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8.xml" ContentType="application/vnd.openxmlformats-officedocument.spreadsheetml.comments+xml"/>
  <Override PartName="/xl/drawings/drawing7.xml" ContentType="application/vnd.openxmlformats-officedocument.drawing+xml"/>
  <Override PartName="/xl/comments9.xml" ContentType="application/vnd.openxmlformats-officedocument.spreadsheetml.comments+xml"/>
  <Override PartName="/xl/drawings/drawing8.xml" ContentType="application/vnd.openxmlformats-officedocument.drawing+xml"/>
  <Override PartName="/xl/comments10.xml" ContentType="application/vnd.openxmlformats-officedocument.spreadsheetml.comments+xml"/>
  <Override PartName="/xl/drawings/drawing9.xml" ContentType="application/vnd.openxmlformats-officedocument.drawing+xml"/>
  <Override PartName="/xl/comments11.xml" ContentType="application/vnd.openxmlformats-officedocument.spreadsheetml.comments+xml"/>
  <Override PartName="/xl/drawings/drawing10.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1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DieseArbeitsmappe"/>
  <mc:AlternateContent xmlns:mc="http://schemas.openxmlformats.org/markup-compatibility/2006">
    <mc:Choice Requires="x15">
      <x15ac:absPath xmlns:x15ac="http://schemas.microsoft.com/office/spreadsheetml/2010/11/ac" url="C:\Users\Patrik\SkyDrive\DSA Excel Heldenblatt\"/>
    </mc:Choice>
  </mc:AlternateContent>
  <bookViews>
    <workbookView xWindow="60" yWindow="750" windowWidth="17025" windowHeight="8145" tabRatio="861"/>
  </bookViews>
  <sheets>
    <sheet name="Generierung" sheetId="6" r:id="rId1"/>
    <sheet name="Eigenschaften" sheetId="18" r:id="rId2"/>
    <sheet name="SF" sheetId="33" r:id="rId3"/>
    <sheet name="Talente" sheetId="10" r:id="rId4"/>
    <sheet name="Zauber" sheetId="14" r:id="rId5"/>
    <sheet name="Goetter" sheetId="28" r:id="rId6"/>
    <sheet name="Heldenbogen" sheetId="1" r:id="rId7"/>
    <sheet name="Talentwerte" sheetId="24" r:id="rId8"/>
    <sheet name="Kampfwerte" sheetId="3" r:id="rId9"/>
    <sheet name="Ausrüstung" sheetId="4" r:id="rId10"/>
    <sheet name="Zauber 1" sheetId="22" r:id="rId11"/>
    <sheet name="Zauber 2" sheetId="23" r:id="rId12"/>
    <sheet name="Liturgien" sheetId="29" r:id="rId13"/>
    <sheet name="Personen_Abenteuer" sheetId="21" r:id="rId14"/>
    <sheet name="Hintergrund" sheetId="26" r:id="rId15"/>
    <sheet name="Eigene" sheetId="32" r:id="rId16"/>
    <sheet name="Tabellen_Andere" sheetId="7" state="veryHidden" r:id="rId17"/>
    <sheet name="Abfragen" sheetId="20" state="hidden" r:id="rId18"/>
    <sheet name="Tabellen_Rassen" sheetId="15" state="veryHidden" r:id="rId19"/>
    <sheet name="Tabellen_Normal" sheetId="17" state="veryHidden" r:id="rId20"/>
    <sheet name="Tabellen_Kampf" sheetId="30" state="veryHidden" r:id="rId21"/>
    <sheet name="Tabellen_Magie" sheetId="11" state="veryHidden" r:id="rId22"/>
    <sheet name="Tabellen_Goetter" sheetId="27" state="veryHidden" r:id="rId23"/>
    <sheet name="R_K" sheetId="34" state="hidden" r:id="rId24"/>
    <sheet name="K_G" sheetId="35" state="hidden" r:id="rId25"/>
    <sheet name="MG_Held" sheetId="43" state="hidden" r:id="rId26"/>
    <sheet name="MG_Vor" sheetId="38" state="hidden" r:id="rId27"/>
    <sheet name="MG_Nach" sheetId="42" state="hidden" r:id="rId28"/>
    <sheet name="MG_SF" sheetId="41" state="hidden" r:id="rId29"/>
    <sheet name="MG_Talente" sheetId="39" state="hidden" r:id="rId30"/>
    <sheet name="MG_Zauber" sheetId="40" state="hidden" r:id="rId31"/>
    <sheet name="MG_INV" sheetId="44" state="hidden" r:id="rId32"/>
  </sheets>
  <definedNames>
    <definedName name="_xlnm._FilterDatabase" localSheetId="23" hidden="1">R_K!$F$1:$AN$147</definedName>
    <definedName name="AKTIV_AKOLUTH">SF!$AE$128</definedName>
    <definedName name="AKTIV_AUFMKEIT">SF!$AE$53</definedName>
    <definedName name="AKTIV_AUSFALL">SF!$AE$54</definedName>
    <definedName name="AKTIV_AUSPENDELN">SF!$AE$14</definedName>
    <definedName name="AKTIV_AUSW1">SF!$AE$55</definedName>
    <definedName name="AKTIV_AUSW2">SF!$AE$56</definedName>
    <definedName name="AKTIV_AUSW3">SF!$AE$57</definedName>
    <definedName name="AKTIV_BDHNDKAMPF1">SF!$AE$59</definedName>
    <definedName name="AKTIV_BDHNDKAMPF2">SF!$AE$60</definedName>
    <definedName name="AKTIV_BEFRSCHLEIG">SF!$AE$58</definedName>
    <definedName name="AKTIV_BEINARBEIT">SF!$AE$15</definedName>
    <definedName name="AKTIV_BERSCHUETZE">SF!$AE$115</definedName>
    <definedName name="AKTIV_BETBGSCHLAG">SF!$AE$61</definedName>
    <definedName name="AKTIV_BINDEN">SF!$AE$62</definedName>
    <definedName name="AKTIV_BISS">SF!$AE$16</definedName>
    <definedName name="AKTIV_BLINDKAMPF">SF!$AE$63</definedName>
    <definedName name="AKTIV_BLOCK">SF!$AE$17</definedName>
    <definedName name="AKTIV_DEFKAMPFSTIL">SF!$AE$64</definedName>
    <definedName name="AKTIV_DOPPELAT">SF!$AE$65</definedName>
    <definedName name="AKTIV_DOPPELSCHLAG">SF!$AE$18</definedName>
    <definedName name="AKTIV_EISENARM">SF!$AE$19</definedName>
    <definedName name="AKTIV_EISENHAGEL">SF!$AE$116</definedName>
    <definedName name="AKTIV_ENTWAFFNEN">SF!$AE$66</definedName>
    <definedName name="AKTIV_FESTNAGELN">SF!$AE$67</definedName>
    <definedName name="AKTIV_FINTE">SF!$AE$68</definedName>
    <definedName name="AKTIV_FORMATION">SF!$AE$69</definedName>
    <definedName name="AKTIV_FUSSFEGER">SF!$AE$20</definedName>
    <definedName name="AKTIV_GEGENHALTEN">SF!$AE$70</definedName>
    <definedName name="AKTIV_GERADE">SF!$AE$21</definedName>
    <definedName name="AKTIV_GEZSTICH">SF!$AE$72</definedName>
    <definedName name="AKTIV_GRGEIST">SF!$AE$132</definedName>
    <definedName name="AKTIV_GRIFF">SF!$AE$22</definedName>
    <definedName name="AKTIV_HALTEN">SF!$AE$23</definedName>
    <definedName name="AKTIV_HAMMERSCHLAG">SF!$AE$74</definedName>
    <definedName name="AKTIV_HANDKANTE">SF!$AE$24</definedName>
    <definedName name="AKTIV_HTRITT">SF!$AE$25</definedName>
    <definedName name="AKTIV_IMPWAFFEN">SF!$AE$75</definedName>
    <definedName name="AKTIV_KAMPFWASSER">SF!$AE$76</definedName>
    <definedName name="AKTIV_KARMALQSTE">SF!$AE$130</definedName>
    <definedName name="AKTIV_KBLOCK">SF!$AE$30</definedName>
    <definedName name="AKTIV_KLAMMER">SF!$AE$26</definedName>
    <definedName name="AKTIV_KLINGENSTURM">SF!$AE$79</definedName>
    <definedName name="AKTIV_KLINGENWAND">SF!$AE$81</definedName>
    <definedName name="AKTIV_KNAUFSCHLAG">SF!$AE$27</definedName>
    <definedName name="AKTIV_KNIE">SF!$AE$28</definedName>
    <definedName name="AKTIV_KOPFSTOSS">SF!$AE$29</definedName>
    <definedName name="AKTIV_KPFGESP">SF!$AE$77</definedName>
    <definedName name="AKTIV_KPFREF">SF!$AE$78</definedName>
    <definedName name="AKTIV_KRIGSREITEREI">SF!$AE$82</definedName>
    <definedName name="AKTIV_LHAND">SF!$AE$83</definedName>
    <definedName name="AKTIV_MAEISTPARADE">SF!$AE$85</definedName>
    <definedName name="AKTIV_MEISTENTWAFFNEN">SF!$AE$84</definedName>
    <definedName name="AKTIV_MEISTERIMPROV">SF!$AS$20</definedName>
    <definedName name="AKTIV_MEISTERSCHUETZE">SF!$AE$117</definedName>
    <definedName name="AKTIV_MSTRREG">SF!$AS$71</definedName>
    <definedName name="AKTIV_NANDUS">SF!$AS$26</definedName>
    <definedName name="AKTIV_NIEDERWERFEN">SF!$AE$86</definedName>
    <definedName name="AKTIV_NRINGEN">SF!$AE$31</definedName>
    <definedName name="AKTIV_PAR1">SF!$AE$87</definedName>
    <definedName name="AKTIV_PAR2">SF!$AE$88</definedName>
    <definedName name="AKTIV_REG1">SF!$AS$77</definedName>
    <definedName name="AKTIV_REG2">SF!$AS$78</definedName>
    <definedName name="AKTIV_REITERKAMPF">SF!$AE$89</definedName>
    <definedName name="AKTIV_RGW1">SF!$AE$90</definedName>
    <definedName name="AKTIV_RGW2">SF!$AE$91</definedName>
    <definedName name="AKTIV_RGW3">SF!$AE$92</definedName>
    <definedName name="AKTIV_RKFREMD">SF!$AE$133</definedName>
    <definedName name="AKTIV_SCHARFSCHUETZE">SF!$AE$120</definedName>
    <definedName name="AKTIV_SCHILDSPALTER">SF!$AE$95</definedName>
    <definedName name="AKTIV_SCHLD1">SF!$AE$93</definedName>
    <definedName name="AKTIV_SCHLD2">SF!$AE$94</definedName>
    <definedName name="AKTIV_SCHMETTERSCHLAG">SF!$AE$32</definedName>
    <definedName name="AKTIV_SCHNELLADEN">SF!$AE$123</definedName>
    <definedName name="AKTIV_SCHNELLZIEHEN">SF!$AE$96</definedName>
    <definedName name="AKTIV_SCHTRICKS">SF!$AE$33</definedName>
    <definedName name="AKTIV_SCHWANZSCHLAG">SF!$AE$35</definedName>
    <definedName name="AKTIV_SCHWINGER">SF!$AE$36</definedName>
    <definedName name="AKTIV_SCHWKASTEN">SF!$AE$37</definedName>
    <definedName name="AKTIV_SPIESSGESPANN">SF!$AE$97</definedName>
    <definedName name="AKTIV_SPRUNG">SF!$AE$38</definedName>
    <definedName name="AKTIV_SPRUNGTRITT">SF!$AE$39</definedName>
    <definedName name="AKTIV_SPTWHE">Goetter!$BK$26</definedName>
    <definedName name="AKTIV_STURMANGRIFF">SF!$AE$98</definedName>
    <definedName name="AKTIV_TODESSTOSS">SF!$AE$100</definedName>
    <definedName name="AKTIV_TONDLINKS">SF!$AE$99</definedName>
    <definedName name="AKTIV_TRITT">SF!$AE$40</definedName>
    <definedName name="AKTIV_TURNIERREITEREI">SF!$AE$101</definedName>
    <definedName name="AKTIV_UMREISSEN">SF!$AE$102</definedName>
    <definedName name="AKTIV_UWASSERKAMPF">SF!$AE$103</definedName>
    <definedName name="AKTIV_vERKLINGE">SF!$AE$41</definedName>
    <definedName name="AKTIV_WAFFEZERBRECHEN">SF!$AE$104</definedName>
    <definedName name="AKTIV_WINDMUEHLE">SF!$AE$110</definedName>
    <definedName name="AKTIV_WLOSBORN">SF!$AE$44</definedName>
    <definedName name="AKTIV_WLOSGLADIATOR">SF!$AE$45</definedName>
    <definedName name="AKTIV_WLOSHAMMER">SF!$AE$46</definedName>
    <definedName name="AKTIV_WLOSHRURUZAT">SF!$AE$47</definedName>
    <definedName name="AKTIV_WLOSMERC">SF!$AE$48</definedName>
    <definedName name="AKTIV_WLOSUNAU">SF!$AE$49</definedName>
    <definedName name="AKTIV_WM_SCHILD">SF!$AE$109</definedName>
    <definedName name="AKTIV_WM1">SF!$AE$105</definedName>
    <definedName name="AKTIV_WM2">SF!$AE$106</definedName>
    <definedName name="AKTIV_WM3">SF!$AE$107</definedName>
    <definedName name="AKTIV_WM4">SF!$AE$108</definedName>
    <definedName name="AKTIV_WUCHTSCHLAG">SF!$AE$111</definedName>
    <definedName name="AKTIV_WUERGEGRIFF">SF!$AE$42</definedName>
    <definedName name="AKTIV_WURF">SF!$AE$43</definedName>
    <definedName name="ALCHIMIST">Tabellen_Magie!$HA$1:$II$1</definedName>
    <definedName name="ALCHIMIST_UNM">K_G!$E$123:$E$137</definedName>
    <definedName name="AMAZONE">Tabellen_Kampf!$C$1</definedName>
    <definedName name="APEINEIGEN">Eigenschaften!$N$6</definedName>
    <definedName name="APEINSF">SF!$L$4</definedName>
    <definedName name="APEINTAL">Talente!$O$7</definedName>
    <definedName name="APEINZAUBER">Zauber!$M$5</definedName>
    <definedName name="APGES">Eigenschaften!$N$4</definedName>
    <definedName name="APGOET">Goetter!$I$4</definedName>
    <definedName name="APGUT">Eigenschaften!$N$5</definedName>
    <definedName name="APHINZU">Eigenschaften!$N$3</definedName>
    <definedName name="APKONV">Generierung!$H$86</definedName>
    <definedName name="ARCANOVI_WERT">Zauber!$CV$2</definedName>
    <definedName name="ARTYP_BGBGOETTER">K_G!$E$118:$G$119</definedName>
    <definedName name="ARTYPGES">K_G!$E$3:$G$19</definedName>
    <definedName name="ARTYPGOET">K_G!$E$86:$G$87</definedName>
    <definedName name="ARTYPHWK">K_G!$E$40:$G$55</definedName>
    <definedName name="ARTYPKAM">K_G!$E$58:$G$68</definedName>
    <definedName name="ARTYPMAG">K_G!$E$71:$G$83</definedName>
    <definedName name="ARTYPNMAG">K_G!$E$115:$G$116</definedName>
    <definedName name="ARTYPWIL">K_G!$E$22:$G$37</definedName>
    <definedName name="AsP">Heldenbogen!$L$31</definedName>
    <definedName name="ASPMEDITATION">'Zauber 1'!$Q$60</definedName>
    <definedName name="ASPMOD">Heldenbogen!$J$31</definedName>
    <definedName name="ASPSTART">Heldenbogen!$K$31</definedName>
    <definedName name="ASPZU">Heldenbogen!$M$31</definedName>
    <definedName name="AT">Heldenbogen!$L$36</definedName>
    <definedName name="AT_2HNDFLEGEL">Talente!$P$38</definedName>
    <definedName name="AT_2HNDHIEBWFN">Talente!$P$39</definedName>
    <definedName name="AT_2HNDSCHWERTER">Talente!$P$40</definedName>
    <definedName name="AT_ANDERTHALBHD">Talente!$P$14</definedName>
    <definedName name="AT_ARMBRUST">Talente!$P$15</definedName>
    <definedName name="AT_BELAGERUNGSWFN">Talente!$P$16</definedName>
    <definedName name="AT_BLASROHR">Talente!$P$17</definedName>
    <definedName name="AT_BOGEN">Talente!$P$18</definedName>
    <definedName name="AT_DISKUS">Talente!$P$19</definedName>
    <definedName name="AT_DOLCHE">Talente!$P$20</definedName>
    <definedName name="AT_FECHTWFN">Talente!$P$21</definedName>
    <definedName name="AT_HIEBWFN">Talente!$P$22</definedName>
    <definedName name="AT_INFANTERIEWFN">Talente!$P$23</definedName>
    <definedName name="AT_KETTENSTAEBE">Talente!$P$24</definedName>
    <definedName name="AT_KETTENWFN">Talente!$P$25</definedName>
    <definedName name="AT_LANZENREITEN">Talente!$P$26</definedName>
    <definedName name="AT_PEITSCHE">Talente!$P$27</definedName>
    <definedName name="AT_RAUFEN">Talente!$P$28</definedName>
    <definedName name="AT_RINGEN">Talente!$P$29</definedName>
    <definedName name="AT_SAEBEL">Talente!$P$30</definedName>
    <definedName name="AT_SCHLEUDER">Talente!$P$31</definedName>
    <definedName name="AT_SCHWERTER">Talente!$P$32</definedName>
    <definedName name="AT_SPEERE">Talente!$P$33</definedName>
    <definedName name="AT_STAEBE">Talente!$P$34</definedName>
    <definedName name="AT_WURBEILE">Talente!$P$35</definedName>
    <definedName name="AT_WURFMESSER">Talente!$P$36</definedName>
    <definedName name="AT_WURFSPEERE">Talente!$P$37</definedName>
    <definedName name="ATMOD">Heldenbogen!$J$36</definedName>
    <definedName name="ATSTART">Heldenbogen!$K$36</definedName>
    <definedName name="AU">Heldenbogen!$L$30</definedName>
    <definedName name="Auflistung">"Gruppenfeld 85"</definedName>
    <definedName name="AUMOD">Heldenbogen!$J$30</definedName>
    <definedName name="AUSTART">Heldenbogen!$K$30</definedName>
    <definedName name="AUSW1">Tabellen_Andere!$FD$43</definedName>
    <definedName name="AUSW2">Tabellen_Andere!$FD$44</definedName>
    <definedName name="AUSW3">Tabellen_Andere!$FD$45</definedName>
    <definedName name="AUSWEICHEN">Tabellen_Andere!$FD$43:$FI$45</definedName>
    <definedName name="AUSWLISTE">Tabellen_Andere!$FD$43:$FD$45</definedName>
    <definedName name="AUZU">Heldenbogen!$M$30</definedName>
    <definedName name="B_ZAUBER">Zauber!$A$61:$A$160</definedName>
    <definedName name="BASISINKLGRP">Tabellen_Andere!$AH$51:$AH$86</definedName>
    <definedName name="BASISSKT">Tabellen_Andere!$AH$51:$AK$79</definedName>
    <definedName name="BASISTL">Tabellen_Andere!$AH$51:$AH$85</definedName>
    <definedName name="BAUCH">Kampfwerte!$R$27</definedName>
    <definedName name="BE">Kampfwerte!$E$44</definedName>
    <definedName name="BE_CALC">Kampfwerte!$AM$28</definedName>
    <definedName name="BE_VOR_RG">Kampfwerte!$E$43</definedName>
    <definedName name="BEGABG">Talente!$X$5:$AB$9</definedName>
    <definedName name="BEGABUNFAEH">Tabellen_Andere!$AS$2:$AS$10</definedName>
    <definedName name="BEGABUNFAEHGP">Tabellen_Andere!$AS$2:$AU$10</definedName>
    <definedName name="BEGBGTALGRU">Tabellen_Andere!$R$9</definedName>
    <definedName name="BEGLART">Tabellen_Andere!$BK$3:$BK$266</definedName>
    <definedName name="BEGLEITER">Tabellen_Andere!$BK$3:$CB$267</definedName>
    <definedName name="BEINE">Kampfwerte!$R$31</definedName>
    <definedName name="BESBESITZ">Tabellen_Andere!$W$165:$W$169</definedName>
    <definedName name="BESBESITZ_GP">Tabellen_Andere!$W$165:$X$169</definedName>
    <definedName name="BGB_GEWEIHT">K_G!$E$140:$E$144</definedName>
    <definedName name="BGB_GOETTER">K_G!$E$118:$E$119</definedName>
    <definedName name="BGB_MERKMALE">Zauber!$T$3:$X$5</definedName>
    <definedName name="BGB_ORDEN">K_G!$E$151:$E$156</definedName>
    <definedName name="BGB_RITUALE">Zauber!$X$182:$AB$184</definedName>
    <definedName name="BGB_ZAUBER">Zauber!$T$6:$X$8</definedName>
    <definedName name="BRUST">Kampfwerte!$R$25</definedName>
    <definedName name="BTABFRAGESPR">Talente!$BS$177:$BS$245</definedName>
    <definedName name="BTGESALLE">Talente!$CF$72</definedName>
    <definedName name="BTHWKALLE">Talente!$CF$158</definedName>
    <definedName name="BTKPFALLE">Talente!$CI$41</definedName>
    <definedName name="BTKRPALLE">Talente!$CF$60</definedName>
    <definedName name="BTNATALLE">Talente!$CF$81</definedName>
    <definedName name="BTSPRALLE">Talente!$BR$245</definedName>
    <definedName name="BTWISALLE">Talente!$CF$106</definedName>
    <definedName name="BZALLE">Tabellen_Andere!$DP$352</definedName>
    <definedName name="CH">Heldenbogen!$D$32</definedName>
    <definedName name="CH_T">'Zauber 2'!$C$105</definedName>
    <definedName name="CHMOD">Heldenbogen!$B$32</definedName>
    <definedName name="CHSTART">Heldenbogen!$C$32</definedName>
    <definedName name="DIALEKTE">Tabellen_Andere!$CP$116:$CP$124</definedName>
    <definedName name="DLTTNTEN">Tabellen_Magie!$BL$1:$CU$1</definedName>
    <definedName name="_xlnm.Print_Area" localSheetId="9">Ausrüstung!$A$1:$Y$55</definedName>
    <definedName name="_xlnm.Print_Area" localSheetId="6">Heldenbogen!$A$1:$O$42</definedName>
    <definedName name="_xlnm.Print_Area" localSheetId="8">Kampfwerte!$A$1:$Y$55</definedName>
    <definedName name="_xlnm.Print_Area" localSheetId="12">Liturgien!$A$1:$O$70</definedName>
    <definedName name="_xlnm.Print_Area" localSheetId="3">Talente!$A$1:$Q$246</definedName>
    <definedName name="_xlnm.Print_Area" localSheetId="7">Talentwerte!$A$1:$Q$137</definedName>
    <definedName name="_xlnm.Print_Area" localSheetId="4">Zauber!$A$1:$EU$251</definedName>
    <definedName name="_xlnm.Print_Area" localSheetId="10">'Zauber 1'!$A$1:$AF$109</definedName>
    <definedName name="_xlnm.Print_Area" localSheetId="11">'Zauber 2'!$A$1:$AE$117</definedName>
    <definedName name="DRUIDEN">Tabellen_Magie!$C$1:$N$1</definedName>
    <definedName name="EIGEN">Eigene!$F$1</definedName>
    <definedName name="EIGENPROF">Eigene!$G$1</definedName>
    <definedName name="EIGENSCHFT">Generierung!$D$14:$D$21</definedName>
    <definedName name="EIGENSCHFTGP">Tabellen_Andere!$AH$103:$AJ$110</definedName>
    <definedName name="EIGN">Zauber!$AV$7</definedName>
    <definedName name="ELF_GILDE">Abfragen!$O$276</definedName>
    <definedName name="ELFEN">Tabellen_Magie!$P$1:$AS$1</definedName>
    <definedName name="ELFISCH">Generierung!$P$90</definedName>
    <definedName name="ENTFERNUNG">Tabellen_Andere!$HK$107:$HK$110</definedName>
    <definedName name="ENTFERNUNG_WERT">Tabellen_Andere!$HK$106:$HL$110</definedName>
    <definedName name="ERSTPROF">Abfragen!$D$49</definedName>
    <definedName name="EXPBE">Kampfwerte!$R$32</definedName>
    <definedName name="EXPBE_TRUE">Kampfwerte!$AB$2</definedName>
    <definedName name="EXPERTE">Kampfwerte!$AB$1</definedName>
    <definedName name="EXPRS">Kampfwerte!$R$34</definedName>
    <definedName name="FF">Heldenbogen!$D$33</definedName>
    <definedName name="FF_T">'Zauber 2'!$C$106</definedName>
    <definedName name="FFMOD">Heldenbogen!$B$33</definedName>
    <definedName name="FFSTART">Heldenbogen!$C$33</definedName>
    <definedName name="FHNRICH">Tabellen_Kampf!$H$1:$AA$1</definedName>
    <definedName name="FK">Heldenbogen!$L$38</definedName>
    <definedName name="FKMOD">Heldenbogen!$J$38</definedName>
    <definedName name="FKSTART">Heldenbogen!$K$38</definedName>
    <definedName name="GABENALLE">Eigenschaften!$BD$44</definedName>
    <definedName name="GARDIST">Tabellen_Kampf!$AB$1:$AI$1</definedName>
    <definedName name="GE">Heldenbogen!$D$34</definedName>
    <definedName name="GE_T">'Zauber 2'!$C$107</definedName>
    <definedName name="GEF_STERNE">SF!$AS$54</definedName>
    <definedName name="GEHESPR">Tabellen_Andere!$CP$113:$CP$115</definedName>
    <definedName name="GEMOD">Heldenbogen!$B$34</definedName>
    <definedName name="GEODEN">Tabellen_Magie!$AV$1:$AX$1</definedName>
    <definedName name="GESELL">K_G!$A$3:$A$19</definedName>
    <definedName name="GESELL_ALL">K_G!$E$3:$E$19</definedName>
    <definedName name="GESTART">Heldenbogen!$C$34</definedName>
    <definedName name="GEW_BEGABUNG">Talente!$X$6</definedName>
    <definedName name="GEW_UNFAEH">Talente!$AH$4</definedName>
    <definedName name="GEWEIHTER">Tabellen_Goetter!$C$1:$DD$1</definedName>
    <definedName name="GIFT">Tabellen_Andere!$AS$115:$AS$152</definedName>
    <definedName name="GIFT_WERTE">Tabellen_Andere!$AU$153</definedName>
    <definedName name="GIFTGP">Tabellen_Andere!$AS$115:$AU$152</definedName>
    <definedName name="GLADIATOR">Tabellen_Kampf!$D$1:$G$1</definedName>
    <definedName name="GOETTER">K_G!$A$86:$A$87</definedName>
    <definedName name="GOETTER_ALL">K_G!$E$86:$E$87</definedName>
    <definedName name="GOETTER_EIGN">Eigene!$D$3</definedName>
    <definedName name="GOETTER_LIST">Tabellen_Andere!$HH$105:$HH$130</definedName>
    <definedName name="GP">Generierung!$J$71</definedName>
    <definedName name="GPEIGEN">Generierung!$J$23</definedName>
    <definedName name="GPEXTRA">Generierung!$L$73</definedName>
    <definedName name="GPNACHTEILE">Generierung!$J$53</definedName>
    <definedName name="GPSONDER">Generierung!$J$40</definedName>
    <definedName name="GPSTART">Generierung!$H$4</definedName>
    <definedName name="GPVORTEILE">Generierung!$J$37</definedName>
    <definedName name="GRADE">Tabellen_Andere!$HA$118:$HB$128</definedName>
    <definedName name="GS">Heldenbogen!$D$38</definedName>
    <definedName name="GS_AUSRUFER">Tabellen_Normal!$C$1</definedName>
    <definedName name="GS_BARDE">Tabellen_Normal!$D$1:$G$1</definedName>
    <definedName name="GS_BETTLER">Tabellen_Normal!$I$1</definedName>
    <definedName name="GS_DIEB">Tabellen_Normal!$J$1</definedName>
    <definedName name="GS_EINBRECHER">Tabellen_Normal!$K$1:$L$1</definedName>
    <definedName name="GS_GAUKLER">Tabellen_Normal!$M$1:$T$1</definedName>
    <definedName name="GS_HAENDLER">Tabellen_Normal!$U$1:$AA$1</definedName>
    <definedName name="GS_HEROLD">Tabellen_Normal!$AB$1</definedName>
    <definedName name="GS_HOFKUNST">Tabellen_Normal!$AC$1:$AH$1</definedName>
    <definedName name="GS_HOFLING">Tabellen_Normal!$AI$1</definedName>
    <definedName name="GS_KURTISAN">Tabellen_Normal!$AJ$1:$AK$1</definedName>
    <definedName name="GS_PRVLEHRER">Tabellen_Normal!$AL$1</definedName>
    <definedName name="GS_SCHRIFTSTLR">Tabellen_Normal!$AM$1:$AN$1</definedName>
    <definedName name="GS_SPITZEL">Tabellen_Normal!$AO$1:$AQ$1</definedName>
    <definedName name="GS_STREUNER">Tabellen_Normal!$AR$1:$AV$1</definedName>
    <definedName name="GS_TAUGNCHT">Tabellen_Normal!$AW$1:$AY$1</definedName>
    <definedName name="GS_WIRT">Tabellen_Normal!$AZ$1</definedName>
    <definedName name="GSMOD">Heldenbogen!$B$38</definedName>
    <definedName name="GSSTART">Heldenbogen!$C$38</definedName>
    <definedName name="H_ACHAZ">Tabellen_Normal!$FM$1:$FR$1</definedName>
    <definedName name="H_BADER">Tabellen_Normal!$BC$1</definedName>
    <definedName name="H_BAUER">Tabellen_Normal!$BE$1:$BO$1</definedName>
    <definedName name="H_BERGMAN">Tabellen_Normal!$BP$1:$BR$1</definedName>
    <definedName name="H_DOMESTIK">Tabellen_Normal!$BT$1:$BZ$1</definedName>
    <definedName name="H_EDELHWK">Tabellen_Normal!$CB$1:$CJ$1</definedName>
    <definedName name="H_FERKINA">Tabellen_Normal!$FC$1:$FK$1</definedName>
    <definedName name="H_GELEHRTER">Tabellen_Normal!$CL$1:$CV$1</definedName>
    <definedName name="H_HWK">Tabellen_Normal!$CX$1:$EG$1</definedName>
    <definedName name="H_NORDEN">Tabellen_Normal!$EI$1:$EP$1</definedName>
    <definedName name="H_ORK">Tabellen_Normal!$ER$1:$FA$1</definedName>
    <definedName name="H_RATTENFNG">Tabellen_Normal!$FS$1:$FT$1</definedName>
    <definedName name="H_SCHREIBER">Tabellen_Normal!$FU$1:$FY$1</definedName>
    <definedName name="H_TAGELNER">Tabellen_Normal!$GA$1:$GF$1</definedName>
    <definedName name="H_TIERBNDGR">Tabellen_Normal!$GG$1:$GJ$1</definedName>
    <definedName name="H_WUNDARZT">Tabellen_Normal!$GK$1:$GO$1</definedName>
    <definedName name="HANDW">K_G!$A$40:$A$55</definedName>
    <definedName name="HANDW_ALL">K_G!$E$40:$E$55</definedName>
    <definedName name="HBC_2STUDIUM">Zauber!$B$251</definedName>
    <definedName name="HBC_ANG_L">Goetter!$A$154:$A$171</definedName>
    <definedName name="HBC_ANG_L_AP">Goetter!$J$154:$M$171</definedName>
    <definedName name="HBC_ANG_R">Goetter!$A$269:$A$278</definedName>
    <definedName name="HBC_ANG_R_AP">Goetter!$I$269:$L$278</definedName>
    <definedName name="HBC_AP">Generierung!$I$82</definedName>
    <definedName name="HBC_ARTEFAKT">'Zauber 2'!$Q$89:$Z$96</definedName>
    <definedName name="HBC_BEMERKUNGEN">Talentwerte!$A$127:$P$137</definedName>
    <definedName name="HBC_FERNWF">Kampfwerte!$A$17:$A$20</definedName>
    <definedName name="HBC_FREI_VORNACH">Generierung!$D$56:$E$69</definedName>
    <definedName name="HBC_HB1">Heldenbogen!$B$8:$B$14</definedName>
    <definedName name="HBC_HB2">Heldenbogen!$A$15:$A$17</definedName>
    <definedName name="HBC_HB3">Heldenbogen!$K$8:$K$9</definedName>
    <definedName name="HBC_HB4">Heldenbogen!$I$12:$I$17</definedName>
    <definedName name="HBC_HB5">Heldenbogen!$M$37</definedName>
    <definedName name="HBC_HB6">Heldenbogen!$Q$29:$U$35</definedName>
    <definedName name="HBC_HOCHSCHAMAN">Goetter!$G$29</definedName>
    <definedName name="HBC_HZ_I">Generierung!$C$93:$C$100</definedName>
    <definedName name="HBC_HZ_KP">Generierung!$G$93:$H$100</definedName>
    <definedName name="HBC_HZ_W">Generierung!$E$93:$E$100</definedName>
    <definedName name="HBC_LK">Goetter!$E$11:$G$24</definedName>
    <definedName name="HBC_LK_AP">Goetter!$E$35:$G$151</definedName>
    <definedName name="HBC_MRK">Zauber!$AF$241:$AF$247</definedName>
    <definedName name="HBC_MRK_AP">Zauber!$H$241:$J$247</definedName>
    <definedName name="HBC_MRK_MK">Zauber!$A$241:$A$247</definedName>
    <definedName name="HBC_MRK_OLD">Zauber!$CO$11:$CU$175</definedName>
    <definedName name="HBC_MRK_W">Zauber!$B$241:$B$247</definedName>
    <definedName name="HBC_NACHTEILE">Generierung!$D$42:$E$51</definedName>
    <definedName name="HBC_NAHWF">Kampfwerte!$A$5:$A$11</definedName>
    <definedName name="HBC_PROF_ART">Heldenbogen!$Q$6</definedName>
    <definedName name="HBC_R_BASIS">Eigenschaften!$D$12:$G$18</definedName>
    <definedName name="HBC_R_EIGN">Eigenschaften!$D$20:$G$30</definedName>
    <definedName name="HBC_R_GABEN">Eigenschaften!$D$32:$G$101</definedName>
    <definedName name="HBC_REP">Zauber!$A$237:$A$238</definedName>
    <definedName name="HBC_REP_AP">Zauber!$H$237:$J$238</definedName>
    <definedName name="HBC_RGW_ART">SF!$E$90</definedName>
    <definedName name="HBC_RITUALE">Zauber!$A$182:$A$201</definedName>
    <definedName name="HBC_RITUALE_AP">Zauber!$H$182:$J$205</definedName>
    <definedName name="HBC_RITUALF">Zauber!$F$205</definedName>
    <definedName name="HBC_RK">Zauber!$A$227:$A$235</definedName>
    <definedName name="HBC_RK_AP">Zauber!$H$226:$J$235</definedName>
    <definedName name="HBC_RK_W">Zauber!$B$228:$B$235</definedName>
    <definedName name="HBC_RUESTUNG">Kampfwerte!$A$38:$A$42</definedName>
    <definedName name="HBC_SCH_R">Goetter!$E$175:$G$263</definedName>
    <definedName name="HBC_SCHILD">Kampfwerte!$A$33:$A$34</definedName>
    <definedName name="HBC_SF_ALLG">SF!$R$14:$U$33</definedName>
    <definedName name="HBC_SF_ALLG_W">SF!$P$14:$P$33</definedName>
    <definedName name="HBC_SF_FERN">SF!$F$115:$I$123</definedName>
    <definedName name="HBC_SF_FERN_W">SF!$D$115:$D$123</definedName>
    <definedName name="HBC_SF_KARM">SF!$F$128:$I$133</definedName>
    <definedName name="HBC_SF_KARM_ART">SF!$E$128:$E$133</definedName>
    <definedName name="HBC_SF_KARM_W">SF!$D$128:$D$133</definedName>
    <definedName name="HBC_SF_KK_W">SF!$V$22</definedName>
    <definedName name="HBC_SF_MAG">SF!$R$37:$U$99</definedName>
    <definedName name="HBC_SF_MAG_W">SF!$P$37:$P$99</definedName>
    <definedName name="HBC_SF_NAH">SF!$F$53:$I$111</definedName>
    <definedName name="HBC_SF_NAH_W">SF!$D$53:$D$111</definedName>
    <definedName name="HBC_SF_OK_W">SF!$V$27</definedName>
    <definedName name="HBC_SF_SCHUETZE">SF!$E$117:$E$123</definedName>
    <definedName name="HBC_SF_WLOS">SF!$F$14:$I$49</definedName>
    <definedName name="HBC_SF_WLOS_W">SF!$D$14:$D$49</definedName>
    <definedName name="HBC_SPAETWEIHE">Goetter!$G$26</definedName>
    <definedName name="HBC_SPEZ_K">Talente!$R$14:$U$40</definedName>
    <definedName name="HBC_SPEZ_T">Talente!$R$42:$U$157</definedName>
    <definedName name="HBC_SPRACHEN_AP">Talente!$J$177:$J$245</definedName>
    <definedName name="HBC_SPRACHEN_SE">Talente!$E$177:$E$245</definedName>
    <definedName name="HBC_SPRACHEN_TL">Talente!$H$177:$I$245</definedName>
    <definedName name="HBC_SPRACHEN_W">Talente!$D$177:$D$245</definedName>
    <definedName name="HBC_START_EIGN">Generierung!$E$14:$E$22</definedName>
    <definedName name="HBC_SZ_I">Generierung!$C$104:$C$120</definedName>
    <definedName name="HBC_SZ_KP">Generierung!$G$104:$H$120</definedName>
    <definedName name="HBC_SZ_W">Generierung!$E$104:$E$120</definedName>
    <definedName name="HBC_TALENTE_AP">Talente!$I$14:$I$157</definedName>
    <definedName name="HBC_TALENTE_EIGENE">Talente!$A$166:$M$170</definedName>
    <definedName name="HBC_TALENTE_SE">Talente!$F$14:$F$157</definedName>
    <definedName name="HBC_TALENTE_TL">Talente!$G$14:$H$157</definedName>
    <definedName name="HBC_TALENTE_W">Talente!$D$14:$D$157</definedName>
    <definedName name="HBC_V_TIER">'Zauber 2'!$Q$102:$Z$109</definedName>
    <definedName name="HBC_V_TIER_AP">Eigenschaften!$G$119:$G$159</definedName>
    <definedName name="HBC_V_TIER_GEN">Eigenschaften!$C$119:$C$129</definedName>
    <definedName name="HBC_VORTEILE">Generierung!$D$25:$E$36</definedName>
    <definedName name="HBC_WFLK">Kampfwerte!$A$25:$A$26</definedName>
    <definedName name="HBC_WM_FERN">Kampfwerte!$AB$17:$AG$20</definedName>
    <definedName name="HBC_WM_PERS">Kampfwerte!$AB$5:$AJ$11</definedName>
    <definedName name="HBC_WM_RUEST">Kampfwerte!$AB$38:$AN$42</definedName>
    <definedName name="HBC_WM_SCHILD">Kampfwerte!$AB$33:$AH$34</definedName>
    <definedName name="HBC_WM_WLOS">Kampfwerte!$AB$25:$AH$26</definedName>
    <definedName name="HBC_WW">Ausrüstung!$A$48:$M$49</definedName>
    <definedName name="HBC_Z_ARC">Zauber!$F$174:$F$175</definedName>
    <definedName name="HBC_Z_ARC_AP">Zauber!$H$174:$J$175</definedName>
    <definedName name="HBC_Z_ERLERNT_AP">Zauber!$H$61:$J$160</definedName>
    <definedName name="HBC_Z_ERLERNT_TL">Zauber!$F$61:$F$160</definedName>
    <definedName name="HBC_Z_HAUS_AP">Zauber!$H$11:$J$35</definedName>
    <definedName name="HBC_Z_HAUS_TL">Zauber!$F$11:$F$35</definedName>
    <definedName name="HBC_Z_RITUAL_AP">Zauber!$H$182:$J$201</definedName>
    <definedName name="HBC_Z_RK_AP">Zauber!$H$203:$J$206</definedName>
    <definedName name="HBC_Z_SONSTIG">Zauber!$A$162:$A$172</definedName>
    <definedName name="HBC_Z_SONSTIG_AP">Zauber!$H$162:$J$172</definedName>
    <definedName name="HBC_Z_SONSTIG_TL">Zauber!$F$162:$F$172</definedName>
    <definedName name="HBC_Z_START_AP">Zauber!$H$37:$J$59</definedName>
    <definedName name="HBC_Z_START_TL">Zauber!$F$37:$F$59</definedName>
    <definedName name="HBC_ZSPEZ_ARCANOVI">Zauber!$N$174:$O$175</definedName>
    <definedName name="HBC_ZSPEZ_ERLERNT">Zauber!$N$61:$O$160</definedName>
    <definedName name="HBC_ZSPEZ_HAUS">Zauber!$N$11:$O$35</definedName>
    <definedName name="HBC_ZSPEZ_START">Zauber!$N$37:$O$59</definedName>
    <definedName name="HBC_ZSPEZ_WEITERE">Zauber!$N$162:$O$172</definedName>
    <definedName name="HBC_ZZ">Zauber!$A$210:$A$225</definedName>
    <definedName name="HBC_ZZ_AP">Zauber!$H$210:$J$225</definedName>
    <definedName name="HBC_ZZ_W">Zauber!$B$210:$B$225</definedName>
    <definedName name="HEIGENSCHFT">Tabellen_Andere!$AH$111:$AH$150</definedName>
    <definedName name="HEIGENSCHFTGP">Tabellen_Andere!$AH$111:$AI$150</definedName>
    <definedName name="HELDENNAME">Heldenbogen!$B$3</definedName>
    <definedName name="HEXEN">Tabellen_Magie!$AZ$1:$BG$1</definedName>
    <definedName name="HNDGEM">Tabellen_Andere!$CD$184:$CD$196</definedName>
    <definedName name="HNDMENALLE">Tabellen_Andere!$CD$184:$CJ$196</definedName>
    <definedName name="HRSSINN">Tabellen_Andere!$R$23</definedName>
    <definedName name="HZALLE">Tabellen_Andere!$DN$352</definedName>
    <definedName name="IDX_A">Tabellen_Rassen!$B$266</definedName>
    <definedName name="IDX_ANZ_ÜBER_BEG">Tabellen_Rassen!$B$843</definedName>
    <definedName name="IDX_E">Tabellen_Rassen!$B$322</definedName>
    <definedName name="IDX_EIGN">Tabellen_Rassen!$B$820</definedName>
    <definedName name="IDX_FK">Tabellen_Rassen!$B$263</definedName>
    <definedName name="IDX_FREMDREP">Tabellen_Rassen!$B$845</definedName>
    <definedName name="IDX_GLK">Tabellen_Goetter!$B$343</definedName>
    <definedName name="IDX_K">Tabellen_Goetter!$B$334</definedName>
    <definedName name="IDX_KE">Tabellen_Goetter!$B$324</definedName>
    <definedName name="IDX_L">Tabellen_Goetter!$B$352</definedName>
    <definedName name="IDX_L_0">Tabellen_Goetter!$B$345</definedName>
    <definedName name="IDX_LEIT">Tabellen_Goetter!$B$325</definedName>
    <definedName name="IDX_LITD">Goetter!$K$32</definedName>
    <definedName name="IDX_LITG">Goetter!$AH$32</definedName>
    <definedName name="IDX_LITR">Goetter!$M$32</definedName>
    <definedName name="IDX_LITURG">Tabellen_Rassen!$B$839</definedName>
    <definedName name="IDX_LITW">Goetter!$L$32</definedName>
    <definedName name="IDX_LITZ">Goetter!$J$32</definedName>
    <definedName name="IDX_M">Tabellen_Rassen!$B$271</definedName>
    <definedName name="IDX_MIRAKEL">Tabellen_Rassen!$B$851</definedName>
    <definedName name="IDX_MRK">Tabellen_Rassen!$B$278</definedName>
    <definedName name="IDX_NK">Tabellen_Rassen!$B$253</definedName>
    <definedName name="IDX_P_GESELL">K_G!$G$2</definedName>
    <definedName name="IDX_P_GOETTER">K_G!$G$85</definedName>
    <definedName name="IDX_P_HWK">K_G!$G$39</definedName>
    <definedName name="IDX_P_KAMPF">K_G!$G$57</definedName>
    <definedName name="IDX_P_MAG">K_G!$G$70</definedName>
    <definedName name="IDX_P_WILD">K_G!$G$21</definedName>
    <definedName name="IDX_R">Tabellen_Rassen!$B$696</definedName>
    <definedName name="IDX_REP">Tabellen_Rassen!$B$280</definedName>
    <definedName name="IDX_RK">Tabellen_Rassen!$B$706</definedName>
    <definedName name="IDX_RKW">Tabellen_Rassen!$B$707</definedName>
    <definedName name="IDX_S">Tabellen_Rassen!$B$182</definedName>
    <definedName name="IDX_SCHA">Tabellen_Goetter!$B$716</definedName>
    <definedName name="IDX_SCHARK">Tabellen_Goetter!$B$346</definedName>
    <definedName name="IDX_SF_KK">Tabellen_Rassen!$B$812</definedName>
    <definedName name="IDX_T">Tabellen_Rassen!$B$43</definedName>
    <definedName name="IDX_TALENTE">Tabellen_Rassen!$B$821</definedName>
    <definedName name="IDX_TSP">Tabellen_Rassen!$B$321</definedName>
    <definedName name="IDX_VA">Tabellen_Rassen!$B$303</definedName>
    <definedName name="IDX_VFK">Tabellen_Rassen!$B$299</definedName>
    <definedName name="IDX_VK">Tabellen_Goetter!$B$339</definedName>
    <definedName name="IDX_VM">Tabellen_Rassen!$B$308</definedName>
    <definedName name="IDX_VMRK">Tabellen_Rassen!$B$316</definedName>
    <definedName name="IDX_VNK">Tabellen_Rassen!$B$285</definedName>
    <definedName name="IDX_VORAUSSETZUNG">Tabellen_Rassen!$B$852</definedName>
    <definedName name="IDX_VPZAUBER">Tabellen_Rassen!$B$847</definedName>
    <definedName name="IDX_VR">Tabellen_Rassen!$B$708</definedName>
    <definedName name="IDX_VREP">Tabellen_Rassen!$B$319</definedName>
    <definedName name="IDX_VWL">Tabellen_Rassen!$B$282</definedName>
    <definedName name="IDX_WA">Tabellen_Rassen!$B$826</definedName>
    <definedName name="IDX_WBSK">Tabellen_Rassen!$B$848</definedName>
    <definedName name="IDX_WFK">Tabellen_Rassen!$B$825</definedName>
    <definedName name="IDX_WHZ">Tabellen_Rassen!$B$840</definedName>
    <definedName name="IDX_WK">Tabellen_Rassen!$B$837</definedName>
    <definedName name="IDX_WL">Tabellen_Rassen!$B$250</definedName>
    <definedName name="IDX_WM">Tabellen_Rassen!$B$827</definedName>
    <definedName name="IDX_WMRK">Tabellen_Rassen!$B$828</definedName>
    <definedName name="IDX_WNK">Tabellen_Rassen!$B$824</definedName>
    <definedName name="IDX_WNT">Tabellen_Rassen!$B$817</definedName>
    <definedName name="IDX_WREP">Tabellen_Rassen!$B$829</definedName>
    <definedName name="IDX_WS">Tabellen_Rassen!$B$822</definedName>
    <definedName name="IDX_WSZ">Tabellen_Rassen!$B$844</definedName>
    <definedName name="IDX_WVA">Tabellen_Rassen!$B$833</definedName>
    <definedName name="IDX_WVBSK">Tabellen_Rassen!$B$849</definedName>
    <definedName name="IDX_WVFK">Tabellen_Rassen!$B$832</definedName>
    <definedName name="IDX_WVK">Tabellen_Rassen!$B$838</definedName>
    <definedName name="IDX_WVM">Tabellen_Rassen!$B$834</definedName>
    <definedName name="IDX_WVMRK">Tabellen_Rassen!$B$835</definedName>
    <definedName name="IDX_WVNK">Tabellen_Rassen!$B$831</definedName>
    <definedName name="IDX_WVREP">Tabellen_Rassen!$B$836</definedName>
    <definedName name="IDX_WVT">Tabellen_Rassen!$B$813</definedName>
    <definedName name="IDX_WVWLOS">Tabellen_Rassen!$B$830</definedName>
    <definedName name="IDX_WWLOS">Tabellen_Rassen!$B$823</definedName>
    <definedName name="IDX_Z">Tabellen_Rassen!$B$324</definedName>
    <definedName name="IDX_ZAUF">Tabellen_Rassen!$B$323</definedName>
    <definedName name="IN">Heldenbogen!$D$31</definedName>
    <definedName name="IN_T">'Zauber 2'!$C$104</definedName>
    <definedName name="INI">Heldenbogen!$L$34</definedName>
    <definedName name="INIMOD">Heldenbogen!$J$34</definedName>
    <definedName name="INISTART">Heldenbogen!$K$34</definedName>
    <definedName name="INMOD">Heldenbogen!$B$31</definedName>
    <definedName name="INSTART">Heldenbogen!$C$31</definedName>
    <definedName name="KAMPF">K_G!$A$58:$A$68</definedName>
    <definedName name="KAMPF_ALL">K_G!$E$58:$E$68</definedName>
    <definedName name="KE">Heldenbogen!$L$32</definedName>
    <definedName name="KEMOD">Heldenbogen!$J$32</definedName>
    <definedName name="KESTART">Heldenbogen!$K$32</definedName>
    <definedName name="KEZU">Heldenbogen!$M$32</definedName>
    <definedName name="KK">Heldenbogen!$D$37</definedName>
    <definedName name="KK_T">'Zauber 2'!$C$109</definedName>
    <definedName name="KKMOD">Heldenbogen!$B$37</definedName>
    <definedName name="KKSTART">Heldenbogen!$C$37</definedName>
    <definedName name="KL">Heldenbogen!$D$30</definedName>
    <definedName name="KL_T">'Zauber 2'!$C$103</definedName>
    <definedName name="KLMOD">Heldenbogen!$B$30</definedName>
    <definedName name="KLSTART">Heldenbogen!$C$30</definedName>
    <definedName name="KNAPPE">Tabellen_Kampf!$AJ$1:$AN$1</definedName>
    <definedName name="KO">Heldenbogen!$D$36</definedName>
    <definedName name="KO_T">'Zauber 2'!$C$108</definedName>
    <definedName name="KOMOD">Heldenbogen!$B$36</definedName>
    <definedName name="KOPF">Kampfwerte!$R$24</definedName>
    <definedName name="KOSTART">Heldenbogen!$C$36</definedName>
    <definedName name="KPFALLETL">Tabellen_Andere!$AM$45:$AM$72</definedName>
    <definedName name="KPFFERNSON">Tabellen_Andere!$FD$97:$FD$101</definedName>
    <definedName name="KPFGESPÜR">Heldenbogen!$M$34</definedName>
    <definedName name="KPFGRP">Tabellen_Andere!$AM$75:$AM$78</definedName>
    <definedName name="KPFNAHSON">Tabellen_Andere!$FD$41:$FD$96</definedName>
    <definedName name="KPFREFLEXE">Heldenbogen!$M$35</definedName>
    <definedName name="KPFSON">Tabellen_Andere!$FD$41:$FD$101</definedName>
    <definedName name="KPFTALENTE">Talente!$A$14:$S$40</definedName>
    <definedName name="KRANKHEIT">Tabellen_Andere!$AS$156:$AS$178</definedName>
    <definedName name="KRANKHEITGP">Tabellen_Andere!$AS$156:$AU$178</definedName>
    <definedName name="KRIEGER">Tabellen_Kampf!$AO$1:$BP$1</definedName>
    <definedName name="KRSTMTEN">Tabellen_Magie!$BI$1:$BJ$1</definedName>
    <definedName name="KTL_fuer_GP">Tabellen_Andere!$A$3:$G$29</definedName>
    <definedName name="KULTUR">Tabellen_Rassen!$AO:$IJ</definedName>
    <definedName name="KULTUREN">Tabellen_Rassen!$AO$1:$IJ$1</definedName>
    <definedName name="KULTUREN_NOLIMIT">K_G!$H$1:$HB$1</definedName>
    <definedName name="KULTUREN_PROF">K_G!$H$90:$HB$90</definedName>
    <definedName name="KULTUREN_PROFSORT">R_K!$C$2:$C$147</definedName>
    <definedName name="KULTUREN_PROFSTR">K_G!$HB$91</definedName>
    <definedName name="KULTUREN_RASSE">R_K!$A$2:$A$97</definedName>
    <definedName name="KULTURGENE">Generierung!$P$6</definedName>
    <definedName name="KW_FERN1">Kampfwerte!$A$17</definedName>
    <definedName name="KW_FERN1_FK">Kampfwerte!$R$17</definedName>
    <definedName name="KW_FERN1_TP">Kampfwerte!$S$17</definedName>
    <definedName name="KW_FERN2">Kampfwerte!$A$18</definedName>
    <definedName name="KW_FERN3">Kampfwerte!$A$19</definedName>
    <definedName name="KW_FERNGESCH1">Kampfwerte!$U$17</definedName>
    <definedName name="KW_FERNGESCH2">Kampfwerte!$U$18</definedName>
    <definedName name="KW_FERNGESCH3">Kampfwerte!$U$19</definedName>
    <definedName name="KW_NAH1">Kampfwerte!$A$5</definedName>
    <definedName name="KW_NAH1_AT">Kampfwerte!$O$5</definedName>
    <definedName name="KW_NAH1_BF">Kampfwerte!$AJ$5</definedName>
    <definedName name="KW_NAH1_INI">Kampfwerte!$AI$5</definedName>
    <definedName name="KW_NAH1_PA">Kampfwerte!$Q$5</definedName>
    <definedName name="KW_NAH1_TP">Kampfwerte!$AF$5</definedName>
    <definedName name="KW_NAH1_TPT">Kampfwerte!$H$5</definedName>
    <definedName name="KW_NAH1_W2">Kampfwerte!$AD$5</definedName>
    <definedName name="KW_NAH1_WMAT">Kampfwerte!$AG$5</definedName>
    <definedName name="KW_NAH1_WMPA">Kampfwerte!$AH$5</definedName>
    <definedName name="KW_NAH2">Kampfwerte!$A$6</definedName>
    <definedName name="KW_NAH2_BF">Kampfwerte!$AJ$6</definedName>
    <definedName name="KW_NAH2_INI">Kampfwerte!$AI$6</definedName>
    <definedName name="KW_NAH2_TP">Kampfwerte!$AF$6</definedName>
    <definedName name="KW_NAH2_W2">Kampfwerte!$AD$6</definedName>
    <definedName name="KW_NAH2_WMAT">Kampfwerte!$AG$6</definedName>
    <definedName name="KW_NAH2_WMPA">Kampfwerte!$AH$6</definedName>
    <definedName name="KW_NAH3">Kampfwerte!$A$7</definedName>
    <definedName name="KW_NAH3_BF">Kampfwerte!$AJ$7</definedName>
    <definedName name="KW_NAH3_INI">Kampfwerte!$AI$7</definedName>
    <definedName name="KW_NAH3_TP">Kampfwerte!$AF$7</definedName>
    <definedName name="KW_NAH3_W2">Kampfwerte!$AD$7</definedName>
    <definedName name="KW_NAH3_WMAT">Kampfwerte!$AG$7</definedName>
    <definedName name="KW_NAH3_WMPA">Kampfwerte!$AH$7</definedName>
    <definedName name="KW_NAH4">Kampfwerte!$A$8</definedName>
    <definedName name="KW_NAH4_BF">Kampfwerte!$AJ$8</definedName>
    <definedName name="KW_NAH4_INI">Kampfwerte!$AI$8</definedName>
    <definedName name="KW_NAH4_TP">Kampfwerte!$AF$8</definedName>
    <definedName name="KW_NAH4_W2">Kampfwerte!$AD$8</definedName>
    <definedName name="KW_NAH4_WMAT">Kampfwerte!$AG$8</definedName>
    <definedName name="KW_NAH4_WMPA">Kampfwerte!$AH$8</definedName>
    <definedName name="KW_NAH5">Kampfwerte!$A$9</definedName>
    <definedName name="KW_NAH5_BF">Kampfwerte!$AJ$9</definedName>
    <definedName name="KW_NAH5_INI">Kampfwerte!$AI$9</definedName>
    <definedName name="KW_NAH5_TP">Kampfwerte!$AF$9</definedName>
    <definedName name="KW_NAH5_W2">Kampfwerte!$AD$9</definedName>
    <definedName name="KW_NAH5_WMAT">Kampfwerte!$AG$9</definedName>
    <definedName name="KW_NAH5_WMPA">Kampfwerte!$AH$9</definedName>
    <definedName name="KW_SCHILD1">Kampfwerte!$A$33</definedName>
    <definedName name="KW_SCHILD2">Kampfwerte!$A$34</definedName>
    <definedName name="LARM">Kampfwerte!$R$28</definedName>
    <definedName name="LE">Heldenbogen!$L$29</definedName>
    <definedName name="LEER">Generierung!$S$4</definedName>
    <definedName name="LEHRMSTR">Tabellen_Magie!$EY$1:$FV$1</definedName>
    <definedName name="LEITEIGENSCHAFT">Zauber!$AB$241</definedName>
    <definedName name="LEMOD">Heldenbogen!$J$29</definedName>
    <definedName name="LESTART">Heldenbogen!$K$29</definedName>
    <definedName name="LEZU">Heldenbogen!$M$29</definedName>
    <definedName name="LIST_K_G">K_G!$E$1:$HB$88</definedName>
    <definedName name="LIST_R_K">R_K!$F$1:$AN$147</definedName>
    <definedName name="LIT_0">Goetter!$A$33</definedName>
    <definedName name="LIT_0_JA">Goetter!$AA$32</definedName>
    <definedName name="LIT_ALL">Tabellen_Andere!$GO$351</definedName>
    <definedName name="LIT_I">Tabellen_Andere!$GO$345</definedName>
    <definedName name="LIT_II">Tabellen_Andere!$GO$346</definedName>
    <definedName name="LIT_III">Tabellen_Andere!$GO$347</definedName>
    <definedName name="LIT_IV">Tabellen_Andere!$GO$348</definedName>
    <definedName name="LIT_RIT_ALL">Liturgien!$S$3</definedName>
    <definedName name="LIT_V">Tabellen_Andere!$GO$349</definedName>
    <definedName name="LIT_VI">Tabellen_Andere!$GO$350</definedName>
    <definedName name="Liturgien">Tabellen_Andere!$GH$3:$GH$342</definedName>
    <definedName name="Liturgien_Aktiv">Goetter!$I$266</definedName>
    <definedName name="Liturgien_all">Tabellen_Andere!$GH$3:$GX$342</definedName>
    <definedName name="Liturgien_Angehoben">Goetter!$A$154:$L$171</definedName>
    <definedName name="LITURGIEN_GOETTER">Goetter!$A$33:$AH$151</definedName>
    <definedName name="LiturgienI">Tabellen_Andere!$GH$3:$GH$48</definedName>
    <definedName name="LiturgienII">Tabellen_Andere!$GH$49:$GH$141</definedName>
    <definedName name="LiturgienIII">Tabellen_Andere!$GH$142:$GH$241</definedName>
    <definedName name="LiturgienIV">Tabellen_Andere!$GH$242:$GH$294</definedName>
    <definedName name="LiturgienV">Tabellen_Andere!$GH$295:$GH$330</definedName>
    <definedName name="LiturgienVI">Tabellen_Andere!$GH$331:$GH$342</definedName>
    <definedName name="MAGAKADMN">Tabellen_Magie!$CW$1:$EW$1</definedName>
    <definedName name="MAGIE">K_G!$A$71:$A$83</definedName>
    <definedName name="MAGIE_ALL">K_G!$E$71:$E$83</definedName>
    <definedName name="MAGISCH">Zauber!$AC$3</definedName>
    <definedName name="MAGISCH_EIGN">Eigene!$D$2</definedName>
    <definedName name="MEDITATION">SF!$U$56</definedName>
    <definedName name="MEDITATION_START">SF!$S$56</definedName>
    <definedName name="MERKMALE">Tabellen_Andere!$AS$15:$AS$54</definedName>
    <definedName name="MERKMALE_AP">Tabellen_Andere!$AS$15:$AV$54</definedName>
    <definedName name="MIRAKEL_MIN">Talente!$DE$158</definedName>
    <definedName name="MIRAKEL_PLUS">Talente!$DD$158</definedName>
    <definedName name="MR">Heldenbogen!$L$33</definedName>
    <definedName name="MRMOD">Heldenbogen!$J$33</definedName>
    <definedName name="MRSTART">Heldenbogen!$K$33</definedName>
    <definedName name="MRZU">Heldenbogen!$M$33</definedName>
    <definedName name="MU">Heldenbogen!$D$29</definedName>
    <definedName name="MU_T">'Zauber 2'!$C$102</definedName>
    <definedName name="MUMOD">Heldenbogen!$B$29</definedName>
    <definedName name="MUSTART">Heldenbogen!$C$29</definedName>
    <definedName name="Mut">Heldenbogen!$D$29</definedName>
    <definedName name="NACHTEILE">Tabellen_Andere!$Z$2:$Z$172</definedName>
    <definedName name="NACHTEILE_NATIV">Abfragen!$N$270</definedName>
    <definedName name="NACHTEILE_RKPROF">Abfragen!$N$272</definedName>
    <definedName name="NACHTEILEGENE">Generierung!$M$18</definedName>
    <definedName name="NACHTEILEGES">Tabellen_Andere!$Z$3:$AE$172</definedName>
    <definedName name="NACHTEILEVARGP">Tabellen_Andere!$R$154:$U$160</definedName>
    <definedName name="NAHFERNWURF">Tabellen_Andere!$CD$5:$CD$129,Tabellen_Andere!$CD$184:$CD$189,Tabellen_Andere!$CP$4:$CP$41</definedName>
    <definedName name="NMAG">K_G!$E$115:$E$116</definedName>
    <definedName name="NT_ALBINO">Abfragen!$B$151</definedName>
    <definedName name="NT_ANIMALMAGIE">Abfragen!$B$155</definedName>
    <definedName name="NT_ASP">Abfragen!$B$252</definedName>
    <definedName name="NT_ASP_WERT">Abfragen!$D$252</definedName>
    <definedName name="NT_ASTRBLOCK">Abfragen!$B$159</definedName>
    <definedName name="NT_AU">Abfragen!$B$211</definedName>
    <definedName name="NT_AU_WERT">Abfragen!$D$211</definedName>
    <definedName name="NT_BEHÄBIG">Abfragen!$B$162</definedName>
    <definedName name="NT_EINBEINIG">Abfragen!$B$170</definedName>
    <definedName name="NT_ELFWELT">Abfragen!$B$176</definedName>
    <definedName name="NT_FEHLER">Abfragen!$O$262</definedName>
    <definedName name="NT_FESTDENKEN">Abfragen!$B$180</definedName>
    <definedName name="NT_FETTLEIBIG">Abfragen!$B$181</definedName>
    <definedName name="NT_GENE">Abfragen!$N$107:$N$116</definedName>
    <definedName name="NT_GLASKNOCHEN">Abfragen!$B$190</definedName>
    <definedName name="NT_HEIMKRANK">Abfragen!$B$194</definedName>
    <definedName name="NT_KLEINWÜCHSIG">Abfragen!$B$204</definedName>
    <definedName name="NT_KULTUR">Abfragen!$N$97:$N$101</definedName>
    <definedName name="NT_LAHM">Abfragen!$B$212</definedName>
    <definedName name="NT_LEP">Abfragen!$B$253</definedName>
    <definedName name="NT_LEP_WERT">Abfragen!$D$253</definedName>
    <definedName name="NT_MEIGEN">Abfragen!$B$220</definedName>
    <definedName name="NT_MEIGEN_WERT">Abfragen!$D$220</definedName>
    <definedName name="NT_MR">Abfragen!$B$254</definedName>
    <definedName name="NT_MR_WERT">Abfragen!$D$254</definedName>
    <definedName name="NT_PRINZIP">Abfragen!$B$257</definedName>
    <definedName name="NT_PRINZIP_NT">Eigenschaften!$E$96</definedName>
    <definedName name="NT_PRINZIP_NW">Eigenschaften!$N$96</definedName>
    <definedName name="NT_PRINZIP_TXT">Abfragen!$C$257</definedName>
    <definedName name="NT_PRINZIP_WERT">Abfragen!$D$257</definedName>
    <definedName name="NT_PROFESSION">Abfragen!$N$102:$N$106</definedName>
    <definedName name="NT_RASSE">Abfragen!$N$92:$N$96</definedName>
    <definedName name="NT_RAUBTGER">Abfragen!$B$260</definedName>
    <definedName name="NT_REGNRTN">Abfragen!$B$268</definedName>
    <definedName name="NT_SCHL_EIGEN">Abfragen!$N$129:$N$183</definedName>
    <definedName name="NT_SCHWACHAUS">Abfragen!$B$273</definedName>
    <definedName name="NT_SCHWANZLOS">Abfragen!$B$275</definedName>
    <definedName name="NT_SEIGEN_WERTE">Abfragen!$N$129:$U$183</definedName>
    <definedName name="NT_SPEISE">Abfragen!$B$281</definedName>
    <definedName name="NT_SPEISE_NW">Eigenschaften!$E$99</definedName>
    <definedName name="NT_SPEISE_WERT">Abfragen!$E$281</definedName>
    <definedName name="NT_STUBENHKR">Abfragen!$B$287</definedName>
    <definedName name="NT_TOTENANGST">Abfragen!$B$291</definedName>
    <definedName name="NT_UNF_TGR">Abfragen!$B$299</definedName>
    <definedName name="NT_UNF_TGR_WERT">Abfragen!$C$299</definedName>
    <definedName name="NT_UNFMERKMAL">Abfragen!$B$15</definedName>
    <definedName name="NT_UNFREI_WERT">Abfragen!$D$300</definedName>
    <definedName name="NT_UNFTALENTE">Abfragen!$B$16</definedName>
    <definedName name="NT_UNFTALENTGR">Abfragen!$B$17</definedName>
    <definedName name="NT_UNGEBILDET">Abfragen!$B$301</definedName>
    <definedName name="NT_UNGEBILDET_WERT">Abfragen!$D$301</definedName>
    <definedName name="NT_Unstet">Abfragen!$B$302</definedName>
    <definedName name="NT_VERPFLICHT">Abfragen!$B$305</definedName>
    <definedName name="NT_VERPFLICHT_NW">Eigenschaften!$E$101</definedName>
    <definedName name="NT_VERPFLICHT_WERT">Abfragen!$E$305</definedName>
    <definedName name="NT_VERWÖHNT">Abfragen!$B$307</definedName>
    <definedName name="NT_WID_AUSSEHEN">Abfragen!$B$314</definedName>
    <definedName name="NT_ZOEGZAUBERER">Abfragen!$B$317</definedName>
    <definedName name="NT_ZWERGENWUCHS">Abfragen!$B$318</definedName>
    <definedName name="NTUNFMERKMAL">Abfragen!$B$15</definedName>
    <definedName name="PA">Heldenbogen!$L$37</definedName>
    <definedName name="PA_2HNDFLEGEL">Talente!$Q$38</definedName>
    <definedName name="PA_2HNDHIEBWFN">Talente!$Q$39</definedName>
    <definedName name="PA_2HNDSCHWERTER">Talente!$Q$40</definedName>
    <definedName name="PA_ANDERTHALBHD">Talente!$Q$14</definedName>
    <definedName name="PA_DOLCHE">Talente!$Q$20</definedName>
    <definedName name="PA_FECHTWFN">Talente!$Q$21</definedName>
    <definedName name="PA_HIEBWFN">Talente!$Q$22</definedName>
    <definedName name="PA_INFANTERIEWFN">Talente!$Q$23</definedName>
    <definedName name="PA_KETTENSTAEBE">Talente!$Q$24</definedName>
    <definedName name="PA_KETTENWFN">Talente!$Q$25</definedName>
    <definedName name="PA_RAUFEN">Talente!$Q$28</definedName>
    <definedName name="PA_RINGEN">Talente!$Q$29</definedName>
    <definedName name="PA_SAEBEL">Talente!$Q$30</definedName>
    <definedName name="PA_SCHWERTER">Talente!$Q$32</definedName>
    <definedName name="PA_SPEERE">Talente!$Q$33</definedName>
    <definedName name="PA_STAEBE">Talente!$Q$34</definedName>
    <definedName name="PAMOD">Heldenbogen!$J$37</definedName>
    <definedName name="pAsP">Eigenschaften!$N$14</definedName>
    <definedName name="PASTART">Heldenbogen!$K$37</definedName>
    <definedName name="PERSONEN">Tabellen_Andere!$BI$2:$BI$32</definedName>
    <definedName name="PERSZAU">Tabellen_Andere!$BI$2:$BI$32</definedName>
    <definedName name="PROF1_ZTAUFW">Abfragen!$C$49</definedName>
    <definedName name="PROF2_ZTAUFW">Abfragen!$F$49</definedName>
    <definedName name="PROF2GEB_LIST">K_G!$E$105:$E$111</definedName>
    <definedName name="PROFEIGEN">Eigene!$G$1:$G$818</definedName>
    <definedName name="PROFGEB_DLIST">K_G!$F$95:$F$101</definedName>
    <definedName name="PROFGEB_LIST">K_G!$E$95:$E$101</definedName>
    <definedName name="PROFGEB_TAB">K_G!$E$95:$I$102</definedName>
    <definedName name="PROFGEBGENE">Generierung!$P$7</definedName>
    <definedName name="PROFGEBIET">Generierung!$R$7</definedName>
    <definedName name="PROFGEBIET2">Generierung!$R$10</definedName>
    <definedName name="PROFGEBZWEITE">Generierung!$D$10</definedName>
    <definedName name="PROFGENE">Generierung!$P$9</definedName>
    <definedName name="PROFGES">Tabellen_Normal!$C:$BA</definedName>
    <definedName name="PROFGOET">Tabellen_Goetter!$C:$EF</definedName>
    <definedName name="PROFGRDGENE">Generierung!$P$8</definedName>
    <definedName name="PROFGRDZWEITE">Generierung!$D$11</definedName>
    <definedName name="PROFHWK">Tabellen_Normal!$BC:$GO</definedName>
    <definedName name="PROFKAMPF">Tabellen_Kampf!$B:$EF</definedName>
    <definedName name="PROFLEER">Tabellen_Normal!$BA:$BA</definedName>
    <definedName name="PROFMAGIE">Tabellen_Magie!$C:$IM</definedName>
    <definedName name="PROFSPTWHE">Goetter!$A$26</definedName>
    <definedName name="PROFWIL">Tabellen_Normal!$GQ:$IU</definedName>
    <definedName name="PROFZWEITE">Generierung!$D$12</definedName>
    <definedName name="RARM">Kampfwerte!$R$29</definedName>
    <definedName name="RASSE">Tabellen_Rassen!$D:$AM</definedName>
    <definedName name="RASSE_ELF">Abfragen!$O$275</definedName>
    <definedName name="RASSE_HALBELF">Abfragen!$O$282</definedName>
    <definedName name="RASSE_ORK">Abfragen!$O$284</definedName>
    <definedName name="RASSE_ZWERG">Abfragen!$O$277</definedName>
    <definedName name="RASSEGENE">Generierung!$P$5</definedName>
    <definedName name="RASSEN">Tabellen_Rassen!$D$1:$AL$1</definedName>
    <definedName name="RASSEN_PROF">R_K!$F$151:$AN$151</definedName>
    <definedName name="REPRAES">Tabellen_Andere!$AS$56:$AS$74</definedName>
    <definedName name="RIT_APPORT">Tabellen_Andere!$DW$214:$DW$217</definedName>
    <definedName name="RIT_BANN">Tabellen_Andere!$DW$205:$DW$212</definedName>
    <definedName name="RIT_DRUIDE">Tabellen_Andere!$DW$4:$DW$21</definedName>
    <definedName name="RIT_ELF">Tabellen_Andere!$DW$23:$DW$32</definedName>
    <definedName name="RIT_GEODE">Tabellen_Andere!$DW$174:$DW$185</definedName>
    <definedName name="RIT_HEXE">Tabellen_Andere!$DW$34:$DW$49</definedName>
    <definedName name="RIT_KEULE">Tabellen_Andere!$DW$187:$DW$197</definedName>
    <definedName name="RIT_KRISTALL">Tabellen_Andere!$DW$51:$DW$56</definedName>
    <definedName name="RIT_KUGEL">Tabellen_Andere!$DW$58:$DW$71</definedName>
    <definedName name="RIT_ODUN">Tabellen_Andere!$DW$199:$DW$203</definedName>
    <definedName name="RIT_SCHALE">Tabellen_Andere!$DW$73:$DW$79</definedName>
    <definedName name="RIT_SCHUPPEN">Tabellen_Andere!$DW$81:$DW$84</definedName>
    <definedName name="RIT_SEHER">Tabellen_Andere!$DW$219:$DW$223</definedName>
    <definedName name="RIT_STAB">Tabellen_Andere!$DW$86:$DW$118</definedName>
    <definedName name="RIT_TANZ">Tabellen_Andere!$DW$126:$DW$157</definedName>
    <definedName name="RIT_TROMMEL">Tabellen_Andere!$DW$120:$DW$124</definedName>
    <definedName name="RIT_ZIB">Tabellen_Andere!$DW$159:$DW$172</definedName>
    <definedName name="RITUAL_KAT">Tabellen_Andere!$EK$106:$EK$122</definedName>
    <definedName name="RITUAL_KAT_WERT">Tabellen_Andere!$EK$106:$EL$122</definedName>
    <definedName name="RITUALDAUER">Tabellen_Andere!$HK$113:$HK$117</definedName>
    <definedName name="RITUALDAUER_S">Tabellen_Andere!$HK$121:$HK$125</definedName>
    <definedName name="RITUALDAUER_S_WERT">Tabellen_Andere!$HK$120:$HL$125</definedName>
    <definedName name="RITUALDAUER_WERT">Tabellen_Andere!$HK$112:$HL$117</definedName>
    <definedName name="RITUALE">Tabellen_Andere!$DW$3:$DW$223</definedName>
    <definedName name="Rituale_Aktiv">Goetter!$I$265</definedName>
    <definedName name="RITUALEHELD">Zauber!$A$182:$J$203</definedName>
    <definedName name="RITUALEWERTE">Tabellen_Andere!$DW$3:$EH$223</definedName>
    <definedName name="RITUALKENNTNIS">Tabellen_Andere!$AH$154:$AH$181</definedName>
    <definedName name="RS">Kampfwerte!$D$43</definedName>
    <definedName name="RSTGGEW">Tabellen_Andere!$FD$78:$FD$80</definedName>
    <definedName name="RSTNG">Tabellen_Andere!$EK$3:$EK$92</definedName>
    <definedName name="RSTNGALLE">Tabellen_Andere!$EK$3:$EV$92</definedName>
    <definedName name="RUECKEN">Kampfwerte!$R$26</definedName>
    <definedName name="RUNEN">Tabellen_Andere!$DW$305:$DW$328</definedName>
    <definedName name="RUNEN_ALLE">Tabellen_Andere!$DW$305:$EH$328</definedName>
    <definedName name="SCHAMANE">Tabellen_Goetter!$DF$1:$EF$1</definedName>
    <definedName name="Schamanen_Rituale">Tabellen_Andere!$HA$3:$HA$92</definedName>
    <definedName name="Schamanen_Rituale_all">Tabellen_Andere!$HA$3:$HM$92</definedName>
    <definedName name="SCHAMANEN_TRAD">Tabellen_Andere!$HA$106:$HA$115</definedName>
    <definedName name="SCHARL">Tabellen_Magie!$FX$1:$GD$1</definedName>
    <definedName name="SCHELME">Tabellen_Magie!$GF$1:$GL$1</definedName>
    <definedName name="SCHLDPARALLE">Tabellen_Andere!$EX$4:$FB$34</definedName>
    <definedName name="SCHLPAR">Tabellen_Andere!$EX$4:$EX$34</definedName>
    <definedName name="SCHRIFTEN">Tabellen_Andere!$CP$126:$CP$148</definedName>
    <definedName name="SCHRIFTENKOMP">Tabellen_Andere!$CP$126:$CR$148</definedName>
    <definedName name="SCHSSWRF">Tabellen_Andere!$CP$4:$CP$53</definedName>
    <definedName name="SCHSSWRFALLE">Tabellen_Andere!$CP$4:$CV$53</definedName>
    <definedName name="SCHULDEN">Tabellen_Andere!$W$142:$W$161</definedName>
    <definedName name="SCHULDENGP">Tabellen_Andere!$W$142:$X$161</definedName>
    <definedName name="SEITE_BUCH">Liturgien!$Q$3</definedName>
    <definedName name="SF_ALLE">Tabellen_Andere!$FD$4:$FL$239</definedName>
    <definedName name="SF_ALLE_INDEX">MG_SF!$I$3:$I$228</definedName>
    <definedName name="SF_ALLGEMEIN_LIST">SF!$AQ$153</definedName>
    <definedName name="SF_ANDERE">Tabellen_Andere!$FD$103:$FD$123</definedName>
    <definedName name="SF_ANDEREALLE">Tabellen_Andere!$FD$103:$FF$123</definedName>
    <definedName name="SF_ELEMENTARIST">Tabellen_Andere!$FD$221:$FD$230</definedName>
    <definedName name="SF_ELEMENTARISTALLE">Tabellen_Andere!$FD$221:$FM$230</definedName>
    <definedName name="SF_GP_DOPPELT">SF!$AL$10</definedName>
    <definedName name="SF_KAMPF_LIST">SF!$AQ$143</definedName>
    <definedName name="SF_KARMAL">Tabellen_Andere!$FD$191:$FD$196</definedName>
    <definedName name="SF_KARMAL_LIST">SF!$AQ$136</definedName>
    <definedName name="SF_KARMALALLE">Tabellen_Andere!$FD$191:$FM$196</definedName>
    <definedName name="SF_KARMALQSTEN">SF!$AE$131</definedName>
    <definedName name="SF_MAGIE">Tabellen_Andere!$FD$125:$FD$188</definedName>
    <definedName name="SF_MAGIE_LIST">SF!$AQ$140</definedName>
    <definedName name="SF_MAGIEALLE">Tabellen_Andere!$FD$125:$FM$188</definedName>
    <definedName name="SF_NAHFERN">Tabellen_Andere!$FD$41:$FD$101</definedName>
    <definedName name="SF_NAHFERNALLE">Tabellen_Andere!$FD$41:$FI$101</definedName>
    <definedName name="SF_NEKROMANT">Tabellen_Andere!$FD$233:$FD$239</definedName>
    <definedName name="SF_NEKROMANT_ALLE">Tabellen_Andere!$FD$233:$FM$239</definedName>
    <definedName name="SF_STANDFEST_GEN">SF!$AY$29</definedName>
    <definedName name="SF_Verbilligt_Left">SF!$A$11:$C$107</definedName>
    <definedName name="SF_Verbilligt_Right">SF!$L$11:$N$126</definedName>
    <definedName name="SF_WLOS">Tabellen_Andere!$FD$4:$FD$39</definedName>
    <definedName name="SF_WLOS_LIST">SF!$AQ$137</definedName>
    <definedName name="SF_WLOSALLE">Tabellen_Andere!$FD$4:$FJ$39</definedName>
    <definedName name="SFBILLIG">Tabellen_Andere!$CP$58:$CP$75</definedName>
    <definedName name="SFGENE">Generierung!$M$28</definedName>
    <definedName name="SFKPFGENE">Generierung!$M$30</definedName>
    <definedName name="SHOW_Liturgie">Goetter!$W$154</definedName>
    <definedName name="SHOW_nicht_möglich">Goetter!$X$154</definedName>
    <definedName name="SHOW_Ritual">Goetter!$V$269</definedName>
    <definedName name="SHOW_Speziell">Goetter!$Y$154</definedName>
    <definedName name="SINNE">Tabellen_Andere!$AH$89:$AH$92</definedName>
    <definedName name="SINNEGP">Tabellen_Andere!$AH$89:$AJ$92</definedName>
    <definedName name="SKT">Tabellen_Andere!$AH$2:$AQ$42</definedName>
    <definedName name="SLDNER">Tabellen_Kampf!$DG$1:$DR$1</definedName>
    <definedName name="SO">Heldenbogen!$L$10</definedName>
    <definedName name="SOLDAT">Tabellen_Kampf!$CB$1:$CZ$1</definedName>
    <definedName name="SPAETGEWEIHTER">Tabellen_Goetter!$EH$1:$GF$1</definedName>
    <definedName name="SPIELER">Heldenbogen!$Q$3</definedName>
    <definedName name="SPRACHEN">Tabellen_Andere!$CP$79:$CP$124</definedName>
    <definedName name="SPRACHEN_GELERNT">Talentwerte!$W$71</definedName>
    <definedName name="SPRACHENKOMP">Tabellen_Andere!$CP$79:$CS$124</definedName>
    <definedName name="SPRSCHRTAL">Talente!$BO$177:$BO$245</definedName>
    <definedName name="SPTWHE">Tabellen_Goetter!$EH:$GF</definedName>
    <definedName name="STARTAP2">Generierung!$L$75</definedName>
    <definedName name="STARTAP2_EIGEN">Eigenschaften!$AL$6</definedName>
    <definedName name="STARTAP2_GOETTER">Goetter!$N$5</definedName>
    <definedName name="STARTAP2_SF">SF!$AX$154</definedName>
    <definedName name="STARTAP2_TALENTE">Talente!$CP$246</definedName>
    <definedName name="STARTAP2_UEBRIG">Generierung!$L$76</definedName>
    <definedName name="STMSKRGR">Tabellen_Kampf!$DS$1:$EE$1</definedName>
    <definedName name="STUFE">Heldenbogen!$L$41</definedName>
    <definedName name="SUCHTM">Tabellen_Andere!$AM$144:$AM$150</definedName>
    <definedName name="SUCHTMGES">Tabellen_Andere!$AM$144:$AO$150</definedName>
    <definedName name="SUCHTMGP">Tabellen_Andere!$AM$144:$AP$150</definedName>
    <definedName name="SWRTGSL">Tabellen_Kampf!$BQ$1:$CA$1</definedName>
    <definedName name="SZALLE">Tabellen_Andere!$DO$352</definedName>
    <definedName name="T_MAGIE">Tabellen_Andere!$DW$226:$DW$237</definedName>
    <definedName name="T_MAGIEWERTE">Tabellen_Andere!$DW$226:$EH$237</definedName>
    <definedName name="TALENTE">Tabellen_Andere!$AX$2:$AX$140</definedName>
    <definedName name="TALENTE_GP">Tabellen_Andere!$AX$2:$BH$140</definedName>
    <definedName name="TAW_2HNDFLEGEL">Talente!$O$38</definedName>
    <definedName name="TAW_2HNDHIEBWFN">Talente!$O$39</definedName>
    <definedName name="TAW_2HNDSCHWERTER">Talente!$O$40</definedName>
    <definedName name="TAW_AKROBATIK">Talente!$O$42</definedName>
    <definedName name="TAW_ALCHIMIE">Talente!$O$109</definedName>
    <definedName name="TAW_ANATOMIE">Talente!$O$82</definedName>
    <definedName name="TAW_ANDERTHALBHD">Talente!$O$14</definedName>
    <definedName name="TAW_ARMBRUST">Talente!$O$15</definedName>
    <definedName name="TAW_ATHLETIK">Talente!$O$43</definedName>
    <definedName name="TAW_BELAGERUNGSWFN">Talente!$O$16</definedName>
    <definedName name="TAW_BETOEREN">Talente!$O$61</definedName>
    <definedName name="TAW_BLASROHR">Talente!$O$17</definedName>
    <definedName name="TAW_BOGEN">Talente!$O$18</definedName>
    <definedName name="TAW_DISKUS">Talente!$O$19</definedName>
    <definedName name="TAW_DOLCHE">Talente!$O$20</definedName>
    <definedName name="TAW_FÄHRTEN">Talente!$O$73</definedName>
    <definedName name="TAW_FECHTWFN">Talente!$O$21</definedName>
    <definedName name="TAW_GASSENWISSEN">Talente!$O$64</definedName>
    <definedName name="TAW_HEILKUNDE_S">Talente!$O$128</definedName>
    <definedName name="TAW_HEILKUNDE_W">Talente!$O$129</definedName>
    <definedName name="TAW_HIEBWFN">Talente!$O$22</definedName>
    <definedName name="TAW_INFANTERIEWFN">Talente!$O$23</definedName>
    <definedName name="TAW_KETTENSTAEBE">Talente!$O$24</definedName>
    <definedName name="TAW_KETTENWFN">Talente!$O$25</definedName>
    <definedName name="TAW_KLETTERN">Talente!$O$46</definedName>
    <definedName name="TAW_KOERPERBHERR">Talente!$O$47</definedName>
    <definedName name="TAW_KRIEGSKUNST">Talente!$O$91</definedName>
    <definedName name="TAW_LANZENREITEN">Talente!$O$26</definedName>
    <definedName name="TAW_MAGIEKUNDE">Talente!$O$93</definedName>
    <definedName name="TAW_MENSCHENKENNT">Talente!$O$66</definedName>
    <definedName name="TAW_ORIENTIERUNG">Talente!$O$77</definedName>
    <definedName name="TAW_PEITSCHE">Talente!$O$27</definedName>
    <definedName name="TAW_PFLANZENKUNDE">Talente!$O$95</definedName>
    <definedName name="TAW_RAUFEN">Talente!$O$28</definedName>
    <definedName name="TAW_REITEN">Talente!$O$48</definedName>
    <definedName name="TAW_RINGEN">Talente!$O$29</definedName>
    <definedName name="TAW_SAEBEL">Talente!$O$30</definedName>
    <definedName name="TAW_SCHÄTZEN">Talente!$O$100</definedName>
    <definedName name="TAW_SCHLEICHEN">Talente!$O$49</definedName>
    <definedName name="TAW_SCHLEUDER">Talente!$O$31</definedName>
    <definedName name="TAW_SCHWERTER">Talente!$O$32</definedName>
    <definedName name="TAW_SCHWIMMEN">Talente!$O$50</definedName>
    <definedName name="TAW_SELBSTBEHERR">Talente!$O$51</definedName>
    <definedName name="TAW_SINNENSCHAERFE">Talente!$O$54</definedName>
    <definedName name="TAW_SPEERE">Talente!$O$33</definedName>
    <definedName name="TAW_STAEBE">Talente!$O$34</definedName>
    <definedName name="TAW_TASCHENDIEB">Talente!$O$58</definedName>
    <definedName name="TAW_TIERKUNDE">Talente!$O$105</definedName>
    <definedName name="TAW_ÜBERREDEN">Talente!$O$70</definedName>
    <definedName name="TAW_ÜBERZEUGEN">Talente!$O$71</definedName>
    <definedName name="TAW_VERKLEIDEN">Talente!$O$69</definedName>
    <definedName name="TAW_VERSTECKEN">Talente!$O$52</definedName>
    <definedName name="TAW_WACHEN">Talente!$O$159</definedName>
    <definedName name="TAW_WETTERVORHER">Talente!$O$79</definedName>
    <definedName name="TAW_WILDNISLEBEN">Talente!$O$80</definedName>
    <definedName name="TAW_WURFBEILE">Talente!$O$35</definedName>
    <definedName name="TAW_WURFMESSER">Talente!$O$36</definedName>
    <definedName name="TAW_WURFSPEERE">Talente!$O$37</definedName>
    <definedName name="TAW_ZECHEN">Talente!$O$59</definedName>
    <definedName name="TIER1_ART">Ausrüstung!$B$52</definedName>
    <definedName name="TIER1_LO">Ausrüstung!$T$52</definedName>
    <definedName name="TIER1_NAME">Ausrüstung!$A$52</definedName>
    <definedName name="TIER2_ART">Ausrüstung!$B$54</definedName>
    <definedName name="TIER2_LO">Ausrüstung!$T$54</definedName>
    <definedName name="TIER2_NAME">Ausrüstung!$A$54</definedName>
    <definedName name="TIEREMPATHIE">Tabellen_Andere!$AM$107:$AM$117</definedName>
    <definedName name="TIEREMPATHIEGP">Tabellen_Andere!$AM$107:$AO$117</definedName>
    <definedName name="TL_ALLE">Tabellen_Andere!$A$1:$N$151</definedName>
    <definedName name="TL_FUER_GP">Tabellen_Andere!$A$32:$F$151</definedName>
    <definedName name="TL_GES">Tabellen_Andere!$A$52:$A$62</definedName>
    <definedName name="TL_GES_PRINT">Tabellen_Andere!$N$51:$N$62</definedName>
    <definedName name="TL_GES_STW">Talente!$CE$61:$CE$71</definedName>
    <definedName name="TL_GES_WERTE">Tabellen_Andere!$A$52:$P$62</definedName>
    <definedName name="TL_GP">Generierung!$J$75</definedName>
    <definedName name="TL_GP_EIGEN">Eigenschaften!$AL$4</definedName>
    <definedName name="TL_GP_GOETTER">Goetter!$L$5</definedName>
    <definedName name="TL_GP_SF">SF!$AQ$154</definedName>
    <definedName name="TL_GP_TALENTE">Talente!$CO$246</definedName>
    <definedName name="TL_GP_UEBRIG">Generierung!$J$76</definedName>
    <definedName name="TL_GP_ZAUBER">Zauber!$AS$3</definedName>
    <definedName name="TL_GRUPPEN">Tabellen_Andere!$AS$2:$AS$10</definedName>
    <definedName name="TL_GRUPPEN_WERTE">Tabellen_Andere!$AS$2:$AU$10</definedName>
    <definedName name="TL_HWK">Tabellen_Andere!$A$101:$A$151</definedName>
    <definedName name="TL_HWK_PRINT">Tabellen_Andere!$N$100:$N$151</definedName>
    <definedName name="TL_HWK_STW">Talente!$CE$107:$CE$157</definedName>
    <definedName name="TL_HWK_WERTE">Tabellen_Andere!$A$101:$P$151</definedName>
    <definedName name="TL_KPF">Tabellen_Andere!$A$2:$A$29</definedName>
    <definedName name="TL_KPF_ANZEIGE">Tabellen_Andere!$AS$83:$AV$109</definedName>
    <definedName name="TL_KPF_STW">Talente!$CE$14:$CE$40</definedName>
    <definedName name="TL_KPF_WERTE">Tabellen_Andere!$A$3:$P$29</definedName>
    <definedName name="TL_KRP">Tabellen_Andere!$A$32:$A$49</definedName>
    <definedName name="TL_KRP_PRINT">Tabellen_Andere!$N$31:$N$49</definedName>
    <definedName name="TL_KRP_STW">Talente!$CE$42:$CE$59</definedName>
    <definedName name="TL_KRP_WERTE">Tabellen_Andere!$A$32:$P$49</definedName>
    <definedName name="TL_META">Tabellen_Andere!$A$157:$A$184</definedName>
    <definedName name="TL_META_WERTE">Tabellen_Andere!$A$157:$P$184</definedName>
    <definedName name="TL_NAT">Tabellen_Andere!$A$65:$A$72</definedName>
    <definedName name="TL_NAT_PRINT">Tabellen_Andere!$N$64:$N$72</definedName>
    <definedName name="TL_NAT_STW">Talente!$CE$73:$CE$80</definedName>
    <definedName name="TL_NAT_WERTE">Tabellen_Andere!$A$65:$P$72</definedName>
    <definedName name="TL_SPEZ">Talente!$A$13:$S$170</definedName>
    <definedName name="TL_WIS">Tabellen_Andere!$A$75:$A$98</definedName>
    <definedName name="TL_WIS_PRINT">Tabellen_Andere!$N$74:$N$98</definedName>
    <definedName name="TL_WIS_STW">Talente!$CE$82:$CE$105</definedName>
    <definedName name="TL_WIS_WERTE">Tabellen_Andere!$A$75:$P$98</definedName>
    <definedName name="UNF_MERKMALE">Zauber!$AC$6:$AG$8</definedName>
    <definedName name="UNFAEH">Talente!$AH$3:$AL$9</definedName>
    <definedName name="UNITATIO_WERT">Zauber!$AV$3</definedName>
    <definedName name="VERSION">Generierung!$S$1</definedName>
    <definedName name="VERTRAUTE">Tabellen_Andere!$FS$1:$GE$1</definedName>
    <definedName name="VERTRAUTEGP">Tabellen_Andere!$FQ$46:$FS$60</definedName>
    <definedName name="VERTRAUTENART">Eigenschaften!$A$111</definedName>
    <definedName name="VERTRAUTER_AFFE">Tabellen_Andere!$FS$32:$FS$42</definedName>
    <definedName name="VERTRAUTER_EULE">Tabellen_Andere!$FT$32:$FT$42</definedName>
    <definedName name="VERTRAUTER_FALKE">Tabellen_Andere!$FU$32:$FU$42</definedName>
    <definedName name="VERTRAUTER_HUND">Tabellen_Andere!$FV$32:$FV$42</definedName>
    <definedName name="VERTRAUTER_ILTIS">Tabellen_Andere!$FW$32:$FW$42</definedName>
    <definedName name="VERTRAUTER_KATZE">Tabellen_Andere!$FX$32:$FX$42</definedName>
    <definedName name="VERTRAUTER_KRÖTE">Tabellen_Andere!$FY$32:$FY$42</definedName>
    <definedName name="VERTRAUTER_MARDER">Tabellen_Andere!$FZ$32:$FZ$42</definedName>
    <definedName name="VERTRAUTER_RABE">Tabellen_Andere!$GA$32:$GA$42</definedName>
    <definedName name="VERTRAUTER_SCHLANGE">Tabellen_Andere!$GB$32:$GB$42</definedName>
    <definedName name="VERTRAUTER_SPINNE">Tabellen_Andere!$GC$32:$GC$42</definedName>
    <definedName name="VERTRAUTER_WIESEL">Tabellen_Andere!$GD$32:$GD$42</definedName>
    <definedName name="VERTRAUTER_WILDKATZE">Tabellen_Andere!$GE$32:$GE$42</definedName>
    <definedName name="VERTRAUTEWERTE">Tabellen_Andere!$FQ$1:$GE$43</definedName>
    <definedName name="VIEW_EIGN">Talentwerte!$R$1</definedName>
    <definedName name="VIEW_EIGN_TRUE">Talentwerte!$S$1</definedName>
    <definedName name="VORTEILE">Tabellen_Andere!$R$2:$R$129</definedName>
    <definedName name="VORTEILE_NATIV">Abfragen!$N$268</definedName>
    <definedName name="VORTEILEGENE">Generierung!$M$8</definedName>
    <definedName name="VORTEILEGES">Tabellen_Andere!$R$2:$W$129</definedName>
    <definedName name="VORTEILEVARGP">Tabellen_Andere!$R$135:$U$152</definedName>
    <definedName name="VRTLZBR_START">Tabellen_Andere!$W$135:$W$136</definedName>
    <definedName name="VRTLZBR_STARTGP">Tabellen_Andere!$W$135:$X$136</definedName>
    <definedName name="VRTLZBR_ZAUBER">Tabellen_Andere!$CW$58:$CW$129</definedName>
    <definedName name="VT_ADLIG">Abfragen!$B$20</definedName>
    <definedName name="VT_ADLIGABST">Abfragen!$B$21</definedName>
    <definedName name="VT_ADLIGERBE">Abfragen!$B$22</definedName>
    <definedName name="VT_AFF_ELEM">Abfragen!$B$24</definedName>
    <definedName name="VT_AKADGEL">Abfragen!$B$26</definedName>
    <definedName name="VT_AKADKRI">Abfragen!$B$27</definedName>
    <definedName name="VT_AKADMAG">Abfragen!$B$28</definedName>
    <definedName name="VT_ASP">Abfragen!$B$33</definedName>
    <definedName name="VT_ASP_WERT">Abfragen!$D$33</definedName>
    <definedName name="VT_Astralmacht" localSheetId="11">'Zauber 2'!$J$80</definedName>
    <definedName name="VT_ASTRREG1">Abfragen!$B$30</definedName>
    <definedName name="VT_ASTRREG2">Abfragen!$B$31</definedName>
    <definedName name="VT_ASTRREG3">Abfragen!$B$32</definedName>
    <definedName name="VT_AU">Abfragen!$B$34</definedName>
    <definedName name="VT_AU_WERT">Abfragen!$D$34</definedName>
    <definedName name="VT_AUSDAUERND">Abfragen!$B$34</definedName>
    <definedName name="VT_AUSRSTG">Abfragen!$B$36</definedName>
    <definedName name="VT_AUSRSTG_WERT">Abfragen!$D$36</definedName>
    <definedName name="VT_BALANCE">Abfragen!$B$37</definedName>
    <definedName name="VT_BBILDUNG">Abfragen!$B$49</definedName>
    <definedName name="VT_BEIDHG">Abfragen!$B$43</definedName>
    <definedName name="VT_BESBESITZ">Abfragen!$B$48</definedName>
    <definedName name="VT_BGBMERKMAL">Abfragen!$B$10</definedName>
    <definedName name="VT_BGBRITUAL">Abfragen!$B$11</definedName>
    <definedName name="VT_BGBTALENTE">Abfragen!$B$13</definedName>
    <definedName name="VT_BGBTALENTGR">Abfragen!$B$14</definedName>
    <definedName name="VT_BGBZAUBER">Abfragen!$B$12</definedName>
    <definedName name="VT_EIDGED">Abfragen!$B$51</definedName>
    <definedName name="VT_EIGEB">Abfragen!$B$52</definedName>
    <definedName name="VT_EIGEB_VT">Abfragen!$D$52</definedName>
    <definedName name="VT_EISERN">Abfragen!$B$54</definedName>
    <definedName name="VT_FEHLER">Abfragen!$O$260</definedName>
    <definedName name="VT_FLINK">Abfragen!$B$60</definedName>
    <definedName name="VT_FLINK_WERT">Abfragen!$D$60</definedName>
    <definedName name="VT_GE_GED">Abfragen!$D$89</definedName>
    <definedName name="VT_GEBILDET">Abfragen!$B$61</definedName>
    <definedName name="VT_GEBILDET_WERT">Abfragen!$D$61</definedName>
    <definedName name="VT_GEWEIHT">Abfragen!$O$281</definedName>
    <definedName name="VT_GUTGED">Abfragen!$B$89</definedName>
    <definedName name="VT_HALBZBR">Abfragen!$B$90</definedName>
    <definedName name="VT_HBALANCE">Abfragen!$B$91</definedName>
    <definedName name="VT_HEIGEN">Abfragen!$B$92</definedName>
    <definedName name="VT_HEIGEN_B">Abfragen!$X$101:$Y$108</definedName>
    <definedName name="VT_HEIGEN_PKT">Abfragen!$F$92</definedName>
    <definedName name="VT_HEIGEN_WERT">Abfragen!$D$92</definedName>
    <definedName name="VT_HEILUNG">Abfragen!$B$119</definedName>
    <definedName name="VT_HEILUNG_WERT">Abfragen!$D$119</definedName>
    <definedName name="VT_KRÄFTESCHUB_WERT">Abfragen!$Z$50</definedName>
    <definedName name="VT_LEP">Abfragen!$B$97</definedName>
    <definedName name="VT_LEP_WERT">Abfragen!$D$97</definedName>
    <definedName name="VT_LINKHD">Abfragen!$B$106</definedName>
    <definedName name="VT_MACHT_VTRT">Abfragen!$B$107</definedName>
    <definedName name="VT_MR">Abfragen!$B$98</definedName>
    <definedName name="VT_MR_WERT">Abfragen!$D$98</definedName>
    <definedName name="VT_RSTG">Abfragen!$B$112</definedName>
    <definedName name="VT_RSTG_WERT">Abfragen!$D$112</definedName>
    <definedName name="VT_SCHLANGENMENSCH">Abfragen!$B$118</definedName>
    <definedName name="VT_SOZANPFGK">Abfragen!$B$122</definedName>
    <definedName name="VT_SPRUCHZBR">Abfragen!$O$283</definedName>
    <definedName name="VT_TALENTSCHUB_WERT">Abfragen!$Y$50</definedName>
    <definedName name="VT_TIEREMPATHIE">Abfragen!$B$124</definedName>
    <definedName name="VT_TIEREMPATHIE_WERT">Abfragen!$D$124</definedName>
    <definedName name="VT_TIERFRND">Abfragen!$B$125</definedName>
    <definedName name="VT_UEBERBEG">Abfragen!$B$127</definedName>
    <definedName name="VT_UEBERBEG_ANZEIGE">Generierung!$M$100</definedName>
    <definedName name="VT_VERBINDUNG_NW">Eigenschaften!$E$30</definedName>
    <definedName name="VT_VERBINDUNG_TXT">Abfragen!$C$129</definedName>
    <definedName name="VT_VERBINDUNG_WERT">Abfragen!$D$129</definedName>
    <definedName name="VT_VERBINDUNGEN">Abfragen!$B$129</definedName>
    <definedName name="VT_VETERAN">Abfragen!$B$131</definedName>
    <definedName name="VT_VOLLZBR">Abfragen!$B$133</definedName>
    <definedName name="VT_VRTLZBR">Abfragen!$B$132</definedName>
    <definedName name="VT_VRTLZBR_START">Abfragen!$C$132</definedName>
    <definedName name="VT_WOHLKLG">Abfragen!$B$138</definedName>
    <definedName name="VT_ZAUBERHAAR">Abfragen!$B$142</definedName>
    <definedName name="VT_ZWEIGESANG">Abfragen!$B$145</definedName>
    <definedName name="W_AUSWEICHEN">Kampfwerte!$O$38</definedName>
    <definedName name="W_BTREITER">Tabellen_Normal!$GQ$1:$GW$1</definedName>
    <definedName name="W_ENTDKR">Tabellen_Normal!$GX$1:$GY$1</definedName>
    <definedName name="W_FERNHNDLER">Tabellen_Normal!$GZ$1:$HA$1</definedName>
    <definedName name="W_FISCHER">Tabellen_Normal!$HB$1:$HG$1</definedName>
    <definedName name="W_FUHRMANN">Tabellen_Normal!$HH$1</definedName>
    <definedName name="W_GINSTINKT">Eigenschaften!$N$33</definedName>
    <definedName name="W_GRNZJAEGER">Tabellen_Normal!$HI$1</definedName>
    <definedName name="W_GRWDJAEGER">Tabellen_Normal!$HJ$1:$HL$1</definedName>
    <definedName name="W_HIRTE">Tabellen_Normal!$HM$1:$HS$1</definedName>
    <definedName name="W_JAEGER">Tabellen_Normal!$HT$1:$HX$1</definedName>
    <definedName name="W_KRWNFUHRER">Tabellen_Normal!$HY$1:$HZ$1</definedName>
    <definedName name="W_KUNDSCHFTER">Tabellen_Normal!$IA$1</definedName>
    <definedName name="W_PROSPEKTOR">Tabellen_Normal!$IB$1:$ID$1</definedName>
    <definedName name="W_SCHIFFER">Tabellen_Normal!$IE$1:$II$1</definedName>
    <definedName name="W_SCHMUGGLER">Tabellen_Normal!$IJ$1:$IK$1</definedName>
    <definedName name="W_SEHFRER">Tabellen_Normal!$IL$1:$IP$1</definedName>
    <definedName name="W_STRRAEUBER">Tabellen_Normal!$IQ$1:$IU$1</definedName>
    <definedName name="WAFFEN">Tabellen_Andere!$CD$3:$CD$179</definedName>
    <definedName name="WAFFENALLE">Tabellen_Andere!$CU$58:$CU$274</definedName>
    <definedName name="WAFFENTL">Tabellen_Andere!$AM$46:$AM$72</definedName>
    <definedName name="WAFFENWERTE">Tabellen_Andere!$CD$3:$CN$179</definedName>
    <definedName name="WFBASBE">Tabellen_Andere!$AM$46:$AQ$72</definedName>
    <definedName name="WFS_2HNDFLEGEL1">Talente!$R$38</definedName>
    <definedName name="WFS_2HNDFLEGEL2">Talente!$S$38</definedName>
    <definedName name="WFS_2HNDHIEBWFN1">Talente!$R$39</definedName>
    <definedName name="WFS_2HNDHIEBWFN2">Talente!$S$39</definedName>
    <definedName name="WFS_2HNDSCHWERTER1">Talente!$R$40</definedName>
    <definedName name="WFS_2HNDSCHWERTER2">Talente!$S$40</definedName>
    <definedName name="WFS_ANDERTHALBHD1">Talente!$R$14</definedName>
    <definedName name="WFS_ANDERTHALBHD2">Talente!$S$14</definedName>
    <definedName name="WFS_ARMBRUST1">Talente!$R$15</definedName>
    <definedName name="WFS_ARMBRUST2">Talente!$S$15</definedName>
    <definedName name="WFS_BELAGERUNGSWFN">Talente!$R$16</definedName>
    <definedName name="WFS_BELAGERUNGSWFN1">Talente!$R$16</definedName>
    <definedName name="WFS_BELAGERUNGSWFN2">Talente!$S$16</definedName>
    <definedName name="WFS_BLASROHR">Talente!$R$17</definedName>
    <definedName name="WFS_BOGEN1">Talente!$R$18</definedName>
    <definedName name="WFS_BOGEN2">Talente!$S$18</definedName>
    <definedName name="WFS_DISKUS1">Talente!$R$19</definedName>
    <definedName name="WFS_DISKUS2">Talente!$S$19</definedName>
    <definedName name="WFS_DOLCHE1">Talente!$R$20</definedName>
    <definedName name="WFS_DOLCHE2">Talente!$S$20</definedName>
    <definedName name="WFS_FECHTWFN1">Talente!$R$21</definedName>
    <definedName name="WFS_FECHTWFN2">Talente!$S$21</definedName>
    <definedName name="WFS_HIEBWFN1">Talente!$R$22</definedName>
    <definedName name="WFS_HIEBWFN2">Talente!$S$22</definedName>
    <definedName name="WFS_INFANTERIEWFN1">Talente!$R$23</definedName>
    <definedName name="WFS_INFANTERIEWFN2">Talente!$S$23</definedName>
    <definedName name="WFS_KETTENSTAEBE1">Talente!$R$24</definedName>
    <definedName name="WFS_KETTENSTAEBE2">Talente!$S$24</definedName>
    <definedName name="WFS_KETTENWFN1">Talente!$R$25</definedName>
    <definedName name="WFS_KETTENWFN2">Talente!$S$25</definedName>
    <definedName name="WFS_SAEBEL1">Talente!$R$30</definedName>
    <definedName name="WFS_SAEBEL2">Talente!$S$30</definedName>
    <definedName name="WFS_SCHLEUDER1">Talente!$R$31</definedName>
    <definedName name="WFS_SCHLEUDER2">Talente!$S$31</definedName>
    <definedName name="WFS_SCHWERTER1">Talente!$R$32</definedName>
    <definedName name="WFS_SCHWERTER2">Talente!$S$32</definedName>
    <definedName name="WFS_SPEERE1">Talente!$R$33</definedName>
    <definedName name="WFS_SPEERE2">Talente!$S$33</definedName>
    <definedName name="WFS_STAEBE1">Talente!$R$34</definedName>
    <definedName name="WFS_STAEBE2">Talente!$S$34</definedName>
    <definedName name="WFS_WURFBEILE1">Talente!$R$35</definedName>
    <definedName name="WFS_WURFBEILE2">Talente!$S$35</definedName>
    <definedName name="WFS_WURFMESSER1">Talente!$R$36</definedName>
    <definedName name="WFS_WURFMESSER2">Talente!$S$36</definedName>
    <definedName name="WFS_WURFSPEERE1">Talente!$R$37</definedName>
    <definedName name="WFS_WURFSPEERE2">Talente!$S$37</definedName>
    <definedName name="WILDNIS">K_G!$A$22:$A$37</definedName>
    <definedName name="WILDNIS_ALL">K_G!$E$22:$E$37</definedName>
    <definedName name="WIRKUNGSDAUER">Tabellen_Andere!$HE$122:$HE$131</definedName>
    <definedName name="WIRKUNGSDAUER_S">Tabellen_Andere!$HE$135:$HE$144</definedName>
    <definedName name="WIRKUNGSDAUER_S_WERT">Tabellen_Andere!$HE$134:$HF$144</definedName>
    <definedName name="WIRKUNGSDAUER_WERT">Tabellen_Andere!$HE$121:$HF$131</definedName>
    <definedName name="WLOS_GLADIATOR_KS">SF!$E$45</definedName>
    <definedName name="WM_WAFFE1">SF!$J$105</definedName>
    <definedName name="WM_WAFFE2">SF!$J$106</definedName>
    <definedName name="WM_WAFFE3">SF!$J$107</definedName>
    <definedName name="WM_WAFFE4">SF!$J$108</definedName>
    <definedName name="WS_2H_FLEGEL">Tabellen_Andere!$CK$250:$CK$251</definedName>
    <definedName name="WS_2H_HIEBWFN">Tabellen_Andere!$CL$200:$CL$217</definedName>
    <definedName name="WS_2H_SCHWERTER">Tabellen_Andere!$CL$221:$CL$230</definedName>
    <definedName name="WS_ANDERTHALBHD">Tabellen_Andere!$CD$200:$CD$205</definedName>
    <definedName name="WS_ARMBRUST">Tabellen_Andere!$CL$240:$CL$248</definedName>
    <definedName name="WS_BELAG_WFN">Tabellen_Andere!$CN$215:$CN$234</definedName>
    <definedName name="WS_BOGEN">Tabellen_Andere!$CM$204:$CM$209</definedName>
    <definedName name="WS_DISKUS">Tabellen_Andere!$CM$215:$CM$217</definedName>
    <definedName name="WS_DOLCHE">Tabellen_Andere!$CD$211:$CD$232</definedName>
    <definedName name="WS_FECHTWFN">Tabellen_Andere!$CD$240:$CD$249</definedName>
    <definedName name="WS_HIEBWFN">Tabellen_Andere!$CE$200:$CE$267</definedName>
    <definedName name="WS_INF_WFN">Tabellen_Andere!$CF$200:$CF$211</definedName>
    <definedName name="WS_KETTENSTAEBE">Tabellen_Andere!$CF$215:$CF$216</definedName>
    <definedName name="WS_KETTENWFN">Tabellen_Andere!$CF$221:$CF$226</definedName>
    <definedName name="WS_LANZENREITEN">Tabellen_Andere!$CF$231:$CF$236</definedName>
    <definedName name="WS_SAEBEL">Tabellen_Andere!$CH$200:$CH$212</definedName>
    <definedName name="WS_SCHLEUDER">Tabellen_Andere!$CM$221:$CM$227</definedName>
    <definedName name="WS_SCHWERTER">Tabellen_Andere!$CH$221:$CH$240</definedName>
    <definedName name="WS_SPEERE">Tabellen_Andere!$CK$200:$CK$227</definedName>
    <definedName name="WS_STAEBE">Tabellen_Andere!$CK$240:$CK$242</definedName>
    <definedName name="WS_WURFBEILE">Tabellen_Andere!$CM$232:$CM$235</definedName>
    <definedName name="WS_WURFMESSER">Tabellen_Andere!$CM$240:$CM$244</definedName>
    <definedName name="WS_WURFSPEERE">Tabellen_Andere!$CN$200:$CN$209</definedName>
    <definedName name="WUNDEN">Kampfwerte!$G$42</definedName>
    <definedName name="ZAHLEN">Tabellen_Andere!$AM$81:$AM$102</definedName>
    <definedName name="ZAUBER">Tabellen_Andere!$CX$3:$CX$340</definedName>
    <definedName name="Zauber_bekannt">Zauber!$CE$160</definedName>
    <definedName name="Zauber_bekannt_aktiv">Zauber!$CF$172</definedName>
    <definedName name="ZAUBER_ELF_LEIT">Tabellen_Andere!$CX$372</definedName>
    <definedName name="ZAUBER_HAUS_NEU">Generierung!$C$93:$E$100</definedName>
    <definedName name="ZAUBER_START_NEU">Generierung!$C$104:$F$120</definedName>
    <definedName name="ZAUBERHELD">Zauber!$A$11:$N$175</definedName>
    <definedName name="ZAUBERHELDNAME">Zauber!$A$11:$A$110</definedName>
    <definedName name="ZAUBERWERTE">Tabellen_Andere!$CX$3:$DM$340</definedName>
    <definedName name="ZBRTZR">Tabellen_Magie!$GN$1:$GW$1</definedName>
    <definedName name="ZBRTZR_UNM">Tabellen_Magie!$GN$1:$GS$1</definedName>
    <definedName name="ZEILENBEZUG">Tabellen_Rassen!$A$1:$B$707</definedName>
    <definedName name="ZIBILJA">Tabellen_Magie!$GY$1</definedName>
    <definedName name="ZIEL">Tabellen_Andere!$HE$107:$HE$118</definedName>
    <definedName name="ZIEL_WERT">Tabellen_Andere!$HE$106:$HF$118</definedName>
    <definedName name="ZS_AKADEMIE">Zauber!$A$250</definedName>
    <definedName name="ZS_BZALLE">Tabellen_Andere!$DU$352</definedName>
    <definedName name="ZS_HZ_IAAK">Tabellen_Andere!$DS$352</definedName>
    <definedName name="ZS_HZALLE">Tabellen_Andere!$DQ$352</definedName>
    <definedName name="ZS_IAAK">Zauber!$B$252</definedName>
    <definedName name="ZS_MERKMAL_ALLE">Zauber!$T$250:$T$255</definedName>
    <definedName name="ZS_SE_VIEW">Zauber!$T$257</definedName>
    <definedName name="ZS_SF_ALLE">Zauber!$V$255</definedName>
    <definedName name="ZS_ZF_IAAK">Tabellen_Andere!$DT$352</definedName>
    <definedName name="ZS_ZFALLE">Tabellen_Andere!$DR$352</definedName>
    <definedName name="ZUKAUFASPMAX">Heldenbogen!$O$31</definedName>
    <definedName name="ZUKAUFAUMAX">Heldenbogen!$O$30</definedName>
    <definedName name="ZUKAUFLEMAX">Heldenbogen!$O$29</definedName>
    <definedName name="ZUKAUFMRMAX">Heldenbogen!$O$33</definedName>
    <definedName name="ZWERG_GEODE">Abfragen!$O$279</definedName>
    <definedName name="ZWERG_GILDE">Abfragen!$O$278</definedName>
    <definedName name="ZWERG_MAGISCH">Abfragen!$O$280</definedName>
    <definedName name="ZZEICHEN">Tabellen_Andere!$DW$240:$DW$302</definedName>
    <definedName name="ZZEICHEN_ALLE">Tabellen_Andere!$DW$240:$EH$302</definedName>
  </definedNames>
  <calcPr calcId="152511"/>
</workbook>
</file>

<file path=xl/calcChain.xml><?xml version="1.0" encoding="utf-8"?>
<calcChain xmlns="http://schemas.openxmlformats.org/spreadsheetml/2006/main">
  <c r="AG151" i="28" l="1"/>
  <c r="AG150" i="28"/>
  <c r="AG149" i="28"/>
  <c r="AG148" i="28"/>
  <c r="AG147" i="28"/>
  <c r="AG146" i="28"/>
  <c r="AG145" i="28"/>
  <c r="AG144" i="28"/>
  <c r="AG143" i="28"/>
  <c r="AG142" i="28"/>
  <c r="AG141" i="28"/>
  <c r="AG140" i="28"/>
  <c r="AG139" i="28"/>
  <c r="GR5" i="7"/>
  <c r="GR6" i="7" s="1"/>
  <c r="GR7" i="7" s="1"/>
  <c r="GR8" i="7" s="1"/>
  <c r="GR9" i="7" s="1"/>
  <c r="GR10" i="7" s="1"/>
  <c r="GR11" i="7" s="1"/>
  <c r="GR12" i="7" s="1"/>
  <c r="GR13" i="7" s="1"/>
  <c r="GR14" i="7" s="1"/>
  <c r="GR15" i="7" s="1"/>
  <c r="GR16" i="7" s="1"/>
  <c r="GR17" i="7" s="1"/>
  <c r="GR18" i="7" s="1"/>
  <c r="GR19" i="7" s="1"/>
  <c r="GR20" i="7" s="1"/>
  <c r="GR21" i="7" s="1"/>
  <c r="GR22" i="7" s="1"/>
  <c r="GR23" i="7" s="1"/>
  <c r="GR24" i="7" s="1"/>
  <c r="GR25" i="7" s="1"/>
  <c r="GR26" i="7" s="1"/>
  <c r="GR27" i="7" s="1"/>
  <c r="GR28" i="7" s="1"/>
  <c r="GR29" i="7" s="1"/>
  <c r="GR30" i="7" s="1"/>
  <c r="GR31" i="7" s="1"/>
  <c r="GR32" i="7" s="1"/>
  <c r="GR33" i="7" s="1"/>
  <c r="GR34" i="7" s="1"/>
  <c r="GR35" i="7" s="1"/>
  <c r="GR36" i="7" s="1"/>
  <c r="GR37" i="7" s="1"/>
  <c r="GR38" i="7" s="1"/>
  <c r="GR39" i="7" s="1"/>
  <c r="GR40" i="7" s="1"/>
  <c r="GR41" i="7" s="1"/>
  <c r="GR42" i="7" s="1"/>
  <c r="GR43" i="7" s="1"/>
  <c r="GR44" i="7" s="1"/>
  <c r="GR45" i="7" s="1"/>
  <c r="GR46" i="7" s="1"/>
  <c r="GR47" i="7" s="1"/>
  <c r="GR48" i="7" s="1"/>
  <c r="GR49" i="7" s="1"/>
  <c r="GR50" i="7" s="1"/>
  <c r="GR51" i="7" s="1"/>
  <c r="GR52" i="7" s="1"/>
  <c r="GR53" i="7" s="1"/>
  <c r="GR54" i="7" s="1"/>
  <c r="GR55" i="7" s="1"/>
  <c r="GR56" i="7" s="1"/>
  <c r="GR57" i="7" s="1"/>
  <c r="GR58" i="7" s="1"/>
  <c r="GR59" i="7" s="1"/>
  <c r="GR60" i="7" s="1"/>
  <c r="GR61" i="7" s="1"/>
  <c r="GR62" i="7" s="1"/>
  <c r="GR63" i="7" s="1"/>
  <c r="GR64" i="7" s="1"/>
  <c r="GR65" i="7" s="1"/>
  <c r="GR66" i="7" s="1"/>
  <c r="GR67" i="7" s="1"/>
  <c r="GR68" i="7" s="1"/>
  <c r="GR69" i="7" s="1"/>
  <c r="GR70" i="7" s="1"/>
  <c r="GR71" i="7" s="1"/>
  <c r="GR72" i="7" s="1"/>
  <c r="GR73" i="7" s="1"/>
  <c r="GR74" i="7" s="1"/>
  <c r="GR75" i="7" s="1"/>
  <c r="GR76" i="7" s="1"/>
  <c r="GR77" i="7" s="1"/>
  <c r="GR78" i="7" s="1"/>
  <c r="GR79" i="7" s="1"/>
  <c r="GR80" i="7" s="1"/>
  <c r="GR81" i="7" s="1"/>
  <c r="GR82" i="7" s="1"/>
  <c r="GR83" i="7" s="1"/>
  <c r="GR84" i="7" s="1"/>
  <c r="GR85" i="7" s="1"/>
  <c r="GR86" i="7" s="1"/>
  <c r="GR87" i="7" s="1"/>
  <c r="GR88" i="7" s="1"/>
  <c r="GR89" i="7" s="1"/>
  <c r="GR90" i="7" s="1"/>
  <c r="GR91" i="7" s="1"/>
  <c r="GR92" i="7" s="1"/>
  <c r="GR93" i="7" s="1"/>
  <c r="GR94" i="7" s="1"/>
  <c r="GR95" i="7" s="1"/>
  <c r="GR96" i="7" s="1"/>
  <c r="GR97" i="7" s="1"/>
  <c r="GR98" i="7" s="1"/>
  <c r="GR99" i="7" s="1"/>
  <c r="GR100" i="7" s="1"/>
  <c r="GR101" i="7" s="1"/>
  <c r="GR102" i="7" s="1"/>
  <c r="GR103" i="7" s="1"/>
  <c r="GR104" i="7" s="1"/>
  <c r="GR105" i="7" s="1"/>
  <c r="GR106" i="7" s="1"/>
  <c r="GR107" i="7" s="1"/>
  <c r="GR108" i="7" s="1"/>
  <c r="GR109" i="7" s="1"/>
  <c r="GR110" i="7" s="1"/>
  <c r="GR111" i="7" s="1"/>
  <c r="GR112" i="7" s="1"/>
  <c r="GR113" i="7" s="1"/>
  <c r="GR114" i="7" s="1"/>
  <c r="GR115" i="7" s="1"/>
  <c r="GR116" i="7" s="1"/>
  <c r="GR117" i="7" s="1"/>
  <c r="GR118" i="7" s="1"/>
  <c r="GR119" i="7" s="1"/>
  <c r="GR120" i="7" s="1"/>
  <c r="GR121" i="7" s="1"/>
  <c r="GR122" i="7" s="1"/>
  <c r="GR123" i="7" s="1"/>
  <c r="GR124" i="7" s="1"/>
  <c r="GR125" i="7" s="1"/>
  <c r="GR126" i="7" s="1"/>
  <c r="GR127" i="7" s="1"/>
  <c r="GR128" i="7" s="1"/>
  <c r="GR129" i="7" s="1"/>
  <c r="GR130" i="7" s="1"/>
  <c r="GR131" i="7" s="1"/>
  <c r="GR132" i="7" s="1"/>
  <c r="GR133" i="7" s="1"/>
  <c r="GR134" i="7" s="1"/>
  <c r="GR135" i="7" s="1"/>
  <c r="GR136" i="7" s="1"/>
  <c r="GR137" i="7" s="1"/>
  <c r="GR138" i="7" s="1"/>
  <c r="GR139" i="7" s="1"/>
  <c r="GR140" i="7" s="1"/>
  <c r="GR141" i="7" s="1"/>
  <c r="GR142" i="7" s="1"/>
  <c r="GR143" i="7" s="1"/>
  <c r="GR144" i="7" s="1"/>
  <c r="GR145" i="7" s="1"/>
  <c r="GR146" i="7" s="1"/>
  <c r="GR147" i="7" s="1"/>
  <c r="GR148" i="7" s="1"/>
  <c r="GR149" i="7" s="1"/>
  <c r="GR150" i="7" s="1"/>
  <c r="GR151" i="7" s="1"/>
  <c r="GR152" i="7" s="1"/>
  <c r="GR153" i="7" s="1"/>
  <c r="GR154" i="7" s="1"/>
  <c r="GR155" i="7" s="1"/>
  <c r="GR156" i="7" s="1"/>
  <c r="GR157" i="7" s="1"/>
  <c r="GR158" i="7" s="1"/>
  <c r="GR159" i="7" s="1"/>
  <c r="GR160" i="7" s="1"/>
  <c r="GR161" i="7" s="1"/>
  <c r="GR162" i="7" s="1"/>
  <c r="GR163" i="7" s="1"/>
  <c r="GR164" i="7" s="1"/>
  <c r="GR165" i="7" s="1"/>
  <c r="GR166" i="7" s="1"/>
  <c r="GR167" i="7" s="1"/>
  <c r="GR168" i="7" s="1"/>
  <c r="GR169" i="7" s="1"/>
  <c r="GR170" i="7" s="1"/>
  <c r="GR171" i="7" s="1"/>
  <c r="GR172" i="7" s="1"/>
  <c r="GR173" i="7" s="1"/>
  <c r="GR174" i="7" s="1"/>
  <c r="GR175" i="7" s="1"/>
  <c r="GR176" i="7" s="1"/>
  <c r="GR177" i="7" s="1"/>
  <c r="GR178" i="7" s="1"/>
  <c r="GR179" i="7" s="1"/>
  <c r="GR180" i="7" s="1"/>
  <c r="GR181" i="7" s="1"/>
  <c r="GR182" i="7" s="1"/>
  <c r="GR183" i="7" s="1"/>
  <c r="GR184" i="7" s="1"/>
  <c r="GR185" i="7" s="1"/>
  <c r="GR186" i="7" s="1"/>
  <c r="GR187" i="7" s="1"/>
  <c r="GR188" i="7" s="1"/>
  <c r="GR189" i="7" s="1"/>
  <c r="GR190" i="7" s="1"/>
  <c r="GR191" i="7" s="1"/>
  <c r="GR192" i="7" s="1"/>
  <c r="GR193" i="7" s="1"/>
  <c r="GR194" i="7" s="1"/>
  <c r="GR195" i="7" s="1"/>
  <c r="GR196" i="7" s="1"/>
  <c r="GR197" i="7" s="1"/>
  <c r="GR198" i="7" s="1"/>
  <c r="GR199" i="7" s="1"/>
  <c r="GR200" i="7" s="1"/>
  <c r="GR201" i="7" s="1"/>
  <c r="GR202" i="7" s="1"/>
  <c r="GR203" i="7" s="1"/>
  <c r="GR204" i="7" s="1"/>
  <c r="GR205" i="7" s="1"/>
  <c r="GR206" i="7" s="1"/>
  <c r="GR207" i="7" s="1"/>
  <c r="GR208" i="7" s="1"/>
  <c r="GR209" i="7" s="1"/>
  <c r="GR210" i="7" s="1"/>
  <c r="GR211" i="7" s="1"/>
  <c r="GR212" i="7" s="1"/>
  <c r="GR213" i="7" s="1"/>
  <c r="GR214" i="7" s="1"/>
  <c r="GR215" i="7" s="1"/>
  <c r="GR216" i="7" s="1"/>
  <c r="GR217" i="7" s="1"/>
  <c r="GR218" i="7" s="1"/>
  <c r="GR219" i="7" s="1"/>
  <c r="GR220" i="7" s="1"/>
  <c r="GR221" i="7" s="1"/>
  <c r="GR222" i="7" s="1"/>
  <c r="GR223" i="7" s="1"/>
  <c r="GR224" i="7" s="1"/>
  <c r="GR225" i="7" s="1"/>
  <c r="GR226" i="7" s="1"/>
  <c r="GR227" i="7" s="1"/>
  <c r="GR228" i="7" s="1"/>
  <c r="GR229" i="7" s="1"/>
  <c r="GR230" i="7" s="1"/>
  <c r="GR231" i="7" s="1"/>
  <c r="GR232" i="7" s="1"/>
  <c r="GR233" i="7" s="1"/>
  <c r="GR234" i="7" s="1"/>
  <c r="GR235" i="7" s="1"/>
  <c r="GR236" i="7" s="1"/>
  <c r="GR237" i="7" s="1"/>
  <c r="GR238" i="7" s="1"/>
  <c r="GR239" i="7" s="1"/>
  <c r="GR240" i="7" s="1"/>
  <c r="GR241" i="7" s="1"/>
  <c r="GR242" i="7" s="1"/>
  <c r="GR243" i="7" s="1"/>
  <c r="GR244" i="7" s="1"/>
  <c r="GR245" i="7" s="1"/>
  <c r="GR246" i="7" s="1"/>
  <c r="GR247" i="7" s="1"/>
  <c r="GR248" i="7" s="1"/>
  <c r="GR249" i="7" s="1"/>
  <c r="GR250" i="7" s="1"/>
  <c r="GR251" i="7" s="1"/>
  <c r="GR252" i="7" s="1"/>
  <c r="GR253" i="7" s="1"/>
  <c r="GR254" i="7" s="1"/>
  <c r="GR255" i="7" s="1"/>
  <c r="GR256" i="7" s="1"/>
  <c r="GR257" i="7" s="1"/>
  <c r="GR258" i="7" s="1"/>
  <c r="GR259" i="7" s="1"/>
  <c r="GR260" i="7" s="1"/>
  <c r="GR261" i="7" s="1"/>
  <c r="GR262" i="7" s="1"/>
  <c r="GR263" i="7" s="1"/>
  <c r="GR264" i="7" s="1"/>
  <c r="GR265" i="7" s="1"/>
  <c r="GR266" i="7" s="1"/>
  <c r="GR267" i="7" s="1"/>
  <c r="GR268" i="7" s="1"/>
  <c r="GR269" i="7" s="1"/>
  <c r="GR270" i="7" s="1"/>
  <c r="GR271" i="7" s="1"/>
  <c r="GR272" i="7" s="1"/>
  <c r="GR273" i="7" s="1"/>
  <c r="GR274" i="7" s="1"/>
  <c r="GR275" i="7" s="1"/>
  <c r="GR276" i="7" s="1"/>
  <c r="GR277" i="7" s="1"/>
  <c r="GR278" i="7" s="1"/>
  <c r="GR279" i="7" s="1"/>
  <c r="GR280" i="7" s="1"/>
  <c r="GR281" i="7" s="1"/>
  <c r="GR282" i="7" s="1"/>
  <c r="GR283" i="7" s="1"/>
  <c r="GR284" i="7" s="1"/>
  <c r="GR285" i="7" s="1"/>
  <c r="GR286" i="7" s="1"/>
  <c r="GR287" i="7" s="1"/>
  <c r="GR288" i="7" s="1"/>
  <c r="GR289" i="7" s="1"/>
  <c r="GR290" i="7" s="1"/>
  <c r="GR291" i="7" s="1"/>
  <c r="GR292" i="7" s="1"/>
  <c r="GR293" i="7" s="1"/>
  <c r="GR294" i="7" s="1"/>
  <c r="GR295" i="7" s="1"/>
  <c r="GR296" i="7" s="1"/>
  <c r="GR297" i="7" s="1"/>
  <c r="GR298" i="7" s="1"/>
  <c r="GR299" i="7" s="1"/>
  <c r="GR300" i="7" s="1"/>
  <c r="GR301" i="7" s="1"/>
  <c r="GR302" i="7" s="1"/>
  <c r="GR303" i="7" s="1"/>
  <c r="GR304" i="7" s="1"/>
  <c r="GR305" i="7" s="1"/>
  <c r="GR306" i="7" s="1"/>
  <c r="GR307" i="7" s="1"/>
  <c r="GR308" i="7" s="1"/>
  <c r="GR309" i="7" s="1"/>
  <c r="GR310" i="7" s="1"/>
  <c r="GR311" i="7" s="1"/>
  <c r="GR312" i="7" s="1"/>
  <c r="GR313" i="7" s="1"/>
  <c r="GR314" i="7" s="1"/>
  <c r="GR315" i="7" s="1"/>
  <c r="GR316" i="7" s="1"/>
  <c r="GR317" i="7" s="1"/>
  <c r="GR318" i="7" s="1"/>
  <c r="GR319" i="7" s="1"/>
  <c r="GR320" i="7" s="1"/>
  <c r="GR321" i="7" s="1"/>
  <c r="GR322" i="7" s="1"/>
  <c r="GR323" i="7" s="1"/>
  <c r="GR324" i="7" s="1"/>
  <c r="GR325" i="7" s="1"/>
  <c r="GR326" i="7" s="1"/>
  <c r="GR327" i="7" s="1"/>
  <c r="GR328" i="7" s="1"/>
  <c r="GR329" i="7" s="1"/>
  <c r="GR330" i="7" s="1"/>
  <c r="GR331" i="7" s="1"/>
  <c r="GR332" i="7" s="1"/>
  <c r="GR333" i="7" s="1"/>
  <c r="GR334" i="7" s="1"/>
  <c r="GR335" i="7" s="1"/>
  <c r="GR336" i="7" s="1"/>
  <c r="GR337" i="7" s="1"/>
  <c r="GR338" i="7" s="1"/>
  <c r="GR339" i="7" s="1"/>
  <c r="GR340" i="7" s="1"/>
  <c r="GR341" i="7" s="1"/>
  <c r="GR342" i="7" s="1"/>
  <c r="V1" i="34" l="1"/>
  <c r="EP85" i="35"/>
  <c r="EP70" i="35"/>
  <c r="EP57" i="35"/>
  <c r="EP39" i="35"/>
  <c r="EP21" i="35"/>
  <c r="EP2" i="35"/>
  <c r="EP1" i="35"/>
  <c r="U20" i="3" l="1"/>
  <c r="U19" i="3"/>
  <c r="U18" i="3"/>
  <c r="E142" i="35"/>
  <c r="J32" i="28"/>
  <c r="K32" i="28"/>
  <c r="L32" i="28"/>
  <c r="M32" i="28"/>
  <c r="AH32" i="28"/>
  <c r="AD151" i="28"/>
  <c r="AC151" i="28"/>
  <c r="AD150" i="28"/>
  <c r="AC150" i="28"/>
  <c r="AD149" i="28"/>
  <c r="AC149" i="28"/>
  <c r="AD148" i="28"/>
  <c r="AC148" i="28"/>
  <c r="AD147" i="28"/>
  <c r="AC147" i="28"/>
  <c r="AD146" i="28"/>
  <c r="AC146" i="28"/>
  <c r="AD145" i="28"/>
  <c r="AC145" i="28"/>
  <c r="AD144" i="28"/>
  <c r="AC144" i="28"/>
  <c r="AD143" i="28"/>
  <c r="AC143" i="28"/>
  <c r="AD142" i="28"/>
  <c r="AC142" i="28"/>
  <c r="AD141" i="28"/>
  <c r="AC141" i="28"/>
  <c r="AD140" i="28"/>
  <c r="AC140" i="28"/>
  <c r="AD139" i="28"/>
  <c r="AC139" i="28"/>
  <c r="P151" i="28"/>
  <c r="P150" i="28"/>
  <c r="P149" i="28"/>
  <c r="P148" i="28"/>
  <c r="P147" i="28"/>
  <c r="P146" i="28"/>
  <c r="P145" i="28"/>
  <c r="P144" i="28"/>
  <c r="P143" i="28"/>
  <c r="P142" i="28"/>
  <c r="P141" i="28"/>
  <c r="P140" i="28"/>
  <c r="P139" i="28"/>
  <c r="O151" i="28"/>
  <c r="O150" i="28"/>
  <c r="O149" i="28"/>
  <c r="O148" i="28"/>
  <c r="O147" i="28"/>
  <c r="O146" i="28"/>
  <c r="O145" i="28"/>
  <c r="O144" i="28"/>
  <c r="O143" i="28"/>
  <c r="O142" i="28"/>
  <c r="O141" i="28"/>
  <c r="O140" i="28"/>
  <c r="O139" i="28"/>
  <c r="W151" i="28"/>
  <c r="V151" i="28"/>
  <c r="U151" i="28"/>
  <c r="T151" i="28"/>
  <c r="Q151" i="28"/>
  <c r="R151" i="28" s="1"/>
  <c r="W150" i="28"/>
  <c r="V150" i="28"/>
  <c r="U150" i="28"/>
  <c r="T150" i="28"/>
  <c r="Q150" i="28"/>
  <c r="R150" i="28" s="1"/>
  <c r="W149" i="28"/>
  <c r="V149" i="28"/>
  <c r="U149" i="28"/>
  <c r="T149" i="28"/>
  <c r="Q149" i="28"/>
  <c r="R149" i="28" s="1"/>
  <c r="W148" i="28"/>
  <c r="V148" i="28"/>
  <c r="U148" i="28"/>
  <c r="T148" i="28"/>
  <c r="Q148" i="28"/>
  <c r="R148" i="28" s="1"/>
  <c r="W147" i="28"/>
  <c r="V147" i="28"/>
  <c r="U147" i="28"/>
  <c r="T147" i="28"/>
  <c r="Q147" i="28"/>
  <c r="R147" i="28" s="1"/>
  <c r="W146" i="28"/>
  <c r="V146" i="28"/>
  <c r="U146" i="28"/>
  <c r="T146" i="28"/>
  <c r="Q146" i="28"/>
  <c r="R146" i="28" s="1"/>
  <c r="W145" i="28"/>
  <c r="V145" i="28"/>
  <c r="U145" i="28"/>
  <c r="T145" i="28"/>
  <c r="Q145" i="28"/>
  <c r="R145" i="28" s="1"/>
  <c r="W144" i="28"/>
  <c r="V144" i="28"/>
  <c r="U144" i="28"/>
  <c r="T144" i="28"/>
  <c r="Q144" i="28"/>
  <c r="R144" i="28" s="1"/>
  <c r="W143" i="28"/>
  <c r="V143" i="28"/>
  <c r="U143" i="28"/>
  <c r="T143" i="28"/>
  <c r="Q143" i="28"/>
  <c r="R143" i="28" s="1"/>
  <c r="W142" i="28"/>
  <c r="V142" i="28"/>
  <c r="U142" i="28"/>
  <c r="T142" i="28"/>
  <c r="Q142" i="28"/>
  <c r="R142" i="28" s="1"/>
  <c r="W141" i="28"/>
  <c r="V141" i="28"/>
  <c r="U141" i="28"/>
  <c r="T141" i="28"/>
  <c r="Q141" i="28"/>
  <c r="R141" i="28" s="1"/>
  <c r="W140" i="28"/>
  <c r="V140" i="28"/>
  <c r="U140" i="28"/>
  <c r="T140" i="28"/>
  <c r="Q140" i="28"/>
  <c r="R140" i="28" s="1"/>
  <c r="W139" i="28"/>
  <c r="V139" i="28"/>
  <c r="U139" i="28"/>
  <c r="T139" i="28"/>
  <c r="Q139" i="28"/>
  <c r="R139" i="28" s="1"/>
  <c r="W137" i="28"/>
  <c r="V137" i="28"/>
  <c r="U137" i="28"/>
  <c r="W136" i="28"/>
  <c r="V136" i="28"/>
  <c r="U136" i="28"/>
  <c r="W135" i="28"/>
  <c r="V135" i="28"/>
  <c r="U135" i="28"/>
  <c r="W134" i="28"/>
  <c r="V134" i="28"/>
  <c r="U134" i="28"/>
  <c r="W133" i="28"/>
  <c r="V133" i="28"/>
  <c r="U133" i="28"/>
  <c r="W132" i="28"/>
  <c r="V132" i="28"/>
  <c r="U132" i="28"/>
  <c r="W131" i="28"/>
  <c r="V131" i="28"/>
  <c r="U131" i="28"/>
  <c r="W130" i="28"/>
  <c r="V130" i="28"/>
  <c r="U130" i="28"/>
  <c r="W129" i="28"/>
  <c r="V129" i="28"/>
  <c r="U129" i="28"/>
  <c r="W127" i="28"/>
  <c r="V127" i="28"/>
  <c r="U127" i="28"/>
  <c r="W126" i="28"/>
  <c r="V126" i="28"/>
  <c r="U126" i="28"/>
  <c r="W125" i="28"/>
  <c r="V125" i="28"/>
  <c r="U125" i="28"/>
  <c r="W124" i="28"/>
  <c r="V124" i="28"/>
  <c r="U124" i="28"/>
  <c r="W123" i="28"/>
  <c r="V123" i="28"/>
  <c r="U123" i="28"/>
  <c r="W122" i="28"/>
  <c r="V122" i="28"/>
  <c r="U122" i="28"/>
  <c r="W121" i="28"/>
  <c r="V121" i="28"/>
  <c r="U121" i="28"/>
  <c r="W120" i="28"/>
  <c r="V120" i="28"/>
  <c r="U120" i="28"/>
  <c r="W119" i="28"/>
  <c r="V119" i="28"/>
  <c r="U119" i="28"/>
  <c r="W117" i="28"/>
  <c r="V117" i="28"/>
  <c r="U117" i="28"/>
  <c r="W116" i="28"/>
  <c r="V116" i="28"/>
  <c r="U116" i="28"/>
  <c r="W115" i="28"/>
  <c r="V115" i="28"/>
  <c r="U115" i="28"/>
  <c r="W114" i="28"/>
  <c r="V114" i="28"/>
  <c r="U114" i="28"/>
  <c r="W113" i="28"/>
  <c r="V113" i="28"/>
  <c r="U113" i="28"/>
  <c r="W112" i="28"/>
  <c r="V112" i="28"/>
  <c r="U112" i="28"/>
  <c r="W111" i="28"/>
  <c r="V111" i="28"/>
  <c r="U111" i="28"/>
  <c r="W110" i="28"/>
  <c r="V110" i="28"/>
  <c r="U110" i="28"/>
  <c r="W109" i="28"/>
  <c r="V109" i="28"/>
  <c r="U109" i="28"/>
  <c r="W108" i="28"/>
  <c r="V108" i="28"/>
  <c r="U108" i="28"/>
  <c r="W107" i="28"/>
  <c r="V107" i="28"/>
  <c r="U107" i="28"/>
  <c r="W106" i="28"/>
  <c r="V106" i="28"/>
  <c r="U106" i="28"/>
  <c r="W105" i="28"/>
  <c r="V105" i="28"/>
  <c r="U105" i="28"/>
  <c r="W104" i="28"/>
  <c r="V104" i="28"/>
  <c r="U104" i="28"/>
  <c r="W102" i="28"/>
  <c r="V102" i="28"/>
  <c r="U102" i="28"/>
  <c r="W101" i="28"/>
  <c r="V101" i="28"/>
  <c r="U101" i="28"/>
  <c r="W100" i="28"/>
  <c r="V100" i="28"/>
  <c r="U100" i="28"/>
  <c r="W99" i="28"/>
  <c r="V99" i="28"/>
  <c r="U99" i="28"/>
  <c r="W98" i="28"/>
  <c r="V98" i="28"/>
  <c r="U98" i="28"/>
  <c r="W97" i="28"/>
  <c r="V97" i="28"/>
  <c r="U97" i="28"/>
  <c r="W96" i="28"/>
  <c r="V96" i="28"/>
  <c r="U96" i="28"/>
  <c r="W95" i="28"/>
  <c r="V95" i="28"/>
  <c r="U95" i="28"/>
  <c r="W94" i="28"/>
  <c r="V94" i="28"/>
  <c r="U94" i="28"/>
  <c r="W93" i="28"/>
  <c r="V93" i="28"/>
  <c r="U93" i="28"/>
  <c r="W92" i="28"/>
  <c r="V92" i="28"/>
  <c r="U92" i="28"/>
  <c r="W91" i="28"/>
  <c r="V91" i="28"/>
  <c r="U91" i="28"/>
  <c r="W90" i="28"/>
  <c r="V90" i="28"/>
  <c r="U90" i="28"/>
  <c r="W89" i="28"/>
  <c r="V89" i="28"/>
  <c r="U89" i="28"/>
  <c r="W88" i="28"/>
  <c r="V88" i="28"/>
  <c r="U88" i="28"/>
  <c r="W87" i="28"/>
  <c r="V87" i="28"/>
  <c r="U87" i="28"/>
  <c r="W86" i="28"/>
  <c r="V86" i="28"/>
  <c r="U86" i="28"/>
  <c r="W85" i="28"/>
  <c r="V85" i="28"/>
  <c r="U85" i="28"/>
  <c r="W84" i="28"/>
  <c r="V84" i="28"/>
  <c r="U84" i="28"/>
  <c r="W82" i="28"/>
  <c r="V82" i="28"/>
  <c r="U82" i="28"/>
  <c r="W81" i="28"/>
  <c r="V81" i="28"/>
  <c r="U81" i="28"/>
  <c r="W80" i="28"/>
  <c r="V80" i="28"/>
  <c r="U80" i="28"/>
  <c r="W79" i="28"/>
  <c r="V79" i="28"/>
  <c r="U79" i="28"/>
  <c r="W78" i="28"/>
  <c r="V78" i="28"/>
  <c r="U78" i="28"/>
  <c r="W77" i="28"/>
  <c r="V77" i="28"/>
  <c r="U77" i="28"/>
  <c r="W76" i="28"/>
  <c r="V76" i="28"/>
  <c r="U76" i="28"/>
  <c r="W75" i="28"/>
  <c r="V75" i="28"/>
  <c r="U75" i="28"/>
  <c r="W74" i="28"/>
  <c r="V74" i="28"/>
  <c r="U74" i="28"/>
  <c r="W73" i="28"/>
  <c r="V73" i="28"/>
  <c r="U73" i="28"/>
  <c r="W72" i="28"/>
  <c r="V72" i="28"/>
  <c r="U72" i="28"/>
  <c r="W71" i="28"/>
  <c r="V71" i="28"/>
  <c r="U71" i="28"/>
  <c r="W70" i="28"/>
  <c r="V70" i="28"/>
  <c r="U70" i="28"/>
  <c r="W69" i="28"/>
  <c r="V69" i="28"/>
  <c r="U69" i="28"/>
  <c r="W68" i="28"/>
  <c r="V68" i="28"/>
  <c r="U68" i="28"/>
  <c r="W67" i="28"/>
  <c r="V67" i="28"/>
  <c r="U67" i="28"/>
  <c r="W66" i="28"/>
  <c r="V66" i="28"/>
  <c r="U66" i="28"/>
  <c r="W65" i="28"/>
  <c r="V65" i="28"/>
  <c r="U65" i="28"/>
  <c r="W64" i="28"/>
  <c r="V64" i="28"/>
  <c r="U64" i="28"/>
  <c r="W62" i="28"/>
  <c r="V62" i="28"/>
  <c r="U62" i="28"/>
  <c r="W61" i="28"/>
  <c r="V61" i="28"/>
  <c r="U61" i="28"/>
  <c r="W60" i="28"/>
  <c r="V60" i="28"/>
  <c r="U60" i="28"/>
  <c r="W59" i="28"/>
  <c r="V59" i="28"/>
  <c r="U59" i="28"/>
  <c r="W58" i="28"/>
  <c r="V58" i="28"/>
  <c r="U58" i="28"/>
  <c r="W57" i="28"/>
  <c r="V57" i="28"/>
  <c r="U57" i="28"/>
  <c r="W56" i="28"/>
  <c r="V56" i="28"/>
  <c r="U56" i="28"/>
  <c r="W55" i="28"/>
  <c r="V55" i="28"/>
  <c r="U55" i="28"/>
  <c r="W54" i="28"/>
  <c r="V54" i="28"/>
  <c r="U54" i="28"/>
  <c r="W53" i="28"/>
  <c r="V53" i="28"/>
  <c r="U53" i="28"/>
  <c r="W52" i="28"/>
  <c r="V52" i="28"/>
  <c r="U52" i="28"/>
  <c r="W51" i="28"/>
  <c r="V51" i="28"/>
  <c r="U51" i="28"/>
  <c r="W50" i="28"/>
  <c r="V50" i="28"/>
  <c r="U50" i="28"/>
  <c r="W49" i="28"/>
  <c r="V49" i="28"/>
  <c r="U49" i="28"/>
  <c r="W48" i="28"/>
  <c r="V48" i="28"/>
  <c r="U48" i="28"/>
  <c r="W47" i="28"/>
  <c r="V47" i="28"/>
  <c r="U47" i="28"/>
  <c r="W46" i="28"/>
  <c r="V46" i="28"/>
  <c r="U46" i="28"/>
  <c r="W45" i="28"/>
  <c r="V45" i="28"/>
  <c r="U45" i="28"/>
  <c r="W44" i="28"/>
  <c r="V44" i="28"/>
  <c r="U44" i="28"/>
  <c r="W43" i="28"/>
  <c r="V43" i="28"/>
  <c r="U43" i="28"/>
  <c r="W42" i="28"/>
  <c r="V42" i="28"/>
  <c r="U42" i="28"/>
  <c r="W41" i="28"/>
  <c r="V41" i="28"/>
  <c r="U41" i="28"/>
  <c r="W40" i="28"/>
  <c r="V40" i="28"/>
  <c r="U40" i="28"/>
  <c r="W39" i="28"/>
  <c r="V39" i="28"/>
  <c r="U39" i="28"/>
  <c r="W38" i="28"/>
  <c r="V38" i="28"/>
  <c r="U38" i="28"/>
  <c r="W37" i="28"/>
  <c r="V37" i="28"/>
  <c r="U37" i="28"/>
  <c r="W36" i="28"/>
  <c r="V36" i="28"/>
  <c r="U36" i="28"/>
  <c r="W35" i="28"/>
  <c r="V35" i="28"/>
  <c r="U35" i="28"/>
  <c r="W33" i="28"/>
  <c r="V33" i="28"/>
  <c r="U33" i="28"/>
  <c r="S139" i="28" l="1"/>
  <c r="AH139" i="28" s="1"/>
  <c r="S147" i="28"/>
  <c r="AH147" i="28" s="1"/>
  <c r="S141" i="28"/>
  <c r="AH141" i="28" s="1"/>
  <c r="S149" i="28"/>
  <c r="AH149" i="28" s="1"/>
  <c r="S143" i="28"/>
  <c r="AH143" i="28" s="1"/>
  <c r="S151" i="28"/>
  <c r="AH151" i="28" s="1"/>
  <c r="S145" i="28"/>
  <c r="AH145" i="28" s="1"/>
  <c r="S140" i="28"/>
  <c r="AH140" i="28" s="1"/>
  <c r="S142" i="28"/>
  <c r="AH142" i="28" s="1"/>
  <c r="S144" i="28"/>
  <c r="AH144" i="28" s="1"/>
  <c r="S146" i="28"/>
  <c r="AH146" i="28" s="1"/>
  <c r="S148" i="28"/>
  <c r="AH148" i="28" s="1"/>
  <c r="S150" i="28"/>
  <c r="AH150" i="28" s="1"/>
  <c r="BO172" i="14"/>
  <c r="BO171" i="14"/>
  <c r="BO170" i="14"/>
  <c r="BO169" i="14"/>
  <c r="BO168" i="14"/>
  <c r="BO167" i="14"/>
  <c r="BO166" i="14"/>
  <c r="BO165" i="14"/>
  <c r="BO164" i="14"/>
  <c r="BO163" i="14"/>
  <c r="BO162" i="14"/>
  <c r="AF247" i="14"/>
  <c r="AF246" i="14"/>
  <c r="K246" i="14" s="1"/>
  <c r="N246" i="14" s="1"/>
  <c r="AF245" i="14"/>
  <c r="AF244" i="14"/>
  <c r="AF243" i="14"/>
  <c r="AF242" i="14"/>
  <c r="K242" i="14" s="1"/>
  <c r="AF241" i="14"/>
  <c r="O4" i="44"/>
  <c r="P4" i="44"/>
  <c r="Q4" i="44"/>
  <c r="R4" i="44"/>
  <c r="S4" i="44"/>
  <c r="T4" i="44"/>
  <c r="U4" i="44"/>
  <c r="V4" i="44"/>
  <c r="W4" i="44"/>
  <c r="X4" i="44"/>
  <c r="Y4" i="44"/>
  <c r="O5" i="44"/>
  <c r="P5" i="44"/>
  <c r="Q5" i="44"/>
  <c r="R5" i="44"/>
  <c r="S5" i="44"/>
  <c r="T5" i="44"/>
  <c r="U5" i="44"/>
  <c r="V5" i="44"/>
  <c r="W5" i="44"/>
  <c r="X5" i="44"/>
  <c r="Y5" i="44"/>
  <c r="O6" i="44"/>
  <c r="P6" i="44"/>
  <c r="Q6" i="44"/>
  <c r="R6" i="44"/>
  <c r="S6" i="44"/>
  <c r="T6" i="44"/>
  <c r="U6" i="44"/>
  <c r="V6" i="44"/>
  <c r="W6" i="44"/>
  <c r="X6" i="44"/>
  <c r="Y6" i="44"/>
  <c r="P2" i="44"/>
  <c r="Q2" i="44"/>
  <c r="R2" i="44"/>
  <c r="S2" i="44"/>
  <c r="T2" i="44"/>
  <c r="U2" i="44"/>
  <c r="V2" i="44"/>
  <c r="W2" i="44"/>
  <c r="X2" i="44"/>
  <c r="Y2" i="44"/>
  <c r="O2" i="44"/>
  <c r="A11" i="44"/>
  <c r="A10" i="44"/>
  <c r="B10" i="44" s="1"/>
  <c r="M10" i="44" s="1"/>
  <c r="A9" i="44"/>
  <c r="C9" i="44" s="1"/>
  <c r="A8" i="44"/>
  <c r="B9" i="44" s="1"/>
  <c r="M9" i="44" s="1"/>
  <c r="A7" i="44"/>
  <c r="C7" i="44" s="1"/>
  <c r="A6" i="44"/>
  <c r="B6" i="44" s="1"/>
  <c r="M6" i="44" s="1"/>
  <c r="A5" i="44"/>
  <c r="C5" i="44" s="1"/>
  <c r="A4" i="44"/>
  <c r="A3" i="44"/>
  <c r="C3" i="44" s="1"/>
  <c r="A2" i="44"/>
  <c r="C2" i="44" s="1"/>
  <c r="AK97" i="18"/>
  <c r="AK96" i="18"/>
  <c r="AN14" i="18"/>
  <c r="AN30" i="18"/>
  <c r="DQ172" i="14"/>
  <c r="DP172" i="14"/>
  <c r="DO172" i="14"/>
  <c r="DN172" i="14"/>
  <c r="DM172" i="14"/>
  <c r="DL172" i="14"/>
  <c r="DK172" i="14"/>
  <c r="DJ172" i="14"/>
  <c r="DI172" i="14"/>
  <c r="DH172" i="14"/>
  <c r="DG172" i="14"/>
  <c r="DF172" i="14"/>
  <c r="DE172" i="14"/>
  <c r="DD172" i="14"/>
  <c r="DC172" i="14"/>
  <c r="DB172" i="14"/>
  <c r="DA172" i="14"/>
  <c r="CZ172" i="14"/>
  <c r="CY172" i="14"/>
  <c r="CX172" i="14"/>
  <c r="CW172" i="14"/>
  <c r="CV172" i="14"/>
  <c r="DQ171" i="14"/>
  <c r="DP171" i="14"/>
  <c r="DO171" i="14"/>
  <c r="DN171" i="14"/>
  <c r="DM171" i="14"/>
  <c r="DL171" i="14"/>
  <c r="DK171" i="14"/>
  <c r="DJ171" i="14"/>
  <c r="DI171" i="14"/>
  <c r="DH171" i="14"/>
  <c r="DG171" i="14"/>
  <c r="DF171" i="14"/>
  <c r="DE171" i="14"/>
  <c r="DD171" i="14"/>
  <c r="DC171" i="14"/>
  <c r="DB171" i="14"/>
  <c r="DA171" i="14"/>
  <c r="CZ171" i="14"/>
  <c r="CY171" i="14"/>
  <c r="CX171" i="14"/>
  <c r="CW171" i="14"/>
  <c r="CV171" i="14"/>
  <c r="DQ170" i="14"/>
  <c r="DP170" i="14"/>
  <c r="DO170" i="14"/>
  <c r="DN170" i="14"/>
  <c r="DM170" i="14"/>
  <c r="DL170" i="14"/>
  <c r="DK170" i="14"/>
  <c r="DJ170" i="14"/>
  <c r="DI170" i="14"/>
  <c r="DH170" i="14"/>
  <c r="DG170" i="14"/>
  <c r="DF170" i="14"/>
  <c r="DE170" i="14"/>
  <c r="DD170" i="14"/>
  <c r="DC170" i="14"/>
  <c r="DB170" i="14"/>
  <c r="DA170" i="14"/>
  <c r="CZ170" i="14"/>
  <c r="CY170" i="14"/>
  <c r="CX170" i="14"/>
  <c r="CW170" i="14"/>
  <c r="CV170" i="14"/>
  <c r="DQ169" i="14"/>
  <c r="DP169" i="14"/>
  <c r="DO169" i="14"/>
  <c r="DN169" i="14"/>
  <c r="DM169" i="14"/>
  <c r="DL169" i="14"/>
  <c r="DK169" i="14"/>
  <c r="DJ169" i="14"/>
  <c r="DI169" i="14"/>
  <c r="DH169" i="14"/>
  <c r="DG169" i="14"/>
  <c r="DF169" i="14"/>
  <c r="DE169" i="14"/>
  <c r="DD169" i="14"/>
  <c r="DC169" i="14"/>
  <c r="DB169" i="14"/>
  <c r="DA169" i="14"/>
  <c r="CZ169" i="14"/>
  <c r="CY169" i="14"/>
  <c r="CX169" i="14"/>
  <c r="CW169" i="14"/>
  <c r="CV169" i="14"/>
  <c r="DQ168" i="14"/>
  <c r="DP168" i="14"/>
  <c r="DO168" i="14"/>
  <c r="DN168" i="14"/>
  <c r="DM168" i="14"/>
  <c r="DL168" i="14"/>
  <c r="DK168" i="14"/>
  <c r="DJ168" i="14"/>
  <c r="DI168" i="14"/>
  <c r="DH168" i="14"/>
  <c r="DG168" i="14"/>
  <c r="DF168" i="14"/>
  <c r="DE168" i="14"/>
  <c r="DD168" i="14"/>
  <c r="DC168" i="14"/>
  <c r="DB168" i="14"/>
  <c r="DA168" i="14"/>
  <c r="CZ168" i="14"/>
  <c r="CY168" i="14"/>
  <c r="CX168" i="14"/>
  <c r="CW168" i="14"/>
  <c r="CV168" i="14"/>
  <c r="DQ167" i="14"/>
  <c r="DP167" i="14"/>
  <c r="DO167" i="14"/>
  <c r="DN167" i="14"/>
  <c r="DM167" i="14"/>
  <c r="DL167" i="14"/>
  <c r="DK167" i="14"/>
  <c r="DJ167" i="14"/>
  <c r="DI167" i="14"/>
  <c r="DH167" i="14"/>
  <c r="DG167" i="14"/>
  <c r="DF167" i="14"/>
  <c r="DE167" i="14"/>
  <c r="DD167" i="14"/>
  <c r="DC167" i="14"/>
  <c r="DB167" i="14"/>
  <c r="DA167" i="14"/>
  <c r="CZ167" i="14"/>
  <c r="CY167" i="14"/>
  <c r="CX167" i="14"/>
  <c r="CW167" i="14"/>
  <c r="CV167" i="14"/>
  <c r="DQ166" i="14"/>
  <c r="DP166" i="14"/>
  <c r="DO166" i="14"/>
  <c r="DN166" i="14"/>
  <c r="DM166" i="14"/>
  <c r="DL166" i="14"/>
  <c r="DK166" i="14"/>
  <c r="DJ166" i="14"/>
  <c r="DI166" i="14"/>
  <c r="DH166" i="14"/>
  <c r="DG166" i="14"/>
  <c r="DF166" i="14"/>
  <c r="DE166" i="14"/>
  <c r="DD166" i="14"/>
  <c r="DC166" i="14"/>
  <c r="DB166" i="14"/>
  <c r="DA166" i="14"/>
  <c r="CZ166" i="14"/>
  <c r="CY166" i="14"/>
  <c r="CX166" i="14"/>
  <c r="CW166" i="14"/>
  <c r="CV166" i="14"/>
  <c r="DQ165" i="14"/>
  <c r="DP165" i="14"/>
  <c r="DO165" i="14"/>
  <c r="DN165" i="14"/>
  <c r="DM165" i="14"/>
  <c r="DL165" i="14"/>
  <c r="DK165" i="14"/>
  <c r="DJ165" i="14"/>
  <c r="DI165" i="14"/>
  <c r="DH165" i="14"/>
  <c r="DG165" i="14"/>
  <c r="DF165" i="14"/>
  <c r="DE165" i="14"/>
  <c r="DD165" i="14"/>
  <c r="DC165" i="14"/>
  <c r="DB165" i="14"/>
  <c r="DA165" i="14"/>
  <c r="CZ165" i="14"/>
  <c r="CY165" i="14"/>
  <c r="CX165" i="14"/>
  <c r="CW165" i="14"/>
  <c r="CV165" i="14"/>
  <c r="DQ164" i="14"/>
  <c r="DP164" i="14"/>
  <c r="DO164" i="14"/>
  <c r="DN164" i="14"/>
  <c r="DM164" i="14"/>
  <c r="DL164" i="14"/>
  <c r="DK164" i="14"/>
  <c r="DJ164" i="14"/>
  <c r="DI164" i="14"/>
  <c r="DH164" i="14"/>
  <c r="DG164" i="14"/>
  <c r="DF164" i="14"/>
  <c r="DE164" i="14"/>
  <c r="DD164" i="14"/>
  <c r="DC164" i="14"/>
  <c r="DB164" i="14"/>
  <c r="DA164" i="14"/>
  <c r="CZ164" i="14"/>
  <c r="CY164" i="14"/>
  <c r="CX164" i="14"/>
  <c r="CW164" i="14"/>
  <c r="CV164" i="14"/>
  <c r="DQ163" i="14"/>
  <c r="DP163" i="14"/>
  <c r="DO163" i="14"/>
  <c r="DN163" i="14"/>
  <c r="DM163" i="14"/>
  <c r="DL163" i="14"/>
  <c r="DK163" i="14"/>
  <c r="DJ163" i="14"/>
  <c r="DI163" i="14"/>
  <c r="DH163" i="14"/>
  <c r="DG163" i="14"/>
  <c r="DF163" i="14"/>
  <c r="DE163" i="14"/>
  <c r="DD163" i="14"/>
  <c r="DC163" i="14"/>
  <c r="DB163" i="14"/>
  <c r="DA163" i="14"/>
  <c r="CZ163" i="14"/>
  <c r="CY163" i="14"/>
  <c r="CX163" i="14"/>
  <c r="CW163" i="14"/>
  <c r="CV163" i="14"/>
  <c r="DQ162" i="14"/>
  <c r="DP162" i="14"/>
  <c r="DO162" i="14"/>
  <c r="DN162" i="14"/>
  <c r="DM162" i="14"/>
  <c r="DL162" i="14"/>
  <c r="DK162" i="14"/>
  <c r="DJ162" i="14"/>
  <c r="DI162" i="14"/>
  <c r="DH162" i="14"/>
  <c r="DG162" i="14"/>
  <c r="DF162" i="14"/>
  <c r="DE162" i="14"/>
  <c r="DD162" i="14"/>
  <c r="DC162" i="14"/>
  <c r="DB162" i="14"/>
  <c r="DA162" i="14"/>
  <c r="CZ162" i="14"/>
  <c r="CY162" i="14"/>
  <c r="CX162" i="14"/>
  <c r="CW162" i="14"/>
  <c r="CV162" i="14"/>
  <c r="ES172" i="14"/>
  <c r="ER172" i="14"/>
  <c r="EQ172" i="14"/>
  <c r="EP172" i="14"/>
  <c r="EO172" i="14"/>
  <c r="EN172" i="14"/>
  <c r="EM172" i="14"/>
  <c r="EL172" i="14"/>
  <c r="EK172" i="14"/>
  <c r="EJ172" i="14"/>
  <c r="EI172" i="14"/>
  <c r="EH172" i="14"/>
  <c r="EG172" i="14"/>
  <c r="EF172" i="14"/>
  <c r="EE172" i="14"/>
  <c r="ED172" i="14"/>
  <c r="EC172" i="14"/>
  <c r="EB172" i="14"/>
  <c r="EA172" i="14"/>
  <c r="DZ172" i="14"/>
  <c r="DY172" i="14"/>
  <c r="DX172" i="14"/>
  <c r="DW172" i="14"/>
  <c r="DV172" i="14"/>
  <c r="DU172" i="14"/>
  <c r="DT172" i="14"/>
  <c r="DS172" i="14"/>
  <c r="ES171" i="14"/>
  <c r="ER171" i="14"/>
  <c r="EQ171" i="14"/>
  <c r="EP171" i="14"/>
  <c r="EO171" i="14"/>
  <c r="EN171" i="14"/>
  <c r="EM171" i="14"/>
  <c r="EL171" i="14"/>
  <c r="EK171" i="14"/>
  <c r="EJ171" i="14"/>
  <c r="EI171" i="14"/>
  <c r="EH171" i="14"/>
  <c r="EG171" i="14"/>
  <c r="EF171" i="14"/>
  <c r="EE171" i="14"/>
  <c r="ED171" i="14"/>
  <c r="EC171" i="14"/>
  <c r="EB171" i="14"/>
  <c r="EA171" i="14"/>
  <c r="DZ171" i="14"/>
  <c r="DY171" i="14"/>
  <c r="DX171" i="14"/>
  <c r="DW171" i="14"/>
  <c r="DV171" i="14"/>
  <c r="DU171" i="14"/>
  <c r="DT171" i="14"/>
  <c r="DS171" i="14"/>
  <c r="ES170" i="14"/>
  <c r="ER170" i="14"/>
  <c r="EQ170" i="14"/>
  <c r="EP170" i="14"/>
  <c r="EO170" i="14"/>
  <c r="EN170" i="14"/>
  <c r="EM170" i="14"/>
  <c r="EL170" i="14"/>
  <c r="EK170" i="14"/>
  <c r="EJ170" i="14"/>
  <c r="EI170" i="14"/>
  <c r="EH170" i="14"/>
  <c r="EG170" i="14"/>
  <c r="EF170" i="14"/>
  <c r="EE170" i="14"/>
  <c r="ED170" i="14"/>
  <c r="EC170" i="14"/>
  <c r="EB170" i="14"/>
  <c r="EA170" i="14"/>
  <c r="DZ170" i="14"/>
  <c r="DY170" i="14"/>
  <c r="DX170" i="14"/>
  <c r="DW170" i="14"/>
  <c r="DV170" i="14"/>
  <c r="DU170" i="14"/>
  <c r="DT170" i="14"/>
  <c r="DS170" i="14"/>
  <c r="ES169" i="14"/>
  <c r="ER169" i="14"/>
  <c r="EQ169" i="14"/>
  <c r="EP169" i="14"/>
  <c r="EO169" i="14"/>
  <c r="EN169" i="14"/>
  <c r="EM169" i="14"/>
  <c r="EL169" i="14"/>
  <c r="EK169" i="14"/>
  <c r="EJ169" i="14"/>
  <c r="EI169" i="14"/>
  <c r="EH169" i="14"/>
  <c r="EG169" i="14"/>
  <c r="EF169" i="14"/>
  <c r="EE169" i="14"/>
  <c r="ED169" i="14"/>
  <c r="EC169" i="14"/>
  <c r="EB169" i="14"/>
  <c r="EA169" i="14"/>
  <c r="DZ169" i="14"/>
  <c r="DY169" i="14"/>
  <c r="DX169" i="14"/>
  <c r="DW169" i="14"/>
  <c r="DV169" i="14"/>
  <c r="DU169" i="14"/>
  <c r="DT169" i="14"/>
  <c r="DS169" i="14"/>
  <c r="ES168" i="14"/>
  <c r="ER168" i="14"/>
  <c r="EQ168" i="14"/>
  <c r="EP168" i="14"/>
  <c r="EO168" i="14"/>
  <c r="EN168" i="14"/>
  <c r="EM168" i="14"/>
  <c r="EL168" i="14"/>
  <c r="EK168" i="14"/>
  <c r="EJ168" i="14"/>
  <c r="EI168" i="14"/>
  <c r="EH168" i="14"/>
  <c r="EG168" i="14"/>
  <c r="EF168" i="14"/>
  <c r="EE168" i="14"/>
  <c r="ED168" i="14"/>
  <c r="EC168" i="14"/>
  <c r="EB168" i="14"/>
  <c r="EA168" i="14"/>
  <c r="DZ168" i="14"/>
  <c r="DY168" i="14"/>
  <c r="DX168" i="14"/>
  <c r="DW168" i="14"/>
  <c r="DV168" i="14"/>
  <c r="DU168" i="14"/>
  <c r="DT168" i="14"/>
  <c r="DS168" i="14"/>
  <c r="ES167" i="14"/>
  <c r="ER167" i="14"/>
  <c r="EQ167" i="14"/>
  <c r="EP167" i="14"/>
  <c r="EO167" i="14"/>
  <c r="EN167" i="14"/>
  <c r="EM167" i="14"/>
  <c r="EL167" i="14"/>
  <c r="EK167" i="14"/>
  <c r="EJ167" i="14"/>
  <c r="EI167" i="14"/>
  <c r="EH167" i="14"/>
  <c r="EG167" i="14"/>
  <c r="EF167" i="14"/>
  <c r="EE167" i="14"/>
  <c r="ED167" i="14"/>
  <c r="EC167" i="14"/>
  <c r="EB167" i="14"/>
  <c r="EA167" i="14"/>
  <c r="DZ167" i="14"/>
  <c r="DY167" i="14"/>
  <c r="DX167" i="14"/>
  <c r="DW167" i="14"/>
  <c r="DV167" i="14"/>
  <c r="DU167" i="14"/>
  <c r="DT167" i="14"/>
  <c r="DS167" i="14"/>
  <c r="ES166" i="14"/>
  <c r="ER166" i="14"/>
  <c r="EQ166" i="14"/>
  <c r="EP166" i="14"/>
  <c r="EO166" i="14"/>
  <c r="EN166" i="14"/>
  <c r="EM166" i="14"/>
  <c r="EL166" i="14"/>
  <c r="EK166" i="14"/>
  <c r="EJ166" i="14"/>
  <c r="EI166" i="14"/>
  <c r="EH166" i="14"/>
  <c r="EG166" i="14"/>
  <c r="EF166" i="14"/>
  <c r="EE166" i="14"/>
  <c r="ED166" i="14"/>
  <c r="EC166" i="14"/>
  <c r="EB166" i="14"/>
  <c r="EA166" i="14"/>
  <c r="DZ166" i="14"/>
  <c r="DY166" i="14"/>
  <c r="DX166" i="14"/>
  <c r="DW166" i="14"/>
  <c r="DV166" i="14"/>
  <c r="DU166" i="14"/>
  <c r="DT166" i="14"/>
  <c r="DS166" i="14"/>
  <c r="ES165" i="14"/>
  <c r="ER165" i="14"/>
  <c r="EQ165" i="14"/>
  <c r="EP165" i="14"/>
  <c r="EO165" i="14"/>
  <c r="EN165" i="14"/>
  <c r="EM165" i="14"/>
  <c r="EL165" i="14"/>
  <c r="EK165" i="14"/>
  <c r="EJ165" i="14"/>
  <c r="EI165" i="14"/>
  <c r="EH165" i="14"/>
  <c r="EG165" i="14"/>
  <c r="EF165" i="14"/>
  <c r="EE165" i="14"/>
  <c r="ED165" i="14"/>
  <c r="EC165" i="14"/>
  <c r="EB165" i="14"/>
  <c r="EA165" i="14"/>
  <c r="DZ165" i="14"/>
  <c r="DY165" i="14"/>
  <c r="DX165" i="14"/>
  <c r="DW165" i="14"/>
  <c r="DV165" i="14"/>
  <c r="DU165" i="14"/>
  <c r="DT165" i="14"/>
  <c r="DS165" i="14"/>
  <c r="ES164" i="14"/>
  <c r="ER164" i="14"/>
  <c r="EQ164" i="14"/>
  <c r="EP164" i="14"/>
  <c r="EO164" i="14"/>
  <c r="EN164" i="14"/>
  <c r="EM164" i="14"/>
  <c r="EL164" i="14"/>
  <c r="EK164" i="14"/>
  <c r="EJ164" i="14"/>
  <c r="EI164" i="14"/>
  <c r="EH164" i="14"/>
  <c r="EG164" i="14"/>
  <c r="EF164" i="14"/>
  <c r="EE164" i="14"/>
  <c r="ED164" i="14"/>
  <c r="EC164" i="14"/>
  <c r="EB164" i="14"/>
  <c r="EA164" i="14"/>
  <c r="DZ164" i="14"/>
  <c r="DY164" i="14"/>
  <c r="DX164" i="14"/>
  <c r="DW164" i="14"/>
  <c r="DV164" i="14"/>
  <c r="DU164" i="14"/>
  <c r="DT164" i="14"/>
  <c r="DS164" i="14"/>
  <c r="ES163" i="14"/>
  <c r="ER163" i="14"/>
  <c r="EQ163" i="14"/>
  <c r="EP163" i="14"/>
  <c r="EO163" i="14"/>
  <c r="EN163" i="14"/>
  <c r="EM163" i="14"/>
  <c r="EL163" i="14"/>
  <c r="EK163" i="14"/>
  <c r="EJ163" i="14"/>
  <c r="EI163" i="14"/>
  <c r="EH163" i="14"/>
  <c r="EG163" i="14"/>
  <c r="EF163" i="14"/>
  <c r="EE163" i="14"/>
  <c r="ED163" i="14"/>
  <c r="EC163" i="14"/>
  <c r="EB163" i="14"/>
  <c r="EA163" i="14"/>
  <c r="DZ163" i="14"/>
  <c r="DY163" i="14"/>
  <c r="DX163" i="14"/>
  <c r="DW163" i="14"/>
  <c r="DV163" i="14"/>
  <c r="DU163" i="14"/>
  <c r="DT163" i="14"/>
  <c r="DS163" i="14"/>
  <c r="ES162" i="14"/>
  <c r="ER162" i="14"/>
  <c r="EQ162" i="14"/>
  <c r="EP162" i="14"/>
  <c r="EO162" i="14"/>
  <c r="EN162" i="14"/>
  <c r="EM162" i="14"/>
  <c r="EL162" i="14"/>
  <c r="EK162" i="14"/>
  <c r="EJ162" i="14"/>
  <c r="EI162" i="14"/>
  <c r="EH162" i="14"/>
  <c r="EG162" i="14"/>
  <c r="EF162" i="14"/>
  <c r="EE162" i="14"/>
  <c r="ED162" i="14"/>
  <c r="EC162" i="14"/>
  <c r="EB162" i="14"/>
  <c r="EA162" i="14"/>
  <c r="DZ162" i="14"/>
  <c r="DY162" i="14"/>
  <c r="DX162" i="14"/>
  <c r="DW162" i="14"/>
  <c r="DV162" i="14"/>
  <c r="DU162" i="14"/>
  <c r="DT162" i="14"/>
  <c r="DS162" i="14"/>
  <c r="U195" i="20"/>
  <c r="F97" i="39"/>
  <c r="E97" i="39"/>
  <c r="F96" i="39"/>
  <c r="E96" i="39"/>
  <c r="F71" i="39"/>
  <c r="E71" i="39"/>
  <c r="F70" i="39"/>
  <c r="E70" i="39"/>
  <c r="F61" i="39"/>
  <c r="E61" i="39"/>
  <c r="F60" i="39"/>
  <c r="E60" i="39"/>
  <c r="F48" i="39"/>
  <c r="E48" i="39"/>
  <c r="F47" i="39"/>
  <c r="E47" i="39"/>
  <c r="F17" i="39"/>
  <c r="E17" i="39"/>
  <c r="F16" i="39"/>
  <c r="E16" i="39"/>
  <c r="G159" i="39"/>
  <c r="G158" i="39"/>
  <c r="G157" i="39"/>
  <c r="G156" i="39"/>
  <c r="G155" i="39"/>
  <c r="G154" i="39"/>
  <c r="G153" i="39"/>
  <c r="G152" i="39"/>
  <c r="G151" i="39"/>
  <c r="G150" i="39"/>
  <c r="G149" i="39"/>
  <c r="G148" i="39"/>
  <c r="G141" i="39"/>
  <c r="N3" i="44"/>
  <c r="Z3" i="44" s="1"/>
  <c r="N4" i="44"/>
  <c r="Z4" i="44" s="1"/>
  <c r="N5" i="44"/>
  <c r="Z5" i="44" s="1"/>
  <c r="N6" i="44"/>
  <c r="Z6" i="44" s="1"/>
  <c r="C15" i="40"/>
  <c r="C16" i="40"/>
  <c r="C17" i="40"/>
  <c r="C18" i="40"/>
  <c r="C19" i="40"/>
  <c r="N2" i="44"/>
  <c r="Z2" i="44" s="1"/>
  <c r="E11" i="44"/>
  <c r="F11" i="44"/>
  <c r="G11" i="44"/>
  <c r="H11" i="44"/>
  <c r="H10" i="44"/>
  <c r="G10" i="44"/>
  <c r="F10" i="44"/>
  <c r="E10" i="44"/>
  <c r="D8" i="44"/>
  <c r="I8" i="44"/>
  <c r="J8" i="44"/>
  <c r="D9" i="44"/>
  <c r="I9" i="44"/>
  <c r="J9" i="44"/>
  <c r="J7" i="44"/>
  <c r="I7" i="44"/>
  <c r="D7" i="44"/>
  <c r="H2" i="44"/>
  <c r="G2" i="44"/>
  <c r="F2" i="44"/>
  <c r="E2" i="44"/>
  <c r="D2" i="44"/>
  <c r="H6" i="44"/>
  <c r="G6" i="44"/>
  <c r="F6" i="44"/>
  <c r="E6" i="44"/>
  <c r="D6" i="44"/>
  <c r="H5" i="44"/>
  <c r="G5" i="44"/>
  <c r="F5" i="44"/>
  <c r="E5" i="44"/>
  <c r="D5" i="44"/>
  <c r="H4" i="44"/>
  <c r="G4" i="44"/>
  <c r="F4" i="44"/>
  <c r="E4" i="44"/>
  <c r="D4" i="44"/>
  <c r="H3" i="44"/>
  <c r="G3" i="44"/>
  <c r="F3" i="44"/>
  <c r="E3" i="44"/>
  <c r="D3" i="44"/>
  <c r="B2" i="43"/>
  <c r="X2" i="43"/>
  <c r="W2" i="43"/>
  <c r="V2" i="43"/>
  <c r="AB2" i="43"/>
  <c r="A2" i="43"/>
  <c r="A48" i="42"/>
  <c r="B48" i="42" s="1"/>
  <c r="C48" i="42"/>
  <c r="C50" i="42"/>
  <c r="A50" i="42"/>
  <c r="B50" i="42" s="1"/>
  <c r="C49" i="42"/>
  <c r="A49" i="42"/>
  <c r="B49" i="42" s="1"/>
  <c r="A48" i="38"/>
  <c r="B48" i="38" s="1"/>
  <c r="C48" i="38"/>
  <c r="A49" i="38"/>
  <c r="B49" i="38" s="1"/>
  <c r="C49" i="38"/>
  <c r="C50" i="38"/>
  <c r="A50" i="38"/>
  <c r="B50" i="38" s="1"/>
  <c r="A151" i="40"/>
  <c r="E151" i="40" s="1"/>
  <c r="A152" i="40"/>
  <c r="E152" i="40" s="1"/>
  <c r="A153" i="40"/>
  <c r="E153" i="40" s="1"/>
  <c r="A154" i="40"/>
  <c r="E154" i="40" s="1"/>
  <c r="A155" i="40"/>
  <c r="E155" i="40" s="1"/>
  <c r="A156" i="40"/>
  <c r="E156" i="40" s="1"/>
  <c r="A157" i="40"/>
  <c r="E157" i="40" s="1"/>
  <c r="A158" i="40"/>
  <c r="E158" i="40" s="1"/>
  <c r="A159" i="40"/>
  <c r="E159" i="40" s="1"/>
  <c r="A160" i="40"/>
  <c r="E160" i="40" s="1"/>
  <c r="A150" i="40"/>
  <c r="E150" i="40" s="1"/>
  <c r="D3" i="39"/>
  <c r="D4" i="39"/>
  <c r="D5" i="39"/>
  <c r="D6" i="39"/>
  <c r="D7" i="39"/>
  <c r="D14" i="39"/>
  <c r="D15" i="39"/>
  <c r="D19" i="39"/>
  <c r="D23" i="39"/>
  <c r="D24" i="39"/>
  <c r="D25" i="39"/>
  <c r="C8" i="39"/>
  <c r="C9" i="39"/>
  <c r="C10" i="39"/>
  <c r="C11" i="39"/>
  <c r="C12" i="39"/>
  <c r="C13" i="39"/>
  <c r="C16" i="39"/>
  <c r="C17" i="39"/>
  <c r="C18" i="39"/>
  <c r="C20" i="39"/>
  <c r="C21" i="39"/>
  <c r="C22" i="39"/>
  <c r="C26" i="39"/>
  <c r="C27" i="39"/>
  <c r="C28" i="39"/>
  <c r="C2" i="39"/>
  <c r="A161" i="40"/>
  <c r="A162" i="40"/>
  <c r="M121" i="33"/>
  <c r="V125" i="33"/>
  <c r="V126" i="33"/>
  <c r="V127" i="33"/>
  <c r="O79" i="22"/>
  <c r="O78" i="22"/>
  <c r="AD78" i="22" s="1"/>
  <c r="O77" i="22"/>
  <c r="AD77" i="22" s="1"/>
  <c r="O76" i="22"/>
  <c r="AB76" i="22" s="1"/>
  <c r="O75" i="22"/>
  <c r="X75" i="22" s="1"/>
  <c r="O74" i="22"/>
  <c r="X74" i="22" s="1"/>
  <c r="O73" i="22"/>
  <c r="AB73" i="22" s="1"/>
  <c r="O72" i="22"/>
  <c r="AD72" i="22" s="1"/>
  <c r="B79" i="22"/>
  <c r="L79" i="22" s="1"/>
  <c r="B78" i="22"/>
  <c r="E78" i="22" s="1"/>
  <c r="B77" i="22"/>
  <c r="I77" i="22" s="1"/>
  <c r="B76" i="22"/>
  <c r="E76" i="22" s="1"/>
  <c r="B75" i="22"/>
  <c r="L75" i="22" s="1"/>
  <c r="B74" i="22"/>
  <c r="L74" i="22" s="1"/>
  <c r="C186" i="14"/>
  <c r="K186" i="14" s="1"/>
  <c r="N186" i="14" s="1"/>
  <c r="C187" i="14"/>
  <c r="K187" i="14" s="1"/>
  <c r="O187" i="14" s="1"/>
  <c r="C188" i="14"/>
  <c r="K188" i="14" s="1"/>
  <c r="N188" i="14" s="1"/>
  <c r="C189" i="14"/>
  <c r="K189" i="14" s="1"/>
  <c r="P189" i="14" s="1"/>
  <c r="C190" i="14"/>
  <c r="K190" i="14" s="1"/>
  <c r="O190" i="14" s="1"/>
  <c r="C191" i="14"/>
  <c r="K191" i="14" s="1"/>
  <c r="O191" i="14" s="1"/>
  <c r="C192" i="14"/>
  <c r="K192" i="14" s="1"/>
  <c r="C193" i="14"/>
  <c r="K193" i="14" s="1"/>
  <c r="N193" i="14" s="1"/>
  <c r="C194" i="14"/>
  <c r="K194" i="14" s="1"/>
  <c r="O194" i="14" s="1"/>
  <c r="C195" i="14"/>
  <c r="K195" i="14" s="1"/>
  <c r="N195" i="14" s="1"/>
  <c r="C196" i="14"/>
  <c r="K196" i="14" s="1"/>
  <c r="O196" i="14" s="1"/>
  <c r="C197" i="14"/>
  <c r="K197" i="14" s="1"/>
  <c r="O197" i="14" s="1"/>
  <c r="C198" i="14"/>
  <c r="K198" i="14" s="1"/>
  <c r="P198" i="14" s="1"/>
  <c r="C199" i="14"/>
  <c r="K199" i="14" s="1"/>
  <c r="O199" i="14" s="1"/>
  <c r="C200" i="14"/>
  <c r="K200" i="14" s="1"/>
  <c r="O200" i="14" s="1"/>
  <c r="C201" i="14"/>
  <c r="K201" i="14" s="1"/>
  <c r="P201" i="14" s="1"/>
  <c r="B701" i="15"/>
  <c r="B702" i="15"/>
  <c r="B703" i="15"/>
  <c r="F777" i="32"/>
  <c r="F776" i="32"/>
  <c r="F775" i="32"/>
  <c r="F774" i="32"/>
  <c r="F773" i="32"/>
  <c r="F772" i="32"/>
  <c r="F681" i="32"/>
  <c r="F680" i="32"/>
  <c r="F679" i="32"/>
  <c r="F678" i="32"/>
  <c r="F677" i="32"/>
  <c r="F676" i="32"/>
  <c r="F675" i="32"/>
  <c r="F674" i="32"/>
  <c r="F673" i="32"/>
  <c r="F672" i="32"/>
  <c r="F671" i="32"/>
  <c r="F670" i="32"/>
  <c r="F666" i="32"/>
  <c r="F665" i="32"/>
  <c r="F664" i="32"/>
  <c r="F663" i="32"/>
  <c r="F662" i="32"/>
  <c r="EH279" i="7"/>
  <c r="EH249" i="7"/>
  <c r="EH250" i="7"/>
  <c r="EH251" i="7"/>
  <c r="EH296" i="7"/>
  <c r="EH295" i="7"/>
  <c r="EH291" i="7"/>
  <c r="EH289" i="7"/>
  <c r="EH298" i="7"/>
  <c r="EH292" i="7"/>
  <c r="EH326" i="7"/>
  <c r="EH313" i="7"/>
  <c r="DQ4" i="7"/>
  <c r="DR4" i="7"/>
  <c r="DS4" i="7"/>
  <c r="DT4" i="7"/>
  <c r="DU4" i="7"/>
  <c r="DQ5" i="7"/>
  <c r="DR5" i="7"/>
  <c r="DS5" i="7"/>
  <c r="DT5" i="7"/>
  <c r="DU5" i="7"/>
  <c r="DQ6" i="7"/>
  <c r="DR6" i="7"/>
  <c r="DS6" i="7"/>
  <c r="DT6" i="7"/>
  <c r="DU6" i="7"/>
  <c r="DQ7" i="7"/>
  <c r="DR7" i="7"/>
  <c r="DS7" i="7"/>
  <c r="DT7" i="7"/>
  <c r="DU7" i="7"/>
  <c r="DQ8" i="7"/>
  <c r="DR8" i="7"/>
  <c r="DS8" i="7"/>
  <c r="DT8" i="7"/>
  <c r="DU8" i="7"/>
  <c r="DQ9" i="7"/>
  <c r="DR9" i="7"/>
  <c r="DS9" i="7"/>
  <c r="DT9" i="7"/>
  <c r="DU9" i="7"/>
  <c r="DQ10" i="7"/>
  <c r="DR10" i="7"/>
  <c r="DS10" i="7"/>
  <c r="DT10" i="7"/>
  <c r="DU10" i="7"/>
  <c r="DQ11" i="7"/>
  <c r="DR11" i="7"/>
  <c r="DS11" i="7"/>
  <c r="DT11" i="7"/>
  <c r="DU11" i="7"/>
  <c r="DQ12" i="7"/>
  <c r="DR12" i="7"/>
  <c r="DS12" i="7"/>
  <c r="DT12" i="7"/>
  <c r="DU12" i="7"/>
  <c r="DQ13" i="7"/>
  <c r="DR13" i="7"/>
  <c r="DS13" i="7"/>
  <c r="DT13" i="7"/>
  <c r="DU13" i="7"/>
  <c r="DQ14" i="7"/>
  <c r="DR14" i="7"/>
  <c r="DS14" i="7"/>
  <c r="DT14" i="7"/>
  <c r="DU14" i="7"/>
  <c r="DQ15" i="7"/>
  <c r="DR15" i="7"/>
  <c r="DS15" i="7"/>
  <c r="DT15" i="7"/>
  <c r="DU15" i="7"/>
  <c r="DQ16" i="7"/>
  <c r="DR16" i="7"/>
  <c r="DS16" i="7"/>
  <c r="DT16" i="7"/>
  <c r="DU16" i="7"/>
  <c r="DQ17" i="7"/>
  <c r="DR17" i="7"/>
  <c r="DS17" i="7"/>
  <c r="DT17" i="7"/>
  <c r="DU17" i="7"/>
  <c r="DQ18" i="7"/>
  <c r="DR18" i="7"/>
  <c r="DS18" i="7"/>
  <c r="DT18" i="7"/>
  <c r="DU18" i="7"/>
  <c r="DQ19" i="7"/>
  <c r="DR19" i="7"/>
  <c r="DS19" i="7"/>
  <c r="DT19" i="7"/>
  <c r="DU19" i="7"/>
  <c r="DQ20" i="7"/>
  <c r="DR20" i="7"/>
  <c r="DS20" i="7"/>
  <c r="DT20" i="7"/>
  <c r="DU20" i="7"/>
  <c r="DQ21" i="7"/>
  <c r="DR21" i="7"/>
  <c r="DS21" i="7"/>
  <c r="DT21" i="7"/>
  <c r="DU21" i="7"/>
  <c r="DQ22" i="7"/>
  <c r="DR22" i="7"/>
  <c r="DS22" i="7"/>
  <c r="DT22" i="7"/>
  <c r="DU22" i="7"/>
  <c r="DQ23" i="7"/>
  <c r="DR23" i="7"/>
  <c r="DS23" i="7"/>
  <c r="DT23" i="7"/>
  <c r="DU23" i="7"/>
  <c r="DQ24" i="7"/>
  <c r="DR24" i="7"/>
  <c r="DS24" i="7"/>
  <c r="DT24" i="7"/>
  <c r="DU24" i="7"/>
  <c r="DQ25" i="7"/>
  <c r="DR25" i="7"/>
  <c r="DS25" i="7"/>
  <c r="DT25" i="7"/>
  <c r="DU25" i="7"/>
  <c r="DQ26" i="7"/>
  <c r="DR26" i="7"/>
  <c r="DS26" i="7"/>
  <c r="DT26" i="7"/>
  <c r="DU26" i="7"/>
  <c r="DQ27" i="7"/>
  <c r="DR27" i="7"/>
  <c r="DS27" i="7"/>
  <c r="DT27" i="7"/>
  <c r="DU27" i="7"/>
  <c r="DQ28" i="7"/>
  <c r="DR28" i="7"/>
  <c r="DS28" i="7"/>
  <c r="DT28" i="7"/>
  <c r="DU28" i="7"/>
  <c r="DQ29" i="7"/>
  <c r="DR29" i="7"/>
  <c r="DS29" i="7"/>
  <c r="DT29" i="7"/>
  <c r="DU29" i="7"/>
  <c r="DQ30" i="7"/>
  <c r="DR30" i="7"/>
  <c r="DS30" i="7"/>
  <c r="DT30" i="7"/>
  <c r="DU30" i="7"/>
  <c r="DQ31" i="7"/>
  <c r="DR31" i="7"/>
  <c r="DS31" i="7"/>
  <c r="DT31" i="7"/>
  <c r="DU31" i="7"/>
  <c r="DQ32" i="7"/>
  <c r="DR32" i="7"/>
  <c r="DS32" i="7"/>
  <c r="DT32" i="7"/>
  <c r="DU32" i="7"/>
  <c r="DQ33" i="7"/>
  <c r="DR33" i="7"/>
  <c r="DS33" i="7"/>
  <c r="DT33" i="7"/>
  <c r="DU33" i="7"/>
  <c r="DQ34" i="7"/>
  <c r="DR34" i="7"/>
  <c r="DS34" i="7"/>
  <c r="DT34" i="7"/>
  <c r="DU34" i="7"/>
  <c r="DQ35" i="7"/>
  <c r="DR35" i="7"/>
  <c r="DS35" i="7"/>
  <c r="DT35" i="7"/>
  <c r="DU35" i="7"/>
  <c r="DQ36" i="7"/>
  <c r="DR36" i="7"/>
  <c r="DS36" i="7"/>
  <c r="DT36" i="7"/>
  <c r="DU36" i="7"/>
  <c r="DQ37" i="7"/>
  <c r="DR37" i="7"/>
  <c r="DS37" i="7"/>
  <c r="DT37" i="7"/>
  <c r="DU37" i="7"/>
  <c r="DQ38" i="7"/>
  <c r="DR38" i="7"/>
  <c r="DS38" i="7"/>
  <c r="DT38" i="7"/>
  <c r="DU38" i="7"/>
  <c r="DQ39" i="7"/>
  <c r="DR39" i="7"/>
  <c r="DS39" i="7"/>
  <c r="DT39" i="7"/>
  <c r="DU39" i="7"/>
  <c r="DQ40" i="7"/>
  <c r="DR40" i="7"/>
  <c r="DS40" i="7"/>
  <c r="DT40" i="7"/>
  <c r="DU40" i="7"/>
  <c r="DQ41" i="7"/>
  <c r="DR41" i="7"/>
  <c r="DS41" i="7"/>
  <c r="DT41" i="7"/>
  <c r="DU41" i="7"/>
  <c r="DQ42" i="7"/>
  <c r="DR42" i="7"/>
  <c r="DS42" i="7"/>
  <c r="DT42" i="7"/>
  <c r="DU42" i="7"/>
  <c r="DQ43" i="7"/>
  <c r="DR43" i="7"/>
  <c r="DS43" i="7"/>
  <c r="DT43" i="7"/>
  <c r="DU43" i="7"/>
  <c r="DQ44" i="7"/>
  <c r="DR44" i="7"/>
  <c r="DS44" i="7"/>
  <c r="DT44" i="7"/>
  <c r="DU44" i="7"/>
  <c r="DQ45" i="7"/>
  <c r="DR45" i="7"/>
  <c r="DS45" i="7"/>
  <c r="DT45" i="7"/>
  <c r="DU45" i="7"/>
  <c r="DQ46" i="7"/>
  <c r="DR46" i="7"/>
  <c r="DS46" i="7"/>
  <c r="DT46" i="7"/>
  <c r="DU46" i="7"/>
  <c r="DQ47" i="7"/>
  <c r="DR47" i="7"/>
  <c r="DS47" i="7"/>
  <c r="DT47" i="7"/>
  <c r="DU47" i="7"/>
  <c r="DQ48" i="7"/>
  <c r="DR48" i="7"/>
  <c r="DS48" i="7"/>
  <c r="DT48" i="7"/>
  <c r="DU48" i="7"/>
  <c r="DQ49" i="7"/>
  <c r="DR49" i="7"/>
  <c r="DS49" i="7"/>
  <c r="DT49" i="7"/>
  <c r="DU49" i="7"/>
  <c r="DQ50" i="7"/>
  <c r="DR50" i="7"/>
  <c r="DS50" i="7"/>
  <c r="DT50" i="7"/>
  <c r="DU50" i="7"/>
  <c r="DQ51" i="7"/>
  <c r="DR51" i="7"/>
  <c r="DS51" i="7"/>
  <c r="DT51" i="7"/>
  <c r="DU51" i="7"/>
  <c r="DQ52" i="7"/>
  <c r="DR52" i="7"/>
  <c r="DS52" i="7"/>
  <c r="DT52" i="7"/>
  <c r="DU52" i="7"/>
  <c r="DQ53" i="7"/>
  <c r="DR53" i="7"/>
  <c r="DS53" i="7"/>
  <c r="DT53" i="7"/>
  <c r="DU53" i="7"/>
  <c r="DQ54" i="7"/>
  <c r="DR54" i="7"/>
  <c r="DS54" i="7"/>
  <c r="DT54" i="7"/>
  <c r="DU54" i="7"/>
  <c r="DQ55" i="7"/>
  <c r="DR55" i="7"/>
  <c r="DS55" i="7"/>
  <c r="DT55" i="7"/>
  <c r="DU55" i="7"/>
  <c r="DQ56" i="7"/>
  <c r="DR56" i="7"/>
  <c r="DS56" i="7"/>
  <c r="DT56" i="7"/>
  <c r="DU56" i="7"/>
  <c r="DQ57" i="7"/>
  <c r="DR57" i="7"/>
  <c r="DS57" i="7"/>
  <c r="DT57" i="7"/>
  <c r="DU57" i="7"/>
  <c r="DQ58" i="7"/>
  <c r="DR58" i="7"/>
  <c r="DS58" i="7"/>
  <c r="DT58" i="7"/>
  <c r="DU58" i="7"/>
  <c r="DQ59" i="7"/>
  <c r="DR59" i="7"/>
  <c r="DS59" i="7"/>
  <c r="DT59" i="7"/>
  <c r="DU59" i="7"/>
  <c r="DQ60" i="7"/>
  <c r="DR60" i="7"/>
  <c r="DS60" i="7"/>
  <c r="DT60" i="7"/>
  <c r="DU60" i="7"/>
  <c r="DQ61" i="7"/>
  <c r="DR61" i="7"/>
  <c r="DS61" i="7"/>
  <c r="DT61" i="7"/>
  <c r="DU61" i="7"/>
  <c r="DQ62" i="7"/>
  <c r="DR62" i="7"/>
  <c r="DS62" i="7"/>
  <c r="DT62" i="7"/>
  <c r="DU62" i="7"/>
  <c r="DQ63" i="7"/>
  <c r="DR63" i="7"/>
  <c r="DS63" i="7"/>
  <c r="DT63" i="7"/>
  <c r="DU63" i="7"/>
  <c r="DQ64" i="7"/>
  <c r="DR64" i="7"/>
  <c r="DS64" i="7"/>
  <c r="DT64" i="7"/>
  <c r="DU64" i="7"/>
  <c r="DQ65" i="7"/>
  <c r="DR65" i="7"/>
  <c r="DS65" i="7"/>
  <c r="DT65" i="7"/>
  <c r="DU65" i="7"/>
  <c r="DQ66" i="7"/>
  <c r="DR66" i="7"/>
  <c r="DS66" i="7"/>
  <c r="DT66" i="7"/>
  <c r="DU66" i="7"/>
  <c r="DQ67" i="7"/>
  <c r="DR67" i="7"/>
  <c r="DS67" i="7"/>
  <c r="DT67" i="7"/>
  <c r="DU67" i="7"/>
  <c r="DQ68" i="7"/>
  <c r="DR68" i="7"/>
  <c r="DS68" i="7"/>
  <c r="DT68" i="7"/>
  <c r="DU68" i="7"/>
  <c r="DQ69" i="7"/>
  <c r="DR69" i="7"/>
  <c r="DS69" i="7"/>
  <c r="DT69" i="7"/>
  <c r="DU69" i="7"/>
  <c r="DQ70" i="7"/>
  <c r="DR70" i="7"/>
  <c r="DS70" i="7"/>
  <c r="DT70" i="7"/>
  <c r="DU70" i="7"/>
  <c r="DQ71" i="7"/>
  <c r="DR71" i="7"/>
  <c r="DS71" i="7"/>
  <c r="DT71" i="7"/>
  <c r="DU71" i="7"/>
  <c r="DQ72" i="7"/>
  <c r="DR72" i="7"/>
  <c r="DS72" i="7"/>
  <c r="DT72" i="7"/>
  <c r="DU72" i="7"/>
  <c r="DQ73" i="7"/>
  <c r="DR73" i="7"/>
  <c r="DS73" i="7"/>
  <c r="DT73" i="7"/>
  <c r="DU73" i="7"/>
  <c r="DQ74" i="7"/>
  <c r="DR74" i="7"/>
  <c r="DS74" i="7"/>
  <c r="DT74" i="7"/>
  <c r="DU74" i="7"/>
  <c r="DQ75" i="7"/>
  <c r="DR75" i="7"/>
  <c r="DS75" i="7"/>
  <c r="DT75" i="7"/>
  <c r="DU75" i="7"/>
  <c r="DQ76" i="7"/>
  <c r="DR76" i="7"/>
  <c r="DS76" i="7"/>
  <c r="DT76" i="7"/>
  <c r="DU76" i="7"/>
  <c r="DQ77" i="7"/>
  <c r="DR77" i="7"/>
  <c r="DS77" i="7"/>
  <c r="DT77" i="7"/>
  <c r="DU77" i="7"/>
  <c r="DQ78" i="7"/>
  <c r="DR78" i="7"/>
  <c r="DS78" i="7"/>
  <c r="DT78" i="7"/>
  <c r="DU78" i="7"/>
  <c r="DQ79" i="7"/>
  <c r="DR79" i="7"/>
  <c r="DS79" i="7"/>
  <c r="DT79" i="7"/>
  <c r="DU79" i="7"/>
  <c r="DQ80" i="7"/>
  <c r="DR80" i="7"/>
  <c r="DS80" i="7"/>
  <c r="DT80" i="7"/>
  <c r="DU80" i="7"/>
  <c r="DQ81" i="7"/>
  <c r="DR81" i="7"/>
  <c r="DS81" i="7"/>
  <c r="DT81" i="7"/>
  <c r="DU81" i="7"/>
  <c r="DQ82" i="7"/>
  <c r="DR82" i="7"/>
  <c r="DS82" i="7"/>
  <c r="DT82" i="7"/>
  <c r="DU82" i="7"/>
  <c r="DQ83" i="7"/>
  <c r="DR83" i="7"/>
  <c r="DS83" i="7"/>
  <c r="DT83" i="7"/>
  <c r="DU83" i="7"/>
  <c r="DQ84" i="7"/>
  <c r="DR84" i="7"/>
  <c r="DS84" i="7"/>
  <c r="DT84" i="7"/>
  <c r="DU84" i="7"/>
  <c r="DQ85" i="7"/>
  <c r="DR85" i="7"/>
  <c r="DS85" i="7"/>
  <c r="DT85" i="7"/>
  <c r="DU85" i="7"/>
  <c r="DQ86" i="7"/>
  <c r="DR86" i="7"/>
  <c r="DS86" i="7"/>
  <c r="DT86" i="7"/>
  <c r="DU86" i="7"/>
  <c r="DQ87" i="7"/>
  <c r="DR87" i="7"/>
  <c r="DS87" i="7"/>
  <c r="DT87" i="7"/>
  <c r="DU87" i="7"/>
  <c r="DQ88" i="7"/>
  <c r="DR88" i="7"/>
  <c r="DS88" i="7"/>
  <c r="DT88" i="7"/>
  <c r="DU88" i="7"/>
  <c r="DQ89" i="7"/>
  <c r="DR89" i="7"/>
  <c r="DS89" i="7"/>
  <c r="DT89" i="7"/>
  <c r="DU89" i="7"/>
  <c r="DQ90" i="7"/>
  <c r="DR90" i="7"/>
  <c r="DS90" i="7"/>
  <c r="DT90" i="7"/>
  <c r="DU90" i="7"/>
  <c r="DQ91" i="7"/>
  <c r="DR91" i="7"/>
  <c r="DS91" i="7"/>
  <c r="DT91" i="7"/>
  <c r="DU91" i="7"/>
  <c r="DQ92" i="7"/>
  <c r="DR92" i="7"/>
  <c r="DS92" i="7"/>
  <c r="DT92" i="7"/>
  <c r="DU92" i="7"/>
  <c r="DQ93" i="7"/>
  <c r="DR93" i="7"/>
  <c r="DS93" i="7"/>
  <c r="DT93" i="7"/>
  <c r="DU93" i="7"/>
  <c r="DQ94" i="7"/>
  <c r="DR94" i="7"/>
  <c r="DS94" i="7"/>
  <c r="DT94" i="7"/>
  <c r="DU94" i="7"/>
  <c r="DQ95" i="7"/>
  <c r="DR95" i="7"/>
  <c r="DS95" i="7"/>
  <c r="DT95" i="7"/>
  <c r="DU95" i="7"/>
  <c r="DQ96" i="7"/>
  <c r="DR96" i="7"/>
  <c r="DS96" i="7"/>
  <c r="DT96" i="7"/>
  <c r="DU96" i="7"/>
  <c r="DQ97" i="7"/>
  <c r="DR97" i="7"/>
  <c r="DS97" i="7"/>
  <c r="DT97" i="7"/>
  <c r="DU97" i="7"/>
  <c r="DQ98" i="7"/>
  <c r="DR98" i="7"/>
  <c r="DS98" i="7"/>
  <c r="DT98" i="7"/>
  <c r="DU98" i="7"/>
  <c r="DQ99" i="7"/>
  <c r="DR99" i="7"/>
  <c r="DS99" i="7"/>
  <c r="DT99" i="7"/>
  <c r="DU99" i="7"/>
  <c r="DQ100" i="7"/>
  <c r="DR100" i="7"/>
  <c r="DS100" i="7"/>
  <c r="DT100" i="7"/>
  <c r="DU100" i="7"/>
  <c r="DQ101" i="7"/>
  <c r="DR101" i="7"/>
  <c r="DS101" i="7"/>
  <c r="DT101" i="7"/>
  <c r="DU101" i="7"/>
  <c r="DQ102" i="7"/>
  <c r="DR102" i="7"/>
  <c r="DS102" i="7"/>
  <c r="DT102" i="7"/>
  <c r="DU102" i="7"/>
  <c r="DQ103" i="7"/>
  <c r="DR103" i="7"/>
  <c r="DS103" i="7"/>
  <c r="DT103" i="7"/>
  <c r="DU103" i="7"/>
  <c r="DQ104" i="7"/>
  <c r="DR104" i="7"/>
  <c r="DS104" i="7"/>
  <c r="DT104" i="7"/>
  <c r="DU104" i="7"/>
  <c r="DQ105" i="7"/>
  <c r="DR105" i="7"/>
  <c r="DS105" i="7"/>
  <c r="DT105" i="7"/>
  <c r="DU105" i="7"/>
  <c r="DQ106" i="7"/>
  <c r="DR106" i="7"/>
  <c r="DS106" i="7"/>
  <c r="DT106" i="7"/>
  <c r="DU106" i="7"/>
  <c r="DQ107" i="7"/>
  <c r="DR107" i="7"/>
  <c r="DS107" i="7"/>
  <c r="DT107" i="7"/>
  <c r="DU107" i="7"/>
  <c r="DQ108" i="7"/>
  <c r="DR108" i="7"/>
  <c r="DS108" i="7"/>
  <c r="DT108" i="7"/>
  <c r="DU108" i="7"/>
  <c r="DQ109" i="7"/>
  <c r="DR109" i="7"/>
  <c r="DS109" i="7"/>
  <c r="DT109" i="7"/>
  <c r="DU109" i="7"/>
  <c r="DQ110" i="7"/>
  <c r="DR110" i="7"/>
  <c r="DS110" i="7"/>
  <c r="DT110" i="7"/>
  <c r="DU110" i="7"/>
  <c r="DQ111" i="7"/>
  <c r="DR111" i="7"/>
  <c r="DS111" i="7"/>
  <c r="DT111" i="7"/>
  <c r="DU111" i="7"/>
  <c r="DQ112" i="7"/>
  <c r="DR112" i="7"/>
  <c r="DS112" i="7"/>
  <c r="DT112" i="7"/>
  <c r="DU112" i="7"/>
  <c r="DQ113" i="7"/>
  <c r="DR113" i="7"/>
  <c r="DS113" i="7"/>
  <c r="DT113" i="7"/>
  <c r="DU113" i="7"/>
  <c r="DQ114" i="7"/>
  <c r="DR114" i="7"/>
  <c r="DS114" i="7"/>
  <c r="DT114" i="7"/>
  <c r="DU114" i="7"/>
  <c r="DQ115" i="7"/>
  <c r="DR115" i="7"/>
  <c r="DS115" i="7"/>
  <c r="DT115" i="7"/>
  <c r="DU115" i="7"/>
  <c r="DQ116" i="7"/>
  <c r="DR116" i="7"/>
  <c r="DS116" i="7"/>
  <c r="DT116" i="7"/>
  <c r="DU116" i="7"/>
  <c r="DQ117" i="7"/>
  <c r="DR117" i="7"/>
  <c r="DS117" i="7"/>
  <c r="DT117" i="7"/>
  <c r="DU117" i="7"/>
  <c r="DQ118" i="7"/>
  <c r="DR118" i="7"/>
  <c r="DS118" i="7"/>
  <c r="DT118" i="7"/>
  <c r="DU118" i="7"/>
  <c r="DQ119" i="7"/>
  <c r="DR119" i="7"/>
  <c r="DS119" i="7"/>
  <c r="DT119" i="7"/>
  <c r="DU119" i="7"/>
  <c r="DQ120" i="7"/>
  <c r="DR120" i="7"/>
  <c r="DS120" i="7"/>
  <c r="DT120" i="7"/>
  <c r="DU120" i="7"/>
  <c r="DQ121" i="7"/>
  <c r="DR121" i="7"/>
  <c r="DS121" i="7"/>
  <c r="DT121" i="7"/>
  <c r="DU121" i="7"/>
  <c r="DQ122" i="7"/>
  <c r="DR122" i="7"/>
  <c r="DS122" i="7"/>
  <c r="DT122" i="7"/>
  <c r="DU122" i="7"/>
  <c r="DQ123" i="7"/>
  <c r="DR123" i="7"/>
  <c r="DS123" i="7"/>
  <c r="DT123" i="7"/>
  <c r="DU123" i="7"/>
  <c r="DQ124" i="7"/>
  <c r="DR124" i="7"/>
  <c r="DS124" i="7"/>
  <c r="DT124" i="7"/>
  <c r="DU124" i="7"/>
  <c r="DQ125" i="7"/>
  <c r="DR125" i="7"/>
  <c r="DS125" i="7"/>
  <c r="DT125" i="7"/>
  <c r="DU125" i="7"/>
  <c r="DQ126" i="7"/>
  <c r="DR126" i="7"/>
  <c r="DS126" i="7"/>
  <c r="DT126" i="7"/>
  <c r="DU126" i="7"/>
  <c r="DQ127" i="7"/>
  <c r="DR127" i="7"/>
  <c r="DS127" i="7"/>
  <c r="DT127" i="7"/>
  <c r="DU127" i="7"/>
  <c r="DQ128" i="7"/>
  <c r="DR128" i="7"/>
  <c r="DS128" i="7"/>
  <c r="DT128" i="7"/>
  <c r="DU128" i="7"/>
  <c r="DQ129" i="7"/>
  <c r="DR129" i="7"/>
  <c r="DS129" i="7"/>
  <c r="DT129" i="7"/>
  <c r="DU129" i="7"/>
  <c r="DQ130" i="7"/>
  <c r="DR130" i="7"/>
  <c r="DS130" i="7"/>
  <c r="DT130" i="7"/>
  <c r="DU130" i="7"/>
  <c r="DQ131" i="7"/>
  <c r="DR131" i="7"/>
  <c r="DS131" i="7"/>
  <c r="DT131" i="7"/>
  <c r="DU131" i="7"/>
  <c r="DQ132" i="7"/>
  <c r="DR132" i="7"/>
  <c r="DS132" i="7"/>
  <c r="DT132" i="7"/>
  <c r="DU132" i="7"/>
  <c r="DQ133" i="7"/>
  <c r="DR133" i="7"/>
  <c r="DS133" i="7"/>
  <c r="DT133" i="7"/>
  <c r="DU133" i="7"/>
  <c r="DQ134" i="7"/>
  <c r="DR134" i="7"/>
  <c r="DS134" i="7"/>
  <c r="DT134" i="7"/>
  <c r="DU134" i="7"/>
  <c r="DQ135" i="7"/>
  <c r="DR135" i="7"/>
  <c r="DS135" i="7"/>
  <c r="DT135" i="7"/>
  <c r="DU135" i="7"/>
  <c r="DQ136" i="7"/>
  <c r="DR136" i="7"/>
  <c r="DS136" i="7"/>
  <c r="DT136" i="7"/>
  <c r="DU136" i="7"/>
  <c r="DQ137" i="7"/>
  <c r="DR137" i="7"/>
  <c r="DS137" i="7"/>
  <c r="DT137" i="7"/>
  <c r="DU137" i="7"/>
  <c r="DQ138" i="7"/>
  <c r="DR138" i="7"/>
  <c r="DS138" i="7"/>
  <c r="DT138" i="7"/>
  <c r="DU138" i="7"/>
  <c r="DQ139" i="7"/>
  <c r="DR139" i="7"/>
  <c r="DS139" i="7"/>
  <c r="DT139" i="7"/>
  <c r="DU139" i="7"/>
  <c r="DQ140" i="7"/>
  <c r="DR140" i="7"/>
  <c r="DS140" i="7"/>
  <c r="DT140" i="7"/>
  <c r="DU140" i="7"/>
  <c r="DQ141" i="7"/>
  <c r="DR141" i="7"/>
  <c r="DS141" i="7"/>
  <c r="DT141" i="7"/>
  <c r="DU141" i="7"/>
  <c r="DQ142" i="7"/>
  <c r="DR142" i="7"/>
  <c r="DS142" i="7"/>
  <c r="DT142" i="7"/>
  <c r="DU142" i="7"/>
  <c r="DQ143" i="7"/>
  <c r="DR143" i="7"/>
  <c r="DS143" i="7"/>
  <c r="DT143" i="7"/>
  <c r="DU143" i="7"/>
  <c r="DQ144" i="7"/>
  <c r="DR144" i="7"/>
  <c r="DS144" i="7"/>
  <c r="DT144" i="7"/>
  <c r="DU144" i="7"/>
  <c r="DQ145" i="7"/>
  <c r="DR145" i="7"/>
  <c r="DS145" i="7"/>
  <c r="DT145" i="7"/>
  <c r="DU145" i="7"/>
  <c r="DQ146" i="7"/>
  <c r="DR146" i="7"/>
  <c r="DS146" i="7"/>
  <c r="DT146" i="7"/>
  <c r="DU146" i="7"/>
  <c r="DQ147" i="7"/>
  <c r="DR147" i="7"/>
  <c r="DS147" i="7"/>
  <c r="DT147" i="7"/>
  <c r="DU147" i="7"/>
  <c r="DQ148" i="7"/>
  <c r="DR148" i="7"/>
  <c r="DS148" i="7"/>
  <c r="DT148" i="7"/>
  <c r="DU148" i="7"/>
  <c r="DQ149" i="7"/>
  <c r="DR149" i="7"/>
  <c r="DS149" i="7"/>
  <c r="DT149" i="7"/>
  <c r="DU149" i="7"/>
  <c r="DQ150" i="7"/>
  <c r="DR150" i="7"/>
  <c r="DS150" i="7"/>
  <c r="DT150" i="7"/>
  <c r="DU150" i="7"/>
  <c r="DQ151" i="7"/>
  <c r="DR151" i="7"/>
  <c r="DS151" i="7"/>
  <c r="DT151" i="7"/>
  <c r="DU151" i="7"/>
  <c r="DQ152" i="7"/>
  <c r="DR152" i="7"/>
  <c r="DS152" i="7"/>
  <c r="DT152" i="7"/>
  <c r="DU152" i="7"/>
  <c r="DQ153" i="7"/>
  <c r="DR153" i="7"/>
  <c r="DS153" i="7"/>
  <c r="DT153" i="7"/>
  <c r="DU153" i="7"/>
  <c r="DQ154" i="7"/>
  <c r="DR154" i="7"/>
  <c r="DS154" i="7"/>
  <c r="DT154" i="7"/>
  <c r="DU154" i="7"/>
  <c r="DQ155" i="7"/>
  <c r="DR155" i="7"/>
  <c r="DS155" i="7"/>
  <c r="DT155" i="7"/>
  <c r="DU155" i="7"/>
  <c r="DQ156" i="7"/>
  <c r="DR156" i="7"/>
  <c r="DS156" i="7"/>
  <c r="DT156" i="7"/>
  <c r="DU156" i="7"/>
  <c r="DQ157" i="7"/>
  <c r="DR157" i="7"/>
  <c r="DS157" i="7"/>
  <c r="DT157" i="7"/>
  <c r="DU157" i="7"/>
  <c r="DQ158" i="7"/>
  <c r="DR158" i="7"/>
  <c r="DS158" i="7"/>
  <c r="DT158" i="7"/>
  <c r="DU158" i="7"/>
  <c r="DQ159" i="7"/>
  <c r="DR159" i="7"/>
  <c r="DS159" i="7"/>
  <c r="DT159" i="7"/>
  <c r="DU159" i="7"/>
  <c r="DQ160" i="7"/>
  <c r="DR160" i="7"/>
  <c r="DS160" i="7"/>
  <c r="DT160" i="7"/>
  <c r="DU160" i="7"/>
  <c r="DQ161" i="7"/>
  <c r="DR161" i="7"/>
  <c r="DS161" i="7"/>
  <c r="DT161" i="7"/>
  <c r="DU161" i="7"/>
  <c r="DQ162" i="7"/>
  <c r="DR162" i="7"/>
  <c r="DS162" i="7"/>
  <c r="DT162" i="7"/>
  <c r="DU162" i="7"/>
  <c r="DQ163" i="7"/>
  <c r="DR163" i="7"/>
  <c r="DS163" i="7"/>
  <c r="DT163" i="7"/>
  <c r="DU163" i="7"/>
  <c r="DQ164" i="7"/>
  <c r="DR164" i="7"/>
  <c r="DS164" i="7"/>
  <c r="DT164" i="7"/>
  <c r="DU164" i="7"/>
  <c r="DQ165" i="7"/>
  <c r="DR165" i="7"/>
  <c r="DS165" i="7"/>
  <c r="DT165" i="7"/>
  <c r="DU165" i="7"/>
  <c r="DQ166" i="7"/>
  <c r="DR166" i="7"/>
  <c r="DS166" i="7"/>
  <c r="DT166" i="7"/>
  <c r="DU166" i="7"/>
  <c r="DQ167" i="7"/>
  <c r="DR167" i="7"/>
  <c r="DS167" i="7"/>
  <c r="DT167" i="7"/>
  <c r="DU167" i="7"/>
  <c r="DQ168" i="7"/>
  <c r="DR168" i="7"/>
  <c r="DS168" i="7"/>
  <c r="DT168" i="7"/>
  <c r="DU168" i="7"/>
  <c r="DQ169" i="7"/>
  <c r="DR169" i="7"/>
  <c r="DS169" i="7"/>
  <c r="DT169" i="7"/>
  <c r="DU169" i="7"/>
  <c r="DQ170" i="7"/>
  <c r="DR170" i="7"/>
  <c r="DS170" i="7"/>
  <c r="DT170" i="7"/>
  <c r="DU170" i="7"/>
  <c r="DQ171" i="7"/>
  <c r="DR171" i="7"/>
  <c r="DS171" i="7"/>
  <c r="DT171" i="7"/>
  <c r="DU171" i="7"/>
  <c r="DQ172" i="7"/>
  <c r="DR172" i="7"/>
  <c r="DS172" i="7"/>
  <c r="DT172" i="7"/>
  <c r="DU172" i="7"/>
  <c r="DQ173" i="7"/>
  <c r="DR173" i="7"/>
  <c r="DS173" i="7"/>
  <c r="DT173" i="7"/>
  <c r="DU173" i="7"/>
  <c r="DQ174" i="7"/>
  <c r="DR174" i="7"/>
  <c r="DS174" i="7"/>
  <c r="DT174" i="7"/>
  <c r="DU174" i="7"/>
  <c r="DQ175" i="7"/>
  <c r="DR175" i="7"/>
  <c r="DS175" i="7"/>
  <c r="DT175" i="7"/>
  <c r="DU175" i="7"/>
  <c r="DQ176" i="7"/>
  <c r="DR176" i="7"/>
  <c r="DS176" i="7"/>
  <c r="DT176" i="7"/>
  <c r="DU176" i="7"/>
  <c r="DQ177" i="7"/>
  <c r="DR177" i="7"/>
  <c r="DS177" i="7"/>
  <c r="DT177" i="7"/>
  <c r="DU177" i="7"/>
  <c r="DQ178" i="7"/>
  <c r="DR178" i="7"/>
  <c r="DS178" i="7"/>
  <c r="DT178" i="7"/>
  <c r="DU178" i="7"/>
  <c r="DQ179" i="7"/>
  <c r="DR179" i="7"/>
  <c r="DS179" i="7"/>
  <c r="DT179" i="7"/>
  <c r="DU179" i="7"/>
  <c r="DQ180" i="7"/>
  <c r="DR180" i="7"/>
  <c r="DS180" i="7"/>
  <c r="DT180" i="7"/>
  <c r="DU180" i="7"/>
  <c r="DQ181" i="7"/>
  <c r="DR181" i="7"/>
  <c r="DS181" i="7"/>
  <c r="DT181" i="7"/>
  <c r="DU181" i="7"/>
  <c r="DQ182" i="7"/>
  <c r="DR182" i="7"/>
  <c r="DS182" i="7"/>
  <c r="DT182" i="7"/>
  <c r="DU182" i="7"/>
  <c r="DQ183" i="7"/>
  <c r="DR183" i="7"/>
  <c r="DS183" i="7"/>
  <c r="DT183" i="7"/>
  <c r="DU183" i="7"/>
  <c r="DQ184" i="7"/>
  <c r="DR184" i="7"/>
  <c r="DS184" i="7"/>
  <c r="DT184" i="7"/>
  <c r="DU184" i="7"/>
  <c r="DQ185" i="7"/>
  <c r="DR185" i="7"/>
  <c r="DS185" i="7"/>
  <c r="DT185" i="7"/>
  <c r="DU185" i="7"/>
  <c r="DQ186" i="7"/>
  <c r="DR186" i="7"/>
  <c r="DS186" i="7"/>
  <c r="DT186" i="7"/>
  <c r="DU186" i="7"/>
  <c r="DQ187" i="7"/>
  <c r="DR187" i="7"/>
  <c r="DS187" i="7"/>
  <c r="DT187" i="7"/>
  <c r="DU187" i="7"/>
  <c r="DQ188" i="7"/>
  <c r="DR188" i="7"/>
  <c r="DS188" i="7"/>
  <c r="DT188" i="7"/>
  <c r="DU188" i="7"/>
  <c r="DQ189" i="7"/>
  <c r="DR189" i="7"/>
  <c r="DS189" i="7"/>
  <c r="DT189" i="7"/>
  <c r="DU189" i="7"/>
  <c r="DQ190" i="7"/>
  <c r="DR190" i="7"/>
  <c r="DS190" i="7"/>
  <c r="DT190" i="7"/>
  <c r="DU190" i="7"/>
  <c r="DQ191" i="7"/>
  <c r="DR191" i="7"/>
  <c r="DS191" i="7"/>
  <c r="DT191" i="7"/>
  <c r="DU191" i="7"/>
  <c r="DQ192" i="7"/>
  <c r="DR192" i="7"/>
  <c r="DS192" i="7"/>
  <c r="DT192" i="7"/>
  <c r="DU192" i="7"/>
  <c r="DQ193" i="7"/>
  <c r="DR193" i="7"/>
  <c r="DS193" i="7"/>
  <c r="DT193" i="7"/>
  <c r="DU193" i="7"/>
  <c r="DQ194" i="7"/>
  <c r="DR194" i="7"/>
  <c r="DS194" i="7"/>
  <c r="DT194" i="7"/>
  <c r="DU194" i="7"/>
  <c r="DQ195" i="7"/>
  <c r="DR195" i="7"/>
  <c r="DS195" i="7"/>
  <c r="DT195" i="7"/>
  <c r="DU195" i="7"/>
  <c r="DQ196" i="7"/>
  <c r="DR196" i="7"/>
  <c r="DS196" i="7"/>
  <c r="DT196" i="7"/>
  <c r="DU196" i="7"/>
  <c r="DQ197" i="7"/>
  <c r="DR197" i="7"/>
  <c r="DS197" i="7"/>
  <c r="DT197" i="7"/>
  <c r="DU197" i="7"/>
  <c r="DQ198" i="7"/>
  <c r="DR198" i="7"/>
  <c r="DS198" i="7"/>
  <c r="DT198" i="7"/>
  <c r="DU198" i="7"/>
  <c r="DQ199" i="7"/>
  <c r="DR199" i="7"/>
  <c r="DS199" i="7"/>
  <c r="DT199" i="7"/>
  <c r="DU199" i="7"/>
  <c r="DQ200" i="7"/>
  <c r="DR200" i="7"/>
  <c r="DS200" i="7"/>
  <c r="DT200" i="7"/>
  <c r="DU200" i="7"/>
  <c r="DQ201" i="7"/>
  <c r="DR201" i="7"/>
  <c r="DS201" i="7"/>
  <c r="DT201" i="7"/>
  <c r="DU201" i="7"/>
  <c r="DQ202" i="7"/>
  <c r="DR202" i="7"/>
  <c r="DS202" i="7"/>
  <c r="DT202" i="7"/>
  <c r="DU202" i="7"/>
  <c r="DQ203" i="7"/>
  <c r="DR203" i="7"/>
  <c r="DS203" i="7"/>
  <c r="DT203" i="7"/>
  <c r="DU203" i="7"/>
  <c r="DQ204" i="7"/>
  <c r="DR204" i="7"/>
  <c r="DS204" i="7"/>
  <c r="DT204" i="7"/>
  <c r="DU204" i="7"/>
  <c r="DQ205" i="7"/>
  <c r="DR205" i="7"/>
  <c r="DS205" i="7"/>
  <c r="DT205" i="7"/>
  <c r="DU205" i="7"/>
  <c r="DQ206" i="7"/>
  <c r="DR206" i="7"/>
  <c r="DS206" i="7"/>
  <c r="DT206" i="7"/>
  <c r="DU206" i="7"/>
  <c r="DQ207" i="7"/>
  <c r="DR207" i="7"/>
  <c r="DS207" i="7"/>
  <c r="DT207" i="7"/>
  <c r="DU207" i="7"/>
  <c r="DQ208" i="7"/>
  <c r="DR208" i="7"/>
  <c r="DS208" i="7"/>
  <c r="DT208" i="7"/>
  <c r="DU208" i="7"/>
  <c r="DQ209" i="7"/>
  <c r="DR209" i="7"/>
  <c r="DS209" i="7"/>
  <c r="DT209" i="7"/>
  <c r="DU209" i="7"/>
  <c r="DQ210" i="7"/>
  <c r="DR210" i="7"/>
  <c r="DS210" i="7"/>
  <c r="DT210" i="7"/>
  <c r="DU210" i="7"/>
  <c r="DQ211" i="7"/>
  <c r="DR211" i="7"/>
  <c r="DS211" i="7"/>
  <c r="DT211" i="7"/>
  <c r="DU211" i="7"/>
  <c r="DQ212" i="7"/>
  <c r="DR212" i="7"/>
  <c r="DS212" i="7"/>
  <c r="DT212" i="7"/>
  <c r="DU212" i="7"/>
  <c r="DQ213" i="7"/>
  <c r="DR213" i="7"/>
  <c r="DS213" i="7"/>
  <c r="DT213" i="7"/>
  <c r="DU213" i="7"/>
  <c r="DQ214" i="7"/>
  <c r="DR214" i="7"/>
  <c r="DS214" i="7"/>
  <c r="DT214" i="7"/>
  <c r="DU214" i="7"/>
  <c r="DQ215" i="7"/>
  <c r="DR215" i="7"/>
  <c r="DS215" i="7"/>
  <c r="DT215" i="7"/>
  <c r="DU215" i="7"/>
  <c r="DQ216" i="7"/>
  <c r="DR216" i="7"/>
  <c r="DS216" i="7"/>
  <c r="DT216" i="7"/>
  <c r="DU216" i="7"/>
  <c r="DQ217" i="7"/>
  <c r="DR217" i="7"/>
  <c r="DS217" i="7"/>
  <c r="DT217" i="7"/>
  <c r="DU217" i="7"/>
  <c r="DQ218" i="7"/>
  <c r="DR218" i="7"/>
  <c r="DS218" i="7"/>
  <c r="DT218" i="7"/>
  <c r="DU218" i="7"/>
  <c r="DQ219" i="7"/>
  <c r="DR219" i="7"/>
  <c r="DS219" i="7"/>
  <c r="DT219" i="7"/>
  <c r="DU219" i="7"/>
  <c r="DQ220" i="7"/>
  <c r="DR220" i="7"/>
  <c r="DS220" i="7"/>
  <c r="DT220" i="7"/>
  <c r="DU220" i="7"/>
  <c r="DQ221" i="7"/>
  <c r="DR221" i="7"/>
  <c r="DS221" i="7"/>
  <c r="DT221" i="7"/>
  <c r="DU221" i="7"/>
  <c r="DQ222" i="7"/>
  <c r="DR222" i="7"/>
  <c r="DS222" i="7"/>
  <c r="DT222" i="7"/>
  <c r="DU222" i="7"/>
  <c r="DQ223" i="7"/>
  <c r="DR223" i="7"/>
  <c r="DS223" i="7"/>
  <c r="DT223" i="7"/>
  <c r="DU223" i="7"/>
  <c r="DQ224" i="7"/>
  <c r="DR224" i="7"/>
  <c r="DS224" i="7"/>
  <c r="DT224" i="7"/>
  <c r="DU224" i="7"/>
  <c r="DQ225" i="7"/>
  <c r="DR225" i="7"/>
  <c r="DS225" i="7"/>
  <c r="DT225" i="7"/>
  <c r="DU225" i="7"/>
  <c r="DQ226" i="7"/>
  <c r="DR226" i="7"/>
  <c r="DS226" i="7"/>
  <c r="DT226" i="7"/>
  <c r="DU226" i="7"/>
  <c r="DQ227" i="7"/>
  <c r="DR227" i="7"/>
  <c r="DS227" i="7"/>
  <c r="DT227" i="7"/>
  <c r="DU227" i="7"/>
  <c r="DQ228" i="7"/>
  <c r="DR228" i="7"/>
  <c r="DS228" i="7"/>
  <c r="DT228" i="7"/>
  <c r="DU228" i="7"/>
  <c r="DQ229" i="7"/>
  <c r="DR229" i="7"/>
  <c r="DS229" i="7"/>
  <c r="DT229" i="7"/>
  <c r="DU229" i="7"/>
  <c r="DQ230" i="7"/>
  <c r="DR230" i="7"/>
  <c r="DS230" i="7"/>
  <c r="DT230" i="7"/>
  <c r="DU230" i="7"/>
  <c r="DQ231" i="7"/>
  <c r="DR231" i="7"/>
  <c r="DS231" i="7"/>
  <c r="DT231" i="7"/>
  <c r="DU231" i="7"/>
  <c r="DQ232" i="7"/>
  <c r="DR232" i="7"/>
  <c r="DS232" i="7"/>
  <c r="DT232" i="7"/>
  <c r="DU232" i="7"/>
  <c r="DQ233" i="7"/>
  <c r="DR233" i="7"/>
  <c r="DS233" i="7"/>
  <c r="DT233" i="7"/>
  <c r="DU233" i="7"/>
  <c r="DQ234" i="7"/>
  <c r="DR234" i="7"/>
  <c r="DS234" i="7"/>
  <c r="DT234" i="7"/>
  <c r="DU234" i="7"/>
  <c r="DQ235" i="7"/>
  <c r="DR235" i="7"/>
  <c r="DS235" i="7"/>
  <c r="DT235" i="7"/>
  <c r="DU235" i="7"/>
  <c r="DQ236" i="7"/>
  <c r="DR236" i="7"/>
  <c r="DS236" i="7"/>
  <c r="DT236" i="7"/>
  <c r="DU236" i="7"/>
  <c r="DQ237" i="7"/>
  <c r="DR237" i="7"/>
  <c r="DS237" i="7"/>
  <c r="DT237" i="7"/>
  <c r="DU237" i="7"/>
  <c r="DQ238" i="7"/>
  <c r="DR238" i="7"/>
  <c r="DS238" i="7"/>
  <c r="DT238" i="7"/>
  <c r="DU238" i="7"/>
  <c r="DQ239" i="7"/>
  <c r="DR239" i="7"/>
  <c r="DS239" i="7"/>
  <c r="DT239" i="7"/>
  <c r="DU239" i="7"/>
  <c r="DQ240" i="7"/>
  <c r="DR240" i="7"/>
  <c r="DS240" i="7"/>
  <c r="DT240" i="7"/>
  <c r="DU240" i="7"/>
  <c r="DQ241" i="7"/>
  <c r="DR241" i="7"/>
  <c r="DS241" i="7"/>
  <c r="DT241" i="7"/>
  <c r="DU241" i="7"/>
  <c r="DQ242" i="7"/>
  <c r="DR242" i="7"/>
  <c r="DS242" i="7"/>
  <c r="DT242" i="7"/>
  <c r="DU242" i="7"/>
  <c r="DQ243" i="7"/>
  <c r="DR243" i="7"/>
  <c r="DS243" i="7"/>
  <c r="DT243" i="7"/>
  <c r="DU243" i="7"/>
  <c r="DQ244" i="7"/>
  <c r="DR244" i="7"/>
  <c r="DS244" i="7"/>
  <c r="DT244" i="7"/>
  <c r="DU244" i="7"/>
  <c r="DQ245" i="7"/>
  <c r="DR245" i="7"/>
  <c r="DS245" i="7"/>
  <c r="DT245" i="7"/>
  <c r="DU245" i="7"/>
  <c r="DQ246" i="7"/>
  <c r="DR246" i="7"/>
  <c r="DS246" i="7"/>
  <c r="DT246" i="7"/>
  <c r="DU246" i="7"/>
  <c r="DQ247" i="7"/>
  <c r="DR247" i="7"/>
  <c r="DS247" i="7"/>
  <c r="DT247" i="7"/>
  <c r="DU247" i="7"/>
  <c r="DQ248" i="7"/>
  <c r="DR248" i="7"/>
  <c r="DS248" i="7"/>
  <c r="DT248" i="7"/>
  <c r="DU248" i="7"/>
  <c r="DQ249" i="7"/>
  <c r="DR249" i="7"/>
  <c r="DS249" i="7"/>
  <c r="DT249" i="7"/>
  <c r="DU249" i="7"/>
  <c r="DQ250" i="7"/>
  <c r="DR250" i="7"/>
  <c r="DS250" i="7"/>
  <c r="DT250" i="7"/>
  <c r="DU250" i="7"/>
  <c r="DQ251" i="7"/>
  <c r="DR251" i="7"/>
  <c r="DS251" i="7"/>
  <c r="DT251" i="7"/>
  <c r="DU251" i="7"/>
  <c r="DQ252" i="7"/>
  <c r="DR252" i="7"/>
  <c r="DS252" i="7"/>
  <c r="DT252" i="7"/>
  <c r="DU252" i="7"/>
  <c r="DQ253" i="7"/>
  <c r="DR253" i="7"/>
  <c r="DS253" i="7"/>
  <c r="DT253" i="7"/>
  <c r="DU253" i="7"/>
  <c r="DQ254" i="7"/>
  <c r="DR254" i="7"/>
  <c r="DS254" i="7"/>
  <c r="DT254" i="7"/>
  <c r="DU254" i="7"/>
  <c r="DQ255" i="7"/>
  <c r="DR255" i="7"/>
  <c r="DS255" i="7"/>
  <c r="DT255" i="7"/>
  <c r="DU255" i="7"/>
  <c r="DQ256" i="7"/>
  <c r="DR256" i="7"/>
  <c r="DS256" i="7"/>
  <c r="DT256" i="7"/>
  <c r="DU256" i="7"/>
  <c r="DQ257" i="7"/>
  <c r="DR257" i="7"/>
  <c r="DS257" i="7"/>
  <c r="DT257" i="7"/>
  <c r="DU257" i="7"/>
  <c r="DQ258" i="7"/>
  <c r="DR258" i="7"/>
  <c r="DS258" i="7"/>
  <c r="DT258" i="7"/>
  <c r="DU258" i="7"/>
  <c r="DQ259" i="7"/>
  <c r="DR259" i="7"/>
  <c r="DS259" i="7"/>
  <c r="DT259" i="7"/>
  <c r="DU259" i="7"/>
  <c r="DQ260" i="7"/>
  <c r="DR260" i="7"/>
  <c r="DS260" i="7"/>
  <c r="DT260" i="7"/>
  <c r="DU260" i="7"/>
  <c r="DQ261" i="7"/>
  <c r="DR261" i="7"/>
  <c r="DS261" i="7"/>
  <c r="DT261" i="7"/>
  <c r="DU261" i="7"/>
  <c r="DQ262" i="7"/>
  <c r="DR262" i="7"/>
  <c r="DS262" i="7"/>
  <c r="DT262" i="7"/>
  <c r="DU262" i="7"/>
  <c r="DQ263" i="7"/>
  <c r="DR263" i="7"/>
  <c r="DS263" i="7"/>
  <c r="DT263" i="7"/>
  <c r="DU263" i="7"/>
  <c r="DQ264" i="7"/>
  <c r="DR264" i="7"/>
  <c r="DS264" i="7"/>
  <c r="DT264" i="7"/>
  <c r="DU264" i="7"/>
  <c r="DQ265" i="7"/>
  <c r="DR265" i="7"/>
  <c r="DS265" i="7"/>
  <c r="DT265" i="7"/>
  <c r="DU265" i="7"/>
  <c r="DQ266" i="7"/>
  <c r="DR266" i="7"/>
  <c r="DS266" i="7"/>
  <c r="DT266" i="7"/>
  <c r="DU266" i="7"/>
  <c r="DQ267" i="7"/>
  <c r="DR267" i="7"/>
  <c r="DS267" i="7"/>
  <c r="DT267" i="7"/>
  <c r="DU267" i="7"/>
  <c r="DQ268" i="7"/>
  <c r="DR268" i="7"/>
  <c r="DS268" i="7"/>
  <c r="DT268" i="7"/>
  <c r="DU268" i="7"/>
  <c r="DQ269" i="7"/>
  <c r="DR269" i="7"/>
  <c r="DS269" i="7"/>
  <c r="DT269" i="7"/>
  <c r="DU269" i="7"/>
  <c r="DQ270" i="7"/>
  <c r="DR270" i="7"/>
  <c r="DS270" i="7"/>
  <c r="DT270" i="7"/>
  <c r="DU270" i="7"/>
  <c r="DQ271" i="7"/>
  <c r="DR271" i="7"/>
  <c r="DS271" i="7"/>
  <c r="DT271" i="7"/>
  <c r="DU271" i="7"/>
  <c r="DQ272" i="7"/>
  <c r="DR272" i="7"/>
  <c r="DS272" i="7"/>
  <c r="DT272" i="7"/>
  <c r="DU272" i="7"/>
  <c r="DQ273" i="7"/>
  <c r="DR273" i="7"/>
  <c r="DS273" i="7"/>
  <c r="DT273" i="7"/>
  <c r="DU273" i="7"/>
  <c r="DQ274" i="7"/>
  <c r="DR274" i="7"/>
  <c r="DS274" i="7"/>
  <c r="DT274" i="7"/>
  <c r="DU274" i="7"/>
  <c r="DQ275" i="7"/>
  <c r="DR275" i="7"/>
  <c r="DS275" i="7"/>
  <c r="DT275" i="7"/>
  <c r="DU275" i="7"/>
  <c r="DQ276" i="7"/>
  <c r="DR276" i="7"/>
  <c r="DS276" i="7"/>
  <c r="DT276" i="7"/>
  <c r="DU276" i="7"/>
  <c r="DQ277" i="7"/>
  <c r="DR277" i="7"/>
  <c r="DS277" i="7"/>
  <c r="DT277" i="7"/>
  <c r="DU277" i="7"/>
  <c r="DQ278" i="7"/>
  <c r="DR278" i="7"/>
  <c r="DS278" i="7"/>
  <c r="DT278" i="7"/>
  <c r="DU278" i="7"/>
  <c r="DQ279" i="7"/>
  <c r="DR279" i="7"/>
  <c r="DS279" i="7"/>
  <c r="DT279" i="7"/>
  <c r="DU279" i="7"/>
  <c r="DQ280" i="7"/>
  <c r="DR280" i="7"/>
  <c r="DS280" i="7"/>
  <c r="DT280" i="7"/>
  <c r="DU280" i="7"/>
  <c r="DQ281" i="7"/>
  <c r="DR281" i="7"/>
  <c r="DS281" i="7"/>
  <c r="DT281" i="7"/>
  <c r="DU281" i="7"/>
  <c r="DQ282" i="7"/>
  <c r="DR282" i="7"/>
  <c r="DS282" i="7"/>
  <c r="DT282" i="7"/>
  <c r="DU282" i="7"/>
  <c r="DQ283" i="7"/>
  <c r="DR283" i="7"/>
  <c r="DS283" i="7"/>
  <c r="DT283" i="7"/>
  <c r="DU283" i="7"/>
  <c r="DQ284" i="7"/>
  <c r="DR284" i="7"/>
  <c r="DS284" i="7"/>
  <c r="DT284" i="7"/>
  <c r="DU284" i="7"/>
  <c r="DQ285" i="7"/>
  <c r="DR285" i="7"/>
  <c r="DS285" i="7"/>
  <c r="DT285" i="7"/>
  <c r="DU285" i="7"/>
  <c r="DQ286" i="7"/>
  <c r="DR286" i="7"/>
  <c r="DS286" i="7"/>
  <c r="DT286" i="7"/>
  <c r="DU286" i="7"/>
  <c r="DQ287" i="7"/>
  <c r="DR287" i="7"/>
  <c r="DS287" i="7"/>
  <c r="DT287" i="7"/>
  <c r="DU287" i="7"/>
  <c r="DQ288" i="7"/>
  <c r="DR288" i="7"/>
  <c r="DS288" i="7"/>
  <c r="DT288" i="7"/>
  <c r="DU288" i="7"/>
  <c r="DQ289" i="7"/>
  <c r="DR289" i="7"/>
  <c r="DS289" i="7"/>
  <c r="DT289" i="7"/>
  <c r="DU289" i="7"/>
  <c r="DQ290" i="7"/>
  <c r="DR290" i="7"/>
  <c r="DS290" i="7"/>
  <c r="DT290" i="7"/>
  <c r="DU290" i="7"/>
  <c r="DQ291" i="7"/>
  <c r="DR291" i="7"/>
  <c r="DS291" i="7"/>
  <c r="DT291" i="7"/>
  <c r="DU291" i="7"/>
  <c r="DQ292" i="7"/>
  <c r="DR292" i="7"/>
  <c r="DS292" i="7"/>
  <c r="DT292" i="7"/>
  <c r="DU292" i="7"/>
  <c r="DQ293" i="7"/>
  <c r="DR293" i="7"/>
  <c r="DS293" i="7"/>
  <c r="DT293" i="7"/>
  <c r="DU293" i="7"/>
  <c r="DQ294" i="7"/>
  <c r="DR294" i="7"/>
  <c r="DS294" i="7"/>
  <c r="DT294" i="7"/>
  <c r="DU294" i="7"/>
  <c r="DQ295" i="7"/>
  <c r="DR295" i="7"/>
  <c r="DS295" i="7"/>
  <c r="DT295" i="7"/>
  <c r="DU295" i="7"/>
  <c r="DQ296" i="7"/>
  <c r="DR296" i="7"/>
  <c r="DS296" i="7"/>
  <c r="DT296" i="7"/>
  <c r="DU296" i="7"/>
  <c r="DQ297" i="7"/>
  <c r="DR297" i="7"/>
  <c r="DS297" i="7"/>
  <c r="DT297" i="7"/>
  <c r="DU297" i="7"/>
  <c r="DQ298" i="7"/>
  <c r="DR298" i="7"/>
  <c r="DS298" i="7"/>
  <c r="DT298" i="7"/>
  <c r="DU298" i="7"/>
  <c r="DQ299" i="7"/>
  <c r="DR299" i="7"/>
  <c r="DS299" i="7"/>
  <c r="DT299" i="7"/>
  <c r="DU299" i="7"/>
  <c r="DQ300" i="7"/>
  <c r="DR300" i="7"/>
  <c r="DS300" i="7"/>
  <c r="DT300" i="7"/>
  <c r="DU300" i="7"/>
  <c r="DQ301" i="7"/>
  <c r="DR301" i="7"/>
  <c r="DS301" i="7"/>
  <c r="DT301" i="7"/>
  <c r="DU301" i="7"/>
  <c r="DQ302" i="7"/>
  <c r="DR302" i="7"/>
  <c r="DS302" i="7"/>
  <c r="DT302" i="7"/>
  <c r="DU302" i="7"/>
  <c r="DQ303" i="7"/>
  <c r="DR303" i="7"/>
  <c r="DS303" i="7"/>
  <c r="DT303" i="7"/>
  <c r="DU303" i="7"/>
  <c r="DQ304" i="7"/>
  <c r="DR304" i="7"/>
  <c r="DS304" i="7"/>
  <c r="DT304" i="7"/>
  <c r="DU304" i="7"/>
  <c r="DQ305" i="7"/>
  <c r="DR305" i="7"/>
  <c r="DS305" i="7"/>
  <c r="DT305" i="7"/>
  <c r="DU305" i="7"/>
  <c r="DQ306" i="7"/>
  <c r="DR306" i="7"/>
  <c r="DS306" i="7"/>
  <c r="DT306" i="7"/>
  <c r="DU306" i="7"/>
  <c r="DQ307" i="7"/>
  <c r="DR307" i="7"/>
  <c r="DS307" i="7"/>
  <c r="DT307" i="7"/>
  <c r="DU307" i="7"/>
  <c r="DQ308" i="7"/>
  <c r="DR308" i="7"/>
  <c r="DS308" i="7"/>
  <c r="DT308" i="7"/>
  <c r="DU308" i="7"/>
  <c r="DQ309" i="7"/>
  <c r="DR309" i="7"/>
  <c r="DS309" i="7"/>
  <c r="DT309" i="7"/>
  <c r="DU309" i="7"/>
  <c r="DQ310" i="7"/>
  <c r="DR310" i="7"/>
  <c r="DS310" i="7"/>
  <c r="DT310" i="7"/>
  <c r="DU310" i="7"/>
  <c r="DQ311" i="7"/>
  <c r="DR311" i="7"/>
  <c r="DS311" i="7"/>
  <c r="DT311" i="7"/>
  <c r="DU311" i="7"/>
  <c r="DQ312" i="7"/>
  <c r="DR312" i="7"/>
  <c r="DS312" i="7"/>
  <c r="DT312" i="7"/>
  <c r="DU312" i="7"/>
  <c r="DQ313" i="7"/>
  <c r="DR313" i="7"/>
  <c r="DS313" i="7"/>
  <c r="DT313" i="7"/>
  <c r="DU313" i="7"/>
  <c r="DQ314" i="7"/>
  <c r="DR314" i="7"/>
  <c r="DS314" i="7"/>
  <c r="DT314" i="7"/>
  <c r="DU314" i="7"/>
  <c r="DQ315" i="7"/>
  <c r="DR315" i="7"/>
  <c r="DS315" i="7"/>
  <c r="DT315" i="7"/>
  <c r="DU315" i="7"/>
  <c r="DQ316" i="7"/>
  <c r="DR316" i="7"/>
  <c r="DS316" i="7"/>
  <c r="DT316" i="7"/>
  <c r="DU316" i="7"/>
  <c r="DQ317" i="7"/>
  <c r="DR317" i="7"/>
  <c r="DS317" i="7"/>
  <c r="DT317" i="7"/>
  <c r="DU317" i="7"/>
  <c r="DQ318" i="7"/>
  <c r="DR318" i="7"/>
  <c r="DS318" i="7"/>
  <c r="DT318" i="7"/>
  <c r="DU318" i="7"/>
  <c r="DQ319" i="7"/>
  <c r="DR319" i="7"/>
  <c r="DS319" i="7"/>
  <c r="DT319" i="7"/>
  <c r="DU319" i="7"/>
  <c r="DQ320" i="7"/>
  <c r="DR320" i="7"/>
  <c r="DS320" i="7"/>
  <c r="DT320" i="7"/>
  <c r="DU320" i="7"/>
  <c r="DQ321" i="7"/>
  <c r="DR321" i="7"/>
  <c r="DS321" i="7"/>
  <c r="DT321" i="7"/>
  <c r="DU321" i="7"/>
  <c r="DQ322" i="7"/>
  <c r="DR322" i="7"/>
  <c r="DS322" i="7"/>
  <c r="DT322" i="7"/>
  <c r="DU322" i="7"/>
  <c r="DQ323" i="7"/>
  <c r="DR323" i="7"/>
  <c r="DS323" i="7"/>
  <c r="DT323" i="7"/>
  <c r="DU323" i="7"/>
  <c r="DQ324" i="7"/>
  <c r="DR324" i="7"/>
  <c r="DS324" i="7"/>
  <c r="DT324" i="7"/>
  <c r="DU324" i="7"/>
  <c r="DQ325" i="7"/>
  <c r="DR325" i="7"/>
  <c r="DS325" i="7"/>
  <c r="DT325" i="7"/>
  <c r="DU325" i="7"/>
  <c r="DQ326" i="7"/>
  <c r="DR326" i="7"/>
  <c r="DS326" i="7"/>
  <c r="DT326" i="7"/>
  <c r="DU326" i="7"/>
  <c r="DQ327" i="7"/>
  <c r="DR327" i="7"/>
  <c r="DS327" i="7"/>
  <c r="DT327" i="7"/>
  <c r="DU327" i="7"/>
  <c r="DQ328" i="7"/>
  <c r="DR328" i="7"/>
  <c r="DS328" i="7"/>
  <c r="DT328" i="7"/>
  <c r="DU328" i="7"/>
  <c r="DQ329" i="7"/>
  <c r="DR329" i="7"/>
  <c r="DS329" i="7"/>
  <c r="DT329" i="7"/>
  <c r="DU329" i="7"/>
  <c r="DQ330" i="7"/>
  <c r="DR330" i="7"/>
  <c r="DS330" i="7"/>
  <c r="DT330" i="7"/>
  <c r="DU330" i="7"/>
  <c r="DQ331" i="7"/>
  <c r="DR331" i="7"/>
  <c r="DS331" i="7"/>
  <c r="DT331" i="7"/>
  <c r="DU331" i="7"/>
  <c r="DQ332" i="7"/>
  <c r="DR332" i="7"/>
  <c r="DS332" i="7"/>
  <c r="DT332" i="7"/>
  <c r="DU332" i="7"/>
  <c r="DQ333" i="7"/>
  <c r="DR333" i="7"/>
  <c r="DS333" i="7"/>
  <c r="DT333" i="7"/>
  <c r="DU333" i="7"/>
  <c r="DQ334" i="7"/>
  <c r="DR334" i="7"/>
  <c r="DS334" i="7"/>
  <c r="DT334" i="7"/>
  <c r="DU334" i="7"/>
  <c r="DQ335" i="7"/>
  <c r="DR335" i="7"/>
  <c r="DS335" i="7"/>
  <c r="DT335" i="7"/>
  <c r="DU335" i="7"/>
  <c r="DQ336" i="7"/>
  <c r="DR336" i="7"/>
  <c r="DS336" i="7"/>
  <c r="DT336" i="7"/>
  <c r="DU336" i="7"/>
  <c r="DQ337" i="7"/>
  <c r="DR337" i="7"/>
  <c r="DS337" i="7"/>
  <c r="DT337" i="7"/>
  <c r="DU337" i="7"/>
  <c r="DQ338" i="7"/>
  <c r="DR338" i="7"/>
  <c r="DS338" i="7"/>
  <c r="DT338" i="7"/>
  <c r="DU338" i="7"/>
  <c r="DQ339" i="7"/>
  <c r="DR339" i="7"/>
  <c r="DS339" i="7"/>
  <c r="DT339" i="7"/>
  <c r="DU339" i="7"/>
  <c r="DQ340" i="7"/>
  <c r="DR340" i="7"/>
  <c r="DS340" i="7"/>
  <c r="DT340" i="7"/>
  <c r="DU340" i="7"/>
  <c r="B709" i="15"/>
  <c r="B710" i="15"/>
  <c r="B711" i="15"/>
  <c r="B712" i="15"/>
  <c r="B713" i="15"/>
  <c r="B714" i="15"/>
  <c r="B646" i="15"/>
  <c r="B647" i="15"/>
  <c r="DL325" i="7"/>
  <c r="DL326" i="7"/>
  <c r="B638" i="15"/>
  <c r="DL317" i="7"/>
  <c r="B635" i="15"/>
  <c r="DL314" i="7"/>
  <c r="B618" i="15"/>
  <c r="DL297" i="7"/>
  <c r="DL282" i="7"/>
  <c r="B603" i="15"/>
  <c r="B601" i="15"/>
  <c r="DL280" i="7"/>
  <c r="B487" i="15"/>
  <c r="DL166" i="7"/>
  <c r="B462" i="15"/>
  <c r="B463" i="15"/>
  <c r="B464" i="15"/>
  <c r="DL141" i="7"/>
  <c r="DL142" i="7"/>
  <c r="DL143" i="7"/>
  <c r="B433" i="15"/>
  <c r="DL112" i="7"/>
  <c r="B415" i="15"/>
  <c r="DL94" i="7"/>
  <c r="DL91" i="7"/>
  <c r="B412" i="15"/>
  <c r="B343" i="15"/>
  <c r="DL22" i="7"/>
  <c r="B334" i="15"/>
  <c r="DL13" i="7"/>
  <c r="P200" i="20"/>
  <c r="O200" i="20" s="1"/>
  <c r="N43" i="20"/>
  <c r="N42" i="20"/>
  <c r="Y42" i="20" s="1"/>
  <c r="N41" i="20"/>
  <c r="Y41" i="20" s="1"/>
  <c r="N40" i="20"/>
  <c r="Z40" i="20" s="1"/>
  <c r="N39" i="20"/>
  <c r="Y39" i="20" s="1"/>
  <c r="N38" i="20"/>
  <c r="Y38" i="20" s="1"/>
  <c r="N37" i="20"/>
  <c r="Y37" i="20" s="1"/>
  <c r="V124" i="33"/>
  <c r="V123" i="33"/>
  <c r="V121" i="33"/>
  <c r="V112" i="33"/>
  <c r="V117" i="33"/>
  <c r="V113" i="33"/>
  <c r="V111" i="33"/>
  <c r="V116" i="33"/>
  <c r="V115" i="33"/>
  <c r="V114" i="33"/>
  <c r="V110" i="33"/>
  <c r="V109" i="33"/>
  <c r="V108" i="33"/>
  <c r="AU109" i="33"/>
  <c r="M109" i="33" s="1"/>
  <c r="AU122" i="33"/>
  <c r="M122" i="33" s="1"/>
  <c r="M108" i="33"/>
  <c r="H99" i="18"/>
  <c r="N122" i="20"/>
  <c r="N121" i="20"/>
  <c r="Q121" i="20" s="1"/>
  <c r="N120" i="20"/>
  <c r="Q120" i="20" s="1"/>
  <c r="N119" i="20"/>
  <c r="N118" i="20"/>
  <c r="Q118" i="20" s="1"/>
  <c r="U11" i="6"/>
  <c r="R10" i="6"/>
  <c r="T11" i="6"/>
  <c r="M40" i="33"/>
  <c r="M75" i="33"/>
  <c r="M76" i="33"/>
  <c r="M85" i="33"/>
  <c r="M86" i="33"/>
  <c r="Z8" i="22"/>
  <c r="Z9" i="22"/>
  <c r="Z10" i="22"/>
  <c r="Z11" i="22"/>
  <c r="Z12" i="22"/>
  <c r="Z13" i="22"/>
  <c r="Z14" i="22"/>
  <c r="Z15" i="22"/>
  <c r="Z16" i="22"/>
  <c r="Z17" i="22"/>
  <c r="Z18" i="22"/>
  <c r="Z19" i="22"/>
  <c r="Z20" i="22"/>
  <c r="Z21" i="22"/>
  <c r="Z22" i="22"/>
  <c r="Z23" i="22"/>
  <c r="Z24" i="22"/>
  <c r="Z25" i="22"/>
  <c r="Z26" i="22"/>
  <c r="Z27" i="22"/>
  <c r="Z28" i="22"/>
  <c r="Z29" i="22"/>
  <c r="Z30" i="22"/>
  <c r="Z31" i="22"/>
  <c r="Z33" i="22"/>
  <c r="Z34" i="22"/>
  <c r="Z35" i="22"/>
  <c r="Z36" i="22"/>
  <c r="Z37" i="22"/>
  <c r="Z38" i="22"/>
  <c r="Z39" i="22"/>
  <c r="Z40" i="22"/>
  <c r="Z41" i="22"/>
  <c r="Z42" i="22"/>
  <c r="Z43" i="22"/>
  <c r="Z44" i="22"/>
  <c r="Z45" i="22"/>
  <c r="Z46" i="22"/>
  <c r="Z47" i="22"/>
  <c r="Z48" i="22"/>
  <c r="Z49" i="22"/>
  <c r="Z50" i="22"/>
  <c r="Z51" i="22"/>
  <c r="Z52" i="22"/>
  <c r="Z53" i="22"/>
  <c r="Z54" i="22"/>
  <c r="Z55" i="22"/>
  <c r="Z7" i="22"/>
  <c r="B88" i="22"/>
  <c r="M88" i="22" s="1"/>
  <c r="B89" i="22"/>
  <c r="M89" i="22" s="1"/>
  <c r="B90" i="22"/>
  <c r="M90" i="22" s="1"/>
  <c r="B91" i="22"/>
  <c r="M91" i="22" s="1"/>
  <c r="B92" i="22"/>
  <c r="M92" i="22" s="1"/>
  <c r="O85" i="22"/>
  <c r="AD85" i="22" s="1"/>
  <c r="O86" i="22"/>
  <c r="AD86" i="22" s="1"/>
  <c r="O87" i="22"/>
  <c r="AD87" i="22" s="1"/>
  <c r="O88" i="22"/>
  <c r="AD88" i="22" s="1"/>
  <c r="O89" i="22"/>
  <c r="AD89" i="22" s="1"/>
  <c r="O90" i="22"/>
  <c r="AD90" i="22" s="1"/>
  <c r="O91" i="22"/>
  <c r="AD91" i="22" s="1"/>
  <c r="O92" i="22"/>
  <c r="AA131" i="33"/>
  <c r="BG44" i="18"/>
  <c r="BG43" i="18"/>
  <c r="BG42" i="18"/>
  <c r="BG41" i="18"/>
  <c r="BG40" i="18"/>
  <c r="BG39" i="18"/>
  <c r="BG38" i="18"/>
  <c r="BG37" i="18"/>
  <c r="BG36" i="18"/>
  <c r="BG35" i="18"/>
  <c r="BG34" i="18"/>
  <c r="BG32" i="18"/>
  <c r="BN172" i="14"/>
  <c r="BM172" i="14"/>
  <c r="BL172" i="14"/>
  <c r="BK172" i="14"/>
  <c r="BJ172" i="14"/>
  <c r="BI172" i="14"/>
  <c r="BH172" i="14"/>
  <c r="BG172" i="14"/>
  <c r="BF172" i="14"/>
  <c r="BE172" i="14"/>
  <c r="BD172" i="14"/>
  <c r="BC172" i="14"/>
  <c r="BB172" i="14"/>
  <c r="BA172" i="14"/>
  <c r="AZ172" i="14"/>
  <c r="AY172" i="14"/>
  <c r="AX172" i="14"/>
  <c r="AW172" i="14"/>
  <c r="AV172" i="14"/>
  <c r="AU172" i="14"/>
  <c r="AT172" i="14"/>
  <c r="AS172" i="14"/>
  <c r="AR172" i="14"/>
  <c r="AQ172" i="14"/>
  <c r="AP172" i="14"/>
  <c r="AO172" i="14"/>
  <c r="AN172" i="14"/>
  <c r="BN171" i="14"/>
  <c r="BM171" i="14"/>
  <c r="BL171" i="14"/>
  <c r="BK171" i="14"/>
  <c r="BJ171" i="14"/>
  <c r="BI171" i="14"/>
  <c r="BH171" i="14"/>
  <c r="BG171" i="14"/>
  <c r="BF171" i="14"/>
  <c r="BE171" i="14"/>
  <c r="BD171" i="14"/>
  <c r="BC171" i="14"/>
  <c r="BB171" i="14"/>
  <c r="BA171" i="14"/>
  <c r="AZ171" i="14"/>
  <c r="AY171" i="14"/>
  <c r="AX171" i="14"/>
  <c r="AW171" i="14"/>
  <c r="AV171" i="14"/>
  <c r="AU171" i="14"/>
  <c r="AT171" i="14"/>
  <c r="AS171" i="14"/>
  <c r="AR171" i="14"/>
  <c r="AQ171" i="14"/>
  <c r="AP171" i="14"/>
  <c r="AO171" i="14"/>
  <c r="AN171" i="14"/>
  <c r="BN170" i="14"/>
  <c r="BM170" i="14"/>
  <c r="BL170" i="14"/>
  <c r="BK170" i="14"/>
  <c r="BJ170" i="14"/>
  <c r="BI170" i="14"/>
  <c r="BH170" i="14"/>
  <c r="BG170" i="14"/>
  <c r="BF170" i="14"/>
  <c r="BE170" i="14"/>
  <c r="BD170" i="14"/>
  <c r="BC170" i="14"/>
  <c r="BB170" i="14"/>
  <c r="BA170" i="14"/>
  <c r="AZ170" i="14"/>
  <c r="AY170" i="14"/>
  <c r="AX170" i="14"/>
  <c r="AW170" i="14"/>
  <c r="AV170" i="14"/>
  <c r="AU170" i="14"/>
  <c r="AT170" i="14"/>
  <c r="AS170" i="14"/>
  <c r="AR170" i="14"/>
  <c r="AQ170" i="14"/>
  <c r="AP170" i="14"/>
  <c r="AO170" i="14"/>
  <c r="AN170" i="14"/>
  <c r="BN169" i="14"/>
  <c r="BM169" i="14"/>
  <c r="BL169" i="14"/>
  <c r="BK169" i="14"/>
  <c r="BJ169" i="14"/>
  <c r="BI169" i="14"/>
  <c r="BH169" i="14"/>
  <c r="BG169" i="14"/>
  <c r="BF169" i="14"/>
  <c r="BE169" i="14"/>
  <c r="BD169" i="14"/>
  <c r="BC169" i="14"/>
  <c r="BB169" i="14"/>
  <c r="BA169" i="14"/>
  <c r="AZ169" i="14"/>
  <c r="AY169" i="14"/>
  <c r="AX169" i="14"/>
  <c r="AW169" i="14"/>
  <c r="AV169" i="14"/>
  <c r="AU169" i="14"/>
  <c r="AT169" i="14"/>
  <c r="AS169" i="14"/>
  <c r="AR169" i="14"/>
  <c r="AQ169" i="14"/>
  <c r="AP169" i="14"/>
  <c r="AO169" i="14"/>
  <c r="AN169" i="14"/>
  <c r="BN168" i="14"/>
  <c r="BM168" i="14"/>
  <c r="BL168" i="14"/>
  <c r="BK168" i="14"/>
  <c r="BJ168" i="14"/>
  <c r="BI168" i="14"/>
  <c r="BH168" i="14"/>
  <c r="BG168" i="14"/>
  <c r="BF168" i="14"/>
  <c r="BE168" i="14"/>
  <c r="BD168" i="14"/>
  <c r="BC168" i="14"/>
  <c r="BB168" i="14"/>
  <c r="BA168" i="14"/>
  <c r="AZ168" i="14"/>
  <c r="AY168" i="14"/>
  <c r="AX168" i="14"/>
  <c r="AW168" i="14"/>
  <c r="AV168" i="14"/>
  <c r="AU168" i="14"/>
  <c r="AT168" i="14"/>
  <c r="AS168" i="14"/>
  <c r="AR168" i="14"/>
  <c r="AQ168" i="14"/>
  <c r="AP168" i="14"/>
  <c r="AO168" i="14"/>
  <c r="AN168" i="14"/>
  <c r="BN167" i="14"/>
  <c r="BM167" i="14"/>
  <c r="BL167" i="14"/>
  <c r="BK167" i="14"/>
  <c r="BJ167" i="14"/>
  <c r="BI167" i="14"/>
  <c r="BH167" i="14"/>
  <c r="BG167" i="14"/>
  <c r="BF167" i="14"/>
  <c r="BE167" i="14"/>
  <c r="BD167" i="14"/>
  <c r="BC167" i="14"/>
  <c r="BB167" i="14"/>
  <c r="BA167" i="14"/>
  <c r="AZ167" i="14"/>
  <c r="AY167" i="14"/>
  <c r="AX167" i="14"/>
  <c r="AW167" i="14"/>
  <c r="AV167" i="14"/>
  <c r="AU167" i="14"/>
  <c r="AT167" i="14"/>
  <c r="AS167" i="14"/>
  <c r="AR167" i="14"/>
  <c r="AQ167" i="14"/>
  <c r="AP167" i="14"/>
  <c r="AO167" i="14"/>
  <c r="AN167" i="14"/>
  <c r="BN166" i="14"/>
  <c r="BM166" i="14"/>
  <c r="BL166" i="14"/>
  <c r="BK166" i="14"/>
  <c r="BJ166" i="14"/>
  <c r="BI166" i="14"/>
  <c r="BH166" i="14"/>
  <c r="BG166" i="14"/>
  <c r="BF166" i="14"/>
  <c r="BE166" i="14"/>
  <c r="BD166" i="14"/>
  <c r="BC166" i="14"/>
  <c r="BB166" i="14"/>
  <c r="BA166" i="14"/>
  <c r="AZ166" i="14"/>
  <c r="AY166" i="14"/>
  <c r="AX166" i="14"/>
  <c r="AW166" i="14"/>
  <c r="AV166" i="14"/>
  <c r="AU166" i="14"/>
  <c r="AT166" i="14"/>
  <c r="AS166" i="14"/>
  <c r="AR166" i="14"/>
  <c r="AQ166" i="14"/>
  <c r="AP166" i="14"/>
  <c r="AO166" i="14"/>
  <c r="AN166" i="14"/>
  <c r="BN165" i="14"/>
  <c r="BM165" i="14"/>
  <c r="BL165" i="14"/>
  <c r="BK165" i="14"/>
  <c r="BJ165" i="14"/>
  <c r="BI165" i="14"/>
  <c r="BH165" i="14"/>
  <c r="BG165" i="14"/>
  <c r="BF165" i="14"/>
  <c r="BE165" i="14"/>
  <c r="BD165" i="14"/>
  <c r="BC165" i="14"/>
  <c r="BB165" i="14"/>
  <c r="BA165" i="14"/>
  <c r="AZ165" i="14"/>
  <c r="AY165" i="14"/>
  <c r="AX165" i="14"/>
  <c r="AW165" i="14"/>
  <c r="AV165" i="14"/>
  <c r="AU165" i="14"/>
  <c r="AT165" i="14"/>
  <c r="AS165" i="14"/>
  <c r="AR165" i="14"/>
  <c r="AQ165" i="14"/>
  <c r="AP165" i="14"/>
  <c r="AO165" i="14"/>
  <c r="AN165" i="14"/>
  <c r="BN164" i="14"/>
  <c r="BM164" i="14"/>
  <c r="BL164" i="14"/>
  <c r="BK164" i="14"/>
  <c r="BJ164" i="14"/>
  <c r="BI164" i="14"/>
  <c r="BH164" i="14"/>
  <c r="BG164" i="14"/>
  <c r="BF164" i="14"/>
  <c r="BE164" i="14"/>
  <c r="BD164" i="14"/>
  <c r="BC164" i="14"/>
  <c r="BB164" i="14"/>
  <c r="BA164" i="14"/>
  <c r="AZ164" i="14"/>
  <c r="AY164" i="14"/>
  <c r="AX164" i="14"/>
  <c r="AW164" i="14"/>
  <c r="AV164" i="14"/>
  <c r="AU164" i="14"/>
  <c r="AT164" i="14"/>
  <c r="AS164" i="14"/>
  <c r="AR164" i="14"/>
  <c r="AQ164" i="14"/>
  <c r="AP164" i="14"/>
  <c r="AO164" i="14"/>
  <c r="AN164" i="14"/>
  <c r="BN163" i="14"/>
  <c r="BM163" i="14"/>
  <c r="BL163" i="14"/>
  <c r="BK163" i="14"/>
  <c r="BJ163" i="14"/>
  <c r="BI163" i="14"/>
  <c r="BH163" i="14"/>
  <c r="BG163" i="14"/>
  <c r="BF163" i="14"/>
  <c r="BE163" i="14"/>
  <c r="BD163" i="14"/>
  <c r="BC163" i="14"/>
  <c r="BB163" i="14"/>
  <c r="BA163" i="14"/>
  <c r="AZ163" i="14"/>
  <c r="AY163" i="14"/>
  <c r="AX163" i="14"/>
  <c r="AW163" i="14"/>
  <c r="AV163" i="14"/>
  <c r="AU163" i="14"/>
  <c r="AT163" i="14"/>
  <c r="AS163" i="14"/>
  <c r="AR163" i="14"/>
  <c r="AQ163" i="14"/>
  <c r="AP163" i="14"/>
  <c r="AO163" i="14"/>
  <c r="AN163" i="14"/>
  <c r="AP162" i="14"/>
  <c r="AQ162" i="14"/>
  <c r="AR162" i="14"/>
  <c r="AS162" i="14"/>
  <c r="AT162" i="14"/>
  <c r="AU162" i="14"/>
  <c r="AV162" i="14"/>
  <c r="AW162" i="14"/>
  <c r="AX162" i="14"/>
  <c r="AY162" i="14"/>
  <c r="AZ162" i="14"/>
  <c r="BA162" i="14"/>
  <c r="BB162" i="14"/>
  <c r="BC162" i="14"/>
  <c r="BD162" i="14"/>
  <c r="BE162" i="14"/>
  <c r="BF162" i="14"/>
  <c r="BG162" i="14"/>
  <c r="BH162" i="14"/>
  <c r="BI162" i="14"/>
  <c r="BJ162" i="14"/>
  <c r="BK162" i="14"/>
  <c r="BL162" i="14"/>
  <c r="BM162" i="14"/>
  <c r="BN162" i="14"/>
  <c r="AO162" i="14"/>
  <c r="AN162" i="14"/>
  <c r="AN175" i="14"/>
  <c r="AN174" i="14"/>
  <c r="Q175" i="14"/>
  <c r="Q174" i="14"/>
  <c r="Q160" i="14"/>
  <c r="Q159" i="14"/>
  <c r="Q158" i="14"/>
  <c r="Q157" i="14"/>
  <c r="Q156" i="14"/>
  <c r="Q155" i="14"/>
  <c r="Q154" i="14"/>
  <c r="Q153" i="14"/>
  <c r="Q152" i="14"/>
  <c r="Q151" i="14"/>
  <c r="Q150" i="14"/>
  <c r="Q149" i="14"/>
  <c r="Q148" i="14"/>
  <c r="Q147" i="14"/>
  <c r="Q146" i="14"/>
  <c r="Q145" i="14"/>
  <c r="Q144" i="14"/>
  <c r="Q143" i="14"/>
  <c r="Q142" i="14"/>
  <c r="Q141" i="14"/>
  <c r="Q140" i="14"/>
  <c r="Q139" i="14"/>
  <c r="Q138" i="14"/>
  <c r="Q137" i="14"/>
  <c r="Q136" i="14"/>
  <c r="Q135" i="14"/>
  <c r="Q134" i="14"/>
  <c r="Q133" i="14"/>
  <c r="Q132" i="14"/>
  <c r="Q131" i="14"/>
  <c r="Q130" i="14"/>
  <c r="Q129" i="14"/>
  <c r="Q128" i="14"/>
  <c r="Q127" i="14"/>
  <c r="Q126" i="14"/>
  <c r="Q125" i="14"/>
  <c r="Q124" i="14"/>
  <c r="Q123" i="14"/>
  <c r="Q122" i="14"/>
  <c r="Q121" i="14"/>
  <c r="Q120" i="14"/>
  <c r="Q119" i="14"/>
  <c r="Q118" i="14"/>
  <c r="Q117" i="14"/>
  <c r="Q116" i="14"/>
  <c r="Q115" i="14"/>
  <c r="Q114" i="14"/>
  <c r="Q113" i="14"/>
  <c r="Q112" i="14"/>
  <c r="Q111" i="14"/>
  <c r="Q110" i="14"/>
  <c r="Q109" i="14"/>
  <c r="Q108" i="14"/>
  <c r="Q107" i="14"/>
  <c r="Q106" i="14"/>
  <c r="Q105" i="14"/>
  <c r="Q104" i="14"/>
  <c r="Q103" i="14"/>
  <c r="Q102" i="14"/>
  <c r="Q101" i="14"/>
  <c r="Q100" i="14"/>
  <c r="Q99" i="14"/>
  <c r="Q98" i="14"/>
  <c r="Q97" i="14"/>
  <c r="Q96" i="14"/>
  <c r="Q95" i="14"/>
  <c r="Q94" i="14"/>
  <c r="Q93" i="14"/>
  <c r="Q92" i="14"/>
  <c r="Q91" i="14"/>
  <c r="Q90" i="14"/>
  <c r="Q89" i="14"/>
  <c r="Q88" i="14"/>
  <c r="Q87" i="14"/>
  <c r="Q86" i="14"/>
  <c r="Q85" i="14"/>
  <c r="Q84" i="14"/>
  <c r="Q83" i="14"/>
  <c r="Q82" i="14"/>
  <c r="Q81" i="14"/>
  <c r="Q80" i="14"/>
  <c r="Q79" i="14"/>
  <c r="Q78" i="14"/>
  <c r="Q77" i="14"/>
  <c r="Q76" i="14"/>
  <c r="Q75" i="14"/>
  <c r="Q74" i="14"/>
  <c r="Q73" i="14"/>
  <c r="Q72" i="14"/>
  <c r="Q70" i="14"/>
  <c r="Q69" i="14"/>
  <c r="Q68" i="14"/>
  <c r="Q66" i="14"/>
  <c r="Q65" i="14"/>
  <c r="Q64" i="14"/>
  <c r="Q63" i="14"/>
  <c r="Q62" i="14"/>
  <c r="AN62" i="14"/>
  <c r="AN63" i="14"/>
  <c r="AN64" i="14"/>
  <c r="AN66" i="14"/>
  <c r="AN67" i="14"/>
  <c r="AN68" i="14"/>
  <c r="AN70" i="14"/>
  <c r="AN71" i="14"/>
  <c r="AN72" i="14"/>
  <c r="AN73" i="14"/>
  <c r="AN74" i="14"/>
  <c r="AN75" i="14"/>
  <c r="AN77" i="14"/>
  <c r="AN78" i="14"/>
  <c r="AN79" i="14"/>
  <c r="AN80" i="14"/>
  <c r="AN81" i="14"/>
  <c r="AN82" i="14"/>
  <c r="AN83" i="14"/>
  <c r="AN85" i="14"/>
  <c r="AN86" i="14"/>
  <c r="AN87" i="14"/>
  <c r="AN88" i="14"/>
  <c r="AN90" i="14"/>
  <c r="AN91" i="14"/>
  <c r="AN92" i="14"/>
  <c r="AN93" i="14"/>
  <c r="AN94" i="14"/>
  <c r="AN95" i="14"/>
  <c r="AN96" i="14"/>
  <c r="AN97" i="14"/>
  <c r="AN98" i="14"/>
  <c r="AN99" i="14"/>
  <c r="AN100" i="14"/>
  <c r="AN101" i="14"/>
  <c r="AN102" i="14"/>
  <c r="AN103" i="14"/>
  <c r="AN104" i="14"/>
  <c r="AN105" i="14"/>
  <c r="AN106" i="14"/>
  <c r="AN107" i="14"/>
  <c r="AN108" i="14"/>
  <c r="AN109" i="14"/>
  <c r="AN110" i="14"/>
  <c r="AN111" i="14"/>
  <c r="AN112" i="14"/>
  <c r="AN113" i="14"/>
  <c r="AN114" i="14"/>
  <c r="AN115" i="14"/>
  <c r="AN116" i="14"/>
  <c r="AN117" i="14"/>
  <c r="AN118" i="14"/>
  <c r="AN119" i="14"/>
  <c r="AN120" i="14"/>
  <c r="AN121" i="14"/>
  <c r="AN122" i="14"/>
  <c r="AN123" i="14"/>
  <c r="AN124" i="14"/>
  <c r="AN125" i="14"/>
  <c r="AN126" i="14"/>
  <c r="AN127" i="14"/>
  <c r="AN128" i="14"/>
  <c r="AN129" i="14"/>
  <c r="AN130" i="14"/>
  <c r="AN131" i="14"/>
  <c r="AN132" i="14"/>
  <c r="AN133" i="14"/>
  <c r="AN134" i="14"/>
  <c r="AN135" i="14"/>
  <c r="AN136" i="14"/>
  <c r="AN137" i="14"/>
  <c r="AN138" i="14"/>
  <c r="AN139" i="14"/>
  <c r="AN140" i="14"/>
  <c r="AN141" i="14"/>
  <c r="AN142" i="14"/>
  <c r="AN143" i="14"/>
  <c r="AN144" i="14"/>
  <c r="AN145" i="14"/>
  <c r="AN146" i="14"/>
  <c r="AN147" i="14"/>
  <c r="AN148" i="14"/>
  <c r="AN149" i="14"/>
  <c r="AN150" i="14"/>
  <c r="AN151" i="14"/>
  <c r="AN152" i="14"/>
  <c r="AN153" i="14"/>
  <c r="AN154" i="14"/>
  <c r="AN155" i="14"/>
  <c r="AN156" i="14"/>
  <c r="AN157" i="14"/>
  <c r="AN158" i="14"/>
  <c r="AN159" i="14"/>
  <c r="AN160" i="14"/>
  <c r="EH240" i="7"/>
  <c r="EH241" i="7"/>
  <c r="EH242" i="7"/>
  <c r="EH243" i="7"/>
  <c r="EH244" i="7"/>
  <c r="EH245" i="7"/>
  <c r="EH246" i="7"/>
  <c r="EH247" i="7"/>
  <c r="EH248" i="7"/>
  <c r="EH252" i="7"/>
  <c r="EH253" i="7"/>
  <c r="EH254" i="7"/>
  <c r="EH255" i="7"/>
  <c r="EH256" i="7"/>
  <c r="EH257" i="7"/>
  <c r="EH258" i="7"/>
  <c r="EH259" i="7"/>
  <c r="EH260" i="7"/>
  <c r="EH261" i="7"/>
  <c r="EH262" i="7"/>
  <c r="EH263" i="7"/>
  <c r="EH264" i="7"/>
  <c r="EH265" i="7"/>
  <c r="EH266" i="7"/>
  <c r="EH306" i="7"/>
  <c r="EH307" i="7"/>
  <c r="EH308" i="7"/>
  <c r="EH309" i="7"/>
  <c r="EH310" i="7"/>
  <c r="EH311" i="7"/>
  <c r="EH312" i="7"/>
  <c r="EH314" i="7"/>
  <c r="EH315" i="7"/>
  <c r="EH316" i="7"/>
  <c r="EH317" i="7"/>
  <c r="EH318" i="7"/>
  <c r="EH319" i="7"/>
  <c r="EH320" i="7"/>
  <c r="EH321" i="7"/>
  <c r="EH322" i="7"/>
  <c r="EH323" i="7"/>
  <c r="EH324" i="7"/>
  <c r="EH325" i="7"/>
  <c r="EH327" i="7"/>
  <c r="EH328" i="7"/>
  <c r="AP16" i="33"/>
  <c r="AO16" i="33"/>
  <c r="AN16" i="33"/>
  <c r="V54" i="3"/>
  <c r="U4" i="6"/>
  <c r="CB162" i="14"/>
  <c r="CB163" i="14"/>
  <c r="CB164" i="14"/>
  <c r="CB165" i="14"/>
  <c r="CB166" i="14"/>
  <c r="CB167" i="14"/>
  <c r="CB168" i="14"/>
  <c r="CB169" i="14"/>
  <c r="CB170" i="14"/>
  <c r="CB171" i="14"/>
  <c r="CB172" i="14"/>
  <c r="I34" i="3"/>
  <c r="J118" i="24"/>
  <c r="K118" i="24"/>
  <c r="CX9" i="7"/>
  <c r="P107" i="6" s="1"/>
  <c r="J107" i="6" s="1"/>
  <c r="CX8" i="7"/>
  <c r="CX7" i="7"/>
  <c r="P94" i="6"/>
  <c r="J94" i="6" s="1"/>
  <c r="B329" i="15"/>
  <c r="B330" i="15"/>
  <c r="DL8" i="7"/>
  <c r="DL9" i="7"/>
  <c r="GH43" i="27"/>
  <c r="GH44" i="27"/>
  <c r="GH45" i="27"/>
  <c r="GH46" i="27"/>
  <c r="GH47" i="27"/>
  <c r="GH48" i="27"/>
  <c r="GH49" i="27"/>
  <c r="GH50" i="27"/>
  <c r="GH51" i="27"/>
  <c r="GH52" i="27"/>
  <c r="GH53" i="27"/>
  <c r="GH54" i="27"/>
  <c r="GH55" i="27"/>
  <c r="GH56" i="27"/>
  <c r="GH57" i="27"/>
  <c r="GH58" i="27"/>
  <c r="GH59" i="27"/>
  <c r="GH60" i="27"/>
  <c r="GH61" i="27"/>
  <c r="GH62" i="27"/>
  <c r="GH63" i="27"/>
  <c r="GH64" i="27"/>
  <c r="GH65" i="27"/>
  <c r="GH66" i="27"/>
  <c r="GH67" i="27"/>
  <c r="GH68" i="27"/>
  <c r="GH69" i="27"/>
  <c r="GH70" i="27"/>
  <c r="GH71" i="27"/>
  <c r="GH72" i="27"/>
  <c r="GH73" i="27"/>
  <c r="GH74" i="27"/>
  <c r="GH75" i="27"/>
  <c r="GH76" i="27"/>
  <c r="GH77" i="27"/>
  <c r="GH78" i="27"/>
  <c r="GH79" i="27"/>
  <c r="GH80" i="27"/>
  <c r="GH81" i="27"/>
  <c r="GH82" i="27"/>
  <c r="GH83" i="27"/>
  <c r="GH84" i="27"/>
  <c r="GH85" i="27"/>
  <c r="GH86" i="27"/>
  <c r="GH87" i="27"/>
  <c r="GH88" i="27"/>
  <c r="GH89" i="27"/>
  <c r="GH90" i="27"/>
  <c r="GH91" i="27"/>
  <c r="GH92" i="27"/>
  <c r="GH93" i="27"/>
  <c r="GH94" i="27"/>
  <c r="GH95" i="27"/>
  <c r="GH96" i="27"/>
  <c r="GH97" i="27"/>
  <c r="GH98" i="27"/>
  <c r="GH99" i="27"/>
  <c r="GH100" i="27"/>
  <c r="GH101" i="27"/>
  <c r="GH102" i="27"/>
  <c r="GH103" i="27"/>
  <c r="GH104" i="27"/>
  <c r="GH105" i="27"/>
  <c r="GH106" i="27"/>
  <c r="GH107" i="27"/>
  <c r="GH108" i="27"/>
  <c r="GH109" i="27"/>
  <c r="GH110" i="27"/>
  <c r="GH111" i="27"/>
  <c r="GH112" i="27"/>
  <c r="GH113" i="27"/>
  <c r="GH114" i="27"/>
  <c r="GH115" i="27"/>
  <c r="GH116" i="27"/>
  <c r="GH117" i="27"/>
  <c r="GH118" i="27"/>
  <c r="GH119" i="27"/>
  <c r="GH120" i="27"/>
  <c r="GH121" i="27"/>
  <c r="GH122" i="27"/>
  <c r="GH123" i="27"/>
  <c r="GH124" i="27"/>
  <c r="GH125" i="27"/>
  <c r="GH126" i="27"/>
  <c r="GH127" i="27"/>
  <c r="GH128" i="27"/>
  <c r="GH129" i="27"/>
  <c r="GH130" i="27"/>
  <c r="GH131" i="27"/>
  <c r="GH132" i="27"/>
  <c r="GH133" i="27"/>
  <c r="GH134" i="27"/>
  <c r="GH135" i="27"/>
  <c r="GH136" i="27"/>
  <c r="GH137" i="27"/>
  <c r="GH138" i="27"/>
  <c r="GH139" i="27"/>
  <c r="GH140" i="27"/>
  <c r="GH141" i="27"/>
  <c r="GH142" i="27"/>
  <c r="GH143" i="27"/>
  <c r="GH144" i="27"/>
  <c r="GH145" i="27"/>
  <c r="GH146" i="27"/>
  <c r="GH147" i="27"/>
  <c r="GH148" i="27"/>
  <c r="GH149" i="27"/>
  <c r="GH150" i="27"/>
  <c r="GH151" i="27"/>
  <c r="GH152" i="27"/>
  <c r="GH153" i="27"/>
  <c r="GH154" i="27"/>
  <c r="GH155" i="27"/>
  <c r="GH156" i="27"/>
  <c r="GH157" i="27"/>
  <c r="GH158" i="27"/>
  <c r="GH159" i="27"/>
  <c r="GH160" i="27"/>
  <c r="GH161" i="27"/>
  <c r="GH162" i="27"/>
  <c r="GH163" i="27"/>
  <c r="GH164" i="27"/>
  <c r="GH165" i="27"/>
  <c r="GH166" i="27"/>
  <c r="GH167" i="27"/>
  <c r="GH168" i="27"/>
  <c r="GH169" i="27"/>
  <c r="GH170" i="27"/>
  <c r="GH171" i="27"/>
  <c r="GH172" i="27"/>
  <c r="GH173" i="27"/>
  <c r="GH174" i="27"/>
  <c r="GH175" i="27"/>
  <c r="GH176" i="27"/>
  <c r="GH177" i="27"/>
  <c r="GH178" i="27"/>
  <c r="GH179" i="27"/>
  <c r="GH180" i="27"/>
  <c r="GH181" i="27"/>
  <c r="G85" i="35"/>
  <c r="A85" i="35" s="1"/>
  <c r="G70" i="35"/>
  <c r="A70" i="35" s="1"/>
  <c r="G57" i="35"/>
  <c r="A57" i="35" s="1"/>
  <c r="G39" i="35"/>
  <c r="A39" i="35" s="1"/>
  <c r="G21" i="35"/>
  <c r="A21" i="35" s="1"/>
  <c r="G2" i="35"/>
  <c r="A2" i="35" s="1"/>
  <c r="E150" i="34"/>
  <c r="DL200" i="7"/>
  <c r="B521" i="15"/>
  <c r="DL138" i="7"/>
  <c r="B459" i="15"/>
  <c r="B348" i="15"/>
  <c r="DL27" i="7"/>
  <c r="DL23" i="7"/>
  <c r="B344" i="15"/>
  <c r="BY39" i="35"/>
  <c r="CB39" i="35"/>
  <c r="CA39" i="35"/>
  <c r="CC39" i="35"/>
  <c r="BZ39" i="35"/>
  <c r="BX39" i="35"/>
  <c r="BN39" i="35"/>
  <c r="BT39" i="35"/>
  <c r="BO39" i="35"/>
  <c r="BV39" i="35"/>
  <c r="BR39" i="35"/>
  <c r="BQ39" i="35"/>
  <c r="BU39" i="35"/>
  <c r="BS39" i="35"/>
  <c r="BP39" i="35"/>
  <c r="P39" i="35"/>
  <c r="T39" i="35"/>
  <c r="S39" i="35"/>
  <c r="Q39" i="35"/>
  <c r="R39" i="35"/>
  <c r="U39" i="35"/>
  <c r="AD39" i="35"/>
  <c r="AG39" i="35"/>
  <c r="AE39" i="35"/>
  <c r="AF39" i="35"/>
  <c r="DA39" i="35"/>
  <c r="DB39" i="35"/>
  <c r="DC39" i="35"/>
  <c r="DD39" i="35"/>
  <c r="DE39" i="35"/>
  <c r="DF39" i="35"/>
  <c r="H39" i="35"/>
  <c r="L39" i="35"/>
  <c r="M39" i="35"/>
  <c r="N39" i="35"/>
  <c r="I39" i="35"/>
  <c r="J39" i="35"/>
  <c r="K39" i="35"/>
  <c r="AQ39" i="35"/>
  <c r="AV39" i="35"/>
  <c r="AX39" i="35"/>
  <c r="AY39" i="35"/>
  <c r="AS39" i="35"/>
  <c r="AR39" i="35"/>
  <c r="AU39" i="35"/>
  <c r="AT39" i="35"/>
  <c r="AW39" i="35"/>
  <c r="DY39" i="35"/>
  <c r="DZ39" i="35"/>
  <c r="O39" i="35"/>
  <c r="V39" i="35"/>
  <c r="Z39" i="35"/>
  <c r="Y39" i="35"/>
  <c r="AC39" i="35"/>
  <c r="X39" i="35"/>
  <c r="AB39" i="35"/>
  <c r="W39" i="35"/>
  <c r="AA39" i="35"/>
  <c r="BG39" i="35"/>
  <c r="BH39" i="35"/>
  <c r="BI39" i="35"/>
  <c r="BK39" i="35"/>
  <c r="BL39" i="35"/>
  <c r="BJ39" i="35"/>
  <c r="DQ39" i="35"/>
  <c r="DR39" i="35"/>
  <c r="DS39" i="35"/>
  <c r="CH39" i="35"/>
  <c r="CI39" i="35"/>
  <c r="CJ39" i="35"/>
  <c r="CK39" i="35"/>
  <c r="AN39" i="35"/>
  <c r="DX39" i="35"/>
  <c r="DG39" i="35"/>
  <c r="DH39" i="35"/>
  <c r="AP39" i="35"/>
  <c r="AO39" i="35"/>
  <c r="AJ39" i="35"/>
  <c r="AM39" i="35"/>
  <c r="AK39" i="35"/>
  <c r="AL39" i="35"/>
  <c r="AI39" i="35"/>
  <c r="DT39" i="35"/>
  <c r="DU39" i="35"/>
  <c r="DV39" i="35"/>
  <c r="DW39" i="35"/>
  <c r="BM39" i="35"/>
  <c r="DO39" i="35"/>
  <c r="AZ39" i="35"/>
  <c r="BA39" i="35"/>
  <c r="BB39" i="35"/>
  <c r="BC39" i="35"/>
  <c r="BF39" i="35"/>
  <c r="BE39" i="35"/>
  <c r="BD39" i="35"/>
  <c r="CN39" i="35"/>
  <c r="CR39" i="35"/>
  <c r="CS39" i="35"/>
  <c r="CT39" i="35"/>
  <c r="CU39" i="35"/>
  <c r="CV39" i="35"/>
  <c r="CW39" i="35"/>
  <c r="CX39" i="35"/>
  <c r="CY39" i="35"/>
  <c r="CZ39" i="35"/>
  <c r="CO39" i="35"/>
  <c r="CP39" i="35"/>
  <c r="CQ39" i="35"/>
  <c r="AH39" i="35"/>
  <c r="CD39" i="35"/>
  <c r="CE39" i="35"/>
  <c r="CL39" i="35"/>
  <c r="CM39" i="35"/>
  <c r="CF39" i="35"/>
  <c r="DP39" i="35"/>
  <c r="EA39" i="35"/>
  <c r="EB39" i="35"/>
  <c r="EC39" i="35"/>
  <c r="ED39" i="35"/>
  <c r="EE39" i="35"/>
  <c r="EF39" i="35"/>
  <c r="EG39" i="35"/>
  <c r="EH39" i="35"/>
  <c r="EI39" i="35"/>
  <c r="EJ39" i="35"/>
  <c r="EK39" i="35"/>
  <c r="EL39" i="35"/>
  <c r="EM39" i="35"/>
  <c r="EN39" i="35"/>
  <c r="EO39" i="35"/>
  <c r="EQ39" i="35"/>
  <c r="ER39" i="35"/>
  <c r="ES39" i="35"/>
  <c r="ET39" i="35"/>
  <c r="EU39" i="35"/>
  <c r="EV39" i="35"/>
  <c r="EW39" i="35"/>
  <c r="EX39" i="35"/>
  <c r="EY39" i="35"/>
  <c r="EZ39" i="35"/>
  <c r="FA39" i="35"/>
  <c r="FB39" i="35"/>
  <c r="FC39" i="35"/>
  <c r="FD39" i="35"/>
  <c r="FE39" i="35"/>
  <c r="FF39" i="35"/>
  <c r="FG39" i="35"/>
  <c r="FH39" i="35"/>
  <c r="FI39" i="35"/>
  <c r="FJ39" i="35"/>
  <c r="FK39" i="35"/>
  <c r="FL39" i="35"/>
  <c r="FM39" i="35"/>
  <c r="FN39" i="35"/>
  <c r="FO39" i="35"/>
  <c r="FP39" i="35"/>
  <c r="FQ39" i="35"/>
  <c r="FR39" i="35"/>
  <c r="FS39" i="35"/>
  <c r="FT39" i="35"/>
  <c r="FU39" i="35"/>
  <c r="FV39" i="35"/>
  <c r="FW39" i="35"/>
  <c r="FX39" i="35"/>
  <c r="FY39" i="35"/>
  <c r="FZ39" i="35"/>
  <c r="GA39" i="35"/>
  <c r="GB39" i="35"/>
  <c r="GC39" i="35"/>
  <c r="GD39" i="35"/>
  <c r="GE39" i="35"/>
  <c r="GF39" i="35"/>
  <c r="GG39" i="35"/>
  <c r="GH39" i="35"/>
  <c r="GI39" i="35"/>
  <c r="GJ39" i="35"/>
  <c r="GK39" i="35"/>
  <c r="GL39" i="35"/>
  <c r="GM39" i="35"/>
  <c r="GN39" i="35"/>
  <c r="GO39" i="35"/>
  <c r="GP39" i="35"/>
  <c r="GQ39" i="35"/>
  <c r="GR39" i="35"/>
  <c r="GS39" i="35"/>
  <c r="GT39" i="35"/>
  <c r="GU39" i="35"/>
  <c r="GV39" i="35"/>
  <c r="GW39" i="35"/>
  <c r="GX39" i="35"/>
  <c r="GY39" i="35"/>
  <c r="GZ39" i="35"/>
  <c r="HA39" i="35"/>
  <c r="HB39" i="35"/>
  <c r="BY21" i="35"/>
  <c r="CB21" i="35"/>
  <c r="CA21" i="35"/>
  <c r="CC21" i="35"/>
  <c r="BZ21" i="35"/>
  <c r="BX21" i="35"/>
  <c r="BN21" i="35"/>
  <c r="BT21" i="35"/>
  <c r="BO21" i="35"/>
  <c r="BV21" i="35"/>
  <c r="BR21" i="35"/>
  <c r="BQ21" i="35"/>
  <c r="BU21" i="35"/>
  <c r="BS21" i="35"/>
  <c r="BP21" i="35"/>
  <c r="P21" i="35"/>
  <c r="T21" i="35"/>
  <c r="S21" i="35"/>
  <c r="Q21" i="35"/>
  <c r="R21" i="35"/>
  <c r="U21" i="35"/>
  <c r="AD21" i="35"/>
  <c r="AG21" i="35"/>
  <c r="AE21" i="35"/>
  <c r="AF21" i="35"/>
  <c r="DA21" i="35"/>
  <c r="DB21" i="35"/>
  <c r="DC21" i="35"/>
  <c r="DD21" i="35"/>
  <c r="DE21" i="35"/>
  <c r="DF21" i="35"/>
  <c r="H21" i="35"/>
  <c r="L21" i="35"/>
  <c r="M21" i="35"/>
  <c r="N21" i="35"/>
  <c r="I21" i="35"/>
  <c r="J21" i="35"/>
  <c r="K21" i="35"/>
  <c r="AQ21" i="35"/>
  <c r="AV21" i="35"/>
  <c r="AX21" i="35"/>
  <c r="AY21" i="35"/>
  <c r="AS21" i="35"/>
  <c r="AR21" i="35"/>
  <c r="AU21" i="35"/>
  <c r="AT21" i="35"/>
  <c r="AW21" i="35"/>
  <c r="DY21" i="35"/>
  <c r="DZ21" i="35"/>
  <c r="O21" i="35"/>
  <c r="V21" i="35"/>
  <c r="Z21" i="35"/>
  <c r="Y21" i="35"/>
  <c r="AC21" i="35"/>
  <c r="X21" i="35"/>
  <c r="AB21" i="35"/>
  <c r="W21" i="35"/>
  <c r="AA21" i="35"/>
  <c r="BG21" i="35"/>
  <c r="BH21" i="35"/>
  <c r="BI21" i="35"/>
  <c r="BK21" i="35"/>
  <c r="BL21" i="35"/>
  <c r="BJ21" i="35"/>
  <c r="DQ21" i="35"/>
  <c r="DR21" i="35"/>
  <c r="DS21" i="35"/>
  <c r="CH21" i="35"/>
  <c r="CI21" i="35"/>
  <c r="CJ21" i="35"/>
  <c r="CK21" i="35"/>
  <c r="AN21" i="35"/>
  <c r="DX21" i="35"/>
  <c r="DG21" i="35"/>
  <c r="DH21" i="35"/>
  <c r="AP21" i="35"/>
  <c r="AO21" i="35"/>
  <c r="AJ21" i="35"/>
  <c r="AM21" i="35"/>
  <c r="AK21" i="35"/>
  <c r="AL21" i="35"/>
  <c r="AI21" i="35"/>
  <c r="DT21" i="35"/>
  <c r="DU21" i="35"/>
  <c r="DV21" i="35"/>
  <c r="DW21" i="35"/>
  <c r="BM21" i="35"/>
  <c r="DO21" i="35"/>
  <c r="AZ21" i="35"/>
  <c r="BA21" i="35"/>
  <c r="BB21" i="35"/>
  <c r="BC21" i="35"/>
  <c r="BF21" i="35"/>
  <c r="BE21" i="35"/>
  <c r="BD21" i="35"/>
  <c r="CN21" i="35"/>
  <c r="CR21" i="35"/>
  <c r="CS21" i="35"/>
  <c r="CT21" i="35"/>
  <c r="CU21" i="35"/>
  <c r="CV21" i="35"/>
  <c r="CW21" i="35"/>
  <c r="CX21" i="35"/>
  <c r="CY21" i="35"/>
  <c r="CZ21" i="35"/>
  <c r="CO21" i="35"/>
  <c r="CP21" i="35"/>
  <c r="CQ21" i="35"/>
  <c r="AH21" i="35"/>
  <c r="CD21" i="35"/>
  <c r="CE21" i="35"/>
  <c r="CL21" i="35"/>
  <c r="CM21" i="35"/>
  <c r="CF21" i="35"/>
  <c r="DP21" i="35"/>
  <c r="EA21" i="35"/>
  <c r="EB21" i="35"/>
  <c r="EC21" i="35"/>
  <c r="ED21" i="35"/>
  <c r="EE21" i="35"/>
  <c r="EF21" i="35"/>
  <c r="EG21" i="35"/>
  <c r="EH21" i="35"/>
  <c r="EI21" i="35"/>
  <c r="EJ21" i="35"/>
  <c r="EK21" i="35"/>
  <c r="EL21" i="35"/>
  <c r="EM21" i="35"/>
  <c r="EN21" i="35"/>
  <c r="EO21" i="35"/>
  <c r="EQ21" i="35"/>
  <c r="ER21" i="35"/>
  <c r="ES21" i="35"/>
  <c r="ET21" i="35"/>
  <c r="EU21" i="35"/>
  <c r="EV21" i="35"/>
  <c r="EW21" i="35"/>
  <c r="EX21" i="35"/>
  <c r="EY21" i="35"/>
  <c r="EZ21" i="35"/>
  <c r="FA21" i="35"/>
  <c r="FB21" i="35"/>
  <c r="FC21" i="35"/>
  <c r="FD21" i="35"/>
  <c r="FE21" i="35"/>
  <c r="FF21" i="35"/>
  <c r="FG21" i="35"/>
  <c r="FH21" i="35"/>
  <c r="FI21" i="35"/>
  <c r="FJ21" i="35"/>
  <c r="FK21" i="35"/>
  <c r="FL21" i="35"/>
  <c r="FM21" i="35"/>
  <c r="FN21" i="35"/>
  <c r="FO21" i="35"/>
  <c r="FP21" i="35"/>
  <c r="FQ21" i="35"/>
  <c r="FR21" i="35"/>
  <c r="FS21" i="35"/>
  <c r="FT21" i="35"/>
  <c r="FU21" i="35"/>
  <c r="FV21" i="35"/>
  <c r="FW21" i="35"/>
  <c r="FX21" i="35"/>
  <c r="FY21" i="35"/>
  <c r="FZ21" i="35"/>
  <c r="GA21" i="35"/>
  <c r="GB21" i="35"/>
  <c r="GC21" i="35"/>
  <c r="GD21" i="35"/>
  <c r="GE21" i="35"/>
  <c r="GF21" i="35"/>
  <c r="GG21" i="35"/>
  <c r="GH21" i="35"/>
  <c r="GI21" i="35"/>
  <c r="GJ21" i="35"/>
  <c r="GK21" i="35"/>
  <c r="GL21" i="35"/>
  <c r="GM21" i="35"/>
  <c r="GN21" i="35"/>
  <c r="GO21" i="35"/>
  <c r="GP21" i="35"/>
  <c r="GQ21" i="35"/>
  <c r="GR21" i="35"/>
  <c r="GS21" i="35"/>
  <c r="GT21" i="35"/>
  <c r="GU21" i="35"/>
  <c r="GV21" i="35"/>
  <c r="GW21" i="35"/>
  <c r="GX21" i="35"/>
  <c r="GY21" i="35"/>
  <c r="GZ21" i="35"/>
  <c r="HA21" i="35"/>
  <c r="HB21" i="35"/>
  <c r="BY2" i="35"/>
  <c r="CB2" i="35"/>
  <c r="CA2" i="35"/>
  <c r="CC2" i="35"/>
  <c r="BZ2" i="35"/>
  <c r="BX2" i="35"/>
  <c r="BN2" i="35"/>
  <c r="BT2" i="35"/>
  <c r="BO2" i="35"/>
  <c r="BV2" i="35"/>
  <c r="BR2" i="35"/>
  <c r="BQ2" i="35"/>
  <c r="BU2" i="35"/>
  <c r="BS2" i="35"/>
  <c r="BP2" i="35"/>
  <c r="P2" i="35"/>
  <c r="T2" i="35"/>
  <c r="S2" i="35"/>
  <c r="Q2" i="35"/>
  <c r="R2" i="35"/>
  <c r="U2" i="35"/>
  <c r="AD2" i="35"/>
  <c r="AG2" i="35"/>
  <c r="AE2" i="35"/>
  <c r="AF2" i="35"/>
  <c r="DA2" i="35"/>
  <c r="DB2" i="35"/>
  <c r="DC2" i="35"/>
  <c r="DD2" i="35"/>
  <c r="DE2" i="35"/>
  <c r="DF2" i="35"/>
  <c r="H2" i="35"/>
  <c r="L2" i="35"/>
  <c r="M2" i="35"/>
  <c r="N2" i="35"/>
  <c r="I2" i="35"/>
  <c r="J2" i="35"/>
  <c r="K2" i="35"/>
  <c r="AQ2" i="35"/>
  <c r="AV2" i="35"/>
  <c r="AX2" i="35"/>
  <c r="AY2" i="35"/>
  <c r="AS2" i="35"/>
  <c r="AR2" i="35"/>
  <c r="AU2" i="35"/>
  <c r="AT2" i="35"/>
  <c r="AW2" i="35"/>
  <c r="DY2" i="35"/>
  <c r="DZ2" i="35"/>
  <c r="O2" i="35"/>
  <c r="V2" i="35"/>
  <c r="Z2" i="35"/>
  <c r="Y2" i="35"/>
  <c r="AC2" i="35"/>
  <c r="X2" i="35"/>
  <c r="AB2" i="35"/>
  <c r="W2" i="35"/>
  <c r="AA2" i="35"/>
  <c r="BG2" i="35"/>
  <c r="BH2" i="35"/>
  <c r="BI2" i="35"/>
  <c r="BK2" i="35"/>
  <c r="BL2" i="35"/>
  <c r="BJ2" i="35"/>
  <c r="DQ2" i="35"/>
  <c r="DR2" i="35"/>
  <c r="DS2" i="35"/>
  <c r="CH2" i="35"/>
  <c r="CI2" i="35"/>
  <c r="CJ2" i="35"/>
  <c r="CK2" i="35"/>
  <c r="AN2" i="35"/>
  <c r="DX2" i="35"/>
  <c r="AP2" i="35"/>
  <c r="AO2" i="35"/>
  <c r="AJ2" i="35"/>
  <c r="AM2" i="35"/>
  <c r="AK2" i="35"/>
  <c r="AL2" i="35"/>
  <c r="AI2" i="35"/>
  <c r="DT2" i="35"/>
  <c r="DU2" i="35"/>
  <c r="DV2" i="35"/>
  <c r="DW2" i="35"/>
  <c r="BM2" i="35"/>
  <c r="DO2" i="35"/>
  <c r="AZ2" i="35"/>
  <c r="BA2" i="35"/>
  <c r="BB2" i="35"/>
  <c r="BC2" i="35"/>
  <c r="BF2" i="35"/>
  <c r="BE2" i="35"/>
  <c r="BD2" i="35"/>
  <c r="CN2" i="35"/>
  <c r="CR2" i="35"/>
  <c r="CS2" i="35"/>
  <c r="CT2" i="35"/>
  <c r="CU2" i="35"/>
  <c r="CV2" i="35"/>
  <c r="CW2" i="35"/>
  <c r="CX2" i="35"/>
  <c r="CY2" i="35"/>
  <c r="CZ2" i="35"/>
  <c r="CO2" i="35"/>
  <c r="CP2" i="35"/>
  <c r="CQ2" i="35"/>
  <c r="AH2" i="35"/>
  <c r="CD2" i="35"/>
  <c r="CE2" i="35"/>
  <c r="CL2" i="35"/>
  <c r="CM2" i="35"/>
  <c r="CF2" i="35"/>
  <c r="DP2" i="35"/>
  <c r="EA2" i="35"/>
  <c r="EB2" i="35"/>
  <c r="EC2" i="35"/>
  <c r="ED2" i="35"/>
  <c r="EE2" i="35"/>
  <c r="EF2" i="35"/>
  <c r="EG2" i="35"/>
  <c r="EH2" i="35"/>
  <c r="EI2" i="35"/>
  <c r="EJ2" i="35"/>
  <c r="EK2" i="35"/>
  <c r="EL2" i="35"/>
  <c r="EM2" i="35"/>
  <c r="EN2" i="35"/>
  <c r="EO2" i="35"/>
  <c r="EQ2" i="35"/>
  <c r="ER2" i="35"/>
  <c r="ES2" i="35"/>
  <c r="ET2" i="35"/>
  <c r="EU2" i="35"/>
  <c r="EV2" i="35"/>
  <c r="EW2" i="35"/>
  <c r="EX2" i="35"/>
  <c r="EY2" i="35"/>
  <c r="EZ2" i="35"/>
  <c r="FA2" i="35"/>
  <c r="FB2" i="35"/>
  <c r="FC2" i="35"/>
  <c r="FD2" i="35"/>
  <c r="FE2" i="35"/>
  <c r="FF2" i="35"/>
  <c r="FG2" i="35"/>
  <c r="FH2" i="35"/>
  <c r="FI2" i="35"/>
  <c r="FJ2" i="35"/>
  <c r="FK2" i="35"/>
  <c r="FL2" i="35"/>
  <c r="FM2" i="35"/>
  <c r="FN2" i="35"/>
  <c r="FO2" i="35"/>
  <c r="FP2" i="35"/>
  <c r="FQ2" i="35"/>
  <c r="FR2" i="35"/>
  <c r="FS2" i="35"/>
  <c r="FT2" i="35"/>
  <c r="FU2" i="35"/>
  <c r="FV2" i="35"/>
  <c r="FW2" i="35"/>
  <c r="FX2" i="35"/>
  <c r="FY2" i="35"/>
  <c r="FZ2" i="35"/>
  <c r="GA2" i="35"/>
  <c r="GB2" i="35"/>
  <c r="GC2" i="35"/>
  <c r="GD2" i="35"/>
  <c r="GE2" i="35"/>
  <c r="GF2" i="35"/>
  <c r="GG2" i="35"/>
  <c r="GH2" i="35"/>
  <c r="GI2" i="35"/>
  <c r="GJ2" i="35"/>
  <c r="GK2" i="35"/>
  <c r="GL2" i="35"/>
  <c r="GM2" i="35"/>
  <c r="GN2" i="35"/>
  <c r="GO2" i="35"/>
  <c r="GP2" i="35"/>
  <c r="GQ2" i="35"/>
  <c r="GR2" i="35"/>
  <c r="GS2" i="35"/>
  <c r="GT2" i="35"/>
  <c r="GU2" i="35"/>
  <c r="GV2" i="35"/>
  <c r="GW2" i="35"/>
  <c r="GX2" i="35"/>
  <c r="GY2" i="35"/>
  <c r="GZ2" i="35"/>
  <c r="HA2" i="35"/>
  <c r="HB2" i="35"/>
  <c r="BW2" i="35"/>
  <c r="BW21" i="35"/>
  <c r="BW39" i="35"/>
  <c r="BY70" i="35"/>
  <c r="CB70" i="35"/>
  <c r="CA70" i="35"/>
  <c r="CC70" i="35"/>
  <c r="BZ70" i="35"/>
  <c r="BX70" i="35"/>
  <c r="BN70" i="35"/>
  <c r="BT70" i="35"/>
  <c r="BO70" i="35"/>
  <c r="BV70" i="35"/>
  <c r="BR70" i="35"/>
  <c r="BQ70" i="35"/>
  <c r="BU70" i="35"/>
  <c r="BS70" i="35"/>
  <c r="BP70" i="35"/>
  <c r="P70" i="35"/>
  <c r="T70" i="35"/>
  <c r="S70" i="35"/>
  <c r="Q70" i="35"/>
  <c r="R70" i="35"/>
  <c r="U70" i="35"/>
  <c r="AD70" i="35"/>
  <c r="AG70" i="35"/>
  <c r="AE70" i="35"/>
  <c r="AF70" i="35"/>
  <c r="DA70" i="35"/>
  <c r="DB70" i="35"/>
  <c r="DC70" i="35"/>
  <c r="DD70" i="35"/>
  <c r="DE70" i="35"/>
  <c r="DF70" i="35"/>
  <c r="H70" i="35"/>
  <c r="L70" i="35"/>
  <c r="M70" i="35"/>
  <c r="N70" i="35"/>
  <c r="I70" i="35"/>
  <c r="J70" i="35"/>
  <c r="K70" i="35"/>
  <c r="AQ70" i="35"/>
  <c r="AV70" i="35"/>
  <c r="AX70" i="35"/>
  <c r="AY70" i="35"/>
  <c r="AS70" i="35"/>
  <c r="AR70" i="35"/>
  <c r="AU70" i="35"/>
  <c r="AT70" i="35"/>
  <c r="AW70" i="35"/>
  <c r="DY70" i="35"/>
  <c r="DZ70" i="35"/>
  <c r="O70" i="35"/>
  <c r="V70" i="35"/>
  <c r="Z70" i="35"/>
  <c r="Y70" i="35"/>
  <c r="AC70" i="35"/>
  <c r="X70" i="35"/>
  <c r="AB70" i="35"/>
  <c r="W70" i="35"/>
  <c r="AA70" i="35"/>
  <c r="BG70" i="35"/>
  <c r="BH70" i="35"/>
  <c r="BI70" i="35"/>
  <c r="BK70" i="35"/>
  <c r="BL70" i="35"/>
  <c r="BJ70" i="35"/>
  <c r="DQ70" i="35"/>
  <c r="DR70" i="35"/>
  <c r="DS70" i="35"/>
  <c r="CH70" i="35"/>
  <c r="CI70" i="35"/>
  <c r="CJ70" i="35"/>
  <c r="CK70" i="35"/>
  <c r="AN70" i="35"/>
  <c r="DX70" i="35"/>
  <c r="AP70" i="35"/>
  <c r="AO70" i="35"/>
  <c r="AJ70" i="35"/>
  <c r="AM70" i="35"/>
  <c r="AK70" i="35"/>
  <c r="AL70" i="35"/>
  <c r="AI70" i="35"/>
  <c r="DT70" i="35"/>
  <c r="DU70" i="35"/>
  <c r="DV70" i="35"/>
  <c r="DW70" i="35"/>
  <c r="BM70" i="35"/>
  <c r="DO70" i="35"/>
  <c r="AZ70" i="35"/>
  <c r="BA70" i="35"/>
  <c r="BB70" i="35"/>
  <c r="BC70" i="35"/>
  <c r="BF70" i="35"/>
  <c r="BE70" i="35"/>
  <c r="BD70" i="35"/>
  <c r="CN70" i="35"/>
  <c r="CR70" i="35"/>
  <c r="CS70" i="35"/>
  <c r="CT70" i="35"/>
  <c r="CU70" i="35"/>
  <c r="CV70" i="35"/>
  <c r="CW70" i="35"/>
  <c r="CX70" i="35"/>
  <c r="CY70" i="35"/>
  <c r="CZ70" i="35"/>
  <c r="CO70" i="35"/>
  <c r="CP70" i="35"/>
  <c r="CQ70" i="35"/>
  <c r="AH70" i="35"/>
  <c r="CD70" i="35"/>
  <c r="CE70" i="35"/>
  <c r="CL70" i="35"/>
  <c r="CM70" i="35"/>
  <c r="CF70" i="35"/>
  <c r="DP70" i="35"/>
  <c r="EA70" i="35"/>
  <c r="EB70" i="35"/>
  <c r="EC70" i="35"/>
  <c r="ED70" i="35"/>
  <c r="EE70" i="35"/>
  <c r="EF70" i="35"/>
  <c r="EG70" i="35"/>
  <c r="EH70" i="35"/>
  <c r="EI70" i="35"/>
  <c r="EJ70" i="35"/>
  <c r="EK70" i="35"/>
  <c r="EL70" i="35"/>
  <c r="EM70" i="35"/>
  <c r="EN70" i="35"/>
  <c r="EO70" i="35"/>
  <c r="EQ70" i="35"/>
  <c r="ER70" i="35"/>
  <c r="ES70" i="35"/>
  <c r="ET70" i="35"/>
  <c r="EU70" i="35"/>
  <c r="EV70" i="35"/>
  <c r="EW70" i="35"/>
  <c r="EX70" i="35"/>
  <c r="EY70" i="35"/>
  <c r="EZ70" i="35"/>
  <c r="FA70" i="35"/>
  <c r="FB70" i="35"/>
  <c r="FC70" i="35"/>
  <c r="FD70" i="35"/>
  <c r="FE70" i="35"/>
  <c r="FF70" i="35"/>
  <c r="FG70" i="35"/>
  <c r="FH70" i="35"/>
  <c r="FI70" i="35"/>
  <c r="FJ70" i="35"/>
  <c r="FK70" i="35"/>
  <c r="FL70" i="35"/>
  <c r="FM70" i="35"/>
  <c r="FN70" i="35"/>
  <c r="FO70" i="35"/>
  <c r="FP70" i="35"/>
  <c r="FQ70" i="35"/>
  <c r="FR70" i="35"/>
  <c r="FS70" i="35"/>
  <c r="FT70" i="35"/>
  <c r="FU70" i="35"/>
  <c r="FV70" i="35"/>
  <c r="FW70" i="35"/>
  <c r="FX70" i="35"/>
  <c r="FY70" i="35"/>
  <c r="FZ70" i="35"/>
  <c r="GA70" i="35"/>
  <c r="GB70" i="35"/>
  <c r="GC70" i="35"/>
  <c r="GD70" i="35"/>
  <c r="GE70" i="35"/>
  <c r="GF70" i="35"/>
  <c r="GG70" i="35"/>
  <c r="GH70" i="35"/>
  <c r="GI70" i="35"/>
  <c r="GJ70" i="35"/>
  <c r="GK70" i="35"/>
  <c r="GL70" i="35"/>
  <c r="GM70" i="35"/>
  <c r="GN70" i="35"/>
  <c r="GO70" i="35"/>
  <c r="GP70" i="35"/>
  <c r="GQ70" i="35"/>
  <c r="GR70" i="35"/>
  <c r="GS70" i="35"/>
  <c r="GT70" i="35"/>
  <c r="GU70" i="35"/>
  <c r="GV70" i="35"/>
  <c r="GW70" i="35"/>
  <c r="GX70" i="35"/>
  <c r="GY70" i="35"/>
  <c r="GZ70" i="35"/>
  <c r="HA70" i="35"/>
  <c r="HB70" i="35"/>
  <c r="BY85" i="35"/>
  <c r="CB85" i="35"/>
  <c r="CA85" i="35"/>
  <c r="CC85" i="35"/>
  <c r="BZ85" i="35"/>
  <c r="BX85" i="35"/>
  <c r="BN85" i="35"/>
  <c r="BT85" i="35"/>
  <c r="BO85" i="35"/>
  <c r="BV85" i="35"/>
  <c r="BR85" i="35"/>
  <c r="BQ85" i="35"/>
  <c r="BU85" i="35"/>
  <c r="BS85" i="35"/>
  <c r="BP85" i="35"/>
  <c r="P85" i="35"/>
  <c r="T85" i="35"/>
  <c r="S85" i="35"/>
  <c r="Q85" i="35"/>
  <c r="R85" i="35"/>
  <c r="U85" i="35"/>
  <c r="AD85" i="35"/>
  <c r="AG85" i="35"/>
  <c r="AE85" i="35"/>
  <c r="AF85" i="35"/>
  <c r="DA85" i="35"/>
  <c r="DB85" i="35"/>
  <c r="DC85" i="35"/>
  <c r="DD85" i="35"/>
  <c r="DE85" i="35"/>
  <c r="DF85" i="35"/>
  <c r="H85" i="35"/>
  <c r="L85" i="35"/>
  <c r="M85" i="35"/>
  <c r="N85" i="35"/>
  <c r="I85" i="35"/>
  <c r="J85" i="35"/>
  <c r="K85" i="35"/>
  <c r="AQ85" i="35"/>
  <c r="AV85" i="35"/>
  <c r="AX85" i="35"/>
  <c r="AY85" i="35"/>
  <c r="AS85" i="35"/>
  <c r="AR85" i="35"/>
  <c r="AU85" i="35"/>
  <c r="AT85" i="35"/>
  <c r="AW85" i="35"/>
  <c r="DY85" i="35"/>
  <c r="DZ85" i="35"/>
  <c r="O85" i="35"/>
  <c r="V85" i="35"/>
  <c r="Z85" i="35"/>
  <c r="Y85" i="35"/>
  <c r="AC85" i="35"/>
  <c r="X85" i="35"/>
  <c r="AB85" i="35"/>
  <c r="W85" i="35"/>
  <c r="AA85" i="35"/>
  <c r="BG85" i="35"/>
  <c r="BH85" i="35"/>
  <c r="BI85" i="35"/>
  <c r="BK85" i="35"/>
  <c r="BL85" i="35"/>
  <c r="BJ85" i="35"/>
  <c r="DQ85" i="35"/>
  <c r="DR85" i="35"/>
  <c r="DS85" i="35"/>
  <c r="CH85" i="35"/>
  <c r="CI85" i="35"/>
  <c r="CJ85" i="35"/>
  <c r="CK85" i="35"/>
  <c r="AN85" i="35"/>
  <c r="DX85" i="35"/>
  <c r="AP85" i="35"/>
  <c r="AO85" i="35"/>
  <c r="AJ85" i="35"/>
  <c r="AM85" i="35"/>
  <c r="AK85" i="35"/>
  <c r="AL85" i="35"/>
  <c r="AI85" i="35"/>
  <c r="DT85" i="35"/>
  <c r="DU85" i="35"/>
  <c r="DV85" i="35"/>
  <c r="DW85" i="35"/>
  <c r="BM85" i="35"/>
  <c r="DO85" i="35"/>
  <c r="AZ85" i="35"/>
  <c r="BA85" i="35"/>
  <c r="BB85" i="35"/>
  <c r="BC85" i="35"/>
  <c r="BF85" i="35"/>
  <c r="BE85" i="35"/>
  <c r="BD85" i="35"/>
  <c r="CN85" i="35"/>
  <c r="CR85" i="35"/>
  <c r="CS85" i="35"/>
  <c r="CT85" i="35"/>
  <c r="CU85" i="35"/>
  <c r="CV85" i="35"/>
  <c r="CW85" i="35"/>
  <c r="CX85" i="35"/>
  <c r="CY85" i="35"/>
  <c r="CZ85" i="35"/>
  <c r="CO85" i="35"/>
  <c r="CP85" i="35"/>
  <c r="CQ85" i="35"/>
  <c r="AH85" i="35"/>
  <c r="CD85" i="35"/>
  <c r="CE85" i="35"/>
  <c r="CL85" i="35"/>
  <c r="CM85" i="35"/>
  <c r="CF85" i="35"/>
  <c r="DP85" i="35"/>
  <c r="EA85" i="35"/>
  <c r="EB85" i="35"/>
  <c r="EC85" i="35"/>
  <c r="ED85" i="35"/>
  <c r="EE85" i="35"/>
  <c r="EF85" i="35"/>
  <c r="EG85" i="35"/>
  <c r="EH85" i="35"/>
  <c r="EI85" i="35"/>
  <c r="EJ85" i="35"/>
  <c r="EK85" i="35"/>
  <c r="EL85" i="35"/>
  <c r="EM85" i="35"/>
  <c r="EN85" i="35"/>
  <c r="EO85" i="35"/>
  <c r="EQ85" i="35"/>
  <c r="ER85" i="35"/>
  <c r="ES85" i="35"/>
  <c r="ET85" i="35"/>
  <c r="EU85" i="35"/>
  <c r="EV85" i="35"/>
  <c r="EW85" i="35"/>
  <c r="EX85" i="35"/>
  <c r="EY85" i="35"/>
  <c r="EZ85" i="35"/>
  <c r="FA85" i="35"/>
  <c r="FB85" i="35"/>
  <c r="FC85" i="35"/>
  <c r="FD85" i="35"/>
  <c r="FE85" i="35"/>
  <c r="FF85" i="35"/>
  <c r="FG85" i="35"/>
  <c r="FH85" i="35"/>
  <c r="FI85" i="35"/>
  <c r="FJ85" i="35"/>
  <c r="FK85" i="35"/>
  <c r="FL85" i="35"/>
  <c r="FM85" i="35"/>
  <c r="FN85" i="35"/>
  <c r="FO85" i="35"/>
  <c r="FP85" i="35"/>
  <c r="FQ85" i="35"/>
  <c r="FR85" i="35"/>
  <c r="FS85" i="35"/>
  <c r="FT85" i="35"/>
  <c r="FU85" i="35"/>
  <c r="FV85" i="35"/>
  <c r="FW85" i="35"/>
  <c r="FX85" i="35"/>
  <c r="FY85" i="35"/>
  <c r="FZ85" i="35"/>
  <c r="GA85" i="35"/>
  <c r="GB85" i="35"/>
  <c r="GC85" i="35"/>
  <c r="GD85" i="35"/>
  <c r="GE85" i="35"/>
  <c r="GF85" i="35"/>
  <c r="GG85" i="35"/>
  <c r="GH85" i="35"/>
  <c r="GI85" i="35"/>
  <c r="GJ85" i="35"/>
  <c r="GK85" i="35"/>
  <c r="GL85" i="35"/>
  <c r="GM85" i="35"/>
  <c r="GN85" i="35"/>
  <c r="GO85" i="35"/>
  <c r="GP85" i="35"/>
  <c r="GQ85" i="35"/>
  <c r="GR85" i="35"/>
  <c r="GS85" i="35"/>
  <c r="GT85" i="35"/>
  <c r="GU85" i="35"/>
  <c r="GV85" i="35"/>
  <c r="GW85" i="35"/>
  <c r="GX85" i="35"/>
  <c r="GY85" i="35"/>
  <c r="GZ85" i="35"/>
  <c r="HA85" i="35"/>
  <c r="HB85" i="35"/>
  <c r="BW85" i="35"/>
  <c r="BW70" i="35"/>
  <c r="EW57" i="35"/>
  <c r="EX57" i="35"/>
  <c r="EY57" i="35"/>
  <c r="EZ57" i="35"/>
  <c r="FA57" i="35"/>
  <c r="FB57" i="35"/>
  <c r="FC57" i="35"/>
  <c r="FD57" i="35"/>
  <c r="FE57" i="35"/>
  <c r="FF57" i="35"/>
  <c r="FG57" i="35"/>
  <c r="FH57" i="35"/>
  <c r="FI57" i="35"/>
  <c r="FJ57" i="35"/>
  <c r="FK57" i="35"/>
  <c r="FL57" i="35"/>
  <c r="FM57" i="35"/>
  <c r="FN57" i="35"/>
  <c r="FO57" i="35"/>
  <c r="FP57" i="35"/>
  <c r="FQ57" i="35"/>
  <c r="FR57" i="35"/>
  <c r="FS57" i="35"/>
  <c r="FT57" i="35"/>
  <c r="FU57" i="35"/>
  <c r="FV57" i="35"/>
  <c r="FW57" i="35"/>
  <c r="FX57" i="35"/>
  <c r="FY57" i="35"/>
  <c r="FZ57" i="35"/>
  <c r="GA57" i="35"/>
  <c r="GB57" i="35"/>
  <c r="GC57" i="35"/>
  <c r="GD57" i="35"/>
  <c r="GE57" i="35"/>
  <c r="GF57" i="35"/>
  <c r="GG57" i="35"/>
  <c r="GH57" i="35"/>
  <c r="GI57" i="35"/>
  <c r="GJ57" i="35"/>
  <c r="GK57" i="35"/>
  <c r="GL57" i="35"/>
  <c r="GM57" i="35"/>
  <c r="GN57" i="35"/>
  <c r="GO57" i="35"/>
  <c r="GP57" i="35"/>
  <c r="GQ57" i="35"/>
  <c r="GR57" i="35"/>
  <c r="GS57" i="35"/>
  <c r="GT57" i="35"/>
  <c r="GU57" i="35"/>
  <c r="GV57" i="35"/>
  <c r="GW57" i="35"/>
  <c r="GX57" i="35"/>
  <c r="GY57" i="35"/>
  <c r="GZ57" i="35"/>
  <c r="HA57" i="35"/>
  <c r="HB57" i="35"/>
  <c r="BW57" i="35"/>
  <c r="BY57" i="35"/>
  <c r="CB57" i="35"/>
  <c r="CA57" i="35"/>
  <c r="CC57" i="35"/>
  <c r="BZ57" i="35"/>
  <c r="BX57" i="35"/>
  <c r="BN57" i="35"/>
  <c r="BT57" i="35"/>
  <c r="BO57" i="35"/>
  <c r="BV57" i="35"/>
  <c r="BR57" i="35"/>
  <c r="BQ57" i="35"/>
  <c r="BU57" i="35"/>
  <c r="BS57" i="35"/>
  <c r="BP57" i="35"/>
  <c r="P57" i="35"/>
  <c r="T57" i="35"/>
  <c r="S57" i="35"/>
  <c r="Q57" i="35"/>
  <c r="R57" i="35"/>
  <c r="U57" i="35"/>
  <c r="AD57" i="35"/>
  <c r="AG57" i="35"/>
  <c r="AE57" i="35"/>
  <c r="AF57" i="35"/>
  <c r="DA57" i="35"/>
  <c r="DB57" i="35"/>
  <c r="DC57" i="35"/>
  <c r="DD57" i="35"/>
  <c r="DE57" i="35"/>
  <c r="DF57" i="35"/>
  <c r="H57" i="35"/>
  <c r="L57" i="35"/>
  <c r="M57" i="35"/>
  <c r="N57" i="35"/>
  <c r="I57" i="35"/>
  <c r="J57" i="35"/>
  <c r="K57" i="35"/>
  <c r="AQ57" i="35"/>
  <c r="AV57" i="35"/>
  <c r="AX57" i="35"/>
  <c r="AY57" i="35"/>
  <c r="AS57" i="35"/>
  <c r="AR57" i="35"/>
  <c r="AU57" i="35"/>
  <c r="AT57" i="35"/>
  <c r="AW57" i="35"/>
  <c r="DY57" i="35"/>
  <c r="DZ57" i="35"/>
  <c r="O57" i="35"/>
  <c r="V57" i="35"/>
  <c r="Z57" i="35"/>
  <c r="Y57" i="35"/>
  <c r="AC57" i="35"/>
  <c r="X57" i="35"/>
  <c r="AB57" i="35"/>
  <c r="W57" i="35"/>
  <c r="AA57" i="35"/>
  <c r="BG57" i="35"/>
  <c r="BH57" i="35"/>
  <c r="BI57" i="35"/>
  <c r="BK57" i="35"/>
  <c r="BL57" i="35"/>
  <c r="BJ57" i="35"/>
  <c r="DQ57" i="35"/>
  <c r="DR57" i="35"/>
  <c r="DS57" i="35"/>
  <c r="CH57" i="35"/>
  <c r="CI57" i="35"/>
  <c r="CJ57" i="35"/>
  <c r="CK57" i="35"/>
  <c r="AN57" i="35"/>
  <c r="DX57" i="35"/>
  <c r="DG57" i="35"/>
  <c r="DH57" i="35"/>
  <c r="AP57" i="35"/>
  <c r="AO57" i="35"/>
  <c r="AJ57" i="35"/>
  <c r="AM57" i="35"/>
  <c r="AK57" i="35"/>
  <c r="AL57" i="35"/>
  <c r="AI57" i="35"/>
  <c r="DT57" i="35"/>
  <c r="DU57" i="35"/>
  <c r="DV57" i="35"/>
  <c r="DW57" i="35"/>
  <c r="BM57" i="35"/>
  <c r="DO57" i="35"/>
  <c r="AZ57" i="35"/>
  <c r="BA57" i="35"/>
  <c r="BB57" i="35"/>
  <c r="BC57" i="35"/>
  <c r="BF57" i="35"/>
  <c r="BE57" i="35"/>
  <c r="BD57" i="35"/>
  <c r="CN57" i="35"/>
  <c r="CR57" i="35"/>
  <c r="CS57" i="35"/>
  <c r="CT57" i="35"/>
  <c r="CU57" i="35"/>
  <c r="CV57" i="35"/>
  <c r="CW57" i="35"/>
  <c r="CX57" i="35"/>
  <c r="CY57" i="35"/>
  <c r="CZ57" i="35"/>
  <c r="CO57" i="35"/>
  <c r="CP57" i="35"/>
  <c r="CQ57" i="35"/>
  <c r="AH57" i="35"/>
  <c r="CD57" i="35"/>
  <c r="CE57" i="35"/>
  <c r="CL57" i="35"/>
  <c r="CM57" i="35"/>
  <c r="CF57" i="35"/>
  <c r="DP57" i="35"/>
  <c r="EA57" i="35"/>
  <c r="EB57" i="35"/>
  <c r="EC57" i="35"/>
  <c r="ED57" i="35"/>
  <c r="EE57" i="35"/>
  <c r="EF57" i="35"/>
  <c r="EG57" i="35"/>
  <c r="EH57" i="35"/>
  <c r="EI57" i="35"/>
  <c r="EJ57" i="35"/>
  <c r="EK57" i="35"/>
  <c r="EL57" i="35"/>
  <c r="EM57" i="35"/>
  <c r="EN57" i="35"/>
  <c r="EO57" i="35"/>
  <c r="EQ57" i="35"/>
  <c r="ER57" i="35"/>
  <c r="ES57" i="35"/>
  <c r="ET57" i="35"/>
  <c r="EU57" i="35"/>
  <c r="EV57" i="35"/>
  <c r="J36" i="6"/>
  <c r="J35" i="6"/>
  <c r="CP245" i="10"/>
  <c r="CP244" i="10"/>
  <c r="CP243" i="10"/>
  <c r="CP242" i="10"/>
  <c r="CP241" i="10"/>
  <c r="CP240" i="10"/>
  <c r="CP239" i="10"/>
  <c r="CP238" i="10"/>
  <c r="CP237" i="10"/>
  <c r="CP236" i="10"/>
  <c r="CP235" i="10"/>
  <c r="CP234" i="10"/>
  <c r="CP233" i="10"/>
  <c r="CP232" i="10"/>
  <c r="CP231" i="10"/>
  <c r="CP230" i="10"/>
  <c r="CP229" i="10"/>
  <c r="CP228" i="10"/>
  <c r="CP227" i="10"/>
  <c r="CP226" i="10"/>
  <c r="CP225" i="10"/>
  <c r="CP224" i="10"/>
  <c r="CP178" i="10"/>
  <c r="CP179" i="10"/>
  <c r="CP180" i="10"/>
  <c r="CP181" i="10"/>
  <c r="CP182" i="10"/>
  <c r="CP183" i="10"/>
  <c r="CP184" i="10"/>
  <c r="CP185" i="10"/>
  <c r="CP186" i="10"/>
  <c r="CP187" i="10"/>
  <c r="CP188" i="10"/>
  <c r="CP189" i="10"/>
  <c r="CP190" i="10"/>
  <c r="CP191" i="10"/>
  <c r="CP192" i="10"/>
  <c r="CP193" i="10"/>
  <c r="CP194" i="10"/>
  <c r="CP195" i="10"/>
  <c r="CP196" i="10"/>
  <c r="CP197" i="10"/>
  <c r="CP198" i="10"/>
  <c r="CP199" i="10"/>
  <c r="CP200" i="10"/>
  <c r="CP201" i="10"/>
  <c r="CP202" i="10"/>
  <c r="CP203" i="10"/>
  <c r="CP204" i="10"/>
  <c r="CP205" i="10"/>
  <c r="CP206" i="10"/>
  <c r="CP207" i="10"/>
  <c r="CP208" i="10"/>
  <c r="CP209" i="10"/>
  <c r="CP210" i="10"/>
  <c r="CP211" i="10"/>
  <c r="CP212" i="10"/>
  <c r="CP213" i="10"/>
  <c r="CP214" i="10"/>
  <c r="CP215" i="10"/>
  <c r="CP216" i="10"/>
  <c r="CP217" i="10"/>
  <c r="CP218" i="10"/>
  <c r="CP219" i="10"/>
  <c r="CP220" i="10"/>
  <c r="CP221" i="10"/>
  <c r="CP222" i="10"/>
  <c r="CP177" i="10"/>
  <c r="DA157" i="10"/>
  <c r="DA156" i="10"/>
  <c r="DA155" i="10"/>
  <c r="DA154" i="10"/>
  <c r="DA153" i="10"/>
  <c r="DA152" i="10"/>
  <c r="DA151" i="10"/>
  <c r="DA150" i="10"/>
  <c r="DA149" i="10"/>
  <c r="DA148" i="10"/>
  <c r="DA147" i="10"/>
  <c r="DA146" i="10"/>
  <c r="DA145" i="10"/>
  <c r="DA144" i="10"/>
  <c r="DA143" i="10"/>
  <c r="DA142" i="10"/>
  <c r="DA141" i="10"/>
  <c r="DA140" i="10"/>
  <c r="DA139" i="10"/>
  <c r="DA138" i="10"/>
  <c r="DA137" i="10"/>
  <c r="DA136" i="10"/>
  <c r="DA135" i="10"/>
  <c r="DA134" i="10"/>
  <c r="DA133" i="10"/>
  <c r="DA132" i="10"/>
  <c r="DA131" i="10"/>
  <c r="DA130" i="10"/>
  <c r="DA129" i="10"/>
  <c r="DA128" i="10"/>
  <c r="DA127" i="10"/>
  <c r="DA126" i="10"/>
  <c r="DA125" i="10"/>
  <c r="DA124" i="10"/>
  <c r="DA123" i="10"/>
  <c r="DA122" i="10"/>
  <c r="DA121" i="10"/>
  <c r="DA120" i="10"/>
  <c r="DA119" i="10"/>
  <c r="DA118" i="10"/>
  <c r="DA117" i="10"/>
  <c r="DA116" i="10"/>
  <c r="DA115" i="10"/>
  <c r="DA114" i="10"/>
  <c r="DA113" i="10"/>
  <c r="DA112" i="10"/>
  <c r="DA111" i="10"/>
  <c r="DA110" i="10"/>
  <c r="DA109" i="10"/>
  <c r="DA108" i="10"/>
  <c r="DA107" i="10"/>
  <c r="DA105" i="10"/>
  <c r="DA104" i="10"/>
  <c r="DA103" i="10"/>
  <c r="DA102" i="10"/>
  <c r="DA101" i="10"/>
  <c r="DA100" i="10"/>
  <c r="DA99" i="10"/>
  <c r="DA98" i="10"/>
  <c r="DA97" i="10"/>
  <c r="DA96" i="10"/>
  <c r="DA95" i="10"/>
  <c r="DA94" i="10"/>
  <c r="DA93" i="10"/>
  <c r="DA92" i="10"/>
  <c r="DA91" i="10"/>
  <c r="DA90" i="10"/>
  <c r="DA89" i="10"/>
  <c r="DA88" i="10"/>
  <c r="DA87" i="10"/>
  <c r="DA86" i="10"/>
  <c r="DA85" i="10"/>
  <c r="DA84" i="10"/>
  <c r="DA83" i="10"/>
  <c r="DA82" i="10"/>
  <c r="DA80" i="10"/>
  <c r="DA79" i="10"/>
  <c r="DA78" i="10"/>
  <c r="DA77" i="10"/>
  <c r="DA76" i="10"/>
  <c r="DA75" i="10"/>
  <c r="DA74" i="10"/>
  <c r="DA73" i="10"/>
  <c r="DA71" i="10"/>
  <c r="DA70" i="10"/>
  <c r="DA69" i="10"/>
  <c r="DA68" i="10"/>
  <c r="DA67" i="10"/>
  <c r="DA66" i="10"/>
  <c r="DA65" i="10"/>
  <c r="DA64" i="10"/>
  <c r="DA63" i="10"/>
  <c r="DA62" i="10"/>
  <c r="DA61" i="10"/>
  <c r="DA59" i="10"/>
  <c r="DA58" i="10"/>
  <c r="DA57" i="10"/>
  <c r="DA56" i="10"/>
  <c r="DA55" i="10"/>
  <c r="DA54" i="10"/>
  <c r="DA53" i="10"/>
  <c r="DA52" i="10"/>
  <c r="DA51" i="10"/>
  <c r="DA50" i="10"/>
  <c r="DA49" i="10"/>
  <c r="DA48" i="10"/>
  <c r="DA47" i="10"/>
  <c r="DA46" i="10"/>
  <c r="DA45" i="10"/>
  <c r="DA44" i="10"/>
  <c r="DA42" i="10"/>
  <c r="DA15" i="10"/>
  <c r="DA16" i="10"/>
  <c r="DA17" i="10"/>
  <c r="DA18" i="10"/>
  <c r="DA19" i="10"/>
  <c r="DA20" i="10"/>
  <c r="DA21" i="10"/>
  <c r="DA22" i="10"/>
  <c r="DA23" i="10"/>
  <c r="DA24" i="10"/>
  <c r="DA25" i="10"/>
  <c r="DA26" i="10"/>
  <c r="DA27" i="10"/>
  <c r="DA28" i="10"/>
  <c r="DA29" i="10"/>
  <c r="DA30" i="10"/>
  <c r="DA31" i="10"/>
  <c r="DA32" i="10"/>
  <c r="DA33" i="10"/>
  <c r="DA34" i="10"/>
  <c r="DA35" i="10"/>
  <c r="DA36" i="10"/>
  <c r="DA37" i="10"/>
  <c r="DA38" i="10"/>
  <c r="DA39" i="10"/>
  <c r="DA40" i="10"/>
  <c r="E137" i="35"/>
  <c r="E136" i="35"/>
  <c r="E135" i="35"/>
  <c r="E134" i="35"/>
  <c r="HB1" i="35"/>
  <c r="E156" i="35"/>
  <c r="E155" i="35"/>
  <c r="E154" i="35"/>
  <c r="E153" i="35"/>
  <c r="E152" i="35"/>
  <c r="E151" i="35"/>
  <c r="E144" i="35"/>
  <c r="E143" i="35"/>
  <c r="E141" i="35"/>
  <c r="E140" i="35"/>
  <c r="E133" i="35"/>
  <c r="E132" i="35"/>
  <c r="E131" i="35"/>
  <c r="E130" i="35"/>
  <c r="E129" i="35"/>
  <c r="E128" i="35"/>
  <c r="E127" i="35"/>
  <c r="E126" i="35"/>
  <c r="E125" i="35"/>
  <c r="E124" i="35"/>
  <c r="E123" i="35"/>
  <c r="HA1" i="35"/>
  <c r="GZ1" i="35"/>
  <c r="GY1" i="35"/>
  <c r="GX1" i="35"/>
  <c r="GW1" i="35"/>
  <c r="GV1" i="35"/>
  <c r="GU1" i="35"/>
  <c r="GT1" i="35"/>
  <c r="GS1" i="35"/>
  <c r="GR1" i="35"/>
  <c r="GQ1" i="35"/>
  <c r="GP1" i="35"/>
  <c r="GO1" i="35"/>
  <c r="GN1" i="35"/>
  <c r="GM1" i="35"/>
  <c r="GL1" i="35"/>
  <c r="GK1" i="35"/>
  <c r="GJ1" i="35"/>
  <c r="GI1" i="35"/>
  <c r="GH1" i="35"/>
  <c r="GG1" i="35"/>
  <c r="GF1" i="35"/>
  <c r="GE1" i="35"/>
  <c r="GD1" i="35"/>
  <c r="GC1" i="35"/>
  <c r="GB1" i="35"/>
  <c r="GA1" i="35"/>
  <c r="FZ1" i="35"/>
  <c r="FY1" i="35"/>
  <c r="FX1" i="35"/>
  <c r="FW1" i="35"/>
  <c r="FV1" i="35"/>
  <c r="FU1" i="35"/>
  <c r="FT1" i="35"/>
  <c r="FS1" i="35"/>
  <c r="FR1" i="35"/>
  <c r="FQ1" i="35"/>
  <c r="FP1" i="35"/>
  <c r="FO1" i="35"/>
  <c r="FN1" i="35"/>
  <c r="FM1" i="35"/>
  <c r="FL1" i="35"/>
  <c r="FK1" i="35"/>
  <c r="FJ1" i="35"/>
  <c r="FI1" i="35"/>
  <c r="FH1" i="35"/>
  <c r="FG1" i="35"/>
  <c r="FF1" i="35"/>
  <c r="FE1" i="35"/>
  <c r="FD1" i="35"/>
  <c r="FC1" i="35"/>
  <c r="FB1" i="35"/>
  <c r="FA1" i="35"/>
  <c r="EZ1" i="35"/>
  <c r="EY1" i="35"/>
  <c r="EX1" i="35"/>
  <c r="EW1" i="35"/>
  <c r="EV1" i="35"/>
  <c r="EU1" i="35"/>
  <c r="ET1" i="35"/>
  <c r="ES1" i="35"/>
  <c r="ER1" i="35"/>
  <c r="EQ1" i="35"/>
  <c r="EO1" i="35"/>
  <c r="EN1" i="35"/>
  <c r="EM1" i="35"/>
  <c r="EL1" i="35"/>
  <c r="EK1" i="35"/>
  <c r="EJ1" i="35"/>
  <c r="EI1" i="35"/>
  <c r="EH1" i="35"/>
  <c r="EG1" i="35"/>
  <c r="EF1" i="35"/>
  <c r="EE1" i="35"/>
  <c r="ED1" i="35"/>
  <c r="EC1" i="35"/>
  <c r="EB1" i="35"/>
  <c r="EA1" i="35"/>
  <c r="DP1" i="35"/>
  <c r="CF1" i="35"/>
  <c r="CM1" i="35"/>
  <c r="CL1" i="35"/>
  <c r="CE1" i="35"/>
  <c r="CD1" i="35"/>
  <c r="AH1" i="35"/>
  <c r="CQ1" i="35"/>
  <c r="CP1" i="35"/>
  <c r="CO1" i="35"/>
  <c r="CZ1" i="35"/>
  <c r="CY1" i="35"/>
  <c r="CX1" i="35"/>
  <c r="CW1" i="35"/>
  <c r="CV1" i="35"/>
  <c r="CU1" i="35"/>
  <c r="CT1" i="35"/>
  <c r="CS1" i="35"/>
  <c r="CR1" i="35"/>
  <c r="CN1" i="35"/>
  <c r="BD1" i="35"/>
  <c r="BE1" i="35"/>
  <c r="BF1" i="35"/>
  <c r="BC1" i="35"/>
  <c r="BB1" i="35"/>
  <c r="BA1" i="35"/>
  <c r="AZ1" i="35"/>
  <c r="DO1" i="35"/>
  <c r="BM1" i="35"/>
  <c r="DW1" i="35"/>
  <c r="DV1" i="35"/>
  <c r="DU1" i="35"/>
  <c r="DT1" i="35"/>
  <c r="AI1" i="35"/>
  <c r="AL1" i="35"/>
  <c r="AK1" i="35"/>
  <c r="AM1" i="35"/>
  <c r="AJ1" i="35"/>
  <c r="AO1" i="35"/>
  <c r="AP1" i="35"/>
  <c r="DH1" i="35"/>
  <c r="DG1" i="35"/>
  <c r="DX1" i="35"/>
  <c r="AN1" i="35"/>
  <c r="CK1" i="35"/>
  <c r="CJ1" i="35"/>
  <c r="CI1" i="35"/>
  <c r="CH1" i="35"/>
  <c r="DS1" i="35"/>
  <c r="DR1" i="35"/>
  <c r="DQ1" i="35"/>
  <c r="BJ1" i="35"/>
  <c r="BL1" i="35"/>
  <c r="BK1" i="35"/>
  <c r="BI1" i="35"/>
  <c r="BH1" i="35"/>
  <c r="BG1" i="35"/>
  <c r="AA1" i="35"/>
  <c r="W1" i="35"/>
  <c r="AB1" i="35"/>
  <c r="X1" i="35"/>
  <c r="AC1" i="35"/>
  <c r="Y1" i="35"/>
  <c r="Z1" i="35"/>
  <c r="V1" i="35"/>
  <c r="O1" i="35"/>
  <c r="DZ1" i="35"/>
  <c r="DY1" i="35"/>
  <c r="AW1" i="35"/>
  <c r="AT1" i="35"/>
  <c r="AU1" i="35"/>
  <c r="AR1" i="35"/>
  <c r="AS1" i="35"/>
  <c r="AY1" i="35"/>
  <c r="AX1" i="35"/>
  <c r="AV1" i="35"/>
  <c r="AQ1" i="35"/>
  <c r="K1" i="35"/>
  <c r="J1" i="35"/>
  <c r="I1" i="35"/>
  <c r="N1" i="35"/>
  <c r="M1" i="35"/>
  <c r="L1" i="35"/>
  <c r="H1" i="35"/>
  <c r="DF1" i="35"/>
  <c r="DE1" i="35"/>
  <c r="DD1" i="35"/>
  <c r="DC1" i="35"/>
  <c r="DB1" i="35"/>
  <c r="DA1" i="35"/>
  <c r="AF1" i="35"/>
  <c r="AE1" i="35"/>
  <c r="AG1" i="35"/>
  <c r="AD1" i="35"/>
  <c r="U1" i="35"/>
  <c r="R1" i="35"/>
  <c r="Q1" i="35"/>
  <c r="S1" i="35"/>
  <c r="T1" i="35"/>
  <c r="P1" i="35"/>
  <c r="BP1" i="35"/>
  <c r="BS1" i="35"/>
  <c r="BU1" i="35"/>
  <c r="BQ1" i="35"/>
  <c r="BR1" i="35"/>
  <c r="BV1" i="35"/>
  <c r="BO1" i="35"/>
  <c r="BT1" i="35"/>
  <c r="BN1" i="35"/>
  <c r="BX1" i="35"/>
  <c r="BZ1" i="35"/>
  <c r="CC1" i="35"/>
  <c r="CA1" i="35"/>
  <c r="CB1" i="35"/>
  <c r="BY1" i="35"/>
  <c r="BW1" i="35"/>
  <c r="G1" i="34"/>
  <c r="I1" i="34"/>
  <c r="J1" i="34"/>
  <c r="K1" i="34"/>
  <c r="L1" i="34"/>
  <c r="M1" i="34"/>
  <c r="N1" i="34"/>
  <c r="O1" i="34"/>
  <c r="P1" i="34"/>
  <c r="Q1" i="34"/>
  <c r="R1" i="34"/>
  <c r="S1" i="34"/>
  <c r="T1" i="34"/>
  <c r="U1" i="34"/>
  <c r="W1" i="34"/>
  <c r="X1" i="34"/>
  <c r="Y1" i="34"/>
  <c r="Z1" i="34"/>
  <c r="AA1" i="34"/>
  <c r="AB1" i="34"/>
  <c r="AC1" i="34"/>
  <c r="AD1" i="34"/>
  <c r="AE1" i="34"/>
  <c r="AF1" i="34"/>
  <c r="AG1" i="34"/>
  <c r="AH1" i="34"/>
  <c r="AI1" i="34"/>
  <c r="AJ1" i="34"/>
  <c r="AK1" i="34"/>
  <c r="AL1" i="34"/>
  <c r="AM1" i="34"/>
  <c r="AN1" i="34"/>
  <c r="F1" i="34"/>
  <c r="P4" i="6"/>
  <c r="C8" i="6" s="1"/>
  <c r="P100" i="6"/>
  <c r="P99" i="6"/>
  <c r="P93" i="6"/>
  <c r="J93" i="6" s="1"/>
  <c r="P120" i="6"/>
  <c r="P119" i="6"/>
  <c r="P118" i="6"/>
  <c r="P117" i="6"/>
  <c r="P116" i="6"/>
  <c r="P115" i="6"/>
  <c r="P114" i="6"/>
  <c r="P113" i="6"/>
  <c r="P112" i="6"/>
  <c r="P111" i="6"/>
  <c r="P110" i="6"/>
  <c r="P109" i="6"/>
  <c r="P108" i="6"/>
  <c r="D34" i="3"/>
  <c r="AR34" i="3" s="1"/>
  <c r="M172" i="14"/>
  <c r="C160" i="40" s="1"/>
  <c r="M171" i="14"/>
  <c r="C159" i="40" s="1"/>
  <c r="M170" i="14"/>
  <c r="C158" i="40" s="1"/>
  <c r="M169" i="14"/>
  <c r="C157" i="40" s="1"/>
  <c r="M168" i="14"/>
  <c r="C156" i="40" s="1"/>
  <c r="M167" i="14"/>
  <c r="C155" i="40" s="1"/>
  <c r="M166" i="14"/>
  <c r="C154" i="40" s="1"/>
  <c r="M165" i="14"/>
  <c r="C153" i="40" s="1"/>
  <c r="M164" i="14"/>
  <c r="C152" i="40" s="1"/>
  <c r="M163" i="14"/>
  <c r="C151" i="40" s="1"/>
  <c r="M162" i="14"/>
  <c r="C150" i="40" s="1"/>
  <c r="S20" i="3"/>
  <c r="S19" i="3"/>
  <c r="S18" i="3"/>
  <c r="P172" i="14"/>
  <c r="P171" i="14"/>
  <c r="P170" i="14"/>
  <c r="P169" i="14"/>
  <c r="P168" i="14"/>
  <c r="P167" i="14"/>
  <c r="P166" i="14"/>
  <c r="P165" i="14"/>
  <c r="P164" i="14"/>
  <c r="P163" i="14"/>
  <c r="G172" i="14"/>
  <c r="G171" i="14"/>
  <c r="G170" i="14"/>
  <c r="G169" i="14"/>
  <c r="G168" i="14"/>
  <c r="G167" i="14"/>
  <c r="G166" i="14"/>
  <c r="G165" i="14"/>
  <c r="R20" i="3"/>
  <c r="R19" i="3"/>
  <c r="R18" i="3"/>
  <c r="W20" i="3"/>
  <c r="W19" i="3"/>
  <c r="K9" i="44" s="1"/>
  <c r="W18" i="3"/>
  <c r="K8" i="44" s="1"/>
  <c r="W17" i="3"/>
  <c r="K7" i="44" s="1"/>
  <c r="D196" i="14"/>
  <c r="D197" i="14"/>
  <c r="D198" i="14"/>
  <c r="D199" i="14"/>
  <c r="D200" i="14"/>
  <c r="D201" i="14"/>
  <c r="AP56" i="33"/>
  <c r="AO56" i="33"/>
  <c r="AP27" i="33"/>
  <c r="AO27" i="33"/>
  <c r="CA82" i="10"/>
  <c r="BZ82" i="10"/>
  <c r="CA80" i="10"/>
  <c r="BZ80" i="10"/>
  <c r="CA79" i="10"/>
  <c r="BZ79" i="10"/>
  <c r="CA78" i="10"/>
  <c r="BZ78" i="10"/>
  <c r="CA77" i="10"/>
  <c r="BZ77" i="10"/>
  <c r="CA76" i="10"/>
  <c r="BZ76" i="10"/>
  <c r="CA75" i="10"/>
  <c r="BZ75" i="10"/>
  <c r="CA74" i="10"/>
  <c r="BZ74" i="10"/>
  <c r="CA73" i="10"/>
  <c r="BZ73" i="10"/>
  <c r="CA71" i="10"/>
  <c r="BZ71" i="10"/>
  <c r="CA70" i="10"/>
  <c r="BZ70" i="10"/>
  <c r="CA69" i="10"/>
  <c r="BZ69" i="10"/>
  <c r="CA68" i="10"/>
  <c r="BZ68" i="10"/>
  <c r="CA67" i="10"/>
  <c r="BZ67" i="10"/>
  <c r="CA66" i="10"/>
  <c r="BZ66" i="10"/>
  <c r="CA65" i="10"/>
  <c r="BZ65" i="10"/>
  <c r="CA64" i="10"/>
  <c r="BZ64" i="10"/>
  <c r="CA63" i="10"/>
  <c r="BZ63" i="10"/>
  <c r="CA62" i="10"/>
  <c r="BZ62" i="10"/>
  <c r="CA61" i="10"/>
  <c r="BZ61" i="10"/>
  <c r="Q183" i="14"/>
  <c r="Q184" i="14"/>
  <c r="Q185" i="14"/>
  <c r="Q186" i="14"/>
  <c r="Q187" i="14"/>
  <c r="Q188" i="14"/>
  <c r="Q189" i="14"/>
  <c r="Q190" i="14"/>
  <c r="Q191" i="14"/>
  <c r="Q192" i="14"/>
  <c r="Q193" i="14"/>
  <c r="Q194" i="14"/>
  <c r="Q195" i="14"/>
  <c r="Q196" i="14"/>
  <c r="Q197" i="14"/>
  <c r="Q198" i="14"/>
  <c r="Q199" i="14"/>
  <c r="Q200" i="14"/>
  <c r="Q201" i="14"/>
  <c r="Q182" i="14"/>
  <c r="B812" i="15"/>
  <c r="N116" i="20"/>
  <c r="N115" i="20"/>
  <c r="N114" i="20"/>
  <c r="N113" i="20"/>
  <c r="N112" i="20"/>
  <c r="N111" i="20"/>
  <c r="Q111" i="20" s="1"/>
  <c r="N110" i="20"/>
  <c r="Q110" i="20" s="1"/>
  <c r="N109" i="20"/>
  <c r="N108" i="20"/>
  <c r="N107" i="20"/>
  <c r="Q107" i="20" s="1"/>
  <c r="HC26" i="7"/>
  <c r="HI26" i="7" s="1"/>
  <c r="B122" i="33"/>
  <c r="Z122" i="33" s="1"/>
  <c r="B121" i="33"/>
  <c r="Z121" i="33" s="1"/>
  <c r="B119" i="33"/>
  <c r="Z119" i="33" s="1"/>
  <c r="B118" i="33"/>
  <c r="Z118" i="33" s="1"/>
  <c r="AE122" i="33"/>
  <c r="AF115" i="33"/>
  <c r="A115" i="33" s="1"/>
  <c r="J133" i="33"/>
  <c r="J132" i="33"/>
  <c r="A111" i="33"/>
  <c r="J131" i="33"/>
  <c r="AB131" i="33" s="1"/>
  <c r="A110" i="33"/>
  <c r="AA130" i="33"/>
  <c r="Z130" i="33"/>
  <c r="J130" i="33"/>
  <c r="AB130" i="33" s="1"/>
  <c r="J129" i="33"/>
  <c r="J128" i="33"/>
  <c r="A105" i="33"/>
  <c r="A104" i="33"/>
  <c r="A103" i="33"/>
  <c r="A102" i="33"/>
  <c r="A101" i="33"/>
  <c r="A100" i="33"/>
  <c r="A99" i="33"/>
  <c r="A98" i="33"/>
  <c r="A97" i="33"/>
  <c r="A96" i="33"/>
  <c r="A95" i="33"/>
  <c r="M99" i="33"/>
  <c r="A94" i="33"/>
  <c r="M98" i="33"/>
  <c r="A93" i="33"/>
  <c r="M97" i="33"/>
  <c r="A92" i="33"/>
  <c r="M96" i="33"/>
  <c r="A91" i="33"/>
  <c r="M95" i="33"/>
  <c r="A90" i="33"/>
  <c r="M94" i="33"/>
  <c r="A89" i="33"/>
  <c r="M93" i="33"/>
  <c r="A88" i="33"/>
  <c r="M92" i="33"/>
  <c r="A87" i="33"/>
  <c r="M91" i="33"/>
  <c r="A86" i="33"/>
  <c r="M90" i="33"/>
  <c r="A85" i="33"/>
  <c r="M89" i="33"/>
  <c r="A84" i="33"/>
  <c r="M88" i="33"/>
  <c r="A83" i="33"/>
  <c r="M87" i="33"/>
  <c r="A82" i="33"/>
  <c r="M84" i="33"/>
  <c r="A81" i="33"/>
  <c r="M83" i="33"/>
  <c r="A80" i="33"/>
  <c r="M82" i="33"/>
  <c r="A79" i="33"/>
  <c r="M81" i="33"/>
  <c r="A78" i="33"/>
  <c r="M80" i="33"/>
  <c r="A77" i="33"/>
  <c r="M79" i="33"/>
  <c r="A76" i="33"/>
  <c r="M78" i="33"/>
  <c r="A75" i="33"/>
  <c r="M77" i="33"/>
  <c r="A74" i="33"/>
  <c r="M74" i="33"/>
  <c r="A73" i="33"/>
  <c r="M73" i="33"/>
  <c r="A72" i="33"/>
  <c r="M72" i="33"/>
  <c r="A71" i="33"/>
  <c r="M71" i="33"/>
  <c r="A70" i="33"/>
  <c r="M70" i="33"/>
  <c r="A69" i="33"/>
  <c r="M69" i="33"/>
  <c r="A68" i="33"/>
  <c r="M68" i="33"/>
  <c r="A67" i="33"/>
  <c r="M67" i="33"/>
  <c r="A66" i="33"/>
  <c r="M66" i="33"/>
  <c r="A65" i="33"/>
  <c r="M65" i="33"/>
  <c r="A64" i="33"/>
  <c r="M64" i="33"/>
  <c r="A63" i="33"/>
  <c r="M63" i="33"/>
  <c r="A62" i="33"/>
  <c r="M62" i="33"/>
  <c r="A61" i="33"/>
  <c r="M61" i="33"/>
  <c r="A60" i="33"/>
  <c r="M60" i="33"/>
  <c r="A59" i="33"/>
  <c r="M59" i="33"/>
  <c r="A58" i="33"/>
  <c r="M58" i="33"/>
  <c r="A57" i="33"/>
  <c r="M57" i="33"/>
  <c r="A56" i="33"/>
  <c r="M56" i="33"/>
  <c r="A55" i="33"/>
  <c r="M55" i="33"/>
  <c r="A54" i="33"/>
  <c r="BV54" i="33"/>
  <c r="BU54" i="33"/>
  <c r="BT54" i="33"/>
  <c r="BS54" i="33"/>
  <c r="BR54" i="33"/>
  <c r="BQ54" i="33"/>
  <c r="BP54" i="33"/>
  <c r="BO54" i="33"/>
  <c r="BN54" i="33"/>
  <c r="BM54" i="33"/>
  <c r="BL54" i="33"/>
  <c r="BK54" i="33"/>
  <c r="BJ54" i="33"/>
  <c r="BI54" i="33"/>
  <c r="BH54" i="33"/>
  <c r="BG54" i="33"/>
  <c r="BF54" i="33"/>
  <c r="BE54" i="33"/>
  <c r="BD54" i="33"/>
  <c r="BC54" i="33"/>
  <c r="BB54" i="33"/>
  <c r="BA54" i="33"/>
  <c r="AZ54" i="33"/>
  <c r="AY54" i="33"/>
  <c r="AX54" i="33"/>
  <c r="AW54" i="33"/>
  <c r="M54" i="33"/>
  <c r="A53" i="33"/>
  <c r="BQ53" i="33"/>
  <c r="BP53" i="33"/>
  <c r="BO53" i="33"/>
  <c r="BN53" i="33"/>
  <c r="BM53" i="33"/>
  <c r="BL53" i="33"/>
  <c r="BK53" i="33"/>
  <c r="BJ53" i="33"/>
  <c r="BI53" i="33"/>
  <c r="BH53" i="33"/>
  <c r="BG53" i="33"/>
  <c r="BF53" i="33"/>
  <c r="BE53" i="33"/>
  <c r="BD53" i="33"/>
  <c r="BC53" i="33"/>
  <c r="BB53" i="33"/>
  <c r="BA53" i="33"/>
  <c r="AZ53" i="33"/>
  <c r="AY53" i="33"/>
  <c r="AX53" i="33"/>
  <c r="AW53" i="33"/>
  <c r="M53" i="33"/>
  <c r="M52" i="33"/>
  <c r="M51" i="33"/>
  <c r="M50" i="33"/>
  <c r="M49" i="33"/>
  <c r="M48" i="33"/>
  <c r="M47" i="33"/>
  <c r="M46" i="33"/>
  <c r="M45" i="33"/>
  <c r="M44" i="33"/>
  <c r="M43" i="33"/>
  <c r="M42" i="33"/>
  <c r="M41" i="33"/>
  <c r="M39" i="33"/>
  <c r="M38" i="33"/>
  <c r="M37" i="33"/>
  <c r="AX33" i="33"/>
  <c r="AX32" i="33"/>
  <c r="AX31" i="33"/>
  <c r="AX30" i="33"/>
  <c r="AX24" i="33"/>
  <c r="AX23" i="33"/>
  <c r="AS22" i="33"/>
  <c r="AQ22" i="33"/>
  <c r="AP22" i="33"/>
  <c r="AO22" i="33"/>
  <c r="AN22" i="33"/>
  <c r="AX21" i="33"/>
  <c r="AX20" i="33"/>
  <c r="AX18" i="33"/>
  <c r="AX17" i="33"/>
  <c r="AU15" i="33"/>
  <c r="AU16" i="33" s="1"/>
  <c r="AU17" i="33" s="1"/>
  <c r="AU18" i="33" s="1"/>
  <c r="AF15" i="33"/>
  <c r="AF16" i="33" s="1"/>
  <c r="M14" i="33"/>
  <c r="A14" i="33"/>
  <c r="B150" i="18"/>
  <c r="P150" i="18"/>
  <c r="R242" i="14"/>
  <c r="R243" i="14"/>
  <c r="R244" i="14"/>
  <c r="R245" i="14"/>
  <c r="R246" i="14"/>
  <c r="R247" i="14"/>
  <c r="CA157" i="10"/>
  <c r="CA156" i="10"/>
  <c r="CA155" i="10"/>
  <c r="CA154" i="10"/>
  <c r="CA153" i="10"/>
  <c r="CA152" i="10"/>
  <c r="CA151" i="10"/>
  <c r="CA150" i="10"/>
  <c r="CA149" i="10"/>
  <c r="CA148" i="10"/>
  <c r="CA147" i="10"/>
  <c r="CA146" i="10"/>
  <c r="CA145" i="10"/>
  <c r="CA144" i="10"/>
  <c r="CA143" i="10"/>
  <c r="CA142" i="10"/>
  <c r="CA141" i="10"/>
  <c r="CA140" i="10"/>
  <c r="CA139" i="10"/>
  <c r="CA138" i="10"/>
  <c r="CA137" i="10"/>
  <c r="CA136" i="10"/>
  <c r="CA135" i="10"/>
  <c r="CA134" i="10"/>
  <c r="CA133" i="10"/>
  <c r="CA132" i="10"/>
  <c r="CA131" i="10"/>
  <c r="CA130" i="10"/>
  <c r="CA129" i="10"/>
  <c r="CA128" i="10"/>
  <c r="CA127" i="10"/>
  <c r="CA126" i="10"/>
  <c r="CA125" i="10"/>
  <c r="CA124" i="10"/>
  <c r="CA123" i="10"/>
  <c r="CA122" i="10"/>
  <c r="CA121" i="10"/>
  <c r="CA120" i="10"/>
  <c r="CA119" i="10"/>
  <c r="CA118" i="10"/>
  <c r="CA117" i="10"/>
  <c r="CA116" i="10"/>
  <c r="CA115" i="10"/>
  <c r="CA114" i="10"/>
  <c r="CA113" i="10"/>
  <c r="CA112" i="10"/>
  <c r="CA111" i="10"/>
  <c r="CA110" i="10"/>
  <c r="CA109" i="10"/>
  <c r="CA108" i="10"/>
  <c r="CA107" i="10"/>
  <c r="CA105" i="10"/>
  <c r="CA104" i="10"/>
  <c r="CA103" i="10"/>
  <c r="CA102" i="10"/>
  <c r="CA101" i="10"/>
  <c r="CA100" i="10"/>
  <c r="CA99" i="10"/>
  <c r="CA98" i="10"/>
  <c r="CA97" i="10"/>
  <c r="CA96" i="10"/>
  <c r="CA95" i="10"/>
  <c r="CA94" i="10"/>
  <c r="CA93" i="10"/>
  <c r="CA92" i="10"/>
  <c r="CA91" i="10"/>
  <c r="CA90" i="10"/>
  <c r="CA89" i="10"/>
  <c r="CA88" i="10"/>
  <c r="CA87" i="10"/>
  <c r="CA86" i="10"/>
  <c r="CA85" i="10"/>
  <c r="CA84" i="10"/>
  <c r="CA83" i="10"/>
  <c r="CA59" i="10"/>
  <c r="CA58" i="10"/>
  <c r="CA57" i="10"/>
  <c r="CA56" i="10"/>
  <c r="CA55" i="10"/>
  <c r="CA54" i="10"/>
  <c r="CA53" i="10"/>
  <c r="CA52" i="10"/>
  <c r="CA51" i="10"/>
  <c r="CA50" i="10"/>
  <c r="CA49" i="10"/>
  <c r="CA48" i="10"/>
  <c r="CA47" i="10"/>
  <c r="CA46" i="10"/>
  <c r="CA45" i="10"/>
  <c r="CA44" i="10"/>
  <c r="B151" i="18"/>
  <c r="B152" i="18"/>
  <c r="B153" i="18"/>
  <c r="P153" i="18"/>
  <c r="B154" i="18"/>
  <c r="B155" i="18"/>
  <c r="B156" i="18"/>
  <c r="B157" i="18"/>
  <c r="P157" i="18"/>
  <c r="B158" i="18"/>
  <c r="B159" i="18"/>
  <c r="EH236" i="7"/>
  <c r="EH232" i="7"/>
  <c r="AM18" i="3"/>
  <c r="AO18" i="3" s="1"/>
  <c r="AM19" i="3"/>
  <c r="AN19" i="3" s="1"/>
  <c r="AT34" i="3"/>
  <c r="AU34" i="3"/>
  <c r="AV34" i="3" s="1"/>
  <c r="H34" i="3"/>
  <c r="AN34" i="3"/>
  <c r="AT33" i="3"/>
  <c r="AT26" i="3"/>
  <c r="AU26" i="3"/>
  <c r="AV26" i="3" s="1"/>
  <c r="AN26" i="3"/>
  <c r="AU33" i="3"/>
  <c r="AW33" i="3" s="1"/>
  <c r="K33" i="3" s="1"/>
  <c r="F26" i="3"/>
  <c r="AU25" i="3"/>
  <c r="AV25" i="3" s="1"/>
  <c r="F25" i="3"/>
  <c r="AQ18" i="3"/>
  <c r="AR18" i="3"/>
  <c r="AT18" i="3" s="1"/>
  <c r="M18" i="3"/>
  <c r="AU18" i="3"/>
  <c r="AQ19" i="3"/>
  <c r="AR19" i="3"/>
  <c r="AT19" i="3" s="1"/>
  <c r="M19" i="3"/>
  <c r="AQ20" i="3"/>
  <c r="AR20" i="3"/>
  <c r="AT20" i="3" s="1"/>
  <c r="M20" i="3"/>
  <c r="AQ17" i="3"/>
  <c r="AR17" i="3"/>
  <c r="AT17" i="3" s="1"/>
  <c r="M17" i="3" s="1"/>
  <c r="B33" i="28"/>
  <c r="D156" i="28"/>
  <c r="D157" i="28"/>
  <c r="D158" i="28"/>
  <c r="D159" i="28"/>
  <c r="D160" i="28"/>
  <c r="D161" i="28"/>
  <c r="D162" i="28"/>
  <c r="D163" i="28"/>
  <c r="D164" i="28"/>
  <c r="D165" i="28"/>
  <c r="D166" i="28"/>
  <c r="D167" i="28"/>
  <c r="D168" i="28"/>
  <c r="D169" i="28"/>
  <c r="D170" i="28"/>
  <c r="D171" i="28"/>
  <c r="B155" i="28"/>
  <c r="B156" i="28"/>
  <c r="B157" i="28"/>
  <c r="B158" i="28"/>
  <c r="B159" i="28"/>
  <c r="B160" i="28"/>
  <c r="B161" i="28"/>
  <c r="B162" i="28"/>
  <c r="B163" i="28"/>
  <c r="B164" i="28"/>
  <c r="B165" i="28"/>
  <c r="B166" i="28"/>
  <c r="B167" i="28"/>
  <c r="B168" i="28"/>
  <c r="B169" i="28"/>
  <c r="B170" i="28"/>
  <c r="B171" i="28"/>
  <c r="Z32" i="28"/>
  <c r="B345" i="27"/>
  <c r="V254" i="14"/>
  <c r="A15" i="20"/>
  <c r="B15" i="20" s="1"/>
  <c r="A17" i="20"/>
  <c r="B17" i="20" s="1"/>
  <c r="A16" i="20"/>
  <c r="B16" i="20" s="1"/>
  <c r="AH3" i="10" s="1"/>
  <c r="W143" i="7"/>
  <c r="W144" i="7"/>
  <c r="W145" i="7"/>
  <c r="W146" i="7"/>
  <c r="DS3" i="7"/>
  <c r="DT3" i="7"/>
  <c r="R250" i="14"/>
  <c r="A252" i="14"/>
  <c r="IJ323" i="11"/>
  <c r="T255" i="14"/>
  <c r="T254" i="14"/>
  <c r="T252" i="14"/>
  <c r="T253" i="14"/>
  <c r="AQ206" i="14"/>
  <c r="AR206" i="14"/>
  <c r="AS206" i="14"/>
  <c r="AT206" i="14"/>
  <c r="AU206" i="14"/>
  <c r="AV206" i="14"/>
  <c r="AW206" i="14"/>
  <c r="AX206" i="14"/>
  <c r="AY206" i="14"/>
  <c r="AZ206" i="14"/>
  <c r="BA206" i="14"/>
  <c r="BB206" i="14"/>
  <c r="BC206" i="14"/>
  <c r="BD206" i="14"/>
  <c r="BE206" i="14"/>
  <c r="BF206" i="14"/>
  <c r="BG206" i="14"/>
  <c r="BH206" i="14"/>
  <c r="Q206" i="14"/>
  <c r="R206" i="14"/>
  <c r="S206" i="14"/>
  <c r="T206" i="14"/>
  <c r="U206" i="14"/>
  <c r="V206" i="14"/>
  <c r="W206" i="14"/>
  <c r="X206" i="14"/>
  <c r="Y206" i="14"/>
  <c r="Z206" i="14"/>
  <c r="AA206" i="14"/>
  <c r="AB206" i="14"/>
  <c r="AC206" i="14"/>
  <c r="AD206" i="14"/>
  <c r="AE206" i="14"/>
  <c r="AF206" i="14"/>
  <c r="AG206" i="14"/>
  <c r="AH206" i="14"/>
  <c r="AI206" i="14"/>
  <c r="AJ206" i="14"/>
  <c r="AK206" i="14"/>
  <c r="X187" i="14"/>
  <c r="B346" i="27"/>
  <c r="AB133" i="18"/>
  <c r="AC133" i="18"/>
  <c r="AD133" i="18"/>
  <c r="AE133" i="18"/>
  <c r="AF133" i="18"/>
  <c r="AG133" i="18"/>
  <c r="AH133" i="18"/>
  <c r="AI133" i="18"/>
  <c r="AJ133" i="18"/>
  <c r="AK133" i="18"/>
  <c r="AL133" i="18"/>
  <c r="AM133" i="18"/>
  <c r="AN133" i="18"/>
  <c r="AO133" i="18"/>
  <c r="AP133" i="18"/>
  <c r="AQ133" i="18"/>
  <c r="AR133" i="18"/>
  <c r="AS133" i="18"/>
  <c r="AT133" i="18"/>
  <c r="AA133" i="18"/>
  <c r="AA128" i="18"/>
  <c r="AB128" i="18"/>
  <c r="AC128" i="18"/>
  <c r="AD128" i="18"/>
  <c r="AE128" i="18"/>
  <c r="AF128" i="18"/>
  <c r="AG128" i="18"/>
  <c r="AH128" i="18"/>
  <c r="AI128" i="18"/>
  <c r="AJ128" i="18"/>
  <c r="AK128" i="18"/>
  <c r="AL128" i="18"/>
  <c r="AM128" i="18"/>
  <c r="AN128" i="18"/>
  <c r="AO128" i="18"/>
  <c r="AP128" i="18"/>
  <c r="AQ128" i="18"/>
  <c r="AR128" i="18"/>
  <c r="AS128" i="18"/>
  <c r="AT128" i="18"/>
  <c r="AB127" i="18"/>
  <c r="AC127" i="18"/>
  <c r="AD127" i="18"/>
  <c r="AE127" i="18"/>
  <c r="AF127" i="18"/>
  <c r="AG127" i="18"/>
  <c r="AH127" i="18"/>
  <c r="AI127" i="18"/>
  <c r="AJ127" i="18"/>
  <c r="AK127" i="18"/>
  <c r="AL127" i="18"/>
  <c r="AM127" i="18"/>
  <c r="AN127" i="18"/>
  <c r="AO127" i="18"/>
  <c r="AP127" i="18"/>
  <c r="AQ127" i="18"/>
  <c r="AR127" i="18"/>
  <c r="AS127" i="18"/>
  <c r="AT127" i="18"/>
  <c r="AA127" i="18"/>
  <c r="EL89" i="7"/>
  <c r="EM89" i="7"/>
  <c r="EN89" i="7"/>
  <c r="EO89" i="7"/>
  <c r="EP89" i="7"/>
  <c r="EQ89" i="7"/>
  <c r="ER89" i="7"/>
  <c r="ES89" i="7"/>
  <c r="ET89" i="7"/>
  <c r="EU89" i="7"/>
  <c r="EV89" i="7"/>
  <c r="EL90" i="7"/>
  <c r="EM90" i="7"/>
  <c r="EN90" i="7"/>
  <c r="EO90" i="7"/>
  <c r="EP90" i="7"/>
  <c r="EQ90" i="7"/>
  <c r="ER90" i="7"/>
  <c r="ES90" i="7"/>
  <c r="ET90" i="7"/>
  <c r="EU90" i="7"/>
  <c r="EV90" i="7"/>
  <c r="EL91" i="7"/>
  <c r="EM91" i="7"/>
  <c r="EN91" i="7"/>
  <c r="EO91" i="7"/>
  <c r="EP91" i="7"/>
  <c r="EQ91" i="7"/>
  <c r="ER91" i="7"/>
  <c r="ES91" i="7"/>
  <c r="ET91" i="7"/>
  <c r="EU91" i="7"/>
  <c r="EV91" i="7"/>
  <c r="EL92" i="7"/>
  <c r="EM92" i="7"/>
  <c r="EN92" i="7"/>
  <c r="EO92" i="7"/>
  <c r="EP92" i="7"/>
  <c r="EQ92" i="7"/>
  <c r="ER92" i="7"/>
  <c r="ES92" i="7"/>
  <c r="ET92" i="7"/>
  <c r="EU92" i="7"/>
  <c r="EV92" i="7"/>
  <c r="EM88" i="7"/>
  <c r="EN88" i="7"/>
  <c r="EO88" i="7"/>
  <c r="EP88" i="7"/>
  <c r="EQ88" i="7"/>
  <c r="ER88" i="7"/>
  <c r="ES88" i="7"/>
  <c r="ET88" i="7"/>
  <c r="EU88" i="7"/>
  <c r="EV88" i="7"/>
  <c r="EL88" i="7"/>
  <c r="K238" i="14"/>
  <c r="N238" i="14" s="1"/>
  <c r="B325" i="27"/>
  <c r="EK89" i="7"/>
  <c r="EK90" i="7"/>
  <c r="EK91" i="7"/>
  <c r="EK92" i="7"/>
  <c r="EK88" i="7"/>
  <c r="P107" i="24"/>
  <c r="J107" i="24"/>
  <c r="L107" i="24" s="1"/>
  <c r="B86" i="22"/>
  <c r="M86" i="22" s="1"/>
  <c r="B87" i="22"/>
  <c r="M87" i="22" s="1"/>
  <c r="R4" i="6"/>
  <c r="AH125" i="7" s="1"/>
  <c r="B205" i="14"/>
  <c r="M205" i="14" s="1"/>
  <c r="AT167" i="10"/>
  <c r="AT168" i="10"/>
  <c r="AT169" i="10"/>
  <c r="AT170" i="10"/>
  <c r="AU167" i="10"/>
  <c r="AV167" i="10"/>
  <c r="AW167" i="10"/>
  <c r="AX167" i="10"/>
  <c r="AY167" i="10"/>
  <c r="AZ167" i="10"/>
  <c r="BA167" i="10"/>
  <c r="BB167" i="10"/>
  <c r="BC167" i="10"/>
  <c r="BD167" i="10"/>
  <c r="BE167" i="10"/>
  <c r="BF167" i="10"/>
  <c r="BG167" i="10"/>
  <c r="BH167" i="10"/>
  <c r="BI167" i="10"/>
  <c r="BJ167" i="10"/>
  <c r="BK167" i="10"/>
  <c r="BL167" i="10"/>
  <c r="BM167" i="10"/>
  <c r="BN167" i="10"/>
  <c r="BO167" i="10"/>
  <c r="BP167" i="10"/>
  <c r="BQ167" i="10"/>
  <c r="BR167" i="10"/>
  <c r="BS167" i="10"/>
  <c r="BT167" i="10"/>
  <c r="BU167" i="10"/>
  <c r="BV167" i="10"/>
  <c r="BW167" i="10"/>
  <c r="BX167" i="10"/>
  <c r="BY167" i="10"/>
  <c r="AU168" i="10"/>
  <c r="AV168" i="10"/>
  <c r="AW168" i="10"/>
  <c r="AX168" i="10"/>
  <c r="AY168" i="10"/>
  <c r="AZ168" i="10"/>
  <c r="BA168" i="10"/>
  <c r="BB168" i="10"/>
  <c r="BC168" i="10"/>
  <c r="BD168" i="10"/>
  <c r="BE168" i="10"/>
  <c r="BF168" i="10"/>
  <c r="BG168" i="10"/>
  <c r="BH168" i="10"/>
  <c r="BI168" i="10"/>
  <c r="BJ168" i="10"/>
  <c r="BK168" i="10"/>
  <c r="BL168" i="10"/>
  <c r="BM168" i="10"/>
  <c r="BN168" i="10"/>
  <c r="BO168" i="10"/>
  <c r="BP168" i="10"/>
  <c r="BQ168" i="10"/>
  <c r="BR168" i="10"/>
  <c r="BS168" i="10"/>
  <c r="BT168" i="10"/>
  <c r="BU168" i="10"/>
  <c r="BV168" i="10"/>
  <c r="BW168" i="10"/>
  <c r="BX168" i="10"/>
  <c r="BY168" i="10"/>
  <c r="AU169" i="10"/>
  <c r="AV169" i="10"/>
  <c r="AW169" i="10"/>
  <c r="AX169" i="10"/>
  <c r="AY169" i="10"/>
  <c r="AZ169" i="10"/>
  <c r="BA169" i="10"/>
  <c r="BB169" i="10"/>
  <c r="BC169" i="10"/>
  <c r="BD169" i="10"/>
  <c r="BE169" i="10"/>
  <c r="BF169" i="10"/>
  <c r="BG169" i="10"/>
  <c r="BH169" i="10"/>
  <c r="BI169" i="10"/>
  <c r="BJ169" i="10"/>
  <c r="BK169" i="10"/>
  <c r="BL169" i="10"/>
  <c r="BM169" i="10"/>
  <c r="BN169" i="10"/>
  <c r="BO169" i="10"/>
  <c r="BP169" i="10"/>
  <c r="BQ169" i="10"/>
  <c r="BR169" i="10"/>
  <c r="BS169" i="10"/>
  <c r="BT169" i="10"/>
  <c r="BU169" i="10"/>
  <c r="BV169" i="10"/>
  <c r="BW169" i="10"/>
  <c r="BX169" i="10"/>
  <c r="BY169" i="10"/>
  <c r="AU170" i="10"/>
  <c r="AV170" i="10"/>
  <c r="AW170" i="10"/>
  <c r="AX170" i="10"/>
  <c r="AY170" i="10"/>
  <c r="AZ170" i="10"/>
  <c r="BA170" i="10"/>
  <c r="BB170" i="10"/>
  <c r="BC170" i="10"/>
  <c r="BD170" i="10"/>
  <c r="BE170" i="10"/>
  <c r="BF170" i="10"/>
  <c r="BG170" i="10"/>
  <c r="BH170" i="10"/>
  <c r="BI170" i="10"/>
  <c r="BJ170" i="10"/>
  <c r="BK170" i="10"/>
  <c r="BL170" i="10"/>
  <c r="BM170" i="10"/>
  <c r="BN170" i="10"/>
  <c r="BO170" i="10"/>
  <c r="BP170" i="10"/>
  <c r="BQ170" i="10"/>
  <c r="BR170" i="10"/>
  <c r="BS170" i="10"/>
  <c r="BT170" i="10"/>
  <c r="BU170" i="10"/>
  <c r="BV170" i="10"/>
  <c r="BW170" i="10"/>
  <c r="BX170" i="10"/>
  <c r="BY170" i="10"/>
  <c r="AX166" i="10"/>
  <c r="AY166" i="10"/>
  <c r="AZ166" i="10"/>
  <c r="BA166" i="10"/>
  <c r="BB166" i="10"/>
  <c r="BG166" i="10"/>
  <c r="BH166" i="10"/>
  <c r="BI166" i="10"/>
  <c r="BJ166" i="10"/>
  <c r="BK166" i="10"/>
  <c r="BL166" i="10"/>
  <c r="BM166" i="10"/>
  <c r="BN166" i="10"/>
  <c r="BO166" i="10"/>
  <c r="BP166" i="10"/>
  <c r="BQ166" i="10"/>
  <c r="BR166" i="10"/>
  <c r="BS166" i="10"/>
  <c r="BT166" i="10"/>
  <c r="BU166" i="10"/>
  <c r="BV166" i="10"/>
  <c r="BW166" i="10"/>
  <c r="BX166" i="10"/>
  <c r="BY166" i="10"/>
  <c r="CE167" i="10"/>
  <c r="CE168" i="10"/>
  <c r="CE169" i="10"/>
  <c r="CE170" i="10"/>
  <c r="CE166" i="10"/>
  <c r="AV166" i="10"/>
  <c r="BF166" i="10"/>
  <c r="AF166" i="10"/>
  <c r="AG166" i="10"/>
  <c r="AH166" i="10"/>
  <c r="AI166" i="10"/>
  <c r="AJ166" i="10"/>
  <c r="AK166" i="10"/>
  <c r="AL166" i="10"/>
  <c r="AM166" i="10"/>
  <c r="AN166" i="10"/>
  <c r="AO166" i="10"/>
  <c r="AP166" i="10"/>
  <c r="AQ166" i="10"/>
  <c r="AR166" i="10"/>
  <c r="Y167" i="10"/>
  <c r="Z167" i="10"/>
  <c r="AA167" i="10"/>
  <c r="AB167" i="10"/>
  <c r="AC167" i="10"/>
  <c r="AD167" i="10"/>
  <c r="AE167" i="10"/>
  <c r="AF167" i="10"/>
  <c r="AG167" i="10"/>
  <c r="AH167" i="10"/>
  <c r="AI167" i="10"/>
  <c r="AJ167" i="10"/>
  <c r="AK167" i="10"/>
  <c r="AL167" i="10"/>
  <c r="AM167" i="10"/>
  <c r="AN167" i="10"/>
  <c r="AO167" i="10"/>
  <c r="AP167" i="10"/>
  <c r="AQ167" i="10"/>
  <c r="AR167" i="10"/>
  <c r="Y168" i="10"/>
  <c r="Z168" i="10"/>
  <c r="AA168" i="10"/>
  <c r="AB168" i="10"/>
  <c r="AC168" i="10"/>
  <c r="AD168" i="10"/>
  <c r="AE168" i="10"/>
  <c r="AF168" i="10"/>
  <c r="AG168" i="10"/>
  <c r="AH168" i="10"/>
  <c r="AI168" i="10"/>
  <c r="AJ168" i="10"/>
  <c r="AK168" i="10"/>
  <c r="AL168" i="10"/>
  <c r="AM168" i="10"/>
  <c r="AN168" i="10"/>
  <c r="AO168" i="10"/>
  <c r="AP168" i="10"/>
  <c r="AQ168" i="10"/>
  <c r="AR168" i="10"/>
  <c r="Y169" i="10"/>
  <c r="Z169" i="10"/>
  <c r="AA169" i="10"/>
  <c r="AB169" i="10"/>
  <c r="AC169" i="10"/>
  <c r="AD169" i="10"/>
  <c r="AE169" i="10"/>
  <c r="AF169" i="10"/>
  <c r="AG169" i="10"/>
  <c r="AH169" i="10"/>
  <c r="AI169" i="10"/>
  <c r="AJ169" i="10"/>
  <c r="AK169" i="10"/>
  <c r="AL169" i="10"/>
  <c r="AM169" i="10"/>
  <c r="AN169" i="10"/>
  <c r="AO169" i="10"/>
  <c r="AP169" i="10"/>
  <c r="AQ169" i="10"/>
  <c r="AR169" i="10"/>
  <c r="Y170" i="10"/>
  <c r="Z170" i="10"/>
  <c r="AA170" i="10"/>
  <c r="AB170" i="10"/>
  <c r="AC170" i="10"/>
  <c r="AD170" i="10"/>
  <c r="AE170" i="10"/>
  <c r="AF170" i="10"/>
  <c r="AG170" i="10"/>
  <c r="AH170" i="10"/>
  <c r="AI170" i="10"/>
  <c r="AJ170" i="10"/>
  <c r="AK170" i="10"/>
  <c r="AL170" i="10"/>
  <c r="AM170" i="10"/>
  <c r="AN170" i="10"/>
  <c r="AO170" i="10"/>
  <c r="AP170" i="10"/>
  <c r="AQ170" i="10"/>
  <c r="AR170" i="10"/>
  <c r="X167" i="10"/>
  <c r="X168" i="10"/>
  <c r="X169" i="10"/>
  <c r="X170" i="10"/>
  <c r="W168" i="10"/>
  <c r="W167" i="10"/>
  <c r="W169" i="10"/>
  <c r="W170" i="10"/>
  <c r="O167" i="10"/>
  <c r="O168" i="10"/>
  <c r="O169" i="10"/>
  <c r="O170" i="10"/>
  <c r="O166" i="10"/>
  <c r="I109" i="6"/>
  <c r="T250" i="14"/>
  <c r="V250" i="14"/>
  <c r="T251" i="14"/>
  <c r="V251" i="14"/>
  <c r="V252" i="14"/>
  <c r="V253" i="14"/>
  <c r="I684" i="32"/>
  <c r="I354" i="32"/>
  <c r="K245" i="14"/>
  <c r="N245" i="14" s="1"/>
  <c r="AN31" i="3"/>
  <c r="AM31" i="3" s="1"/>
  <c r="I687" i="32"/>
  <c r="I686" i="32"/>
  <c r="I685" i="32"/>
  <c r="I682" i="32"/>
  <c r="I335" i="32"/>
  <c r="I346" i="32"/>
  <c r="I344" i="32"/>
  <c r="I343" i="32"/>
  <c r="I339" i="32"/>
  <c r="I340" i="32"/>
  <c r="I334" i="32"/>
  <c r="I347" i="32"/>
  <c r="I348" i="32"/>
  <c r="I357" i="32"/>
  <c r="I356" i="32"/>
  <c r="I355" i="32"/>
  <c r="I352" i="32"/>
  <c r="I326" i="32"/>
  <c r="I325" i="32"/>
  <c r="I324" i="32"/>
  <c r="G34" i="32"/>
  <c r="G36" i="32"/>
  <c r="G37" i="32"/>
  <c r="G38" i="32"/>
  <c r="G35" i="32"/>
  <c r="G33" i="32"/>
  <c r="G32" i="32"/>
  <c r="G31" i="32"/>
  <c r="G30" i="32"/>
  <c r="G29" i="32"/>
  <c r="G28" i="32"/>
  <c r="F249" i="32"/>
  <c r="F248" i="32"/>
  <c r="F247" i="32"/>
  <c r="F246" i="32"/>
  <c r="F245" i="32"/>
  <c r="F244" i="32"/>
  <c r="F243" i="32"/>
  <c r="F242" i="32"/>
  <c r="F241" i="32"/>
  <c r="F240" i="32"/>
  <c r="F239" i="32"/>
  <c r="F238" i="32"/>
  <c r="F237" i="32"/>
  <c r="F236" i="32"/>
  <c r="F235" i="32"/>
  <c r="F234" i="32"/>
  <c r="F233" i="32"/>
  <c r="F232" i="32"/>
  <c r="F231" i="32"/>
  <c r="F230" i="32"/>
  <c r="F229" i="32"/>
  <c r="F228" i="32"/>
  <c r="F181" i="32"/>
  <c r="F180" i="32"/>
  <c r="F179" i="32"/>
  <c r="F178" i="32"/>
  <c r="F177" i="32"/>
  <c r="F176" i="32"/>
  <c r="F175" i="32"/>
  <c r="F174" i="32"/>
  <c r="F173" i="32"/>
  <c r="F172" i="32"/>
  <c r="F171" i="32"/>
  <c r="F170" i="32"/>
  <c r="F169" i="32"/>
  <c r="F168" i="32"/>
  <c r="F167" i="32"/>
  <c r="F166" i="32"/>
  <c r="F165" i="32"/>
  <c r="F164" i="32"/>
  <c r="F163" i="32"/>
  <c r="F162" i="32"/>
  <c r="F161" i="32"/>
  <c r="F160" i="32"/>
  <c r="F159" i="32"/>
  <c r="F158" i="32"/>
  <c r="F157" i="32"/>
  <c r="F156" i="32"/>
  <c r="F155" i="32"/>
  <c r="F154" i="32"/>
  <c r="F153" i="32"/>
  <c r="F152" i="32"/>
  <c r="F151" i="32"/>
  <c r="F150" i="32"/>
  <c r="F149" i="32"/>
  <c r="F148" i="32"/>
  <c r="F147" i="32"/>
  <c r="F146" i="32"/>
  <c r="F145" i="32"/>
  <c r="F144" i="32"/>
  <c r="F143" i="32"/>
  <c r="F142" i="32"/>
  <c r="F141" i="32"/>
  <c r="F140" i="32"/>
  <c r="F139" i="32"/>
  <c r="F138" i="32"/>
  <c r="F137" i="32"/>
  <c r="F136" i="32"/>
  <c r="F135" i="32"/>
  <c r="F134" i="32"/>
  <c r="F133" i="32"/>
  <c r="F132" i="32"/>
  <c r="F131" i="32"/>
  <c r="F130" i="32"/>
  <c r="F129" i="32"/>
  <c r="F128" i="32"/>
  <c r="F127" i="32"/>
  <c r="F126" i="32"/>
  <c r="F125" i="32"/>
  <c r="F124" i="32"/>
  <c r="F123" i="32"/>
  <c r="F122" i="32"/>
  <c r="F121" i="32"/>
  <c r="F120" i="32"/>
  <c r="F119" i="32"/>
  <c r="F118" i="32"/>
  <c r="F117" i="32"/>
  <c r="F116" i="32"/>
  <c r="F115" i="32"/>
  <c r="F114" i="32"/>
  <c r="F113" i="32"/>
  <c r="F112" i="32"/>
  <c r="F111" i="32"/>
  <c r="F110" i="32"/>
  <c r="F109" i="32"/>
  <c r="F108" i="32"/>
  <c r="F107" i="32"/>
  <c r="F106" i="32"/>
  <c r="F105" i="32"/>
  <c r="F104" i="32"/>
  <c r="F103" i="32"/>
  <c r="F102" i="32"/>
  <c r="F101" i="32"/>
  <c r="F100" i="32"/>
  <c r="F99" i="32"/>
  <c r="F98" i="32"/>
  <c r="F97" i="32"/>
  <c r="F96" i="32"/>
  <c r="F95" i="32"/>
  <c r="F94" i="32"/>
  <c r="F93" i="32"/>
  <c r="F92" i="32"/>
  <c r="F91" i="32"/>
  <c r="F90" i="32"/>
  <c r="F89" i="32"/>
  <c r="F88" i="32"/>
  <c r="F87" i="32"/>
  <c r="F86" i="32"/>
  <c r="F85" i="32"/>
  <c r="F84" i="32"/>
  <c r="F83" i="32"/>
  <c r="F82" i="32"/>
  <c r="F81" i="32"/>
  <c r="F80" i="32"/>
  <c r="F79" i="32"/>
  <c r="F78" i="32"/>
  <c r="F77" i="32"/>
  <c r="F76" i="32"/>
  <c r="F75" i="32"/>
  <c r="F74" i="32"/>
  <c r="F73" i="32"/>
  <c r="F72" i="32"/>
  <c r="F71" i="32"/>
  <c r="F70" i="32"/>
  <c r="F69" i="32"/>
  <c r="F68" i="32"/>
  <c r="F67" i="32"/>
  <c r="F66" i="32"/>
  <c r="F65" i="32"/>
  <c r="F64" i="32"/>
  <c r="F63" i="32"/>
  <c r="F62" i="32"/>
  <c r="F61" i="32"/>
  <c r="F60" i="32"/>
  <c r="F59" i="32"/>
  <c r="F58" i="32"/>
  <c r="F57" i="32"/>
  <c r="F56" i="32"/>
  <c r="F55" i="32"/>
  <c r="F54" i="32"/>
  <c r="F53" i="32"/>
  <c r="F52" i="32"/>
  <c r="F51" i="32"/>
  <c r="F50" i="32"/>
  <c r="F49" i="32"/>
  <c r="F48" i="32"/>
  <c r="F47" i="32"/>
  <c r="F46" i="32"/>
  <c r="F45" i="32"/>
  <c r="F44" i="32"/>
  <c r="F43" i="32"/>
  <c r="A21" i="20"/>
  <c r="P175" i="14"/>
  <c r="U114" i="7"/>
  <c r="K99" i="6"/>
  <c r="K100" i="6"/>
  <c r="B820" i="15"/>
  <c r="K109" i="6"/>
  <c r="K110" i="6"/>
  <c r="K111" i="6"/>
  <c r="K112" i="6"/>
  <c r="K113" i="6"/>
  <c r="K114" i="6"/>
  <c r="K115" i="6"/>
  <c r="K116" i="6"/>
  <c r="K117" i="6"/>
  <c r="K118" i="6"/>
  <c r="K119" i="6"/>
  <c r="K120" i="6"/>
  <c r="J108" i="6"/>
  <c r="J109" i="6"/>
  <c r="F105" i="6"/>
  <c r="F106" i="6"/>
  <c r="F107" i="6"/>
  <c r="F108" i="6"/>
  <c r="F109" i="6"/>
  <c r="F110" i="6"/>
  <c r="F111" i="6"/>
  <c r="F112" i="6"/>
  <c r="F113" i="6"/>
  <c r="F114" i="6"/>
  <c r="F115" i="6"/>
  <c r="F116" i="6"/>
  <c r="F117" i="6"/>
  <c r="F118" i="6"/>
  <c r="F119" i="6"/>
  <c r="F120" i="6"/>
  <c r="F104" i="6"/>
  <c r="I110" i="6"/>
  <c r="I111" i="6"/>
  <c r="I112" i="6"/>
  <c r="I113" i="6"/>
  <c r="I114" i="6"/>
  <c r="I115" i="6"/>
  <c r="I116" i="6"/>
  <c r="I117" i="6"/>
  <c r="I118" i="6"/>
  <c r="I119" i="6"/>
  <c r="I120" i="6"/>
  <c r="J120" i="6"/>
  <c r="J119" i="6"/>
  <c r="J118" i="6"/>
  <c r="J117" i="6"/>
  <c r="J116" i="6"/>
  <c r="J100" i="6"/>
  <c r="J99" i="6"/>
  <c r="J115" i="6"/>
  <c r="J114" i="6"/>
  <c r="J113" i="6"/>
  <c r="J112" i="6"/>
  <c r="J111" i="6"/>
  <c r="J110" i="6"/>
  <c r="V53" i="4"/>
  <c r="V54" i="4"/>
  <c r="V55" i="4"/>
  <c r="V52" i="4"/>
  <c r="W55" i="4"/>
  <c r="W54" i="4"/>
  <c r="W53" i="4"/>
  <c r="X53" i="4"/>
  <c r="X54" i="4"/>
  <c r="X55" i="4"/>
  <c r="U54" i="4"/>
  <c r="U55" i="4"/>
  <c r="T54" i="4"/>
  <c r="T55" i="4"/>
  <c r="P55" i="4"/>
  <c r="Q55" i="4"/>
  <c r="R55" i="4"/>
  <c r="S55" i="4"/>
  <c r="J55" i="4"/>
  <c r="M55" i="4"/>
  <c r="G55" i="4"/>
  <c r="H55" i="4"/>
  <c r="I55" i="4"/>
  <c r="F55" i="4"/>
  <c r="F53" i="4"/>
  <c r="G53" i="4"/>
  <c r="H53" i="4"/>
  <c r="I53" i="4"/>
  <c r="J53" i="4"/>
  <c r="M53" i="4"/>
  <c r="N53" i="4"/>
  <c r="P53" i="4"/>
  <c r="Q53" i="4"/>
  <c r="R53" i="4"/>
  <c r="S53" i="4"/>
  <c r="T53" i="4"/>
  <c r="U53" i="4"/>
  <c r="U52" i="4"/>
  <c r="T52" i="4"/>
  <c r="S52" i="4"/>
  <c r="P52" i="4"/>
  <c r="N52" i="4"/>
  <c r="J52" i="4"/>
  <c r="G52" i="4"/>
  <c r="F52" i="4"/>
  <c r="BZ211" i="7"/>
  <c r="BY211" i="7"/>
  <c r="BZ210" i="7"/>
  <c r="BY210" i="7"/>
  <c r="BZ209" i="7"/>
  <c r="BY209" i="7"/>
  <c r="BZ208" i="7"/>
  <c r="BY208" i="7"/>
  <c r="BZ207" i="7"/>
  <c r="BY207" i="7"/>
  <c r="BZ206" i="7"/>
  <c r="BY206" i="7"/>
  <c r="BZ200" i="7"/>
  <c r="BY200" i="7"/>
  <c r="BZ199" i="7"/>
  <c r="BY199" i="7"/>
  <c r="BZ198" i="7"/>
  <c r="BY198" i="7"/>
  <c r="BY54" i="7"/>
  <c r="BY53" i="7"/>
  <c r="BY52" i="7"/>
  <c r="BY51" i="7"/>
  <c r="BY50" i="7"/>
  <c r="BZ27" i="7"/>
  <c r="BY27" i="7"/>
  <c r="BZ26" i="7"/>
  <c r="BY26" i="7"/>
  <c r="BZ25" i="7"/>
  <c r="BY25" i="7"/>
  <c r="BZ24" i="7"/>
  <c r="X52" i="4"/>
  <c r="BY24" i="7"/>
  <c r="W52" i="4"/>
  <c r="BZ23" i="7"/>
  <c r="BY23" i="7"/>
  <c r="BZ22" i="7"/>
  <c r="BY22" i="7"/>
  <c r="BY21" i="7"/>
  <c r="BZ20" i="7"/>
  <c r="BY20" i="7"/>
  <c r="BY19" i="7"/>
  <c r="BZ18" i="7"/>
  <c r="BY18" i="7"/>
  <c r="BZ16" i="7"/>
  <c r="BY16" i="7"/>
  <c r="BY15" i="7"/>
  <c r="BZ14" i="7"/>
  <c r="BY14" i="7"/>
  <c r="BZ10" i="7"/>
  <c r="BY10" i="7"/>
  <c r="BZ9" i="7"/>
  <c r="BY9" i="7"/>
  <c r="BZ8" i="7"/>
  <c r="BY8" i="7"/>
  <c r="B822" i="15"/>
  <c r="B823" i="15"/>
  <c r="B824" i="15"/>
  <c r="B825" i="15"/>
  <c r="B826" i="15"/>
  <c r="B827" i="15"/>
  <c r="B828" i="15"/>
  <c r="B829" i="15"/>
  <c r="B830" i="15"/>
  <c r="B831" i="15"/>
  <c r="B832" i="15"/>
  <c r="B833" i="15"/>
  <c r="B834" i="15"/>
  <c r="B835" i="15"/>
  <c r="B836" i="15"/>
  <c r="B837" i="15"/>
  <c r="B838" i="15"/>
  <c r="B839" i="15"/>
  <c r="B840" i="15"/>
  <c r="B841" i="15"/>
  <c r="B842" i="15"/>
  <c r="B843" i="15"/>
  <c r="B844" i="15"/>
  <c r="B845" i="15"/>
  <c r="B846" i="15"/>
  <c r="B847" i="15"/>
  <c r="B848" i="15"/>
  <c r="B849" i="15"/>
  <c r="B850" i="15"/>
  <c r="B851" i="15"/>
  <c r="B852" i="15"/>
  <c r="B821" i="15"/>
  <c r="B817" i="15"/>
  <c r="B813" i="15"/>
  <c r="B252" i="15"/>
  <c r="DL333" i="7"/>
  <c r="DL334" i="7"/>
  <c r="DL335" i="7"/>
  <c r="DL336" i="7"/>
  <c r="DL337" i="7"/>
  <c r="DL338" i="7"/>
  <c r="DL339" i="7"/>
  <c r="DL340" i="7"/>
  <c r="B654" i="15"/>
  <c r="B281" i="15"/>
  <c r="B282" i="15"/>
  <c r="W252" i="14" s="1"/>
  <c r="W253" i="14" s="1"/>
  <c r="B283" i="15"/>
  <c r="B284" i="15"/>
  <c r="B285" i="15"/>
  <c r="B286" i="15"/>
  <c r="B287" i="15"/>
  <c r="B288" i="15"/>
  <c r="B289" i="15"/>
  <c r="B290" i="15"/>
  <c r="B291" i="15"/>
  <c r="B292" i="15"/>
  <c r="B293" i="15"/>
  <c r="B294" i="15"/>
  <c r="B295" i="15"/>
  <c r="B296" i="15"/>
  <c r="B297" i="15"/>
  <c r="B298" i="15"/>
  <c r="B299" i="15"/>
  <c r="B300" i="15"/>
  <c r="B301" i="15"/>
  <c r="B302" i="15"/>
  <c r="B303" i="15"/>
  <c r="B304" i="15"/>
  <c r="B305" i="15"/>
  <c r="B306" i="15"/>
  <c r="B307" i="15"/>
  <c r="B308" i="15"/>
  <c r="B309" i="15"/>
  <c r="B310" i="15"/>
  <c r="B311" i="15"/>
  <c r="B312" i="15"/>
  <c r="B313" i="15"/>
  <c r="B314" i="15"/>
  <c r="B315" i="15"/>
  <c r="B316" i="15"/>
  <c r="B317" i="15"/>
  <c r="B318" i="15"/>
  <c r="B319" i="15"/>
  <c r="B320" i="15"/>
  <c r="B321" i="15"/>
  <c r="B322" i="15"/>
  <c r="B323" i="15"/>
  <c r="K55" i="6"/>
  <c r="B259" i="15"/>
  <c r="B260" i="15"/>
  <c r="B261" i="15"/>
  <c r="B262" i="15"/>
  <c r="B263" i="15"/>
  <c r="B264" i="15"/>
  <c r="B265" i="15"/>
  <c r="B266" i="15"/>
  <c r="B267" i="15"/>
  <c r="B268" i="15"/>
  <c r="B269" i="15"/>
  <c r="B270" i="15"/>
  <c r="B271" i="15"/>
  <c r="B272" i="15"/>
  <c r="B273" i="15"/>
  <c r="B274" i="15"/>
  <c r="B275" i="15"/>
  <c r="B276" i="15"/>
  <c r="B277" i="15"/>
  <c r="B183" i="15"/>
  <c r="B184" i="15"/>
  <c r="B185" i="15"/>
  <c r="B186" i="15"/>
  <c r="B187" i="15"/>
  <c r="B188" i="15"/>
  <c r="B189" i="15"/>
  <c r="B190" i="15"/>
  <c r="B191" i="15"/>
  <c r="B192" i="15"/>
  <c r="B193" i="15"/>
  <c r="B194" i="15"/>
  <c r="B195" i="15"/>
  <c r="B196" i="15"/>
  <c r="B197" i="15"/>
  <c r="B198" i="15"/>
  <c r="B199" i="15"/>
  <c r="B200"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B237" i="15"/>
  <c r="B238" i="15"/>
  <c r="B239" i="15"/>
  <c r="B240" i="15"/>
  <c r="B241" i="15"/>
  <c r="B242" i="15"/>
  <c r="B243" i="15"/>
  <c r="B244" i="15"/>
  <c r="B245" i="15"/>
  <c r="B246" i="15"/>
  <c r="B247" i="15"/>
  <c r="B248" i="15"/>
  <c r="B249" i="15"/>
  <c r="A249" i="17"/>
  <c r="A248" i="17"/>
  <c r="A247" i="17"/>
  <c r="A246" i="17"/>
  <c r="A245" i="17"/>
  <c r="A244" i="17"/>
  <c r="A243" i="17"/>
  <c r="A242" i="17"/>
  <c r="A241" i="17"/>
  <c r="A240" i="17"/>
  <c r="A239" i="17"/>
  <c r="A238" i="17"/>
  <c r="A237" i="17"/>
  <c r="A236" i="17"/>
  <c r="A235" i="17"/>
  <c r="A234" i="17"/>
  <c r="A233" i="17"/>
  <c r="A232" i="17"/>
  <c r="A231" i="17"/>
  <c r="A230" i="17"/>
  <c r="A229" i="17"/>
  <c r="A249" i="30"/>
  <c r="A248" i="30"/>
  <c r="A247" i="30"/>
  <c r="A246" i="30"/>
  <c r="A245" i="30"/>
  <c r="A244" i="30"/>
  <c r="A243" i="30"/>
  <c r="A242" i="30"/>
  <c r="A241" i="30"/>
  <c r="A240" i="30"/>
  <c r="A239" i="30"/>
  <c r="A238" i="30"/>
  <c r="A237" i="30"/>
  <c r="A236" i="30"/>
  <c r="A235" i="30"/>
  <c r="A234" i="30"/>
  <c r="A233" i="30"/>
  <c r="A232" i="30"/>
  <c r="A231" i="30"/>
  <c r="A230" i="30"/>
  <c r="A229" i="30"/>
  <c r="A249" i="11"/>
  <c r="A248" i="11"/>
  <c r="A247" i="11"/>
  <c r="A246" i="11"/>
  <c r="A245" i="11"/>
  <c r="A244" i="11"/>
  <c r="A243" i="11"/>
  <c r="A242" i="11"/>
  <c r="A241" i="11"/>
  <c r="A240" i="11"/>
  <c r="A239" i="11"/>
  <c r="A238" i="11"/>
  <c r="A237" i="11"/>
  <c r="A236" i="11"/>
  <c r="A235" i="11"/>
  <c r="A234" i="11"/>
  <c r="A233" i="11"/>
  <c r="A232" i="11"/>
  <c r="A231" i="11"/>
  <c r="A230" i="11"/>
  <c r="A229" i="11"/>
  <c r="A249" i="27"/>
  <c r="A248" i="27"/>
  <c r="A247" i="27"/>
  <c r="A246" i="27"/>
  <c r="A245" i="27"/>
  <c r="A244" i="27"/>
  <c r="A243" i="27"/>
  <c r="A242" i="27"/>
  <c r="A241" i="27"/>
  <c r="A240" i="27"/>
  <c r="A239" i="27"/>
  <c r="A238" i="27"/>
  <c r="A237" i="27"/>
  <c r="A236" i="27"/>
  <c r="A235" i="27"/>
  <c r="A234" i="27"/>
  <c r="A233" i="27"/>
  <c r="A232" i="27"/>
  <c r="A231" i="27"/>
  <c r="A230" i="27"/>
  <c r="A229" i="27"/>
  <c r="A249" i="15"/>
  <c r="A248" i="15"/>
  <c r="A247" i="15"/>
  <c r="A246" i="15"/>
  <c r="A245" i="15"/>
  <c r="A244" i="15"/>
  <c r="A243" i="15"/>
  <c r="A242" i="15"/>
  <c r="A241" i="15"/>
  <c r="A240" i="15"/>
  <c r="A239" i="15"/>
  <c r="A238" i="15"/>
  <c r="A237" i="15"/>
  <c r="A236" i="15"/>
  <c r="A235" i="15"/>
  <c r="A234" i="15"/>
  <c r="A233" i="15"/>
  <c r="A232" i="15"/>
  <c r="A231" i="15"/>
  <c r="A230" i="15"/>
  <c r="A229" i="15"/>
  <c r="A228" i="17"/>
  <c r="A228" i="30"/>
  <c r="A228" i="11"/>
  <c r="A228" i="27"/>
  <c r="A228" i="15"/>
  <c r="BQ225" i="10"/>
  <c r="BQ226" i="10" s="1"/>
  <c r="BQ227" i="10" s="1"/>
  <c r="BQ178" i="10"/>
  <c r="BQ179" i="10" s="1"/>
  <c r="A178" i="10"/>
  <c r="CG178" i="10" s="1"/>
  <c r="B352" i="27"/>
  <c r="B343" i="27"/>
  <c r="B339" i="27"/>
  <c r="B334" i="27"/>
  <c r="B324" i="27"/>
  <c r="B716" i="27"/>
  <c r="A732" i="27" s="1"/>
  <c r="F698" i="32"/>
  <c r="AK100" i="18"/>
  <c r="U77" i="24"/>
  <c r="L77" i="24" s="1"/>
  <c r="U76" i="24"/>
  <c r="U75" i="24"/>
  <c r="U74" i="24"/>
  <c r="U73" i="24"/>
  <c r="U72" i="24"/>
  <c r="BZ42" i="10"/>
  <c r="BZ43" i="10"/>
  <c r="A106" i="10"/>
  <c r="A81" i="10"/>
  <c r="A72" i="10"/>
  <c r="A60" i="10"/>
  <c r="A41" i="10"/>
  <c r="A153" i="20"/>
  <c r="A154" i="20"/>
  <c r="A312" i="20"/>
  <c r="A313" i="20"/>
  <c r="A314" i="20"/>
  <c r="E87" i="20" s="1"/>
  <c r="W147" i="7"/>
  <c r="W148" i="7"/>
  <c r="W149" i="7"/>
  <c r="W150" i="7"/>
  <c r="W151" i="7"/>
  <c r="W152" i="7"/>
  <c r="W153" i="7"/>
  <c r="W154" i="7"/>
  <c r="W155" i="7"/>
  <c r="W156" i="7"/>
  <c r="W157" i="7"/>
  <c r="W158" i="7"/>
  <c r="W159" i="7"/>
  <c r="W160" i="7"/>
  <c r="W161" i="7"/>
  <c r="W142" i="7"/>
  <c r="D300" i="20"/>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A122" i="27"/>
  <c r="A123" i="27"/>
  <c r="A124" i="27"/>
  <c r="A125" i="27"/>
  <c r="A126" i="27"/>
  <c r="A127" i="27"/>
  <c r="A128" i="27"/>
  <c r="A129" i="27"/>
  <c r="A130" i="27"/>
  <c r="A131" i="27"/>
  <c r="A132" i="27"/>
  <c r="A133" i="27"/>
  <c r="A134" i="27"/>
  <c r="A135" i="27"/>
  <c r="A136" i="27"/>
  <c r="A137" i="27"/>
  <c r="A138" i="27"/>
  <c r="A139" i="27"/>
  <c r="A140" i="27"/>
  <c r="A141" i="27"/>
  <c r="A142" i="27"/>
  <c r="A143" i="27"/>
  <c r="A144" i="27"/>
  <c r="A145" i="27"/>
  <c r="A146" i="27"/>
  <c r="A147" i="27"/>
  <c r="A148" i="27"/>
  <c r="A149" i="27"/>
  <c r="A150" i="27"/>
  <c r="A151" i="27"/>
  <c r="A152" i="27"/>
  <c r="A153" i="27"/>
  <c r="A154" i="27"/>
  <c r="A155" i="27"/>
  <c r="A156" i="27"/>
  <c r="A157" i="27"/>
  <c r="A158" i="27"/>
  <c r="A159" i="27"/>
  <c r="A160" i="27"/>
  <c r="A161" i="27"/>
  <c r="A162" i="27"/>
  <c r="A163" i="27"/>
  <c r="A164" i="27"/>
  <c r="A165" i="27"/>
  <c r="A166" i="27"/>
  <c r="A167" i="27"/>
  <c r="A168" i="27"/>
  <c r="A169" i="27"/>
  <c r="A170" i="27"/>
  <c r="A171" i="27"/>
  <c r="A172" i="27"/>
  <c r="A173" i="27"/>
  <c r="A174" i="27"/>
  <c r="A175" i="27"/>
  <c r="A176" i="27"/>
  <c r="A177" i="27"/>
  <c r="A178" i="27"/>
  <c r="A179" i="27"/>
  <c r="A180" i="27"/>
  <c r="A181" i="27"/>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O323" i="11"/>
  <c r="AT323" i="11"/>
  <c r="AY323" i="11"/>
  <c r="BH323" i="11"/>
  <c r="BK323" i="11"/>
  <c r="CV323" i="11"/>
  <c r="EX323" i="11"/>
  <c r="FW323" i="11"/>
  <c r="GE323" i="11"/>
  <c r="GM323" i="11"/>
  <c r="GX323" i="11"/>
  <c r="IL323" i="11"/>
  <c r="IL635" i="11" s="1"/>
  <c r="A635" i="11" s="1"/>
  <c r="F635" i="32" s="1"/>
  <c r="A43" i="30"/>
  <c r="A44" i="30"/>
  <c r="A45" i="30"/>
  <c r="A46" i="30"/>
  <c r="A47" i="30"/>
  <c r="A48" i="30"/>
  <c r="A49" i="30"/>
  <c r="A50" i="30"/>
  <c r="A51" i="30"/>
  <c r="A52" i="30"/>
  <c r="A53" i="30"/>
  <c r="A54" i="30"/>
  <c r="A55" i="30"/>
  <c r="A56" i="30"/>
  <c r="A57" i="30"/>
  <c r="A58" i="30"/>
  <c r="A59" i="30"/>
  <c r="A60" i="30"/>
  <c r="A61" i="30"/>
  <c r="A62" i="30"/>
  <c r="A63" i="30"/>
  <c r="A64" i="30"/>
  <c r="A65" i="30"/>
  <c r="A66" i="30"/>
  <c r="A67" i="30"/>
  <c r="A68" i="30"/>
  <c r="A69" i="30"/>
  <c r="A70" i="30"/>
  <c r="A71" i="30"/>
  <c r="A72" i="30"/>
  <c r="A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108" i="30"/>
  <c r="A109" i="30"/>
  <c r="A110" i="30"/>
  <c r="A111" i="30"/>
  <c r="A112" i="30"/>
  <c r="A113" i="30"/>
  <c r="A114" i="30"/>
  <c r="A115" i="30"/>
  <c r="A116" i="30"/>
  <c r="A117" i="30"/>
  <c r="A118" i="30"/>
  <c r="A119" i="30"/>
  <c r="A120" i="30"/>
  <c r="A121" i="30"/>
  <c r="A122" i="30"/>
  <c r="A123" i="30"/>
  <c r="A124" i="30"/>
  <c r="A125" i="30"/>
  <c r="A126" i="30"/>
  <c r="A127" i="30"/>
  <c r="A128" i="30"/>
  <c r="A129" i="30"/>
  <c r="A130" i="30"/>
  <c r="A131" i="30"/>
  <c r="A132" i="30"/>
  <c r="A133" i="30"/>
  <c r="A134" i="30"/>
  <c r="A135" i="30"/>
  <c r="A136" i="30"/>
  <c r="A137" i="30"/>
  <c r="A138" i="30"/>
  <c r="A139" i="30"/>
  <c r="A140" i="30"/>
  <c r="A141" i="30"/>
  <c r="A142" i="30"/>
  <c r="A143" i="30"/>
  <c r="A144" i="30"/>
  <c r="A145" i="30"/>
  <c r="A146" i="30"/>
  <c r="A147" i="30"/>
  <c r="A148" i="30"/>
  <c r="A149" i="30"/>
  <c r="A150" i="30"/>
  <c r="A151" i="30"/>
  <c r="A152" i="30"/>
  <c r="A153" i="30"/>
  <c r="A154" i="30"/>
  <c r="A155" i="30"/>
  <c r="A156" i="30"/>
  <c r="A157" i="30"/>
  <c r="A158" i="30"/>
  <c r="A159" i="30"/>
  <c r="A160" i="30"/>
  <c r="A161" i="30"/>
  <c r="A162" i="30"/>
  <c r="A163" i="30"/>
  <c r="A164" i="30"/>
  <c r="A165" i="30"/>
  <c r="A166" i="30"/>
  <c r="A167" i="30"/>
  <c r="A168" i="30"/>
  <c r="A169" i="30"/>
  <c r="A170" i="30"/>
  <c r="A171" i="30"/>
  <c r="A172" i="30"/>
  <c r="A173" i="30"/>
  <c r="A174" i="30"/>
  <c r="A175" i="30"/>
  <c r="A176" i="30"/>
  <c r="A177" i="30"/>
  <c r="A178" i="30"/>
  <c r="A179" i="30"/>
  <c r="A180" i="30"/>
  <c r="A181" i="30"/>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178" i="17"/>
  <c r="A179" i="17"/>
  <c r="A180" i="17"/>
  <c r="A181" i="17"/>
  <c r="B2" i="15"/>
  <c r="B3" i="15"/>
  <c r="B4" i="15"/>
  <c r="B5" i="15"/>
  <c r="B6" i="15"/>
  <c r="B7" i="15"/>
  <c r="B8" i="15"/>
  <c r="B9"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39" i="15"/>
  <c r="B40" i="15"/>
  <c r="B41" i="15"/>
  <c r="B42" i="15"/>
  <c r="A43" i="15"/>
  <c r="B43" i="15"/>
  <c r="A44" i="15"/>
  <c r="B44" i="15"/>
  <c r="A45" i="15"/>
  <c r="B45" i="15"/>
  <c r="A46" i="15"/>
  <c r="B46" i="15"/>
  <c r="A47" i="15"/>
  <c r="B47" i="15"/>
  <c r="A48" i="15"/>
  <c r="B48" i="15"/>
  <c r="A49" i="15"/>
  <c r="B49" i="15"/>
  <c r="A50" i="15"/>
  <c r="B50" i="15"/>
  <c r="A51" i="15"/>
  <c r="B51" i="15"/>
  <c r="A52" i="15"/>
  <c r="B52" i="15"/>
  <c r="A53" i="15"/>
  <c r="B53" i="15"/>
  <c r="A54" i="15"/>
  <c r="B54" i="15"/>
  <c r="A55" i="15"/>
  <c r="B55" i="15"/>
  <c r="A56" i="15"/>
  <c r="B56" i="15"/>
  <c r="A57" i="15"/>
  <c r="B57" i="15"/>
  <c r="A58" i="15"/>
  <c r="B58" i="15"/>
  <c r="A59" i="15"/>
  <c r="B59" i="15"/>
  <c r="A60" i="15"/>
  <c r="B60" i="15"/>
  <c r="A61" i="15"/>
  <c r="B61" i="15"/>
  <c r="A62" i="15"/>
  <c r="B62" i="15"/>
  <c r="A63" i="15"/>
  <c r="B63" i="15"/>
  <c r="A64" i="15"/>
  <c r="B64" i="15"/>
  <c r="A65" i="15"/>
  <c r="B65" i="15"/>
  <c r="A66" i="15"/>
  <c r="B66" i="15"/>
  <c r="A67" i="15"/>
  <c r="B67" i="15"/>
  <c r="A68" i="15"/>
  <c r="B68" i="15"/>
  <c r="A69" i="15"/>
  <c r="B69" i="15"/>
  <c r="A70" i="15"/>
  <c r="B70" i="15"/>
  <c r="A71" i="15"/>
  <c r="B71" i="15"/>
  <c r="A72" i="15"/>
  <c r="B72" i="15"/>
  <c r="A73" i="15"/>
  <c r="B73" i="15"/>
  <c r="A74" i="15"/>
  <c r="B74" i="15"/>
  <c r="A75" i="15"/>
  <c r="B75" i="15"/>
  <c r="A76" i="15"/>
  <c r="B76" i="15"/>
  <c r="A77" i="15"/>
  <c r="B77" i="15"/>
  <c r="A78" i="15"/>
  <c r="B78" i="15"/>
  <c r="A79" i="15"/>
  <c r="B79" i="15"/>
  <c r="A80" i="15"/>
  <c r="B80" i="15"/>
  <c r="A81" i="15"/>
  <c r="B81" i="15"/>
  <c r="A82" i="15"/>
  <c r="B82" i="15"/>
  <c r="A83" i="15"/>
  <c r="B83" i="15"/>
  <c r="A84" i="15"/>
  <c r="B84" i="15"/>
  <c r="A85" i="15"/>
  <c r="B85" i="15"/>
  <c r="A86" i="15"/>
  <c r="B86" i="15"/>
  <c r="A87" i="15"/>
  <c r="B87" i="15"/>
  <c r="A88" i="15"/>
  <c r="B88" i="15"/>
  <c r="A89" i="15"/>
  <c r="B89" i="15"/>
  <c r="A90" i="15"/>
  <c r="B90" i="15"/>
  <c r="A91" i="15"/>
  <c r="B91" i="15"/>
  <c r="A92" i="15"/>
  <c r="B92" i="15"/>
  <c r="A93" i="15"/>
  <c r="B93" i="15"/>
  <c r="A94" i="15"/>
  <c r="B94" i="15"/>
  <c r="A95" i="15"/>
  <c r="B95" i="15"/>
  <c r="A96" i="15"/>
  <c r="B96" i="15"/>
  <c r="A97" i="15"/>
  <c r="B97" i="15"/>
  <c r="A98" i="15"/>
  <c r="B98" i="15"/>
  <c r="A99" i="15"/>
  <c r="B99" i="15"/>
  <c r="A100" i="15"/>
  <c r="B100" i="15"/>
  <c r="A101" i="15"/>
  <c r="B101" i="15"/>
  <c r="A102" i="15"/>
  <c r="B102" i="15"/>
  <c r="A103" i="15"/>
  <c r="B103" i="15"/>
  <c r="A104" i="15"/>
  <c r="B104" i="15"/>
  <c r="A105" i="15"/>
  <c r="B105" i="15"/>
  <c r="A106" i="15"/>
  <c r="B106" i="15"/>
  <c r="A107" i="15"/>
  <c r="B107" i="15"/>
  <c r="A108" i="15"/>
  <c r="B108" i="15"/>
  <c r="A109" i="15"/>
  <c r="B109" i="15"/>
  <c r="A110" i="15"/>
  <c r="B110" i="15"/>
  <c r="A111" i="15"/>
  <c r="B111" i="15"/>
  <c r="A112" i="15"/>
  <c r="B112" i="15"/>
  <c r="A113" i="15"/>
  <c r="B113" i="15"/>
  <c r="A114" i="15"/>
  <c r="B114" i="15"/>
  <c r="A115" i="15"/>
  <c r="B115" i="15"/>
  <c r="A116" i="15"/>
  <c r="B116" i="15"/>
  <c r="A117" i="15"/>
  <c r="B117" i="15"/>
  <c r="A118" i="15"/>
  <c r="B118" i="15"/>
  <c r="A119" i="15"/>
  <c r="B119" i="15"/>
  <c r="A120" i="15"/>
  <c r="B120" i="15"/>
  <c r="A121" i="15"/>
  <c r="B121" i="15"/>
  <c r="A122" i="15"/>
  <c r="B122" i="15"/>
  <c r="A123" i="15"/>
  <c r="B123" i="15"/>
  <c r="A124" i="15"/>
  <c r="B124" i="15"/>
  <c r="A125" i="15"/>
  <c r="B125" i="15"/>
  <c r="A126" i="15"/>
  <c r="B126" i="15"/>
  <c r="A127" i="15"/>
  <c r="B127" i="15"/>
  <c r="A128" i="15"/>
  <c r="B128" i="15"/>
  <c r="A129" i="15"/>
  <c r="B129" i="15"/>
  <c r="A130" i="15"/>
  <c r="B130" i="15"/>
  <c r="A131" i="15"/>
  <c r="B131" i="15"/>
  <c r="A132" i="15"/>
  <c r="B132" i="15"/>
  <c r="A133" i="15"/>
  <c r="B133" i="15"/>
  <c r="A134" i="15"/>
  <c r="B134" i="15"/>
  <c r="A135" i="15"/>
  <c r="B135" i="15"/>
  <c r="A136" i="15"/>
  <c r="B136" i="15"/>
  <c r="A137" i="15"/>
  <c r="B137" i="15"/>
  <c r="A138" i="15"/>
  <c r="B138" i="15"/>
  <c r="A139" i="15"/>
  <c r="B139" i="15"/>
  <c r="A140" i="15"/>
  <c r="B140" i="15"/>
  <c r="A141" i="15"/>
  <c r="B141" i="15"/>
  <c r="A142" i="15"/>
  <c r="B142" i="15"/>
  <c r="A143" i="15"/>
  <c r="B143" i="15"/>
  <c r="A144" i="15"/>
  <c r="B144" i="15"/>
  <c r="A145" i="15"/>
  <c r="B145" i="15"/>
  <c r="A146" i="15"/>
  <c r="B146" i="15"/>
  <c r="A147" i="15"/>
  <c r="B147" i="15"/>
  <c r="A148" i="15"/>
  <c r="B148" i="15"/>
  <c r="A149" i="15"/>
  <c r="B149" i="15"/>
  <c r="A150" i="15"/>
  <c r="B150" i="15"/>
  <c r="A151" i="15"/>
  <c r="B151" i="15"/>
  <c r="A152" i="15"/>
  <c r="B152" i="15"/>
  <c r="A153" i="15"/>
  <c r="B153" i="15"/>
  <c r="A154" i="15"/>
  <c r="B154" i="15"/>
  <c r="A155" i="15"/>
  <c r="B155" i="15"/>
  <c r="A156" i="15"/>
  <c r="B156" i="15"/>
  <c r="A157" i="15"/>
  <c r="B157" i="15"/>
  <c r="A158" i="15"/>
  <c r="B158" i="15"/>
  <c r="A159" i="15"/>
  <c r="B159" i="15"/>
  <c r="A160" i="15"/>
  <c r="B160" i="15"/>
  <c r="A161" i="15"/>
  <c r="B161" i="15"/>
  <c r="A162" i="15"/>
  <c r="B162" i="15"/>
  <c r="A163" i="15"/>
  <c r="B163" i="15"/>
  <c r="A164" i="15"/>
  <c r="B164" i="15"/>
  <c r="A165" i="15"/>
  <c r="B165" i="15"/>
  <c r="A166" i="15"/>
  <c r="B166" i="15"/>
  <c r="A167" i="15"/>
  <c r="B167" i="15"/>
  <c r="A168" i="15"/>
  <c r="B168" i="15"/>
  <c r="A169" i="15"/>
  <c r="B169" i="15"/>
  <c r="A170" i="15"/>
  <c r="B170" i="15"/>
  <c r="A171" i="15"/>
  <c r="B171" i="15"/>
  <c r="A172" i="15"/>
  <c r="B172" i="15"/>
  <c r="A173" i="15"/>
  <c r="B173" i="15"/>
  <c r="A174" i="15"/>
  <c r="B174" i="15"/>
  <c r="A175" i="15"/>
  <c r="B175" i="15"/>
  <c r="A176" i="15"/>
  <c r="B176" i="15"/>
  <c r="A177" i="15"/>
  <c r="B177" i="15"/>
  <c r="A178" i="15"/>
  <c r="B178" i="15"/>
  <c r="A179" i="15"/>
  <c r="B179" i="15"/>
  <c r="A180" i="15"/>
  <c r="B180" i="15"/>
  <c r="A181" i="15"/>
  <c r="B181" i="15"/>
  <c r="B182" i="15"/>
  <c r="F222" i="32" s="1"/>
  <c r="B250" i="15"/>
  <c r="W250" i="14" s="1"/>
  <c r="W251" i="14" s="1"/>
  <c r="B251" i="15"/>
  <c r="B253" i="15"/>
  <c r="B254" i="15"/>
  <c r="B255" i="15"/>
  <c r="B256" i="15"/>
  <c r="B257" i="15"/>
  <c r="B258" i="15"/>
  <c r="B278" i="15"/>
  <c r="B279" i="15"/>
  <c r="B280" i="15"/>
  <c r="IK323" i="15"/>
  <c r="IK349" i="15" s="1"/>
  <c r="A349" i="15" s="1"/>
  <c r="B324" i="15"/>
  <c r="B325" i="15"/>
  <c r="B326" i="15"/>
  <c r="B327" i="15"/>
  <c r="B328" i="15"/>
  <c r="B331" i="15"/>
  <c r="B332" i="15"/>
  <c r="B333" i="15"/>
  <c r="B335" i="15"/>
  <c r="B336" i="15"/>
  <c r="B337" i="15"/>
  <c r="B338" i="15"/>
  <c r="B339" i="15"/>
  <c r="B340" i="15"/>
  <c r="B341" i="15"/>
  <c r="B342" i="15"/>
  <c r="B345" i="15"/>
  <c r="B346" i="15"/>
  <c r="B347" i="15"/>
  <c r="B349" i="15"/>
  <c r="B350" i="15"/>
  <c r="B351" i="15"/>
  <c r="B352" i="15"/>
  <c r="B353" i="15"/>
  <c r="B354" i="15"/>
  <c r="B355" i="15"/>
  <c r="B356" i="15"/>
  <c r="B357" i="15"/>
  <c r="B358" i="15"/>
  <c r="B359" i="15"/>
  <c r="B360" i="15"/>
  <c r="B361" i="15"/>
  <c r="B362" i="15"/>
  <c r="B363" i="15"/>
  <c r="B364" i="15"/>
  <c r="B365" i="15"/>
  <c r="B366" i="15"/>
  <c r="B367" i="15"/>
  <c r="B368"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09" i="15"/>
  <c r="B410" i="15"/>
  <c r="B411" i="15"/>
  <c r="B413" i="15"/>
  <c r="B414" i="15"/>
  <c r="B416" i="15"/>
  <c r="B417" i="15"/>
  <c r="B418" i="15"/>
  <c r="B419" i="15"/>
  <c r="B420" i="15"/>
  <c r="B421" i="15"/>
  <c r="B422" i="15"/>
  <c r="B423" i="15"/>
  <c r="B424" i="15"/>
  <c r="B425" i="15"/>
  <c r="B426" i="15"/>
  <c r="B427" i="15"/>
  <c r="B428" i="15"/>
  <c r="B429" i="15"/>
  <c r="B430" i="15"/>
  <c r="B431" i="15"/>
  <c r="B432" i="15"/>
  <c r="B434" i="15"/>
  <c r="B435" i="15"/>
  <c r="B436" i="15"/>
  <c r="B437" i="15"/>
  <c r="B438" i="15"/>
  <c r="B439" i="15"/>
  <c r="B440" i="15"/>
  <c r="B441" i="15"/>
  <c r="B442" i="15"/>
  <c r="B443" i="15"/>
  <c r="B444" i="15"/>
  <c r="B445" i="15"/>
  <c r="B446" i="15"/>
  <c r="B447" i="15"/>
  <c r="B448" i="15"/>
  <c r="B449" i="15"/>
  <c r="B450" i="15"/>
  <c r="B451" i="15"/>
  <c r="B452" i="15"/>
  <c r="B453" i="15"/>
  <c r="B454" i="15"/>
  <c r="B455" i="15"/>
  <c r="B456" i="15"/>
  <c r="B457" i="15"/>
  <c r="B458" i="15"/>
  <c r="B460" i="15"/>
  <c r="B461" i="15"/>
  <c r="B465" i="15"/>
  <c r="B466" i="15"/>
  <c r="B467" i="15"/>
  <c r="B468" i="15"/>
  <c r="B469" i="15"/>
  <c r="B470" i="15"/>
  <c r="B471" i="15"/>
  <c r="B472" i="15"/>
  <c r="B473" i="15"/>
  <c r="B474" i="15"/>
  <c r="B475" i="15"/>
  <c r="B476" i="15"/>
  <c r="B477" i="15"/>
  <c r="B478" i="15"/>
  <c r="B479" i="15"/>
  <c r="B480" i="15"/>
  <c r="B481" i="15"/>
  <c r="B482" i="15"/>
  <c r="B483" i="15"/>
  <c r="B484" i="15"/>
  <c r="B485" i="15"/>
  <c r="B486" i="15"/>
  <c r="B488" i="15"/>
  <c r="B489" i="15"/>
  <c r="B490" i="15"/>
  <c r="B491" i="15"/>
  <c r="B492" i="15"/>
  <c r="B493" i="15"/>
  <c r="B494" i="15"/>
  <c r="B495" i="15"/>
  <c r="B496" i="15"/>
  <c r="B497" i="15"/>
  <c r="B498" i="15"/>
  <c r="B499" i="15"/>
  <c r="B500" i="15"/>
  <c r="B501" i="15"/>
  <c r="B502" i="15"/>
  <c r="B503" i="15"/>
  <c r="B504" i="15"/>
  <c r="B505" i="15"/>
  <c r="B506" i="15"/>
  <c r="B507" i="15"/>
  <c r="B508" i="15"/>
  <c r="B509" i="15"/>
  <c r="B510" i="15"/>
  <c r="B511" i="15"/>
  <c r="B512" i="15"/>
  <c r="B513" i="15"/>
  <c r="B514" i="15"/>
  <c r="B515" i="15"/>
  <c r="B516" i="15"/>
  <c r="B517" i="15"/>
  <c r="B518" i="15"/>
  <c r="B519" i="15"/>
  <c r="B520" i="15"/>
  <c r="B522" i="15"/>
  <c r="B523" i="15"/>
  <c r="B524" i="15"/>
  <c r="B525" i="15"/>
  <c r="B526" i="15"/>
  <c r="B527" i="15"/>
  <c r="B528" i="15"/>
  <c r="B529" i="15"/>
  <c r="B530" i="15"/>
  <c r="B531" i="15"/>
  <c r="B532" i="15"/>
  <c r="B533" i="15"/>
  <c r="B534" i="15"/>
  <c r="B535" i="15"/>
  <c r="B536" i="15"/>
  <c r="B537" i="15"/>
  <c r="B538" i="15"/>
  <c r="B539" i="15"/>
  <c r="B540" i="15"/>
  <c r="B541" i="15"/>
  <c r="B542" i="15"/>
  <c r="B543" i="15"/>
  <c r="B544" i="15"/>
  <c r="B545" i="15"/>
  <c r="B546" i="15"/>
  <c r="B547" i="15"/>
  <c r="B548" i="15"/>
  <c r="B549" i="15"/>
  <c r="B550" i="15"/>
  <c r="B551" i="15"/>
  <c r="B552" i="15"/>
  <c r="B553" i="15"/>
  <c r="B554" i="15"/>
  <c r="B555" i="15"/>
  <c r="B556" i="15"/>
  <c r="B557" i="15"/>
  <c r="B558" i="15"/>
  <c r="B559" i="15"/>
  <c r="B560" i="15"/>
  <c r="B561" i="15"/>
  <c r="B562" i="15"/>
  <c r="B563" i="15"/>
  <c r="B564" i="15"/>
  <c r="B565" i="15"/>
  <c r="B566" i="15"/>
  <c r="B567" i="15"/>
  <c r="B568" i="15"/>
  <c r="B569" i="15"/>
  <c r="B570" i="15"/>
  <c r="B571" i="15"/>
  <c r="B572" i="15"/>
  <c r="B573" i="15"/>
  <c r="B574" i="15"/>
  <c r="B575" i="15"/>
  <c r="B576" i="15"/>
  <c r="B577" i="15"/>
  <c r="B578" i="15"/>
  <c r="B579" i="15"/>
  <c r="B580" i="15"/>
  <c r="B581" i="15"/>
  <c r="B582" i="15"/>
  <c r="B583" i="15"/>
  <c r="B584" i="15"/>
  <c r="B585" i="15"/>
  <c r="B586" i="15"/>
  <c r="B587" i="15"/>
  <c r="B588" i="15"/>
  <c r="B589" i="15"/>
  <c r="B590" i="15"/>
  <c r="B591" i="15"/>
  <c r="B592" i="15"/>
  <c r="B593" i="15"/>
  <c r="B594" i="15"/>
  <c r="B595" i="15"/>
  <c r="B596" i="15"/>
  <c r="B597" i="15"/>
  <c r="B598" i="15"/>
  <c r="B599" i="15"/>
  <c r="B600" i="15"/>
  <c r="B602" i="15"/>
  <c r="B604" i="15"/>
  <c r="B605" i="15"/>
  <c r="B606" i="15"/>
  <c r="B607" i="15"/>
  <c r="B608" i="15"/>
  <c r="B609" i="15"/>
  <c r="B610" i="15"/>
  <c r="B611" i="15"/>
  <c r="B612" i="15"/>
  <c r="B613" i="15"/>
  <c r="B614" i="15"/>
  <c r="B615" i="15"/>
  <c r="B616" i="15"/>
  <c r="B617" i="15"/>
  <c r="B619" i="15"/>
  <c r="B620" i="15"/>
  <c r="B621" i="15"/>
  <c r="B622" i="15"/>
  <c r="B623" i="15"/>
  <c r="B624" i="15"/>
  <c r="B625" i="15"/>
  <c r="B626" i="15"/>
  <c r="B627" i="15"/>
  <c r="B628" i="15"/>
  <c r="B629" i="15"/>
  <c r="B630" i="15"/>
  <c r="B631" i="15"/>
  <c r="B632" i="15"/>
  <c r="B633" i="15"/>
  <c r="B634" i="15"/>
  <c r="B636" i="15"/>
  <c r="B637" i="15"/>
  <c r="B639" i="15"/>
  <c r="B640" i="15"/>
  <c r="B641" i="15"/>
  <c r="B642" i="15"/>
  <c r="B643" i="15"/>
  <c r="B644" i="15"/>
  <c r="B645" i="15"/>
  <c r="B648" i="15"/>
  <c r="B649" i="15"/>
  <c r="B650" i="15"/>
  <c r="B651" i="15"/>
  <c r="B652" i="15"/>
  <c r="B653" i="15"/>
  <c r="B655" i="15"/>
  <c r="B656" i="15"/>
  <c r="B657" i="15"/>
  <c r="B658" i="15"/>
  <c r="B659" i="15"/>
  <c r="B660" i="15"/>
  <c r="B661" i="15"/>
  <c r="B696" i="15"/>
  <c r="B697" i="15"/>
  <c r="B698" i="15"/>
  <c r="B699" i="15"/>
  <c r="B700" i="15"/>
  <c r="B704" i="15"/>
  <c r="B705" i="15"/>
  <c r="B706" i="15"/>
  <c r="B707" i="15"/>
  <c r="B708" i="15"/>
  <c r="DL3" i="7"/>
  <c r="HC3" i="7"/>
  <c r="HI3" i="7" s="1"/>
  <c r="DL4" i="7"/>
  <c r="HC4" i="7"/>
  <c r="DL5" i="7"/>
  <c r="HC5" i="7"/>
  <c r="DL6" i="7"/>
  <c r="HC6" i="7"/>
  <c r="HI6" i="7" s="1"/>
  <c r="DL7" i="7"/>
  <c r="HC7" i="7"/>
  <c r="HI7" i="7" s="1"/>
  <c r="DL10" i="7"/>
  <c r="HC8" i="7"/>
  <c r="HJ8" i="7" s="1"/>
  <c r="DL11" i="7"/>
  <c r="HC9" i="7"/>
  <c r="DL12" i="7"/>
  <c r="HC10" i="7"/>
  <c r="DL14" i="7"/>
  <c r="HC11" i="7"/>
  <c r="DL15" i="7"/>
  <c r="HC12" i="7"/>
  <c r="HI12" i="7" s="1"/>
  <c r="DL16" i="7"/>
  <c r="HC13" i="7"/>
  <c r="DL17" i="7"/>
  <c r="HC14" i="7"/>
  <c r="DL18" i="7"/>
  <c r="HC15" i="7"/>
  <c r="HI15" i="7" s="1"/>
  <c r="DL19" i="7"/>
  <c r="HC16" i="7"/>
  <c r="HJ16" i="7" s="1"/>
  <c r="N17" i="7"/>
  <c r="DL20" i="7"/>
  <c r="HC17" i="7"/>
  <c r="HJ17" i="7" s="1"/>
  <c r="N18" i="7"/>
  <c r="DL21" i="7"/>
  <c r="HC18" i="7"/>
  <c r="HJ18" i="7" s="1"/>
  <c r="DL24" i="7"/>
  <c r="HC19" i="7"/>
  <c r="HI19" i="7" s="1"/>
  <c r="DL25" i="7"/>
  <c r="HC20" i="7"/>
  <c r="HI20" i="7" s="1"/>
  <c r="DL26" i="7"/>
  <c r="HC21" i="7"/>
  <c r="HJ21" i="7" s="1"/>
  <c r="DL28" i="7"/>
  <c r="HC22" i="7"/>
  <c r="HJ22" i="7" s="1"/>
  <c r="DL29" i="7"/>
  <c r="HC23" i="7"/>
  <c r="DL30" i="7"/>
  <c r="HC24" i="7"/>
  <c r="HI24" i="7" s="1"/>
  <c r="DL31" i="7"/>
  <c r="HC25" i="7"/>
  <c r="HJ25" i="7" s="1"/>
  <c r="DL32" i="7"/>
  <c r="HC27" i="7"/>
  <c r="HJ27" i="7" s="1"/>
  <c r="DL33" i="7"/>
  <c r="HC28" i="7"/>
  <c r="HJ28" i="7" s="1"/>
  <c r="AE30" i="7"/>
  <c r="DL34" i="7"/>
  <c r="HC29" i="7"/>
  <c r="DL35" i="7"/>
  <c r="HC30" i="7"/>
  <c r="HI30" i="7" s="1"/>
  <c r="DL36" i="7"/>
  <c r="HC31" i="7"/>
  <c r="DL37" i="7"/>
  <c r="HC32" i="7"/>
  <c r="DL38" i="7"/>
  <c r="HC33" i="7"/>
  <c r="DL39" i="7"/>
  <c r="HC34" i="7"/>
  <c r="DL40" i="7"/>
  <c r="HC35" i="7"/>
  <c r="HJ35" i="7" s="1"/>
  <c r="DL41" i="7"/>
  <c r="HC36" i="7"/>
  <c r="HI36" i="7" s="1"/>
  <c r="DL42" i="7"/>
  <c r="HC37" i="7"/>
  <c r="HI37" i="7" s="1"/>
  <c r="DL43" i="7"/>
  <c r="HC38" i="7"/>
  <c r="HJ38" i="7" s="1"/>
  <c r="DL44" i="7"/>
  <c r="HC39" i="7"/>
  <c r="HI39" i="7" s="1"/>
  <c r="DL45" i="7"/>
  <c r="HC40" i="7"/>
  <c r="DL46" i="7"/>
  <c r="HI41" i="7"/>
  <c r="HJ41" i="7"/>
  <c r="DL47" i="7"/>
  <c r="HC42" i="7"/>
  <c r="DL48" i="7"/>
  <c r="HC43" i="7"/>
  <c r="DL49" i="7"/>
  <c r="HC44" i="7"/>
  <c r="HI44" i="7" s="1"/>
  <c r="DL50" i="7"/>
  <c r="HC45" i="7"/>
  <c r="HJ45" i="7" s="1"/>
  <c r="DL51" i="7"/>
  <c r="HC46" i="7"/>
  <c r="AE48" i="7"/>
  <c r="AM46" i="7"/>
  <c r="AP46" i="7" s="1"/>
  <c r="DL52" i="7"/>
  <c r="HC47" i="7"/>
  <c r="AM47" i="7"/>
  <c r="AP47" i="7" s="1"/>
  <c r="DL53" i="7"/>
  <c r="HC48" i="7"/>
  <c r="AM48" i="7"/>
  <c r="AP48" i="7" s="1"/>
  <c r="DL54" i="7"/>
  <c r="HC49" i="7"/>
  <c r="AM49" i="7"/>
  <c r="AP49" i="7" s="1"/>
  <c r="DL55" i="7"/>
  <c r="HI50" i="7"/>
  <c r="HJ50" i="7"/>
  <c r="AK50" i="7"/>
  <c r="AM50" i="7"/>
  <c r="AP50" i="7" s="1"/>
  <c r="DL56" i="7"/>
  <c r="HC51" i="7"/>
  <c r="AH51" i="7"/>
  <c r="AM51" i="7"/>
  <c r="AP51" i="7" s="1"/>
  <c r="DL57" i="7"/>
  <c r="HC52" i="7"/>
  <c r="AH52" i="7"/>
  <c r="AM52" i="7"/>
  <c r="DL58" i="7"/>
  <c r="HC53" i="7"/>
  <c r="AH53" i="7"/>
  <c r="AM53" i="7"/>
  <c r="AP53" i="7" s="1"/>
  <c r="DL59" i="7"/>
  <c r="HC54" i="7"/>
  <c r="AH54" i="7"/>
  <c r="AM54" i="7"/>
  <c r="DL60" i="7"/>
  <c r="HC55" i="7"/>
  <c r="HJ55" i="7" s="1"/>
  <c r="AE57" i="7"/>
  <c r="AH55" i="7"/>
  <c r="AM55" i="7"/>
  <c r="AP55" i="7" s="1"/>
  <c r="DL61" i="7"/>
  <c r="HC56" i="7"/>
  <c r="AH56" i="7"/>
  <c r="AM56" i="7"/>
  <c r="AP56" i="7" s="1"/>
  <c r="DL62" i="7"/>
  <c r="HC57" i="7"/>
  <c r="HJ57" i="7" s="1"/>
  <c r="AH57" i="7"/>
  <c r="AM57" i="7"/>
  <c r="AP57" i="7" s="1"/>
  <c r="DL63" i="7"/>
  <c r="HC58" i="7"/>
  <c r="AH58" i="7"/>
  <c r="AM58" i="7"/>
  <c r="AP58" i="7" s="1"/>
  <c r="DL64" i="7"/>
  <c r="HC59" i="7"/>
  <c r="AH59" i="7"/>
  <c r="AM59" i="7"/>
  <c r="AP59" i="7" s="1"/>
  <c r="DL65" i="7"/>
  <c r="HC60" i="7"/>
  <c r="HI60" i="7" s="1"/>
  <c r="AH60" i="7"/>
  <c r="AM60" i="7"/>
  <c r="DL66" i="7"/>
  <c r="HC61" i="7"/>
  <c r="AH61" i="7"/>
  <c r="AM61" i="7"/>
  <c r="AP61" i="7" s="1"/>
  <c r="DL67" i="7"/>
  <c r="HC62" i="7"/>
  <c r="AE64" i="7"/>
  <c r="AH62" i="7"/>
  <c r="AM62" i="7"/>
  <c r="DL68" i="7"/>
  <c r="HC63" i="7"/>
  <c r="HJ63" i="7" s="1"/>
  <c r="AH63" i="7"/>
  <c r="AM63" i="7"/>
  <c r="AP63" i="7" s="1"/>
  <c r="DL69" i="7"/>
  <c r="HC64" i="7"/>
  <c r="HJ64" i="7" s="1"/>
  <c r="AH64" i="7"/>
  <c r="AM64" i="7"/>
  <c r="AP64" i="7" s="1"/>
  <c r="DL70" i="7"/>
  <c r="HC65" i="7"/>
  <c r="HJ65" i="7" s="1"/>
  <c r="AH65" i="7"/>
  <c r="AM65" i="7"/>
  <c r="AP65" i="7" s="1"/>
  <c r="DL71" i="7"/>
  <c r="HC66" i="7"/>
  <c r="AH66" i="7"/>
  <c r="AM66" i="7"/>
  <c r="AP66" i="7" s="1"/>
  <c r="DL72" i="7"/>
  <c r="HC67" i="7"/>
  <c r="AH67" i="7"/>
  <c r="AM67" i="7"/>
  <c r="AP67" i="7" s="1"/>
  <c r="DL73" i="7"/>
  <c r="HC68" i="7"/>
  <c r="HJ68" i="7" s="1"/>
  <c r="AH68" i="7"/>
  <c r="AM68" i="7"/>
  <c r="DL74" i="7"/>
  <c r="HC69" i="7"/>
  <c r="AH69" i="7"/>
  <c r="AM69" i="7"/>
  <c r="AP69" i="7" s="1"/>
  <c r="DL75" i="7"/>
  <c r="HC70" i="7"/>
  <c r="AH70" i="7"/>
  <c r="AM70" i="7"/>
  <c r="AP70" i="7" s="1"/>
  <c r="DL76" i="7"/>
  <c r="HC71" i="7"/>
  <c r="AH71" i="7"/>
  <c r="AM71" i="7"/>
  <c r="AP71" i="7" s="1"/>
  <c r="DL77" i="7"/>
  <c r="HC72" i="7"/>
  <c r="AH72" i="7"/>
  <c r="AM72" i="7"/>
  <c r="AP72" i="7" s="1"/>
  <c r="DL78" i="7"/>
  <c r="HC73" i="7"/>
  <c r="HJ73" i="7" s="1"/>
  <c r="AH73" i="7"/>
  <c r="DL79" i="7"/>
  <c r="HC74" i="7"/>
  <c r="HJ74" i="7" s="1"/>
  <c r="AH74" i="7"/>
  <c r="DL80" i="7"/>
  <c r="HC75" i="7"/>
  <c r="AH75" i="7"/>
  <c r="DL81" i="7"/>
  <c r="HC76" i="7"/>
  <c r="AH76" i="7"/>
  <c r="DL82" i="7"/>
  <c r="HI77" i="7"/>
  <c r="HJ77" i="7"/>
  <c r="AH77" i="7"/>
  <c r="DL83" i="7"/>
  <c r="HC78" i="7"/>
  <c r="HJ78" i="7" s="1"/>
  <c r="AH78" i="7"/>
  <c r="DL84" i="7"/>
  <c r="HC79" i="7"/>
  <c r="AH79" i="7"/>
  <c r="DL85" i="7"/>
  <c r="HC80" i="7"/>
  <c r="DL86" i="7"/>
  <c r="HC81" i="7"/>
  <c r="HI81" i="7" s="1"/>
  <c r="DL87" i="7"/>
  <c r="HC82" i="7"/>
  <c r="HJ82" i="7" s="1"/>
  <c r="HC83" i="7"/>
  <c r="HI83" i="7" s="1"/>
  <c r="AS83" i="7"/>
  <c r="DL88" i="7"/>
  <c r="HC84" i="7"/>
  <c r="HJ84" i="7" s="1"/>
  <c r="AS84" i="7"/>
  <c r="AT84" i="7" s="1"/>
  <c r="DL89" i="7"/>
  <c r="HC85" i="7"/>
  <c r="HJ85" i="7" s="1"/>
  <c r="AS85" i="7"/>
  <c r="DL90" i="7"/>
  <c r="HC86" i="7"/>
  <c r="HJ86" i="7" s="1"/>
  <c r="AS86" i="7"/>
  <c r="AT86" i="7" s="1"/>
  <c r="DL92" i="7"/>
  <c r="HI87" i="7"/>
  <c r="HJ87" i="7"/>
  <c r="AS87" i="7"/>
  <c r="AT87" i="7" s="1"/>
  <c r="DL93" i="7"/>
  <c r="HC88" i="7"/>
  <c r="AS88" i="7"/>
  <c r="AT88" i="7" s="1"/>
  <c r="DL95" i="7"/>
  <c r="HC89" i="7"/>
  <c r="HI89" i="7" s="1"/>
  <c r="AS89" i="7"/>
  <c r="AT89" i="7" s="1"/>
  <c r="DL96" i="7"/>
  <c r="HC90" i="7"/>
  <c r="HI90" i="7" s="1"/>
  <c r="AS90" i="7"/>
  <c r="DL97" i="7"/>
  <c r="HC91" i="7"/>
  <c r="HI91" i="7" s="1"/>
  <c r="AS91" i="7"/>
  <c r="AT91" i="7" s="1"/>
  <c r="DL98" i="7"/>
  <c r="HC92" i="7"/>
  <c r="HI92" i="7" s="1"/>
  <c r="AS92" i="7"/>
  <c r="DL99" i="7"/>
  <c r="AS93" i="7"/>
  <c r="AT93" i="7" s="1"/>
  <c r="DL100" i="7"/>
  <c r="AS94" i="7"/>
  <c r="AT94" i="7" s="1"/>
  <c r="DL101" i="7"/>
  <c r="AS95" i="7"/>
  <c r="AT95" i="7" s="1"/>
  <c r="DL102" i="7"/>
  <c r="AS96" i="7"/>
  <c r="AT96" i="7" s="1"/>
  <c r="DL103" i="7"/>
  <c r="AS97" i="7"/>
  <c r="AT97" i="7" s="1"/>
  <c r="DL104" i="7"/>
  <c r="AS98" i="7"/>
  <c r="AT98" i="7" s="1"/>
  <c r="DL105" i="7"/>
  <c r="AS99" i="7"/>
  <c r="AT99" i="7" s="1"/>
  <c r="DL106" i="7"/>
  <c r="AS100" i="7"/>
  <c r="AT100" i="7" s="1"/>
  <c r="DL107" i="7"/>
  <c r="AS101" i="7"/>
  <c r="AT101" i="7" s="1"/>
  <c r="DL108" i="7"/>
  <c r="AS102" i="7"/>
  <c r="AT102" i="7" s="1"/>
  <c r="DL109" i="7"/>
  <c r="AS103" i="7"/>
  <c r="AT103" i="7" s="1"/>
  <c r="DL110" i="7"/>
  <c r="AS104" i="7"/>
  <c r="AT104" i="7" s="1"/>
  <c r="DL111" i="7"/>
  <c r="AS105" i="7"/>
  <c r="AT105" i="7" s="1"/>
  <c r="DL113" i="7"/>
  <c r="AS106" i="7"/>
  <c r="AT106" i="7" s="1"/>
  <c r="DL114" i="7"/>
  <c r="AS107" i="7"/>
  <c r="DL115" i="7"/>
  <c r="AS108" i="7"/>
  <c r="DL116" i="7"/>
  <c r="AS109" i="7"/>
  <c r="DL117" i="7"/>
  <c r="DL118" i="7"/>
  <c r="DL119" i="7"/>
  <c r="DL120" i="7"/>
  <c r="DL121" i="7"/>
  <c r="DL122" i="7"/>
  <c r="DL123" i="7"/>
  <c r="DL124" i="7"/>
  <c r="DL125" i="7"/>
  <c r="DL126" i="7"/>
  <c r="DL127" i="7"/>
  <c r="DL128" i="7"/>
  <c r="DL129" i="7"/>
  <c r="DL130" i="7"/>
  <c r="DL131" i="7"/>
  <c r="DL132" i="7"/>
  <c r="DL133" i="7"/>
  <c r="DL134" i="7"/>
  <c r="DL135" i="7"/>
  <c r="AE130" i="7"/>
  <c r="DL136" i="7"/>
  <c r="DL137" i="7"/>
  <c r="AE132" i="7"/>
  <c r="DL139" i="7"/>
  <c r="AE133" i="7"/>
  <c r="DL140" i="7"/>
  <c r="DL144" i="7"/>
  <c r="DL145" i="7"/>
  <c r="DL146" i="7"/>
  <c r="DL147" i="7"/>
  <c r="DL148" i="7"/>
  <c r="DL149" i="7"/>
  <c r="DL150" i="7"/>
  <c r="DL151" i="7"/>
  <c r="DL152" i="7"/>
  <c r="DL153" i="7"/>
  <c r="DL154" i="7"/>
  <c r="DL155" i="7"/>
  <c r="DL156" i="7"/>
  <c r="DL157" i="7"/>
  <c r="DL158" i="7"/>
  <c r="DL159" i="7"/>
  <c r="DL160" i="7"/>
  <c r="DL161" i="7"/>
  <c r="DL162" i="7"/>
  <c r="DL163" i="7"/>
  <c r="EH186" i="7"/>
  <c r="DL164" i="7"/>
  <c r="DL165" i="7"/>
  <c r="DL167" i="7"/>
  <c r="DL168" i="7"/>
  <c r="AP145" i="7"/>
  <c r="DL169" i="7"/>
  <c r="AP146" i="7"/>
  <c r="DL170" i="7"/>
  <c r="AP147" i="7"/>
  <c r="DL171" i="7"/>
  <c r="AP148" i="7"/>
  <c r="DL172" i="7"/>
  <c r="AP149" i="7"/>
  <c r="DL173" i="7"/>
  <c r="AP150" i="7"/>
  <c r="DL174" i="7"/>
  <c r="DL175" i="7"/>
  <c r="DL176" i="7"/>
  <c r="EH198" i="7"/>
  <c r="DL177" i="7"/>
  <c r="EH200" i="7"/>
  <c r="DL178" i="7"/>
  <c r="EH201" i="7"/>
  <c r="DL179" i="7"/>
  <c r="EH199" i="7"/>
  <c r="FF190" i="7"/>
  <c r="DL180" i="7"/>
  <c r="EH202" i="7"/>
  <c r="DL181" i="7"/>
  <c r="EH203" i="7"/>
  <c r="DL182" i="7"/>
  <c r="EH204" i="7"/>
  <c r="DL183" i="7"/>
  <c r="DL184" i="7"/>
  <c r="DL185" i="7"/>
  <c r="DL186" i="7"/>
  <c r="DL187" i="7"/>
  <c r="DL188" i="7"/>
  <c r="DL189" i="7"/>
  <c r="EH213" i="7"/>
  <c r="DL190" i="7"/>
  <c r="DL191" i="7"/>
  <c r="DL192" i="7"/>
  <c r="DL193" i="7"/>
  <c r="DL194" i="7"/>
  <c r="DL195" i="7"/>
  <c r="DL196" i="7"/>
  <c r="DL197" i="7"/>
  <c r="DL198" i="7"/>
  <c r="DL199" i="7"/>
  <c r="DL201" i="7"/>
  <c r="DL202" i="7"/>
  <c r="DL203" i="7"/>
  <c r="DL204" i="7"/>
  <c r="DL205" i="7"/>
  <c r="DL206" i="7"/>
  <c r="DL207" i="7"/>
  <c r="DL208" i="7"/>
  <c r="DL209" i="7"/>
  <c r="DL210" i="7"/>
  <c r="DL211" i="7"/>
  <c r="DL212" i="7"/>
  <c r="DL213" i="7"/>
  <c r="DL214" i="7"/>
  <c r="DL215" i="7"/>
  <c r="DL216" i="7"/>
  <c r="DL217" i="7"/>
  <c r="DL218" i="7"/>
  <c r="DL219" i="7"/>
  <c r="EH231" i="7"/>
  <c r="DL220" i="7"/>
  <c r="EH226" i="7"/>
  <c r="DL221" i="7"/>
  <c r="EH228" i="7"/>
  <c r="DL222" i="7"/>
  <c r="EH229" i="7"/>
  <c r="DL223" i="7"/>
  <c r="DL224" i="7"/>
  <c r="DL225" i="7"/>
  <c r="EH233" i="7"/>
  <c r="DL226" i="7"/>
  <c r="EH234" i="7"/>
  <c r="DL227" i="7"/>
  <c r="EH235" i="7"/>
  <c r="DL228" i="7"/>
  <c r="DL229" i="7"/>
  <c r="DL230" i="7"/>
  <c r="DL231" i="7"/>
  <c r="EH267" i="7"/>
  <c r="DL232" i="7"/>
  <c r="EH268" i="7"/>
  <c r="DL233" i="7"/>
  <c r="EH269" i="7"/>
  <c r="DL234" i="7"/>
  <c r="EH270" i="7"/>
  <c r="DL235" i="7"/>
  <c r="EH271" i="7"/>
  <c r="DL236" i="7"/>
  <c r="EH272" i="7"/>
  <c r="DL237" i="7"/>
  <c r="EH273" i="7"/>
  <c r="DL238" i="7"/>
  <c r="EH274" i="7"/>
  <c r="DL239" i="7"/>
  <c r="EH275" i="7"/>
  <c r="DL240" i="7"/>
  <c r="EH276" i="7"/>
  <c r="DL241" i="7"/>
  <c r="EH278" i="7"/>
  <c r="DL242" i="7"/>
  <c r="EH280" i="7"/>
  <c r="DL243" i="7"/>
  <c r="EH281" i="7"/>
  <c r="DL244" i="7"/>
  <c r="EH282" i="7"/>
  <c r="DL245" i="7"/>
  <c r="EH283" i="7"/>
  <c r="DL246" i="7"/>
  <c r="EH284" i="7"/>
  <c r="DL247" i="7"/>
  <c r="EH285" i="7"/>
  <c r="DL248" i="7"/>
  <c r="EH286" i="7"/>
  <c r="DL249" i="7"/>
  <c r="EH287" i="7"/>
  <c r="DL250" i="7"/>
  <c r="EH288" i="7"/>
  <c r="DL251" i="7"/>
  <c r="EH290" i="7"/>
  <c r="DL252" i="7"/>
  <c r="EH293" i="7"/>
  <c r="DL253" i="7"/>
  <c r="DL254" i="7"/>
  <c r="EH294" i="7"/>
  <c r="DL255" i="7"/>
  <c r="EH297" i="7"/>
  <c r="DL256" i="7"/>
  <c r="EH299" i="7"/>
  <c r="DL257" i="7"/>
  <c r="EH300" i="7"/>
  <c r="DL258" i="7"/>
  <c r="EH301" i="7"/>
  <c r="DL259" i="7"/>
  <c r="EH302" i="7"/>
  <c r="DL260" i="7"/>
  <c r="DL261" i="7"/>
  <c r="DL262" i="7"/>
  <c r="EH305" i="7"/>
  <c r="DL263" i="7"/>
  <c r="DL264" i="7"/>
  <c r="DL265" i="7"/>
  <c r="DL266" i="7"/>
  <c r="DL267" i="7"/>
  <c r="DL268" i="7"/>
  <c r="DL269" i="7"/>
  <c r="DL270" i="7"/>
  <c r="DL271" i="7"/>
  <c r="DL272" i="7"/>
  <c r="DL273" i="7"/>
  <c r="DL274" i="7"/>
  <c r="DL275" i="7"/>
  <c r="DL276" i="7"/>
  <c r="DL277" i="7"/>
  <c r="DL278" i="7"/>
  <c r="DL279" i="7"/>
  <c r="DL281" i="7"/>
  <c r="DL283" i="7"/>
  <c r="DL284" i="7"/>
  <c r="DL285" i="7"/>
  <c r="DL286" i="7"/>
  <c r="DL287" i="7"/>
  <c r="DL288" i="7"/>
  <c r="DL289" i="7"/>
  <c r="DL290" i="7"/>
  <c r="DL291" i="7"/>
  <c r="DL292" i="7"/>
  <c r="DL293" i="7"/>
  <c r="DL294" i="7"/>
  <c r="DL295" i="7"/>
  <c r="DL296" i="7"/>
  <c r="DL298" i="7"/>
  <c r="DL299" i="7"/>
  <c r="DL300" i="7"/>
  <c r="DL301" i="7"/>
  <c r="DL302" i="7"/>
  <c r="DL303" i="7"/>
  <c r="DL304" i="7"/>
  <c r="DL305" i="7"/>
  <c r="DL306" i="7"/>
  <c r="DL307" i="7"/>
  <c r="DL308" i="7"/>
  <c r="DL309" i="7"/>
  <c r="DL310" i="7"/>
  <c r="DL311" i="7"/>
  <c r="DL312" i="7"/>
  <c r="DL313" i="7"/>
  <c r="DL315" i="7"/>
  <c r="DL316" i="7"/>
  <c r="DL318" i="7"/>
  <c r="DL319" i="7"/>
  <c r="DL320" i="7"/>
  <c r="DL321" i="7"/>
  <c r="DL322" i="7"/>
  <c r="DL323" i="7"/>
  <c r="DL324" i="7"/>
  <c r="DL327" i="7"/>
  <c r="DL328" i="7"/>
  <c r="DL329" i="7"/>
  <c r="DL330" i="7"/>
  <c r="DL331" i="7"/>
  <c r="DL332" i="7"/>
  <c r="B5" i="20"/>
  <c r="A10" i="20"/>
  <c r="B10" i="20" s="1"/>
  <c r="T4" i="14" s="1"/>
  <c r="A11" i="20"/>
  <c r="B11" i="20" s="1"/>
  <c r="X184" i="14" s="1"/>
  <c r="A12" i="20"/>
  <c r="B12" i="20" s="1"/>
  <c r="A13" i="20"/>
  <c r="B13" i="20" s="1"/>
  <c r="X5" i="10" s="1"/>
  <c r="A14" i="20"/>
  <c r="B14" i="20" s="1"/>
  <c r="X6" i="10" s="1"/>
  <c r="B6" i="20" s="1"/>
  <c r="A20" i="20"/>
  <c r="A22" i="20"/>
  <c r="A23" i="20"/>
  <c r="A24" i="20"/>
  <c r="A25" i="20"/>
  <c r="A26" i="20"/>
  <c r="A27" i="20"/>
  <c r="N26" i="20"/>
  <c r="Y26" i="20" s="1"/>
  <c r="A28" i="20"/>
  <c r="N27" i="20"/>
  <c r="A29" i="20"/>
  <c r="N28" i="20"/>
  <c r="Y28" i="20" s="1"/>
  <c r="A30" i="20"/>
  <c r="N29" i="20"/>
  <c r="A31" i="20"/>
  <c r="N30" i="20"/>
  <c r="Z30" i="20" s="1"/>
  <c r="A32" i="20"/>
  <c r="N31" i="20"/>
  <c r="Y31" i="20" s="1"/>
  <c r="A33" i="20"/>
  <c r="N32" i="20"/>
  <c r="Z32" i="20" s="1"/>
  <c r="A34" i="20"/>
  <c r="N33" i="20"/>
  <c r="Y33" i="20" s="1"/>
  <c r="A35" i="20"/>
  <c r="N34" i="20"/>
  <c r="A36" i="20"/>
  <c r="N35" i="20"/>
  <c r="Z35" i="20" s="1"/>
  <c r="A37" i="20"/>
  <c r="N36" i="20"/>
  <c r="Y36" i="20" s="1"/>
  <c r="A38" i="20"/>
  <c r="A39" i="20"/>
  <c r="A40" i="20"/>
  <c r="A41" i="20"/>
  <c r="A42" i="20"/>
  <c r="A43" i="20"/>
  <c r="A44" i="20"/>
  <c r="A45" i="20"/>
  <c r="A46" i="20"/>
  <c r="A47" i="20"/>
  <c r="A48" i="20"/>
  <c r="W62" i="20"/>
  <c r="A49" i="20"/>
  <c r="A50" i="20"/>
  <c r="C247" i="20" s="1"/>
  <c r="A51" i="20"/>
  <c r="A52" i="20"/>
  <c r="C29" i="20" s="1"/>
  <c r="A53" i="20"/>
  <c r="A54" i="20"/>
  <c r="A55" i="20"/>
  <c r="A56" i="20"/>
  <c r="A57" i="20"/>
  <c r="A58" i="20"/>
  <c r="A59" i="20"/>
  <c r="A60" i="20"/>
  <c r="A61" i="20"/>
  <c r="A62" i="20"/>
  <c r="A63" i="20"/>
  <c r="A64" i="20"/>
  <c r="A65" i="20"/>
  <c r="W70"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C87" i="20" s="1"/>
  <c r="A96" i="20"/>
  <c r="A97" i="20"/>
  <c r="A98" i="20"/>
  <c r="A99" i="20"/>
  <c r="A100" i="20"/>
  <c r="A101" i="20"/>
  <c r="A102" i="20"/>
  <c r="A103" i="20"/>
  <c r="C164" i="20" s="1"/>
  <c r="A104" i="20"/>
  <c r="A105" i="20"/>
  <c r="N117" i="20"/>
  <c r="Q117" i="20" s="1"/>
  <c r="A106" i="20"/>
  <c r="A107" i="20"/>
  <c r="A108" i="20"/>
  <c r="A109" i="20"/>
  <c r="A110" i="20"/>
  <c r="E247" i="20" s="1"/>
  <c r="A111" i="20"/>
  <c r="A112" i="20"/>
  <c r="A113" i="20"/>
  <c r="A114" i="20"/>
  <c r="A115" i="20"/>
  <c r="A116" i="20"/>
  <c r="C209" i="20" s="1"/>
  <c r="A117" i="20"/>
  <c r="C101" i="20" s="1"/>
  <c r="A118" i="20"/>
  <c r="A119" i="20"/>
  <c r="A120" i="20"/>
  <c r="A121" i="20"/>
  <c r="A122" i="20"/>
  <c r="A123" i="20"/>
  <c r="A124" i="20"/>
  <c r="A125" i="20"/>
  <c r="A126" i="20"/>
  <c r="A127" i="20"/>
  <c r="D127" i="20" s="1"/>
  <c r="A128" i="20"/>
  <c r="A129" i="20"/>
  <c r="A130" i="20"/>
  <c r="A131" i="20"/>
  <c r="A132" i="20"/>
  <c r="A133" i="20"/>
  <c r="A134" i="20"/>
  <c r="A135" i="20"/>
  <c r="A136" i="20"/>
  <c r="A137" i="20"/>
  <c r="A138" i="20"/>
  <c r="A139" i="20"/>
  <c r="A140" i="20"/>
  <c r="A141" i="20"/>
  <c r="A142" i="20"/>
  <c r="A143" i="20"/>
  <c r="A144" i="20"/>
  <c r="A145" i="20"/>
  <c r="A146" i="20"/>
  <c r="A149" i="20"/>
  <c r="A150" i="20"/>
  <c r="A151" i="20"/>
  <c r="A152"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A178" i="20"/>
  <c r="A179" i="20"/>
  <c r="A180" i="20"/>
  <c r="A181" i="20"/>
  <c r="A182" i="20"/>
  <c r="A183" i="20"/>
  <c r="A184" i="20"/>
  <c r="A185" i="20"/>
  <c r="A186" i="20"/>
  <c r="A187" i="20"/>
  <c r="A188" i="20"/>
  <c r="A189" i="20"/>
  <c r="A190" i="20"/>
  <c r="A191" i="20"/>
  <c r="A192" i="20"/>
  <c r="A193" i="20"/>
  <c r="A194" i="20"/>
  <c r="A195" i="20"/>
  <c r="A196" i="20"/>
  <c r="A19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A223" i="20"/>
  <c r="A224" i="20"/>
  <c r="A225" i="20"/>
  <c r="A226" i="20"/>
  <c r="A227" i="20"/>
  <c r="A228" i="20"/>
  <c r="A229" i="20"/>
  <c r="A230" i="20"/>
  <c r="A231" i="20"/>
  <c r="A232" i="20"/>
  <c r="A233" i="20"/>
  <c r="A234" i="20"/>
  <c r="A235" i="20"/>
  <c r="A236" i="20"/>
  <c r="A237" i="20"/>
  <c r="A238" i="20"/>
  <c r="A239" i="20"/>
  <c r="A240" i="20"/>
  <c r="A241" i="20"/>
  <c r="A242" i="20"/>
  <c r="A243" i="20"/>
  <c r="A244" i="20"/>
  <c r="A245" i="20"/>
  <c r="A246" i="20"/>
  <c r="A247" i="20"/>
  <c r="A248" i="20"/>
  <c r="A249" i="20"/>
  <c r="A250" i="20"/>
  <c r="A251" i="20"/>
  <c r="A252" i="20"/>
  <c r="A253" i="20"/>
  <c r="A254" i="20"/>
  <c r="A255" i="20"/>
  <c r="A256" i="20"/>
  <c r="A257" i="20"/>
  <c r="A258" i="20"/>
  <c r="A259" i="20"/>
  <c r="A260" i="20"/>
  <c r="A261" i="20"/>
  <c r="A262" i="20"/>
  <c r="A263" i="20"/>
  <c r="A264" i="20"/>
  <c r="A265" i="20"/>
  <c r="A266" i="20"/>
  <c r="A267" i="20"/>
  <c r="A268" i="20"/>
  <c r="A269" i="20"/>
  <c r="A270" i="20"/>
  <c r="A271" i="20"/>
  <c r="A272" i="20"/>
  <c r="A273" i="20"/>
  <c r="A274" i="20"/>
  <c r="A275" i="20"/>
  <c r="A276" i="20"/>
  <c r="A277" i="20"/>
  <c r="A278" i="20"/>
  <c r="A279" i="20"/>
  <c r="A280" i="20"/>
  <c r="A281" i="20"/>
  <c r="A282" i="20"/>
  <c r="A283" i="20"/>
  <c r="A284" i="20"/>
  <c r="A285" i="20"/>
  <c r="A286" i="20"/>
  <c r="A287" i="20"/>
  <c r="A288" i="20"/>
  <c r="A289" i="20"/>
  <c r="A290" i="20"/>
  <c r="A291" i="20"/>
  <c r="A292" i="20"/>
  <c r="A293" i="20"/>
  <c r="A294" i="20"/>
  <c r="A295" i="20"/>
  <c r="A296" i="20"/>
  <c r="G87" i="20" s="1"/>
  <c r="A297" i="20"/>
  <c r="A298" i="20"/>
  <c r="A299" i="20"/>
  <c r="A300" i="20"/>
  <c r="A301" i="20"/>
  <c r="A302" i="20"/>
  <c r="A303" i="20"/>
  <c r="A304" i="20"/>
  <c r="A305" i="20"/>
  <c r="A306" i="20"/>
  <c r="A307" i="20"/>
  <c r="A308" i="20"/>
  <c r="A309" i="20"/>
  <c r="A310" i="20"/>
  <c r="A311" i="20"/>
  <c r="A315" i="20"/>
  <c r="A316" i="20"/>
  <c r="A317" i="20"/>
  <c r="A318" i="20"/>
  <c r="AC76" i="23"/>
  <c r="AC77" i="23"/>
  <c r="AC78" i="23"/>
  <c r="AC79" i="23"/>
  <c r="AD80" i="23"/>
  <c r="AC81" i="23"/>
  <c r="AC82" i="23"/>
  <c r="AC99" i="23"/>
  <c r="D101" i="23"/>
  <c r="T101" i="23"/>
  <c r="AC56" i="22"/>
  <c r="AC57" i="22"/>
  <c r="AC58" i="22"/>
  <c r="AC59" i="22"/>
  <c r="AC60" i="22"/>
  <c r="AC61" i="22"/>
  <c r="AC62" i="22"/>
  <c r="AC63" i="22"/>
  <c r="AC64" i="22"/>
  <c r="AC65" i="22"/>
  <c r="AC66" i="22"/>
  <c r="AD75" i="22"/>
  <c r="H52" i="4"/>
  <c r="I52" i="4"/>
  <c r="M52" i="4"/>
  <c r="Q52" i="4"/>
  <c r="R52" i="4"/>
  <c r="F54" i="4"/>
  <c r="G54" i="4"/>
  <c r="H54" i="4"/>
  <c r="I54" i="4"/>
  <c r="J54" i="4"/>
  <c r="M54" i="4"/>
  <c r="P54" i="4"/>
  <c r="Q54" i="4"/>
  <c r="R54" i="4"/>
  <c r="S54" i="4"/>
  <c r="AB1" i="3"/>
  <c r="AA5" i="3"/>
  <c r="AM5" i="3"/>
  <c r="AN5" i="3"/>
  <c r="W5" i="3" s="1"/>
  <c r="AM6" i="3"/>
  <c r="AN6" i="3"/>
  <c r="R6" i="3" s="1"/>
  <c r="AM7" i="3"/>
  <c r="AN7" i="3"/>
  <c r="AO7" i="3" s="1"/>
  <c r="Q7" i="3" s="1"/>
  <c r="AM8" i="3"/>
  <c r="AN8" i="3"/>
  <c r="O8" i="3" s="1"/>
  <c r="AM9" i="3"/>
  <c r="AN9" i="3"/>
  <c r="W9" i="3" s="1"/>
  <c r="AM10" i="3"/>
  <c r="AN10" i="3"/>
  <c r="W10" i="3" s="1"/>
  <c r="AQ10" i="3"/>
  <c r="AM11" i="3"/>
  <c r="AN11" i="3"/>
  <c r="O11" i="3" s="1"/>
  <c r="AP11" i="3"/>
  <c r="D19" i="3"/>
  <c r="AO25" i="3"/>
  <c r="AO26" i="3"/>
  <c r="D38" i="3"/>
  <c r="E38" i="3"/>
  <c r="E40" i="3"/>
  <c r="D41" i="3"/>
  <c r="E41" i="3"/>
  <c r="D42" i="3"/>
  <c r="E42" i="3"/>
  <c r="S1" i="24"/>
  <c r="I5" i="23" s="1"/>
  <c r="D12" i="24"/>
  <c r="E12" i="24"/>
  <c r="D13" i="24"/>
  <c r="E13" i="24"/>
  <c r="D14" i="24"/>
  <c r="E14" i="24"/>
  <c r="L14" i="24"/>
  <c r="D15" i="24"/>
  <c r="E15" i="24"/>
  <c r="L15" i="24"/>
  <c r="D16" i="24"/>
  <c r="E16" i="24"/>
  <c r="L16" i="24"/>
  <c r="D17" i="24"/>
  <c r="E17" i="24"/>
  <c r="D18" i="24"/>
  <c r="E18" i="24"/>
  <c r="D19" i="24"/>
  <c r="E19" i="24"/>
  <c r="D20" i="24"/>
  <c r="E20" i="24"/>
  <c r="D21" i="24"/>
  <c r="E21" i="24"/>
  <c r="L24" i="24"/>
  <c r="L25" i="24"/>
  <c r="L26" i="24"/>
  <c r="L27" i="24"/>
  <c r="L28" i="24"/>
  <c r="L29" i="24"/>
  <c r="E31" i="24"/>
  <c r="E32" i="24"/>
  <c r="E44" i="24"/>
  <c r="E45" i="24"/>
  <c r="E46" i="24"/>
  <c r="J101" i="24"/>
  <c r="L101" i="24" s="1"/>
  <c r="J102" i="24"/>
  <c r="L102" i="24" s="1"/>
  <c r="J103" i="24"/>
  <c r="L103" i="24" s="1"/>
  <c r="J104" i="24"/>
  <c r="L104" i="24" s="1"/>
  <c r="J105" i="24"/>
  <c r="L105" i="24" s="1"/>
  <c r="J106" i="24"/>
  <c r="L106" i="24" s="1"/>
  <c r="A108" i="24"/>
  <c r="H108" i="24"/>
  <c r="B29" i="1"/>
  <c r="B30" i="1"/>
  <c r="M30" i="1"/>
  <c r="B31" i="1"/>
  <c r="B32" i="1"/>
  <c r="M32" i="1"/>
  <c r="B33" i="1"/>
  <c r="B34" i="1"/>
  <c r="B35" i="1"/>
  <c r="B36" i="1"/>
  <c r="B37" i="1"/>
  <c r="BK26" i="28"/>
  <c r="Z34" i="28"/>
  <c r="Z63" i="28"/>
  <c r="Z83" i="28"/>
  <c r="Z103" i="28"/>
  <c r="Z118" i="28"/>
  <c r="Z128" i="28"/>
  <c r="O154" i="28"/>
  <c r="P154" i="28"/>
  <c r="Q154" i="28"/>
  <c r="N155" i="28"/>
  <c r="O155" i="28"/>
  <c r="P155" i="28"/>
  <c r="Q155" i="28"/>
  <c r="C156" i="28"/>
  <c r="U156" i="28" s="1"/>
  <c r="N156" i="28"/>
  <c r="O156" i="28"/>
  <c r="P156" i="28"/>
  <c r="Q156" i="28"/>
  <c r="C157" i="28"/>
  <c r="U157" i="28" s="1"/>
  <c r="N157" i="28"/>
  <c r="O157" i="28"/>
  <c r="P157" i="28"/>
  <c r="Q157" i="28"/>
  <c r="C158" i="28"/>
  <c r="U158" i="28" s="1"/>
  <c r="N158" i="28"/>
  <c r="O158" i="28"/>
  <c r="P158" i="28"/>
  <c r="Q158" i="28"/>
  <c r="C159" i="28"/>
  <c r="U159" i="28" s="1"/>
  <c r="N159" i="28"/>
  <c r="O159" i="28"/>
  <c r="P159" i="28"/>
  <c r="Q159" i="28"/>
  <c r="C160" i="28"/>
  <c r="U160" i="28" s="1"/>
  <c r="N160" i="28"/>
  <c r="O160" i="28"/>
  <c r="P160" i="28"/>
  <c r="Q160" i="28"/>
  <c r="C161" i="28"/>
  <c r="U161" i="28" s="1"/>
  <c r="N161" i="28"/>
  <c r="O161" i="28"/>
  <c r="P161" i="28"/>
  <c r="Q161" i="28"/>
  <c r="C162" i="28"/>
  <c r="U162" i="28" s="1"/>
  <c r="N162" i="28"/>
  <c r="O162" i="28"/>
  <c r="P162" i="28"/>
  <c r="Q162" i="28"/>
  <c r="C163" i="28"/>
  <c r="U163" i="28" s="1"/>
  <c r="N163" i="28"/>
  <c r="O163" i="28"/>
  <c r="P163" i="28"/>
  <c r="Q163" i="28"/>
  <c r="C164" i="28"/>
  <c r="U164" i="28" s="1"/>
  <c r="N164" i="28"/>
  <c r="O164" i="28"/>
  <c r="P164" i="28"/>
  <c r="Q164" i="28"/>
  <c r="C165" i="28"/>
  <c r="U165" i="28" s="1"/>
  <c r="N165" i="28"/>
  <c r="O165" i="28"/>
  <c r="P165" i="28"/>
  <c r="Q165" i="28"/>
  <c r="C166" i="28"/>
  <c r="U166" i="28" s="1"/>
  <c r="N166" i="28"/>
  <c r="O166" i="28"/>
  <c r="P166" i="28"/>
  <c r="Q166" i="28"/>
  <c r="C167" i="28"/>
  <c r="U167" i="28" s="1"/>
  <c r="N167" i="28"/>
  <c r="O167" i="28"/>
  <c r="P167" i="28"/>
  <c r="Q167" i="28"/>
  <c r="C168" i="28"/>
  <c r="U168" i="28" s="1"/>
  <c r="N168" i="28"/>
  <c r="O168" i="28"/>
  <c r="P168" i="28"/>
  <c r="Q168" i="28"/>
  <c r="C169" i="28"/>
  <c r="U169" i="28" s="1"/>
  <c r="N169" i="28"/>
  <c r="O169" i="28"/>
  <c r="P169" i="28"/>
  <c r="Q169" i="28"/>
  <c r="C170" i="28"/>
  <c r="U170" i="28" s="1"/>
  <c r="N170" i="28"/>
  <c r="O170" i="28"/>
  <c r="P170" i="28"/>
  <c r="Q170" i="28"/>
  <c r="C171" i="28"/>
  <c r="U171" i="28" s="1"/>
  <c r="N171" i="28"/>
  <c r="O171" i="28"/>
  <c r="P171" i="28"/>
  <c r="Q171" i="28"/>
  <c r="Q174" i="28"/>
  <c r="A183" i="28" s="1"/>
  <c r="B269" i="28"/>
  <c r="M269" i="28"/>
  <c r="C269" i="28"/>
  <c r="T269" i="28" s="1"/>
  <c r="N269" i="28"/>
  <c r="O269" i="28"/>
  <c r="P269" i="28"/>
  <c r="B270" i="28"/>
  <c r="C270" i="28"/>
  <c r="T270" i="28" s="1"/>
  <c r="D270" i="28"/>
  <c r="M270" i="28"/>
  <c r="N270" i="28"/>
  <c r="O270" i="28"/>
  <c r="P270" i="28"/>
  <c r="B271" i="28"/>
  <c r="C271" i="28"/>
  <c r="T271" i="28" s="1"/>
  <c r="D271" i="28"/>
  <c r="M271" i="28"/>
  <c r="N271" i="28"/>
  <c r="O271" i="28"/>
  <c r="P271" i="28"/>
  <c r="B272" i="28"/>
  <c r="C272" i="28"/>
  <c r="T272" i="28" s="1"/>
  <c r="D272" i="28"/>
  <c r="M272" i="28"/>
  <c r="N272" i="28"/>
  <c r="O272" i="28"/>
  <c r="P272" i="28"/>
  <c r="B273" i="28"/>
  <c r="C273" i="28"/>
  <c r="T273" i="28" s="1"/>
  <c r="D273" i="28"/>
  <c r="M273" i="28"/>
  <c r="N273" i="28"/>
  <c r="O273" i="28"/>
  <c r="P273" i="28"/>
  <c r="B274" i="28"/>
  <c r="C274" i="28"/>
  <c r="T274" i="28" s="1"/>
  <c r="D274" i="28"/>
  <c r="M274" i="28"/>
  <c r="N274" i="28"/>
  <c r="O274" i="28"/>
  <c r="P274" i="28"/>
  <c r="B275" i="28"/>
  <c r="C275" i="28"/>
  <c r="T275" i="28" s="1"/>
  <c r="D275" i="28"/>
  <c r="M275" i="28"/>
  <c r="N275" i="28"/>
  <c r="O275" i="28"/>
  <c r="P275" i="28"/>
  <c r="B276" i="28"/>
  <c r="C276" i="28"/>
  <c r="T276" i="28" s="1"/>
  <c r="D276" i="28"/>
  <c r="M276" i="28"/>
  <c r="N276" i="28"/>
  <c r="O276" i="28"/>
  <c r="P276" i="28"/>
  <c r="B277" i="28"/>
  <c r="C277" i="28"/>
  <c r="T277" i="28" s="1"/>
  <c r="D277" i="28"/>
  <c r="M277" i="28"/>
  <c r="N277" i="28"/>
  <c r="O277" i="28"/>
  <c r="P277" i="28"/>
  <c r="B278" i="28"/>
  <c r="C278" i="28"/>
  <c r="T278" i="28" s="1"/>
  <c r="D278" i="28"/>
  <c r="M278" i="28"/>
  <c r="N278" i="28"/>
  <c r="O278" i="28"/>
  <c r="P278" i="28"/>
  <c r="BP162" i="14"/>
  <c r="BQ162" i="14"/>
  <c r="BP163" i="14"/>
  <c r="BQ163" i="14"/>
  <c r="BP164" i="14"/>
  <c r="BQ164" i="14"/>
  <c r="BP165" i="14"/>
  <c r="BQ165" i="14"/>
  <c r="BP166" i="14"/>
  <c r="BQ166" i="14"/>
  <c r="BP167" i="14"/>
  <c r="BQ167" i="14"/>
  <c r="BP168" i="14"/>
  <c r="BQ168" i="14"/>
  <c r="BP169" i="14"/>
  <c r="BQ169" i="14"/>
  <c r="BP170" i="14"/>
  <c r="BQ170" i="14"/>
  <c r="BP171" i="14"/>
  <c r="BQ171" i="14"/>
  <c r="BP172" i="14"/>
  <c r="BQ172" i="14"/>
  <c r="T257" i="14"/>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2" i="10"/>
  <c r="DH42" i="10" s="1"/>
  <c r="A43" i="10"/>
  <c r="DH43" i="10" s="1"/>
  <c r="CP43" i="10"/>
  <c r="CM43" i="10" s="1"/>
  <c r="A44" i="10"/>
  <c r="BZ44" i="10"/>
  <c r="A45" i="10"/>
  <c r="BZ45" i="10"/>
  <c r="A46" i="10"/>
  <c r="DH46" i="10" s="1"/>
  <c r="BZ46" i="10"/>
  <c r="A47" i="10"/>
  <c r="BZ47" i="10"/>
  <c r="CP47" i="10"/>
  <c r="CM47" i="10" s="1"/>
  <c r="A48" i="10"/>
  <c r="DH48" i="10" s="1"/>
  <c r="BZ48" i="10"/>
  <c r="A49" i="10"/>
  <c r="DH49" i="10" s="1"/>
  <c r="BZ49" i="10"/>
  <c r="CP49" i="10"/>
  <c r="CM49" i="10" s="1"/>
  <c r="A50" i="10"/>
  <c r="DH50" i="10" s="1"/>
  <c r="BZ50" i="10"/>
  <c r="A51" i="10"/>
  <c r="BZ51" i="10"/>
  <c r="A52" i="10"/>
  <c r="DH52" i="10" s="1"/>
  <c r="BZ52" i="10"/>
  <c r="A53" i="10"/>
  <c r="DH53" i="10" s="1"/>
  <c r="BZ53" i="10"/>
  <c r="CP53" i="10"/>
  <c r="CM53" i="10" s="1"/>
  <c r="A54" i="10"/>
  <c r="DH54" i="10" s="1"/>
  <c r="BZ54" i="10"/>
  <c r="CP54" i="10"/>
  <c r="CM54" i="10" s="1"/>
  <c r="A55" i="10"/>
  <c r="BZ55" i="10"/>
  <c r="A56" i="10"/>
  <c r="DH56" i="10" s="1"/>
  <c r="BZ56" i="10"/>
  <c r="A57" i="10"/>
  <c r="DH57" i="10" s="1"/>
  <c r="BZ57" i="10"/>
  <c r="CP57" i="10"/>
  <c r="CM57" i="10" s="1"/>
  <c r="A58" i="10"/>
  <c r="BZ58" i="10"/>
  <c r="A59" i="10"/>
  <c r="DH59" i="10" s="1"/>
  <c r="BZ59" i="10"/>
  <c r="A61" i="10"/>
  <c r="A62" i="10"/>
  <c r="A63" i="10"/>
  <c r="A64" i="10"/>
  <c r="A65" i="10"/>
  <c r="DH65" i="10" s="1"/>
  <c r="A66" i="10"/>
  <c r="DH66" i="10" s="1"/>
  <c r="A67" i="10"/>
  <c r="DH67" i="10" s="1"/>
  <c r="A68" i="10"/>
  <c r="DH68" i="10" s="1"/>
  <c r="A69" i="10"/>
  <c r="DH69" i="10" s="1"/>
  <c r="A70" i="10"/>
  <c r="DH70" i="10" s="1"/>
  <c r="A71" i="10"/>
  <c r="A73" i="10"/>
  <c r="DH73" i="10" s="1"/>
  <c r="A74" i="10"/>
  <c r="DH74" i="10" s="1"/>
  <c r="A75" i="10"/>
  <c r="A76" i="10"/>
  <c r="A77" i="10"/>
  <c r="DH77" i="10" s="1"/>
  <c r="CP77" i="10"/>
  <c r="CM77" i="10" s="1"/>
  <c r="A78" i="10"/>
  <c r="DH78" i="10" s="1"/>
  <c r="A79" i="10"/>
  <c r="CP79" i="10"/>
  <c r="CM79" i="10" s="1"/>
  <c r="A80" i="10"/>
  <c r="DH80" i="10" s="1"/>
  <c r="A82" i="10"/>
  <c r="A83" i="10"/>
  <c r="DH83" i="10" s="1"/>
  <c r="BZ83" i="10"/>
  <c r="A84" i="10"/>
  <c r="DH84" i="10" s="1"/>
  <c r="BZ84" i="10"/>
  <c r="A85" i="10"/>
  <c r="DH85" i="10" s="1"/>
  <c r="BZ85" i="10"/>
  <c r="A86" i="10"/>
  <c r="BZ86" i="10"/>
  <c r="A87" i="10"/>
  <c r="DH87" i="10" s="1"/>
  <c r="BZ87" i="10"/>
  <c r="A88" i="10"/>
  <c r="DH88" i="10" s="1"/>
  <c r="BZ88" i="10"/>
  <c r="A89" i="10"/>
  <c r="DH89" i="10" s="1"/>
  <c r="BZ89" i="10"/>
  <c r="A90" i="10"/>
  <c r="DH90" i="10" s="1"/>
  <c r="BZ90" i="10"/>
  <c r="A91" i="10"/>
  <c r="BZ91" i="10"/>
  <c r="A92" i="10"/>
  <c r="DH92" i="10" s="1"/>
  <c r="BZ92" i="10"/>
  <c r="A93" i="10"/>
  <c r="DH93" i="10" s="1"/>
  <c r="BZ93" i="10"/>
  <c r="A94" i="10"/>
  <c r="DH94" i="10" s="1"/>
  <c r="BZ94" i="10"/>
  <c r="A95" i="10"/>
  <c r="DH95" i="10" s="1"/>
  <c r="BZ95" i="10"/>
  <c r="A96" i="10"/>
  <c r="DH96" i="10" s="1"/>
  <c r="BZ96" i="10"/>
  <c r="A97" i="10"/>
  <c r="DH97" i="10" s="1"/>
  <c r="BZ97" i="10"/>
  <c r="A98" i="10"/>
  <c r="DH98" i="10" s="1"/>
  <c r="BZ98" i="10"/>
  <c r="A99" i="10"/>
  <c r="DH99" i="10" s="1"/>
  <c r="BZ99" i="10"/>
  <c r="A100" i="10"/>
  <c r="BZ100" i="10"/>
  <c r="A101" i="10"/>
  <c r="DH101" i="10" s="1"/>
  <c r="BZ101" i="10"/>
  <c r="A102" i="10"/>
  <c r="DH102" i="10" s="1"/>
  <c r="BZ102" i="10"/>
  <c r="A103" i="10"/>
  <c r="BZ103" i="10"/>
  <c r="A104" i="10"/>
  <c r="DH104" i="10" s="1"/>
  <c r="BZ104" i="10"/>
  <c r="A105" i="10"/>
  <c r="DH105" i="10" s="1"/>
  <c r="BZ105" i="10"/>
  <c r="A107" i="10"/>
  <c r="DH107" i="10" s="1"/>
  <c r="BZ107" i="10"/>
  <c r="A108" i="10"/>
  <c r="DH108" i="10" s="1"/>
  <c r="BZ108" i="10"/>
  <c r="A109" i="10"/>
  <c r="DH109" i="10" s="1"/>
  <c r="BZ109" i="10"/>
  <c r="A110" i="10"/>
  <c r="DH110" i="10" s="1"/>
  <c r="BZ110" i="10"/>
  <c r="A111" i="10"/>
  <c r="DH111" i="10" s="1"/>
  <c r="BZ111" i="10"/>
  <c r="A112" i="10"/>
  <c r="DH112" i="10" s="1"/>
  <c r="BZ112" i="10"/>
  <c r="A113" i="10"/>
  <c r="DH113" i="10" s="1"/>
  <c r="BZ113" i="10"/>
  <c r="A114" i="10"/>
  <c r="DH114" i="10" s="1"/>
  <c r="BZ114" i="10"/>
  <c r="A115" i="10"/>
  <c r="DH115" i="10" s="1"/>
  <c r="BZ115" i="10"/>
  <c r="A116" i="10"/>
  <c r="DH116" i="10" s="1"/>
  <c r="BZ116" i="10"/>
  <c r="A117" i="10"/>
  <c r="DH117" i="10" s="1"/>
  <c r="BZ117" i="10"/>
  <c r="A118" i="10"/>
  <c r="DH118" i="10" s="1"/>
  <c r="BZ118" i="10"/>
  <c r="A119" i="10"/>
  <c r="DH119" i="10" s="1"/>
  <c r="BZ119" i="10"/>
  <c r="A120" i="10"/>
  <c r="DH120" i="10" s="1"/>
  <c r="BZ120" i="10"/>
  <c r="A121" i="10"/>
  <c r="BZ121" i="10"/>
  <c r="A122" i="10"/>
  <c r="DH122" i="10" s="1"/>
  <c r="BZ122" i="10"/>
  <c r="A123" i="10"/>
  <c r="DH123" i="10" s="1"/>
  <c r="BZ123" i="10"/>
  <c r="A124" i="10"/>
  <c r="DH124" i="10" s="1"/>
  <c r="BZ124" i="10"/>
  <c r="A125" i="10"/>
  <c r="BZ125" i="10"/>
  <c r="A126" i="10"/>
  <c r="DH126" i="10" s="1"/>
  <c r="BZ126" i="10"/>
  <c r="A127" i="10"/>
  <c r="DH127" i="10" s="1"/>
  <c r="BZ127" i="10"/>
  <c r="A128" i="10"/>
  <c r="DH128" i="10" s="1"/>
  <c r="BZ128" i="10"/>
  <c r="A129" i="10"/>
  <c r="DH129" i="10" s="1"/>
  <c r="BZ129" i="10"/>
  <c r="A130" i="10"/>
  <c r="DH130" i="10" s="1"/>
  <c r="BZ130" i="10"/>
  <c r="A131" i="10"/>
  <c r="DH131" i="10" s="1"/>
  <c r="BZ131" i="10"/>
  <c r="A132" i="10"/>
  <c r="BZ132" i="10"/>
  <c r="A133" i="10"/>
  <c r="DH133" i="10" s="1"/>
  <c r="BZ133" i="10"/>
  <c r="A134" i="10"/>
  <c r="BZ134" i="10"/>
  <c r="A135" i="10"/>
  <c r="DH135" i="10" s="1"/>
  <c r="BZ135" i="10"/>
  <c r="A136" i="10"/>
  <c r="DH136" i="10" s="1"/>
  <c r="BZ136" i="10"/>
  <c r="A137" i="10"/>
  <c r="DH137" i="10" s="1"/>
  <c r="BZ137" i="10"/>
  <c r="A138" i="10"/>
  <c r="BZ138" i="10"/>
  <c r="CP138" i="10"/>
  <c r="CM138" i="10" s="1"/>
  <c r="A139" i="10"/>
  <c r="BZ139" i="10"/>
  <c r="A140" i="10"/>
  <c r="DH140" i="10" s="1"/>
  <c r="BZ140" i="10"/>
  <c r="A141" i="10"/>
  <c r="BZ141" i="10"/>
  <c r="CP141" i="10"/>
  <c r="CM141" i="10" s="1"/>
  <c r="A142" i="10"/>
  <c r="DH142" i="10" s="1"/>
  <c r="BZ142" i="10"/>
  <c r="A143" i="10"/>
  <c r="BZ143" i="10"/>
  <c r="A144" i="10"/>
  <c r="DH144" i="10" s="1"/>
  <c r="BZ144" i="10"/>
  <c r="A145" i="10"/>
  <c r="DH145" i="10" s="1"/>
  <c r="BZ145" i="10"/>
  <c r="A146" i="10"/>
  <c r="DH146" i="10" s="1"/>
  <c r="BZ146" i="10"/>
  <c r="A147" i="10"/>
  <c r="DH147" i="10" s="1"/>
  <c r="BZ147" i="10"/>
  <c r="A148" i="10"/>
  <c r="DH148" i="10" s="1"/>
  <c r="BZ148" i="10"/>
  <c r="A149" i="10"/>
  <c r="DH149" i="10" s="1"/>
  <c r="BZ149" i="10"/>
  <c r="A150" i="10"/>
  <c r="DH150" i="10" s="1"/>
  <c r="BZ150" i="10"/>
  <c r="A151" i="10"/>
  <c r="DH151" i="10" s="1"/>
  <c r="BZ151" i="10"/>
  <c r="A152" i="10"/>
  <c r="DH152" i="10" s="1"/>
  <c r="BZ152" i="10"/>
  <c r="A153" i="10"/>
  <c r="DH153" i="10" s="1"/>
  <c r="BZ153" i="10"/>
  <c r="A154" i="10"/>
  <c r="DH154" i="10" s="1"/>
  <c r="BZ154" i="10"/>
  <c r="A155" i="10"/>
  <c r="BZ155" i="10"/>
  <c r="A156" i="10"/>
  <c r="DH156" i="10" s="1"/>
  <c r="BZ156" i="10"/>
  <c r="A157" i="10"/>
  <c r="BZ157" i="10"/>
  <c r="CE165" i="10"/>
  <c r="W166" i="10"/>
  <c r="A177" i="10"/>
  <c r="BO177" i="10" s="1"/>
  <c r="A224" i="10"/>
  <c r="BO224" i="10" s="1"/>
  <c r="H14" i="18"/>
  <c r="N14" i="18"/>
  <c r="Z60" i="22" s="1"/>
  <c r="B119" i="18"/>
  <c r="AF119" i="18" s="1"/>
  <c r="C102" i="23"/>
  <c r="B120" i="18"/>
  <c r="AA120" i="18" s="1"/>
  <c r="B121" i="18"/>
  <c r="AI121" i="18" s="1"/>
  <c r="Q121" i="18"/>
  <c r="B122" i="18"/>
  <c r="AS122" i="18" s="1"/>
  <c r="B123" i="18"/>
  <c r="AP123" i="18" s="1"/>
  <c r="B124" i="18"/>
  <c r="AP124" i="18" s="1"/>
  <c r="B125" i="18"/>
  <c r="AJ125" i="18" s="1"/>
  <c r="B126" i="18"/>
  <c r="AN126" i="18" s="1"/>
  <c r="B127" i="18"/>
  <c r="H127" i="18" s="1"/>
  <c r="G102" i="23"/>
  <c r="P127" i="18"/>
  <c r="B128" i="18"/>
  <c r="Y128" i="18" s="1"/>
  <c r="H128" i="18"/>
  <c r="P128" i="18"/>
  <c r="B129" i="18"/>
  <c r="AA129" i="18" s="1"/>
  <c r="P129" i="18"/>
  <c r="B131" i="18"/>
  <c r="H131" i="18" s="1"/>
  <c r="B132" i="18"/>
  <c r="AP132" i="18" s="1"/>
  <c r="B133" i="18"/>
  <c r="I108" i="23"/>
  <c r="B134" i="18"/>
  <c r="Y134" i="18" s="1"/>
  <c r="B135" i="18"/>
  <c r="AK135" i="18" s="1"/>
  <c r="B136" i="18"/>
  <c r="I109" i="23"/>
  <c r="B137" i="18"/>
  <c r="N106" i="23"/>
  <c r="B138" i="18"/>
  <c r="N105" i="23"/>
  <c r="B139" i="18"/>
  <c r="N104" i="23"/>
  <c r="P151" i="18"/>
  <c r="Y151" i="18"/>
  <c r="P152" i="18"/>
  <c r="Y152" i="18"/>
  <c r="P154" i="18"/>
  <c r="Y154" i="18"/>
  <c r="P155" i="18"/>
  <c r="Y155" i="18"/>
  <c r="P156" i="18"/>
  <c r="Y156" i="18"/>
  <c r="P158" i="18"/>
  <c r="Y158" i="18"/>
  <c r="P159" i="18"/>
  <c r="Y159" i="18"/>
  <c r="J14" i="6"/>
  <c r="J15" i="6" s="1"/>
  <c r="J16" i="6" s="1"/>
  <c r="J17" i="6" s="1"/>
  <c r="J18" i="6" s="1"/>
  <c r="J19" i="6" s="1"/>
  <c r="J20" i="6" s="1"/>
  <c r="J21" i="6" s="1"/>
  <c r="J22" i="6" s="1"/>
  <c r="J23" i="6"/>
  <c r="K23" i="6" s="1"/>
  <c r="H27" i="6"/>
  <c r="H28" i="6"/>
  <c r="H30" i="6"/>
  <c r="H31" i="6"/>
  <c r="H32" i="6"/>
  <c r="H33" i="6"/>
  <c r="H34" i="6"/>
  <c r="H35" i="6"/>
  <c r="H36" i="6"/>
  <c r="H43" i="6"/>
  <c r="K43" i="6" s="1"/>
  <c r="J43" i="6" s="1"/>
  <c r="H45" i="6"/>
  <c r="K45" i="6" s="1"/>
  <c r="J45" i="6" s="1"/>
  <c r="H46" i="6"/>
  <c r="K46" i="6" s="1"/>
  <c r="J46" i="6" s="1"/>
  <c r="H47" i="6"/>
  <c r="K47" i="6" s="1"/>
  <c r="J47" i="6" s="1"/>
  <c r="H48" i="6"/>
  <c r="K48" i="6" s="1"/>
  <c r="J48" i="6" s="1"/>
  <c r="I48" i="6"/>
  <c r="M48" i="6" s="1"/>
  <c r="H49" i="6"/>
  <c r="K49" i="6" s="1"/>
  <c r="J49" i="6" s="1"/>
  <c r="H50" i="6"/>
  <c r="K50" i="6" s="1"/>
  <c r="J50" i="6" s="1"/>
  <c r="H51" i="6"/>
  <c r="K51" i="6" s="1"/>
  <c r="J51" i="6" s="1"/>
  <c r="I51" i="6"/>
  <c r="M51" i="6" s="1"/>
  <c r="K68" i="6"/>
  <c r="K69" i="6"/>
  <c r="H86" i="6"/>
  <c r="N4" i="18" s="1"/>
  <c r="S11" i="3"/>
  <c r="R11" i="3"/>
  <c r="K11" i="3"/>
  <c r="H11" i="3"/>
  <c r="G11" i="3"/>
  <c r="S10" i="3"/>
  <c r="R10" i="3"/>
  <c r="K10" i="3"/>
  <c r="H10" i="3"/>
  <c r="G10" i="3"/>
  <c r="S8" i="3"/>
  <c r="R8" i="3"/>
  <c r="K8" i="3"/>
  <c r="H8" i="3"/>
  <c r="G8" i="3"/>
  <c r="K6" i="3"/>
  <c r="R5" i="3"/>
  <c r="O54" i="3" s="1"/>
  <c r="K5" i="3"/>
  <c r="G5" i="3"/>
  <c r="DQ3" i="7"/>
  <c r="DR3" i="7"/>
  <c r="I49" i="6"/>
  <c r="M49" i="6" s="1"/>
  <c r="I50" i="6"/>
  <c r="M50" i="6" s="1"/>
  <c r="E22" i="24"/>
  <c r="D22" i="24"/>
  <c r="A359" i="27"/>
  <c r="N108" i="23"/>
  <c r="D40" i="3"/>
  <c r="Z80" i="23"/>
  <c r="K247" i="14"/>
  <c r="P247" i="14" s="1"/>
  <c r="BC166" i="10"/>
  <c r="BD166" i="10"/>
  <c r="BE166" i="10"/>
  <c r="X166" i="10"/>
  <c r="AC166" i="10"/>
  <c r="Y166" i="10"/>
  <c r="AD166" i="10"/>
  <c r="Z166" i="10"/>
  <c r="AE166" i="10"/>
  <c r="AA166" i="10"/>
  <c r="AB166" i="10"/>
  <c r="P174" i="14"/>
  <c r="AW166" i="10"/>
  <c r="AU166" i="10"/>
  <c r="AT166" i="10"/>
  <c r="AQ5" i="3"/>
  <c r="K34" i="6"/>
  <c r="J34" i="6" s="1"/>
  <c r="P126" i="18"/>
  <c r="P124" i="18"/>
  <c r="Q126" i="18"/>
  <c r="P120" i="18"/>
  <c r="C108" i="23"/>
  <c r="C106" i="23"/>
  <c r="P122" i="18"/>
  <c r="C103" i="23"/>
  <c r="P125" i="18"/>
  <c r="P123" i="18"/>
  <c r="Q122" i="18"/>
  <c r="Q120" i="18"/>
  <c r="N103" i="23"/>
  <c r="N102" i="23"/>
  <c r="C109" i="23"/>
  <c r="Q125" i="18"/>
  <c r="Q119" i="18"/>
  <c r="Q123" i="18"/>
  <c r="P205" i="14"/>
  <c r="K243" i="14"/>
  <c r="P243" i="14" s="1"/>
  <c r="K244" i="14"/>
  <c r="CG105" i="10"/>
  <c r="DB105" i="10" s="1"/>
  <c r="CG103" i="10"/>
  <c r="DB103" i="10" s="1"/>
  <c r="CG101" i="10"/>
  <c r="DB101" i="10" s="1"/>
  <c r="CG99" i="10"/>
  <c r="DB99" i="10" s="1"/>
  <c r="CG97" i="10"/>
  <c r="DB97" i="10" s="1"/>
  <c r="CG95" i="10"/>
  <c r="DB95" i="10" s="1"/>
  <c r="CG93" i="10"/>
  <c r="CG91" i="10"/>
  <c r="DB91" i="10" s="1"/>
  <c r="CG89" i="10"/>
  <c r="DB89" i="10" s="1"/>
  <c r="CG87" i="10"/>
  <c r="DB87" i="10" s="1"/>
  <c r="CG85" i="10"/>
  <c r="DB85" i="10" s="1"/>
  <c r="CG83" i="10"/>
  <c r="CG82" i="10"/>
  <c r="CG104" i="10"/>
  <c r="CG102" i="10"/>
  <c r="DB102" i="10" s="1"/>
  <c r="CG100" i="10"/>
  <c r="DB100" i="10" s="1"/>
  <c r="CG98" i="10"/>
  <c r="DB98" i="10" s="1"/>
  <c r="CG96" i="10"/>
  <c r="DB96" i="10" s="1"/>
  <c r="CG94" i="10"/>
  <c r="CG92" i="10"/>
  <c r="CG90" i="10"/>
  <c r="DB90" i="10" s="1"/>
  <c r="CG88" i="10"/>
  <c r="DB88" i="10" s="1"/>
  <c r="CG86" i="10"/>
  <c r="CG84" i="10"/>
  <c r="DB84" i="10" s="1"/>
  <c r="D269" i="28"/>
  <c r="C155" i="28"/>
  <c r="U155" i="28" s="1"/>
  <c r="AM20" i="3"/>
  <c r="AN20" i="3" s="1"/>
  <c r="AU20" i="3"/>
  <c r="AS20" i="3"/>
  <c r="H20" i="3"/>
  <c r="AU19" i="3"/>
  <c r="AS19" i="3"/>
  <c r="H19" i="3"/>
  <c r="AW34" i="3"/>
  <c r="K34" i="3"/>
  <c r="AM34" i="3"/>
  <c r="F34" i="3"/>
  <c r="AM33" i="3"/>
  <c r="AV33" i="3"/>
  <c r="H33" i="3" s="1"/>
  <c r="H25" i="3"/>
  <c r="D33" i="3"/>
  <c r="AN33" i="3"/>
  <c r="AT25" i="3"/>
  <c r="AS18" i="3"/>
  <c r="H18" i="3"/>
  <c r="AU17" i="3"/>
  <c r="S17" i="3" s="1"/>
  <c r="AM17" i="3"/>
  <c r="D20" i="3"/>
  <c r="D18" i="3"/>
  <c r="FF94" i="7"/>
  <c r="D155" i="28"/>
  <c r="AS17" i="3"/>
  <c r="H17" i="3" s="1"/>
  <c r="I26" i="3"/>
  <c r="L26" i="3"/>
  <c r="AQ7" i="3"/>
  <c r="CA43" i="10"/>
  <c r="CA42" i="10"/>
  <c r="G9" i="3"/>
  <c r="K9" i="3"/>
  <c r="S9" i="3"/>
  <c r="AP9" i="3"/>
  <c r="AP7" i="3"/>
  <c r="S7" i="3"/>
  <c r="AQ11" i="3"/>
  <c r="AP10" i="3"/>
  <c r="AO9" i="3"/>
  <c r="Q9" i="3" s="1"/>
  <c r="AO8" i="3"/>
  <c r="AR8" i="3" s="1"/>
  <c r="AQ9" i="3"/>
  <c r="AP8" i="3"/>
  <c r="I43" i="6"/>
  <c r="M43" i="6" s="1"/>
  <c r="H44" i="6"/>
  <c r="K44" i="6" s="1"/>
  <c r="J44" i="6" s="1"/>
  <c r="M15" i="33"/>
  <c r="H7" i="3"/>
  <c r="AP5" i="3"/>
  <c r="V99" i="33"/>
  <c r="B85" i="22"/>
  <c r="M85" i="22" s="1"/>
  <c r="A15" i="33"/>
  <c r="AO6" i="3"/>
  <c r="G6" i="3"/>
  <c r="AQ6" i="3"/>
  <c r="AP6" i="3"/>
  <c r="W6" i="3"/>
  <c r="AN25" i="3"/>
  <c r="AM25" i="3"/>
  <c r="H25" i="6"/>
  <c r="BQ180" i="10"/>
  <c r="A179" i="10"/>
  <c r="BO179" i="10" s="1"/>
  <c r="A180" i="10"/>
  <c r="CG180" i="10" s="1"/>
  <c r="BQ181" i="10"/>
  <c r="BQ182" i="10" s="1"/>
  <c r="DA14" i="10"/>
  <c r="K32" i="6"/>
  <c r="J32" i="6" s="1"/>
  <c r="K33" i="6"/>
  <c r="J33" i="6" s="1"/>
  <c r="H26" i="6"/>
  <c r="K31" i="6"/>
  <c r="J31" i="6" s="1"/>
  <c r="K30" i="6"/>
  <c r="J30" i="6" s="1"/>
  <c r="F742" i="32"/>
  <c r="A388" i="27"/>
  <c r="A392" i="27"/>
  <c r="A433" i="27"/>
  <c r="A476" i="27"/>
  <c r="F709" i="32"/>
  <c r="F751" i="32"/>
  <c r="A352" i="27"/>
  <c r="DU3" i="7"/>
  <c r="A537" i="27"/>
  <c r="A432" i="27"/>
  <c r="G164" i="14"/>
  <c r="G163" i="14"/>
  <c r="G162" i="14"/>
  <c r="P162" i="14"/>
  <c r="U149" i="18"/>
  <c r="Q124" i="18"/>
  <c r="I107" i="23"/>
  <c r="Y157" i="18"/>
  <c r="Y153" i="18"/>
  <c r="G104" i="23"/>
  <c r="C104" i="23"/>
  <c r="Y150" i="18"/>
  <c r="P121" i="18"/>
  <c r="G103" i="23"/>
  <c r="C107" i="23"/>
  <c r="P119" i="18"/>
  <c r="C105" i="23"/>
  <c r="N109" i="23"/>
  <c r="O132" i="18"/>
  <c r="U118" i="18"/>
  <c r="H42" i="6"/>
  <c r="K42" i="6" s="1"/>
  <c r="J42" i="6" s="1"/>
  <c r="AQ16" i="33"/>
  <c r="DA43" i="10"/>
  <c r="BG33" i="18"/>
  <c r="AN61" i="14"/>
  <c r="AN65" i="14"/>
  <c r="AN69" i="14"/>
  <c r="AP26" i="28"/>
  <c r="P91" i="6"/>
  <c r="AN27" i="33"/>
  <c r="AQ27" i="33"/>
  <c r="AA122" i="33"/>
  <c r="AA121" i="33"/>
  <c r="AA119" i="33"/>
  <c r="AA118" i="33"/>
  <c r="AE121" i="33"/>
  <c r="AD118" i="33"/>
  <c r="AE118" i="33"/>
  <c r="AD119" i="33"/>
  <c r="AD121" i="33"/>
  <c r="AM205" i="14"/>
  <c r="CF61" i="14"/>
  <c r="CF62" i="14" s="1"/>
  <c r="CF63" i="14" s="1"/>
  <c r="CF64" i="14" s="1"/>
  <c r="CF65" i="14" s="1"/>
  <c r="CF66" i="14" s="1"/>
  <c r="CF67" i="14" s="1"/>
  <c r="CF68" i="14" s="1"/>
  <c r="CF69" i="14" s="1"/>
  <c r="CF70" i="14" s="1"/>
  <c r="CF71" i="14" s="1"/>
  <c r="CF72" i="14" s="1"/>
  <c r="CF73" i="14" s="1"/>
  <c r="CF74" i="14" s="1"/>
  <c r="CF75" i="14" s="1"/>
  <c r="CF76" i="14" s="1"/>
  <c r="CF77" i="14" s="1"/>
  <c r="CF78" i="14" s="1"/>
  <c r="CF79" i="14" s="1"/>
  <c r="CF80" i="14" s="1"/>
  <c r="CF81" i="14" s="1"/>
  <c r="CF82" i="14" s="1"/>
  <c r="CF83" i="14" s="1"/>
  <c r="CF84" i="14" s="1"/>
  <c r="CF85" i="14" s="1"/>
  <c r="CF86" i="14" s="1"/>
  <c r="CF87" i="14" s="1"/>
  <c r="CF88" i="14" s="1"/>
  <c r="CF89" i="14" s="1"/>
  <c r="CF90" i="14" s="1"/>
  <c r="CF91" i="14" s="1"/>
  <c r="CF92" i="14" s="1"/>
  <c r="CF93" i="14" s="1"/>
  <c r="CF94" i="14" s="1"/>
  <c r="CF95" i="14" s="1"/>
  <c r="CF96" i="14" s="1"/>
  <c r="CF97" i="14" s="1"/>
  <c r="CF98" i="14" s="1"/>
  <c r="CF99" i="14" s="1"/>
  <c r="CF100" i="14" s="1"/>
  <c r="CF101" i="14" s="1"/>
  <c r="CF102" i="14" s="1"/>
  <c r="CF103" i="14" s="1"/>
  <c r="CF104" i="14" s="1"/>
  <c r="CF105" i="14" s="1"/>
  <c r="CF106" i="14" s="1"/>
  <c r="CF107" i="14" s="1"/>
  <c r="CF108" i="14" s="1"/>
  <c r="CF109" i="14" s="1"/>
  <c r="CF110" i="14" s="1"/>
  <c r="CF111" i="14" s="1"/>
  <c r="CF112" i="14" s="1"/>
  <c r="CF113" i="14" s="1"/>
  <c r="CF114" i="14" s="1"/>
  <c r="CF115" i="14" s="1"/>
  <c r="CF116" i="14" s="1"/>
  <c r="CF117" i="14" s="1"/>
  <c r="CF118" i="14" s="1"/>
  <c r="CF119" i="14" s="1"/>
  <c r="CF120" i="14" s="1"/>
  <c r="CF121" i="14" s="1"/>
  <c r="CF122" i="14" s="1"/>
  <c r="CF123" i="14" s="1"/>
  <c r="CF124" i="14" s="1"/>
  <c r="CF125" i="14" s="1"/>
  <c r="CF126" i="14" s="1"/>
  <c r="CF127" i="14" s="1"/>
  <c r="CF128" i="14" s="1"/>
  <c r="CF129" i="14" s="1"/>
  <c r="CF130" i="14" s="1"/>
  <c r="CF131" i="14" s="1"/>
  <c r="CF132" i="14" s="1"/>
  <c r="CF133" i="14" s="1"/>
  <c r="CF134" i="14" s="1"/>
  <c r="CF135" i="14" s="1"/>
  <c r="CF136" i="14" s="1"/>
  <c r="CF137" i="14" s="1"/>
  <c r="CF138" i="14" s="1"/>
  <c r="CF139" i="14" s="1"/>
  <c r="CF140" i="14" s="1"/>
  <c r="CF141" i="14" s="1"/>
  <c r="CF142" i="14" s="1"/>
  <c r="CF143" i="14" s="1"/>
  <c r="CF144" i="14" s="1"/>
  <c r="CF145" i="14" s="1"/>
  <c r="CF146" i="14" s="1"/>
  <c r="CF147" i="14" s="1"/>
  <c r="CF148" i="14" s="1"/>
  <c r="CF149" i="14" s="1"/>
  <c r="CF150" i="14" s="1"/>
  <c r="CF151" i="14" s="1"/>
  <c r="CF152" i="14" s="1"/>
  <c r="CF153" i="14" s="1"/>
  <c r="CF154" i="14" s="1"/>
  <c r="CF155" i="14" s="1"/>
  <c r="CF156" i="14" s="1"/>
  <c r="CF157" i="14" s="1"/>
  <c r="CF158" i="14" s="1"/>
  <c r="CF159" i="14" s="1"/>
  <c r="CF160" i="14" s="1"/>
  <c r="CF162" i="14" s="1"/>
  <c r="CF163" i="14" s="1"/>
  <c r="CF164" i="14" s="1"/>
  <c r="CF165" i="14" s="1"/>
  <c r="CF166" i="14" s="1"/>
  <c r="CF167" i="14" s="1"/>
  <c r="CF168" i="14" s="1"/>
  <c r="CF169" i="14" s="1"/>
  <c r="CF170" i="14" s="1"/>
  <c r="CF171" i="14" s="1"/>
  <c r="CF172" i="14" s="1"/>
  <c r="Q61" i="14"/>
  <c r="Q67" i="14"/>
  <c r="Q71" i="14"/>
  <c r="AN76" i="14"/>
  <c r="AN84" i="14"/>
  <c r="AN89" i="14"/>
  <c r="K250" i="14"/>
  <c r="E79" i="22"/>
  <c r="I79" i="22"/>
  <c r="Z131" i="33"/>
  <c r="AU110" i="33"/>
  <c r="AU111" i="33" s="1"/>
  <c r="AU112" i="33" s="1"/>
  <c r="AU113" i="33" s="1"/>
  <c r="AU114" i="33" s="1"/>
  <c r="AU115" i="33" s="1"/>
  <c r="AU116" i="33" s="1"/>
  <c r="AU117" i="33" s="1"/>
  <c r="N205" i="14"/>
  <c r="V122" i="33"/>
  <c r="K59" i="6"/>
  <c r="K60" i="6"/>
  <c r="K61" i="6"/>
  <c r="K56" i="6"/>
  <c r="K62" i="6"/>
  <c r="G62" i="6" s="1"/>
  <c r="K63" i="6"/>
  <c r="G63" i="6" s="1"/>
  <c r="F735" i="32"/>
  <c r="F692" i="32"/>
  <c r="F766" i="32"/>
  <c r="F724" i="32"/>
  <c r="F708" i="32"/>
  <c r="F757" i="32"/>
  <c r="IK638" i="15"/>
  <c r="A638" i="15" s="1"/>
  <c r="IK601" i="15"/>
  <c r="A601" i="15" s="1"/>
  <c r="HI45" i="7"/>
  <c r="HJ19" i="7"/>
  <c r="HI8" i="7"/>
  <c r="HJ12" i="7"/>
  <c r="A189" i="17"/>
  <c r="F719" i="32"/>
  <c r="F691" i="32"/>
  <c r="F756" i="32"/>
  <c r="F741" i="32"/>
  <c r="F701" i="32"/>
  <c r="F702" i="32"/>
  <c r="F767" i="32"/>
  <c r="F740" i="32"/>
  <c r="F725" i="32"/>
  <c r="F739" i="32"/>
  <c r="F731" i="32"/>
  <c r="F689" i="32"/>
  <c r="F706" i="32"/>
  <c r="F722" i="32"/>
  <c r="F738" i="32"/>
  <c r="F754" i="32"/>
  <c r="F770" i="32"/>
  <c r="F696" i="32"/>
  <c r="F713" i="32"/>
  <c r="F729" i="32"/>
  <c r="F745" i="32"/>
  <c r="F761" i="32"/>
  <c r="F695" i="32"/>
  <c r="F712" i="32"/>
  <c r="F728" i="32"/>
  <c r="A778" i="27"/>
  <c r="F744" i="32"/>
  <c r="F760" i="32"/>
  <c r="F690" i="32"/>
  <c r="F755" i="32"/>
  <c r="F718" i="32"/>
  <c r="F693" i="32"/>
  <c r="F758" i="32"/>
  <c r="F686" i="32"/>
  <c r="F715" i="32"/>
  <c r="F697" i="32"/>
  <c r="F714" i="32"/>
  <c r="F730" i="32"/>
  <c r="F746" i="32"/>
  <c r="F762" i="32"/>
  <c r="F688" i="32"/>
  <c r="F704" i="32"/>
  <c r="F721" i="32"/>
  <c r="F737" i="32"/>
  <c r="F753" i="32"/>
  <c r="F769" i="32"/>
  <c r="F687" i="32"/>
  <c r="F703" i="32"/>
  <c r="F720" i="32"/>
  <c r="F736" i="32"/>
  <c r="F752" i="32"/>
  <c r="F768" i="32"/>
  <c r="F723" i="32"/>
  <c r="F685" i="32"/>
  <c r="F750" i="32"/>
  <c r="F726" i="32"/>
  <c r="F747" i="32"/>
  <c r="F705" i="32"/>
  <c r="F694" i="32"/>
  <c r="F711" i="32"/>
  <c r="F727" i="32"/>
  <c r="F743" i="32"/>
  <c r="F759" i="32"/>
  <c r="F683" i="32"/>
  <c r="F699" i="32"/>
  <c r="F716" i="32"/>
  <c r="F732" i="32"/>
  <c r="F748" i="32"/>
  <c r="F764" i="32"/>
  <c r="F684" i="32"/>
  <c r="F700" i="32"/>
  <c r="F717" i="32"/>
  <c r="F733" i="32"/>
  <c r="F749" i="32"/>
  <c r="F765" i="32"/>
  <c r="F707" i="32"/>
  <c r="F771" i="32"/>
  <c r="F734" i="32"/>
  <c r="F710" i="32"/>
  <c r="F682" i="32"/>
  <c r="F763" i="32"/>
  <c r="AD79" i="22"/>
  <c r="HJ60" i="7"/>
  <c r="HJ30" i="7"/>
  <c r="HJ89" i="7"/>
  <c r="HJ33" i="7"/>
  <c r="HI33" i="7"/>
  <c r="HI80" i="7"/>
  <c r="HJ80" i="7"/>
  <c r="HJ75" i="7"/>
  <c r="HI75" i="7"/>
  <c r="HJ54" i="7"/>
  <c r="HI54" i="7"/>
  <c r="HJ51" i="7"/>
  <c r="HI51" i="7"/>
  <c r="HI28" i="7"/>
  <c r="HJ61" i="7"/>
  <c r="HI61" i="7"/>
  <c r="HI31" i="7"/>
  <c r="HJ31" i="7"/>
  <c r="AJ66" i="7"/>
  <c r="AJ79" i="7"/>
  <c r="AJ52" i="7"/>
  <c r="HJ6" i="7"/>
  <c r="HJ83" i="7"/>
  <c r="HJ26" i="7"/>
  <c r="HJ37" i="7"/>
  <c r="HI14" i="7"/>
  <c r="HJ14" i="7"/>
  <c r="AK121" i="18"/>
  <c r="HJ92" i="7"/>
  <c r="HI74" i="7"/>
  <c r="HJ43" i="7"/>
  <c r="HI43" i="7"/>
  <c r="HI34" i="7"/>
  <c r="HJ34" i="7"/>
  <c r="HI55" i="7"/>
  <c r="HJ52" i="7"/>
  <c r="HI52" i="7"/>
  <c r="AJ61" i="7"/>
  <c r="AJ77" i="7"/>
  <c r="AJ57" i="7"/>
  <c r="AB121" i="18"/>
  <c r="HI84" i="7"/>
  <c r="HI38" i="7"/>
  <c r="HI82" i="7"/>
  <c r="HJ36" i="7"/>
  <c r="HJ32" i="7"/>
  <c r="HI32" i="7"/>
  <c r="HJ4" i="7"/>
  <c r="HI4" i="7"/>
  <c r="HI17" i="7"/>
  <c r="HI16" i="7"/>
  <c r="HI57" i="7"/>
  <c r="HJ48" i="7"/>
  <c r="HI48" i="7"/>
  <c r="HI25" i="7"/>
  <c r="HI62" i="7"/>
  <c r="HJ62" i="7"/>
  <c r="HJ53" i="7"/>
  <c r="HI53" i="7"/>
  <c r="A371" i="27"/>
  <c r="A420" i="27"/>
  <c r="A577" i="27"/>
  <c r="A405" i="27"/>
  <c r="A504" i="27"/>
  <c r="A499" i="27"/>
  <c r="A495" i="27"/>
  <c r="A518" i="27"/>
  <c r="A484" i="27"/>
  <c r="A618" i="27"/>
  <c r="A449" i="27"/>
  <c r="A573" i="27"/>
  <c r="A533" i="27"/>
  <c r="A473" i="27"/>
  <c r="A611" i="27"/>
  <c r="A422" i="27"/>
  <c r="A367" i="27"/>
  <c r="A491" i="27"/>
  <c r="A447" i="27"/>
  <c r="A408" i="27"/>
  <c r="A401" i="27"/>
  <c r="D195" i="14"/>
  <c r="D194" i="14"/>
  <c r="D193" i="14"/>
  <c r="D192" i="14"/>
  <c r="D191" i="14"/>
  <c r="D190" i="14"/>
  <c r="D189" i="14"/>
  <c r="D188" i="14"/>
  <c r="D187" i="14"/>
  <c r="D186" i="14"/>
  <c r="K64" i="6"/>
  <c r="K65" i="6"/>
  <c r="K67" i="6"/>
  <c r="K66" i="6"/>
  <c r="O71" i="22"/>
  <c r="AB71" i="22" s="1"/>
  <c r="O70" i="22"/>
  <c r="X70" i="22" s="1"/>
  <c r="AU123" i="33"/>
  <c r="AU124" i="33" s="1"/>
  <c r="AF116" i="33"/>
  <c r="AF117" i="33" s="1"/>
  <c r="M110" i="33"/>
  <c r="M111" i="33"/>
  <c r="M16" i="33"/>
  <c r="AE119" i="33"/>
  <c r="AC124" i="18"/>
  <c r="A116" i="33"/>
  <c r="M112" i="33"/>
  <c r="M113" i="33"/>
  <c r="M114" i="33"/>
  <c r="M115" i="33"/>
  <c r="M117" i="33"/>
  <c r="M116" i="33"/>
  <c r="L76" i="22"/>
  <c r="X76" i="22"/>
  <c r="AH121" i="18"/>
  <c r="AE121" i="18"/>
  <c r="Q36" i="20"/>
  <c r="AH141" i="7"/>
  <c r="I78" i="22"/>
  <c r="X78" i="22"/>
  <c r="Y124" i="18"/>
  <c r="AH124" i="18"/>
  <c r="AG124" i="18"/>
  <c r="DH139" i="10"/>
  <c r="N107" i="24"/>
  <c r="AB132" i="18"/>
  <c r="I45" i="6"/>
  <c r="M45" i="6" s="1"/>
  <c r="I46" i="6"/>
  <c r="M46" i="6" s="1"/>
  <c r="I47" i="6"/>
  <c r="M47" i="6" s="1"/>
  <c r="I44" i="6"/>
  <c r="M44" i="6" s="1"/>
  <c r="AN18" i="3"/>
  <c r="K237" i="14"/>
  <c r="R237" i="14" s="1"/>
  <c r="AM26" i="3"/>
  <c r="H26" i="3"/>
  <c r="I42" i="6"/>
  <c r="M42" i="6" s="1"/>
  <c r="N25" i="3"/>
  <c r="N26" i="3"/>
  <c r="I25" i="3"/>
  <c r="L25" i="3"/>
  <c r="Q40" i="20"/>
  <c r="Q37" i="20"/>
  <c r="Q43" i="20"/>
  <c r="Q119" i="20"/>
  <c r="Q116" i="20"/>
  <c r="Q108" i="20"/>
  <c r="T200" i="20"/>
  <c r="Q115" i="20"/>
  <c r="Y135" i="18"/>
  <c r="AH135" i="18"/>
  <c r="AL135" i="18"/>
  <c r="AM135" i="18"/>
  <c r="AG132" i="18"/>
  <c r="AC135" i="18"/>
  <c r="Y132" i="18"/>
  <c r="AM132" i="18"/>
  <c r="H29" i="6"/>
  <c r="AJ135" i="18"/>
  <c r="AN135" i="18"/>
  <c r="DH86" i="10"/>
  <c r="AH145" i="7"/>
  <c r="AH130" i="7"/>
  <c r="AH115" i="7"/>
  <c r="AH143" i="7"/>
  <c r="AH146" i="7"/>
  <c r="AH118" i="7"/>
  <c r="AH136" i="7"/>
  <c r="AH120" i="7"/>
  <c r="AH131" i="7"/>
  <c r="AH122" i="7"/>
  <c r="DH45" i="10"/>
  <c r="R31" i="3"/>
  <c r="AI2" i="43" s="1"/>
  <c r="B5" i="44"/>
  <c r="M5" i="44" s="1"/>
  <c r="AB126" i="18"/>
  <c r="DH62" i="10"/>
  <c r="AA121" i="18"/>
  <c r="Z31" i="20"/>
  <c r="AD121" i="18"/>
  <c r="DH141" i="10"/>
  <c r="X73" i="22"/>
  <c r="AB77" i="22"/>
  <c r="AA124" i="18"/>
  <c r="AJ124" i="18"/>
  <c r="Y43" i="20"/>
  <c r="Z43" i="20"/>
  <c r="B4" i="44"/>
  <c r="M4" i="44" s="1"/>
  <c r="C4" i="44"/>
  <c r="P244" i="14"/>
  <c r="N244" i="14"/>
  <c r="Y29" i="20"/>
  <c r="C8" i="44"/>
  <c r="P246" i="14"/>
  <c r="R241" i="14"/>
  <c r="K241" i="14"/>
  <c r="G7" i="3" l="1"/>
  <c r="H9" i="3"/>
  <c r="AO11" i="3"/>
  <c r="C11" i="3" s="1"/>
  <c r="AO10" i="3"/>
  <c r="Q10" i="3" s="1"/>
  <c r="K7" i="3"/>
  <c r="R9" i="3"/>
  <c r="R7" i="3"/>
  <c r="AY17" i="33"/>
  <c r="O5" i="10"/>
  <c r="W110" i="18"/>
  <c r="EX90" i="35"/>
  <c r="B7" i="6"/>
  <c r="B6" i="6"/>
  <c r="P9" i="6"/>
  <c r="Q34" i="15" s="1"/>
  <c r="U5" i="6"/>
  <c r="C9" i="6"/>
  <c r="P6" i="6"/>
  <c r="C6" i="6"/>
  <c r="A687" i="27"/>
  <c r="A524" i="27"/>
  <c r="A525" i="27"/>
  <c r="A650" i="27"/>
  <c r="A667" i="27"/>
  <c r="A666" i="27"/>
  <c r="A646" i="27"/>
  <c r="A647" i="27"/>
  <c r="A626" i="27"/>
  <c r="A643" i="27"/>
  <c r="A642" i="27"/>
  <c r="A627" i="27"/>
  <c r="A628" i="27"/>
  <c r="A624" i="27"/>
  <c r="A625" i="27"/>
  <c r="A612" i="27"/>
  <c r="A613" i="27"/>
  <c r="A605" i="27"/>
  <c r="A604" i="27"/>
  <c r="A596" i="27"/>
  <c r="A599" i="27"/>
  <c r="A588" i="27"/>
  <c r="A589" i="27"/>
  <c r="A590" i="27"/>
  <c r="A567" i="27"/>
  <c r="A568" i="27"/>
  <c r="A565" i="27"/>
  <c r="A564" i="27"/>
  <c r="A563" i="27"/>
  <c r="A566" i="27"/>
  <c r="A562" i="27"/>
  <c r="A552" i="27"/>
  <c r="A550" i="27"/>
  <c r="A551" i="27"/>
  <c r="A553" i="27"/>
  <c r="A554" i="27"/>
  <c r="A547" i="27"/>
  <c r="A548" i="27"/>
  <c r="A541" i="27"/>
  <c r="A542" i="27"/>
  <c r="A543" i="27"/>
  <c r="A540" i="27"/>
  <c r="A522" i="27"/>
  <c r="A520" i="27"/>
  <c r="A521" i="27"/>
  <c r="A519" i="27"/>
  <c r="A517" i="27"/>
  <c r="A515" i="27"/>
  <c r="A516" i="27"/>
  <c r="A512" i="27"/>
  <c r="A511" i="27"/>
  <c r="A509" i="27"/>
  <c r="A508" i="27"/>
  <c r="A510" i="27"/>
  <c r="A487" i="27"/>
  <c r="A488" i="27"/>
  <c r="A485" i="27"/>
  <c r="A486" i="27"/>
  <c r="A507" i="27"/>
  <c r="A506" i="27"/>
  <c r="A505" i="27"/>
  <c r="A489" i="27"/>
  <c r="A490" i="27"/>
  <c r="A479" i="27"/>
  <c r="A478" i="27"/>
  <c r="A465" i="27"/>
  <c r="A469" i="27"/>
  <c r="A466" i="27"/>
  <c r="A470" i="27"/>
  <c r="A467" i="27"/>
  <c r="A471" i="27"/>
  <c r="A468" i="27"/>
  <c r="A463" i="27"/>
  <c r="A464" i="27"/>
  <c r="A461" i="27"/>
  <c r="A462" i="27"/>
  <c r="A454" i="27"/>
  <c r="A457" i="27"/>
  <c r="S3" i="44"/>
  <c r="A661" i="27"/>
  <c r="A451" i="27"/>
  <c r="A452" i="27"/>
  <c r="A450" i="27"/>
  <c r="A675" i="27"/>
  <c r="A372" i="27"/>
  <c r="A412" i="27"/>
  <c r="A445" i="27"/>
  <c r="A440" i="27"/>
  <c r="A421" i="27"/>
  <c r="A688" i="27"/>
  <c r="A614" i="27"/>
  <c r="A446" i="27"/>
  <c r="A493" i="27"/>
  <c r="A534" i="27"/>
  <c r="A617" i="27"/>
  <c r="A532" i="27"/>
  <c r="A459" i="27"/>
  <c r="A448" i="27"/>
  <c r="A635" i="27"/>
  <c r="A393" i="27"/>
  <c r="A431" i="27"/>
  <c r="A480" i="27"/>
  <c r="A387" i="27"/>
  <c r="A654" i="27"/>
  <c r="A610" i="27"/>
  <c r="A600" i="27"/>
  <c r="A391" i="27"/>
  <c r="A571" i="27"/>
  <c r="A659" i="27"/>
  <c r="A592" i="27"/>
  <c r="A555" i="27"/>
  <c r="A503" i="27"/>
  <c r="A622" i="27"/>
  <c r="A561" i="27"/>
  <c r="A648" i="27"/>
  <c r="A403" i="27"/>
  <c r="A673" i="27"/>
  <c r="A411" i="27"/>
  <c r="A658" i="27"/>
  <c r="A597" i="27"/>
  <c r="A644" i="27"/>
  <c r="A682" i="27"/>
  <c r="A381" i="27"/>
  <c r="A413" i="27"/>
  <c r="A497" i="27"/>
  <c r="A656" i="27"/>
  <c r="A527" i="27"/>
  <c r="A436" i="27"/>
  <c r="GR3" i="7"/>
  <c r="GR4" i="7" s="1"/>
  <c r="A657" i="27"/>
  <c r="A662" i="27"/>
  <c r="A360" i="27"/>
  <c r="A397" i="27"/>
  <c r="A366" i="27"/>
  <c r="A660" i="27"/>
  <c r="A435" i="27"/>
  <c r="A672" i="27"/>
  <c r="A526" i="27"/>
  <c r="A492" i="27"/>
  <c r="A580" i="27"/>
  <c r="A634" i="27"/>
  <c r="A591" i="27"/>
  <c r="A544" i="27"/>
  <c r="A574" i="27"/>
  <c r="A569" i="27"/>
  <c r="A606" i="27"/>
  <c r="A481" i="27"/>
  <c r="A623" i="27"/>
  <c r="A390" i="27"/>
  <c r="A386" i="27"/>
  <c r="A428" i="27"/>
  <c r="A603" i="27"/>
  <c r="A651" i="27"/>
  <c r="A683" i="27"/>
  <c r="A378" i="27"/>
  <c r="A576" i="27"/>
  <c r="A601" i="27"/>
  <c r="A514" i="27"/>
  <c r="A615" i="27"/>
  <c r="A545" i="27"/>
  <c r="A587" i="27"/>
  <c r="A665" i="27"/>
  <c r="A424" i="27"/>
  <c r="A689" i="27"/>
  <c r="A523" i="27"/>
  <c r="A641" i="27"/>
  <c r="A686" i="27"/>
  <c r="A434" i="27"/>
  <c r="A399" i="27"/>
  <c r="A362" i="27"/>
  <c r="A437" i="27"/>
  <c r="A438" i="27"/>
  <c r="A439" i="27"/>
  <c r="A407" i="27"/>
  <c r="A429" i="27"/>
  <c r="A430" i="27"/>
  <c r="A395" i="27"/>
  <c r="A394" i="27"/>
  <c r="A396" i="27"/>
  <c r="AR131" i="18"/>
  <c r="A379" i="27"/>
  <c r="A380" i="27"/>
  <c r="A377" i="27"/>
  <c r="A376" i="27"/>
  <c r="A354" i="27"/>
  <c r="A356" i="27"/>
  <c r="A357" i="27"/>
  <c r="A355" i="27"/>
  <c r="P3" i="7"/>
  <c r="A118" i="33"/>
  <c r="AF120" i="33"/>
  <c r="A122" i="33" s="1"/>
  <c r="A227" i="10"/>
  <c r="BO227" i="10" s="1"/>
  <c r="BQ228" i="10"/>
  <c r="A228" i="10" s="1"/>
  <c r="BO228" i="10" s="1"/>
  <c r="N243" i="14"/>
  <c r="AR9" i="3"/>
  <c r="Q33" i="20"/>
  <c r="I2" i="28"/>
  <c r="Q31" i="20"/>
  <c r="Q35" i="20"/>
  <c r="A225" i="10"/>
  <c r="BO225" i="10" s="1"/>
  <c r="CG90" i="35"/>
  <c r="DI90" i="35"/>
  <c r="DM90" i="35"/>
  <c r="DJ90" i="35"/>
  <c r="DN90" i="35"/>
  <c r="DK90" i="35"/>
  <c r="DL90" i="35"/>
  <c r="Z33" i="20"/>
  <c r="A226" i="10"/>
  <c r="BO226" i="10" s="1"/>
  <c r="Y35" i="20"/>
  <c r="A177" i="28"/>
  <c r="T177" i="28" s="1"/>
  <c r="A238" i="28"/>
  <c r="T238" i="28" s="1"/>
  <c r="C9" i="3"/>
  <c r="HI18" i="7"/>
  <c r="HI27" i="7"/>
  <c r="AR10" i="3"/>
  <c r="AF131" i="18"/>
  <c r="H123" i="18"/>
  <c r="HJ3" i="7"/>
  <c r="HJ20" i="7"/>
  <c r="HJ15" i="7"/>
  <c r="AN119" i="18"/>
  <c r="AS9" i="3"/>
  <c r="AT120" i="18"/>
  <c r="AS120" i="18"/>
  <c r="A728" i="27"/>
  <c r="A786" i="27"/>
  <c r="A799" i="27"/>
  <c r="A755" i="27"/>
  <c r="A766" i="27"/>
  <c r="A749" i="27"/>
  <c r="A805" i="27"/>
  <c r="A798" i="27"/>
  <c r="A761" i="27"/>
  <c r="A757" i="27"/>
  <c r="A787" i="27"/>
  <c r="A748" i="27"/>
  <c r="A724" i="27"/>
  <c r="A726" i="27"/>
  <c r="A744" i="27"/>
  <c r="A734" i="27"/>
  <c r="A793" i="27"/>
  <c r="A784" i="27"/>
  <c r="A721" i="27"/>
  <c r="A780" i="27"/>
  <c r="A752" i="27"/>
  <c r="A758" i="27"/>
  <c r="A797" i="27"/>
  <c r="A767" i="27"/>
  <c r="A733" i="27"/>
  <c r="A781" i="27"/>
  <c r="A754" i="27"/>
  <c r="A722" i="27"/>
  <c r="A792" i="27"/>
  <c r="A746" i="27"/>
  <c r="A791" i="27"/>
  <c r="A795" i="27"/>
  <c r="A763" i="27"/>
  <c r="A730" i="27"/>
  <c r="A788" i="27"/>
  <c r="A756" i="27"/>
  <c r="A723" i="27"/>
  <c r="A773" i="27"/>
  <c r="A774" i="27"/>
  <c r="A736" i="27"/>
  <c r="A775" i="27"/>
  <c r="A725" i="27"/>
  <c r="A743" i="27"/>
  <c r="A716" i="27"/>
  <c r="A768" i="27"/>
  <c r="A741" i="27"/>
  <c r="A783" i="27"/>
  <c r="A751" i="27"/>
  <c r="A718" i="27"/>
  <c r="A782" i="27"/>
  <c r="A750" i="27"/>
  <c r="A717" i="27"/>
  <c r="A777" i="27"/>
  <c r="A745" i="27"/>
  <c r="A739" i="27"/>
  <c r="A760" i="27"/>
  <c r="A719" i="27"/>
  <c r="A802" i="27"/>
  <c r="A770" i="27"/>
  <c r="A737" i="27"/>
  <c r="A803" i="27"/>
  <c r="A771" i="27"/>
  <c r="A738" i="27"/>
  <c r="A796" i="27"/>
  <c r="A764" i="27"/>
  <c r="A731" i="27"/>
  <c r="A720" i="27"/>
  <c r="A727" i="27"/>
  <c r="A789" i="27"/>
  <c r="A794" i="27"/>
  <c r="A762" i="27"/>
  <c r="A729" i="27"/>
  <c r="A742" i="27"/>
  <c r="A800" i="27"/>
  <c r="A769" i="27"/>
  <c r="A776" i="27"/>
  <c r="P175" i="28"/>
  <c r="P176" i="28" s="1"/>
  <c r="P177" i="28" s="1"/>
  <c r="P178" i="28" s="1"/>
  <c r="P179" i="28" s="1"/>
  <c r="P180" i="28" s="1"/>
  <c r="P181" i="28" s="1"/>
  <c r="P182" i="28" s="1"/>
  <c r="P183" i="28" s="1"/>
  <c r="P184" i="28" s="1"/>
  <c r="P185" i="28" s="1"/>
  <c r="P186" i="28" s="1"/>
  <c r="P187" i="28" s="1"/>
  <c r="P188" i="28" s="1"/>
  <c r="P189" i="28" s="1"/>
  <c r="P190" i="28" s="1"/>
  <c r="P191" i="28" s="1"/>
  <c r="P192" i="28" s="1"/>
  <c r="P193" i="28" s="1"/>
  <c r="P194" i="28" s="1"/>
  <c r="P195" i="28" s="1"/>
  <c r="P196" i="28" s="1"/>
  <c r="P197" i="28" s="1"/>
  <c r="P198" i="28" s="1"/>
  <c r="P199" i="28" s="1"/>
  <c r="P200" i="28" s="1"/>
  <c r="P201" i="28" s="1"/>
  <c r="P202" i="28" s="1"/>
  <c r="P203" i="28" s="1"/>
  <c r="P204" i="28" s="1"/>
  <c r="P205" i="28" s="1"/>
  <c r="P206" i="28" s="1"/>
  <c r="P207" i="28" s="1"/>
  <c r="P208" i="28" s="1"/>
  <c r="P209" i="28" s="1"/>
  <c r="P210" i="28" s="1"/>
  <c r="P211" i="28" s="1"/>
  <c r="P212" i="28" s="1"/>
  <c r="P213" i="28" s="1"/>
  <c r="P214" i="28" s="1"/>
  <c r="P215" i="28" s="1"/>
  <c r="P216" i="28" s="1"/>
  <c r="P217" i="28" s="1"/>
  <c r="P218" i="28" s="1"/>
  <c r="P219" i="28" s="1"/>
  <c r="P220" i="28" s="1"/>
  <c r="P221" i="28" s="1"/>
  <c r="P222" i="28" s="1"/>
  <c r="P223" i="28" s="1"/>
  <c r="P224" i="28" s="1"/>
  <c r="P225" i="28" s="1"/>
  <c r="P226" i="28" s="1"/>
  <c r="P227" i="28" s="1"/>
  <c r="P228" i="28" s="1"/>
  <c r="P229" i="28" s="1"/>
  <c r="P230" i="28" s="1"/>
  <c r="P231" i="28" s="1"/>
  <c r="P232" i="28" s="1"/>
  <c r="P233" i="28" s="1"/>
  <c r="P234" i="28" s="1"/>
  <c r="P235" i="28" s="1"/>
  <c r="P236" i="28" s="1"/>
  <c r="P237" i="28" s="1"/>
  <c r="P238" i="28" s="1"/>
  <c r="P239" i="28" s="1"/>
  <c r="P240" i="28" s="1"/>
  <c r="P241" i="28" s="1"/>
  <c r="P242" i="28" s="1"/>
  <c r="P243" i="28" s="1"/>
  <c r="P244" i="28" s="1"/>
  <c r="P245" i="28" s="1"/>
  <c r="P246" i="28" s="1"/>
  <c r="P247" i="28" s="1"/>
  <c r="P248" i="28" s="1"/>
  <c r="P249" i="28" s="1"/>
  <c r="P250" i="28" s="1"/>
  <c r="P251" i="28" s="1"/>
  <c r="P252" i="28" s="1"/>
  <c r="P253" i="28" s="1"/>
  <c r="P254" i="28" s="1"/>
  <c r="P255" i="28" s="1"/>
  <c r="P256" i="28" s="1"/>
  <c r="P257" i="28" s="1"/>
  <c r="P258" i="28" s="1"/>
  <c r="P259" i="28" s="1"/>
  <c r="P260" i="28" s="1"/>
  <c r="P261" i="28" s="1"/>
  <c r="P262" i="28" s="1"/>
  <c r="P263" i="28" s="1"/>
  <c r="A779" i="27"/>
  <c r="A747" i="27"/>
  <c r="A804" i="27"/>
  <c r="A772" i="27"/>
  <c r="A740" i="27"/>
  <c r="A765" i="27"/>
  <c r="A759" i="27"/>
  <c r="A801" i="27"/>
  <c r="A735" i="27"/>
  <c r="A790" i="27"/>
  <c r="A753" i="27"/>
  <c r="A785" i="27"/>
  <c r="IL454" i="11"/>
  <c r="A454" i="11" s="1"/>
  <c r="F454" i="32" s="1"/>
  <c r="IL469" i="11"/>
  <c r="A469" i="11" s="1"/>
  <c r="F469" i="32" s="1"/>
  <c r="IL522" i="11"/>
  <c r="A522" i="11" s="1"/>
  <c r="F522" i="32" s="1"/>
  <c r="IL457" i="11"/>
  <c r="A457" i="11" s="1"/>
  <c r="F457" i="32" s="1"/>
  <c r="IL428" i="11"/>
  <c r="A428" i="11" s="1"/>
  <c r="F428" i="32" s="1"/>
  <c r="IL546" i="11"/>
  <c r="A546" i="11" s="1"/>
  <c r="F546" i="32" s="1"/>
  <c r="IL544" i="11"/>
  <c r="A544" i="11" s="1"/>
  <c r="F544" i="32" s="1"/>
  <c r="IL386" i="11"/>
  <c r="A386" i="11" s="1"/>
  <c r="F386" i="32" s="1"/>
  <c r="IL345" i="11"/>
  <c r="A345" i="11" s="1"/>
  <c r="F345" i="32" s="1"/>
  <c r="IL584" i="11"/>
  <c r="A584" i="11" s="1"/>
  <c r="F584" i="32" s="1"/>
  <c r="IL561" i="11"/>
  <c r="A561" i="11" s="1"/>
  <c r="F561" i="32" s="1"/>
  <c r="IL518" i="11"/>
  <c r="A518" i="11" s="1"/>
  <c r="F518" i="32" s="1"/>
  <c r="IL539" i="11"/>
  <c r="A539" i="11" s="1"/>
  <c r="F539" i="32" s="1"/>
  <c r="IL640" i="11"/>
  <c r="A640" i="11" s="1"/>
  <c r="F640" i="32" s="1"/>
  <c r="IL380" i="11"/>
  <c r="A380" i="11" s="1"/>
  <c r="F380" i="32" s="1"/>
  <c r="IL475" i="11"/>
  <c r="A475" i="11" s="1"/>
  <c r="F475" i="32" s="1"/>
  <c r="IL604" i="11"/>
  <c r="A604" i="11" s="1"/>
  <c r="F604" i="32" s="1"/>
  <c r="IL576" i="11"/>
  <c r="A576" i="11" s="1"/>
  <c r="F576" i="32" s="1"/>
  <c r="IL593" i="11"/>
  <c r="A593" i="11" s="1"/>
  <c r="F593" i="32" s="1"/>
  <c r="IL594" i="11"/>
  <c r="A594" i="11" s="1"/>
  <c r="F594" i="32" s="1"/>
  <c r="IL369" i="11"/>
  <c r="A369" i="11" s="1"/>
  <c r="F369" i="32" s="1"/>
  <c r="IL445" i="11"/>
  <c r="A445" i="11" s="1"/>
  <c r="F445" i="32" s="1"/>
  <c r="IL565" i="11"/>
  <c r="A565" i="11" s="1"/>
  <c r="F565" i="32" s="1"/>
  <c r="IL359" i="11"/>
  <c r="A359" i="11" s="1"/>
  <c r="F359" i="32" s="1"/>
  <c r="IL499" i="11"/>
  <c r="A499" i="11" s="1"/>
  <c r="F499" i="32" s="1"/>
  <c r="IL643" i="11"/>
  <c r="A643" i="11" s="1"/>
  <c r="F643" i="32" s="1"/>
  <c r="IL325" i="11"/>
  <c r="A325" i="11" s="1"/>
  <c r="F325" i="32" s="1"/>
  <c r="IL495" i="11"/>
  <c r="A495" i="11" s="1"/>
  <c r="F495" i="32" s="1"/>
  <c r="IL402" i="11"/>
  <c r="A402" i="11" s="1"/>
  <c r="F402" i="32" s="1"/>
  <c r="IL557" i="11"/>
  <c r="A557" i="11" s="1"/>
  <c r="F557" i="32" s="1"/>
  <c r="IL603" i="11"/>
  <c r="A603" i="11" s="1"/>
  <c r="F603" i="32" s="1"/>
  <c r="IL616" i="11"/>
  <c r="A616" i="11" s="1"/>
  <c r="F616" i="32" s="1"/>
  <c r="IL553" i="11"/>
  <c r="A553" i="11" s="1"/>
  <c r="F553" i="32" s="1"/>
  <c r="IL405" i="11"/>
  <c r="A405" i="11" s="1"/>
  <c r="F405" i="32" s="1"/>
  <c r="IL524" i="11"/>
  <c r="A524" i="11" s="1"/>
  <c r="F524" i="32" s="1"/>
  <c r="IL656" i="11"/>
  <c r="A656" i="11" s="1"/>
  <c r="F656" i="32" s="1"/>
  <c r="IL397" i="11"/>
  <c r="A397" i="11" s="1"/>
  <c r="F397" i="32" s="1"/>
  <c r="IL578" i="11"/>
  <c r="A578" i="11" s="1"/>
  <c r="F578" i="32" s="1"/>
  <c r="IL373" i="11"/>
  <c r="A373" i="11" s="1"/>
  <c r="F373" i="32" s="1"/>
  <c r="IL543" i="11"/>
  <c r="A543" i="11" s="1"/>
  <c r="F543" i="32" s="1"/>
  <c r="IL400" i="11"/>
  <c r="A400" i="11" s="1"/>
  <c r="F400" i="32" s="1"/>
  <c r="IL410" i="11"/>
  <c r="A410" i="11" s="1"/>
  <c r="F410" i="32" s="1"/>
  <c r="IL660" i="11"/>
  <c r="A660" i="11" s="1"/>
  <c r="F660" i="32" s="1"/>
  <c r="IL624" i="11"/>
  <c r="A624" i="11" s="1"/>
  <c r="F624" i="32" s="1"/>
  <c r="IL424" i="11"/>
  <c r="A424" i="11" s="1"/>
  <c r="F424" i="32" s="1"/>
  <c r="IL608" i="11"/>
  <c r="A608" i="11" s="1"/>
  <c r="F608" i="32" s="1"/>
  <c r="IL355" i="11"/>
  <c r="A355" i="11" s="1"/>
  <c r="F355" i="32" s="1"/>
  <c r="IL401" i="11"/>
  <c r="A401" i="11" s="1"/>
  <c r="F401" i="32" s="1"/>
  <c r="IL479" i="11"/>
  <c r="A479" i="11" s="1"/>
  <c r="F479" i="32" s="1"/>
  <c r="IL489" i="11"/>
  <c r="A489" i="11" s="1"/>
  <c r="F489" i="32" s="1"/>
  <c r="IL329" i="11"/>
  <c r="A329" i="11" s="1"/>
  <c r="F329" i="32" s="1"/>
  <c r="IL419" i="11"/>
  <c r="A419" i="11" s="1"/>
  <c r="F419" i="32" s="1"/>
  <c r="IL496" i="11"/>
  <c r="A496" i="11" s="1"/>
  <c r="F496" i="32" s="1"/>
  <c r="IL508" i="11"/>
  <c r="A508" i="11" s="1"/>
  <c r="F508" i="32" s="1"/>
  <c r="IL366" i="11"/>
  <c r="A366" i="11" s="1"/>
  <c r="F366" i="32" s="1"/>
  <c r="IL615" i="11"/>
  <c r="A615" i="11" s="1"/>
  <c r="F615" i="32" s="1"/>
  <c r="IL596" i="11"/>
  <c r="A596" i="11" s="1"/>
  <c r="F596" i="32" s="1"/>
  <c r="IL330" i="11"/>
  <c r="IL328" i="11"/>
  <c r="A328" i="11" s="1"/>
  <c r="F328" i="32" s="1"/>
  <c r="IL434" i="11"/>
  <c r="A434" i="11" s="1"/>
  <c r="F434" i="32" s="1"/>
  <c r="IL420" i="11"/>
  <c r="A420" i="11" s="1"/>
  <c r="F420" i="32" s="1"/>
  <c r="IL560" i="11"/>
  <c r="A560" i="11" s="1"/>
  <c r="F560" i="32" s="1"/>
  <c r="IL485" i="11"/>
  <c r="A485" i="11" s="1"/>
  <c r="F485" i="32" s="1"/>
  <c r="IL478" i="11"/>
  <c r="A478" i="11" s="1"/>
  <c r="F478" i="32" s="1"/>
  <c r="IL611" i="11"/>
  <c r="A611" i="11" s="1"/>
  <c r="F611" i="32" s="1"/>
  <c r="IL647" i="11"/>
  <c r="A647" i="11" s="1"/>
  <c r="F647" i="32" s="1"/>
  <c r="IL638" i="11"/>
  <c r="A638" i="11" s="1"/>
  <c r="F638" i="32" s="1"/>
  <c r="IL391" i="11"/>
  <c r="A391" i="11" s="1"/>
  <c r="F391" i="32" s="1"/>
  <c r="IL393" i="11"/>
  <c r="A393" i="11" s="1"/>
  <c r="F393" i="32" s="1"/>
  <c r="IL592" i="11"/>
  <c r="A592" i="11" s="1"/>
  <c r="F592" i="32" s="1"/>
  <c r="IL659" i="11"/>
  <c r="A659" i="11" s="1"/>
  <c r="F659" i="32" s="1"/>
  <c r="IL626" i="11"/>
  <c r="A626" i="11" s="1"/>
  <c r="F626" i="32" s="1"/>
  <c r="IL336" i="11"/>
  <c r="A336" i="11" s="1"/>
  <c r="F336" i="32" s="1"/>
  <c r="IL563" i="11"/>
  <c r="A563" i="11" s="1"/>
  <c r="F563" i="32" s="1"/>
  <c r="IL368" i="11"/>
  <c r="A368" i="11" s="1"/>
  <c r="F368" i="32" s="1"/>
  <c r="IL513" i="11"/>
  <c r="A513" i="11" s="1"/>
  <c r="F513" i="32" s="1"/>
  <c r="IL493" i="11"/>
  <c r="A493" i="11" s="1"/>
  <c r="F493" i="32" s="1"/>
  <c r="IL450" i="11"/>
  <c r="A450" i="11" s="1"/>
  <c r="F450" i="32" s="1"/>
  <c r="IL602" i="11"/>
  <c r="A602" i="11" s="1"/>
  <c r="F602" i="32" s="1"/>
  <c r="IL622" i="11"/>
  <c r="A622" i="11" s="1"/>
  <c r="F622" i="32" s="1"/>
  <c r="IL589" i="11"/>
  <c r="A589" i="11" s="1"/>
  <c r="F589" i="32" s="1"/>
  <c r="IL554" i="11"/>
  <c r="A554" i="11" s="1"/>
  <c r="F554" i="32" s="1"/>
  <c r="IL423" i="11"/>
  <c r="A423" i="11" s="1"/>
  <c r="F423" i="32" s="1"/>
  <c r="IL645" i="11"/>
  <c r="A645" i="11" s="1"/>
  <c r="F645" i="32" s="1"/>
  <c r="IL356" i="11"/>
  <c r="A356" i="11" s="1"/>
  <c r="F356" i="32" s="1"/>
  <c r="IL504" i="11"/>
  <c r="A504" i="11" s="1"/>
  <c r="F504" i="32" s="1"/>
  <c r="IL506" i="11"/>
  <c r="A506" i="11" s="1"/>
  <c r="F506" i="32" s="1"/>
  <c r="IL411" i="11"/>
  <c r="A411" i="11" s="1"/>
  <c r="F411" i="32" s="1"/>
  <c r="IL542" i="11"/>
  <c r="A542" i="11" s="1"/>
  <c r="F542" i="32" s="1"/>
  <c r="IL455" i="11"/>
  <c r="A455" i="11" s="1"/>
  <c r="F455" i="32" s="1"/>
  <c r="IL398" i="11"/>
  <c r="A398" i="11" s="1"/>
  <c r="F398" i="32" s="1"/>
  <c r="IL470" i="11"/>
  <c r="A470" i="11" s="1"/>
  <c r="F470" i="32" s="1"/>
  <c r="IL642" i="11"/>
  <c r="A642" i="11" s="1"/>
  <c r="F642" i="32" s="1"/>
  <c r="IL590" i="11"/>
  <c r="A590" i="11" s="1"/>
  <c r="F590" i="32" s="1"/>
  <c r="IL351" i="11"/>
  <c r="A351" i="11" s="1"/>
  <c r="F351" i="32" s="1"/>
  <c r="IL406" i="11"/>
  <c r="A406" i="11" s="1"/>
  <c r="F406" i="32" s="1"/>
  <c r="IL648" i="11"/>
  <c r="A648" i="11" s="1"/>
  <c r="F648" i="32" s="1"/>
  <c r="IL610" i="11"/>
  <c r="A610" i="11" s="1"/>
  <c r="F610" i="32" s="1"/>
  <c r="IL372" i="11"/>
  <c r="A372" i="11" s="1"/>
  <c r="F372" i="32" s="1"/>
  <c r="IL632" i="11"/>
  <c r="A632" i="11" s="1"/>
  <c r="F632" i="32" s="1"/>
  <c r="IL342" i="11"/>
  <c r="A342" i="11" s="1"/>
  <c r="F342" i="32" s="1"/>
  <c r="IL527" i="11"/>
  <c r="A527" i="11" s="1"/>
  <c r="F527" i="32" s="1"/>
  <c r="IL404" i="11"/>
  <c r="A404" i="11" s="1"/>
  <c r="F404" i="32" s="1"/>
  <c r="IL354" i="11"/>
  <c r="A354" i="11" s="1"/>
  <c r="F354" i="32" s="1"/>
  <c r="IL614" i="11"/>
  <c r="A614" i="11" s="1"/>
  <c r="F614" i="32" s="1"/>
  <c r="IL456" i="11"/>
  <c r="A456" i="11" s="1"/>
  <c r="F456" i="32" s="1"/>
  <c r="IL514" i="11"/>
  <c r="A514" i="11" s="1"/>
  <c r="F514" i="32" s="1"/>
  <c r="IL607" i="11"/>
  <c r="A607" i="11" s="1"/>
  <c r="F607" i="32" s="1"/>
  <c r="IL483" i="11"/>
  <c r="A483" i="11" s="1"/>
  <c r="F483" i="32" s="1"/>
  <c r="IL631" i="11"/>
  <c r="A631" i="11" s="1"/>
  <c r="F631" i="32" s="1"/>
  <c r="IL501" i="11"/>
  <c r="A501" i="11" s="1"/>
  <c r="F501" i="32" s="1"/>
  <c r="IL437" i="11"/>
  <c r="A437" i="11" s="1"/>
  <c r="F437" i="32" s="1"/>
  <c r="IL377" i="11"/>
  <c r="A377" i="11" s="1"/>
  <c r="F377" i="32" s="1"/>
  <c r="IL339" i="11"/>
  <c r="A339" i="11" s="1"/>
  <c r="F339" i="32" s="1"/>
  <c r="IL534" i="11"/>
  <c r="A534" i="11" s="1"/>
  <c r="F534" i="32" s="1"/>
  <c r="IL384" i="11"/>
  <c r="A384" i="11" s="1"/>
  <c r="F384" i="32" s="1"/>
  <c r="IL443" i="11"/>
  <c r="A443" i="11" s="1"/>
  <c r="F443" i="32" s="1"/>
  <c r="IL634" i="11"/>
  <c r="A634" i="11" s="1"/>
  <c r="F634" i="32" s="1"/>
  <c r="IL444" i="11"/>
  <c r="A444" i="11" s="1"/>
  <c r="F444" i="32" s="1"/>
  <c r="IL588" i="11"/>
  <c r="A588" i="11" s="1"/>
  <c r="F588" i="32" s="1"/>
  <c r="IL516" i="11"/>
  <c r="A516" i="11" s="1"/>
  <c r="F516" i="32" s="1"/>
  <c r="IL531" i="11"/>
  <c r="A531" i="11" s="1"/>
  <c r="F531" i="32" s="1"/>
  <c r="IL399" i="11"/>
  <c r="A399" i="11" s="1"/>
  <c r="F399" i="32" s="1"/>
  <c r="IL371" i="11"/>
  <c r="A371" i="11" s="1"/>
  <c r="F371" i="32" s="1"/>
  <c r="IL425" i="11"/>
  <c r="A425" i="11" s="1"/>
  <c r="F425" i="32" s="1"/>
  <c r="IL572" i="11"/>
  <c r="A572" i="11" s="1"/>
  <c r="F572" i="32" s="1"/>
  <c r="IL523" i="11"/>
  <c r="A523" i="11" s="1"/>
  <c r="F523" i="32" s="1"/>
  <c r="IL364" i="11"/>
  <c r="A364" i="11" s="1"/>
  <c r="F364" i="32" s="1"/>
  <c r="IL442" i="11"/>
  <c r="A442" i="11" s="1"/>
  <c r="F442" i="32" s="1"/>
  <c r="IL453" i="11"/>
  <c r="A453" i="11" s="1"/>
  <c r="F453" i="32" s="1"/>
  <c r="IL363" i="11"/>
  <c r="A363" i="11" s="1"/>
  <c r="F363" i="32" s="1"/>
  <c r="IL550" i="11"/>
  <c r="A550" i="11" s="1"/>
  <c r="F550" i="32" s="1"/>
  <c r="IL432" i="11"/>
  <c r="A432" i="11" s="1"/>
  <c r="F432" i="32" s="1"/>
  <c r="IL340" i="11"/>
  <c r="A340" i="11" s="1"/>
  <c r="F340" i="32" s="1"/>
  <c r="IL433" i="11"/>
  <c r="A433" i="11" s="1"/>
  <c r="F433" i="32" s="1"/>
  <c r="IL458" i="11"/>
  <c r="A458" i="11" s="1"/>
  <c r="F458" i="32" s="1"/>
  <c r="IL407" i="11"/>
  <c r="A407" i="11" s="1"/>
  <c r="F407" i="32" s="1"/>
  <c r="IL537" i="11"/>
  <c r="A537" i="11" s="1"/>
  <c r="F537" i="32" s="1"/>
  <c r="IL606" i="11"/>
  <c r="A606" i="11" s="1"/>
  <c r="F606" i="32" s="1"/>
  <c r="IL502" i="11"/>
  <c r="A502" i="11" s="1"/>
  <c r="F502" i="32" s="1"/>
  <c r="IL573" i="11"/>
  <c r="A573" i="11" s="1"/>
  <c r="F573" i="32" s="1"/>
  <c r="IL505" i="11"/>
  <c r="A505" i="11" s="1"/>
  <c r="F505" i="32" s="1"/>
  <c r="IL344" i="11"/>
  <c r="A344" i="11" s="1"/>
  <c r="F344" i="32" s="1"/>
  <c r="IL517" i="11"/>
  <c r="A517" i="11" s="1"/>
  <c r="F517" i="32" s="1"/>
  <c r="IL449" i="11"/>
  <c r="A449" i="11" s="1"/>
  <c r="F449" i="32" s="1"/>
  <c r="IL577" i="11"/>
  <c r="A577" i="11" s="1"/>
  <c r="F577" i="32" s="1"/>
  <c r="IL375" i="11"/>
  <c r="A375" i="11" s="1"/>
  <c r="F375" i="32" s="1"/>
  <c r="IL600" i="11"/>
  <c r="A600" i="11" s="1"/>
  <c r="F600" i="32" s="1"/>
  <c r="IL481" i="11"/>
  <c r="A481" i="11" s="1"/>
  <c r="F481" i="32" s="1"/>
  <c r="IL326" i="11"/>
  <c r="A326" i="11" s="1"/>
  <c r="F326" i="32" s="1"/>
  <c r="IL503" i="11"/>
  <c r="A503" i="11" s="1"/>
  <c r="F503" i="32" s="1"/>
  <c r="IL498" i="11"/>
  <c r="A498" i="11" s="1"/>
  <c r="F498" i="32" s="1"/>
  <c r="IL533" i="11"/>
  <c r="A533" i="11" s="1"/>
  <c r="F533" i="32" s="1"/>
  <c r="IL389" i="11"/>
  <c r="A389" i="11" s="1"/>
  <c r="F389" i="32" s="1"/>
  <c r="IL628" i="11"/>
  <c r="A628" i="11" s="1"/>
  <c r="F628" i="32" s="1"/>
  <c r="IL374" i="11"/>
  <c r="A374" i="11" s="1"/>
  <c r="F374" i="32" s="1"/>
  <c r="IL482" i="11"/>
  <c r="A482" i="11" s="1"/>
  <c r="F482" i="32" s="1"/>
  <c r="IL658" i="11"/>
  <c r="A658" i="11" s="1"/>
  <c r="F658" i="32" s="1"/>
  <c r="IL350" i="11"/>
  <c r="A350" i="11" s="1"/>
  <c r="F350" i="32" s="1"/>
  <c r="IL575" i="11"/>
  <c r="A575" i="11" s="1"/>
  <c r="F575" i="32" s="1"/>
  <c r="IL376" i="11"/>
  <c r="A376" i="11" s="1"/>
  <c r="F376" i="32" s="1"/>
  <c r="IL379" i="11"/>
  <c r="A379" i="11" s="1"/>
  <c r="F379" i="32" s="1"/>
  <c r="IL429" i="11"/>
  <c r="A429" i="11" s="1"/>
  <c r="F429" i="32" s="1"/>
  <c r="IL580" i="11"/>
  <c r="A580" i="11" s="1"/>
  <c r="F580" i="32" s="1"/>
  <c r="IL587" i="11"/>
  <c r="A587" i="11" s="1"/>
  <c r="F587" i="32" s="1"/>
  <c r="IL492" i="11"/>
  <c r="A492" i="11" s="1"/>
  <c r="F492" i="32" s="1"/>
  <c r="IL639" i="11"/>
  <c r="A639" i="11" s="1"/>
  <c r="F639" i="32" s="1"/>
  <c r="IL468" i="11"/>
  <c r="A468" i="11" s="1"/>
  <c r="F468" i="32" s="1"/>
  <c r="IL451" i="11"/>
  <c r="A451" i="11" s="1"/>
  <c r="F451" i="32" s="1"/>
  <c r="IL552" i="11"/>
  <c r="A552" i="11" s="1"/>
  <c r="F552" i="32" s="1"/>
  <c r="IL460" i="11"/>
  <c r="A460" i="11" s="1"/>
  <c r="F460" i="32" s="1"/>
  <c r="IL403" i="11"/>
  <c r="A403" i="11" s="1"/>
  <c r="F403" i="32" s="1"/>
  <c r="IL605" i="11"/>
  <c r="A605" i="11" s="1"/>
  <c r="F605" i="32" s="1"/>
  <c r="IL548" i="11"/>
  <c r="A548" i="11" s="1"/>
  <c r="F548" i="32" s="1"/>
  <c r="IL331" i="11"/>
  <c r="A331" i="11" s="1"/>
  <c r="F331" i="32" s="1"/>
  <c r="IL414" i="11"/>
  <c r="A414" i="11" s="1"/>
  <c r="F414" i="32" s="1"/>
  <c r="IL332" i="11"/>
  <c r="A332" i="11" s="1"/>
  <c r="F332" i="32" s="1"/>
  <c r="IL617" i="11"/>
  <c r="A617" i="11" s="1"/>
  <c r="F617" i="32" s="1"/>
  <c r="IL569" i="11"/>
  <c r="A569" i="11" s="1"/>
  <c r="F569" i="32" s="1"/>
  <c r="IL521" i="11"/>
  <c r="A521" i="11" s="1"/>
  <c r="F521" i="32" s="1"/>
  <c r="IL474" i="11"/>
  <c r="A474" i="11" s="1"/>
  <c r="F474" i="32" s="1"/>
  <c r="IL571" i="11"/>
  <c r="A571" i="11" s="1"/>
  <c r="F571" i="32" s="1"/>
  <c r="IL337" i="11"/>
  <c r="A337" i="11" s="1"/>
  <c r="F337" i="32" s="1"/>
  <c r="IL511" i="11"/>
  <c r="A511" i="11" s="1"/>
  <c r="F511" i="32" s="1"/>
  <c r="IL500" i="11"/>
  <c r="A500" i="11" s="1"/>
  <c r="F500" i="32" s="1"/>
  <c r="IL466" i="11"/>
  <c r="A466" i="11" s="1"/>
  <c r="F466" i="32" s="1"/>
  <c r="IL545" i="11"/>
  <c r="A545" i="11" s="1"/>
  <c r="F545" i="32" s="1"/>
  <c r="IL476" i="11"/>
  <c r="A476" i="11" s="1"/>
  <c r="F476" i="32" s="1"/>
  <c r="IL651" i="11"/>
  <c r="A651" i="11" s="1"/>
  <c r="F651" i="32" s="1"/>
  <c r="IL564" i="11"/>
  <c r="A564" i="11" s="1"/>
  <c r="F564" i="32" s="1"/>
  <c r="IL549" i="11"/>
  <c r="A549" i="11" s="1"/>
  <c r="F549" i="32" s="1"/>
  <c r="IL430" i="11"/>
  <c r="A430" i="11" s="1"/>
  <c r="F430" i="32" s="1"/>
  <c r="IL392" i="11"/>
  <c r="A392" i="11" s="1"/>
  <c r="F392" i="32" s="1"/>
  <c r="IL582" i="11"/>
  <c r="A582" i="11" s="1"/>
  <c r="F582" i="32" s="1"/>
  <c r="IL352" i="11"/>
  <c r="A352" i="11" s="1"/>
  <c r="F352" i="32" s="1"/>
  <c r="IL467" i="11"/>
  <c r="A467" i="11" s="1"/>
  <c r="F467" i="32" s="1"/>
  <c r="IL653" i="11"/>
  <c r="A653" i="11" s="1"/>
  <c r="F653" i="32" s="1"/>
  <c r="IL435" i="11"/>
  <c r="A435" i="11" s="1"/>
  <c r="F435" i="32" s="1"/>
  <c r="IL559" i="11"/>
  <c r="A559" i="11" s="1"/>
  <c r="F559" i="32" s="1"/>
  <c r="IL412" i="11"/>
  <c r="A412" i="11" s="1"/>
  <c r="F412" i="32" s="1"/>
  <c r="IL618" i="11"/>
  <c r="A618" i="11" s="1"/>
  <c r="F618" i="32" s="1"/>
  <c r="IL601" i="11"/>
  <c r="A601" i="11" s="1"/>
  <c r="F601" i="32" s="1"/>
  <c r="IL480" i="11"/>
  <c r="A480" i="11" s="1"/>
  <c r="F480" i="32" s="1"/>
  <c r="IL530" i="11"/>
  <c r="A530" i="11" s="1"/>
  <c r="F530" i="32" s="1"/>
  <c r="IL327" i="11"/>
  <c r="A327" i="11" s="1"/>
  <c r="F327" i="32" s="1"/>
  <c r="IL570" i="11"/>
  <c r="A570" i="11" s="1"/>
  <c r="F570" i="32" s="1"/>
  <c r="IL417" i="11"/>
  <c r="A417" i="11" s="1"/>
  <c r="F417" i="32" s="1"/>
  <c r="IL629" i="11"/>
  <c r="A629" i="11" s="1"/>
  <c r="F629" i="32" s="1"/>
  <c r="IL387" i="11"/>
  <c r="A387" i="11" s="1"/>
  <c r="F387" i="32" s="1"/>
  <c r="IL519" i="11"/>
  <c r="A519" i="11" s="1"/>
  <c r="F519" i="32" s="1"/>
  <c r="IL591" i="11"/>
  <c r="A591" i="11" s="1"/>
  <c r="F591" i="32" s="1"/>
  <c r="IL599" i="11"/>
  <c r="A599" i="11" s="1"/>
  <c r="F599" i="32" s="1"/>
  <c r="IL422" i="11"/>
  <c r="A422" i="11" s="1"/>
  <c r="F422" i="32" s="1"/>
  <c r="IL620" i="11"/>
  <c r="A620" i="11" s="1"/>
  <c r="F620" i="32" s="1"/>
  <c r="IL636" i="11"/>
  <c r="A636" i="11" s="1"/>
  <c r="F636" i="32" s="1"/>
  <c r="IL583" i="11"/>
  <c r="A583" i="11" s="1"/>
  <c r="F583" i="32" s="1"/>
  <c r="IL394" i="11"/>
  <c r="A394" i="11" s="1"/>
  <c r="F394" i="32" s="1"/>
  <c r="IL567" i="11"/>
  <c r="A567" i="11" s="1"/>
  <c r="F567" i="32" s="1"/>
  <c r="IL528" i="11"/>
  <c r="A528" i="11" s="1"/>
  <c r="F528" i="32" s="1"/>
  <c r="IL562" i="11"/>
  <c r="A562" i="11" s="1"/>
  <c r="F562" i="32" s="1"/>
  <c r="IL488" i="11"/>
  <c r="A488" i="11" s="1"/>
  <c r="F488" i="32" s="1"/>
  <c r="IL408" i="11"/>
  <c r="A408" i="11" s="1"/>
  <c r="F408" i="32" s="1"/>
  <c r="IL471" i="11"/>
  <c r="A471" i="11" s="1"/>
  <c r="F471" i="32" s="1"/>
  <c r="IL349" i="11"/>
  <c r="A349" i="11" s="1"/>
  <c r="F349" i="32" s="1"/>
  <c r="IL440" i="11"/>
  <c r="A440" i="11" s="1"/>
  <c r="F440" i="32" s="1"/>
  <c r="IL497" i="11"/>
  <c r="A497" i="11" s="1"/>
  <c r="F497" i="32" s="1"/>
  <c r="IL525" i="11"/>
  <c r="A525" i="11" s="1"/>
  <c r="F525" i="32" s="1"/>
  <c r="IL360" i="11"/>
  <c r="A360" i="11" s="1"/>
  <c r="F360" i="32" s="1"/>
  <c r="IL657" i="11"/>
  <c r="A657" i="11" s="1"/>
  <c r="F657" i="32" s="1"/>
  <c r="IL426" i="11"/>
  <c r="A426" i="11" s="1"/>
  <c r="F426" i="32" s="1"/>
  <c r="IL613" i="11"/>
  <c r="A613" i="11" s="1"/>
  <c r="F613" i="32" s="1"/>
  <c r="IL538" i="11"/>
  <c r="A538" i="11" s="1"/>
  <c r="F538" i="32" s="1"/>
  <c r="IL385" i="11"/>
  <c r="A385" i="11" s="1"/>
  <c r="F385" i="32" s="1"/>
  <c r="IL612" i="11"/>
  <c r="A612" i="11" s="1"/>
  <c r="F612" i="32" s="1"/>
  <c r="IL609" i="11"/>
  <c r="A609" i="11" s="1"/>
  <c r="F609" i="32" s="1"/>
  <c r="IL459" i="11"/>
  <c r="A459" i="11" s="1"/>
  <c r="F459" i="32" s="1"/>
  <c r="IL541" i="11"/>
  <c r="A541" i="11" s="1"/>
  <c r="F541" i="32" s="1"/>
  <c r="IL461" i="11"/>
  <c r="A461" i="11" s="1"/>
  <c r="F461" i="32" s="1"/>
  <c r="IL586" i="11"/>
  <c r="A586" i="11" s="1"/>
  <c r="F586" i="32" s="1"/>
  <c r="IL649" i="11"/>
  <c r="A649" i="11" s="1"/>
  <c r="F649" i="32" s="1"/>
  <c r="IL540" i="11"/>
  <c r="A540" i="11" s="1"/>
  <c r="F540" i="32" s="1"/>
  <c r="IL579" i="11"/>
  <c r="A579" i="11" s="1"/>
  <c r="F579" i="32" s="1"/>
  <c r="IL383" i="11"/>
  <c r="A383" i="11" s="1"/>
  <c r="F383" i="32" s="1"/>
  <c r="IL529" i="11"/>
  <c r="A529" i="11" s="1"/>
  <c r="F529" i="32" s="1"/>
  <c r="IL452" i="11"/>
  <c r="A452" i="11" s="1"/>
  <c r="F452" i="32" s="1"/>
  <c r="IL633" i="11"/>
  <c r="A633" i="11" s="1"/>
  <c r="F633" i="32" s="1"/>
  <c r="IL494" i="11"/>
  <c r="A494" i="11" s="1"/>
  <c r="F494" i="32" s="1"/>
  <c r="IL581" i="11"/>
  <c r="A581" i="11" s="1"/>
  <c r="F581" i="32" s="1"/>
  <c r="IL568" i="11"/>
  <c r="A568" i="11" s="1"/>
  <c r="F568" i="32" s="1"/>
  <c r="IL441" i="11"/>
  <c r="A441" i="11" s="1"/>
  <c r="F441" i="32" s="1"/>
  <c r="IL427" i="11"/>
  <c r="A427" i="11" s="1"/>
  <c r="F427" i="32" s="1"/>
  <c r="IL338" i="11"/>
  <c r="A338" i="11" s="1"/>
  <c r="F338" i="32" s="1"/>
  <c r="IL367" i="11"/>
  <c r="A367" i="11" s="1"/>
  <c r="F367" i="32" s="1"/>
  <c r="IL491" i="11"/>
  <c r="A491" i="11" s="1"/>
  <c r="F491" i="32" s="1"/>
  <c r="IL324" i="11"/>
  <c r="A324" i="11" s="1"/>
  <c r="F324" i="32" s="1"/>
  <c r="IL390" i="11"/>
  <c r="A390" i="11" s="1"/>
  <c r="F390" i="32" s="1"/>
  <c r="IL486" i="11"/>
  <c r="A486" i="11" s="1"/>
  <c r="F486" i="32" s="1"/>
  <c r="IL532" i="11"/>
  <c r="A532" i="11" s="1"/>
  <c r="F532" i="32" s="1"/>
  <c r="IL509" i="11"/>
  <c r="A509" i="11" s="1"/>
  <c r="F509" i="32" s="1"/>
  <c r="IL413" i="11"/>
  <c r="A413" i="11" s="1"/>
  <c r="F413" i="32" s="1"/>
  <c r="IL341" i="11"/>
  <c r="A341" i="11" s="1"/>
  <c r="F341" i="32" s="1"/>
  <c r="IL644" i="11"/>
  <c r="A644" i="11" s="1"/>
  <c r="F644" i="32" s="1"/>
  <c r="IL484" i="11"/>
  <c r="A484" i="11" s="1"/>
  <c r="F484" i="32" s="1"/>
  <c r="IL512" i="11"/>
  <c r="A512" i="11" s="1"/>
  <c r="F512" i="32" s="1"/>
  <c r="IL510" i="11"/>
  <c r="A510" i="11" s="1"/>
  <c r="F510" i="32" s="1"/>
  <c r="IL358" i="11"/>
  <c r="A358" i="11" s="1"/>
  <c r="F358" i="32" s="1"/>
  <c r="IL448" i="11"/>
  <c r="A448" i="11" s="1"/>
  <c r="F448" i="32" s="1"/>
  <c r="IL382" i="11"/>
  <c r="A382" i="11" s="1"/>
  <c r="F382" i="32" s="1"/>
  <c r="IL536" i="11"/>
  <c r="A536" i="11" s="1"/>
  <c r="F536" i="32" s="1"/>
  <c r="IL334" i="11"/>
  <c r="A334" i="11" s="1"/>
  <c r="F334" i="32" s="1"/>
  <c r="IL421" i="11"/>
  <c r="A421" i="11" s="1"/>
  <c r="F421" i="32" s="1"/>
  <c r="IL370" i="11"/>
  <c r="A370" i="11" s="1"/>
  <c r="F370" i="32" s="1"/>
  <c r="IL353" i="11"/>
  <c r="A353" i="11" s="1"/>
  <c r="F353" i="32" s="1"/>
  <c r="IL346" i="11"/>
  <c r="A346" i="11" s="1"/>
  <c r="F346" i="32" s="1"/>
  <c r="IL574" i="11"/>
  <c r="A574" i="11" s="1"/>
  <c r="F574" i="32" s="1"/>
  <c r="IL627" i="11"/>
  <c r="A627" i="11" s="1"/>
  <c r="F627" i="32" s="1"/>
  <c r="IL655" i="11"/>
  <c r="A655" i="11" s="1"/>
  <c r="F655" i="32" s="1"/>
  <c r="IL473" i="11"/>
  <c r="A473" i="11" s="1"/>
  <c r="F473" i="32" s="1"/>
  <c r="IL395" i="11"/>
  <c r="A395" i="11" s="1"/>
  <c r="F395" i="32" s="1"/>
  <c r="IL556" i="11"/>
  <c r="A556" i="11" s="1"/>
  <c r="F556" i="32" s="1"/>
  <c r="IL396" i="11"/>
  <c r="A396" i="11" s="1"/>
  <c r="F396" i="32" s="1"/>
  <c r="IL558" i="11"/>
  <c r="A558" i="11" s="1"/>
  <c r="F558" i="32" s="1"/>
  <c r="IL431" i="11"/>
  <c r="A431" i="11" s="1"/>
  <c r="F431" i="32" s="1"/>
  <c r="IL646" i="11"/>
  <c r="A646" i="11" s="1"/>
  <c r="F646" i="32" s="1"/>
  <c r="IL436" i="11"/>
  <c r="A436" i="11" s="1"/>
  <c r="F436" i="32" s="1"/>
  <c r="IL343" i="11"/>
  <c r="A343" i="11" s="1"/>
  <c r="F343" i="32" s="1"/>
  <c r="IL654" i="11"/>
  <c r="A654" i="11" s="1"/>
  <c r="F654" i="32" s="1"/>
  <c r="IL477" i="11"/>
  <c r="A477" i="11" s="1"/>
  <c r="F477" i="32" s="1"/>
  <c r="IL416" i="11"/>
  <c r="A416" i="11" s="1"/>
  <c r="F416" i="32" s="1"/>
  <c r="IL335" i="11"/>
  <c r="A335" i="11" s="1"/>
  <c r="F335" i="32" s="1"/>
  <c r="IL585" i="11"/>
  <c r="A585" i="11" s="1"/>
  <c r="F585" i="32" s="1"/>
  <c r="IL621" i="11"/>
  <c r="A621" i="11" s="1"/>
  <c r="F621" i="32" s="1"/>
  <c r="IL418" i="11"/>
  <c r="A418" i="11" s="1"/>
  <c r="F418" i="32" s="1"/>
  <c r="IL547" i="11"/>
  <c r="A547" i="11" s="1"/>
  <c r="F547" i="32" s="1"/>
  <c r="IL462" i="11"/>
  <c r="A462" i="11" s="1"/>
  <c r="F462" i="32" s="1"/>
  <c r="IL630" i="11"/>
  <c r="A630" i="11" s="1"/>
  <c r="F630" i="32" s="1"/>
  <c r="IL595" i="11"/>
  <c r="A595" i="11" s="1"/>
  <c r="F595" i="32" s="1"/>
  <c r="IL637" i="11"/>
  <c r="A637" i="11" s="1"/>
  <c r="F637" i="32" s="1"/>
  <c r="IL463" i="11"/>
  <c r="A463" i="11" s="1"/>
  <c r="F463" i="32" s="1"/>
  <c r="IL465" i="11"/>
  <c r="A465" i="11" s="1"/>
  <c r="F465" i="32" s="1"/>
  <c r="IL409" i="11"/>
  <c r="A409" i="11" s="1"/>
  <c r="F409" i="32" s="1"/>
  <c r="IL641" i="11"/>
  <c r="A641" i="11" s="1"/>
  <c r="F641" i="32" s="1"/>
  <c r="IL388" i="11"/>
  <c r="A388" i="11" s="1"/>
  <c r="F388" i="32" s="1"/>
  <c r="IL597" i="11"/>
  <c r="A597" i="11" s="1"/>
  <c r="F597" i="32" s="1"/>
  <c r="IL623" i="11"/>
  <c r="A623" i="11" s="1"/>
  <c r="F623" i="32" s="1"/>
  <c r="IL652" i="11"/>
  <c r="A652" i="11" s="1"/>
  <c r="F652" i="32" s="1"/>
  <c r="IL357" i="11"/>
  <c r="A357" i="11" s="1"/>
  <c r="F357" i="32" s="1"/>
  <c r="IL347" i="11"/>
  <c r="A347" i="11" s="1"/>
  <c r="F347" i="32" s="1"/>
  <c r="IL438" i="11"/>
  <c r="A438" i="11" s="1"/>
  <c r="F438" i="32" s="1"/>
  <c r="IL361" i="11"/>
  <c r="A361" i="11" s="1"/>
  <c r="F361" i="32" s="1"/>
  <c r="IL439" i="11"/>
  <c r="A439" i="11" s="1"/>
  <c r="F439" i="32" s="1"/>
  <c r="IL650" i="11"/>
  <c r="A650" i="11" s="1"/>
  <c r="F650" i="32" s="1"/>
  <c r="IL446" i="11"/>
  <c r="A446" i="11" s="1"/>
  <c r="F446" i="32" s="1"/>
  <c r="IL598" i="11"/>
  <c r="A598" i="11" s="1"/>
  <c r="F598" i="32" s="1"/>
  <c r="IL365" i="11"/>
  <c r="A365" i="11" s="1"/>
  <c r="F365" i="32" s="1"/>
  <c r="IL526" i="11"/>
  <c r="A526" i="11" s="1"/>
  <c r="F526" i="32" s="1"/>
  <c r="IL464" i="11"/>
  <c r="A464" i="11" s="1"/>
  <c r="F464" i="32" s="1"/>
  <c r="IL661" i="11"/>
  <c r="A661" i="11" s="1"/>
  <c r="F661" i="32" s="1"/>
  <c r="IL333" i="11"/>
  <c r="A333" i="11" s="1"/>
  <c r="F333" i="32" s="1"/>
  <c r="IL348" i="11"/>
  <c r="A348" i="11" s="1"/>
  <c r="F348" i="32" s="1"/>
  <c r="IL520" i="11"/>
  <c r="A520" i="11" s="1"/>
  <c r="F520" i="32" s="1"/>
  <c r="IL535" i="11"/>
  <c r="A535" i="11" s="1"/>
  <c r="F535" i="32" s="1"/>
  <c r="IL381" i="11"/>
  <c r="A381" i="11" s="1"/>
  <c r="F381" i="32" s="1"/>
  <c r="IL551" i="11"/>
  <c r="A551" i="11" s="1"/>
  <c r="F551" i="32" s="1"/>
  <c r="IL362" i="11"/>
  <c r="A362" i="11" s="1"/>
  <c r="F362" i="32" s="1"/>
  <c r="IL566" i="11"/>
  <c r="A566" i="11" s="1"/>
  <c r="F566" i="32" s="1"/>
  <c r="IL619" i="11"/>
  <c r="A619" i="11" s="1"/>
  <c r="F619" i="32" s="1"/>
  <c r="IL490" i="11"/>
  <c r="A490" i="11" s="1"/>
  <c r="F490" i="32" s="1"/>
  <c r="IL447" i="11"/>
  <c r="A447" i="11" s="1"/>
  <c r="F447" i="32" s="1"/>
  <c r="IL472" i="11"/>
  <c r="A472" i="11" s="1"/>
  <c r="F472" i="32" s="1"/>
  <c r="IL625" i="11"/>
  <c r="A625" i="11" s="1"/>
  <c r="F625" i="32" s="1"/>
  <c r="IL378" i="11"/>
  <c r="A378" i="11" s="1"/>
  <c r="F378" i="32" s="1"/>
  <c r="IL555" i="11"/>
  <c r="A555" i="11" s="1"/>
  <c r="F555" i="32" s="1"/>
  <c r="IL507" i="11"/>
  <c r="A507" i="11" s="1"/>
  <c r="F507" i="32" s="1"/>
  <c r="IL515" i="11"/>
  <c r="A515" i="11" s="1"/>
  <c r="F515" i="32" s="1"/>
  <c r="IL415" i="11"/>
  <c r="A415" i="11" s="1"/>
  <c r="F415" i="32" s="1"/>
  <c r="IL487" i="11"/>
  <c r="A487" i="11" s="1"/>
  <c r="F487" i="32" s="1"/>
  <c r="A223" i="17"/>
  <c r="F185" i="32"/>
  <c r="A202" i="15"/>
  <c r="F192" i="32"/>
  <c r="IK635" i="15"/>
  <c r="A635" i="15" s="1"/>
  <c r="A216" i="15"/>
  <c r="A206" i="11"/>
  <c r="IK590" i="15"/>
  <c r="A590" i="15" s="1"/>
  <c r="IK636" i="15"/>
  <c r="A636" i="15" s="1"/>
  <c r="A214" i="15"/>
  <c r="IK331" i="15"/>
  <c r="A331" i="15" s="1"/>
  <c r="IK532" i="15"/>
  <c r="A532" i="15" s="1"/>
  <c r="IK332" i="15"/>
  <c r="A332" i="15" s="1"/>
  <c r="A227" i="15"/>
  <c r="A211" i="27"/>
  <c r="A200" i="30"/>
  <c r="IK365" i="15"/>
  <c r="A365" i="15" s="1"/>
  <c r="IK486" i="15"/>
  <c r="A486" i="15" s="1"/>
  <c r="F207" i="32"/>
  <c r="IK534" i="15"/>
  <c r="A534" i="15" s="1"/>
  <c r="IK616" i="15"/>
  <c r="A616" i="15" s="1"/>
  <c r="IK406" i="15"/>
  <c r="A406" i="15" s="1"/>
  <c r="A226" i="30"/>
  <c r="A210" i="11"/>
  <c r="F214" i="32"/>
  <c r="IK453" i="15"/>
  <c r="A453" i="15" s="1"/>
  <c r="IK402" i="15"/>
  <c r="A402" i="15" s="1"/>
  <c r="IK652" i="15"/>
  <c r="A652" i="15" s="1"/>
  <c r="IK404" i="15"/>
  <c r="A404" i="15" s="1"/>
  <c r="A200" i="11"/>
  <c r="A222" i="17"/>
  <c r="IK476" i="15"/>
  <c r="A476" i="15" s="1"/>
  <c r="A183" i="30"/>
  <c r="A214" i="17"/>
  <c r="A200" i="27"/>
  <c r="IK541" i="15"/>
  <c r="A541" i="15" s="1"/>
  <c r="IK630" i="15"/>
  <c r="A630" i="15" s="1"/>
  <c r="IK418" i="15"/>
  <c r="A418" i="15" s="1"/>
  <c r="IK575" i="15"/>
  <c r="A575" i="15" s="1"/>
  <c r="A198" i="30"/>
  <c r="IK629" i="15"/>
  <c r="A629" i="15" s="1"/>
  <c r="A203" i="27"/>
  <c r="A220" i="30"/>
  <c r="A191" i="27"/>
  <c r="A204" i="17"/>
  <c r="A215" i="27"/>
  <c r="A186" i="15"/>
  <c r="A197" i="11"/>
  <c r="A184" i="27"/>
  <c r="IK620" i="15"/>
  <c r="A620" i="15" s="1"/>
  <c r="IK385" i="15"/>
  <c r="A385" i="15" s="1"/>
  <c r="IK475" i="15"/>
  <c r="A475" i="15" s="1"/>
  <c r="F184" i="32"/>
  <c r="IK570" i="15"/>
  <c r="A570" i="15" s="1"/>
  <c r="IK378" i="15"/>
  <c r="A378" i="15" s="1"/>
  <c r="IK563" i="15"/>
  <c r="A563" i="15" s="1"/>
  <c r="A215" i="17"/>
  <c r="A205" i="17"/>
  <c r="IK569" i="15"/>
  <c r="A569" i="15" s="1"/>
  <c r="IK457" i="15"/>
  <c r="A457" i="15" s="1"/>
  <c r="IK501" i="15"/>
  <c r="A501" i="15" s="1"/>
  <c r="IK380" i="15"/>
  <c r="A380" i="15" s="1"/>
  <c r="F210" i="32"/>
  <c r="A205" i="15"/>
  <c r="IK413" i="15"/>
  <c r="A413" i="15" s="1"/>
  <c r="IK511" i="15"/>
  <c r="A511" i="15" s="1"/>
  <c r="F195" i="32"/>
  <c r="IK599" i="15"/>
  <c r="A599" i="15" s="1"/>
  <c r="IK452" i="15"/>
  <c r="A452" i="15" s="1"/>
  <c r="IK647" i="15"/>
  <c r="A647" i="15" s="1"/>
  <c r="IK485" i="15"/>
  <c r="A485" i="15" s="1"/>
  <c r="IK631" i="15"/>
  <c r="A631" i="15" s="1"/>
  <c r="IK579" i="15"/>
  <c r="A579" i="15" s="1"/>
  <c r="IK492" i="15"/>
  <c r="A492" i="15" s="1"/>
  <c r="A209" i="27"/>
  <c r="A211" i="15"/>
  <c r="F193" i="32"/>
  <c r="A192" i="15"/>
  <c r="A195" i="30"/>
  <c r="A193" i="17"/>
  <c r="IK633" i="15"/>
  <c r="A633" i="15" s="1"/>
  <c r="IK554" i="15"/>
  <c r="A554" i="15" s="1"/>
  <c r="IK355" i="15"/>
  <c r="A355" i="15" s="1"/>
  <c r="A209" i="30"/>
  <c r="A202" i="17"/>
  <c r="A206" i="15"/>
  <c r="A204" i="30"/>
  <c r="F191" i="32"/>
  <c r="A204" i="27"/>
  <c r="A184" i="17"/>
  <c r="A220" i="15"/>
  <c r="A185" i="30"/>
  <c r="A208" i="17"/>
  <c r="A224" i="11"/>
  <c r="F211" i="32"/>
  <c r="A223" i="15"/>
  <c r="A222" i="30"/>
  <c r="A182" i="30"/>
  <c r="IK577" i="15"/>
  <c r="A577" i="15" s="1"/>
  <c r="IK403" i="15"/>
  <c r="A403" i="15" s="1"/>
  <c r="IK502" i="15"/>
  <c r="A502" i="15" s="1"/>
  <c r="IK625" i="15"/>
  <c r="A625" i="15" s="1"/>
  <c r="IK558" i="15"/>
  <c r="A558" i="15" s="1"/>
  <c r="IK436" i="15"/>
  <c r="A436" i="15" s="1"/>
  <c r="IK345" i="15"/>
  <c r="A345" i="15" s="1"/>
  <c r="A194" i="17"/>
  <c r="A183" i="17"/>
  <c r="A212" i="27"/>
  <c r="IK351" i="15"/>
  <c r="A351" i="15" s="1"/>
  <c r="IK488" i="15"/>
  <c r="A488" i="15" s="1"/>
  <c r="IK592" i="15"/>
  <c r="A592" i="15" s="1"/>
  <c r="IK468" i="15"/>
  <c r="A468" i="15" s="1"/>
  <c r="IK347" i="15"/>
  <c r="A347" i="15" s="1"/>
  <c r="A221" i="11"/>
  <c r="A182" i="11"/>
  <c r="IK471" i="15"/>
  <c r="A471" i="15" s="1"/>
  <c r="IK442" i="15"/>
  <c r="A442" i="15" s="1"/>
  <c r="F198" i="32"/>
  <c r="A193" i="30"/>
  <c r="IK646" i="15"/>
  <c r="A646" i="15" s="1"/>
  <c r="IK433" i="15"/>
  <c r="A433" i="15" s="1"/>
  <c r="IK416" i="15"/>
  <c r="A416" i="15" s="1"/>
  <c r="IK522" i="15"/>
  <c r="A522" i="15" s="1"/>
  <c r="IK557" i="15"/>
  <c r="A557" i="15" s="1"/>
  <c r="IK394" i="15"/>
  <c r="A394" i="15" s="1"/>
  <c r="IK465" i="15"/>
  <c r="A465" i="15" s="1"/>
  <c r="IK341" i="15"/>
  <c r="A341" i="15" s="1"/>
  <c r="IK448" i="15"/>
  <c r="A448" i="15" s="1"/>
  <c r="IK517" i="15"/>
  <c r="A517" i="15" s="1"/>
  <c r="IK623" i="15"/>
  <c r="A623" i="15" s="1"/>
  <c r="IK543" i="15"/>
  <c r="A543" i="15" s="1"/>
  <c r="IK460" i="15"/>
  <c r="A460" i="15" s="1"/>
  <c r="IK405" i="15"/>
  <c r="A405" i="15" s="1"/>
  <c r="IK565" i="15"/>
  <c r="A565" i="15" s="1"/>
  <c r="IK622" i="15"/>
  <c r="A622" i="15" s="1"/>
  <c r="IK360" i="15"/>
  <c r="A360" i="15" s="1"/>
  <c r="IK431" i="15"/>
  <c r="A431" i="15" s="1"/>
  <c r="IK495" i="15"/>
  <c r="A495" i="15" s="1"/>
  <c r="IK548" i="15"/>
  <c r="A548" i="15" s="1"/>
  <c r="IK606" i="15"/>
  <c r="A606" i="15" s="1"/>
  <c r="IK559" i="15"/>
  <c r="A559" i="15" s="1"/>
  <c r="IK479" i="15"/>
  <c r="A479" i="15" s="1"/>
  <c r="IK407" i="15"/>
  <c r="A407" i="15" s="1"/>
  <c r="IK340" i="15"/>
  <c r="A340" i="15" s="1"/>
  <c r="IK583" i="15"/>
  <c r="A583" i="15" s="1"/>
  <c r="IK370" i="15"/>
  <c r="A370" i="15" s="1"/>
  <c r="IK423" i="15"/>
  <c r="A423" i="15" s="1"/>
  <c r="IK513" i="15"/>
  <c r="A513" i="15" s="1"/>
  <c r="IK584" i="15"/>
  <c r="A584" i="15" s="1"/>
  <c r="IK656" i="15"/>
  <c r="A656" i="15" s="1"/>
  <c r="IK514" i="15"/>
  <c r="A514" i="15" s="1"/>
  <c r="IK445" i="15"/>
  <c r="A445" i="15" s="1"/>
  <c r="IK377" i="15"/>
  <c r="A377" i="15" s="1"/>
  <c r="IK593" i="15"/>
  <c r="A593" i="15" s="1"/>
  <c r="IK470" i="15"/>
  <c r="A470" i="15" s="1"/>
  <c r="IK354" i="15"/>
  <c r="A354" i="15" s="1"/>
  <c r="IK334" i="15"/>
  <c r="A334" i="15" s="1"/>
  <c r="IK329" i="15"/>
  <c r="A329" i="15" s="1"/>
  <c r="IK564" i="15"/>
  <c r="A564" i="15" s="1"/>
  <c r="IK531" i="15"/>
  <c r="A531" i="15" s="1"/>
  <c r="IK574" i="15"/>
  <c r="A574" i="15" s="1"/>
  <c r="IK441" i="15"/>
  <c r="A441" i="15" s="1"/>
  <c r="IK379" i="15"/>
  <c r="A379" i="15" s="1"/>
  <c r="IK602" i="15"/>
  <c r="A602" i="15" s="1"/>
  <c r="IK449" i="15"/>
  <c r="A449" i="15" s="1"/>
  <c r="IK415" i="15"/>
  <c r="A415" i="15" s="1"/>
  <c r="IK506" i="15"/>
  <c r="A506" i="15" s="1"/>
  <c r="IK525" i="15"/>
  <c r="A525" i="15" s="1"/>
  <c r="IK497" i="15"/>
  <c r="A497" i="15" s="1"/>
  <c r="IK361" i="15"/>
  <c r="A361" i="15" s="1"/>
  <c r="IK571" i="15"/>
  <c r="A571" i="15" s="1"/>
  <c r="IK376" i="15"/>
  <c r="A376" i="15" s="1"/>
  <c r="IK478" i="15"/>
  <c r="A478" i="15" s="1"/>
  <c r="IK550" i="15"/>
  <c r="A550" i="15" s="1"/>
  <c r="IK653" i="15"/>
  <c r="A653" i="15" s="1"/>
  <c r="IK516" i="15"/>
  <c r="A516" i="15" s="1"/>
  <c r="IK487" i="15"/>
  <c r="A487" i="15" s="1"/>
  <c r="IK518" i="15"/>
  <c r="A518" i="15" s="1"/>
  <c r="IK343" i="15"/>
  <c r="A343" i="15" s="1"/>
  <c r="IK650" i="15"/>
  <c r="A650" i="15" s="1"/>
  <c r="IK611" i="15"/>
  <c r="A611" i="15" s="1"/>
  <c r="IK613" i="15"/>
  <c r="A613" i="15" s="1"/>
  <c r="IK642" i="15"/>
  <c r="A642" i="15" s="1"/>
  <c r="IK530" i="15"/>
  <c r="A530" i="15" s="1"/>
  <c r="IK654" i="15"/>
  <c r="A654" i="15" s="1"/>
  <c r="IK605" i="15"/>
  <c r="A605" i="15" s="1"/>
  <c r="IK408" i="15"/>
  <c r="A408" i="15" s="1"/>
  <c r="IK484" i="15"/>
  <c r="A484" i="15" s="1"/>
  <c r="IK582" i="15"/>
  <c r="A582" i="15" s="1"/>
  <c r="IK660" i="15"/>
  <c r="A660" i="15" s="1"/>
  <c r="IK496" i="15"/>
  <c r="A496" i="15" s="1"/>
  <c r="IK435" i="15"/>
  <c r="A435" i="15" s="1"/>
  <c r="IK359" i="15"/>
  <c r="A359" i="15" s="1"/>
  <c r="IK615" i="15"/>
  <c r="A615" i="15" s="1"/>
  <c r="IK459" i="15"/>
  <c r="A459" i="15" s="1"/>
  <c r="IK328" i="15"/>
  <c r="IK398" i="15"/>
  <c r="A398" i="15" s="1"/>
  <c r="IK458" i="15"/>
  <c r="A458" i="15" s="1"/>
  <c r="IK528" i="15"/>
  <c r="A528" i="15" s="1"/>
  <c r="IK580" i="15"/>
  <c r="A580" i="15" s="1"/>
  <c r="IK641" i="15"/>
  <c r="A641" i="15" s="1"/>
  <c r="IK512" i="15"/>
  <c r="A512" i="15" s="1"/>
  <c r="IK430" i="15"/>
  <c r="A430" i="15" s="1"/>
  <c r="IK363" i="15"/>
  <c r="A363" i="15" s="1"/>
  <c r="IK624" i="15"/>
  <c r="A624" i="15" s="1"/>
  <c r="A193" i="11"/>
  <c r="A219" i="15"/>
  <c r="A187" i="15"/>
  <c r="A221" i="15"/>
  <c r="A199" i="15"/>
  <c r="A182" i="15"/>
  <c r="F212" i="32"/>
  <c r="A192" i="17"/>
  <c r="A192" i="27"/>
  <c r="A215" i="15"/>
  <c r="A194" i="15"/>
  <c r="A224" i="17"/>
  <c r="A199" i="11"/>
  <c r="A222" i="27"/>
  <c r="A201" i="27"/>
  <c r="A203" i="11"/>
  <c r="F199" i="32"/>
  <c r="A226" i="27"/>
  <c r="A219" i="17"/>
  <c r="A205" i="27"/>
  <c r="A198" i="17"/>
  <c r="A202" i="11"/>
  <c r="A195" i="27"/>
  <c r="A188" i="17"/>
  <c r="A194" i="11"/>
  <c r="F225" i="32"/>
  <c r="A185" i="15"/>
  <c r="A223" i="11"/>
  <c r="F206" i="32"/>
  <c r="A201" i="11"/>
  <c r="F203" i="32"/>
  <c r="A225" i="27"/>
  <c r="A218" i="17"/>
  <c r="A196" i="17"/>
  <c r="A223" i="30"/>
  <c r="A183" i="11"/>
  <c r="A210" i="17"/>
  <c r="A191" i="30"/>
  <c r="A225" i="11"/>
  <c r="A227" i="11"/>
  <c r="A205" i="11"/>
  <c r="A184" i="11"/>
  <c r="A185" i="27"/>
  <c r="F197" i="32"/>
  <c r="A214" i="30"/>
  <c r="A192" i="30"/>
  <c r="A216" i="11"/>
  <c r="A185" i="17"/>
  <c r="A208" i="30"/>
  <c r="A187" i="30"/>
  <c r="IK551" i="15"/>
  <c r="A551" i="15" s="1"/>
  <c r="IK573" i="15"/>
  <c r="A573" i="15" s="1"/>
  <c r="IK561" i="15"/>
  <c r="A561" i="15" s="1"/>
  <c r="F188" i="32"/>
  <c r="A207" i="11"/>
  <c r="IK456" i="15"/>
  <c r="A456" i="15" s="1"/>
  <c r="IK643" i="15"/>
  <c r="A643" i="15" s="1"/>
  <c r="IK324" i="15"/>
  <c r="A324" i="15" s="1"/>
  <c r="IK509" i="15"/>
  <c r="A509" i="15" s="1"/>
  <c r="IK503" i="15"/>
  <c r="A503" i="15" s="1"/>
  <c r="IK429" i="15"/>
  <c r="A429" i="15" s="1"/>
  <c r="IK473" i="15"/>
  <c r="A473" i="15" s="1"/>
  <c r="A199" i="30"/>
  <c r="A190" i="15"/>
  <c r="A185" i="11"/>
  <c r="A197" i="17"/>
  <c r="A188" i="27"/>
  <c r="A213" i="30"/>
  <c r="A227" i="17"/>
  <c r="F200" i="32"/>
  <c r="A214" i="11"/>
  <c r="F216" i="32"/>
  <c r="F196" i="32"/>
  <c r="A221" i="27"/>
  <c r="A216" i="30"/>
  <c r="A207" i="15"/>
  <c r="A219" i="11"/>
  <c r="A187" i="27"/>
  <c r="IK336" i="15"/>
  <c r="A336" i="15" s="1"/>
  <c r="IK432" i="15"/>
  <c r="A432" i="15" s="1"/>
  <c r="IK523" i="15"/>
  <c r="A523" i="15" s="1"/>
  <c r="IK619" i="15"/>
  <c r="A619" i="15" s="1"/>
  <c r="IK538" i="15"/>
  <c r="A538" i="15" s="1"/>
  <c r="IK409" i="15"/>
  <c r="A409" i="15" s="1"/>
  <c r="IK335" i="15"/>
  <c r="A335" i="15" s="1"/>
  <c r="A207" i="30"/>
  <c r="A190" i="27"/>
  <c r="A212" i="15"/>
  <c r="IK389" i="15"/>
  <c r="A389" i="15" s="1"/>
  <c r="IK533" i="15"/>
  <c r="A533" i="15" s="1"/>
  <c r="IK560" i="15"/>
  <c r="A560" i="15" s="1"/>
  <c r="IK438" i="15"/>
  <c r="A438" i="15" s="1"/>
  <c r="IK659" i="15"/>
  <c r="A659" i="15" s="1"/>
  <c r="F205" i="32"/>
  <c r="A183" i="15"/>
  <c r="IK661" i="15"/>
  <c r="A661" i="15" s="1"/>
  <c r="IK549" i="15"/>
  <c r="A549" i="15" s="1"/>
  <c r="IK640" i="15"/>
  <c r="A640" i="15" s="1"/>
  <c r="A189" i="15"/>
  <c r="IK536" i="15"/>
  <c r="A536" i="15" s="1"/>
  <c r="IK634" i="15"/>
  <c r="A634" i="15" s="1"/>
  <c r="AF17" i="33"/>
  <c r="A16" i="33"/>
  <c r="N242" i="14"/>
  <c r="P242" i="14"/>
  <c r="A247" i="28"/>
  <c r="A202" i="28"/>
  <c r="P7" i="6"/>
  <c r="AC137" i="7" s="1"/>
  <c r="V151" i="34" a="1"/>
  <c r="V151" i="34" s="1"/>
  <c r="EP90" i="35"/>
  <c r="A217" i="28"/>
  <c r="S217" i="28" s="1"/>
  <c r="Q29" i="20"/>
  <c r="AP54" i="7"/>
  <c r="A119" i="33"/>
  <c r="A253" i="28"/>
  <c r="S253" i="28" s="1"/>
  <c r="A210" i="28"/>
  <c r="R210" i="28" s="1"/>
  <c r="P107" i="7"/>
  <c r="CX372" i="7"/>
  <c r="CB174" i="14" s="1"/>
  <c r="Q38" i="20"/>
  <c r="P98" i="6"/>
  <c r="J98" i="6" s="1"/>
  <c r="AA126" i="18"/>
  <c r="AH119" i="7"/>
  <c r="AH114" i="7"/>
  <c r="AH116" i="7"/>
  <c r="AH150" i="7"/>
  <c r="Z36" i="20"/>
  <c r="P11" i="7"/>
  <c r="P96" i="6"/>
  <c r="J96" i="6" s="1"/>
  <c r="Q42" i="20"/>
  <c r="I76" i="22"/>
  <c r="P97" i="6"/>
  <c r="J97" i="6" s="1"/>
  <c r="AT126" i="18"/>
  <c r="AK122" i="18"/>
  <c r="AH126" i="7"/>
  <c r="Z38" i="20"/>
  <c r="AH138" i="7"/>
  <c r="AB72" i="22"/>
  <c r="AB75" i="22"/>
  <c r="AQ126" i="18"/>
  <c r="AD126" i="18"/>
  <c r="AH126" i="18"/>
  <c r="AH137" i="7"/>
  <c r="AH139" i="7"/>
  <c r="AH127" i="7"/>
  <c r="AH140" i="7"/>
  <c r="AH112" i="7"/>
  <c r="AD76" i="22"/>
  <c r="P113" i="7"/>
  <c r="P94" i="7"/>
  <c r="A631" i="27"/>
  <c r="A416" i="27"/>
  <c r="A639" i="27"/>
  <c r="A483" i="27"/>
  <c r="A679" i="27"/>
  <c r="A530" i="27"/>
  <c r="A570" i="27"/>
  <c r="A410" i="27"/>
  <c r="A559" i="27"/>
  <c r="A474" i="27"/>
  <c r="A365" i="27"/>
  <c r="A581" i="27"/>
  <c r="A546" i="27"/>
  <c r="A500" i="27"/>
  <c r="A456" i="27"/>
  <c r="A593" i="27"/>
  <c r="A585" i="27"/>
  <c r="A455" i="27"/>
  <c r="A414" i="27"/>
  <c r="A608" i="27"/>
  <c r="A652" i="27"/>
  <c r="A494" i="27"/>
  <c r="A385" i="27"/>
  <c r="A690" i="27"/>
  <c r="A655" i="27"/>
  <c r="A607" i="27"/>
  <c r="A602" i="27"/>
  <c r="A370" i="27"/>
  <c r="A677" i="27"/>
  <c r="A640" i="27"/>
  <c r="A638" i="27"/>
  <c r="A477" i="27"/>
  <c r="A578" i="27"/>
  <c r="A423" i="27"/>
  <c r="A620" i="27"/>
  <c r="A472" i="27"/>
  <c r="A358" i="27"/>
  <c r="A595" i="27"/>
  <c r="A558" i="27"/>
  <c r="A513" i="27"/>
  <c r="A502" i="27"/>
  <c r="A584" i="27"/>
  <c r="A496" i="27"/>
  <c r="A382" i="27"/>
  <c r="A404" i="27"/>
  <c r="A368" i="27"/>
  <c r="A402" i="27"/>
  <c r="A444" i="27"/>
  <c r="A375" i="27"/>
  <c r="A498" i="27"/>
  <c r="A417" i="27"/>
  <c r="A460" i="27"/>
  <c r="A501" i="27"/>
  <c r="A361" i="27"/>
  <c r="A671" i="27"/>
  <c r="A475" i="27"/>
  <c r="A633" i="27"/>
  <c r="A426" i="27"/>
  <c r="A582" i="27"/>
  <c r="A538" i="27"/>
  <c r="A664" i="27"/>
  <c r="A557" i="27"/>
  <c r="A598" i="27"/>
  <c r="A443" i="27"/>
  <c r="A645" i="27"/>
  <c r="A680" i="27"/>
  <c r="A531" i="27"/>
  <c r="A374" i="27"/>
  <c r="A637" i="27"/>
  <c r="A594" i="27"/>
  <c r="A549" i="27"/>
  <c r="A668" i="27"/>
  <c r="A425" i="27"/>
  <c r="A621" i="27"/>
  <c r="A579" i="27"/>
  <c r="A536" i="27"/>
  <c r="A535" i="27"/>
  <c r="A630" i="27"/>
  <c r="A678" i="27"/>
  <c r="A529" i="27"/>
  <c r="A572" i="27"/>
  <c r="A415" i="27"/>
  <c r="A609" i="27"/>
  <c r="A453" i="27"/>
  <c r="A458" i="27"/>
  <c r="A418" i="27"/>
  <c r="A383" i="27"/>
  <c r="A684" i="27"/>
  <c r="A442" i="27"/>
  <c r="A441" i="27"/>
  <c r="A409" i="27"/>
  <c r="A369" i="27"/>
  <c r="A669" i="27"/>
  <c r="A482" i="27"/>
  <c r="A653" i="27"/>
  <c r="A691" i="27"/>
  <c r="A539" i="27"/>
  <c r="A389" i="27"/>
  <c r="A583" i="27"/>
  <c r="A427" i="27"/>
  <c r="A629" i="27"/>
  <c r="A364" i="27"/>
  <c r="A674" i="27"/>
  <c r="A636" i="27"/>
  <c r="A586" i="27"/>
  <c r="A353" i="27"/>
  <c r="A663" i="27"/>
  <c r="A616" i="27"/>
  <c r="A575" i="27"/>
  <c r="A681" i="27"/>
  <c r="A560" i="27"/>
  <c r="A632" i="27"/>
  <c r="A676" i="27"/>
  <c r="A373" i="27"/>
  <c r="A406" i="27"/>
  <c r="A528" i="27"/>
  <c r="A649" i="27"/>
  <c r="A685" i="27"/>
  <c r="A384" i="27"/>
  <c r="A419" i="27"/>
  <c r="A400" i="27"/>
  <c r="A556" i="27"/>
  <c r="A363" i="27"/>
  <c r="A670" i="27"/>
  <c r="A619" i="27"/>
  <c r="A398" i="27"/>
  <c r="I108" i="6"/>
  <c r="AR134" i="18"/>
  <c r="R26" i="3"/>
  <c r="AE2" i="43" s="1"/>
  <c r="CW119" i="7"/>
  <c r="AD131" i="18"/>
  <c r="HI86" i="7"/>
  <c r="HJ81" i="7"/>
  <c r="AF124" i="18"/>
  <c r="Q3" i="44"/>
  <c r="Y3" i="44"/>
  <c r="P26" i="7"/>
  <c r="AG135" i="18"/>
  <c r="AA135" i="18"/>
  <c r="AK124" i="18"/>
  <c r="AQ121" i="18"/>
  <c r="HJ44" i="7"/>
  <c r="HI64" i="7"/>
  <c r="HI73" i="7"/>
  <c r="HJ91" i="7"/>
  <c r="AN124" i="18"/>
  <c r="AS131" i="18"/>
  <c r="AT131" i="18"/>
  <c r="AS121" i="18"/>
  <c r="V3" i="44"/>
  <c r="AT135" i="18"/>
  <c r="AH120" i="18"/>
  <c r="AG120" i="18"/>
  <c r="AQ120" i="18"/>
  <c r="AR123" i="18"/>
  <c r="AD132" i="18"/>
  <c r="AN132" i="18"/>
  <c r="AQ132" i="18"/>
  <c r="C127" i="20"/>
  <c r="AR124" i="18"/>
  <c r="AN121" i="18"/>
  <c r="AT132" i="18"/>
  <c r="AO124" i="18"/>
  <c r="HI68" i="7"/>
  <c r="HI85" i="7"/>
  <c r="HI35" i="7"/>
  <c r="AG121" i="18"/>
  <c r="HJ39" i="7"/>
  <c r="HJ24" i="7"/>
  <c r="HJ7" i="7"/>
  <c r="HI63" i="7"/>
  <c r="HJ90" i="7"/>
  <c r="P104" i="6"/>
  <c r="J104" i="6" s="1"/>
  <c r="I106" i="6"/>
  <c r="T3" i="44"/>
  <c r="P3" i="44"/>
  <c r="P105" i="6"/>
  <c r="J105" i="6" s="1"/>
  <c r="P95" i="6"/>
  <c r="J95" i="6" s="1"/>
  <c r="I107" i="6"/>
  <c r="AM131" i="18"/>
  <c r="R25" i="3"/>
  <c r="AD2" i="43" s="1"/>
  <c r="AL120" i="18"/>
  <c r="HI78" i="7"/>
  <c r="P106" i="6"/>
  <c r="J106" i="6" s="1"/>
  <c r="I105" i="6"/>
  <c r="I104" i="6"/>
  <c r="L3" i="7"/>
  <c r="E39" i="3"/>
  <c r="AI131" i="18"/>
  <c r="AC131" i="18"/>
  <c r="AO131" i="18"/>
  <c r="AM121" i="18"/>
  <c r="R3" i="44"/>
  <c r="AN131" i="18"/>
  <c r="AF120" i="18"/>
  <c r="CG179" i="10"/>
  <c r="AI135" i="18"/>
  <c r="AK132" i="18"/>
  <c r="HI22" i="7"/>
  <c r="HI65" i="7"/>
  <c r="N101" i="20"/>
  <c r="Q101" i="20" s="1"/>
  <c r="V149" i="34"/>
  <c r="L19" i="7"/>
  <c r="E18" i="39" s="1"/>
  <c r="M3" i="7"/>
  <c r="F2" i="39" s="1"/>
  <c r="L24" i="7"/>
  <c r="E23" i="39" s="1"/>
  <c r="CD88" i="10"/>
  <c r="IK381" i="15"/>
  <c r="A381" i="15" s="1"/>
  <c r="IK374" i="15"/>
  <c r="A374" i="15" s="1"/>
  <c r="IK603" i="15"/>
  <c r="A603" i="15" s="1"/>
  <c r="IK462" i="15"/>
  <c r="A462" i="15" s="1"/>
  <c r="IK440" i="15"/>
  <c r="A440" i="15" s="1"/>
  <c r="IK657" i="15"/>
  <c r="A657" i="15" s="1"/>
  <c r="IK368" i="15"/>
  <c r="A368" i="15" s="1"/>
  <c r="IK393" i="15"/>
  <c r="A393" i="15" s="1"/>
  <c r="IK364" i="15"/>
  <c r="A364" i="15" s="1"/>
  <c r="IK466" i="15"/>
  <c r="A466" i="15" s="1"/>
  <c r="IK596" i="15"/>
  <c r="A596" i="15" s="1"/>
  <c r="IK419" i="15"/>
  <c r="A419" i="15" s="1"/>
  <c r="IK621" i="15"/>
  <c r="A621" i="15" s="1"/>
  <c r="IK401" i="15"/>
  <c r="A401" i="15" s="1"/>
  <c r="IK600" i="15"/>
  <c r="A600" i="15" s="1"/>
  <c r="A190" i="11"/>
  <c r="F224" i="32"/>
  <c r="F220" i="32"/>
  <c r="A186" i="17"/>
  <c r="A212" i="11"/>
  <c r="A193" i="27"/>
  <c r="F186" i="32"/>
  <c r="A207" i="17"/>
  <c r="A188" i="30"/>
  <c r="A214" i="27"/>
  <c r="A195" i="15"/>
  <c r="F223" i="32"/>
  <c r="A210" i="30"/>
  <c r="A191" i="11"/>
  <c r="A217" i="15"/>
  <c r="A216" i="17"/>
  <c r="A197" i="30"/>
  <c r="A223" i="27"/>
  <c r="A204" i="15"/>
  <c r="F217" i="32"/>
  <c r="A217" i="30"/>
  <c r="A198" i="11"/>
  <c r="A224" i="15"/>
  <c r="A196" i="15"/>
  <c r="A189" i="30"/>
  <c r="F189" i="32"/>
  <c r="A227" i="30"/>
  <c r="A208" i="11"/>
  <c r="A189" i="27"/>
  <c r="F194" i="32"/>
  <c r="A203" i="17"/>
  <c r="A184" i="30"/>
  <c r="A210" i="27"/>
  <c r="A191" i="15"/>
  <c r="A225" i="17"/>
  <c r="A206" i="30"/>
  <c r="A187" i="11"/>
  <c r="A213" i="15"/>
  <c r="A225" i="30"/>
  <c r="IK607" i="15"/>
  <c r="A607" i="15" s="1"/>
  <c r="IK342" i="15"/>
  <c r="A342" i="15" s="1"/>
  <c r="IK371" i="15"/>
  <c r="A371" i="15" s="1"/>
  <c r="IK410" i="15"/>
  <c r="A410" i="15" s="1"/>
  <c r="IK439" i="15"/>
  <c r="A439" i="15" s="1"/>
  <c r="IK481" i="15"/>
  <c r="A481" i="15" s="1"/>
  <c r="IK508" i="15"/>
  <c r="A508" i="15" s="1"/>
  <c r="IK547" i="15"/>
  <c r="A547" i="15" s="1"/>
  <c r="IK649" i="15"/>
  <c r="A649" i="15" s="1"/>
  <c r="IK612" i="15"/>
  <c r="A612" i="15" s="1"/>
  <c r="IK552" i="15"/>
  <c r="A552" i="15" s="1"/>
  <c r="IK526" i="15"/>
  <c r="A526" i="15" s="1"/>
  <c r="IK505" i="15"/>
  <c r="A505" i="15" s="1"/>
  <c r="IK480" i="15"/>
  <c r="A480" i="15" s="1"/>
  <c r="IK450" i="15"/>
  <c r="A450" i="15" s="1"/>
  <c r="IK417" i="15"/>
  <c r="A417" i="15" s="1"/>
  <c r="IK390" i="15"/>
  <c r="A390" i="15" s="1"/>
  <c r="IK358" i="15"/>
  <c r="A358" i="15" s="1"/>
  <c r="IK326" i="15"/>
  <c r="A326" i="15" s="1"/>
  <c r="IK617" i="15"/>
  <c r="A617" i="15" s="1"/>
  <c r="F204" i="32"/>
  <c r="A220" i="11"/>
  <c r="A182" i="17"/>
  <c r="A196" i="30"/>
  <c r="A203" i="15"/>
  <c r="A218" i="30"/>
  <c r="A225" i="15"/>
  <c r="A186" i="11"/>
  <c r="IK597" i="15"/>
  <c r="A597" i="15" s="1"/>
  <c r="IK325" i="15"/>
  <c r="A325" i="15" s="1"/>
  <c r="IK375" i="15"/>
  <c r="A375" i="15" s="1"/>
  <c r="IK395" i="15"/>
  <c r="A395" i="15" s="1"/>
  <c r="IK443" i="15"/>
  <c r="A443" i="15" s="1"/>
  <c r="IK467" i="15"/>
  <c r="A467" i="15" s="1"/>
  <c r="IK494" i="15"/>
  <c r="A494" i="15" s="1"/>
  <c r="IK520" i="15"/>
  <c r="A520" i="15" s="1"/>
  <c r="IK545" i="15"/>
  <c r="A545" i="15" s="1"/>
  <c r="IK651" i="15"/>
  <c r="A651" i="15" s="1"/>
  <c r="IK627" i="15"/>
  <c r="A627" i="15" s="1"/>
  <c r="IK598" i="15"/>
  <c r="A598" i="15" s="1"/>
  <c r="IK572" i="15"/>
  <c r="A572" i="15" s="1"/>
  <c r="IK515" i="15"/>
  <c r="A515" i="15" s="1"/>
  <c r="IK482" i="15"/>
  <c r="A482" i="15" s="1"/>
  <c r="IK446" i="15"/>
  <c r="A446" i="15" s="1"/>
  <c r="IK425" i="15"/>
  <c r="A425" i="15" s="1"/>
  <c r="IK372" i="15"/>
  <c r="A372" i="15" s="1"/>
  <c r="IK609" i="15"/>
  <c r="A609" i="15" s="1"/>
  <c r="IK344" i="15"/>
  <c r="A344" i="15" s="1"/>
  <c r="A206" i="17"/>
  <c r="A213" i="27"/>
  <c r="F227" i="32"/>
  <c r="A189" i="11"/>
  <c r="F183" i="32"/>
  <c r="A211" i="11"/>
  <c r="A199" i="27"/>
  <c r="IK632" i="15"/>
  <c r="A632" i="15" s="1"/>
  <c r="IK338" i="15"/>
  <c r="A338" i="15" s="1"/>
  <c r="IK367" i="15"/>
  <c r="A367" i="15" s="1"/>
  <c r="IK391" i="15"/>
  <c r="A391" i="15" s="1"/>
  <c r="IK426" i="15"/>
  <c r="A426" i="15" s="1"/>
  <c r="IK477" i="15"/>
  <c r="A477" i="15" s="1"/>
  <c r="IK504" i="15"/>
  <c r="A504" i="15" s="1"/>
  <c r="IK529" i="15"/>
  <c r="A529" i="15" s="1"/>
  <c r="F209" i="32"/>
  <c r="IK610" i="15"/>
  <c r="A610" i="15" s="1"/>
  <c r="IK576" i="15"/>
  <c r="A576" i="15" s="1"/>
  <c r="IK544" i="15"/>
  <c r="A544" i="15" s="1"/>
  <c r="IK491" i="15"/>
  <c r="A491" i="15" s="1"/>
  <c r="IK421" i="15"/>
  <c r="A421" i="15" s="1"/>
  <c r="IK388" i="15"/>
  <c r="A388" i="15" s="1"/>
  <c r="IK356" i="15"/>
  <c r="A356" i="15" s="1"/>
  <c r="IK626" i="15"/>
  <c r="A626" i="15" s="1"/>
  <c r="A190" i="17"/>
  <c r="A197" i="27"/>
  <c r="A211" i="17"/>
  <c r="A218" i="27"/>
  <c r="F215" i="32"/>
  <c r="A195" i="11"/>
  <c r="A212" i="17"/>
  <c r="IK498" i="15"/>
  <c r="A498" i="15" s="1"/>
  <c r="IK594" i="15"/>
  <c r="A594" i="15" s="1"/>
  <c r="IK461" i="15"/>
  <c r="A461" i="15" s="1"/>
  <c r="IK362" i="15"/>
  <c r="A362" i="15" s="1"/>
  <c r="A204" i="11"/>
  <c r="A202" i="30"/>
  <c r="IK387" i="15"/>
  <c r="A387" i="15" s="1"/>
  <c r="IK434" i="15"/>
  <c r="A434" i="15" s="1"/>
  <c r="A198" i="15"/>
  <c r="A196" i="27"/>
  <c r="IK369" i="15"/>
  <c r="A369" i="15" s="1"/>
  <c r="IK658" i="15"/>
  <c r="A658" i="15" s="1"/>
  <c r="IK386" i="15"/>
  <c r="A386" i="15" s="1"/>
  <c r="A217" i="27"/>
  <c r="A215" i="11"/>
  <c r="IK412" i="15"/>
  <c r="A412" i="15" s="1"/>
  <c r="IK608" i="15"/>
  <c r="A608" i="15" s="1"/>
  <c r="A221" i="17"/>
  <c r="P13" i="7"/>
  <c r="CD42" i="10"/>
  <c r="CR42" i="10" s="1"/>
  <c r="IK618" i="15"/>
  <c r="A618" i="15" s="1"/>
  <c r="IK464" i="15"/>
  <c r="A464" i="15" s="1"/>
  <c r="IK455" i="15"/>
  <c r="A455" i="15" s="1"/>
  <c r="IK591" i="15"/>
  <c r="A591" i="15" s="1"/>
  <c r="IK396" i="15"/>
  <c r="A396" i="15" s="1"/>
  <c r="IK499" i="15"/>
  <c r="A499" i="15" s="1"/>
  <c r="IK567" i="15"/>
  <c r="A567" i="15" s="1"/>
  <c r="IK521" i="15"/>
  <c r="A521" i="15" s="1"/>
  <c r="IK489" i="15"/>
  <c r="A489" i="15" s="1"/>
  <c r="IK539" i="15"/>
  <c r="A539" i="15" s="1"/>
  <c r="IK333" i="15"/>
  <c r="A333" i="15" s="1"/>
  <c r="A184" i="15"/>
  <c r="A222" i="11"/>
  <c r="F213" i="32"/>
  <c r="A215" i="30"/>
  <c r="A196" i="11"/>
  <c r="A222" i="15"/>
  <c r="F218" i="32"/>
  <c r="A191" i="17"/>
  <c r="A217" i="11"/>
  <c r="A198" i="27"/>
  <c r="A182" i="27"/>
  <c r="A213" i="17"/>
  <c r="A194" i="30"/>
  <c r="A220" i="27"/>
  <c r="A201" i="15"/>
  <c r="F208" i="32"/>
  <c r="A200" i="17"/>
  <c r="A226" i="11"/>
  <c r="A207" i="27"/>
  <c r="A188" i="15"/>
  <c r="A220" i="17"/>
  <c r="A201" i="30"/>
  <c r="A227" i="27"/>
  <c r="A208" i="15"/>
  <c r="A183" i="27"/>
  <c r="A221" i="30"/>
  <c r="F221" i="32"/>
  <c r="A211" i="30"/>
  <c r="A192" i="11"/>
  <c r="A218" i="15"/>
  <c r="F226" i="32"/>
  <c r="A187" i="17"/>
  <c r="A213" i="11"/>
  <c r="A194" i="27"/>
  <c r="F182" i="32"/>
  <c r="A209" i="17"/>
  <c r="A190" i="30"/>
  <c r="A216" i="27"/>
  <c r="A197" i="15"/>
  <c r="IK330" i="15"/>
  <c r="IK648" i="15"/>
  <c r="A648" i="15" s="1"/>
  <c r="IK327" i="15"/>
  <c r="A327" i="15" s="1"/>
  <c r="IK353" i="15"/>
  <c r="A353" i="15" s="1"/>
  <c r="IK397" i="15"/>
  <c r="A397" i="15" s="1"/>
  <c r="IK420" i="15"/>
  <c r="A420" i="15" s="1"/>
  <c r="IK469" i="15"/>
  <c r="A469" i="15" s="1"/>
  <c r="IK490" i="15"/>
  <c r="A490" i="15" s="1"/>
  <c r="IK535" i="15"/>
  <c r="A535" i="15" s="1"/>
  <c r="IK555" i="15"/>
  <c r="A555" i="15" s="1"/>
  <c r="IK639" i="15"/>
  <c r="A639" i="15" s="1"/>
  <c r="IK604" i="15"/>
  <c r="A604" i="15" s="1"/>
  <c r="IK578" i="15"/>
  <c r="A578" i="15" s="1"/>
  <c r="IK546" i="15"/>
  <c r="A546" i="15" s="1"/>
  <c r="IK519" i="15"/>
  <c r="A519" i="15" s="1"/>
  <c r="IK493" i="15"/>
  <c r="A493" i="15" s="1"/>
  <c r="IK472" i="15"/>
  <c r="A472" i="15" s="1"/>
  <c r="IK444" i="15"/>
  <c r="A444" i="15" s="1"/>
  <c r="IK384" i="15"/>
  <c r="A384" i="15" s="1"/>
  <c r="IK352" i="15"/>
  <c r="A352" i="15" s="1"/>
  <c r="IK655" i="15"/>
  <c r="A655" i="15" s="1"/>
  <c r="IK595" i="15"/>
  <c r="A595" i="15" s="1"/>
  <c r="A226" i="17"/>
  <c r="A188" i="11"/>
  <c r="F187" i="32"/>
  <c r="A209" i="11"/>
  <c r="F190" i="32"/>
  <c r="A186" i="30"/>
  <c r="A193" i="15"/>
  <c r="A205" i="30"/>
  <c r="IK637" i="15"/>
  <c r="A637" i="15" s="1"/>
  <c r="IK581" i="15"/>
  <c r="A581" i="15" s="1"/>
  <c r="IK357" i="15"/>
  <c r="A357" i="15" s="1"/>
  <c r="IK383" i="15"/>
  <c r="A383" i="15" s="1"/>
  <c r="IK424" i="15"/>
  <c r="A424" i="15" s="1"/>
  <c r="IK451" i="15"/>
  <c r="A451" i="15" s="1"/>
  <c r="IK500" i="15"/>
  <c r="A500" i="15" s="1"/>
  <c r="IK527" i="15"/>
  <c r="A527" i="15" s="1"/>
  <c r="IK553" i="15"/>
  <c r="A553" i="15" s="1"/>
  <c r="IK614" i="15"/>
  <c r="A614" i="15" s="1"/>
  <c r="IK566" i="15"/>
  <c r="A566" i="15" s="1"/>
  <c r="IK540" i="15"/>
  <c r="A540" i="15" s="1"/>
  <c r="IK507" i="15"/>
  <c r="A507" i="15" s="1"/>
  <c r="IK474" i="15"/>
  <c r="A474" i="15" s="1"/>
  <c r="IK411" i="15"/>
  <c r="A411" i="15" s="1"/>
  <c r="IK392" i="15"/>
  <c r="A392" i="15" s="1"/>
  <c r="IK366" i="15"/>
  <c r="A366" i="15" s="1"/>
  <c r="IK337" i="15"/>
  <c r="A337" i="15" s="1"/>
  <c r="IK644" i="15"/>
  <c r="A644" i="15" s="1"/>
  <c r="IK587" i="15"/>
  <c r="A587" i="15" s="1"/>
  <c r="A219" i="30"/>
  <c r="A226" i="15"/>
  <c r="A195" i="17"/>
  <c r="A202" i="27"/>
  <c r="A217" i="17"/>
  <c r="A224" i="27"/>
  <c r="A218" i="11"/>
  <c r="IK589" i="15"/>
  <c r="A589" i="15" s="1"/>
  <c r="IK346" i="15"/>
  <c r="A346" i="15" s="1"/>
  <c r="IK373" i="15"/>
  <c r="A373" i="15" s="1"/>
  <c r="IK399" i="15"/>
  <c r="A399" i="15" s="1"/>
  <c r="IK447" i="15"/>
  <c r="A447" i="15" s="1"/>
  <c r="IK483" i="15"/>
  <c r="A483" i="15" s="1"/>
  <c r="IK510" i="15"/>
  <c r="A510" i="15" s="1"/>
  <c r="IK537" i="15"/>
  <c r="A537" i="15" s="1"/>
  <c r="IK645" i="15"/>
  <c r="A645" i="15" s="1"/>
  <c r="IK588" i="15"/>
  <c r="A588" i="15" s="1"/>
  <c r="IK556" i="15"/>
  <c r="A556" i="15" s="1"/>
  <c r="IK524" i="15"/>
  <c r="A524" i="15" s="1"/>
  <c r="IK454" i="15"/>
  <c r="A454" i="15" s="1"/>
  <c r="IK414" i="15"/>
  <c r="A414" i="15" s="1"/>
  <c r="IK382" i="15"/>
  <c r="A382" i="15" s="1"/>
  <c r="IK350" i="15"/>
  <c r="A350" i="15" s="1"/>
  <c r="IK348" i="15"/>
  <c r="A348" i="15" s="1"/>
  <c r="A203" i="30"/>
  <c r="A210" i="15"/>
  <c r="A224" i="30"/>
  <c r="A186" i="27"/>
  <c r="A201" i="17"/>
  <c r="A208" i="27"/>
  <c r="IK628" i="15"/>
  <c r="A628" i="15" s="1"/>
  <c r="IK428" i="15"/>
  <c r="A428" i="15" s="1"/>
  <c r="F201" i="32"/>
  <c r="IK562" i="15"/>
  <c r="A562" i="15" s="1"/>
  <c r="IK427" i="15"/>
  <c r="A427" i="15" s="1"/>
  <c r="F202" i="32"/>
  <c r="A209" i="15"/>
  <c r="IK422" i="15"/>
  <c r="A422" i="15" s="1"/>
  <c r="IK568" i="15"/>
  <c r="A568" i="15" s="1"/>
  <c r="IK400" i="15"/>
  <c r="A400" i="15" s="1"/>
  <c r="A212" i="30"/>
  <c r="A200" i="15"/>
  <c r="IK437" i="15"/>
  <c r="A437" i="15" s="1"/>
  <c r="IK586" i="15"/>
  <c r="A586" i="15" s="1"/>
  <c r="F219" i="32"/>
  <c r="IK542" i="15"/>
  <c r="A542" i="15" s="1"/>
  <c r="A206" i="27"/>
  <c r="A219" i="27"/>
  <c r="IK339" i="15"/>
  <c r="A339" i="15" s="1"/>
  <c r="IK463" i="15"/>
  <c r="A463" i="15" s="1"/>
  <c r="A199" i="17"/>
  <c r="IK585" i="15"/>
  <c r="A585" i="15" s="1"/>
  <c r="M7" i="7"/>
  <c r="F6" i="39" s="1"/>
  <c r="CD130" i="10"/>
  <c r="CR130" i="10" s="1"/>
  <c r="CD25" i="10"/>
  <c r="P58" i="7"/>
  <c r="CD84" i="10"/>
  <c r="CR84" i="10" s="1"/>
  <c r="CD146" i="10"/>
  <c r="CR146" i="10" s="1"/>
  <c r="P79" i="7"/>
  <c r="CD128" i="10"/>
  <c r="CR128" i="10" s="1"/>
  <c r="P109" i="7"/>
  <c r="CD154" i="10"/>
  <c r="CR154" i="10" s="1"/>
  <c r="P124" i="7"/>
  <c r="P103" i="7"/>
  <c r="CD53" i="10"/>
  <c r="CR53" i="10" s="1"/>
  <c r="CD157" i="10"/>
  <c r="CR157" i="10" s="1"/>
  <c r="CD155" i="10"/>
  <c r="CR155" i="10" s="1"/>
  <c r="CD138" i="10"/>
  <c r="CR138" i="10" s="1"/>
  <c r="CD132" i="10"/>
  <c r="CR132" i="10" s="1"/>
  <c r="CD103" i="10"/>
  <c r="CR103" i="10" s="1"/>
  <c r="CD63" i="10"/>
  <c r="CR63" i="10" s="1"/>
  <c r="CD39" i="10"/>
  <c r="CR39" i="10" s="1"/>
  <c r="CD35" i="10"/>
  <c r="CR35" i="10" s="1"/>
  <c r="CD27" i="10"/>
  <c r="CR27" i="10" s="1"/>
  <c r="CD49" i="10"/>
  <c r="CR49" i="10" s="1"/>
  <c r="CD117" i="10"/>
  <c r="CR117" i="10" s="1"/>
  <c r="P96" i="7"/>
  <c r="P121" i="7"/>
  <c r="P67" i="7"/>
  <c r="CD108" i="10"/>
  <c r="CR108" i="10" s="1"/>
  <c r="P75" i="7"/>
  <c r="P151" i="7"/>
  <c r="P133" i="7"/>
  <c r="P90" i="7"/>
  <c r="N247" i="14"/>
  <c r="AI134" i="18"/>
  <c r="AL124" i="18"/>
  <c r="AS134" i="18"/>
  <c r="AS7" i="3"/>
  <c r="AB131" i="18"/>
  <c r="AJ131" i="18"/>
  <c r="AH131" i="18"/>
  <c r="AA131" i="18"/>
  <c r="AC121" i="18"/>
  <c r="BO180" i="10"/>
  <c r="AH111" i="7"/>
  <c r="AH147" i="7"/>
  <c r="AH144" i="7"/>
  <c r="AH113" i="7"/>
  <c r="AH129" i="7"/>
  <c r="AH132" i="7"/>
  <c r="AH124" i="7"/>
  <c r="AK131" i="18"/>
  <c r="AE135" i="18"/>
  <c r="AO135" i="18"/>
  <c r="AK120" i="18"/>
  <c r="AE120" i="18"/>
  <c r="AF132" i="18"/>
  <c r="AR135" i="18"/>
  <c r="AE132" i="18"/>
  <c r="AC132" i="18"/>
  <c r="AD135" i="18"/>
  <c r="AQ124" i="18"/>
  <c r="Z42" i="20"/>
  <c r="AT121" i="18"/>
  <c r="AO121" i="18"/>
  <c r="AH132" i="18"/>
  <c r="X72" i="22"/>
  <c r="AS124" i="18"/>
  <c r="AR121" i="18"/>
  <c r="AH119" i="18"/>
  <c r="Z29" i="20"/>
  <c r="P245" i="14"/>
  <c r="AB124" i="18"/>
  <c r="AI124" i="18"/>
  <c r="AL134" i="18"/>
  <c r="M61" i="7"/>
  <c r="F58" i="39" s="1"/>
  <c r="M131" i="7"/>
  <c r="F128" i="39" s="1"/>
  <c r="DH132" i="10"/>
  <c r="M22" i="7"/>
  <c r="F21" i="39" s="1"/>
  <c r="AP131" i="18"/>
  <c r="AG131" i="18"/>
  <c r="AQ131" i="18"/>
  <c r="H121" i="18"/>
  <c r="AP121" i="18"/>
  <c r="DH138" i="10"/>
  <c r="AH128" i="7"/>
  <c r="AH117" i="7"/>
  <c r="AH133" i="7"/>
  <c r="AH123" i="7"/>
  <c r="AH121" i="7"/>
  <c r="AH142" i="7"/>
  <c r="AH135" i="7"/>
  <c r="AH149" i="7"/>
  <c r="AH134" i="7"/>
  <c r="CD142" i="10"/>
  <c r="CR142" i="10" s="1"/>
  <c r="CG177" i="10"/>
  <c r="AB135" i="18"/>
  <c r="AQ135" i="18"/>
  <c r="AP135" i="18"/>
  <c r="AC120" i="18"/>
  <c r="H120" i="18"/>
  <c r="AB120" i="18"/>
  <c r="AO120" i="18"/>
  <c r="AR120" i="18"/>
  <c r="AM123" i="18"/>
  <c r="AL132" i="18"/>
  <c r="AD125" i="18"/>
  <c r="AR132" i="18"/>
  <c r="AJ132" i="18"/>
  <c r="AF135" i="18"/>
  <c r="AI132" i="18"/>
  <c r="AP125" i="18"/>
  <c r="AA132" i="18"/>
  <c r="Y30" i="20"/>
  <c r="AM124" i="18"/>
  <c r="AT124" i="18"/>
  <c r="Y121" i="18"/>
  <c r="AL121" i="18"/>
  <c r="H132" i="18"/>
  <c r="AE124" i="18"/>
  <c r="AJ121" i="18"/>
  <c r="H124" i="18"/>
  <c r="AD124" i="18"/>
  <c r="CD77" i="10"/>
  <c r="CR77" i="10" s="1"/>
  <c r="CD36" i="10"/>
  <c r="CR36" i="10" s="1"/>
  <c r="CD32" i="10"/>
  <c r="CR32" i="10" s="1"/>
  <c r="CD24" i="10"/>
  <c r="CR24" i="10" s="1"/>
  <c r="AQ119" i="18"/>
  <c r="Q131" i="18"/>
  <c r="D17" i="3"/>
  <c r="AM125" i="18"/>
  <c r="DH63" i="10"/>
  <c r="AB125" i="18"/>
  <c r="AH148" i="7"/>
  <c r="P53" i="7"/>
  <c r="M19" i="7"/>
  <c r="F18" i="39" s="1"/>
  <c r="L49" i="7"/>
  <c r="E46" i="39" s="1"/>
  <c r="M45" i="7"/>
  <c r="F42" i="39" s="1"/>
  <c r="L16" i="7"/>
  <c r="E15" i="39" s="1"/>
  <c r="L123" i="7"/>
  <c r="E120" i="39" s="1"/>
  <c r="L12" i="7"/>
  <c r="E11" i="39" s="1"/>
  <c r="L11" i="7"/>
  <c r="L34" i="7"/>
  <c r="M5" i="7"/>
  <c r="F4" i="39" s="1"/>
  <c r="L21" i="7"/>
  <c r="E20" i="39" s="1"/>
  <c r="B8" i="44"/>
  <c r="M8" i="44" s="1"/>
  <c r="EA90" i="35"/>
  <c r="P5" i="6"/>
  <c r="B5" i="6"/>
  <c r="P8" i="6"/>
  <c r="B25" i="29" s="1"/>
  <c r="C5" i="6"/>
  <c r="CE90" i="35"/>
  <c r="B9" i="6"/>
  <c r="C7" i="6"/>
  <c r="B8" i="6"/>
  <c r="P238" i="14"/>
  <c r="X182" i="14"/>
  <c r="R238" i="14"/>
  <c r="X183" i="14"/>
  <c r="BI90" i="35"/>
  <c r="AB90" i="35"/>
  <c r="DT90" i="35"/>
  <c r="FH90" i="35"/>
  <c r="DS90" i="35"/>
  <c r="EH90" i="35"/>
  <c r="V90" i="35"/>
  <c r="FS90" i="35"/>
  <c r="CX90" i="35"/>
  <c r="GQ90" i="35"/>
  <c r="DU90" i="35"/>
  <c r="FP90" i="35"/>
  <c r="GA90" i="35"/>
  <c r="EJ90" i="35"/>
  <c r="BF90" i="35"/>
  <c r="AD90" i="35"/>
  <c r="CH90" i="35"/>
  <c r="BE90" i="35"/>
  <c r="FJ90" i="35"/>
  <c r="CU90" i="35"/>
  <c r="I90" i="35"/>
  <c r="AQ90" i="35"/>
  <c r="DZ90" i="35"/>
  <c r="EV90" i="35"/>
  <c r="EC90" i="35"/>
  <c r="FX90" i="35"/>
  <c r="BB90" i="35"/>
  <c r="CA90" i="35"/>
  <c r="FT90" i="35"/>
  <c r="AT90" i="35"/>
  <c r="GE90" i="35"/>
  <c r="AY90" i="35"/>
  <c r="BX90" i="35"/>
  <c r="EG90" i="35"/>
  <c r="FL90" i="35"/>
  <c r="DA90" i="35"/>
  <c r="GW90" i="35"/>
  <c r="CN90" i="35"/>
  <c r="CK90" i="35"/>
  <c r="GP90" i="35"/>
  <c r="ED90" i="35"/>
  <c r="GZ90" i="35"/>
  <c r="BJ90" i="35"/>
  <c r="AC90" i="35"/>
  <c r="FO90" i="35"/>
  <c r="EI90" i="35"/>
  <c r="FD90" i="35"/>
  <c r="L90" i="35"/>
  <c r="CW90" i="35"/>
  <c r="AP90" i="35"/>
  <c r="BC90" i="35"/>
  <c r="CY90" i="35"/>
  <c r="H90" i="35"/>
  <c r="H91" i="35" s="1"/>
  <c r="R90" i="35"/>
  <c r="BL90" i="35"/>
  <c r="GB90" i="35"/>
  <c r="AR90" i="35"/>
  <c r="CF90" i="35"/>
  <c r="AU90" i="35"/>
  <c r="GD90" i="35"/>
  <c r="EW90" i="35"/>
  <c r="GX90" i="35"/>
  <c r="Y90" i="35"/>
  <c r="GY90" i="35"/>
  <c r="DO90" i="35"/>
  <c r="FV90" i="35"/>
  <c r="AE90" i="35"/>
  <c r="AI90" i="35"/>
  <c r="DX90" i="35"/>
  <c r="DQ90" i="35"/>
  <c r="EZ90" i="35"/>
  <c r="FI90" i="35"/>
  <c r="CM90" i="35"/>
  <c r="EE90" i="35"/>
  <c r="FF90" i="35"/>
  <c r="AM90" i="35"/>
  <c r="K90" i="35"/>
  <c r="GH90" i="35"/>
  <c r="AK90" i="35"/>
  <c r="BH90" i="35"/>
  <c r="BP90" i="35"/>
  <c r="AF90" i="35"/>
  <c r="BK90" i="35"/>
  <c r="EL90" i="35"/>
  <c r="CO90" i="35"/>
  <c r="HA90" i="35"/>
  <c r="BG90" i="35"/>
  <c r="FB90" i="35"/>
  <c r="W90" i="35"/>
  <c r="AV90" i="35"/>
  <c r="CD90" i="35"/>
  <c r="GS90" i="35"/>
  <c r="BZ90" i="35"/>
  <c r="DY90" i="35"/>
  <c r="BR90" i="35"/>
  <c r="EK90" i="35"/>
  <c r="DP90" i="35"/>
  <c r="U7" i="7"/>
  <c r="BD90" i="35"/>
  <c r="DV90" i="35"/>
  <c r="CJ90" i="35"/>
  <c r="ET90" i="35"/>
  <c r="CC90" i="35"/>
  <c r="FZ90" i="35"/>
  <c r="BS90" i="35"/>
  <c r="DF90" i="35"/>
  <c r="GJ90" i="35"/>
  <c r="GL90" i="35"/>
  <c r="CL90" i="35"/>
  <c r="GI90" i="35"/>
  <c r="CV90" i="35"/>
  <c r="BV90" i="35"/>
  <c r="T90" i="35"/>
  <c r="FK90" i="35"/>
  <c r="AG90" i="35"/>
  <c r="FA90" i="35"/>
  <c r="AN90" i="35"/>
  <c r="DE90" i="35"/>
  <c r="FU90" i="35"/>
  <c r="FW90" i="35"/>
  <c r="O90" i="35"/>
  <c r="BQ90" i="35"/>
  <c r="GR90" i="35"/>
  <c r="GU90" i="35"/>
  <c r="FR90" i="35"/>
  <c r="ES90" i="35"/>
  <c r="GK90" i="35"/>
  <c r="Q90" i="35"/>
  <c r="DD90" i="35"/>
  <c r="EO90" i="35"/>
  <c r="FC90" i="35"/>
  <c r="EF90" i="35"/>
  <c r="FE90" i="35"/>
  <c r="CZ90" i="35"/>
  <c r="CI90" i="35"/>
  <c r="GT90" i="35"/>
  <c r="FM90" i="35"/>
  <c r="BT90" i="35"/>
  <c r="DW90" i="35"/>
  <c r="AZ90" i="35"/>
  <c r="BW90" i="35"/>
  <c r="M90" i="35"/>
  <c r="BA90" i="35"/>
  <c r="ER90" i="35"/>
  <c r="DG90" i="35"/>
  <c r="FQ90" i="35"/>
  <c r="CP90" i="35"/>
  <c r="U6" i="6"/>
  <c r="DH90" i="35"/>
  <c r="DR90" i="35"/>
  <c r="X90" i="35"/>
  <c r="FN90" i="35"/>
  <c r="EN90" i="35"/>
  <c r="HB90" i="35"/>
  <c r="BM90" i="35"/>
  <c r="AO90" i="35"/>
  <c r="AL90" i="35"/>
  <c r="CR90" i="35"/>
  <c r="BY90" i="35"/>
  <c r="GC90" i="35"/>
  <c r="FY90" i="35"/>
  <c r="AA90" i="35"/>
  <c r="DC90" i="35"/>
  <c r="P90" i="35"/>
  <c r="AX90" i="35"/>
  <c r="AW90" i="35"/>
  <c r="GM90" i="35"/>
  <c r="GN90" i="35"/>
  <c r="CT90" i="35"/>
  <c r="AJ90" i="35"/>
  <c r="S90" i="35"/>
  <c r="AH90" i="35"/>
  <c r="EB90" i="35"/>
  <c r="GF90" i="35"/>
  <c r="BU90" i="35"/>
  <c r="GG90" i="35"/>
  <c r="N90" i="35"/>
  <c r="AS90" i="35"/>
  <c r="CB90" i="35"/>
  <c r="CQ90" i="35"/>
  <c r="BO90" i="35"/>
  <c r="BN90" i="35"/>
  <c r="EU90" i="35"/>
  <c r="GO90" i="35"/>
  <c r="GV90" i="35"/>
  <c r="EY90" i="35"/>
  <c r="EM90" i="35"/>
  <c r="J90" i="35"/>
  <c r="CS90" i="35"/>
  <c r="FG90" i="35"/>
  <c r="EQ90" i="35"/>
  <c r="Z90" i="35"/>
  <c r="DB90" i="35"/>
  <c r="U90" i="35"/>
  <c r="U8" i="7"/>
  <c r="D2" i="32"/>
  <c r="DR343" i="7"/>
  <c r="DR351" i="7"/>
  <c r="DU345" i="7"/>
  <c r="DS341" i="7"/>
  <c r="DR350" i="7"/>
  <c r="DS350" i="7"/>
  <c r="DU347" i="7"/>
  <c r="DQ347" i="7"/>
  <c r="DU346" i="7"/>
  <c r="DR344" i="7"/>
  <c r="DS343" i="7"/>
  <c r="DT351" i="7"/>
  <c r="DQ351" i="7"/>
  <c r="DU349" i="7"/>
  <c r="DT348" i="7"/>
  <c r="DR346" i="7"/>
  <c r="DS345" i="7"/>
  <c r="DR345" i="7"/>
  <c r="DQ344" i="7"/>
  <c r="DS344" i="7"/>
  <c r="DU343" i="7"/>
  <c r="DS342" i="7"/>
  <c r="V255" i="14"/>
  <c r="J119" i="33" s="1"/>
  <c r="DS351" i="7"/>
  <c r="DU350" i="7"/>
  <c r="DU348" i="7"/>
  <c r="DS347" i="7"/>
  <c r="DQ342" i="7"/>
  <c r="DT341" i="7"/>
  <c r="DU351" i="7"/>
  <c r="DQ349" i="7"/>
  <c r="DR348" i="7"/>
  <c r="DR347" i="7"/>
  <c r="DQ346" i="7"/>
  <c r="DT346" i="7"/>
  <c r="DT345" i="7"/>
  <c r="DQ345" i="7"/>
  <c r="DT344" i="7"/>
  <c r="DQ343" i="7"/>
  <c r="DR342" i="7"/>
  <c r="DT342" i="7"/>
  <c r="DR341" i="7"/>
  <c r="B52" i="29"/>
  <c r="Y149" i="34"/>
  <c r="K149" i="34"/>
  <c r="J149" i="34"/>
  <c r="N14" i="20"/>
  <c r="Z14" i="20" s="1"/>
  <c r="C59" i="35"/>
  <c r="AJ12" i="33"/>
  <c r="AJ50" i="33"/>
  <c r="P149" i="34"/>
  <c r="AY12" i="33"/>
  <c r="N98" i="20"/>
  <c r="Q98" i="20" s="1"/>
  <c r="AB149" i="34"/>
  <c r="C52" i="35"/>
  <c r="AE149" i="34"/>
  <c r="AA149" i="34"/>
  <c r="G149" i="34"/>
  <c r="N11" i="20"/>
  <c r="Z11" i="20" s="1"/>
  <c r="M149" i="34"/>
  <c r="A258" i="28"/>
  <c r="S258" i="28" s="1"/>
  <c r="A228" i="28"/>
  <c r="T228" i="28" s="1"/>
  <c r="A195" i="28"/>
  <c r="S195" i="28" s="1"/>
  <c r="M42" i="7"/>
  <c r="F39" i="39" s="1"/>
  <c r="C10" i="3"/>
  <c r="L47" i="7"/>
  <c r="E44" i="39" s="1"/>
  <c r="M122" i="7"/>
  <c r="F119" i="39" s="1"/>
  <c r="M41" i="7"/>
  <c r="F38" i="39" s="1"/>
  <c r="M49" i="7"/>
  <c r="F46" i="39" s="1"/>
  <c r="M138" i="7"/>
  <c r="F135" i="39" s="1"/>
  <c r="AA125" i="18"/>
  <c r="L27" i="7"/>
  <c r="E26" i="39" s="1"/>
  <c r="M4" i="7"/>
  <c r="F3" i="39" s="1"/>
  <c r="M23" i="7"/>
  <c r="F22" i="39" s="1"/>
  <c r="CD94" i="10"/>
  <c r="Y119" i="18"/>
  <c r="AJ119" i="18"/>
  <c r="L8" i="7"/>
  <c r="E7" i="39" s="1"/>
  <c r="L7" i="7"/>
  <c r="E6" i="39" s="1"/>
  <c r="P137" i="7"/>
  <c r="P62" i="7"/>
  <c r="P146" i="7"/>
  <c r="CD62" i="10"/>
  <c r="CR62" i="10" s="1"/>
  <c r="P71" i="7"/>
  <c r="P112" i="7"/>
  <c r="CD135" i="10"/>
  <c r="CR135" i="10" s="1"/>
  <c r="P85" i="7"/>
  <c r="CD148" i="10"/>
  <c r="CR148" i="10" s="1"/>
  <c r="P91" i="7"/>
  <c r="P54" i="7"/>
  <c r="P149" i="7"/>
  <c r="P15" i="7"/>
  <c r="P28" i="7"/>
  <c r="P19" i="7"/>
  <c r="AT125" i="18"/>
  <c r="AR7" i="3"/>
  <c r="H126" i="18"/>
  <c r="AS10" i="3"/>
  <c r="L57" i="7"/>
  <c r="E54" i="39" s="1"/>
  <c r="L105" i="7"/>
  <c r="E102" i="39" s="1"/>
  <c r="L68" i="7"/>
  <c r="L58" i="7"/>
  <c r="E55" i="39" s="1"/>
  <c r="CD68" i="10"/>
  <c r="CR68" i="10" s="1"/>
  <c r="X77" i="22"/>
  <c r="AD73" i="22"/>
  <c r="CD141" i="10"/>
  <c r="CR141" i="10" s="1"/>
  <c r="CD110" i="10"/>
  <c r="CR110" i="10" s="1"/>
  <c r="AM122" i="18"/>
  <c r="AS126" i="18"/>
  <c r="AF126" i="18"/>
  <c r="L28" i="7"/>
  <c r="E27" i="39" s="1"/>
  <c r="M20" i="7"/>
  <c r="F19" i="39" s="1"/>
  <c r="CD65" i="10"/>
  <c r="CR65" i="10" s="1"/>
  <c r="L14" i="7"/>
  <c r="E13" i="39" s="1"/>
  <c r="L36" i="7"/>
  <c r="E33" i="39" s="1"/>
  <c r="AI126" i="18"/>
  <c r="AC119" i="18"/>
  <c r="AO119" i="18"/>
  <c r="AG126" i="18"/>
  <c r="O77" i="24"/>
  <c r="M11" i="7"/>
  <c r="F10" i="39" s="1"/>
  <c r="M43" i="7"/>
  <c r="F40" i="39" s="1"/>
  <c r="Z41" i="20"/>
  <c r="A330" i="15"/>
  <c r="CD66" i="10"/>
  <c r="P77" i="7"/>
  <c r="P59" i="7"/>
  <c r="P131" i="7"/>
  <c r="L23" i="7"/>
  <c r="E22" i="39" s="1"/>
  <c r="M26" i="7"/>
  <c r="F25" i="39" s="1"/>
  <c r="AP126" i="18"/>
  <c r="AM126" i="18"/>
  <c r="R33" i="3"/>
  <c r="R35" i="3"/>
  <c r="R24" i="3"/>
  <c r="AC2" i="43" s="1"/>
  <c r="P84" i="7"/>
  <c r="C76" i="35"/>
  <c r="P132" i="7"/>
  <c r="P98" i="7"/>
  <c r="P129" i="7"/>
  <c r="P89" i="7"/>
  <c r="CD52" i="10"/>
  <c r="CR52" i="10" s="1"/>
  <c r="P57" i="7"/>
  <c r="CD97" i="10"/>
  <c r="CR97" i="10" s="1"/>
  <c r="CD139" i="10"/>
  <c r="CR139" i="10" s="1"/>
  <c r="P17" i="7"/>
  <c r="P86" i="7"/>
  <c r="CD101" i="10"/>
  <c r="CR101" i="10" s="1"/>
  <c r="CD112" i="10"/>
  <c r="CR112" i="10" s="1"/>
  <c r="P10" i="7"/>
  <c r="P102" i="7"/>
  <c r="CD92" i="10"/>
  <c r="CR92" i="10" s="1"/>
  <c r="P105" i="7"/>
  <c r="CD29" i="10"/>
  <c r="CR29" i="10" s="1"/>
  <c r="CD48" i="10"/>
  <c r="CD102" i="10"/>
  <c r="CR102" i="10" s="1"/>
  <c r="CD90" i="10"/>
  <c r="P8" i="7"/>
  <c r="BO178" i="10"/>
  <c r="B2" i="44"/>
  <c r="M2" i="44" s="1"/>
  <c r="X71" i="22"/>
  <c r="AQ125" i="18"/>
  <c r="AO125" i="18"/>
  <c r="AS125" i="18"/>
  <c r="H125" i="18"/>
  <c r="AA119" i="18"/>
  <c r="Q41" i="20"/>
  <c r="L77" i="22"/>
  <c r="P41" i="7"/>
  <c r="Q30" i="20"/>
  <c r="P144" i="7"/>
  <c r="CD54" i="10"/>
  <c r="CR54" i="10" s="1"/>
  <c r="C75" i="35"/>
  <c r="P69" i="7"/>
  <c r="DH157" i="10"/>
  <c r="AB74" i="22"/>
  <c r="I74" i="22"/>
  <c r="I5" i="22"/>
  <c r="CD59" i="10"/>
  <c r="CR59" i="10" s="1"/>
  <c r="DH103" i="10"/>
  <c r="CD50" i="10"/>
  <c r="CR50" i="10" s="1"/>
  <c r="M14" i="7"/>
  <c r="F13" i="39" s="1"/>
  <c r="M48" i="7"/>
  <c r="F45" i="39" s="1"/>
  <c r="M25" i="7"/>
  <c r="F24" i="39" s="1"/>
  <c r="P12" i="7"/>
  <c r="P42" i="7"/>
  <c r="M24" i="7"/>
  <c r="F23" i="39" s="1"/>
  <c r="L22" i="7"/>
  <c r="M35" i="7"/>
  <c r="F32" i="39" s="1"/>
  <c r="P126" i="7"/>
  <c r="P39" i="7"/>
  <c r="CD107" i="10"/>
  <c r="CR107" i="10" s="1"/>
  <c r="P130" i="7"/>
  <c r="P46" i="7"/>
  <c r="CD124" i="10"/>
  <c r="CR124" i="10" s="1"/>
  <c r="CD96" i="10"/>
  <c r="DH155" i="10"/>
  <c r="Z37" i="20"/>
  <c r="AI119" i="18"/>
  <c r="AE125" i="18"/>
  <c r="AR119" i="18"/>
  <c r="AI125" i="18"/>
  <c r="P66" i="7"/>
  <c r="P87" i="7"/>
  <c r="P4" i="7"/>
  <c r="AS119" i="18"/>
  <c r="AB78" i="22"/>
  <c r="L78" i="22"/>
  <c r="E74" i="22"/>
  <c r="AJ126" i="18"/>
  <c r="X3" i="44"/>
  <c r="L112" i="7"/>
  <c r="E109" i="39" s="1"/>
  <c r="L77" i="7"/>
  <c r="E74" i="39" s="1"/>
  <c r="L95" i="7"/>
  <c r="E92" i="39" s="1"/>
  <c r="L41" i="7"/>
  <c r="CD119" i="10"/>
  <c r="CR119" i="10" s="1"/>
  <c r="L145" i="7"/>
  <c r="H122" i="18"/>
  <c r="AO126" i="18"/>
  <c r="L25" i="7"/>
  <c r="E24" i="39" s="1"/>
  <c r="M8" i="7"/>
  <c r="F7" i="39" s="1"/>
  <c r="M10" i="7"/>
  <c r="F9" i="39" s="1"/>
  <c r="L37" i="7"/>
  <c r="E34" i="39" s="1"/>
  <c r="L5" i="7"/>
  <c r="E4" i="39" s="1"/>
  <c r="M39" i="7"/>
  <c r="F36" i="39" s="1"/>
  <c r="AM119" i="18"/>
  <c r="AP119" i="18"/>
  <c r="AK126" i="18"/>
  <c r="L32" i="7"/>
  <c r="E29" i="39" s="1"/>
  <c r="L15" i="7"/>
  <c r="E14" i="39" s="1"/>
  <c r="C60" i="35"/>
  <c r="P20" i="7"/>
  <c r="P139" i="7"/>
  <c r="P24" i="7"/>
  <c r="CD57" i="10"/>
  <c r="CR57" i="10" s="1"/>
  <c r="P134" i="7"/>
  <c r="L6" i="7"/>
  <c r="E5" i="39" s="1"/>
  <c r="D39" i="3"/>
  <c r="D43" i="3" s="1"/>
  <c r="R28" i="3"/>
  <c r="AF2" i="43" s="1"/>
  <c r="P119" i="7"/>
  <c r="P111" i="7"/>
  <c r="P34" i="7"/>
  <c r="P128" i="7"/>
  <c r="P101" i="7"/>
  <c r="P122" i="7"/>
  <c r="CD43" i="10"/>
  <c r="CR43" i="10" s="1"/>
  <c r="P104" i="7"/>
  <c r="P76" i="7"/>
  <c r="P33" i="7"/>
  <c r="P143" i="7"/>
  <c r="P78" i="7"/>
  <c r="P7" i="7"/>
  <c r="CD151" i="10"/>
  <c r="P115" i="7"/>
  <c r="P117" i="7"/>
  <c r="P49" i="7"/>
  <c r="C10" i="44"/>
  <c r="B3" i="44"/>
  <c r="M3" i="44" s="1"/>
  <c r="AG119" i="18"/>
  <c r="AF125" i="18"/>
  <c r="AN125" i="18"/>
  <c r="H119" i="18"/>
  <c r="E77" i="22"/>
  <c r="P142" i="7"/>
  <c r="Y40" i="20"/>
  <c r="AR129" i="18"/>
  <c r="AD74" i="22"/>
  <c r="W116" i="20"/>
  <c r="R151" i="20" s="1"/>
  <c r="C226" i="28"/>
  <c r="B180" i="28"/>
  <c r="I180" i="28" s="1"/>
  <c r="P34" i="15"/>
  <c r="B210" i="28"/>
  <c r="I210" i="28" s="1"/>
  <c r="C71" i="35"/>
  <c r="C24" i="35"/>
  <c r="C82" i="35"/>
  <c r="C13" i="35"/>
  <c r="N100" i="20"/>
  <c r="Q100" i="20" s="1"/>
  <c r="L149" i="34"/>
  <c r="AN149" i="34"/>
  <c r="AJ51" i="33"/>
  <c r="R149" i="34"/>
  <c r="N99" i="20"/>
  <c r="Q99" i="20" s="1"/>
  <c r="W149" i="34"/>
  <c r="AJ113" i="33"/>
  <c r="N13" i="20"/>
  <c r="Y13" i="20" s="1"/>
  <c r="N17" i="20"/>
  <c r="Z17" i="20" s="1"/>
  <c r="AL149" i="34"/>
  <c r="AK149" i="34"/>
  <c r="N97" i="20"/>
  <c r="Q97" i="20" s="1"/>
  <c r="B55" i="29"/>
  <c r="C66" i="35"/>
  <c r="G96" i="35"/>
  <c r="C26" i="35"/>
  <c r="A56" i="35"/>
  <c r="AJ126" i="33"/>
  <c r="Z149" i="34"/>
  <c r="N149" i="34"/>
  <c r="C64" i="35"/>
  <c r="N12" i="20"/>
  <c r="Y12" i="20" s="1"/>
  <c r="I149" i="34"/>
  <c r="N10" i="20"/>
  <c r="Q10" i="20" s="1"/>
  <c r="AC149" i="34"/>
  <c r="Q149" i="34"/>
  <c r="AJ11" i="33"/>
  <c r="O149" i="34"/>
  <c r="AJ149" i="34"/>
  <c r="T149" i="34"/>
  <c r="H149" i="34"/>
  <c r="AY34" i="33"/>
  <c r="AD149" i="34"/>
  <c r="C55" i="35"/>
  <c r="C28" i="35"/>
  <c r="C5" i="35"/>
  <c r="AM149" i="34"/>
  <c r="AY35" i="33"/>
  <c r="J5" i="1"/>
  <c r="X149" i="34"/>
  <c r="M6" i="6"/>
  <c r="N15" i="20"/>
  <c r="Z15" i="20" s="1"/>
  <c r="U149" i="34"/>
  <c r="N16" i="20"/>
  <c r="Y16" i="20" s="1"/>
  <c r="AG149" i="34"/>
  <c r="AY11" i="33"/>
  <c r="AJ112" i="33"/>
  <c r="AH149" i="34"/>
  <c r="AF149" i="34"/>
  <c r="S149" i="34"/>
  <c r="AI149" i="34"/>
  <c r="AJ125" i="33"/>
  <c r="F149" i="34"/>
  <c r="B214" i="28"/>
  <c r="I214" i="28" s="1"/>
  <c r="C238" i="28"/>
  <c r="C201" i="28"/>
  <c r="B190" i="28"/>
  <c r="I190" i="28" s="1"/>
  <c r="B193" i="28"/>
  <c r="I193" i="28" s="1"/>
  <c r="B179" i="28"/>
  <c r="I179" i="28" s="1"/>
  <c r="C192" i="28"/>
  <c r="B203" i="28"/>
  <c r="I203" i="28" s="1"/>
  <c r="B183" i="28"/>
  <c r="I183" i="28" s="1"/>
  <c r="C178" i="28"/>
  <c r="C246" i="28"/>
  <c r="C210" i="28"/>
  <c r="B246" i="28"/>
  <c r="I246" i="28" s="1"/>
  <c r="C198" i="28"/>
  <c r="C204" i="28"/>
  <c r="C202" i="28"/>
  <c r="B215" i="28"/>
  <c r="I215" i="28" s="1"/>
  <c r="B212" i="28"/>
  <c r="I212" i="28" s="1"/>
  <c r="B225" i="28"/>
  <c r="I225" i="28" s="1"/>
  <c r="B220" i="28"/>
  <c r="I220" i="28" s="1"/>
  <c r="C237" i="28"/>
  <c r="B208" i="28"/>
  <c r="I208" i="28" s="1"/>
  <c r="C217" i="28"/>
  <c r="B218" i="28"/>
  <c r="I218" i="28" s="1"/>
  <c r="G98" i="35"/>
  <c r="J52" i="6"/>
  <c r="K52" i="6" s="1"/>
  <c r="R180" i="20"/>
  <c r="R146" i="20"/>
  <c r="Q28" i="20"/>
  <c r="Z28" i="20"/>
  <c r="Z26" i="20"/>
  <c r="Q26" i="20"/>
  <c r="R29" i="3"/>
  <c r="AG2" i="43" s="1"/>
  <c r="W3" i="44"/>
  <c r="O3" i="44"/>
  <c r="U3" i="44"/>
  <c r="R27" i="3"/>
  <c r="AH2" i="43" s="1"/>
  <c r="C10" i="35"/>
  <c r="C80" i="35"/>
  <c r="C18" i="35"/>
  <c r="C23" i="35"/>
  <c r="C68" i="35"/>
  <c r="A88" i="35"/>
  <c r="A69" i="35"/>
  <c r="C49" i="35"/>
  <c r="G97" i="35"/>
  <c r="C8" i="35"/>
  <c r="Z39" i="20"/>
  <c r="C30" i="35"/>
  <c r="C48" i="35"/>
  <c r="C67" i="35"/>
  <c r="E75" i="22"/>
  <c r="I75" i="22"/>
  <c r="C25" i="35"/>
  <c r="C36" i="35"/>
  <c r="C54" i="35"/>
  <c r="C51" i="35"/>
  <c r="C35" i="35"/>
  <c r="C83" i="35"/>
  <c r="C44" i="35"/>
  <c r="C58" i="35"/>
  <c r="C14" i="35"/>
  <c r="C11" i="35"/>
  <c r="W43" i="20"/>
  <c r="W122" i="20"/>
  <c r="C61" i="35"/>
  <c r="C7" i="35"/>
  <c r="A84" i="35"/>
  <c r="DT350" i="7"/>
  <c r="DQ350" i="7"/>
  <c r="DR349" i="7"/>
  <c r="DS349" i="7"/>
  <c r="DT349" i="7"/>
  <c r="DQ348" i="7"/>
  <c r="DS348" i="7"/>
  <c r="DT347" i="7"/>
  <c r="DS346" i="7"/>
  <c r="DU344" i="7"/>
  <c r="DT343" i="7"/>
  <c r="DU342" i="7"/>
  <c r="DQ341" i="7"/>
  <c r="C16" i="35"/>
  <c r="C15" i="35"/>
  <c r="C34" i="35"/>
  <c r="C6" i="35"/>
  <c r="A20" i="35"/>
  <c r="C12" i="35"/>
  <c r="C27" i="35"/>
  <c r="C47" i="35"/>
  <c r="C41" i="35"/>
  <c r="C3" i="35"/>
  <c r="C62" i="35"/>
  <c r="C77" i="35"/>
  <c r="C22" i="35"/>
  <c r="C40" i="35"/>
  <c r="C31" i="35"/>
  <c r="C42" i="35"/>
  <c r="C19" i="35"/>
  <c r="C37" i="35"/>
  <c r="C17" i="35"/>
  <c r="Y133" i="18"/>
  <c r="H133" i="18"/>
  <c r="AR125" i="18"/>
  <c r="AG125" i="18"/>
  <c r="AL125" i="18"/>
  <c r="AK125" i="18"/>
  <c r="AC125" i="18"/>
  <c r="AH125" i="18"/>
  <c r="AK119" i="18"/>
  <c r="AB119" i="18"/>
  <c r="AT119" i="18"/>
  <c r="DH143" i="10"/>
  <c r="CD143" i="10"/>
  <c r="CR143" i="10" s="1"/>
  <c r="DH134" i="10"/>
  <c r="CD134" i="10"/>
  <c r="CR134" i="10" s="1"/>
  <c r="L26" i="7"/>
  <c r="E25" i="39" s="1"/>
  <c r="L20" i="7"/>
  <c r="E19" i="39" s="1"/>
  <c r="A328" i="15"/>
  <c r="C29" i="35"/>
  <c r="A38" i="35"/>
  <c r="CW118" i="7"/>
  <c r="C45" i="35"/>
  <c r="C73" i="35"/>
  <c r="X43" i="20"/>
  <c r="C43" i="35"/>
  <c r="C32" i="35"/>
  <c r="C53" i="35"/>
  <c r="C65" i="35"/>
  <c r="C87" i="35"/>
  <c r="C72" i="35"/>
  <c r="C74" i="35"/>
  <c r="C50" i="35"/>
  <c r="C46" i="35"/>
  <c r="C33" i="35"/>
  <c r="C86" i="35"/>
  <c r="C63" i="35"/>
  <c r="AD71" i="22"/>
  <c r="Q39" i="20"/>
  <c r="Y131" i="18"/>
  <c r="AL131" i="18"/>
  <c r="AD120" i="18"/>
  <c r="Y120" i="18"/>
  <c r="AP120" i="18"/>
  <c r="AJ120" i="18"/>
  <c r="AC123" i="18"/>
  <c r="H26" i="28"/>
  <c r="X87" i="20"/>
  <c r="AQ123" i="18"/>
  <c r="AO134" i="18"/>
  <c r="AT123" i="18"/>
  <c r="AB123" i="18"/>
  <c r="AF123" i="18"/>
  <c r="AI123" i="18"/>
  <c r="AO123" i="18"/>
  <c r="H134" i="18"/>
  <c r="AI120" i="18"/>
  <c r="AM120" i="18"/>
  <c r="AN120" i="18"/>
  <c r="AJ123" i="18"/>
  <c r="AA123" i="18"/>
  <c r="AS123" i="18"/>
  <c r="AE134" i="18"/>
  <c r="AE131" i="18"/>
  <c r="AO132" i="18"/>
  <c r="AF121" i="18"/>
  <c r="AM134" i="18"/>
  <c r="AK134" i="18"/>
  <c r="AT134" i="18"/>
  <c r="Y127" i="18"/>
  <c r="AG134" i="18"/>
  <c r="Y123" i="18"/>
  <c r="AS132" i="18"/>
  <c r="AD123" i="18"/>
  <c r="AH123" i="18"/>
  <c r="AL123" i="18"/>
  <c r="AK123" i="18"/>
  <c r="AE123" i="18"/>
  <c r="AA134" i="18"/>
  <c r="AN134" i="18"/>
  <c r="AD134" i="18"/>
  <c r="J75" i="24"/>
  <c r="N75" i="24" s="1"/>
  <c r="AH134" i="18"/>
  <c r="AC134" i="18"/>
  <c r="AG123" i="18"/>
  <c r="AP62" i="7"/>
  <c r="AL119" i="18"/>
  <c r="CD79" i="10"/>
  <c r="CR79" i="10" s="1"/>
  <c r="AJ2" i="43"/>
  <c r="CD37" i="10"/>
  <c r="CD33" i="10"/>
  <c r="CR33" i="10" s="1"/>
  <c r="CD21" i="10"/>
  <c r="CD17" i="10"/>
  <c r="AP60" i="7"/>
  <c r="AD129" i="18"/>
  <c r="AD119" i="18"/>
  <c r="Y125" i="18"/>
  <c r="AE119" i="18"/>
  <c r="CD40" i="10"/>
  <c r="CR40" i="10" s="1"/>
  <c r="AP68" i="7"/>
  <c r="AP52" i="7"/>
  <c r="N190" i="14"/>
  <c r="J32" i="1"/>
  <c r="X83" i="20"/>
  <c r="M26" i="28"/>
  <c r="S266" i="20"/>
  <c r="I26" i="28"/>
  <c r="T266" i="20"/>
  <c r="X88" i="20"/>
  <c r="R266" i="20"/>
  <c r="A187" i="28"/>
  <c r="R187" i="28" s="1"/>
  <c r="T258" i="28"/>
  <c r="A179" i="28"/>
  <c r="R179" i="28" s="1"/>
  <c r="A262" i="28"/>
  <c r="A256" i="28"/>
  <c r="A251" i="28"/>
  <c r="S251" i="28" s="1"/>
  <c r="A246" i="28"/>
  <c r="T246" i="28" s="1"/>
  <c r="A235" i="28"/>
  <c r="A227" i="28"/>
  <c r="A215" i="28"/>
  <c r="S215" i="28" s="1"/>
  <c r="A208" i="28"/>
  <c r="A201" i="28"/>
  <c r="T201" i="28" s="1"/>
  <c r="A192" i="28"/>
  <c r="S192" i="28" s="1"/>
  <c r="A184" i="28"/>
  <c r="S184" i="28" s="1"/>
  <c r="T210" i="28"/>
  <c r="T217" i="28"/>
  <c r="A180" i="28"/>
  <c r="A261" i="28"/>
  <c r="S261" i="28" s="1"/>
  <c r="A255" i="28"/>
  <c r="T255" i="28" s="1"/>
  <c r="A250" i="28"/>
  <c r="S250" i="28" s="1"/>
  <c r="A242" i="28"/>
  <c r="S242" i="28" s="1"/>
  <c r="A232" i="28"/>
  <c r="R232" i="28" s="1"/>
  <c r="A225" i="28"/>
  <c r="T225" i="28" s="1"/>
  <c r="A213" i="28"/>
  <c r="S213" i="28" s="1"/>
  <c r="A206" i="28"/>
  <c r="S206" i="28" s="1"/>
  <c r="A199" i="28"/>
  <c r="T199" i="28" s="1"/>
  <c r="A190" i="28"/>
  <c r="T190" i="28" s="1"/>
  <c r="A181" i="28"/>
  <c r="T181" i="28" s="1"/>
  <c r="S210" i="28"/>
  <c r="R217" i="28"/>
  <c r="A176" i="28"/>
  <c r="A259" i="28"/>
  <c r="S259" i="28" s="1"/>
  <c r="A254" i="28"/>
  <c r="R254" i="28" s="1"/>
  <c r="A248" i="28"/>
  <c r="T248" i="28" s="1"/>
  <c r="A240" i="28"/>
  <c r="A230" i="28"/>
  <c r="A219" i="28"/>
  <c r="A211" i="28"/>
  <c r="A204" i="28"/>
  <c r="A198" i="28"/>
  <c r="A188" i="28"/>
  <c r="S188" i="28" s="1"/>
  <c r="A178" i="28"/>
  <c r="S178" i="28" s="1"/>
  <c r="N198" i="14"/>
  <c r="O193" i="14"/>
  <c r="P190" i="14"/>
  <c r="O198" i="14"/>
  <c r="P186" i="14"/>
  <c r="O186" i="14"/>
  <c r="P193" i="14"/>
  <c r="P200" i="14"/>
  <c r="DH61" i="10"/>
  <c r="CD61" i="10"/>
  <c r="CR61" i="10" s="1"/>
  <c r="L13" i="7"/>
  <c r="E12" i="39" s="1"/>
  <c r="CD16" i="10"/>
  <c r="HI72" i="7"/>
  <c r="HJ72" i="7"/>
  <c r="HJ71" i="7"/>
  <c r="HI71" i="7"/>
  <c r="HJ70" i="7"/>
  <c r="HI70" i="7"/>
  <c r="HI69" i="7"/>
  <c r="HJ69" i="7"/>
  <c r="HI79" i="7"/>
  <c r="HJ79" i="7"/>
  <c r="HI11" i="7"/>
  <c r="HJ11" i="7"/>
  <c r="HI9" i="7"/>
  <c r="HJ9" i="7"/>
  <c r="T253" i="28"/>
  <c r="R253" i="28"/>
  <c r="T247" i="28"/>
  <c r="S247" i="28"/>
  <c r="R247" i="28"/>
  <c r="R238" i="28"/>
  <c r="S238" i="28"/>
  <c r="T202" i="28"/>
  <c r="R202" i="28"/>
  <c r="S202" i="28"/>
  <c r="AR11" i="3"/>
  <c r="Q11" i="3"/>
  <c r="AS11" i="3"/>
  <c r="T5" i="14"/>
  <c r="T3" i="14"/>
  <c r="HI88" i="7"/>
  <c r="HJ88" i="7"/>
  <c r="HJ56" i="7"/>
  <c r="HI56" i="7"/>
  <c r="AJ60" i="7"/>
  <c r="AJ68" i="7"/>
  <c r="AJ69" i="7"/>
  <c r="AJ54" i="7"/>
  <c r="AJ67" i="7"/>
  <c r="AJ51" i="7"/>
  <c r="AJ56" i="7"/>
  <c r="AJ78" i="7"/>
  <c r="AJ73" i="7"/>
  <c r="AJ71" i="7"/>
  <c r="AJ63" i="7"/>
  <c r="AJ64" i="7"/>
  <c r="AJ70" i="7"/>
  <c r="AJ62" i="7"/>
  <c r="AJ59" i="7"/>
  <c r="AJ75" i="7"/>
  <c r="AJ76" i="7"/>
  <c r="AJ55" i="7"/>
  <c r="AJ58" i="7"/>
  <c r="AJ72" i="7"/>
  <c r="AJ53" i="7"/>
  <c r="AJ65" i="7"/>
  <c r="AJ74" i="7"/>
  <c r="HJ47" i="7"/>
  <c r="HI47" i="7"/>
  <c r="HJ46" i="7"/>
  <c r="HI46" i="7"/>
  <c r="CR25" i="10"/>
  <c r="DH76" i="10"/>
  <c r="CD76" i="10"/>
  <c r="CR76" i="10" s="1"/>
  <c r="M132" i="7"/>
  <c r="F129" i="39" s="1"/>
  <c r="L138" i="7"/>
  <c r="E135" i="39" s="1"/>
  <c r="L109" i="7"/>
  <c r="E106" i="39" s="1"/>
  <c r="L151" i="7"/>
  <c r="M75" i="7"/>
  <c r="F72" i="39" s="1"/>
  <c r="M140" i="7"/>
  <c r="F137" i="39" s="1"/>
  <c r="M104" i="7"/>
  <c r="F101" i="39" s="1"/>
  <c r="M150" i="7"/>
  <c r="L108" i="7"/>
  <c r="E105" i="39" s="1"/>
  <c r="L134" i="7"/>
  <c r="E131" i="39" s="1"/>
  <c r="M125" i="7"/>
  <c r="F122" i="39" s="1"/>
  <c r="L130" i="7"/>
  <c r="M76" i="7"/>
  <c r="F73" i="39" s="1"/>
  <c r="M151" i="7"/>
  <c r="L116" i="7"/>
  <c r="DH71" i="10"/>
  <c r="M148" i="7"/>
  <c r="M116" i="7"/>
  <c r="F113" i="39" s="1"/>
  <c r="M121" i="7"/>
  <c r="F118" i="39" s="1"/>
  <c r="L111" i="7"/>
  <c r="E108" i="39" s="1"/>
  <c r="L86" i="7"/>
  <c r="E83" i="39" s="1"/>
  <c r="M112" i="7"/>
  <c r="F109" i="39" s="1"/>
  <c r="M120" i="7"/>
  <c r="F117" i="39" s="1"/>
  <c r="M126" i="7"/>
  <c r="F123" i="39" s="1"/>
  <c r="M98" i="7"/>
  <c r="F95" i="39" s="1"/>
  <c r="M141" i="7"/>
  <c r="F138" i="39" s="1"/>
  <c r="L90" i="7"/>
  <c r="E87" i="39" s="1"/>
  <c r="M130" i="7"/>
  <c r="F127" i="39" s="1"/>
  <c r="CD71" i="10"/>
  <c r="L141" i="7"/>
  <c r="E138" i="39" s="1"/>
  <c r="M66" i="7"/>
  <c r="F63" i="39" s="1"/>
  <c r="M77" i="7"/>
  <c r="F74" i="39" s="1"/>
  <c r="M103" i="7"/>
  <c r="F100" i="39" s="1"/>
  <c r="L150" i="7"/>
  <c r="L79" i="7"/>
  <c r="E76" i="39" s="1"/>
  <c r="M93" i="7"/>
  <c r="F90" i="39" s="1"/>
  <c r="M113" i="7"/>
  <c r="F110" i="39" s="1"/>
  <c r="M102" i="7"/>
  <c r="F99" i="39" s="1"/>
  <c r="L75" i="7"/>
  <c r="E72" i="39" s="1"/>
  <c r="M101" i="7"/>
  <c r="F98" i="39" s="1"/>
  <c r="L131" i="7"/>
  <c r="E128" i="39" s="1"/>
  <c r="T8" i="14"/>
  <c r="T7" i="14"/>
  <c r="T6" i="14"/>
  <c r="HI76" i="7"/>
  <c r="HJ76" i="7"/>
  <c r="HJ49" i="7"/>
  <c r="HI49" i="7"/>
  <c r="HJ40" i="7"/>
  <c r="HI40" i="7"/>
  <c r="HI10" i="7"/>
  <c r="HJ10" i="7"/>
  <c r="AO17" i="3"/>
  <c r="AN17" i="3"/>
  <c r="AR126" i="18"/>
  <c r="AC126" i="18"/>
  <c r="Y122" i="18"/>
  <c r="AP122" i="18"/>
  <c r="DH58" i="10"/>
  <c r="CD58" i="10"/>
  <c r="HI67" i="7"/>
  <c r="HJ67" i="7"/>
  <c r="HI66" i="7"/>
  <c r="HJ66" i="7"/>
  <c r="HI23" i="7"/>
  <c r="HJ23" i="7"/>
  <c r="AC7" i="14"/>
  <c r="AC6" i="14"/>
  <c r="AC8" i="14"/>
  <c r="A330" i="11"/>
  <c r="F330" i="32" s="1"/>
  <c r="AC122" i="18"/>
  <c r="HJ29" i="7"/>
  <c r="HI29" i="7"/>
  <c r="HI5" i="7"/>
  <c r="HJ5" i="7"/>
  <c r="CD137" i="10"/>
  <c r="CD46" i="10"/>
  <c r="P81" i="7"/>
  <c r="P95" i="7"/>
  <c r="P93" i="7"/>
  <c r="P114" i="7"/>
  <c r="P23" i="7"/>
  <c r="P32" i="7"/>
  <c r="P138" i="7"/>
  <c r="CD120" i="10"/>
  <c r="P120" i="7"/>
  <c r="CD131" i="10"/>
  <c r="CR131" i="10" s="1"/>
  <c r="P127" i="7"/>
  <c r="P29" i="7"/>
  <c r="CD69" i="10"/>
  <c r="CR69" i="10" s="1"/>
  <c r="CD104" i="10"/>
  <c r="P108" i="7"/>
  <c r="P14" i="7"/>
  <c r="P72" i="7"/>
  <c r="CD156" i="10"/>
  <c r="P43" i="7"/>
  <c r="CD152" i="10"/>
  <c r="P123" i="7"/>
  <c r="P22" i="7"/>
  <c r="P92" i="7"/>
  <c r="P25" i="7"/>
  <c r="P9" i="7"/>
  <c r="CD114" i="10"/>
  <c r="P35" i="7"/>
  <c r="P55" i="7"/>
  <c r="CD111" i="10"/>
  <c r="P140" i="7"/>
  <c r="CD136" i="10"/>
  <c r="CR136" i="10" s="1"/>
  <c r="P52" i="7"/>
  <c r="CD150" i="10"/>
  <c r="CD73" i="10"/>
  <c r="CD145" i="10"/>
  <c r="CD116" i="10"/>
  <c r="CR116" i="10" s="1"/>
  <c r="CD23" i="10"/>
  <c r="P68" i="7"/>
  <c r="P61" i="7"/>
  <c r="CD83" i="10"/>
  <c r="CR83" i="10" s="1"/>
  <c r="P16" i="7"/>
  <c r="CD133" i="10"/>
  <c r="CD86" i="10"/>
  <c r="CR86" i="10" s="1"/>
  <c r="CD123" i="10"/>
  <c r="CD122" i="10"/>
  <c r="CD19" i="10"/>
  <c r="CR19" i="10" s="1"/>
  <c r="P106" i="7"/>
  <c r="P88" i="7"/>
  <c r="CD153" i="10"/>
  <c r="P83" i="7"/>
  <c r="P145" i="7"/>
  <c r="P148" i="7"/>
  <c r="CD67" i="10"/>
  <c r="P60" i="7"/>
  <c r="P110" i="7"/>
  <c r="P56" i="7"/>
  <c r="CD99" i="10"/>
  <c r="P40" i="7"/>
  <c r="P135" i="7"/>
  <c r="P150" i="7"/>
  <c r="CD118" i="10"/>
  <c r="P18" i="7"/>
  <c r="P118" i="7"/>
  <c r="P45" i="7"/>
  <c r="CD144" i="10"/>
  <c r="CD85" i="10"/>
  <c r="P47" i="7"/>
  <c r="CD149" i="10"/>
  <c r="P141" i="7"/>
  <c r="CD109" i="10"/>
  <c r="CD15" i="10"/>
  <c r="P136" i="7"/>
  <c r="P147" i="7"/>
  <c r="CD115" i="10"/>
  <c r="P70" i="7"/>
  <c r="P80" i="7"/>
  <c r="P48" i="7"/>
  <c r="CD105" i="10"/>
  <c r="P36" i="7"/>
  <c r="P37" i="7"/>
  <c r="P97" i="7"/>
  <c r="P38" i="7"/>
  <c r="P125" i="7"/>
  <c r="P82" i="7"/>
  <c r="CD147" i="10"/>
  <c r="CR147" i="10" s="1"/>
  <c r="P5" i="7"/>
  <c r="CD113" i="10"/>
  <c r="CD56" i="10"/>
  <c r="P6" i="7"/>
  <c r="CD126" i="10"/>
  <c r="CR126" i="10" s="1"/>
  <c r="P65" i="7"/>
  <c r="CD87" i="10"/>
  <c r="CD31" i="10"/>
  <c r="P116" i="7"/>
  <c r="CD98" i="10"/>
  <c r="P21" i="7"/>
  <c r="P44" i="7"/>
  <c r="P27" i="7"/>
  <c r="HI21" i="7"/>
  <c r="DH55" i="10"/>
  <c r="CD55" i="10"/>
  <c r="HI59" i="7"/>
  <c r="HJ59" i="7"/>
  <c r="HJ58" i="7"/>
  <c r="HI58" i="7"/>
  <c r="HI13" i="7"/>
  <c r="HJ13" i="7"/>
  <c r="CD80" i="10"/>
  <c r="CD28" i="10"/>
  <c r="CD74" i="10"/>
  <c r="CR74" i="10" s="1"/>
  <c r="CD70" i="10"/>
  <c r="CR70" i="10" s="1"/>
  <c r="CD129" i="10"/>
  <c r="CD125" i="10"/>
  <c r="CD121" i="10"/>
  <c r="CD45" i="10"/>
  <c r="CR45" i="10" s="1"/>
  <c r="CD38" i="10"/>
  <c r="CD34" i="10"/>
  <c r="CD30" i="10"/>
  <c r="CD26" i="10"/>
  <c r="CR26" i="10" s="1"/>
  <c r="CD22" i="10"/>
  <c r="CR22" i="10" s="1"/>
  <c r="CD18" i="10"/>
  <c r="L4" i="7"/>
  <c r="E3" i="39" s="1"/>
  <c r="CR88" i="10"/>
  <c r="CD95" i="10"/>
  <c r="AO20" i="3"/>
  <c r="AJ122" i="18"/>
  <c r="AE122" i="18"/>
  <c r="CD93" i="10"/>
  <c r="AA122" i="18"/>
  <c r="M6" i="7"/>
  <c r="M33" i="7"/>
  <c r="F30" i="39" s="1"/>
  <c r="Y126" i="18"/>
  <c r="DH125" i="10"/>
  <c r="CD14" i="10"/>
  <c r="AQ34" i="3"/>
  <c r="S6" i="3"/>
  <c r="AE126" i="18"/>
  <c r="M36" i="7"/>
  <c r="F33" i="39" s="1"/>
  <c r="L98" i="7"/>
  <c r="CD78" i="10"/>
  <c r="DH121" i="10"/>
  <c r="AT122" i="18"/>
  <c r="AH122" i="18"/>
  <c r="AD122" i="18"/>
  <c r="CD140" i="10"/>
  <c r="AQ122" i="18"/>
  <c r="AR122" i="18"/>
  <c r="L29" i="7"/>
  <c r="E28" i="39" s="1"/>
  <c r="AL126" i="18"/>
  <c r="R177" i="28"/>
  <c r="DU341" i="7"/>
  <c r="S5" i="3"/>
  <c r="CD127" i="10"/>
  <c r="AB122" i="18"/>
  <c r="AL122" i="18"/>
  <c r="AG122" i="18"/>
  <c r="AO19" i="3"/>
  <c r="CD89" i="10"/>
  <c r="AN122" i="18"/>
  <c r="S177" i="28"/>
  <c r="N200" i="14"/>
  <c r="P187" i="14"/>
  <c r="O195" i="14"/>
  <c r="N191" i="14"/>
  <c r="N187" i="14"/>
  <c r="P195" i="14"/>
  <c r="P191" i="14"/>
  <c r="AU19" i="33"/>
  <c r="M18" i="33"/>
  <c r="AU125" i="33"/>
  <c r="M124" i="33"/>
  <c r="CB175" i="14"/>
  <c r="A121" i="33"/>
  <c r="AF123" i="33"/>
  <c r="A123" i="33" s="1"/>
  <c r="A120" i="33"/>
  <c r="A117" i="33"/>
  <c r="M17" i="33"/>
  <c r="M123" i="33"/>
  <c r="BQ183" i="10"/>
  <c r="A182" i="10"/>
  <c r="BO182" i="10" s="1"/>
  <c r="Y161" i="18"/>
  <c r="A181" i="10"/>
  <c r="CG181" i="10" s="1"/>
  <c r="F33" i="3"/>
  <c r="AN123" i="18"/>
  <c r="FL127" i="7"/>
  <c r="BQ229" i="10"/>
  <c r="DH79" i="10"/>
  <c r="Q112" i="20"/>
  <c r="Q113" i="20"/>
  <c r="AS135" i="18"/>
  <c r="J74" i="24"/>
  <c r="N74" i="24" s="1"/>
  <c r="U9" i="3"/>
  <c r="W7" i="3"/>
  <c r="W11" i="3"/>
  <c r="O9" i="3"/>
  <c r="A263" i="28"/>
  <c r="A260" i="28"/>
  <c r="T260" i="28" s="1"/>
  <c r="A257" i="28"/>
  <c r="R257" i="28" s="1"/>
  <c r="A252" i="28"/>
  <c r="R252" i="28" s="1"/>
  <c r="A249" i="28"/>
  <c r="A245" i="28"/>
  <c r="A243" i="28"/>
  <c r="A239" i="28"/>
  <c r="A236" i="28"/>
  <c r="A233" i="28"/>
  <c r="A229" i="28"/>
  <c r="A226" i="28"/>
  <c r="A223" i="28"/>
  <c r="A221" i="28"/>
  <c r="A218" i="28"/>
  <c r="A214" i="28"/>
  <c r="A207" i="28"/>
  <c r="A203" i="28"/>
  <c r="S203" i="28" s="1"/>
  <c r="A200" i="28"/>
  <c r="R200" i="28" s="1"/>
  <c r="A197" i="28"/>
  <c r="A194" i="28"/>
  <c r="A191" i="28"/>
  <c r="S191" i="28" s="1"/>
  <c r="A185" i="28"/>
  <c r="A182" i="28"/>
  <c r="A175" i="28"/>
  <c r="U10" i="3"/>
  <c r="W8" i="3"/>
  <c r="O10" i="3"/>
  <c r="Q122" i="20"/>
  <c r="C7" i="3"/>
  <c r="AD122" i="33"/>
  <c r="U7" i="3"/>
  <c r="U11" i="3"/>
  <c r="O7" i="3"/>
  <c r="R258" i="28"/>
  <c r="A244" i="28"/>
  <c r="A241" i="28"/>
  <c r="A237" i="28"/>
  <c r="A234" i="28"/>
  <c r="A231" i="28"/>
  <c r="A224" i="28"/>
  <c r="A222" i="28"/>
  <c r="A220" i="28"/>
  <c r="T220" i="28" s="1"/>
  <c r="A216" i="28"/>
  <c r="A212" i="28"/>
  <c r="A209" i="28"/>
  <c r="A205" i="28"/>
  <c r="A196" i="28"/>
  <c r="A193" i="28"/>
  <c r="A189" i="28"/>
  <c r="R189" i="28" s="1"/>
  <c r="A186" i="28"/>
  <c r="R186" i="28" s="1"/>
  <c r="AQ8" i="3"/>
  <c r="Q109" i="20"/>
  <c r="Q114" i="20"/>
  <c r="U8" i="3"/>
  <c r="B6" i="23"/>
  <c r="AG6" i="23"/>
  <c r="P241" i="14"/>
  <c r="N241" i="14"/>
  <c r="E31" i="39"/>
  <c r="DK121" i="7"/>
  <c r="E65" i="39"/>
  <c r="CR114" i="10"/>
  <c r="R181" i="20"/>
  <c r="R159" i="20"/>
  <c r="R167" i="20"/>
  <c r="R178" i="20"/>
  <c r="R166" i="20"/>
  <c r="R162" i="20"/>
  <c r="R157" i="20"/>
  <c r="R144" i="20"/>
  <c r="R169" i="20"/>
  <c r="R131" i="20"/>
  <c r="R129" i="20"/>
  <c r="R153" i="20"/>
  <c r="R179" i="20"/>
  <c r="R177" i="20"/>
  <c r="R143" i="20"/>
  <c r="R175" i="20"/>
  <c r="R173" i="20"/>
  <c r="R183" i="20"/>
  <c r="R150" i="20"/>
  <c r="R165" i="20"/>
  <c r="R172" i="20"/>
  <c r="R171" i="20"/>
  <c r="R148" i="20"/>
  <c r="R139" i="20"/>
  <c r="R149" i="20"/>
  <c r="R135" i="20"/>
  <c r="R130" i="20"/>
  <c r="R161" i="20"/>
  <c r="R158" i="20"/>
  <c r="R170" i="20"/>
  <c r="R138" i="20"/>
  <c r="R137" i="20"/>
  <c r="R182" i="20"/>
  <c r="R155" i="20"/>
  <c r="C6" i="3"/>
  <c r="O6" i="3"/>
  <c r="Q6" i="3"/>
  <c r="AS6" i="3"/>
  <c r="AR6" i="3"/>
  <c r="C8" i="3"/>
  <c r="AS8" i="3"/>
  <c r="Q8" i="3"/>
  <c r="AR33" i="3"/>
  <c r="S54" i="3"/>
  <c r="AQ33" i="3"/>
  <c r="CD47" i="10"/>
  <c r="L45" i="7"/>
  <c r="L38" i="7"/>
  <c r="L139" i="7"/>
  <c r="DH47" i="10"/>
  <c r="L93" i="7"/>
  <c r="M83" i="7"/>
  <c r="F80" i="39" s="1"/>
  <c r="L140" i="7"/>
  <c r="M128" i="7"/>
  <c r="F125" i="39" s="1"/>
  <c r="M87" i="7"/>
  <c r="F84" i="39" s="1"/>
  <c r="L147" i="7"/>
  <c r="M139" i="7"/>
  <c r="F136" i="39" s="1"/>
  <c r="L39" i="7"/>
  <c r="L83" i="7"/>
  <c r="M69" i="7"/>
  <c r="F66" i="39" s="1"/>
  <c r="M56" i="7"/>
  <c r="F53" i="39" s="1"/>
  <c r="M109" i="7"/>
  <c r="M68" i="7"/>
  <c r="F65" i="39" s="1"/>
  <c r="M89" i="7"/>
  <c r="F86" i="39" s="1"/>
  <c r="M85" i="7"/>
  <c r="F82" i="39" s="1"/>
  <c r="L59" i="7"/>
  <c r="L44" i="7"/>
  <c r="L146" i="7"/>
  <c r="L87" i="7"/>
  <c r="L81" i="7"/>
  <c r="M106" i="7"/>
  <c r="F103" i="39" s="1"/>
  <c r="M59" i="7"/>
  <c r="F56" i="39" s="1"/>
  <c r="L135" i="7"/>
  <c r="L104" i="7"/>
  <c r="L129" i="7"/>
  <c r="L53" i="7"/>
  <c r="M55" i="7"/>
  <c r="F52" i="39" s="1"/>
  <c r="M108" i="7"/>
  <c r="M105" i="7"/>
  <c r="F102" i="39" s="1"/>
  <c r="M96" i="7"/>
  <c r="F93" i="39" s="1"/>
  <c r="L54" i="7"/>
  <c r="L66" i="7"/>
  <c r="M53" i="7"/>
  <c r="F50" i="39" s="1"/>
  <c r="L119" i="7"/>
  <c r="L107" i="7"/>
  <c r="L120" i="7"/>
  <c r="M81" i="7"/>
  <c r="F78" i="39" s="1"/>
  <c r="M37" i="7"/>
  <c r="F34" i="39" s="1"/>
  <c r="L101" i="7"/>
  <c r="M82" i="7"/>
  <c r="F79" i="39" s="1"/>
  <c r="L132" i="7"/>
  <c r="L115" i="7"/>
  <c r="L126" i="7"/>
  <c r="M72" i="7"/>
  <c r="F69" i="39" s="1"/>
  <c r="M127" i="7"/>
  <c r="F124" i="39" s="1"/>
  <c r="L85" i="7"/>
  <c r="L121" i="7"/>
  <c r="M54" i="7"/>
  <c r="F51" i="39" s="1"/>
  <c r="L82" i="7"/>
  <c r="M110" i="7"/>
  <c r="F107" i="39" s="1"/>
  <c r="L42" i="7"/>
  <c r="L96" i="7"/>
  <c r="L94" i="7"/>
  <c r="L46" i="7"/>
  <c r="L114" i="7"/>
  <c r="M94" i="7"/>
  <c r="F91" i="39" s="1"/>
  <c r="M46" i="7"/>
  <c r="F43" i="39" s="1"/>
  <c r="M67" i="7"/>
  <c r="F64" i="39" s="1"/>
  <c r="M107" i="7"/>
  <c r="F104" i="39" s="1"/>
  <c r="L106" i="7"/>
  <c r="L118" i="7"/>
  <c r="L76" i="7"/>
  <c r="L136" i="7"/>
  <c r="M149" i="7"/>
  <c r="L127" i="7"/>
  <c r="M70" i="7"/>
  <c r="F67" i="39" s="1"/>
  <c r="L125" i="7"/>
  <c r="L117" i="7"/>
  <c r="L102" i="7"/>
  <c r="M86" i="7"/>
  <c r="F83" i="39" s="1"/>
  <c r="L55" i="7"/>
  <c r="L67" i="7"/>
  <c r="L80" i="7"/>
  <c r="M57" i="7"/>
  <c r="L88" i="7"/>
  <c r="M80" i="7"/>
  <c r="F77" i="39" s="1"/>
  <c r="L61" i="7"/>
  <c r="L56" i="7"/>
  <c r="M52" i="7"/>
  <c r="F49" i="39" s="1"/>
  <c r="L137" i="7"/>
  <c r="L52" i="7"/>
  <c r="L69" i="7"/>
  <c r="L142" i="7"/>
  <c r="M40" i="7"/>
  <c r="F37" i="39" s="1"/>
  <c r="M142" i="7"/>
  <c r="F139" i="39" s="1"/>
  <c r="L48" i="7"/>
  <c r="M79" i="7"/>
  <c r="M111" i="7"/>
  <c r="L78" i="7"/>
  <c r="M118" i="7"/>
  <c r="F115" i="39" s="1"/>
  <c r="M129" i="7"/>
  <c r="F126" i="39" s="1"/>
  <c r="L128" i="7"/>
  <c r="L113" i="7"/>
  <c r="L122" i="7"/>
  <c r="T183" i="28"/>
  <c r="R183" i="28"/>
  <c r="S183" i="28"/>
  <c r="Z34" i="20"/>
  <c r="Q34" i="20"/>
  <c r="Y34" i="20"/>
  <c r="Y32" i="20"/>
  <c r="Q32" i="20"/>
  <c r="W35" i="20"/>
  <c r="Z27" i="20"/>
  <c r="X35" i="20"/>
  <c r="Y27" i="20"/>
  <c r="Q27" i="20"/>
  <c r="P197" i="14"/>
  <c r="N197" i="14"/>
  <c r="C11" i="44"/>
  <c r="B11" i="44"/>
  <c r="M11" i="44" s="1"/>
  <c r="P237" i="14"/>
  <c r="N237" i="14"/>
  <c r="AB70" i="22"/>
  <c r="AD70" i="22"/>
  <c r="E43" i="3"/>
  <c r="S52" i="20"/>
  <c r="S71" i="20"/>
  <c r="S56" i="20"/>
  <c r="S68" i="20"/>
  <c r="S58" i="20"/>
  <c r="S60" i="20"/>
  <c r="S51" i="20"/>
  <c r="S55" i="20"/>
  <c r="S54" i="20"/>
  <c r="AK129" i="18"/>
  <c r="AT129" i="18"/>
  <c r="H129" i="18"/>
  <c r="AN129" i="18"/>
  <c r="AO129" i="18"/>
  <c r="AP129" i="18"/>
  <c r="AJ129" i="18"/>
  <c r="Y129" i="18"/>
  <c r="AM129" i="18"/>
  <c r="AS129" i="18"/>
  <c r="AL129" i="18"/>
  <c r="AQ129" i="18"/>
  <c r="AE129" i="18"/>
  <c r="AI129" i="18"/>
  <c r="AF129" i="18"/>
  <c r="AB129" i="18"/>
  <c r="AH129" i="18"/>
  <c r="AC129" i="18"/>
  <c r="AG129" i="18"/>
  <c r="DH82" i="10"/>
  <c r="CD82" i="10"/>
  <c r="DH75" i="10"/>
  <c r="CD75" i="10"/>
  <c r="CD64" i="10"/>
  <c r="DH64" i="10"/>
  <c r="DH51" i="10"/>
  <c r="CD51" i="10"/>
  <c r="CD44" i="10"/>
  <c r="DH44" i="10"/>
  <c r="S232" i="28"/>
  <c r="DH100" i="10"/>
  <c r="CD100" i="10"/>
  <c r="DH91" i="10"/>
  <c r="CD91" i="10"/>
  <c r="L9" i="7"/>
  <c r="M119" i="7"/>
  <c r="F116" i="39" s="1"/>
  <c r="L72" i="7"/>
  <c r="M124" i="7"/>
  <c r="F121" i="39" s="1"/>
  <c r="M133" i="7"/>
  <c r="F130" i="39" s="1"/>
  <c r="M15" i="7"/>
  <c r="F14" i="39" s="1"/>
  <c r="M13" i="7"/>
  <c r="F12" i="39" s="1"/>
  <c r="M27" i="7"/>
  <c r="CD20" i="10"/>
  <c r="M38" i="7"/>
  <c r="F35" i="39" s="1"/>
  <c r="M32" i="7"/>
  <c r="M34" i="7"/>
  <c r="F31" i="39" s="1"/>
  <c r="L35" i="7"/>
  <c r="L10" i="7"/>
  <c r="M29" i="7"/>
  <c r="M16" i="7"/>
  <c r="L33" i="7"/>
  <c r="M12" i="7"/>
  <c r="F11" i="39" s="1"/>
  <c r="M9" i="7"/>
  <c r="F8" i="39" s="1"/>
  <c r="M71" i="7"/>
  <c r="F68" i="39" s="1"/>
  <c r="M144" i="7"/>
  <c r="L144" i="7"/>
  <c r="L60" i="7"/>
  <c r="L124" i="7"/>
  <c r="M88" i="7"/>
  <c r="F85" i="39" s="1"/>
  <c r="L103" i="7"/>
  <c r="L92" i="7"/>
  <c r="M143" i="7"/>
  <c r="F140" i="39" s="1"/>
  <c r="L43" i="7"/>
  <c r="M136" i="7"/>
  <c r="F133" i="39" s="1"/>
  <c r="M60" i="7"/>
  <c r="F57" i="39" s="1"/>
  <c r="M91" i="7"/>
  <c r="F88" i="39" s="1"/>
  <c r="M58" i="7"/>
  <c r="M135" i="7"/>
  <c r="F132" i="39" s="1"/>
  <c r="M146" i="7"/>
  <c r="M95" i="7"/>
  <c r="M44" i="7"/>
  <c r="F41" i="39" s="1"/>
  <c r="M114" i="7"/>
  <c r="F111" i="39" s="1"/>
  <c r="M97" i="7"/>
  <c r="F94" i="39" s="1"/>
  <c r="L70" i="7"/>
  <c r="L97" i="7"/>
  <c r="L62" i="7"/>
  <c r="L65" i="7"/>
  <c r="M145" i="7"/>
  <c r="L133" i="7"/>
  <c r="M47" i="7"/>
  <c r="F44" i="39" s="1"/>
  <c r="M123" i="7"/>
  <c r="L149" i="7"/>
  <c r="M137" i="7"/>
  <c r="F134" i="39" s="1"/>
  <c r="M84" i="7"/>
  <c r="F81" i="39" s="1"/>
  <c r="M78" i="7"/>
  <c r="F75" i="39" s="1"/>
  <c r="M65" i="7"/>
  <c r="F62" i="39" s="1"/>
  <c r="L40" i="7"/>
  <c r="M92" i="7"/>
  <c r="F89" i="39" s="1"/>
  <c r="L148" i="7"/>
  <c r="L91" i="7"/>
  <c r="L89" i="7"/>
  <c r="L110" i="7"/>
  <c r="M134" i="7"/>
  <c r="F131" i="39" s="1"/>
  <c r="M90" i="7"/>
  <c r="F87" i="39" s="1"/>
  <c r="M117" i="7"/>
  <c r="F114" i="39" s="1"/>
  <c r="L84" i="7"/>
  <c r="M147" i="7"/>
  <c r="L71" i="7"/>
  <c r="L143" i="7"/>
  <c r="M115" i="7"/>
  <c r="F112" i="39" s="1"/>
  <c r="M62" i="7"/>
  <c r="F59" i="39" s="1"/>
  <c r="AB134" i="18"/>
  <c r="AP134" i="18"/>
  <c r="AF134" i="18"/>
  <c r="AJ134" i="18"/>
  <c r="AQ134" i="18"/>
  <c r="M21" i="7"/>
  <c r="M28" i="7"/>
  <c r="L2" i="33"/>
  <c r="M3" i="14"/>
  <c r="AI122" i="18"/>
  <c r="AO122" i="18"/>
  <c r="AF122" i="18"/>
  <c r="C6" i="44"/>
  <c r="B7" i="44"/>
  <c r="M7" i="44" s="1"/>
  <c r="CW120" i="7"/>
  <c r="AB79" i="22"/>
  <c r="X79" i="22"/>
  <c r="J53" i="6"/>
  <c r="K53" i="6" s="1"/>
  <c r="AL6" i="18"/>
  <c r="P192" i="14"/>
  <c r="O192" i="14"/>
  <c r="N192" i="14"/>
  <c r="O201" i="14"/>
  <c r="N201" i="14"/>
  <c r="N199" i="14"/>
  <c r="P199" i="14"/>
  <c r="N194" i="14"/>
  <c r="P194" i="14"/>
  <c r="O189" i="14"/>
  <c r="N189" i="14"/>
  <c r="N196" i="14"/>
  <c r="P196" i="14"/>
  <c r="O188" i="14"/>
  <c r="P188" i="14"/>
  <c r="AN151" i="34" a="1"/>
  <c r="K151" i="34" a="1"/>
  <c r="W151" i="34" a="1"/>
  <c r="AH151" i="34" a="1"/>
  <c r="H151" i="34" a="1"/>
  <c r="L151" i="34" a="1"/>
  <c r="I151" i="34" a="1"/>
  <c r="AC151" i="34" a="1"/>
  <c r="F151" i="34" a="1"/>
  <c r="N151" i="34" a="1"/>
  <c r="AJ151" i="34" a="1"/>
  <c r="P151" i="34" a="1"/>
  <c r="AM151" i="34" a="1"/>
  <c r="X151" i="34" a="1"/>
  <c r="AG151" i="34" a="1"/>
  <c r="J151" i="34" a="1"/>
  <c r="O151" i="34" a="1"/>
  <c r="Z151" i="34" a="1"/>
  <c r="AB151" i="34" a="1"/>
  <c r="AK151" i="34" a="1"/>
  <c r="R151" i="34" a="1"/>
  <c r="Y151" i="34" a="1"/>
  <c r="AA151" i="34" a="1"/>
  <c r="AF151" i="34" a="1"/>
  <c r="M151" i="34" a="1"/>
  <c r="AD151" i="34" a="1"/>
  <c r="S151" i="34" a="1"/>
  <c r="Q151" i="34" a="1"/>
  <c r="AI151" i="34" a="1"/>
  <c r="AE151" i="34" a="1"/>
  <c r="AL151" i="34" a="1"/>
  <c r="G151" i="34" a="1"/>
  <c r="T151" i="34" a="1"/>
  <c r="U151" i="34" a="1"/>
  <c r="D185" i="14"/>
  <c r="D183" i="14"/>
  <c r="C185" i="14"/>
  <c r="D184" i="14"/>
  <c r="D182" i="14"/>
  <c r="B15" i="28"/>
  <c r="A33" i="28"/>
  <c r="Z25" i="29"/>
  <c r="W25" i="29"/>
  <c r="R34" i="3" l="1"/>
  <c r="N34" i="15"/>
  <c r="T6" i="1"/>
  <c r="S6" i="1" s="1"/>
  <c r="B6" i="1" s="1"/>
  <c r="O34" i="15"/>
  <c r="C245" i="28"/>
  <c r="C253" i="28"/>
  <c r="B178" i="28"/>
  <c r="I178" i="28" s="1"/>
  <c r="C258" i="28"/>
  <c r="C223" i="28"/>
  <c r="B236" i="28"/>
  <c r="I236" i="28" s="1"/>
  <c r="B261" i="28"/>
  <c r="I261" i="28" s="1"/>
  <c r="C215" i="28"/>
  <c r="C227" i="28"/>
  <c r="C187" i="28"/>
  <c r="C261" i="28"/>
  <c r="B223" i="28"/>
  <c r="I223" i="28" s="1"/>
  <c r="C251" i="28"/>
  <c r="C260" i="28"/>
  <c r="B252" i="28"/>
  <c r="I252" i="28" s="1"/>
  <c r="B191" i="28"/>
  <c r="I191" i="28" s="1"/>
  <c r="C214" i="28"/>
  <c r="C263" i="28"/>
  <c r="C250" i="28"/>
  <c r="C249" i="28"/>
  <c r="C229" i="28"/>
  <c r="B244" i="28"/>
  <c r="I244" i="28" s="1"/>
  <c r="B192" i="28"/>
  <c r="I192" i="28" s="1"/>
  <c r="C233" i="28"/>
  <c r="C209" i="28"/>
  <c r="B219" i="28"/>
  <c r="I219" i="28" s="1"/>
  <c r="D51" i="29"/>
  <c r="R7" i="6"/>
  <c r="H54" i="29"/>
  <c r="N54" i="29" s="1"/>
  <c r="U76" i="7"/>
  <c r="D53" i="29"/>
  <c r="H59" i="29"/>
  <c r="N59" i="29" s="1"/>
  <c r="B111" i="23"/>
  <c r="H111" i="23" s="1"/>
  <c r="B176" i="28"/>
  <c r="I176" i="28" s="1"/>
  <c r="B259" i="28"/>
  <c r="I259" i="28" s="1"/>
  <c r="C179" i="28"/>
  <c r="C184" i="28"/>
  <c r="B238" i="28"/>
  <c r="I238" i="28" s="1"/>
  <c r="C228" i="28"/>
  <c r="C220" i="28"/>
  <c r="B243" i="28"/>
  <c r="I243" i="28" s="1"/>
  <c r="B231" i="28"/>
  <c r="I231" i="28" s="1"/>
  <c r="C191" i="28"/>
  <c r="C175" i="28"/>
  <c r="B249" i="28"/>
  <c r="I249" i="28" s="1"/>
  <c r="C232" i="28"/>
  <c r="B239" i="28"/>
  <c r="I239" i="28" s="1"/>
  <c r="B182" i="28"/>
  <c r="I182" i="28" s="1"/>
  <c r="B234" i="28"/>
  <c r="I234" i="28" s="1"/>
  <c r="C231" i="28"/>
  <c r="B175" i="28"/>
  <c r="I175" i="28" s="1"/>
  <c r="C195" i="28"/>
  <c r="B251" i="28"/>
  <c r="I251" i="28" s="1"/>
  <c r="C259" i="28"/>
  <c r="B221" i="28"/>
  <c r="I221" i="28" s="1"/>
  <c r="C234" i="28"/>
  <c r="C256" i="28"/>
  <c r="B248" i="28"/>
  <c r="I248" i="28" s="1"/>
  <c r="B258" i="28"/>
  <c r="I258" i="28" s="1"/>
  <c r="C182" i="28"/>
  <c r="D39" i="29"/>
  <c r="U6" i="7"/>
  <c r="S52" i="3"/>
  <c r="H56" i="29"/>
  <c r="L56" i="29" s="1"/>
  <c r="C235" i="28"/>
  <c r="B232" i="28"/>
  <c r="I232" i="28" s="1"/>
  <c r="C254" i="28"/>
  <c r="B263" i="28"/>
  <c r="I263" i="28" s="1"/>
  <c r="B199" i="28"/>
  <c r="I199" i="28" s="1"/>
  <c r="B211" i="28"/>
  <c r="I211" i="28" s="1"/>
  <c r="B237" i="28"/>
  <c r="I237" i="28" s="1"/>
  <c r="C241" i="28"/>
  <c r="C181" i="28"/>
  <c r="C222" i="28"/>
  <c r="C189" i="28"/>
  <c r="B227" i="28"/>
  <c r="I227" i="28" s="1"/>
  <c r="C244" i="28"/>
  <c r="B235" i="28"/>
  <c r="I235" i="28" s="1"/>
  <c r="C200" i="28"/>
  <c r="C176" i="28"/>
  <c r="B186" i="28"/>
  <c r="I186" i="28" s="1"/>
  <c r="C230" i="28"/>
  <c r="C212" i="28"/>
  <c r="B222" i="28"/>
  <c r="I222" i="28" s="1"/>
  <c r="B241" i="28"/>
  <c r="I241" i="28" s="1"/>
  <c r="C255" i="28"/>
  <c r="C207" i="28"/>
  <c r="C242" i="28"/>
  <c r="B202" i="28"/>
  <c r="I202" i="28" s="1"/>
  <c r="B209" i="28"/>
  <c r="I209" i="28" s="1"/>
  <c r="C199" i="28"/>
  <c r="U8" i="6"/>
  <c r="D3" i="32"/>
  <c r="D45" i="29"/>
  <c r="H49" i="29"/>
  <c r="N49" i="29" s="1"/>
  <c r="C236" i="28"/>
  <c r="B206" i="28"/>
  <c r="I206" i="28" s="1"/>
  <c r="C180" i="28"/>
  <c r="C205" i="28"/>
  <c r="B245" i="28"/>
  <c r="I245" i="28" s="1"/>
  <c r="B181" i="28"/>
  <c r="I181" i="28" s="1"/>
  <c r="C177" i="28"/>
  <c r="B247" i="28"/>
  <c r="I247" i="28" s="1"/>
  <c r="C188" i="28"/>
  <c r="C186" i="28"/>
  <c r="C218" i="28"/>
  <c r="C239" i="28"/>
  <c r="C185" i="28"/>
  <c r="C196" i="28"/>
  <c r="B254" i="28"/>
  <c r="I254" i="28" s="1"/>
  <c r="C262" i="28"/>
  <c r="B256" i="28"/>
  <c r="I256" i="28" s="1"/>
  <c r="B255" i="28"/>
  <c r="I255" i="28" s="1"/>
  <c r="B260" i="28"/>
  <c r="I260" i="28" s="1"/>
  <c r="C211" i="28"/>
  <c r="B189" i="28"/>
  <c r="I189" i="28" s="1"/>
  <c r="C183" i="28"/>
  <c r="B188" i="28"/>
  <c r="I188" i="28" s="1"/>
  <c r="B213" i="28"/>
  <c r="I213" i="28" s="1"/>
  <c r="B242" i="28"/>
  <c r="I242" i="28" s="1"/>
  <c r="B253" i="28"/>
  <c r="I253" i="28" s="1"/>
  <c r="C243" i="28"/>
  <c r="C203" i="28"/>
  <c r="C252" i="28"/>
  <c r="B204" i="28"/>
  <c r="I204" i="28" s="1"/>
  <c r="C194" i="28"/>
  <c r="B195" i="28"/>
  <c r="I195" i="28" s="1"/>
  <c r="B216" i="28"/>
  <c r="I216" i="28" s="1"/>
  <c r="B229" i="28"/>
  <c r="I229" i="28" s="1"/>
  <c r="B224" i="28"/>
  <c r="I224" i="28" s="1"/>
  <c r="C190" i="28"/>
  <c r="B196" i="28"/>
  <c r="I196" i="28" s="1"/>
  <c r="B207" i="28"/>
  <c r="I207" i="28" s="1"/>
  <c r="B205" i="28"/>
  <c r="I205" i="28" s="1"/>
  <c r="B233" i="28"/>
  <c r="I233" i="28" s="1"/>
  <c r="C193" i="28"/>
  <c r="B228" i="28"/>
  <c r="I228" i="28" s="1"/>
  <c r="B177" i="28"/>
  <c r="I177" i="28" s="1"/>
  <c r="C213" i="28"/>
  <c r="B194" i="28"/>
  <c r="I194" i="28" s="1"/>
  <c r="C224" i="28"/>
  <c r="B184" i="28"/>
  <c r="I184" i="28" s="1"/>
  <c r="C197" i="28"/>
  <c r="B226" i="28"/>
  <c r="I226" i="28" s="1"/>
  <c r="B240" i="28"/>
  <c r="I240" i="28" s="1"/>
  <c r="B250" i="28"/>
  <c r="I250" i="28" s="1"/>
  <c r="B187" i="28"/>
  <c r="I187" i="28" s="1"/>
  <c r="B185" i="28"/>
  <c r="I185" i="28" s="1"/>
  <c r="B230" i="28"/>
  <c r="I230" i="28" s="1"/>
  <c r="B198" i="28"/>
  <c r="I198" i="28" s="1"/>
  <c r="C225" i="28"/>
  <c r="C248" i="28"/>
  <c r="B217" i="28"/>
  <c r="I217" i="28" s="1"/>
  <c r="B197" i="28"/>
  <c r="I197" i="28" s="1"/>
  <c r="C221" i="28"/>
  <c r="C219" i="28"/>
  <c r="C240" i="28"/>
  <c r="C206" i="28"/>
  <c r="C216" i="28"/>
  <c r="B200" i="28"/>
  <c r="I200" i="28" s="1"/>
  <c r="C208" i="28"/>
  <c r="C257" i="28"/>
  <c r="B262" i="28"/>
  <c r="I262" i="28" s="1"/>
  <c r="B257" i="28"/>
  <c r="I257" i="28" s="1"/>
  <c r="C247" i="28"/>
  <c r="B201" i="28"/>
  <c r="I201" i="28" s="1"/>
  <c r="J121" i="33"/>
  <c r="J118" i="33"/>
  <c r="Y118" i="33" s="1"/>
  <c r="DK238" i="7"/>
  <c r="N7" i="7"/>
  <c r="R156" i="20"/>
  <c r="R142" i="20"/>
  <c r="H123" i="6"/>
  <c r="R152" i="20"/>
  <c r="R154" i="20"/>
  <c r="R145" i="20"/>
  <c r="D36" i="29"/>
  <c r="R136" i="20"/>
  <c r="R133" i="20"/>
  <c r="R140" i="20"/>
  <c r="DK231" i="7"/>
  <c r="N3" i="7"/>
  <c r="G123" i="6"/>
  <c r="A17" i="33"/>
  <c r="AF18" i="33"/>
  <c r="DK108" i="7"/>
  <c r="CG182" i="10"/>
  <c r="DK257" i="7"/>
  <c r="DK205" i="7"/>
  <c r="DK263" i="7"/>
  <c r="DK50" i="7"/>
  <c r="N75" i="7"/>
  <c r="DK65" i="7"/>
  <c r="DK268" i="7"/>
  <c r="E2" i="39"/>
  <c r="N22" i="7"/>
  <c r="DK162" i="7"/>
  <c r="DK217" i="7"/>
  <c r="D48" i="29"/>
  <c r="B51" i="29"/>
  <c r="B41" i="29"/>
  <c r="D42" i="29"/>
  <c r="D54" i="29"/>
  <c r="B45" i="29"/>
  <c r="N93" i="20"/>
  <c r="P93" i="20" s="1"/>
  <c r="P90" i="6"/>
  <c r="K107" i="6" s="1"/>
  <c r="DK164" i="7"/>
  <c r="DK115" i="7"/>
  <c r="DK310" i="7"/>
  <c r="DK71" i="7"/>
  <c r="T186" i="28"/>
  <c r="N148" i="7"/>
  <c r="BO181" i="10"/>
  <c r="DK22" i="7"/>
  <c r="DK116" i="7"/>
  <c r="DK171" i="7"/>
  <c r="DK225" i="7"/>
  <c r="T195" i="28"/>
  <c r="DK67" i="7"/>
  <c r="DK239" i="7"/>
  <c r="DK261" i="7"/>
  <c r="DK76" i="7"/>
  <c r="DK69" i="7"/>
  <c r="DK297" i="7"/>
  <c r="DK234" i="7"/>
  <c r="S248" i="28"/>
  <c r="DK137" i="7"/>
  <c r="DK278" i="7"/>
  <c r="DK235" i="7"/>
  <c r="DK174" i="7"/>
  <c r="DK34" i="7"/>
  <c r="DK221" i="7"/>
  <c r="DK324" i="7"/>
  <c r="C59" i="29"/>
  <c r="D49" i="29"/>
  <c r="H57" i="29"/>
  <c r="N57" i="29" s="1"/>
  <c r="B50" i="29"/>
  <c r="H55" i="29"/>
  <c r="N55" i="29" s="1"/>
  <c r="FL134" i="7"/>
  <c r="D50" i="29"/>
  <c r="C58" i="29"/>
  <c r="D52" i="29"/>
  <c r="B57" i="29"/>
  <c r="D43" i="29"/>
  <c r="H60" i="29"/>
  <c r="FL181" i="7"/>
  <c r="K3" i="29"/>
  <c r="D37" i="29"/>
  <c r="FL153" i="7"/>
  <c r="D55" i="29"/>
  <c r="CQ48" i="10"/>
  <c r="CQ66" i="10"/>
  <c r="B34" i="29"/>
  <c r="D40" i="29"/>
  <c r="B53" i="29"/>
  <c r="D41" i="29"/>
  <c r="B43" i="29"/>
  <c r="D46" i="29"/>
  <c r="HE107" i="7"/>
  <c r="N154" i="28" s="1"/>
  <c r="C154" i="28" s="1"/>
  <c r="U154" i="28" s="1"/>
  <c r="B37" i="29"/>
  <c r="B36" i="29"/>
  <c r="B47" i="29"/>
  <c r="D35" i="29"/>
  <c r="C64" i="29"/>
  <c r="B54" i="29"/>
  <c r="B46" i="29"/>
  <c r="B39" i="29"/>
  <c r="H53" i="29"/>
  <c r="N53" i="29" s="1"/>
  <c r="B35" i="29"/>
  <c r="B33" i="29"/>
  <c r="B58" i="29"/>
  <c r="D47" i="29"/>
  <c r="C61" i="29"/>
  <c r="B38" i="29"/>
  <c r="H48" i="29"/>
  <c r="D44" i="29"/>
  <c r="B48" i="29"/>
  <c r="B40" i="29"/>
  <c r="C63" i="29"/>
  <c r="B42" i="29"/>
  <c r="B49" i="29"/>
  <c r="H58" i="29"/>
  <c r="D38" i="29"/>
  <c r="S9" i="6"/>
  <c r="R9" i="6" s="1"/>
  <c r="U9" i="6" s="1"/>
  <c r="B44" i="29"/>
  <c r="C62" i="29"/>
  <c r="E58" i="29"/>
  <c r="H52" i="29"/>
  <c r="FL179" i="7"/>
  <c r="H51" i="29"/>
  <c r="DK157" i="7"/>
  <c r="DK302" i="7"/>
  <c r="DK334" i="7"/>
  <c r="DK48" i="7"/>
  <c r="DK209" i="7"/>
  <c r="DK144" i="7"/>
  <c r="DK287" i="7"/>
  <c r="DK206" i="7"/>
  <c r="DK262" i="7"/>
  <c r="DK64" i="7"/>
  <c r="DK258" i="7"/>
  <c r="E21" i="39"/>
  <c r="DK304" i="7"/>
  <c r="DK274" i="7"/>
  <c r="DK91" i="7"/>
  <c r="DK156" i="7"/>
  <c r="N145" i="7"/>
  <c r="DK289" i="7"/>
  <c r="DK210" i="7"/>
  <c r="DK322" i="7"/>
  <c r="DK316" i="7"/>
  <c r="DK94" i="7"/>
  <c r="DK96" i="7"/>
  <c r="DK339" i="7"/>
  <c r="DK4" i="7"/>
  <c r="DK285" i="7"/>
  <c r="DK259" i="7"/>
  <c r="DK242" i="7"/>
  <c r="DK280" i="7"/>
  <c r="DK167" i="7"/>
  <c r="DK245" i="7"/>
  <c r="DK99" i="7"/>
  <c r="DK126" i="7"/>
  <c r="DK141" i="7"/>
  <c r="DK286" i="7"/>
  <c r="DK140" i="7"/>
  <c r="DK3" i="7"/>
  <c r="DK7" i="7"/>
  <c r="DK128" i="7"/>
  <c r="CR66" i="10"/>
  <c r="DK97" i="7"/>
  <c r="DK123" i="7"/>
  <c r="DK49" i="7"/>
  <c r="DK104" i="7"/>
  <c r="BN177" i="10"/>
  <c r="BN178" i="10" s="1"/>
  <c r="DK176" i="7"/>
  <c r="DK44" i="7"/>
  <c r="DK223" i="7"/>
  <c r="DK151" i="7"/>
  <c r="DK155" i="7"/>
  <c r="DK182" i="7"/>
  <c r="DK47" i="7"/>
  <c r="DK17" i="7"/>
  <c r="DK40" i="7"/>
  <c r="DK86" i="7"/>
  <c r="DK266" i="7"/>
  <c r="DK319" i="7"/>
  <c r="DK98" i="7"/>
  <c r="DK42" i="7"/>
  <c r="DK224" i="7"/>
  <c r="DK107" i="7"/>
  <c r="DK5" i="7"/>
  <c r="DK233" i="7"/>
  <c r="DK307" i="7"/>
  <c r="DK306" i="7"/>
  <c r="DK8" i="7"/>
  <c r="DK57" i="7"/>
  <c r="DK154" i="7"/>
  <c r="DK301" i="7"/>
  <c r="DK198" i="7"/>
  <c r="DK11" i="7"/>
  <c r="DK308" i="7"/>
  <c r="DK281" i="7"/>
  <c r="DK230" i="7"/>
  <c r="DK236" i="7"/>
  <c r="DK218" i="7"/>
  <c r="DK6" i="7"/>
  <c r="DK196" i="7"/>
  <c r="DK200" i="7"/>
  <c r="DK118" i="7"/>
  <c r="DK299" i="7"/>
  <c r="DK16" i="7"/>
  <c r="DK66" i="7"/>
  <c r="DK19" i="7"/>
  <c r="DK101" i="7"/>
  <c r="DK273" i="7"/>
  <c r="DK237" i="7"/>
  <c r="DK161" i="7"/>
  <c r="DK326" i="7"/>
  <c r="DK277" i="7"/>
  <c r="DK291" i="7"/>
  <c r="DK149" i="7"/>
  <c r="DK90" i="7"/>
  <c r="DK13" i="7"/>
  <c r="DK133" i="7"/>
  <c r="DK106" i="7"/>
  <c r="DK142" i="7"/>
  <c r="DK20" i="7"/>
  <c r="DK275" i="7"/>
  <c r="DK320" i="7"/>
  <c r="DK32" i="7"/>
  <c r="DK265" i="7"/>
  <c r="DK26" i="7"/>
  <c r="DK110" i="7"/>
  <c r="DK282" i="7"/>
  <c r="DK41" i="7"/>
  <c r="DK58" i="7"/>
  <c r="DK77" i="7"/>
  <c r="DK127" i="7"/>
  <c r="DK78" i="7"/>
  <c r="DK288" i="7"/>
  <c r="DK207" i="7"/>
  <c r="DK81" i="7"/>
  <c r="DK251" i="7"/>
  <c r="DK75" i="7"/>
  <c r="DK250" i="7"/>
  <c r="DK192" i="7"/>
  <c r="DK166" i="7"/>
  <c r="DK183" i="7"/>
  <c r="DK43" i="7"/>
  <c r="DK28" i="7"/>
  <c r="DK63" i="7"/>
  <c r="DK253" i="7"/>
  <c r="DK168" i="7"/>
  <c r="DK311" i="7"/>
  <c r="DK187" i="7"/>
  <c r="DK12" i="7"/>
  <c r="DK59" i="7"/>
  <c r="DK93" i="7"/>
  <c r="DK177" i="7"/>
  <c r="DK150" i="7"/>
  <c r="DK323" i="7"/>
  <c r="DK247" i="7"/>
  <c r="DK271" i="7"/>
  <c r="DK60" i="7"/>
  <c r="DK62" i="7"/>
  <c r="DK130" i="7"/>
  <c r="DK95" i="7"/>
  <c r="DK254" i="7"/>
  <c r="DK105" i="7"/>
  <c r="DK214" i="7"/>
  <c r="DK213" i="7"/>
  <c r="DK70" i="7"/>
  <c r="DK120" i="7"/>
  <c r="DK153" i="7"/>
  <c r="DK272" i="7"/>
  <c r="DK179" i="7"/>
  <c r="DK201" i="7"/>
  <c r="DK88" i="7"/>
  <c r="DK23" i="7"/>
  <c r="DK270" i="7"/>
  <c r="DK35" i="7"/>
  <c r="DK318" i="7"/>
  <c r="DK292" i="7"/>
  <c r="DK335" i="7"/>
  <c r="DK211" i="7"/>
  <c r="DK80" i="7"/>
  <c r="DK82" i="7"/>
  <c r="DK27" i="7"/>
  <c r="DK269" i="7"/>
  <c r="DK290" i="7"/>
  <c r="DK10" i="7"/>
  <c r="DK159" i="7"/>
  <c r="DK191" i="7"/>
  <c r="DK109" i="7"/>
  <c r="DK30" i="7"/>
  <c r="DK226" i="7"/>
  <c r="DK336" i="7"/>
  <c r="DK332" i="7"/>
  <c r="DK14" i="7"/>
  <c r="DK222" i="7"/>
  <c r="DK165" i="7"/>
  <c r="DK256" i="7"/>
  <c r="DK216" i="7"/>
  <c r="DK309" i="7"/>
  <c r="DK132" i="7"/>
  <c r="DK125" i="7"/>
  <c r="DK15" i="7"/>
  <c r="DK21" i="7"/>
  <c r="DK135" i="7"/>
  <c r="DK267" i="7"/>
  <c r="DK145" i="7"/>
  <c r="DK314" i="7"/>
  <c r="DK315" i="7"/>
  <c r="DK298" i="7"/>
  <c r="DK100" i="7"/>
  <c r="DK85" i="7"/>
  <c r="DK52" i="7"/>
  <c r="DK244" i="7"/>
  <c r="DK170" i="7"/>
  <c r="DK327" i="7"/>
  <c r="DK248" i="7"/>
  <c r="DK117" i="7"/>
  <c r="DK190" i="7"/>
  <c r="DK264" i="7"/>
  <c r="DK241" i="7"/>
  <c r="DK45" i="7"/>
  <c r="DK103" i="7"/>
  <c r="DK180" i="7"/>
  <c r="DK208" i="7"/>
  <c r="DK337" i="7"/>
  <c r="DK199" i="7"/>
  <c r="DK202" i="7"/>
  <c r="DK169" i="7"/>
  <c r="DK46" i="7"/>
  <c r="DK54" i="7"/>
  <c r="DK51" i="7"/>
  <c r="N41" i="7"/>
  <c r="B17" i="24" s="1"/>
  <c r="DK175" i="7"/>
  <c r="DK279" i="7"/>
  <c r="DK181" i="7"/>
  <c r="DK178" i="7"/>
  <c r="DK68" i="7"/>
  <c r="DK232" i="7"/>
  <c r="DK240" i="7"/>
  <c r="DK212" i="7"/>
  <c r="DK92" i="7"/>
  <c r="DK160" i="7"/>
  <c r="DK79" i="7"/>
  <c r="DK203" i="7"/>
  <c r="DK252" i="7"/>
  <c r="DK37" i="7"/>
  <c r="DK312" i="7"/>
  <c r="DK184" i="7"/>
  <c r="DK55" i="7"/>
  <c r="DK229" i="7"/>
  <c r="DK321" i="7"/>
  <c r="DK111" i="7"/>
  <c r="DK29" i="7"/>
  <c r="DK134" i="7"/>
  <c r="DK33" i="7"/>
  <c r="DK74" i="7"/>
  <c r="DK122" i="7"/>
  <c r="DK333" i="7"/>
  <c r="DK305" i="7"/>
  <c r="DK148" i="7"/>
  <c r="DK195" i="7"/>
  <c r="DK193" i="7"/>
  <c r="DK194" i="7"/>
  <c r="DK83" i="7"/>
  <c r="DK147" i="7"/>
  <c r="DK31" i="7"/>
  <c r="DK338" i="7"/>
  <c r="DK73" i="7"/>
  <c r="DK220" i="7"/>
  <c r="DK172" i="7"/>
  <c r="DK215" i="7"/>
  <c r="DK283" i="7"/>
  <c r="DK294" i="7"/>
  <c r="DK113" i="7"/>
  <c r="DK317" i="7"/>
  <c r="DK158" i="7"/>
  <c r="DK296" i="7"/>
  <c r="DK102" i="7"/>
  <c r="DK39" i="7"/>
  <c r="DK189" i="7"/>
  <c r="DK293" i="7"/>
  <c r="DK188" i="7"/>
  <c r="DK61" i="7"/>
  <c r="DK139" i="7"/>
  <c r="DK260" i="7"/>
  <c r="DK340" i="7"/>
  <c r="DK197" i="7"/>
  <c r="DK249" i="7"/>
  <c r="DK124" i="7"/>
  <c r="DK246" i="7"/>
  <c r="DK163" i="7"/>
  <c r="DK219" i="7"/>
  <c r="DK303" i="7"/>
  <c r="DK129" i="7"/>
  <c r="DK329" i="7"/>
  <c r="DK204" i="7"/>
  <c r="DK138" i="7"/>
  <c r="DK131" i="7"/>
  <c r="DK143" i="7"/>
  <c r="DK119" i="7"/>
  <c r="N14" i="7"/>
  <c r="DK53" i="7"/>
  <c r="DK136" i="7"/>
  <c r="J122" i="33"/>
  <c r="AB122" i="33" s="1"/>
  <c r="CR48" i="10"/>
  <c r="T215" i="28"/>
  <c r="N20" i="7"/>
  <c r="N150" i="7"/>
  <c r="N11" i="7"/>
  <c r="J73" i="24" s="1"/>
  <c r="N73" i="24" s="1"/>
  <c r="N6" i="7"/>
  <c r="E38" i="39"/>
  <c r="N19" i="7"/>
  <c r="J76" i="24" s="1"/>
  <c r="N76" i="24" s="1"/>
  <c r="E10" i="39"/>
  <c r="N98" i="7"/>
  <c r="N138" i="7"/>
  <c r="J29" i="24" s="1"/>
  <c r="N23" i="7"/>
  <c r="N49" i="7"/>
  <c r="B22" i="24" s="1"/>
  <c r="N26" i="7"/>
  <c r="N8" i="7"/>
  <c r="AB119" i="33"/>
  <c r="Y119" i="33"/>
  <c r="A77" i="34"/>
  <c r="A45" i="34"/>
  <c r="A81" i="34"/>
  <c r="Z12" i="20"/>
  <c r="D34" i="29"/>
  <c r="C60" i="29"/>
  <c r="S3" i="29"/>
  <c r="H50" i="29"/>
  <c r="A72" i="34"/>
  <c r="CQ68" i="10"/>
  <c r="A53" i="34"/>
  <c r="O277" i="20"/>
  <c r="O280" i="20" s="1"/>
  <c r="N92" i="20"/>
  <c r="P92" i="20" s="1"/>
  <c r="A70" i="34"/>
  <c r="A47" i="34"/>
  <c r="A48" i="34"/>
  <c r="CQ39" i="10"/>
  <c r="AI126" i="33"/>
  <c r="A63" i="34"/>
  <c r="A82" i="34"/>
  <c r="CQ117" i="10"/>
  <c r="CQ97" i="10"/>
  <c r="N6" i="20"/>
  <c r="Y6" i="20" s="1"/>
  <c r="A51" i="34"/>
  <c r="CQ29" i="10"/>
  <c r="CQ83" i="10"/>
  <c r="CQ134" i="10"/>
  <c r="CQ63" i="10"/>
  <c r="CQ22" i="10"/>
  <c r="CQ129" i="10"/>
  <c r="CQ99" i="10"/>
  <c r="CQ122" i="10"/>
  <c r="CQ150" i="10"/>
  <c r="A79" i="34"/>
  <c r="A8" i="34"/>
  <c r="A7" i="34"/>
  <c r="A17" i="34"/>
  <c r="A20" i="34"/>
  <c r="CQ154" i="10"/>
  <c r="N94" i="20"/>
  <c r="P94" i="20" s="1"/>
  <c r="A91" i="34"/>
  <c r="A6" i="34"/>
  <c r="A11" i="34"/>
  <c r="A85" i="34"/>
  <c r="A65" i="34"/>
  <c r="CQ140" i="10"/>
  <c r="CQ103" i="10"/>
  <c r="CQ24" i="10"/>
  <c r="CQ141" i="10"/>
  <c r="A97" i="34"/>
  <c r="A92" i="34"/>
  <c r="A15" i="34"/>
  <c r="A25" i="34"/>
  <c r="A54" i="34"/>
  <c r="A3" i="34"/>
  <c r="AH6" i="10"/>
  <c r="A32" i="34"/>
  <c r="J5" i="6"/>
  <c r="A23" i="34"/>
  <c r="CQ77" i="10"/>
  <c r="M52" i="29"/>
  <c r="CQ136" i="10"/>
  <c r="CQ45" i="10"/>
  <c r="CQ19" i="10"/>
  <c r="CQ114" i="10"/>
  <c r="CQ25" i="10"/>
  <c r="CQ65" i="10"/>
  <c r="CQ79" i="10"/>
  <c r="CQ130" i="10"/>
  <c r="A18" i="34"/>
  <c r="A36" i="34"/>
  <c r="A89" i="34"/>
  <c r="A78" i="34"/>
  <c r="CQ36" i="10"/>
  <c r="A5" i="34"/>
  <c r="A87" i="34"/>
  <c r="A22" i="34"/>
  <c r="A50" i="34"/>
  <c r="A35" i="34"/>
  <c r="A29" i="34"/>
  <c r="A96" i="34"/>
  <c r="A43" i="34"/>
  <c r="A74" i="34"/>
  <c r="A33" i="34"/>
  <c r="A52" i="34"/>
  <c r="A59" i="34"/>
  <c r="AH5" i="10"/>
  <c r="T4" i="1"/>
  <c r="S4" i="1" s="1"/>
  <c r="AI11" i="33"/>
  <c r="CQ35" i="10"/>
  <c r="CQ101" i="10"/>
  <c r="CQ50" i="10"/>
  <c r="N9" i="20"/>
  <c r="Q9" i="20" s="1"/>
  <c r="AI112" i="33"/>
  <c r="A39" i="34"/>
  <c r="A68" i="34"/>
  <c r="N8" i="20"/>
  <c r="Q8" i="20" s="1"/>
  <c r="O275" i="20"/>
  <c r="O276" i="20" s="1"/>
  <c r="A46" i="34"/>
  <c r="AX12" i="33"/>
  <c r="A71" i="34"/>
  <c r="AI113" i="33"/>
  <c r="CQ135" i="10"/>
  <c r="CQ49" i="10"/>
  <c r="A75" i="34"/>
  <c r="Z16" i="20"/>
  <c r="CQ53" i="10"/>
  <c r="CQ86" i="10"/>
  <c r="CQ59" i="10"/>
  <c r="CQ26" i="10"/>
  <c r="CQ87" i="10"/>
  <c r="CQ123" i="10"/>
  <c r="CQ61" i="10"/>
  <c r="A66" i="34"/>
  <c r="A86" i="34"/>
  <c r="CQ148" i="10"/>
  <c r="A21" i="34"/>
  <c r="A26" i="34"/>
  <c r="A69" i="34"/>
  <c r="A27" i="34"/>
  <c r="A2" i="34"/>
  <c r="Q13" i="20"/>
  <c r="A57" i="34"/>
  <c r="A73" i="34"/>
  <c r="A55" i="34"/>
  <c r="A40" i="34"/>
  <c r="A90" i="34"/>
  <c r="A4" i="34"/>
  <c r="A49" i="34"/>
  <c r="A88" i="34"/>
  <c r="A12" i="34"/>
  <c r="T5" i="1"/>
  <c r="S5" i="1" s="1"/>
  <c r="B5" i="1" s="1"/>
  <c r="AH8" i="10"/>
  <c r="J6" i="6"/>
  <c r="X7" i="10"/>
  <c r="AX35" i="33"/>
  <c r="AI125" i="33"/>
  <c r="A67" i="34"/>
  <c r="CQ88" i="10"/>
  <c r="A30" i="34"/>
  <c r="CQ54" i="10"/>
  <c r="AI12" i="33"/>
  <c r="N7" i="20"/>
  <c r="Q7" i="20" s="1"/>
  <c r="N96" i="20"/>
  <c r="Q96" i="20" s="1"/>
  <c r="CQ102" i="10"/>
  <c r="CQ84" i="10"/>
  <c r="A83" i="34"/>
  <c r="O282" i="20"/>
  <c r="A14" i="34"/>
  <c r="CQ124" i="10"/>
  <c r="N5" i="20"/>
  <c r="Z5" i="20" s="1"/>
  <c r="A34" i="34"/>
  <c r="CQ155" i="10"/>
  <c r="CQ96" i="10"/>
  <c r="AI50" i="33"/>
  <c r="L3" i="29"/>
  <c r="CQ116" i="10"/>
  <c r="CQ42" i="10"/>
  <c r="CQ46" i="10"/>
  <c r="A62" i="34"/>
  <c r="A16" i="34"/>
  <c r="A28" i="34"/>
  <c r="AX11" i="33"/>
  <c r="A38" i="34"/>
  <c r="CQ157" i="10"/>
  <c r="N2" i="20"/>
  <c r="Y2" i="20" s="1"/>
  <c r="CQ108" i="10"/>
  <c r="CQ92" i="10"/>
  <c r="CQ121" i="10"/>
  <c r="CQ74" i="10"/>
  <c r="CQ137" i="10"/>
  <c r="CQ52" i="10"/>
  <c r="CQ76" i="10"/>
  <c r="CQ32" i="10"/>
  <c r="CQ40" i="10"/>
  <c r="CQ33" i="10"/>
  <c r="CQ62" i="10"/>
  <c r="A56" i="34"/>
  <c r="A37" i="34"/>
  <c r="A64" i="34"/>
  <c r="A9" i="34"/>
  <c r="CQ112" i="10"/>
  <c r="A42" i="34"/>
  <c r="A84" i="34"/>
  <c r="A80" i="34"/>
  <c r="A76" i="34"/>
  <c r="A61" i="34"/>
  <c r="CQ27" i="10"/>
  <c r="A41" i="34"/>
  <c r="A95" i="34"/>
  <c r="A31" i="34"/>
  <c r="A60" i="34"/>
  <c r="A58" i="34"/>
  <c r="A93" i="34"/>
  <c r="A13" i="34"/>
  <c r="A94" i="34"/>
  <c r="A44" i="34"/>
  <c r="A19" i="34"/>
  <c r="AH7" i="10"/>
  <c r="X8" i="10"/>
  <c r="J4" i="1"/>
  <c r="N95" i="20"/>
  <c r="CQ142" i="10"/>
  <c r="CQ128" i="10"/>
  <c r="CQ107" i="10"/>
  <c r="CQ132" i="10"/>
  <c r="A24" i="34"/>
  <c r="AX34" i="33"/>
  <c r="CQ139" i="10"/>
  <c r="CQ138" i="10"/>
  <c r="N3" i="20"/>
  <c r="Y3" i="20" s="1"/>
  <c r="O284" i="20"/>
  <c r="M5" i="6"/>
  <c r="A10" i="34"/>
  <c r="CQ146" i="10"/>
  <c r="CQ43" i="10"/>
  <c r="N4" i="20"/>
  <c r="Z4" i="20" s="1"/>
  <c r="CQ110" i="10"/>
  <c r="CQ151" i="10"/>
  <c r="CQ57" i="10"/>
  <c r="CQ90" i="10"/>
  <c r="CQ94" i="10"/>
  <c r="AI51" i="33"/>
  <c r="I91" i="35"/>
  <c r="J91" i="35" s="1"/>
  <c r="K91" i="35" s="1"/>
  <c r="L91" i="35" s="1"/>
  <c r="M91" i="35" s="1"/>
  <c r="N91" i="35" s="1"/>
  <c r="O91" i="35" s="1"/>
  <c r="P91" i="35" s="1"/>
  <c r="Q91" i="35" s="1"/>
  <c r="R91" i="35" s="1"/>
  <c r="S91" i="35" s="1"/>
  <c r="T91" i="35" s="1"/>
  <c r="U91" i="35" s="1"/>
  <c r="V91" i="35" s="1"/>
  <c r="W91" i="35" s="1"/>
  <c r="X91" i="35" s="1"/>
  <c r="Y91" i="35" s="1"/>
  <c r="Z91" i="35" s="1"/>
  <c r="AA91" i="35" s="1"/>
  <c r="AB91" i="35" s="1"/>
  <c r="AC91" i="35" s="1"/>
  <c r="AD91" i="35" s="1"/>
  <c r="AE91" i="35" s="1"/>
  <c r="AF91" i="35" s="1"/>
  <c r="AG91" i="35" s="1"/>
  <c r="AH91" i="35" s="1"/>
  <c r="AI91" i="35" s="1"/>
  <c r="AJ91" i="35" s="1"/>
  <c r="AK91" i="35" s="1"/>
  <c r="AL91" i="35" s="1"/>
  <c r="AM91" i="35" s="1"/>
  <c r="AN91" i="35" s="1"/>
  <c r="AO91" i="35" s="1"/>
  <c r="AP91" i="35" s="1"/>
  <c r="AQ91" i="35" s="1"/>
  <c r="AR91" i="35" s="1"/>
  <c r="AS91" i="35" s="1"/>
  <c r="AT91" i="35" s="1"/>
  <c r="AU91" i="35" s="1"/>
  <c r="AV91" i="35" s="1"/>
  <c r="AW91" i="35" s="1"/>
  <c r="AX91" i="35" s="1"/>
  <c r="AY91" i="35" s="1"/>
  <c r="AZ91" i="35" s="1"/>
  <c r="BA91" i="35" s="1"/>
  <c r="BB91" i="35" s="1"/>
  <c r="BC91" i="35" s="1"/>
  <c r="BD91" i="35" s="1"/>
  <c r="BE91" i="35" s="1"/>
  <c r="BF91" i="35" s="1"/>
  <c r="BG91" i="35" s="1"/>
  <c r="BH91" i="35" s="1"/>
  <c r="BI91" i="35" s="1"/>
  <c r="BJ91" i="35" s="1"/>
  <c r="BK91" i="35" s="1"/>
  <c r="BL91" i="35" s="1"/>
  <c r="BM91" i="35" s="1"/>
  <c r="BN91" i="35" s="1"/>
  <c r="BO91" i="35" s="1"/>
  <c r="BP91" i="35" s="1"/>
  <c r="BQ91" i="35" s="1"/>
  <c r="BR91" i="35" s="1"/>
  <c r="BS91" i="35" s="1"/>
  <c r="BT91" i="35" s="1"/>
  <c r="BU91" i="35" s="1"/>
  <c r="BV91" i="35" s="1"/>
  <c r="BW91" i="35" s="1"/>
  <c r="BX91" i="35" s="1"/>
  <c r="BY91" i="35" s="1"/>
  <c r="BZ91" i="35" s="1"/>
  <c r="CA91" i="35" s="1"/>
  <c r="CB91" i="35" s="1"/>
  <c r="CC91" i="35" s="1"/>
  <c r="CD91" i="35" s="1"/>
  <c r="CE91" i="35" s="1"/>
  <c r="CF91" i="35" s="1"/>
  <c r="CG91" i="35" s="1"/>
  <c r="CH91" i="35" s="1"/>
  <c r="Q12" i="20"/>
  <c r="Q16" i="20"/>
  <c r="Z13" i="20"/>
  <c r="U151" i="34"/>
  <c r="T151" i="34"/>
  <c r="G151" i="34"/>
  <c r="AL151" i="34"/>
  <c r="AE151" i="34"/>
  <c r="AI151" i="34"/>
  <c r="Q151" i="34"/>
  <c r="S151" i="34"/>
  <c r="AD151" i="34"/>
  <c r="M151" i="34"/>
  <c r="AF151" i="34"/>
  <c r="AA151" i="34"/>
  <c r="Y151" i="34"/>
  <c r="R151" i="34"/>
  <c r="AK151" i="34"/>
  <c r="AB151" i="34"/>
  <c r="Z151" i="34"/>
  <c r="O151" i="34"/>
  <c r="J151" i="34"/>
  <c r="AG151" i="34"/>
  <c r="X151" i="34"/>
  <c r="AM151" i="34"/>
  <c r="P151" i="34"/>
  <c r="AJ151" i="34"/>
  <c r="N151" i="34"/>
  <c r="F151" i="34"/>
  <c r="AC151" i="34"/>
  <c r="I151" i="34"/>
  <c r="L151" i="34"/>
  <c r="H151" i="34"/>
  <c r="AH151" i="34"/>
  <c r="W151" i="34"/>
  <c r="K151" i="34"/>
  <c r="AN151" i="34"/>
  <c r="Y14" i="20"/>
  <c r="U7" i="6"/>
  <c r="AD33" i="28"/>
  <c r="O33" i="28"/>
  <c r="Z33" i="28"/>
  <c r="Y33" i="28" s="1"/>
  <c r="AC33" i="28"/>
  <c r="Q33" i="28"/>
  <c r="R33" i="28" s="1"/>
  <c r="B154" i="28"/>
  <c r="DU352" i="7"/>
  <c r="DR352" i="7"/>
  <c r="Y11" i="20"/>
  <c r="Q11" i="20"/>
  <c r="Z10" i="20"/>
  <c r="W101" i="20"/>
  <c r="P179" i="20" s="1"/>
  <c r="Q14" i="20"/>
  <c r="T33" i="28"/>
  <c r="S33" i="28" s="1"/>
  <c r="S228" i="28"/>
  <c r="T251" i="28"/>
  <c r="R195" i="28"/>
  <c r="R228" i="28"/>
  <c r="R199" i="28"/>
  <c r="CR90" i="10"/>
  <c r="CR151" i="10"/>
  <c r="R188" i="28"/>
  <c r="E95" i="39"/>
  <c r="CR99" i="10"/>
  <c r="N5" i="7"/>
  <c r="R141" i="20"/>
  <c r="R132" i="20"/>
  <c r="R176" i="20"/>
  <c r="R164" i="20"/>
  <c r="R168" i="20"/>
  <c r="CQ69" i="10"/>
  <c r="CQ147" i="10"/>
  <c r="F5" i="39"/>
  <c r="CQ119" i="10"/>
  <c r="N24" i="7"/>
  <c r="CR94" i="10"/>
  <c r="Y10" i="20"/>
  <c r="CQ131" i="10"/>
  <c r="N141" i="7"/>
  <c r="N77" i="7"/>
  <c r="S199" i="28"/>
  <c r="CQ143" i="10"/>
  <c r="N25" i="7"/>
  <c r="J77" i="24" s="1"/>
  <c r="N77" i="24" s="1"/>
  <c r="R147" i="20"/>
  <c r="R174" i="20"/>
  <c r="R163" i="20"/>
  <c r="R134" i="20"/>
  <c r="R160" i="20"/>
  <c r="CR96" i="10"/>
  <c r="T203" i="28"/>
  <c r="R260" i="28"/>
  <c r="R191" i="28"/>
  <c r="R248" i="28"/>
  <c r="R215" i="28"/>
  <c r="R259" i="28"/>
  <c r="T232" i="28"/>
  <c r="R251" i="28"/>
  <c r="T242" i="28"/>
  <c r="S252" i="28"/>
  <c r="T257" i="28"/>
  <c r="T189" i="28"/>
  <c r="DQ352" i="7"/>
  <c r="X17" i="20"/>
  <c r="Y15" i="20"/>
  <c r="Q15" i="20"/>
  <c r="DT352" i="7"/>
  <c r="DS352" i="7"/>
  <c r="W17" i="20"/>
  <c r="Y17" i="20"/>
  <c r="Q17" i="20"/>
  <c r="DK284" i="7"/>
  <c r="DK25" i="7"/>
  <c r="S50" i="20"/>
  <c r="S64" i="20"/>
  <c r="S61" i="20"/>
  <c r="S67" i="20"/>
  <c r="S69" i="20"/>
  <c r="S66" i="20"/>
  <c r="S57" i="20"/>
  <c r="S70" i="20"/>
  <c r="S53" i="20"/>
  <c r="S59" i="20"/>
  <c r="S62" i="20"/>
  <c r="B112" i="23"/>
  <c r="B113" i="23" s="1"/>
  <c r="K113" i="23" s="1"/>
  <c r="R203" i="28"/>
  <c r="N4" i="7"/>
  <c r="DK330" i="7"/>
  <c r="R181" i="28"/>
  <c r="T206" i="28"/>
  <c r="DK186" i="7"/>
  <c r="DK331" i="7"/>
  <c r="DK84" i="7"/>
  <c r="DK87" i="7"/>
  <c r="DK36" i="7"/>
  <c r="DK173" i="7"/>
  <c r="S187" i="28"/>
  <c r="DK114" i="7"/>
  <c r="DK18" i="7"/>
  <c r="DK325" i="7"/>
  <c r="DK24" i="7"/>
  <c r="DK146" i="7"/>
  <c r="DK255" i="7"/>
  <c r="DK56" i="7"/>
  <c r="DK89" i="7"/>
  <c r="DK228" i="7"/>
  <c r="DK243" i="7"/>
  <c r="DK227" i="7"/>
  <c r="DK300" i="7"/>
  <c r="DK112" i="7"/>
  <c r="DK313" i="7"/>
  <c r="DK276" i="7"/>
  <c r="DK295" i="7"/>
  <c r="DK185" i="7"/>
  <c r="DK38" i="7"/>
  <c r="DK328" i="7"/>
  <c r="DK72" i="7"/>
  <c r="DK152" i="7"/>
  <c r="S135" i="20"/>
  <c r="S136" i="20"/>
  <c r="S143" i="20"/>
  <c r="S150" i="20"/>
  <c r="S145" i="20"/>
  <c r="S164" i="20"/>
  <c r="S166" i="20"/>
  <c r="S177" i="20"/>
  <c r="S152" i="20"/>
  <c r="S161" i="20"/>
  <c r="S173" i="20"/>
  <c r="S129" i="20"/>
  <c r="S132" i="20"/>
  <c r="S162" i="20"/>
  <c r="S155" i="20"/>
  <c r="S176" i="20"/>
  <c r="S142" i="20"/>
  <c r="S137" i="20"/>
  <c r="S154" i="20"/>
  <c r="S163" i="20"/>
  <c r="S165" i="20"/>
  <c r="S169" i="20"/>
  <c r="S179" i="20"/>
  <c r="S182" i="20"/>
  <c r="S146" i="20"/>
  <c r="S171" i="20"/>
  <c r="S148" i="20"/>
  <c r="S149" i="20"/>
  <c r="S153" i="20"/>
  <c r="S134" i="20"/>
  <c r="S130" i="20"/>
  <c r="S168" i="20"/>
  <c r="S160" i="20"/>
  <c r="S140" i="20"/>
  <c r="S181" i="20"/>
  <c r="S170" i="20"/>
  <c r="S141" i="20"/>
  <c r="S175" i="20"/>
  <c r="S138" i="20"/>
  <c r="S167" i="20"/>
  <c r="S183" i="20"/>
  <c r="S174" i="20"/>
  <c r="S178" i="20"/>
  <c r="S157" i="20"/>
  <c r="S158" i="20"/>
  <c r="S147" i="20"/>
  <c r="S151" i="20"/>
  <c r="S159" i="20"/>
  <c r="S131" i="20"/>
  <c r="S180" i="20"/>
  <c r="S139" i="20"/>
  <c r="S144" i="20"/>
  <c r="S156" i="20"/>
  <c r="S133" i="20"/>
  <c r="S172" i="20"/>
  <c r="X89" i="20"/>
  <c r="T188" i="28"/>
  <c r="S227" i="28"/>
  <c r="R242" i="28"/>
  <c r="T187" i="28"/>
  <c r="T192" i="28"/>
  <c r="M56" i="29"/>
  <c r="R206" i="28"/>
  <c r="R192" i="28"/>
  <c r="O266" i="20"/>
  <c r="T213" i="28"/>
  <c r="S181" i="28"/>
  <c r="T250" i="28"/>
  <c r="R213" i="28"/>
  <c r="S218" i="28"/>
  <c r="R250" i="28"/>
  <c r="T259" i="28"/>
  <c r="N131" i="7"/>
  <c r="J27" i="24" s="1"/>
  <c r="AB118" i="33"/>
  <c r="CR37" i="10"/>
  <c r="CQ37" i="10"/>
  <c r="CR17" i="10"/>
  <c r="CQ17" i="10"/>
  <c r="CR21" i="10"/>
  <c r="CQ21" i="10"/>
  <c r="R218" i="28"/>
  <c r="S179" i="28"/>
  <c r="T218" i="28"/>
  <c r="T200" i="28"/>
  <c r="T179" i="28"/>
  <c r="S225" i="28"/>
  <c r="R255" i="28"/>
  <c r="S255" i="28"/>
  <c r="R235" i="28"/>
  <c r="S235" i="28"/>
  <c r="T235" i="28"/>
  <c r="T214" i="28"/>
  <c r="S214" i="28"/>
  <c r="R190" i="28"/>
  <c r="T178" i="28"/>
  <c r="R178" i="28"/>
  <c r="R211" i="28"/>
  <c r="S211" i="28"/>
  <c r="T211" i="28"/>
  <c r="R261" i="28"/>
  <c r="T261" i="28"/>
  <c r="T208" i="28"/>
  <c r="S208" i="28"/>
  <c r="R208" i="28"/>
  <c r="S246" i="28"/>
  <c r="R246" i="28"/>
  <c r="T204" i="28"/>
  <c r="R204" i="28"/>
  <c r="S204" i="28"/>
  <c r="S262" i="28"/>
  <c r="R262" i="28"/>
  <c r="T262" i="28"/>
  <c r="R214" i="28"/>
  <c r="S190" i="28"/>
  <c r="S219" i="28"/>
  <c r="R219" i="28"/>
  <c r="T219" i="28"/>
  <c r="T254" i="28"/>
  <c r="S254" i="28"/>
  <c r="S180" i="28"/>
  <c r="T180" i="28"/>
  <c r="R180" i="28"/>
  <c r="R184" i="28"/>
  <c r="T184" i="28"/>
  <c r="R240" i="28"/>
  <c r="T240" i="28"/>
  <c r="S240" i="28"/>
  <c r="T176" i="28"/>
  <c r="S176" i="28"/>
  <c r="R176" i="28"/>
  <c r="R201" i="28"/>
  <c r="S201" i="28"/>
  <c r="R225" i="28"/>
  <c r="T198" i="28"/>
  <c r="R198" i="28"/>
  <c r="S198" i="28"/>
  <c r="S230" i="28"/>
  <c r="T230" i="28"/>
  <c r="R230" i="28"/>
  <c r="R227" i="28"/>
  <c r="T227" i="28"/>
  <c r="T256" i="28"/>
  <c r="S256" i="28"/>
  <c r="R256" i="28"/>
  <c r="BY26" i="14"/>
  <c r="S84" i="23"/>
  <c r="BY128" i="14"/>
  <c r="BY156" i="14"/>
  <c r="BY44" i="14"/>
  <c r="BY17" i="14"/>
  <c r="BY104" i="14"/>
  <c r="BY72" i="14"/>
  <c r="BY139" i="14"/>
  <c r="BY123" i="14"/>
  <c r="BY138" i="14"/>
  <c r="BY113" i="14"/>
  <c r="BY167" i="14"/>
  <c r="CG167" i="14" s="1"/>
  <c r="BY18" i="14"/>
  <c r="BY165" i="14"/>
  <c r="BX165" i="14" s="1"/>
  <c r="S83" i="23"/>
  <c r="BY68" i="14"/>
  <c r="BY153" i="14"/>
  <c r="BY175" i="14"/>
  <c r="BX175" i="14" s="1"/>
  <c r="BY25" i="14"/>
  <c r="BY129" i="14"/>
  <c r="BY147" i="14"/>
  <c r="BY80" i="14"/>
  <c r="BY79" i="14"/>
  <c r="BY133" i="14"/>
  <c r="BY62" i="14"/>
  <c r="BY27" i="14"/>
  <c r="BY35" i="14"/>
  <c r="BY54" i="14"/>
  <c r="BY51" i="14"/>
  <c r="BY83" i="14"/>
  <c r="BY106" i="14"/>
  <c r="BY81" i="14"/>
  <c r="BY126" i="14"/>
  <c r="BY86" i="14"/>
  <c r="BY30" i="14"/>
  <c r="BY38" i="14"/>
  <c r="BY93" i="14"/>
  <c r="BY53" i="14"/>
  <c r="BY57" i="14"/>
  <c r="BY98" i="14"/>
  <c r="BY76" i="14"/>
  <c r="BY74" i="14"/>
  <c r="BY166" i="14"/>
  <c r="BX166" i="14" s="1"/>
  <c r="BY34" i="14"/>
  <c r="BY174" i="14"/>
  <c r="BX174" i="14" s="1"/>
  <c r="BY151" i="14"/>
  <c r="BY117" i="14"/>
  <c r="BY66" i="14"/>
  <c r="BY48" i="14"/>
  <c r="BY61" i="14"/>
  <c r="BY135" i="14"/>
  <c r="BY171" i="14"/>
  <c r="BX171" i="14" s="1"/>
  <c r="BY158" i="14"/>
  <c r="BY100" i="14"/>
  <c r="BY146" i="14"/>
  <c r="BY97" i="14"/>
  <c r="BY163" i="14"/>
  <c r="CG163" i="14" s="1"/>
  <c r="BY116" i="14"/>
  <c r="BY29" i="14"/>
  <c r="BY122" i="14"/>
  <c r="BY37" i="14"/>
  <c r="BY46" i="14"/>
  <c r="BY22" i="14"/>
  <c r="BY149" i="14"/>
  <c r="BY87" i="14"/>
  <c r="BY19" i="14"/>
  <c r="BY162" i="14"/>
  <c r="BX162" i="14" s="1"/>
  <c r="BY140" i="14"/>
  <c r="BY111" i="14"/>
  <c r="BY23" i="14"/>
  <c r="BY31" i="14"/>
  <c r="BY150" i="14"/>
  <c r="BY50" i="14"/>
  <c r="BY88" i="14"/>
  <c r="BY59" i="14"/>
  <c r="BY119" i="14"/>
  <c r="BY42" i="14"/>
  <c r="BY141" i="14"/>
  <c r="BY152" i="14"/>
  <c r="BY65" i="14"/>
  <c r="BY52" i="14"/>
  <c r="BY164" i="14"/>
  <c r="BX164" i="14" s="1"/>
  <c r="BY154" i="14"/>
  <c r="BY142" i="14"/>
  <c r="BY47" i="14"/>
  <c r="BY40" i="14"/>
  <c r="BY134" i="14"/>
  <c r="BY24" i="14"/>
  <c r="BY170" i="14"/>
  <c r="CG170" i="14" s="1"/>
  <c r="BY78" i="14"/>
  <c r="BY130" i="14"/>
  <c r="BY101" i="14"/>
  <c r="BY43" i="14"/>
  <c r="BY64" i="14"/>
  <c r="BY21" i="14"/>
  <c r="BY15" i="14"/>
  <c r="BY75" i="14"/>
  <c r="BY125" i="14"/>
  <c r="BY77" i="14"/>
  <c r="BY105" i="14"/>
  <c r="BY32" i="14"/>
  <c r="BY168" i="14"/>
  <c r="CG168" i="14" s="1"/>
  <c r="BY118" i="14"/>
  <c r="BY145" i="14"/>
  <c r="BY69" i="14"/>
  <c r="BY58" i="14"/>
  <c r="BY89" i="14"/>
  <c r="BY131" i="14"/>
  <c r="BY148" i="14"/>
  <c r="BY115" i="14"/>
  <c r="BY172" i="14"/>
  <c r="BX172" i="14" s="1"/>
  <c r="BY132" i="14"/>
  <c r="BY136" i="14"/>
  <c r="BY12" i="14"/>
  <c r="BY70" i="14"/>
  <c r="BY96" i="14"/>
  <c r="BY71" i="14"/>
  <c r="BY11" i="14"/>
  <c r="BY41" i="14"/>
  <c r="BY13" i="14"/>
  <c r="BY155" i="14"/>
  <c r="BY121" i="14"/>
  <c r="BY112" i="14"/>
  <c r="BY55" i="14"/>
  <c r="BY85" i="14"/>
  <c r="BY45" i="14"/>
  <c r="BY56" i="14"/>
  <c r="BY157" i="14"/>
  <c r="BY102" i="14"/>
  <c r="BY144" i="14"/>
  <c r="BY108" i="14"/>
  <c r="BY73" i="14"/>
  <c r="BY95" i="14"/>
  <c r="BY99" i="14"/>
  <c r="BY94" i="14"/>
  <c r="BY14" i="14"/>
  <c r="BY124" i="14"/>
  <c r="BY103" i="14"/>
  <c r="BY49" i="14"/>
  <c r="BY109" i="14"/>
  <c r="BY159" i="14"/>
  <c r="BY33" i="14"/>
  <c r="BY16" i="14"/>
  <c r="BY143" i="14"/>
  <c r="BY120" i="14"/>
  <c r="BY91" i="14"/>
  <c r="BY169" i="14"/>
  <c r="CG169" i="14" s="1"/>
  <c r="BY67" i="14"/>
  <c r="BY39" i="14"/>
  <c r="BY127" i="14"/>
  <c r="BY28" i="14"/>
  <c r="BY63" i="14"/>
  <c r="BY82" i="14"/>
  <c r="BY20" i="14"/>
  <c r="BY107" i="14"/>
  <c r="BY84" i="14"/>
  <c r="BY160" i="14"/>
  <c r="BY92" i="14"/>
  <c r="BY137" i="14"/>
  <c r="BY90" i="14"/>
  <c r="BY110" i="14"/>
  <c r="BY114" i="14"/>
  <c r="N37" i="7"/>
  <c r="B14" i="24" s="1"/>
  <c r="CQ16" i="10"/>
  <c r="CR16" i="10"/>
  <c r="N36" i="7"/>
  <c r="B13" i="24" s="1"/>
  <c r="CQ38" i="10"/>
  <c r="CR38" i="10"/>
  <c r="CR129" i="10"/>
  <c r="CQ28" i="10"/>
  <c r="CR28" i="10"/>
  <c r="CR55" i="10"/>
  <c r="CQ55" i="10"/>
  <c r="CQ126" i="10"/>
  <c r="CQ105" i="10"/>
  <c r="CR105" i="10"/>
  <c r="CQ115" i="10"/>
  <c r="CR115" i="10"/>
  <c r="CR109" i="10"/>
  <c r="CQ109" i="10"/>
  <c r="CQ85" i="10"/>
  <c r="CR85" i="10"/>
  <c r="CR133" i="10"/>
  <c r="CQ133" i="10"/>
  <c r="CQ73" i="10"/>
  <c r="CR73" i="10"/>
  <c r="CR156" i="10"/>
  <c r="CQ156" i="10"/>
  <c r="CQ104" i="10"/>
  <c r="CR104" i="10"/>
  <c r="CQ71" i="10"/>
  <c r="CR71" i="10"/>
  <c r="CQ70" i="10"/>
  <c r="CQ80" i="10"/>
  <c r="CR80" i="10"/>
  <c r="CQ31" i="10"/>
  <c r="CR31" i="10"/>
  <c r="CR144" i="10"/>
  <c r="CQ144" i="10"/>
  <c r="CR118" i="10"/>
  <c r="CQ118" i="10"/>
  <c r="CQ67" i="10"/>
  <c r="CR67" i="10"/>
  <c r="CQ153" i="10"/>
  <c r="CR153" i="10"/>
  <c r="CR122" i="10"/>
  <c r="CQ23" i="10"/>
  <c r="CR23" i="10"/>
  <c r="CR150" i="10"/>
  <c r="CQ111" i="10"/>
  <c r="CR111" i="10"/>
  <c r="N130" i="7"/>
  <c r="E127" i="39"/>
  <c r="N151" i="7"/>
  <c r="CQ30" i="10"/>
  <c r="CR30" i="10"/>
  <c r="CR121" i="10"/>
  <c r="CR87" i="10"/>
  <c r="CR56" i="10"/>
  <c r="CQ56" i="10"/>
  <c r="CR149" i="10"/>
  <c r="CQ149" i="10"/>
  <c r="CR123" i="10"/>
  <c r="CQ152" i="10"/>
  <c r="CR152" i="10"/>
  <c r="CR120" i="10"/>
  <c r="CQ120" i="10"/>
  <c r="CR46" i="10"/>
  <c r="CR58" i="10"/>
  <c r="CQ58" i="10"/>
  <c r="E113" i="39"/>
  <c r="N116" i="7"/>
  <c r="N112" i="7"/>
  <c r="CR18" i="10"/>
  <c r="CQ18" i="10"/>
  <c r="CR34" i="10"/>
  <c r="CQ34" i="10"/>
  <c r="CQ125" i="10"/>
  <c r="CR125" i="10"/>
  <c r="CR98" i="10"/>
  <c r="CQ98" i="10"/>
  <c r="CQ113" i="10"/>
  <c r="CR113" i="10"/>
  <c r="CQ15" i="10"/>
  <c r="CR15" i="10"/>
  <c r="CR145" i="10"/>
  <c r="CQ145" i="10"/>
  <c r="CR137" i="10"/>
  <c r="CR140" i="10"/>
  <c r="CQ95" i="10"/>
  <c r="CR95" i="10"/>
  <c r="CR89" i="10"/>
  <c r="CQ89" i="10"/>
  <c r="CQ14" i="10"/>
  <c r="CR14" i="10"/>
  <c r="CQ127" i="10"/>
  <c r="CR127" i="10"/>
  <c r="CR78" i="10"/>
  <c r="CQ78" i="10"/>
  <c r="CR93" i="10"/>
  <c r="CQ93" i="10"/>
  <c r="N90" i="7"/>
  <c r="B45" i="24" s="1"/>
  <c r="R193" i="28"/>
  <c r="S193" i="28"/>
  <c r="T193" i="28"/>
  <c r="S212" i="28"/>
  <c r="R212" i="28"/>
  <c r="T212" i="28"/>
  <c r="T224" i="28"/>
  <c r="R224" i="28"/>
  <c r="S224" i="28"/>
  <c r="T241" i="28"/>
  <c r="R241" i="28"/>
  <c r="S241" i="28"/>
  <c r="R185" i="28"/>
  <c r="T185" i="28"/>
  <c r="S185" i="28"/>
  <c r="S200" i="28"/>
  <c r="R229" i="28"/>
  <c r="S229" i="28"/>
  <c r="T229" i="28"/>
  <c r="S243" i="28"/>
  <c r="R243" i="28"/>
  <c r="T243" i="28"/>
  <c r="S257" i="28"/>
  <c r="BQ184" i="10"/>
  <c r="A183" i="10"/>
  <c r="N15" i="7"/>
  <c r="N86" i="7"/>
  <c r="T196" i="28"/>
  <c r="R196" i="28"/>
  <c r="S196" i="28"/>
  <c r="S216" i="28"/>
  <c r="T216" i="28"/>
  <c r="R216" i="28"/>
  <c r="S231" i="28"/>
  <c r="R231" i="28"/>
  <c r="T231" i="28"/>
  <c r="T244" i="28"/>
  <c r="S244" i="28"/>
  <c r="R244" i="28"/>
  <c r="T191" i="28"/>
  <c r="S221" i="28"/>
  <c r="T221" i="28"/>
  <c r="R221" i="28"/>
  <c r="S233" i="28"/>
  <c r="T233" i="28"/>
  <c r="R233" i="28"/>
  <c r="S245" i="28"/>
  <c r="T245" i="28"/>
  <c r="R245" i="28"/>
  <c r="S260" i="28"/>
  <c r="A229" i="10"/>
  <c r="BO229" i="10" s="1"/>
  <c r="BQ230" i="10"/>
  <c r="M19" i="33"/>
  <c r="AU20" i="33"/>
  <c r="S186" i="28"/>
  <c r="R205" i="28"/>
  <c r="T205" i="28"/>
  <c r="S205" i="28"/>
  <c r="S220" i="28"/>
  <c r="R220" i="28"/>
  <c r="S234" i="28"/>
  <c r="R234" i="28"/>
  <c r="T234" i="28"/>
  <c r="R175" i="28"/>
  <c r="T175" i="28"/>
  <c r="S175" i="28"/>
  <c r="S194" i="28"/>
  <c r="T194" i="28"/>
  <c r="R194" i="28"/>
  <c r="T207" i="28"/>
  <c r="R207" i="28"/>
  <c r="S207" i="28"/>
  <c r="S223" i="28"/>
  <c r="T223" i="28"/>
  <c r="R223" i="28"/>
  <c r="R236" i="28"/>
  <c r="S236" i="28"/>
  <c r="T236" i="28"/>
  <c r="T249" i="28"/>
  <c r="R249" i="28"/>
  <c r="S249" i="28"/>
  <c r="T263" i="28"/>
  <c r="S263" i="28"/>
  <c r="R263" i="28"/>
  <c r="S189" i="28"/>
  <c r="R209" i="28"/>
  <c r="T209" i="28"/>
  <c r="S209" i="28"/>
  <c r="S222" i="28"/>
  <c r="R222" i="28"/>
  <c r="T222" i="28"/>
  <c r="R237" i="28"/>
  <c r="S237" i="28"/>
  <c r="T237" i="28"/>
  <c r="T182" i="28"/>
  <c r="R182" i="28"/>
  <c r="S182" i="28"/>
  <c r="S197" i="28"/>
  <c r="T197" i="28"/>
  <c r="R197" i="28"/>
  <c r="R226" i="28"/>
  <c r="T226" i="28"/>
  <c r="S226" i="28"/>
  <c r="S239" i="28"/>
  <c r="T239" i="28"/>
  <c r="R239" i="28"/>
  <c r="T252" i="28"/>
  <c r="J59" i="29"/>
  <c r="L59" i="29"/>
  <c r="AB121" i="33"/>
  <c r="Y121" i="33"/>
  <c r="AU126" i="33"/>
  <c r="M125" i="33"/>
  <c r="N29" i="7"/>
  <c r="F28" i="39"/>
  <c r="E69" i="39"/>
  <c r="N72" i="7"/>
  <c r="J16" i="24" s="1"/>
  <c r="CR51" i="10"/>
  <c r="CQ51" i="10"/>
  <c r="N78" i="7"/>
  <c r="E75" i="39"/>
  <c r="N118" i="7"/>
  <c r="E115" i="39"/>
  <c r="E129" i="39"/>
  <c r="N132" i="7"/>
  <c r="J28" i="24" s="1"/>
  <c r="N83" i="7"/>
  <c r="E80" i="39"/>
  <c r="I6" i="23"/>
  <c r="S6" i="23"/>
  <c r="O6" i="23"/>
  <c r="Z6" i="23"/>
  <c r="V6" i="23"/>
  <c r="E6" i="23"/>
  <c r="Y6" i="23"/>
  <c r="AD6" i="23"/>
  <c r="M6" i="23"/>
  <c r="N47" i="7"/>
  <c r="B21" i="24" s="1"/>
  <c r="N123" i="7"/>
  <c r="J24" i="24" s="1"/>
  <c r="F120" i="39"/>
  <c r="N113" i="7"/>
  <c r="E110" i="39"/>
  <c r="E49" i="39"/>
  <c r="N52" i="7"/>
  <c r="E124" i="39"/>
  <c r="N127" i="7"/>
  <c r="N93" i="7"/>
  <c r="E90" i="39"/>
  <c r="N71" i="7"/>
  <c r="E68" i="39"/>
  <c r="N91" i="7"/>
  <c r="E88" i="39"/>
  <c r="E67" i="39"/>
  <c r="N70" i="7"/>
  <c r="N95" i="7"/>
  <c r="F92" i="39"/>
  <c r="N124" i="7"/>
  <c r="J25" i="24" s="1"/>
  <c r="E121" i="39"/>
  <c r="F15" i="39"/>
  <c r="N16" i="7"/>
  <c r="F26" i="39"/>
  <c r="N27" i="7"/>
  <c r="CQ91" i="10"/>
  <c r="CR91" i="10"/>
  <c r="CQ64" i="10"/>
  <c r="CR64" i="10"/>
  <c r="N122" i="7"/>
  <c r="E119" i="39"/>
  <c r="N48" i="7"/>
  <c r="E45" i="39"/>
  <c r="E66" i="39"/>
  <c r="N69" i="7"/>
  <c r="J15" i="24" s="1"/>
  <c r="E53" i="39"/>
  <c r="N56" i="7"/>
  <c r="F54" i="39"/>
  <c r="N57" i="7"/>
  <c r="B31" i="24" s="1"/>
  <c r="E73" i="39"/>
  <c r="N76" i="7"/>
  <c r="N46" i="7"/>
  <c r="E43" i="39"/>
  <c r="E82" i="39"/>
  <c r="N85" i="7"/>
  <c r="N115" i="7"/>
  <c r="E112" i="39"/>
  <c r="E116" i="39"/>
  <c r="N119" i="7"/>
  <c r="N53" i="7"/>
  <c r="E50" i="39"/>
  <c r="E35" i="39"/>
  <c r="N38" i="7"/>
  <c r="B7" i="23"/>
  <c r="AG7" i="23"/>
  <c r="W111" i="18"/>
  <c r="W112" i="18" s="1"/>
  <c r="N149" i="7"/>
  <c r="N13" i="7"/>
  <c r="N12" i="7"/>
  <c r="N146" i="7"/>
  <c r="N147" i="7"/>
  <c r="N68" i="7"/>
  <c r="N105" i="7"/>
  <c r="N34" i="7"/>
  <c r="E62" i="39"/>
  <c r="N65" i="7"/>
  <c r="J14" i="24" s="1"/>
  <c r="E89" i="39"/>
  <c r="N92" i="7"/>
  <c r="B46" i="24" s="1"/>
  <c r="CR75" i="10"/>
  <c r="CQ75" i="10"/>
  <c r="E99" i="39"/>
  <c r="N102" i="7"/>
  <c r="N82" i="7"/>
  <c r="E79" i="39"/>
  <c r="E41" i="39"/>
  <c r="N44" i="7"/>
  <c r="B20" i="24" s="1"/>
  <c r="F20" i="39"/>
  <c r="N21" i="7"/>
  <c r="N143" i="7"/>
  <c r="E140" i="39"/>
  <c r="E86" i="39"/>
  <c r="N89" i="7"/>
  <c r="N40" i="7"/>
  <c r="B16" i="24" s="1"/>
  <c r="E37" i="39"/>
  <c r="E130" i="39"/>
  <c r="N133" i="7"/>
  <c r="N97" i="7"/>
  <c r="E94" i="39"/>
  <c r="F55" i="39"/>
  <c r="N58" i="7"/>
  <c r="N43" i="7"/>
  <c r="B19" i="24" s="1"/>
  <c r="E40" i="39"/>
  <c r="N33" i="7"/>
  <c r="B12" i="24" s="1"/>
  <c r="E30" i="39"/>
  <c r="N35" i="7"/>
  <c r="E32" i="39"/>
  <c r="CQ20" i="10"/>
  <c r="CR20" i="10"/>
  <c r="E8" i="39"/>
  <c r="N9" i="7"/>
  <c r="J72" i="24" s="1"/>
  <c r="N72" i="24" s="1"/>
  <c r="CQ44" i="10"/>
  <c r="CR44" i="10"/>
  <c r="CR82" i="10"/>
  <c r="CQ82" i="10"/>
  <c r="F76" i="39"/>
  <c r="N79" i="7"/>
  <c r="E139" i="39"/>
  <c r="N142" i="7"/>
  <c r="N88" i="7"/>
  <c r="E85" i="39"/>
  <c r="E52" i="39"/>
  <c r="N55" i="7"/>
  <c r="E122" i="39"/>
  <c r="N125" i="7"/>
  <c r="E133" i="39"/>
  <c r="N136" i="7"/>
  <c r="E111" i="39"/>
  <c r="N114" i="7"/>
  <c r="N42" i="7"/>
  <c r="B18" i="24" s="1"/>
  <c r="E39" i="39"/>
  <c r="E118" i="39"/>
  <c r="N121" i="7"/>
  <c r="N126" i="7"/>
  <c r="E123" i="39"/>
  <c r="E98" i="39"/>
  <c r="N101" i="7"/>
  <c r="E104" i="39"/>
  <c r="N107" i="7"/>
  <c r="E51" i="39"/>
  <c r="N54" i="7"/>
  <c r="E132" i="39"/>
  <c r="N135" i="7"/>
  <c r="N87" i="7"/>
  <c r="E84" i="39"/>
  <c r="N140" i="7"/>
  <c r="E137" i="39"/>
  <c r="E136" i="39"/>
  <c r="N139" i="7"/>
  <c r="E57" i="39"/>
  <c r="N60" i="7"/>
  <c r="N32" i="7"/>
  <c r="F29" i="39"/>
  <c r="R68" i="20"/>
  <c r="R59" i="20"/>
  <c r="R58" i="20"/>
  <c r="R66" i="20"/>
  <c r="R54" i="20"/>
  <c r="R55" i="20"/>
  <c r="R64" i="20"/>
  <c r="R65" i="20"/>
  <c r="R67" i="20"/>
  <c r="R56" i="20"/>
  <c r="R52" i="20"/>
  <c r="R61" i="20"/>
  <c r="R62" i="20"/>
  <c r="R53" i="20"/>
  <c r="R51" i="20"/>
  <c r="R70" i="20"/>
  <c r="R71" i="20"/>
  <c r="R57" i="20"/>
  <c r="O44" i="20"/>
  <c r="R69" i="20"/>
  <c r="R60" i="20"/>
  <c r="R50" i="20"/>
  <c r="N61" i="7"/>
  <c r="B32" i="24" s="1"/>
  <c r="E58" i="39"/>
  <c r="E77" i="39"/>
  <c r="N80" i="7"/>
  <c r="E91" i="39"/>
  <c r="N94" i="7"/>
  <c r="N129" i="7"/>
  <c r="J26" i="24" s="1"/>
  <c r="E126" i="39"/>
  <c r="E42" i="39"/>
  <c r="N45" i="7"/>
  <c r="F27" i="39"/>
  <c r="N28" i="7"/>
  <c r="N84" i="7"/>
  <c r="E81" i="39"/>
  <c r="E107" i="39"/>
  <c r="N110" i="7"/>
  <c r="E59" i="39"/>
  <c r="N62" i="7"/>
  <c r="E100" i="39"/>
  <c r="N103" i="7"/>
  <c r="E9" i="39"/>
  <c r="N10" i="7"/>
  <c r="CR100" i="10"/>
  <c r="CQ100" i="10"/>
  <c r="E125" i="39"/>
  <c r="N128" i="7"/>
  <c r="F108" i="39"/>
  <c r="N111" i="7"/>
  <c r="E134" i="39"/>
  <c r="N137" i="7"/>
  <c r="N67" i="7"/>
  <c r="E64" i="39"/>
  <c r="E114" i="39"/>
  <c r="N117" i="7"/>
  <c r="N106" i="7"/>
  <c r="E103" i="39"/>
  <c r="N96" i="7"/>
  <c r="E93" i="39"/>
  <c r="N120" i="7"/>
  <c r="E117" i="39"/>
  <c r="N66" i="7"/>
  <c r="E63" i="39"/>
  <c r="F105" i="39"/>
  <c r="N108" i="7"/>
  <c r="E101" i="39"/>
  <c r="N104" i="7"/>
  <c r="N81" i="7"/>
  <c r="B44" i="24" s="1"/>
  <c r="E78" i="39"/>
  <c r="E56" i="39"/>
  <c r="N59" i="7"/>
  <c r="F106" i="39"/>
  <c r="N109" i="7"/>
  <c r="N39" i="7"/>
  <c r="B15" i="24" s="1"/>
  <c r="E36" i="39"/>
  <c r="CQ47" i="10"/>
  <c r="CR47" i="10"/>
  <c r="B114" i="23"/>
  <c r="N134" i="7"/>
  <c r="N144" i="7"/>
  <c r="K54" i="29" l="1"/>
  <c r="I54" i="29"/>
  <c r="N111" i="23"/>
  <c r="J54" i="29"/>
  <c r="M54" i="29"/>
  <c r="E111" i="23"/>
  <c r="K111" i="23"/>
  <c r="L54" i="29"/>
  <c r="M59" i="29"/>
  <c r="J56" i="29"/>
  <c r="N56" i="29"/>
  <c r="K59" i="29"/>
  <c r="K56" i="29"/>
  <c r="I56" i="29"/>
  <c r="I59" i="29"/>
  <c r="J52" i="29"/>
  <c r="N52" i="29"/>
  <c r="J50" i="29"/>
  <c r="N50" i="29"/>
  <c r="J49" i="29"/>
  <c r="J51" i="29"/>
  <c r="N51" i="29"/>
  <c r="K58" i="29"/>
  <c r="N58" i="29"/>
  <c r="CI91" i="35"/>
  <c r="CJ91" i="35" s="1"/>
  <c r="CK91" i="35" s="1"/>
  <c r="CL91" i="35" s="1"/>
  <c r="CM91" i="35" s="1"/>
  <c r="CN91" i="35" s="1"/>
  <c r="CO91" i="35" s="1"/>
  <c r="CP91" i="35" s="1"/>
  <c r="CQ91" i="35" s="1"/>
  <c r="CR91" i="35" s="1"/>
  <c r="CS91" i="35" s="1"/>
  <c r="CT91" i="35" s="1"/>
  <c r="CU91" i="35" s="1"/>
  <c r="CV91" i="35" s="1"/>
  <c r="CW91" i="35" s="1"/>
  <c r="CX91" i="35" s="1"/>
  <c r="CY91" i="35" s="1"/>
  <c r="CZ91" i="35" s="1"/>
  <c r="DA91" i="35" s="1"/>
  <c r="DB91" i="35" s="1"/>
  <c r="DC91" i="35" s="1"/>
  <c r="DD91" i="35" s="1"/>
  <c r="DE91" i="35" s="1"/>
  <c r="DF91" i="35" s="1"/>
  <c r="DG91" i="35" s="1"/>
  <c r="DH91" i="35" s="1"/>
  <c r="DI91" i="35" s="1"/>
  <c r="DJ91" i="35" s="1"/>
  <c r="DK91" i="35" s="1"/>
  <c r="DL91" i="35" s="1"/>
  <c r="DM91" i="35" s="1"/>
  <c r="DN91" i="35" s="1"/>
  <c r="DO91" i="35" s="1"/>
  <c r="DP91" i="35" s="1"/>
  <c r="DQ91" i="35" s="1"/>
  <c r="DR91" i="35" s="1"/>
  <c r="DS91" i="35" s="1"/>
  <c r="DT91" i="35" s="1"/>
  <c r="DU91" i="35" s="1"/>
  <c r="DV91" i="35" s="1"/>
  <c r="DW91" i="35" s="1"/>
  <c r="DX91" i="35" s="1"/>
  <c r="DY91" i="35" s="1"/>
  <c r="DZ91" i="35" s="1"/>
  <c r="EA91" i="35" s="1"/>
  <c r="EB91" i="35" s="1"/>
  <c r="EC91" i="35" s="1"/>
  <c r="ED91" i="35" s="1"/>
  <c r="EE91" i="35" s="1"/>
  <c r="EF91" i="35" s="1"/>
  <c r="EG91" i="35" s="1"/>
  <c r="EH91" i="35" s="1"/>
  <c r="EI91" i="35" s="1"/>
  <c r="EJ91" i="35" s="1"/>
  <c r="EK91" i="35" s="1"/>
  <c r="EL91" i="35" s="1"/>
  <c r="EM91" i="35" s="1"/>
  <c r="EN91" i="35" s="1"/>
  <c r="K265" i="28"/>
  <c r="M55" i="29"/>
  <c r="DH81" i="35"/>
  <c r="C81" i="35" s="1"/>
  <c r="DK87" i="35"/>
  <c r="DI81" i="35"/>
  <c r="DM81" i="35"/>
  <c r="DK79" i="35"/>
  <c r="DI78" i="35"/>
  <c r="DM78" i="35"/>
  <c r="DK9" i="35"/>
  <c r="DI4" i="35"/>
  <c r="DM4" i="35"/>
  <c r="DJ81" i="35"/>
  <c r="DN81" i="35"/>
  <c r="DL79" i="35"/>
  <c r="DJ78" i="35"/>
  <c r="DL9" i="35"/>
  <c r="DJ4" i="35"/>
  <c r="DN4" i="35"/>
  <c r="DI87" i="35"/>
  <c r="DK81" i="35"/>
  <c r="DI79" i="35"/>
  <c r="DI9" i="35"/>
  <c r="DK4" i="35"/>
  <c r="DJ87" i="35"/>
  <c r="DL81" i="35"/>
  <c r="DN79" i="35"/>
  <c r="DJ9" i="35"/>
  <c r="DL87" i="35"/>
  <c r="DN78" i="35"/>
  <c r="DM87" i="35"/>
  <c r="DM79" i="35"/>
  <c r="DM9" i="35"/>
  <c r="DN87" i="35"/>
  <c r="DJ79" i="35"/>
  <c r="DL78" i="35"/>
  <c r="DN9" i="35"/>
  <c r="DK78" i="35"/>
  <c r="DL4" i="35"/>
  <c r="L265" i="28"/>
  <c r="J265" i="28"/>
  <c r="A18" i="33"/>
  <c r="AF19" i="33"/>
  <c r="I53" i="29"/>
  <c r="BP16" i="17"/>
  <c r="L49" i="29"/>
  <c r="L53" i="29"/>
  <c r="J53" i="29"/>
  <c r="I55" i="29"/>
  <c r="I52" i="29"/>
  <c r="K53" i="29"/>
  <c r="K52" i="29"/>
  <c r="M53" i="29"/>
  <c r="L52" i="29"/>
  <c r="K105" i="6"/>
  <c r="K108" i="6"/>
  <c r="K55" i="29"/>
  <c r="K106" i="6"/>
  <c r="L55" i="29"/>
  <c r="J55" i="29"/>
  <c r="M105" i="6"/>
  <c r="Q93" i="20"/>
  <c r="U93" i="20" s="1"/>
  <c r="K104" i="6"/>
  <c r="M58" i="29"/>
  <c r="L57" i="29"/>
  <c r="J57" i="29"/>
  <c r="K49" i="29"/>
  <c r="K57" i="29"/>
  <c r="I57" i="29"/>
  <c r="M49" i="29"/>
  <c r="M57" i="29"/>
  <c r="L58" i="29"/>
  <c r="K51" i="29"/>
  <c r="J58" i="29"/>
  <c r="I58" i="29"/>
  <c r="L51" i="29"/>
  <c r="M51" i="29"/>
  <c r="I51" i="29"/>
  <c r="Y122" i="33"/>
  <c r="O279" i="20"/>
  <c r="P4" i="20" s="1"/>
  <c r="O278" i="20"/>
  <c r="P31" i="15" s="1"/>
  <c r="M96" i="6"/>
  <c r="FK186" i="7"/>
  <c r="DG81" i="35"/>
  <c r="Y9" i="20"/>
  <c r="Z9" i="20"/>
  <c r="K101" i="6"/>
  <c r="Q92" i="20"/>
  <c r="U92" i="20" s="1"/>
  <c r="M104" i="6"/>
  <c r="K90" i="6"/>
  <c r="Y8" i="20"/>
  <c r="M95" i="6"/>
  <c r="G124" i="6"/>
  <c r="M93" i="6" s="1"/>
  <c r="Q2" i="20"/>
  <c r="Z3" i="20"/>
  <c r="K50" i="29"/>
  <c r="I50" i="29"/>
  <c r="Z8" i="20"/>
  <c r="Q3" i="20"/>
  <c r="P96" i="20"/>
  <c r="U96" i="20" s="1"/>
  <c r="W96" i="20"/>
  <c r="P101" i="20" s="1"/>
  <c r="U101" i="20" s="1"/>
  <c r="Z7" i="20"/>
  <c r="Q94" i="20"/>
  <c r="U94" i="20" s="1"/>
  <c r="M50" i="29"/>
  <c r="L50" i="29"/>
  <c r="Z2" i="20"/>
  <c r="Y7" i="20"/>
  <c r="Q5" i="20"/>
  <c r="DG79" i="35"/>
  <c r="X9" i="20"/>
  <c r="DH85" i="35"/>
  <c r="G100" i="35" s="1"/>
  <c r="Y4" i="20"/>
  <c r="Q4" i="20"/>
  <c r="B4" i="1"/>
  <c r="W9" i="20"/>
  <c r="O59" i="20" s="1"/>
  <c r="Q6" i="20"/>
  <c r="Y5" i="20"/>
  <c r="Z6" i="20"/>
  <c r="DG85" i="35"/>
  <c r="DH9" i="35"/>
  <c r="C9" i="35" s="1"/>
  <c r="DG9" i="35"/>
  <c r="DH79" i="35"/>
  <c r="C79" i="35" s="1"/>
  <c r="DH4" i="35"/>
  <c r="C4" i="35" s="1"/>
  <c r="DH78" i="35"/>
  <c r="C78" i="35" s="1"/>
  <c r="P95" i="20"/>
  <c r="Q95" i="20"/>
  <c r="DG4" i="35"/>
  <c r="DG78" i="35"/>
  <c r="P176" i="20"/>
  <c r="P146" i="20"/>
  <c r="P154" i="20"/>
  <c r="H113" i="23"/>
  <c r="P159" i="20"/>
  <c r="P160" i="20"/>
  <c r="P162" i="20"/>
  <c r="P132" i="20"/>
  <c r="N112" i="23"/>
  <c r="P167" i="20"/>
  <c r="P142" i="20"/>
  <c r="P155" i="20"/>
  <c r="P174" i="20"/>
  <c r="P133" i="20"/>
  <c r="P137" i="20"/>
  <c r="P130" i="20"/>
  <c r="P147" i="20"/>
  <c r="P178" i="20"/>
  <c r="P180" i="20"/>
  <c r="P140" i="20"/>
  <c r="P172" i="20"/>
  <c r="P153" i="20"/>
  <c r="P141" i="20"/>
  <c r="P182" i="20"/>
  <c r="P164" i="20"/>
  <c r="P163" i="20"/>
  <c r="P135" i="20"/>
  <c r="P158" i="20"/>
  <c r="P129" i="20"/>
  <c r="P134" i="20"/>
  <c r="P181" i="20"/>
  <c r="P168" i="20"/>
  <c r="P145" i="20"/>
  <c r="P148" i="20"/>
  <c r="P165" i="20"/>
  <c r="P136" i="20"/>
  <c r="P149" i="20"/>
  <c r="P138" i="20"/>
  <c r="P175" i="20"/>
  <c r="P143" i="20"/>
  <c r="P173" i="20"/>
  <c r="P157" i="20"/>
  <c r="P161" i="20"/>
  <c r="P183" i="20"/>
  <c r="P150" i="20"/>
  <c r="P170" i="20"/>
  <c r="P151" i="20"/>
  <c r="P144" i="20"/>
  <c r="P166" i="20"/>
  <c r="P169" i="20"/>
  <c r="P171" i="20"/>
  <c r="P131" i="20"/>
  <c r="P152" i="20"/>
  <c r="P139" i="20"/>
  <c r="P156" i="20"/>
  <c r="P177" i="20"/>
  <c r="D154" i="28"/>
  <c r="I49" i="29" s="1"/>
  <c r="P62" i="20"/>
  <c r="P58" i="20"/>
  <c r="P55" i="20"/>
  <c r="P69" i="20"/>
  <c r="P53" i="20"/>
  <c r="P56" i="20"/>
  <c r="P71" i="20"/>
  <c r="P51" i="20"/>
  <c r="P52" i="20"/>
  <c r="P60" i="20"/>
  <c r="P59" i="20"/>
  <c r="P68" i="20"/>
  <c r="P67" i="20"/>
  <c r="P65" i="20"/>
  <c r="P54" i="20"/>
  <c r="P64" i="20"/>
  <c r="P57" i="20"/>
  <c r="P66" i="20"/>
  <c r="P70" i="20"/>
  <c r="P61" i="20"/>
  <c r="P50" i="20"/>
  <c r="E112" i="23"/>
  <c r="N113" i="23"/>
  <c r="H112" i="23"/>
  <c r="E113" i="23"/>
  <c r="K112" i="23"/>
  <c r="BX168" i="14"/>
  <c r="CG162" i="14"/>
  <c r="CG172" i="14"/>
  <c r="CG166" i="14"/>
  <c r="BX169" i="14"/>
  <c r="BX167" i="14"/>
  <c r="CG171" i="14"/>
  <c r="BX170" i="14"/>
  <c r="CG165" i="14"/>
  <c r="CG164" i="14"/>
  <c r="CG175" i="14"/>
  <c r="BX163" i="14"/>
  <c r="CG174" i="14"/>
  <c r="AU127" i="33"/>
  <c r="M127" i="33" s="1"/>
  <c r="M126" i="33"/>
  <c r="A230" i="10"/>
  <c r="BO230" i="10" s="1"/>
  <c r="BQ231" i="10"/>
  <c r="CG183" i="10"/>
  <c r="BO183" i="10"/>
  <c r="A184" i="10"/>
  <c r="BQ185" i="10"/>
  <c r="M20" i="33"/>
  <c r="AU21" i="33"/>
  <c r="V7" i="23"/>
  <c r="AD7" i="23"/>
  <c r="Y7" i="23"/>
  <c r="E7" i="23"/>
  <c r="Z7" i="23"/>
  <c r="O7" i="23"/>
  <c r="I7" i="23"/>
  <c r="M7" i="23"/>
  <c r="S7" i="23"/>
  <c r="BN179" i="10"/>
  <c r="B8" i="23"/>
  <c r="AG8" i="23"/>
  <c r="N114" i="23"/>
  <c r="K114" i="23"/>
  <c r="E114" i="23"/>
  <c r="H114" i="23"/>
  <c r="B115" i="23"/>
  <c r="EP91" i="35" l="1"/>
  <c r="EO91" i="35"/>
  <c r="EQ91" i="35" s="1"/>
  <c r="ER91" i="35" s="1"/>
  <c r="ES91" i="35" s="1"/>
  <c r="ET91" i="35" s="1"/>
  <c r="EU91" i="35" s="1"/>
  <c r="EV91" i="35" s="1"/>
  <c r="EW91" i="35" s="1"/>
  <c r="EX91" i="35" s="1"/>
  <c r="EY91" i="35" s="1"/>
  <c r="EZ91" i="35" s="1"/>
  <c r="FA91" i="35" s="1"/>
  <c r="FB91" i="35" s="1"/>
  <c r="FC91" i="35" s="1"/>
  <c r="FD91" i="35" s="1"/>
  <c r="FE91" i="35" s="1"/>
  <c r="FF91" i="35" s="1"/>
  <c r="FG91" i="35" s="1"/>
  <c r="FH91" i="35" s="1"/>
  <c r="FI91" i="35" s="1"/>
  <c r="FJ91" i="35" s="1"/>
  <c r="FK91" i="35" s="1"/>
  <c r="FL91" i="35" s="1"/>
  <c r="FM91" i="35" s="1"/>
  <c r="FN91" i="35" s="1"/>
  <c r="FO91" i="35" s="1"/>
  <c r="FP91" i="35" s="1"/>
  <c r="FQ91" i="35" s="1"/>
  <c r="FR91" i="35" s="1"/>
  <c r="FS91" i="35" s="1"/>
  <c r="FT91" i="35" s="1"/>
  <c r="FU91" i="35" s="1"/>
  <c r="FV91" i="35" s="1"/>
  <c r="FW91" i="35" s="1"/>
  <c r="FX91" i="35" s="1"/>
  <c r="FY91" i="35" s="1"/>
  <c r="FZ91" i="35" s="1"/>
  <c r="GA91" i="35" s="1"/>
  <c r="GB91" i="35" s="1"/>
  <c r="GC91" i="35" s="1"/>
  <c r="GD91" i="35" s="1"/>
  <c r="GE91" i="35" s="1"/>
  <c r="GF91" i="35" s="1"/>
  <c r="GG91" i="35" s="1"/>
  <c r="GH91" i="35" s="1"/>
  <c r="GI91" i="35" s="1"/>
  <c r="GJ91" i="35" s="1"/>
  <c r="GK91" i="35" s="1"/>
  <c r="GL91" i="35" s="1"/>
  <c r="GM91" i="35" s="1"/>
  <c r="GN91" i="35" s="1"/>
  <c r="GO91" i="35" s="1"/>
  <c r="GP91" i="35" s="1"/>
  <c r="GQ91" i="35" s="1"/>
  <c r="GR91" i="35" s="1"/>
  <c r="GS91" i="35" s="1"/>
  <c r="GT91" i="35" s="1"/>
  <c r="GU91" i="35" s="1"/>
  <c r="GV91" i="35" s="1"/>
  <c r="GW91" i="35" s="1"/>
  <c r="GX91" i="35" s="1"/>
  <c r="GY91" i="35" s="1"/>
  <c r="GZ91" i="35" s="1"/>
  <c r="HA91" i="35" s="1"/>
  <c r="HB91" i="35" s="1"/>
  <c r="D2" i="34" s="1"/>
  <c r="C2" i="34" s="1"/>
  <c r="D3" i="34" s="1"/>
  <c r="C3" i="34" s="1"/>
  <c r="D4" i="34" s="1"/>
  <c r="C4" i="34" s="1"/>
  <c r="D5" i="34" s="1"/>
  <c r="P2" i="20"/>
  <c r="I265" i="28"/>
  <c r="A19" i="33"/>
  <c r="AF20" i="33"/>
  <c r="P9" i="20"/>
  <c r="U9" i="20" s="1"/>
  <c r="P8" i="20"/>
  <c r="U8" i="20" s="1"/>
  <c r="P7" i="20"/>
  <c r="U7" i="20" s="1"/>
  <c r="O817" i="15"/>
  <c r="P6" i="20"/>
  <c r="U6" i="20" s="1"/>
  <c r="N817" i="15"/>
  <c r="P3" i="20"/>
  <c r="U3" i="20" s="1"/>
  <c r="Q817" i="15"/>
  <c r="O31" i="15"/>
  <c r="N31" i="15"/>
  <c r="P29" i="15"/>
  <c r="P817" i="15"/>
  <c r="Q29" i="15"/>
  <c r="N29" i="15"/>
  <c r="O29" i="15"/>
  <c r="Q31" i="15"/>
  <c r="P5" i="20"/>
  <c r="U5" i="20" s="1"/>
  <c r="O180" i="20"/>
  <c r="P99" i="20"/>
  <c r="U99" i="20" s="1"/>
  <c r="O70" i="20"/>
  <c r="R15" i="20"/>
  <c r="O171" i="20"/>
  <c r="O138" i="20"/>
  <c r="O132" i="20"/>
  <c r="O147" i="20"/>
  <c r="O170" i="20"/>
  <c r="O155" i="20"/>
  <c r="O150" i="20"/>
  <c r="O142" i="20"/>
  <c r="O158" i="20"/>
  <c r="O162" i="20"/>
  <c r="O67" i="20"/>
  <c r="U2" i="20"/>
  <c r="P10" i="20"/>
  <c r="U10" i="20" s="1"/>
  <c r="V10" i="20" s="1"/>
  <c r="O161" i="20"/>
  <c r="O140" i="20"/>
  <c r="P13" i="20"/>
  <c r="U13" i="20" s="1"/>
  <c r="V13" i="20" s="1"/>
  <c r="O148" i="20"/>
  <c r="DG2" i="35"/>
  <c r="P14" i="20"/>
  <c r="U14" i="20" s="1"/>
  <c r="V14" i="20" s="1"/>
  <c r="P15" i="20"/>
  <c r="U15" i="20" s="1"/>
  <c r="V15" i="20" s="1"/>
  <c r="R14" i="20"/>
  <c r="R17" i="20"/>
  <c r="O134" i="20"/>
  <c r="O145" i="20"/>
  <c r="O137" i="20"/>
  <c r="O181" i="20"/>
  <c r="O169" i="20"/>
  <c r="O129" i="20"/>
  <c r="O178" i="20"/>
  <c r="O152" i="20"/>
  <c r="O130" i="20"/>
  <c r="O163" i="20"/>
  <c r="O160" i="20"/>
  <c r="O168" i="20"/>
  <c r="O157" i="20"/>
  <c r="O153" i="20"/>
  <c r="O149" i="20"/>
  <c r="P100" i="20"/>
  <c r="U100" i="20" s="1"/>
  <c r="O167" i="20"/>
  <c r="O151" i="20"/>
  <c r="O135" i="20"/>
  <c r="O183" i="20"/>
  <c r="O164" i="20"/>
  <c r="O143" i="20"/>
  <c r="O165" i="20"/>
  <c r="O154" i="20"/>
  <c r="O141" i="20"/>
  <c r="O177" i="20"/>
  <c r="O175" i="20"/>
  <c r="O133" i="20"/>
  <c r="O144" i="20"/>
  <c r="O166" i="20"/>
  <c r="O156" i="20"/>
  <c r="O159" i="20"/>
  <c r="P97" i="20"/>
  <c r="U97" i="20" s="1"/>
  <c r="O179" i="20"/>
  <c r="O172" i="20"/>
  <c r="O146" i="20"/>
  <c r="P98" i="20"/>
  <c r="U98" i="20" s="1"/>
  <c r="O139" i="20"/>
  <c r="O131" i="20"/>
  <c r="O136" i="20"/>
  <c r="O173" i="20"/>
  <c r="O174" i="20"/>
  <c r="O176" i="20"/>
  <c r="O182" i="20"/>
  <c r="O55" i="20"/>
  <c r="P17" i="20"/>
  <c r="U17" i="20" s="1"/>
  <c r="V17" i="20" s="1"/>
  <c r="O52" i="20"/>
  <c r="P11" i="20"/>
  <c r="U11" i="20" s="1"/>
  <c r="V11" i="20" s="1"/>
  <c r="R12" i="20"/>
  <c r="O50" i="20"/>
  <c r="O60" i="20"/>
  <c r="O66" i="20"/>
  <c r="P16" i="20"/>
  <c r="U16" i="20" s="1"/>
  <c r="V16" i="20" s="1"/>
  <c r="O68" i="20"/>
  <c r="O53" i="20"/>
  <c r="O58" i="20"/>
  <c r="O56" i="20"/>
  <c r="O65" i="20"/>
  <c r="O62" i="20"/>
  <c r="O54" i="20"/>
  <c r="O64" i="20"/>
  <c r="U95" i="20"/>
  <c r="O187" i="20" s="1"/>
  <c r="P12" i="20"/>
  <c r="U12" i="20" s="1"/>
  <c r="V12" i="20" s="1"/>
  <c r="O61" i="20"/>
  <c r="R10" i="20"/>
  <c r="R16" i="20"/>
  <c r="O51" i="20"/>
  <c r="R13" i="20"/>
  <c r="R11" i="20"/>
  <c r="O69" i="20"/>
  <c r="O57" i="20"/>
  <c r="U4" i="20"/>
  <c r="DG70" i="35"/>
  <c r="DH2" i="35"/>
  <c r="G95" i="35" s="1"/>
  <c r="DH70" i="35"/>
  <c r="G99" i="35" s="1"/>
  <c r="M21" i="33"/>
  <c r="AU22" i="33"/>
  <c r="BQ186" i="10"/>
  <c r="A185" i="10"/>
  <c r="BO184" i="10"/>
  <c r="CG184" i="10"/>
  <c r="A231" i="10"/>
  <c r="BO231" i="10" s="1"/>
  <c r="BQ232" i="10"/>
  <c r="H115" i="23"/>
  <c r="K115" i="23"/>
  <c r="N115" i="23"/>
  <c r="E115" i="23"/>
  <c r="V8" i="23"/>
  <c r="O8" i="23"/>
  <c r="M8" i="23"/>
  <c r="I8" i="23"/>
  <c r="Z8" i="23"/>
  <c r="S8" i="23"/>
  <c r="AD8" i="23"/>
  <c r="E8" i="23"/>
  <c r="Y8" i="23"/>
  <c r="AG9" i="23"/>
  <c r="B9" i="23"/>
  <c r="BN180" i="10"/>
  <c r="Q111" i="23"/>
  <c r="F99" i="35" l="1" a="1"/>
  <c r="F99" i="35" s="1"/>
  <c r="F101" i="35" a="1"/>
  <c r="F101" i="35" s="1"/>
  <c r="F96" i="35" a="1"/>
  <c r="F96" i="35" s="1"/>
  <c r="F95" i="35" a="1"/>
  <c r="F95" i="35" s="1"/>
  <c r="F98" i="35" a="1"/>
  <c r="F98" i="35" s="1"/>
  <c r="F100" i="35" a="1"/>
  <c r="F100" i="35" s="1"/>
  <c r="F97" i="35" a="1"/>
  <c r="F97" i="35" s="1"/>
  <c r="AF21" i="33"/>
  <c r="A20" i="33"/>
  <c r="O188" i="20"/>
  <c r="O73" i="20"/>
  <c r="O72" i="20"/>
  <c r="AU23" i="33"/>
  <c r="M22" i="33"/>
  <c r="AT22" i="33" s="1"/>
  <c r="BQ233" i="10"/>
  <c r="A232" i="10"/>
  <c r="BO232" i="10" s="1"/>
  <c r="CG185" i="10"/>
  <c r="BO185" i="10"/>
  <c r="A186" i="10"/>
  <c r="BQ187" i="10"/>
  <c r="C5" i="34"/>
  <c r="D6" i="34" s="1"/>
  <c r="B10" i="23"/>
  <c r="AG10" i="23"/>
  <c r="I9" i="23"/>
  <c r="Z9" i="23"/>
  <c r="M9" i="23"/>
  <c r="S9" i="23"/>
  <c r="Y9" i="23"/>
  <c r="O9" i="23"/>
  <c r="V9" i="23"/>
  <c r="AD9" i="23"/>
  <c r="E9" i="23"/>
  <c r="V111" i="23"/>
  <c r="AC111" i="23"/>
  <c r="Y111" i="23"/>
  <c r="AD111" i="23"/>
  <c r="Q112" i="23"/>
  <c r="Q113" i="23" s="1"/>
  <c r="BN181" i="10"/>
  <c r="H124" i="6"/>
  <c r="CU156" i="10"/>
  <c r="BY179" i="10"/>
  <c r="CU51" i="10"/>
  <c r="CU20" i="10"/>
  <c r="CU42" i="10"/>
  <c r="CU33" i="10"/>
  <c r="N123" i="20"/>
  <c r="CU157" i="10"/>
  <c r="CU43" i="10"/>
  <c r="CU14" i="10"/>
  <c r="CU40" i="10"/>
  <c r="CU129" i="10"/>
  <c r="CU58" i="10"/>
  <c r="CU52" i="10"/>
  <c r="CU79" i="10"/>
  <c r="CU65" i="10"/>
  <c r="CU105" i="10"/>
  <c r="CU102" i="10"/>
  <c r="AL125" i="33"/>
  <c r="CU23" i="10"/>
  <c r="CU48" i="10"/>
  <c r="CU103" i="10"/>
  <c r="BY177" i="10"/>
  <c r="CU93" i="10"/>
  <c r="CU147" i="10"/>
  <c r="CU38" i="10"/>
  <c r="CU15" i="10"/>
  <c r="CU89" i="10"/>
  <c r="CU64" i="10"/>
  <c r="CU34" i="10"/>
  <c r="CU17" i="10"/>
  <c r="CU115" i="10"/>
  <c r="N46" i="20"/>
  <c r="CU110" i="10"/>
  <c r="AL112" i="33"/>
  <c r="CU32" i="10"/>
  <c r="BY180" i="10"/>
  <c r="CU137" i="10"/>
  <c r="CU86" i="10"/>
  <c r="CU107" i="10"/>
  <c r="CU46" i="10"/>
  <c r="CU71" i="10"/>
  <c r="CU128" i="10"/>
  <c r="CU54" i="10"/>
  <c r="CU118" i="10"/>
  <c r="CU26" i="10"/>
  <c r="CU31" i="10"/>
  <c r="F49" i="20"/>
  <c r="CU125" i="10"/>
  <c r="BA12" i="33"/>
  <c r="AL113" i="33"/>
  <c r="CU19" i="10"/>
  <c r="CU99" i="10"/>
  <c r="CU92" i="10"/>
  <c r="N125" i="20"/>
  <c r="CU153" i="10"/>
  <c r="CU66" i="10"/>
  <c r="CU151" i="10"/>
  <c r="CU95" i="10"/>
  <c r="CU22" i="10"/>
  <c r="CU62" i="10"/>
  <c r="CU149" i="10"/>
  <c r="CU35" i="10"/>
  <c r="CU84" i="10"/>
  <c r="AL12" i="33"/>
  <c r="CU119" i="10"/>
  <c r="CU39" i="10"/>
  <c r="CU44" i="10"/>
  <c r="CU77" i="10"/>
  <c r="CU36" i="10"/>
  <c r="CU45" i="10"/>
  <c r="CU83" i="10"/>
  <c r="CU122" i="10"/>
  <c r="CU124" i="10"/>
  <c r="CU97" i="10"/>
  <c r="AL11" i="33"/>
  <c r="CU133" i="10"/>
  <c r="CU85" i="10"/>
  <c r="CU56" i="10"/>
  <c r="CU87" i="10"/>
  <c r="CU67" i="10"/>
  <c r="BY178" i="10"/>
  <c r="CU142" i="10"/>
  <c r="CU154" i="10"/>
  <c r="CU145" i="10"/>
  <c r="CU24" i="10"/>
  <c r="AL126" i="33"/>
  <c r="CU135" i="10"/>
  <c r="CU113" i="10"/>
  <c r="CU117" i="10"/>
  <c r="CU30" i="10"/>
  <c r="CU126" i="10"/>
  <c r="CU141" i="10"/>
  <c r="CU16" i="10"/>
  <c r="CU116" i="10"/>
  <c r="CU111" i="10"/>
  <c r="CU80" i="10"/>
  <c r="N47" i="20"/>
  <c r="CU152" i="10"/>
  <c r="N45" i="20"/>
  <c r="BA11" i="33"/>
  <c r="CU101" i="10"/>
  <c r="CU78" i="10"/>
  <c r="CU112" i="10"/>
  <c r="CU63" i="10"/>
  <c r="J12" i="6"/>
  <c r="CU138" i="10"/>
  <c r="CU146" i="10"/>
  <c r="CU155" i="10"/>
  <c r="AL51" i="33"/>
  <c r="CU148" i="10"/>
  <c r="CU27" i="10"/>
  <c r="CU74" i="10"/>
  <c r="CU75" i="10"/>
  <c r="CU91" i="10"/>
  <c r="CU114" i="10"/>
  <c r="N127" i="20"/>
  <c r="CU134" i="10"/>
  <c r="CU144" i="10"/>
  <c r="AL50" i="33"/>
  <c r="CU98" i="10"/>
  <c r="CU21" i="10"/>
  <c r="CU69" i="10"/>
  <c r="CU143" i="10"/>
  <c r="CU94" i="10"/>
  <c r="CU127" i="10"/>
  <c r="CU120" i="10"/>
  <c r="CU29" i="10"/>
  <c r="CU55" i="10"/>
  <c r="CU136" i="10"/>
  <c r="CU70" i="10"/>
  <c r="CU88" i="10"/>
  <c r="CU100" i="10"/>
  <c r="CU18" i="10"/>
  <c r="BA34" i="33"/>
  <c r="N124" i="20"/>
  <c r="CU49" i="10"/>
  <c r="N126" i="20"/>
  <c r="CU140" i="10"/>
  <c r="CU121" i="10"/>
  <c r="CU108" i="10"/>
  <c r="CU73" i="10"/>
  <c r="CU104" i="10"/>
  <c r="CU28" i="10"/>
  <c r="CU82" i="10"/>
  <c r="CU61" i="10"/>
  <c r="N44" i="20"/>
  <c r="CU25" i="10"/>
  <c r="N48" i="20"/>
  <c r="CU57" i="10"/>
  <c r="CU96" i="10"/>
  <c r="BA35" i="33"/>
  <c r="CU59" i="10"/>
  <c r="CU109" i="10"/>
  <c r="CU139" i="10"/>
  <c r="CU50" i="10"/>
  <c r="CU68" i="10"/>
  <c r="CU47" i="10"/>
  <c r="CU90" i="10"/>
  <c r="CU150" i="10"/>
  <c r="CU76" i="10"/>
  <c r="CU132" i="10"/>
  <c r="BY181" i="10"/>
  <c r="CU37" i="10"/>
  <c r="CU130" i="10"/>
  <c r="CU53" i="10"/>
  <c r="CU123" i="10"/>
  <c r="CU131" i="10"/>
  <c r="C183" i="14"/>
  <c r="C184" i="14"/>
  <c r="C182" i="14"/>
  <c r="GU20" i="7"/>
  <c r="GV18" i="7"/>
  <c r="GV31" i="7"/>
  <c r="GV9" i="7"/>
  <c r="GV21" i="7"/>
  <c r="GV14" i="7"/>
  <c r="GV12" i="7"/>
  <c r="GV52" i="7"/>
  <c r="GV41" i="7"/>
  <c r="GV39" i="7"/>
  <c r="GU21" i="7"/>
  <c r="GU39" i="7"/>
  <c r="GV35" i="7"/>
  <c r="GU25" i="7"/>
  <c r="GU13" i="7"/>
  <c r="GU24" i="7"/>
  <c r="GV22" i="7"/>
  <c r="DD42" i="10"/>
  <c r="AB25" i="29"/>
  <c r="DD73" i="10"/>
  <c r="GU4" i="7"/>
  <c r="GU57" i="7"/>
  <c r="GU45" i="7"/>
  <c r="GV23" i="7"/>
  <c r="GU51" i="7"/>
  <c r="GU29" i="7"/>
  <c r="GU48" i="7"/>
  <c r="GU49" i="7"/>
  <c r="GV38" i="7"/>
  <c r="GV56" i="7"/>
  <c r="GV6" i="7"/>
  <c r="GU34" i="7"/>
  <c r="GV34" i="7"/>
  <c r="GU9" i="7"/>
  <c r="GU15" i="7"/>
  <c r="GU50" i="7"/>
  <c r="GV7" i="7"/>
  <c r="GV37" i="7"/>
  <c r="GU31" i="7"/>
  <c r="GV20" i="7"/>
  <c r="GV24" i="7"/>
  <c r="GV44" i="7"/>
  <c r="GV47" i="7"/>
  <c r="GU32" i="7"/>
  <c r="GV26" i="7"/>
  <c r="GU41" i="7"/>
  <c r="GU53" i="7"/>
  <c r="Y25" i="29"/>
  <c r="DE61" i="10"/>
  <c r="DD61" i="10"/>
  <c r="GU3" i="7"/>
  <c r="T25" i="29"/>
  <c r="GV4" i="7"/>
  <c r="U25" i="29"/>
  <c r="GV55" i="7"/>
  <c r="GV43" i="7"/>
  <c r="GV13" i="7"/>
  <c r="GU26" i="7"/>
  <c r="GU17" i="7"/>
  <c r="GV15" i="7"/>
  <c r="GU33" i="7"/>
  <c r="GU5" i="7"/>
  <c r="GU30" i="7"/>
  <c r="B17" i="28"/>
  <c r="DE82" i="10"/>
  <c r="I14" i="28"/>
  <c r="B18" i="28"/>
  <c r="GU14" i="7"/>
  <c r="GV49" i="7"/>
  <c r="GV33" i="7"/>
  <c r="GV10" i="7"/>
  <c r="GU38" i="7"/>
  <c r="GU23" i="7"/>
  <c r="GU55" i="7"/>
  <c r="GU42" i="7"/>
  <c r="GV17" i="7"/>
  <c r="GV28" i="7"/>
  <c r="GV53" i="7"/>
  <c r="GV25" i="7"/>
  <c r="GV32" i="7"/>
  <c r="GU10" i="7"/>
  <c r="GV46" i="7"/>
  <c r="GV42" i="7"/>
  <c r="GU22" i="7"/>
  <c r="X25" i="29"/>
  <c r="DD14" i="10"/>
  <c r="GV48" i="7"/>
  <c r="GV5" i="7"/>
  <c r="GU47" i="7"/>
  <c r="GV8" i="7"/>
  <c r="GU18" i="7"/>
  <c r="GU44" i="7"/>
  <c r="GU37" i="7"/>
  <c r="GU11" i="7"/>
  <c r="GU19" i="7"/>
  <c r="GU40" i="7"/>
  <c r="GV51" i="7"/>
  <c r="GU27" i="7"/>
  <c r="GU28" i="7"/>
  <c r="GV27" i="7"/>
  <c r="GV54" i="7"/>
  <c r="GV45" i="7"/>
  <c r="GU56" i="7"/>
  <c r="GV30" i="7"/>
  <c r="GV19" i="7"/>
  <c r="GU12" i="7"/>
  <c r="GU7" i="7"/>
  <c r="GU43" i="7"/>
  <c r="GU54" i="7"/>
  <c r="GV36" i="7"/>
  <c r="GV40" i="7"/>
  <c r="GU35" i="7"/>
  <c r="GV50" i="7"/>
  <c r="GV3" i="7"/>
  <c r="DD107" i="10"/>
  <c r="DE42" i="10"/>
  <c r="DE14" i="10"/>
  <c r="V25" i="29"/>
  <c r="B16" i="28"/>
  <c r="GU8" i="7"/>
  <c r="GU36" i="7"/>
  <c r="GV16" i="7"/>
  <c r="GU46" i="7"/>
  <c r="GU6" i="7"/>
  <c r="GU52" i="7"/>
  <c r="GU16" i="7"/>
  <c r="GV11" i="7"/>
  <c r="GV29" i="7"/>
  <c r="GV57" i="7"/>
  <c r="DE73" i="10"/>
  <c r="AA25" i="29"/>
  <c r="DD82" i="10"/>
  <c r="DE107" i="10"/>
  <c r="AF22" i="33" l="1"/>
  <c r="A21" i="33"/>
  <c r="D25" i="29"/>
  <c r="H205" i="28"/>
  <c r="H177" i="28"/>
  <c r="H246" i="28"/>
  <c r="H262" i="28"/>
  <c r="D234" i="28"/>
  <c r="H249" i="28"/>
  <c r="H237" i="28"/>
  <c r="D254" i="28"/>
  <c r="H193" i="28"/>
  <c r="H244" i="28"/>
  <c r="D193" i="28"/>
  <c r="H191" i="28"/>
  <c r="H186" i="28"/>
  <c r="H198" i="28"/>
  <c r="D194" i="28"/>
  <c r="H240" i="28"/>
  <c r="H259" i="28"/>
  <c r="J175" i="28"/>
  <c r="D182" i="28"/>
  <c r="H179" i="28"/>
  <c r="D17" i="29"/>
  <c r="C21" i="29" s="1"/>
  <c r="H182" i="28"/>
  <c r="H194" i="28"/>
  <c r="H213" i="28"/>
  <c r="H239" i="28"/>
  <c r="H216" i="28"/>
  <c r="H230" i="28"/>
  <c r="H199" i="28"/>
  <c r="H234" i="28"/>
  <c r="D239" i="28"/>
  <c r="H256" i="28"/>
  <c r="H176" i="28"/>
  <c r="D176" i="28"/>
  <c r="H212" i="28"/>
  <c r="H242" i="28"/>
  <c r="H250" i="28"/>
  <c r="H180" i="28"/>
  <c r="H202" i="28"/>
  <c r="H232" i="28"/>
  <c r="H195" i="28"/>
  <c r="H251" i="28"/>
  <c r="H200" i="28"/>
  <c r="H254" i="28"/>
  <c r="H257" i="28"/>
  <c r="H231" i="28"/>
  <c r="D181" i="28"/>
  <c r="H181" i="28"/>
  <c r="D178" i="28"/>
  <c r="H220" i="28"/>
  <c r="H209" i="28"/>
  <c r="H226" i="28"/>
  <c r="H208" i="28"/>
  <c r="D260" i="28"/>
  <c r="H253" i="28"/>
  <c r="H183" i="28"/>
  <c r="H245" i="28"/>
  <c r="D204" i="28"/>
  <c r="H185" i="28"/>
  <c r="D253" i="28"/>
  <c r="H210" i="28"/>
  <c r="H223" i="28"/>
  <c r="H206" i="28"/>
  <c r="H243" i="28"/>
  <c r="H225" i="28"/>
  <c r="H197" i="28"/>
  <c r="H219" i="28"/>
  <c r="D177" i="28"/>
  <c r="H258" i="28"/>
  <c r="H215" i="28"/>
  <c r="D207" i="28"/>
  <c r="H248" i="28"/>
  <c r="H263" i="28"/>
  <c r="H255" i="28"/>
  <c r="H211" i="28"/>
  <c r="H217" i="28"/>
  <c r="D240" i="28"/>
  <c r="H207" i="28"/>
  <c r="D186" i="28"/>
  <c r="H236" i="28"/>
  <c r="H233" i="28"/>
  <c r="H175" i="28"/>
  <c r="H261" i="28"/>
  <c r="D198" i="28"/>
  <c r="H192" i="28"/>
  <c r="H178" i="28"/>
  <c r="H252" i="28"/>
  <c r="D203" i="28"/>
  <c r="H224" i="28"/>
  <c r="H214" i="28"/>
  <c r="H228" i="28"/>
  <c r="H227" i="28"/>
  <c r="H188" i="28"/>
  <c r="H241" i="28"/>
  <c r="D192" i="28"/>
  <c r="H238" i="28"/>
  <c r="H247" i="28"/>
  <c r="H190" i="28"/>
  <c r="D175" i="28"/>
  <c r="H184" i="28"/>
  <c r="D221" i="28"/>
  <c r="H218" i="28"/>
  <c r="D216" i="28"/>
  <c r="H196" i="28"/>
  <c r="H229" i="28"/>
  <c r="H189" i="28"/>
  <c r="H221" i="28"/>
  <c r="H187" i="28"/>
  <c r="H201" i="28"/>
  <c r="H235" i="28"/>
  <c r="D190" i="28"/>
  <c r="H203" i="28"/>
  <c r="H260" i="28"/>
  <c r="H222" i="28"/>
  <c r="D248" i="28"/>
  <c r="H204" i="28"/>
  <c r="Q47" i="20"/>
  <c r="Z47" i="20"/>
  <c r="Y47" i="20"/>
  <c r="Q123" i="20"/>
  <c r="W127" i="20"/>
  <c r="T143" i="20" s="1"/>
  <c r="Q46" i="20"/>
  <c r="Z46" i="20"/>
  <c r="Y46" i="20"/>
  <c r="Q125" i="20"/>
  <c r="Q126" i="20"/>
  <c r="M94" i="6"/>
  <c r="Q124" i="20"/>
  <c r="W48" i="20"/>
  <c r="X48" i="20"/>
  <c r="Q44" i="20"/>
  <c r="Y44" i="20"/>
  <c r="Z44" i="20"/>
  <c r="Q127" i="20"/>
  <c r="Q48" i="20"/>
  <c r="Z48" i="20"/>
  <c r="Y48" i="20"/>
  <c r="Y45" i="20"/>
  <c r="Q45" i="20"/>
  <c r="Z45" i="20"/>
  <c r="AU24" i="33"/>
  <c r="M23" i="33"/>
  <c r="A187" i="10"/>
  <c r="BQ188" i="10"/>
  <c r="A233" i="10"/>
  <c r="BO233" i="10" s="1"/>
  <c r="BQ234" i="10"/>
  <c r="BO186" i="10"/>
  <c r="CG186" i="10"/>
  <c r="V113" i="23"/>
  <c r="AD113" i="23"/>
  <c r="Y113" i="23"/>
  <c r="AC113" i="23"/>
  <c r="Q114" i="23"/>
  <c r="Q115" i="23" s="1"/>
  <c r="B11" i="23"/>
  <c r="AG11" i="23"/>
  <c r="C6" i="34"/>
  <c r="D7" i="34" s="1"/>
  <c r="Y112" i="23"/>
  <c r="AD112" i="23"/>
  <c r="AC112" i="23"/>
  <c r="V112" i="23"/>
  <c r="BN182" i="10"/>
  <c r="E10" i="23"/>
  <c r="I10" i="23"/>
  <c r="Y10" i="23"/>
  <c r="M10" i="23"/>
  <c r="V10" i="23"/>
  <c r="O10" i="23"/>
  <c r="S10" i="23"/>
  <c r="Z10" i="23"/>
  <c r="AD10" i="23"/>
  <c r="BY182" i="10"/>
  <c r="DE43" i="10"/>
  <c r="GW5" i="7"/>
  <c r="GW46" i="7"/>
  <c r="GW38" i="7"/>
  <c r="GW13" i="7"/>
  <c r="GW39" i="7"/>
  <c r="GW41" i="7"/>
  <c r="GW52" i="7"/>
  <c r="GW30" i="7"/>
  <c r="GW16" i="7"/>
  <c r="GW8" i="7"/>
  <c r="GW44" i="7"/>
  <c r="GW18" i="7"/>
  <c r="GW40" i="7"/>
  <c r="GW19" i="7"/>
  <c r="DE74" i="10"/>
  <c r="DD62" i="10"/>
  <c r="GW3" i="7"/>
  <c r="GW7" i="7"/>
  <c r="GW25" i="7"/>
  <c r="GW6" i="7"/>
  <c r="GW10" i="7"/>
  <c r="GW14" i="7"/>
  <c r="DE83" i="10"/>
  <c r="DD83" i="10"/>
  <c r="GU58" i="7"/>
  <c r="GW17" i="7"/>
  <c r="GW34" i="7"/>
  <c r="GW22" i="7"/>
  <c r="GW31" i="7"/>
  <c r="GW28" i="7"/>
  <c r="GW54" i="7"/>
  <c r="GW50" i="7"/>
  <c r="GW33" i="7"/>
  <c r="GW56" i="7"/>
  <c r="GW37" i="7"/>
  <c r="GW45" i="7"/>
  <c r="GW57" i="7"/>
  <c r="GW11" i="7"/>
  <c r="DD43" i="10"/>
  <c r="DD108" i="10"/>
  <c r="GW4" i="7"/>
  <c r="GW21" i="7"/>
  <c r="GW53" i="7"/>
  <c r="GW29" i="7"/>
  <c r="GW55" i="7"/>
  <c r="DE84" i="10"/>
  <c r="GV58" i="7"/>
  <c r="GW48" i="7"/>
  <c r="GW32" i="7"/>
  <c r="GW26" i="7"/>
  <c r="GW35" i="7"/>
  <c r="GW12" i="7"/>
  <c r="GW9" i="7"/>
  <c r="GW43" i="7"/>
  <c r="GW15" i="7"/>
  <c r="GW23" i="7"/>
  <c r="GW20" i="7"/>
  <c r="GW27" i="7"/>
  <c r="GW49" i="7"/>
  <c r="DE44" i="10"/>
  <c r="DD15" i="10"/>
  <c r="DE15" i="10"/>
  <c r="DE16" i="10" s="1"/>
  <c r="DE108" i="10"/>
  <c r="DD74" i="10"/>
  <c r="GW36" i="7"/>
  <c r="GW47" i="7"/>
  <c r="GW24" i="7"/>
  <c r="GW42" i="7"/>
  <c r="GW51" i="7"/>
  <c r="DE62" i="10"/>
  <c r="GX55" i="7" l="1"/>
  <c r="GX19" i="7"/>
  <c r="GX49" i="7"/>
  <c r="GX11" i="7"/>
  <c r="GX51" i="7"/>
  <c r="GX40" i="7"/>
  <c r="GX27" i="7"/>
  <c r="GX57" i="7"/>
  <c r="GX14" i="7"/>
  <c r="GX18" i="7"/>
  <c r="GX20" i="7"/>
  <c r="GX45" i="7"/>
  <c r="GX29" i="7"/>
  <c r="GX44" i="7"/>
  <c r="GX23" i="7"/>
  <c r="GX37" i="7"/>
  <c r="GX42" i="7"/>
  <c r="GX8" i="7"/>
  <c r="GX15" i="7"/>
  <c r="GX56" i="7"/>
  <c r="GX10" i="7"/>
  <c r="GX16" i="7"/>
  <c r="GX43" i="7"/>
  <c r="GX33" i="7"/>
  <c r="GX53" i="7"/>
  <c r="GX30" i="7"/>
  <c r="GX9" i="7"/>
  <c r="GX50" i="7"/>
  <c r="GX6" i="7"/>
  <c r="GX52" i="7"/>
  <c r="GX12" i="7"/>
  <c r="GX54" i="7"/>
  <c r="GX24" i="7"/>
  <c r="GX41" i="7"/>
  <c r="GX35" i="7"/>
  <c r="GX28" i="7"/>
  <c r="GX21" i="7"/>
  <c r="GX39" i="7"/>
  <c r="GX26" i="7"/>
  <c r="GX31" i="7"/>
  <c r="GX25" i="7"/>
  <c r="GX13" i="7"/>
  <c r="GX32" i="7"/>
  <c r="GX22" i="7"/>
  <c r="GX47" i="7"/>
  <c r="GX38" i="7"/>
  <c r="GX48" i="7"/>
  <c r="GX34" i="7"/>
  <c r="GX36" i="7"/>
  <c r="GX46" i="7"/>
  <c r="GX17" i="7"/>
  <c r="GX7" i="7"/>
  <c r="GX5" i="7"/>
  <c r="A22" i="33"/>
  <c r="AF23" i="33"/>
  <c r="D21" i="29"/>
  <c r="C22" i="29"/>
  <c r="D23" i="29"/>
  <c r="D20" i="29"/>
  <c r="C23" i="29"/>
  <c r="GX3" i="7"/>
  <c r="GX4" i="7"/>
  <c r="D22" i="29"/>
  <c r="C20" i="29"/>
  <c r="T131" i="20"/>
  <c r="T171" i="20"/>
  <c r="T139" i="20"/>
  <c r="T180" i="20"/>
  <c r="T133" i="20"/>
  <c r="T132" i="20"/>
  <c r="T178" i="20"/>
  <c r="T157" i="20"/>
  <c r="T163" i="20"/>
  <c r="T148" i="20"/>
  <c r="T156" i="20"/>
  <c r="T183" i="20"/>
  <c r="T145" i="20"/>
  <c r="T165" i="20"/>
  <c r="T174" i="20"/>
  <c r="T179" i="20"/>
  <c r="T129" i="20"/>
  <c r="T175" i="20"/>
  <c r="T176" i="20"/>
  <c r="T150" i="20"/>
  <c r="T152" i="20"/>
  <c r="T168" i="20"/>
  <c r="T159" i="20"/>
  <c r="T142" i="20"/>
  <c r="T138" i="20"/>
  <c r="T130" i="20"/>
  <c r="T158" i="20"/>
  <c r="T140" i="20"/>
  <c r="T160" i="20"/>
  <c r="T169" i="20"/>
  <c r="T164" i="20"/>
  <c r="T153" i="20"/>
  <c r="T135" i="20"/>
  <c r="T182" i="20"/>
  <c r="T141" i="20"/>
  <c r="T162" i="20"/>
  <c r="T177" i="20"/>
  <c r="T166" i="20"/>
  <c r="T136" i="20"/>
  <c r="T161" i="20"/>
  <c r="T146" i="20"/>
  <c r="T51" i="20"/>
  <c r="T71" i="20"/>
  <c r="T68" i="20"/>
  <c r="T61" i="20"/>
  <c r="T50" i="20"/>
  <c r="T172" i="20"/>
  <c r="T170" i="20"/>
  <c r="T134" i="20"/>
  <c r="T144" i="20"/>
  <c r="T181" i="20"/>
  <c r="T137" i="20"/>
  <c r="T154" i="20"/>
  <c r="T167" i="20"/>
  <c r="T173" i="20"/>
  <c r="T155" i="20"/>
  <c r="T151" i="20"/>
  <c r="T147" i="20"/>
  <c r="T149" i="20"/>
  <c r="T64" i="20"/>
  <c r="T54" i="20"/>
  <c r="T52" i="20"/>
  <c r="T55" i="20"/>
  <c r="T62" i="20"/>
  <c r="T57" i="20"/>
  <c r="T70" i="20"/>
  <c r="T53" i="20"/>
  <c r="T58" i="20"/>
  <c r="T59" i="20"/>
  <c r="T67" i="20"/>
  <c r="T66" i="20"/>
  <c r="T69" i="20"/>
  <c r="T60" i="20"/>
  <c r="T56" i="20"/>
  <c r="A234" i="10"/>
  <c r="BO234" i="10" s="1"/>
  <c r="BQ235" i="10"/>
  <c r="A188" i="10"/>
  <c r="BQ189" i="10"/>
  <c r="AU25" i="33"/>
  <c r="M24" i="33"/>
  <c r="CG187" i="10"/>
  <c r="BO187" i="10"/>
  <c r="C7" i="34"/>
  <c r="D8" i="34" s="1"/>
  <c r="AD115" i="23"/>
  <c r="Y115" i="23"/>
  <c r="V115" i="23"/>
  <c r="AC115" i="23"/>
  <c r="I11" i="23"/>
  <c r="Y11" i="23"/>
  <c r="Z11" i="23"/>
  <c r="S11" i="23"/>
  <c r="E11" i="23"/>
  <c r="AD11" i="23"/>
  <c r="V11" i="23"/>
  <c r="M11" i="23"/>
  <c r="O11" i="23"/>
  <c r="BN183" i="10"/>
  <c r="B12" i="23"/>
  <c r="AG12" i="23"/>
  <c r="Y114" i="23"/>
  <c r="V114" i="23"/>
  <c r="AC114" i="23"/>
  <c r="AD114" i="23"/>
  <c r="BY183" i="10"/>
  <c r="GW58" i="7"/>
  <c r="DE109" i="10"/>
  <c r="DD16" i="10"/>
  <c r="DD44" i="10"/>
  <c r="DD63" i="10"/>
  <c r="DE85" i="10"/>
  <c r="DE45" i="10"/>
  <c r="DE75" i="10"/>
  <c r="DE17" i="10"/>
  <c r="DE18" i="10"/>
  <c r="GV59" i="7"/>
  <c r="DD75" i="10"/>
  <c r="GU59" i="7"/>
  <c r="DD84" i="10"/>
  <c r="DE63" i="10"/>
  <c r="DD109" i="10"/>
  <c r="DE64" i="10"/>
  <c r="DE110" i="10"/>
  <c r="GX58" i="7" l="1"/>
  <c r="GQ345" i="7"/>
  <c r="GP345" i="7"/>
  <c r="A23" i="33"/>
  <c r="AF24" i="33"/>
  <c r="CG188" i="10"/>
  <c r="BO188" i="10"/>
  <c r="BQ236" i="10"/>
  <c r="A235" i="10"/>
  <c r="BO235" i="10" s="1"/>
  <c r="AU26" i="33"/>
  <c r="M25" i="33"/>
  <c r="BQ190" i="10"/>
  <c r="A189" i="10"/>
  <c r="BN184" i="10"/>
  <c r="C8" i="34"/>
  <c r="D9" i="34" s="1"/>
  <c r="O12" i="23"/>
  <c r="V12" i="23"/>
  <c r="E12" i="23"/>
  <c r="I12" i="23"/>
  <c r="AD12" i="23"/>
  <c r="S12" i="23"/>
  <c r="Z12" i="23"/>
  <c r="M12" i="23"/>
  <c r="Y12" i="23"/>
  <c r="B13" i="23"/>
  <c r="AG13" i="23"/>
  <c r="BY184" i="10"/>
  <c r="GW59" i="7"/>
  <c r="GV60" i="7"/>
  <c r="GU60" i="7"/>
  <c r="GX59" i="7" l="1"/>
  <c r="A24" i="33"/>
  <c r="AF25" i="33"/>
  <c r="GO345" i="7"/>
  <c r="A35" i="28" s="1"/>
  <c r="BO189" i="10"/>
  <c r="CG189" i="10"/>
  <c r="A190" i="10"/>
  <c r="BQ191" i="10"/>
  <c r="BQ237" i="10"/>
  <c r="A236" i="10"/>
  <c r="BO236" i="10" s="1"/>
  <c r="AU27" i="33"/>
  <c r="M26" i="33"/>
  <c r="AD13" i="23"/>
  <c r="Z13" i="23"/>
  <c r="S13" i="23"/>
  <c r="Y13" i="23"/>
  <c r="E13" i="23"/>
  <c r="M13" i="23"/>
  <c r="O13" i="23"/>
  <c r="I13" i="23"/>
  <c r="V13" i="23"/>
  <c r="AG14" i="23"/>
  <c r="B14" i="23"/>
  <c r="C9" i="34"/>
  <c r="D10" i="34" s="1"/>
  <c r="BN185" i="10"/>
  <c r="BY185" i="10"/>
  <c r="GW60" i="7"/>
  <c r="GU61" i="7"/>
  <c r="GV61" i="7"/>
  <c r="GX60" i="7" l="1"/>
  <c r="P35" i="28"/>
  <c r="AF26" i="33"/>
  <c r="A25" i="33"/>
  <c r="AC35" i="28"/>
  <c r="Z35" i="28"/>
  <c r="A36" i="28" s="1"/>
  <c r="AG35" i="28"/>
  <c r="T35" i="28"/>
  <c r="S35" i="28" s="1"/>
  <c r="C35" i="28"/>
  <c r="B35" i="28"/>
  <c r="O35" i="28"/>
  <c r="AD35" i="28"/>
  <c r="Q35" i="28"/>
  <c r="R35" i="28" s="1"/>
  <c r="M27" i="33"/>
  <c r="AU28" i="33"/>
  <c r="BQ192" i="10"/>
  <c r="A191" i="10"/>
  <c r="BO190" i="10"/>
  <c r="CG190" i="10"/>
  <c r="A237" i="10"/>
  <c r="BO237" i="10" s="1"/>
  <c r="BQ238" i="10"/>
  <c r="C10" i="34"/>
  <c r="D11" i="34" s="1"/>
  <c r="B15" i="23"/>
  <c r="AG15" i="23"/>
  <c r="I14" i="23"/>
  <c r="Y14" i="23"/>
  <c r="M14" i="23"/>
  <c r="S14" i="23"/>
  <c r="O14" i="23"/>
  <c r="AD14" i="23"/>
  <c r="E14" i="23"/>
  <c r="V14" i="23"/>
  <c r="Z14" i="23"/>
  <c r="BN186" i="10"/>
  <c r="BY186" i="10"/>
  <c r="GV62" i="7"/>
  <c r="GU62" i="7"/>
  <c r="GW61" i="7"/>
  <c r="GX61" i="7" l="1"/>
  <c r="C36" i="28"/>
  <c r="A26" i="33"/>
  <c r="AF27" i="33"/>
  <c r="AC36" i="28"/>
  <c r="B36" i="28"/>
  <c r="O36" i="28"/>
  <c r="AH35" i="28"/>
  <c r="Q36" i="28"/>
  <c r="R36" i="28" s="1"/>
  <c r="Z36" i="28"/>
  <c r="A37" i="28" s="1"/>
  <c r="P36" i="28"/>
  <c r="T36" i="28"/>
  <c r="S36" i="28" s="1"/>
  <c r="AG36" i="28"/>
  <c r="AD36" i="28"/>
  <c r="D257" i="28"/>
  <c r="D226" i="28"/>
  <c r="D258" i="28"/>
  <c r="D196" i="28"/>
  <c r="D183" i="28"/>
  <c r="D229" i="28"/>
  <c r="D212" i="28"/>
  <c r="D251" i="28"/>
  <c r="D225" i="28"/>
  <c r="D252" i="28"/>
  <c r="D263" i="28"/>
  <c r="D262" i="28"/>
  <c r="D211" i="28"/>
  <c r="D250" i="28"/>
  <c r="D205" i="28"/>
  <c r="D180" i="28"/>
  <c r="D197" i="28"/>
  <c r="D224" i="28"/>
  <c r="D233" i="28"/>
  <c r="D231" i="28"/>
  <c r="D214" i="28"/>
  <c r="D227" i="28"/>
  <c r="D249" i="28"/>
  <c r="D189" i="28"/>
  <c r="D199" i="28"/>
  <c r="D188" i="28"/>
  <c r="D222" i="28"/>
  <c r="D235" i="28"/>
  <c r="D247" i="28"/>
  <c r="D238" i="28"/>
  <c r="D200" i="28"/>
  <c r="D244" i="28"/>
  <c r="D220" i="28"/>
  <c r="D259" i="28"/>
  <c r="D202" i="28"/>
  <c r="D256" i="28"/>
  <c r="D245" i="28"/>
  <c r="D241" i="28"/>
  <c r="D261" i="28"/>
  <c r="D215" i="28"/>
  <c r="D237" i="28"/>
  <c r="D228" i="28"/>
  <c r="D184" i="28"/>
  <c r="D201" i="28"/>
  <c r="D242" i="28"/>
  <c r="D213" i="28"/>
  <c r="D246" i="28"/>
  <c r="D223" i="28"/>
  <c r="D210" i="28"/>
  <c r="D195" i="28"/>
  <c r="D191" i="28"/>
  <c r="D243" i="28"/>
  <c r="D187" i="28"/>
  <c r="D208" i="28"/>
  <c r="D218" i="28"/>
  <c r="D219" i="28"/>
  <c r="D232" i="28"/>
  <c r="D236" i="28"/>
  <c r="D206" i="28"/>
  <c r="D179" i="28"/>
  <c r="D230" i="28"/>
  <c r="D209" i="28"/>
  <c r="D217" i="28"/>
  <c r="D255" i="28"/>
  <c r="D185" i="28"/>
  <c r="BQ239" i="10"/>
  <c r="A238" i="10"/>
  <c r="BO238" i="10" s="1"/>
  <c r="M28" i="33"/>
  <c r="AU29" i="33"/>
  <c r="CG191" i="10"/>
  <c r="BO191" i="10"/>
  <c r="BQ193" i="10"/>
  <c r="A192" i="10"/>
  <c r="C11" i="34"/>
  <c r="D12" i="34" s="1"/>
  <c r="BN187" i="10"/>
  <c r="Y15" i="23"/>
  <c r="S15" i="23"/>
  <c r="I15" i="23"/>
  <c r="V15" i="23"/>
  <c r="M15" i="23"/>
  <c r="O15" i="23"/>
  <c r="AD15" i="23"/>
  <c r="Z15" i="23"/>
  <c r="E15" i="23"/>
  <c r="B16" i="23"/>
  <c r="AG16" i="23"/>
  <c r="BY187" i="10"/>
  <c r="Q37" i="28" l="1"/>
  <c r="R37" i="28" s="1"/>
  <c r="AF28" i="33"/>
  <c r="A27" i="33"/>
  <c r="O37" i="28"/>
  <c r="AH36" i="28"/>
  <c r="B37" i="28"/>
  <c r="Z37" i="28"/>
  <c r="P37" i="28"/>
  <c r="AD37" i="28"/>
  <c r="C37" i="28"/>
  <c r="AC37" i="28"/>
  <c r="AG37" i="28"/>
  <c r="T37" i="28"/>
  <c r="S37" i="28" s="1"/>
  <c r="AH37" i="28" s="1"/>
  <c r="BO192" i="10"/>
  <c r="CG192" i="10"/>
  <c r="A239" i="10"/>
  <c r="BO239" i="10" s="1"/>
  <c r="BQ240" i="10"/>
  <c r="A193" i="10"/>
  <c r="BQ194" i="10"/>
  <c r="AU30" i="33"/>
  <c r="M29" i="33"/>
  <c r="C12" i="34"/>
  <c r="D13" i="34" s="1"/>
  <c r="AD16" i="23"/>
  <c r="Z16" i="23"/>
  <c r="I16" i="23"/>
  <c r="E16" i="23"/>
  <c r="S16" i="23"/>
  <c r="O16" i="23"/>
  <c r="V16" i="23"/>
  <c r="M16" i="23"/>
  <c r="Y16" i="23"/>
  <c r="B17" i="23"/>
  <c r="AG17" i="23"/>
  <c r="BN188" i="10"/>
  <c r="BY188" i="10"/>
  <c r="GV63" i="7"/>
  <c r="CS111" i="10"/>
  <c r="CS122" i="10"/>
  <c r="CS89" i="10"/>
  <c r="DE76" i="10"/>
  <c r="CS145" i="10"/>
  <c r="CS43" i="10"/>
  <c r="P54" i="6"/>
  <c r="CS32" i="10"/>
  <c r="CS127" i="10"/>
  <c r="CS62" i="10"/>
  <c r="CS109" i="10"/>
  <c r="DD64" i="10"/>
  <c r="CS58" i="10"/>
  <c r="CS102" i="10"/>
  <c r="CS86" i="10"/>
  <c r="GW62" i="7"/>
  <c r="CS123" i="10"/>
  <c r="CS77" i="10"/>
  <c r="CS149" i="10"/>
  <c r="CS80" i="10"/>
  <c r="CS98" i="10"/>
  <c r="CS74" i="10"/>
  <c r="CS119" i="10"/>
  <c r="CS143" i="10"/>
  <c r="CS104" i="10"/>
  <c r="CS21" i="10"/>
  <c r="CS38" i="10"/>
  <c r="CS155" i="10"/>
  <c r="CS93" i="10"/>
  <c r="CS44" i="10"/>
  <c r="CS151" i="10"/>
  <c r="CS103" i="10"/>
  <c r="CS52" i="10"/>
  <c r="AH9" i="10"/>
  <c r="CS78" i="10"/>
  <c r="CS125" i="10"/>
  <c r="CS66" i="10"/>
  <c r="CS26" i="10"/>
  <c r="CS87" i="10"/>
  <c r="CS54" i="10"/>
  <c r="DE19" i="10"/>
  <c r="CS96" i="10"/>
  <c r="CS116" i="10"/>
  <c r="DD110" i="10"/>
  <c r="CS19" i="10"/>
  <c r="CS76" i="10"/>
  <c r="CS100" i="10"/>
  <c r="CS34" i="10"/>
  <c r="CS107" i="10"/>
  <c r="CS23" i="10"/>
  <c r="CS63" i="10"/>
  <c r="CS46" i="10"/>
  <c r="GU63" i="7"/>
  <c r="CS124" i="10"/>
  <c r="CS128" i="10"/>
  <c r="DD45" i="10"/>
  <c r="DE111" i="10"/>
  <c r="CS130" i="10"/>
  <c r="CS30" i="10"/>
  <c r="CS48" i="10"/>
  <c r="DE65" i="10"/>
  <c r="CS15" i="10"/>
  <c r="AR3" i="10"/>
  <c r="CS121" i="10"/>
  <c r="CS94" i="10"/>
  <c r="CS53" i="10"/>
  <c r="CS22" i="10"/>
  <c r="CS24" i="10"/>
  <c r="X9" i="10"/>
  <c r="CS91" i="10"/>
  <c r="CS50" i="10"/>
  <c r="CS55" i="10"/>
  <c r="CS138" i="10"/>
  <c r="CS112" i="10"/>
  <c r="CS134" i="10"/>
  <c r="DD85" i="10"/>
  <c r="CS68" i="10"/>
  <c r="CS90" i="10"/>
  <c r="CS83" i="10"/>
  <c r="CS27" i="10"/>
  <c r="CS75" i="10"/>
  <c r="CS39" i="10"/>
  <c r="CS79" i="10"/>
  <c r="CS70" i="10"/>
  <c r="CS71" i="10"/>
  <c r="CS31" i="10"/>
  <c r="CS152" i="10"/>
  <c r="CS49" i="10"/>
  <c r="DE112" i="10"/>
  <c r="CS101" i="10"/>
  <c r="BP175" i="10"/>
  <c r="CS136" i="10"/>
  <c r="CS16" i="10"/>
  <c r="CS61" i="10"/>
  <c r="CS95" i="10"/>
  <c r="CS17" i="10"/>
  <c r="CS85" i="10"/>
  <c r="CS129" i="10"/>
  <c r="CS14" i="10"/>
  <c r="CS137" i="10"/>
  <c r="CS47" i="10"/>
  <c r="CS65" i="10"/>
  <c r="AH4" i="18"/>
  <c r="CS147" i="10"/>
  <c r="CS110" i="10"/>
  <c r="CS141" i="10"/>
  <c r="CS42" i="10"/>
  <c r="CS40" i="10"/>
  <c r="CS18" i="10"/>
  <c r="CS133" i="10"/>
  <c r="CS157" i="10"/>
  <c r="CS57" i="10"/>
  <c r="CS108" i="10"/>
  <c r="CS84" i="10"/>
  <c r="CS117" i="10"/>
  <c r="CS33" i="10"/>
  <c r="CS99" i="10"/>
  <c r="DE46" i="10"/>
  <c r="CS132" i="10"/>
  <c r="CS114" i="10"/>
  <c r="CS20" i="10"/>
  <c r="CS153" i="10"/>
  <c r="CS126" i="10"/>
  <c r="CS154" i="10"/>
  <c r="CS69" i="10"/>
  <c r="DE86" i="10"/>
  <c r="O100" i="6"/>
  <c r="C102" i="6"/>
  <c r="CS105" i="10"/>
  <c r="CS115" i="10"/>
  <c r="CS37" i="10"/>
  <c r="CS67" i="10"/>
  <c r="CS131" i="10"/>
  <c r="CS64" i="10"/>
  <c r="DD65" i="10"/>
  <c r="CS140" i="10"/>
  <c r="CS88" i="10"/>
  <c r="DD17" i="10"/>
  <c r="CS135" i="10"/>
  <c r="CS82" i="10"/>
  <c r="CS139" i="10"/>
  <c r="CS35" i="10"/>
  <c r="CS92" i="10"/>
  <c r="CS28" i="10"/>
  <c r="CS97" i="10"/>
  <c r="CS59" i="10"/>
  <c r="CS51" i="10"/>
  <c r="CS156" i="10"/>
  <c r="DE47" i="10"/>
  <c r="CS29" i="10"/>
  <c r="DE20" i="10"/>
  <c r="DD111" i="10"/>
  <c r="CS118" i="10"/>
  <c r="CS142" i="10"/>
  <c r="DD86" i="10"/>
  <c r="DD18" i="10"/>
  <c r="CS146" i="10"/>
  <c r="CS36" i="10"/>
  <c r="DD76" i="10"/>
  <c r="CS45" i="10"/>
  <c r="CS150" i="10"/>
  <c r="CS56" i="10"/>
  <c r="C91" i="6"/>
  <c r="J9" i="6"/>
  <c r="DE66" i="10"/>
  <c r="DE67" i="10" s="1"/>
  <c r="DD46" i="10"/>
  <c r="CS113" i="10"/>
  <c r="DD66" i="10"/>
  <c r="DE87" i="10"/>
  <c r="J6" i="1"/>
  <c r="CS144" i="10"/>
  <c r="CS25" i="10"/>
  <c r="DE21" i="10"/>
  <c r="DE22" i="10" s="1"/>
  <c r="DD47" i="10"/>
  <c r="DD77" i="10"/>
  <c r="DD78" i="10"/>
  <c r="CS73" i="10"/>
  <c r="M7" i="6"/>
  <c r="CS148" i="10"/>
  <c r="P55" i="6"/>
  <c r="DE48" i="10"/>
  <c r="DE49" i="10" s="1"/>
  <c r="CS120" i="10"/>
  <c r="DE77" i="10"/>
  <c r="DE113" i="10"/>
  <c r="DE114" i="10" s="1"/>
  <c r="DE88" i="10"/>
  <c r="DD67" i="10"/>
  <c r="DD79" i="10"/>
  <c r="DD48" i="10"/>
  <c r="DE78" i="10"/>
  <c r="DE79" i="10" s="1"/>
  <c r="DD112" i="10"/>
  <c r="DD113" i="10" s="1"/>
  <c r="DD19" i="10"/>
  <c r="DE68" i="10"/>
  <c r="GU64" i="7"/>
  <c r="DE23" i="10"/>
  <c r="DD68" i="10"/>
  <c r="GV64" i="7"/>
  <c r="DE69" i="10"/>
  <c r="DD87" i="10"/>
  <c r="DD114" i="10"/>
  <c r="DE80" i="10"/>
  <c r="DD49" i="10"/>
  <c r="DE89" i="10"/>
  <c r="DD80" i="10"/>
  <c r="DE50" i="10"/>
  <c r="DE115" i="10"/>
  <c r="CT120" i="10" l="1"/>
  <c r="CT148" i="10"/>
  <c r="CT73" i="10"/>
  <c r="CT25" i="10"/>
  <c r="CT144" i="10"/>
  <c r="CT113" i="10"/>
  <c r="J13" i="6"/>
  <c r="CT56" i="10"/>
  <c r="CT150" i="10"/>
  <c r="CT45" i="10"/>
  <c r="CT36" i="10"/>
  <c r="CT146" i="10"/>
  <c r="L32" i="1"/>
  <c r="B2" i="20"/>
  <c r="F10" i="20"/>
  <c r="CT142" i="10"/>
  <c r="CT118" i="10"/>
  <c r="CT29" i="10"/>
  <c r="CT156" i="10"/>
  <c r="CT51" i="10"/>
  <c r="CT59" i="10"/>
  <c r="CT97" i="10"/>
  <c r="CT28" i="10"/>
  <c r="CT92" i="10"/>
  <c r="CT35" i="10"/>
  <c r="CT139" i="10"/>
  <c r="CT82" i="10"/>
  <c r="CT135" i="10"/>
  <c r="CT88" i="10"/>
  <c r="CT140" i="10"/>
  <c r="CT64" i="10"/>
  <c r="CT131" i="10"/>
  <c r="CT67" i="10"/>
  <c r="CT37" i="10"/>
  <c r="CT115" i="10"/>
  <c r="CT105" i="10"/>
  <c r="CT69" i="10"/>
  <c r="CT154" i="10"/>
  <c r="CT126" i="10"/>
  <c r="CT153" i="10"/>
  <c r="CT20" i="10"/>
  <c r="CT114" i="10"/>
  <c r="CT132" i="10"/>
  <c r="CT99" i="10"/>
  <c r="CT33" i="10"/>
  <c r="CT117" i="10"/>
  <c r="CT84" i="10"/>
  <c r="CT108" i="10"/>
  <c r="CT57" i="10"/>
  <c r="CT157" i="10"/>
  <c r="CT133" i="10"/>
  <c r="CT18" i="10"/>
  <c r="CT40" i="10"/>
  <c r="CT42" i="10"/>
  <c r="CT141" i="10"/>
  <c r="CT110" i="10"/>
  <c r="CT147" i="10"/>
  <c r="H10" i="18"/>
  <c r="CT65" i="10"/>
  <c r="CT47" i="10"/>
  <c r="CT137" i="10"/>
  <c r="CT14" i="10"/>
  <c r="CT129" i="10"/>
  <c r="CT85" i="10"/>
  <c r="CT17" i="10"/>
  <c r="CT95" i="10"/>
  <c r="CT61" i="10"/>
  <c r="CT16" i="10"/>
  <c r="CT136" i="10"/>
  <c r="K175" i="10"/>
  <c r="CT101" i="10"/>
  <c r="CT49" i="10"/>
  <c r="CT152" i="10"/>
  <c r="CT31" i="10"/>
  <c r="CT71" i="10"/>
  <c r="CT70" i="10"/>
  <c r="CT79" i="10"/>
  <c r="CT39" i="10"/>
  <c r="B4" i="20"/>
  <c r="F12" i="20"/>
  <c r="CT75" i="10"/>
  <c r="CT27" i="10"/>
  <c r="CT83" i="10"/>
  <c r="CT90" i="10"/>
  <c r="CT68" i="10"/>
  <c r="CT134" i="10"/>
  <c r="CT112" i="10"/>
  <c r="CT138" i="10"/>
  <c r="CT55" i="10"/>
  <c r="CT50" i="10"/>
  <c r="CT91" i="10"/>
  <c r="CW33" i="10"/>
  <c r="CW30" i="10"/>
  <c r="CJ73" i="10"/>
  <c r="CJ121" i="10"/>
  <c r="CW141" i="10"/>
  <c r="CW63" i="10"/>
  <c r="CJ129" i="10"/>
  <c r="CW38" i="10"/>
  <c r="CJ94" i="10"/>
  <c r="CW62" i="10"/>
  <c r="CJ90" i="10"/>
  <c r="CA228" i="10"/>
  <c r="CW154" i="10"/>
  <c r="CJ68" i="10"/>
  <c r="CJ155" i="10"/>
  <c r="CW24" i="10"/>
  <c r="CJ91" i="10"/>
  <c r="CA179" i="10"/>
  <c r="CA215" i="10"/>
  <c r="CW47" i="10"/>
  <c r="CW127" i="10"/>
  <c r="CW42" i="10"/>
  <c r="CW89" i="10"/>
  <c r="CW124" i="10"/>
  <c r="CW66" i="10"/>
  <c r="CA211" i="10"/>
  <c r="CJ157" i="10"/>
  <c r="CA221" i="10"/>
  <c r="CW34" i="10"/>
  <c r="CJ104" i="10"/>
  <c r="CW132" i="10"/>
  <c r="CA188" i="10"/>
  <c r="CW138" i="10"/>
  <c r="CX138" i="10" s="1"/>
  <c r="B138" i="10" s="1"/>
  <c r="CJ146" i="10"/>
  <c r="CJ128" i="10"/>
  <c r="CJ99" i="10"/>
  <c r="CW76" i="10"/>
  <c r="CW125" i="10"/>
  <c r="CW110" i="10"/>
  <c r="CJ31" i="10"/>
  <c r="CA189" i="10"/>
  <c r="CA184" i="10"/>
  <c r="CA216" i="10"/>
  <c r="CA180" i="10"/>
  <c r="CW32" i="10"/>
  <c r="CW56" i="10"/>
  <c r="CJ64" i="10"/>
  <c r="CJ103" i="10"/>
  <c r="CW14" i="10"/>
  <c r="CA190" i="10"/>
  <c r="CW87" i="10"/>
  <c r="CJ58" i="10"/>
  <c r="CJ52" i="10"/>
  <c r="CJ102" i="10"/>
  <c r="CJ35" i="10"/>
  <c r="CW133" i="10"/>
  <c r="CJ125" i="10"/>
  <c r="CJ44" i="10"/>
  <c r="CW118" i="10"/>
  <c r="CJ45" i="10"/>
  <c r="CA229" i="10"/>
  <c r="CJ138" i="10"/>
  <c r="CW29" i="10"/>
  <c r="CW74" i="10"/>
  <c r="CJ17" i="10"/>
  <c r="CW96" i="10"/>
  <c r="CA222" i="10"/>
  <c r="CW91" i="10"/>
  <c r="CJ117" i="10"/>
  <c r="CA193" i="10"/>
  <c r="CJ88" i="10"/>
  <c r="CJ101" i="10"/>
  <c r="CJ62" i="10"/>
  <c r="CA231" i="10"/>
  <c r="CW82" i="10"/>
  <c r="CA181" i="10"/>
  <c r="CJ27" i="10"/>
  <c r="CW149" i="10"/>
  <c r="CJ145" i="10"/>
  <c r="CJ82" i="10"/>
  <c r="CW148" i="10"/>
  <c r="CW104" i="10"/>
  <c r="CW51" i="10"/>
  <c r="CA238" i="10"/>
  <c r="CW84" i="10"/>
  <c r="CX84" i="10" s="1"/>
  <c r="CW69" i="10"/>
  <c r="CA182" i="10"/>
  <c r="CA209" i="10"/>
  <c r="CA198" i="10"/>
  <c r="CW64" i="10"/>
  <c r="CX64" i="10" s="1"/>
  <c r="CW144" i="10"/>
  <c r="CW155" i="10"/>
  <c r="CW43" i="10"/>
  <c r="CW71" i="10"/>
  <c r="CW52" i="10"/>
  <c r="CJ83" i="10"/>
  <c r="CJ133" i="10"/>
  <c r="CJ152" i="10"/>
  <c r="CA230" i="10"/>
  <c r="CA232" i="10"/>
  <c r="CW54" i="10"/>
  <c r="CW114" i="10"/>
  <c r="CW49" i="10"/>
  <c r="CA199" i="10"/>
  <c r="CW67" i="10"/>
  <c r="CX67" i="10" s="1"/>
  <c r="CJ130" i="10"/>
  <c r="CW92" i="10"/>
  <c r="CA197" i="10"/>
  <c r="CW121" i="10"/>
  <c r="CW15" i="10"/>
  <c r="CA202" i="10"/>
  <c r="CJ100" i="10"/>
  <c r="CW134" i="10"/>
  <c r="CJ156" i="10"/>
  <c r="CA233" i="10"/>
  <c r="CW48" i="10"/>
  <c r="CW93" i="10"/>
  <c r="CJ84" i="10"/>
  <c r="CA243" i="10"/>
  <c r="CW17" i="10"/>
  <c r="CW105" i="10"/>
  <c r="CA239" i="10"/>
  <c r="CJ61" i="10"/>
  <c r="CA207" i="10"/>
  <c r="CA200" i="10"/>
  <c r="CW142" i="10"/>
  <c r="CJ49" i="10"/>
  <c r="CJ47" i="10"/>
  <c r="CW53" i="10"/>
  <c r="CW61" i="10"/>
  <c r="CX61" i="10" s="1"/>
  <c r="CJ76" i="10"/>
  <c r="CJ142" i="10"/>
  <c r="CJ77" i="10"/>
  <c r="CJ126" i="10"/>
  <c r="CJ147" i="10"/>
  <c r="CW113" i="10"/>
  <c r="CW115" i="10"/>
  <c r="CW58" i="10"/>
  <c r="CW102" i="10"/>
  <c r="CW129" i="10"/>
  <c r="CJ144" i="10"/>
  <c r="CJ59" i="10"/>
  <c r="CW146" i="10"/>
  <c r="CA177" i="10"/>
  <c r="CJ143" i="10"/>
  <c r="CJ53" i="10"/>
  <c r="CJ148" i="10"/>
  <c r="CA214" i="10"/>
  <c r="CW97" i="10"/>
  <c r="CW85" i="10"/>
  <c r="CW31" i="10"/>
  <c r="CJ89" i="10"/>
  <c r="CW153" i="10"/>
  <c r="CX153" i="10" s="1"/>
  <c r="CW46" i="10"/>
  <c r="CJ118" i="10"/>
  <c r="CW40" i="10"/>
  <c r="CA244" i="10"/>
  <c r="CA192" i="10"/>
  <c r="CJ96" i="10"/>
  <c r="CW68" i="10"/>
  <c r="CW27" i="10"/>
  <c r="CW57" i="10"/>
  <c r="CW21" i="10"/>
  <c r="CW100" i="10"/>
  <c r="CJ151" i="10"/>
  <c r="CW70" i="10"/>
  <c r="CA226" i="10"/>
  <c r="CW59" i="10"/>
  <c r="CW139" i="10"/>
  <c r="CX139" i="10" s="1"/>
  <c r="CJ149" i="10"/>
  <c r="CW55" i="10"/>
  <c r="CJ26" i="10"/>
  <c r="CA217" i="10"/>
  <c r="CJ97" i="10"/>
  <c r="CJ112" i="10"/>
  <c r="CW28" i="10"/>
  <c r="CA196" i="10"/>
  <c r="CJ139" i="10"/>
  <c r="CW65" i="10"/>
  <c r="CA191" i="10"/>
  <c r="CW145" i="10"/>
  <c r="CJ95" i="10"/>
  <c r="CA201" i="10"/>
  <c r="CJ43" i="10"/>
  <c r="CW77" i="10"/>
  <c r="CW37" i="10"/>
  <c r="CX37" i="10" s="1"/>
  <c r="CW119" i="10"/>
  <c r="CJ56" i="10"/>
  <c r="CJ51" i="10"/>
  <c r="CW140" i="10"/>
  <c r="CW83" i="10"/>
  <c r="CJ150" i="10"/>
  <c r="CJ71" i="10"/>
  <c r="CA213" i="10"/>
  <c r="CW150" i="10"/>
  <c r="CW78" i="10"/>
  <c r="CJ114" i="10"/>
  <c r="CW103" i="10"/>
  <c r="CJ136" i="10"/>
  <c r="CJ87" i="10"/>
  <c r="CA218" i="10"/>
  <c r="CW99" i="10"/>
  <c r="CJ98" i="10"/>
  <c r="CA227" i="10"/>
  <c r="CW156" i="10"/>
  <c r="CX156" i="10" s="1"/>
  <c r="CJ153" i="10"/>
  <c r="CJ48" i="10"/>
  <c r="CA187" i="10"/>
  <c r="CJ50" i="10"/>
  <c r="CJ54" i="10"/>
  <c r="CJ85" i="10"/>
  <c r="CJ79" i="10"/>
  <c r="CW126" i="10"/>
  <c r="CX126" i="10" s="1"/>
  <c r="CJ137" i="10"/>
  <c r="CW25" i="10"/>
  <c r="CJ135" i="10"/>
  <c r="CJ124" i="10"/>
  <c r="CW108" i="10"/>
  <c r="CA210" i="10"/>
  <c r="CW123" i="10"/>
  <c r="CJ70" i="10"/>
  <c r="CJ16" i="10"/>
  <c r="CA186" i="10"/>
  <c r="CA185" i="10"/>
  <c r="CW75" i="10"/>
  <c r="CW122" i="10"/>
  <c r="CJ116" i="10"/>
  <c r="CJ93" i="10"/>
  <c r="CJ127" i="10"/>
  <c r="CW73" i="10"/>
  <c r="CW26" i="10"/>
  <c r="CJ65" i="10"/>
  <c r="CW152" i="10"/>
  <c r="CJ113" i="10"/>
  <c r="CJ111" i="10"/>
  <c r="CW23" i="10"/>
  <c r="CW94" i="10"/>
  <c r="CW45" i="10"/>
  <c r="CW98" i="10"/>
  <c r="CA241" i="10"/>
  <c r="CW131" i="10"/>
  <c r="CJ154" i="10"/>
  <c r="CA203" i="10"/>
  <c r="CA195" i="10"/>
  <c r="CJ63" i="10"/>
  <c r="CJ109" i="10"/>
  <c r="CJ55" i="10"/>
  <c r="CW135" i="10"/>
  <c r="CA204" i="10"/>
  <c r="CW95" i="10"/>
  <c r="CX95" i="10" s="1"/>
  <c r="CW50" i="10"/>
  <c r="CA178" i="10"/>
  <c r="CW143" i="10"/>
  <c r="CA194" i="10"/>
  <c r="CW130" i="10"/>
  <c r="CJ134" i="10"/>
  <c r="CW18" i="10"/>
  <c r="CW117" i="10"/>
  <c r="CX117" i="10" s="1"/>
  <c r="CJ108" i="10"/>
  <c r="CA236" i="10"/>
  <c r="CW19" i="10"/>
  <c r="CW120" i="10"/>
  <c r="CX120" i="10" s="1"/>
  <c r="CJ57" i="10"/>
  <c r="CJ37" i="10"/>
  <c r="CJ15" i="10"/>
  <c r="CW90" i="10"/>
  <c r="CW44" i="10"/>
  <c r="CJ123" i="10"/>
  <c r="CA208" i="10"/>
  <c r="CJ105" i="10"/>
  <c r="CA235" i="10"/>
  <c r="CA206" i="10"/>
  <c r="CW147" i="10"/>
  <c r="CJ80" i="10"/>
  <c r="CA242" i="10"/>
  <c r="CJ69" i="10"/>
  <c r="CW101" i="10"/>
  <c r="CX101" i="10" s="1"/>
  <c r="CJ42" i="10"/>
  <c r="CJ78" i="10"/>
  <c r="CJ66" i="10"/>
  <c r="CW111" i="10"/>
  <c r="CW88" i="10"/>
  <c r="CJ140" i="10"/>
  <c r="CJ131" i="10"/>
  <c r="CJ86" i="10"/>
  <c r="CJ141" i="10"/>
  <c r="CJ75" i="10"/>
  <c r="CW107" i="10"/>
  <c r="CA234" i="10"/>
  <c r="CJ110" i="10"/>
  <c r="CA205" i="10"/>
  <c r="CJ120" i="10"/>
  <c r="CA212" i="10"/>
  <c r="CW157" i="10"/>
  <c r="CW79" i="10"/>
  <c r="CJ107" i="10"/>
  <c r="CW112" i="10"/>
  <c r="CX112" i="10" s="1"/>
  <c r="CJ119" i="10"/>
  <c r="CW39" i="10"/>
  <c r="CW80" i="10"/>
  <c r="CA225" i="10"/>
  <c r="CA224" i="10"/>
  <c r="CW116" i="10"/>
  <c r="CW36" i="10"/>
  <c r="CW109" i="10"/>
  <c r="CW20" i="10"/>
  <c r="CX20" i="10" s="1"/>
  <c r="B20" i="10" s="1"/>
  <c r="CJ132" i="10"/>
  <c r="CW128" i="10"/>
  <c r="CW137" i="10"/>
  <c r="CJ74" i="10"/>
  <c r="CA220" i="10"/>
  <c r="CA245" i="10"/>
  <c r="CW35" i="10"/>
  <c r="CJ46" i="10"/>
  <c r="CW16" i="10"/>
  <c r="CA237" i="10"/>
  <c r="CA219" i="10"/>
  <c r="CJ36" i="10"/>
  <c r="CJ19" i="10"/>
  <c r="CW22" i="10"/>
  <c r="CW136" i="10"/>
  <c r="CA240" i="10"/>
  <c r="CJ115" i="10"/>
  <c r="CW151" i="10"/>
  <c r="CA183" i="10"/>
  <c r="CW86" i="10"/>
  <c r="CJ122" i="10"/>
  <c r="CJ18" i="10"/>
  <c r="CJ92" i="10"/>
  <c r="CJ67" i="10"/>
  <c r="CT24" i="10"/>
  <c r="CX24" i="10" s="1"/>
  <c r="CT22" i="10"/>
  <c r="CT53" i="10"/>
  <c r="CX53" i="10" s="1"/>
  <c r="B53" i="10" s="1"/>
  <c r="G40" i="39" s="1"/>
  <c r="CT94" i="10"/>
  <c r="CT121" i="10"/>
  <c r="J11" i="10"/>
  <c r="CT15" i="10"/>
  <c r="CT48" i="10"/>
  <c r="CX48" i="10" s="1"/>
  <c r="CT30" i="10"/>
  <c r="CX30" i="10" s="1"/>
  <c r="B30" i="10" s="1"/>
  <c r="CT130" i="10"/>
  <c r="CT128" i="10"/>
  <c r="CX128" i="10" s="1"/>
  <c r="CT124" i="10"/>
  <c r="CX124" i="10" s="1"/>
  <c r="CT46" i="10"/>
  <c r="CX46" i="10" s="1"/>
  <c r="B46" i="10" s="1"/>
  <c r="CT63" i="10"/>
  <c r="CX63" i="10" s="1"/>
  <c r="F11" i="20"/>
  <c r="F13" i="20" s="1"/>
  <c r="B3" i="20"/>
  <c r="CT23" i="10"/>
  <c r="CT107" i="10"/>
  <c r="CX107" i="10" s="1"/>
  <c r="CT34" i="10"/>
  <c r="CX34" i="10" s="1"/>
  <c r="CT100" i="10"/>
  <c r="CX100" i="10" s="1"/>
  <c r="CT76" i="10"/>
  <c r="CT19" i="10"/>
  <c r="CT116" i="10"/>
  <c r="CT96" i="10"/>
  <c r="CX96" i="10" s="1"/>
  <c r="CT54" i="10"/>
  <c r="CT87" i="10"/>
  <c r="CX87" i="10" s="1"/>
  <c r="CT26" i="10"/>
  <c r="CX26" i="10" s="1"/>
  <c r="CT66" i="10"/>
  <c r="CT125" i="10"/>
  <c r="CT78" i="10"/>
  <c r="CX78" i="10" s="1"/>
  <c r="DB66" i="10"/>
  <c r="DB63" i="10"/>
  <c r="DB64" i="10"/>
  <c r="DB69" i="10"/>
  <c r="DB62" i="10"/>
  <c r="CT52" i="10"/>
  <c r="CT103" i="10"/>
  <c r="CX103" i="10" s="1"/>
  <c r="CT151" i="10"/>
  <c r="CX151" i="10" s="1"/>
  <c r="CT44" i="10"/>
  <c r="CX44" i="10" s="1"/>
  <c r="CT93" i="10"/>
  <c r="CT155" i="10"/>
  <c r="CX155" i="10" s="1"/>
  <c r="CT38" i="10"/>
  <c r="CX38" i="10" s="1"/>
  <c r="CT21" i="10"/>
  <c r="CX21" i="10" s="1"/>
  <c r="CT104" i="10"/>
  <c r="CX104" i="10" s="1"/>
  <c r="CT143" i="10"/>
  <c r="CT119" i="10"/>
  <c r="CX119" i="10" s="1"/>
  <c r="CT74" i="10"/>
  <c r="CX74" i="10" s="1"/>
  <c r="CT98" i="10"/>
  <c r="CX98" i="10" s="1"/>
  <c r="CT80" i="10"/>
  <c r="CX80" i="10" s="1"/>
  <c r="B80" i="10" s="1"/>
  <c r="P16" i="24" s="1"/>
  <c r="I16" i="24" s="1"/>
  <c r="CT149" i="10"/>
  <c r="CX149" i="10" s="1"/>
  <c r="CT77" i="10"/>
  <c r="CX77" i="10" s="1"/>
  <c r="B77" i="10" s="1"/>
  <c r="O77" i="10" s="1"/>
  <c r="B62" i="39" s="1"/>
  <c r="CT123" i="10"/>
  <c r="CX123" i="10" s="1"/>
  <c r="GX62" i="7"/>
  <c r="CT86" i="10"/>
  <c r="CT102" i="10"/>
  <c r="CX102" i="10" s="1"/>
  <c r="CT58" i="10"/>
  <c r="CT109" i="10"/>
  <c r="CT62" i="10"/>
  <c r="CT127" i="10"/>
  <c r="CX127" i="10" s="1"/>
  <c r="CT32" i="10"/>
  <c r="D54" i="6"/>
  <c r="CT43" i="10"/>
  <c r="CT145" i="10"/>
  <c r="CX145" i="10" s="1"/>
  <c r="CT89" i="10"/>
  <c r="CX89" i="10" s="1"/>
  <c r="CT122" i="10"/>
  <c r="CX122" i="10" s="1"/>
  <c r="CT111" i="10"/>
  <c r="CX157" i="10"/>
  <c r="CX113" i="10"/>
  <c r="CX22" i="10"/>
  <c r="B22" i="10" s="1"/>
  <c r="CX68" i="10"/>
  <c r="CX83" i="10"/>
  <c r="CX50" i="10"/>
  <c r="B50" i="10" s="1"/>
  <c r="CX23" i="10"/>
  <c r="CX65" i="10"/>
  <c r="CX129" i="10"/>
  <c r="B129" i="10" s="1"/>
  <c r="CX55" i="10"/>
  <c r="CX140" i="10"/>
  <c r="C52" i="3"/>
  <c r="T2" i="43"/>
  <c r="C4" i="29"/>
  <c r="A28" i="33"/>
  <c r="AF29" i="33"/>
  <c r="A38" i="28"/>
  <c r="BQ195" i="10"/>
  <c r="A194" i="10"/>
  <c r="BQ241" i="10"/>
  <c r="A240" i="10"/>
  <c r="BO240" i="10" s="1"/>
  <c r="AU31" i="33"/>
  <c r="M30" i="33"/>
  <c r="CG193" i="10"/>
  <c r="BO193" i="10"/>
  <c r="BN189" i="10"/>
  <c r="C13" i="34"/>
  <c r="D14" i="34" s="1"/>
  <c r="Y17" i="23"/>
  <c r="S17" i="23"/>
  <c r="V17" i="23"/>
  <c r="I17" i="23"/>
  <c r="M17" i="23"/>
  <c r="Z17" i="23"/>
  <c r="O17" i="23"/>
  <c r="AD17" i="23"/>
  <c r="E17" i="23"/>
  <c r="B18" i="23"/>
  <c r="AG18" i="23"/>
  <c r="BY189" i="10"/>
  <c r="DE90" i="10"/>
  <c r="DE24" i="10"/>
  <c r="DE116" i="10"/>
  <c r="DD69" i="10"/>
  <c r="GU65" i="7"/>
  <c r="GW64" i="7"/>
  <c r="GV65" i="7"/>
  <c r="DD50" i="10"/>
  <c r="DE70" i="10"/>
  <c r="DD115" i="10"/>
  <c r="GW63" i="7"/>
  <c r="DD20" i="10"/>
  <c r="DD21" i="10" s="1"/>
  <c r="DD22" i="10" s="1"/>
  <c r="DD23" i="10" s="1"/>
  <c r="DD88" i="10"/>
  <c r="DE51" i="10"/>
  <c r="CX116" i="10" l="1"/>
  <c r="CX130" i="10"/>
  <c r="B130" i="10" s="1"/>
  <c r="CX143" i="10"/>
  <c r="CY77" i="10"/>
  <c r="CX66" i="10"/>
  <c r="B66" i="10" s="1"/>
  <c r="CX16" i="10"/>
  <c r="CX110" i="10"/>
  <c r="CX18" i="10"/>
  <c r="CX105" i="10"/>
  <c r="CX131" i="10"/>
  <c r="CX92" i="10"/>
  <c r="CX51" i="10"/>
  <c r="B51" i="10" s="1"/>
  <c r="CY51" i="10" s="1"/>
  <c r="CX25" i="10"/>
  <c r="P15" i="24"/>
  <c r="I15" i="24" s="1"/>
  <c r="CX111" i="10"/>
  <c r="CX43" i="10"/>
  <c r="B43" i="10" s="1"/>
  <c r="CX19" i="10"/>
  <c r="CX135" i="10"/>
  <c r="B135" i="10" s="1"/>
  <c r="O135" i="10" s="1"/>
  <c r="B118" i="39" s="1"/>
  <c r="CX109" i="10"/>
  <c r="CX54" i="10"/>
  <c r="B54" i="10" s="1"/>
  <c r="O54" i="10" s="1"/>
  <c r="CX76" i="10"/>
  <c r="CX121" i="10"/>
  <c r="G63" i="39"/>
  <c r="CX32" i="10"/>
  <c r="CX93" i="10"/>
  <c r="CX90" i="10"/>
  <c r="CX108" i="10"/>
  <c r="CX85" i="10"/>
  <c r="CX94" i="10"/>
  <c r="CX58" i="10"/>
  <c r="CX15" i="10"/>
  <c r="CX134" i="10"/>
  <c r="CX27" i="10"/>
  <c r="CX136" i="10"/>
  <c r="CX17" i="10"/>
  <c r="CX40" i="10"/>
  <c r="CX132" i="10"/>
  <c r="CX69" i="10"/>
  <c r="CX88" i="10"/>
  <c r="B88" i="10" s="1"/>
  <c r="CY88" i="10" s="1"/>
  <c r="CX28" i="10"/>
  <c r="B28" i="10" s="1"/>
  <c r="O28" i="10" s="1"/>
  <c r="B16" i="39" s="1"/>
  <c r="CY53" i="10"/>
  <c r="O53" i="10"/>
  <c r="B40" i="39" s="1"/>
  <c r="O46" i="10"/>
  <c r="B33" i="39" s="1"/>
  <c r="CY46" i="10"/>
  <c r="G33" i="39"/>
  <c r="CX147" i="10"/>
  <c r="CX125" i="10"/>
  <c r="CX62" i="10"/>
  <c r="CX86" i="10"/>
  <c r="CX91" i="10"/>
  <c r="GX63" i="7"/>
  <c r="GX64" i="7"/>
  <c r="CX70" i="10"/>
  <c r="B70" i="10" s="1"/>
  <c r="CX31" i="10"/>
  <c r="CX14" i="10"/>
  <c r="CX114" i="10"/>
  <c r="CX59" i="10"/>
  <c r="B59" i="10" s="1"/>
  <c r="CX148" i="10"/>
  <c r="O20" i="10"/>
  <c r="P72" i="24"/>
  <c r="I72" i="24" s="1"/>
  <c r="G8" i="39"/>
  <c r="CY20" i="10"/>
  <c r="CX39" i="10"/>
  <c r="CX137" i="10"/>
  <c r="B137" i="10" s="1"/>
  <c r="CX33" i="10"/>
  <c r="CX115" i="10"/>
  <c r="CX82" i="10"/>
  <c r="CX35" i="10"/>
  <c r="CX56" i="10"/>
  <c r="O30" i="10"/>
  <c r="G18" i="39"/>
  <c r="P76" i="24"/>
  <c r="I76" i="24" s="1"/>
  <c r="CY30" i="10"/>
  <c r="O138" i="10"/>
  <c r="P28" i="24"/>
  <c r="I28" i="24" s="1"/>
  <c r="CY138" i="10"/>
  <c r="DB138" i="10"/>
  <c r="G121" i="39"/>
  <c r="CX71" i="10"/>
  <c r="CX152" i="10"/>
  <c r="CX141" i="10"/>
  <c r="CX133" i="10"/>
  <c r="CX154" i="10"/>
  <c r="CX118" i="10"/>
  <c r="CX146" i="10"/>
  <c r="CX150" i="10"/>
  <c r="CX73" i="10"/>
  <c r="B73" i="10" s="1"/>
  <c r="O80" i="10"/>
  <c r="CY80" i="10"/>
  <c r="CY135" i="10"/>
  <c r="CX79" i="10"/>
  <c r="CX99" i="10"/>
  <c r="B99" i="10" s="1"/>
  <c r="CX97" i="10"/>
  <c r="B97" i="10" s="1"/>
  <c r="CX36" i="10"/>
  <c r="B36" i="10" s="1"/>
  <c r="CX144" i="10"/>
  <c r="B144" i="10" s="1"/>
  <c r="CY22" i="10"/>
  <c r="O22" i="10"/>
  <c r="P73" i="24"/>
  <c r="I73" i="24" s="1"/>
  <c r="G10" i="39"/>
  <c r="CY129" i="10"/>
  <c r="P24" i="24"/>
  <c r="I24" i="24" s="1"/>
  <c r="G112" i="39"/>
  <c r="O129" i="10"/>
  <c r="B112" i="39" s="1"/>
  <c r="DB129" i="10"/>
  <c r="G37" i="39"/>
  <c r="O50" i="10"/>
  <c r="B37" i="39" s="1"/>
  <c r="CY50" i="10"/>
  <c r="H31" i="24"/>
  <c r="A31" i="24" s="1"/>
  <c r="CY66" i="10"/>
  <c r="O66" i="10"/>
  <c r="G52" i="39"/>
  <c r="O88" i="10"/>
  <c r="B72" i="39" s="1"/>
  <c r="A29" i="33"/>
  <c r="AF30" i="33"/>
  <c r="T38" i="28"/>
  <c r="S38" i="28" s="1"/>
  <c r="B38" i="28"/>
  <c r="O38" i="28"/>
  <c r="Q38" i="28"/>
  <c r="R38" i="28" s="1"/>
  <c r="AG38" i="28"/>
  <c r="AD38" i="28"/>
  <c r="P38" i="28"/>
  <c r="C38" i="28"/>
  <c r="AC38" i="28"/>
  <c r="Z38" i="28"/>
  <c r="M31" i="33"/>
  <c r="AU32" i="33"/>
  <c r="BQ242" i="10"/>
  <c r="A241" i="10"/>
  <c r="BO241" i="10" s="1"/>
  <c r="CG194" i="10"/>
  <c r="BO194" i="10"/>
  <c r="A195" i="10"/>
  <c r="BQ196" i="10"/>
  <c r="C14" i="34"/>
  <c r="D15" i="34" s="1"/>
  <c r="BN190" i="10"/>
  <c r="V18" i="23"/>
  <c r="I18" i="23"/>
  <c r="M18" i="23"/>
  <c r="AD18" i="23"/>
  <c r="S18" i="23"/>
  <c r="Y18" i="23"/>
  <c r="Z18" i="23"/>
  <c r="E18" i="23"/>
  <c r="O18" i="23"/>
  <c r="B19" i="23"/>
  <c r="AG19" i="23"/>
  <c r="BY190" i="10"/>
  <c r="GW65" i="7"/>
  <c r="GU66" i="7"/>
  <c r="DD51" i="10"/>
  <c r="DD89" i="10"/>
  <c r="DE71" i="10"/>
  <c r="DD116" i="10"/>
  <c r="DE91" i="10"/>
  <c r="DE92" i="10" s="1"/>
  <c r="DE93" i="10" s="1"/>
  <c r="GV66" i="7"/>
  <c r="DD24" i="10"/>
  <c r="DE117" i="10"/>
  <c r="DE25" i="10"/>
  <c r="DD70" i="10"/>
  <c r="DE52" i="10"/>
  <c r="A53" i="35" a="1"/>
  <c r="N18" i="20"/>
  <c r="G184" i="10"/>
  <c r="A22" i="35" a="1"/>
  <c r="N24" i="20"/>
  <c r="AK126" i="33"/>
  <c r="A77" i="35" a="1"/>
  <c r="A11" i="35" a="1"/>
  <c r="A24" i="35" a="1"/>
  <c r="A50" i="35" a="1"/>
  <c r="A7" i="35" a="1"/>
  <c r="AP7" i="14"/>
  <c r="O264" i="20"/>
  <c r="A75" i="35" a="1"/>
  <c r="N106" i="20"/>
  <c r="BV14" i="33"/>
  <c r="A73" i="35" a="1"/>
  <c r="BX180" i="10"/>
  <c r="A87" i="35" a="1"/>
  <c r="A31" i="35" a="1"/>
  <c r="G185" i="10"/>
  <c r="N22" i="20"/>
  <c r="A27" i="35" a="1"/>
  <c r="BV111" i="33"/>
  <c r="C146" i="10"/>
  <c r="C33" i="10"/>
  <c r="C84" i="10"/>
  <c r="C101" i="10"/>
  <c r="A47" i="35" a="1"/>
  <c r="A43" i="35" a="1"/>
  <c r="A34" i="35" a="1"/>
  <c r="F181" i="10"/>
  <c r="BV123" i="33"/>
  <c r="C61" i="10"/>
  <c r="G189" i="10"/>
  <c r="C115" i="10"/>
  <c r="C76" i="10"/>
  <c r="A67" i="35" a="1"/>
  <c r="BV112" i="33"/>
  <c r="G187" i="10"/>
  <c r="AK11" i="33"/>
  <c r="BV13" i="33"/>
  <c r="A45" i="35" a="1"/>
  <c r="A15" i="35" a="1"/>
  <c r="C17" i="10"/>
  <c r="C93" i="10"/>
  <c r="C26" i="10"/>
  <c r="A58" i="35" a="1"/>
  <c r="U237" i="14"/>
  <c r="AZ34" i="33"/>
  <c r="AZ35" i="33"/>
  <c r="C104" i="10"/>
  <c r="C108" i="10"/>
  <c r="C65" i="10"/>
  <c r="C55" i="10"/>
  <c r="F188" i="10"/>
  <c r="C18" i="10"/>
  <c r="C143" i="10"/>
  <c r="C107" i="10"/>
  <c r="C113" i="10"/>
  <c r="F189" i="10"/>
  <c r="C90" i="10"/>
  <c r="C25" i="10"/>
  <c r="C134" i="10"/>
  <c r="C109" i="10"/>
  <c r="C91" i="10"/>
  <c r="C111" i="10"/>
  <c r="R210" i="14"/>
  <c r="F177" i="10"/>
  <c r="F182" i="10"/>
  <c r="A79" i="35" a="1"/>
  <c r="A86" i="35" a="1"/>
  <c r="BV124" i="33"/>
  <c r="A37" i="35" a="1"/>
  <c r="I9" i="28"/>
  <c r="F178" i="10"/>
  <c r="A41" i="35" a="1"/>
  <c r="A16" i="35" a="1"/>
  <c r="AK51" i="33"/>
  <c r="A26" i="35" a="1"/>
  <c r="U238" i="14"/>
  <c r="G183" i="10"/>
  <c r="AI181" i="14"/>
  <c r="F180" i="10"/>
  <c r="A83" i="35" a="1"/>
  <c r="BX178" i="10"/>
  <c r="BV34" i="33"/>
  <c r="A78" i="35" a="1"/>
  <c r="A19" i="35" a="1"/>
  <c r="D49" i="20"/>
  <c r="A12" i="35" a="1"/>
  <c r="C15" i="10"/>
  <c r="C74" i="10"/>
  <c r="C122" i="10"/>
  <c r="C131" i="10"/>
  <c r="A4" i="35" a="1"/>
  <c r="AK50" i="33"/>
  <c r="A65" i="35" a="1"/>
  <c r="A35" i="35" a="1"/>
  <c r="BX179" i="10"/>
  <c r="C152" i="10"/>
  <c r="C119" i="10"/>
  <c r="C71" i="10"/>
  <c r="C58" i="10"/>
  <c r="BX181" i="10"/>
  <c r="A71" i="35" a="1"/>
  <c r="A3" i="35" a="1"/>
  <c r="A30" i="35" a="1"/>
  <c r="F186" i="10"/>
  <c r="A40" i="35" a="1"/>
  <c r="A81" i="35" a="1"/>
  <c r="C114" i="10"/>
  <c r="C79" i="10"/>
  <c r="A54" i="35" a="1"/>
  <c r="AC237" i="14"/>
  <c r="BX186" i="10"/>
  <c r="BV11" i="33"/>
  <c r="BX184" i="10"/>
  <c r="C34" i="10"/>
  <c r="C64" i="10"/>
  <c r="C27" i="10"/>
  <c r="C86" i="10"/>
  <c r="C142" i="10"/>
  <c r="C147" i="10"/>
  <c r="C149" i="10"/>
  <c r="C31" i="10"/>
  <c r="C19" i="10"/>
  <c r="C154" i="10"/>
  <c r="C42" i="10"/>
  <c r="C95" i="10"/>
  <c r="C87" i="10"/>
  <c r="C140" i="10"/>
  <c r="C83" i="10"/>
  <c r="C89" i="10"/>
  <c r="C82" i="10"/>
  <c r="A18" i="35" a="1"/>
  <c r="A5" i="35" a="1"/>
  <c r="G182" i="10"/>
  <c r="A64" i="35" a="1"/>
  <c r="G179" i="10"/>
  <c r="AZ12" i="33"/>
  <c r="A63" i="35" a="1"/>
  <c r="A49" i="35" a="1"/>
  <c r="A25" i="35" a="1"/>
  <c r="A10" i="35" a="1"/>
  <c r="N103" i="20"/>
  <c r="A44" i="35" a="1"/>
  <c r="F179" i="10"/>
  <c r="A60" i="35" a="1"/>
  <c r="AB247" i="14"/>
  <c r="BV35" i="33"/>
  <c r="AZ11" i="33"/>
  <c r="BX185" i="10"/>
  <c r="N19" i="20"/>
  <c r="BV51" i="33"/>
  <c r="A72" i="35" a="1"/>
  <c r="C49" i="20"/>
  <c r="N104" i="20"/>
  <c r="A66" i="35" a="1"/>
  <c r="A8" i="35" a="1"/>
  <c r="C153" i="10"/>
  <c r="C24" i="10"/>
  <c r="C150" i="10"/>
  <c r="A32" i="35" a="1"/>
  <c r="BX183" i="10"/>
  <c r="N20" i="20"/>
  <c r="A80" i="35" a="1"/>
  <c r="A59" i="35" a="1"/>
  <c r="A74" i="35" a="1"/>
  <c r="C139" i="10"/>
  <c r="C141" i="10"/>
  <c r="C110" i="10"/>
  <c r="C128" i="10"/>
  <c r="A13" i="35" a="1"/>
  <c r="G186" i="10"/>
  <c r="AK12" i="33"/>
  <c r="A55" i="35" a="1"/>
  <c r="A51" i="35" a="1"/>
  <c r="AK113" i="33"/>
  <c r="C44" i="10"/>
  <c r="C40" i="10"/>
  <c r="C126" i="10"/>
  <c r="AB237" i="14"/>
  <c r="G177" i="10"/>
  <c r="F187" i="10"/>
  <c r="A52" i="35" a="1"/>
  <c r="C69" i="10"/>
  <c r="C125" i="10"/>
  <c r="C63" i="10"/>
  <c r="C45" i="10"/>
  <c r="C117" i="10"/>
  <c r="C157" i="10"/>
  <c r="C155" i="10"/>
  <c r="C105" i="10"/>
  <c r="C112" i="10"/>
  <c r="C62" i="10"/>
  <c r="C14" i="10"/>
  <c r="C120" i="10"/>
  <c r="C94" i="10"/>
  <c r="C48" i="10"/>
  <c r="BX189" i="10"/>
  <c r="C151" i="10"/>
  <c r="C16" i="10"/>
  <c r="C68" i="10"/>
  <c r="BX190" i="10"/>
  <c r="C35" i="10"/>
  <c r="C21" i="10"/>
  <c r="G190" i="10"/>
  <c r="A29" i="35" a="1"/>
  <c r="N25" i="20"/>
  <c r="BV52" i="33"/>
  <c r="A28" i="35" a="1"/>
  <c r="K7" i="6"/>
  <c r="F183" i="10"/>
  <c r="A68" i="35" a="1"/>
  <c r="A48" i="35" a="1"/>
  <c r="AK125" i="33"/>
  <c r="T26" i="29"/>
  <c r="G180" i="10"/>
  <c r="N105" i="20"/>
  <c r="N23" i="20"/>
  <c r="A17" i="35" a="1"/>
  <c r="N102" i="20"/>
  <c r="A6" i="35" a="1"/>
  <c r="A23" i="35" a="1"/>
  <c r="F184" i="10"/>
  <c r="A36" i="35" a="1"/>
  <c r="BV12" i="33"/>
  <c r="A14" i="35" a="1"/>
  <c r="A46" i="35" a="1"/>
  <c r="A76" i="35" a="1"/>
  <c r="A61" i="35" a="1"/>
  <c r="G188" i="10"/>
  <c r="C37" i="10"/>
  <c r="C23" i="10"/>
  <c r="C148" i="10"/>
  <c r="G178" i="10"/>
  <c r="AK112" i="33"/>
  <c r="BX188" i="10"/>
  <c r="G181" i="10"/>
  <c r="A9" i="35" a="1"/>
  <c r="A62" i="35" a="1"/>
  <c r="C98" i="10"/>
  <c r="C127" i="10"/>
  <c r="C136" i="10"/>
  <c r="C38" i="10"/>
  <c r="A33" i="35" a="1"/>
  <c r="R211" i="14"/>
  <c r="BX177" i="10"/>
  <c r="AC247" i="14"/>
  <c r="BX187" i="10"/>
  <c r="F185" i="10"/>
  <c r="C56" i="10"/>
  <c r="C75" i="10"/>
  <c r="C32" i="10"/>
  <c r="A42" i="35" a="1"/>
  <c r="N21" i="20"/>
  <c r="A82" i="35" a="1"/>
  <c r="BX182" i="10"/>
  <c r="C121" i="10"/>
  <c r="C156" i="10"/>
  <c r="C39" i="10"/>
  <c r="C145" i="10"/>
  <c r="C67" i="10"/>
  <c r="C124" i="10"/>
  <c r="C103" i="10"/>
  <c r="C85" i="10"/>
  <c r="C78" i="10"/>
  <c r="C133" i="10"/>
  <c r="C116" i="10"/>
  <c r="C102" i="10"/>
  <c r="C92" i="10"/>
  <c r="C100" i="10"/>
  <c r="C96" i="10"/>
  <c r="C118" i="10"/>
  <c r="C123" i="10"/>
  <c r="C132" i="10"/>
  <c r="G41" i="39" l="1"/>
  <c r="CY54" i="10"/>
  <c r="DB130" i="10"/>
  <c r="P25" i="24"/>
  <c r="I25" i="24" s="1"/>
  <c r="O130" i="10"/>
  <c r="B113" i="39" s="1"/>
  <c r="CY130" i="10"/>
  <c r="G113" i="39"/>
  <c r="G72" i="39"/>
  <c r="H44" i="24"/>
  <c r="A44" i="24" s="1"/>
  <c r="G38" i="39"/>
  <c r="B132" i="10"/>
  <c r="B123" i="10"/>
  <c r="B68" i="10"/>
  <c r="B111" i="10"/>
  <c r="B16" i="10"/>
  <c r="B89" i="10"/>
  <c r="G73" i="39" s="1"/>
  <c r="B21" i="10"/>
  <c r="B151" i="10"/>
  <c r="B83" i="10"/>
  <c r="B96" i="10"/>
  <c r="G80" i="39" s="1"/>
  <c r="BW189" i="10"/>
  <c r="B140" i="10"/>
  <c r="B109" i="10"/>
  <c r="B100" i="10"/>
  <c r="CY100" i="10" s="1"/>
  <c r="B48" i="10"/>
  <c r="B87" i="10"/>
  <c r="B134" i="10"/>
  <c r="B92" i="10"/>
  <c r="B94" i="10"/>
  <c r="B95" i="10"/>
  <c r="B25" i="10"/>
  <c r="B102" i="10"/>
  <c r="G86" i="39" s="1"/>
  <c r="B120" i="10"/>
  <c r="B90" i="10"/>
  <c r="CY90" i="10" s="1"/>
  <c r="B116" i="10"/>
  <c r="CH189" i="10"/>
  <c r="B19" i="10"/>
  <c r="B113" i="10"/>
  <c r="B78" i="10"/>
  <c r="B112" i="10"/>
  <c r="B107" i="10"/>
  <c r="B85" i="10"/>
  <c r="G69" i="39" s="1"/>
  <c r="B105" i="10"/>
  <c r="B149" i="10"/>
  <c r="B143" i="10"/>
  <c r="B103" i="10"/>
  <c r="B155" i="10"/>
  <c r="B147" i="10"/>
  <c r="B18" i="10"/>
  <c r="B124" i="10"/>
  <c r="B157" i="10"/>
  <c r="B142" i="10"/>
  <c r="CH188" i="10"/>
  <c r="B67" i="10"/>
  <c r="B117" i="10"/>
  <c r="B55" i="10"/>
  <c r="B145" i="10"/>
  <c r="B65" i="10"/>
  <c r="B63" i="10"/>
  <c r="B64" i="10"/>
  <c r="B108" i="10"/>
  <c r="B156" i="10"/>
  <c r="B125" i="10"/>
  <c r="B34" i="10"/>
  <c r="B104" i="10"/>
  <c r="B121" i="10"/>
  <c r="B69" i="10"/>
  <c r="BW184" i="10"/>
  <c r="BW182" i="10"/>
  <c r="A52" i="35"/>
  <c r="A12" i="33"/>
  <c r="AW34" i="33"/>
  <c r="A82" i="35"/>
  <c r="CH187" i="10"/>
  <c r="BW186" i="10"/>
  <c r="Z21" i="20"/>
  <c r="Y21" i="20"/>
  <c r="P21" i="20"/>
  <c r="R21" i="20"/>
  <c r="Q21" i="20"/>
  <c r="A58" i="35"/>
  <c r="A42" i="35"/>
  <c r="C236" i="14"/>
  <c r="A54" i="35"/>
  <c r="B26" i="10"/>
  <c r="B32" i="10"/>
  <c r="B126" i="10"/>
  <c r="B93" i="10"/>
  <c r="CY93" i="10" s="1"/>
  <c r="B40" i="10"/>
  <c r="B17" i="10"/>
  <c r="B44" i="10"/>
  <c r="A81" i="35"/>
  <c r="A15" i="35"/>
  <c r="CH185" i="10"/>
  <c r="A40" i="35"/>
  <c r="A45" i="35"/>
  <c r="BW187" i="10"/>
  <c r="A51" i="35"/>
  <c r="CH186" i="10"/>
  <c r="M12" i="33"/>
  <c r="A55" i="35"/>
  <c r="A30" i="35"/>
  <c r="AH11" i="33"/>
  <c r="BW177" i="10"/>
  <c r="A3" i="35"/>
  <c r="A71" i="35"/>
  <c r="A33" i="35"/>
  <c r="A13" i="35"/>
  <c r="BW181" i="10"/>
  <c r="A67" i="35"/>
  <c r="B38" i="10"/>
  <c r="B128" i="10"/>
  <c r="B58" i="10"/>
  <c r="B76" i="10"/>
  <c r="B136" i="10"/>
  <c r="B110" i="10"/>
  <c r="B127" i="10"/>
  <c r="B119" i="10"/>
  <c r="B98" i="10"/>
  <c r="B139" i="10"/>
  <c r="B61" i="10"/>
  <c r="A62" i="35"/>
  <c r="A74" i="35"/>
  <c r="BW179" i="10"/>
  <c r="A126" i="33"/>
  <c r="A9" i="35"/>
  <c r="A59" i="35"/>
  <c r="A35" i="35"/>
  <c r="CH181" i="10"/>
  <c r="A80" i="35"/>
  <c r="A65" i="35"/>
  <c r="A34" i="35"/>
  <c r="BW188" i="10"/>
  <c r="P20" i="20"/>
  <c r="Z20" i="20"/>
  <c r="Q20" i="20"/>
  <c r="Y20" i="20"/>
  <c r="R20" i="20"/>
  <c r="AH50" i="33"/>
  <c r="A43" i="35"/>
  <c r="AH112" i="33"/>
  <c r="BW183" i="10"/>
  <c r="A4" i="35"/>
  <c r="A47" i="35"/>
  <c r="A32" i="35"/>
  <c r="B131" i="10"/>
  <c r="B101" i="10"/>
  <c r="B122" i="10"/>
  <c r="B84" i="10"/>
  <c r="B23" i="10"/>
  <c r="B24" i="10"/>
  <c r="B74" i="10"/>
  <c r="O74" i="10" s="1"/>
  <c r="B59" i="39" s="1"/>
  <c r="B37" i="10"/>
  <c r="B153" i="10"/>
  <c r="B15" i="10"/>
  <c r="A8" i="35"/>
  <c r="A12" i="35"/>
  <c r="A113" i="33"/>
  <c r="A61" i="35"/>
  <c r="A66" i="35"/>
  <c r="A27" i="35"/>
  <c r="A76" i="35"/>
  <c r="P104" i="20"/>
  <c r="Q104" i="20"/>
  <c r="A19" i="35"/>
  <c r="Q22" i="20"/>
  <c r="Y22" i="20"/>
  <c r="P22" i="20"/>
  <c r="R22" i="20"/>
  <c r="Z22" i="20"/>
  <c r="A46" i="35"/>
  <c r="A78" i="35"/>
  <c r="A14" i="35"/>
  <c r="A72" i="35"/>
  <c r="M35" i="33"/>
  <c r="A31" i="35"/>
  <c r="A51" i="33"/>
  <c r="BW178" i="10"/>
  <c r="A87" i="35"/>
  <c r="A36" i="35"/>
  <c r="P19" i="20"/>
  <c r="R19" i="20"/>
  <c r="Q19" i="20"/>
  <c r="Z19" i="20"/>
  <c r="Y19" i="20"/>
  <c r="A83" i="35"/>
  <c r="BW180" i="10"/>
  <c r="CH184" i="10"/>
  <c r="BW185" i="10"/>
  <c r="CH180" i="10"/>
  <c r="A73" i="35"/>
  <c r="A23" i="35"/>
  <c r="AY29" i="33"/>
  <c r="U20" i="7" s="1"/>
  <c r="AI182" i="14"/>
  <c r="AJ182" i="14"/>
  <c r="A6" i="35"/>
  <c r="P106" i="20"/>
  <c r="Q106" i="20"/>
  <c r="Q102" i="20"/>
  <c r="W106" i="20"/>
  <c r="P102" i="20"/>
  <c r="A240" i="14"/>
  <c r="T238" i="14"/>
  <c r="A75" i="35"/>
  <c r="A17" i="35"/>
  <c r="A60" i="35"/>
  <c r="A26" i="35"/>
  <c r="DI33" i="10"/>
  <c r="V33" i="10" s="1"/>
  <c r="DI63" i="10"/>
  <c r="DI19" i="10"/>
  <c r="V19" i="10" s="1"/>
  <c r="DI104" i="10"/>
  <c r="DI93" i="10"/>
  <c r="DI22" i="10"/>
  <c r="V22" i="10" s="1"/>
  <c r="DI70" i="10"/>
  <c r="DI21" i="10"/>
  <c r="V21" i="10" s="1"/>
  <c r="DI77" i="10"/>
  <c r="DI108" i="10"/>
  <c r="DI34" i="10"/>
  <c r="V34" i="10" s="1"/>
  <c r="DI83" i="10"/>
  <c r="V83" i="10" s="1"/>
  <c r="DI117" i="10"/>
  <c r="DI144" i="10"/>
  <c r="DI27" i="10"/>
  <c r="DI153" i="10"/>
  <c r="DI143" i="10"/>
  <c r="DI74" i="10"/>
  <c r="DI126" i="10"/>
  <c r="DI64" i="10"/>
  <c r="DI36" i="10"/>
  <c r="V36" i="10" s="1"/>
  <c r="DI142" i="10"/>
  <c r="DI155" i="10"/>
  <c r="DI124" i="10"/>
  <c r="DG124" i="10" s="1"/>
  <c r="DI88" i="10"/>
  <c r="DI148" i="10"/>
  <c r="DI68" i="10"/>
  <c r="DI52" i="10"/>
  <c r="DI101" i="10"/>
  <c r="DI156" i="10"/>
  <c r="DI130" i="10"/>
  <c r="DI139" i="10"/>
  <c r="V139" i="10" s="1"/>
  <c r="DI84" i="10"/>
  <c r="DI82" i="10"/>
  <c r="DI123" i="10"/>
  <c r="DI109" i="10"/>
  <c r="DI135" i="10"/>
  <c r="DG135" i="10" s="1"/>
  <c r="DI94" i="10"/>
  <c r="DI87" i="10"/>
  <c r="V87" i="10" s="1"/>
  <c r="DI137" i="10"/>
  <c r="DI38" i="10"/>
  <c r="V38" i="10" s="1"/>
  <c r="DI85" i="10"/>
  <c r="DI89" i="10"/>
  <c r="DI145" i="10"/>
  <c r="V145" i="10" s="1"/>
  <c r="DI20" i="10"/>
  <c r="V20" i="10" s="1"/>
  <c r="DI61" i="10"/>
  <c r="DI76" i="10"/>
  <c r="DG76" i="10" s="1"/>
  <c r="DI31" i="10"/>
  <c r="V31" i="10" s="1"/>
  <c r="DI147" i="10"/>
  <c r="DI149" i="10"/>
  <c r="DI96" i="10"/>
  <c r="DG96" i="10" s="1"/>
  <c r="DI25" i="10"/>
  <c r="V25" i="10" s="1"/>
  <c r="DI127" i="10"/>
  <c r="DI141" i="10"/>
  <c r="DI55" i="10"/>
  <c r="DG55" i="10" s="1"/>
  <c r="DI111" i="10"/>
  <c r="V111" i="10" s="1"/>
  <c r="DI28" i="10"/>
  <c r="DI115" i="10"/>
  <c r="DI37" i="10"/>
  <c r="V37" i="10" s="1"/>
  <c r="DI128" i="10"/>
  <c r="DI90" i="10"/>
  <c r="DG90" i="10" s="1"/>
  <c r="DI113" i="10"/>
  <c r="DI129" i="10"/>
  <c r="DI95" i="10"/>
  <c r="DI16" i="10"/>
  <c r="V16" i="10" s="1"/>
  <c r="DI67" i="10"/>
  <c r="DI51" i="10"/>
  <c r="DI48" i="10"/>
  <c r="DI97" i="10"/>
  <c r="V97" i="10" s="1"/>
  <c r="DI92" i="10"/>
  <c r="V92" i="10" s="1"/>
  <c r="DI23" i="10"/>
  <c r="V23" i="10" s="1"/>
  <c r="DI79" i="10"/>
  <c r="DI65" i="10"/>
  <c r="DG65" i="10" s="1"/>
  <c r="DI56" i="10"/>
  <c r="DI78" i="10"/>
  <c r="DG78" i="10" s="1"/>
  <c r="DI107" i="10"/>
  <c r="DI138" i="10"/>
  <c r="DI122" i="10"/>
  <c r="DI98" i="10"/>
  <c r="V98" i="10" s="1"/>
  <c r="DI86" i="10"/>
  <c r="DI125" i="10"/>
  <c r="V125" i="10" s="1"/>
  <c r="DI75" i="10"/>
  <c r="DI24" i="10"/>
  <c r="V24" i="10" s="1"/>
  <c r="DI46" i="10"/>
  <c r="DG46" i="10" s="1"/>
  <c r="DI14" i="10"/>
  <c r="V14" i="10" s="1"/>
  <c r="DI114" i="10"/>
  <c r="DI54" i="10"/>
  <c r="DI154" i="10"/>
  <c r="DG154" i="10" s="1"/>
  <c r="DI49" i="10"/>
  <c r="V49" i="10" s="1"/>
  <c r="DI140" i="10"/>
  <c r="DI29" i="10"/>
  <c r="DI15" i="10"/>
  <c r="V15" i="10" s="1"/>
  <c r="DI18" i="10"/>
  <c r="V18" i="10" s="1"/>
  <c r="DI80" i="10"/>
  <c r="DI32" i="10"/>
  <c r="V32" i="10" s="1"/>
  <c r="DI120" i="10"/>
  <c r="DI39" i="10"/>
  <c r="V39" i="10" s="1"/>
  <c r="DI146" i="10"/>
  <c r="DI43" i="10"/>
  <c r="V43" i="10" s="1"/>
  <c r="DI69" i="10"/>
  <c r="DI157" i="10"/>
  <c r="DI91" i="10"/>
  <c r="DI102" i="10"/>
  <c r="DG102" i="10" s="1"/>
  <c r="DI47" i="10"/>
  <c r="V47" i="10" s="1"/>
  <c r="DI26" i="10"/>
  <c r="DI66" i="10"/>
  <c r="DI30" i="10"/>
  <c r="V30" i="10" s="1"/>
  <c r="DI50" i="10"/>
  <c r="DI73" i="10"/>
  <c r="DI134" i="10"/>
  <c r="DI152" i="10"/>
  <c r="DI105" i="10"/>
  <c r="DI35" i="10"/>
  <c r="V35" i="10" s="1"/>
  <c r="DI112" i="10"/>
  <c r="DI151" i="10"/>
  <c r="DI119" i="10"/>
  <c r="DI57" i="10"/>
  <c r="DI62" i="10"/>
  <c r="DI40" i="10"/>
  <c r="V40" i="10" s="1"/>
  <c r="DI133" i="10"/>
  <c r="DI99" i="10"/>
  <c r="DI116" i="10"/>
  <c r="DI150" i="10"/>
  <c r="DI53" i="10"/>
  <c r="DI110" i="10"/>
  <c r="DI17" i="10"/>
  <c r="V17" i="10" s="1"/>
  <c r="DI100" i="10"/>
  <c r="DI58" i="10"/>
  <c r="DI42" i="10"/>
  <c r="DI118" i="10"/>
  <c r="DI71" i="10"/>
  <c r="DI60" i="10"/>
  <c r="DI45" i="10"/>
  <c r="V45" i="10" s="1"/>
  <c r="DI121" i="10"/>
  <c r="DG121" i="10" s="1"/>
  <c r="DI136" i="10"/>
  <c r="DG136" i="10" s="1"/>
  <c r="DI44" i="10"/>
  <c r="DI59" i="10"/>
  <c r="V59" i="10" s="1"/>
  <c r="DI103" i="10"/>
  <c r="DG103" i="10" s="1"/>
  <c r="DI132" i="10"/>
  <c r="V132" i="10" s="1"/>
  <c r="DI131" i="10"/>
  <c r="V131" i="10" s="1"/>
  <c r="Q23" i="20"/>
  <c r="Z23" i="20"/>
  <c r="Y23" i="20"/>
  <c r="P23" i="20"/>
  <c r="R23" i="20"/>
  <c r="CH179" i="10"/>
  <c r="K9" i="14"/>
  <c r="P105" i="20"/>
  <c r="Q105" i="20"/>
  <c r="A44" i="35"/>
  <c r="A16" i="35"/>
  <c r="A7" i="35"/>
  <c r="Q103" i="20"/>
  <c r="P103" i="20"/>
  <c r="A41" i="35"/>
  <c r="A50" i="35"/>
  <c r="Q20" i="29"/>
  <c r="A10" i="35"/>
  <c r="CH178" i="10"/>
  <c r="A24" i="35"/>
  <c r="AH125" i="33"/>
  <c r="B128" i="33" s="1"/>
  <c r="A25" i="35"/>
  <c r="A11" i="35"/>
  <c r="A48" i="35"/>
  <c r="A49" i="35"/>
  <c r="A37" i="35"/>
  <c r="A77" i="35"/>
  <c r="A68" i="35"/>
  <c r="A63" i="35"/>
  <c r="CH183" i="10"/>
  <c r="A86" i="35"/>
  <c r="R24" i="20"/>
  <c r="Y24" i="20"/>
  <c r="Q24" i="20"/>
  <c r="P24" i="20"/>
  <c r="Z24" i="20"/>
  <c r="A79" i="35"/>
  <c r="A22" i="35"/>
  <c r="A28" i="35"/>
  <c r="A64" i="35"/>
  <c r="CH182" i="10"/>
  <c r="CH177" i="10"/>
  <c r="P18" i="20"/>
  <c r="W25" i="20"/>
  <c r="P39" i="20" s="1"/>
  <c r="U39" i="20" s="1"/>
  <c r="Z18" i="20"/>
  <c r="R18" i="20"/>
  <c r="E127" i="20"/>
  <c r="Y18" i="20"/>
  <c r="X25" i="20"/>
  <c r="N268" i="20" s="1"/>
  <c r="Q18" i="20"/>
  <c r="Z25" i="20"/>
  <c r="P25" i="20"/>
  <c r="Y25" i="20"/>
  <c r="Q25" i="20"/>
  <c r="R25" i="20"/>
  <c r="A5" i="35"/>
  <c r="B209" i="14"/>
  <c r="A53" i="35"/>
  <c r="A29" i="35"/>
  <c r="A18" i="35"/>
  <c r="B150" i="10"/>
  <c r="B133" i="10"/>
  <c r="B115" i="10"/>
  <c r="B146" i="10"/>
  <c r="B141" i="10"/>
  <c r="B56" i="10"/>
  <c r="B33" i="10"/>
  <c r="B114" i="10"/>
  <c r="B118" i="10"/>
  <c r="B152" i="10"/>
  <c r="B35" i="10"/>
  <c r="B14" i="10"/>
  <c r="B86" i="10"/>
  <c r="G70" i="39" s="1"/>
  <c r="B79" i="10"/>
  <c r="B154" i="10"/>
  <c r="B71" i="10"/>
  <c r="B82" i="10"/>
  <c r="B39" i="10"/>
  <c r="B148" i="10"/>
  <c r="B31" i="10"/>
  <c r="B62" i="10"/>
  <c r="B27" i="10"/>
  <c r="O51" i="10"/>
  <c r="B91" i="10"/>
  <c r="CX142" i="10"/>
  <c r="O93" i="10"/>
  <c r="B77" i="39" s="1"/>
  <c r="U22" i="20"/>
  <c r="V22" i="20" s="1"/>
  <c r="G16" i="39"/>
  <c r="DB135" i="10"/>
  <c r="P26" i="24"/>
  <c r="I26" i="24" s="1"/>
  <c r="G118" i="39"/>
  <c r="G30" i="39"/>
  <c r="O43" i="10"/>
  <c r="B30" i="39" s="1"/>
  <c r="CY43" i="10"/>
  <c r="U106" i="20"/>
  <c r="U104" i="20"/>
  <c r="O67" i="10"/>
  <c r="B53" i="39" s="1"/>
  <c r="CY89" i="10"/>
  <c r="O63" i="10"/>
  <c r="B49" i="39" s="1"/>
  <c r="V103" i="10"/>
  <c r="DG92" i="10"/>
  <c r="DG146" i="10"/>
  <c r="V146" i="10"/>
  <c r="DG140" i="10"/>
  <c r="V140" i="10"/>
  <c r="DG49" i="10"/>
  <c r="V154" i="10"/>
  <c r="DG114" i="10"/>
  <c r="V114" i="10"/>
  <c r="V46" i="10"/>
  <c r="V75" i="10"/>
  <c r="DG75" i="10"/>
  <c r="V86" i="10"/>
  <c r="DG86" i="10"/>
  <c r="DG107" i="10"/>
  <c r="V107" i="10"/>
  <c r="DG56" i="10"/>
  <c r="V56" i="10"/>
  <c r="V79" i="10"/>
  <c r="DG79" i="10"/>
  <c r="O89" i="10"/>
  <c r="B73" i="39" s="1"/>
  <c r="O68" i="10"/>
  <c r="B54" i="39" s="1"/>
  <c r="O140" i="10"/>
  <c r="B123" i="39" s="1"/>
  <c r="V121" i="10"/>
  <c r="V113" i="10"/>
  <c r="DG113" i="10"/>
  <c r="V90" i="10"/>
  <c r="V115" i="10"/>
  <c r="DG115" i="10"/>
  <c r="DG111" i="10"/>
  <c r="V55" i="10"/>
  <c r="V76" i="10"/>
  <c r="DG145" i="10"/>
  <c r="V137" i="10"/>
  <c r="DG137" i="10"/>
  <c r="DG87" i="10"/>
  <c r="DG94" i="10"/>
  <c r="V94" i="10"/>
  <c r="V135" i="10"/>
  <c r="DG109" i="10"/>
  <c r="V109" i="10"/>
  <c r="P43" i="20"/>
  <c r="U43" i="20" s="1"/>
  <c r="O31" i="20"/>
  <c r="Q64" i="20"/>
  <c r="U64" i="20" s="1"/>
  <c r="U74" i="7" s="1"/>
  <c r="R44" i="20"/>
  <c r="Q61" i="20"/>
  <c r="U61" i="20" s="1"/>
  <c r="V61" i="20" s="1"/>
  <c r="Q50" i="20"/>
  <c r="U50" i="20" s="1"/>
  <c r="V50" i="20" s="1"/>
  <c r="O40" i="20"/>
  <c r="Q58" i="20"/>
  <c r="U58" i="20" s="1"/>
  <c r="V58" i="20" s="1"/>
  <c r="O29" i="20"/>
  <c r="P48" i="20"/>
  <c r="U48" i="20" s="1"/>
  <c r="Q62" i="20"/>
  <c r="U62" i="20" s="1"/>
  <c r="V62" i="20" s="1"/>
  <c r="P45" i="20"/>
  <c r="U45" i="20" s="1"/>
  <c r="O38" i="20"/>
  <c r="Q70" i="20"/>
  <c r="U70" i="20" s="1"/>
  <c r="O34" i="20"/>
  <c r="R46" i="20"/>
  <c r="P35" i="20"/>
  <c r="U35" i="20" s="1"/>
  <c r="V35" i="20" s="1"/>
  <c r="P33" i="20"/>
  <c r="U33" i="20" s="1"/>
  <c r="O26" i="20"/>
  <c r="O42" i="20"/>
  <c r="Q52" i="20"/>
  <c r="U52" i="20" s="1"/>
  <c r="V52" i="20" s="1"/>
  <c r="O30" i="20"/>
  <c r="D60" i="20"/>
  <c r="Q53" i="20"/>
  <c r="U53" i="20" s="1"/>
  <c r="V53" i="20" s="1"/>
  <c r="O39" i="20"/>
  <c r="P47" i="20"/>
  <c r="U47" i="20" s="1"/>
  <c r="P31" i="20"/>
  <c r="U31" i="20" s="1"/>
  <c r="V31" i="20" s="1"/>
  <c r="U102" i="20"/>
  <c r="B84" i="33"/>
  <c r="B102" i="33"/>
  <c r="B99" i="33"/>
  <c r="B92" i="33"/>
  <c r="B79" i="33"/>
  <c r="B98" i="33"/>
  <c r="B74" i="33"/>
  <c r="B103" i="33"/>
  <c r="B105" i="33"/>
  <c r="B54" i="33"/>
  <c r="B89" i="33"/>
  <c r="B109" i="33"/>
  <c r="B110" i="33"/>
  <c r="B62" i="33"/>
  <c r="B65" i="33"/>
  <c r="B58" i="33"/>
  <c r="B108" i="33"/>
  <c r="B107" i="33"/>
  <c r="B86" i="33"/>
  <c r="B53" i="33"/>
  <c r="B83" i="33"/>
  <c r="B88" i="33"/>
  <c r="B67" i="33"/>
  <c r="B104" i="33"/>
  <c r="B85" i="33"/>
  <c r="B61" i="33"/>
  <c r="B63" i="33"/>
  <c r="B93" i="33"/>
  <c r="B75" i="33"/>
  <c r="B76" i="33"/>
  <c r="B91" i="33"/>
  <c r="B73" i="33"/>
  <c r="B87" i="33"/>
  <c r="B64" i="33"/>
  <c r="B80" i="33"/>
  <c r="B56" i="33"/>
  <c r="B95" i="33"/>
  <c r="B68" i="33"/>
  <c r="B59" i="33"/>
  <c r="B57" i="33"/>
  <c r="B60" i="33"/>
  <c r="B100" i="33"/>
  <c r="B111" i="33"/>
  <c r="B81" i="33"/>
  <c r="B97" i="33"/>
  <c r="B70" i="33"/>
  <c r="B90" i="33"/>
  <c r="B72" i="33"/>
  <c r="B101" i="33"/>
  <c r="B71" i="33"/>
  <c r="B78" i="33"/>
  <c r="B94" i="33"/>
  <c r="B106" i="33"/>
  <c r="B55" i="33"/>
  <c r="B66" i="33"/>
  <c r="B69" i="33"/>
  <c r="N75" i="33"/>
  <c r="N113" i="33"/>
  <c r="N112" i="33"/>
  <c r="N40" i="33"/>
  <c r="N47" i="33"/>
  <c r="N98" i="33"/>
  <c r="N60" i="33"/>
  <c r="N65" i="33"/>
  <c r="N79" i="33"/>
  <c r="N90" i="33"/>
  <c r="N46" i="33"/>
  <c r="N68" i="33"/>
  <c r="N77" i="33"/>
  <c r="N110" i="33"/>
  <c r="N63" i="33"/>
  <c r="N115" i="33"/>
  <c r="N97" i="33"/>
  <c r="N37" i="33"/>
  <c r="N58" i="33"/>
  <c r="N78" i="33"/>
  <c r="N84" i="33"/>
  <c r="N70" i="33"/>
  <c r="N88" i="33"/>
  <c r="N96" i="33"/>
  <c r="N45" i="33"/>
  <c r="N95" i="33"/>
  <c r="N92" i="33"/>
  <c r="N80" i="33"/>
  <c r="N43" i="33"/>
  <c r="N41" i="33"/>
  <c r="N76" i="33"/>
  <c r="N82" i="33"/>
  <c r="N86" i="33"/>
  <c r="N48" i="33"/>
  <c r="N52" i="33"/>
  <c r="N99" i="33"/>
  <c r="N126" i="33"/>
  <c r="N124" i="33"/>
  <c r="N69" i="33"/>
  <c r="N114" i="33"/>
  <c r="N116" i="33"/>
  <c r="N111" i="33"/>
  <c r="N72" i="33"/>
  <c r="N62" i="33"/>
  <c r="N39" i="33"/>
  <c r="N125" i="33"/>
  <c r="N81" i="33"/>
  <c r="N91" i="33"/>
  <c r="N123" i="33"/>
  <c r="N57" i="33"/>
  <c r="N94" i="33"/>
  <c r="N50" i="33"/>
  <c r="N89" i="33"/>
  <c r="N121" i="33"/>
  <c r="N67" i="33"/>
  <c r="N117" i="33"/>
  <c r="N83" i="33"/>
  <c r="N85" i="33"/>
  <c r="N64" i="33"/>
  <c r="N51" i="33"/>
  <c r="N71" i="33"/>
  <c r="N73" i="33"/>
  <c r="N66" i="33"/>
  <c r="N59" i="33"/>
  <c r="N109" i="33"/>
  <c r="N54" i="33"/>
  <c r="N108" i="33"/>
  <c r="N44" i="33"/>
  <c r="N55" i="33"/>
  <c r="N49" i="33"/>
  <c r="N56" i="33"/>
  <c r="AT56" i="33" s="1"/>
  <c r="N61" i="33"/>
  <c r="N122" i="33"/>
  <c r="N93" i="33"/>
  <c r="N127" i="33"/>
  <c r="N74" i="33"/>
  <c r="N53" i="33"/>
  <c r="N42" i="33"/>
  <c r="N87" i="33"/>
  <c r="N38" i="33"/>
  <c r="P74" i="24"/>
  <c r="I74" i="24" s="1"/>
  <c r="DG139" i="10"/>
  <c r="V156" i="10"/>
  <c r="DG156" i="10"/>
  <c r="DG101" i="10"/>
  <c r="V101" i="10"/>
  <c r="V148" i="10"/>
  <c r="DG148" i="10"/>
  <c r="V124" i="10"/>
  <c r="V155" i="10"/>
  <c r="DG155" i="10"/>
  <c r="DG142" i="10"/>
  <c r="V142" i="10"/>
  <c r="V64" i="10"/>
  <c r="DG64" i="10"/>
  <c r="V126" i="10"/>
  <c r="DG126" i="10"/>
  <c r="V74" i="10"/>
  <c r="DG74" i="10"/>
  <c r="DG143" i="10"/>
  <c r="V143" i="10"/>
  <c r="V153" i="10"/>
  <c r="DG153" i="10"/>
  <c r="V144" i="10"/>
  <c r="DG144" i="10"/>
  <c r="DG117" i="10"/>
  <c r="V117" i="10"/>
  <c r="DG83" i="10"/>
  <c r="DG108" i="10"/>
  <c r="V108" i="10"/>
  <c r="DG77" i="10"/>
  <c r="V77" i="10"/>
  <c r="DG70" i="10"/>
  <c r="V70" i="10"/>
  <c r="DG93" i="10"/>
  <c r="V93" i="10"/>
  <c r="DG104" i="10"/>
  <c r="V104" i="10"/>
  <c r="V63" i="10"/>
  <c r="DG63" i="10"/>
  <c r="B129" i="20"/>
  <c r="C30" i="18" s="1"/>
  <c r="D129" i="20"/>
  <c r="C129" i="20" s="1"/>
  <c r="O30" i="18" s="1"/>
  <c r="B133" i="33"/>
  <c r="B129" i="33"/>
  <c r="B131" i="33"/>
  <c r="B132" i="33"/>
  <c r="Q180" i="20"/>
  <c r="U180" i="20" s="1"/>
  <c r="O107" i="20"/>
  <c r="Q175" i="20"/>
  <c r="U175" i="20" s="1"/>
  <c r="O119" i="20"/>
  <c r="Q159" i="20"/>
  <c r="U159" i="20" s="1"/>
  <c r="O112" i="20"/>
  <c r="Q169" i="20"/>
  <c r="U169" i="20" s="1"/>
  <c r="P122" i="20"/>
  <c r="U122" i="20" s="1"/>
  <c r="Q153" i="20"/>
  <c r="U153" i="20" s="1"/>
  <c r="P111" i="20"/>
  <c r="U111" i="20" s="1"/>
  <c r="Q136" i="20"/>
  <c r="U136" i="20" s="1"/>
  <c r="Q173" i="20"/>
  <c r="U173" i="20" s="1"/>
  <c r="N270" i="20"/>
  <c r="Q172" i="20"/>
  <c r="U172" i="20" s="1"/>
  <c r="P107" i="20"/>
  <c r="U107" i="20" s="1"/>
  <c r="P121" i="20"/>
  <c r="U121" i="20" s="1"/>
  <c r="Q148" i="20"/>
  <c r="U148" i="20" s="1"/>
  <c r="P126" i="20"/>
  <c r="U126" i="20" s="1"/>
  <c r="Q166" i="20"/>
  <c r="U166" i="20" s="1"/>
  <c r="P114" i="20"/>
  <c r="U114" i="20" s="1"/>
  <c r="Q141" i="20"/>
  <c r="U141" i="20" s="1"/>
  <c r="O113" i="20"/>
  <c r="O117" i="20"/>
  <c r="N272" i="20"/>
  <c r="Q140" i="20"/>
  <c r="U140" i="20" s="1"/>
  <c r="Q176" i="20"/>
  <c r="U176" i="20" s="1"/>
  <c r="Q160" i="20"/>
  <c r="U160" i="20" s="1"/>
  <c r="P109" i="20"/>
  <c r="U109" i="20" s="1"/>
  <c r="Q157" i="20"/>
  <c r="U157" i="20" s="1"/>
  <c r="Q174" i="20"/>
  <c r="U174" i="20" s="1"/>
  <c r="Q132" i="20"/>
  <c r="U132" i="20" s="1"/>
  <c r="O110" i="20"/>
  <c r="O115" i="20"/>
  <c r="Q139" i="20"/>
  <c r="U139" i="20" s="1"/>
  <c r="O121" i="20"/>
  <c r="P116" i="20"/>
  <c r="U116" i="20" s="1"/>
  <c r="Q143" i="20"/>
  <c r="U143" i="20" s="1"/>
  <c r="Q147" i="20"/>
  <c r="U147" i="20" s="1"/>
  <c r="P112" i="20"/>
  <c r="U112" i="20" s="1"/>
  <c r="Q144" i="20"/>
  <c r="U144" i="20" s="1"/>
  <c r="P110" i="20"/>
  <c r="U110" i="20" s="1"/>
  <c r="Q137" i="20"/>
  <c r="U137" i="20" s="1"/>
  <c r="Q164" i="20"/>
  <c r="U164" i="20" s="1"/>
  <c r="P108" i="20"/>
  <c r="U108" i="20" s="1"/>
  <c r="Q150" i="20"/>
  <c r="U150" i="20" s="1"/>
  <c r="Q161" i="20"/>
  <c r="U161" i="20" s="1"/>
  <c r="Q135" i="20"/>
  <c r="U135" i="20" s="1"/>
  <c r="P123" i="20"/>
  <c r="U123" i="20" s="1"/>
  <c r="Q158" i="20"/>
  <c r="U158" i="20" s="1"/>
  <c r="O118" i="20"/>
  <c r="Q181" i="20"/>
  <c r="U181" i="20" s="1"/>
  <c r="Q162" i="20"/>
  <c r="U162" i="20" s="1"/>
  <c r="Q165" i="20"/>
  <c r="U165" i="20" s="1"/>
  <c r="Q133" i="20"/>
  <c r="U133" i="20" s="1"/>
  <c r="Q178" i="20"/>
  <c r="U178" i="20" s="1"/>
  <c r="Q129" i="20"/>
  <c r="U129" i="20" s="1"/>
  <c r="Q155" i="20"/>
  <c r="U155" i="20" s="1"/>
  <c r="Q179" i="20"/>
  <c r="U179" i="20" s="1"/>
  <c r="Q134" i="20"/>
  <c r="U134" i="20" s="1"/>
  <c r="O122" i="20"/>
  <c r="Q177" i="20"/>
  <c r="U177" i="20" s="1"/>
  <c r="P118" i="20"/>
  <c r="U118" i="20" s="1"/>
  <c r="B116" i="33"/>
  <c r="B117" i="33"/>
  <c r="B120" i="33"/>
  <c r="DG44" i="10"/>
  <c r="V44" i="10"/>
  <c r="DG71" i="10"/>
  <c r="V71" i="10"/>
  <c r="V42" i="10"/>
  <c r="DG42" i="10"/>
  <c r="V100" i="10"/>
  <c r="DG100" i="10"/>
  <c r="V110" i="10"/>
  <c r="DG110" i="10"/>
  <c r="V53" i="10"/>
  <c r="DG53" i="10"/>
  <c r="DG116" i="10"/>
  <c r="V116" i="10"/>
  <c r="DG99" i="10"/>
  <c r="V99" i="10"/>
  <c r="DG133" i="10"/>
  <c r="V133" i="10"/>
  <c r="V62" i="10"/>
  <c r="DG62" i="10"/>
  <c r="V57" i="10"/>
  <c r="DG57" i="10"/>
  <c r="V119" i="10"/>
  <c r="DG119" i="10"/>
  <c r="DG151" i="10"/>
  <c r="V151" i="10"/>
  <c r="DG112" i="10"/>
  <c r="V112" i="10"/>
  <c r="V105" i="10"/>
  <c r="DG105" i="10"/>
  <c r="DG152" i="10"/>
  <c r="V152" i="10"/>
  <c r="DG134" i="10"/>
  <c r="V134" i="10"/>
  <c r="DG73" i="10"/>
  <c r="V73" i="10"/>
  <c r="V50" i="10"/>
  <c r="DG50" i="10"/>
  <c r="DG66" i="10"/>
  <c r="V66" i="10"/>
  <c r="O85" i="10"/>
  <c r="B69" i="39" s="1"/>
  <c r="O27" i="10"/>
  <c r="B15" i="39" s="1"/>
  <c r="CY27" i="10"/>
  <c r="G15" i="39"/>
  <c r="CY28" i="10"/>
  <c r="CY85" i="10"/>
  <c r="O150" i="10"/>
  <c r="B133" i="39" s="1"/>
  <c r="G133" i="39"/>
  <c r="CY150" i="10"/>
  <c r="CY133" i="10"/>
  <c r="O133" i="10"/>
  <c r="B116" i="39" s="1"/>
  <c r="G116" i="39"/>
  <c r="O114" i="10"/>
  <c r="B97" i="39" s="1"/>
  <c r="CY114" i="10"/>
  <c r="G97" i="39"/>
  <c r="G124" i="39"/>
  <c r="DB141" i="10"/>
  <c r="CY141" i="10"/>
  <c r="O141" i="10"/>
  <c r="B124" i="39" s="1"/>
  <c r="CY152" i="10"/>
  <c r="O152" i="10"/>
  <c r="B135" i="39" s="1"/>
  <c r="G135" i="39"/>
  <c r="CY55" i="10"/>
  <c r="CY102" i="10"/>
  <c r="O102" i="10"/>
  <c r="B86" i="39" s="1"/>
  <c r="GX65" i="7"/>
  <c r="O79" i="10"/>
  <c r="B64" i="39" s="1"/>
  <c r="G65" i="39"/>
  <c r="CY79" i="10"/>
  <c r="G57" i="39"/>
  <c r="O71" i="10"/>
  <c r="B57" i="39" s="1"/>
  <c r="CY71" i="10"/>
  <c r="CY35" i="10"/>
  <c r="G23" i="39"/>
  <c r="O35" i="10"/>
  <c r="CY39" i="10"/>
  <c r="G27" i="39"/>
  <c r="O39" i="10"/>
  <c r="CF14" i="10"/>
  <c r="CF15" i="10" s="1"/>
  <c r="CF16" i="10" s="1"/>
  <c r="CF17" i="10" s="1"/>
  <c r="CF18" i="10" s="1"/>
  <c r="CF19" i="10" s="1"/>
  <c r="CF21" i="10" s="1"/>
  <c r="CF23" i="10" s="1"/>
  <c r="CF24" i="10" s="1"/>
  <c r="CF25" i="10" s="1"/>
  <c r="CF26" i="10" s="1"/>
  <c r="CF27" i="10" s="1"/>
  <c r="CF31" i="10" s="1"/>
  <c r="CF32" i="10" s="1"/>
  <c r="CF33" i="10" s="1"/>
  <c r="CF34" i="10" s="1"/>
  <c r="CF35" i="10" s="1"/>
  <c r="CF37" i="10" s="1"/>
  <c r="CF38" i="10" s="1"/>
  <c r="CF39" i="10" s="1"/>
  <c r="CF40" i="10" s="1"/>
  <c r="CI41" i="10" s="1"/>
  <c r="CY14" i="10"/>
  <c r="G2" i="39"/>
  <c r="O14" i="10"/>
  <c r="CB14" i="10" s="1"/>
  <c r="G24" i="39"/>
  <c r="O36" i="10"/>
  <c r="P77" i="24"/>
  <c r="I77" i="24" s="1"/>
  <c r="CY36" i="10"/>
  <c r="L71" i="6"/>
  <c r="P14" i="24"/>
  <c r="I14" i="24" s="1"/>
  <c r="O73" i="10"/>
  <c r="B58" i="39" s="1"/>
  <c r="CY73" i="10"/>
  <c r="G59" i="39"/>
  <c r="DB152" i="10"/>
  <c r="DB118" i="10"/>
  <c r="B121" i="39"/>
  <c r="CB30" i="10"/>
  <c r="B18" i="39"/>
  <c r="CA30" i="10"/>
  <c r="BZ30" i="10"/>
  <c r="CY137" i="10"/>
  <c r="O137" i="10"/>
  <c r="DB137" i="10"/>
  <c r="P27" i="24"/>
  <c r="I27" i="24" s="1"/>
  <c r="G120" i="39"/>
  <c r="DB134" i="10"/>
  <c r="DB131" i="10"/>
  <c r="O131" i="10"/>
  <c r="B114" i="39" s="1"/>
  <c r="CY131" i="10"/>
  <c r="G114" i="39"/>
  <c r="O31" i="10"/>
  <c r="G19" i="39"/>
  <c r="CY31" i="10"/>
  <c r="CY76" i="10"/>
  <c r="G62" i="39"/>
  <c r="O76" i="10"/>
  <c r="B61" i="39" s="1"/>
  <c r="DB127" i="10"/>
  <c r="CY127" i="10"/>
  <c r="O127" i="10"/>
  <c r="B110" i="39" s="1"/>
  <c r="G110" i="39"/>
  <c r="G122" i="39"/>
  <c r="CY139" i="10"/>
  <c r="DB139" i="10"/>
  <c r="O139" i="10"/>
  <c r="B122" i="39" s="1"/>
  <c r="CY83" i="10"/>
  <c r="O83" i="10"/>
  <c r="B67" i="39" s="1"/>
  <c r="G67" i="39"/>
  <c r="CY142" i="10"/>
  <c r="DB142" i="10"/>
  <c r="G125" i="39"/>
  <c r="O142" i="10"/>
  <c r="B125" i="39" s="1"/>
  <c r="G137" i="39"/>
  <c r="DB154" i="10"/>
  <c r="O154" i="10"/>
  <c r="B137" i="39" s="1"/>
  <c r="CY154" i="10"/>
  <c r="CY40" i="10"/>
  <c r="O40" i="10"/>
  <c r="G28" i="39"/>
  <c r="O112" i="10"/>
  <c r="B95" i="39" s="1"/>
  <c r="CY112" i="10"/>
  <c r="G95" i="39"/>
  <c r="DB112" i="10"/>
  <c r="G84" i="39"/>
  <c r="O100" i="10"/>
  <c r="B84" i="39" s="1"/>
  <c r="CY38" i="10"/>
  <c r="O38" i="10"/>
  <c r="G26" i="39"/>
  <c r="G48" i="39"/>
  <c r="CY62" i="10"/>
  <c r="O62" i="10"/>
  <c r="B48" i="39" s="1"/>
  <c r="G103" i="39"/>
  <c r="O120" i="10"/>
  <c r="B103" i="39" s="1"/>
  <c r="G21" i="39"/>
  <c r="O33" i="10"/>
  <c r="CY33" i="10"/>
  <c r="G134" i="39"/>
  <c r="DB151" i="10"/>
  <c r="O151" i="10"/>
  <c r="B134" i="39" s="1"/>
  <c r="CY151" i="10"/>
  <c r="CY149" i="10"/>
  <c r="G132" i="39"/>
  <c r="O149" i="10"/>
  <c r="B132" i="39" s="1"/>
  <c r="B8" i="39"/>
  <c r="CA20" i="10"/>
  <c r="CB20" i="10"/>
  <c r="BZ20" i="10"/>
  <c r="AD128" i="33"/>
  <c r="AE128" i="33"/>
  <c r="Y128" i="33"/>
  <c r="AA128" i="33"/>
  <c r="Z128" i="33"/>
  <c r="AB128" i="33"/>
  <c r="O24" i="10"/>
  <c r="G12" i="39"/>
  <c r="CY24" i="10"/>
  <c r="CY128" i="10"/>
  <c r="O128" i="10"/>
  <c r="B111" i="39" s="1"/>
  <c r="CY19" i="10"/>
  <c r="G7" i="39"/>
  <c r="O19" i="10"/>
  <c r="G25" i="39"/>
  <c r="O37" i="10"/>
  <c r="CY37" i="10"/>
  <c r="CY118" i="10"/>
  <c r="O118" i="10"/>
  <c r="G101" i="39"/>
  <c r="CY132" i="10"/>
  <c r="O132" i="10"/>
  <c r="B115" i="39" s="1"/>
  <c r="G115" i="39"/>
  <c r="CY101" i="10"/>
  <c r="O101" i="10"/>
  <c r="B85" i="39" s="1"/>
  <c r="G85" i="39"/>
  <c r="O124" i="10"/>
  <c r="B107" i="39" s="1"/>
  <c r="G107" i="39"/>
  <c r="CY124" i="10"/>
  <c r="G99" i="39"/>
  <c r="CY116" i="10"/>
  <c r="O116" i="10"/>
  <c r="B99" i="39" s="1"/>
  <c r="DB116" i="10"/>
  <c r="CF82" i="10"/>
  <c r="CF83" i="10" s="1"/>
  <c r="CF84" i="10" s="1"/>
  <c r="CF85" i="10" s="1"/>
  <c r="CF86" i="10" s="1"/>
  <c r="CF87" i="10" s="1"/>
  <c r="CF89" i="10" s="1"/>
  <c r="CF90" i="10" s="1"/>
  <c r="CF91" i="10" s="1"/>
  <c r="CF92" i="10" s="1"/>
  <c r="CF93" i="10" s="1"/>
  <c r="CF94" i="10" s="1"/>
  <c r="CF95" i="10" s="1"/>
  <c r="CF96" i="10" s="1"/>
  <c r="CF98" i="10" s="1"/>
  <c r="CF100" i="10" s="1"/>
  <c r="CF101" i="10" s="1"/>
  <c r="CF102" i="10" s="1"/>
  <c r="CF103" i="10" s="1"/>
  <c r="CF104" i="10" s="1"/>
  <c r="CF105" i="10" s="1"/>
  <c r="CF106" i="10" s="1"/>
  <c r="R47" i="24" s="1"/>
  <c r="H47" i="24" s="1"/>
  <c r="A47" i="24" s="1"/>
  <c r="G66" i="39"/>
  <c r="O82" i="10"/>
  <c r="B66" i="39" s="1"/>
  <c r="CY82" i="10"/>
  <c r="CY21" i="10"/>
  <c r="G9" i="39"/>
  <c r="O21" i="10"/>
  <c r="G106" i="39"/>
  <c r="O123" i="10"/>
  <c r="B106" i="39" s="1"/>
  <c r="H45" i="24"/>
  <c r="A45" i="24" s="1"/>
  <c r="CY97" i="10"/>
  <c r="O97" i="10"/>
  <c r="G81" i="39"/>
  <c r="B65" i="39"/>
  <c r="DB74" i="10"/>
  <c r="B41" i="39"/>
  <c r="DB73" i="10"/>
  <c r="O15" i="10"/>
  <c r="CY15" i="10"/>
  <c r="G3" i="39"/>
  <c r="G138" i="39"/>
  <c r="O155" i="10"/>
  <c r="B138" i="39" s="1"/>
  <c r="DB155" i="10"/>
  <c r="CY155" i="10"/>
  <c r="CY111" i="10"/>
  <c r="O111" i="10"/>
  <c r="B94" i="39" s="1"/>
  <c r="G94" i="39"/>
  <c r="G126" i="39"/>
  <c r="DB143" i="10"/>
  <c r="O143" i="10"/>
  <c r="B126" i="39" s="1"/>
  <c r="CY143" i="10"/>
  <c r="CY146" i="10"/>
  <c r="DB146" i="10"/>
  <c r="G129" i="39"/>
  <c r="O146" i="10"/>
  <c r="B129" i="39" s="1"/>
  <c r="O117" i="10"/>
  <c r="B100" i="39" s="1"/>
  <c r="CY117" i="10"/>
  <c r="G100" i="39"/>
  <c r="G130" i="39"/>
  <c r="CY147" i="10"/>
  <c r="O147" i="10"/>
  <c r="B130" i="39" s="1"/>
  <c r="O23" i="10"/>
  <c r="CY23" i="10"/>
  <c r="G11" i="39"/>
  <c r="O86" i="10"/>
  <c r="B70" i="39" s="1"/>
  <c r="CY86" i="10"/>
  <c r="O113" i="10"/>
  <c r="B96" i="39" s="1"/>
  <c r="DB113" i="10"/>
  <c r="DB115" i="10"/>
  <c r="O115" i="10"/>
  <c r="B98" i="39" s="1"/>
  <c r="CY115" i="10"/>
  <c r="G98" i="39"/>
  <c r="O121" i="10"/>
  <c r="B104" i="39" s="1"/>
  <c r="DB121" i="10"/>
  <c r="G104" i="39"/>
  <c r="CY121" i="10"/>
  <c r="CY119" i="10"/>
  <c r="O119" i="10"/>
  <c r="B102" i="39" s="1"/>
  <c r="DB119" i="10"/>
  <c r="G102" i="39"/>
  <c r="O145" i="10"/>
  <c r="DB145" i="10"/>
  <c r="O144" i="10"/>
  <c r="B127" i="39" s="1"/>
  <c r="CY144" i="10"/>
  <c r="P29" i="24"/>
  <c r="I29" i="24" s="1"/>
  <c r="G127" i="39"/>
  <c r="DB144" i="10"/>
  <c r="CY99" i="10"/>
  <c r="H46" i="24"/>
  <c r="A46" i="24" s="1"/>
  <c r="G83" i="39"/>
  <c r="O99" i="10"/>
  <c r="B83" i="39" s="1"/>
  <c r="G46" i="39"/>
  <c r="O59" i="10"/>
  <c r="B46" i="39" s="1"/>
  <c r="CY59" i="10"/>
  <c r="H32" i="24"/>
  <c r="A32" i="24" s="1"/>
  <c r="O70" i="10"/>
  <c r="B56" i="39" s="1"/>
  <c r="CY70" i="10"/>
  <c r="G56" i="39"/>
  <c r="G131" i="39"/>
  <c r="O148" i="10"/>
  <c r="B131" i="39" s="1"/>
  <c r="CY148" i="10"/>
  <c r="CY34" i="10"/>
  <c r="O34" i="10"/>
  <c r="G22" i="39"/>
  <c r="CY74" i="10"/>
  <c r="CF74" i="10"/>
  <c r="G60" i="39"/>
  <c r="G5" i="39"/>
  <c r="O17" i="10"/>
  <c r="CY17" i="10"/>
  <c r="CY107" i="10"/>
  <c r="CF107" i="10"/>
  <c r="CF108" i="10" s="1"/>
  <c r="CF109" i="10" s="1"/>
  <c r="CF110" i="10" s="1"/>
  <c r="CF111" i="10" s="1"/>
  <c r="CF112" i="10" s="1"/>
  <c r="CF113" i="10" s="1"/>
  <c r="CF114" i="10" s="1"/>
  <c r="CF115" i="10" s="1"/>
  <c r="CF116" i="10" s="1"/>
  <c r="CF117" i="10" s="1"/>
  <c r="CF118" i="10" s="1"/>
  <c r="CF119" i="10" s="1"/>
  <c r="CF120" i="10" s="1"/>
  <c r="CF121" i="10" s="1"/>
  <c r="CF122" i="10" s="1"/>
  <c r="CF123" i="10" s="1"/>
  <c r="CF124" i="10" s="1"/>
  <c r="CF125" i="10" s="1"/>
  <c r="CF126" i="10" s="1"/>
  <c r="CF127" i="10" s="1"/>
  <c r="CF128" i="10" s="1"/>
  <c r="CF131" i="10" s="1"/>
  <c r="CF132" i="10" s="1"/>
  <c r="CF133" i="10" s="1"/>
  <c r="CF134" i="10" s="1"/>
  <c r="CF136" i="10" s="1"/>
  <c r="CF139" i="10" s="1"/>
  <c r="CF140" i="10" s="1"/>
  <c r="CF141" i="10" s="1"/>
  <c r="CF142" i="10" s="1"/>
  <c r="CF143" i="10" s="1"/>
  <c r="CF145" i="10" s="1"/>
  <c r="CF146" i="10" s="1"/>
  <c r="CF147" i="10" s="1"/>
  <c r="CF148" i="10" s="1"/>
  <c r="CF149" i="10" s="1"/>
  <c r="CF150" i="10" s="1"/>
  <c r="CF151" i="10" s="1"/>
  <c r="CF152" i="10" s="1"/>
  <c r="CF153" i="10" s="1"/>
  <c r="CF154" i="10" s="1"/>
  <c r="CF155" i="10" s="1"/>
  <c r="CF156" i="10" s="1"/>
  <c r="CF157" i="10" s="1"/>
  <c r="CF158" i="10" s="1"/>
  <c r="U30" i="24" s="1"/>
  <c r="V30" i="24" s="1"/>
  <c r="U31" i="24" s="1"/>
  <c r="V31" i="24" s="1"/>
  <c r="G90" i="39"/>
  <c r="O107" i="10"/>
  <c r="B90" i="39" s="1"/>
  <c r="CY125" i="10"/>
  <c r="DB125" i="10"/>
  <c r="G108" i="39"/>
  <c r="O125" i="10"/>
  <c r="B108" i="39" s="1"/>
  <c r="CY56" i="10"/>
  <c r="O56" i="10"/>
  <c r="B43" i="39" s="1"/>
  <c r="G43" i="39"/>
  <c r="O153" i="10"/>
  <c r="B136" i="39" s="1"/>
  <c r="DB153" i="10"/>
  <c r="CY153" i="10"/>
  <c r="G136" i="39"/>
  <c r="G75" i="39"/>
  <c r="CY91" i="10"/>
  <c r="O91" i="10"/>
  <c r="O98" i="10"/>
  <c r="B82" i="39" s="1"/>
  <c r="G82" i="39"/>
  <c r="CY98" i="10"/>
  <c r="DB122" i="10"/>
  <c r="CY122" i="10"/>
  <c r="G105" i="39"/>
  <c r="O122" i="10"/>
  <c r="B105" i="39" s="1"/>
  <c r="CB22" i="10"/>
  <c r="CA22" i="10"/>
  <c r="BZ22" i="10"/>
  <c r="B10" i="39"/>
  <c r="DB61" i="10"/>
  <c r="DB117" i="10"/>
  <c r="DB70" i="10"/>
  <c r="B52" i="39"/>
  <c r="DB71" i="10"/>
  <c r="DB65" i="10"/>
  <c r="AF31" i="33"/>
  <c r="A30" i="33"/>
  <c r="K96" i="6"/>
  <c r="K97" i="6"/>
  <c r="K94" i="6"/>
  <c r="K95" i="6"/>
  <c r="K93" i="6"/>
  <c r="AH38" i="28"/>
  <c r="A39" i="28"/>
  <c r="A196" i="10"/>
  <c r="BQ197" i="10"/>
  <c r="A242" i="10"/>
  <c r="BO242" i="10" s="1"/>
  <c r="BQ243" i="10"/>
  <c r="BO195" i="10"/>
  <c r="CG195" i="10"/>
  <c r="M32" i="33"/>
  <c r="AU33" i="33"/>
  <c r="M33" i="33" s="1"/>
  <c r="BW190" i="10"/>
  <c r="C15" i="34"/>
  <c r="D16" i="34" s="1"/>
  <c r="M19" i="23"/>
  <c r="AD19" i="23"/>
  <c r="E19" i="23"/>
  <c r="Z19" i="23"/>
  <c r="Y19" i="23"/>
  <c r="S19" i="23"/>
  <c r="O19" i="23"/>
  <c r="I19" i="23"/>
  <c r="V19" i="23"/>
  <c r="BN191" i="10"/>
  <c r="B20" i="23"/>
  <c r="AG20" i="23"/>
  <c r="BY191" i="10"/>
  <c r="GW66" i="7"/>
  <c r="GV67" i="7"/>
  <c r="DD25" i="10"/>
  <c r="DD52" i="10"/>
  <c r="DD90" i="10"/>
  <c r="DE118" i="10"/>
  <c r="DE94" i="10"/>
  <c r="DE53" i="10"/>
  <c r="DD71" i="10"/>
  <c r="GU67" i="7"/>
  <c r="DE26" i="10"/>
  <c r="DD117" i="10"/>
  <c r="C179" i="10"/>
  <c r="BX191" i="10"/>
  <c r="C178" i="10"/>
  <c r="F190" i="10"/>
  <c r="C188" i="10"/>
  <c r="C177" i="10"/>
  <c r="C189" i="10"/>
  <c r="C183" i="10"/>
  <c r="F191" i="10"/>
  <c r="G191" i="10"/>
  <c r="C185" i="10"/>
  <c r="C181" i="10"/>
  <c r="C187" i="10"/>
  <c r="C182" i="10"/>
  <c r="C186" i="10"/>
  <c r="C180" i="10"/>
  <c r="C184" i="10"/>
  <c r="O90" i="10" l="1"/>
  <c r="V136" i="10"/>
  <c r="V96" i="10"/>
  <c r="DG98" i="10"/>
  <c r="G74" i="39"/>
  <c r="V78" i="10"/>
  <c r="V65" i="10"/>
  <c r="DG59" i="10"/>
  <c r="DB111" i="10"/>
  <c r="U18" i="20"/>
  <c r="V18" i="20" s="1"/>
  <c r="U103" i="20"/>
  <c r="U25" i="20"/>
  <c r="V25" i="20" s="1"/>
  <c r="U105" i="20"/>
  <c r="U23" i="20"/>
  <c r="V23" i="20" s="1"/>
  <c r="O37" i="20"/>
  <c r="O36" i="20"/>
  <c r="P30" i="20"/>
  <c r="U30" i="20" s="1"/>
  <c r="V30" i="20" s="1"/>
  <c r="P41" i="20"/>
  <c r="U41" i="20" s="1"/>
  <c r="Q59" i="20"/>
  <c r="U59" i="20" s="1"/>
  <c r="V59" i="20" s="1"/>
  <c r="O35" i="20"/>
  <c r="P46" i="20"/>
  <c r="U46" i="20" s="1"/>
  <c r="P29" i="20"/>
  <c r="U29" i="20" s="1"/>
  <c r="V29" i="20" s="1"/>
  <c r="Q57" i="20"/>
  <c r="U57" i="20" s="1"/>
  <c r="V57" i="20" s="1"/>
  <c r="DG125" i="10"/>
  <c r="DG43" i="10"/>
  <c r="Q51" i="20"/>
  <c r="U51" i="20" s="1"/>
  <c r="V51" i="20" s="1"/>
  <c r="Q56" i="20"/>
  <c r="U56" i="20" s="1"/>
  <c r="V56" i="20" s="1"/>
  <c r="O27" i="20"/>
  <c r="O32" i="20"/>
  <c r="R45" i="20"/>
  <c r="DG132" i="10"/>
  <c r="DG45" i="10"/>
  <c r="V102" i="10"/>
  <c r="Z49" i="20"/>
  <c r="Z50" i="20" s="1"/>
  <c r="BQ37" i="18" s="1"/>
  <c r="A37" i="18" s="1"/>
  <c r="DG97" i="10"/>
  <c r="CA14" i="10"/>
  <c r="U24" i="20"/>
  <c r="V24" i="20" s="1"/>
  <c r="U19" i="20"/>
  <c r="U21" i="20"/>
  <c r="V21" i="20" s="1"/>
  <c r="B182" i="10"/>
  <c r="B183" i="10"/>
  <c r="B178" i="10"/>
  <c r="B186" i="10"/>
  <c r="B187" i="10"/>
  <c r="B184" i="10"/>
  <c r="B181" i="10"/>
  <c r="B177" i="10"/>
  <c r="B179" i="10"/>
  <c r="B180" i="10"/>
  <c r="B185" i="10"/>
  <c r="B188" i="10"/>
  <c r="O188" i="10" s="1"/>
  <c r="B152" i="39" s="1"/>
  <c r="BZ14" i="10"/>
  <c r="B130" i="33"/>
  <c r="P28" i="20"/>
  <c r="U28" i="20" s="1"/>
  <c r="V28" i="20" s="1"/>
  <c r="P27" i="20"/>
  <c r="U27" i="20" s="1"/>
  <c r="V27" i="20" s="1"/>
  <c r="P42" i="20"/>
  <c r="U42" i="20" s="1"/>
  <c r="O41" i="20"/>
  <c r="Q54" i="20"/>
  <c r="U54" i="20" s="1"/>
  <c r="V54" i="20" s="1"/>
  <c r="P38" i="20"/>
  <c r="U38" i="20" s="1"/>
  <c r="Q66" i="20"/>
  <c r="U66" i="20" s="1"/>
  <c r="U93" i="7" s="1"/>
  <c r="Q68" i="20"/>
  <c r="Q60" i="20"/>
  <c r="U60" i="20" s="1"/>
  <c r="V60" i="20" s="1"/>
  <c r="Q69" i="20"/>
  <c r="U69" i="20" s="1"/>
  <c r="U84" i="7" s="1"/>
  <c r="Q65" i="20"/>
  <c r="S65" i="20" s="1"/>
  <c r="U65" i="20" s="1"/>
  <c r="R9" i="20" s="1"/>
  <c r="P37" i="20"/>
  <c r="U37" i="20" s="1"/>
  <c r="P34" i="20"/>
  <c r="U34" i="20" s="1"/>
  <c r="V34" i="20" s="1"/>
  <c r="G77" i="39"/>
  <c r="V118" i="10"/>
  <c r="DG118" i="10"/>
  <c r="DG91" i="10"/>
  <c r="V91" i="10"/>
  <c r="V80" i="10"/>
  <c r="DG80" i="10"/>
  <c r="V122" i="10"/>
  <c r="DG122" i="10"/>
  <c r="V67" i="10"/>
  <c r="DG67" i="10"/>
  <c r="V141" i="10"/>
  <c r="DG141" i="10"/>
  <c r="DG149" i="10"/>
  <c r="V149" i="10"/>
  <c r="V61" i="10"/>
  <c r="DG61" i="10"/>
  <c r="DG85" i="10"/>
  <c r="V85" i="10"/>
  <c r="V82" i="10"/>
  <c r="DG82" i="10"/>
  <c r="B82" i="33"/>
  <c r="B96" i="33"/>
  <c r="B77" i="33"/>
  <c r="CY110" i="10"/>
  <c r="G93" i="39"/>
  <c r="O110" i="10"/>
  <c r="B93" i="39" s="1"/>
  <c r="DB128" i="10"/>
  <c r="G111" i="39"/>
  <c r="O32" i="10"/>
  <c r="CY32" i="10"/>
  <c r="G20" i="39"/>
  <c r="O64" i="10"/>
  <c r="B50" i="39" s="1"/>
  <c r="G50" i="39"/>
  <c r="CY64" i="10"/>
  <c r="G42" i="39"/>
  <c r="O55" i="10"/>
  <c r="B42" i="39" s="1"/>
  <c r="CY18" i="10"/>
  <c r="O18" i="10"/>
  <c r="G6" i="39"/>
  <c r="O95" i="10"/>
  <c r="CY95" i="10"/>
  <c r="G79" i="39"/>
  <c r="CY87" i="10"/>
  <c r="G71" i="39"/>
  <c r="O87" i="10"/>
  <c r="G123" i="39"/>
  <c r="CY140" i="10"/>
  <c r="DG131" i="10"/>
  <c r="Y49" i="20"/>
  <c r="Y50" i="20" s="1"/>
  <c r="BQ40" i="18" s="1"/>
  <c r="A40" i="18" s="1"/>
  <c r="P26" i="20"/>
  <c r="U26" i="20" s="1"/>
  <c r="Q67" i="20"/>
  <c r="U67" i="20" s="1"/>
  <c r="Q71" i="20"/>
  <c r="O43" i="20"/>
  <c r="R48" i="20"/>
  <c r="P32" i="20"/>
  <c r="U32" i="20" s="1"/>
  <c r="Q55" i="20"/>
  <c r="U55" i="20" s="1"/>
  <c r="V55" i="20" s="1"/>
  <c r="O28" i="20"/>
  <c r="R47" i="20"/>
  <c r="O33" i="20"/>
  <c r="P36" i="20"/>
  <c r="U36" i="20" s="1"/>
  <c r="P44" i="20"/>
  <c r="U44" i="20" s="1"/>
  <c r="O77" i="20" s="1"/>
  <c r="P40" i="20"/>
  <c r="U40" i="20" s="1"/>
  <c r="DG157" i="10"/>
  <c r="V157" i="10"/>
  <c r="V138" i="10"/>
  <c r="DG138" i="10"/>
  <c r="DG127" i="10"/>
  <c r="V127" i="10"/>
  <c r="V147" i="10"/>
  <c r="DG147" i="10"/>
  <c r="V84" i="10"/>
  <c r="DG84" i="10"/>
  <c r="V88" i="10"/>
  <c r="DG88" i="10"/>
  <c r="P117" i="20"/>
  <c r="U117" i="20" s="1"/>
  <c r="Q171" i="20"/>
  <c r="U171" i="20" s="1"/>
  <c r="Q163" i="20"/>
  <c r="U163" i="20" s="1"/>
  <c r="Q152" i="20"/>
  <c r="U152" i="20" s="1"/>
  <c r="Q146" i="20"/>
  <c r="U146" i="20" s="1"/>
  <c r="P127" i="20"/>
  <c r="U127" i="20" s="1"/>
  <c r="P124" i="20"/>
  <c r="U124" i="20" s="1"/>
  <c r="O114" i="20"/>
  <c r="P119" i="20"/>
  <c r="U119" i="20" s="1"/>
  <c r="P113" i="20"/>
  <c r="U113" i="20" s="1"/>
  <c r="Q130" i="20"/>
  <c r="U130" i="20" s="1"/>
  <c r="P120" i="20"/>
  <c r="U120" i="20" s="1"/>
  <c r="Q131" i="20"/>
  <c r="U131" i="20" s="1"/>
  <c r="O116" i="20"/>
  <c r="Q182" i="20"/>
  <c r="U182" i="20" s="1"/>
  <c r="Q183" i="20"/>
  <c r="U183" i="20" s="1"/>
  <c r="Q149" i="20"/>
  <c r="U149" i="20" s="1"/>
  <c r="Q168" i="20"/>
  <c r="U168" i="20" s="1"/>
  <c r="P125" i="20"/>
  <c r="U125" i="20" s="1"/>
  <c r="Q151" i="20"/>
  <c r="U151" i="20" s="1"/>
  <c r="P115" i="20"/>
  <c r="U115" i="20" s="1"/>
  <c r="O111" i="20"/>
  <c r="Q138" i="20"/>
  <c r="U138" i="20" s="1"/>
  <c r="O109" i="20"/>
  <c r="Q170" i="20"/>
  <c r="U170" i="20" s="1"/>
  <c r="Q145" i="20"/>
  <c r="U145" i="20" s="1"/>
  <c r="Q154" i="20"/>
  <c r="U154" i="20" s="1"/>
  <c r="Q156" i="20"/>
  <c r="U156" i="20" s="1"/>
  <c r="Q167" i="20"/>
  <c r="U167" i="20" s="1"/>
  <c r="O120" i="20"/>
  <c r="Q142" i="20"/>
  <c r="U142" i="20" s="1"/>
  <c r="O108" i="20"/>
  <c r="G119" i="39"/>
  <c r="DB136" i="10"/>
  <c r="O136" i="10"/>
  <c r="B119" i="39" s="1"/>
  <c r="CY136" i="10"/>
  <c r="CY26" i="10"/>
  <c r="G14" i="39"/>
  <c r="O26" i="10"/>
  <c r="B14" i="39" s="1"/>
  <c r="CY69" i="10"/>
  <c r="G55" i="39"/>
  <c r="O69" i="10"/>
  <c r="B55" i="39" s="1"/>
  <c r="CY63" i="10"/>
  <c r="G49" i="39"/>
  <c r="DB120" i="10"/>
  <c r="CY120" i="10"/>
  <c r="G78" i="39"/>
  <c r="CY94" i="10"/>
  <c r="O94" i="10"/>
  <c r="B78" i="39" s="1"/>
  <c r="CY48" i="10"/>
  <c r="O48" i="10"/>
  <c r="B35" i="39" s="1"/>
  <c r="G35" i="39"/>
  <c r="CY68" i="10"/>
  <c r="G54" i="39"/>
  <c r="B38" i="39"/>
  <c r="F174" i="7"/>
  <c r="B159" i="10" s="1"/>
  <c r="DG58" i="10"/>
  <c r="V58" i="10"/>
  <c r="V69" i="10"/>
  <c r="DG69" i="10"/>
  <c r="V120" i="10"/>
  <c r="DG120" i="10"/>
  <c r="DG48" i="10"/>
  <c r="V48" i="10"/>
  <c r="V95" i="10"/>
  <c r="DG95" i="10"/>
  <c r="DG128" i="10"/>
  <c r="V128" i="10"/>
  <c r="DG52" i="10"/>
  <c r="V52" i="10"/>
  <c r="AI183" i="14"/>
  <c r="AJ183" i="14"/>
  <c r="G68" i="39"/>
  <c r="O84" i="10"/>
  <c r="B68" i="39" s="1"/>
  <c r="CY84" i="10"/>
  <c r="B123" i="33"/>
  <c r="B115" i="33"/>
  <c r="DB156" i="10"/>
  <c r="O156" i="10"/>
  <c r="B139" i="39" s="1"/>
  <c r="G139" i="39"/>
  <c r="CY156" i="10"/>
  <c r="G51" i="39"/>
  <c r="O65" i="10"/>
  <c r="B51" i="39" s="1"/>
  <c r="CY65" i="10"/>
  <c r="CY67" i="10"/>
  <c r="G53" i="39"/>
  <c r="G140" i="39"/>
  <c r="DB157" i="10"/>
  <c r="CY157" i="10"/>
  <c r="O157" i="10"/>
  <c r="B140" i="39" s="1"/>
  <c r="O105" i="10"/>
  <c r="G167" i="7" s="1"/>
  <c r="CY105" i="10"/>
  <c r="G89" i="39"/>
  <c r="O78" i="10"/>
  <c r="B63" i="39" s="1"/>
  <c r="G64" i="39"/>
  <c r="CY78" i="10"/>
  <c r="O92" i="10"/>
  <c r="B76" i="39" s="1"/>
  <c r="CY92" i="10"/>
  <c r="G76" i="39"/>
  <c r="O96" i="10"/>
  <c r="B80" i="39" s="1"/>
  <c r="CY96" i="10"/>
  <c r="DB123" i="10"/>
  <c r="CY123" i="10"/>
  <c r="DG47" i="10"/>
  <c r="V150" i="10"/>
  <c r="DG150" i="10"/>
  <c r="V54" i="10"/>
  <c r="DG54" i="10"/>
  <c r="DG51" i="10"/>
  <c r="V51" i="10"/>
  <c r="V129" i="10"/>
  <c r="DG129" i="10"/>
  <c r="DG89" i="10"/>
  <c r="V89" i="10"/>
  <c r="DG123" i="10"/>
  <c r="V123" i="10"/>
  <c r="DG130" i="10"/>
  <c r="V130" i="10"/>
  <c r="DG68" i="10"/>
  <c r="V68" i="10"/>
  <c r="U20" i="20"/>
  <c r="V20" i="20" s="1"/>
  <c r="O61" i="10"/>
  <c r="B47" i="39" s="1"/>
  <c r="CF61" i="10"/>
  <c r="CF62" i="10" s="1"/>
  <c r="CF63" i="10" s="1"/>
  <c r="CF64" i="10" s="1"/>
  <c r="CF65" i="10" s="1"/>
  <c r="CF67" i="10" s="1"/>
  <c r="CF68" i="10" s="1"/>
  <c r="CF69" i="10" s="1"/>
  <c r="CF71" i="10" s="1"/>
  <c r="CF72" i="10" s="1"/>
  <c r="R33" i="24" s="1"/>
  <c r="S33" i="24" s="1"/>
  <c r="CY61" i="10"/>
  <c r="G47" i="39"/>
  <c r="G45" i="39"/>
  <c r="O58" i="10"/>
  <c r="B45" i="39" s="1"/>
  <c r="CY58" i="10"/>
  <c r="O44" i="10"/>
  <c r="B31" i="39" s="1"/>
  <c r="CY44" i="10"/>
  <c r="G31" i="39"/>
  <c r="G109" i="39"/>
  <c r="DB126" i="10"/>
  <c r="O126" i="10"/>
  <c r="B109" i="39" s="1"/>
  <c r="CY126" i="10"/>
  <c r="O104" i="10"/>
  <c r="B88" i="39" s="1"/>
  <c r="CY104" i="10"/>
  <c r="G88" i="39"/>
  <c r="O108" i="10"/>
  <c r="B91" i="39" s="1"/>
  <c r="CY108" i="10"/>
  <c r="DB108" i="10"/>
  <c r="G91" i="39"/>
  <c r="CY145" i="10"/>
  <c r="G128" i="39"/>
  <c r="CY103" i="10"/>
  <c r="G87" i="39"/>
  <c r="O103" i="10"/>
  <c r="B87" i="39" s="1"/>
  <c r="CY113" i="10"/>
  <c r="G96" i="39"/>
  <c r="O25" i="10"/>
  <c r="CY25" i="10"/>
  <c r="G13" i="39"/>
  <c r="O134" i="10"/>
  <c r="B117" i="39" s="1"/>
  <c r="G117" i="39"/>
  <c r="CY134" i="10"/>
  <c r="O109" i="10"/>
  <c r="B92" i="39" s="1"/>
  <c r="CY109" i="10"/>
  <c r="G92" i="39"/>
  <c r="G4" i="39"/>
  <c r="O16" i="10"/>
  <c r="CY16" i="10"/>
  <c r="B2" i="39"/>
  <c r="O78" i="20"/>
  <c r="O80" i="20" s="1"/>
  <c r="V19" i="20"/>
  <c r="O74" i="20"/>
  <c r="AA116" i="33"/>
  <c r="Z116" i="33"/>
  <c r="AD116" i="33"/>
  <c r="V181" i="20"/>
  <c r="C92" i="18"/>
  <c r="C49" i="18"/>
  <c r="V132" i="20"/>
  <c r="AQ127" i="33"/>
  <c r="AT127" i="33"/>
  <c r="AS127" i="33"/>
  <c r="AN127" i="33"/>
  <c r="AO127" i="33"/>
  <c r="AP127" i="33"/>
  <c r="AP66" i="33"/>
  <c r="AT66" i="33"/>
  <c r="AO66" i="33"/>
  <c r="AP94" i="33"/>
  <c r="AT94" i="33"/>
  <c r="AO94" i="33"/>
  <c r="AP69" i="33"/>
  <c r="AO69" i="33"/>
  <c r="AT69" i="33"/>
  <c r="AO92" i="33"/>
  <c r="AT92" i="33"/>
  <c r="AP92" i="33"/>
  <c r="AP46" i="33"/>
  <c r="AT46" i="33"/>
  <c r="AO46" i="33"/>
  <c r="Z66" i="33"/>
  <c r="AA66" i="33"/>
  <c r="AD66" i="33"/>
  <c r="AD111" i="33"/>
  <c r="Z111" i="33"/>
  <c r="AA111" i="33"/>
  <c r="AD67" i="33"/>
  <c r="Z67" i="33"/>
  <c r="AA67" i="33"/>
  <c r="O191" i="20"/>
  <c r="V179" i="20"/>
  <c r="C90" i="18"/>
  <c r="V133" i="20"/>
  <c r="C50" i="18"/>
  <c r="O234" i="20"/>
  <c r="P234" i="20" s="1"/>
  <c r="V161" i="20"/>
  <c r="C54" i="18"/>
  <c r="V137" i="20"/>
  <c r="C64" i="18"/>
  <c r="V147" i="20"/>
  <c r="C56" i="18"/>
  <c r="V139" i="20"/>
  <c r="V174" i="20"/>
  <c r="C85" i="18"/>
  <c r="C87" i="18"/>
  <c r="V176" i="20"/>
  <c r="C83" i="18"/>
  <c r="V172" i="20"/>
  <c r="Y129" i="33"/>
  <c r="AA129" i="33"/>
  <c r="Z129" i="33"/>
  <c r="AD129" i="33"/>
  <c r="AB129" i="33"/>
  <c r="AE129" i="33"/>
  <c r="H30" i="18"/>
  <c r="B30" i="18"/>
  <c r="AP42" i="33"/>
  <c r="AO42" i="33"/>
  <c r="AT42" i="33"/>
  <c r="AT93" i="33"/>
  <c r="AP93" i="33"/>
  <c r="AO93" i="33"/>
  <c r="AO49" i="33"/>
  <c r="AT49" i="33"/>
  <c r="AP49" i="33"/>
  <c r="AT54" i="33"/>
  <c r="AO54" i="33"/>
  <c r="AP54" i="33"/>
  <c r="AT73" i="33"/>
  <c r="AP73" i="33"/>
  <c r="AO73" i="33"/>
  <c r="AO85" i="33"/>
  <c r="AP85" i="33"/>
  <c r="AT85" i="33"/>
  <c r="AP121" i="33"/>
  <c r="AQ121" i="33"/>
  <c r="AT121" i="33"/>
  <c r="AS121" i="33"/>
  <c r="AN121" i="33"/>
  <c r="AO121" i="33"/>
  <c r="AP57" i="33"/>
  <c r="AO57" i="33"/>
  <c r="AT57" i="33"/>
  <c r="AT125" i="33"/>
  <c r="AP125" i="33"/>
  <c r="AN125" i="33"/>
  <c r="AO125" i="33"/>
  <c r="AQ125" i="33"/>
  <c r="AS125" i="33"/>
  <c r="AO111" i="33"/>
  <c r="AP111" i="33"/>
  <c r="AN111" i="33"/>
  <c r="AQ111" i="33"/>
  <c r="AS111" i="33"/>
  <c r="AT111" i="33"/>
  <c r="AT124" i="33"/>
  <c r="AN124" i="33"/>
  <c r="AQ124" i="33"/>
  <c r="AP124" i="33"/>
  <c r="AO124" i="33"/>
  <c r="AS124" i="33"/>
  <c r="AP48" i="33"/>
  <c r="AO48" i="33"/>
  <c r="AT48" i="33"/>
  <c r="AO41" i="33"/>
  <c r="AP41" i="33"/>
  <c r="AT41" i="33"/>
  <c r="AT95" i="33"/>
  <c r="AP95" i="33"/>
  <c r="AO95" i="33"/>
  <c r="AO70" i="33"/>
  <c r="AT70" i="33"/>
  <c r="AP70" i="33"/>
  <c r="AP37" i="33"/>
  <c r="AT37" i="33"/>
  <c r="AO37" i="33"/>
  <c r="AS110" i="33"/>
  <c r="AO110" i="33"/>
  <c r="AQ110" i="33"/>
  <c r="AP110" i="33"/>
  <c r="AT110" i="33"/>
  <c r="AN110" i="33"/>
  <c r="AT90" i="33"/>
  <c r="AO90" i="33"/>
  <c r="AP90" i="33"/>
  <c r="AP98" i="33"/>
  <c r="AO98" i="33"/>
  <c r="AT98" i="33"/>
  <c r="AP113" i="33"/>
  <c r="AN113" i="33"/>
  <c r="AS113" i="33"/>
  <c r="AT113" i="33"/>
  <c r="AQ113" i="33"/>
  <c r="AO113" i="33"/>
  <c r="AD55" i="33"/>
  <c r="AA55" i="33"/>
  <c r="Z55" i="33"/>
  <c r="AD71" i="33"/>
  <c r="AA71" i="33"/>
  <c r="Z71" i="33"/>
  <c r="AD70" i="33"/>
  <c r="AA70" i="33"/>
  <c r="Z70" i="33"/>
  <c r="Z100" i="33"/>
  <c r="AD100" i="33"/>
  <c r="AA100" i="33"/>
  <c r="Z68" i="33"/>
  <c r="AA68" i="33"/>
  <c r="AD68" i="33"/>
  <c r="Z64" i="33"/>
  <c r="AD64" i="33"/>
  <c r="AA64" i="33"/>
  <c r="Z76" i="33"/>
  <c r="AD76" i="33"/>
  <c r="AA76" i="33"/>
  <c r="Z61" i="33"/>
  <c r="AD61" i="33"/>
  <c r="AA61" i="33"/>
  <c r="Z88" i="33"/>
  <c r="AA88" i="33"/>
  <c r="AD88" i="33"/>
  <c r="Z107" i="33"/>
  <c r="AD107" i="33"/>
  <c r="AA107" i="33"/>
  <c r="AB107" i="33"/>
  <c r="AE107" i="33"/>
  <c r="Y107" i="33"/>
  <c r="AD62" i="33"/>
  <c r="AA62" i="33"/>
  <c r="Z62" i="33"/>
  <c r="Z54" i="33"/>
  <c r="AA54" i="33"/>
  <c r="AD54" i="33"/>
  <c r="AA98" i="33"/>
  <c r="AD98" i="33"/>
  <c r="Z98" i="33"/>
  <c r="AD102" i="33"/>
  <c r="AA102" i="33"/>
  <c r="Z102" i="33"/>
  <c r="G168" i="39"/>
  <c r="CN185" i="10"/>
  <c r="O185" i="10"/>
  <c r="B149" i="39" s="1"/>
  <c r="V134" i="20"/>
  <c r="C51" i="18"/>
  <c r="C52" i="18"/>
  <c r="V135" i="20"/>
  <c r="V166" i="20"/>
  <c r="C78" i="18"/>
  <c r="V136" i="20"/>
  <c r="C53" i="18"/>
  <c r="C86" i="18"/>
  <c r="V175" i="20"/>
  <c r="Y131" i="33"/>
  <c r="AE131" i="33"/>
  <c r="AD131" i="33"/>
  <c r="AT64" i="33"/>
  <c r="AO64" i="33"/>
  <c r="AP64" i="33"/>
  <c r="AT81" i="33"/>
  <c r="AO81" i="33"/>
  <c r="AP81" i="33"/>
  <c r="AO52" i="33"/>
  <c r="AT52" i="33"/>
  <c r="AP52" i="33"/>
  <c r="AP88" i="33"/>
  <c r="AO88" i="33"/>
  <c r="AT88" i="33"/>
  <c r="AO63" i="33"/>
  <c r="AP63" i="33"/>
  <c r="AT63" i="33"/>
  <c r="AS112" i="33"/>
  <c r="AT112" i="33"/>
  <c r="AP112" i="33"/>
  <c r="AN112" i="33"/>
  <c r="AQ112" i="33"/>
  <c r="AO112" i="33"/>
  <c r="Z90" i="33"/>
  <c r="AD90" i="33"/>
  <c r="AA90" i="33"/>
  <c r="AD80" i="33"/>
  <c r="Z80" i="33"/>
  <c r="AA80" i="33"/>
  <c r="AD63" i="33"/>
  <c r="Z63" i="33"/>
  <c r="AA63" i="33"/>
  <c r="AD65" i="33"/>
  <c r="Z65" i="33"/>
  <c r="AA65" i="33"/>
  <c r="Z74" i="33"/>
  <c r="AD74" i="33"/>
  <c r="AA74" i="33"/>
  <c r="G167" i="39"/>
  <c r="O75" i="20"/>
  <c r="AD120" i="33"/>
  <c r="Z120" i="33"/>
  <c r="AA120" i="33"/>
  <c r="V177" i="20"/>
  <c r="C88" i="18"/>
  <c r="C71" i="18"/>
  <c r="V155" i="20"/>
  <c r="V158" i="20"/>
  <c r="C74" i="18"/>
  <c r="V150" i="20"/>
  <c r="C67" i="18"/>
  <c r="C60" i="18"/>
  <c r="V143" i="20"/>
  <c r="V157" i="20"/>
  <c r="C73" i="18"/>
  <c r="V140" i="20"/>
  <c r="C57" i="18"/>
  <c r="V141" i="20"/>
  <c r="C58" i="18"/>
  <c r="C65" i="18"/>
  <c r="V148" i="20"/>
  <c r="B257" i="20"/>
  <c r="C96" i="18" s="1"/>
  <c r="D257" i="20"/>
  <c r="C257" i="20" s="1"/>
  <c r="O96" i="18" s="1"/>
  <c r="C70" i="18"/>
  <c r="V153" i="20"/>
  <c r="C75" i="18"/>
  <c r="V159" i="20"/>
  <c r="C91" i="18"/>
  <c r="V180" i="20"/>
  <c r="AD130" i="33"/>
  <c r="Y130" i="33"/>
  <c r="AE130" i="33"/>
  <c r="AO53" i="33"/>
  <c r="AT53" i="33"/>
  <c r="AP53" i="33"/>
  <c r="AS122" i="33"/>
  <c r="AO122" i="33"/>
  <c r="AQ122" i="33"/>
  <c r="AN122" i="33"/>
  <c r="AP122" i="33"/>
  <c r="AT122" i="33"/>
  <c r="AT55" i="33"/>
  <c r="AP55" i="33"/>
  <c r="AO55" i="33"/>
  <c r="AS109" i="33"/>
  <c r="AP109" i="33"/>
  <c r="AQ109" i="33"/>
  <c r="AN109" i="33"/>
  <c r="AT109" i="33"/>
  <c r="AO109" i="33"/>
  <c r="AT71" i="33"/>
  <c r="AO71" i="33"/>
  <c r="AP71" i="33"/>
  <c r="AT83" i="33"/>
  <c r="AP83" i="33"/>
  <c r="AO83" i="33"/>
  <c r="AO89" i="33"/>
  <c r="AT89" i="33"/>
  <c r="AP89" i="33"/>
  <c r="AP123" i="33"/>
  <c r="AQ123" i="33"/>
  <c r="AT123" i="33"/>
  <c r="AO123" i="33"/>
  <c r="AN123" i="33"/>
  <c r="AS123" i="33"/>
  <c r="AP39" i="33"/>
  <c r="AO39" i="33"/>
  <c r="AT39" i="33"/>
  <c r="AO116" i="33"/>
  <c r="AQ116" i="33"/>
  <c r="AT116" i="33"/>
  <c r="AS116" i="33"/>
  <c r="AN116" i="33"/>
  <c r="AP116" i="33"/>
  <c r="AS126" i="33"/>
  <c r="AO126" i="33"/>
  <c r="AN126" i="33"/>
  <c r="AQ126" i="33"/>
  <c r="AP126" i="33"/>
  <c r="AT126" i="33"/>
  <c r="AO86" i="33"/>
  <c r="AT86" i="33"/>
  <c r="AP86" i="33"/>
  <c r="AT43" i="33"/>
  <c r="AP43" i="33"/>
  <c r="AO43" i="33"/>
  <c r="AP45" i="33"/>
  <c r="AO45" i="33"/>
  <c r="AT45" i="33"/>
  <c r="AP84" i="33"/>
  <c r="AT84" i="33"/>
  <c r="AO84" i="33"/>
  <c r="AT97" i="33"/>
  <c r="AP97" i="33"/>
  <c r="AO97" i="33"/>
  <c r="AP77" i="33"/>
  <c r="AO77" i="33"/>
  <c r="AT77" i="33"/>
  <c r="AP79" i="33"/>
  <c r="AT79" i="33"/>
  <c r="AO79" i="33"/>
  <c r="AO47" i="33"/>
  <c r="AT47" i="33"/>
  <c r="AP47" i="33"/>
  <c r="AT75" i="33"/>
  <c r="AP75" i="33"/>
  <c r="AO75" i="33"/>
  <c r="AA106" i="33"/>
  <c r="Z106" i="33"/>
  <c r="AB106" i="33"/>
  <c r="AD106" i="33"/>
  <c r="Y106" i="33"/>
  <c r="AE106" i="33"/>
  <c r="AA101" i="33"/>
  <c r="AD101" i="33"/>
  <c r="Z101" i="33"/>
  <c r="AA97" i="33"/>
  <c r="AD97" i="33"/>
  <c r="Z97" i="33"/>
  <c r="Z60" i="33"/>
  <c r="AD60" i="33"/>
  <c r="AA60" i="33"/>
  <c r="AA95" i="33"/>
  <c r="AD95" i="33"/>
  <c r="Z95" i="33"/>
  <c r="AA87" i="33"/>
  <c r="Z87" i="33"/>
  <c r="AD87" i="33"/>
  <c r="Z75" i="33"/>
  <c r="AA75" i="33"/>
  <c r="AD75" i="33"/>
  <c r="AA85" i="33"/>
  <c r="AD85" i="33"/>
  <c r="Z85" i="33"/>
  <c r="AD83" i="33"/>
  <c r="Z83" i="33"/>
  <c r="AA83" i="33"/>
  <c r="AD108" i="33"/>
  <c r="AE108" i="33"/>
  <c r="AA108" i="33"/>
  <c r="Z108" i="33"/>
  <c r="AB108" i="33"/>
  <c r="Y108" i="33"/>
  <c r="AD110" i="33"/>
  <c r="AA110" i="33"/>
  <c r="Z110" i="33"/>
  <c r="Y105" i="33"/>
  <c r="AB105" i="33"/>
  <c r="AE105" i="33"/>
  <c r="AA105" i="33"/>
  <c r="Z105" i="33"/>
  <c r="AD105" i="33"/>
  <c r="AD79" i="33"/>
  <c r="Z79" i="33"/>
  <c r="AA79" i="33"/>
  <c r="AA84" i="33"/>
  <c r="Z84" i="33"/>
  <c r="AD84" i="33"/>
  <c r="G160" i="39"/>
  <c r="O177" i="10"/>
  <c r="B141" i="39" s="1"/>
  <c r="CN177" i="10"/>
  <c r="CN183" i="10"/>
  <c r="O183" i="10"/>
  <c r="B147" i="39" s="1"/>
  <c r="G166" i="39"/>
  <c r="V178" i="20"/>
  <c r="C89" i="18"/>
  <c r="C77" i="18"/>
  <c r="V164" i="20"/>
  <c r="C76" i="18"/>
  <c r="V160" i="20"/>
  <c r="C81" i="18"/>
  <c r="V169" i="20"/>
  <c r="AO87" i="33"/>
  <c r="AP87" i="33"/>
  <c r="AT87" i="33"/>
  <c r="AN108" i="33"/>
  <c r="AT108" i="33"/>
  <c r="AP108" i="33"/>
  <c r="AO108" i="33"/>
  <c r="AS108" i="33"/>
  <c r="AQ108" i="33"/>
  <c r="AP67" i="33"/>
  <c r="AO67" i="33"/>
  <c r="AT67" i="33"/>
  <c r="AT72" i="33"/>
  <c r="AP72" i="33"/>
  <c r="AO76" i="33"/>
  <c r="AP76" i="33"/>
  <c r="AT76" i="33"/>
  <c r="AO58" i="33"/>
  <c r="AT58" i="33"/>
  <c r="AP58" i="33"/>
  <c r="AP60" i="33"/>
  <c r="AT60" i="33"/>
  <c r="AO60" i="33"/>
  <c r="AA78" i="33"/>
  <c r="Z78" i="33"/>
  <c r="AD78" i="33"/>
  <c r="AA59" i="33"/>
  <c r="Z59" i="33"/>
  <c r="AD59" i="33"/>
  <c r="AD91" i="33"/>
  <c r="Z91" i="33"/>
  <c r="AA91" i="33"/>
  <c r="AD86" i="33"/>
  <c r="Z86" i="33"/>
  <c r="AA86" i="33"/>
  <c r="AD89" i="33"/>
  <c r="Z89" i="33"/>
  <c r="AA89" i="33"/>
  <c r="Z99" i="33"/>
  <c r="AD99" i="33"/>
  <c r="AA99" i="33"/>
  <c r="O182" i="10"/>
  <c r="B146" i="39" s="1"/>
  <c r="G165" i="39"/>
  <c r="CN182" i="10"/>
  <c r="Z117" i="33"/>
  <c r="AD117" i="33"/>
  <c r="AA117" i="33"/>
  <c r="V129" i="20"/>
  <c r="C46" i="18"/>
  <c r="V162" i="20"/>
  <c r="O235" i="20"/>
  <c r="P235" i="20" s="1"/>
  <c r="C61" i="18"/>
  <c r="V144" i="20"/>
  <c r="E153" i="20"/>
  <c r="E308" i="20"/>
  <c r="Q91" i="18" s="1"/>
  <c r="E312" i="20"/>
  <c r="Q93" i="18" s="1"/>
  <c r="BP6" i="14"/>
  <c r="E311" i="20"/>
  <c r="Q92" i="18" s="1"/>
  <c r="E152" i="20"/>
  <c r="D308" i="20"/>
  <c r="E313" i="20"/>
  <c r="Q94" i="18" s="1"/>
  <c r="E154" i="20"/>
  <c r="V173" i="20"/>
  <c r="C84" i="18"/>
  <c r="Y132" i="33"/>
  <c r="Z132" i="33"/>
  <c r="AB132" i="33"/>
  <c r="AA132" i="33"/>
  <c r="AE132" i="33"/>
  <c r="AD132" i="33"/>
  <c r="Z133" i="33"/>
  <c r="AA133" i="33"/>
  <c r="AB133" i="33"/>
  <c r="AE133" i="33"/>
  <c r="Y133" i="33"/>
  <c r="AD133" i="33"/>
  <c r="AT38" i="33"/>
  <c r="AO38" i="33"/>
  <c r="AP38" i="33"/>
  <c r="AT74" i="33"/>
  <c r="AO74" i="33"/>
  <c r="AP74" i="33"/>
  <c r="AP61" i="33"/>
  <c r="AT61" i="33"/>
  <c r="AO61" i="33"/>
  <c r="AT44" i="33"/>
  <c r="AO44" i="33"/>
  <c r="AP44" i="33"/>
  <c r="AT59" i="33"/>
  <c r="AO59" i="33"/>
  <c r="AP59" i="33"/>
  <c r="AO51" i="33"/>
  <c r="AT51" i="33"/>
  <c r="AP51" i="33"/>
  <c r="AQ117" i="33"/>
  <c r="AN117" i="33"/>
  <c r="AP117" i="33"/>
  <c r="AS117" i="33"/>
  <c r="AO117" i="33"/>
  <c r="AT117" i="33"/>
  <c r="AO50" i="33"/>
  <c r="AP50" i="33"/>
  <c r="AT50" i="33"/>
  <c r="AT91" i="33"/>
  <c r="AP91" i="33"/>
  <c r="AO91" i="33"/>
  <c r="AP62" i="33"/>
  <c r="AT62" i="33"/>
  <c r="AO62" i="33"/>
  <c r="AP114" i="33"/>
  <c r="AO114" i="33"/>
  <c r="AS114" i="33"/>
  <c r="AT114" i="33"/>
  <c r="AQ114" i="33"/>
  <c r="AN114" i="33"/>
  <c r="AN99" i="33"/>
  <c r="AO99" i="33"/>
  <c r="AQ99" i="33"/>
  <c r="AT99" i="33"/>
  <c r="AP99" i="33"/>
  <c r="AS99" i="33"/>
  <c r="J83" i="22" s="1"/>
  <c r="AP82" i="33"/>
  <c r="AO82" i="33"/>
  <c r="AT82" i="33"/>
  <c r="AO80" i="33"/>
  <c r="AP80" i="33"/>
  <c r="AT80" i="33"/>
  <c r="AP96" i="33"/>
  <c r="AO96" i="33"/>
  <c r="AT96" i="33"/>
  <c r="AT78" i="33"/>
  <c r="AP78" i="33"/>
  <c r="AO78" i="33"/>
  <c r="AN115" i="33"/>
  <c r="AP115" i="33"/>
  <c r="AT115" i="33"/>
  <c r="AO115" i="33"/>
  <c r="AQ115" i="33"/>
  <c r="AS115" i="33"/>
  <c r="AT68" i="33"/>
  <c r="AP68" i="33"/>
  <c r="AO68" i="33"/>
  <c r="AP65" i="33"/>
  <c r="AT65" i="33"/>
  <c r="AO65" i="33"/>
  <c r="AO40" i="33"/>
  <c r="AT40" i="33"/>
  <c r="AP40" i="33"/>
  <c r="Z69" i="33"/>
  <c r="AA69" i="33"/>
  <c r="AD69" i="33"/>
  <c r="AA94" i="33"/>
  <c r="AD94" i="33"/>
  <c r="Z94" i="33"/>
  <c r="AD72" i="33"/>
  <c r="AA72" i="33"/>
  <c r="Z72" i="33"/>
  <c r="AD81" i="33"/>
  <c r="Z81" i="33"/>
  <c r="AA81" i="33"/>
  <c r="AA57" i="33"/>
  <c r="Z57" i="33"/>
  <c r="AD57" i="33"/>
  <c r="AA56" i="33"/>
  <c r="Z56" i="33"/>
  <c r="AD56" i="33"/>
  <c r="Z73" i="33"/>
  <c r="AA73" i="33"/>
  <c r="AD73" i="33"/>
  <c r="Z93" i="33"/>
  <c r="AA93" i="33"/>
  <c r="AD93" i="33"/>
  <c r="AA104" i="33"/>
  <c r="Z104" i="33"/>
  <c r="AD104" i="33"/>
  <c r="AA53" i="33"/>
  <c r="Z53" i="33"/>
  <c r="AD53" i="33"/>
  <c r="Z58" i="33"/>
  <c r="AA58" i="33"/>
  <c r="AD58" i="33"/>
  <c r="AB109" i="33"/>
  <c r="Z109" i="33"/>
  <c r="AD109" i="33"/>
  <c r="Y109" i="33"/>
  <c r="AA109" i="33"/>
  <c r="AD103" i="33"/>
  <c r="Z103" i="33"/>
  <c r="AA103" i="33"/>
  <c r="Z92" i="33"/>
  <c r="AA92" i="33"/>
  <c r="AD92" i="33"/>
  <c r="G169" i="39"/>
  <c r="O186" i="10"/>
  <c r="B150" i="39" s="1"/>
  <c r="CN186" i="10"/>
  <c r="CN179" i="10"/>
  <c r="O179" i="10"/>
  <c r="B143" i="39" s="1"/>
  <c r="G162" i="39"/>
  <c r="CN180" i="10"/>
  <c r="G163" i="39"/>
  <c r="O180" i="10"/>
  <c r="B144" i="39" s="1"/>
  <c r="DB67" i="10"/>
  <c r="BR41" i="18"/>
  <c r="BQ41" i="18" s="1"/>
  <c r="G165" i="7"/>
  <c r="G159" i="7"/>
  <c r="S47" i="24"/>
  <c r="R48" i="24" s="1"/>
  <c r="S48" i="24" s="1"/>
  <c r="B47" i="24"/>
  <c r="E33" i="24"/>
  <c r="R34" i="24"/>
  <c r="S34" i="24" s="1"/>
  <c r="GX66" i="7"/>
  <c r="B75" i="39"/>
  <c r="J55" i="3"/>
  <c r="P30" i="24"/>
  <c r="I30" i="24" s="1"/>
  <c r="L30" i="24"/>
  <c r="CA34" i="10"/>
  <c r="CB34" i="10"/>
  <c r="B22" i="39"/>
  <c r="BZ34" i="10"/>
  <c r="B33" i="24"/>
  <c r="H33" i="24"/>
  <c r="A33" i="24" s="1"/>
  <c r="B101" i="39"/>
  <c r="DB132" i="10"/>
  <c r="CA19" i="10"/>
  <c r="BZ19" i="10"/>
  <c r="B7" i="39"/>
  <c r="CB19" i="10"/>
  <c r="CB31" i="10"/>
  <c r="BZ31" i="10"/>
  <c r="CA31" i="10"/>
  <c r="B19" i="39"/>
  <c r="CA36" i="10"/>
  <c r="CB36" i="10"/>
  <c r="BZ36" i="10"/>
  <c r="B24" i="39"/>
  <c r="B11" i="39"/>
  <c r="BZ23" i="10"/>
  <c r="CA23" i="10"/>
  <c r="CB23" i="10"/>
  <c r="B3" i="39"/>
  <c r="BZ15" i="10"/>
  <c r="CB15" i="10"/>
  <c r="CA15" i="10"/>
  <c r="B120" i="39"/>
  <c r="DB149" i="10"/>
  <c r="CN54" i="7"/>
  <c r="CN151" i="7"/>
  <c r="CN86" i="7"/>
  <c r="CN64" i="7"/>
  <c r="CN101" i="7"/>
  <c r="CN20" i="7"/>
  <c r="CN40" i="7"/>
  <c r="CN138" i="7"/>
  <c r="CN68" i="7"/>
  <c r="CN81" i="7"/>
  <c r="CN87" i="7"/>
  <c r="CN39" i="7"/>
  <c r="CN35" i="7"/>
  <c r="CN10" i="7"/>
  <c r="CN174" i="7"/>
  <c r="CN47" i="7"/>
  <c r="CN70" i="7"/>
  <c r="CN120" i="7"/>
  <c r="CN149" i="7"/>
  <c r="CN170" i="7"/>
  <c r="CN122" i="7"/>
  <c r="CN150" i="7"/>
  <c r="AO5" i="3" s="1"/>
  <c r="CN15" i="7"/>
  <c r="CN93" i="7"/>
  <c r="CN33" i="7"/>
  <c r="CN27" i="7"/>
  <c r="CN31" i="7"/>
  <c r="CN160" i="7"/>
  <c r="CN41" i="7"/>
  <c r="CN112" i="7"/>
  <c r="CN13" i="7"/>
  <c r="CN23" i="7"/>
  <c r="CN134" i="7"/>
  <c r="CN44" i="7"/>
  <c r="CN72" i="7"/>
  <c r="CN108" i="7"/>
  <c r="CN146" i="7"/>
  <c r="CN59" i="7"/>
  <c r="CN139" i="7"/>
  <c r="CN143" i="7"/>
  <c r="CN144" i="7"/>
  <c r="CN137" i="7"/>
  <c r="CN50" i="7"/>
  <c r="CN164" i="7"/>
  <c r="CN158" i="7"/>
  <c r="CN88" i="7"/>
  <c r="CN115" i="7"/>
  <c r="CN63" i="7"/>
  <c r="U78" i="24"/>
  <c r="CN92" i="7"/>
  <c r="CN176" i="7"/>
  <c r="CN69" i="7"/>
  <c r="CN45" i="7"/>
  <c r="CN37" i="7"/>
  <c r="CN127" i="7"/>
  <c r="CN76" i="7"/>
  <c r="CN129" i="7"/>
  <c r="CN82" i="7"/>
  <c r="CN58" i="7"/>
  <c r="CN113" i="7"/>
  <c r="CN89" i="7"/>
  <c r="CN148" i="7"/>
  <c r="CN25" i="7"/>
  <c r="CN97" i="7"/>
  <c r="CN90" i="7"/>
  <c r="CN110" i="7"/>
  <c r="CN161" i="7"/>
  <c r="CN171" i="7"/>
  <c r="CN155" i="7"/>
  <c r="CN57" i="7"/>
  <c r="CN24" i="7"/>
  <c r="CN30" i="7"/>
  <c r="CN18" i="7"/>
  <c r="CN175" i="7"/>
  <c r="CN14" i="7"/>
  <c r="CN121" i="7"/>
  <c r="CN117" i="7"/>
  <c r="CN106" i="7"/>
  <c r="CN178" i="7"/>
  <c r="CN172" i="7"/>
  <c r="CN60" i="7"/>
  <c r="CN168" i="7"/>
  <c r="CN96" i="7"/>
  <c r="CN169" i="7"/>
  <c r="CN118" i="7"/>
  <c r="CN104" i="7"/>
  <c r="CN130" i="7"/>
  <c r="CN173" i="7"/>
  <c r="CN66" i="7"/>
  <c r="CN5" i="7"/>
  <c r="CN8" i="7"/>
  <c r="CN145" i="7"/>
  <c r="CN43" i="7"/>
  <c r="CN159" i="7"/>
  <c r="CN166" i="7"/>
  <c r="CN167" i="7"/>
  <c r="CN55" i="7"/>
  <c r="CN124" i="7"/>
  <c r="CN165" i="7"/>
  <c r="CN125" i="7"/>
  <c r="CN133" i="7"/>
  <c r="CN7" i="7"/>
  <c r="CN17" i="7"/>
  <c r="CN61" i="7"/>
  <c r="CN80" i="7"/>
  <c r="CN142" i="7"/>
  <c r="CN123" i="7"/>
  <c r="CN11" i="7"/>
  <c r="CN140" i="7"/>
  <c r="CN84" i="7"/>
  <c r="CN67" i="7"/>
  <c r="CN103" i="7"/>
  <c r="CN94" i="7"/>
  <c r="CN28" i="7"/>
  <c r="CN141" i="7"/>
  <c r="CN51" i="7"/>
  <c r="CN85" i="7"/>
  <c r="CN132" i="7"/>
  <c r="CN131" i="7"/>
  <c r="CN21" i="7"/>
  <c r="CN34" i="7"/>
  <c r="CN48" i="7"/>
  <c r="CN6" i="7"/>
  <c r="CN29" i="7"/>
  <c r="CN36" i="7"/>
  <c r="CN16" i="7"/>
  <c r="CN105" i="7"/>
  <c r="CN4" i="7"/>
  <c r="CN62" i="7"/>
  <c r="CN153" i="7"/>
  <c r="CN154" i="7"/>
  <c r="CN100" i="7"/>
  <c r="CN12" i="7"/>
  <c r="CN42" i="7"/>
  <c r="CN22" i="7"/>
  <c r="CN95" i="7"/>
  <c r="CN65" i="7"/>
  <c r="CN114" i="7"/>
  <c r="CN157" i="7"/>
  <c r="CN46" i="7"/>
  <c r="CN126" i="7"/>
  <c r="CN26" i="7"/>
  <c r="CN75" i="7"/>
  <c r="CN99" i="7"/>
  <c r="CN156" i="7"/>
  <c r="CN49" i="7"/>
  <c r="CN56" i="7"/>
  <c r="CN162" i="7"/>
  <c r="CN119" i="7"/>
  <c r="CN102" i="7"/>
  <c r="CN163" i="7"/>
  <c r="CN128" i="7"/>
  <c r="CN71" i="7"/>
  <c r="CN109" i="7"/>
  <c r="CN135" i="7"/>
  <c r="CN73" i="7"/>
  <c r="CN91" i="7"/>
  <c r="CN9" i="7"/>
  <c r="CN111" i="7"/>
  <c r="CN177" i="7"/>
  <c r="CN98" i="7"/>
  <c r="CN83" i="7"/>
  <c r="CN38" i="7"/>
  <c r="CN147" i="7"/>
  <c r="CN78" i="7"/>
  <c r="CN74" i="7"/>
  <c r="CN107" i="7"/>
  <c r="CN116" i="7"/>
  <c r="CN79" i="7"/>
  <c r="CN77" i="7"/>
  <c r="CN152" i="7"/>
  <c r="CN32" i="7"/>
  <c r="CN136" i="7"/>
  <c r="CN19" i="7"/>
  <c r="B23" i="39"/>
  <c r="BZ35" i="10"/>
  <c r="CA35" i="10"/>
  <c r="CB35" i="10"/>
  <c r="E47" i="24"/>
  <c r="DB124" i="10"/>
  <c r="B81" i="39"/>
  <c r="CA37" i="10"/>
  <c r="B25" i="39"/>
  <c r="CB37" i="10"/>
  <c r="BZ37" i="10"/>
  <c r="CB33" i="10"/>
  <c r="CA33" i="10"/>
  <c r="B21" i="39"/>
  <c r="BZ33" i="10"/>
  <c r="CB38" i="10"/>
  <c r="BZ38" i="10"/>
  <c r="B26" i="39"/>
  <c r="CA38" i="10"/>
  <c r="B27" i="39"/>
  <c r="BZ39" i="10"/>
  <c r="CB39" i="10"/>
  <c r="CA39" i="10"/>
  <c r="J30" i="24"/>
  <c r="BZ17" i="10"/>
  <c r="CA17" i="10"/>
  <c r="CB17" i="10"/>
  <c r="B5" i="39"/>
  <c r="B128" i="39"/>
  <c r="DB150" i="10"/>
  <c r="CA21" i="10"/>
  <c r="CB21" i="10"/>
  <c r="BZ21" i="10"/>
  <c r="B9" i="39"/>
  <c r="BZ24" i="10"/>
  <c r="CB24" i="10"/>
  <c r="CA24" i="10"/>
  <c r="B12" i="39"/>
  <c r="BZ40" i="10"/>
  <c r="CB40" i="10"/>
  <c r="B28" i="39"/>
  <c r="CA40" i="10"/>
  <c r="Z39" i="28"/>
  <c r="A40" i="28" s="1"/>
  <c r="U32" i="24"/>
  <c r="V32" i="24" s="1"/>
  <c r="R49" i="24"/>
  <c r="S49" i="24" s="1"/>
  <c r="J31" i="24"/>
  <c r="P31" i="24"/>
  <c r="I31" i="24" s="1"/>
  <c r="L31" i="24"/>
  <c r="H48" i="24"/>
  <c r="A48" i="24" s="1"/>
  <c r="B48" i="24"/>
  <c r="E48" i="24"/>
  <c r="CH190" i="10"/>
  <c r="G171" i="39"/>
  <c r="CN188" i="10"/>
  <c r="AF32" i="33"/>
  <c r="A31" i="33"/>
  <c r="AD39" i="28"/>
  <c r="O39" i="28"/>
  <c r="Q39" i="28"/>
  <c r="R39" i="28" s="1"/>
  <c r="B39" i="28"/>
  <c r="AG39" i="28"/>
  <c r="AC39" i="28"/>
  <c r="P39" i="28"/>
  <c r="C39" i="28"/>
  <c r="T39" i="28"/>
  <c r="S39" i="28" s="1"/>
  <c r="R11" i="6"/>
  <c r="K11" i="6"/>
  <c r="BQ198" i="10"/>
  <c r="A197" i="10"/>
  <c r="BO196" i="10"/>
  <c r="CG196" i="10"/>
  <c r="BQ244" i="10"/>
  <c r="A243" i="10"/>
  <c r="BO243" i="10" s="1"/>
  <c r="BW191" i="10"/>
  <c r="CH191" i="10"/>
  <c r="C16" i="34"/>
  <c r="D17" i="34" s="1"/>
  <c r="E20" i="23"/>
  <c r="M20" i="23"/>
  <c r="Z20" i="23"/>
  <c r="I20" i="23"/>
  <c r="V20" i="23"/>
  <c r="AD20" i="23"/>
  <c r="S20" i="23"/>
  <c r="O20" i="23"/>
  <c r="Y20" i="23"/>
  <c r="B21" i="23"/>
  <c r="AG21" i="23"/>
  <c r="BN192" i="10"/>
  <c r="BY192" i="10"/>
  <c r="DD118" i="10"/>
  <c r="GW67" i="7"/>
  <c r="GV68" i="7"/>
  <c r="DD119" i="10"/>
  <c r="DD26" i="10"/>
  <c r="DE54" i="10"/>
  <c r="GU68" i="7"/>
  <c r="DE95" i="10"/>
  <c r="DE119" i="10"/>
  <c r="DE27" i="10"/>
  <c r="DD53" i="10"/>
  <c r="DD54" i="10" s="1"/>
  <c r="DD55" i="10" s="1"/>
  <c r="DD91" i="10"/>
  <c r="C191" i="10"/>
  <c r="F192" i="10"/>
  <c r="BX192" i="10"/>
  <c r="C190" i="10"/>
  <c r="G192" i="10"/>
  <c r="B74" i="39" l="1"/>
  <c r="DB140" i="10"/>
  <c r="O189" i="20"/>
  <c r="BQ36" i="18"/>
  <c r="A36" i="18" s="1"/>
  <c r="BQ35" i="18"/>
  <c r="A35" i="18" s="1"/>
  <c r="O190" i="20"/>
  <c r="O76" i="20"/>
  <c r="U81" i="20" s="1"/>
  <c r="AD115" i="33"/>
  <c r="AA115" i="33"/>
  <c r="Z115" i="33"/>
  <c r="C79" i="18"/>
  <c r="V167" i="20"/>
  <c r="C98" i="18"/>
  <c r="V170" i="20"/>
  <c r="C66" i="18"/>
  <c r="V149" i="20"/>
  <c r="C48" i="18"/>
  <c r="V131" i="20"/>
  <c r="V146" i="20"/>
  <c r="C63" i="18"/>
  <c r="Z77" i="33"/>
  <c r="AA77" i="33"/>
  <c r="AD77" i="33"/>
  <c r="CL177" i="10"/>
  <c r="CL178" i="10" s="1"/>
  <c r="CL179" i="10" s="1"/>
  <c r="CL180" i="10" s="1"/>
  <c r="CL181" i="10" s="1"/>
  <c r="CL182" i="10" s="1"/>
  <c r="CL183" i="10" s="1"/>
  <c r="CL184" i="10" s="1"/>
  <c r="CL185" i="10" s="1"/>
  <c r="CL186" i="10" s="1"/>
  <c r="CL187" i="10" s="1"/>
  <c r="CL188" i="10" s="1"/>
  <c r="CK177" i="10"/>
  <c r="CK178" i="10" s="1"/>
  <c r="CK179" i="10" s="1"/>
  <c r="CK180" i="10" s="1"/>
  <c r="CK181" i="10" s="1"/>
  <c r="CK182" i="10" s="1"/>
  <c r="CK183" i="10" s="1"/>
  <c r="CK184" i="10" s="1"/>
  <c r="CK185" i="10" s="1"/>
  <c r="CK186" i="10" s="1"/>
  <c r="CK187" i="10" s="1"/>
  <c r="CK188" i="10" s="1"/>
  <c r="BR177" i="10"/>
  <c r="BR178" i="10" s="1"/>
  <c r="BR179" i="10" s="1"/>
  <c r="BR180" i="10" s="1"/>
  <c r="BR181" i="10" s="1"/>
  <c r="BR182" i="10" s="1"/>
  <c r="BR183" i="10" s="1"/>
  <c r="BR184" i="10" s="1"/>
  <c r="BR185" i="10" s="1"/>
  <c r="BR186" i="10" s="1"/>
  <c r="BR187" i="10" s="1"/>
  <c r="BR188" i="10" s="1"/>
  <c r="CB16" i="10"/>
  <c r="BZ16" i="10"/>
  <c r="CA16" i="10"/>
  <c r="B4" i="39"/>
  <c r="AD123" i="33"/>
  <c r="AA123" i="33"/>
  <c r="Z123" i="33"/>
  <c r="AJ184" i="14"/>
  <c r="AI184" i="14"/>
  <c r="G142" i="39"/>
  <c r="P101" i="24"/>
  <c r="I101" i="24" s="1"/>
  <c r="O159" i="10"/>
  <c r="V156" i="20"/>
  <c r="C72" i="18"/>
  <c r="V151" i="20"/>
  <c r="C68" i="18"/>
  <c r="V183" i="20"/>
  <c r="C94" i="18"/>
  <c r="C69" i="18"/>
  <c r="V152" i="20"/>
  <c r="BZ18" i="10"/>
  <c r="CB18" i="10"/>
  <c r="B6" i="39"/>
  <c r="CA18" i="10"/>
  <c r="AA96" i="33"/>
  <c r="AD96" i="33"/>
  <c r="Z96" i="33"/>
  <c r="O181" i="10"/>
  <c r="B145" i="39" s="1"/>
  <c r="G164" i="39"/>
  <c r="CN181" i="10"/>
  <c r="O178" i="10"/>
  <c r="B142" i="39" s="1"/>
  <c r="G161" i="39"/>
  <c r="CN178" i="10"/>
  <c r="G168" i="7"/>
  <c r="G164" i="7"/>
  <c r="G169" i="7"/>
  <c r="G170" i="7"/>
  <c r="DB107" i="10"/>
  <c r="G158" i="7"/>
  <c r="G160" i="7"/>
  <c r="G162" i="7"/>
  <c r="G171" i="7"/>
  <c r="G161" i="7"/>
  <c r="G163" i="7"/>
  <c r="G166" i="7"/>
  <c r="B89" i="39"/>
  <c r="V142" i="20"/>
  <c r="C59" i="18"/>
  <c r="C97" i="18"/>
  <c r="V154" i="20"/>
  <c r="V138" i="20"/>
  <c r="C55" i="18"/>
  <c r="C93" i="18"/>
  <c r="V182" i="20"/>
  <c r="V130" i="20"/>
  <c r="C47" i="18"/>
  <c r="O192" i="20"/>
  <c r="O236" i="20"/>
  <c r="P236" i="20" s="1"/>
  <c r="V163" i="20"/>
  <c r="DB147" i="10"/>
  <c r="B71" i="39"/>
  <c r="DB110" i="10"/>
  <c r="DB148" i="10"/>
  <c r="B20" i="39"/>
  <c r="BZ32" i="10"/>
  <c r="CA32" i="10"/>
  <c r="CB32" i="10"/>
  <c r="Z82" i="33"/>
  <c r="AD82" i="33"/>
  <c r="AQ147" i="33" s="1"/>
  <c r="AA82" i="33"/>
  <c r="G157" i="7"/>
  <c r="O184" i="10"/>
  <c r="B148" i="39" s="1"/>
  <c r="CN184" i="10"/>
  <c r="B13" i="39"/>
  <c r="CA25" i="10"/>
  <c r="CB25" i="10"/>
  <c r="BZ25" i="10"/>
  <c r="C62" i="18"/>
  <c r="V145" i="20"/>
  <c r="V168" i="20"/>
  <c r="C80" i="18"/>
  <c r="C82" i="18"/>
  <c r="V171" i="20"/>
  <c r="G173" i="7"/>
  <c r="F173" i="7" s="1"/>
  <c r="B161" i="10" s="1"/>
  <c r="B79" i="39"/>
  <c r="G172" i="7"/>
  <c r="F172" i="7" s="1"/>
  <c r="B160" i="10" s="1"/>
  <c r="G170" i="39"/>
  <c r="CN187" i="10"/>
  <c r="O187" i="10"/>
  <c r="B151" i="39" s="1"/>
  <c r="AQ148" i="33"/>
  <c r="AX140" i="33"/>
  <c r="E101" i="22" s="1"/>
  <c r="AQ136" i="33"/>
  <c r="B7" i="29" s="1"/>
  <c r="S2" i="43"/>
  <c r="K32" i="1"/>
  <c r="H96" i="18"/>
  <c r="B96" i="18"/>
  <c r="H71" i="18"/>
  <c r="B71" i="18"/>
  <c r="B51" i="18"/>
  <c r="H51" i="18"/>
  <c r="CA167" i="14"/>
  <c r="CA166" i="14"/>
  <c r="CA162" i="14"/>
  <c r="CA175" i="14"/>
  <c r="CA163" i="14"/>
  <c r="CA164" i="14"/>
  <c r="CA174" i="14"/>
  <c r="CA169" i="14"/>
  <c r="CA170" i="14"/>
  <c r="CA168" i="14"/>
  <c r="CA172" i="14"/>
  <c r="CA165" i="14"/>
  <c r="CA171" i="14"/>
  <c r="B89" i="18"/>
  <c r="H89" i="18"/>
  <c r="H78" i="18"/>
  <c r="B78" i="18"/>
  <c r="B84" i="18"/>
  <c r="H84" i="18"/>
  <c r="B61" i="18"/>
  <c r="H61" i="18"/>
  <c r="AQ141" i="33"/>
  <c r="E99" i="22" s="1"/>
  <c r="B76" i="18"/>
  <c r="H76" i="18"/>
  <c r="B57" i="18"/>
  <c r="H57" i="18"/>
  <c r="H74" i="18"/>
  <c r="B74" i="18"/>
  <c r="B88" i="18"/>
  <c r="H88" i="18"/>
  <c r="B86" i="18"/>
  <c r="H86" i="18"/>
  <c r="AS139" i="33"/>
  <c r="AX139" i="33"/>
  <c r="B83" i="18"/>
  <c r="H83" i="18"/>
  <c r="H64" i="18"/>
  <c r="B64" i="18"/>
  <c r="I11" i="28"/>
  <c r="D11" i="29" s="1"/>
  <c r="D14" i="29" s="1"/>
  <c r="B49" i="18"/>
  <c r="H49" i="18"/>
  <c r="B46" i="18"/>
  <c r="H46" i="18"/>
  <c r="H75" i="18"/>
  <c r="B75" i="18"/>
  <c r="N30" i="18"/>
  <c r="O79" i="20"/>
  <c r="P79" i="20" s="1"/>
  <c r="B85" i="18"/>
  <c r="H85" i="18"/>
  <c r="H90" i="18"/>
  <c r="B90" i="18"/>
  <c r="AW140" i="33"/>
  <c r="E98" i="22" s="1"/>
  <c r="H91" i="18"/>
  <c r="B91" i="18"/>
  <c r="B70" i="18"/>
  <c r="H70" i="18"/>
  <c r="B65" i="18"/>
  <c r="H65" i="18"/>
  <c r="H60" i="18"/>
  <c r="B60" i="18"/>
  <c r="AR139" i="33"/>
  <c r="AW139" i="33"/>
  <c r="B53" i="18"/>
  <c r="H53" i="18"/>
  <c r="B50" i="18"/>
  <c r="H50" i="18"/>
  <c r="H92" i="18"/>
  <c r="B92" i="18"/>
  <c r="AQ146" i="33"/>
  <c r="B23" i="28"/>
  <c r="I20" i="28"/>
  <c r="D18" i="29" s="1"/>
  <c r="E18" i="29" s="1"/>
  <c r="B24" i="28"/>
  <c r="B21" i="28"/>
  <c r="B22" i="28"/>
  <c r="B81" i="18"/>
  <c r="H81" i="18"/>
  <c r="H77" i="18"/>
  <c r="B77" i="18"/>
  <c r="M65" i="22"/>
  <c r="H58" i="18"/>
  <c r="B58" i="18"/>
  <c r="B73" i="18"/>
  <c r="H73" i="18"/>
  <c r="H67" i="18"/>
  <c r="B67" i="18"/>
  <c r="H52" i="18"/>
  <c r="B52" i="18"/>
  <c r="AQ142" i="33"/>
  <c r="E100" i="22" s="1"/>
  <c r="B87" i="18"/>
  <c r="H87" i="18"/>
  <c r="H56" i="18"/>
  <c r="B56" i="18"/>
  <c r="H54" i="18"/>
  <c r="B54" i="18"/>
  <c r="AV139" i="33"/>
  <c r="AQ139" i="33"/>
  <c r="B11" i="28"/>
  <c r="C11" i="29" s="1"/>
  <c r="H39" i="28" s="1"/>
  <c r="X39" i="28" s="1"/>
  <c r="BR42" i="18"/>
  <c r="BQ42" i="18" s="1"/>
  <c r="A42" i="18" s="1"/>
  <c r="A41" i="18"/>
  <c r="R35" i="24"/>
  <c r="S35" i="24" s="1"/>
  <c r="AV133" i="7"/>
  <c r="AT133" i="7" s="1"/>
  <c r="AV124" i="7"/>
  <c r="AT124" i="7" s="1"/>
  <c r="AV148" i="7"/>
  <c r="AT148" i="7" s="1"/>
  <c r="AV135" i="7"/>
  <c r="AT135" i="7" s="1"/>
  <c r="AV131" i="7"/>
  <c r="AT131" i="7" s="1"/>
  <c r="AV136" i="7"/>
  <c r="AT136" i="7" s="1"/>
  <c r="AV117" i="7"/>
  <c r="AT117" i="7" s="1"/>
  <c r="AV142" i="7"/>
  <c r="AT142" i="7" s="1"/>
  <c r="AV151" i="7"/>
  <c r="AT151" i="7" s="1"/>
  <c r="AV141" i="7"/>
  <c r="AT141" i="7" s="1"/>
  <c r="AV145" i="7"/>
  <c r="AT145" i="7" s="1"/>
  <c r="AV150" i="7"/>
  <c r="AT150" i="7" s="1"/>
  <c r="AV123" i="7"/>
  <c r="AT123" i="7" s="1"/>
  <c r="AV137" i="7"/>
  <c r="AT137" i="7" s="1"/>
  <c r="AV144" i="7"/>
  <c r="AT144" i="7" s="1"/>
  <c r="AV125" i="7"/>
  <c r="AT125" i="7" s="1"/>
  <c r="AV115" i="7"/>
  <c r="AV139" i="7"/>
  <c r="AT139" i="7" s="1"/>
  <c r="AV140" i="7"/>
  <c r="AT140" i="7" s="1"/>
  <c r="AV120" i="7"/>
  <c r="AT120" i="7" s="1"/>
  <c r="AV126" i="7"/>
  <c r="AT126" i="7" s="1"/>
  <c r="AV138" i="7"/>
  <c r="AT138" i="7" s="1"/>
  <c r="AV128" i="7"/>
  <c r="AT128" i="7" s="1"/>
  <c r="AV121" i="7"/>
  <c r="AT121" i="7" s="1"/>
  <c r="AV132" i="7"/>
  <c r="AT132" i="7" s="1"/>
  <c r="AV130" i="7"/>
  <c r="AT130" i="7" s="1"/>
  <c r="AV129" i="7"/>
  <c r="AT129" i="7" s="1"/>
  <c r="AV127" i="7"/>
  <c r="AT127" i="7" s="1"/>
  <c r="O83" i="20"/>
  <c r="B52" i="20" s="1"/>
  <c r="AV118" i="7"/>
  <c r="AT118" i="7" s="1"/>
  <c r="AV149" i="7"/>
  <c r="AT149" i="7" s="1"/>
  <c r="AV143" i="7"/>
  <c r="AT143" i="7" s="1"/>
  <c r="AV146" i="7"/>
  <c r="AT146" i="7" s="1"/>
  <c r="AV147" i="7"/>
  <c r="AT147" i="7" s="1"/>
  <c r="AV119" i="7"/>
  <c r="AT119" i="7" s="1"/>
  <c r="AV122" i="7"/>
  <c r="AT122" i="7" s="1"/>
  <c r="AV134" i="7"/>
  <c r="AT134" i="7" s="1"/>
  <c r="AV116" i="7"/>
  <c r="AT116" i="7" s="1"/>
  <c r="B34" i="24"/>
  <c r="E34" i="24"/>
  <c r="H34" i="24"/>
  <c r="A34" i="24" s="1"/>
  <c r="GX67" i="7"/>
  <c r="C5" i="3"/>
  <c r="AS5" i="3"/>
  <c r="AR5" i="3"/>
  <c r="L78" i="24"/>
  <c r="V78" i="24"/>
  <c r="U79" i="24" s="1"/>
  <c r="V79" i="24" s="1"/>
  <c r="U80" i="24" s="1"/>
  <c r="V80" i="24" s="1"/>
  <c r="U81" i="24" s="1"/>
  <c r="J78" i="24"/>
  <c r="P78" i="24"/>
  <c r="L32" i="24"/>
  <c r="J32" i="24"/>
  <c r="P32" i="24"/>
  <c r="I32" i="24" s="1"/>
  <c r="B49" i="24"/>
  <c r="E49" i="24"/>
  <c r="H49" i="24"/>
  <c r="A49" i="24" s="1"/>
  <c r="R50" i="24"/>
  <c r="U33" i="24"/>
  <c r="V33" i="24" s="1"/>
  <c r="B190" i="10"/>
  <c r="G173" i="39" s="1"/>
  <c r="A32" i="33"/>
  <c r="AF33" i="33"/>
  <c r="AH39" i="28"/>
  <c r="AD40" i="28"/>
  <c r="P40" i="28"/>
  <c r="B40" i="28"/>
  <c r="AC40" i="28"/>
  <c r="T40" i="28"/>
  <c r="S40" i="28" s="1"/>
  <c r="C40" i="28"/>
  <c r="AG40" i="28"/>
  <c r="O40" i="28"/>
  <c r="Q40" i="28"/>
  <c r="R40" i="28" s="1"/>
  <c r="Z40" i="28"/>
  <c r="B191" i="10"/>
  <c r="BQ245" i="10"/>
  <c r="A244" i="10"/>
  <c r="BO244" i="10" s="1"/>
  <c r="CG197" i="10"/>
  <c r="BO197" i="10"/>
  <c r="A198" i="10"/>
  <c r="BQ199" i="10"/>
  <c r="CH192" i="10"/>
  <c r="BW192" i="10"/>
  <c r="BN193" i="10"/>
  <c r="C17" i="34"/>
  <c r="D18" i="34" s="1"/>
  <c r="M21" i="23"/>
  <c r="E21" i="23"/>
  <c r="S21" i="23"/>
  <c r="Z21" i="23"/>
  <c r="I21" i="23"/>
  <c r="Y21" i="23"/>
  <c r="O21" i="23"/>
  <c r="V21" i="23"/>
  <c r="AD21" i="23"/>
  <c r="AG22" i="23"/>
  <c r="B22" i="23"/>
  <c r="BY193" i="10"/>
  <c r="DD92" i="10"/>
  <c r="GU69" i="7"/>
  <c r="DE28" i="10"/>
  <c r="DE55" i="10"/>
  <c r="DD27" i="10"/>
  <c r="DE120" i="10"/>
  <c r="DE121" i="10" s="1"/>
  <c r="DE122" i="10" s="1"/>
  <c r="DE123" i="10" s="1"/>
  <c r="GW68" i="7"/>
  <c r="GV69" i="7"/>
  <c r="DD56" i="10"/>
  <c r="DD120" i="10"/>
  <c r="DE96" i="10"/>
  <c r="G193" i="10"/>
  <c r="BX193" i="10"/>
  <c r="C192" i="10"/>
  <c r="F193" i="10"/>
  <c r="H162" i="28" l="1"/>
  <c r="AQ149" i="33"/>
  <c r="AQ151" i="33" s="1"/>
  <c r="A21" i="3" s="1"/>
  <c r="O193" i="20"/>
  <c r="B194" i="20" s="1"/>
  <c r="V90" i="20" s="1"/>
  <c r="H35" i="28"/>
  <c r="X35" i="28" s="1"/>
  <c r="H276" i="28"/>
  <c r="H159" i="28"/>
  <c r="H146" i="28"/>
  <c r="X146" i="28" s="1"/>
  <c r="CN190" i="10"/>
  <c r="H272" i="28"/>
  <c r="H148" i="28"/>
  <c r="X148" i="28" s="1"/>
  <c r="H163" i="28"/>
  <c r="C14" i="29"/>
  <c r="H168" i="28"/>
  <c r="H160" i="28"/>
  <c r="H156" i="28"/>
  <c r="H271" i="28"/>
  <c r="H165" i="28"/>
  <c r="H161" i="28"/>
  <c r="H171" i="28"/>
  <c r="H150" i="28"/>
  <c r="X150" i="28" s="1"/>
  <c r="H155" i="28"/>
  <c r="H278" i="28"/>
  <c r="H40" i="28"/>
  <c r="H154" i="28"/>
  <c r="H277" i="28"/>
  <c r="H147" i="28"/>
  <c r="X147" i="28" s="1"/>
  <c r="H38" i="28"/>
  <c r="X38" i="28" s="1"/>
  <c r="H139" i="28"/>
  <c r="X139" i="28" s="1"/>
  <c r="H141" i="28"/>
  <c r="X141" i="28" s="1"/>
  <c r="H36" i="28"/>
  <c r="X36" i="28" s="1"/>
  <c r="H170" i="28"/>
  <c r="H166" i="28"/>
  <c r="H275" i="28"/>
  <c r="H270" i="28"/>
  <c r="B305" i="20"/>
  <c r="C101" i="18" s="1"/>
  <c r="H101" i="18" s="1"/>
  <c r="O161" i="10"/>
  <c r="P103" i="24"/>
  <c r="I103" i="24" s="1"/>
  <c r="G144" i="39"/>
  <c r="B47" i="18"/>
  <c r="H47" i="18"/>
  <c r="B55" i="18"/>
  <c r="H55" i="18"/>
  <c r="B59" i="18"/>
  <c r="H59" i="18"/>
  <c r="H66" i="18"/>
  <c r="B66" i="18"/>
  <c r="B79" i="18"/>
  <c r="H79" i="18"/>
  <c r="C6" i="29"/>
  <c r="B68" i="18"/>
  <c r="H68" i="18"/>
  <c r="AJ185" i="14"/>
  <c r="AI185" i="14"/>
  <c r="P102" i="24"/>
  <c r="I102" i="24" s="1"/>
  <c r="O160" i="10"/>
  <c r="G143" i="39"/>
  <c r="B82" i="18"/>
  <c r="H82" i="18"/>
  <c r="B62" i="18"/>
  <c r="H62" i="18"/>
  <c r="H69" i="18"/>
  <c r="B69" i="18"/>
  <c r="H48" i="18"/>
  <c r="B48" i="18"/>
  <c r="B98" i="18"/>
  <c r="O243" i="20" s="1"/>
  <c r="P243" i="20" s="1"/>
  <c r="B80" i="18"/>
  <c r="H80" i="18"/>
  <c r="B93" i="18"/>
  <c r="H93" i="18"/>
  <c r="H97" i="18"/>
  <c r="B97" i="18"/>
  <c r="H94" i="18"/>
  <c r="B94" i="18"/>
  <c r="H72" i="18"/>
  <c r="B72" i="18"/>
  <c r="H63" i="18"/>
  <c r="B63" i="18"/>
  <c r="H269" i="28"/>
  <c r="H274" i="28"/>
  <c r="H143" i="28"/>
  <c r="X143" i="28" s="1"/>
  <c r="H273" i="28"/>
  <c r="H145" i="28"/>
  <c r="X145" i="28" s="1"/>
  <c r="H149" i="28"/>
  <c r="X149" i="28" s="1"/>
  <c r="H164" i="28"/>
  <c r="H167" i="28"/>
  <c r="H157" i="28"/>
  <c r="H140" i="28"/>
  <c r="X140" i="28" s="1"/>
  <c r="B8" i="29"/>
  <c r="H151" i="28"/>
  <c r="X151" i="28" s="1"/>
  <c r="H169" i="28"/>
  <c r="H158" i="28"/>
  <c r="H144" i="28"/>
  <c r="X144" i="28" s="1"/>
  <c r="H142" i="28"/>
  <c r="X142" i="28" s="1"/>
  <c r="H37" i="28"/>
  <c r="X37" i="28" s="1"/>
  <c r="AQ150" i="33"/>
  <c r="N87" i="18"/>
  <c r="O249" i="20"/>
  <c r="P249" i="20" s="1"/>
  <c r="AL87" i="18"/>
  <c r="O87" i="18"/>
  <c r="O223" i="20"/>
  <c r="P223" i="20" s="1"/>
  <c r="AL67" i="18"/>
  <c r="O67" i="18"/>
  <c r="N67" i="18"/>
  <c r="N58" i="18"/>
  <c r="O214" i="20"/>
  <c r="P214" i="20" s="1"/>
  <c r="AL58" i="18"/>
  <c r="O58" i="18"/>
  <c r="AL50" i="18"/>
  <c r="N50" i="18"/>
  <c r="O50" i="18"/>
  <c r="O206" i="20"/>
  <c r="P206" i="20" s="1"/>
  <c r="O65" i="18"/>
  <c r="AL65" i="18"/>
  <c r="O221" i="20"/>
  <c r="P221" i="20" s="1"/>
  <c r="N65" i="18"/>
  <c r="N75" i="18"/>
  <c r="AL75" i="18"/>
  <c r="O232" i="20"/>
  <c r="P232" i="20" s="1"/>
  <c r="O75" i="18"/>
  <c r="AQ140" i="33"/>
  <c r="O88" i="18"/>
  <c r="O250" i="20"/>
  <c r="P250" i="20" s="1"/>
  <c r="N88" i="18"/>
  <c r="AL88" i="18"/>
  <c r="O213" i="20"/>
  <c r="P213" i="20" s="1"/>
  <c r="N57" i="18"/>
  <c r="AL57" i="18"/>
  <c r="O57" i="18"/>
  <c r="O239" i="20"/>
  <c r="P239" i="20" s="1"/>
  <c r="AL78" i="18"/>
  <c r="N78" i="18"/>
  <c r="O78" i="18"/>
  <c r="O56" i="18"/>
  <c r="O212" i="20"/>
  <c r="P212" i="20" s="1"/>
  <c r="N56" i="18"/>
  <c r="AL56" i="18"/>
  <c r="O92" i="18"/>
  <c r="N92" i="18"/>
  <c r="O254" i="20"/>
  <c r="P254" i="20" s="1"/>
  <c r="AL92" i="18"/>
  <c r="O216" i="20"/>
  <c r="P216" i="20" s="1"/>
  <c r="N60" i="18"/>
  <c r="AL60" i="18"/>
  <c r="O60" i="18"/>
  <c r="O247" i="20"/>
  <c r="P247" i="20" s="1"/>
  <c r="AL85" i="18"/>
  <c r="O85" i="18"/>
  <c r="N85" i="18"/>
  <c r="O49" i="18"/>
  <c r="O205" i="20"/>
  <c r="P205" i="20" s="1"/>
  <c r="AL49" i="18"/>
  <c r="N49" i="18"/>
  <c r="O74" i="18"/>
  <c r="N74" i="18"/>
  <c r="O231" i="20"/>
  <c r="P231" i="20" s="1"/>
  <c r="AL74" i="18"/>
  <c r="O61" i="18"/>
  <c r="N61" i="18"/>
  <c r="AL61" i="18"/>
  <c r="O217" i="20"/>
  <c r="P217" i="20" s="1"/>
  <c r="O238" i="20"/>
  <c r="P238" i="20" s="1"/>
  <c r="N96" i="18"/>
  <c r="O52" i="18"/>
  <c r="AL52" i="18"/>
  <c r="O208" i="20"/>
  <c r="P208" i="20" s="1"/>
  <c r="N52" i="18"/>
  <c r="L65" i="22"/>
  <c r="M64" i="22"/>
  <c r="O81" i="18"/>
  <c r="O242" i="20"/>
  <c r="P242" i="20" s="1"/>
  <c r="N81" i="18"/>
  <c r="AL81" i="18"/>
  <c r="N53" i="18"/>
  <c r="AL53" i="18"/>
  <c r="O53" i="18"/>
  <c r="O209" i="20"/>
  <c r="P209" i="20" s="1"/>
  <c r="O226" i="20"/>
  <c r="P226" i="20" s="1"/>
  <c r="O70" i="18"/>
  <c r="N70" i="18"/>
  <c r="AL70" i="18"/>
  <c r="O252" i="20"/>
  <c r="P252" i="20" s="1"/>
  <c r="O90" i="18"/>
  <c r="N90" i="18"/>
  <c r="AL90" i="18"/>
  <c r="AL83" i="18"/>
  <c r="N83" i="18"/>
  <c r="O83" i="18"/>
  <c r="O245" i="20"/>
  <c r="P245" i="20" s="1"/>
  <c r="AL86" i="18"/>
  <c r="O248" i="20"/>
  <c r="P248" i="20" s="1"/>
  <c r="N86" i="18"/>
  <c r="O86" i="18"/>
  <c r="N76" i="18"/>
  <c r="AL76" i="18"/>
  <c r="O76" i="18"/>
  <c r="O233" i="20"/>
  <c r="P233" i="20" s="1"/>
  <c r="N51" i="18"/>
  <c r="O207" i="20"/>
  <c r="P207" i="20" s="1"/>
  <c r="AL51" i="18"/>
  <c r="O51" i="18"/>
  <c r="N54" i="18"/>
  <c r="O210" i="20"/>
  <c r="P210" i="20" s="1"/>
  <c r="AL54" i="18"/>
  <c r="O54" i="18"/>
  <c r="O230" i="20"/>
  <c r="P230" i="20" s="1"/>
  <c r="N73" i="18"/>
  <c r="O73" i="18"/>
  <c r="AL73" i="18"/>
  <c r="N77" i="18"/>
  <c r="O237" i="20"/>
  <c r="P237" i="20" s="1"/>
  <c r="AL77" i="18"/>
  <c r="O77" i="18"/>
  <c r="O253" i="20"/>
  <c r="P253" i="20" s="1"/>
  <c r="AL91" i="18"/>
  <c r="N91" i="18"/>
  <c r="O91" i="18"/>
  <c r="AL46" i="18"/>
  <c r="O202" i="20"/>
  <c r="P202" i="20" s="1"/>
  <c r="O46" i="18"/>
  <c r="N46" i="18"/>
  <c r="AL64" i="18"/>
  <c r="O220" i="20"/>
  <c r="P220" i="20" s="1"/>
  <c r="N64" i="18"/>
  <c r="O64" i="18"/>
  <c r="AV140" i="33"/>
  <c r="E96" i="22" s="1"/>
  <c r="N84" i="18"/>
  <c r="O84" i="18"/>
  <c r="O246" i="20"/>
  <c r="P246" i="20" s="1"/>
  <c r="AL84" i="18"/>
  <c r="AL89" i="18"/>
  <c r="O89" i="18"/>
  <c r="O251" i="20"/>
  <c r="P251" i="20" s="1"/>
  <c r="N89" i="18"/>
  <c r="O71" i="18"/>
  <c r="AL71" i="18"/>
  <c r="O228" i="20"/>
  <c r="P228" i="20" s="1"/>
  <c r="N71" i="18"/>
  <c r="P79" i="24"/>
  <c r="L79" i="24"/>
  <c r="R36" i="24"/>
  <c r="D52" i="20"/>
  <c r="I7" i="20" s="1"/>
  <c r="U68" i="20"/>
  <c r="AT115" i="7"/>
  <c r="AV153" i="7"/>
  <c r="AU153" i="7" s="1"/>
  <c r="H35" i="24"/>
  <c r="A35" i="24" s="1"/>
  <c r="E35" i="24"/>
  <c r="B35" i="24"/>
  <c r="J79" i="24"/>
  <c r="N79" i="24" s="1"/>
  <c r="GX68" i="7"/>
  <c r="N78" i="24"/>
  <c r="I78" i="24"/>
  <c r="O190" i="10"/>
  <c r="B154" i="39" s="1"/>
  <c r="L80" i="24"/>
  <c r="J80" i="24"/>
  <c r="P80" i="24"/>
  <c r="U34" i="24"/>
  <c r="V34" i="24" s="1"/>
  <c r="J33" i="24"/>
  <c r="P33" i="24"/>
  <c r="I33" i="24" s="1"/>
  <c r="L33" i="24"/>
  <c r="S50" i="24"/>
  <c r="E50" i="24"/>
  <c r="B50" i="24"/>
  <c r="H50" i="24"/>
  <c r="A50" i="24" s="1"/>
  <c r="R51" i="24"/>
  <c r="V81" i="24"/>
  <c r="P81" i="24"/>
  <c r="J81" i="24"/>
  <c r="L81" i="24"/>
  <c r="FE164" i="7"/>
  <c r="FF164" i="7" s="1"/>
  <c r="FE165" i="7"/>
  <c r="FF165" i="7" s="1"/>
  <c r="A33" i="33"/>
  <c r="AF34" i="33"/>
  <c r="X40" i="28"/>
  <c r="A41" i="28"/>
  <c r="AH40" i="28"/>
  <c r="O191" i="10"/>
  <c r="B155" i="39" s="1"/>
  <c r="G174" i="39"/>
  <c r="CN191" i="10"/>
  <c r="BQ200" i="10"/>
  <c r="A199" i="10"/>
  <c r="A245" i="10"/>
  <c r="BO245" i="10" s="1"/>
  <c r="CG198" i="10"/>
  <c r="BO198" i="10"/>
  <c r="BW193" i="10"/>
  <c r="CH193" i="10"/>
  <c r="C18" i="34"/>
  <c r="D19" i="34" s="1"/>
  <c r="AG23" i="23"/>
  <c r="B23" i="23"/>
  <c r="BN194" i="10"/>
  <c r="O22" i="23"/>
  <c r="M22" i="23"/>
  <c r="AD22" i="23"/>
  <c r="I22" i="23"/>
  <c r="V22" i="23"/>
  <c r="Y22" i="23"/>
  <c r="Z22" i="23"/>
  <c r="S22" i="23"/>
  <c r="E22" i="23"/>
  <c r="BY194" i="10"/>
  <c r="DE29" i="10"/>
  <c r="DE30" i="10" s="1"/>
  <c r="DE31" i="10" s="1"/>
  <c r="DD121" i="10"/>
  <c r="GW69" i="7"/>
  <c r="DD93" i="10"/>
  <c r="GU70" i="7"/>
  <c r="DD28" i="10"/>
  <c r="DE32" i="10"/>
  <c r="DE56" i="10"/>
  <c r="DE124" i="10"/>
  <c r="DE97" i="10"/>
  <c r="DD57" i="10"/>
  <c r="GV70" i="7"/>
  <c r="C193" i="10"/>
  <c r="F194" i="10"/>
  <c r="G194" i="10"/>
  <c r="BX194" i="10"/>
  <c r="B275" i="20" l="1"/>
  <c r="P83" i="20" s="1"/>
  <c r="O84" i="20" s="1"/>
  <c r="O85" i="20" s="1"/>
  <c r="O86" i="20" s="1"/>
  <c r="O87" i="20" s="1"/>
  <c r="O88" i="20" s="1"/>
  <c r="O89" i="20" s="1"/>
  <c r="E281" i="20"/>
  <c r="O99" i="18" s="1"/>
  <c r="B281" i="20"/>
  <c r="O195" i="20" s="1"/>
  <c r="O196" i="20" s="1"/>
  <c r="O197" i="20" s="1"/>
  <c r="O198" i="20" s="1"/>
  <c r="O199" i="20" s="1"/>
  <c r="E305" i="20"/>
  <c r="O101" i="18" s="1"/>
  <c r="Y139" i="28"/>
  <c r="H61" i="29" s="1"/>
  <c r="H98" i="18"/>
  <c r="O255" i="20"/>
  <c r="P255" i="20" s="1"/>
  <c r="O93" i="18"/>
  <c r="N93" i="18"/>
  <c r="AL93" i="18"/>
  <c r="N82" i="18"/>
  <c r="O244" i="20"/>
  <c r="P244" i="20" s="1"/>
  <c r="AL82" i="18"/>
  <c r="O82" i="18"/>
  <c r="O55" i="18"/>
  <c r="AL55" i="18"/>
  <c r="O211" i="20"/>
  <c r="P211" i="20" s="1"/>
  <c r="N55" i="18"/>
  <c r="AL72" i="18"/>
  <c r="O229" i="20"/>
  <c r="P229" i="20" s="1"/>
  <c r="N72" i="18"/>
  <c r="O72" i="18"/>
  <c r="O227" i="20"/>
  <c r="P227" i="20" s="1"/>
  <c r="N97" i="18"/>
  <c r="O204" i="20"/>
  <c r="P204" i="20" s="1"/>
  <c r="O48" i="18"/>
  <c r="N48" i="18"/>
  <c r="AL48" i="18"/>
  <c r="AJ186" i="14"/>
  <c r="AI186" i="14"/>
  <c r="O241" i="20"/>
  <c r="P241" i="20" s="1"/>
  <c r="N80" i="18"/>
  <c r="AL80" i="18"/>
  <c r="O80" i="18"/>
  <c r="AL62" i="18"/>
  <c r="N62" i="18"/>
  <c r="O218" i="20"/>
  <c r="P218" i="20" s="1"/>
  <c r="O62" i="18"/>
  <c r="N79" i="18"/>
  <c r="O240" i="20"/>
  <c r="P240" i="20" s="1"/>
  <c r="O79" i="18"/>
  <c r="AL79" i="18"/>
  <c r="O59" i="18"/>
  <c r="O215" i="20"/>
  <c r="P215" i="20" s="1"/>
  <c r="N59" i="18"/>
  <c r="AL59" i="18"/>
  <c r="O47" i="18"/>
  <c r="N47" i="18"/>
  <c r="O203" i="20"/>
  <c r="P203" i="20" s="1"/>
  <c r="AL47" i="18"/>
  <c r="O63" i="18"/>
  <c r="AL63" i="18"/>
  <c r="O219" i="20"/>
  <c r="P219" i="20" s="1"/>
  <c r="N63" i="18"/>
  <c r="O256" i="20"/>
  <c r="P256" i="20" s="1"/>
  <c r="AL94" i="18"/>
  <c r="N94" i="18"/>
  <c r="O94" i="18"/>
  <c r="N69" i="18"/>
  <c r="O69" i="18"/>
  <c r="AL69" i="18"/>
  <c r="O225" i="20"/>
  <c r="P225" i="20" s="1"/>
  <c r="N68" i="18"/>
  <c r="O224" i="20"/>
  <c r="P224" i="20" s="1"/>
  <c r="O68" i="18"/>
  <c r="AL68" i="18"/>
  <c r="O66" i="18"/>
  <c r="AL66" i="18"/>
  <c r="N66" i="18"/>
  <c r="O222" i="20"/>
  <c r="P222" i="20" s="1"/>
  <c r="AQ143" i="33"/>
  <c r="A12" i="3"/>
  <c r="S36" i="24"/>
  <c r="R37" i="24" s="1"/>
  <c r="AT153" i="7"/>
  <c r="AS153" i="7"/>
  <c r="B36" i="24"/>
  <c r="E36" i="24"/>
  <c r="H36" i="24"/>
  <c r="A36" i="24" s="1"/>
  <c r="U78" i="7"/>
  <c r="I79" i="24"/>
  <c r="B8" i="20"/>
  <c r="B299" i="20" s="1"/>
  <c r="C299" i="20" s="1"/>
  <c r="GX69" i="7"/>
  <c r="Z41" i="28"/>
  <c r="A42" i="28" s="1"/>
  <c r="U35" i="24"/>
  <c r="V35" i="24" s="1"/>
  <c r="K98" i="6"/>
  <c r="N81" i="24"/>
  <c r="I81" i="24"/>
  <c r="S51" i="24"/>
  <c r="R52" i="24" s="1"/>
  <c r="H51" i="24"/>
  <c r="A51" i="24" s="1"/>
  <c r="B51" i="24"/>
  <c r="E51" i="24"/>
  <c r="N80" i="24"/>
  <c r="I80" i="24"/>
  <c r="L34" i="24"/>
  <c r="P34" i="24"/>
  <c r="I34" i="24" s="1"/>
  <c r="J34" i="24"/>
  <c r="U82" i="24"/>
  <c r="V82" i="24" s="1"/>
  <c r="U83" i="24" s="1"/>
  <c r="AF35" i="33"/>
  <c r="A34" i="33"/>
  <c r="B41" i="28"/>
  <c r="AD41" i="28"/>
  <c r="AG41" i="28"/>
  <c r="H41" i="28"/>
  <c r="C41" i="28"/>
  <c r="AC41" i="28"/>
  <c r="O41" i="28"/>
  <c r="T41" i="28"/>
  <c r="S41" i="28" s="1"/>
  <c r="Q41" i="28"/>
  <c r="R41" i="28" s="1"/>
  <c r="P41" i="28"/>
  <c r="E22" i="29"/>
  <c r="E23" i="29"/>
  <c r="E20" i="29"/>
  <c r="E21" i="29"/>
  <c r="B193" i="10"/>
  <c r="CN193" i="10" s="1"/>
  <c r="BQ201" i="10"/>
  <c r="A200" i="10"/>
  <c r="CG199" i="10"/>
  <c r="BO199" i="10"/>
  <c r="CH194" i="10"/>
  <c r="BW194" i="10"/>
  <c r="C19" i="34"/>
  <c r="D20" i="34" s="1"/>
  <c r="B24" i="23"/>
  <c r="AG24" i="23"/>
  <c r="BN195" i="10"/>
  <c r="E23" i="23"/>
  <c r="I23" i="23"/>
  <c r="M23" i="23"/>
  <c r="Z23" i="23"/>
  <c r="Y23" i="23"/>
  <c r="S23" i="23"/>
  <c r="V23" i="23"/>
  <c r="AD23" i="23"/>
  <c r="O23" i="23"/>
  <c r="BY195" i="10"/>
  <c r="DE125" i="10"/>
  <c r="DE126" i="10" s="1"/>
  <c r="GV71" i="7"/>
  <c r="DD58" i="10"/>
  <c r="DE57" i="10"/>
  <c r="GW70" i="7"/>
  <c r="DD94" i="10"/>
  <c r="GU71" i="7"/>
  <c r="DD29" i="10"/>
  <c r="DD122" i="10"/>
  <c r="DE98" i="10"/>
  <c r="DE33" i="10"/>
  <c r="G195" i="10"/>
  <c r="C194" i="10"/>
  <c r="BX195" i="10"/>
  <c r="F195" i="10"/>
  <c r="S61" i="29" l="1"/>
  <c r="S62" i="29" s="1"/>
  <c r="AC168" i="7"/>
  <c r="P258" i="20"/>
  <c r="O258" i="20" s="1"/>
  <c r="T258" i="20" s="1"/>
  <c r="AJ187" i="14"/>
  <c r="AI187" i="14"/>
  <c r="H37" i="24"/>
  <c r="A37" i="24" s="1"/>
  <c r="B37" i="24"/>
  <c r="E37" i="24"/>
  <c r="S37" i="24"/>
  <c r="R38" i="24" s="1"/>
  <c r="H38" i="24" s="1"/>
  <c r="A38" i="24" s="1"/>
  <c r="AH4" i="10"/>
  <c r="CI76" i="10" s="1"/>
  <c r="B181" i="20"/>
  <c r="B176" i="20"/>
  <c r="CP33" i="10" s="1"/>
  <c r="CM33" i="10" s="1"/>
  <c r="B204" i="20"/>
  <c r="B155" i="20"/>
  <c r="BW40" i="14" s="1"/>
  <c r="B151" i="20"/>
  <c r="B180" i="20"/>
  <c r="B268" i="20"/>
  <c r="B190" i="20"/>
  <c r="B307" i="20"/>
  <c r="B252" i="20"/>
  <c r="B314" i="20"/>
  <c r="B287" i="20"/>
  <c r="DB44" i="10" s="1"/>
  <c r="B260" i="20"/>
  <c r="B318" i="20"/>
  <c r="B253" i="20"/>
  <c r="B302" i="20"/>
  <c r="B317" i="20"/>
  <c r="B212" i="20"/>
  <c r="B272" i="20"/>
  <c r="B170" i="20"/>
  <c r="J36" i="1" s="1"/>
  <c r="B211" i="20"/>
  <c r="P89" i="20"/>
  <c r="Q89" i="20" s="1"/>
  <c r="O90" i="20" s="1"/>
  <c r="B132" i="20" s="1"/>
  <c r="B220" i="20"/>
  <c r="B254" i="20"/>
  <c r="B301" i="20"/>
  <c r="B273" i="20"/>
  <c r="B162" i="20"/>
  <c r="M18" i="6"/>
  <c r="A23" i="1" s="1"/>
  <c r="B291" i="20"/>
  <c r="DB82" i="10" s="1"/>
  <c r="B160" i="20"/>
  <c r="B159" i="20" s="1"/>
  <c r="H62" i="29"/>
  <c r="M61" i="29"/>
  <c r="N61" i="29"/>
  <c r="I61" i="29"/>
  <c r="L61" i="29"/>
  <c r="K61" i="29"/>
  <c r="J61" i="29"/>
  <c r="GX70" i="7"/>
  <c r="Z42" i="28"/>
  <c r="A43" i="28" s="1"/>
  <c r="BZ228" i="10"/>
  <c r="CI90" i="10"/>
  <c r="CP19" i="10"/>
  <c r="CM19" i="10" s="1"/>
  <c r="CD180" i="10"/>
  <c r="CP140" i="10"/>
  <c r="CM140" i="10" s="1"/>
  <c r="CP103" i="10"/>
  <c r="CM103" i="10" s="1"/>
  <c r="BV175" i="14"/>
  <c r="CP99" i="10"/>
  <c r="CM99" i="10" s="1"/>
  <c r="CD185" i="10"/>
  <c r="CD241" i="10"/>
  <c r="CP86" i="10"/>
  <c r="CM86" i="10" s="1"/>
  <c r="CD189" i="10"/>
  <c r="CP112" i="10"/>
  <c r="CM112" i="10" s="1"/>
  <c r="CP51" i="10"/>
  <c r="CM51" i="10" s="1"/>
  <c r="CD225" i="10"/>
  <c r="CI133" i="10"/>
  <c r="CI132" i="10"/>
  <c r="BZ235" i="10"/>
  <c r="CI120" i="10"/>
  <c r="CI101" i="10"/>
  <c r="CI149" i="10"/>
  <c r="CI127" i="10"/>
  <c r="CI114" i="10"/>
  <c r="CI74" i="10"/>
  <c r="CI113" i="10"/>
  <c r="BZ203" i="10"/>
  <c r="BZ191" i="10"/>
  <c r="CI79" i="10"/>
  <c r="CN79" i="10" s="1"/>
  <c r="CO79" i="10" s="1"/>
  <c r="CE79" i="10" s="1"/>
  <c r="CI93" i="10"/>
  <c r="BZ209" i="10"/>
  <c r="BZ214" i="10"/>
  <c r="CI102" i="10"/>
  <c r="CI51" i="10"/>
  <c r="CI95" i="10"/>
  <c r="BZ194" i="10"/>
  <c r="CI151" i="10"/>
  <c r="BZ234" i="10"/>
  <c r="BZ236" i="10"/>
  <c r="CC236" i="10" s="1"/>
  <c r="CI104" i="10"/>
  <c r="CI71" i="10"/>
  <c r="CI35" i="10"/>
  <c r="BZ196" i="10"/>
  <c r="CI78" i="10"/>
  <c r="CI131" i="10"/>
  <c r="CI140" i="10"/>
  <c r="CI119" i="10"/>
  <c r="BZ181" i="10"/>
  <c r="CI146" i="10"/>
  <c r="CI94" i="10"/>
  <c r="CI61" i="10"/>
  <c r="CI109" i="10"/>
  <c r="BZ217" i="10"/>
  <c r="CI56" i="10"/>
  <c r="CI73" i="10"/>
  <c r="BZ227" i="10"/>
  <c r="BZ226" i="10"/>
  <c r="CI70" i="10"/>
  <c r="BZ205" i="10"/>
  <c r="BZ239" i="10"/>
  <c r="CI58" i="10"/>
  <c r="CI48" i="10"/>
  <c r="CI103" i="10"/>
  <c r="CI45" i="10"/>
  <c r="CI69" i="10"/>
  <c r="BZ240" i="10"/>
  <c r="CI144" i="10"/>
  <c r="BZ195" i="10"/>
  <c r="BZ192" i="10"/>
  <c r="CI86" i="10"/>
  <c r="BZ204" i="10"/>
  <c r="BZ229" i="10"/>
  <c r="CI152" i="10"/>
  <c r="CI54" i="10"/>
  <c r="CN54" i="10" s="1"/>
  <c r="CO54" i="10" s="1"/>
  <c r="CE54" i="10" s="1"/>
  <c r="BZ208" i="10"/>
  <c r="CI53" i="10"/>
  <c r="CN53" i="10" s="1"/>
  <c r="CO53" i="10" s="1"/>
  <c r="CE53" i="10" s="1"/>
  <c r="S52" i="24"/>
  <c r="R53" i="24" s="1"/>
  <c r="H52" i="24"/>
  <c r="A52" i="24" s="1"/>
  <c r="E52" i="24"/>
  <c r="B52" i="24"/>
  <c r="V83" i="24"/>
  <c r="L83" i="24"/>
  <c r="J83" i="24"/>
  <c r="P83" i="24"/>
  <c r="U36" i="24"/>
  <c r="V36" i="24" s="1"/>
  <c r="J82" i="24"/>
  <c r="N82" i="24" s="1"/>
  <c r="L82" i="24"/>
  <c r="P82" i="24"/>
  <c r="L35" i="24"/>
  <c r="J35" i="24"/>
  <c r="P35" i="24"/>
  <c r="I35" i="24" s="1"/>
  <c r="B189" i="10"/>
  <c r="B34" i="33"/>
  <c r="AF36" i="33"/>
  <c r="A35" i="33"/>
  <c r="K205" i="14"/>
  <c r="B42" i="28"/>
  <c r="O42" i="28"/>
  <c r="Q42" i="28"/>
  <c r="R42" i="28" s="1"/>
  <c r="AC42" i="28"/>
  <c r="P42" i="28"/>
  <c r="T42" i="28"/>
  <c r="S42" i="28" s="1"/>
  <c r="C42" i="28"/>
  <c r="AG42" i="28"/>
  <c r="H42" i="28"/>
  <c r="AD42" i="28"/>
  <c r="AH41" i="28"/>
  <c r="X41" i="28"/>
  <c r="G176" i="39"/>
  <c r="O193" i="10"/>
  <c r="B157" i="39" s="1"/>
  <c r="B194" i="10"/>
  <c r="O194" i="10" s="1"/>
  <c r="B158" i="39" s="1"/>
  <c r="BO200" i="10"/>
  <c r="CG200" i="10"/>
  <c r="BQ202" i="10"/>
  <c r="A201" i="10"/>
  <c r="CH195" i="10"/>
  <c r="BW195" i="10"/>
  <c r="C20" i="34"/>
  <c r="D21" i="34" s="1"/>
  <c r="BN196" i="10"/>
  <c r="B25" i="23"/>
  <c r="AG25" i="23"/>
  <c r="M24" i="23"/>
  <c r="E24" i="23"/>
  <c r="S24" i="23"/>
  <c r="V24" i="23"/>
  <c r="Y24" i="23"/>
  <c r="I24" i="23"/>
  <c r="O24" i="23"/>
  <c r="Z24" i="23"/>
  <c r="AD24" i="23"/>
  <c r="BY196" i="10"/>
  <c r="DD95" i="10"/>
  <c r="DE127" i="10"/>
  <c r="DE128" i="10" s="1"/>
  <c r="GV72" i="7"/>
  <c r="DD59" i="10"/>
  <c r="GU72" i="7"/>
  <c r="DE34" i="10"/>
  <c r="DE58" i="10"/>
  <c r="DE59" i="10" s="1"/>
  <c r="DE99" i="10"/>
  <c r="DD30" i="10"/>
  <c r="GW71" i="7"/>
  <c r="DD123" i="10"/>
  <c r="DE129" i="10"/>
  <c r="C195" i="10"/>
  <c r="BX196" i="10"/>
  <c r="G196" i="10"/>
  <c r="F196" i="10"/>
  <c r="BZ224" i="10" l="1"/>
  <c r="CI47" i="10"/>
  <c r="CI148" i="10"/>
  <c r="BZ188" i="10"/>
  <c r="CI63" i="10"/>
  <c r="CI123" i="10"/>
  <c r="BZ219" i="10"/>
  <c r="BZ202" i="10"/>
  <c r="CI135" i="10"/>
  <c r="CI99" i="10"/>
  <c r="BZ245" i="10"/>
  <c r="CI117" i="10"/>
  <c r="CI108" i="10"/>
  <c r="BZ218" i="10"/>
  <c r="BZ193" i="10"/>
  <c r="BZ220" i="10"/>
  <c r="CI110" i="10"/>
  <c r="BZ242" i="10"/>
  <c r="CI147" i="10"/>
  <c r="E38" i="24"/>
  <c r="CI27" i="10"/>
  <c r="CI37" i="10"/>
  <c r="CI57" i="10"/>
  <c r="CI97" i="10"/>
  <c r="CI122" i="10"/>
  <c r="CI150" i="10"/>
  <c r="CI112" i="10"/>
  <c r="CI87" i="10"/>
  <c r="BZ185" i="10"/>
  <c r="BZ225" i="10"/>
  <c r="CC225" i="10" s="1"/>
  <c r="BZ216" i="10"/>
  <c r="BZ189" i="10"/>
  <c r="CI36" i="10"/>
  <c r="BZ183" i="10"/>
  <c r="BZ237" i="10"/>
  <c r="CI62" i="10"/>
  <c r="CI115" i="10"/>
  <c r="CI67" i="10"/>
  <c r="BZ213" i="10"/>
  <c r="CI85" i="10"/>
  <c r="CI107" i="10"/>
  <c r="CI143" i="10"/>
  <c r="BZ206" i="10"/>
  <c r="BZ200" i="10"/>
  <c r="CI136" i="10"/>
  <c r="CI50" i="10"/>
  <c r="CP35" i="10"/>
  <c r="CM35" i="10" s="1"/>
  <c r="CP56" i="10"/>
  <c r="CM56" i="10" s="1"/>
  <c r="CP155" i="10"/>
  <c r="CM155" i="10" s="1"/>
  <c r="CD207" i="10"/>
  <c r="BW98" i="14"/>
  <c r="CD212" i="10"/>
  <c r="CP130" i="10"/>
  <c r="CM130" i="10" s="1"/>
  <c r="CP50" i="10"/>
  <c r="CM50" i="10" s="1"/>
  <c r="CP26" i="10"/>
  <c r="CM26" i="10" s="1"/>
  <c r="CD209" i="10"/>
  <c r="CD184" i="10"/>
  <c r="CP142" i="10"/>
  <c r="CM142" i="10" s="1"/>
  <c r="CD221" i="10"/>
  <c r="DB48" i="10"/>
  <c r="CP147" i="10"/>
  <c r="CM147" i="10" s="1"/>
  <c r="CP145" i="10"/>
  <c r="CM145" i="10" s="1"/>
  <c r="CP113" i="10"/>
  <c r="CM113" i="10" s="1"/>
  <c r="CP78" i="10"/>
  <c r="CM78" i="10" s="1"/>
  <c r="CP137" i="10"/>
  <c r="CM137" i="10" s="1"/>
  <c r="CP131" i="10"/>
  <c r="CM131" i="10" s="1"/>
  <c r="CN131" i="10" s="1"/>
  <c r="CO131" i="10" s="1"/>
  <c r="CE131" i="10" s="1"/>
  <c r="CD194" i="10"/>
  <c r="CP104" i="10"/>
  <c r="CM104" i="10" s="1"/>
  <c r="BZ244" i="10"/>
  <c r="BZ177" i="10"/>
  <c r="CI80" i="10"/>
  <c r="CI31" i="10"/>
  <c r="CI15" i="10"/>
  <c r="BZ207" i="10"/>
  <c r="CI59" i="10"/>
  <c r="CI26" i="10"/>
  <c r="CI98" i="10"/>
  <c r="BZ178" i="10"/>
  <c r="CI126" i="10"/>
  <c r="CI137" i="10"/>
  <c r="CI66" i="10"/>
  <c r="BZ222" i="10"/>
  <c r="CI49" i="10"/>
  <c r="CI134" i="10"/>
  <c r="CI128" i="10"/>
  <c r="CI154" i="10"/>
  <c r="CI18" i="10"/>
  <c r="CI105" i="10"/>
  <c r="CI83" i="10"/>
  <c r="BZ215" i="10"/>
  <c r="BZ187" i="10"/>
  <c r="BZ210" i="10"/>
  <c r="CI44" i="10"/>
  <c r="CI100" i="10"/>
  <c r="BZ186" i="10"/>
  <c r="BZ212" i="10"/>
  <c r="BZ179" i="10"/>
  <c r="CI156" i="10"/>
  <c r="BZ211" i="10"/>
  <c r="CI142" i="10"/>
  <c r="BZ182" i="10"/>
  <c r="CI91" i="10"/>
  <c r="BZ238" i="10"/>
  <c r="BZ190" i="10"/>
  <c r="BV162" i="14"/>
  <c r="BV165" i="14"/>
  <c r="CP102" i="10"/>
  <c r="CM102" i="10" s="1"/>
  <c r="CD245" i="10"/>
  <c r="FE234" i="7"/>
  <c r="FF234" i="7" s="1"/>
  <c r="CP126" i="10"/>
  <c r="CM126" i="10" s="1"/>
  <c r="CD232" i="10"/>
  <c r="CP107" i="10"/>
  <c r="CM107" i="10" s="1"/>
  <c r="CP23" i="10"/>
  <c r="CM23" i="10" s="1"/>
  <c r="FE239" i="7"/>
  <c r="FF239" i="7" s="1"/>
  <c r="CI19" i="10"/>
  <c r="CI155" i="10"/>
  <c r="BW150" i="14"/>
  <c r="BV167" i="14"/>
  <c r="CP91" i="10"/>
  <c r="CM91" i="10" s="1"/>
  <c r="CP143" i="10"/>
  <c r="CM143" i="10" s="1"/>
  <c r="CP134" i="10"/>
  <c r="CM134" i="10" s="1"/>
  <c r="CP24" i="10"/>
  <c r="CM24" i="10" s="1"/>
  <c r="CD191" i="10"/>
  <c r="CP156" i="10"/>
  <c r="CM156" i="10" s="1"/>
  <c r="CP61" i="10"/>
  <c r="CM61" i="10" s="1"/>
  <c r="CN61" i="10" s="1"/>
  <c r="CO61" i="10" s="1"/>
  <c r="CE61" i="10" s="1"/>
  <c r="CD187" i="10"/>
  <c r="FE237" i="7"/>
  <c r="FF237" i="7" s="1"/>
  <c r="CP125" i="10"/>
  <c r="CM125" i="10" s="1"/>
  <c r="CP66" i="10"/>
  <c r="CM66" i="10" s="1"/>
  <c r="CN66" i="10" s="1"/>
  <c r="CO66" i="10" s="1"/>
  <c r="CE66" i="10" s="1"/>
  <c r="CP71" i="10"/>
  <c r="CM71" i="10" s="1"/>
  <c r="CN71" i="10" s="1"/>
  <c r="CO71" i="10" s="1"/>
  <c r="CE71" i="10" s="1"/>
  <c r="CP73" i="10"/>
  <c r="CM73" i="10" s="1"/>
  <c r="FE235" i="7"/>
  <c r="FF235" i="7" s="1"/>
  <c r="CD183" i="10"/>
  <c r="CD213" i="10"/>
  <c r="CP82" i="10"/>
  <c r="CM82" i="10" s="1"/>
  <c r="BV168" i="14"/>
  <c r="CP29" i="10"/>
  <c r="CM29" i="10" s="1"/>
  <c r="CP149" i="10"/>
  <c r="CM149" i="10" s="1"/>
  <c r="BW22" i="14"/>
  <c r="CP98" i="10"/>
  <c r="CM98" i="10" s="1"/>
  <c r="CP94" i="10"/>
  <c r="CM94" i="10" s="1"/>
  <c r="CN94" i="10" s="1"/>
  <c r="CO94" i="10" s="1"/>
  <c r="CE94" i="10" s="1"/>
  <c r="CP118" i="10"/>
  <c r="CM118" i="10" s="1"/>
  <c r="CP48" i="10"/>
  <c r="CM48" i="10" s="1"/>
  <c r="CN48" i="10" s="1"/>
  <c r="CO48" i="10" s="1"/>
  <c r="CE48" i="10" s="1"/>
  <c r="CD240" i="10"/>
  <c r="CC240" i="10" s="1"/>
  <c r="CD178" i="10"/>
  <c r="CP129" i="10"/>
  <c r="CM129" i="10" s="1"/>
  <c r="CD218" i="10"/>
  <c r="FE238" i="7"/>
  <c r="FF238" i="7" s="1"/>
  <c r="CP89" i="10"/>
  <c r="CM89" i="10" s="1"/>
  <c r="CP45" i="10"/>
  <c r="CM45" i="10" s="1"/>
  <c r="BV170" i="14"/>
  <c r="BV163" i="14"/>
  <c r="CP144" i="10"/>
  <c r="CM144" i="10" s="1"/>
  <c r="CP97" i="10"/>
  <c r="CM97" i="10" s="1"/>
  <c r="CN97" i="10" s="1"/>
  <c r="CO97" i="10" s="1"/>
  <c r="CE97" i="10" s="1"/>
  <c r="FE236" i="7"/>
  <c r="FF236" i="7" s="1"/>
  <c r="CD190" i="10"/>
  <c r="CP27" i="10"/>
  <c r="CM27" i="10" s="1"/>
  <c r="CN27" i="10" s="1"/>
  <c r="CO27" i="10" s="1"/>
  <c r="CE27" i="10" s="1"/>
  <c r="CD179" i="10"/>
  <c r="BV172" i="14"/>
  <c r="CD234" i="10"/>
  <c r="BW166" i="14"/>
  <c r="CN56" i="10"/>
  <c r="CO56" i="10" s="1"/>
  <c r="CE56" i="10" s="1"/>
  <c r="CI84" i="10"/>
  <c r="BZ232" i="10"/>
  <c r="CI75" i="10"/>
  <c r="CI129" i="10"/>
  <c r="BZ241" i="10"/>
  <c r="CC241" i="10" s="1"/>
  <c r="CI139" i="10"/>
  <c r="BZ233" i="10"/>
  <c r="CI111" i="10"/>
  <c r="CI64" i="10"/>
  <c r="CI157" i="10"/>
  <c r="CI121" i="10"/>
  <c r="CI124" i="10"/>
  <c r="CI43" i="10"/>
  <c r="CN43" i="10" s="1"/>
  <c r="CO43" i="10" s="1"/>
  <c r="CE43" i="10" s="1"/>
  <c r="CI141" i="10"/>
  <c r="CN141" i="10" s="1"/>
  <c r="CO141" i="10" s="1"/>
  <c r="CE141" i="10" s="1"/>
  <c r="BZ230" i="10"/>
  <c r="CI130" i="10"/>
  <c r="CI145" i="10"/>
  <c r="CI89" i="10"/>
  <c r="CI88" i="10"/>
  <c r="CI96" i="10"/>
  <c r="CI92" i="10"/>
  <c r="CI42" i="10"/>
  <c r="CI77" i="10"/>
  <c r="CN77" i="10" s="1"/>
  <c r="CO77" i="10" s="1"/>
  <c r="CE77" i="10" s="1"/>
  <c r="CI138" i="10"/>
  <c r="CN138" i="10" s="1"/>
  <c r="CO138" i="10" s="1"/>
  <c r="CE138" i="10" s="1"/>
  <c r="BZ201" i="10"/>
  <c r="BZ221" i="10"/>
  <c r="CP76" i="10"/>
  <c r="CM76" i="10" s="1"/>
  <c r="CN76" i="10" s="1"/>
  <c r="CO76" i="10" s="1"/>
  <c r="CE76" i="10" s="1"/>
  <c r="CP132" i="10"/>
  <c r="CM132" i="10" s="1"/>
  <c r="CP55" i="10"/>
  <c r="CM55" i="10" s="1"/>
  <c r="CP34" i="10"/>
  <c r="CM34" i="10" s="1"/>
  <c r="CD208" i="10"/>
  <c r="CP21" i="10"/>
  <c r="CM21" i="10" s="1"/>
  <c r="CP40" i="10"/>
  <c r="CM40" i="10" s="1"/>
  <c r="CP83" i="10"/>
  <c r="CM83" i="10" s="1"/>
  <c r="CP109" i="10"/>
  <c r="CM109" i="10" s="1"/>
  <c r="CP111" i="10"/>
  <c r="CM111" i="10" s="1"/>
  <c r="CP121" i="10"/>
  <c r="CM121" i="10" s="1"/>
  <c r="CP119" i="10"/>
  <c r="CM119" i="10" s="1"/>
  <c r="CP146" i="10"/>
  <c r="CM146" i="10" s="1"/>
  <c r="CN146" i="10" s="1"/>
  <c r="CO146" i="10" s="1"/>
  <c r="CE146" i="10" s="1"/>
  <c r="CD215" i="10"/>
  <c r="CP151" i="10"/>
  <c r="CM151" i="10" s="1"/>
  <c r="BV164" i="14"/>
  <c r="CP42" i="10"/>
  <c r="CM42" i="10" s="1"/>
  <c r="CP65" i="10"/>
  <c r="CM65" i="10" s="1"/>
  <c r="CP39" i="10"/>
  <c r="CM39" i="10" s="1"/>
  <c r="CD202" i="10"/>
  <c r="CD205" i="10"/>
  <c r="CD237" i="10"/>
  <c r="CC237" i="10" s="1"/>
  <c r="CP44" i="10"/>
  <c r="CM44" i="10" s="1"/>
  <c r="BV169" i="14"/>
  <c r="CP154" i="10"/>
  <c r="CM154" i="10" s="1"/>
  <c r="CP88" i="10"/>
  <c r="CM88" i="10" s="1"/>
  <c r="CP100" i="10"/>
  <c r="CM100" i="10" s="1"/>
  <c r="CP108" i="10"/>
  <c r="CM108" i="10" s="1"/>
  <c r="CN108" i="10" s="1"/>
  <c r="CO108" i="10" s="1"/>
  <c r="CE108" i="10" s="1"/>
  <c r="BW35" i="14"/>
  <c r="BW20" i="14"/>
  <c r="CI16" i="10"/>
  <c r="AI188" i="14"/>
  <c r="AJ188" i="14"/>
  <c r="B38" i="24"/>
  <c r="CN103" i="10"/>
  <c r="CO103" i="10" s="1"/>
  <c r="CE103" i="10" s="1"/>
  <c r="CI46" i="10"/>
  <c r="CI65" i="10"/>
  <c r="CI55" i="10"/>
  <c r="CI125" i="10"/>
  <c r="CI68" i="10"/>
  <c r="CI17" i="10"/>
  <c r="CI82" i="10"/>
  <c r="CI118" i="10"/>
  <c r="CI153" i="10"/>
  <c r="BW155" i="14"/>
  <c r="BW47" i="14"/>
  <c r="BZ184" i="10"/>
  <c r="S38" i="24"/>
  <c r="R39" i="24" s="1"/>
  <c r="S39" i="24" s="1"/>
  <c r="BW136" i="14"/>
  <c r="CN140" i="10"/>
  <c r="CO140" i="10" s="1"/>
  <c r="CE140" i="10" s="1"/>
  <c r="BZ197" i="10"/>
  <c r="BZ199" i="10"/>
  <c r="BZ243" i="10"/>
  <c r="BZ180" i="10"/>
  <c r="CI116" i="10"/>
  <c r="BZ231" i="10"/>
  <c r="FE233" i="7"/>
  <c r="FF233" i="7" s="1"/>
  <c r="CP14" i="10"/>
  <c r="CM14" i="10" s="1"/>
  <c r="CP128" i="10"/>
  <c r="CM128" i="10" s="1"/>
  <c r="CP101" i="10"/>
  <c r="CM101" i="10" s="1"/>
  <c r="CD233" i="10"/>
  <c r="BV166" i="14"/>
  <c r="CP87" i="10"/>
  <c r="CM87" i="10" s="1"/>
  <c r="CP68" i="10"/>
  <c r="CM68" i="10" s="1"/>
  <c r="CD222" i="10"/>
  <c r="CP116" i="10"/>
  <c r="CM116" i="10" s="1"/>
  <c r="CD188" i="10"/>
  <c r="CP36" i="10"/>
  <c r="CM36" i="10" s="1"/>
  <c r="CN36" i="10" s="1"/>
  <c r="CO36" i="10" s="1"/>
  <c r="CE36" i="10" s="1"/>
  <c r="CP84" i="10"/>
  <c r="CM84" i="10" s="1"/>
  <c r="CD214" i="10"/>
  <c r="CD219" i="10"/>
  <c r="CP124" i="10"/>
  <c r="CM124" i="10" s="1"/>
  <c r="CP58" i="10"/>
  <c r="CM58" i="10" s="1"/>
  <c r="CN58" i="10" s="1"/>
  <c r="CO58" i="10" s="1"/>
  <c r="CE58" i="10" s="1"/>
  <c r="CD242" i="10"/>
  <c r="CC242" i="10" s="1"/>
  <c r="CP38" i="10"/>
  <c r="CM38" i="10" s="1"/>
  <c r="CP117" i="10"/>
  <c r="CM117" i="10" s="1"/>
  <c r="CN117" i="10" s="1"/>
  <c r="CO117" i="10" s="1"/>
  <c r="CE117" i="10" s="1"/>
  <c r="CP30" i="10"/>
  <c r="CM30" i="10" s="1"/>
  <c r="CD198" i="10"/>
  <c r="CP80" i="10"/>
  <c r="CM80" i="10" s="1"/>
  <c r="CN80" i="10" s="1"/>
  <c r="CO80" i="10" s="1"/>
  <c r="CE80" i="10" s="1"/>
  <c r="CD211" i="10"/>
  <c r="CP122" i="10"/>
  <c r="CM122" i="10" s="1"/>
  <c r="CP110" i="10"/>
  <c r="CM110" i="10" s="1"/>
  <c r="CN110" i="10" s="1"/>
  <c r="CO110" i="10" s="1"/>
  <c r="CE110" i="10" s="1"/>
  <c r="CD195" i="10"/>
  <c r="CP64" i="10"/>
  <c r="CM64" i="10" s="1"/>
  <c r="CP16" i="10"/>
  <c r="CM16" i="10" s="1"/>
  <c r="CD228" i="10"/>
  <c r="CC228" i="10" s="1"/>
  <c r="BV171" i="14"/>
  <c r="CP17" i="10"/>
  <c r="CM17" i="10" s="1"/>
  <c r="CD193" i="10"/>
  <c r="CD220" i="10"/>
  <c r="CP28" i="10"/>
  <c r="CM28" i="10" s="1"/>
  <c r="CD186" i="10"/>
  <c r="CP96" i="10"/>
  <c r="CM96" i="10" s="1"/>
  <c r="CP20" i="10"/>
  <c r="CM20" i="10" s="1"/>
  <c r="J37" i="1"/>
  <c r="BW152" i="14"/>
  <c r="DB43" i="10"/>
  <c r="BZ198" i="10"/>
  <c r="BW79" i="14"/>
  <c r="CP46" i="10"/>
  <c r="CM46" i="10" s="1"/>
  <c r="CN46" i="10" s="1"/>
  <c r="CO46" i="10" s="1"/>
  <c r="CE46" i="10" s="1"/>
  <c r="CP133" i="10"/>
  <c r="CM133" i="10" s="1"/>
  <c r="CD230" i="10"/>
  <c r="CP85" i="10"/>
  <c r="CM85" i="10" s="1"/>
  <c r="CN85" i="10" s="1"/>
  <c r="CO85" i="10" s="1"/>
  <c r="CE85" i="10" s="1"/>
  <c r="CD201" i="10"/>
  <c r="CD224" i="10"/>
  <c r="CD243" i="10"/>
  <c r="CP90" i="10"/>
  <c r="CM90" i="10" s="1"/>
  <c r="CN90" i="10" s="1"/>
  <c r="CO90" i="10" s="1"/>
  <c r="CE90" i="10" s="1"/>
  <c r="CP32" i="10"/>
  <c r="CM32" i="10" s="1"/>
  <c r="CP18" i="10"/>
  <c r="CM18" i="10" s="1"/>
  <c r="CN18" i="10" s="1"/>
  <c r="CO18" i="10" s="1"/>
  <c r="CE18" i="10" s="1"/>
  <c r="CD226" i="10"/>
  <c r="CC226" i="10" s="1"/>
  <c r="CP37" i="10"/>
  <c r="CM37" i="10" s="1"/>
  <c r="CN37" i="10" s="1"/>
  <c r="CO37" i="10" s="1"/>
  <c r="CE37" i="10" s="1"/>
  <c r="CD216" i="10"/>
  <c r="CP95" i="10"/>
  <c r="CM95" i="10" s="1"/>
  <c r="CN95" i="10" s="1"/>
  <c r="CO95" i="10" s="1"/>
  <c r="CE95" i="10" s="1"/>
  <c r="CP31" i="10"/>
  <c r="CM31" i="10" s="1"/>
  <c r="CN31" i="10" s="1"/>
  <c r="CO31" i="10" s="1"/>
  <c r="CE31" i="10" s="1"/>
  <c r="CD197" i="10"/>
  <c r="CP157" i="10"/>
  <c r="CM157" i="10" s="1"/>
  <c r="C100" i="18"/>
  <c r="H100" i="18" s="1"/>
  <c r="BW93" i="14"/>
  <c r="BW160" i="14"/>
  <c r="BW21" i="14"/>
  <c r="BW172" i="14"/>
  <c r="BW159" i="14"/>
  <c r="BW164" i="14"/>
  <c r="BR27" i="18"/>
  <c r="CC224" i="10"/>
  <c r="D254" i="20"/>
  <c r="CN99" i="10"/>
  <c r="CO99" i="10" s="1"/>
  <c r="CE99" i="10" s="1"/>
  <c r="CN113" i="10"/>
  <c r="CO113" i="10" s="1"/>
  <c r="CE113" i="10" s="1"/>
  <c r="CP105" i="10"/>
  <c r="CM105" i="10" s="1"/>
  <c r="CN105" i="10" s="1"/>
  <c r="CO105" i="10" s="1"/>
  <c r="CE105" i="10" s="1"/>
  <c r="CP67" i="10"/>
  <c r="CM67" i="10" s="1"/>
  <c r="CN67" i="10" s="1"/>
  <c r="CO67" i="10" s="1"/>
  <c r="CE67" i="10" s="1"/>
  <c r="CD206" i="10"/>
  <c r="CD217" i="10"/>
  <c r="CD182" i="10"/>
  <c r="CD235" i="10"/>
  <c r="CC235" i="10" s="1"/>
  <c r="CP15" i="10"/>
  <c r="CM15" i="10" s="1"/>
  <c r="CN15" i="10" s="1"/>
  <c r="CO15" i="10" s="1"/>
  <c r="CE15" i="10" s="1"/>
  <c r="CP152" i="10"/>
  <c r="CM152" i="10" s="1"/>
  <c r="CN152" i="10" s="1"/>
  <c r="CO152" i="10" s="1"/>
  <c r="CE152" i="10" s="1"/>
  <c r="CD200" i="10"/>
  <c r="CP136" i="10"/>
  <c r="CM136" i="10" s="1"/>
  <c r="CN136" i="10" s="1"/>
  <c r="CO136" i="10" s="1"/>
  <c r="CE136" i="10" s="1"/>
  <c r="FE136" i="10" s="1"/>
  <c r="BR136" i="10" s="1"/>
  <c r="CP92" i="10"/>
  <c r="CM92" i="10" s="1"/>
  <c r="CN92" i="10" s="1"/>
  <c r="CO92" i="10" s="1"/>
  <c r="CE92" i="10" s="1"/>
  <c r="CP63" i="10"/>
  <c r="CM63" i="10" s="1"/>
  <c r="CN63" i="10" s="1"/>
  <c r="CO63" i="10" s="1"/>
  <c r="CE63" i="10" s="1"/>
  <c r="CP59" i="10"/>
  <c r="CM59" i="10" s="1"/>
  <c r="CN59" i="10" s="1"/>
  <c r="CO59" i="10" s="1"/>
  <c r="CE59" i="10" s="1"/>
  <c r="CP75" i="10"/>
  <c r="CM75" i="10" s="1"/>
  <c r="CD177" i="10"/>
  <c r="CP148" i="10"/>
  <c r="CM148" i="10" s="1"/>
  <c r="CN148" i="10" s="1"/>
  <c r="CO148" i="10" s="1"/>
  <c r="CE148" i="10" s="1"/>
  <c r="CP69" i="10"/>
  <c r="CM69" i="10" s="1"/>
  <c r="CN69" i="10" s="1"/>
  <c r="CO69" i="10" s="1"/>
  <c r="CE69" i="10" s="1"/>
  <c r="D301" i="20"/>
  <c r="BW97" i="14"/>
  <c r="BW23" i="14"/>
  <c r="BW101" i="14"/>
  <c r="BW112" i="14"/>
  <c r="BW118" i="14"/>
  <c r="DB58" i="10"/>
  <c r="BW137" i="14"/>
  <c r="CD238" i="10"/>
  <c r="CC238" i="10" s="1"/>
  <c r="CP150" i="10"/>
  <c r="CM150" i="10" s="1"/>
  <c r="CN150" i="10" s="1"/>
  <c r="CO150" i="10" s="1"/>
  <c r="CE150" i="10" s="1"/>
  <c r="CP153" i="10"/>
  <c r="CM153" i="10" s="1"/>
  <c r="CN153" i="10" s="1"/>
  <c r="CO153" i="10" s="1"/>
  <c r="CE153" i="10" s="1"/>
  <c r="CD210" i="10"/>
  <c r="CD196" i="10"/>
  <c r="CP139" i="10"/>
  <c r="CM139" i="10" s="1"/>
  <c r="CD192" i="10"/>
  <c r="CP74" i="10"/>
  <c r="CM74" i="10" s="1"/>
  <c r="CN74" i="10" s="1"/>
  <c r="CO74" i="10" s="1"/>
  <c r="CE74" i="10" s="1"/>
  <c r="CP127" i="10"/>
  <c r="CM127" i="10" s="1"/>
  <c r="CN127" i="10" s="1"/>
  <c r="CO127" i="10" s="1"/>
  <c r="CE127" i="10" s="1"/>
  <c r="BV174" i="14"/>
  <c r="CD239" i="10"/>
  <c r="CP93" i="10"/>
  <c r="CM93" i="10" s="1"/>
  <c r="CN93" i="10" s="1"/>
  <c r="CO93" i="10" s="1"/>
  <c r="CE93" i="10" s="1"/>
  <c r="CP22" i="10"/>
  <c r="CM22" i="10" s="1"/>
  <c r="CP135" i="10"/>
  <c r="CM135" i="10" s="1"/>
  <c r="CN135" i="10" s="1"/>
  <c r="CO135" i="10" s="1"/>
  <c r="CE135" i="10" s="1"/>
  <c r="CP115" i="10"/>
  <c r="CM115" i="10" s="1"/>
  <c r="CN115" i="10" s="1"/>
  <c r="CO115" i="10" s="1"/>
  <c r="CE115" i="10" s="1"/>
  <c r="CP114" i="10"/>
  <c r="CM114" i="10" s="1"/>
  <c r="CN114" i="10" s="1"/>
  <c r="CO114" i="10" s="1"/>
  <c r="CE114" i="10" s="1"/>
  <c r="CP52" i="10"/>
  <c r="CM52" i="10" s="1"/>
  <c r="CP120" i="10"/>
  <c r="CM120" i="10" s="1"/>
  <c r="CN120" i="10" s="1"/>
  <c r="CO120" i="10" s="1"/>
  <c r="CE120" i="10" s="1"/>
  <c r="CP123" i="10"/>
  <c r="CM123" i="10" s="1"/>
  <c r="CN123" i="10" s="1"/>
  <c r="CO123" i="10" s="1"/>
  <c r="CE123" i="10" s="1"/>
  <c r="CP70" i="10"/>
  <c r="CM70" i="10" s="1"/>
  <c r="CN70" i="10" s="1"/>
  <c r="CO70" i="10" s="1"/>
  <c r="CE70" i="10" s="1"/>
  <c r="CD204" i="10"/>
  <c r="CD231" i="10"/>
  <c r="CP25" i="10"/>
  <c r="CM25" i="10" s="1"/>
  <c r="CD227" i="10"/>
  <c r="CC227" i="10" s="1"/>
  <c r="CD229" i="10"/>
  <c r="CC229" i="10" s="1"/>
  <c r="CD244" i="10"/>
  <c r="CP62" i="10"/>
  <c r="CM62" i="10" s="1"/>
  <c r="CN62" i="10" s="1"/>
  <c r="CO62" i="10" s="1"/>
  <c r="CE62" i="10" s="1"/>
  <c r="CD203" i="10"/>
  <c r="D252" i="20"/>
  <c r="BW26" i="14"/>
  <c r="BW106" i="14"/>
  <c r="BW82" i="14"/>
  <c r="BW76" i="14"/>
  <c r="BW75" i="14"/>
  <c r="BW105" i="14"/>
  <c r="DB47" i="10"/>
  <c r="DB45" i="10"/>
  <c r="CI52" i="10"/>
  <c r="BW107" i="14"/>
  <c r="BW71" i="14"/>
  <c r="BW72" i="14"/>
  <c r="BW140" i="14"/>
  <c r="BW124" i="14"/>
  <c r="BW120" i="14"/>
  <c r="BW52" i="14"/>
  <c r="BW119" i="14"/>
  <c r="BW38" i="14"/>
  <c r="BW58" i="14"/>
  <c r="BW57" i="14"/>
  <c r="BW91" i="14"/>
  <c r="BW149" i="14"/>
  <c r="BW171" i="14"/>
  <c r="BW103" i="14"/>
  <c r="BW18" i="14"/>
  <c r="BW73" i="14"/>
  <c r="BW46" i="14"/>
  <c r="BW138" i="14"/>
  <c r="BW131" i="14"/>
  <c r="BW169" i="14"/>
  <c r="BW113" i="14"/>
  <c r="BW55" i="14"/>
  <c r="BW61" i="14"/>
  <c r="BW123" i="14"/>
  <c r="BW115" i="14"/>
  <c r="BW99" i="14"/>
  <c r="BW165" i="14"/>
  <c r="BW174" i="14"/>
  <c r="BW88" i="14"/>
  <c r="BW41" i="14"/>
  <c r="BW116" i="14"/>
  <c r="BW29" i="14"/>
  <c r="BW134" i="14"/>
  <c r="BW151" i="14"/>
  <c r="BW31" i="14"/>
  <c r="BW11" i="14"/>
  <c r="BW92" i="14"/>
  <c r="BW109" i="14"/>
  <c r="BW127" i="14"/>
  <c r="BW111" i="14"/>
  <c r="BW147" i="14"/>
  <c r="BW129" i="14"/>
  <c r="BW59" i="14"/>
  <c r="BW156" i="14"/>
  <c r="BW45" i="14"/>
  <c r="BW78" i="14"/>
  <c r="BW86" i="14"/>
  <c r="BW67" i="14"/>
  <c r="BW163" i="14"/>
  <c r="BW81" i="14"/>
  <c r="BW170" i="14"/>
  <c r="BW94" i="14"/>
  <c r="BW108" i="14"/>
  <c r="BW63" i="14"/>
  <c r="BW125" i="14"/>
  <c r="BW65" i="14"/>
  <c r="BW83" i="14"/>
  <c r="BW12" i="14"/>
  <c r="BW51" i="14"/>
  <c r="BW145" i="14"/>
  <c r="BW37" i="14"/>
  <c r="BW148" i="14"/>
  <c r="BW85" i="14"/>
  <c r="D220" i="20"/>
  <c r="D253" i="20"/>
  <c r="D211" i="20"/>
  <c r="BQ27" i="18"/>
  <c r="DB52" i="10"/>
  <c r="DB55" i="10"/>
  <c r="E2" i="42"/>
  <c r="DB50" i="10"/>
  <c r="BR25" i="18"/>
  <c r="DB59" i="10"/>
  <c r="BW33" i="14"/>
  <c r="BW143" i="14"/>
  <c r="BW48" i="14"/>
  <c r="BW14" i="14"/>
  <c r="BW135" i="14"/>
  <c r="BW89" i="14"/>
  <c r="BW32" i="14"/>
  <c r="BW70" i="14"/>
  <c r="BW168" i="14"/>
  <c r="BW142" i="14"/>
  <c r="BW130" i="14"/>
  <c r="BW62" i="14"/>
  <c r="BW154" i="14"/>
  <c r="BW133" i="14"/>
  <c r="BW74" i="14"/>
  <c r="BW53" i="14"/>
  <c r="BW122" i="14"/>
  <c r="BW96" i="14"/>
  <c r="BW69" i="14"/>
  <c r="BW24" i="14"/>
  <c r="BW56" i="14"/>
  <c r="BW102" i="14"/>
  <c r="BW128" i="14"/>
  <c r="BW44" i="14"/>
  <c r="BW25" i="14"/>
  <c r="BW50" i="14"/>
  <c r="BW15" i="14"/>
  <c r="BW153" i="14"/>
  <c r="BW90" i="14"/>
  <c r="BW80" i="14"/>
  <c r="BW139" i="14"/>
  <c r="BW121" i="14"/>
  <c r="BW117" i="14"/>
  <c r="BW114" i="14"/>
  <c r="BW68" i="14"/>
  <c r="DB51" i="10"/>
  <c r="DB53" i="10"/>
  <c r="DB57" i="10"/>
  <c r="FK177" i="7"/>
  <c r="DB56" i="10"/>
  <c r="DB54" i="10"/>
  <c r="CN132" i="10"/>
  <c r="CO132" i="10" s="1"/>
  <c r="CE132" i="10" s="1"/>
  <c r="BW132" i="14"/>
  <c r="BW144" i="14"/>
  <c r="BW64" i="14"/>
  <c r="BW66" i="14"/>
  <c r="BW39" i="14"/>
  <c r="BW28" i="14"/>
  <c r="BW77" i="14"/>
  <c r="BW175" i="14"/>
  <c r="BW126" i="14"/>
  <c r="BW104" i="14"/>
  <c r="BW13" i="14"/>
  <c r="BW158" i="14"/>
  <c r="BW84" i="14"/>
  <c r="BW34" i="14"/>
  <c r="BW157" i="14"/>
  <c r="BW16" i="14"/>
  <c r="BW87" i="14"/>
  <c r="BW17" i="14"/>
  <c r="BW110" i="14"/>
  <c r="BW167" i="14"/>
  <c r="BW42" i="14"/>
  <c r="BW30" i="14"/>
  <c r="BW49" i="14"/>
  <c r="BW162" i="14"/>
  <c r="BW54" i="14"/>
  <c r="BW100" i="14"/>
  <c r="BW146" i="14"/>
  <c r="BW27" i="14"/>
  <c r="BW43" i="14"/>
  <c r="BW19" i="14"/>
  <c r="BW95" i="14"/>
  <c r="BW141" i="14"/>
  <c r="BQ25" i="18"/>
  <c r="DB49" i="10"/>
  <c r="BR26" i="18"/>
  <c r="E5" i="10"/>
  <c r="DB46" i="10"/>
  <c r="BQ26" i="18"/>
  <c r="B127" i="20"/>
  <c r="M100" i="6"/>
  <c r="B7" i="20" s="1"/>
  <c r="B6" i="22"/>
  <c r="N100" i="6"/>
  <c r="FK130" i="7"/>
  <c r="C90" i="6"/>
  <c r="S63" i="29"/>
  <c r="H63" i="29"/>
  <c r="N62" i="29"/>
  <c r="J62" i="29"/>
  <c r="L62" i="29"/>
  <c r="M62" i="29"/>
  <c r="I62" i="29"/>
  <c r="K62" i="29"/>
  <c r="GX71" i="7"/>
  <c r="CN142" i="10"/>
  <c r="CO142" i="10" s="1"/>
  <c r="CE142" i="10" s="1"/>
  <c r="Z43" i="28"/>
  <c r="CC244" i="10"/>
  <c r="CN128" i="10"/>
  <c r="CO128" i="10" s="1"/>
  <c r="CE128" i="10" s="1"/>
  <c r="CN122" i="10"/>
  <c r="CO122" i="10" s="1"/>
  <c r="CE122" i="10" s="1"/>
  <c r="CN87" i="10"/>
  <c r="CO87" i="10" s="1"/>
  <c r="CE87" i="10" s="1"/>
  <c r="CN84" i="10"/>
  <c r="CO84" i="10" s="1"/>
  <c r="CE84" i="10" s="1"/>
  <c r="CC233" i="10"/>
  <c r="CC239" i="10"/>
  <c r="CN130" i="10"/>
  <c r="CO130" i="10" s="1"/>
  <c r="CE130" i="10" s="1"/>
  <c r="CN86" i="10"/>
  <c r="CO86" i="10" s="1"/>
  <c r="CE86" i="10" s="1"/>
  <c r="CN112" i="10"/>
  <c r="CO112" i="10" s="1"/>
  <c r="CE112" i="10" s="1"/>
  <c r="CN119" i="10"/>
  <c r="CO119" i="10" s="1"/>
  <c r="CE119" i="10" s="1"/>
  <c r="EC119" i="10" s="1"/>
  <c r="AP119" i="10" s="1"/>
  <c r="CN35" i="10"/>
  <c r="CO35" i="10" s="1"/>
  <c r="CE35" i="10" s="1"/>
  <c r="CC234" i="10"/>
  <c r="CN151" i="10"/>
  <c r="CO151" i="10" s="1"/>
  <c r="CE151" i="10" s="1"/>
  <c r="CN44" i="10"/>
  <c r="CO44" i="10" s="1"/>
  <c r="CE44" i="10" s="1"/>
  <c r="CN102" i="10"/>
  <c r="CO102" i="10" s="1"/>
  <c r="CE102" i="10" s="1"/>
  <c r="CN137" i="10"/>
  <c r="CO137" i="10" s="1"/>
  <c r="CE137" i="10" s="1"/>
  <c r="CN73" i="10"/>
  <c r="CO73" i="10" s="1"/>
  <c r="CE73" i="10" s="1"/>
  <c r="CN109" i="10"/>
  <c r="CO109" i="10" s="1"/>
  <c r="CE109" i="10" s="1"/>
  <c r="CN65" i="10"/>
  <c r="CO65" i="10" s="1"/>
  <c r="CE65" i="10" s="1"/>
  <c r="CC243" i="10"/>
  <c r="CN144" i="10"/>
  <c r="CO144" i="10" s="1"/>
  <c r="CE144" i="10" s="1"/>
  <c r="CN154" i="10"/>
  <c r="CO154" i="10" s="1"/>
  <c r="CE154" i="10" s="1"/>
  <c r="CC245" i="10"/>
  <c r="CN83" i="10"/>
  <c r="CO83" i="10" s="1"/>
  <c r="CE83" i="10" s="1"/>
  <c r="CN104" i="10"/>
  <c r="CO104" i="10" s="1"/>
  <c r="CE104" i="10" s="1"/>
  <c r="CN51" i="10"/>
  <c r="CO51" i="10" s="1"/>
  <c r="CE51" i="10" s="1"/>
  <c r="CN107" i="10"/>
  <c r="CO107" i="10" s="1"/>
  <c r="CE107" i="10" s="1"/>
  <c r="CN156" i="10"/>
  <c r="CO156" i="10" s="1"/>
  <c r="CE156" i="10" s="1"/>
  <c r="CN155" i="10"/>
  <c r="CO155" i="10" s="1"/>
  <c r="CE155" i="10" s="1"/>
  <c r="FL155" i="10" s="1"/>
  <c r="BY155" i="10" s="1"/>
  <c r="CN78" i="10"/>
  <c r="CO78" i="10" s="1"/>
  <c r="CE78" i="10" s="1"/>
  <c r="CN149" i="10"/>
  <c r="CO149" i="10" s="1"/>
  <c r="CE149" i="10" s="1"/>
  <c r="CN121" i="10"/>
  <c r="CO121" i="10" s="1"/>
  <c r="CE121" i="10" s="1"/>
  <c r="CC230" i="10"/>
  <c r="CN89" i="10"/>
  <c r="CO89" i="10" s="1"/>
  <c r="CE89" i="10" s="1"/>
  <c r="CN88" i="10"/>
  <c r="CO88" i="10" s="1"/>
  <c r="CE88" i="10" s="1"/>
  <c r="CN116" i="10"/>
  <c r="CO116" i="10" s="1"/>
  <c r="CE116" i="10" s="1"/>
  <c r="CN118" i="10"/>
  <c r="CO118" i="10" s="1"/>
  <c r="CE118" i="10" s="1"/>
  <c r="CN55" i="10"/>
  <c r="CO55" i="10" s="1"/>
  <c r="CE55" i="10" s="1"/>
  <c r="CN125" i="10"/>
  <c r="CO125" i="10" s="1"/>
  <c r="CE125" i="10" s="1"/>
  <c r="CN145" i="10"/>
  <c r="CO145" i="10" s="1"/>
  <c r="CE145" i="10" s="1"/>
  <c r="CN91" i="10"/>
  <c r="CO91" i="10" s="1"/>
  <c r="CE91" i="10" s="1"/>
  <c r="CN19" i="10"/>
  <c r="CO19" i="10" s="1"/>
  <c r="CE19" i="10" s="1"/>
  <c r="CN101" i="10"/>
  <c r="CO101" i="10" s="1"/>
  <c r="CE101" i="10" s="1"/>
  <c r="ES90" i="10"/>
  <c r="BF90" i="10" s="1"/>
  <c r="EI90" i="10"/>
  <c r="AV90" i="10" s="1"/>
  <c r="EP90" i="10"/>
  <c r="BC90" i="10" s="1"/>
  <c r="EW90" i="10"/>
  <c r="BJ90" i="10" s="1"/>
  <c r="EY90" i="10"/>
  <c r="BL90" i="10" s="1"/>
  <c r="EZ90" i="10"/>
  <c r="BM90" i="10" s="1"/>
  <c r="EJ90" i="10"/>
  <c r="AW90" i="10" s="1"/>
  <c r="EV90" i="10"/>
  <c r="BI90" i="10" s="1"/>
  <c r="EM90" i="10"/>
  <c r="AZ90" i="10" s="1"/>
  <c r="EL90" i="10"/>
  <c r="AY90" i="10" s="1"/>
  <c r="EO90" i="10"/>
  <c r="BB90" i="10" s="1"/>
  <c r="EG90" i="10"/>
  <c r="AT90" i="10" s="1"/>
  <c r="FB90" i="10"/>
  <c r="BO90" i="10" s="1"/>
  <c r="EN90" i="10"/>
  <c r="BA90" i="10" s="1"/>
  <c r="FE90" i="10"/>
  <c r="BR90" i="10" s="1"/>
  <c r="FF90" i="10"/>
  <c r="BS90" i="10" s="1"/>
  <c r="FK90" i="10"/>
  <c r="BX90" i="10" s="1"/>
  <c r="FD90" i="10"/>
  <c r="BQ90" i="10" s="1"/>
  <c r="FG90" i="10"/>
  <c r="BT90" i="10" s="1"/>
  <c r="FC90" i="10"/>
  <c r="BP90" i="10" s="1"/>
  <c r="FA90" i="10"/>
  <c r="BN90" i="10" s="1"/>
  <c r="FH90" i="10"/>
  <c r="BU90" i="10" s="1"/>
  <c r="FL90" i="10"/>
  <c r="BY90" i="10" s="1"/>
  <c r="EX90" i="10"/>
  <c r="BK90" i="10" s="1"/>
  <c r="EK90" i="10"/>
  <c r="AX90" i="10" s="1"/>
  <c r="ER90" i="10"/>
  <c r="BE90" i="10" s="1"/>
  <c r="FI90" i="10"/>
  <c r="BV90" i="10" s="1"/>
  <c r="EQ90" i="10"/>
  <c r="BD90" i="10" s="1"/>
  <c r="EU90" i="10"/>
  <c r="BH90" i="10" s="1"/>
  <c r="ET90" i="10"/>
  <c r="BG90" i="10" s="1"/>
  <c r="FJ90" i="10"/>
  <c r="BW90" i="10" s="1"/>
  <c r="EH90" i="10"/>
  <c r="AU90" i="10" s="1"/>
  <c r="EL228" i="10"/>
  <c r="FK228" i="10"/>
  <c r="FJ228" i="10"/>
  <c r="EG228" i="10"/>
  <c r="EV228" i="10"/>
  <c r="BP228" i="10"/>
  <c r="ES228" i="10"/>
  <c r="EU228" i="10"/>
  <c r="FD228" i="10"/>
  <c r="EW228" i="10"/>
  <c r="EI228" i="10"/>
  <c r="FL228" i="10"/>
  <c r="EH228" i="10"/>
  <c r="FE228" i="10"/>
  <c r="FG228" i="10"/>
  <c r="FH228" i="10"/>
  <c r="EM228" i="10"/>
  <c r="ET228" i="10"/>
  <c r="EN228" i="10"/>
  <c r="EJ228" i="10"/>
  <c r="FC228" i="10"/>
  <c r="EY228" i="10"/>
  <c r="EK228" i="10"/>
  <c r="EQ228" i="10"/>
  <c r="FI228" i="10"/>
  <c r="FB228" i="10"/>
  <c r="FA228" i="10"/>
  <c r="EX228" i="10"/>
  <c r="EP228" i="10"/>
  <c r="ER228" i="10"/>
  <c r="CB228" i="10"/>
  <c r="FF228" i="10"/>
  <c r="EZ228" i="10"/>
  <c r="EO228" i="10"/>
  <c r="CN133" i="10"/>
  <c r="CO133" i="10" s="1"/>
  <c r="CE133" i="10" s="1"/>
  <c r="A2" i="42"/>
  <c r="B2" i="42" s="1"/>
  <c r="C2" i="42"/>
  <c r="CN147" i="10"/>
  <c r="CO147" i="10" s="1"/>
  <c r="CE147" i="10" s="1"/>
  <c r="F2" i="42"/>
  <c r="E3" i="42" s="1"/>
  <c r="F3" i="42" s="1"/>
  <c r="E4" i="42" s="1"/>
  <c r="EQ86" i="10"/>
  <c r="BD86" i="10" s="1"/>
  <c r="ER86" i="10"/>
  <c r="BE86" i="10" s="1"/>
  <c r="EL86" i="10"/>
  <c r="AY86" i="10" s="1"/>
  <c r="EZ86" i="10"/>
  <c r="BM86" i="10" s="1"/>
  <c r="FB86" i="10"/>
  <c r="BO86" i="10" s="1"/>
  <c r="EW86" i="10"/>
  <c r="BJ86" i="10" s="1"/>
  <c r="FA86" i="10"/>
  <c r="BN86" i="10" s="1"/>
  <c r="FC86" i="10"/>
  <c r="BP86" i="10" s="1"/>
  <c r="ET86" i="10"/>
  <c r="BG86" i="10" s="1"/>
  <c r="EP86" i="10"/>
  <c r="BC86" i="10" s="1"/>
  <c r="EX86" i="10"/>
  <c r="BK86" i="10" s="1"/>
  <c r="EU86" i="10"/>
  <c r="BH86" i="10" s="1"/>
  <c r="FE86" i="10"/>
  <c r="BR86" i="10" s="1"/>
  <c r="EN86" i="10"/>
  <c r="BA86" i="10" s="1"/>
  <c r="FH86" i="10"/>
  <c r="BU86" i="10" s="1"/>
  <c r="EJ86" i="10"/>
  <c r="AW86" i="10" s="1"/>
  <c r="FJ86" i="10"/>
  <c r="BW86" i="10" s="1"/>
  <c r="FG86" i="10"/>
  <c r="BT86" i="10" s="1"/>
  <c r="EY86" i="10"/>
  <c r="BL86" i="10" s="1"/>
  <c r="EG86" i="10"/>
  <c r="AT86" i="10" s="1"/>
  <c r="EH86" i="10"/>
  <c r="AU86" i="10" s="1"/>
  <c r="EK86" i="10"/>
  <c r="AX86" i="10" s="1"/>
  <c r="FI86" i="10"/>
  <c r="BV86" i="10" s="1"/>
  <c r="FL86" i="10"/>
  <c r="BY86" i="10" s="1"/>
  <c r="EI86" i="10"/>
  <c r="AV86" i="10" s="1"/>
  <c r="FK86" i="10"/>
  <c r="BX86" i="10" s="1"/>
  <c r="FF86" i="10"/>
  <c r="BS86" i="10" s="1"/>
  <c r="FD86" i="10"/>
  <c r="BQ86" i="10" s="1"/>
  <c r="EM86" i="10"/>
  <c r="AZ86" i="10" s="1"/>
  <c r="ES86" i="10"/>
  <c r="BF86" i="10" s="1"/>
  <c r="EO86" i="10"/>
  <c r="BB86" i="10" s="1"/>
  <c r="EV86" i="10"/>
  <c r="BI86" i="10" s="1"/>
  <c r="FG103" i="10"/>
  <c r="BT103" i="10" s="1"/>
  <c r="FK103" i="10"/>
  <c r="BX103" i="10" s="1"/>
  <c r="EW103" i="10"/>
  <c r="BJ103" i="10" s="1"/>
  <c r="EG103" i="10"/>
  <c r="AT103" i="10" s="1"/>
  <c r="EL103" i="10"/>
  <c r="AY103" i="10" s="1"/>
  <c r="EH103" i="10"/>
  <c r="AU103" i="10" s="1"/>
  <c r="FD103" i="10"/>
  <c r="BQ103" i="10" s="1"/>
  <c r="EM103" i="10"/>
  <c r="AZ103" i="10" s="1"/>
  <c r="FF103" i="10"/>
  <c r="BS103" i="10" s="1"/>
  <c r="FL103" i="10"/>
  <c r="BY103" i="10" s="1"/>
  <c r="EQ103" i="10"/>
  <c r="BD103" i="10" s="1"/>
  <c r="ET103" i="10"/>
  <c r="BG103" i="10" s="1"/>
  <c r="EO103" i="10"/>
  <c r="BB103" i="10" s="1"/>
  <c r="FE103" i="10"/>
  <c r="BR103" i="10" s="1"/>
  <c r="EZ103" i="10"/>
  <c r="BM103" i="10" s="1"/>
  <c r="EY103" i="10"/>
  <c r="BL103" i="10" s="1"/>
  <c r="EJ103" i="10"/>
  <c r="AW103" i="10" s="1"/>
  <c r="ER103" i="10"/>
  <c r="BE103" i="10" s="1"/>
  <c r="EK103" i="10"/>
  <c r="AX103" i="10" s="1"/>
  <c r="EX103" i="10"/>
  <c r="BK103" i="10" s="1"/>
  <c r="FI103" i="10"/>
  <c r="BV103" i="10" s="1"/>
  <c r="FJ103" i="10"/>
  <c r="BW103" i="10" s="1"/>
  <c r="EI103" i="10"/>
  <c r="AV103" i="10" s="1"/>
  <c r="EU103" i="10"/>
  <c r="BH103" i="10" s="1"/>
  <c r="EP103" i="10"/>
  <c r="BC103" i="10" s="1"/>
  <c r="FC103" i="10"/>
  <c r="BP103" i="10" s="1"/>
  <c r="FH103" i="10"/>
  <c r="BU103" i="10" s="1"/>
  <c r="FB103" i="10"/>
  <c r="BO103" i="10" s="1"/>
  <c r="ES103" i="10"/>
  <c r="BF103" i="10" s="1"/>
  <c r="EV103" i="10"/>
  <c r="BI103" i="10" s="1"/>
  <c r="EN103" i="10"/>
  <c r="BA103" i="10" s="1"/>
  <c r="FA103" i="10"/>
  <c r="BN103" i="10" s="1"/>
  <c r="EO112" i="10"/>
  <c r="BB112" i="10" s="1"/>
  <c r="DS112" i="10"/>
  <c r="AF112" i="10" s="1"/>
  <c r="FE112" i="10"/>
  <c r="BR112" i="10" s="1"/>
  <c r="DP112" i="10"/>
  <c r="AC112" i="10" s="1"/>
  <c r="FD112" i="10"/>
  <c r="BQ112" i="10" s="1"/>
  <c r="DQ112" i="10"/>
  <c r="AD112" i="10" s="1"/>
  <c r="DZ112" i="10"/>
  <c r="AM112" i="10" s="1"/>
  <c r="EY112" i="10"/>
  <c r="BL112" i="10" s="1"/>
  <c r="DV112" i="10"/>
  <c r="AI112" i="10" s="1"/>
  <c r="EC112" i="10"/>
  <c r="AP112" i="10" s="1"/>
  <c r="DW112" i="10"/>
  <c r="AJ112" i="10" s="1"/>
  <c r="DT112" i="10"/>
  <c r="AG112" i="10" s="1"/>
  <c r="EM112" i="10"/>
  <c r="AZ112" i="10" s="1"/>
  <c r="FH112" i="10"/>
  <c r="BU112" i="10" s="1"/>
  <c r="FG112" i="10"/>
  <c r="BT112" i="10" s="1"/>
  <c r="FF112" i="10"/>
  <c r="BS112" i="10" s="1"/>
  <c r="CB112" i="10"/>
  <c r="ET112" i="10"/>
  <c r="BG112" i="10" s="1"/>
  <c r="DN112" i="10"/>
  <c r="AA112" i="10" s="1"/>
  <c r="FC112" i="10"/>
  <c r="BP112" i="10" s="1"/>
  <c r="FJ112" i="10"/>
  <c r="BW112" i="10" s="1"/>
  <c r="DK112" i="10"/>
  <c r="X112" i="10" s="1"/>
  <c r="ES112" i="10"/>
  <c r="BF112" i="10" s="1"/>
  <c r="FL112" i="10"/>
  <c r="BY112" i="10" s="1"/>
  <c r="DL112" i="10"/>
  <c r="Y112" i="10" s="1"/>
  <c r="DJ112" i="10"/>
  <c r="W112" i="10" s="1"/>
  <c r="EB112" i="10"/>
  <c r="AO112" i="10" s="1"/>
  <c r="DO112" i="10"/>
  <c r="AB112" i="10" s="1"/>
  <c r="EE112" i="10"/>
  <c r="AR112" i="10" s="1"/>
  <c r="EG112" i="10"/>
  <c r="AT112" i="10" s="1"/>
  <c r="DR112" i="10"/>
  <c r="AE112" i="10" s="1"/>
  <c r="EQ112" i="10"/>
  <c r="BD112" i="10" s="1"/>
  <c r="EZ112" i="10"/>
  <c r="BM112" i="10" s="1"/>
  <c r="EA112" i="10"/>
  <c r="AN112" i="10" s="1"/>
  <c r="ED112" i="10"/>
  <c r="AQ112" i="10" s="1"/>
  <c r="EI112" i="10"/>
  <c r="AV112" i="10" s="1"/>
  <c r="EU112" i="10"/>
  <c r="BH112" i="10" s="1"/>
  <c r="EX112" i="10"/>
  <c r="BK112" i="10" s="1"/>
  <c r="FK112" i="10"/>
  <c r="BX112" i="10" s="1"/>
  <c r="ER112" i="10"/>
  <c r="BE112" i="10" s="1"/>
  <c r="DM112" i="10"/>
  <c r="Z112" i="10" s="1"/>
  <c r="DU112" i="10"/>
  <c r="AH112" i="10" s="1"/>
  <c r="FA112" i="10"/>
  <c r="BN112" i="10" s="1"/>
  <c r="EV112" i="10"/>
  <c r="BI112" i="10" s="1"/>
  <c r="DX112" i="10"/>
  <c r="AK112" i="10" s="1"/>
  <c r="EJ112" i="10"/>
  <c r="AW112" i="10" s="1"/>
  <c r="EK112" i="10"/>
  <c r="AX112" i="10" s="1"/>
  <c r="EN112" i="10"/>
  <c r="BA112" i="10" s="1"/>
  <c r="FB112" i="10"/>
  <c r="BO112" i="10" s="1"/>
  <c r="EH112" i="10"/>
  <c r="AU112" i="10" s="1"/>
  <c r="DY112" i="10"/>
  <c r="AL112" i="10" s="1"/>
  <c r="EL112" i="10"/>
  <c r="AY112" i="10" s="1"/>
  <c r="EP112" i="10"/>
  <c r="BC112" i="10" s="1"/>
  <c r="FI112" i="10"/>
  <c r="BV112" i="10" s="1"/>
  <c r="EW112" i="10"/>
  <c r="BJ112" i="10" s="1"/>
  <c r="DU119" i="10"/>
  <c r="AH119" i="10" s="1"/>
  <c r="FB119" i="10"/>
  <c r="BO119" i="10" s="1"/>
  <c r="DQ119" i="10"/>
  <c r="AD119" i="10" s="1"/>
  <c r="DX119" i="10"/>
  <c r="AK119" i="10" s="1"/>
  <c r="EY119" i="10"/>
  <c r="BL119" i="10" s="1"/>
  <c r="FL119" i="10"/>
  <c r="BY119" i="10" s="1"/>
  <c r="EI119" i="10"/>
  <c r="AV119" i="10" s="1"/>
  <c r="EG119" i="10"/>
  <c r="AT119" i="10" s="1"/>
  <c r="DZ119" i="10"/>
  <c r="AM119" i="10" s="1"/>
  <c r="DV119" i="10"/>
  <c r="AI119" i="10" s="1"/>
  <c r="ED119" i="10"/>
  <c r="AQ119" i="10" s="1"/>
  <c r="DT119" i="10"/>
  <c r="AG119" i="10" s="1"/>
  <c r="EN119" i="10"/>
  <c r="BA119" i="10" s="1"/>
  <c r="EL119" i="10"/>
  <c r="AY119" i="10" s="1"/>
  <c r="DK78" i="10"/>
  <c r="X78" i="10" s="1"/>
  <c r="DN78" i="10"/>
  <c r="AA78" i="10" s="1"/>
  <c r="DQ78" i="10"/>
  <c r="AD78" i="10" s="1"/>
  <c r="EW78" i="10"/>
  <c r="BJ78" i="10" s="1"/>
  <c r="FG78" i="10"/>
  <c r="BT78" i="10" s="1"/>
  <c r="EV78" i="10"/>
  <c r="BI78" i="10" s="1"/>
  <c r="ER78" i="10"/>
  <c r="BE78" i="10" s="1"/>
  <c r="FK78" i="10"/>
  <c r="BX78" i="10" s="1"/>
  <c r="DZ78" i="10"/>
  <c r="AM78" i="10" s="1"/>
  <c r="FF78" i="10"/>
  <c r="BS78" i="10" s="1"/>
  <c r="EA78" i="10"/>
  <c r="AN78" i="10" s="1"/>
  <c r="EC78" i="10"/>
  <c r="AP78" i="10" s="1"/>
  <c r="DV78" i="10"/>
  <c r="AI78" i="10" s="1"/>
  <c r="DM78" i="10"/>
  <c r="Z78" i="10" s="1"/>
  <c r="DX78" i="10"/>
  <c r="AK78" i="10" s="1"/>
  <c r="DR78" i="10"/>
  <c r="AE78" i="10" s="1"/>
  <c r="EQ78" i="10"/>
  <c r="BD78" i="10" s="1"/>
  <c r="DJ78" i="10"/>
  <c r="W78" i="10" s="1"/>
  <c r="FI78" i="10"/>
  <c r="BV78" i="10" s="1"/>
  <c r="EK78" i="10"/>
  <c r="AX78" i="10" s="1"/>
  <c r="FD78" i="10"/>
  <c r="BQ78" i="10" s="1"/>
  <c r="EY78" i="10"/>
  <c r="BL78" i="10" s="1"/>
  <c r="CB78" i="10"/>
  <c r="EX78" i="10"/>
  <c r="BK78" i="10" s="1"/>
  <c r="FE78" i="10"/>
  <c r="BR78" i="10" s="1"/>
  <c r="EH78" i="10"/>
  <c r="AU78" i="10" s="1"/>
  <c r="DL78" i="10"/>
  <c r="Y78" i="10" s="1"/>
  <c r="EM78" i="10"/>
  <c r="AZ78" i="10" s="1"/>
  <c r="DO78" i="10"/>
  <c r="AB78" i="10" s="1"/>
  <c r="FB78" i="10"/>
  <c r="BO78" i="10" s="1"/>
  <c r="EE78" i="10"/>
  <c r="AR78" i="10" s="1"/>
  <c r="EJ78" i="10"/>
  <c r="AW78" i="10" s="1"/>
  <c r="ET78" i="10"/>
  <c r="BG78" i="10" s="1"/>
  <c r="FL78" i="10"/>
  <c r="BY78" i="10" s="1"/>
  <c r="EN78" i="10"/>
  <c r="BA78" i="10" s="1"/>
  <c r="EP78" i="10"/>
  <c r="BC78" i="10" s="1"/>
  <c r="DU78" i="10"/>
  <c r="AH78" i="10" s="1"/>
  <c r="FJ78" i="10"/>
  <c r="BW78" i="10" s="1"/>
  <c r="EI78" i="10"/>
  <c r="AV78" i="10" s="1"/>
  <c r="FH78" i="10"/>
  <c r="BU78" i="10" s="1"/>
  <c r="ES78" i="10"/>
  <c r="BF78" i="10" s="1"/>
  <c r="DY78" i="10"/>
  <c r="AL78" i="10" s="1"/>
  <c r="DW78" i="10"/>
  <c r="AJ78" i="10" s="1"/>
  <c r="DP78" i="10"/>
  <c r="AC78" i="10" s="1"/>
  <c r="EL78" i="10"/>
  <c r="AY78" i="10" s="1"/>
  <c r="EZ78" i="10"/>
  <c r="BM78" i="10" s="1"/>
  <c r="EG78" i="10"/>
  <c r="AT78" i="10" s="1"/>
  <c r="FC78" i="10"/>
  <c r="BP78" i="10" s="1"/>
  <c r="EU78" i="10"/>
  <c r="BH78" i="10" s="1"/>
  <c r="ED78" i="10"/>
  <c r="AQ78" i="10" s="1"/>
  <c r="EB78" i="10"/>
  <c r="AO78" i="10" s="1"/>
  <c r="EO78" i="10"/>
  <c r="BB78" i="10" s="1"/>
  <c r="FA78" i="10"/>
  <c r="BN78" i="10" s="1"/>
  <c r="DS78" i="10"/>
  <c r="AF78" i="10" s="1"/>
  <c r="DT78" i="10"/>
  <c r="AG78" i="10" s="1"/>
  <c r="FF236" i="10"/>
  <c r="FL236" i="10"/>
  <c r="FJ236" i="10"/>
  <c r="FH236" i="10"/>
  <c r="EW236" i="10"/>
  <c r="BP236" i="10"/>
  <c r="FC236" i="10"/>
  <c r="FE236" i="10"/>
  <c r="FI236" i="10"/>
  <c r="EP236" i="10"/>
  <c r="EJ236" i="10"/>
  <c r="EK236" i="10"/>
  <c r="EG236" i="10"/>
  <c r="FG236" i="10"/>
  <c r="EI236" i="10"/>
  <c r="ET236" i="10"/>
  <c r="EO236" i="10"/>
  <c r="EV236" i="10"/>
  <c r="FB236" i="10"/>
  <c r="ER236" i="10"/>
  <c r="EU236" i="10"/>
  <c r="FA236" i="10"/>
  <c r="FK236" i="10"/>
  <c r="CB236" i="10"/>
  <c r="EY236" i="10"/>
  <c r="EH236" i="10"/>
  <c r="ES236" i="10"/>
  <c r="EZ236" i="10"/>
  <c r="EM236" i="10"/>
  <c r="EL236" i="10"/>
  <c r="EQ236" i="10"/>
  <c r="EN236" i="10"/>
  <c r="EX236" i="10"/>
  <c r="FD236" i="10"/>
  <c r="FG234" i="10"/>
  <c r="ET234" i="10"/>
  <c r="EK234" i="10"/>
  <c r="FD234" i="10"/>
  <c r="FK234" i="10"/>
  <c r="EY234" i="10"/>
  <c r="EN234" i="10"/>
  <c r="EO234" i="10"/>
  <c r="EI234" i="10"/>
  <c r="FJ234" i="10"/>
  <c r="EJ234" i="10"/>
  <c r="FL234" i="10"/>
  <c r="EU234" i="10"/>
  <c r="ER234" i="10"/>
  <c r="EL234" i="10"/>
  <c r="EW234" i="10"/>
  <c r="EH234" i="10"/>
  <c r="EQ234" i="10"/>
  <c r="EX234" i="10"/>
  <c r="EZ234" i="10"/>
  <c r="FB234" i="10"/>
  <c r="ES234" i="10"/>
  <c r="FI234" i="10"/>
  <c r="EP234" i="10"/>
  <c r="FH234" i="10"/>
  <c r="FF234" i="10"/>
  <c r="EM234" i="10"/>
  <c r="EG234" i="10"/>
  <c r="EV234" i="10"/>
  <c r="FC234" i="10"/>
  <c r="CB234" i="10"/>
  <c r="FE234" i="10"/>
  <c r="BP234" i="10"/>
  <c r="FA234" i="10"/>
  <c r="EI151" i="10"/>
  <c r="AV151" i="10" s="1"/>
  <c r="DR151" i="10"/>
  <c r="AE151" i="10" s="1"/>
  <c r="FK151" i="10"/>
  <c r="BX151" i="10" s="1"/>
  <c r="DM151" i="10"/>
  <c r="Z151" i="10" s="1"/>
  <c r="EX151" i="10"/>
  <c r="BK151" i="10" s="1"/>
  <c r="EH151" i="10"/>
  <c r="AU151" i="10" s="1"/>
  <c r="DU151" i="10"/>
  <c r="AH151" i="10" s="1"/>
  <c r="EQ151" i="10"/>
  <c r="BD151" i="10" s="1"/>
  <c r="ER151" i="10"/>
  <c r="BE151" i="10" s="1"/>
  <c r="DS151" i="10"/>
  <c r="AF151" i="10" s="1"/>
  <c r="DW151" i="10"/>
  <c r="AJ151" i="10" s="1"/>
  <c r="EW151" i="10"/>
  <c r="BJ151" i="10" s="1"/>
  <c r="EY151" i="10"/>
  <c r="BL151" i="10" s="1"/>
  <c r="FH151" i="10"/>
  <c r="BU151" i="10" s="1"/>
  <c r="EZ151" i="10"/>
  <c r="BM151" i="10" s="1"/>
  <c r="DQ151" i="10"/>
  <c r="AD151" i="10" s="1"/>
  <c r="FC151" i="10"/>
  <c r="BP151" i="10" s="1"/>
  <c r="EE151" i="10"/>
  <c r="AR151" i="10" s="1"/>
  <c r="ED151" i="10"/>
  <c r="AQ151" i="10" s="1"/>
  <c r="EJ151" i="10"/>
  <c r="AW151" i="10" s="1"/>
  <c r="EN151" i="10"/>
  <c r="BA151" i="10" s="1"/>
  <c r="DP151" i="10"/>
  <c r="AC151" i="10" s="1"/>
  <c r="FJ151" i="10"/>
  <c r="BW151" i="10" s="1"/>
  <c r="ET151" i="10"/>
  <c r="BG151" i="10" s="1"/>
  <c r="EP151" i="10"/>
  <c r="BC151" i="10" s="1"/>
  <c r="EV151" i="10"/>
  <c r="BI151" i="10" s="1"/>
  <c r="EO151" i="10"/>
  <c r="BB151" i="10" s="1"/>
  <c r="FA151" i="10"/>
  <c r="BN151" i="10" s="1"/>
  <c r="FL151" i="10"/>
  <c r="BY151" i="10" s="1"/>
  <c r="DT151" i="10"/>
  <c r="AG151" i="10" s="1"/>
  <c r="DX151" i="10"/>
  <c r="AK151" i="10" s="1"/>
  <c r="EL151" i="10"/>
  <c r="AY151" i="10" s="1"/>
  <c r="DZ151" i="10"/>
  <c r="AM151" i="10" s="1"/>
  <c r="EG151" i="10"/>
  <c r="AT151" i="10" s="1"/>
  <c r="DL151" i="10"/>
  <c r="Y151" i="10" s="1"/>
  <c r="DN151" i="10"/>
  <c r="AA151" i="10" s="1"/>
  <c r="DV151" i="10"/>
  <c r="AI151" i="10" s="1"/>
  <c r="EM151" i="10"/>
  <c r="AZ151" i="10" s="1"/>
  <c r="FF151" i="10"/>
  <c r="BS151" i="10" s="1"/>
  <c r="CB151" i="10"/>
  <c r="DO151" i="10"/>
  <c r="AB151" i="10" s="1"/>
  <c r="DY151" i="10"/>
  <c r="AL151" i="10" s="1"/>
  <c r="FD151" i="10"/>
  <c r="BQ151" i="10" s="1"/>
  <c r="EU151" i="10"/>
  <c r="BH151" i="10" s="1"/>
  <c r="DJ151" i="10"/>
  <c r="W151" i="10" s="1"/>
  <c r="FG151" i="10"/>
  <c r="BT151" i="10" s="1"/>
  <c r="FE151" i="10"/>
  <c r="BR151" i="10" s="1"/>
  <c r="EB151" i="10"/>
  <c r="AO151" i="10" s="1"/>
  <c r="ES151" i="10"/>
  <c r="BF151" i="10" s="1"/>
  <c r="FI151" i="10"/>
  <c r="BV151" i="10" s="1"/>
  <c r="EK151" i="10"/>
  <c r="AX151" i="10" s="1"/>
  <c r="FB151" i="10"/>
  <c r="BO151" i="10" s="1"/>
  <c r="EC151" i="10"/>
  <c r="AP151" i="10" s="1"/>
  <c r="EA151" i="10"/>
  <c r="AN151" i="10" s="1"/>
  <c r="DK151" i="10"/>
  <c r="X151" i="10" s="1"/>
  <c r="EU44" i="10"/>
  <c r="BH44" i="10" s="1"/>
  <c r="DO44" i="10"/>
  <c r="AB44" i="10" s="1"/>
  <c r="EW44" i="10"/>
  <c r="BJ44" i="10" s="1"/>
  <c r="FF44" i="10"/>
  <c r="BS44" i="10" s="1"/>
  <c r="EG44" i="10"/>
  <c r="AT44" i="10" s="1"/>
  <c r="EV44" i="10"/>
  <c r="BI44" i="10" s="1"/>
  <c r="DY44" i="10"/>
  <c r="AL44" i="10" s="1"/>
  <c r="EK44" i="10"/>
  <c r="AX44" i="10" s="1"/>
  <c r="FE44" i="10"/>
  <c r="BR44" i="10" s="1"/>
  <c r="FI44" i="10"/>
  <c r="BV44" i="10" s="1"/>
  <c r="FG44" i="10"/>
  <c r="BT44" i="10" s="1"/>
  <c r="DK44" i="10"/>
  <c r="X44" i="10" s="1"/>
  <c r="EL44" i="10"/>
  <c r="AY44" i="10" s="1"/>
  <c r="DX44" i="10"/>
  <c r="AK44" i="10" s="1"/>
  <c r="DW44" i="10"/>
  <c r="AJ44" i="10" s="1"/>
  <c r="DZ44" i="10"/>
  <c r="AM44" i="10" s="1"/>
  <c r="EA44" i="10"/>
  <c r="AN44" i="10" s="1"/>
  <c r="DQ44" i="10"/>
  <c r="AD44" i="10" s="1"/>
  <c r="DV44" i="10"/>
  <c r="AI44" i="10" s="1"/>
  <c r="EE44" i="10"/>
  <c r="AR44" i="10" s="1"/>
  <c r="DL44" i="10"/>
  <c r="Y44" i="10" s="1"/>
  <c r="EJ44" i="10"/>
  <c r="AW44" i="10" s="1"/>
  <c r="FL44" i="10"/>
  <c r="BY44" i="10" s="1"/>
  <c r="FK44" i="10"/>
  <c r="BX44" i="10" s="1"/>
  <c r="FJ44" i="10"/>
  <c r="BW44" i="10" s="1"/>
  <c r="ED44" i="10"/>
  <c r="AQ44" i="10" s="1"/>
  <c r="EP44" i="10"/>
  <c r="BC44" i="10" s="1"/>
  <c r="EI44" i="10"/>
  <c r="AV44" i="10" s="1"/>
  <c r="EB44" i="10"/>
  <c r="AO44" i="10" s="1"/>
  <c r="EX44" i="10"/>
  <c r="BK44" i="10" s="1"/>
  <c r="CB44" i="10"/>
  <c r="DJ44" i="10"/>
  <c r="W44" i="10" s="1"/>
  <c r="EM44" i="10"/>
  <c r="AZ44" i="10" s="1"/>
  <c r="DU44" i="10"/>
  <c r="AH44" i="10" s="1"/>
  <c r="FA44" i="10"/>
  <c r="BN44" i="10" s="1"/>
  <c r="FH44" i="10"/>
  <c r="BU44" i="10" s="1"/>
  <c r="DS44" i="10"/>
  <c r="AF44" i="10" s="1"/>
  <c r="ES44" i="10"/>
  <c r="BF44" i="10" s="1"/>
  <c r="EQ44" i="10"/>
  <c r="BD44" i="10" s="1"/>
  <c r="FB44" i="10"/>
  <c r="BO44" i="10" s="1"/>
  <c r="EY44" i="10"/>
  <c r="BL44" i="10" s="1"/>
  <c r="EZ44" i="10"/>
  <c r="BM44" i="10" s="1"/>
  <c r="FC44" i="10"/>
  <c r="BP44" i="10" s="1"/>
  <c r="FD44" i="10"/>
  <c r="BQ44" i="10" s="1"/>
  <c r="DP44" i="10"/>
  <c r="AC44" i="10" s="1"/>
  <c r="EC44" i="10"/>
  <c r="AP44" i="10" s="1"/>
  <c r="EO44" i="10"/>
  <c r="BB44" i="10" s="1"/>
  <c r="DR44" i="10"/>
  <c r="AE44" i="10" s="1"/>
  <c r="EH44" i="10"/>
  <c r="AU44" i="10" s="1"/>
  <c r="DN44" i="10"/>
  <c r="AA44" i="10" s="1"/>
  <c r="EN44" i="10"/>
  <c r="BA44" i="10" s="1"/>
  <c r="DM44" i="10"/>
  <c r="Z44" i="10" s="1"/>
  <c r="ER44" i="10"/>
  <c r="BE44" i="10" s="1"/>
  <c r="ET44" i="10"/>
  <c r="BG44" i="10" s="1"/>
  <c r="DT44" i="10"/>
  <c r="AG44" i="10" s="1"/>
  <c r="FK102" i="10"/>
  <c r="BX102" i="10" s="1"/>
  <c r="EV102" i="10"/>
  <c r="BI102" i="10" s="1"/>
  <c r="FC102" i="10"/>
  <c r="BP102" i="10" s="1"/>
  <c r="EM102" i="10"/>
  <c r="AZ102" i="10" s="1"/>
  <c r="EI102" i="10"/>
  <c r="AV102" i="10" s="1"/>
  <c r="EY102" i="10"/>
  <c r="BL102" i="10" s="1"/>
  <c r="EH102" i="10"/>
  <c r="AU102" i="10" s="1"/>
  <c r="FI102" i="10"/>
  <c r="BV102" i="10" s="1"/>
  <c r="EW102" i="10"/>
  <c r="BJ102" i="10" s="1"/>
  <c r="EK102" i="10"/>
  <c r="AX102" i="10" s="1"/>
  <c r="EZ102" i="10"/>
  <c r="BM102" i="10" s="1"/>
  <c r="FF102" i="10"/>
  <c r="BS102" i="10" s="1"/>
  <c r="ER102" i="10"/>
  <c r="BE102" i="10" s="1"/>
  <c r="EX102" i="10"/>
  <c r="BK102" i="10" s="1"/>
  <c r="FJ102" i="10"/>
  <c r="BW102" i="10" s="1"/>
  <c r="ET102" i="10"/>
  <c r="BG102" i="10" s="1"/>
  <c r="EL102" i="10"/>
  <c r="AY102" i="10" s="1"/>
  <c r="EQ102" i="10"/>
  <c r="BD102" i="10" s="1"/>
  <c r="FD102" i="10"/>
  <c r="BQ102" i="10" s="1"/>
  <c r="EU102" i="10"/>
  <c r="BH102" i="10" s="1"/>
  <c r="EP102" i="10"/>
  <c r="BC102" i="10" s="1"/>
  <c r="EG102" i="10"/>
  <c r="AT102" i="10" s="1"/>
  <c r="FB102" i="10"/>
  <c r="BO102" i="10" s="1"/>
  <c r="FH102" i="10"/>
  <c r="BU102" i="10" s="1"/>
  <c r="EO102" i="10"/>
  <c r="BB102" i="10" s="1"/>
  <c r="EJ102" i="10"/>
  <c r="AW102" i="10" s="1"/>
  <c r="FE102" i="10"/>
  <c r="BR102" i="10" s="1"/>
  <c r="FA102" i="10"/>
  <c r="BN102" i="10" s="1"/>
  <c r="FL102" i="10"/>
  <c r="BY102" i="10" s="1"/>
  <c r="FG102" i="10"/>
  <c r="BT102" i="10" s="1"/>
  <c r="ES102" i="10"/>
  <c r="BF102" i="10" s="1"/>
  <c r="EN102" i="10"/>
  <c r="BA102" i="10" s="1"/>
  <c r="FG79" i="10"/>
  <c r="BT79" i="10" s="1"/>
  <c r="DR79" i="10"/>
  <c r="AE79" i="10" s="1"/>
  <c r="EU79" i="10"/>
  <c r="BH79" i="10" s="1"/>
  <c r="ES79" i="10"/>
  <c r="BF79" i="10" s="1"/>
  <c r="EQ79" i="10"/>
  <c r="BD79" i="10" s="1"/>
  <c r="DN79" i="10"/>
  <c r="AA79" i="10" s="1"/>
  <c r="DQ79" i="10"/>
  <c r="AD79" i="10" s="1"/>
  <c r="CB79" i="10"/>
  <c r="EM79" i="10"/>
  <c r="AZ79" i="10" s="1"/>
  <c r="EI79" i="10"/>
  <c r="AV79" i="10" s="1"/>
  <c r="EB79" i="10"/>
  <c r="AO79" i="10" s="1"/>
  <c r="DJ79" i="10"/>
  <c r="W79" i="10" s="1"/>
  <c r="DU79" i="10"/>
  <c r="AH79" i="10" s="1"/>
  <c r="FD79" i="10"/>
  <c r="BQ79" i="10" s="1"/>
  <c r="EL79" i="10"/>
  <c r="AY79" i="10" s="1"/>
  <c r="FC79" i="10"/>
  <c r="BP79" i="10" s="1"/>
  <c r="EY79" i="10"/>
  <c r="BL79" i="10" s="1"/>
  <c r="DP79" i="10"/>
  <c r="AC79" i="10" s="1"/>
  <c r="DV79" i="10"/>
  <c r="AI79" i="10" s="1"/>
  <c r="FB79" i="10"/>
  <c r="BO79" i="10" s="1"/>
  <c r="ED79" i="10"/>
  <c r="AQ79" i="10" s="1"/>
  <c r="DX79" i="10"/>
  <c r="AK79" i="10" s="1"/>
  <c r="DW79" i="10"/>
  <c r="AJ79" i="10" s="1"/>
  <c r="EG79" i="10"/>
  <c r="AT79" i="10" s="1"/>
  <c r="FL79" i="10"/>
  <c r="BY79" i="10" s="1"/>
  <c r="FJ79" i="10"/>
  <c r="BW79" i="10" s="1"/>
  <c r="ER79" i="10"/>
  <c r="BE79" i="10" s="1"/>
  <c r="EE79" i="10"/>
  <c r="AR79" i="10" s="1"/>
  <c r="EK79" i="10"/>
  <c r="AX79" i="10" s="1"/>
  <c r="EW79" i="10"/>
  <c r="BJ79" i="10" s="1"/>
  <c r="DK79" i="10"/>
  <c r="X79" i="10" s="1"/>
  <c r="DO79" i="10"/>
  <c r="AB79" i="10" s="1"/>
  <c r="DZ79" i="10"/>
  <c r="AM79" i="10" s="1"/>
  <c r="DM79" i="10"/>
  <c r="Z79" i="10" s="1"/>
  <c r="FH79" i="10"/>
  <c r="BU79" i="10" s="1"/>
  <c r="EP79" i="10"/>
  <c r="BC79" i="10" s="1"/>
  <c r="FE79" i="10"/>
  <c r="BR79" i="10" s="1"/>
  <c r="EJ79" i="10"/>
  <c r="AW79" i="10" s="1"/>
  <c r="FA79" i="10"/>
  <c r="BN79" i="10" s="1"/>
  <c r="FI79" i="10"/>
  <c r="BV79" i="10" s="1"/>
  <c r="EV79" i="10"/>
  <c r="BI79" i="10" s="1"/>
  <c r="FK79" i="10"/>
  <c r="BX79" i="10" s="1"/>
  <c r="DT79" i="10"/>
  <c r="AG79" i="10" s="1"/>
  <c r="DY79" i="10"/>
  <c r="AL79" i="10" s="1"/>
  <c r="EH79" i="10"/>
  <c r="AU79" i="10" s="1"/>
  <c r="DS79" i="10"/>
  <c r="AF79" i="10" s="1"/>
  <c r="EC79" i="10"/>
  <c r="AP79" i="10" s="1"/>
  <c r="DL79" i="10"/>
  <c r="Y79" i="10" s="1"/>
  <c r="EX79" i="10"/>
  <c r="BK79" i="10" s="1"/>
  <c r="EN79" i="10"/>
  <c r="BA79" i="10" s="1"/>
  <c r="EO79" i="10"/>
  <c r="BB79" i="10" s="1"/>
  <c r="EA79" i="10"/>
  <c r="AN79" i="10" s="1"/>
  <c r="FF79" i="10"/>
  <c r="BS79" i="10" s="1"/>
  <c r="EZ79" i="10"/>
  <c r="BM79" i="10" s="1"/>
  <c r="ET79" i="10"/>
  <c r="BG79" i="10" s="1"/>
  <c r="EG149" i="10"/>
  <c r="AT149" i="10" s="1"/>
  <c r="FA149" i="10"/>
  <c r="BN149" i="10" s="1"/>
  <c r="FG149" i="10"/>
  <c r="BT149" i="10" s="1"/>
  <c r="EP149" i="10"/>
  <c r="BC149" i="10" s="1"/>
  <c r="DQ149" i="10"/>
  <c r="AD149" i="10" s="1"/>
  <c r="DW149" i="10"/>
  <c r="AJ149" i="10" s="1"/>
  <c r="DJ149" i="10"/>
  <c r="W149" i="10" s="1"/>
  <c r="DL149" i="10"/>
  <c r="Y149" i="10" s="1"/>
  <c r="FD149" i="10"/>
  <c r="BQ149" i="10" s="1"/>
  <c r="DY149" i="10"/>
  <c r="AL149" i="10" s="1"/>
  <c r="FK149" i="10"/>
  <c r="BX149" i="10" s="1"/>
  <c r="FL149" i="10"/>
  <c r="BY149" i="10" s="1"/>
  <c r="EW149" i="10"/>
  <c r="BJ149" i="10" s="1"/>
  <c r="DT149" i="10"/>
  <c r="AG149" i="10" s="1"/>
  <c r="DK149" i="10"/>
  <c r="X149" i="10" s="1"/>
  <c r="EN149" i="10"/>
  <c r="BA149" i="10" s="1"/>
  <c r="DN149" i="10"/>
  <c r="AA149" i="10" s="1"/>
  <c r="FC149" i="10"/>
  <c r="BP149" i="10" s="1"/>
  <c r="FH149" i="10"/>
  <c r="BU149" i="10" s="1"/>
  <c r="EZ149" i="10"/>
  <c r="BM149" i="10" s="1"/>
  <c r="EY149" i="10"/>
  <c r="BL149" i="10" s="1"/>
  <c r="DX149" i="10"/>
  <c r="AK149" i="10" s="1"/>
  <c r="DU149" i="10"/>
  <c r="AH149" i="10" s="1"/>
  <c r="FJ149" i="10"/>
  <c r="BW149" i="10" s="1"/>
  <c r="EL149" i="10"/>
  <c r="AY149" i="10" s="1"/>
  <c r="EA149" i="10"/>
  <c r="AN149" i="10" s="1"/>
  <c r="EU149" i="10"/>
  <c r="BH149" i="10" s="1"/>
  <c r="EH149" i="10"/>
  <c r="AU149" i="10" s="1"/>
  <c r="EK149" i="10"/>
  <c r="AX149" i="10" s="1"/>
  <c r="FB149" i="10"/>
  <c r="BO149" i="10" s="1"/>
  <c r="ER149" i="10"/>
  <c r="BE149" i="10" s="1"/>
  <c r="DO149" i="10"/>
  <c r="AB149" i="10" s="1"/>
  <c r="FE149" i="10"/>
  <c r="BR149" i="10" s="1"/>
  <c r="EB149" i="10"/>
  <c r="AO149" i="10" s="1"/>
  <c r="EV149" i="10"/>
  <c r="BI149" i="10" s="1"/>
  <c r="DS149" i="10"/>
  <c r="AF149" i="10" s="1"/>
  <c r="EC149" i="10"/>
  <c r="AP149" i="10" s="1"/>
  <c r="CB149" i="10"/>
  <c r="DV149" i="10"/>
  <c r="AI149" i="10" s="1"/>
  <c r="ED149" i="10"/>
  <c r="AQ149" i="10" s="1"/>
  <c r="EO149" i="10"/>
  <c r="BB149" i="10" s="1"/>
  <c r="EE149" i="10"/>
  <c r="AR149" i="10" s="1"/>
  <c r="DP149" i="10"/>
  <c r="AC149" i="10" s="1"/>
  <c r="ET149" i="10"/>
  <c r="BG149" i="10" s="1"/>
  <c r="EI149" i="10"/>
  <c r="AV149" i="10" s="1"/>
  <c r="FI149" i="10"/>
  <c r="BV149" i="10" s="1"/>
  <c r="DM149" i="10"/>
  <c r="Z149" i="10" s="1"/>
  <c r="ES149" i="10"/>
  <c r="BF149" i="10" s="1"/>
  <c r="EX149" i="10"/>
  <c r="BK149" i="10" s="1"/>
  <c r="DR149" i="10"/>
  <c r="AE149" i="10" s="1"/>
  <c r="EJ149" i="10"/>
  <c r="AW149" i="10" s="1"/>
  <c r="EQ149" i="10"/>
  <c r="BD149" i="10" s="1"/>
  <c r="DZ149" i="10"/>
  <c r="AM149" i="10" s="1"/>
  <c r="FF149" i="10"/>
  <c r="BS149" i="10" s="1"/>
  <c r="EM149" i="10"/>
  <c r="AZ149" i="10" s="1"/>
  <c r="FH118" i="10"/>
  <c r="BU118" i="10" s="1"/>
  <c r="DT118" i="10"/>
  <c r="AG118" i="10" s="1"/>
  <c r="ED118" i="10"/>
  <c r="AQ118" i="10" s="1"/>
  <c r="FA118" i="10"/>
  <c r="BN118" i="10" s="1"/>
  <c r="FD118" i="10"/>
  <c r="BQ118" i="10" s="1"/>
  <c r="EX118" i="10"/>
  <c r="BK118" i="10" s="1"/>
  <c r="EZ118" i="10"/>
  <c r="BM118" i="10" s="1"/>
  <c r="EO118" i="10"/>
  <c r="BB118" i="10" s="1"/>
  <c r="ES118" i="10"/>
  <c r="BF118" i="10" s="1"/>
  <c r="EI118" i="10"/>
  <c r="AV118" i="10" s="1"/>
  <c r="FK118" i="10"/>
  <c r="BX118" i="10" s="1"/>
  <c r="FF118" i="10"/>
  <c r="BS118" i="10" s="1"/>
  <c r="DJ118" i="10"/>
  <c r="W118" i="10" s="1"/>
  <c r="DK118" i="10"/>
  <c r="X118" i="10" s="1"/>
  <c r="EC118" i="10"/>
  <c r="AP118" i="10" s="1"/>
  <c r="EE118" i="10"/>
  <c r="AR118" i="10" s="1"/>
  <c r="DN118" i="10"/>
  <c r="AA118" i="10" s="1"/>
  <c r="ET118" i="10"/>
  <c r="BG118" i="10" s="1"/>
  <c r="DR118" i="10"/>
  <c r="AE118" i="10" s="1"/>
  <c r="DU118" i="10"/>
  <c r="AH118" i="10" s="1"/>
  <c r="EL118" i="10"/>
  <c r="AY118" i="10" s="1"/>
  <c r="DQ118" i="10"/>
  <c r="AD118" i="10" s="1"/>
  <c r="EB118" i="10"/>
  <c r="AO118" i="10" s="1"/>
  <c r="DM118" i="10"/>
  <c r="Z118" i="10" s="1"/>
  <c r="FB118" i="10"/>
  <c r="BO118" i="10" s="1"/>
  <c r="DW118" i="10"/>
  <c r="AJ118" i="10" s="1"/>
  <c r="FI118" i="10"/>
  <c r="BV118" i="10" s="1"/>
  <c r="EG118" i="10"/>
  <c r="AT118" i="10" s="1"/>
  <c r="EY118" i="10"/>
  <c r="BL118" i="10" s="1"/>
  <c r="EV118" i="10"/>
  <c r="BI118" i="10" s="1"/>
  <c r="EN118" i="10"/>
  <c r="BA118" i="10" s="1"/>
  <c r="CB118" i="10"/>
  <c r="DS118" i="10"/>
  <c r="AF118" i="10" s="1"/>
  <c r="EH118" i="10"/>
  <c r="AU118" i="10" s="1"/>
  <c r="FG118" i="10"/>
  <c r="BT118" i="10" s="1"/>
  <c r="EW118" i="10"/>
  <c r="BJ118" i="10" s="1"/>
  <c r="ER118" i="10"/>
  <c r="BE118" i="10" s="1"/>
  <c r="DZ118" i="10"/>
  <c r="AM118" i="10" s="1"/>
  <c r="DL118" i="10"/>
  <c r="Y118" i="10" s="1"/>
  <c r="DV118" i="10"/>
  <c r="AI118" i="10" s="1"/>
  <c r="EP118" i="10"/>
  <c r="BC118" i="10" s="1"/>
  <c r="DP118" i="10"/>
  <c r="AC118" i="10" s="1"/>
  <c r="FC118" i="10"/>
  <c r="BP118" i="10" s="1"/>
  <c r="EM118" i="10"/>
  <c r="AZ118" i="10" s="1"/>
  <c r="EA118" i="10"/>
  <c r="AN118" i="10" s="1"/>
  <c r="EK118" i="10"/>
  <c r="AX118" i="10" s="1"/>
  <c r="FL118" i="10"/>
  <c r="BY118" i="10" s="1"/>
  <c r="EQ118" i="10"/>
  <c r="BD118" i="10" s="1"/>
  <c r="DX118" i="10"/>
  <c r="AK118" i="10" s="1"/>
  <c r="FJ118" i="10"/>
  <c r="BW118" i="10" s="1"/>
  <c r="DO118" i="10"/>
  <c r="AB118" i="10" s="1"/>
  <c r="EJ118" i="10"/>
  <c r="AW118" i="10" s="1"/>
  <c r="EU118" i="10"/>
  <c r="BH118" i="10" s="1"/>
  <c r="FE118" i="10"/>
  <c r="BR118" i="10" s="1"/>
  <c r="DY118" i="10"/>
  <c r="AL118" i="10" s="1"/>
  <c r="FJ244" i="10"/>
  <c r="EI244" i="10"/>
  <c r="EQ244" i="10"/>
  <c r="FK244" i="10"/>
  <c r="ET244" i="10"/>
  <c r="EK244" i="10"/>
  <c r="EU244" i="10"/>
  <c r="FG244" i="10"/>
  <c r="ER244" i="10"/>
  <c r="FF244" i="10"/>
  <c r="FH244" i="10"/>
  <c r="EV244" i="10"/>
  <c r="FD244" i="10"/>
  <c r="EX244" i="10"/>
  <c r="BP244" i="10"/>
  <c r="EM244" i="10"/>
  <c r="ES244" i="10"/>
  <c r="FL244" i="10"/>
  <c r="EP244" i="10"/>
  <c r="FC244" i="10"/>
  <c r="FA244" i="10"/>
  <c r="EY244" i="10"/>
  <c r="EH244" i="10"/>
  <c r="EN244" i="10"/>
  <c r="EJ244" i="10"/>
  <c r="FI244" i="10"/>
  <c r="CB244" i="10"/>
  <c r="EG244" i="10"/>
  <c r="FE244" i="10"/>
  <c r="EZ244" i="10"/>
  <c r="EO244" i="10"/>
  <c r="FB244" i="10"/>
  <c r="EW244" i="10"/>
  <c r="EL244" i="10"/>
  <c r="FF137" i="10"/>
  <c r="BS137" i="10" s="1"/>
  <c r="EE137" i="10"/>
  <c r="AR137" i="10" s="1"/>
  <c r="ER137" i="10"/>
  <c r="BE137" i="10" s="1"/>
  <c r="EY137" i="10"/>
  <c r="BL137" i="10" s="1"/>
  <c r="DW137" i="10"/>
  <c r="AJ137" i="10" s="1"/>
  <c r="EI137" i="10"/>
  <c r="AV137" i="10" s="1"/>
  <c r="DQ137" i="10"/>
  <c r="AD137" i="10" s="1"/>
  <c r="FK137" i="10"/>
  <c r="BX137" i="10" s="1"/>
  <c r="EM137" i="10"/>
  <c r="AZ137" i="10" s="1"/>
  <c r="DP137" i="10"/>
  <c r="AC137" i="10" s="1"/>
  <c r="EA137" i="10"/>
  <c r="AN137" i="10" s="1"/>
  <c r="EN137" i="10"/>
  <c r="BA137" i="10" s="1"/>
  <c r="EP137" i="10"/>
  <c r="BC137" i="10" s="1"/>
  <c r="EZ137" i="10"/>
  <c r="BM137" i="10" s="1"/>
  <c r="DR137" i="10"/>
  <c r="AE137" i="10" s="1"/>
  <c r="DM137" i="10"/>
  <c r="Z137" i="10" s="1"/>
  <c r="ES137" i="10"/>
  <c r="BF137" i="10" s="1"/>
  <c r="FH137" i="10"/>
  <c r="BU137" i="10" s="1"/>
  <c r="DX137" i="10"/>
  <c r="AK137" i="10" s="1"/>
  <c r="EL137" i="10"/>
  <c r="AY137" i="10" s="1"/>
  <c r="FA137" i="10"/>
  <c r="BN137" i="10" s="1"/>
  <c r="DO137" i="10"/>
  <c r="AB137" i="10" s="1"/>
  <c r="EB137" i="10"/>
  <c r="AO137" i="10" s="1"/>
  <c r="EO137" i="10"/>
  <c r="BB137" i="10" s="1"/>
  <c r="DJ137" i="10"/>
  <c r="W137" i="10" s="1"/>
  <c r="DL137" i="10"/>
  <c r="Y137" i="10" s="1"/>
  <c r="DS137" i="10"/>
  <c r="AF137" i="10" s="1"/>
  <c r="EX137" i="10"/>
  <c r="BK137" i="10" s="1"/>
  <c r="DU137" i="10"/>
  <c r="AH137" i="10" s="1"/>
  <c r="DN137" i="10"/>
  <c r="AA137" i="10" s="1"/>
  <c r="EK137" i="10"/>
  <c r="AX137" i="10" s="1"/>
  <c r="FJ137" i="10"/>
  <c r="BW137" i="10" s="1"/>
  <c r="EV137" i="10"/>
  <c r="BI137" i="10" s="1"/>
  <c r="FB137" i="10"/>
  <c r="BO137" i="10" s="1"/>
  <c r="EU137" i="10"/>
  <c r="BH137" i="10" s="1"/>
  <c r="DY137" i="10"/>
  <c r="AL137" i="10" s="1"/>
  <c r="EG137" i="10"/>
  <c r="AT137" i="10" s="1"/>
  <c r="ET137" i="10"/>
  <c r="BG137" i="10" s="1"/>
  <c r="FL137" i="10"/>
  <c r="BY137" i="10" s="1"/>
  <c r="FC137" i="10"/>
  <c r="BP137" i="10" s="1"/>
  <c r="FE137" i="10"/>
  <c r="BR137" i="10" s="1"/>
  <c r="EC137" i="10"/>
  <c r="AP137" i="10" s="1"/>
  <c r="CB137" i="10"/>
  <c r="FG137" i="10"/>
  <c r="BT137" i="10" s="1"/>
  <c r="EQ137" i="10"/>
  <c r="BD137" i="10" s="1"/>
  <c r="ED137" i="10"/>
  <c r="AQ137" i="10" s="1"/>
  <c r="DK137" i="10"/>
  <c r="X137" i="10" s="1"/>
  <c r="DT137" i="10"/>
  <c r="AG137" i="10" s="1"/>
  <c r="FI137" i="10"/>
  <c r="BV137" i="10" s="1"/>
  <c r="FD137" i="10"/>
  <c r="BQ137" i="10" s="1"/>
  <c r="EW137" i="10"/>
  <c r="BJ137" i="10" s="1"/>
  <c r="EH137" i="10"/>
  <c r="AU137" i="10" s="1"/>
  <c r="DZ137" i="10"/>
  <c r="AM137" i="10" s="1"/>
  <c r="EJ137" i="10"/>
  <c r="AW137" i="10" s="1"/>
  <c r="DV137" i="10"/>
  <c r="AI137" i="10" s="1"/>
  <c r="ER128" i="10"/>
  <c r="BE128" i="10" s="1"/>
  <c r="FI128" i="10"/>
  <c r="BV128" i="10" s="1"/>
  <c r="EQ128" i="10"/>
  <c r="BD128" i="10" s="1"/>
  <c r="EV128" i="10"/>
  <c r="BI128" i="10" s="1"/>
  <c r="EI128" i="10"/>
  <c r="AV128" i="10" s="1"/>
  <c r="EK128" i="10"/>
  <c r="AX128" i="10" s="1"/>
  <c r="EY128" i="10"/>
  <c r="BL128" i="10" s="1"/>
  <c r="EN128" i="10"/>
  <c r="BA128" i="10" s="1"/>
  <c r="EX128" i="10"/>
  <c r="BK128" i="10" s="1"/>
  <c r="DT128" i="10"/>
  <c r="AG128" i="10" s="1"/>
  <c r="FB128" i="10"/>
  <c r="BO128" i="10" s="1"/>
  <c r="FL128" i="10"/>
  <c r="BY128" i="10" s="1"/>
  <c r="DU128" i="10"/>
  <c r="AH128" i="10" s="1"/>
  <c r="EU128" i="10"/>
  <c r="BH128" i="10" s="1"/>
  <c r="DZ128" i="10"/>
  <c r="AM128" i="10" s="1"/>
  <c r="DK128" i="10"/>
  <c r="X128" i="10" s="1"/>
  <c r="FD128" i="10"/>
  <c r="BQ128" i="10" s="1"/>
  <c r="DO128" i="10"/>
  <c r="AB128" i="10" s="1"/>
  <c r="DM128" i="10"/>
  <c r="Z128" i="10" s="1"/>
  <c r="EO128" i="10"/>
  <c r="BB128" i="10" s="1"/>
  <c r="DX128" i="10"/>
  <c r="AK128" i="10" s="1"/>
  <c r="FK128" i="10"/>
  <c r="BX128" i="10" s="1"/>
  <c r="EH128" i="10"/>
  <c r="AU128" i="10" s="1"/>
  <c r="FH128" i="10"/>
  <c r="BU128" i="10" s="1"/>
  <c r="EB128" i="10"/>
  <c r="AO128" i="10" s="1"/>
  <c r="EE128" i="10"/>
  <c r="AR128" i="10" s="1"/>
  <c r="DQ128" i="10"/>
  <c r="AD128" i="10" s="1"/>
  <c r="DW128" i="10"/>
  <c r="AJ128" i="10" s="1"/>
  <c r="ET128" i="10"/>
  <c r="BG128" i="10" s="1"/>
  <c r="DY128" i="10"/>
  <c r="AL128" i="10" s="1"/>
  <c r="CB128" i="10"/>
  <c r="DJ128" i="10"/>
  <c r="W128" i="10" s="1"/>
  <c r="EA128" i="10"/>
  <c r="AN128" i="10" s="1"/>
  <c r="EJ128" i="10"/>
  <c r="AW128" i="10" s="1"/>
  <c r="FC128" i="10"/>
  <c r="BP128" i="10" s="1"/>
  <c r="DV128" i="10"/>
  <c r="AI128" i="10" s="1"/>
  <c r="DL128" i="10"/>
  <c r="Y128" i="10" s="1"/>
  <c r="ED128" i="10"/>
  <c r="AQ128" i="10" s="1"/>
  <c r="FJ128" i="10"/>
  <c r="BW128" i="10" s="1"/>
  <c r="EZ128" i="10"/>
  <c r="BM128" i="10" s="1"/>
  <c r="EG128" i="10"/>
  <c r="AT128" i="10" s="1"/>
  <c r="DS128" i="10"/>
  <c r="AF128" i="10" s="1"/>
  <c r="FF128" i="10"/>
  <c r="BS128" i="10" s="1"/>
  <c r="ES128" i="10"/>
  <c r="BF128" i="10" s="1"/>
  <c r="EP128" i="10"/>
  <c r="BC128" i="10" s="1"/>
  <c r="EL128" i="10"/>
  <c r="AY128" i="10" s="1"/>
  <c r="FG128" i="10"/>
  <c r="BT128" i="10" s="1"/>
  <c r="EW128" i="10"/>
  <c r="BJ128" i="10" s="1"/>
  <c r="EC128" i="10"/>
  <c r="AP128" i="10" s="1"/>
  <c r="FA128" i="10"/>
  <c r="BN128" i="10" s="1"/>
  <c r="FE128" i="10"/>
  <c r="BR128" i="10" s="1"/>
  <c r="DP128" i="10"/>
  <c r="AC128" i="10" s="1"/>
  <c r="EM128" i="10"/>
  <c r="AZ128" i="10" s="1"/>
  <c r="DN128" i="10"/>
  <c r="AA128" i="10" s="1"/>
  <c r="DR128" i="10"/>
  <c r="AE128" i="10" s="1"/>
  <c r="EN99" i="10"/>
  <c r="BA99" i="10" s="1"/>
  <c r="FJ99" i="10"/>
  <c r="BW99" i="10" s="1"/>
  <c r="ER99" i="10"/>
  <c r="BE99" i="10" s="1"/>
  <c r="FL99" i="10"/>
  <c r="BY99" i="10" s="1"/>
  <c r="EV99" i="10"/>
  <c r="BI99" i="10" s="1"/>
  <c r="EJ99" i="10"/>
  <c r="AW99" i="10" s="1"/>
  <c r="EL99" i="10"/>
  <c r="AY99" i="10" s="1"/>
  <c r="EU99" i="10"/>
  <c r="BH99" i="10" s="1"/>
  <c r="FE99" i="10"/>
  <c r="BR99" i="10" s="1"/>
  <c r="EI99" i="10"/>
  <c r="AV99" i="10" s="1"/>
  <c r="FG99" i="10"/>
  <c r="BT99" i="10" s="1"/>
  <c r="EP99" i="10"/>
  <c r="BC99" i="10" s="1"/>
  <c r="EK99" i="10"/>
  <c r="AX99" i="10" s="1"/>
  <c r="FD99" i="10"/>
  <c r="BQ99" i="10" s="1"/>
  <c r="FH99" i="10"/>
  <c r="BU99" i="10" s="1"/>
  <c r="FB99" i="10"/>
  <c r="BO99" i="10" s="1"/>
  <c r="EY99" i="10"/>
  <c r="BL99" i="10" s="1"/>
  <c r="EO99" i="10"/>
  <c r="BB99" i="10" s="1"/>
  <c r="EH99" i="10"/>
  <c r="AU99" i="10" s="1"/>
  <c r="EW99" i="10"/>
  <c r="BJ99" i="10" s="1"/>
  <c r="FA99" i="10"/>
  <c r="BN99" i="10" s="1"/>
  <c r="FF99" i="10"/>
  <c r="BS99" i="10" s="1"/>
  <c r="EQ99" i="10"/>
  <c r="BD99" i="10" s="1"/>
  <c r="FC99" i="10"/>
  <c r="BP99" i="10" s="1"/>
  <c r="EG99" i="10"/>
  <c r="AT99" i="10" s="1"/>
  <c r="FK99" i="10"/>
  <c r="BX99" i="10" s="1"/>
  <c r="EM99" i="10"/>
  <c r="AZ99" i="10" s="1"/>
  <c r="EZ99" i="10"/>
  <c r="BM99" i="10" s="1"/>
  <c r="EX99" i="10"/>
  <c r="BK99" i="10" s="1"/>
  <c r="ET99" i="10"/>
  <c r="BG99" i="10" s="1"/>
  <c r="ES99" i="10"/>
  <c r="BF99" i="10" s="1"/>
  <c r="FI99" i="10"/>
  <c r="BV99" i="10" s="1"/>
  <c r="CB113" i="10"/>
  <c r="EG113" i="10"/>
  <c r="AT113" i="10" s="1"/>
  <c r="EI113" i="10"/>
  <c r="AV113" i="10" s="1"/>
  <c r="EQ113" i="10"/>
  <c r="BD113" i="10" s="1"/>
  <c r="FE113" i="10"/>
  <c r="BR113" i="10" s="1"/>
  <c r="DM113" i="10"/>
  <c r="Z113" i="10" s="1"/>
  <c r="DQ113" i="10"/>
  <c r="AD113" i="10" s="1"/>
  <c r="DZ113" i="10"/>
  <c r="AM113" i="10" s="1"/>
  <c r="ES113" i="10"/>
  <c r="BF113" i="10" s="1"/>
  <c r="DO113" i="10"/>
  <c r="AB113" i="10" s="1"/>
  <c r="DJ113" i="10"/>
  <c r="W113" i="10" s="1"/>
  <c r="DL113" i="10"/>
  <c r="Y113" i="10" s="1"/>
  <c r="FF113" i="10"/>
  <c r="BS113" i="10" s="1"/>
  <c r="EH113" i="10"/>
  <c r="AU113" i="10" s="1"/>
  <c r="EN113" i="10"/>
  <c r="BA113" i="10" s="1"/>
  <c r="ER113" i="10"/>
  <c r="BE113" i="10" s="1"/>
  <c r="EK113" i="10"/>
  <c r="AX113" i="10" s="1"/>
  <c r="EW113" i="10"/>
  <c r="BJ113" i="10" s="1"/>
  <c r="DP113" i="10"/>
  <c r="AC113" i="10" s="1"/>
  <c r="DU113" i="10"/>
  <c r="AH113" i="10" s="1"/>
  <c r="EP113" i="10"/>
  <c r="BC113" i="10" s="1"/>
  <c r="DT113" i="10"/>
  <c r="AG113" i="10" s="1"/>
  <c r="FB113" i="10"/>
  <c r="BO113" i="10" s="1"/>
  <c r="EY113" i="10"/>
  <c r="BL113" i="10" s="1"/>
  <c r="EX113" i="10"/>
  <c r="BK113" i="10" s="1"/>
  <c r="ET113" i="10"/>
  <c r="BG113" i="10" s="1"/>
  <c r="FI113" i="10"/>
  <c r="BV113" i="10" s="1"/>
  <c r="EV113" i="10"/>
  <c r="BI113" i="10" s="1"/>
  <c r="EU113" i="10"/>
  <c r="BH113" i="10" s="1"/>
  <c r="FA113" i="10"/>
  <c r="BN113" i="10" s="1"/>
  <c r="DW113" i="10"/>
  <c r="AJ113" i="10" s="1"/>
  <c r="EB113" i="10"/>
  <c r="AO113" i="10" s="1"/>
  <c r="DS113" i="10"/>
  <c r="AF113" i="10" s="1"/>
  <c r="FD113" i="10"/>
  <c r="BQ113" i="10" s="1"/>
  <c r="FK113" i="10"/>
  <c r="BX113" i="10" s="1"/>
  <c r="DK113" i="10"/>
  <c r="X113" i="10" s="1"/>
  <c r="FL113" i="10"/>
  <c r="BY113" i="10" s="1"/>
  <c r="FH113" i="10"/>
  <c r="BU113" i="10" s="1"/>
  <c r="EC113" i="10"/>
  <c r="AP113" i="10" s="1"/>
  <c r="DY113" i="10"/>
  <c r="AL113" i="10" s="1"/>
  <c r="FG113" i="10"/>
  <c r="BT113" i="10" s="1"/>
  <c r="DN113" i="10"/>
  <c r="AA113" i="10" s="1"/>
  <c r="EA113" i="10"/>
  <c r="AN113" i="10" s="1"/>
  <c r="EL113" i="10"/>
  <c r="AY113" i="10" s="1"/>
  <c r="DX113" i="10"/>
  <c r="AK113" i="10" s="1"/>
  <c r="FC113" i="10"/>
  <c r="BP113" i="10" s="1"/>
  <c r="EM113" i="10"/>
  <c r="AZ113" i="10" s="1"/>
  <c r="EO113" i="10"/>
  <c r="BB113" i="10" s="1"/>
  <c r="DR113" i="10"/>
  <c r="AE113" i="10" s="1"/>
  <c r="EZ113" i="10"/>
  <c r="BM113" i="10" s="1"/>
  <c r="FJ113" i="10"/>
  <c r="BW113" i="10" s="1"/>
  <c r="DV113" i="10"/>
  <c r="AI113" i="10" s="1"/>
  <c r="EE113" i="10"/>
  <c r="AR113" i="10" s="1"/>
  <c r="EJ113" i="10"/>
  <c r="AW113" i="10" s="1"/>
  <c r="ED113" i="10"/>
  <c r="AQ113" i="10" s="1"/>
  <c r="EJ101" i="10"/>
  <c r="AW101" i="10" s="1"/>
  <c r="EW101" i="10"/>
  <c r="BJ101" i="10" s="1"/>
  <c r="FD101" i="10"/>
  <c r="BQ101" i="10" s="1"/>
  <c r="EI101" i="10"/>
  <c r="AV101" i="10" s="1"/>
  <c r="EG101" i="10"/>
  <c r="AT101" i="10" s="1"/>
  <c r="FJ101" i="10"/>
  <c r="BW101" i="10" s="1"/>
  <c r="EY101" i="10"/>
  <c r="BL101" i="10" s="1"/>
  <c r="FH101" i="10"/>
  <c r="BU101" i="10" s="1"/>
  <c r="FE101" i="10"/>
  <c r="BR101" i="10" s="1"/>
  <c r="EP101" i="10"/>
  <c r="BC101" i="10" s="1"/>
  <c r="EL101" i="10"/>
  <c r="AY101" i="10" s="1"/>
  <c r="EK101" i="10"/>
  <c r="AX101" i="10" s="1"/>
  <c r="EO101" i="10"/>
  <c r="BB101" i="10" s="1"/>
  <c r="EN101" i="10"/>
  <c r="BA101" i="10" s="1"/>
  <c r="FG101" i="10"/>
  <c r="BT101" i="10" s="1"/>
  <c r="FB101" i="10"/>
  <c r="BO101" i="10" s="1"/>
  <c r="EX101" i="10"/>
  <c r="BK101" i="10" s="1"/>
  <c r="FC101" i="10"/>
  <c r="BP101" i="10" s="1"/>
  <c r="FA101" i="10"/>
  <c r="BN101" i="10" s="1"/>
  <c r="FF101" i="10"/>
  <c r="BS101" i="10" s="1"/>
  <c r="ES101" i="10"/>
  <c r="BF101" i="10" s="1"/>
  <c r="FI101" i="10"/>
  <c r="BV101" i="10" s="1"/>
  <c r="ET101" i="10"/>
  <c r="BG101" i="10" s="1"/>
  <c r="EZ101" i="10"/>
  <c r="BM101" i="10" s="1"/>
  <c r="FL101" i="10"/>
  <c r="BY101" i="10" s="1"/>
  <c r="FK101" i="10"/>
  <c r="BX101" i="10" s="1"/>
  <c r="EV101" i="10"/>
  <c r="BI101" i="10" s="1"/>
  <c r="EQ101" i="10"/>
  <c r="BD101" i="10" s="1"/>
  <c r="EU101" i="10"/>
  <c r="BH101" i="10" s="1"/>
  <c r="EH101" i="10"/>
  <c r="AU101" i="10" s="1"/>
  <c r="EM101" i="10"/>
  <c r="AZ101" i="10" s="1"/>
  <c r="ER101" i="10"/>
  <c r="BE101" i="10" s="1"/>
  <c r="EG136" i="10"/>
  <c r="AT136" i="10" s="1"/>
  <c r="FA136" i="10"/>
  <c r="BN136" i="10" s="1"/>
  <c r="EH136" i="10"/>
  <c r="AU136" i="10" s="1"/>
  <c r="DL136" i="10"/>
  <c r="Y136" i="10" s="1"/>
  <c r="FL136" i="10"/>
  <c r="BY136" i="10" s="1"/>
  <c r="ET136" i="10"/>
  <c r="BG136" i="10" s="1"/>
  <c r="EQ136" i="10"/>
  <c r="BD136" i="10" s="1"/>
  <c r="EY136" i="10"/>
  <c r="BL136" i="10" s="1"/>
  <c r="EB136" i="10"/>
  <c r="AO136" i="10" s="1"/>
  <c r="EP136" i="10"/>
  <c r="BC136" i="10" s="1"/>
  <c r="DK136" i="10"/>
  <c r="X136" i="10" s="1"/>
  <c r="FJ136" i="10"/>
  <c r="BW136" i="10" s="1"/>
  <c r="EE136" i="10"/>
  <c r="AR136" i="10" s="1"/>
  <c r="ED136" i="10"/>
  <c r="AQ136" i="10" s="1"/>
  <c r="DW136" i="10"/>
  <c r="AJ136" i="10" s="1"/>
  <c r="DR136" i="10"/>
  <c r="AE136" i="10" s="1"/>
  <c r="EC136" i="10"/>
  <c r="AP136" i="10" s="1"/>
  <c r="DO136" i="10"/>
  <c r="AB136" i="10" s="1"/>
  <c r="DU136" i="10"/>
  <c r="AH136" i="10" s="1"/>
  <c r="DS136" i="10"/>
  <c r="AF136" i="10" s="1"/>
  <c r="EX136" i="10"/>
  <c r="BK136" i="10" s="1"/>
  <c r="EN136" i="10"/>
  <c r="BA136" i="10" s="1"/>
  <c r="FD136" i="10"/>
  <c r="BQ136" i="10" s="1"/>
  <c r="FC136" i="10"/>
  <c r="BP136" i="10" s="1"/>
  <c r="EV136" i="10"/>
  <c r="BI136" i="10" s="1"/>
  <c r="FH136" i="10"/>
  <c r="BU136" i="10" s="1"/>
  <c r="FB136" i="10"/>
  <c r="BO136" i="10" s="1"/>
  <c r="EW136" i="10"/>
  <c r="BJ136" i="10" s="1"/>
  <c r="FI136" i="10"/>
  <c r="BV136" i="10" s="1"/>
  <c r="FG136" i="10"/>
  <c r="BT136" i="10" s="1"/>
  <c r="EA136" i="10"/>
  <c r="AN136" i="10" s="1"/>
  <c r="DQ136" i="10"/>
  <c r="AD136" i="10" s="1"/>
  <c r="CB136" i="10"/>
  <c r="EU136" i="10"/>
  <c r="BH136" i="10" s="1"/>
  <c r="EZ136" i="10"/>
  <c r="BM136" i="10" s="1"/>
  <c r="DJ136" i="10"/>
  <c r="W136" i="10" s="1"/>
  <c r="EL136" i="10"/>
  <c r="AY136" i="10" s="1"/>
  <c r="FF136" i="10"/>
  <c r="BS136" i="10" s="1"/>
  <c r="ES136" i="10"/>
  <c r="BF136" i="10" s="1"/>
  <c r="DP136" i="10"/>
  <c r="AC136" i="10" s="1"/>
  <c r="DM136" i="10"/>
  <c r="Z136" i="10" s="1"/>
  <c r="EI136" i="10"/>
  <c r="AV136" i="10" s="1"/>
  <c r="ER136" i="10"/>
  <c r="BE136" i="10" s="1"/>
  <c r="DS53" i="10"/>
  <c r="AF53" i="10" s="1"/>
  <c r="EJ53" i="10"/>
  <c r="AW53" i="10" s="1"/>
  <c r="EW53" i="10"/>
  <c r="BJ53" i="10" s="1"/>
  <c r="EI53" i="10"/>
  <c r="AV53" i="10" s="1"/>
  <c r="DV53" i="10"/>
  <c r="AI53" i="10" s="1"/>
  <c r="EO53" i="10"/>
  <c r="BB53" i="10" s="1"/>
  <c r="DR53" i="10"/>
  <c r="AE53" i="10" s="1"/>
  <c r="CB53" i="10"/>
  <c r="FH53" i="10"/>
  <c r="BU53" i="10" s="1"/>
  <c r="ET53" i="10"/>
  <c r="BG53" i="10" s="1"/>
  <c r="ED53" i="10"/>
  <c r="AQ53" i="10" s="1"/>
  <c r="DQ53" i="10"/>
  <c r="AD53" i="10" s="1"/>
  <c r="DJ53" i="10"/>
  <c r="W53" i="10" s="1"/>
  <c r="DY53" i="10"/>
  <c r="AL53" i="10" s="1"/>
  <c r="EM53" i="10"/>
  <c r="AZ53" i="10" s="1"/>
  <c r="DZ53" i="10"/>
  <c r="AM53" i="10" s="1"/>
  <c r="EP53" i="10"/>
  <c r="BC53" i="10" s="1"/>
  <c r="DX53" i="10"/>
  <c r="AK53" i="10" s="1"/>
  <c r="DW53" i="10"/>
  <c r="AJ53" i="10" s="1"/>
  <c r="ER53" i="10"/>
  <c r="BE53" i="10" s="1"/>
  <c r="EL53" i="10"/>
  <c r="AY53" i="10" s="1"/>
  <c r="EN53" i="10"/>
  <c r="BA53" i="10" s="1"/>
  <c r="DP53" i="10"/>
  <c r="AC53" i="10" s="1"/>
  <c r="EA53" i="10"/>
  <c r="AN53" i="10" s="1"/>
  <c r="EG53" i="10"/>
  <c r="AT53" i="10" s="1"/>
  <c r="DK53" i="10"/>
  <c r="X53" i="10" s="1"/>
  <c r="FG53" i="10"/>
  <c r="BT53" i="10" s="1"/>
  <c r="DM53" i="10"/>
  <c r="Z53" i="10" s="1"/>
  <c r="ES53" i="10"/>
  <c r="BF53" i="10" s="1"/>
  <c r="DN53" i="10"/>
  <c r="AA53" i="10" s="1"/>
  <c r="FC53" i="10"/>
  <c r="BP53" i="10" s="1"/>
  <c r="EQ53" i="10"/>
  <c r="BD53" i="10" s="1"/>
  <c r="EV53" i="10"/>
  <c r="BI53" i="10" s="1"/>
  <c r="DO53" i="10"/>
  <c r="AB53" i="10" s="1"/>
  <c r="DL53" i="10"/>
  <c r="Y53" i="10" s="1"/>
  <c r="FE53" i="10"/>
  <c r="BR53" i="10" s="1"/>
  <c r="EB53" i="10"/>
  <c r="AO53" i="10" s="1"/>
  <c r="FL53" i="10"/>
  <c r="BY53" i="10" s="1"/>
  <c r="FI53" i="10"/>
  <c r="BV53" i="10" s="1"/>
  <c r="FF53" i="10"/>
  <c r="BS53" i="10" s="1"/>
  <c r="FD53" i="10"/>
  <c r="BQ53" i="10" s="1"/>
  <c r="EK53" i="10"/>
  <c r="AX53" i="10" s="1"/>
  <c r="DT53" i="10"/>
  <c r="AG53" i="10" s="1"/>
  <c r="EE53" i="10"/>
  <c r="AR53" i="10" s="1"/>
  <c r="FB53" i="10"/>
  <c r="BO53" i="10" s="1"/>
  <c r="DU53" i="10"/>
  <c r="AH53" i="10" s="1"/>
  <c r="EZ53" i="10"/>
  <c r="BM53" i="10" s="1"/>
  <c r="FJ53" i="10"/>
  <c r="BW53" i="10" s="1"/>
  <c r="FK53" i="10"/>
  <c r="BX53" i="10" s="1"/>
  <c r="EY53" i="10"/>
  <c r="BL53" i="10" s="1"/>
  <c r="EC53" i="10"/>
  <c r="AP53" i="10" s="1"/>
  <c r="FA53" i="10"/>
  <c r="BN53" i="10" s="1"/>
  <c r="EX53" i="10"/>
  <c r="BK53" i="10" s="1"/>
  <c r="EU53" i="10"/>
  <c r="BH53" i="10" s="1"/>
  <c r="EH53" i="10"/>
  <c r="AU53" i="10" s="1"/>
  <c r="DU54" i="10"/>
  <c r="AH54" i="10" s="1"/>
  <c r="EK54" i="10"/>
  <c r="AX54" i="10" s="1"/>
  <c r="DM54" i="10"/>
  <c r="Z54" i="10" s="1"/>
  <c r="DT54" i="10"/>
  <c r="AG54" i="10" s="1"/>
  <c r="EX54" i="10"/>
  <c r="BK54" i="10" s="1"/>
  <c r="FF54" i="10"/>
  <c r="BS54" i="10" s="1"/>
  <c r="EN54" i="10"/>
  <c r="BA54" i="10" s="1"/>
  <c r="EB54" i="10"/>
  <c r="AO54" i="10" s="1"/>
  <c r="DS54" i="10"/>
  <c r="AF54" i="10" s="1"/>
  <c r="DV54" i="10"/>
  <c r="AI54" i="10" s="1"/>
  <c r="DN54" i="10"/>
  <c r="AA54" i="10" s="1"/>
  <c r="DZ54" i="10"/>
  <c r="AM54" i="10" s="1"/>
  <c r="EC54" i="10"/>
  <c r="AP54" i="10" s="1"/>
  <c r="FJ54" i="10"/>
  <c r="BW54" i="10" s="1"/>
  <c r="DQ54" i="10"/>
  <c r="AD54" i="10" s="1"/>
  <c r="EJ54" i="10"/>
  <c r="AW54" i="10" s="1"/>
  <c r="FA54" i="10"/>
  <c r="BN54" i="10" s="1"/>
  <c r="EA54" i="10"/>
  <c r="AN54" i="10" s="1"/>
  <c r="FB54" i="10"/>
  <c r="BO54" i="10" s="1"/>
  <c r="DL54" i="10"/>
  <c r="Y54" i="10" s="1"/>
  <c r="DY54" i="10"/>
  <c r="AL54" i="10" s="1"/>
  <c r="ES54" i="10"/>
  <c r="BF54" i="10" s="1"/>
  <c r="EM54" i="10"/>
  <c r="AZ54" i="10" s="1"/>
  <c r="ET54" i="10"/>
  <c r="BG54" i="10" s="1"/>
  <c r="EI54" i="10"/>
  <c r="AV54" i="10" s="1"/>
  <c r="FC54" i="10"/>
  <c r="BP54" i="10" s="1"/>
  <c r="EH54" i="10"/>
  <c r="AU54" i="10" s="1"/>
  <c r="DO54" i="10"/>
  <c r="AB54" i="10" s="1"/>
  <c r="EW54" i="10"/>
  <c r="BJ54" i="10" s="1"/>
  <c r="FL54" i="10"/>
  <c r="BY54" i="10" s="1"/>
  <c r="EQ54" i="10"/>
  <c r="BD54" i="10" s="1"/>
  <c r="EE54" i="10"/>
  <c r="AR54" i="10" s="1"/>
  <c r="DK54" i="10"/>
  <c r="X54" i="10" s="1"/>
  <c r="DR54" i="10"/>
  <c r="AE54" i="10" s="1"/>
  <c r="ED54" i="10"/>
  <c r="AQ54" i="10" s="1"/>
  <c r="FG54" i="10"/>
  <c r="BT54" i="10" s="1"/>
  <c r="EV54" i="10"/>
  <c r="BI54" i="10" s="1"/>
  <c r="DW54" i="10"/>
  <c r="AJ54" i="10" s="1"/>
  <c r="EG54" i="10"/>
  <c r="AT54" i="10" s="1"/>
  <c r="DX54" i="10"/>
  <c r="AK54" i="10" s="1"/>
  <c r="ER54" i="10"/>
  <c r="BE54" i="10" s="1"/>
  <c r="DP54" i="10"/>
  <c r="AC54" i="10" s="1"/>
  <c r="FD54" i="10"/>
  <c r="BQ54" i="10" s="1"/>
  <c r="EO54" i="10"/>
  <c r="BB54" i="10" s="1"/>
  <c r="FH54" i="10"/>
  <c r="BU54" i="10" s="1"/>
  <c r="EY54" i="10"/>
  <c r="BL54" i="10" s="1"/>
  <c r="FK54" i="10"/>
  <c r="BX54" i="10" s="1"/>
  <c r="EL54" i="10"/>
  <c r="AY54" i="10" s="1"/>
  <c r="DJ54" i="10"/>
  <c r="W54" i="10" s="1"/>
  <c r="EP54" i="10"/>
  <c r="BC54" i="10" s="1"/>
  <c r="CB54" i="10"/>
  <c r="EU54" i="10"/>
  <c r="BH54" i="10" s="1"/>
  <c r="EZ54" i="10"/>
  <c r="BM54" i="10" s="1"/>
  <c r="FI54" i="10"/>
  <c r="BV54" i="10" s="1"/>
  <c r="FE54" i="10"/>
  <c r="BR54" i="10" s="1"/>
  <c r="ES37" i="10"/>
  <c r="BF37" i="10" s="1"/>
  <c r="EI37" i="10"/>
  <c r="AV37" i="10" s="1"/>
  <c r="FJ37" i="10"/>
  <c r="BW37" i="10" s="1"/>
  <c r="FH37" i="10"/>
  <c r="BU37" i="10" s="1"/>
  <c r="EP37" i="10"/>
  <c r="BC37" i="10" s="1"/>
  <c r="EL37" i="10"/>
  <c r="AY37" i="10" s="1"/>
  <c r="FA37" i="10"/>
  <c r="BN37" i="10" s="1"/>
  <c r="FD37" i="10"/>
  <c r="BQ37" i="10" s="1"/>
  <c r="ER37" i="10"/>
  <c r="BE37" i="10" s="1"/>
  <c r="EX37" i="10"/>
  <c r="BK37" i="10" s="1"/>
  <c r="EG37" i="10"/>
  <c r="AT37" i="10" s="1"/>
  <c r="FK37" i="10"/>
  <c r="BX37" i="10" s="1"/>
  <c r="FI37" i="10"/>
  <c r="BV37" i="10" s="1"/>
  <c r="FF37" i="10"/>
  <c r="BS37" i="10" s="1"/>
  <c r="EJ37" i="10"/>
  <c r="AW37" i="10" s="1"/>
  <c r="EM37" i="10"/>
  <c r="AZ37" i="10" s="1"/>
  <c r="ET37" i="10"/>
  <c r="BG37" i="10" s="1"/>
  <c r="EN37" i="10"/>
  <c r="BA37" i="10" s="1"/>
  <c r="EY37" i="10"/>
  <c r="BL37" i="10" s="1"/>
  <c r="EU37" i="10"/>
  <c r="BH37" i="10" s="1"/>
  <c r="FB37" i="10"/>
  <c r="BO37" i="10" s="1"/>
  <c r="EK37" i="10"/>
  <c r="AX37" i="10" s="1"/>
  <c r="EV37" i="10"/>
  <c r="BI37" i="10" s="1"/>
  <c r="FG37" i="10"/>
  <c r="BT37" i="10" s="1"/>
  <c r="EZ37" i="10"/>
  <c r="BM37" i="10" s="1"/>
  <c r="EQ37" i="10"/>
  <c r="BD37" i="10" s="1"/>
  <c r="EO37" i="10"/>
  <c r="BB37" i="10" s="1"/>
  <c r="FE37" i="10"/>
  <c r="BR37" i="10" s="1"/>
  <c r="FL37" i="10"/>
  <c r="BY37" i="10" s="1"/>
  <c r="EH37" i="10"/>
  <c r="AU37" i="10" s="1"/>
  <c r="FC37" i="10"/>
  <c r="BP37" i="10" s="1"/>
  <c r="EW37" i="10"/>
  <c r="BJ37" i="10" s="1"/>
  <c r="EV148" i="10"/>
  <c r="BI148" i="10" s="1"/>
  <c r="FG148" i="10"/>
  <c r="BT148" i="10" s="1"/>
  <c r="ED148" i="10"/>
  <c r="AQ148" i="10" s="1"/>
  <c r="EE148" i="10"/>
  <c r="AR148" i="10" s="1"/>
  <c r="FH148" i="10"/>
  <c r="BU148" i="10" s="1"/>
  <c r="DL148" i="10"/>
  <c r="Y148" i="10" s="1"/>
  <c r="DK148" i="10"/>
  <c r="X148" i="10" s="1"/>
  <c r="FD148" i="10"/>
  <c r="BQ148" i="10" s="1"/>
  <c r="EC148" i="10"/>
  <c r="AP148" i="10" s="1"/>
  <c r="EU148" i="10"/>
  <c r="BH148" i="10" s="1"/>
  <c r="FB148" i="10"/>
  <c r="BO148" i="10" s="1"/>
  <c r="EA148" i="10"/>
  <c r="AN148" i="10" s="1"/>
  <c r="DP148" i="10"/>
  <c r="AC148" i="10" s="1"/>
  <c r="EG148" i="10"/>
  <c r="AT148" i="10" s="1"/>
  <c r="EW148" i="10"/>
  <c r="BJ148" i="10" s="1"/>
  <c r="DN148" i="10"/>
  <c r="AA148" i="10" s="1"/>
  <c r="FE148" i="10"/>
  <c r="BR148" i="10" s="1"/>
  <c r="EY148" i="10"/>
  <c r="BL148" i="10" s="1"/>
  <c r="FL148" i="10"/>
  <c r="BY148" i="10" s="1"/>
  <c r="CB148" i="10"/>
  <c r="DM148" i="10"/>
  <c r="Z148" i="10" s="1"/>
  <c r="FI148" i="10"/>
  <c r="BV148" i="10" s="1"/>
  <c r="EL148" i="10"/>
  <c r="AY148" i="10" s="1"/>
  <c r="FJ148" i="10"/>
  <c r="BW148" i="10" s="1"/>
  <c r="EB148" i="10"/>
  <c r="AO148" i="10" s="1"/>
  <c r="ET148" i="10"/>
  <c r="BG148" i="10" s="1"/>
  <c r="DV148" i="10"/>
  <c r="AI148" i="10" s="1"/>
  <c r="FA148" i="10"/>
  <c r="BN148" i="10" s="1"/>
  <c r="DR148" i="10"/>
  <c r="AE148" i="10" s="1"/>
  <c r="DO148" i="10"/>
  <c r="AB148" i="10" s="1"/>
  <c r="FF148" i="10"/>
  <c r="BS148" i="10" s="1"/>
  <c r="FK148" i="10"/>
  <c r="BX148" i="10" s="1"/>
  <c r="DJ148" i="10"/>
  <c r="W148" i="10" s="1"/>
  <c r="EJ148" i="10"/>
  <c r="AW148" i="10" s="1"/>
  <c r="EZ148" i="10"/>
  <c r="BM148" i="10" s="1"/>
  <c r="DT148" i="10"/>
  <c r="AG148" i="10" s="1"/>
  <c r="EO148" i="10"/>
  <c r="BB148" i="10" s="1"/>
  <c r="EM148" i="10"/>
  <c r="AZ148" i="10" s="1"/>
  <c r="EK148" i="10"/>
  <c r="AX148" i="10" s="1"/>
  <c r="ER148" i="10"/>
  <c r="BE148" i="10" s="1"/>
  <c r="DS148" i="10"/>
  <c r="AF148" i="10" s="1"/>
  <c r="EI148" i="10"/>
  <c r="AV148" i="10" s="1"/>
  <c r="EH148" i="10"/>
  <c r="AU148" i="10" s="1"/>
  <c r="EP148" i="10"/>
  <c r="BC148" i="10" s="1"/>
  <c r="EX148" i="10"/>
  <c r="BK148" i="10" s="1"/>
  <c r="DY148" i="10"/>
  <c r="AL148" i="10" s="1"/>
  <c r="DX148" i="10"/>
  <c r="AK148" i="10" s="1"/>
  <c r="EQ148" i="10"/>
  <c r="BD148" i="10" s="1"/>
  <c r="ES148" i="10"/>
  <c r="BF148" i="10" s="1"/>
  <c r="DU148" i="10"/>
  <c r="AH148" i="10" s="1"/>
  <c r="FC148" i="10"/>
  <c r="BP148" i="10" s="1"/>
  <c r="EN148" i="10"/>
  <c r="BA148" i="10" s="1"/>
  <c r="DW148" i="10"/>
  <c r="AJ148" i="10" s="1"/>
  <c r="DQ148" i="10"/>
  <c r="AD148" i="10" s="1"/>
  <c r="DZ148" i="10"/>
  <c r="AM148" i="10" s="1"/>
  <c r="EI122" i="10"/>
  <c r="AV122" i="10" s="1"/>
  <c r="FI122" i="10"/>
  <c r="BV122" i="10" s="1"/>
  <c r="FG122" i="10"/>
  <c r="BT122" i="10" s="1"/>
  <c r="EO122" i="10"/>
  <c r="BB122" i="10" s="1"/>
  <c r="DP122" i="10"/>
  <c r="AC122" i="10" s="1"/>
  <c r="EG122" i="10"/>
  <c r="AT122" i="10" s="1"/>
  <c r="EA122" i="10"/>
  <c r="AN122" i="10" s="1"/>
  <c r="EB122" i="10"/>
  <c r="AO122" i="10" s="1"/>
  <c r="ET122" i="10"/>
  <c r="BG122" i="10" s="1"/>
  <c r="ES122" i="10"/>
  <c r="BF122" i="10" s="1"/>
  <c r="DJ122" i="10"/>
  <c r="W122" i="10" s="1"/>
  <c r="DL122" i="10"/>
  <c r="Y122" i="10" s="1"/>
  <c r="DW122" i="10"/>
  <c r="AJ122" i="10" s="1"/>
  <c r="FL122" i="10"/>
  <c r="BY122" i="10" s="1"/>
  <c r="DT122" i="10"/>
  <c r="AG122" i="10" s="1"/>
  <c r="EH122" i="10"/>
  <c r="AU122" i="10" s="1"/>
  <c r="DZ122" i="10"/>
  <c r="AM122" i="10" s="1"/>
  <c r="FK122" i="10"/>
  <c r="BX122" i="10" s="1"/>
  <c r="EE122" i="10"/>
  <c r="AR122" i="10" s="1"/>
  <c r="EJ122" i="10"/>
  <c r="AW122" i="10" s="1"/>
  <c r="EP122" i="10"/>
  <c r="BC122" i="10" s="1"/>
  <c r="FF122" i="10"/>
  <c r="BS122" i="10" s="1"/>
  <c r="DN122" i="10"/>
  <c r="AA122" i="10" s="1"/>
  <c r="DK122" i="10"/>
  <c r="X122" i="10" s="1"/>
  <c r="EW122" i="10"/>
  <c r="BJ122" i="10" s="1"/>
  <c r="ED122" i="10"/>
  <c r="AQ122" i="10" s="1"/>
  <c r="DO122" i="10"/>
  <c r="AB122" i="10" s="1"/>
  <c r="DQ122" i="10"/>
  <c r="AD122" i="10" s="1"/>
  <c r="DV122" i="10"/>
  <c r="AI122" i="10" s="1"/>
  <c r="DS122" i="10"/>
  <c r="AF122" i="10" s="1"/>
  <c r="FB122" i="10"/>
  <c r="BO122" i="10" s="1"/>
  <c r="EM122" i="10"/>
  <c r="AZ122" i="10" s="1"/>
  <c r="EL122" i="10"/>
  <c r="AY122" i="10" s="1"/>
  <c r="FA122" i="10"/>
  <c r="BN122" i="10" s="1"/>
  <c r="EZ122" i="10"/>
  <c r="BM122" i="10" s="1"/>
  <c r="ER122" i="10"/>
  <c r="BE122" i="10" s="1"/>
  <c r="CB122" i="10"/>
  <c r="DM122" i="10"/>
  <c r="Z122" i="10" s="1"/>
  <c r="EK122" i="10"/>
  <c r="AX122" i="10" s="1"/>
  <c r="DX122" i="10"/>
  <c r="AK122" i="10" s="1"/>
  <c r="FE122" i="10"/>
  <c r="BR122" i="10" s="1"/>
  <c r="FJ122" i="10"/>
  <c r="BW122" i="10" s="1"/>
  <c r="EY122" i="10"/>
  <c r="BL122" i="10" s="1"/>
  <c r="EQ122" i="10"/>
  <c r="BD122" i="10" s="1"/>
  <c r="FH122" i="10"/>
  <c r="BU122" i="10" s="1"/>
  <c r="EC122" i="10"/>
  <c r="AP122" i="10" s="1"/>
  <c r="DR122" i="10"/>
  <c r="AE122" i="10" s="1"/>
  <c r="EU122" i="10"/>
  <c r="BH122" i="10" s="1"/>
  <c r="EX122" i="10"/>
  <c r="BK122" i="10" s="1"/>
  <c r="EV122" i="10"/>
  <c r="BI122" i="10" s="1"/>
  <c r="FC122" i="10"/>
  <c r="BP122" i="10" s="1"/>
  <c r="DU122" i="10"/>
  <c r="AH122" i="10" s="1"/>
  <c r="FD122" i="10"/>
  <c r="BQ122" i="10" s="1"/>
  <c r="EN122" i="10"/>
  <c r="BA122" i="10" s="1"/>
  <c r="DY122" i="10"/>
  <c r="AL122" i="10" s="1"/>
  <c r="EU87" i="10"/>
  <c r="BH87" i="10" s="1"/>
  <c r="EI87" i="10"/>
  <c r="AV87" i="10" s="1"/>
  <c r="ES87" i="10"/>
  <c r="BF87" i="10" s="1"/>
  <c r="FC87" i="10"/>
  <c r="BP87" i="10" s="1"/>
  <c r="FI87" i="10"/>
  <c r="BV87" i="10" s="1"/>
  <c r="FB87" i="10"/>
  <c r="BO87" i="10" s="1"/>
  <c r="EM87" i="10"/>
  <c r="AZ87" i="10" s="1"/>
  <c r="EK87" i="10"/>
  <c r="AX87" i="10" s="1"/>
  <c r="FH87" i="10"/>
  <c r="BU87" i="10" s="1"/>
  <c r="EV87" i="10"/>
  <c r="BI87" i="10" s="1"/>
  <c r="EZ87" i="10"/>
  <c r="BM87" i="10" s="1"/>
  <c r="EG87" i="10"/>
  <c r="AT87" i="10" s="1"/>
  <c r="EL87" i="10"/>
  <c r="AY87" i="10" s="1"/>
  <c r="FA87" i="10"/>
  <c r="BN87" i="10" s="1"/>
  <c r="ER87" i="10"/>
  <c r="BE87" i="10" s="1"/>
  <c r="FJ87" i="10"/>
  <c r="BW87" i="10" s="1"/>
  <c r="EW87" i="10"/>
  <c r="BJ87" i="10" s="1"/>
  <c r="EJ87" i="10"/>
  <c r="AW87" i="10" s="1"/>
  <c r="EQ87" i="10"/>
  <c r="BD87" i="10" s="1"/>
  <c r="EX87" i="10"/>
  <c r="BK87" i="10" s="1"/>
  <c r="FE87" i="10"/>
  <c r="BR87" i="10" s="1"/>
  <c r="ET87" i="10"/>
  <c r="BG87" i="10" s="1"/>
  <c r="FL87" i="10"/>
  <c r="BY87" i="10" s="1"/>
  <c r="FG87" i="10"/>
  <c r="BT87" i="10" s="1"/>
  <c r="FF87" i="10"/>
  <c r="BS87" i="10" s="1"/>
  <c r="EP87" i="10"/>
  <c r="BC87" i="10" s="1"/>
  <c r="FD87" i="10"/>
  <c r="BQ87" i="10" s="1"/>
  <c r="EY87" i="10"/>
  <c r="BL87" i="10" s="1"/>
  <c r="EH87" i="10"/>
  <c r="AU87" i="10" s="1"/>
  <c r="EN87" i="10"/>
  <c r="BA87" i="10" s="1"/>
  <c r="EO87" i="10"/>
  <c r="BB87" i="10" s="1"/>
  <c r="FK87" i="10"/>
  <c r="BX87" i="10" s="1"/>
  <c r="ES56" i="10"/>
  <c r="BF56" i="10" s="1"/>
  <c r="EA56" i="10"/>
  <c r="AN56" i="10" s="1"/>
  <c r="EW56" i="10"/>
  <c r="BJ56" i="10" s="1"/>
  <c r="DW56" i="10"/>
  <c r="AJ56" i="10" s="1"/>
  <c r="DL56" i="10"/>
  <c r="Y56" i="10" s="1"/>
  <c r="FD56" i="10"/>
  <c r="BQ56" i="10" s="1"/>
  <c r="EC56" i="10"/>
  <c r="AP56" i="10" s="1"/>
  <c r="EI56" i="10"/>
  <c r="AV56" i="10" s="1"/>
  <c r="DX56" i="10"/>
  <c r="AK56" i="10" s="1"/>
  <c r="DJ56" i="10"/>
  <c r="W56" i="10" s="1"/>
  <c r="DN56" i="10"/>
  <c r="AA56" i="10" s="1"/>
  <c r="EK56" i="10"/>
  <c r="AX56" i="10" s="1"/>
  <c r="EV56" i="10"/>
  <c r="BI56" i="10" s="1"/>
  <c r="FL56" i="10"/>
  <c r="BY56" i="10" s="1"/>
  <c r="EL56" i="10"/>
  <c r="AY56" i="10" s="1"/>
  <c r="DP56" i="10"/>
  <c r="AC56" i="10" s="1"/>
  <c r="DO56" i="10"/>
  <c r="AB56" i="10" s="1"/>
  <c r="DQ56" i="10"/>
  <c r="AD56" i="10" s="1"/>
  <c r="EQ56" i="10"/>
  <c r="BD56" i="10" s="1"/>
  <c r="DU56" i="10"/>
  <c r="AH56" i="10" s="1"/>
  <c r="EG56" i="10"/>
  <c r="AT56" i="10" s="1"/>
  <c r="DS56" i="10"/>
  <c r="AF56" i="10" s="1"/>
  <c r="EB56" i="10"/>
  <c r="AO56" i="10" s="1"/>
  <c r="EZ56" i="10"/>
  <c r="BM56" i="10" s="1"/>
  <c r="EU56" i="10"/>
  <c r="BH56" i="10" s="1"/>
  <c r="DK56" i="10"/>
  <c r="X56" i="10" s="1"/>
  <c r="EJ56" i="10"/>
  <c r="AW56" i="10" s="1"/>
  <c r="EN56" i="10"/>
  <c r="BA56" i="10" s="1"/>
  <c r="EH56" i="10"/>
  <c r="AU56" i="10" s="1"/>
  <c r="FF56" i="10"/>
  <c r="BS56" i="10" s="1"/>
  <c r="DT56" i="10"/>
  <c r="AG56" i="10" s="1"/>
  <c r="FK56" i="10"/>
  <c r="BX56" i="10" s="1"/>
  <c r="EE56" i="10"/>
  <c r="AR56" i="10" s="1"/>
  <c r="EM56" i="10"/>
  <c r="AZ56" i="10" s="1"/>
  <c r="EP56" i="10"/>
  <c r="BC56" i="10" s="1"/>
  <c r="ER56" i="10"/>
  <c r="BE56" i="10" s="1"/>
  <c r="CB56" i="10"/>
  <c r="FI56" i="10"/>
  <c r="BV56" i="10" s="1"/>
  <c r="EX56" i="10"/>
  <c r="BK56" i="10" s="1"/>
  <c r="EY56" i="10"/>
  <c r="BL56" i="10" s="1"/>
  <c r="FH56" i="10"/>
  <c r="BU56" i="10" s="1"/>
  <c r="ET56" i="10"/>
  <c r="BG56" i="10" s="1"/>
  <c r="DY56" i="10"/>
  <c r="AL56" i="10" s="1"/>
  <c r="FB56" i="10"/>
  <c r="BO56" i="10" s="1"/>
  <c r="FG56" i="10"/>
  <c r="BT56" i="10" s="1"/>
  <c r="FJ56" i="10"/>
  <c r="BW56" i="10" s="1"/>
  <c r="FC56" i="10"/>
  <c r="BP56" i="10" s="1"/>
  <c r="DV56" i="10"/>
  <c r="AI56" i="10" s="1"/>
  <c r="FA56" i="10"/>
  <c r="BN56" i="10" s="1"/>
  <c r="ED56" i="10"/>
  <c r="AQ56" i="10" s="1"/>
  <c r="DZ56" i="10"/>
  <c r="AM56" i="10" s="1"/>
  <c r="EO56" i="10"/>
  <c r="BB56" i="10" s="1"/>
  <c r="DM56" i="10"/>
  <c r="Z56" i="10" s="1"/>
  <c r="DR56" i="10"/>
  <c r="AE56" i="10" s="1"/>
  <c r="FE56" i="10"/>
  <c r="BR56" i="10" s="1"/>
  <c r="EJ84" i="10"/>
  <c r="AW84" i="10" s="1"/>
  <c r="EZ84" i="10"/>
  <c r="BM84" i="10" s="1"/>
  <c r="EL84" i="10"/>
  <c r="AY84" i="10" s="1"/>
  <c r="FD84" i="10"/>
  <c r="BQ84" i="10" s="1"/>
  <c r="EQ84" i="10"/>
  <c r="BD84" i="10" s="1"/>
  <c r="EH84" i="10"/>
  <c r="AU84" i="10" s="1"/>
  <c r="ER84" i="10"/>
  <c r="BE84" i="10" s="1"/>
  <c r="EU84" i="10"/>
  <c r="BH84" i="10" s="1"/>
  <c r="EY84" i="10"/>
  <c r="BL84" i="10" s="1"/>
  <c r="ET84" i="10"/>
  <c r="BG84" i="10" s="1"/>
  <c r="EW84" i="10"/>
  <c r="BJ84" i="10" s="1"/>
  <c r="EG84" i="10"/>
  <c r="AT84" i="10" s="1"/>
  <c r="EN84" i="10"/>
  <c r="BA84" i="10" s="1"/>
  <c r="FI84" i="10"/>
  <c r="BV84" i="10" s="1"/>
  <c r="EX84" i="10"/>
  <c r="BK84" i="10" s="1"/>
  <c r="ES84" i="10"/>
  <c r="BF84" i="10" s="1"/>
  <c r="EO84" i="10"/>
  <c r="BB84" i="10" s="1"/>
  <c r="FK84" i="10"/>
  <c r="BX84" i="10" s="1"/>
  <c r="EK84" i="10"/>
  <c r="AX84" i="10" s="1"/>
  <c r="FJ84" i="10"/>
  <c r="BW84" i="10" s="1"/>
  <c r="FH84" i="10"/>
  <c r="BU84" i="10" s="1"/>
  <c r="EI84" i="10"/>
  <c r="AV84" i="10" s="1"/>
  <c r="FC84" i="10"/>
  <c r="BP84" i="10" s="1"/>
  <c r="FB84" i="10"/>
  <c r="BO84" i="10" s="1"/>
  <c r="FL84" i="10"/>
  <c r="BY84" i="10" s="1"/>
  <c r="FE84" i="10"/>
  <c r="BR84" i="10" s="1"/>
  <c r="FF84" i="10"/>
  <c r="BS84" i="10" s="1"/>
  <c r="EP84" i="10"/>
  <c r="BC84" i="10" s="1"/>
  <c r="FG84" i="10"/>
  <c r="BT84" i="10" s="1"/>
  <c r="EV84" i="10"/>
  <c r="BI84" i="10" s="1"/>
  <c r="FA84" i="10"/>
  <c r="BN84" i="10" s="1"/>
  <c r="EM84" i="10"/>
  <c r="AZ84" i="10" s="1"/>
  <c r="CB241" i="10"/>
  <c r="ES241" i="10"/>
  <c r="FK241" i="10"/>
  <c r="EZ241" i="10"/>
  <c r="BP241" i="10"/>
  <c r="FL241" i="10"/>
  <c r="EU241" i="10"/>
  <c r="EV241" i="10"/>
  <c r="FE241" i="10"/>
  <c r="EM241" i="10"/>
  <c r="FG241" i="10"/>
  <c r="EO241" i="10"/>
  <c r="FJ241" i="10"/>
  <c r="ER241" i="10"/>
  <c r="EQ241" i="10"/>
  <c r="EP241" i="10"/>
  <c r="EG241" i="10"/>
  <c r="FI241" i="10"/>
  <c r="FC241" i="10"/>
  <c r="FF241" i="10"/>
  <c r="FD241" i="10"/>
  <c r="FB241" i="10"/>
  <c r="FA241" i="10"/>
  <c r="EW241" i="10"/>
  <c r="EH241" i="10"/>
  <c r="EI241" i="10"/>
  <c r="EK241" i="10"/>
  <c r="FH241" i="10"/>
  <c r="EL241" i="10"/>
  <c r="ET241" i="10"/>
  <c r="EX241" i="10"/>
  <c r="EN241" i="10"/>
  <c r="EJ241" i="10"/>
  <c r="EY241" i="10"/>
  <c r="FA43" i="10"/>
  <c r="BN43" i="10" s="1"/>
  <c r="EG43" i="10"/>
  <c r="AT43" i="10" s="1"/>
  <c r="CB43" i="10"/>
  <c r="EE43" i="10"/>
  <c r="AR43" i="10" s="1"/>
  <c r="EM43" i="10"/>
  <c r="AZ43" i="10" s="1"/>
  <c r="EZ43" i="10"/>
  <c r="BM43" i="10" s="1"/>
  <c r="DL43" i="10"/>
  <c r="Y43" i="10" s="1"/>
  <c r="EW43" i="10"/>
  <c r="BJ43" i="10" s="1"/>
  <c r="EV43" i="10"/>
  <c r="BI43" i="10" s="1"/>
  <c r="DV43" i="10"/>
  <c r="AI43" i="10" s="1"/>
  <c r="EO43" i="10"/>
  <c r="BB43" i="10" s="1"/>
  <c r="FL43" i="10"/>
  <c r="BY43" i="10" s="1"/>
  <c r="DR43" i="10"/>
  <c r="AE43" i="10" s="1"/>
  <c r="ET43" i="10"/>
  <c r="BG43" i="10" s="1"/>
  <c r="DT43" i="10"/>
  <c r="AG43" i="10" s="1"/>
  <c r="DU43" i="10"/>
  <c r="AH43" i="10" s="1"/>
  <c r="DN43" i="10"/>
  <c r="AA43" i="10" s="1"/>
  <c r="EL43" i="10"/>
  <c r="AY43" i="10" s="1"/>
  <c r="DJ43" i="10"/>
  <c r="W43" i="10" s="1"/>
  <c r="FF43" i="10"/>
  <c r="BS43" i="10" s="1"/>
  <c r="EC43" i="10"/>
  <c r="AP43" i="10" s="1"/>
  <c r="EP43" i="10"/>
  <c r="BC43" i="10" s="1"/>
  <c r="FH43" i="10"/>
  <c r="BU43" i="10" s="1"/>
  <c r="EH43" i="10"/>
  <c r="AU43" i="10" s="1"/>
  <c r="EY43" i="10"/>
  <c r="BL43" i="10" s="1"/>
  <c r="EI43" i="10"/>
  <c r="AV43" i="10" s="1"/>
  <c r="EK43" i="10"/>
  <c r="AX43" i="10" s="1"/>
  <c r="DK43" i="10"/>
  <c r="X43" i="10" s="1"/>
  <c r="EA43" i="10"/>
  <c r="AN43" i="10" s="1"/>
  <c r="ER43" i="10"/>
  <c r="BE43" i="10" s="1"/>
  <c r="FE43" i="10"/>
  <c r="BR43" i="10" s="1"/>
  <c r="ES43" i="10"/>
  <c r="BF43" i="10" s="1"/>
  <c r="DY43" i="10"/>
  <c r="AL43" i="10" s="1"/>
  <c r="EB43" i="10"/>
  <c r="AO43" i="10" s="1"/>
  <c r="ED43" i="10"/>
  <c r="AQ43" i="10" s="1"/>
  <c r="DW43" i="10"/>
  <c r="AJ43" i="10" s="1"/>
  <c r="DP43" i="10"/>
  <c r="AC43" i="10" s="1"/>
  <c r="DO43" i="10"/>
  <c r="AB43" i="10" s="1"/>
  <c r="EJ43" i="10"/>
  <c r="AW43" i="10" s="1"/>
  <c r="FJ43" i="10"/>
  <c r="BW43" i="10" s="1"/>
  <c r="DX43" i="10"/>
  <c r="AK43" i="10" s="1"/>
  <c r="FI43" i="10"/>
  <c r="BV43" i="10" s="1"/>
  <c r="EU43" i="10"/>
  <c r="BH43" i="10" s="1"/>
  <c r="DQ43" i="10"/>
  <c r="AD43" i="10" s="1"/>
  <c r="FK43" i="10"/>
  <c r="BX43" i="10" s="1"/>
  <c r="DS43" i="10"/>
  <c r="AF43" i="10" s="1"/>
  <c r="FG43" i="10"/>
  <c r="BT43" i="10" s="1"/>
  <c r="EN43" i="10"/>
  <c r="BA43" i="10" s="1"/>
  <c r="DZ43" i="10"/>
  <c r="AM43" i="10" s="1"/>
  <c r="FD43" i="10"/>
  <c r="BQ43" i="10" s="1"/>
  <c r="FC43" i="10"/>
  <c r="BP43" i="10" s="1"/>
  <c r="DM43" i="10"/>
  <c r="Z43" i="10" s="1"/>
  <c r="FB43" i="10"/>
  <c r="BO43" i="10" s="1"/>
  <c r="EQ43" i="10"/>
  <c r="BD43" i="10" s="1"/>
  <c r="EX43" i="10"/>
  <c r="BK43" i="10" s="1"/>
  <c r="DP141" i="10"/>
  <c r="AC141" i="10" s="1"/>
  <c r="EM141" i="10"/>
  <c r="AZ141" i="10" s="1"/>
  <c r="FD141" i="10"/>
  <c r="BQ141" i="10" s="1"/>
  <c r="EN141" i="10"/>
  <c r="BA141" i="10" s="1"/>
  <c r="DY141" i="10"/>
  <c r="AL141" i="10" s="1"/>
  <c r="CB141" i="10"/>
  <c r="FJ141" i="10"/>
  <c r="BW141" i="10" s="1"/>
  <c r="EB141" i="10"/>
  <c r="AO141" i="10" s="1"/>
  <c r="EJ141" i="10"/>
  <c r="AW141" i="10" s="1"/>
  <c r="FC141" i="10"/>
  <c r="BP141" i="10" s="1"/>
  <c r="EH141" i="10"/>
  <c r="AU141" i="10" s="1"/>
  <c r="DT141" i="10"/>
  <c r="AG141" i="10" s="1"/>
  <c r="EC141" i="10"/>
  <c r="AP141" i="10" s="1"/>
  <c r="EE141" i="10"/>
  <c r="AR141" i="10" s="1"/>
  <c r="ES141" i="10"/>
  <c r="BF141" i="10" s="1"/>
  <c r="FI141" i="10"/>
  <c r="BV141" i="10" s="1"/>
  <c r="EP141" i="10"/>
  <c r="BC141" i="10" s="1"/>
  <c r="EY141" i="10"/>
  <c r="BL141" i="10" s="1"/>
  <c r="DV141" i="10"/>
  <c r="AI141" i="10" s="1"/>
  <c r="DX141" i="10"/>
  <c r="AK141" i="10" s="1"/>
  <c r="DR141" i="10"/>
  <c r="AE141" i="10" s="1"/>
  <c r="EK141" i="10"/>
  <c r="AX141" i="10" s="1"/>
  <c r="DZ141" i="10"/>
  <c r="AM141" i="10" s="1"/>
  <c r="DW141" i="10"/>
  <c r="AJ141" i="10" s="1"/>
  <c r="EW141" i="10"/>
  <c r="BJ141" i="10" s="1"/>
  <c r="FE141" i="10"/>
  <c r="BR141" i="10" s="1"/>
  <c r="DM141" i="10"/>
  <c r="Z141" i="10" s="1"/>
  <c r="EQ141" i="10"/>
  <c r="BD141" i="10" s="1"/>
  <c r="EX141" i="10"/>
  <c r="BK141" i="10" s="1"/>
  <c r="DJ141" i="10"/>
  <c r="W141" i="10" s="1"/>
  <c r="FK141" i="10"/>
  <c r="BX141" i="10" s="1"/>
  <c r="DO141" i="10"/>
  <c r="AB141" i="10" s="1"/>
  <c r="DQ141" i="10"/>
  <c r="AD141" i="10" s="1"/>
  <c r="EA141" i="10"/>
  <c r="AN141" i="10" s="1"/>
  <c r="DK141" i="10"/>
  <c r="X141" i="10" s="1"/>
  <c r="EZ141" i="10"/>
  <c r="BM141" i="10" s="1"/>
  <c r="ET141" i="10"/>
  <c r="BG141" i="10" s="1"/>
  <c r="EO141" i="10"/>
  <c r="BB141" i="10" s="1"/>
  <c r="EL141" i="10"/>
  <c r="AY141" i="10" s="1"/>
  <c r="EG141" i="10"/>
  <c r="AT141" i="10" s="1"/>
  <c r="FF141" i="10"/>
  <c r="BS141" i="10" s="1"/>
  <c r="DN141" i="10"/>
  <c r="AA141" i="10" s="1"/>
  <c r="EU141" i="10"/>
  <c r="BH141" i="10" s="1"/>
  <c r="FL141" i="10"/>
  <c r="BY141" i="10" s="1"/>
  <c r="ER141" i="10"/>
  <c r="BE141" i="10" s="1"/>
  <c r="EV141" i="10"/>
  <c r="BI141" i="10" s="1"/>
  <c r="ED141" i="10"/>
  <c r="AQ141" i="10" s="1"/>
  <c r="FA141" i="10"/>
  <c r="BN141" i="10" s="1"/>
  <c r="DU141" i="10"/>
  <c r="AH141" i="10" s="1"/>
  <c r="FH141" i="10"/>
  <c r="BU141" i="10" s="1"/>
  <c r="FG141" i="10"/>
  <c r="BT141" i="10" s="1"/>
  <c r="EI141" i="10"/>
  <c r="AV141" i="10" s="1"/>
  <c r="DL141" i="10"/>
  <c r="Y141" i="10" s="1"/>
  <c r="DS141" i="10"/>
  <c r="AF141" i="10" s="1"/>
  <c r="FB141" i="10"/>
  <c r="BO141" i="10" s="1"/>
  <c r="EN230" i="10"/>
  <c r="FL230" i="10"/>
  <c r="CB230" i="10"/>
  <c r="FJ230" i="10"/>
  <c r="EK230" i="10"/>
  <c r="EY230" i="10"/>
  <c r="EL230" i="10"/>
  <c r="EX230" i="10"/>
  <c r="ES230" i="10"/>
  <c r="EJ230" i="10"/>
  <c r="FE230" i="10"/>
  <c r="FH230" i="10"/>
  <c r="EW230" i="10"/>
  <c r="EZ230" i="10"/>
  <c r="FB230" i="10"/>
  <c r="FA230" i="10"/>
  <c r="EQ230" i="10"/>
  <c r="FC230" i="10"/>
  <c r="FF230" i="10"/>
  <c r="EP230" i="10"/>
  <c r="EH230" i="10"/>
  <c r="EV230" i="10"/>
  <c r="FG230" i="10"/>
  <c r="EU230" i="10"/>
  <c r="FI230" i="10"/>
  <c r="FD230" i="10"/>
  <c r="BP230" i="10"/>
  <c r="FK230" i="10"/>
  <c r="EG230" i="10"/>
  <c r="EO230" i="10"/>
  <c r="EM230" i="10"/>
  <c r="ER230" i="10"/>
  <c r="EI230" i="10"/>
  <c r="ET230" i="10"/>
  <c r="ER130" i="10"/>
  <c r="BE130" i="10" s="1"/>
  <c r="EC130" i="10"/>
  <c r="AP130" i="10" s="1"/>
  <c r="DZ130" i="10"/>
  <c r="AM130" i="10" s="1"/>
  <c r="EX130" i="10"/>
  <c r="BK130" i="10" s="1"/>
  <c r="DY130" i="10"/>
  <c r="AL130" i="10" s="1"/>
  <c r="DT130" i="10"/>
  <c r="AG130" i="10" s="1"/>
  <c r="DR130" i="10"/>
  <c r="AE130" i="10" s="1"/>
  <c r="EK130" i="10"/>
  <c r="AX130" i="10" s="1"/>
  <c r="EN130" i="10"/>
  <c r="BA130" i="10" s="1"/>
  <c r="EA130" i="10"/>
  <c r="AN130" i="10" s="1"/>
  <c r="FF130" i="10"/>
  <c r="BS130" i="10" s="1"/>
  <c r="EH130" i="10"/>
  <c r="AU130" i="10" s="1"/>
  <c r="EG130" i="10"/>
  <c r="AT130" i="10" s="1"/>
  <c r="ES130" i="10"/>
  <c r="BF130" i="10" s="1"/>
  <c r="DJ130" i="10"/>
  <c r="W130" i="10" s="1"/>
  <c r="FA130" i="10"/>
  <c r="BN130" i="10" s="1"/>
  <c r="EP130" i="10"/>
  <c r="BC130" i="10" s="1"/>
  <c r="EJ130" i="10"/>
  <c r="AW130" i="10" s="1"/>
  <c r="EM130" i="10"/>
  <c r="AZ130" i="10" s="1"/>
  <c r="EZ130" i="10"/>
  <c r="BM130" i="10" s="1"/>
  <c r="FC130" i="10"/>
  <c r="BP130" i="10" s="1"/>
  <c r="FI130" i="10"/>
  <c r="BV130" i="10" s="1"/>
  <c r="ED130" i="10"/>
  <c r="AQ130" i="10" s="1"/>
  <c r="EL130" i="10"/>
  <c r="AY130" i="10" s="1"/>
  <c r="ET130" i="10"/>
  <c r="BG130" i="10" s="1"/>
  <c r="EE130" i="10"/>
  <c r="AR130" i="10" s="1"/>
  <c r="DL130" i="10"/>
  <c r="Y130" i="10" s="1"/>
  <c r="FJ130" i="10"/>
  <c r="BW130" i="10" s="1"/>
  <c r="DM130" i="10"/>
  <c r="Z130" i="10" s="1"/>
  <c r="EB130" i="10"/>
  <c r="AO130" i="10" s="1"/>
  <c r="FL130" i="10"/>
  <c r="BY130" i="10" s="1"/>
  <c r="FG130" i="10"/>
  <c r="BT130" i="10" s="1"/>
  <c r="EW130" i="10"/>
  <c r="BJ130" i="10" s="1"/>
  <c r="DQ130" i="10"/>
  <c r="AD130" i="10" s="1"/>
  <c r="CB130" i="10"/>
  <c r="FH130" i="10"/>
  <c r="BU130" i="10" s="1"/>
  <c r="DX130" i="10"/>
  <c r="AK130" i="10" s="1"/>
  <c r="EU130" i="10"/>
  <c r="BH130" i="10" s="1"/>
  <c r="DO130" i="10"/>
  <c r="AB130" i="10" s="1"/>
  <c r="DU130" i="10"/>
  <c r="AH130" i="10" s="1"/>
  <c r="DP130" i="10"/>
  <c r="AC130" i="10" s="1"/>
  <c r="EY130" i="10"/>
  <c r="BL130" i="10" s="1"/>
  <c r="FD130" i="10"/>
  <c r="BQ130" i="10" s="1"/>
  <c r="EO130" i="10"/>
  <c r="BB130" i="10" s="1"/>
  <c r="DV130" i="10"/>
  <c r="AI130" i="10" s="1"/>
  <c r="DN130" i="10"/>
  <c r="AA130" i="10" s="1"/>
  <c r="DW130" i="10"/>
  <c r="AJ130" i="10" s="1"/>
  <c r="DS130" i="10"/>
  <c r="AF130" i="10" s="1"/>
  <c r="FK130" i="10"/>
  <c r="BX130" i="10" s="1"/>
  <c r="EQ130" i="10"/>
  <c r="BD130" i="10" s="1"/>
  <c r="DK130" i="10"/>
  <c r="X130" i="10" s="1"/>
  <c r="FE130" i="10"/>
  <c r="BR130" i="10" s="1"/>
  <c r="FB130" i="10"/>
  <c r="BO130" i="10" s="1"/>
  <c r="EV130" i="10"/>
  <c r="BI130" i="10" s="1"/>
  <c r="EI130" i="10"/>
  <c r="AV130" i="10" s="1"/>
  <c r="ES89" i="10"/>
  <c r="BF89" i="10" s="1"/>
  <c r="FC89" i="10"/>
  <c r="BP89" i="10" s="1"/>
  <c r="EJ89" i="10"/>
  <c r="AW89" i="10" s="1"/>
  <c r="EN89" i="10"/>
  <c r="BA89" i="10" s="1"/>
  <c r="FB89" i="10"/>
  <c r="BO89" i="10" s="1"/>
  <c r="FI89" i="10"/>
  <c r="BV89" i="10" s="1"/>
  <c r="EL89" i="10"/>
  <c r="AY89" i="10" s="1"/>
  <c r="ET89" i="10"/>
  <c r="BG89" i="10" s="1"/>
  <c r="EM89" i="10"/>
  <c r="AZ89" i="10" s="1"/>
  <c r="FJ89" i="10"/>
  <c r="BW89" i="10" s="1"/>
  <c r="EY89" i="10"/>
  <c r="BL89" i="10" s="1"/>
  <c r="FL89" i="10"/>
  <c r="BY89" i="10" s="1"/>
  <c r="ER89" i="10"/>
  <c r="BE89" i="10" s="1"/>
  <c r="EW89" i="10"/>
  <c r="BJ89" i="10" s="1"/>
  <c r="FH89" i="10"/>
  <c r="BU89" i="10" s="1"/>
  <c r="EH89" i="10"/>
  <c r="AU89" i="10" s="1"/>
  <c r="FF89" i="10"/>
  <c r="BS89" i="10" s="1"/>
  <c r="EO89" i="10"/>
  <c r="BB89" i="10" s="1"/>
  <c r="EK89" i="10"/>
  <c r="AX89" i="10" s="1"/>
  <c r="EX89" i="10"/>
  <c r="BK89" i="10" s="1"/>
  <c r="FE89" i="10"/>
  <c r="BR89" i="10" s="1"/>
  <c r="FK89" i="10"/>
  <c r="BX89" i="10" s="1"/>
  <c r="EG89" i="10"/>
  <c r="AT89" i="10" s="1"/>
  <c r="FA89" i="10"/>
  <c r="BN89" i="10" s="1"/>
  <c r="FD89" i="10"/>
  <c r="BQ89" i="10" s="1"/>
  <c r="EZ89" i="10"/>
  <c r="BM89" i="10" s="1"/>
  <c r="EP89" i="10"/>
  <c r="BC89" i="10" s="1"/>
  <c r="EI89" i="10"/>
  <c r="AV89" i="10" s="1"/>
  <c r="FG89" i="10"/>
  <c r="BT89" i="10" s="1"/>
  <c r="EU89" i="10"/>
  <c r="BH89" i="10" s="1"/>
  <c r="EQ89" i="10"/>
  <c r="BD89" i="10" s="1"/>
  <c r="EV89" i="10"/>
  <c r="BI89" i="10" s="1"/>
  <c r="FH88" i="10"/>
  <c r="BU88" i="10" s="1"/>
  <c r="EO88" i="10"/>
  <c r="BB88" i="10" s="1"/>
  <c r="FG88" i="10"/>
  <c r="BT88" i="10" s="1"/>
  <c r="FC88" i="10"/>
  <c r="BP88" i="10" s="1"/>
  <c r="EJ88" i="10"/>
  <c r="AW88" i="10" s="1"/>
  <c r="EV88" i="10"/>
  <c r="BI88" i="10" s="1"/>
  <c r="FD88" i="10"/>
  <c r="BQ88" i="10" s="1"/>
  <c r="EY88" i="10"/>
  <c r="BL88" i="10" s="1"/>
  <c r="EX88" i="10"/>
  <c r="BK88" i="10" s="1"/>
  <c r="FI88" i="10"/>
  <c r="BV88" i="10" s="1"/>
  <c r="EU88" i="10"/>
  <c r="BH88" i="10" s="1"/>
  <c r="FA88" i="10"/>
  <c r="BN88" i="10" s="1"/>
  <c r="ES88" i="10"/>
  <c r="BF88" i="10" s="1"/>
  <c r="EN88" i="10"/>
  <c r="BA88" i="10" s="1"/>
  <c r="FF88" i="10"/>
  <c r="BS88" i="10" s="1"/>
  <c r="EK88" i="10"/>
  <c r="AX88" i="10" s="1"/>
  <c r="EG88" i="10"/>
  <c r="AT88" i="10" s="1"/>
  <c r="ET88" i="10"/>
  <c r="BG88" i="10" s="1"/>
  <c r="FK88" i="10"/>
  <c r="BX88" i="10" s="1"/>
  <c r="ER88" i="10"/>
  <c r="BE88" i="10" s="1"/>
  <c r="EL88" i="10"/>
  <c r="AY88" i="10" s="1"/>
  <c r="EZ88" i="10"/>
  <c r="BM88" i="10" s="1"/>
  <c r="EW88" i="10"/>
  <c r="BJ88" i="10" s="1"/>
  <c r="FL88" i="10"/>
  <c r="BY88" i="10" s="1"/>
  <c r="FB88" i="10"/>
  <c r="BO88" i="10" s="1"/>
  <c r="EP88" i="10"/>
  <c r="BC88" i="10" s="1"/>
  <c r="FJ88" i="10"/>
  <c r="BW88" i="10" s="1"/>
  <c r="EI88" i="10"/>
  <c r="AV88" i="10" s="1"/>
  <c r="EQ88" i="10"/>
  <c r="BD88" i="10" s="1"/>
  <c r="EM88" i="10"/>
  <c r="AZ88" i="10" s="1"/>
  <c r="EH88" i="10"/>
  <c r="AU88" i="10" s="1"/>
  <c r="FE88" i="10"/>
  <c r="BR88" i="10" s="1"/>
  <c r="DZ142" i="10"/>
  <c r="AM142" i="10" s="1"/>
  <c r="FA142" i="10"/>
  <c r="BN142" i="10" s="1"/>
  <c r="DN142" i="10"/>
  <c r="AA142" i="10" s="1"/>
  <c r="FF142" i="10"/>
  <c r="BS142" i="10" s="1"/>
  <c r="FK142" i="10"/>
  <c r="BX142" i="10" s="1"/>
  <c r="EO142" i="10"/>
  <c r="BB142" i="10" s="1"/>
  <c r="ED142" i="10"/>
  <c r="AQ142" i="10" s="1"/>
  <c r="FE142" i="10"/>
  <c r="BR142" i="10" s="1"/>
  <c r="FB142" i="10"/>
  <c r="BO142" i="10" s="1"/>
  <c r="EW142" i="10"/>
  <c r="BJ142" i="10" s="1"/>
  <c r="EN142" i="10"/>
  <c r="BA142" i="10" s="1"/>
  <c r="EC142" i="10"/>
  <c r="AP142" i="10" s="1"/>
  <c r="DK142" i="10"/>
  <c r="X142" i="10" s="1"/>
  <c r="DR142" i="10"/>
  <c r="AE142" i="10" s="1"/>
  <c r="EG142" i="10"/>
  <c r="AT142" i="10" s="1"/>
  <c r="DY142" i="10"/>
  <c r="AL142" i="10" s="1"/>
  <c r="DL142" i="10"/>
  <c r="Y142" i="10" s="1"/>
  <c r="EY142" i="10"/>
  <c r="BL142" i="10" s="1"/>
  <c r="EH142" i="10"/>
  <c r="AU142" i="10" s="1"/>
  <c r="EK142" i="10"/>
  <c r="AX142" i="10" s="1"/>
  <c r="DQ142" i="10"/>
  <c r="AD142" i="10" s="1"/>
  <c r="FL142" i="10"/>
  <c r="BY142" i="10" s="1"/>
  <c r="DO142" i="10"/>
  <c r="AB142" i="10" s="1"/>
  <c r="ES142" i="10"/>
  <c r="BF142" i="10" s="1"/>
  <c r="EA142" i="10"/>
  <c r="AN142" i="10" s="1"/>
  <c r="ET142" i="10"/>
  <c r="BG142" i="10" s="1"/>
  <c r="EB142" i="10"/>
  <c r="AO142" i="10" s="1"/>
  <c r="DS142" i="10"/>
  <c r="AF142" i="10" s="1"/>
  <c r="EQ142" i="10"/>
  <c r="BD142" i="10" s="1"/>
  <c r="EI142" i="10"/>
  <c r="AV142" i="10" s="1"/>
  <c r="FI142" i="10"/>
  <c r="BV142" i="10" s="1"/>
  <c r="FD142" i="10"/>
  <c r="BQ142" i="10" s="1"/>
  <c r="ER142" i="10"/>
  <c r="BE142" i="10" s="1"/>
  <c r="EJ142" i="10"/>
  <c r="AW142" i="10" s="1"/>
  <c r="EZ142" i="10"/>
  <c r="BM142" i="10" s="1"/>
  <c r="CB142" i="10"/>
  <c r="FJ142" i="10"/>
  <c r="BW142" i="10" s="1"/>
  <c r="EM142" i="10"/>
  <c r="AZ142" i="10" s="1"/>
  <c r="DJ142" i="10"/>
  <c r="W142" i="10" s="1"/>
  <c r="DP142" i="10"/>
  <c r="AC142" i="10" s="1"/>
  <c r="EV142" i="10"/>
  <c r="BI142" i="10" s="1"/>
  <c r="FC142" i="10"/>
  <c r="BP142" i="10" s="1"/>
  <c r="EE142" i="10"/>
  <c r="AR142" i="10" s="1"/>
  <c r="EL142" i="10"/>
  <c r="AY142" i="10" s="1"/>
  <c r="DU142" i="10"/>
  <c r="AH142" i="10" s="1"/>
  <c r="DW142" i="10"/>
  <c r="AJ142" i="10" s="1"/>
  <c r="FG142" i="10"/>
  <c r="BT142" i="10" s="1"/>
  <c r="DV142" i="10"/>
  <c r="AI142" i="10" s="1"/>
  <c r="EX142" i="10"/>
  <c r="BK142" i="10" s="1"/>
  <c r="EP142" i="10"/>
  <c r="BC142" i="10" s="1"/>
  <c r="DX142" i="10"/>
  <c r="AK142" i="10" s="1"/>
  <c r="DM142" i="10"/>
  <c r="Z142" i="10" s="1"/>
  <c r="FH142" i="10"/>
  <c r="BU142" i="10" s="1"/>
  <c r="EU142" i="10"/>
  <c r="BH142" i="10" s="1"/>
  <c r="DT142" i="10"/>
  <c r="AG142" i="10" s="1"/>
  <c r="DZ77" i="10"/>
  <c r="AM77" i="10" s="1"/>
  <c r="ET77" i="10"/>
  <c r="BG77" i="10" s="1"/>
  <c r="DQ77" i="10"/>
  <c r="AD77" i="10" s="1"/>
  <c r="DJ77" i="10"/>
  <c r="W77" i="10" s="1"/>
  <c r="DM77" i="10"/>
  <c r="Z77" i="10" s="1"/>
  <c r="DS77" i="10"/>
  <c r="AF77" i="10" s="1"/>
  <c r="FH77" i="10"/>
  <c r="BU77" i="10" s="1"/>
  <c r="DN77" i="10"/>
  <c r="AA77" i="10" s="1"/>
  <c r="EV77" i="10"/>
  <c r="BI77" i="10" s="1"/>
  <c r="EO77" i="10"/>
  <c r="BB77" i="10" s="1"/>
  <c r="DU77" i="10"/>
  <c r="AH77" i="10" s="1"/>
  <c r="EP77" i="10"/>
  <c r="BC77" i="10" s="1"/>
  <c r="FC77" i="10"/>
  <c r="BP77" i="10" s="1"/>
  <c r="FJ77" i="10"/>
  <c r="BW77" i="10" s="1"/>
  <c r="ED77" i="10"/>
  <c r="AQ77" i="10" s="1"/>
  <c r="FA77" i="10"/>
  <c r="BN77" i="10" s="1"/>
  <c r="DX77" i="10"/>
  <c r="AK77" i="10" s="1"/>
  <c r="EC77" i="10"/>
  <c r="AP77" i="10" s="1"/>
  <c r="EU77" i="10"/>
  <c r="BH77" i="10" s="1"/>
  <c r="DP77" i="10"/>
  <c r="AC77" i="10" s="1"/>
  <c r="EE77" i="10"/>
  <c r="AR77" i="10" s="1"/>
  <c r="CB77" i="10"/>
  <c r="FG77" i="10"/>
  <c r="BT77" i="10" s="1"/>
  <c r="EX77" i="10"/>
  <c r="BK77" i="10" s="1"/>
  <c r="ER77" i="10"/>
  <c r="BE77" i="10" s="1"/>
  <c r="DY77" i="10"/>
  <c r="AL77" i="10" s="1"/>
  <c r="EI77" i="10"/>
  <c r="AV77" i="10" s="1"/>
  <c r="FI77" i="10"/>
  <c r="BV77" i="10" s="1"/>
  <c r="EW77" i="10"/>
  <c r="BJ77" i="10" s="1"/>
  <c r="DV77" i="10"/>
  <c r="AI77" i="10" s="1"/>
  <c r="FD77" i="10"/>
  <c r="BQ77" i="10" s="1"/>
  <c r="EN77" i="10"/>
  <c r="BA77" i="10" s="1"/>
  <c r="ES77" i="10"/>
  <c r="BF77" i="10" s="1"/>
  <c r="EJ77" i="10"/>
  <c r="AW77" i="10" s="1"/>
  <c r="EG77" i="10"/>
  <c r="AT77" i="10" s="1"/>
  <c r="EK77" i="10"/>
  <c r="AX77" i="10" s="1"/>
  <c r="FB77" i="10"/>
  <c r="BO77" i="10" s="1"/>
  <c r="EY77" i="10"/>
  <c r="BL77" i="10" s="1"/>
  <c r="DO77" i="10"/>
  <c r="AB77" i="10" s="1"/>
  <c r="FE77" i="10"/>
  <c r="BR77" i="10" s="1"/>
  <c r="DR77" i="10"/>
  <c r="AE77" i="10" s="1"/>
  <c r="EL77" i="10"/>
  <c r="AY77" i="10" s="1"/>
  <c r="EQ77" i="10"/>
  <c r="BD77" i="10" s="1"/>
  <c r="EM77" i="10"/>
  <c r="AZ77" i="10" s="1"/>
  <c r="EB77" i="10"/>
  <c r="AO77" i="10" s="1"/>
  <c r="DK77" i="10"/>
  <c r="X77" i="10" s="1"/>
  <c r="DL77" i="10"/>
  <c r="Y77" i="10" s="1"/>
  <c r="EA77" i="10"/>
  <c r="AN77" i="10" s="1"/>
  <c r="FL77" i="10"/>
  <c r="BY77" i="10" s="1"/>
  <c r="DT77" i="10"/>
  <c r="AG77" i="10" s="1"/>
  <c r="DW77" i="10"/>
  <c r="AJ77" i="10" s="1"/>
  <c r="FK77" i="10"/>
  <c r="BX77" i="10" s="1"/>
  <c r="EH77" i="10"/>
  <c r="AU77" i="10" s="1"/>
  <c r="EZ77" i="10"/>
  <c r="BM77" i="10" s="1"/>
  <c r="FF77" i="10"/>
  <c r="BS77" i="10" s="1"/>
  <c r="ET91" i="10"/>
  <c r="BG91" i="10" s="1"/>
  <c r="EN91" i="10"/>
  <c r="BA91" i="10" s="1"/>
  <c r="FG91" i="10"/>
  <c r="BT91" i="10" s="1"/>
  <c r="FI91" i="10"/>
  <c r="BV91" i="10" s="1"/>
  <c r="FD91" i="10"/>
  <c r="BQ91" i="10" s="1"/>
  <c r="EK91" i="10"/>
  <c r="AX91" i="10" s="1"/>
  <c r="ER91" i="10"/>
  <c r="BE91" i="10" s="1"/>
  <c r="FA91" i="10"/>
  <c r="BN91" i="10" s="1"/>
  <c r="EQ91" i="10"/>
  <c r="BD91" i="10" s="1"/>
  <c r="EG91" i="10"/>
  <c r="AT91" i="10" s="1"/>
  <c r="FH91" i="10"/>
  <c r="BU91" i="10" s="1"/>
  <c r="EU91" i="10"/>
  <c r="BH91" i="10" s="1"/>
  <c r="EP91" i="10"/>
  <c r="BC91" i="10" s="1"/>
  <c r="FC91" i="10"/>
  <c r="BP91" i="10" s="1"/>
  <c r="EL91" i="10"/>
  <c r="AY91" i="10" s="1"/>
  <c r="FB91" i="10"/>
  <c r="BO91" i="10" s="1"/>
  <c r="EI91" i="10"/>
  <c r="AV91" i="10" s="1"/>
  <c r="EJ91" i="10"/>
  <c r="AW91" i="10" s="1"/>
  <c r="EY91" i="10"/>
  <c r="BL91" i="10" s="1"/>
  <c r="EX91" i="10"/>
  <c r="BK91" i="10" s="1"/>
  <c r="FJ91" i="10"/>
  <c r="BW91" i="10" s="1"/>
  <c r="EW91" i="10"/>
  <c r="BJ91" i="10" s="1"/>
  <c r="FF91" i="10"/>
  <c r="BS91" i="10" s="1"/>
  <c r="EZ91" i="10"/>
  <c r="BM91" i="10" s="1"/>
  <c r="EM91" i="10"/>
  <c r="AZ91" i="10" s="1"/>
  <c r="FK91" i="10"/>
  <c r="BX91" i="10" s="1"/>
  <c r="EH91" i="10"/>
  <c r="AU91" i="10" s="1"/>
  <c r="FL91" i="10"/>
  <c r="BY91" i="10" s="1"/>
  <c r="FE91" i="10"/>
  <c r="BR91" i="10" s="1"/>
  <c r="EO91" i="10"/>
  <c r="BB91" i="10" s="1"/>
  <c r="ES91" i="10"/>
  <c r="BF91" i="10" s="1"/>
  <c r="EV91" i="10"/>
  <c r="BI91" i="10" s="1"/>
  <c r="EN138" i="10"/>
  <c r="BA138" i="10" s="1"/>
  <c r="DM138" i="10"/>
  <c r="Z138" i="10" s="1"/>
  <c r="CB138" i="10"/>
  <c r="DK138" i="10"/>
  <c r="X138" i="10" s="1"/>
  <c r="DN138" i="10"/>
  <c r="AA138" i="10" s="1"/>
  <c r="DY138" i="10"/>
  <c r="AL138" i="10" s="1"/>
  <c r="ET138" i="10"/>
  <c r="BG138" i="10" s="1"/>
  <c r="FA138" i="10"/>
  <c r="BN138" i="10" s="1"/>
  <c r="EY138" i="10"/>
  <c r="BL138" i="10" s="1"/>
  <c r="DQ138" i="10"/>
  <c r="AD138" i="10" s="1"/>
  <c r="FD138" i="10"/>
  <c r="BQ138" i="10" s="1"/>
  <c r="DW138" i="10"/>
  <c r="AJ138" i="10" s="1"/>
  <c r="FH138" i="10"/>
  <c r="BU138" i="10" s="1"/>
  <c r="EW138" i="10"/>
  <c r="BJ138" i="10" s="1"/>
  <c r="EQ138" i="10"/>
  <c r="BD138" i="10" s="1"/>
  <c r="EU138" i="10"/>
  <c r="BH138" i="10" s="1"/>
  <c r="EB138" i="10"/>
  <c r="AO138" i="10" s="1"/>
  <c r="FJ138" i="10"/>
  <c r="BW138" i="10" s="1"/>
  <c r="DU138" i="10"/>
  <c r="AH138" i="10" s="1"/>
  <c r="ES138" i="10"/>
  <c r="BF138" i="10" s="1"/>
  <c r="EL138" i="10"/>
  <c r="AY138" i="10" s="1"/>
  <c r="FC138" i="10"/>
  <c r="BP138" i="10" s="1"/>
  <c r="EG138" i="10"/>
  <c r="AT138" i="10" s="1"/>
  <c r="FE138" i="10"/>
  <c r="BR138" i="10" s="1"/>
  <c r="EE138" i="10"/>
  <c r="AR138" i="10" s="1"/>
  <c r="DV138" i="10"/>
  <c r="AI138" i="10" s="1"/>
  <c r="DO138" i="10"/>
  <c r="AB138" i="10" s="1"/>
  <c r="DS138" i="10"/>
  <c r="AF138" i="10" s="1"/>
  <c r="EM138" i="10"/>
  <c r="AZ138" i="10" s="1"/>
  <c r="FB138" i="10"/>
  <c r="BO138" i="10" s="1"/>
  <c r="EP138" i="10"/>
  <c r="BC138" i="10" s="1"/>
  <c r="DT138" i="10"/>
  <c r="AG138" i="10" s="1"/>
  <c r="EZ138" i="10"/>
  <c r="BM138" i="10" s="1"/>
  <c r="EC138" i="10"/>
  <c r="AP138" i="10" s="1"/>
  <c r="FK138" i="10"/>
  <c r="BX138" i="10" s="1"/>
  <c r="DP138" i="10"/>
  <c r="AC138" i="10" s="1"/>
  <c r="DJ138" i="10"/>
  <c r="W138" i="10" s="1"/>
  <c r="EO138" i="10"/>
  <c r="BB138" i="10" s="1"/>
  <c r="FF138" i="10"/>
  <c r="BS138" i="10" s="1"/>
  <c r="ER138" i="10"/>
  <c r="BE138" i="10" s="1"/>
  <c r="DL138" i="10"/>
  <c r="Y138" i="10" s="1"/>
  <c r="EX138" i="10"/>
  <c r="BK138" i="10" s="1"/>
  <c r="EA138" i="10"/>
  <c r="AN138" i="10" s="1"/>
  <c r="DX138" i="10"/>
  <c r="AK138" i="10" s="1"/>
  <c r="FG138" i="10"/>
  <c r="BT138" i="10" s="1"/>
  <c r="FI138" i="10"/>
  <c r="BV138" i="10" s="1"/>
  <c r="DZ138" i="10"/>
  <c r="AM138" i="10" s="1"/>
  <c r="DR138" i="10"/>
  <c r="AE138" i="10" s="1"/>
  <c r="FL138" i="10"/>
  <c r="BY138" i="10" s="1"/>
  <c r="EH138" i="10"/>
  <c r="AU138" i="10" s="1"/>
  <c r="EK138" i="10"/>
  <c r="AX138" i="10" s="1"/>
  <c r="EV138" i="10"/>
  <c r="BI138" i="10" s="1"/>
  <c r="ED138" i="10"/>
  <c r="AQ138" i="10" s="1"/>
  <c r="EJ138" i="10"/>
  <c r="AW138" i="10" s="1"/>
  <c r="EI138" i="10"/>
  <c r="AV138" i="10" s="1"/>
  <c r="EW224" i="10"/>
  <c r="EG224" i="10"/>
  <c r="BP224" i="10"/>
  <c r="CB224" i="10"/>
  <c r="ER224" i="10"/>
  <c r="FG224" i="10"/>
  <c r="ES224" i="10"/>
  <c r="FB224" i="10"/>
  <c r="ET224" i="10"/>
  <c r="EJ224" i="10"/>
  <c r="FD224" i="10"/>
  <c r="EN224" i="10"/>
  <c r="EV224" i="10"/>
  <c r="EK224" i="10"/>
  <c r="FE224" i="10"/>
  <c r="EZ224" i="10"/>
  <c r="EQ224" i="10"/>
  <c r="EO224" i="10"/>
  <c r="FL224" i="10"/>
  <c r="FA224" i="10"/>
  <c r="FF224" i="10"/>
  <c r="FK224" i="10"/>
  <c r="EY224" i="10"/>
  <c r="EX224" i="10"/>
  <c r="FH224" i="10"/>
  <c r="EU224" i="10"/>
  <c r="FI224" i="10"/>
  <c r="EM224" i="10"/>
  <c r="EL224" i="10"/>
  <c r="EH224" i="10"/>
  <c r="EI224" i="10"/>
  <c r="FC224" i="10"/>
  <c r="EP224" i="10"/>
  <c r="FJ224" i="10"/>
  <c r="FF144" i="10"/>
  <c r="BS144" i="10" s="1"/>
  <c r="DL144" i="10"/>
  <c r="Y144" i="10" s="1"/>
  <c r="EJ144" i="10"/>
  <c r="AW144" i="10" s="1"/>
  <c r="EB144" i="10"/>
  <c r="AO144" i="10" s="1"/>
  <c r="FB144" i="10"/>
  <c r="BO144" i="10" s="1"/>
  <c r="DO144" i="10"/>
  <c r="AB144" i="10" s="1"/>
  <c r="DS144" i="10"/>
  <c r="AF144" i="10" s="1"/>
  <c r="ER144" i="10"/>
  <c r="BE144" i="10" s="1"/>
  <c r="EN144" i="10"/>
  <c r="BA144" i="10" s="1"/>
  <c r="EP144" i="10"/>
  <c r="BC144" i="10" s="1"/>
  <c r="FI144" i="10"/>
  <c r="BV144" i="10" s="1"/>
  <c r="EC144" i="10"/>
  <c r="AP144" i="10" s="1"/>
  <c r="FJ144" i="10"/>
  <c r="BW144" i="10" s="1"/>
  <c r="EA144" i="10"/>
  <c r="AN144" i="10" s="1"/>
  <c r="FC144" i="10"/>
  <c r="BP144" i="10" s="1"/>
  <c r="DY144" i="10"/>
  <c r="AL144" i="10" s="1"/>
  <c r="EZ144" i="10"/>
  <c r="BM144" i="10" s="1"/>
  <c r="ED144" i="10"/>
  <c r="AQ144" i="10" s="1"/>
  <c r="FG144" i="10"/>
  <c r="BT144" i="10" s="1"/>
  <c r="EM144" i="10"/>
  <c r="AZ144" i="10" s="1"/>
  <c r="ES144" i="10"/>
  <c r="BF144" i="10" s="1"/>
  <c r="EE144" i="10"/>
  <c r="AR144" i="10" s="1"/>
  <c r="ET144" i="10"/>
  <c r="BG144" i="10" s="1"/>
  <c r="EI144" i="10"/>
  <c r="AV144" i="10" s="1"/>
  <c r="FE144" i="10"/>
  <c r="BR144" i="10" s="1"/>
  <c r="DT144" i="10"/>
  <c r="AG144" i="10" s="1"/>
  <c r="DJ144" i="10"/>
  <c r="W144" i="10" s="1"/>
  <c r="EW144" i="10"/>
  <c r="BJ144" i="10" s="1"/>
  <c r="EY144" i="10"/>
  <c r="BL144" i="10" s="1"/>
  <c r="EV144" i="10"/>
  <c r="BI144" i="10" s="1"/>
  <c r="DP144" i="10"/>
  <c r="AC144" i="10" s="1"/>
  <c r="DZ144" i="10"/>
  <c r="AM144" i="10" s="1"/>
  <c r="EG144" i="10"/>
  <c r="AT144" i="10" s="1"/>
  <c r="DU144" i="10"/>
  <c r="AH144" i="10" s="1"/>
  <c r="EL144" i="10"/>
  <c r="AY144" i="10" s="1"/>
  <c r="EX144" i="10"/>
  <c r="BK144" i="10" s="1"/>
  <c r="DK144" i="10"/>
  <c r="X144" i="10" s="1"/>
  <c r="FA144" i="10"/>
  <c r="BN144" i="10" s="1"/>
  <c r="EK144" i="10"/>
  <c r="AX144" i="10" s="1"/>
  <c r="FK144" i="10"/>
  <c r="BX144" i="10" s="1"/>
  <c r="DX144" i="10"/>
  <c r="AK144" i="10" s="1"/>
  <c r="FH144" i="10"/>
  <c r="BU144" i="10" s="1"/>
  <c r="FD144" i="10"/>
  <c r="BQ144" i="10" s="1"/>
  <c r="EH144" i="10"/>
  <c r="AU144" i="10" s="1"/>
  <c r="DW144" i="10"/>
  <c r="AJ144" i="10" s="1"/>
  <c r="DV144" i="10"/>
  <c r="AI144" i="10" s="1"/>
  <c r="CB144" i="10"/>
  <c r="DR144" i="10"/>
  <c r="AE144" i="10" s="1"/>
  <c r="EO144" i="10"/>
  <c r="BB144" i="10" s="1"/>
  <c r="DN144" i="10"/>
  <c r="AA144" i="10" s="1"/>
  <c r="FL144" i="10"/>
  <c r="BY144" i="10" s="1"/>
  <c r="DQ144" i="10"/>
  <c r="AD144" i="10" s="1"/>
  <c r="EU144" i="10"/>
  <c r="BH144" i="10" s="1"/>
  <c r="DM144" i="10"/>
  <c r="Z144" i="10" s="1"/>
  <c r="EQ144" i="10"/>
  <c r="BD144" i="10" s="1"/>
  <c r="DN63" i="10"/>
  <c r="AA63" i="10" s="1"/>
  <c r="DR63" i="10"/>
  <c r="AE63" i="10" s="1"/>
  <c r="ES63" i="10"/>
  <c r="BF63" i="10" s="1"/>
  <c r="EW63" i="10"/>
  <c r="BJ63" i="10" s="1"/>
  <c r="ER63" i="10"/>
  <c r="BE63" i="10" s="1"/>
  <c r="EN63" i="10"/>
  <c r="BA63" i="10" s="1"/>
  <c r="DP63" i="10"/>
  <c r="AC63" i="10" s="1"/>
  <c r="FL63" i="10"/>
  <c r="BY63" i="10" s="1"/>
  <c r="EY63" i="10"/>
  <c r="BL63" i="10" s="1"/>
  <c r="DW63" i="10"/>
  <c r="AJ63" i="10" s="1"/>
  <c r="ED63" i="10"/>
  <c r="AQ63" i="10" s="1"/>
  <c r="EK63" i="10"/>
  <c r="AX63" i="10" s="1"/>
  <c r="EM63" i="10"/>
  <c r="AZ63" i="10" s="1"/>
  <c r="FB63" i="10"/>
  <c r="BO63" i="10" s="1"/>
  <c r="FI63" i="10"/>
  <c r="BV63" i="10" s="1"/>
  <c r="DM63" i="10"/>
  <c r="Z63" i="10" s="1"/>
  <c r="FC63" i="10"/>
  <c r="BP63" i="10" s="1"/>
  <c r="EG63" i="10"/>
  <c r="AT63" i="10" s="1"/>
  <c r="FJ63" i="10"/>
  <c r="BW63" i="10" s="1"/>
  <c r="DY63" i="10"/>
  <c r="AL63" i="10" s="1"/>
  <c r="EU63" i="10"/>
  <c r="BH63" i="10" s="1"/>
  <c r="EI63" i="10"/>
  <c r="AV63" i="10" s="1"/>
  <c r="FE63" i="10"/>
  <c r="BR63" i="10" s="1"/>
  <c r="DV63" i="10"/>
  <c r="AI63" i="10" s="1"/>
  <c r="DX63" i="10"/>
  <c r="AK63" i="10" s="1"/>
  <c r="EB63" i="10"/>
  <c r="AO63" i="10" s="1"/>
  <c r="DS63" i="10"/>
  <c r="AF63" i="10" s="1"/>
  <c r="EL63" i="10"/>
  <c r="AY63" i="10" s="1"/>
  <c r="EE63" i="10"/>
  <c r="AR63" i="10" s="1"/>
  <c r="EV63" i="10"/>
  <c r="BI63" i="10" s="1"/>
  <c r="EP63" i="10"/>
  <c r="BC63" i="10" s="1"/>
  <c r="EQ63" i="10"/>
  <c r="BD63" i="10" s="1"/>
  <c r="CB63" i="10"/>
  <c r="EJ63" i="10"/>
  <c r="AW63" i="10" s="1"/>
  <c r="DZ63" i="10"/>
  <c r="AM63" i="10" s="1"/>
  <c r="DJ63" i="10"/>
  <c r="W63" i="10" s="1"/>
  <c r="FG63" i="10"/>
  <c r="BT63" i="10" s="1"/>
  <c r="EH63" i="10"/>
  <c r="AU63" i="10" s="1"/>
  <c r="FF63" i="10"/>
  <c r="BS63" i="10" s="1"/>
  <c r="EO63" i="10"/>
  <c r="BB63" i="10" s="1"/>
  <c r="ET63" i="10"/>
  <c r="BG63" i="10" s="1"/>
  <c r="FD63" i="10"/>
  <c r="BQ63" i="10" s="1"/>
  <c r="FK63" i="10"/>
  <c r="BX63" i="10" s="1"/>
  <c r="DU63" i="10"/>
  <c r="AH63" i="10" s="1"/>
  <c r="DQ63" i="10"/>
  <c r="AD63" i="10" s="1"/>
  <c r="FA63" i="10"/>
  <c r="BN63" i="10" s="1"/>
  <c r="DT63" i="10"/>
  <c r="AG63" i="10" s="1"/>
  <c r="DK63" i="10"/>
  <c r="X63" i="10" s="1"/>
  <c r="EX63" i="10"/>
  <c r="BK63" i="10" s="1"/>
  <c r="DL63" i="10"/>
  <c r="Y63" i="10" s="1"/>
  <c r="EA63" i="10"/>
  <c r="AN63" i="10" s="1"/>
  <c r="EC63" i="10"/>
  <c r="AP63" i="10" s="1"/>
  <c r="FH63" i="10"/>
  <c r="BU63" i="10" s="1"/>
  <c r="DO63" i="10"/>
  <c r="AB63" i="10" s="1"/>
  <c r="EZ63" i="10"/>
  <c r="BM63" i="10" s="1"/>
  <c r="FD239" i="10"/>
  <c r="FG239" i="10"/>
  <c r="EU239" i="10"/>
  <c r="ET239" i="10"/>
  <c r="ER239" i="10"/>
  <c r="EN239" i="10"/>
  <c r="EG239" i="10"/>
  <c r="EX239" i="10"/>
  <c r="FK239" i="10"/>
  <c r="FC239" i="10"/>
  <c r="EJ239" i="10"/>
  <c r="EH239" i="10"/>
  <c r="FB239" i="10"/>
  <c r="FA239" i="10"/>
  <c r="FH239" i="10"/>
  <c r="EO239" i="10"/>
  <c r="CB239" i="10"/>
  <c r="EV239" i="10"/>
  <c r="FE239" i="10"/>
  <c r="EL239" i="10"/>
  <c r="FI239" i="10"/>
  <c r="EW239" i="10"/>
  <c r="EI239" i="10"/>
  <c r="EP239" i="10"/>
  <c r="EM239" i="10"/>
  <c r="EQ239" i="10"/>
  <c r="FL239" i="10"/>
  <c r="FF239" i="10"/>
  <c r="FJ239" i="10"/>
  <c r="EK239" i="10"/>
  <c r="EZ239" i="10"/>
  <c r="EY239" i="10"/>
  <c r="ES239" i="10"/>
  <c r="BP239" i="10"/>
  <c r="DQ73" i="10"/>
  <c r="AD73" i="10" s="1"/>
  <c r="FE73" i="10"/>
  <c r="BR73" i="10" s="1"/>
  <c r="DW73" i="10"/>
  <c r="AJ73" i="10" s="1"/>
  <c r="EL73" i="10"/>
  <c r="AY73" i="10" s="1"/>
  <c r="EN73" i="10"/>
  <c r="BA73" i="10" s="1"/>
  <c r="FD73" i="10"/>
  <c r="BQ73" i="10" s="1"/>
  <c r="EE73" i="10"/>
  <c r="AR73" i="10" s="1"/>
  <c r="EC73" i="10"/>
  <c r="AP73" i="10" s="1"/>
  <c r="DU73" i="10"/>
  <c r="AH73" i="10" s="1"/>
  <c r="EU73" i="10"/>
  <c r="BH73" i="10" s="1"/>
  <c r="FK73" i="10"/>
  <c r="BX73" i="10" s="1"/>
  <c r="EG73" i="10"/>
  <c r="AT73" i="10" s="1"/>
  <c r="EH73" i="10"/>
  <c r="AU73" i="10" s="1"/>
  <c r="DO73" i="10"/>
  <c r="AB73" i="10" s="1"/>
  <c r="EY73" i="10"/>
  <c r="BL73" i="10" s="1"/>
  <c r="EV73" i="10"/>
  <c r="BI73" i="10" s="1"/>
  <c r="EK73" i="10"/>
  <c r="AX73" i="10" s="1"/>
  <c r="DL73" i="10"/>
  <c r="Y73" i="10" s="1"/>
  <c r="CB73" i="10"/>
  <c r="FG73" i="10"/>
  <c r="BT73" i="10" s="1"/>
  <c r="DR73" i="10"/>
  <c r="AE73" i="10" s="1"/>
  <c r="FB73" i="10"/>
  <c r="BO73" i="10" s="1"/>
  <c r="DY73" i="10"/>
  <c r="AL73" i="10" s="1"/>
  <c r="EO73" i="10"/>
  <c r="BB73" i="10" s="1"/>
  <c r="FL73" i="10"/>
  <c r="BY73" i="10" s="1"/>
  <c r="FI73" i="10"/>
  <c r="BV73" i="10" s="1"/>
  <c r="EX73" i="10"/>
  <c r="BK73" i="10" s="1"/>
  <c r="DP73" i="10"/>
  <c r="AC73" i="10" s="1"/>
  <c r="DS73" i="10"/>
  <c r="AF73" i="10" s="1"/>
  <c r="EA73" i="10"/>
  <c r="AN73" i="10" s="1"/>
  <c r="EZ73" i="10"/>
  <c r="BM73" i="10" s="1"/>
  <c r="ER73" i="10"/>
  <c r="BE73" i="10" s="1"/>
  <c r="DT73" i="10"/>
  <c r="AG73" i="10" s="1"/>
  <c r="DJ73" i="10"/>
  <c r="W73" i="10" s="1"/>
  <c r="FJ73" i="10"/>
  <c r="BW73" i="10" s="1"/>
  <c r="EW73" i="10"/>
  <c r="BJ73" i="10" s="1"/>
  <c r="EB73" i="10"/>
  <c r="AO73" i="10" s="1"/>
  <c r="DK73" i="10"/>
  <c r="X73" i="10" s="1"/>
  <c r="DM73" i="10"/>
  <c r="Z73" i="10" s="1"/>
  <c r="EP73" i="10"/>
  <c r="BC73" i="10" s="1"/>
  <c r="DX73" i="10"/>
  <c r="AK73" i="10" s="1"/>
  <c r="FF73" i="10"/>
  <c r="BS73" i="10" s="1"/>
  <c r="ES73" i="10"/>
  <c r="BF73" i="10" s="1"/>
  <c r="FH73" i="10"/>
  <c r="BU73" i="10" s="1"/>
  <c r="EJ73" i="10"/>
  <c r="AW73" i="10" s="1"/>
  <c r="FC73" i="10"/>
  <c r="BP73" i="10" s="1"/>
  <c r="EI73" i="10"/>
  <c r="AV73" i="10" s="1"/>
  <c r="DZ73" i="10"/>
  <c r="AM73" i="10" s="1"/>
  <c r="ED73" i="10"/>
  <c r="AQ73" i="10" s="1"/>
  <c r="DV73" i="10"/>
  <c r="AI73" i="10" s="1"/>
  <c r="EQ73" i="10"/>
  <c r="BD73" i="10" s="1"/>
  <c r="FA73" i="10"/>
  <c r="BN73" i="10" s="1"/>
  <c r="ET73" i="10"/>
  <c r="BG73" i="10" s="1"/>
  <c r="DN73" i="10"/>
  <c r="AA73" i="10" s="1"/>
  <c r="EM73" i="10"/>
  <c r="AZ73" i="10" s="1"/>
  <c r="FE109" i="10"/>
  <c r="BR109" i="10" s="1"/>
  <c r="EV109" i="10"/>
  <c r="BI109" i="10" s="1"/>
  <c r="DZ109" i="10"/>
  <c r="AM109" i="10" s="1"/>
  <c r="FK109" i="10"/>
  <c r="BX109" i="10" s="1"/>
  <c r="ET109" i="10"/>
  <c r="BG109" i="10" s="1"/>
  <c r="EX109" i="10"/>
  <c r="BK109" i="10" s="1"/>
  <c r="ER109" i="10"/>
  <c r="BE109" i="10" s="1"/>
  <c r="EJ109" i="10"/>
  <c r="AW109" i="10" s="1"/>
  <c r="EL109" i="10"/>
  <c r="AY109" i="10" s="1"/>
  <c r="ES109" i="10"/>
  <c r="BF109" i="10" s="1"/>
  <c r="FL109" i="10"/>
  <c r="BY109" i="10" s="1"/>
  <c r="FG109" i="10"/>
  <c r="BT109" i="10" s="1"/>
  <c r="DV109" i="10"/>
  <c r="AI109" i="10" s="1"/>
  <c r="DT109" i="10"/>
  <c r="AG109" i="10" s="1"/>
  <c r="DW109" i="10"/>
  <c r="AJ109" i="10" s="1"/>
  <c r="EH109" i="10"/>
  <c r="AU109" i="10" s="1"/>
  <c r="EA109" i="10"/>
  <c r="AN109" i="10" s="1"/>
  <c r="DX109" i="10"/>
  <c r="AK109" i="10" s="1"/>
  <c r="CB109" i="10"/>
  <c r="EE109" i="10"/>
  <c r="AR109" i="10" s="1"/>
  <c r="EG109" i="10"/>
  <c r="AT109" i="10" s="1"/>
  <c r="FH109" i="10"/>
  <c r="BU109" i="10" s="1"/>
  <c r="EO109" i="10"/>
  <c r="BB109" i="10" s="1"/>
  <c r="EQ109" i="10"/>
  <c r="BD109" i="10" s="1"/>
  <c r="FF109" i="10"/>
  <c r="BS109" i="10" s="1"/>
  <c r="DR109" i="10"/>
  <c r="AE109" i="10" s="1"/>
  <c r="DY109" i="10"/>
  <c r="AL109" i="10" s="1"/>
  <c r="EY109" i="10"/>
  <c r="BL109" i="10" s="1"/>
  <c r="ED109" i="10"/>
  <c r="AQ109" i="10" s="1"/>
  <c r="EC109" i="10"/>
  <c r="AP109" i="10" s="1"/>
  <c r="FD109" i="10"/>
  <c r="BQ109" i="10" s="1"/>
  <c r="FC109" i="10"/>
  <c r="BP109" i="10" s="1"/>
  <c r="DL109" i="10"/>
  <c r="Y109" i="10" s="1"/>
  <c r="DS109" i="10"/>
  <c r="AF109" i="10" s="1"/>
  <c r="DU109" i="10"/>
  <c r="AH109" i="10" s="1"/>
  <c r="EB109" i="10"/>
  <c r="AO109" i="10" s="1"/>
  <c r="EK109" i="10"/>
  <c r="AX109" i="10" s="1"/>
  <c r="EU109" i="10"/>
  <c r="BH109" i="10" s="1"/>
  <c r="FB109" i="10"/>
  <c r="BO109" i="10" s="1"/>
  <c r="EP109" i="10"/>
  <c r="BC109" i="10" s="1"/>
  <c r="EW109" i="10"/>
  <c r="BJ109" i="10" s="1"/>
  <c r="EM109" i="10"/>
  <c r="AZ109" i="10" s="1"/>
  <c r="DQ109" i="10"/>
  <c r="AD109" i="10" s="1"/>
  <c r="FA109" i="10"/>
  <c r="BN109" i="10" s="1"/>
  <c r="DJ109" i="10"/>
  <c r="W109" i="10" s="1"/>
  <c r="DK109" i="10"/>
  <c r="X109" i="10" s="1"/>
  <c r="DO109" i="10"/>
  <c r="AB109" i="10" s="1"/>
  <c r="DP109" i="10"/>
  <c r="AC109" i="10" s="1"/>
  <c r="EI109" i="10"/>
  <c r="AV109" i="10" s="1"/>
  <c r="DN109" i="10"/>
  <c r="AA109" i="10" s="1"/>
  <c r="EZ109" i="10"/>
  <c r="BM109" i="10" s="1"/>
  <c r="DM109" i="10"/>
  <c r="Z109" i="10" s="1"/>
  <c r="EN109" i="10"/>
  <c r="BA109" i="10" s="1"/>
  <c r="FI109" i="10"/>
  <c r="BV109" i="10" s="1"/>
  <c r="FJ109" i="10"/>
  <c r="BW109" i="10" s="1"/>
  <c r="DV154" i="10"/>
  <c r="AI154" i="10" s="1"/>
  <c r="ET154" i="10"/>
  <c r="BG154" i="10" s="1"/>
  <c r="FB154" i="10"/>
  <c r="BO154" i="10" s="1"/>
  <c r="EM154" i="10"/>
  <c r="AZ154" i="10" s="1"/>
  <c r="EV154" i="10"/>
  <c r="BI154" i="10" s="1"/>
  <c r="EQ154" i="10"/>
  <c r="BD154" i="10" s="1"/>
  <c r="EX154" i="10"/>
  <c r="BK154" i="10" s="1"/>
  <c r="EH154" i="10"/>
  <c r="AU154" i="10" s="1"/>
  <c r="DK154" i="10"/>
  <c r="X154" i="10" s="1"/>
  <c r="FH154" i="10"/>
  <c r="BU154" i="10" s="1"/>
  <c r="DZ154" i="10"/>
  <c r="AM154" i="10" s="1"/>
  <c r="FJ154" i="10"/>
  <c r="BW154" i="10" s="1"/>
  <c r="EP154" i="10"/>
  <c r="BC154" i="10" s="1"/>
  <c r="EB154" i="10"/>
  <c r="AO154" i="10" s="1"/>
  <c r="FC154" i="10"/>
  <c r="BP154" i="10" s="1"/>
  <c r="FG154" i="10"/>
  <c r="BT154" i="10" s="1"/>
  <c r="EE154" i="10"/>
  <c r="AR154" i="10" s="1"/>
  <c r="FE154" i="10"/>
  <c r="BR154" i="10" s="1"/>
  <c r="DO154" i="10"/>
  <c r="AB154" i="10" s="1"/>
  <c r="FD154" i="10"/>
  <c r="BQ154" i="10" s="1"/>
  <c r="DY154" i="10"/>
  <c r="AL154" i="10" s="1"/>
  <c r="DQ154" i="10"/>
  <c r="AD154" i="10" s="1"/>
  <c r="EL154" i="10"/>
  <c r="AY154" i="10" s="1"/>
  <c r="EJ154" i="10"/>
  <c r="AW154" i="10" s="1"/>
  <c r="EW154" i="10"/>
  <c r="BJ154" i="10" s="1"/>
  <c r="DR154" i="10"/>
  <c r="AE154" i="10" s="1"/>
  <c r="DS154" i="10"/>
  <c r="AF154" i="10" s="1"/>
  <c r="FK154" i="10"/>
  <c r="BX154" i="10" s="1"/>
  <c r="EZ154" i="10"/>
  <c r="BM154" i="10" s="1"/>
  <c r="EU154" i="10"/>
  <c r="BH154" i="10" s="1"/>
  <c r="DP154" i="10"/>
  <c r="AC154" i="10" s="1"/>
  <c r="ED154" i="10"/>
  <c r="AQ154" i="10" s="1"/>
  <c r="EC154" i="10"/>
  <c r="AP154" i="10" s="1"/>
  <c r="EA154" i="10"/>
  <c r="AN154" i="10" s="1"/>
  <c r="FI154" i="10"/>
  <c r="BV154" i="10" s="1"/>
  <c r="DU154" i="10"/>
  <c r="AH154" i="10" s="1"/>
  <c r="EK154" i="10"/>
  <c r="AX154" i="10" s="1"/>
  <c r="DT154" i="10"/>
  <c r="AG154" i="10" s="1"/>
  <c r="EI154" i="10"/>
  <c r="AV154" i="10" s="1"/>
  <c r="DJ154" i="10"/>
  <c r="W154" i="10" s="1"/>
  <c r="DM154" i="10"/>
  <c r="Z154" i="10" s="1"/>
  <c r="EY154" i="10"/>
  <c r="BL154" i="10" s="1"/>
  <c r="EN154" i="10"/>
  <c r="BA154" i="10" s="1"/>
  <c r="EO154" i="10"/>
  <c r="BB154" i="10" s="1"/>
  <c r="FL154" i="10"/>
  <c r="BY154" i="10" s="1"/>
  <c r="DX154" i="10"/>
  <c r="AK154" i="10" s="1"/>
  <c r="ER154" i="10"/>
  <c r="BE154" i="10" s="1"/>
  <c r="CB154" i="10"/>
  <c r="ES154" i="10"/>
  <c r="BF154" i="10" s="1"/>
  <c r="FA154" i="10"/>
  <c r="BN154" i="10" s="1"/>
  <c r="FF154" i="10"/>
  <c r="BS154" i="10" s="1"/>
  <c r="EG154" i="10"/>
  <c r="AT154" i="10" s="1"/>
  <c r="DL154" i="10"/>
  <c r="Y154" i="10" s="1"/>
  <c r="DW154" i="10"/>
  <c r="AJ154" i="10" s="1"/>
  <c r="DN154" i="10"/>
  <c r="AA154" i="10" s="1"/>
  <c r="ET140" i="10"/>
  <c r="BG140" i="10" s="1"/>
  <c r="ER140" i="10"/>
  <c r="BE140" i="10" s="1"/>
  <c r="DS140" i="10"/>
  <c r="AF140" i="10" s="1"/>
  <c r="EA140" i="10"/>
  <c r="AN140" i="10" s="1"/>
  <c r="FH140" i="10"/>
  <c r="BU140" i="10" s="1"/>
  <c r="FD140" i="10"/>
  <c r="BQ140" i="10" s="1"/>
  <c r="EK140" i="10"/>
  <c r="AX140" i="10" s="1"/>
  <c r="EE140" i="10"/>
  <c r="AR140" i="10" s="1"/>
  <c r="EN140" i="10"/>
  <c r="BA140" i="10" s="1"/>
  <c r="EH140" i="10"/>
  <c r="AU140" i="10" s="1"/>
  <c r="EI140" i="10"/>
  <c r="AV140" i="10" s="1"/>
  <c r="DU140" i="10"/>
  <c r="AH140" i="10" s="1"/>
  <c r="DX140" i="10"/>
  <c r="AK140" i="10" s="1"/>
  <c r="EP140" i="10"/>
  <c r="BC140" i="10" s="1"/>
  <c r="DN140" i="10"/>
  <c r="AA140" i="10" s="1"/>
  <c r="FA140" i="10"/>
  <c r="BN140" i="10" s="1"/>
  <c r="DR140" i="10"/>
  <c r="AE140" i="10" s="1"/>
  <c r="EV140" i="10"/>
  <c r="BI140" i="10" s="1"/>
  <c r="FF140" i="10"/>
  <c r="BS140" i="10" s="1"/>
  <c r="EO140" i="10"/>
  <c r="BB140" i="10" s="1"/>
  <c r="DW140" i="10"/>
  <c r="AJ140" i="10" s="1"/>
  <c r="EQ140" i="10"/>
  <c r="BD140" i="10" s="1"/>
  <c r="CB140" i="10"/>
  <c r="DQ140" i="10"/>
  <c r="AD140" i="10" s="1"/>
  <c r="ES140" i="10"/>
  <c r="BF140" i="10" s="1"/>
  <c r="DZ140" i="10"/>
  <c r="AM140" i="10" s="1"/>
  <c r="ED140" i="10"/>
  <c r="AQ140" i="10" s="1"/>
  <c r="FL140" i="10"/>
  <c r="BY140" i="10" s="1"/>
  <c r="EC140" i="10"/>
  <c r="AP140" i="10" s="1"/>
  <c r="DJ140" i="10"/>
  <c r="W140" i="10" s="1"/>
  <c r="EU140" i="10"/>
  <c r="BH140" i="10" s="1"/>
  <c r="EX140" i="10"/>
  <c r="BK140" i="10" s="1"/>
  <c r="EG140" i="10"/>
  <c r="AT140" i="10" s="1"/>
  <c r="DV140" i="10"/>
  <c r="AI140" i="10" s="1"/>
  <c r="DK140" i="10"/>
  <c r="X140" i="10" s="1"/>
  <c r="EM140" i="10"/>
  <c r="AZ140" i="10" s="1"/>
  <c r="FJ140" i="10"/>
  <c r="BW140" i="10" s="1"/>
  <c r="FK140" i="10"/>
  <c r="BX140" i="10" s="1"/>
  <c r="EB140" i="10"/>
  <c r="AO140" i="10" s="1"/>
  <c r="EJ140" i="10"/>
  <c r="AW140" i="10" s="1"/>
  <c r="DL140" i="10"/>
  <c r="Y140" i="10" s="1"/>
  <c r="FE140" i="10"/>
  <c r="BR140" i="10" s="1"/>
  <c r="EL140" i="10"/>
  <c r="AY140" i="10" s="1"/>
  <c r="FI140" i="10"/>
  <c r="BV140" i="10" s="1"/>
  <c r="DO140" i="10"/>
  <c r="AB140" i="10" s="1"/>
  <c r="FG140" i="10"/>
  <c r="BT140" i="10" s="1"/>
  <c r="FC140" i="10"/>
  <c r="BP140" i="10" s="1"/>
  <c r="EW140" i="10"/>
  <c r="BJ140" i="10" s="1"/>
  <c r="FB140" i="10"/>
  <c r="BO140" i="10" s="1"/>
  <c r="DM140" i="10"/>
  <c r="Z140" i="10" s="1"/>
  <c r="DY140" i="10"/>
  <c r="AL140" i="10" s="1"/>
  <c r="DP140" i="10"/>
  <c r="AC140" i="10" s="1"/>
  <c r="DT140" i="10"/>
  <c r="AG140" i="10" s="1"/>
  <c r="EY140" i="10"/>
  <c r="BL140" i="10" s="1"/>
  <c r="EZ140" i="10"/>
  <c r="BM140" i="10" s="1"/>
  <c r="EX245" i="10"/>
  <c r="ER245" i="10"/>
  <c r="FB245" i="10"/>
  <c r="FG245" i="10"/>
  <c r="FK245" i="10"/>
  <c r="FI245" i="10"/>
  <c r="ET245" i="10"/>
  <c r="FA245" i="10"/>
  <c r="FJ245" i="10"/>
  <c r="EK245" i="10"/>
  <c r="EV245" i="10"/>
  <c r="EW245" i="10"/>
  <c r="EP245" i="10"/>
  <c r="EU245" i="10"/>
  <c r="EQ245" i="10"/>
  <c r="EO245" i="10"/>
  <c r="EJ245" i="10"/>
  <c r="EI245" i="10"/>
  <c r="ES245" i="10"/>
  <c r="FE245" i="10"/>
  <c r="BP245" i="10"/>
  <c r="EN245" i="10"/>
  <c r="FL245" i="10"/>
  <c r="FD245" i="10"/>
  <c r="EZ245" i="10"/>
  <c r="FC245" i="10"/>
  <c r="FH245" i="10"/>
  <c r="FF245" i="10"/>
  <c r="EY245" i="10"/>
  <c r="EG245" i="10"/>
  <c r="EM245" i="10"/>
  <c r="CB245" i="10"/>
  <c r="EL245" i="10"/>
  <c r="EH245" i="10"/>
  <c r="FK104" i="10"/>
  <c r="BX104" i="10" s="1"/>
  <c r="FH104" i="10"/>
  <c r="BU104" i="10" s="1"/>
  <c r="EY104" i="10"/>
  <c r="BL104" i="10" s="1"/>
  <c r="ET104" i="10"/>
  <c r="BG104" i="10" s="1"/>
  <c r="FE104" i="10"/>
  <c r="BR104" i="10" s="1"/>
  <c r="EG104" i="10"/>
  <c r="AT104" i="10" s="1"/>
  <c r="FJ104" i="10"/>
  <c r="BW104" i="10" s="1"/>
  <c r="FF104" i="10"/>
  <c r="BS104" i="10" s="1"/>
  <c r="EL104" i="10"/>
  <c r="AY104" i="10" s="1"/>
  <c r="FL104" i="10"/>
  <c r="BY104" i="10" s="1"/>
  <c r="EN104" i="10"/>
  <c r="BA104" i="10" s="1"/>
  <c r="EK104" i="10"/>
  <c r="AX104" i="10" s="1"/>
  <c r="ER104" i="10"/>
  <c r="BE104" i="10" s="1"/>
  <c r="EH104" i="10"/>
  <c r="AU104" i="10" s="1"/>
  <c r="EW104" i="10"/>
  <c r="BJ104" i="10" s="1"/>
  <c r="EU104" i="10"/>
  <c r="BH104" i="10" s="1"/>
  <c r="FA104" i="10"/>
  <c r="BN104" i="10" s="1"/>
  <c r="FG104" i="10"/>
  <c r="BT104" i="10" s="1"/>
  <c r="FD104" i="10"/>
  <c r="BQ104" i="10" s="1"/>
  <c r="FI104" i="10"/>
  <c r="BV104" i="10" s="1"/>
  <c r="EP104" i="10"/>
  <c r="BC104" i="10" s="1"/>
  <c r="EZ104" i="10"/>
  <c r="BM104" i="10" s="1"/>
  <c r="ES104" i="10"/>
  <c r="BF104" i="10" s="1"/>
  <c r="EV104" i="10"/>
  <c r="BI104" i="10" s="1"/>
  <c r="FC104" i="10"/>
  <c r="BP104" i="10" s="1"/>
  <c r="EJ104" i="10"/>
  <c r="AW104" i="10" s="1"/>
  <c r="EO104" i="10"/>
  <c r="BB104" i="10" s="1"/>
  <c r="EX104" i="10"/>
  <c r="BK104" i="10" s="1"/>
  <c r="FB104" i="10"/>
  <c r="BO104" i="10" s="1"/>
  <c r="EI104" i="10"/>
  <c r="AV104" i="10" s="1"/>
  <c r="EM104" i="10"/>
  <c r="AZ104" i="10" s="1"/>
  <c r="EQ104" i="10"/>
  <c r="BD104" i="10" s="1"/>
  <c r="FH51" i="10"/>
  <c r="BU51" i="10" s="1"/>
  <c r="FA51" i="10"/>
  <c r="BN51" i="10" s="1"/>
  <c r="EZ51" i="10"/>
  <c r="BM51" i="10" s="1"/>
  <c r="DT51" i="10"/>
  <c r="AG51" i="10" s="1"/>
  <c r="DO51" i="10"/>
  <c r="AB51" i="10" s="1"/>
  <c r="EB51" i="10"/>
  <c r="AO51" i="10" s="1"/>
  <c r="DX51" i="10"/>
  <c r="AK51" i="10" s="1"/>
  <c r="ED51" i="10"/>
  <c r="AQ51" i="10" s="1"/>
  <c r="EW51" i="10"/>
  <c r="BJ51" i="10" s="1"/>
  <c r="EK51" i="10"/>
  <c r="AX51" i="10" s="1"/>
  <c r="EI51" i="10"/>
  <c r="AV51" i="10" s="1"/>
  <c r="DQ51" i="10"/>
  <c r="AD51" i="10" s="1"/>
  <c r="EH51" i="10"/>
  <c r="AU51" i="10" s="1"/>
  <c r="ES51" i="10"/>
  <c r="BF51" i="10" s="1"/>
  <c r="EM51" i="10"/>
  <c r="AZ51" i="10" s="1"/>
  <c r="EO51" i="10"/>
  <c r="BB51" i="10" s="1"/>
  <c r="DW51" i="10"/>
  <c r="AJ51" i="10" s="1"/>
  <c r="FJ51" i="10"/>
  <c r="BW51" i="10" s="1"/>
  <c r="DJ51" i="10"/>
  <c r="W51" i="10" s="1"/>
  <c r="EY51" i="10"/>
  <c r="BL51" i="10" s="1"/>
  <c r="EC51" i="10"/>
  <c r="AP51" i="10" s="1"/>
  <c r="DY51" i="10"/>
  <c r="AL51" i="10" s="1"/>
  <c r="FB51" i="10"/>
  <c r="BO51" i="10" s="1"/>
  <c r="EU51" i="10"/>
  <c r="BH51" i="10" s="1"/>
  <c r="EJ51" i="10"/>
  <c r="AW51" i="10" s="1"/>
  <c r="DZ51" i="10"/>
  <c r="AM51" i="10" s="1"/>
  <c r="FK51" i="10"/>
  <c r="BX51" i="10" s="1"/>
  <c r="FF51" i="10"/>
  <c r="BS51" i="10" s="1"/>
  <c r="FE51" i="10"/>
  <c r="BR51" i="10" s="1"/>
  <c r="DK51" i="10"/>
  <c r="X51" i="10" s="1"/>
  <c r="DR51" i="10"/>
  <c r="AE51" i="10" s="1"/>
  <c r="EX51" i="10"/>
  <c r="BK51" i="10" s="1"/>
  <c r="DS51" i="10"/>
  <c r="AF51" i="10" s="1"/>
  <c r="DN51" i="10"/>
  <c r="AA51" i="10" s="1"/>
  <c r="EP51" i="10"/>
  <c r="BC51" i="10" s="1"/>
  <c r="FI51" i="10"/>
  <c r="BV51" i="10" s="1"/>
  <c r="EE51" i="10"/>
  <c r="AR51" i="10" s="1"/>
  <c r="FD51" i="10"/>
  <c r="BQ51" i="10" s="1"/>
  <c r="EG51" i="10"/>
  <c r="AT51" i="10" s="1"/>
  <c r="EA51" i="10"/>
  <c r="AN51" i="10" s="1"/>
  <c r="EV51" i="10"/>
  <c r="BI51" i="10" s="1"/>
  <c r="ER51" i="10"/>
  <c r="BE51" i="10" s="1"/>
  <c r="DP51" i="10"/>
  <c r="AC51" i="10" s="1"/>
  <c r="EQ51" i="10"/>
  <c r="BD51" i="10" s="1"/>
  <c r="CB51" i="10"/>
  <c r="FL51" i="10"/>
  <c r="BY51" i="10" s="1"/>
  <c r="FG51" i="10"/>
  <c r="BT51" i="10" s="1"/>
  <c r="EN51" i="10"/>
  <c r="BA51" i="10" s="1"/>
  <c r="DU51" i="10"/>
  <c r="AH51" i="10" s="1"/>
  <c r="FC51" i="10"/>
  <c r="BP51" i="10" s="1"/>
  <c r="EL51" i="10"/>
  <c r="AY51" i="10" s="1"/>
  <c r="ET51" i="10"/>
  <c r="BG51" i="10" s="1"/>
  <c r="DM51" i="10"/>
  <c r="Z51" i="10" s="1"/>
  <c r="DV51" i="10"/>
  <c r="AI51" i="10" s="1"/>
  <c r="DL51" i="10"/>
  <c r="Y51" i="10" s="1"/>
  <c r="EN107" i="10"/>
  <c r="BA107" i="10" s="1"/>
  <c r="DP107" i="10"/>
  <c r="AC107" i="10" s="1"/>
  <c r="DS107" i="10"/>
  <c r="AF107" i="10" s="1"/>
  <c r="FF107" i="10"/>
  <c r="BS107" i="10" s="1"/>
  <c r="DX107" i="10"/>
  <c r="AK107" i="10" s="1"/>
  <c r="DR107" i="10"/>
  <c r="AE107" i="10" s="1"/>
  <c r="ED107" i="10"/>
  <c r="AQ107" i="10" s="1"/>
  <c r="EE107" i="10"/>
  <c r="AR107" i="10" s="1"/>
  <c r="EJ107" i="10"/>
  <c r="AW107" i="10" s="1"/>
  <c r="FJ107" i="10"/>
  <c r="BW107" i="10" s="1"/>
  <c r="EW107" i="10"/>
  <c r="BJ107" i="10" s="1"/>
  <c r="EQ107" i="10"/>
  <c r="BD107" i="10" s="1"/>
  <c r="DZ107" i="10"/>
  <c r="AM107" i="10" s="1"/>
  <c r="DW107" i="10"/>
  <c r="AJ107" i="10" s="1"/>
  <c r="FH107" i="10"/>
  <c r="BU107" i="10" s="1"/>
  <c r="EP107" i="10"/>
  <c r="BC107" i="10" s="1"/>
  <c r="EM107" i="10"/>
  <c r="AZ107" i="10" s="1"/>
  <c r="FI107" i="10"/>
  <c r="BV107" i="10" s="1"/>
  <c r="EZ107" i="10"/>
  <c r="BM107" i="10" s="1"/>
  <c r="DK107" i="10"/>
  <c r="X107" i="10" s="1"/>
  <c r="EU107" i="10"/>
  <c r="BH107" i="10" s="1"/>
  <c r="FB107" i="10"/>
  <c r="BO107" i="10" s="1"/>
  <c r="DQ107" i="10"/>
  <c r="AD107" i="10" s="1"/>
  <c r="ES107" i="10"/>
  <c r="BF107" i="10" s="1"/>
  <c r="DU107" i="10"/>
  <c r="AH107" i="10" s="1"/>
  <c r="EH107" i="10"/>
  <c r="AU107" i="10" s="1"/>
  <c r="DN107" i="10"/>
  <c r="AA107" i="10" s="1"/>
  <c r="EO107" i="10"/>
  <c r="BB107" i="10" s="1"/>
  <c r="EK107" i="10"/>
  <c r="AX107" i="10" s="1"/>
  <c r="EV107" i="10"/>
  <c r="BI107" i="10" s="1"/>
  <c r="FD107" i="10"/>
  <c r="BQ107" i="10" s="1"/>
  <c r="FA107" i="10"/>
  <c r="BN107" i="10" s="1"/>
  <c r="DV107" i="10"/>
  <c r="AI107" i="10" s="1"/>
  <c r="FE107" i="10"/>
  <c r="BR107" i="10" s="1"/>
  <c r="FG107" i="10"/>
  <c r="BT107" i="10" s="1"/>
  <c r="DY107" i="10"/>
  <c r="AL107" i="10" s="1"/>
  <c r="EL107" i="10"/>
  <c r="AY107" i="10" s="1"/>
  <c r="EB107" i="10"/>
  <c r="AO107" i="10" s="1"/>
  <c r="DT107" i="10"/>
  <c r="AG107" i="10" s="1"/>
  <c r="ER107" i="10"/>
  <c r="BE107" i="10" s="1"/>
  <c r="EA107" i="10"/>
  <c r="AN107" i="10" s="1"/>
  <c r="DJ107" i="10"/>
  <c r="W107" i="10" s="1"/>
  <c r="ET107" i="10"/>
  <c r="BG107" i="10" s="1"/>
  <c r="EC107" i="10"/>
  <c r="AP107" i="10" s="1"/>
  <c r="EY107" i="10"/>
  <c r="BL107" i="10" s="1"/>
  <c r="DO107" i="10"/>
  <c r="AB107" i="10" s="1"/>
  <c r="EX107" i="10"/>
  <c r="BK107" i="10" s="1"/>
  <c r="DL107" i="10"/>
  <c r="Y107" i="10" s="1"/>
  <c r="FK107" i="10"/>
  <c r="BX107" i="10" s="1"/>
  <c r="DM107" i="10"/>
  <c r="Z107" i="10" s="1"/>
  <c r="CB107" i="10"/>
  <c r="FL107" i="10"/>
  <c r="BY107" i="10" s="1"/>
  <c r="EI107" i="10"/>
  <c r="AV107" i="10" s="1"/>
  <c r="FC107" i="10"/>
  <c r="BP107" i="10" s="1"/>
  <c r="EG107" i="10"/>
  <c r="AT107" i="10" s="1"/>
  <c r="DQ156" i="10"/>
  <c r="AD156" i="10" s="1"/>
  <c r="DK156" i="10"/>
  <c r="X156" i="10" s="1"/>
  <c r="DL156" i="10"/>
  <c r="Y156" i="10" s="1"/>
  <c r="ER156" i="10"/>
  <c r="BE156" i="10" s="1"/>
  <c r="ED156" i="10"/>
  <c r="AQ156" i="10" s="1"/>
  <c r="DO156" i="10"/>
  <c r="AB156" i="10" s="1"/>
  <c r="EG156" i="10"/>
  <c r="AT156" i="10" s="1"/>
  <c r="EA156" i="10"/>
  <c r="AN156" i="10" s="1"/>
  <c r="EZ156" i="10"/>
  <c r="BM156" i="10" s="1"/>
  <c r="EB156" i="10"/>
  <c r="AO156" i="10" s="1"/>
  <c r="DU156" i="10"/>
  <c r="AH156" i="10" s="1"/>
  <c r="FE156" i="10"/>
  <c r="BR156" i="10" s="1"/>
  <c r="DN156" i="10"/>
  <c r="AA156" i="10" s="1"/>
  <c r="ET156" i="10"/>
  <c r="BG156" i="10" s="1"/>
  <c r="EJ156" i="10"/>
  <c r="AW156" i="10" s="1"/>
  <c r="EC156" i="10"/>
  <c r="AP156" i="10" s="1"/>
  <c r="EM156" i="10"/>
  <c r="AZ156" i="10" s="1"/>
  <c r="EY156" i="10"/>
  <c r="BL156" i="10" s="1"/>
  <c r="DS156" i="10"/>
  <c r="AF156" i="10" s="1"/>
  <c r="ES156" i="10"/>
  <c r="BF156" i="10" s="1"/>
  <c r="FH156" i="10"/>
  <c r="BU156" i="10" s="1"/>
  <c r="EX156" i="10"/>
  <c r="BK156" i="10" s="1"/>
  <c r="EO156" i="10"/>
  <c r="BB156" i="10" s="1"/>
  <c r="EU156" i="10"/>
  <c r="BH156" i="10" s="1"/>
  <c r="FB156" i="10"/>
  <c r="BO156" i="10" s="1"/>
  <c r="FC156" i="10"/>
  <c r="BP156" i="10" s="1"/>
  <c r="DW156" i="10"/>
  <c r="AJ156" i="10" s="1"/>
  <c r="DM156" i="10"/>
  <c r="Z156" i="10" s="1"/>
  <c r="EV156" i="10"/>
  <c r="BI156" i="10" s="1"/>
  <c r="EW156" i="10"/>
  <c r="BJ156" i="10" s="1"/>
  <c r="DP156" i="10"/>
  <c r="AC156" i="10" s="1"/>
  <c r="FJ156" i="10"/>
  <c r="BW156" i="10" s="1"/>
  <c r="EI156" i="10"/>
  <c r="AV156" i="10" s="1"/>
  <c r="FA156" i="10"/>
  <c r="BN156" i="10" s="1"/>
  <c r="EQ156" i="10"/>
  <c r="BD156" i="10" s="1"/>
  <c r="DV156" i="10"/>
  <c r="AI156" i="10" s="1"/>
  <c r="EL156" i="10"/>
  <c r="AY156" i="10" s="1"/>
  <c r="EE156" i="10"/>
  <c r="AR156" i="10" s="1"/>
  <c r="FK156" i="10"/>
  <c r="BX156" i="10" s="1"/>
  <c r="DT156" i="10"/>
  <c r="AG156" i="10" s="1"/>
  <c r="FD156" i="10"/>
  <c r="BQ156" i="10" s="1"/>
  <c r="DX156" i="10"/>
  <c r="AK156" i="10" s="1"/>
  <c r="DZ156" i="10"/>
  <c r="AM156" i="10" s="1"/>
  <c r="EH156" i="10"/>
  <c r="AU156" i="10" s="1"/>
  <c r="DY156" i="10"/>
  <c r="AL156" i="10" s="1"/>
  <c r="DR156" i="10"/>
  <c r="AE156" i="10" s="1"/>
  <c r="FG156" i="10"/>
  <c r="BT156" i="10" s="1"/>
  <c r="FL156" i="10"/>
  <c r="BY156" i="10" s="1"/>
  <c r="FI156" i="10"/>
  <c r="BV156" i="10" s="1"/>
  <c r="DJ156" i="10"/>
  <c r="W156" i="10" s="1"/>
  <c r="EK156" i="10"/>
  <c r="AX156" i="10" s="1"/>
  <c r="EP156" i="10"/>
  <c r="BC156" i="10" s="1"/>
  <c r="FF156" i="10"/>
  <c r="BS156" i="10" s="1"/>
  <c r="CB156" i="10"/>
  <c r="EN156" i="10"/>
  <c r="BA156" i="10" s="1"/>
  <c r="EL65" i="10"/>
  <c r="AY65" i="10" s="1"/>
  <c r="FF65" i="10"/>
  <c r="BS65" i="10" s="1"/>
  <c r="EB65" i="10"/>
  <c r="AO65" i="10" s="1"/>
  <c r="FH65" i="10"/>
  <c r="BU65" i="10" s="1"/>
  <c r="FJ65" i="10"/>
  <c r="BW65" i="10" s="1"/>
  <c r="DX65" i="10"/>
  <c r="AK65" i="10" s="1"/>
  <c r="ET65" i="10"/>
  <c r="BG65" i="10" s="1"/>
  <c r="FK65" i="10"/>
  <c r="BX65" i="10" s="1"/>
  <c r="EV65" i="10"/>
  <c r="BI65" i="10" s="1"/>
  <c r="FI65" i="10"/>
  <c r="BV65" i="10" s="1"/>
  <c r="ED65" i="10"/>
  <c r="AQ65" i="10" s="1"/>
  <c r="DW65" i="10"/>
  <c r="AJ65" i="10" s="1"/>
  <c r="EP65" i="10"/>
  <c r="BC65" i="10" s="1"/>
  <c r="FB65" i="10"/>
  <c r="BO65" i="10" s="1"/>
  <c r="DM65" i="10"/>
  <c r="Z65" i="10" s="1"/>
  <c r="EZ65" i="10"/>
  <c r="BM65" i="10" s="1"/>
  <c r="EY65" i="10"/>
  <c r="BL65" i="10" s="1"/>
  <c r="DP65" i="10"/>
  <c r="AC65" i="10" s="1"/>
  <c r="EQ65" i="10"/>
  <c r="BD65" i="10" s="1"/>
  <c r="ES65" i="10"/>
  <c r="BF65" i="10" s="1"/>
  <c r="FC65" i="10"/>
  <c r="BP65" i="10" s="1"/>
  <c r="EN65" i="10"/>
  <c r="BA65" i="10" s="1"/>
  <c r="EH65" i="10"/>
  <c r="AU65" i="10" s="1"/>
  <c r="EE65" i="10"/>
  <c r="AR65" i="10" s="1"/>
  <c r="DY65" i="10"/>
  <c r="AL65" i="10" s="1"/>
  <c r="DR65" i="10"/>
  <c r="AE65" i="10" s="1"/>
  <c r="DJ65" i="10"/>
  <c r="W65" i="10" s="1"/>
  <c r="DL65" i="10"/>
  <c r="Y65" i="10" s="1"/>
  <c r="FA65" i="10"/>
  <c r="BN65" i="10" s="1"/>
  <c r="DT65" i="10"/>
  <c r="AG65" i="10" s="1"/>
  <c r="EI65" i="10"/>
  <c r="AV65" i="10" s="1"/>
  <c r="DN65" i="10"/>
  <c r="AA65" i="10" s="1"/>
  <c r="DV65" i="10"/>
  <c r="AI65" i="10" s="1"/>
  <c r="FD65" i="10"/>
  <c r="BQ65" i="10" s="1"/>
  <c r="FL65" i="10"/>
  <c r="BY65" i="10" s="1"/>
  <c r="FE65" i="10"/>
  <c r="BR65" i="10" s="1"/>
  <c r="EO65" i="10"/>
  <c r="BB65" i="10" s="1"/>
  <c r="DO65" i="10"/>
  <c r="AB65" i="10" s="1"/>
  <c r="EM65" i="10"/>
  <c r="AZ65" i="10" s="1"/>
  <c r="EJ65" i="10"/>
  <c r="AW65" i="10" s="1"/>
  <c r="DQ65" i="10"/>
  <c r="AD65" i="10" s="1"/>
  <c r="FG65" i="10"/>
  <c r="BT65" i="10" s="1"/>
  <c r="DZ65" i="10"/>
  <c r="AM65" i="10" s="1"/>
  <c r="DS65" i="10"/>
  <c r="AF65" i="10" s="1"/>
  <c r="CB65" i="10"/>
  <c r="DU65" i="10"/>
  <c r="AH65" i="10" s="1"/>
  <c r="EC65" i="10"/>
  <c r="AP65" i="10" s="1"/>
  <c r="EW65" i="10"/>
  <c r="BJ65" i="10" s="1"/>
  <c r="DK65" i="10"/>
  <c r="X65" i="10" s="1"/>
  <c r="EA65" i="10"/>
  <c r="AN65" i="10" s="1"/>
  <c r="EG65" i="10"/>
  <c r="AT65" i="10" s="1"/>
  <c r="EK65" i="10"/>
  <c r="AX65" i="10" s="1"/>
  <c r="EX65" i="10"/>
  <c r="BK65" i="10" s="1"/>
  <c r="EU65" i="10"/>
  <c r="BH65" i="10" s="1"/>
  <c r="ER65" i="10"/>
  <c r="BE65" i="10" s="1"/>
  <c r="EY55" i="10"/>
  <c r="BL55" i="10" s="1"/>
  <c r="FJ55" i="10"/>
  <c r="BW55" i="10" s="1"/>
  <c r="EE55" i="10"/>
  <c r="AR55" i="10" s="1"/>
  <c r="FI55" i="10"/>
  <c r="BV55" i="10" s="1"/>
  <c r="ED55" i="10"/>
  <c r="AQ55" i="10" s="1"/>
  <c r="DQ55" i="10"/>
  <c r="AD55" i="10" s="1"/>
  <c r="EM55" i="10"/>
  <c r="AZ55" i="10" s="1"/>
  <c r="FB55" i="10"/>
  <c r="BO55" i="10" s="1"/>
  <c r="EN55" i="10"/>
  <c r="BA55" i="10" s="1"/>
  <c r="DY55" i="10"/>
  <c r="AL55" i="10" s="1"/>
  <c r="DL55" i="10"/>
  <c r="Y55" i="10" s="1"/>
  <c r="DO55" i="10"/>
  <c r="AB55" i="10" s="1"/>
  <c r="EK55" i="10"/>
  <c r="AX55" i="10" s="1"/>
  <c r="EG55" i="10"/>
  <c r="AT55" i="10" s="1"/>
  <c r="FH55" i="10"/>
  <c r="BU55" i="10" s="1"/>
  <c r="DT55" i="10"/>
  <c r="AG55" i="10" s="1"/>
  <c r="ES55" i="10"/>
  <c r="BF55" i="10" s="1"/>
  <c r="DM55" i="10"/>
  <c r="Z55" i="10" s="1"/>
  <c r="EV55" i="10"/>
  <c r="BI55" i="10" s="1"/>
  <c r="EL55" i="10"/>
  <c r="AY55" i="10" s="1"/>
  <c r="DS55" i="10"/>
  <c r="AF55" i="10" s="1"/>
  <c r="EI55" i="10"/>
  <c r="AV55" i="10" s="1"/>
  <c r="FA55" i="10"/>
  <c r="BN55" i="10" s="1"/>
  <c r="DW55" i="10"/>
  <c r="AJ55" i="10" s="1"/>
  <c r="FC55" i="10"/>
  <c r="BP55" i="10" s="1"/>
  <c r="EZ55" i="10"/>
  <c r="BM55" i="10" s="1"/>
  <c r="DZ55" i="10"/>
  <c r="AM55" i="10" s="1"/>
  <c r="FD55" i="10"/>
  <c r="BQ55" i="10" s="1"/>
  <c r="DV55" i="10"/>
  <c r="AI55" i="10" s="1"/>
  <c r="DR55" i="10"/>
  <c r="AE55" i="10" s="1"/>
  <c r="EC55" i="10"/>
  <c r="AP55" i="10" s="1"/>
  <c r="EU55" i="10"/>
  <c r="BH55" i="10" s="1"/>
  <c r="EB55" i="10"/>
  <c r="AO55" i="10" s="1"/>
  <c r="EO55" i="10"/>
  <c r="BB55" i="10" s="1"/>
  <c r="EW55" i="10"/>
  <c r="BJ55" i="10" s="1"/>
  <c r="FF55" i="10"/>
  <c r="BS55" i="10" s="1"/>
  <c r="EA55" i="10"/>
  <c r="AN55" i="10" s="1"/>
  <c r="EQ55" i="10"/>
  <c r="BD55" i="10" s="1"/>
  <c r="EJ55" i="10"/>
  <c r="AW55" i="10" s="1"/>
  <c r="FK55" i="10"/>
  <c r="BX55" i="10" s="1"/>
  <c r="EX55" i="10"/>
  <c r="BK55" i="10" s="1"/>
  <c r="DU55" i="10"/>
  <c r="AH55" i="10" s="1"/>
  <c r="FL55" i="10"/>
  <c r="BY55" i="10" s="1"/>
  <c r="CB55" i="10"/>
  <c r="FE55" i="10"/>
  <c r="BR55" i="10" s="1"/>
  <c r="DK55" i="10"/>
  <c r="X55" i="10" s="1"/>
  <c r="ER55" i="10"/>
  <c r="BE55" i="10" s="1"/>
  <c r="EH55" i="10"/>
  <c r="AU55" i="10" s="1"/>
  <c r="EP55" i="10"/>
  <c r="BC55" i="10" s="1"/>
  <c r="DX55" i="10"/>
  <c r="AK55" i="10" s="1"/>
  <c r="FG55" i="10"/>
  <c r="BT55" i="10" s="1"/>
  <c r="DN55" i="10"/>
  <c r="AA55" i="10" s="1"/>
  <c r="DJ55" i="10"/>
  <c r="W55" i="10" s="1"/>
  <c r="DP55" i="10"/>
  <c r="AC55" i="10" s="1"/>
  <c r="ET55" i="10"/>
  <c r="BG55" i="10" s="1"/>
  <c r="EM125" i="10"/>
  <c r="AZ125" i="10" s="1"/>
  <c r="ES125" i="10"/>
  <c r="BF125" i="10" s="1"/>
  <c r="EY125" i="10"/>
  <c r="BL125" i="10" s="1"/>
  <c r="DQ125" i="10"/>
  <c r="AD125" i="10" s="1"/>
  <c r="EI125" i="10"/>
  <c r="AV125" i="10" s="1"/>
  <c r="FK125" i="10"/>
  <c r="BX125" i="10" s="1"/>
  <c r="DU125" i="10"/>
  <c r="AH125" i="10" s="1"/>
  <c r="DS125" i="10"/>
  <c r="AF125" i="10" s="1"/>
  <c r="DP125" i="10"/>
  <c r="AC125" i="10" s="1"/>
  <c r="DO125" i="10"/>
  <c r="AB125" i="10" s="1"/>
  <c r="EG125" i="10"/>
  <c r="AT125" i="10" s="1"/>
  <c r="DR125" i="10"/>
  <c r="AE125" i="10" s="1"/>
  <c r="DM125" i="10"/>
  <c r="Z125" i="10" s="1"/>
  <c r="FG125" i="10"/>
  <c r="BT125" i="10" s="1"/>
  <c r="DN125" i="10"/>
  <c r="AA125" i="10" s="1"/>
  <c r="EB125" i="10"/>
  <c r="AO125" i="10" s="1"/>
  <c r="FH125" i="10"/>
  <c r="BU125" i="10" s="1"/>
  <c r="ER125" i="10"/>
  <c r="BE125" i="10" s="1"/>
  <c r="EN125" i="10"/>
  <c r="BA125" i="10" s="1"/>
  <c r="EA125" i="10"/>
  <c r="AN125" i="10" s="1"/>
  <c r="FL125" i="10"/>
  <c r="BY125" i="10" s="1"/>
  <c r="DL125" i="10"/>
  <c r="Y125" i="10" s="1"/>
  <c r="FJ125" i="10"/>
  <c r="BW125" i="10" s="1"/>
  <c r="EK125" i="10"/>
  <c r="AX125" i="10" s="1"/>
  <c r="DY125" i="10"/>
  <c r="AL125" i="10" s="1"/>
  <c r="ED125" i="10"/>
  <c r="AQ125" i="10" s="1"/>
  <c r="EU125" i="10"/>
  <c r="BH125" i="10" s="1"/>
  <c r="EC125" i="10"/>
  <c r="AP125" i="10" s="1"/>
  <c r="EX125" i="10"/>
  <c r="BK125" i="10" s="1"/>
  <c r="CB125" i="10"/>
  <c r="FF125" i="10"/>
  <c r="BS125" i="10" s="1"/>
  <c r="EV125" i="10"/>
  <c r="BI125" i="10" s="1"/>
  <c r="FI125" i="10"/>
  <c r="BV125" i="10" s="1"/>
  <c r="DK125" i="10"/>
  <c r="X125" i="10" s="1"/>
  <c r="DT125" i="10"/>
  <c r="AG125" i="10" s="1"/>
  <c r="EO125" i="10"/>
  <c r="BB125" i="10" s="1"/>
  <c r="EW125" i="10"/>
  <c r="BJ125" i="10" s="1"/>
  <c r="DV125" i="10"/>
  <c r="AI125" i="10" s="1"/>
  <c r="EZ125" i="10"/>
  <c r="BM125" i="10" s="1"/>
  <c r="FD125" i="10"/>
  <c r="BQ125" i="10" s="1"/>
  <c r="DW125" i="10"/>
  <c r="AJ125" i="10" s="1"/>
  <c r="EQ125" i="10"/>
  <c r="BD125" i="10" s="1"/>
  <c r="ET125" i="10"/>
  <c r="BG125" i="10" s="1"/>
  <c r="DZ125" i="10"/>
  <c r="AM125" i="10" s="1"/>
  <c r="EH125" i="10"/>
  <c r="AU125" i="10" s="1"/>
  <c r="FB125" i="10"/>
  <c r="BO125" i="10" s="1"/>
  <c r="FC125" i="10"/>
  <c r="BP125" i="10" s="1"/>
  <c r="DJ125" i="10"/>
  <c r="W125" i="10" s="1"/>
  <c r="EP125" i="10"/>
  <c r="BC125" i="10" s="1"/>
  <c r="FE125" i="10"/>
  <c r="BR125" i="10" s="1"/>
  <c r="EL125" i="10"/>
  <c r="AY125" i="10" s="1"/>
  <c r="FA125" i="10"/>
  <c r="BN125" i="10" s="1"/>
  <c r="DX125" i="10"/>
  <c r="AK125" i="10" s="1"/>
  <c r="EJ125" i="10"/>
  <c r="AW125" i="10" s="1"/>
  <c r="EE125" i="10"/>
  <c r="AR125" i="10" s="1"/>
  <c r="FB243" i="10"/>
  <c r="EK243" i="10"/>
  <c r="EI243" i="10"/>
  <c r="BP243" i="10"/>
  <c r="EN243" i="10"/>
  <c r="EP243" i="10"/>
  <c r="EW243" i="10"/>
  <c r="FK243" i="10"/>
  <c r="CB243" i="10"/>
  <c r="ES243" i="10"/>
  <c r="FF243" i="10"/>
  <c r="FC243" i="10"/>
  <c r="EY243" i="10"/>
  <c r="FL243" i="10"/>
  <c r="EV243" i="10"/>
  <c r="FE243" i="10"/>
  <c r="FG243" i="10"/>
  <c r="FD243" i="10"/>
  <c r="EH243" i="10"/>
  <c r="ER243" i="10"/>
  <c r="FJ243" i="10"/>
  <c r="FH243" i="10"/>
  <c r="EL243" i="10"/>
  <c r="EX243" i="10"/>
  <c r="EU243" i="10"/>
  <c r="EQ243" i="10"/>
  <c r="FI243" i="10"/>
  <c r="EG243" i="10"/>
  <c r="EJ243" i="10"/>
  <c r="EZ243" i="10"/>
  <c r="EO243" i="10"/>
  <c r="EM243" i="10"/>
  <c r="FA243" i="10"/>
  <c r="ET243" i="10"/>
  <c r="U37" i="24"/>
  <c r="V37" i="24" s="1"/>
  <c r="FE163" i="7"/>
  <c r="FF163" i="7" s="1"/>
  <c r="I82" i="24"/>
  <c r="J36" i="24"/>
  <c r="L36" i="24"/>
  <c r="P36" i="24"/>
  <c r="I36" i="24" s="1"/>
  <c r="N83" i="24"/>
  <c r="I83" i="24"/>
  <c r="S53" i="24"/>
  <c r="H53" i="24"/>
  <c r="A53" i="24" s="1"/>
  <c r="E53" i="24"/>
  <c r="B53" i="24"/>
  <c r="H39" i="24"/>
  <c r="A39" i="24" s="1"/>
  <c r="E39" i="24"/>
  <c r="B39" i="24"/>
  <c r="R40" i="24"/>
  <c r="U84" i="24"/>
  <c r="V84" i="24" s="1"/>
  <c r="U85" i="24" s="1"/>
  <c r="F4" i="42"/>
  <c r="A4" i="42"/>
  <c r="B4" i="42" s="1"/>
  <c r="C4" i="42"/>
  <c r="A3" i="42"/>
  <c r="B3" i="42" s="1"/>
  <c r="C3" i="42"/>
  <c r="CN189" i="10"/>
  <c r="CL189" i="10"/>
  <c r="CL190" i="10" s="1"/>
  <c r="CL191" i="10" s="1"/>
  <c r="G172" i="39"/>
  <c r="CK189" i="10"/>
  <c r="CK190" i="10" s="1"/>
  <c r="CK191" i="10" s="1"/>
  <c r="BR189" i="10"/>
  <c r="BR190" i="10" s="1"/>
  <c r="BR191" i="10" s="1"/>
  <c r="O189" i="10"/>
  <c r="B153" i="39" s="1"/>
  <c r="B35" i="33"/>
  <c r="A36" i="33"/>
  <c r="AF37" i="33"/>
  <c r="Z34" i="33"/>
  <c r="AD34" i="33"/>
  <c r="AA34" i="33"/>
  <c r="A44" i="28"/>
  <c r="C43" i="28"/>
  <c r="AC43" i="28"/>
  <c r="T43" i="28"/>
  <c r="S43" i="28" s="1"/>
  <c r="B43" i="28"/>
  <c r="O43" i="28"/>
  <c r="AD43" i="28"/>
  <c r="Q43" i="28"/>
  <c r="R43" i="28" s="1"/>
  <c r="H43" i="28"/>
  <c r="P43" i="28"/>
  <c r="AG43" i="28"/>
  <c r="AH42" i="28"/>
  <c r="X42" i="28"/>
  <c r="G177" i="39"/>
  <c r="CN194" i="10"/>
  <c r="B195" i="10"/>
  <c r="CN195" i="10" s="1"/>
  <c r="BO201" i="10"/>
  <c r="CG201" i="10"/>
  <c r="A202" i="10"/>
  <c r="BQ203" i="10"/>
  <c r="CH196" i="10"/>
  <c r="BW196" i="10"/>
  <c r="C21" i="34"/>
  <c r="D22" i="34" s="1"/>
  <c r="O25" i="23"/>
  <c r="I25" i="23"/>
  <c r="M25" i="23"/>
  <c r="S25" i="23"/>
  <c r="V25" i="23"/>
  <c r="E25" i="23"/>
  <c r="Y25" i="23"/>
  <c r="Z25" i="23"/>
  <c r="AD25" i="23"/>
  <c r="BN197" i="10"/>
  <c r="B26" i="23"/>
  <c r="AG26" i="23"/>
  <c r="BY197" i="10"/>
  <c r="DE100" i="10"/>
  <c r="GU73" i="7"/>
  <c r="DD31" i="10"/>
  <c r="GW72" i="7"/>
  <c r="DE35" i="10"/>
  <c r="DD96" i="10"/>
  <c r="DD97" i="10" s="1"/>
  <c r="DD98" i="10" s="1"/>
  <c r="DD99" i="10" s="1"/>
  <c r="DD100" i="10" s="1"/>
  <c r="DD101" i="10" s="1"/>
  <c r="DE130" i="10"/>
  <c r="GV73" i="7"/>
  <c r="DD124" i="10"/>
  <c r="G197" i="10"/>
  <c r="BX197" i="10"/>
  <c r="F197" i="10"/>
  <c r="C196" i="10"/>
  <c r="CN16" i="10" l="1"/>
  <c r="CO16" i="10" s="1"/>
  <c r="CE16" i="10" s="1"/>
  <c r="CN96" i="10"/>
  <c r="CO96" i="10" s="1"/>
  <c r="CE96" i="10" s="1"/>
  <c r="EU96" i="10" s="1"/>
  <c r="BH96" i="10" s="1"/>
  <c r="DS110" i="10"/>
  <c r="AF110" i="10" s="1"/>
  <c r="DZ110" i="10"/>
  <c r="AM110" i="10" s="1"/>
  <c r="DX110" i="10"/>
  <c r="AK110" i="10" s="1"/>
  <c r="EG110" i="10"/>
  <c r="AT110" i="10" s="1"/>
  <c r="EY110" i="10"/>
  <c r="BL110" i="10" s="1"/>
  <c r="EU110" i="10"/>
  <c r="BH110" i="10" s="1"/>
  <c r="ES110" i="10"/>
  <c r="BF110" i="10" s="1"/>
  <c r="FF110" i="10"/>
  <c r="BS110" i="10" s="1"/>
  <c r="FL110" i="10"/>
  <c r="BY110" i="10" s="1"/>
  <c r="FC110" i="10"/>
  <c r="BP110" i="10" s="1"/>
  <c r="DU110" i="10"/>
  <c r="AH110" i="10" s="1"/>
  <c r="EA110" i="10"/>
  <c r="AN110" i="10" s="1"/>
  <c r="FE110" i="10"/>
  <c r="BR110" i="10" s="1"/>
  <c r="EI110" i="10"/>
  <c r="AV110" i="10" s="1"/>
  <c r="FK110" i="10"/>
  <c r="BX110" i="10" s="1"/>
  <c r="EO110" i="10"/>
  <c r="BB110" i="10" s="1"/>
  <c r="FB110" i="10"/>
  <c r="BO110" i="10" s="1"/>
  <c r="EW110" i="10"/>
  <c r="BJ110" i="10" s="1"/>
  <c r="DY110" i="10"/>
  <c r="AL110" i="10" s="1"/>
  <c r="DJ110" i="10"/>
  <c r="W110" i="10" s="1"/>
  <c r="FA110" i="10"/>
  <c r="BN110" i="10" s="1"/>
  <c r="DW110" i="10"/>
  <c r="AJ110" i="10" s="1"/>
  <c r="EN110" i="10"/>
  <c r="BA110" i="10" s="1"/>
  <c r="EV110" i="10"/>
  <c r="BI110" i="10" s="1"/>
  <c r="EZ110" i="10"/>
  <c r="BM110" i="10" s="1"/>
  <c r="FI110" i="10"/>
  <c r="BV110" i="10" s="1"/>
  <c r="FH110" i="10"/>
  <c r="BU110" i="10" s="1"/>
  <c r="DT110" i="10"/>
  <c r="AG110" i="10" s="1"/>
  <c r="DK110" i="10"/>
  <c r="X110" i="10" s="1"/>
  <c r="DN110" i="10"/>
  <c r="AA110" i="10" s="1"/>
  <c r="EL110" i="10"/>
  <c r="AY110" i="10" s="1"/>
  <c r="DM110" i="10"/>
  <c r="Z110" i="10" s="1"/>
  <c r="EC110" i="10"/>
  <c r="AP110" i="10" s="1"/>
  <c r="DR110" i="10"/>
  <c r="AE110" i="10" s="1"/>
  <c r="FJ110" i="10"/>
  <c r="BW110" i="10" s="1"/>
  <c r="EJ110" i="10"/>
  <c r="AW110" i="10" s="1"/>
  <c r="DP110" i="10"/>
  <c r="AC110" i="10" s="1"/>
  <c r="ET110" i="10"/>
  <c r="BG110" i="10" s="1"/>
  <c r="EP110" i="10"/>
  <c r="BC110" i="10" s="1"/>
  <c r="DQ110" i="10"/>
  <c r="AD110" i="10" s="1"/>
  <c r="FG110" i="10"/>
  <c r="BT110" i="10" s="1"/>
  <c r="EX110" i="10"/>
  <c r="BK110" i="10" s="1"/>
  <c r="DL110" i="10"/>
  <c r="Y110" i="10" s="1"/>
  <c r="EM110" i="10"/>
  <c r="AZ110" i="10" s="1"/>
  <c r="EQ110" i="10"/>
  <c r="BD110" i="10" s="1"/>
  <c r="EH110" i="10"/>
  <c r="AU110" i="10" s="1"/>
  <c r="ED110" i="10"/>
  <c r="AQ110" i="10" s="1"/>
  <c r="EB110" i="10"/>
  <c r="AO110" i="10" s="1"/>
  <c r="CB110" i="10"/>
  <c r="ER110" i="10"/>
  <c r="BE110" i="10" s="1"/>
  <c r="EK110" i="10"/>
  <c r="AX110" i="10" s="1"/>
  <c r="DO110" i="10"/>
  <c r="AB110" i="10" s="1"/>
  <c r="DV110" i="10"/>
  <c r="AI110" i="10" s="1"/>
  <c r="FD110" i="10"/>
  <c r="BQ110" i="10" s="1"/>
  <c r="EE110" i="10"/>
  <c r="AR110" i="10" s="1"/>
  <c r="EH96" i="10"/>
  <c r="AU96" i="10" s="1"/>
  <c r="FH96" i="10"/>
  <c r="BU96" i="10" s="1"/>
  <c r="CC232" i="10"/>
  <c r="CN126" i="10"/>
  <c r="CO126" i="10" s="1"/>
  <c r="CE126" i="10" s="1"/>
  <c r="FH67" i="10"/>
  <c r="BU67" i="10" s="1"/>
  <c r="DN67" i="10"/>
  <c r="AA67" i="10" s="1"/>
  <c r="EP67" i="10"/>
  <c r="BC67" i="10" s="1"/>
  <c r="DW67" i="10"/>
  <c r="AJ67" i="10" s="1"/>
  <c r="FB67" i="10"/>
  <c r="BO67" i="10" s="1"/>
  <c r="DO67" i="10"/>
  <c r="AB67" i="10" s="1"/>
  <c r="DM67" i="10"/>
  <c r="Z67" i="10" s="1"/>
  <c r="DR67" i="10"/>
  <c r="AE67" i="10" s="1"/>
  <c r="DP67" i="10"/>
  <c r="AC67" i="10" s="1"/>
  <c r="FJ67" i="10"/>
  <c r="BW67" i="10" s="1"/>
  <c r="EU67" i="10"/>
  <c r="BH67" i="10" s="1"/>
  <c r="EH67" i="10"/>
  <c r="AU67" i="10" s="1"/>
  <c r="ER67" i="10"/>
  <c r="BE67" i="10" s="1"/>
  <c r="DJ67" i="10"/>
  <c r="W67" i="10" s="1"/>
  <c r="EN67" i="10"/>
  <c r="BA67" i="10" s="1"/>
  <c r="EO67" i="10"/>
  <c r="BB67" i="10" s="1"/>
  <c r="EV67" i="10"/>
  <c r="BI67" i="10" s="1"/>
  <c r="EG67" i="10"/>
  <c r="AT67" i="10" s="1"/>
  <c r="EE67" i="10"/>
  <c r="AR67" i="10" s="1"/>
  <c r="DY67" i="10"/>
  <c r="AL67" i="10" s="1"/>
  <c r="EQ67" i="10"/>
  <c r="BD67" i="10" s="1"/>
  <c r="EY67" i="10"/>
  <c r="BL67" i="10" s="1"/>
  <c r="EL67" i="10"/>
  <c r="AY67" i="10" s="1"/>
  <c r="DL67" i="10"/>
  <c r="Y67" i="10" s="1"/>
  <c r="DZ67" i="10"/>
  <c r="AM67" i="10" s="1"/>
  <c r="EB67" i="10"/>
  <c r="AO67" i="10" s="1"/>
  <c r="EX67" i="10"/>
  <c r="BK67" i="10" s="1"/>
  <c r="EW67" i="10"/>
  <c r="BJ67" i="10" s="1"/>
  <c r="EA67" i="10"/>
  <c r="AN67" i="10" s="1"/>
  <c r="FF67" i="10"/>
  <c r="BS67" i="10" s="1"/>
  <c r="EC67" i="10"/>
  <c r="AP67" i="10" s="1"/>
  <c r="EI67" i="10"/>
  <c r="AV67" i="10" s="1"/>
  <c r="FA67" i="10"/>
  <c r="BN67" i="10" s="1"/>
  <c r="DX67" i="10"/>
  <c r="AK67" i="10" s="1"/>
  <c r="DU67" i="10"/>
  <c r="AH67" i="10" s="1"/>
  <c r="FG67" i="10"/>
  <c r="BT67" i="10" s="1"/>
  <c r="ES67" i="10"/>
  <c r="BF67" i="10" s="1"/>
  <c r="FE67" i="10"/>
  <c r="BR67" i="10" s="1"/>
  <c r="FK67" i="10"/>
  <c r="BX67" i="10" s="1"/>
  <c r="DS67" i="10"/>
  <c r="AF67" i="10" s="1"/>
  <c r="EM67" i="10"/>
  <c r="AZ67" i="10" s="1"/>
  <c r="EJ67" i="10"/>
  <c r="AW67" i="10" s="1"/>
  <c r="EK67" i="10"/>
  <c r="AX67" i="10" s="1"/>
  <c r="ED67" i="10"/>
  <c r="AQ67" i="10" s="1"/>
  <c r="FI67" i="10"/>
  <c r="BV67" i="10" s="1"/>
  <c r="FD67" i="10"/>
  <c r="BQ67" i="10" s="1"/>
  <c r="ET67" i="10"/>
  <c r="BG67" i="10" s="1"/>
  <c r="DQ67" i="10"/>
  <c r="AD67" i="10" s="1"/>
  <c r="EZ67" i="10"/>
  <c r="BM67" i="10" s="1"/>
  <c r="DT67" i="10"/>
  <c r="AG67" i="10" s="1"/>
  <c r="FL67" i="10"/>
  <c r="BY67" i="10" s="1"/>
  <c r="FC67" i="10"/>
  <c r="BP67" i="10" s="1"/>
  <c r="DV67" i="10"/>
  <c r="AI67" i="10" s="1"/>
  <c r="DK67" i="10"/>
  <c r="X67" i="10" s="1"/>
  <c r="CB67" i="10"/>
  <c r="CN17" i="10"/>
  <c r="CO17" i="10" s="1"/>
  <c r="CE17" i="10" s="1"/>
  <c r="EI17" i="10" s="1"/>
  <c r="AV17" i="10" s="1"/>
  <c r="CN98" i="10"/>
  <c r="CO98" i="10" s="1"/>
  <c r="CE98" i="10" s="1"/>
  <c r="FF98" i="10" s="1"/>
  <c r="BS98" i="10" s="1"/>
  <c r="CN134" i="10"/>
  <c r="CO134" i="10" s="1"/>
  <c r="CE134" i="10" s="1"/>
  <c r="ES235" i="10"/>
  <c r="EY235" i="10"/>
  <c r="FL235" i="10"/>
  <c r="EL235" i="10"/>
  <c r="EW235" i="10"/>
  <c r="EN235" i="10"/>
  <c r="FC235" i="10"/>
  <c r="EJ235" i="10"/>
  <c r="FD235" i="10"/>
  <c r="EZ235" i="10"/>
  <c r="ET235" i="10"/>
  <c r="FJ235" i="10"/>
  <c r="EH235" i="10"/>
  <c r="EU235" i="10"/>
  <c r="FB235" i="10"/>
  <c r="EG235" i="10"/>
  <c r="FE235" i="10"/>
  <c r="BP235" i="10"/>
  <c r="FF235" i="10"/>
  <c r="EK235" i="10"/>
  <c r="EV235" i="10"/>
  <c r="EQ235" i="10"/>
  <c r="FG235" i="10"/>
  <c r="EI235" i="10"/>
  <c r="FK235" i="10"/>
  <c r="FI235" i="10"/>
  <c r="EO235" i="10"/>
  <c r="EP235" i="10"/>
  <c r="ER235" i="10"/>
  <c r="EX235" i="10"/>
  <c r="FA235" i="10"/>
  <c r="EM235" i="10"/>
  <c r="CB235" i="10"/>
  <c r="FH235" i="10"/>
  <c r="EY18" i="10"/>
  <c r="BL18" i="10" s="1"/>
  <c r="EU18" i="10"/>
  <c r="BH18" i="10" s="1"/>
  <c r="ES18" i="10"/>
  <c r="BF18" i="10" s="1"/>
  <c r="EW18" i="10"/>
  <c r="BJ18" i="10" s="1"/>
  <c r="FK18" i="10"/>
  <c r="BX18" i="10" s="1"/>
  <c r="FA18" i="10"/>
  <c r="BN18" i="10" s="1"/>
  <c r="FH18" i="10"/>
  <c r="BU18" i="10" s="1"/>
  <c r="EJ18" i="10"/>
  <c r="AW18" i="10" s="1"/>
  <c r="EN18" i="10"/>
  <c r="BA18" i="10" s="1"/>
  <c r="EK18" i="10"/>
  <c r="AX18" i="10" s="1"/>
  <c r="EQ18" i="10"/>
  <c r="BD18" i="10" s="1"/>
  <c r="FI18" i="10"/>
  <c r="BV18" i="10" s="1"/>
  <c r="EV18" i="10"/>
  <c r="BI18" i="10" s="1"/>
  <c r="FG18" i="10"/>
  <c r="BT18" i="10" s="1"/>
  <c r="EX18" i="10"/>
  <c r="BK18" i="10" s="1"/>
  <c r="FE18" i="10"/>
  <c r="BR18" i="10" s="1"/>
  <c r="FJ18" i="10"/>
  <c r="BW18" i="10" s="1"/>
  <c r="EG18" i="10"/>
  <c r="AT18" i="10" s="1"/>
  <c r="EP18" i="10"/>
  <c r="BC18" i="10" s="1"/>
  <c r="EI18" i="10"/>
  <c r="AV18" i="10" s="1"/>
  <c r="FL18" i="10"/>
  <c r="BY18" i="10" s="1"/>
  <c r="FC18" i="10"/>
  <c r="BP18" i="10" s="1"/>
  <c r="EL18" i="10"/>
  <c r="AY18" i="10" s="1"/>
  <c r="EZ18" i="10"/>
  <c r="BM18" i="10" s="1"/>
  <c r="FB18" i="10"/>
  <c r="BO18" i="10" s="1"/>
  <c r="FF18" i="10"/>
  <c r="BS18" i="10" s="1"/>
  <c r="EO18" i="10"/>
  <c r="BB18" i="10" s="1"/>
  <c r="EH18" i="10"/>
  <c r="AU18" i="10" s="1"/>
  <c r="ER18" i="10"/>
  <c r="BE18" i="10" s="1"/>
  <c r="EM18" i="10"/>
  <c r="AZ18" i="10" s="1"/>
  <c r="FD18" i="10"/>
  <c r="BQ18" i="10" s="1"/>
  <c r="ET18" i="10"/>
  <c r="BG18" i="10" s="1"/>
  <c r="FG126" i="10"/>
  <c r="BT126" i="10" s="1"/>
  <c r="FJ126" i="10"/>
  <c r="BW126" i="10" s="1"/>
  <c r="DO126" i="10"/>
  <c r="AB126" i="10" s="1"/>
  <c r="DJ126" i="10"/>
  <c r="W126" i="10" s="1"/>
  <c r="FK126" i="10"/>
  <c r="BX126" i="10" s="1"/>
  <c r="DT126" i="10"/>
  <c r="AG126" i="10" s="1"/>
  <c r="DM126" i="10"/>
  <c r="Z126" i="10" s="1"/>
  <c r="EU126" i="10"/>
  <c r="BH126" i="10" s="1"/>
  <c r="FA126" i="10"/>
  <c r="BN126" i="10" s="1"/>
  <c r="ER126" i="10"/>
  <c r="BE126" i="10" s="1"/>
  <c r="EY126" i="10"/>
  <c r="BL126" i="10" s="1"/>
  <c r="EV126" i="10"/>
  <c r="BI126" i="10" s="1"/>
  <c r="CB126" i="10"/>
  <c r="FD126" i="10"/>
  <c r="BQ126" i="10" s="1"/>
  <c r="DX126" i="10"/>
  <c r="AK126" i="10" s="1"/>
  <c r="EQ126" i="10"/>
  <c r="BD126" i="10" s="1"/>
  <c r="EC126" i="10"/>
  <c r="AP126" i="10" s="1"/>
  <c r="EK126" i="10"/>
  <c r="AX126" i="10" s="1"/>
  <c r="EE126" i="10"/>
  <c r="AR126" i="10" s="1"/>
  <c r="DP126" i="10"/>
  <c r="AC126" i="10" s="1"/>
  <c r="EP126" i="10"/>
  <c r="BC126" i="10" s="1"/>
  <c r="FH126" i="10"/>
  <c r="BU126" i="10" s="1"/>
  <c r="DK126" i="10"/>
  <c r="X126" i="10" s="1"/>
  <c r="EG126" i="10"/>
  <c r="AT126" i="10" s="1"/>
  <c r="DQ126" i="10"/>
  <c r="AD126" i="10" s="1"/>
  <c r="FL126" i="10"/>
  <c r="BY126" i="10" s="1"/>
  <c r="EI126" i="10"/>
  <c r="AV126" i="10" s="1"/>
  <c r="DV126" i="10"/>
  <c r="AI126" i="10" s="1"/>
  <c r="DN126" i="10"/>
  <c r="AA126" i="10" s="1"/>
  <c r="ET126" i="10"/>
  <c r="BG126" i="10" s="1"/>
  <c r="EZ126" i="10"/>
  <c r="BM126" i="10" s="1"/>
  <c r="EO126" i="10"/>
  <c r="BB126" i="10" s="1"/>
  <c r="FF126" i="10"/>
  <c r="BS126" i="10" s="1"/>
  <c r="DZ126" i="10"/>
  <c r="AM126" i="10" s="1"/>
  <c r="FB126" i="10"/>
  <c r="BO126" i="10" s="1"/>
  <c r="EW126" i="10"/>
  <c r="BJ126" i="10" s="1"/>
  <c r="DR126" i="10"/>
  <c r="AE126" i="10" s="1"/>
  <c r="EX126" i="10"/>
  <c r="BK126" i="10" s="1"/>
  <c r="EH126" i="10"/>
  <c r="AU126" i="10" s="1"/>
  <c r="FC126" i="10"/>
  <c r="BP126" i="10" s="1"/>
  <c r="ED126" i="10"/>
  <c r="AQ126" i="10" s="1"/>
  <c r="DY126" i="10"/>
  <c r="AL126" i="10" s="1"/>
  <c r="EN126" i="10"/>
  <c r="BA126" i="10" s="1"/>
  <c r="EA126" i="10"/>
  <c r="AN126" i="10" s="1"/>
  <c r="FE126" i="10"/>
  <c r="BR126" i="10" s="1"/>
  <c r="EB126" i="10"/>
  <c r="AO126" i="10" s="1"/>
  <c r="FI126" i="10"/>
  <c r="BV126" i="10" s="1"/>
  <c r="DU126" i="10"/>
  <c r="AH126" i="10" s="1"/>
  <c r="EM126" i="10"/>
  <c r="AZ126" i="10" s="1"/>
  <c r="DS126" i="10"/>
  <c r="AF126" i="10" s="1"/>
  <c r="ES126" i="10"/>
  <c r="BF126" i="10" s="1"/>
  <c r="EL126" i="10"/>
  <c r="AY126" i="10" s="1"/>
  <c r="DW126" i="10"/>
  <c r="AJ126" i="10" s="1"/>
  <c r="EJ126" i="10"/>
  <c r="AW126" i="10" s="1"/>
  <c r="DL126" i="10"/>
  <c r="Y126" i="10" s="1"/>
  <c r="ES92" i="10"/>
  <c r="BF92" i="10" s="1"/>
  <c r="FK92" i="10"/>
  <c r="BX92" i="10" s="1"/>
  <c r="FA92" i="10"/>
  <c r="BN92" i="10" s="1"/>
  <c r="FE92" i="10"/>
  <c r="BR92" i="10" s="1"/>
  <c r="EQ92" i="10"/>
  <c r="BD92" i="10" s="1"/>
  <c r="EJ92" i="10"/>
  <c r="AW92" i="10" s="1"/>
  <c r="FI92" i="10"/>
  <c r="BV92" i="10" s="1"/>
  <c r="EI92" i="10"/>
  <c r="AV92" i="10" s="1"/>
  <c r="EX92" i="10"/>
  <c r="BK92" i="10" s="1"/>
  <c r="EW92" i="10"/>
  <c r="BJ92" i="10" s="1"/>
  <c r="FG92" i="10"/>
  <c r="BT92" i="10" s="1"/>
  <c r="ER92" i="10"/>
  <c r="BE92" i="10" s="1"/>
  <c r="EV92" i="10"/>
  <c r="BI92" i="10" s="1"/>
  <c r="EU92" i="10"/>
  <c r="BH92" i="10" s="1"/>
  <c r="FJ92" i="10"/>
  <c r="BW92" i="10" s="1"/>
  <c r="FF92" i="10"/>
  <c r="BS92" i="10" s="1"/>
  <c r="FB92" i="10"/>
  <c r="BO92" i="10" s="1"/>
  <c r="EH92" i="10"/>
  <c r="AU92" i="10" s="1"/>
  <c r="ET92" i="10"/>
  <c r="BG92" i="10" s="1"/>
  <c r="EO92" i="10"/>
  <c r="BB92" i="10" s="1"/>
  <c r="EP92" i="10"/>
  <c r="BC92" i="10" s="1"/>
  <c r="FD92" i="10"/>
  <c r="BQ92" i="10" s="1"/>
  <c r="EZ92" i="10"/>
  <c r="BM92" i="10" s="1"/>
  <c r="FL92" i="10"/>
  <c r="BY92" i="10" s="1"/>
  <c r="EY92" i="10"/>
  <c r="BL92" i="10" s="1"/>
  <c r="FH92" i="10"/>
  <c r="BU92" i="10" s="1"/>
  <c r="EG92" i="10"/>
  <c r="AT92" i="10" s="1"/>
  <c r="EN92" i="10"/>
  <c r="BA92" i="10" s="1"/>
  <c r="EM92" i="10"/>
  <c r="AZ92" i="10" s="1"/>
  <c r="FC92" i="10"/>
  <c r="BP92" i="10" s="1"/>
  <c r="EK92" i="10"/>
  <c r="AX92" i="10" s="1"/>
  <c r="EL92" i="10"/>
  <c r="AY92" i="10" s="1"/>
  <c r="EU16" i="10"/>
  <c r="BH16" i="10" s="1"/>
  <c r="EZ16" i="10"/>
  <c r="BM16" i="10" s="1"/>
  <c r="FC16" i="10"/>
  <c r="BP16" i="10" s="1"/>
  <c r="EW16" i="10"/>
  <c r="BJ16" i="10" s="1"/>
  <c r="EX16" i="10"/>
  <c r="BK16" i="10" s="1"/>
  <c r="EK16" i="10"/>
  <c r="AX16" i="10" s="1"/>
  <c r="EL16" i="10"/>
  <c r="AY16" i="10" s="1"/>
  <c r="FJ16" i="10"/>
  <c r="BW16" i="10" s="1"/>
  <c r="FB16" i="10"/>
  <c r="BO16" i="10" s="1"/>
  <c r="FE16" i="10"/>
  <c r="BR16" i="10" s="1"/>
  <c r="EP16" i="10"/>
  <c r="BC16" i="10" s="1"/>
  <c r="EI16" i="10"/>
  <c r="AV16" i="10" s="1"/>
  <c r="FH16" i="10"/>
  <c r="BU16" i="10" s="1"/>
  <c r="FK16" i="10"/>
  <c r="BX16" i="10" s="1"/>
  <c r="EQ16" i="10"/>
  <c r="BD16" i="10" s="1"/>
  <c r="FG16" i="10"/>
  <c r="BT16" i="10" s="1"/>
  <c r="ER16" i="10"/>
  <c r="BE16" i="10" s="1"/>
  <c r="FF16" i="10"/>
  <c r="BS16" i="10" s="1"/>
  <c r="EV16" i="10"/>
  <c r="BI16" i="10" s="1"/>
  <c r="EV58" i="10"/>
  <c r="BI58" i="10" s="1"/>
  <c r="CB58" i="10"/>
  <c r="EH58" i="10"/>
  <c r="AU58" i="10" s="1"/>
  <c r="DR58" i="10"/>
  <c r="AE58" i="10" s="1"/>
  <c r="FK58" i="10"/>
  <c r="BX58" i="10" s="1"/>
  <c r="FI58" i="10"/>
  <c r="BV58" i="10" s="1"/>
  <c r="FJ58" i="10"/>
  <c r="BW58" i="10" s="1"/>
  <c r="EN58" i="10"/>
  <c r="BA58" i="10" s="1"/>
  <c r="FH58" i="10"/>
  <c r="BU58" i="10" s="1"/>
  <c r="EW58" i="10"/>
  <c r="BJ58" i="10" s="1"/>
  <c r="EZ58" i="10"/>
  <c r="BM58" i="10" s="1"/>
  <c r="ED58" i="10"/>
  <c r="AQ58" i="10" s="1"/>
  <c r="FL58" i="10"/>
  <c r="BY58" i="10" s="1"/>
  <c r="EG58" i="10"/>
  <c r="AT58" i="10" s="1"/>
  <c r="DW58" i="10"/>
  <c r="AJ58" i="10" s="1"/>
  <c r="DL58" i="10"/>
  <c r="Y58" i="10" s="1"/>
  <c r="EJ58" i="10"/>
  <c r="AW58" i="10" s="1"/>
  <c r="DS58" i="10"/>
  <c r="AF58" i="10" s="1"/>
  <c r="EP58" i="10"/>
  <c r="BC58" i="10" s="1"/>
  <c r="EK58" i="10"/>
  <c r="AX58" i="10" s="1"/>
  <c r="FC58" i="10"/>
  <c r="BP58" i="10" s="1"/>
  <c r="FG58" i="10"/>
  <c r="BT58" i="10" s="1"/>
  <c r="EA58" i="10"/>
  <c r="AN58" i="10" s="1"/>
  <c r="DU58" i="10"/>
  <c r="AH58" i="10" s="1"/>
  <c r="FE58" i="10"/>
  <c r="BR58" i="10" s="1"/>
  <c r="DO58" i="10"/>
  <c r="AB58" i="10" s="1"/>
  <c r="DK58" i="10"/>
  <c r="X58" i="10" s="1"/>
  <c r="FA58" i="10"/>
  <c r="BN58" i="10" s="1"/>
  <c r="EE58" i="10"/>
  <c r="AR58" i="10" s="1"/>
  <c r="ES58" i="10"/>
  <c r="BF58" i="10" s="1"/>
  <c r="FB58" i="10"/>
  <c r="BO58" i="10" s="1"/>
  <c r="EU58" i="10"/>
  <c r="BH58" i="10" s="1"/>
  <c r="FF58" i="10"/>
  <c r="BS58" i="10" s="1"/>
  <c r="DV58" i="10"/>
  <c r="AI58" i="10" s="1"/>
  <c r="FD58" i="10"/>
  <c r="BQ58" i="10" s="1"/>
  <c r="EY58" i="10"/>
  <c r="BL58" i="10" s="1"/>
  <c r="DQ58" i="10"/>
  <c r="AD58" i="10" s="1"/>
  <c r="DP58" i="10"/>
  <c r="AC58" i="10" s="1"/>
  <c r="EO58" i="10"/>
  <c r="BB58" i="10" s="1"/>
  <c r="DN58" i="10"/>
  <c r="AA58" i="10" s="1"/>
  <c r="EQ58" i="10"/>
  <c r="BD58" i="10" s="1"/>
  <c r="EX58" i="10"/>
  <c r="BK58" i="10" s="1"/>
  <c r="ER58" i="10"/>
  <c r="BE58" i="10" s="1"/>
  <c r="DY58" i="10"/>
  <c r="AL58" i="10" s="1"/>
  <c r="DZ58" i="10"/>
  <c r="AM58" i="10" s="1"/>
  <c r="DX58" i="10"/>
  <c r="AK58" i="10" s="1"/>
  <c r="EI58" i="10"/>
  <c r="AV58" i="10" s="1"/>
  <c r="EC58" i="10"/>
  <c r="AP58" i="10" s="1"/>
  <c r="EL58" i="10"/>
  <c r="AY58" i="10" s="1"/>
  <c r="EB58" i="10"/>
  <c r="AO58" i="10" s="1"/>
  <c r="DM58" i="10"/>
  <c r="Z58" i="10" s="1"/>
  <c r="DT58" i="10"/>
  <c r="AG58" i="10" s="1"/>
  <c r="DJ58" i="10"/>
  <c r="W58" i="10" s="1"/>
  <c r="EM58" i="10"/>
  <c r="AZ58" i="10" s="1"/>
  <c r="ET58" i="10"/>
  <c r="BG58" i="10" s="1"/>
  <c r="EK98" i="10"/>
  <c r="AX98" i="10" s="1"/>
  <c r="FD98" i="10"/>
  <c r="BQ98" i="10" s="1"/>
  <c r="FC98" i="10"/>
  <c r="BP98" i="10" s="1"/>
  <c r="ER98" i="10"/>
  <c r="BE98" i="10" s="1"/>
  <c r="FB98" i="10"/>
  <c r="BO98" i="10" s="1"/>
  <c r="EY98" i="10"/>
  <c r="BL98" i="10" s="1"/>
  <c r="FE98" i="10"/>
  <c r="BR98" i="10" s="1"/>
  <c r="FA98" i="10"/>
  <c r="BN98" i="10" s="1"/>
  <c r="CN143" i="10"/>
  <c r="CO143" i="10" s="1"/>
  <c r="CE143" i="10" s="1"/>
  <c r="FD131" i="10"/>
  <c r="BQ131" i="10" s="1"/>
  <c r="EV131" i="10"/>
  <c r="BI131" i="10" s="1"/>
  <c r="DX131" i="10"/>
  <c r="AK131" i="10" s="1"/>
  <c r="EP131" i="10"/>
  <c r="BC131" i="10" s="1"/>
  <c r="EY131" i="10"/>
  <c r="BL131" i="10" s="1"/>
  <c r="DR131" i="10"/>
  <c r="AE131" i="10" s="1"/>
  <c r="FF131" i="10"/>
  <c r="BS131" i="10" s="1"/>
  <c r="EC131" i="10"/>
  <c r="AP131" i="10" s="1"/>
  <c r="FH131" i="10"/>
  <c r="BU131" i="10" s="1"/>
  <c r="ER131" i="10"/>
  <c r="BE131" i="10" s="1"/>
  <c r="EU131" i="10"/>
  <c r="BH131" i="10" s="1"/>
  <c r="EI131" i="10"/>
  <c r="AV131" i="10" s="1"/>
  <c r="FK131" i="10"/>
  <c r="BX131" i="10" s="1"/>
  <c r="FG131" i="10"/>
  <c r="BT131" i="10" s="1"/>
  <c r="FB131" i="10"/>
  <c r="BO131" i="10" s="1"/>
  <c r="DY131" i="10"/>
  <c r="AL131" i="10" s="1"/>
  <c r="EJ131" i="10"/>
  <c r="AW131" i="10" s="1"/>
  <c r="EZ131" i="10"/>
  <c r="BM131" i="10" s="1"/>
  <c r="EW131" i="10"/>
  <c r="BJ131" i="10" s="1"/>
  <c r="ET131" i="10"/>
  <c r="BG131" i="10" s="1"/>
  <c r="DS131" i="10"/>
  <c r="AF131" i="10" s="1"/>
  <c r="DM131" i="10"/>
  <c r="Z131" i="10" s="1"/>
  <c r="DT131" i="10"/>
  <c r="AG131" i="10" s="1"/>
  <c r="EE131" i="10"/>
  <c r="AR131" i="10" s="1"/>
  <c r="DL131" i="10"/>
  <c r="Y131" i="10" s="1"/>
  <c r="DJ131" i="10"/>
  <c r="W131" i="10" s="1"/>
  <c r="DK131" i="10"/>
  <c r="X131" i="10" s="1"/>
  <c r="EX131" i="10"/>
  <c r="BK131" i="10" s="1"/>
  <c r="DP131" i="10"/>
  <c r="AC131" i="10" s="1"/>
  <c r="DN131" i="10"/>
  <c r="AA131" i="10" s="1"/>
  <c r="ES131" i="10"/>
  <c r="BF131" i="10" s="1"/>
  <c r="DU131" i="10"/>
  <c r="AH131" i="10" s="1"/>
  <c r="FI131" i="10"/>
  <c r="BV131" i="10" s="1"/>
  <c r="FA131" i="10"/>
  <c r="BN131" i="10" s="1"/>
  <c r="EG131" i="10"/>
  <c r="AT131" i="10" s="1"/>
  <c r="DQ131" i="10"/>
  <c r="AD131" i="10" s="1"/>
  <c r="FL131" i="10"/>
  <c r="BY131" i="10" s="1"/>
  <c r="EK131" i="10"/>
  <c r="AX131" i="10" s="1"/>
  <c r="EL131" i="10"/>
  <c r="AY131" i="10" s="1"/>
  <c r="EN131" i="10"/>
  <c r="BA131" i="10" s="1"/>
  <c r="DW131" i="10"/>
  <c r="AJ131" i="10" s="1"/>
  <c r="FJ131" i="10"/>
  <c r="BW131" i="10" s="1"/>
  <c r="EB131" i="10"/>
  <c r="AO131" i="10" s="1"/>
  <c r="DO131" i="10"/>
  <c r="AB131" i="10" s="1"/>
  <c r="EA131" i="10"/>
  <c r="AN131" i="10" s="1"/>
  <c r="FE131" i="10"/>
  <c r="BR131" i="10" s="1"/>
  <c r="EH131" i="10"/>
  <c r="AU131" i="10" s="1"/>
  <c r="DV131" i="10"/>
  <c r="AI131" i="10" s="1"/>
  <c r="DZ131" i="10"/>
  <c r="AM131" i="10" s="1"/>
  <c r="EO131" i="10"/>
  <c r="BB131" i="10" s="1"/>
  <c r="EM131" i="10"/>
  <c r="AZ131" i="10" s="1"/>
  <c r="FC131" i="10"/>
  <c r="BP131" i="10" s="1"/>
  <c r="ED131" i="10"/>
  <c r="AQ131" i="10" s="1"/>
  <c r="EQ131" i="10"/>
  <c r="BD131" i="10" s="1"/>
  <c r="CB131" i="10"/>
  <c r="CN139" i="10"/>
  <c r="CO139" i="10" s="1"/>
  <c r="CE139" i="10" s="1"/>
  <c r="DR69" i="10"/>
  <c r="AE69" i="10" s="1"/>
  <c r="EE69" i="10"/>
  <c r="AR69" i="10" s="1"/>
  <c r="EG69" i="10"/>
  <c r="AT69" i="10" s="1"/>
  <c r="FE69" i="10"/>
  <c r="BR69" i="10" s="1"/>
  <c r="DL69" i="10"/>
  <c r="Y69" i="10" s="1"/>
  <c r="FJ69" i="10"/>
  <c r="BW69" i="10" s="1"/>
  <c r="FL69" i="10"/>
  <c r="BY69" i="10" s="1"/>
  <c r="DY69" i="10"/>
  <c r="AL69" i="10" s="1"/>
  <c r="ED69" i="10"/>
  <c r="AQ69" i="10" s="1"/>
  <c r="EP69" i="10"/>
  <c r="BC69" i="10" s="1"/>
  <c r="EV69" i="10"/>
  <c r="BI69" i="10" s="1"/>
  <c r="EI69" i="10"/>
  <c r="AV69" i="10" s="1"/>
  <c r="FA69" i="10"/>
  <c r="BN69" i="10" s="1"/>
  <c r="DS69" i="10"/>
  <c r="AF69" i="10" s="1"/>
  <c r="ES69" i="10"/>
  <c r="BF69" i="10" s="1"/>
  <c r="EU69" i="10"/>
  <c r="BH69" i="10" s="1"/>
  <c r="EJ69" i="10"/>
  <c r="AW69" i="10" s="1"/>
  <c r="DK69" i="10"/>
  <c r="X69" i="10" s="1"/>
  <c r="EX69" i="10"/>
  <c r="BK69" i="10" s="1"/>
  <c r="DP69" i="10"/>
  <c r="AC69" i="10" s="1"/>
  <c r="DO69" i="10"/>
  <c r="AB69" i="10" s="1"/>
  <c r="FI69" i="10"/>
  <c r="BV69" i="10" s="1"/>
  <c r="EW69" i="10"/>
  <c r="BJ69" i="10" s="1"/>
  <c r="EA69" i="10"/>
  <c r="AN69" i="10" s="1"/>
  <c r="DW69" i="10"/>
  <c r="AJ69" i="10" s="1"/>
  <c r="DV69" i="10"/>
  <c r="AI69" i="10" s="1"/>
  <c r="ET69" i="10"/>
  <c r="BG69" i="10" s="1"/>
  <c r="EN69" i="10"/>
  <c r="BA69" i="10" s="1"/>
  <c r="CB69" i="10"/>
  <c r="EM69" i="10"/>
  <c r="AZ69" i="10" s="1"/>
  <c r="FB69" i="10"/>
  <c r="BO69" i="10" s="1"/>
  <c r="FC69" i="10"/>
  <c r="BP69" i="10" s="1"/>
  <c r="EO69" i="10"/>
  <c r="BB69" i="10" s="1"/>
  <c r="ER69" i="10"/>
  <c r="BE69" i="10" s="1"/>
  <c r="FF69" i="10"/>
  <c r="BS69" i="10" s="1"/>
  <c r="FH69" i="10"/>
  <c r="BU69" i="10" s="1"/>
  <c r="EL69" i="10"/>
  <c r="AY69" i="10" s="1"/>
  <c r="EZ69" i="10"/>
  <c r="BM69" i="10" s="1"/>
  <c r="FK69" i="10"/>
  <c r="BX69" i="10" s="1"/>
  <c r="DM69" i="10"/>
  <c r="Z69" i="10" s="1"/>
  <c r="DN69" i="10"/>
  <c r="AA69" i="10" s="1"/>
  <c r="FD69" i="10"/>
  <c r="BQ69" i="10" s="1"/>
  <c r="EK69" i="10"/>
  <c r="AX69" i="10" s="1"/>
  <c r="DZ69" i="10"/>
  <c r="AM69" i="10" s="1"/>
  <c r="EY69" i="10"/>
  <c r="BL69" i="10" s="1"/>
  <c r="EC69" i="10"/>
  <c r="AP69" i="10" s="1"/>
  <c r="EQ69" i="10"/>
  <c r="BD69" i="10" s="1"/>
  <c r="DX69" i="10"/>
  <c r="AK69" i="10" s="1"/>
  <c r="FG69" i="10"/>
  <c r="BT69" i="10" s="1"/>
  <c r="DJ69" i="10"/>
  <c r="W69" i="10" s="1"/>
  <c r="DU69" i="10"/>
  <c r="AH69" i="10" s="1"/>
  <c r="DT69" i="10"/>
  <c r="AG69" i="10" s="1"/>
  <c r="EB69" i="10"/>
  <c r="AO69" i="10" s="1"/>
  <c r="EH69" i="10"/>
  <c r="AU69" i="10" s="1"/>
  <c r="DQ69" i="10"/>
  <c r="AD69" i="10" s="1"/>
  <c r="DQ123" i="10"/>
  <c r="AD123" i="10" s="1"/>
  <c r="EU123" i="10"/>
  <c r="BH123" i="10" s="1"/>
  <c r="FE123" i="10"/>
  <c r="BR123" i="10" s="1"/>
  <c r="ET123" i="10"/>
  <c r="BG123" i="10" s="1"/>
  <c r="ED123" i="10"/>
  <c r="AQ123" i="10" s="1"/>
  <c r="EP123" i="10"/>
  <c r="BC123" i="10" s="1"/>
  <c r="EV123" i="10"/>
  <c r="BI123" i="10" s="1"/>
  <c r="EL123" i="10"/>
  <c r="AY123" i="10" s="1"/>
  <c r="DV123" i="10"/>
  <c r="AI123" i="10" s="1"/>
  <c r="DW123" i="10"/>
  <c r="AJ123" i="10" s="1"/>
  <c r="FL123" i="10"/>
  <c r="BY123" i="10" s="1"/>
  <c r="FF123" i="10"/>
  <c r="BS123" i="10" s="1"/>
  <c r="DK123" i="10"/>
  <c r="X123" i="10" s="1"/>
  <c r="EG123" i="10"/>
  <c r="AT123" i="10" s="1"/>
  <c r="EW123" i="10"/>
  <c r="BJ123" i="10" s="1"/>
  <c r="DM123" i="10"/>
  <c r="Z123" i="10" s="1"/>
  <c r="DU123" i="10"/>
  <c r="AH123" i="10" s="1"/>
  <c r="FG123" i="10"/>
  <c r="BT123" i="10" s="1"/>
  <c r="EX123" i="10"/>
  <c r="BK123" i="10" s="1"/>
  <c r="DY123" i="10"/>
  <c r="AL123" i="10" s="1"/>
  <c r="EN123" i="10"/>
  <c r="BA123" i="10" s="1"/>
  <c r="ER123" i="10"/>
  <c r="BE123" i="10" s="1"/>
  <c r="EB123" i="10"/>
  <c r="AO123" i="10" s="1"/>
  <c r="FD123" i="10"/>
  <c r="BQ123" i="10" s="1"/>
  <c r="EZ123" i="10"/>
  <c r="BM123" i="10" s="1"/>
  <c r="EQ123" i="10"/>
  <c r="BD123" i="10" s="1"/>
  <c r="DN123" i="10"/>
  <c r="AA123" i="10" s="1"/>
  <c r="FB123" i="10"/>
  <c r="BO123" i="10" s="1"/>
  <c r="DS123" i="10"/>
  <c r="AF123" i="10" s="1"/>
  <c r="EE123" i="10"/>
  <c r="AR123" i="10" s="1"/>
  <c r="DZ123" i="10"/>
  <c r="AM123" i="10" s="1"/>
  <c r="EM123" i="10"/>
  <c r="AZ123" i="10" s="1"/>
  <c r="EK123" i="10"/>
  <c r="AX123" i="10" s="1"/>
  <c r="EC123" i="10"/>
  <c r="AP123" i="10" s="1"/>
  <c r="DX123" i="10"/>
  <c r="AK123" i="10" s="1"/>
  <c r="DO123" i="10"/>
  <c r="AB123" i="10" s="1"/>
  <c r="EA123" i="10"/>
  <c r="AN123" i="10" s="1"/>
  <c r="FK123" i="10"/>
  <c r="BX123" i="10" s="1"/>
  <c r="FJ123" i="10"/>
  <c r="BW123" i="10" s="1"/>
  <c r="DL123" i="10"/>
  <c r="Y123" i="10" s="1"/>
  <c r="FI123" i="10"/>
  <c r="BV123" i="10" s="1"/>
  <c r="EJ123" i="10"/>
  <c r="AW123" i="10" s="1"/>
  <c r="FA123" i="10"/>
  <c r="BN123" i="10" s="1"/>
  <c r="FC123" i="10"/>
  <c r="BP123" i="10" s="1"/>
  <c r="FH123" i="10"/>
  <c r="BU123" i="10" s="1"/>
  <c r="DT123" i="10"/>
  <c r="AG123" i="10" s="1"/>
  <c r="DJ123" i="10"/>
  <c r="W123" i="10" s="1"/>
  <c r="EY123" i="10"/>
  <c r="BL123" i="10" s="1"/>
  <c r="ES123" i="10"/>
  <c r="BF123" i="10" s="1"/>
  <c r="EI123" i="10"/>
  <c r="AV123" i="10" s="1"/>
  <c r="CB123" i="10"/>
  <c r="DP123" i="10"/>
  <c r="AC123" i="10" s="1"/>
  <c r="DR123" i="10"/>
  <c r="AE123" i="10" s="1"/>
  <c r="EH123" i="10"/>
  <c r="AU123" i="10" s="1"/>
  <c r="EO123" i="10"/>
  <c r="BB123" i="10" s="1"/>
  <c r="FE108" i="10"/>
  <c r="BR108" i="10" s="1"/>
  <c r="DS108" i="10"/>
  <c r="AF108" i="10" s="1"/>
  <c r="DW108" i="10"/>
  <c r="AJ108" i="10" s="1"/>
  <c r="FA108" i="10"/>
  <c r="BN108" i="10" s="1"/>
  <c r="DM108" i="10"/>
  <c r="Z108" i="10" s="1"/>
  <c r="FB108" i="10"/>
  <c r="BO108" i="10" s="1"/>
  <c r="DJ108" i="10"/>
  <c r="W108" i="10" s="1"/>
  <c r="DY108" i="10"/>
  <c r="AL108" i="10" s="1"/>
  <c r="EY108" i="10"/>
  <c r="BL108" i="10" s="1"/>
  <c r="EU108" i="10"/>
  <c r="BH108" i="10" s="1"/>
  <c r="FD108" i="10"/>
  <c r="BQ108" i="10" s="1"/>
  <c r="DN108" i="10"/>
  <c r="AA108" i="10" s="1"/>
  <c r="FF108" i="10"/>
  <c r="BS108" i="10" s="1"/>
  <c r="DL108" i="10"/>
  <c r="Y108" i="10" s="1"/>
  <c r="EG108" i="10"/>
  <c r="AT108" i="10" s="1"/>
  <c r="EK108" i="10"/>
  <c r="AX108" i="10" s="1"/>
  <c r="DK108" i="10"/>
  <c r="X108" i="10" s="1"/>
  <c r="EW108" i="10"/>
  <c r="BJ108" i="10" s="1"/>
  <c r="DV108" i="10"/>
  <c r="AI108" i="10" s="1"/>
  <c r="ED108" i="10"/>
  <c r="AQ108" i="10" s="1"/>
  <c r="EN108" i="10"/>
  <c r="BA108" i="10" s="1"/>
  <c r="FL108" i="10"/>
  <c r="BY108" i="10" s="1"/>
  <c r="EQ108" i="10"/>
  <c r="BD108" i="10" s="1"/>
  <c r="EL108" i="10"/>
  <c r="AY108" i="10" s="1"/>
  <c r="DQ108" i="10"/>
  <c r="AD108" i="10" s="1"/>
  <c r="DX108" i="10"/>
  <c r="AK108" i="10" s="1"/>
  <c r="EM108" i="10"/>
  <c r="AZ108" i="10" s="1"/>
  <c r="FK108" i="10"/>
  <c r="BX108" i="10" s="1"/>
  <c r="ES108" i="10"/>
  <c r="BF108" i="10" s="1"/>
  <c r="DZ108" i="10"/>
  <c r="AM108" i="10" s="1"/>
  <c r="EB108" i="10"/>
  <c r="AO108" i="10" s="1"/>
  <c r="EO108" i="10"/>
  <c r="BB108" i="10" s="1"/>
  <c r="FG108" i="10"/>
  <c r="BT108" i="10" s="1"/>
  <c r="FI108" i="10"/>
  <c r="BV108" i="10" s="1"/>
  <c r="ER108" i="10"/>
  <c r="BE108" i="10" s="1"/>
  <c r="DU108" i="10"/>
  <c r="AH108" i="10" s="1"/>
  <c r="EP108" i="10"/>
  <c r="BC108" i="10" s="1"/>
  <c r="FH108" i="10"/>
  <c r="BU108" i="10" s="1"/>
  <c r="EA108" i="10"/>
  <c r="AN108" i="10" s="1"/>
  <c r="FJ108" i="10"/>
  <c r="BW108" i="10" s="1"/>
  <c r="DO108" i="10"/>
  <c r="AB108" i="10" s="1"/>
  <c r="EX108" i="10"/>
  <c r="BK108" i="10" s="1"/>
  <c r="CB108" i="10"/>
  <c r="DR108" i="10"/>
  <c r="AE108" i="10" s="1"/>
  <c r="EJ108" i="10"/>
  <c r="AW108" i="10" s="1"/>
  <c r="EE108" i="10"/>
  <c r="AR108" i="10" s="1"/>
  <c r="EZ108" i="10"/>
  <c r="BM108" i="10" s="1"/>
  <c r="DP108" i="10"/>
  <c r="AC108" i="10" s="1"/>
  <c r="EH108" i="10"/>
  <c r="AU108" i="10" s="1"/>
  <c r="ET108" i="10"/>
  <c r="BG108" i="10" s="1"/>
  <c r="EI108" i="10"/>
  <c r="AV108" i="10" s="1"/>
  <c r="FC108" i="10"/>
  <c r="BP108" i="10" s="1"/>
  <c r="EC108" i="10"/>
  <c r="AP108" i="10" s="1"/>
  <c r="EV108" i="10"/>
  <c r="BI108" i="10" s="1"/>
  <c r="DT108" i="10"/>
  <c r="AG108" i="10" s="1"/>
  <c r="EO117" i="10"/>
  <c r="BB117" i="10" s="1"/>
  <c r="DW117" i="10"/>
  <c r="AJ117" i="10" s="1"/>
  <c r="FG117" i="10"/>
  <c r="BT117" i="10" s="1"/>
  <c r="EM117" i="10"/>
  <c r="AZ117" i="10" s="1"/>
  <c r="EW117" i="10"/>
  <c r="BJ117" i="10" s="1"/>
  <c r="DX117" i="10"/>
  <c r="AK117" i="10" s="1"/>
  <c r="DJ117" i="10"/>
  <c r="W117" i="10" s="1"/>
  <c r="DV117" i="10"/>
  <c r="AI117" i="10" s="1"/>
  <c r="DZ117" i="10"/>
  <c r="AM117" i="10" s="1"/>
  <c r="EK117" i="10"/>
  <c r="AX117" i="10" s="1"/>
  <c r="FL117" i="10"/>
  <c r="BY117" i="10" s="1"/>
  <c r="EZ117" i="10"/>
  <c r="BM117" i="10" s="1"/>
  <c r="FJ117" i="10"/>
  <c r="BW117" i="10" s="1"/>
  <c r="EN117" i="10"/>
  <c r="BA117" i="10" s="1"/>
  <c r="EU117" i="10"/>
  <c r="BH117" i="10" s="1"/>
  <c r="EI117" i="10"/>
  <c r="AV117" i="10" s="1"/>
  <c r="EP117" i="10"/>
  <c r="BC117" i="10" s="1"/>
  <c r="ER117" i="10"/>
  <c r="BE117" i="10" s="1"/>
  <c r="DK117" i="10"/>
  <c r="X117" i="10" s="1"/>
  <c r="DY117" i="10"/>
  <c r="AL117" i="10" s="1"/>
  <c r="ET117" i="10"/>
  <c r="BG117" i="10" s="1"/>
  <c r="EJ117" i="10"/>
  <c r="AW117" i="10" s="1"/>
  <c r="FE117" i="10"/>
  <c r="BR117" i="10" s="1"/>
  <c r="EE117" i="10"/>
  <c r="AR117" i="10" s="1"/>
  <c r="EB117" i="10"/>
  <c r="AO117" i="10" s="1"/>
  <c r="EL117" i="10"/>
  <c r="AY117" i="10" s="1"/>
  <c r="FD117" i="10"/>
  <c r="BQ117" i="10" s="1"/>
  <c r="EX117" i="10"/>
  <c r="BK117" i="10" s="1"/>
  <c r="FK117" i="10"/>
  <c r="BX117" i="10" s="1"/>
  <c r="DU117" i="10"/>
  <c r="AH117" i="10" s="1"/>
  <c r="CB117" i="10"/>
  <c r="DM117" i="10"/>
  <c r="Z117" i="10" s="1"/>
  <c r="DN117" i="10"/>
  <c r="AA117" i="10" s="1"/>
  <c r="DS117" i="10"/>
  <c r="AF117" i="10" s="1"/>
  <c r="EC117" i="10"/>
  <c r="AP117" i="10" s="1"/>
  <c r="FC117" i="10"/>
  <c r="BP117" i="10" s="1"/>
  <c r="EQ117" i="10"/>
  <c r="BD117" i="10" s="1"/>
  <c r="EV117" i="10"/>
  <c r="BI117" i="10" s="1"/>
  <c r="DO117" i="10"/>
  <c r="AB117" i="10" s="1"/>
  <c r="FA117" i="10"/>
  <c r="BN117" i="10" s="1"/>
  <c r="DT117" i="10"/>
  <c r="AG117" i="10" s="1"/>
  <c r="DR117" i="10"/>
  <c r="AE117" i="10" s="1"/>
  <c r="EH117" i="10"/>
  <c r="AU117" i="10" s="1"/>
  <c r="EY117" i="10"/>
  <c r="BL117" i="10" s="1"/>
  <c r="DP117" i="10"/>
  <c r="AC117" i="10" s="1"/>
  <c r="DL117" i="10"/>
  <c r="Y117" i="10" s="1"/>
  <c r="ED117" i="10"/>
  <c r="AQ117" i="10" s="1"/>
  <c r="EA117" i="10"/>
  <c r="AN117" i="10" s="1"/>
  <c r="FB117" i="10"/>
  <c r="BO117" i="10" s="1"/>
  <c r="EG117" i="10"/>
  <c r="AT117" i="10" s="1"/>
  <c r="ES117" i="10"/>
  <c r="BF117" i="10" s="1"/>
  <c r="FH117" i="10"/>
  <c r="BU117" i="10" s="1"/>
  <c r="FI117" i="10"/>
  <c r="BV117" i="10" s="1"/>
  <c r="FF117" i="10"/>
  <c r="BS117" i="10" s="1"/>
  <c r="DQ117" i="10"/>
  <c r="AD117" i="10" s="1"/>
  <c r="EE115" i="10"/>
  <c r="AR115" i="10" s="1"/>
  <c r="EZ115" i="10"/>
  <c r="BM115" i="10" s="1"/>
  <c r="DM115" i="10"/>
  <c r="Z115" i="10" s="1"/>
  <c r="ED115" i="10"/>
  <c r="AQ115" i="10" s="1"/>
  <c r="EX115" i="10"/>
  <c r="BK115" i="10" s="1"/>
  <c r="FB115" i="10"/>
  <c r="BO115" i="10" s="1"/>
  <c r="EG115" i="10"/>
  <c r="AT115" i="10" s="1"/>
  <c r="DT115" i="10"/>
  <c r="AG115" i="10" s="1"/>
  <c r="EC115" i="10"/>
  <c r="AP115" i="10" s="1"/>
  <c r="EO115" i="10"/>
  <c r="BB115" i="10" s="1"/>
  <c r="FK115" i="10"/>
  <c r="BX115" i="10" s="1"/>
  <c r="DU115" i="10"/>
  <c r="AH115" i="10" s="1"/>
  <c r="DK115" i="10"/>
  <c r="X115" i="10" s="1"/>
  <c r="EH115" i="10"/>
  <c r="AU115" i="10" s="1"/>
  <c r="FH115" i="10"/>
  <c r="BU115" i="10" s="1"/>
  <c r="CB115" i="10"/>
  <c r="DX115" i="10"/>
  <c r="AK115" i="10" s="1"/>
  <c r="FA115" i="10"/>
  <c r="BN115" i="10" s="1"/>
  <c r="DZ115" i="10"/>
  <c r="AM115" i="10" s="1"/>
  <c r="FD115" i="10"/>
  <c r="BQ115" i="10" s="1"/>
  <c r="EU115" i="10"/>
  <c r="BH115" i="10" s="1"/>
  <c r="FI115" i="10"/>
  <c r="BV115" i="10" s="1"/>
  <c r="EV115" i="10"/>
  <c r="BI115" i="10" s="1"/>
  <c r="ET115" i="10"/>
  <c r="BG115" i="10" s="1"/>
  <c r="FJ115" i="10"/>
  <c r="BW115" i="10" s="1"/>
  <c r="DY115" i="10"/>
  <c r="AL115" i="10" s="1"/>
  <c r="DS115" i="10"/>
  <c r="AF115" i="10" s="1"/>
  <c r="DQ115" i="10"/>
  <c r="AD115" i="10" s="1"/>
  <c r="ES115" i="10"/>
  <c r="BF115" i="10" s="1"/>
  <c r="EB115" i="10"/>
  <c r="AO115" i="10" s="1"/>
  <c r="EQ115" i="10"/>
  <c r="BD115" i="10" s="1"/>
  <c r="DL115" i="10"/>
  <c r="Y115" i="10" s="1"/>
  <c r="DR115" i="10"/>
  <c r="AE115" i="10" s="1"/>
  <c r="FE115" i="10"/>
  <c r="BR115" i="10" s="1"/>
  <c r="EP115" i="10"/>
  <c r="BC115" i="10" s="1"/>
  <c r="EK115" i="10"/>
  <c r="AX115" i="10" s="1"/>
  <c r="EW115" i="10"/>
  <c r="BJ115" i="10" s="1"/>
  <c r="EJ115" i="10"/>
  <c r="AW115" i="10" s="1"/>
  <c r="DW115" i="10"/>
  <c r="AJ115" i="10" s="1"/>
  <c r="DN115" i="10"/>
  <c r="AA115" i="10" s="1"/>
  <c r="DV115" i="10"/>
  <c r="AI115" i="10" s="1"/>
  <c r="EA115" i="10"/>
  <c r="AN115" i="10" s="1"/>
  <c r="DP115" i="10"/>
  <c r="AC115" i="10" s="1"/>
  <c r="ER115" i="10"/>
  <c r="BE115" i="10" s="1"/>
  <c r="FF115" i="10"/>
  <c r="BS115" i="10" s="1"/>
  <c r="DJ115" i="10"/>
  <c r="W115" i="10" s="1"/>
  <c r="EY115" i="10"/>
  <c r="BL115" i="10" s="1"/>
  <c r="EM115" i="10"/>
  <c r="AZ115" i="10" s="1"/>
  <c r="EN115" i="10"/>
  <c r="BA115" i="10" s="1"/>
  <c r="FL115" i="10"/>
  <c r="BY115" i="10" s="1"/>
  <c r="FG115" i="10"/>
  <c r="BT115" i="10" s="1"/>
  <c r="DO115" i="10"/>
  <c r="AB115" i="10" s="1"/>
  <c r="EL115" i="10"/>
  <c r="AY115" i="10" s="1"/>
  <c r="FC115" i="10"/>
  <c r="BP115" i="10" s="1"/>
  <c r="EI115" i="10"/>
  <c r="AV115" i="10" s="1"/>
  <c r="EA152" i="10"/>
  <c r="AN152" i="10" s="1"/>
  <c r="DR152" i="10"/>
  <c r="AE152" i="10" s="1"/>
  <c r="FF152" i="10"/>
  <c r="BS152" i="10" s="1"/>
  <c r="DZ152" i="10"/>
  <c r="AM152" i="10" s="1"/>
  <c r="EK152" i="10"/>
  <c r="AX152" i="10" s="1"/>
  <c r="EC152" i="10"/>
  <c r="AP152" i="10" s="1"/>
  <c r="DS152" i="10"/>
  <c r="AF152" i="10" s="1"/>
  <c r="DO152" i="10"/>
  <c r="AB152" i="10" s="1"/>
  <c r="EX152" i="10"/>
  <c r="BK152" i="10" s="1"/>
  <c r="FD152" i="10"/>
  <c r="BQ152" i="10" s="1"/>
  <c r="EL152" i="10"/>
  <c r="AY152" i="10" s="1"/>
  <c r="ER152" i="10"/>
  <c r="BE152" i="10" s="1"/>
  <c r="EM152" i="10"/>
  <c r="AZ152" i="10" s="1"/>
  <c r="EJ152" i="10"/>
  <c r="AW152" i="10" s="1"/>
  <c r="EG152" i="10"/>
  <c r="AT152" i="10" s="1"/>
  <c r="CN50" i="10"/>
  <c r="CO50" i="10" s="1"/>
  <c r="CE50" i="10" s="1"/>
  <c r="EG50" i="10" s="1"/>
  <c r="AT50" i="10" s="1"/>
  <c r="EM93" i="10"/>
  <c r="AZ93" i="10" s="1"/>
  <c r="FC93" i="10"/>
  <c r="BP93" i="10" s="1"/>
  <c r="EP93" i="10"/>
  <c r="BC93" i="10" s="1"/>
  <c r="FD93" i="10"/>
  <c r="BQ93" i="10" s="1"/>
  <c r="EY93" i="10"/>
  <c r="BL93" i="10" s="1"/>
  <c r="FI93" i="10"/>
  <c r="BV93" i="10" s="1"/>
  <c r="FJ93" i="10"/>
  <c r="BW93" i="10" s="1"/>
  <c r="FE93" i="10"/>
  <c r="BR93" i="10" s="1"/>
  <c r="EV93" i="10"/>
  <c r="BI93" i="10" s="1"/>
  <c r="FF93" i="10"/>
  <c r="BS93" i="10" s="1"/>
  <c r="ES93" i="10"/>
  <c r="BF93" i="10" s="1"/>
  <c r="EU93" i="10"/>
  <c r="BH93" i="10" s="1"/>
  <c r="EZ93" i="10"/>
  <c r="BM93" i="10" s="1"/>
  <c r="EK93" i="10"/>
  <c r="AX93" i="10" s="1"/>
  <c r="EG93" i="10"/>
  <c r="AT93" i="10" s="1"/>
  <c r="EN93" i="10"/>
  <c r="BA93" i="10" s="1"/>
  <c r="EX93" i="10"/>
  <c r="BK93" i="10" s="1"/>
  <c r="FB93" i="10"/>
  <c r="BO93" i="10" s="1"/>
  <c r="EQ93" i="10"/>
  <c r="BD93" i="10" s="1"/>
  <c r="EW93" i="10"/>
  <c r="BJ93" i="10" s="1"/>
  <c r="FH93" i="10"/>
  <c r="BU93" i="10" s="1"/>
  <c r="EJ93" i="10"/>
  <c r="AW93" i="10" s="1"/>
  <c r="EO93" i="10"/>
  <c r="BB93" i="10" s="1"/>
  <c r="FL93" i="10"/>
  <c r="BY93" i="10" s="1"/>
  <c r="FA93" i="10"/>
  <c r="BN93" i="10" s="1"/>
  <c r="FG93" i="10"/>
  <c r="BT93" i="10" s="1"/>
  <c r="EL93" i="10"/>
  <c r="AY93" i="10" s="1"/>
  <c r="FK93" i="10"/>
  <c r="BX93" i="10" s="1"/>
  <c r="ET93" i="10"/>
  <c r="BG93" i="10" s="1"/>
  <c r="EI93" i="10"/>
  <c r="AV93" i="10" s="1"/>
  <c r="EH93" i="10"/>
  <c r="AU93" i="10" s="1"/>
  <c r="ER93" i="10"/>
  <c r="BE93" i="10" s="1"/>
  <c r="EA62" i="10"/>
  <c r="AN62" i="10" s="1"/>
  <c r="EP62" i="10"/>
  <c r="BC62" i="10" s="1"/>
  <c r="ET62" i="10"/>
  <c r="BG62" i="10" s="1"/>
  <c r="EC62" i="10"/>
  <c r="AP62" i="10" s="1"/>
  <c r="DM62" i="10"/>
  <c r="Z62" i="10" s="1"/>
  <c r="CB62" i="10"/>
  <c r="EZ62" i="10"/>
  <c r="BM62" i="10" s="1"/>
  <c r="DX62" i="10"/>
  <c r="AK62" i="10" s="1"/>
  <c r="EX62" i="10"/>
  <c r="BK62" i="10" s="1"/>
  <c r="DL62" i="10"/>
  <c r="Y62" i="10" s="1"/>
  <c r="DS62" i="10"/>
  <c r="AF62" i="10" s="1"/>
  <c r="DU62" i="10"/>
  <c r="AH62" i="10" s="1"/>
  <c r="EU62" i="10"/>
  <c r="BH62" i="10" s="1"/>
  <c r="FE62" i="10"/>
  <c r="BR62" i="10" s="1"/>
  <c r="EL62" i="10"/>
  <c r="AY62" i="10" s="1"/>
  <c r="FC62" i="10"/>
  <c r="BP62" i="10" s="1"/>
  <c r="DQ62" i="10"/>
  <c r="AD62" i="10" s="1"/>
  <c r="EG62" i="10"/>
  <c r="AT62" i="10" s="1"/>
  <c r="DW62" i="10"/>
  <c r="AJ62" i="10" s="1"/>
  <c r="DY62" i="10"/>
  <c r="AL62" i="10" s="1"/>
  <c r="FG62" i="10"/>
  <c r="BT62" i="10" s="1"/>
  <c r="EK62" i="10"/>
  <c r="AX62" i="10" s="1"/>
  <c r="ED62" i="10"/>
  <c r="AQ62" i="10" s="1"/>
  <c r="FL62" i="10"/>
  <c r="BY62" i="10" s="1"/>
  <c r="EO62" i="10"/>
  <c r="BB62" i="10" s="1"/>
  <c r="FI62" i="10"/>
  <c r="BV62" i="10" s="1"/>
  <c r="EH62" i="10"/>
  <c r="AU62" i="10" s="1"/>
  <c r="EJ62" i="10"/>
  <c r="AW62" i="10" s="1"/>
  <c r="FD62" i="10"/>
  <c r="BQ62" i="10" s="1"/>
  <c r="FH62" i="10"/>
  <c r="BU62" i="10" s="1"/>
  <c r="EN62" i="10"/>
  <c r="BA62" i="10" s="1"/>
  <c r="DZ62" i="10"/>
  <c r="AM62" i="10" s="1"/>
  <c r="EB62" i="10"/>
  <c r="AO62" i="10" s="1"/>
  <c r="FF62" i="10"/>
  <c r="BS62" i="10" s="1"/>
  <c r="DV62" i="10"/>
  <c r="AI62" i="10" s="1"/>
  <c r="DO62" i="10"/>
  <c r="AB62" i="10" s="1"/>
  <c r="DT62" i="10"/>
  <c r="AG62" i="10" s="1"/>
  <c r="ES62" i="10"/>
  <c r="BF62" i="10" s="1"/>
  <c r="FJ62" i="10"/>
  <c r="BW62" i="10" s="1"/>
  <c r="EY62" i="10"/>
  <c r="BL62" i="10" s="1"/>
  <c r="FB62" i="10"/>
  <c r="BO62" i="10" s="1"/>
  <c r="DN62" i="10"/>
  <c r="AA62" i="10" s="1"/>
  <c r="EV62" i="10"/>
  <c r="BI62" i="10" s="1"/>
  <c r="FK62" i="10"/>
  <c r="BX62" i="10" s="1"/>
  <c r="EW62" i="10"/>
  <c r="BJ62" i="10" s="1"/>
  <c r="EM62" i="10"/>
  <c r="AZ62" i="10" s="1"/>
  <c r="DJ62" i="10"/>
  <c r="W62" i="10" s="1"/>
  <c r="FA62" i="10"/>
  <c r="BN62" i="10" s="1"/>
  <c r="ER62" i="10"/>
  <c r="BE62" i="10" s="1"/>
  <c r="DK62" i="10"/>
  <c r="X62" i="10" s="1"/>
  <c r="EE62" i="10"/>
  <c r="AR62" i="10" s="1"/>
  <c r="EQ62" i="10"/>
  <c r="BD62" i="10" s="1"/>
  <c r="DR62" i="10"/>
  <c r="AE62" i="10" s="1"/>
  <c r="EI62" i="10"/>
  <c r="AV62" i="10" s="1"/>
  <c r="DP62" i="10"/>
  <c r="AC62" i="10" s="1"/>
  <c r="EE139" i="10"/>
  <c r="AR139" i="10" s="1"/>
  <c r="FG139" i="10"/>
  <c r="BT139" i="10" s="1"/>
  <c r="EL139" i="10"/>
  <c r="AY139" i="10" s="1"/>
  <c r="FK139" i="10"/>
  <c r="BX139" i="10" s="1"/>
  <c r="FF139" i="10"/>
  <c r="BS139" i="10" s="1"/>
  <c r="EA139" i="10"/>
  <c r="AN139" i="10" s="1"/>
  <c r="ES139" i="10"/>
  <c r="BF139" i="10" s="1"/>
  <c r="EP139" i="10"/>
  <c r="BC139" i="10" s="1"/>
  <c r="FD139" i="10"/>
  <c r="BQ139" i="10" s="1"/>
  <c r="DJ139" i="10"/>
  <c r="W139" i="10" s="1"/>
  <c r="DQ139" i="10"/>
  <c r="AD139" i="10" s="1"/>
  <c r="DM139" i="10"/>
  <c r="Z139" i="10" s="1"/>
  <c r="EC139" i="10"/>
  <c r="AP139" i="10" s="1"/>
  <c r="EZ139" i="10"/>
  <c r="BM139" i="10" s="1"/>
  <c r="FI139" i="10"/>
  <c r="BV139" i="10" s="1"/>
  <c r="EY139" i="10"/>
  <c r="BL139" i="10" s="1"/>
  <c r="DN139" i="10"/>
  <c r="AA139" i="10" s="1"/>
  <c r="EU139" i="10"/>
  <c r="BH139" i="10" s="1"/>
  <c r="EK139" i="10"/>
  <c r="AX139" i="10" s="1"/>
  <c r="DY139" i="10"/>
  <c r="AL139" i="10" s="1"/>
  <c r="DV139" i="10"/>
  <c r="AI139" i="10" s="1"/>
  <c r="ER139" i="10"/>
  <c r="BE139" i="10" s="1"/>
  <c r="EO139" i="10"/>
  <c r="BB139" i="10" s="1"/>
  <c r="EQ139" i="10"/>
  <c r="BD139" i="10" s="1"/>
  <c r="FJ139" i="10"/>
  <c r="BW139" i="10" s="1"/>
  <c r="DZ139" i="10"/>
  <c r="AM139" i="10" s="1"/>
  <c r="FB139" i="10"/>
  <c r="BO139" i="10" s="1"/>
  <c r="EJ139" i="10"/>
  <c r="AW139" i="10" s="1"/>
  <c r="DL139" i="10"/>
  <c r="Y139" i="10" s="1"/>
  <c r="EN139" i="10"/>
  <c r="BA139" i="10" s="1"/>
  <c r="DP139" i="10"/>
  <c r="AC139" i="10" s="1"/>
  <c r="DU139" i="10"/>
  <c r="AH139" i="10" s="1"/>
  <c r="ET139" i="10"/>
  <c r="BG139" i="10" s="1"/>
  <c r="EV139" i="10"/>
  <c r="BI139" i="10" s="1"/>
  <c r="EW139" i="10"/>
  <c r="BJ139" i="10" s="1"/>
  <c r="FA139" i="10"/>
  <c r="BN139" i="10" s="1"/>
  <c r="EX139" i="10"/>
  <c r="BK139" i="10" s="1"/>
  <c r="EM139" i="10"/>
  <c r="AZ139" i="10" s="1"/>
  <c r="DW139" i="10"/>
  <c r="AJ139" i="10" s="1"/>
  <c r="EB139" i="10"/>
  <c r="AO139" i="10" s="1"/>
  <c r="DT139" i="10"/>
  <c r="AG139" i="10" s="1"/>
  <c r="EI139" i="10"/>
  <c r="AV139" i="10" s="1"/>
  <c r="FC139" i="10"/>
  <c r="BP139" i="10" s="1"/>
  <c r="EG139" i="10"/>
  <c r="AT139" i="10" s="1"/>
  <c r="DK139" i="10"/>
  <c r="X139" i="10" s="1"/>
  <c r="FH139" i="10"/>
  <c r="BU139" i="10" s="1"/>
  <c r="DX139" i="10"/>
  <c r="AK139" i="10" s="1"/>
  <c r="ED139" i="10"/>
  <c r="AQ139" i="10" s="1"/>
  <c r="EH139" i="10"/>
  <c r="AU139" i="10" s="1"/>
  <c r="CB139" i="10"/>
  <c r="FL139" i="10"/>
  <c r="BY139" i="10" s="1"/>
  <c r="DO139" i="10"/>
  <c r="AB139" i="10" s="1"/>
  <c r="FE139" i="10"/>
  <c r="BR139" i="10" s="1"/>
  <c r="DR139" i="10"/>
  <c r="AE139" i="10" s="1"/>
  <c r="DS139" i="10"/>
  <c r="AF139" i="10" s="1"/>
  <c r="DN80" i="10"/>
  <c r="AA80" i="10" s="1"/>
  <c r="FC80" i="10"/>
  <c r="BP80" i="10" s="1"/>
  <c r="ES80" i="10"/>
  <c r="BF80" i="10" s="1"/>
  <c r="FE80" i="10"/>
  <c r="BR80" i="10" s="1"/>
  <c r="EJ80" i="10"/>
  <c r="AW80" i="10" s="1"/>
  <c r="EN80" i="10"/>
  <c r="BA80" i="10" s="1"/>
  <c r="DS80" i="10"/>
  <c r="AF80" i="10" s="1"/>
  <c r="DL80" i="10"/>
  <c r="Y80" i="10" s="1"/>
  <c r="EK80" i="10"/>
  <c r="AX80" i="10" s="1"/>
  <c r="EC80" i="10"/>
  <c r="AP80" i="10" s="1"/>
  <c r="EB80" i="10"/>
  <c r="AO80" i="10" s="1"/>
  <c r="DZ80" i="10"/>
  <c r="AM80" i="10" s="1"/>
  <c r="EH80" i="10"/>
  <c r="AU80" i="10" s="1"/>
  <c r="CB80" i="10"/>
  <c r="DM80" i="10"/>
  <c r="Z80" i="10" s="1"/>
  <c r="EA80" i="10"/>
  <c r="AN80" i="10" s="1"/>
  <c r="DK80" i="10"/>
  <c r="X80" i="10" s="1"/>
  <c r="DP80" i="10"/>
  <c r="AC80" i="10" s="1"/>
  <c r="EE80" i="10"/>
  <c r="AR80" i="10" s="1"/>
  <c r="DQ80" i="10"/>
  <c r="AD80" i="10" s="1"/>
  <c r="EW80" i="10"/>
  <c r="BJ80" i="10" s="1"/>
  <c r="EY80" i="10"/>
  <c r="BL80" i="10" s="1"/>
  <c r="DU80" i="10"/>
  <c r="AH80" i="10" s="1"/>
  <c r="DR80" i="10"/>
  <c r="AE80" i="10" s="1"/>
  <c r="EI80" i="10"/>
  <c r="AV80" i="10" s="1"/>
  <c r="EG80" i="10"/>
  <c r="AT80" i="10" s="1"/>
  <c r="FJ80" i="10"/>
  <c r="BW80" i="10" s="1"/>
  <c r="DV80" i="10"/>
  <c r="AI80" i="10" s="1"/>
  <c r="EO80" i="10"/>
  <c r="BB80" i="10" s="1"/>
  <c r="EX80" i="10"/>
  <c r="BK80" i="10" s="1"/>
  <c r="ED80" i="10"/>
  <c r="AQ80" i="10" s="1"/>
  <c r="FK80" i="10"/>
  <c r="BX80" i="10" s="1"/>
  <c r="DX80" i="10"/>
  <c r="AK80" i="10" s="1"/>
  <c r="DY80" i="10"/>
  <c r="AL80" i="10" s="1"/>
  <c r="EM80" i="10"/>
  <c r="AZ80" i="10" s="1"/>
  <c r="EU80" i="10"/>
  <c r="BH80" i="10" s="1"/>
  <c r="FF80" i="10"/>
  <c r="BS80" i="10" s="1"/>
  <c r="EV80" i="10"/>
  <c r="BI80" i="10" s="1"/>
  <c r="FH80" i="10"/>
  <c r="BU80" i="10" s="1"/>
  <c r="DJ80" i="10"/>
  <c r="W80" i="10" s="1"/>
  <c r="FA80" i="10"/>
  <c r="BN80" i="10" s="1"/>
  <c r="EQ80" i="10"/>
  <c r="BD80" i="10" s="1"/>
  <c r="DW80" i="10"/>
  <c r="AJ80" i="10" s="1"/>
  <c r="FD80" i="10"/>
  <c r="BQ80" i="10" s="1"/>
  <c r="DT80" i="10"/>
  <c r="AG80" i="10" s="1"/>
  <c r="FL80" i="10"/>
  <c r="BY80" i="10" s="1"/>
  <c r="ET80" i="10"/>
  <c r="BG80" i="10" s="1"/>
  <c r="FG80" i="10"/>
  <c r="BT80" i="10" s="1"/>
  <c r="FB80" i="10"/>
  <c r="BO80" i="10" s="1"/>
  <c r="FI80" i="10"/>
  <c r="BV80" i="10" s="1"/>
  <c r="EP80" i="10"/>
  <c r="BC80" i="10" s="1"/>
  <c r="EZ80" i="10"/>
  <c r="BM80" i="10" s="1"/>
  <c r="DO80" i="10"/>
  <c r="AB80" i="10" s="1"/>
  <c r="EL80" i="10"/>
  <c r="AY80" i="10" s="1"/>
  <c r="ER80" i="10"/>
  <c r="BE80" i="10" s="1"/>
  <c r="ES66" i="10"/>
  <c r="BF66" i="10" s="1"/>
  <c r="EB66" i="10"/>
  <c r="AO66" i="10" s="1"/>
  <c r="EK66" i="10"/>
  <c r="AX66" i="10" s="1"/>
  <c r="FI66" i="10"/>
  <c r="BV66" i="10" s="1"/>
  <c r="FE66" i="10"/>
  <c r="BR66" i="10" s="1"/>
  <c r="EH66" i="10"/>
  <c r="AU66" i="10" s="1"/>
  <c r="EC66" i="10"/>
  <c r="AP66" i="10" s="1"/>
  <c r="DQ66" i="10"/>
  <c r="AD66" i="10" s="1"/>
  <c r="EY66" i="10"/>
  <c r="BL66" i="10" s="1"/>
  <c r="EZ66" i="10"/>
  <c r="BM66" i="10" s="1"/>
  <c r="FG66" i="10"/>
  <c r="BT66" i="10" s="1"/>
  <c r="DV66" i="10"/>
  <c r="AI66" i="10" s="1"/>
  <c r="EM66" i="10"/>
  <c r="AZ66" i="10" s="1"/>
  <c r="DK66" i="10"/>
  <c r="X66" i="10" s="1"/>
  <c r="EV66" i="10"/>
  <c r="BI66" i="10" s="1"/>
  <c r="DP66" i="10"/>
  <c r="AC66" i="10" s="1"/>
  <c r="EQ66" i="10"/>
  <c r="BD66" i="10" s="1"/>
  <c r="EO66" i="10"/>
  <c r="BB66" i="10" s="1"/>
  <c r="DZ66" i="10"/>
  <c r="AM66" i="10" s="1"/>
  <c r="DO66" i="10"/>
  <c r="AB66" i="10" s="1"/>
  <c r="DT66" i="10"/>
  <c r="AG66" i="10" s="1"/>
  <c r="DR66" i="10"/>
  <c r="AE66" i="10" s="1"/>
  <c r="EI66" i="10"/>
  <c r="AV66" i="10" s="1"/>
  <c r="FA66" i="10"/>
  <c r="BN66" i="10" s="1"/>
  <c r="DW66" i="10"/>
  <c r="AJ66" i="10" s="1"/>
  <c r="EW66" i="10"/>
  <c r="BJ66" i="10" s="1"/>
  <c r="EN66" i="10"/>
  <c r="BA66" i="10" s="1"/>
  <c r="DY66" i="10"/>
  <c r="AL66" i="10" s="1"/>
  <c r="ET66" i="10"/>
  <c r="BG66" i="10" s="1"/>
  <c r="FD66" i="10"/>
  <c r="BQ66" i="10" s="1"/>
  <c r="EA66" i="10"/>
  <c r="AN66" i="10" s="1"/>
  <c r="EJ66" i="10"/>
  <c r="AW66" i="10" s="1"/>
  <c r="ER66" i="10"/>
  <c r="BE66" i="10" s="1"/>
  <c r="FL66" i="10"/>
  <c r="BY66" i="10" s="1"/>
  <c r="EL66" i="10"/>
  <c r="AY66" i="10" s="1"/>
  <c r="DM66" i="10"/>
  <c r="Z66" i="10" s="1"/>
  <c r="FH66" i="10"/>
  <c r="BU66" i="10" s="1"/>
  <c r="EP66" i="10"/>
  <c r="BC66" i="10" s="1"/>
  <c r="DU66" i="10"/>
  <c r="AH66" i="10" s="1"/>
  <c r="FJ66" i="10"/>
  <c r="BW66" i="10" s="1"/>
  <c r="EU66" i="10"/>
  <c r="BH66" i="10" s="1"/>
  <c r="DS66" i="10"/>
  <c r="AF66" i="10" s="1"/>
  <c r="DJ66" i="10"/>
  <c r="W66" i="10" s="1"/>
  <c r="ED66" i="10"/>
  <c r="AQ66" i="10" s="1"/>
  <c r="EG66" i="10"/>
  <c r="AT66" i="10" s="1"/>
  <c r="FF66" i="10"/>
  <c r="BS66" i="10" s="1"/>
  <c r="FB66" i="10"/>
  <c r="BO66" i="10" s="1"/>
  <c r="DL66" i="10"/>
  <c r="Y66" i="10" s="1"/>
  <c r="FK66" i="10"/>
  <c r="BX66" i="10" s="1"/>
  <c r="DX66" i="10"/>
  <c r="AK66" i="10" s="1"/>
  <c r="EX66" i="10"/>
  <c r="BK66" i="10" s="1"/>
  <c r="CB66" i="10"/>
  <c r="DN66" i="10"/>
  <c r="AA66" i="10" s="1"/>
  <c r="EE66" i="10"/>
  <c r="AR66" i="10" s="1"/>
  <c r="FC66" i="10"/>
  <c r="BP66" i="10" s="1"/>
  <c r="DV134" i="10"/>
  <c r="AI134" i="10" s="1"/>
  <c r="FJ134" i="10"/>
  <c r="BW134" i="10" s="1"/>
  <c r="EB134" i="10"/>
  <c r="AO134" i="10" s="1"/>
  <c r="DP134" i="10"/>
  <c r="AC134" i="10" s="1"/>
  <c r="FB134" i="10"/>
  <c r="BO134" i="10" s="1"/>
  <c r="EC134" i="10"/>
  <c r="AP134" i="10" s="1"/>
  <c r="EP134" i="10"/>
  <c r="BC134" i="10" s="1"/>
  <c r="EJ134" i="10"/>
  <c r="AW134" i="10" s="1"/>
  <c r="DK134" i="10"/>
  <c r="X134" i="10" s="1"/>
  <c r="DM134" i="10"/>
  <c r="Z134" i="10" s="1"/>
  <c r="FE134" i="10"/>
  <c r="BR134" i="10" s="1"/>
  <c r="ET134" i="10"/>
  <c r="BG134" i="10" s="1"/>
  <c r="DQ134" i="10"/>
  <c r="AD134" i="10" s="1"/>
  <c r="FG134" i="10"/>
  <c r="BT134" i="10" s="1"/>
  <c r="CB134" i="10"/>
  <c r="EW134" i="10"/>
  <c r="BJ134" i="10" s="1"/>
  <c r="FD134" i="10"/>
  <c r="BQ134" i="10" s="1"/>
  <c r="EO134" i="10"/>
  <c r="BB134" i="10" s="1"/>
  <c r="DY134" i="10"/>
  <c r="AL134" i="10" s="1"/>
  <c r="FC134" i="10"/>
  <c r="BP134" i="10" s="1"/>
  <c r="DL134" i="10"/>
  <c r="Y134" i="10" s="1"/>
  <c r="FH134" i="10"/>
  <c r="BU134" i="10" s="1"/>
  <c r="EU134" i="10"/>
  <c r="BH134" i="10" s="1"/>
  <c r="DN134" i="10"/>
  <c r="AA134" i="10" s="1"/>
  <c r="EN134" i="10"/>
  <c r="BA134" i="10" s="1"/>
  <c r="EZ134" i="10"/>
  <c r="BM134" i="10" s="1"/>
  <c r="EY134" i="10"/>
  <c r="BL134" i="10" s="1"/>
  <c r="DR134" i="10"/>
  <c r="AE134" i="10" s="1"/>
  <c r="EA134" i="10"/>
  <c r="AN134" i="10" s="1"/>
  <c r="ED134" i="10"/>
  <c r="AQ134" i="10" s="1"/>
  <c r="DS134" i="10"/>
  <c r="AF134" i="10" s="1"/>
  <c r="EI134" i="10"/>
  <c r="AV134" i="10" s="1"/>
  <c r="FF134" i="10"/>
  <c r="BS134" i="10" s="1"/>
  <c r="ER134" i="10"/>
  <c r="BE134" i="10" s="1"/>
  <c r="EL134" i="10"/>
  <c r="AY134" i="10" s="1"/>
  <c r="DX134" i="10"/>
  <c r="AK134" i="10" s="1"/>
  <c r="DU134" i="10"/>
  <c r="AH134" i="10" s="1"/>
  <c r="ES134" i="10"/>
  <c r="BF134" i="10" s="1"/>
  <c r="DJ134" i="10"/>
  <c r="W134" i="10" s="1"/>
  <c r="EQ134" i="10"/>
  <c r="BD134" i="10" s="1"/>
  <c r="DW134" i="10"/>
  <c r="AJ134" i="10" s="1"/>
  <c r="EE134" i="10"/>
  <c r="AR134" i="10" s="1"/>
  <c r="FK134" i="10"/>
  <c r="BX134" i="10" s="1"/>
  <c r="EX134" i="10"/>
  <c r="BK134" i="10" s="1"/>
  <c r="DT134" i="10"/>
  <c r="AG134" i="10" s="1"/>
  <c r="EM134" i="10"/>
  <c r="AZ134" i="10" s="1"/>
  <c r="FA134" i="10"/>
  <c r="BN134" i="10" s="1"/>
  <c r="EV134" i="10"/>
  <c r="BI134" i="10" s="1"/>
  <c r="DZ134" i="10"/>
  <c r="AM134" i="10" s="1"/>
  <c r="EK134" i="10"/>
  <c r="AX134" i="10" s="1"/>
  <c r="EG134" i="10"/>
  <c r="AT134" i="10" s="1"/>
  <c r="FI134" i="10"/>
  <c r="BV134" i="10" s="1"/>
  <c r="FL134" i="10"/>
  <c r="BY134" i="10" s="1"/>
  <c r="EH134" i="10"/>
  <c r="AU134" i="10" s="1"/>
  <c r="DO134" i="10"/>
  <c r="AB134" i="10" s="1"/>
  <c r="EJ225" i="10"/>
  <c r="FK225" i="10"/>
  <c r="EI225" i="10"/>
  <c r="ES225" i="10"/>
  <c r="FH225" i="10"/>
  <c r="EM225" i="10"/>
  <c r="EH225" i="10"/>
  <c r="FB225" i="10"/>
  <c r="EO225" i="10"/>
  <c r="FL225" i="10"/>
  <c r="ET225" i="10"/>
  <c r="EP225" i="10"/>
  <c r="FA225" i="10"/>
  <c r="FG225" i="10"/>
  <c r="EN225" i="10"/>
  <c r="CB225" i="10"/>
  <c r="EG225" i="10"/>
  <c r="EK225" i="10"/>
  <c r="EL225" i="10"/>
  <c r="EX225" i="10"/>
  <c r="EW225" i="10"/>
  <c r="EQ225" i="10"/>
  <c r="FC225" i="10"/>
  <c r="EV225" i="10"/>
  <c r="FD225" i="10"/>
  <c r="EU225" i="10"/>
  <c r="ER225" i="10"/>
  <c r="FJ225" i="10"/>
  <c r="FF225" i="10"/>
  <c r="BP225" i="10"/>
  <c r="FI225" i="10"/>
  <c r="FE225" i="10"/>
  <c r="EZ225" i="10"/>
  <c r="EY225" i="10"/>
  <c r="EW146" i="10"/>
  <c r="BJ146" i="10" s="1"/>
  <c r="DZ146" i="10"/>
  <c r="AM146" i="10" s="1"/>
  <c r="EJ146" i="10"/>
  <c r="AW146" i="10" s="1"/>
  <c r="EU146" i="10"/>
  <c r="BH146" i="10" s="1"/>
  <c r="EK146" i="10"/>
  <c r="AX146" i="10" s="1"/>
  <c r="FC146" i="10"/>
  <c r="BP146" i="10" s="1"/>
  <c r="EB146" i="10"/>
  <c r="AO146" i="10" s="1"/>
  <c r="DK146" i="10"/>
  <c r="X146" i="10" s="1"/>
  <c r="EX146" i="10"/>
  <c r="BK146" i="10" s="1"/>
  <c r="ET146" i="10"/>
  <c r="BG146" i="10" s="1"/>
  <c r="CB146" i="10"/>
  <c r="EG146" i="10"/>
  <c r="AT146" i="10" s="1"/>
  <c r="EZ146" i="10"/>
  <c r="BM146" i="10" s="1"/>
  <c r="EV146" i="10"/>
  <c r="BI146" i="10" s="1"/>
  <c r="EE146" i="10"/>
  <c r="AR146" i="10" s="1"/>
  <c r="FE146" i="10"/>
  <c r="BR146" i="10" s="1"/>
  <c r="DT146" i="10"/>
  <c r="AG146" i="10" s="1"/>
  <c r="DL146" i="10"/>
  <c r="Y146" i="10" s="1"/>
  <c r="FG146" i="10"/>
  <c r="BT146" i="10" s="1"/>
  <c r="FK146" i="10"/>
  <c r="BX146" i="10" s="1"/>
  <c r="EA146" i="10"/>
  <c r="AN146" i="10" s="1"/>
  <c r="DY146" i="10"/>
  <c r="AL146" i="10" s="1"/>
  <c r="FB146" i="10"/>
  <c r="BO146" i="10" s="1"/>
  <c r="DJ146" i="10"/>
  <c r="W146" i="10" s="1"/>
  <c r="EH146" i="10"/>
  <c r="AU146" i="10" s="1"/>
  <c r="FD146" i="10"/>
  <c r="BQ146" i="10" s="1"/>
  <c r="EY146" i="10"/>
  <c r="BL146" i="10" s="1"/>
  <c r="DM146" i="10"/>
  <c r="Z146" i="10" s="1"/>
  <c r="ED146" i="10"/>
  <c r="AQ146" i="10" s="1"/>
  <c r="EO146" i="10"/>
  <c r="BB146" i="10" s="1"/>
  <c r="EI146" i="10"/>
  <c r="AV146" i="10" s="1"/>
  <c r="DV146" i="10"/>
  <c r="AI146" i="10" s="1"/>
  <c r="DR146" i="10"/>
  <c r="AE146" i="10" s="1"/>
  <c r="DX146" i="10"/>
  <c r="AK146" i="10" s="1"/>
  <c r="EC146" i="10"/>
  <c r="AP146" i="10" s="1"/>
  <c r="ER146" i="10"/>
  <c r="BE146" i="10" s="1"/>
  <c r="FJ146" i="10"/>
  <c r="BW146" i="10" s="1"/>
  <c r="EN146" i="10"/>
  <c r="BA146" i="10" s="1"/>
  <c r="EQ146" i="10"/>
  <c r="BD146" i="10" s="1"/>
  <c r="FF146" i="10"/>
  <c r="BS146" i="10" s="1"/>
  <c r="DQ146" i="10"/>
  <c r="AD146" i="10" s="1"/>
  <c r="DS146" i="10"/>
  <c r="AF146" i="10" s="1"/>
  <c r="EP146" i="10"/>
  <c r="BC146" i="10" s="1"/>
  <c r="DU146" i="10"/>
  <c r="AH146" i="10" s="1"/>
  <c r="FL146" i="10"/>
  <c r="BY146" i="10" s="1"/>
  <c r="EM146" i="10"/>
  <c r="AZ146" i="10" s="1"/>
  <c r="EL146" i="10"/>
  <c r="AY146" i="10" s="1"/>
  <c r="DW146" i="10"/>
  <c r="AJ146" i="10" s="1"/>
  <c r="DP146" i="10"/>
  <c r="AC146" i="10" s="1"/>
  <c r="FA146" i="10"/>
  <c r="BN146" i="10" s="1"/>
  <c r="ES146" i="10"/>
  <c r="BF146" i="10" s="1"/>
  <c r="DN146" i="10"/>
  <c r="AA146" i="10" s="1"/>
  <c r="FH146" i="10"/>
  <c r="BU146" i="10" s="1"/>
  <c r="FI146" i="10"/>
  <c r="BV146" i="10" s="1"/>
  <c r="DO146" i="10"/>
  <c r="AB146" i="10" s="1"/>
  <c r="FI94" i="10"/>
  <c r="BV94" i="10" s="1"/>
  <c r="FL94" i="10"/>
  <c r="BY94" i="10" s="1"/>
  <c r="EL94" i="10"/>
  <c r="AY94" i="10" s="1"/>
  <c r="EW94" i="10"/>
  <c r="BJ94" i="10" s="1"/>
  <c r="EN94" i="10"/>
  <c r="BA94" i="10" s="1"/>
  <c r="FG94" i="10"/>
  <c r="BT94" i="10" s="1"/>
  <c r="EK94" i="10"/>
  <c r="AX94" i="10" s="1"/>
  <c r="EG94" i="10"/>
  <c r="AT94" i="10" s="1"/>
  <c r="EI94" i="10"/>
  <c r="AV94" i="10" s="1"/>
  <c r="EY94" i="10"/>
  <c r="BL94" i="10" s="1"/>
  <c r="EJ94" i="10"/>
  <c r="AW94" i="10" s="1"/>
  <c r="FF94" i="10"/>
  <c r="BS94" i="10" s="1"/>
  <c r="FA94" i="10"/>
  <c r="BN94" i="10" s="1"/>
  <c r="ER94" i="10"/>
  <c r="BE94" i="10" s="1"/>
  <c r="ET94" i="10"/>
  <c r="BG94" i="10" s="1"/>
  <c r="EO94" i="10"/>
  <c r="BB94" i="10" s="1"/>
  <c r="EV94" i="10"/>
  <c r="BI94" i="10" s="1"/>
  <c r="EP94" i="10"/>
  <c r="BC94" i="10" s="1"/>
  <c r="FE94" i="10"/>
  <c r="BR94" i="10" s="1"/>
  <c r="EZ94" i="10"/>
  <c r="BM94" i="10" s="1"/>
  <c r="EH94" i="10"/>
  <c r="AU94" i="10" s="1"/>
  <c r="ES94" i="10"/>
  <c r="BF94" i="10" s="1"/>
  <c r="FD94" i="10"/>
  <c r="BQ94" i="10" s="1"/>
  <c r="EU94" i="10"/>
  <c r="BH94" i="10" s="1"/>
  <c r="FC94" i="10"/>
  <c r="BP94" i="10" s="1"/>
  <c r="EX94" i="10"/>
  <c r="BK94" i="10" s="1"/>
  <c r="FJ94" i="10"/>
  <c r="BW94" i="10" s="1"/>
  <c r="EQ94" i="10"/>
  <c r="BD94" i="10" s="1"/>
  <c r="FB94" i="10"/>
  <c r="BO94" i="10" s="1"/>
  <c r="EM94" i="10"/>
  <c r="AZ94" i="10" s="1"/>
  <c r="FH94" i="10"/>
  <c r="BU94" i="10" s="1"/>
  <c r="FK94" i="10"/>
  <c r="BX94" i="10" s="1"/>
  <c r="FK61" i="10"/>
  <c r="BX61" i="10" s="1"/>
  <c r="DU61" i="10"/>
  <c r="AH61" i="10" s="1"/>
  <c r="EA61" i="10"/>
  <c r="AN61" i="10" s="1"/>
  <c r="DV61" i="10"/>
  <c r="AI61" i="10" s="1"/>
  <c r="DM61" i="10"/>
  <c r="Z61" i="10" s="1"/>
  <c r="EH61" i="10"/>
  <c r="AU61" i="10" s="1"/>
  <c r="EJ61" i="10"/>
  <c r="AW61" i="10" s="1"/>
  <c r="EZ61" i="10"/>
  <c r="BM61" i="10" s="1"/>
  <c r="EY61" i="10"/>
  <c r="BL61" i="10" s="1"/>
  <c r="EN61" i="10"/>
  <c r="BA61" i="10" s="1"/>
  <c r="DT61" i="10"/>
  <c r="AG61" i="10" s="1"/>
  <c r="EQ61" i="10"/>
  <c r="BD61" i="10" s="1"/>
  <c r="DO61" i="10"/>
  <c r="AB61" i="10" s="1"/>
  <c r="CB61" i="10"/>
  <c r="DY61" i="10"/>
  <c r="AL61" i="10" s="1"/>
  <c r="EW61" i="10"/>
  <c r="BJ61" i="10" s="1"/>
  <c r="EO61" i="10"/>
  <c r="BB61" i="10" s="1"/>
  <c r="DQ61" i="10"/>
  <c r="AD61" i="10" s="1"/>
  <c r="FD61" i="10"/>
  <c r="BQ61" i="10" s="1"/>
  <c r="EM61" i="10"/>
  <c r="AZ61" i="10" s="1"/>
  <c r="DX61" i="10"/>
  <c r="AK61" i="10" s="1"/>
  <c r="EL61" i="10"/>
  <c r="AY61" i="10" s="1"/>
  <c r="FH61" i="10"/>
  <c r="BU61" i="10" s="1"/>
  <c r="FB61" i="10"/>
  <c r="BO61" i="10" s="1"/>
  <c r="FG61" i="10"/>
  <c r="BT61" i="10" s="1"/>
  <c r="DL61" i="10"/>
  <c r="Y61" i="10" s="1"/>
  <c r="FJ61" i="10"/>
  <c r="BW61" i="10" s="1"/>
  <c r="EX61" i="10"/>
  <c r="BK61" i="10" s="1"/>
  <c r="DW61" i="10"/>
  <c r="AJ61" i="10" s="1"/>
  <c r="DJ61" i="10"/>
  <c r="W61" i="10" s="1"/>
  <c r="ES61" i="10"/>
  <c r="BF61" i="10" s="1"/>
  <c r="FA61" i="10"/>
  <c r="BN61" i="10" s="1"/>
  <c r="DS61" i="10"/>
  <c r="AF61" i="10" s="1"/>
  <c r="EV61" i="10"/>
  <c r="BI61" i="10" s="1"/>
  <c r="DZ61" i="10"/>
  <c r="AM61" i="10" s="1"/>
  <c r="FL61" i="10"/>
  <c r="BY61" i="10" s="1"/>
  <c r="ET61" i="10"/>
  <c r="BG61" i="10" s="1"/>
  <c r="DK61" i="10"/>
  <c r="X61" i="10" s="1"/>
  <c r="FE61" i="10"/>
  <c r="BR61" i="10" s="1"/>
  <c r="ED61" i="10"/>
  <c r="AQ61" i="10" s="1"/>
  <c r="FI61" i="10"/>
  <c r="BV61" i="10" s="1"/>
  <c r="FF61" i="10"/>
  <c r="BS61" i="10" s="1"/>
  <c r="ER61" i="10"/>
  <c r="BE61" i="10" s="1"/>
  <c r="DR61" i="10"/>
  <c r="AE61" i="10" s="1"/>
  <c r="EG61" i="10"/>
  <c r="AT61" i="10" s="1"/>
  <c r="EK61" i="10"/>
  <c r="AX61" i="10" s="1"/>
  <c r="EE61" i="10"/>
  <c r="AR61" i="10" s="1"/>
  <c r="DP61" i="10"/>
  <c r="AC61" i="10" s="1"/>
  <c r="EU61" i="10"/>
  <c r="BH61" i="10" s="1"/>
  <c r="DN61" i="10"/>
  <c r="AA61" i="10" s="1"/>
  <c r="EP61" i="10"/>
  <c r="BC61" i="10" s="1"/>
  <c r="FC61" i="10"/>
  <c r="BP61" i="10" s="1"/>
  <c r="EI61" i="10"/>
  <c r="AV61" i="10" s="1"/>
  <c r="EC61" i="10"/>
  <c r="AP61" i="10" s="1"/>
  <c r="EB61" i="10"/>
  <c r="AO61" i="10" s="1"/>
  <c r="CN157" i="10"/>
  <c r="CO157" i="10" s="1"/>
  <c r="CE157" i="10" s="1"/>
  <c r="CN129" i="10"/>
  <c r="CO129" i="10" s="1"/>
  <c r="CE129" i="10" s="1"/>
  <c r="FK129" i="10" s="1"/>
  <c r="BX129" i="10" s="1"/>
  <c r="CN26" i="10"/>
  <c r="CO26" i="10" s="1"/>
  <c r="CE26" i="10" s="1"/>
  <c r="ER48" i="10"/>
  <c r="BE48" i="10" s="1"/>
  <c r="DP48" i="10"/>
  <c r="AC48" i="10" s="1"/>
  <c r="FL48" i="10"/>
  <c r="BY48" i="10" s="1"/>
  <c r="DO48" i="10"/>
  <c r="AB48" i="10" s="1"/>
  <c r="DR48" i="10"/>
  <c r="AE48" i="10" s="1"/>
  <c r="FF48" i="10"/>
  <c r="BS48" i="10" s="1"/>
  <c r="DS48" i="10"/>
  <c r="AF48" i="10" s="1"/>
  <c r="EY48" i="10"/>
  <c r="BL48" i="10" s="1"/>
  <c r="FB48" i="10"/>
  <c r="BO48" i="10" s="1"/>
  <c r="ES48" i="10"/>
  <c r="BF48" i="10" s="1"/>
  <c r="EQ48" i="10"/>
  <c r="BD48" i="10" s="1"/>
  <c r="DY48" i="10"/>
  <c r="AL48" i="10" s="1"/>
  <c r="DV48" i="10"/>
  <c r="AI48" i="10" s="1"/>
  <c r="EK48" i="10"/>
  <c r="AX48" i="10" s="1"/>
  <c r="FG48" i="10"/>
  <c r="BT48" i="10" s="1"/>
  <c r="DT48" i="10"/>
  <c r="AG48" i="10" s="1"/>
  <c r="ED48" i="10"/>
  <c r="AQ48" i="10" s="1"/>
  <c r="FA48" i="10"/>
  <c r="BN48" i="10" s="1"/>
  <c r="DQ48" i="10"/>
  <c r="AD48" i="10" s="1"/>
  <c r="FK48" i="10"/>
  <c r="BX48" i="10" s="1"/>
  <c r="EG48" i="10"/>
  <c r="AT48" i="10" s="1"/>
  <c r="DW48" i="10"/>
  <c r="AJ48" i="10" s="1"/>
  <c r="EJ48" i="10"/>
  <c r="AW48" i="10" s="1"/>
  <c r="EA48" i="10"/>
  <c r="AN48" i="10" s="1"/>
  <c r="FJ48" i="10"/>
  <c r="BW48" i="10" s="1"/>
  <c r="EB48" i="10"/>
  <c r="AO48" i="10" s="1"/>
  <c r="EL48" i="10"/>
  <c r="AY48" i="10" s="1"/>
  <c r="EC48" i="10"/>
  <c r="AP48" i="10" s="1"/>
  <c r="FE48" i="10"/>
  <c r="BR48" i="10" s="1"/>
  <c r="EH48" i="10"/>
  <c r="AU48" i="10" s="1"/>
  <c r="FH48" i="10"/>
  <c r="BU48" i="10" s="1"/>
  <c r="FI48" i="10"/>
  <c r="BV48" i="10" s="1"/>
  <c r="EP48" i="10"/>
  <c r="BC48" i="10" s="1"/>
  <c r="EM48" i="10"/>
  <c r="AZ48" i="10" s="1"/>
  <c r="DM48" i="10"/>
  <c r="Z48" i="10" s="1"/>
  <c r="DU48" i="10"/>
  <c r="AH48" i="10" s="1"/>
  <c r="FD48" i="10"/>
  <c r="BQ48" i="10" s="1"/>
  <c r="EU48" i="10"/>
  <c r="BH48" i="10" s="1"/>
  <c r="EO48" i="10"/>
  <c r="BB48" i="10" s="1"/>
  <c r="FC48" i="10"/>
  <c r="BP48" i="10" s="1"/>
  <c r="EZ48" i="10"/>
  <c r="BM48" i="10" s="1"/>
  <c r="EW48" i="10"/>
  <c r="BJ48" i="10" s="1"/>
  <c r="DZ48" i="10"/>
  <c r="AM48" i="10" s="1"/>
  <c r="DL48" i="10"/>
  <c r="Y48" i="10" s="1"/>
  <c r="EN48" i="10"/>
  <c r="BA48" i="10" s="1"/>
  <c r="ET48" i="10"/>
  <c r="BG48" i="10" s="1"/>
  <c r="CB48" i="10"/>
  <c r="EI48" i="10"/>
  <c r="AV48" i="10" s="1"/>
  <c r="DJ48" i="10"/>
  <c r="W48" i="10" s="1"/>
  <c r="DN48" i="10"/>
  <c r="AA48" i="10" s="1"/>
  <c r="EE48" i="10"/>
  <c r="AR48" i="10" s="1"/>
  <c r="EV48" i="10"/>
  <c r="BI48" i="10" s="1"/>
  <c r="EX48" i="10"/>
  <c r="BK48" i="10" s="1"/>
  <c r="DK48" i="10"/>
  <c r="X48" i="10" s="1"/>
  <c r="DX48" i="10"/>
  <c r="AK48" i="10" s="1"/>
  <c r="EM16" i="10"/>
  <c r="AZ16" i="10" s="1"/>
  <c r="ET16" i="10"/>
  <c r="BG16" i="10" s="1"/>
  <c r="FA16" i="10"/>
  <c r="BN16" i="10" s="1"/>
  <c r="EH16" i="10"/>
  <c r="AU16" i="10" s="1"/>
  <c r="FI16" i="10"/>
  <c r="BV16" i="10" s="1"/>
  <c r="FD16" i="10"/>
  <c r="BQ16" i="10" s="1"/>
  <c r="FB129" i="10"/>
  <c r="BO129" i="10" s="1"/>
  <c r="CN100" i="10"/>
  <c r="CO100" i="10" s="1"/>
  <c r="CE100" i="10" s="1"/>
  <c r="FG97" i="10"/>
  <c r="BT97" i="10" s="1"/>
  <c r="ER97" i="10"/>
  <c r="BE97" i="10" s="1"/>
  <c r="EK97" i="10"/>
  <c r="AX97" i="10" s="1"/>
  <c r="EQ97" i="10"/>
  <c r="BD97" i="10" s="1"/>
  <c r="EY97" i="10"/>
  <c r="BL97" i="10" s="1"/>
  <c r="EU97" i="10"/>
  <c r="BH97" i="10" s="1"/>
  <c r="EL97" i="10"/>
  <c r="AY97" i="10" s="1"/>
  <c r="FD97" i="10"/>
  <c r="BQ97" i="10" s="1"/>
  <c r="FE97" i="10"/>
  <c r="BR97" i="10" s="1"/>
  <c r="EV97" i="10"/>
  <c r="BI97" i="10" s="1"/>
  <c r="FB97" i="10"/>
  <c r="BO97" i="10" s="1"/>
  <c r="EG97" i="10"/>
  <c r="AT97" i="10" s="1"/>
  <c r="EJ97" i="10"/>
  <c r="AW97" i="10" s="1"/>
  <c r="EN97" i="10"/>
  <c r="BA97" i="10" s="1"/>
  <c r="FI97" i="10"/>
  <c r="BV97" i="10" s="1"/>
  <c r="EI97" i="10"/>
  <c r="AV97" i="10" s="1"/>
  <c r="EO97" i="10"/>
  <c r="BB97" i="10" s="1"/>
  <c r="ET97" i="10"/>
  <c r="BG97" i="10" s="1"/>
  <c r="FL97" i="10"/>
  <c r="BY97" i="10" s="1"/>
  <c r="FH97" i="10"/>
  <c r="BU97" i="10" s="1"/>
  <c r="EZ97" i="10"/>
  <c r="BM97" i="10" s="1"/>
  <c r="EH97" i="10"/>
  <c r="AU97" i="10" s="1"/>
  <c r="FA97" i="10"/>
  <c r="BN97" i="10" s="1"/>
  <c r="FJ97" i="10"/>
  <c r="BW97" i="10" s="1"/>
  <c r="EP97" i="10"/>
  <c r="BC97" i="10" s="1"/>
  <c r="FK97" i="10"/>
  <c r="BX97" i="10" s="1"/>
  <c r="EM97" i="10"/>
  <c r="AZ97" i="10" s="1"/>
  <c r="FF97" i="10"/>
  <c r="BS97" i="10" s="1"/>
  <c r="ES97" i="10"/>
  <c r="BF97" i="10" s="1"/>
  <c r="EX97" i="10"/>
  <c r="BK97" i="10" s="1"/>
  <c r="FC97" i="10"/>
  <c r="BP97" i="10" s="1"/>
  <c r="EW97" i="10"/>
  <c r="BJ97" i="10" s="1"/>
  <c r="FI242" i="10"/>
  <c r="FD242" i="10"/>
  <c r="EO242" i="10"/>
  <c r="EL242" i="10"/>
  <c r="EM242" i="10"/>
  <c r="EQ242" i="10"/>
  <c r="FE242" i="10"/>
  <c r="EG242" i="10"/>
  <c r="FB242" i="10"/>
  <c r="EX242" i="10"/>
  <c r="EU242" i="10"/>
  <c r="EP242" i="10"/>
  <c r="EN242" i="10"/>
  <c r="EK242" i="10"/>
  <c r="FF242" i="10"/>
  <c r="FC242" i="10"/>
  <c r="BP242" i="10"/>
  <c r="EW242" i="10"/>
  <c r="ET242" i="10"/>
  <c r="FH242" i="10"/>
  <c r="EH242" i="10"/>
  <c r="CB242" i="10"/>
  <c r="EY242" i="10"/>
  <c r="FA242" i="10"/>
  <c r="FG242" i="10"/>
  <c r="EZ242" i="10"/>
  <c r="FJ242" i="10"/>
  <c r="EV242" i="10"/>
  <c r="EJ242" i="10"/>
  <c r="FK242" i="10"/>
  <c r="FL242" i="10"/>
  <c r="ER242" i="10"/>
  <c r="EI242" i="10"/>
  <c r="ES242" i="10"/>
  <c r="FI71" i="10"/>
  <c r="BV71" i="10" s="1"/>
  <c r="EV71" i="10"/>
  <c r="BI71" i="10" s="1"/>
  <c r="DO71" i="10"/>
  <c r="AB71" i="10" s="1"/>
  <c r="EK71" i="10"/>
  <c r="AX71" i="10" s="1"/>
  <c r="DU71" i="10"/>
  <c r="AH71" i="10" s="1"/>
  <c r="EP71" i="10"/>
  <c r="BC71" i="10" s="1"/>
  <c r="EG71" i="10"/>
  <c r="AT71" i="10" s="1"/>
  <c r="EQ71" i="10"/>
  <c r="BD71" i="10" s="1"/>
  <c r="EA71" i="10"/>
  <c r="AN71" i="10" s="1"/>
  <c r="FD71" i="10"/>
  <c r="BQ71" i="10" s="1"/>
  <c r="ED71" i="10"/>
  <c r="AQ71" i="10" s="1"/>
  <c r="FB71" i="10"/>
  <c r="BO71" i="10" s="1"/>
  <c r="FA71" i="10"/>
  <c r="BN71" i="10" s="1"/>
  <c r="EX71" i="10"/>
  <c r="BK71" i="10" s="1"/>
  <c r="DP71" i="10"/>
  <c r="AC71" i="10" s="1"/>
  <c r="ET71" i="10"/>
  <c r="BG71" i="10" s="1"/>
  <c r="DN71" i="10"/>
  <c r="AA71" i="10" s="1"/>
  <c r="FK71" i="10"/>
  <c r="BX71" i="10" s="1"/>
  <c r="DS71" i="10"/>
  <c r="AF71" i="10" s="1"/>
  <c r="EN71" i="10"/>
  <c r="BA71" i="10" s="1"/>
  <c r="DW71" i="10"/>
  <c r="AJ71" i="10" s="1"/>
  <c r="FG71" i="10"/>
  <c r="BT71" i="10" s="1"/>
  <c r="DK71" i="10"/>
  <c r="X71" i="10" s="1"/>
  <c r="DJ71" i="10"/>
  <c r="W71" i="10" s="1"/>
  <c r="EJ71" i="10"/>
  <c r="AW71" i="10" s="1"/>
  <c r="EH71" i="10"/>
  <c r="AU71" i="10" s="1"/>
  <c r="ER71" i="10"/>
  <c r="BE71" i="10" s="1"/>
  <c r="DR71" i="10"/>
  <c r="AE71" i="10" s="1"/>
  <c r="EM71" i="10"/>
  <c r="AZ71" i="10" s="1"/>
  <c r="DX71" i="10"/>
  <c r="AK71" i="10" s="1"/>
  <c r="EB71" i="10"/>
  <c r="AO71" i="10" s="1"/>
  <c r="EZ71" i="10"/>
  <c r="BM71" i="10" s="1"/>
  <c r="FH71" i="10"/>
  <c r="BU71" i="10" s="1"/>
  <c r="FJ71" i="10"/>
  <c r="BW71" i="10" s="1"/>
  <c r="ES71" i="10"/>
  <c r="BF71" i="10" s="1"/>
  <c r="EU71" i="10"/>
  <c r="BH71" i="10" s="1"/>
  <c r="DY71" i="10"/>
  <c r="AL71" i="10" s="1"/>
  <c r="DQ71" i="10"/>
  <c r="AD71" i="10" s="1"/>
  <c r="EL71" i="10"/>
  <c r="AY71" i="10" s="1"/>
  <c r="EI71" i="10"/>
  <c r="AV71" i="10" s="1"/>
  <c r="DM71" i="10"/>
  <c r="Z71" i="10" s="1"/>
  <c r="DV71" i="10"/>
  <c r="AI71" i="10" s="1"/>
  <c r="DZ71" i="10"/>
  <c r="AM71" i="10" s="1"/>
  <c r="EC71" i="10"/>
  <c r="AP71" i="10" s="1"/>
  <c r="EY71" i="10"/>
  <c r="BL71" i="10" s="1"/>
  <c r="DL71" i="10"/>
  <c r="Y71" i="10" s="1"/>
  <c r="EO71" i="10"/>
  <c r="BB71" i="10" s="1"/>
  <c r="FC71" i="10"/>
  <c r="BP71" i="10" s="1"/>
  <c r="FE71" i="10"/>
  <c r="BR71" i="10" s="1"/>
  <c r="EW71" i="10"/>
  <c r="BJ71" i="10" s="1"/>
  <c r="DT71" i="10"/>
  <c r="AG71" i="10" s="1"/>
  <c r="EE71" i="10"/>
  <c r="AR71" i="10" s="1"/>
  <c r="CB71" i="10"/>
  <c r="FL71" i="10"/>
  <c r="BY71" i="10" s="1"/>
  <c r="FF71" i="10"/>
  <c r="BS71" i="10" s="1"/>
  <c r="FL100" i="10"/>
  <c r="BY100" i="10" s="1"/>
  <c r="EH100" i="10"/>
  <c r="AU100" i="10" s="1"/>
  <c r="EO100" i="10"/>
  <c r="BB100" i="10" s="1"/>
  <c r="EX100" i="10"/>
  <c r="BK100" i="10" s="1"/>
  <c r="EK100" i="10"/>
  <c r="AX100" i="10" s="1"/>
  <c r="FH100" i="10"/>
  <c r="BU100" i="10" s="1"/>
  <c r="EY100" i="10"/>
  <c r="BL100" i="10" s="1"/>
  <c r="FF100" i="10"/>
  <c r="BS100" i="10" s="1"/>
  <c r="FI100" i="10"/>
  <c r="BV100" i="10" s="1"/>
  <c r="EJ100" i="10"/>
  <c r="AW100" i="10" s="1"/>
  <c r="EI100" i="10"/>
  <c r="AV100" i="10" s="1"/>
  <c r="EN100" i="10"/>
  <c r="BA100" i="10" s="1"/>
  <c r="FJ100" i="10"/>
  <c r="BW100" i="10" s="1"/>
  <c r="ES100" i="10"/>
  <c r="BF100" i="10" s="1"/>
  <c r="FC100" i="10"/>
  <c r="BP100" i="10" s="1"/>
  <c r="EQ100" i="10"/>
  <c r="BD100" i="10" s="1"/>
  <c r="EL100" i="10"/>
  <c r="AY100" i="10" s="1"/>
  <c r="EG100" i="10"/>
  <c r="AT100" i="10" s="1"/>
  <c r="EW100" i="10"/>
  <c r="BJ100" i="10" s="1"/>
  <c r="FK100" i="10"/>
  <c r="BX100" i="10" s="1"/>
  <c r="EU100" i="10"/>
  <c r="BH100" i="10" s="1"/>
  <c r="FE100" i="10"/>
  <c r="BR100" i="10" s="1"/>
  <c r="EP100" i="10"/>
  <c r="BC100" i="10" s="1"/>
  <c r="EV100" i="10"/>
  <c r="BI100" i="10" s="1"/>
  <c r="FG100" i="10"/>
  <c r="BT100" i="10" s="1"/>
  <c r="ET100" i="10"/>
  <c r="BG100" i="10" s="1"/>
  <c r="EM100" i="10"/>
  <c r="AZ100" i="10" s="1"/>
  <c r="FB100" i="10"/>
  <c r="BO100" i="10" s="1"/>
  <c r="ER100" i="10"/>
  <c r="BE100" i="10" s="1"/>
  <c r="FD100" i="10"/>
  <c r="BQ100" i="10" s="1"/>
  <c r="EZ100" i="10"/>
  <c r="BM100" i="10" s="1"/>
  <c r="FA100" i="10"/>
  <c r="BN100" i="10" s="1"/>
  <c r="ES16" i="10"/>
  <c r="BF16" i="10" s="1"/>
  <c r="FL16" i="10"/>
  <c r="BY16" i="10" s="1"/>
  <c r="EN16" i="10"/>
  <c r="BA16" i="10" s="1"/>
  <c r="EJ16" i="10"/>
  <c r="AW16" i="10" s="1"/>
  <c r="EO16" i="10"/>
  <c r="BB16" i="10" s="1"/>
  <c r="EY16" i="10"/>
  <c r="BL16" i="10" s="1"/>
  <c r="EG16" i="10"/>
  <c r="AT16" i="10" s="1"/>
  <c r="CN64" i="10"/>
  <c r="CO64" i="10" s="1"/>
  <c r="CE64" i="10" s="1"/>
  <c r="EW64" i="10" s="1"/>
  <c r="BJ64" i="10" s="1"/>
  <c r="FL240" i="10"/>
  <c r="EK240" i="10"/>
  <c r="EL240" i="10"/>
  <c r="EP240" i="10"/>
  <c r="FI240" i="10"/>
  <c r="EH240" i="10"/>
  <c r="FG240" i="10"/>
  <c r="ET240" i="10"/>
  <c r="BP240" i="10"/>
  <c r="FJ240" i="10"/>
  <c r="EI240" i="10"/>
  <c r="FK240" i="10"/>
  <c r="EO240" i="10"/>
  <c r="EZ240" i="10"/>
  <c r="FH240" i="10"/>
  <c r="EY240" i="10"/>
  <c r="FA240" i="10"/>
  <c r="EG240" i="10"/>
  <c r="EN240" i="10"/>
  <c r="FC240" i="10"/>
  <c r="EM240" i="10"/>
  <c r="EV240" i="10"/>
  <c r="EX240" i="10"/>
  <c r="EJ240" i="10"/>
  <c r="FB240" i="10"/>
  <c r="CB240" i="10"/>
  <c r="EW240" i="10"/>
  <c r="EQ240" i="10"/>
  <c r="ER240" i="10"/>
  <c r="FD240" i="10"/>
  <c r="ES240" i="10"/>
  <c r="FF240" i="10"/>
  <c r="EU240" i="10"/>
  <c r="FE240" i="10"/>
  <c r="EU27" i="10"/>
  <c r="BH27" i="10" s="1"/>
  <c r="ER27" i="10"/>
  <c r="BE27" i="10" s="1"/>
  <c r="FG27" i="10"/>
  <c r="BT27" i="10" s="1"/>
  <c r="EJ27" i="10"/>
  <c r="AW27" i="10" s="1"/>
  <c r="EQ27" i="10"/>
  <c r="BD27" i="10" s="1"/>
  <c r="FD27" i="10"/>
  <c r="BQ27" i="10" s="1"/>
  <c r="EX27" i="10"/>
  <c r="BK27" i="10" s="1"/>
  <c r="EH27" i="10"/>
  <c r="AU27" i="10" s="1"/>
  <c r="EK27" i="10"/>
  <c r="AX27" i="10" s="1"/>
  <c r="EI27" i="10"/>
  <c r="AV27" i="10" s="1"/>
  <c r="FL27" i="10"/>
  <c r="BY27" i="10" s="1"/>
  <c r="EL27" i="10"/>
  <c r="AY27" i="10" s="1"/>
  <c r="EO27" i="10"/>
  <c r="BB27" i="10" s="1"/>
  <c r="FJ27" i="10"/>
  <c r="BW27" i="10" s="1"/>
  <c r="FF27" i="10"/>
  <c r="BS27" i="10" s="1"/>
  <c r="EW27" i="10"/>
  <c r="BJ27" i="10" s="1"/>
  <c r="FA27" i="10"/>
  <c r="BN27" i="10" s="1"/>
  <c r="ES27" i="10"/>
  <c r="BF27" i="10" s="1"/>
  <c r="EM27" i="10"/>
  <c r="AZ27" i="10" s="1"/>
  <c r="FH27" i="10"/>
  <c r="BU27" i="10" s="1"/>
  <c r="FI27" i="10"/>
  <c r="BV27" i="10" s="1"/>
  <c r="EN27" i="10"/>
  <c r="BA27" i="10" s="1"/>
  <c r="FK27" i="10"/>
  <c r="BX27" i="10" s="1"/>
  <c r="EZ27" i="10"/>
  <c r="BM27" i="10" s="1"/>
  <c r="ET27" i="10"/>
  <c r="BG27" i="10" s="1"/>
  <c r="EV27" i="10"/>
  <c r="BI27" i="10" s="1"/>
  <c r="EG27" i="10"/>
  <c r="AT27" i="10" s="1"/>
  <c r="FE27" i="10"/>
  <c r="BR27" i="10" s="1"/>
  <c r="FB27" i="10"/>
  <c r="BO27" i="10" s="1"/>
  <c r="EP27" i="10"/>
  <c r="BC27" i="10" s="1"/>
  <c r="FC27" i="10"/>
  <c r="BP27" i="10" s="1"/>
  <c r="EY27" i="10"/>
  <c r="BL27" i="10" s="1"/>
  <c r="ES129" i="10"/>
  <c r="BF129" i="10" s="1"/>
  <c r="DN129" i="10"/>
  <c r="AA129" i="10" s="1"/>
  <c r="CN82" i="10"/>
  <c r="CO82" i="10" s="1"/>
  <c r="CE82" i="10" s="1"/>
  <c r="EX129" i="10"/>
  <c r="BK129" i="10" s="1"/>
  <c r="DL129" i="10"/>
  <c r="Y129" i="10" s="1"/>
  <c r="CB129" i="10"/>
  <c r="DT129" i="10"/>
  <c r="AG129" i="10" s="1"/>
  <c r="EG129" i="10"/>
  <c r="AT129" i="10" s="1"/>
  <c r="CN124" i="10"/>
  <c r="CO124" i="10" s="1"/>
  <c r="CE124" i="10" s="1"/>
  <c r="ED129" i="10"/>
  <c r="AQ129" i="10" s="1"/>
  <c r="EW129" i="10"/>
  <c r="BJ129" i="10" s="1"/>
  <c r="FF129" i="10"/>
  <c r="BS129" i="10" s="1"/>
  <c r="FD129" i="10"/>
  <c r="BQ129" i="10" s="1"/>
  <c r="DO129" i="10"/>
  <c r="AB129" i="10" s="1"/>
  <c r="DM129" i="10"/>
  <c r="Z129" i="10" s="1"/>
  <c r="EG229" i="10"/>
  <c r="ES229" i="10"/>
  <c r="FD229" i="10"/>
  <c r="EQ229" i="10"/>
  <c r="BP229" i="10"/>
  <c r="FJ229" i="10"/>
  <c r="EJ229" i="10"/>
  <c r="EP229" i="10"/>
  <c r="EL229" i="10"/>
  <c r="FC229" i="10"/>
  <c r="CB229" i="10"/>
  <c r="EU229" i="10"/>
  <c r="FK229" i="10"/>
  <c r="EK229" i="10"/>
  <c r="EO229" i="10"/>
  <c r="EZ229" i="10"/>
  <c r="FG229" i="10"/>
  <c r="FF229" i="10"/>
  <c r="EW229" i="10"/>
  <c r="FA229" i="10"/>
  <c r="EM229" i="10"/>
  <c r="EN229" i="10"/>
  <c r="FL229" i="10"/>
  <c r="FI229" i="10"/>
  <c r="EY229" i="10"/>
  <c r="FE229" i="10"/>
  <c r="ET229" i="10"/>
  <c r="FB229" i="10"/>
  <c r="EX229" i="10"/>
  <c r="EV229" i="10"/>
  <c r="ER229" i="10"/>
  <c r="FH229" i="10"/>
  <c r="EH229" i="10"/>
  <c r="EI229" i="10"/>
  <c r="FK237" i="10"/>
  <c r="EI237" i="10"/>
  <c r="FF237" i="10"/>
  <c r="FI237" i="10"/>
  <c r="EG237" i="10"/>
  <c r="CB237" i="10"/>
  <c r="ES237" i="10"/>
  <c r="ET237" i="10"/>
  <c r="FG237" i="10"/>
  <c r="EO237" i="10"/>
  <c r="EP237" i="10"/>
  <c r="FB237" i="10"/>
  <c r="FJ237" i="10"/>
  <c r="EV237" i="10"/>
  <c r="FE237" i="10"/>
  <c r="FA237" i="10"/>
  <c r="EU237" i="10"/>
  <c r="EQ237" i="10"/>
  <c r="EH237" i="10"/>
  <c r="EN237" i="10"/>
  <c r="EJ237" i="10"/>
  <c r="EZ237" i="10"/>
  <c r="FD237" i="10"/>
  <c r="EL237" i="10"/>
  <c r="FC237" i="10"/>
  <c r="EX237" i="10"/>
  <c r="BP237" i="10"/>
  <c r="EW237" i="10"/>
  <c r="EK237" i="10"/>
  <c r="EM237" i="10"/>
  <c r="EY237" i="10"/>
  <c r="FH237" i="10"/>
  <c r="ER237" i="10"/>
  <c r="FL237" i="10"/>
  <c r="DU76" i="10"/>
  <c r="AH76" i="10" s="1"/>
  <c r="FC76" i="10"/>
  <c r="BP76" i="10" s="1"/>
  <c r="FI76" i="10"/>
  <c r="BV76" i="10" s="1"/>
  <c r="EM76" i="10"/>
  <c r="AZ76" i="10" s="1"/>
  <c r="EC76" i="10"/>
  <c r="AP76" i="10" s="1"/>
  <c r="DQ76" i="10"/>
  <c r="AD76" i="10" s="1"/>
  <c r="EL76" i="10"/>
  <c r="AY76" i="10" s="1"/>
  <c r="DZ76" i="10"/>
  <c r="AM76" i="10" s="1"/>
  <c r="EE76" i="10"/>
  <c r="AR76" i="10" s="1"/>
  <c r="EG76" i="10"/>
  <c r="AT76" i="10" s="1"/>
  <c r="ER76" i="10"/>
  <c r="BE76" i="10" s="1"/>
  <c r="FA76" i="10"/>
  <c r="BN76" i="10" s="1"/>
  <c r="ET76" i="10"/>
  <c r="BG76" i="10" s="1"/>
  <c r="DL76" i="10"/>
  <c r="Y76" i="10" s="1"/>
  <c r="FB76" i="10"/>
  <c r="BO76" i="10" s="1"/>
  <c r="EN76" i="10"/>
  <c r="BA76" i="10" s="1"/>
  <c r="DV76" i="10"/>
  <c r="AI76" i="10" s="1"/>
  <c r="FL76" i="10"/>
  <c r="BY76" i="10" s="1"/>
  <c r="DN76" i="10"/>
  <c r="AA76" i="10" s="1"/>
  <c r="DP76" i="10"/>
  <c r="AC76" i="10" s="1"/>
  <c r="EV76" i="10"/>
  <c r="BI76" i="10" s="1"/>
  <c r="DT76" i="10"/>
  <c r="AG76" i="10" s="1"/>
  <c r="EJ76" i="10"/>
  <c r="AW76" i="10" s="1"/>
  <c r="EP76" i="10"/>
  <c r="BC76" i="10" s="1"/>
  <c r="FJ76" i="10"/>
  <c r="BW76" i="10" s="1"/>
  <c r="EY76" i="10"/>
  <c r="BL76" i="10" s="1"/>
  <c r="ED76" i="10"/>
  <c r="AQ76" i="10" s="1"/>
  <c r="EU76" i="10"/>
  <c r="BH76" i="10" s="1"/>
  <c r="EB76" i="10"/>
  <c r="AO76" i="10" s="1"/>
  <c r="EH76" i="10"/>
  <c r="AU76" i="10" s="1"/>
  <c r="FG76" i="10"/>
  <c r="BT76" i="10" s="1"/>
  <c r="EK76" i="10"/>
  <c r="AX76" i="10" s="1"/>
  <c r="EO76" i="10"/>
  <c r="BB76" i="10" s="1"/>
  <c r="DY76" i="10"/>
  <c r="AL76" i="10" s="1"/>
  <c r="FE76" i="10"/>
  <c r="BR76" i="10" s="1"/>
  <c r="CB76" i="10"/>
  <c r="ES76" i="10"/>
  <c r="BF76" i="10" s="1"/>
  <c r="DJ76" i="10"/>
  <c r="W76" i="10" s="1"/>
  <c r="EZ76" i="10"/>
  <c r="BM76" i="10" s="1"/>
  <c r="DO76" i="10"/>
  <c r="AB76" i="10" s="1"/>
  <c r="DR76" i="10"/>
  <c r="AE76" i="10" s="1"/>
  <c r="DX76" i="10"/>
  <c r="AK76" i="10" s="1"/>
  <c r="DS76" i="10"/>
  <c r="AF76" i="10" s="1"/>
  <c r="EX76" i="10"/>
  <c r="BK76" i="10" s="1"/>
  <c r="FF76" i="10"/>
  <c r="BS76" i="10" s="1"/>
  <c r="EQ76" i="10"/>
  <c r="BD76" i="10" s="1"/>
  <c r="EW76" i="10"/>
  <c r="BJ76" i="10" s="1"/>
  <c r="DW76" i="10"/>
  <c r="AJ76" i="10" s="1"/>
  <c r="EI76" i="10"/>
  <c r="AV76" i="10" s="1"/>
  <c r="DM76" i="10"/>
  <c r="Z76" i="10" s="1"/>
  <c r="EA76" i="10"/>
  <c r="AN76" i="10" s="1"/>
  <c r="FD76" i="10"/>
  <c r="BQ76" i="10" s="1"/>
  <c r="FH76" i="10"/>
  <c r="BU76" i="10" s="1"/>
  <c r="FK76" i="10"/>
  <c r="BX76" i="10" s="1"/>
  <c r="DK76" i="10"/>
  <c r="X76" i="10" s="1"/>
  <c r="DW129" i="10"/>
  <c r="AJ129" i="10" s="1"/>
  <c r="EA129" i="10"/>
  <c r="AN129" i="10" s="1"/>
  <c r="EH129" i="10"/>
  <c r="AU129" i="10" s="1"/>
  <c r="EZ129" i="10"/>
  <c r="BM129" i="10" s="1"/>
  <c r="EC129" i="10"/>
  <c r="AP129" i="10" s="1"/>
  <c r="FH129" i="10"/>
  <c r="BU129" i="10" s="1"/>
  <c r="CN111" i="10"/>
  <c r="CO111" i="10" s="1"/>
  <c r="CE111" i="10" s="1"/>
  <c r="CC231" i="10"/>
  <c r="EY231" i="10" s="1"/>
  <c r="CN68" i="10"/>
  <c r="CO68" i="10" s="1"/>
  <c r="CE68" i="10" s="1"/>
  <c r="AJ189" i="14"/>
  <c r="AI189" i="14"/>
  <c r="DV150" i="10"/>
  <c r="AI150" i="10" s="1"/>
  <c r="DL150" i="10"/>
  <c r="Y150" i="10" s="1"/>
  <c r="EJ150" i="10"/>
  <c r="AW150" i="10" s="1"/>
  <c r="DT150" i="10"/>
  <c r="AG150" i="10" s="1"/>
  <c r="FG150" i="10"/>
  <c r="BT150" i="10" s="1"/>
  <c r="DK150" i="10"/>
  <c r="X150" i="10" s="1"/>
  <c r="ER150" i="10"/>
  <c r="BE150" i="10" s="1"/>
  <c r="EQ150" i="10"/>
  <c r="BD150" i="10" s="1"/>
  <c r="EI150" i="10"/>
  <c r="AV150" i="10" s="1"/>
  <c r="DS150" i="10"/>
  <c r="AF150" i="10" s="1"/>
  <c r="ED150" i="10"/>
  <c r="AQ150" i="10" s="1"/>
  <c r="FJ150" i="10"/>
  <c r="BW150" i="10" s="1"/>
  <c r="EP150" i="10"/>
  <c r="BC150" i="10" s="1"/>
  <c r="DW150" i="10"/>
  <c r="AJ150" i="10" s="1"/>
  <c r="DN150" i="10"/>
  <c r="AA150" i="10" s="1"/>
  <c r="DY150" i="10"/>
  <c r="AL150" i="10" s="1"/>
  <c r="FF150" i="10"/>
  <c r="BS150" i="10" s="1"/>
  <c r="EH150" i="10"/>
  <c r="AU150" i="10" s="1"/>
  <c r="EV150" i="10"/>
  <c r="BI150" i="10" s="1"/>
  <c r="DO150" i="10"/>
  <c r="AB150" i="10" s="1"/>
  <c r="DR150" i="10"/>
  <c r="AE150" i="10" s="1"/>
  <c r="DX150" i="10"/>
  <c r="AK150" i="10" s="1"/>
  <c r="DQ150" i="10"/>
  <c r="AD150" i="10" s="1"/>
  <c r="EM150" i="10"/>
  <c r="AZ150" i="10" s="1"/>
  <c r="EC150" i="10"/>
  <c r="AP150" i="10" s="1"/>
  <c r="CB150" i="10"/>
  <c r="EW150" i="10"/>
  <c r="BJ150" i="10" s="1"/>
  <c r="DJ150" i="10"/>
  <c r="W150" i="10" s="1"/>
  <c r="DZ150" i="10"/>
  <c r="AM150" i="10" s="1"/>
  <c r="FE150" i="10"/>
  <c r="BR150" i="10" s="1"/>
  <c r="EA150" i="10"/>
  <c r="AN150" i="10" s="1"/>
  <c r="FL150" i="10"/>
  <c r="BY150" i="10" s="1"/>
  <c r="ET150" i="10"/>
  <c r="BG150" i="10" s="1"/>
  <c r="EZ150" i="10"/>
  <c r="BM150" i="10" s="1"/>
  <c r="FD150" i="10"/>
  <c r="BQ150" i="10" s="1"/>
  <c r="FI150" i="10"/>
  <c r="BV150" i="10" s="1"/>
  <c r="EY150" i="10"/>
  <c r="BL150" i="10" s="1"/>
  <c r="FB150" i="10"/>
  <c r="BO150" i="10" s="1"/>
  <c r="EB150" i="10"/>
  <c r="AO150" i="10" s="1"/>
  <c r="DP150" i="10"/>
  <c r="AC150" i="10" s="1"/>
  <c r="FK150" i="10"/>
  <c r="BX150" i="10" s="1"/>
  <c r="ES150" i="10"/>
  <c r="BF150" i="10" s="1"/>
  <c r="FH150" i="10"/>
  <c r="BU150" i="10" s="1"/>
  <c r="DM150" i="10"/>
  <c r="Z150" i="10" s="1"/>
  <c r="EK150" i="10"/>
  <c r="AX150" i="10" s="1"/>
  <c r="EX150" i="10"/>
  <c r="BK150" i="10" s="1"/>
  <c r="EU150" i="10"/>
  <c r="BH150" i="10" s="1"/>
  <c r="EN150" i="10"/>
  <c r="BA150" i="10" s="1"/>
  <c r="DU150" i="10"/>
  <c r="AH150" i="10" s="1"/>
  <c r="EG150" i="10"/>
  <c r="AT150" i="10" s="1"/>
  <c r="FC150" i="10"/>
  <c r="BP150" i="10" s="1"/>
  <c r="EL150" i="10"/>
  <c r="AY150" i="10" s="1"/>
  <c r="EE150" i="10"/>
  <c r="AR150" i="10" s="1"/>
  <c r="EO150" i="10"/>
  <c r="BB150" i="10" s="1"/>
  <c r="FA150" i="10"/>
  <c r="BN150" i="10" s="1"/>
  <c r="DX114" i="10"/>
  <c r="AK114" i="10" s="1"/>
  <c r="EO114" i="10"/>
  <c r="BB114" i="10" s="1"/>
  <c r="DN114" i="10"/>
  <c r="AA114" i="10" s="1"/>
  <c r="DR114" i="10"/>
  <c r="AE114" i="10" s="1"/>
  <c r="ER114" i="10"/>
  <c r="BE114" i="10" s="1"/>
  <c r="DU114" i="10"/>
  <c r="AH114" i="10" s="1"/>
  <c r="EK114" i="10"/>
  <c r="AX114" i="10" s="1"/>
  <c r="DV114" i="10"/>
  <c r="AI114" i="10" s="1"/>
  <c r="EI114" i="10"/>
  <c r="AV114" i="10" s="1"/>
  <c r="EG114" i="10"/>
  <c r="AT114" i="10" s="1"/>
  <c r="EY114" i="10"/>
  <c r="BL114" i="10" s="1"/>
  <c r="DZ114" i="10"/>
  <c r="AM114" i="10" s="1"/>
  <c r="EC114" i="10"/>
  <c r="AP114" i="10" s="1"/>
  <c r="FD114" i="10"/>
  <c r="BQ114" i="10" s="1"/>
  <c r="EW114" i="10"/>
  <c r="BJ114" i="10" s="1"/>
  <c r="DJ114" i="10"/>
  <c r="W114" i="10" s="1"/>
  <c r="FH114" i="10"/>
  <c r="BU114" i="10" s="1"/>
  <c r="FJ114" i="10"/>
  <c r="BW114" i="10" s="1"/>
  <c r="EN114" i="10"/>
  <c r="BA114" i="10" s="1"/>
  <c r="CB114" i="10"/>
  <c r="FB114" i="10"/>
  <c r="BO114" i="10" s="1"/>
  <c r="DL114" i="10"/>
  <c r="Y114" i="10" s="1"/>
  <c r="EQ114" i="10"/>
  <c r="BD114" i="10" s="1"/>
  <c r="FC114" i="10"/>
  <c r="BP114" i="10" s="1"/>
  <c r="DY114" i="10"/>
  <c r="AL114" i="10" s="1"/>
  <c r="EH114" i="10"/>
  <c r="AU114" i="10" s="1"/>
  <c r="FI114" i="10"/>
  <c r="BV114" i="10" s="1"/>
  <c r="DS114" i="10"/>
  <c r="AF114" i="10" s="1"/>
  <c r="EM114" i="10"/>
  <c r="AZ114" i="10" s="1"/>
  <c r="EZ114" i="10"/>
  <c r="BM114" i="10" s="1"/>
  <c r="DP114" i="10"/>
  <c r="AC114" i="10" s="1"/>
  <c r="EE114" i="10"/>
  <c r="AR114" i="10" s="1"/>
  <c r="ED114" i="10"/>
  <c r="AQ114" i="10" s="1"/>
  <c r="DK114" i="10"/>
  <c r="X114" i="10" s="1"/>
  <c r="DO114" i="10"/>
  <c r="AB114" i="10" s="1"/>
  <c r="EL114" i="10"/>
  <c r="AY114" i="10" s="1"/>
  <c r="EV114" i="10"/>
  <c r="BI114" i="10" s="1"/>
  <c r="DT114" i="10"/>
  <c r="AG114" i="10" s="1"/>
  <c r="EA114" i="10"/>
  <c r="AN114" i="10" s="1"/>
  <c r="DM114" i="10"/>
  <c r="Z114" i="10" s="1"/>
  <c r="EU114" i="10"/>
  <c r="BH114" i="10" s="1"/>
  <c r="ES114" i="10"/>
  <c r="BF114" i="10" s="1"/>
  <c r="FE114" i="10"/>
  <c r="BR114" i="10" s="1"/>
  <c r="FA114" i="10"/>
  <c r="BN114" i="10" s="1"/>
  <c r="EJ114" i="10"/>
  <c r="AW114" i="10" s="1"/>
  <c r="EB114" i="10"/>
  <c r="AO114" i="10" s="1"/>
  <c r="FK114" i="10"/>
  <c r="BX114" i="10" s="1"/>
  <c r="EP114" i="10"/>
  <c r="BC114" i="10" s="1"/>
  <c r="FG114" i="10"/>
  <c r="BT114" i="10" s="1"/>
  <c r="FL114" i="10"/>
  <c r="BY114" i="10" s="1"/>
  <c r="FF114" i="10"/>
  <c r="BS114" i="10" s="1"/>
  <c r="DW114" i="10"/>
  <c r="AJ114" i="10" s="1"/>
  <c r="DQ114" i="10"/>
  <c r="AD114" i="10" s="1"/>
  <c r="ET114" i="10"/>
  <c r="BG114" i="10" s="1"/>
  <c r="EX114" i="10"/>
  <c r="BK114" i="10" s="1"/>
  <c r="ER85" i="10"/>
  <c r="BE85" i="10" s="1"/>
  <c r="FA85" i="10"/>
  <c r="BN85" i="10" s="1"/>
  <c r="FB85" i="10"/>
  <c r="BO85" i="10" s="1"/>
  <c r="EI85" i="10"/>
  <c r="AV85" i="10" s="1"/>
  <c r="EL85" i="10"/>
  <c r="AY85" i="10" s="1"/>
  <c r="EP85" i="10"/>
  <c r="BC85" i="10" s="1"/>
  <c r="FI85" i="10"/>
  <c r="BV85" i="10" s="1"/>
  <c r="EK85" i="10"/>
  <c r="AX85" i="10" s="1"/>
  <c r="FG85" i="10"/>
  <c r="BT85" i="10" s="1"/>
  <c r="FJ85" i="10"/>
  <c r="BW85" i="10" s="1"/>
  <c r="ES85" i="10"/>
  <c r="BF85" i="10" s="1"/>
  <c r="EW85" i="10"/>
  <c r="BJ85" i="10" s="1"/>
  <c r="EZ85" i="10"/>
  <c r="BM85" i="10" s="1"/>
  <c r="FL85" i="10"/>
  <c r="BY85" i="10" s="1"/>
  <c r="FE85" i="10"/>
  <c r="BR85" i="10" s="1"/>
  <c r="EH85" i="10"/>
  <c r="AU85" i="10" s="1"/>
  <c r="EU85" i="10"/>
  <c r="BH85" i="10" s="1"/>
  <c r="EV85" i="10"/>
  <c r="BI85" i="10" s="1"/>
  <c r="FF85" i="10"/>
  <c r="BS85" i="10" s="1"/>
  <c r="EQ85" i="10"/>
  <c r="BD85" i="10" s="1"/>
  <c r="EY85" i="10"/>
  <c r="BL85" i="10" s="1"/>
  <c r="EM85" i="10"/>
  <c r="AZ85" i="10" s="1"/>
  <c r="FK85" i="10"/>
  <c r="BX85" i="10" s="1"/>
  <c r="EG85" i="10"/>
  <c r="AT85" i="10" s="1"/>
  <c r="EX85" i="10"/>
  <c r="BK85" i="10" s="1"/>
  <c r="FH85" i="10"/>
  <c r="BU85" i="10" s="1"/>
  <c r="FD85" i="10"/>
  <c r="BQ85" i="10" s="1"/>
  <c r="EN85" i="10"/>
  <c r="BA85" i="10" s="1"/>
  <c r="EO85" i="10"/>
  <c r="BB85" i="10" s="1"/>
  <c r="EJ85" i="10"/>
  <c r="AW85" i="10" s="1"/>
  <c r="FC85" i="10"/>
  <c r="BP85" i="10" s="1"/>
  <c r="ET85" i="10"/>
  <c r="BG85" i="10" s="1"/>
  <c r="FC124" i="10"/>
  <c r="BP124" i="10" s="1"/>
  <c r="EG124" i="10"/>
  <c r="AT124" i="10" s="1"/>
  <c r="FF124" i="10"/>
  <c r="BS124" i="10" s="1"/>
  <c r="DO124" i="10"/>
  <c r="AB124" i="10" s="1"/>
  <c r="FL124" i="10"/>
  <c r="BY124" i="10" s="1"/>
  <c r="DZ124" i="10"/>
  <c r="AM124" i="10" s="1"/>
  <c r="EM124" i="10"/>
  <c r="AZ124" i="10" s="1"/>
  <c r="DR124" i="10"/>
  <c r="AE124" i="10" s="1"/>
  <c r="EW124" i="10"/>
  <c r="BJ124" i="10" s="1"/>
  <c r="DK124" i="10"/>
  <c r="X124" i="10" s="1"/>
  <c r="EJ124" i="10"/>
  <c r="AW124" i="10" s="1"/>
  <c r="FE124" i="10"/>
  <c r="BR124" i="10" s="1"/>
  <c r="EX124" i="10"/>
  <c r="BK124" i="10" s="1"/>
  <c r="ED124" i="10"/>
  <c r="AQ124" i="10" s="1"/>
  <c r="FD124" i="10"/>
  <c r="BQ124" i="10" s="1"/>
  <c r="EN124" i="10"/>
  <c r="BA124" i="10" s="1"/>
  <c r="EV124" i="10"/>
  <c r="BI124" i="10" s="1"/>
  <c r="EA124" i="10"/>
  <c r="AN124" i="10" s="1"/>
  <c r="FG124" i="10"/>
  <c r="BT124" i="10" s="1"/>
  <c r="EZ124" i="10"/>
  <c r="BM124" i="10" s="1"/>
  <c r="DN124" i="10"/>
  <c r="AA124" i="10" s="1"/>
  <c r="FK124" i="10"/>
  <c r="BX124" i="10" s="1"/>
  <c r="EK124" i="10"/>
  <c r="AX124" i="10" s="1"/>
  <c r="DU124" i="10"/>
  <c r="AH124" i="10" s="1"/>
  <c r="DQ124" i="10"/>
  <c r="AD124" i="10" s="1"/>
  <c r="DP124" i="10"/>
  <c r="AC124" i="10" s="1"/>
  <c r="DV124" i="10"/>
  <c r="AI124" i="10" s="1"/>
  <c r="CB124" i="10"/>
  <c r="ER124" i="10"/>
  <c r="BE124" i="10" s="1"/>
  <c r="ET124" i="10"/>
  <c r="BG124" i="10" s="1"/>
  <c r="EP124" i="10"/>
  <c r="BC124" i="10" s="1"/>
  <c r="DT124" i="10"/>
  <c r="AG124" i="10" s="1"/>
  <c r="EQ124" i="10"/>
  <c r="BD124" i="10" s="1"/>
  <c r="ES124" i="10"/>
  <c r="BF124" i="10" s="1"/>
  <c r="DW124" i="10"/>
  <c r="AJ124" i="10" s="1"/>
  <c r="FJ124" i="10"/>
  <c r="BW124" i="10" s="1"/>
  <c r="EE124" i="10"/>
  <c r="AR124" i="10" s="1"/>
  <c r="FI124" i="10"/>
  <c r="BV124" i="10" s="1"/>
  <c r="EO124" i="10"/>
  <c r="BB124" i="10" s="1"/>
  <c r="EB124" i="10"/>
  <c r="AO124" i="10" s="1"/>
  <c r="DL124" i="10"/>
  <c r="Y124" i="10" s="1"/>
  <c r="FB124" i="10"/>
  <c r="BO124" i="10" s="1"/>
  <c r="DM124" i="10"/>
  <c r="Z124" i="10" s="1"/>
  <c r="EY124" i="10"/>
  <c r="BL124" i="10" s="1"/>
  <c r="DX124" i="10"/>
  <c r="AK124" i="10" s="1"/>
  <c r="FH124" i="10"/>
  <c r="BU124" i="10" s="1"/>
  <c r="FA124" i="10"/>
  <c r="BN124" i="10" s="1"/>
  <c r="EL124" i="10"/>
  <c r="AY124" i="10" s="1"/>
  <c r="EH124" i="10"/>
  <c r="AU124" i="10" s="1"/>
  <c r="EU124" i="10"/>
  <c r="BH124" i="10" s="1"/>
  <c r="EI124" i="10"/>
  <c r="AV124" i="10" s="1"/>
  <c r="DS124" i="10"/>
  <c r="AF124" i="10" s="1"/>
  <c r="DJ124" i="10"/>
  <c r="W124" i="10" s="1"/>
  <c r="EC124" i="10"/>
  <c r="AP124" i="10" s="1"/>
  <c r="DY124" i="10"/>
  <c r="AL124" i="10" s="1"/>
  <c r="FH36" i="10"/>
  <c r="BU36" i="10" s="1"/>
  <c r="EW36" i="10"/>
  <c r="BJ36" i="10" s="1"/>
  <c r="FA36" i="10"/>
  <c r="BN36" i="10" s="1"/>
  <c r="EY36" i="10"/>
  <c r="BL36" i="10" s="1"/>
  <c r="EH36" i="10"/>
  <c r="AU36" i="10" s="1"/>
  <c r="EX36" i="10"/>
  <c r="BK36" i="10" s="1"/>
  <c r="FG36" i="10"/>
  <c r="BT36" i="10" s="1"/>
  <c r="EN36" i="10"/>
  <c r="BA36" i="10" s="1"/>
  <c r="EZ36" i="10"/>
  <c r="BM36" i="10" s="1"/>
  <c r="FF36" i="10"/>
  <c r="BS36" i="10" s="1"/>
  <c r="ET36" i="10"/>
  <c r="BG36" i="10" s="1"/>
  <c r="FK36" i="10"/>
  <c r="BX36" i="10" s="1"/>
  <c r="EK36" i="10"/>
  <c r="AX36" i="10" s="1"/>
  <c r="FI36" i="10"/>
  <c r="BV36" i="10" s="1"/>
  <c r="FC36" i="10"/>
  <c r="BP36" i="10" s="1"/>
  <c r="EI36" i="10"/>
  <c r="AV36" i="10" s="1"/>
  <c r="ES36" i="10"/>
  <c r="BF36" i="10" s="1"/>
  <c r="EV36" i="10"/>
  <c r="BI36" i="10" s="1"/>
  <c r="FE36" i="10"/>
  <c r="BR36" i="10" s="1"/>
  <c r="EG36" i="10"/>
  <c r="AT36" i="10" s="1"/>
  <c r="EL36" i="10"/>
  <c r="AY36" i="10" s="1"/>
  <c r="ER36" i="10"/>
  <c r="BE36" i="10" s="1"/>
  <c r="FB36" i="10"/>
  <c r="BO36" i="10" s="1"/>
  <c r="EO36" i="10"/>
  <c r="BB36" i="10" s="1"/>
  <c r="EU36" i="10"/>
  <c r="BH36" i="10" s="1"/>
  <c r="EP36" i="10"/>
  <c r="BC36" i="10" s="1"/>
  <c r="K77" i="24"/>
  <c r="FL36" i="10"/>
  <c r="BY36" i="10" s="1"/>
  <c r="FJ36" i="10"/>
  <c r="BW36" i="10" s="1"/>
  <c r="EJ36" i="10"/>
  <c r="AW36" i="10" s="1"/>
  <c r="EM36" i="10"/>
  <c r="AZ36" i="10" s="1"/>
  <c r="EQ36" i="10"/>
  <c r="BD36" i="10" s="1"/>
  <c r="FD36" i="10"/>
  <c r="BQ36" i="10" s="1"/>
  <c r="DV68" i="10"/>
  <c r="AI68" i="10" s="1"/>
  <c r="EB68" i="10"/>
  <c r="AO68" i="10" s="1"/>
  <c r="DK68" i="10"/>
  <c r="X68" i="10" s="1"/>
  <c r="DU68" i="10"/>
  <c r="AH68" i="10" s="1"/>
  <c r="DZ68" i="10"/>
  <c r="AM68" i="10" s="1"/>
  <c r="EV68" i="10"/>
  <c r="BI68" i="10" s="1"/>
  <c r="EK68" i="10"/>
  <c r="AX68" i="10" s="1"/>
  <c r="FA68" i="10"/>
  <c r="BN68" i="10" s="1"/>
  <c r="DP68" i="10"/>
  <c r="AC68" i="10" s="1"/>
  <c r="EG68" i="10"/>
  <c r="AT68" i="10" s="1"/>
  <c r="FD68" i="10"/>
  <c r="BQ68" i="10" s="1"/>
  <c r="ED68" i="10"/>
  <c r="AQ68" i="10" s="1"/>
  <c r="FL68" i="10"/>
  <c r="BY68" i="10" s="1"/>
  <c r="DS68" i="10"/>
  <c r="AF68" i="10" s="1"/>
  <c r="ER68" i="10"/>
  <c r="BE68" i="10" s="1"/>
  <c r="FB68" i="10"/>
  <c r="BO68" i="10" s="1"/>
  <c r="DN68" i="10"/>
  <c r="AA68" i="10" s="1"/>
  <c r="ES68" i="10"/>
  <c r="BF68" i="10" s="1"/>
  <c r="ET68" i="10"/>
  <c r="BG68" i="10" s="1"/>
  <c r="EX68" i="10"/>
  <c r="BK68" i="10" s="1"/>
  <c r="DW68" i="10"/>
  <c r="AJ68" i="10" s="1"/>
  <c r="DJ68" i="10"/>
  <c r="W68" i="10" s="1"/>
  <c r="FC68" i="10"/>
  <c r="BP68" i="10" s="1"/>
  <c r="EL127" i="10"/>
  <c r="AY127" i="10" s="1"/>
  <c r="DS127" i="10"/>
  <c r="AF127" i="10" s="1"/>
  <c r="DQ127" i="10"/>
  <c r="AD127" i="10" s="1"/>
  <c r="FC127" i="10"/>
  <c r="BP127" i="10" s="1"/>
  <c r="ED127" i="10"/>
  <c r="AQ127" i="10" s="1"/>
  <c r="EV127" i="10"/>
  <c r="BI127" i="10" s="1"/>
  <c r="EJ127" i="10"/>
  <c r="AW127" i="10" s="1"/>
  <c r="ET127" i="10"/>
  <c r="BG127" i="10" s="1"/>
  <c r="EK127" i="10"/>
  <c r="AX127" i="10" s="1"/>
  <c r="DV127" i="10"/>
  <c r="AI127" i="10" s="1"/>
  <c r="FH127" i="10"/>
  <c r="BU127" i="10" s="1"/>
  <c r="DZ127" i="10"/>
  <c r="AM127" i="10" s="1"/>
  <c r="EM127" i="10"/>
  <c r="AZ127" i="10" s="1"/>
  <c r="DT127" i="10"/>
  <c r="AG127" i="10" s="1"/>
  <c r="FL127" i="10"/>
  <c r="BY127" i="10" s="1"/>
  <c r="EA127" i="10"/>
  <c r="AN127" i="10" s="1"/>
  <c r="DW127" i="10"/>
  <c r="AJ127" i="10" s="1"/>
  <c r="DR127" i="10"/>
  <c r="AE127" i="10" s="1"/>
  <c r="EY127" i="10"/>
  <c r="BL127" i="10" s="1"/>
  <c r="FF127" i="10"/>
  <c r="BS127" i="10" s="1"/>
  <c r="DM127" i="10"/>
  <c r="Z127" i="10" s="1"/>
  <c r="EW127" i="10"/>
  <c r="BJ127" i="10" s="1"/>
  <c r="EH127" i="10"/>
  <c r="AU127" i="10" s="1"/>
  <c r="EE127" i="10"/>
  <c r="AR127" i="10" s="1"/>
  <c r="EB127" i="10"/>
  <c r="AO127" i="10" s="1"/>
  <c r="DJ127" i="10"/>
  <c r="W127" i="10" s="1"/>
  <c r="DL127" i="10"/>
  <c r="Y127" i="10" s="1"/>
  <c r="EI127" i="10"/>
  <c r="AV127" i="10" s="1"/>
  <c r="FE127" i="10"/>
  <c r="BR127" i="10" s="1"/>
  <c r="DO127" i="10"/>
  <c r="AB127" i="10" s="1"/>
  <c r="EO127" i="10"/>
  <c r="BB127" i="10" s="1"/>
  <c r="EG127" i="10"/>
  <c r="AT127" i="10" s="1"/>
  <c r="ER127" i="10"/>
  <c r="BE127" i="10" s="1"/>
  <c r="CB127" i="10"/>
  <c r="DP127" i="10"/>
  <c r="AC127" i="10" s="1"/>
  <c r="FA127" i="10"/>
  <c r="BN127" i="10" s="1"/>
  <c r="EN127" i="10"/>
  <c r="BA127" i="10" s="1"/>
  <c r="EQ127" i="10"/>
  <c r="BD127" i="10" s="1"/>
  <c r="DX127" i="10"/>
  <c r="AK127" i="10" s="1"/>
  <c r="DU127" i="10"/>
  <c r="AH127" i="10" s="1"/>
  <c r="FD127" i="10"/>
  <c r="BQ127" i="10" s="1"/>
  <c r="EZ127" i="10"/>
  <c r="BM127" i="10" s="1"/>
  <c r="EX127" i="10"/>
  <c r="BK127" i="10" s="1"/>
  <c r="FB127" i="10"/>
  <c r="BO127" i="10" s="1"/>
  <c r="FG127" i="10"/>
  <c r="BT127" i="10" s="1"/>
  <c r="EC127" i="10"/>
  <c r="AP127" i="10" s="1"/>
  <c r="DK127" i="10"/>
  <c r="X127" i="10" s="1"/>
  <c r="DN127" i="10"/>
  <c r="AA127" i="10" s="1"/>
  <c r="FI127" i="10"/>
  <c r="BV127" i="10" s="1"/>
  <c r="EP127" i="10"/>
  <c r="BC127" i="10" s="1"/>
  <c r="FJ127" i="10"/>
  <c r="BW127" i="10" s="1"/>
  <c r="FK127" i="10"/>
  <c r="BX127" i="10" s="1"/>
  <c r="DY127" i="10"/>
  <c r="AL127" i="10" s="1"/>
  <c r="ES127" i="10"/>
  <c r="BF127" i="10" s="1"/>
  <c r="EU127" i="10"/>
  <c r="BH127" i="10" s="1"/>
  <c r="DM68" i="10"/>
  <c r="Z68" i="10" s="1"/>
  <c r="CB68" i="10"/>
  <c r="FG68" i="10"/>
  <c r="BT68" i="10" s="1"/>
  <c r="DR68" i="10"/>
  <c r="AE68" i="10" s="1"/>
  <c r="EZ68" i="10"/>
  <c r="BM68" i="10" s="1"/>
  <c r="DX68" i="10"/>
  <c r="AK68" i="10" s="1"/>
  <c r="DL68" i="10"/>
  <c r="Y68" i="10" s="1"/>
  <c r="EH74" i="10"/>
  <c r="AU74" i="10" s="1"/>
  <c r="FD74" i="10"/>
  <c r="BQ74" i="10" s="1"/>
  <c r="EK74" i="10"/>
  <c r="AX74" i="10" s="1"/>
  <c r="ET74" i="10"/>
  <c r="BG74" i="10" s="1"/>
  <c r="FE74" i="10"/>
  <c r="BR74" i="10" s="1"/>
  <c r="EO74" i="10"/>
  <c r="BB74" i="10" s="1"/>
  <c r="DR74" i="10"/>
  <c r="AE74" i="10" s="1"/>
  <c r="ES74" i="10"/>
  <c r="BF74" i="10" s="1"/>
  <c r="EV74" i="10"/>
  <c r="BI74" i="10" s="1"/>
  <c r="EQ74" i="10"/>
  <c r="BD74" i="10" s="1"/>
  <c r="EZ74" i="10"/>
  <c r="BM74" i="10" s="1"/>
  <c r="DK74" i="10"/>
  <c r="X74" i="10" s="1"/>
  <c r="FH74" i="10"/>
  <c r="BU74" i="10" s="1"/>
  <c r="FA74" i="10"/>
  <c r="BN74" i="10" s="1"/>
  <c r="DQ74" i="10"/>
  <c r="AD74" i="10" s="1"/>
  <c r="DT74" i="10"/>
  <c r="AG74" i="10" s="1"/>
  <c r="DJ74" i="10"/>
  <c r="W74" i="10" s="1"/>
  <c r="EW74" i="10"/>
  <c r="BJ74" i="10" s="1"/>
  <c r="EY74" i="10"/>
  <c r="BL74" i="10" s="1"/>
  <c r="EA74" i="10"/>
  <c r="AN74" i="10" s="1"/>
  <c r="DV74" i="10"/>
  <c r="AI74" i="10" s="1"/>
  <c r="EM74" i="10"/>
  <c r="AZ74" i="10" s="1"/>
  <c r="CB74" i="10"/>
  <c r="EL74" i="10"/>
  <c r="AY74" i="10" s="1"/>
  <c r="DS74" i="10"/>
  <c r="AF74" i="10" s="1"/>
  <c r="DZ74" i="10"/>
  <c r="AM74" i="10" s="1"/>
  <c r="DW74" i="10"/>
  <c r="AJ74" i="10" s="1"/>
  <c r="FF74" i="10"/>
  <c r="BS74" i="10" s="1"/>
  <c r="EG74" i="10"/>
  <c r="AT74" i="10" s="1"/>
  <c r="DU74" i="10"/>
  <c r="AH74" i="10" s="1"/>
  <c r="EE74" i="10"/>
  <c r="AR74" i="10" s="1"/>
  <c r="EU74" i="10"/>
  <c r="BH74" i="10" s="1"/>
  <c r="DP74" i="10"/>
  <c r="AC74" i="10" s="1"/>
  <c r="EJ74" i="10"/>
  <c r="AW74" i="10" s="1"/>
  <c r="DN74" i="10"/>
  <c r="AA74" i="10" s="1"/>
  <c r="DL74" i="10"/>
  <c r="Y74" i="10" s="1"/>
  <c r="FI74" i="10"/>
  <c r="BV74" i="10" s="1"/>
  <c r="EN74" i="10"/>
  <c r="BA74" i="10" s="1"/>
  <c r="EI74" i="10"/>
  <c r="AV74" i="10" s="1"/>
  <c r="EP74" i="10"/>
  <c r="BC74" i="10" s="1"/>
  <c r="EC74" i="10"/>
  <c r="AP74" i="10" s="1"/>
  <c r="FC74" i="10"/>
  <c r="BP74" i="10" s="1"/>
  <c r="FB74" i="10"/>
  <c r="BO74" i="10" s="1"/>
  <c r="DX74" i="10"/>
  <c r="AK74" i="10" s="1"/>
  <c r="FJ74" i="10"/>
  <c r="BW74" i="10" s="1"/>
  <c r="EX74" i="10"/>
  <c r="BK74" i="10" s="1"/>
  <c r="ED74" i="10"/>
  <c r="AQ74" i="10" s="1"/>
  <c r="FG74" i="10"/>
  <c r="BT74" i="10" s="1"/>
  <c r="EB74" i="10"/>
  <c r="AO74" i="10" s="1"/>
  <c r="FK74" i="10"/>
  <c r="BX74" i="10" s="1"/>
  <c r="DY74" i="10"/>
  <c r="AL74" i="10" s="1"/>
  <c r="DM74" i="10"/>
  <c r="Z74" i="10" s="1"/>
  <c r="DO74" i="10"/>
  <c r="AB74" i="10" s="1"/>
  <c r="FL74" i="10"/>
  <c r="BY74" i="10" s="1"/>
  <c r="ER74" i="10"/>
  <c r="BE74" i="10" s="1"/>
  <c r="EG82" i="10"/>
  <c r="AT82" i="10" s="1"/>
  <c r="FC82" i="10"/>
  <c r="BP82" i="10" s="1"/>
  <c r="FG82" i="10"/>
  <c r="BT82" i="10" s="1"/>
  <c r="EO82" i="10"/>
  <c r="BB82" i="10" s="1"/>
  <c r="EK82" i="10"/>
  <c r="AX82" i="10" s="1"/>
  <c r="FH82" i="10"/>
  <c r="BU82" i="10" s="1"/>
  <c r="EW82" i="10"/>
  <c r="BJ82" i="10" s="1"/>
  <c r="EI82" i="10"/>
  <c r="AV82" i="10" s="1"/>
  <c r="FI82" i="10"/>
  <c r="BV82" i="10" s="1"/>
  <c r="CB82" i="10"/>
  <c r="EL82" i="10"/>
  <c r="AY82" i="10" s="1"/>
  <c r="FB82" i="10"/>
  <c r="BO82" i="10" s="1"/>
  <c r="EY82" i="10"/>
  <c r="BL82" i="10" s="1"/>
  <c r="EJ82" i="10"/>
  <c r="AW82" i="10" s="1"/>
  <c r="EP82" i="10"/>
  <c r="BC82" i="10" s="1"/>
  <c r="EM82" i="10"/>
  <c r="AZ82" i="10" s="1"/>
  <c r="EQ82" i="10"/>
  <c r="BD82" i="10" s="1"/>
  <c r="FJ82" i="10"/>
  <c r="BW82" i="10" s="1"/>
  <c r="FF82" i="10"/>
  <c r="BS82" i="10" s="1"/>
  <c r="ES82" i="10"/>
  <c r="BF82" i="10" s="1"/>
  <c r="EN82" i="10"/>
  <c r="BA82" i="10" s="1"/>
  <c r="ET82" i="10"/>
  <c r="BG82" i="10" s="1"/>
  <c r="EU82" i="10"/>
  <c r="BH82" i="10" s="1"/>
  <c r="FK82" i="10"/>
  <c r="BX82" i="10" s="1"/>
  <c r="FE82" i="10"/>
  <c r="BR82" i="10" s="1"/>
  <c r="FA82" i="10"/>
  <c r="BN82" i="10" s="1"/>
  <c r="EZ82" i="10"/>
  <c r="BM82" i="10" s="1"/>
  <c r="EV82" i="10"/>
  <c r="BI82" i="10" s="1"/>
  <c r="FL82" i="10"/>
  <c r="BY82" i="10" s="1"/>
  <c r="EH82" i="10"/>
  <c r="AU82" i="10" s="1"/>
  <c r="FD82" i="10"/>
  <c r="BQ82" i="10" s="1"/>
  <c r="EX82" i="10"/>
  <c r="BK82" i="10" s="1"/>
  <c r="ER82" i="10"/>
  <c r="BE82" i="10" s="1"/>
  <c r="EI95" i="10"/>
  <c r="AV95" i="10" s="1"/>
  <c r="ES95" i="10"/>
  <c r="BF95" i="10" s="1"/>
  <c r="EL95" i="10"/>
  <c r="AY95" i="10" s="1"/>
  <c r="FH95" i="10"/>
  <c r="BU95" i="10" s="1"/>
  <c r="EM95" i="10"/>
  <c r="AZ95" i="10" s="1"/>
  <c r="EJ95" i="10"/>
  <c r="AW95" i="10" s="1"/>
  <c r="EY95" i="10"/>
  <c r="BL95" i="10" s="1"/>
  <c r="EZ95" i="10"/>
  <c r="BM95" i="10" s="1"/>
  <c r="FC95" i="10"/>
  <c r="BP95" i="10" s="1"/>
  <c r="EU95" i="10"/>
  <c r="BH95" i="10" s="1"/>
  <c r="ER95" i="10"/>
  <c r="BE95" i="10" s="1"/>
  <c r="FE95" i="10"/>
  <c r="BR95" i="10" s="1"/>
  <c r="EK95" i="10"/>
  <c r="AX95" i="10" s="1"/>
  <c r="FF95" i="10"/>
  <c r="BS95" i="10" s="1"/>
  <c r="EP95" i="10"/>
  <c r="BC95" i="10" s="1"/>
  <c r="EX95" i="10"/>
  <c r="BK95" i="10" s="1"/>
  <c r="FI95" i="10"/>
  <c r="BV95" i="10" s="1"/>
  <c r="FB95" i="10"/>
  <c r="BO95" i="10" s="1"/>
  <c r="FD95" i="10"/>
  <c r="BQ95" i="10" s="1"/>
  <c r="EO95" i="10"/>
  <c r="BB95" i="10" s="1"/>
  <c r="FA95" i="10"/>
  <c r="BN95" i="10" s="1"/>
  <c r="EN95" i="10"/>
  <c r="BA95" i="10" s="1"/>
  <c r="EQ95" i="10"/>
  <c r="BD95" i="10" s="1"/>
  <c r="FG95" i="10"/>
  <c r="BT95" i="10" s="1"/>
  <c r="FJ95" i="10"/>
  <c r="BW95" i="10" s="1"/>
  <c r="EW95" i="10"/>
  <c r="BJ95" i="10" s="1"/>
  <c r="FK95" i="10"/>
  <c r="BX95" i="10" s="1"/>
  <c r="EG95" i="10"/>
  <c r="AT95" i="10" s="1"/>
  <c r="FL95" i="10"/>
  <c r="BY95" i="10" s="1"/>
  <c r="EH95" i="10"/>
  <c r="AU95" i="10" s="1"/>
  <c r="ET95" i="10"/>
  <c r="BG95" i="10" s="1"/>
  <c r="EV95" i="10"/>
  <c r="BI95" i="10" s="1"/>
  <c r="FC227" i="10"/>
  <c r="FI227" i="10"/>
  <c r="EP227" i="10"/>
  <c r="EZ227" i="10"/>
  <c r="EY227" i="10"/>
  <c r="EK227" i="10"/>
  <c r="FH227" i="10"/>
  <c r="ES227" i="10"/>
  <c r="EO227" i="10"/>
  <c r="EQ227" i="10"/>
  <c r="EW227" i="10"/>
  <c r="EN227" i="10"/>
  <c r="FE227" i="10"/>
  <c r="EJ227" i="10"/>
  <c r="FG227" i="10"/>
  <c r="EI227" i="10"/>
  <c r="EU227" i="10"/>
  <c r="EL227" i="10"/>
  <c r="ET227" i="10"/>
  <c r="EX227" i="10"/>
  <c r="BP227" i="10"/>
  <c r="FF227" i="10"/>
  <c r="FL227" i="10"/>
  <c r="FB227" i="10"/>
  <c r="CB227" i="10"/>
  <c r="EM227" i="10"/>
  <c r="FJ227" i="10"/>
  <c r="FD227" i="10"/>
  <c r="ER227" i="10"/>
  <c r="EV227" i="10"/>
  <c r="EH227" i="10"/>
  <c r="FK227" i="10"/>
  <c r="EG227" i="10"/>
  <c r="FA227" i="10"/>
  <c r="EW226" i="10"/>
  <c r="ES226" i="10"/>
  <c r="EH226" i="10"/>
  <c r="EJ226" i="10"/>
  <c r="FK226" i="10"/>
  <c r="ET226" i="10"/>
  <c r="EI226" i="10"/>
  <c r="FE226" i="10"/>
  <c r="EY226" i="10"/>
  <c r="EU226" i="10"/>
  <c r="FL226" i="10"/>
  <c r="EZ226" i="10"/>
  <c r="EO226" i="10"/>
  <c r="FA226" i="10"/>
  <c r="EK226" i="10"/>
  <c r="BP226" i="10"/>
  <c r="FG226" i="10"/>
  <c r="CB226" i="10"/>
  <c r="EV226" i="10"/>
  <c r="FJ226" i="10"/>
  <c r="EX226" i="10"/>
  <c r="FH226" i="10"/>
  <c r="FC226" i="10"/>
  <c r="ER226" i="10"/>
  <c r="FD226" i="10"/>
  <c r="EG226" i="10"/>
  <c r="FB226" i="10"/>
  <c r="FF226" i="10"/>
  <c r="EL226" i="10"/>
  <c r="FI226" i="10"/>
  <c r="EN226" i="10"/>
  <c r="EP226" i="10"/>
  <c r="EM226" i="10"/>
  <c r="EQ226" i="10"/>
  <c r="EH68" i="10"/>
  <c r="AU68" i="10" s="1"/>
  <c r="DQ68" i="10"/>
  <c r="AD68" i="10" s="1"/>
  <c r="EM68" i="10"/>
  <c r="AZ68" i="10" s="1"/>
  <c r="EJ68" i="10"/>
  <c r="AW68" i="10" s="1"/>
  <c r="EO136" i="10"/>
  <c r="BB136" i="10" s="1"/>
  <c r="DY136" i="10"/>
  <c r="AL136" i="10" s="1"/>
  <c r="EM136" i="10"/>
  <c r="AZ136" i="10" s="1"/>
  <c r="DN136" i="10"/>
  <c r="AA136" i="10" s="1"/>
  <c r="FK136" i="10"/>
  <c r="BX136" i="10" s="1"/>
  <c r="EJ136" i="10"/>
  <c r="AW136" i="10" s="1"/>
  <c r="DZ136" i="10"/>
  <c r="AM136" i="10" s="1"/>
  <c r="DX136" i="10"/>
  <c r="AK136" i="10" s="1"/>
  <c r="EK136" i="10"/>
  <c r="AX136" i="10" s="1"/>
  <c r="DO120" i="10"/>
  <c r="AB120" i="10" s="1"/>
  <c r="DY120" i="10"/>
  <c r="AL120" i="10" s="1"/>
  <c r="DL120" i="10"/>
  <c r="Y120" i="10" s="1"/>
  <c r="EW120" i="10"/>
  <c r="BJ120" i="10" s="1"/>
  <c r="EX120" i="10"/>
  <c r="BK120" i="10" s="1"/>
  <c r="EP120" i="10"/>
  <c r="BC120" i="10" s="1"/>
  <c r="FD120" i="10"/>
  <c r="BQ120" i="10" s="1"/>
  <c r="FK120" i="10"/>
  <c r="BX120" i="10" s="1"/>
  <c r="EQ120" i="10"/>
  <c r="BD120" i="10" s="1"/>
  <c r="FL120" i="10"/>
  <c r="BY120" i="10" s="1"/>
  <c r="EA120" i="10"/>
  <c r="AN120" i="10" s="1"/>
  <c r="FA120" i="10"/>
  <c r="BN120" i="10" s="1"/>
  <c r="EM120" i="10"/>
  <c r="AZ120" i="10" s="1"/>
  <c r="FF120" i="10"/>
  <c r="BS120" i="10" s="1"/>
  <c r="EE120" i="10"/>
  <c r="AR120" i="10" s="1"/>
  <c r="EN120" i="10"/>
  <c r="BA120" i="10" s="1"/>
  <c r="DN120" i="10"/>
  <c r="AA120" i="10" s="1"/>
  <c r="DP120" i="10"/>
  <c r="AC120" i="10" s="1"/>
  <c r="FI120" i="10"/>
  <c r="BV120" i="10" s="1"/>
  <c r="EB120" i="10"/>
  <c r="AO120" i="10" s="1"/>
  <c r="DV120" i="10"/>
  <c r="AI120" i="10" s="1"/>
  <c r="EO120" i="10"/>
  <c r="BB120" i="10" s="1"/>
  <c r="EZ120" i="10"/>
  <c r="BM120" i="10" s="1"/>
  <c r="DM120" i="10"/>
  <c r="Z120" i="10" s="1"/>
  <c r="DW120" i="10"/>
  <c r="AJ120" i="10" s="1"/>
  <c r="DK120" i="10"/>
  <c r="X120" i="10" s="1"/>
  <c r="DJ120" i="10"/>
  <c r="W120" i="10" s="1"/>
  <c r="FH120" i="10"/>
  <c r="BU120" i="10" s="1"/>
  <c r="ET120" i="10"/>
  <c r="BG120" i="10" s="1"/>
  <c r="EC120" i="10"/>
  <c r="AP120" i="10" s="1"/>
  <c r="DZ120" i="10"/>
  <c r="AM120" i="10" s="1"/>
  <c r="EL120" i="10"/>
  <c r="AY120" i="10" s="1"/>
  <c r="DR120" i="10"/>
  <c r="AE120" i="10" s="1"/>
  <c r="EG120" i="10"/>
  <c r="AT120" i="10" s="1"/>
  <c r="DU120" i="10"/>
  <c r="AH120" i="10" s="1"/>
  <c r="EV120" i="10"/>
  <c r="BI120" i="10" s="1"/>
  <c r="DX120" i="10"/>
  <c r="AK120" i="10" s="1"/>
  <c r="ES120" i="10"/>
  <c r="BF120" i="10" s="1"/>
  <c r="CB120" i="10"/>
  <c r="EI120" i="10"/>
  <c r="AV120" i="10" s="1"/>
  <c r="FG120" i="10"/>
  <c r="BT120" i="10" s="1"/>
  <c r="EK120" i="10"/>
  <c r="AX120" i="10" s="1"/>
  <c r="FE120" i="10"/>
  <c r="BR120" i="10" s="1"/>
  <c r="EY120" i="10"/>
  <c r="BL120" i="10" s="1"/>
  <c r="DS120" i="10"/>
  <c r="AF120" i="10" s="1"/>
  <c r="ED120" i="10"/>
  <c r="AQ120" i="10" s="1"/>
  <c r="DT120" i="10"/>
  <c r="AG120" i="10" s="1"/>
  <c r="FC120" i="10"/>
  <c r="BP120" i="10" s="1"/>
  <c r="ER120" i="10"/>
  <c r="BE120" i="10" s="1"/>
  <c r="FJ120" i="10"/>
  <c r="BW120" i="10" s="1"/>
  <c r="DQ120" i="10"/>
  <c r="AD120" i="10" s="1"/>
  <c r="EU120" i="10"/>
  <c r="BH120" i="10" s="1"/>
  <c r="EH120" i="10"/>
  <c r="AU120" i="10" s="1"/>
  <c r="EJ120" i="10"/>
  <c r="AW120" i="10" s="1"/>
  <c r="FB120" i="10"/>
  <c r="BO120" i="10" s="1"/>
  <c r="EX135" i="10"/>
  <c r="BK135" i="10" s="1"/>
  <c r="EN135" i="10"/>
  <c r="BA135" i="10" s="1"/>
  <c r="EH135" i="10"/>
  <c r="AU135" i="10" s="1"/>
  <c r="FH135" i="10"/>
  <c r="BU135" i="10" s="1"/>
  <c r="EU135" i="10"/>
  <c r="BH135" i="10" s="1"/>
  <c r="EZ135" i="10"/>
  <c r="BM135" i="10" s="1"/>
  <c r="FD135" i="10"/>
  <c r="BQ135" i="10" s="1"/>
  <c r="DP135" i="10"/>
  <c r="AC135" i="10" s="1"/>
  <c r="FJ135" i="10"/>
  <c r="BW135" i="10" s="1"/>
  <c r="CB135" i="10"/>
  <c r="FC135" i="10"/>
  <c r="BP135" i="10" s="1"/>
  <c r="EW135" i="10"/>
  <c r="BJ135" i="10" s="1"/>
  <c r="DV135" i="10"/>
  <c r="AI135" i="10" s="1"/>
  <c r="EQ135" i="10"/>
  <c r="BD135" i="10" s="1"/>
  <c r="DU135" i="10"/>
  <c r="AH135" i="10" s="1"/>
  <c r="DX135" i="10"/>
  <c r="AK135" i="10" s="1"/>
  <c r="FI135" i="10"/>
  <c r="BV135" i="10" s="1"/>
  <c r="FK135" i="10"/>
  <c r="BX135" i="10" s="1"/>
  <c r="DY135" i="10"/>
  <c r="AL135" i="10" s="1"/>
  <c r="DL135" i="10"/>
  <c r="Y135" i="10" s="1"/>
  <c r="DM135" i="10"/>
  <c r="Z135" i="10" s="1"/>
  <c r="FL135" i="10"/>
  <c r="BY135" i="10" s="1"/>
  <c r="ER135" i="10"/>
  <c r="BE135" i="10" s="1"/>
  <c r="DQ135" i="10"/>
  <c r="AD135" i="10" s="1"/>
  <c r="DW135" i="10"/>
  <c r="AJ135" i="10" s="1"/>
  <c r="DR135" i="10"/>
  <c r="AE135" i="10" s="1"/>
  <c r="FF135" i="10"/>
  <c r="BS135" i="10" s="1"/>
  <c r="DK135" i="10"/>
  <c r="X135" i="10" s="1"/>
  <c r="ED135" i="10"/>
  <c r="AQ135" i="10" s="1"/>
  <c r="EV135" i="10"/>
  <c r="BI135" i="10" s="1"/>
  <c r="EO135" i="10"/>
  <c r="BB135" i="10" s="1"/>
  <c r="FB135" i="10"/>
  <c r="BO135" i="10" s="1"/>
  <c r="EM135" i="10"/>
  <c r="AZ135" i="10" s="1"/>
  <c r="ET135" i="10"/>
  <c r="BG135" i="10" s="1"/>
  <c r="ES135" i="10"/>
  <c r="BF135" i="10" s="1"/>
  <c r="EK135" i="10"/>
  <c r="AX135" i="10" s="1"/>
  <c r="EI135" i="10"/>
  <c r="AV135" i="10" s="1"/>
  <c r="EG135" i="10"/>
  <c r="AT135" i="10" s="1"/>
  <c r="FE135" i="10"/>
  <c r="BR135" i="10" s="1"/>
  <c r="DO135" i="10"/>
  <c r="AB135" i="10" s="1"/>
  <c r="FG135" i="10"/>
  <c r="BT135" i="10" s="1"/>
  <c r="EP135" i="10"/>
  <c r="BC135" i="10" s="1"/>
  <c r="EL135" i="10"/>
  <c r="AY135" i="10" s="1"/>
  <c r="DJ135" i="10"/>
  <c r="W135" i="10" s="1"/>
  <c r="DT135" i="10"/>
  <c r="AG135" i="10" s="1"/>
  <c r="EJ135" i="10"/>
  <c r="AW135" i="10" s="1"/>
  <c r="DS135" i="10"/>
  <c r="AF135" i="10" s="1"/>
  <c r="EY135" i="10"/>
  <c r="BL135" i="10" s="1"/>
  <c r="EB135" i="10"/>
  <c r="AO135" i="10" s="1"/>
  <c r="EC135" i="10"/>
  <c r="AP135" i="10" s="1"/>
  <c r="FA135" i="10"/>
  <c r="BN135" i="10" s="1"/>
  <c r="EE135" i="10"/>
  <c r="AR135" i="10" s="1"/>
  <c r="DN135" i="10"/>
  <c r="AA135" i="10" s="1"/>
  <c r="EA135" i="10"/>
  <c r="AN135" i="10" s="1"/>
  <c r="DZ135" i="10"/>
  <c r="AM135" i="10" s="1"/>
  <c r="FL15" i="10"/>
  <c r="BY15" i="10" s="1"/>
  <c r="EN15" i="10"/>
  <c r="BA15" i="10" s="1"/>
  <c r="EM15" i="10"/>
  <c r="AZ15" i="10" s="1"/>
  <c r="EI15" i="10"/>
  <c r="AV15" i="10" s="1"/>
  <c r="EP15" i="10"/>
  <c r="BC15" i="10" s="1"/>
  <c r="EH15" i="10"/>
  <c r="AU15" i="10" s="1"/>
  <c r="EX15" i="10"/>
  <c r="BK15" i="10" s="1"/>
  <c r="EO15" i="10"/>
  <c r="BB15" i="10" s="1"/>
  <c r="FG15" i="10"/>
  <c r="BT15" i="10" s="1"/>
  <c r="EJ15" i="10"/>
  <c r="AW15" i="10" s="1"/>
  <c r="ER15" i="10"/>
  <c r="BE15" i="10" s="1"/>
  <c r="FD15" i="10"/>
  <c r="BQ15" i="10" s="1"/>
  <c r="FI15" i="10"/>
  <c r="BV15" i="10" s="1"/>
  <c r="FB15" i="10"/>
  <c r="BO15" i="10" s="1"/>
  <c r="FC15" i="10"/>
  <c r="BP15" i="10" s="1"/>
  <c r="EZ15" i="10"/>
  <c r="BM15" i="10" s="1"/>
  <c r="FF15" i="10"/>
  <c r="BS15" i="10" s="1"/>
  <c r="FE15" i="10"/>
  <c r="BR15" i="10" s="1"/>
  <c r="EK15" i="10"/>
  <c r="AX15" i="10" s="1"/>
  <c r="EU15" i="10"/>
  <c r="BH15" i="10" s="1"/>
  <c r="EV15" i="10"/>
  <c r="BI15" i="10" s="1"/>
  <c r="EQ15" i="10"/>
  <c r="BD15" i="10" s="1"/>
  <c r="FH15" i="10"/>
  <c r="BU15" i="10" s="1"/>
  <c r="EW15" i="10"/>
  <c r="BJ15" i="10" s="1"/>
  <c r="EG15" i="10"/>
  <c r="AT15" i="10" s="1"/>
  <c r="ET15" i="10"/>
  <c r="BG15" i="10" s="1"/>
  <c r="EY15" i="10"/>
  <c r="BL15" i="10" s="1"/>
  <c r="FK15" i="10"/>
  <c r="BX15" i="10" s="1"/>
  <c r="EL15" i="10"/>
  <c r="AY15" i="10" s="1"/>
  <c r="FA15" i="10"/>
  <c r="BN15" i="10" s="1"/>
  <c r="ES15" i="10"/>
  <c r="BF15" i="10" s="1"/>
  <c r="FJ15" i="10"/>
  <c r="BW15" i="10" s="1"/>
  <c r="DT136" i="10"/>
  <c r="AG136" i="10" s="1"/>
  <c r="DV136" i="10"/>
  <c r="AI136" i="10" s="1"/>
  <c r="DK70" i="10"/>
  <c r="X70" i="10" s="1"/>
  <c r="DZ70" i="10"/>
  <c r="AM70" i="10" s="1"/>
  <c r="EC70" i="10"/>
  <c r="AP70" i="10" s="1"/>
  <c r="EE70" i="10"/>
  <c r="AR70" i="10" s="1"/>
  <c r="EB70" i="10"/>
  <c r="AO70" i="10" s="1"/>
  <c r="DS70" i="10"/>
  <c r="AF70" i="10" s="1"/>
  <c r="ED70" i="10"/>
  <c r="AQ70" i="10" s="1"/>
  <c r="DU70" i="10"/>
  <c r="AH70" i="10" s="1"/>
  <c r="DR70" i="10"/>
  <c r="AE70" i="10" s="1"/>
  <c r="DP70" i="10"/>
  <c r="AC70" i="10" s="1"/>
  <c r="DO70" i="10"/>
  <c r="AB70" i="10" s="1"/>
  <c r="EH70" i="10"/>
  <c r="AU70" i="10" s="1"/>
  <c r="FE70" i="10"/>
  <c r="BR70" i="10" s="1"/>
  <c r="DQ70" i="10"/>
  <c r="AD70" i="10" s="1"/>
  <c r="EK70" i="10"/>
  <c r="AX70" i="10" s="1"/>
  <c r="EJ70" i="10"/>
  <c r="AW70" i="10" s="1"/>
  <c r="FD70" i="10"/>
  <c r="BQ70" i="10" s="1"/>
  <c r="EX70" i="10"/>
  <c r="BK70" i="10" s="1"/>
  <c r="EY70" i="10"/>
  <c r="BL70" i="10" s="1"/>
  <c r="EM70" i="10"/>
  <c r="AZ70" i="10" s="1"/>
  <c r="ET70" i="10"/>
  <c r="BG70" i="10" s="1"/>
  <c r="EW70" i="10"/>
  <c r="BJ70" i="10" s="1"/>
  <c r="ER70" i="10"/>
  <c r="BE70" i="10" s="1"/>
  <c r="DM70" i="10"/>
  <c r="Z70" i="10" s="1"/>
  <c r="EV70" i="10"/>
  <c r="BI70" i="10" s="1"/>
  <c r="EL70" i="10"/>
  <c r="AY70" i="10" s="1"/>
  <c r="FF70" i="10"/>
  <c r="BS70" i="10" s="1"/>
  <c r="DX70" i="10"/>
  <c r="AK70" i="10" s="1"/>
  <c r="DW70" i="10"/>
  <c r="AJ70" i="10" s="1"/>
  <c r="DV70" i="10"/>
  <c r="AI70" i="10" s="1"/>
  <c r="EQ70" i="10"/>
  <c r="BD70" i="10" s="1"/>
  <c r="FK70" i="10"/>
  <c r="BX70" i="10" s="1"/>
  <c r="DL70" i="10"/>
  <c r="Y70" i="10" s="1"/>
  <c r="FG70" i="10"/>
  <c r="BT70" i="10" s="1"/>
  <c r="EP70" i="10"/>
  <c r="BC70" i="10" s="1"/>
  <c r="FA70" i="10"/>
  <c r="BN70" i="10" s="1"/>
  <c r="EN70" i="10"/>
  <c r="BA70" i="10" s="1"/>
  <c r="EA70" i="10"/>
  <c r="AN70" i="10" s="1"/>
  <c r="ES70" i="10"/>
  <c r="BF70" i="10" s="1"/>
  <c r="DN70" i="10"/>
  <c r="AA70" i="10" s="1"/>
  <c r="DY70" i="10"/>
  <c r="AL70" i="10" s="1"/>
  <c r="FI70" i="10"/>
  <c r="BV70" i="10" s="1"/>
  <c r="DT70" i="10"/>
  <c r="AG70" i="10" s="1"/>
  <c r="FL70" i="10"/>
  <c r="BY70" i="10" s="1"/>
  <c r="EZ70" i="10"/>
  <c r="BM70" i="10" s="1"/>
  <c r="EU70" i="10"/>
  <c r="BH70" i="10" s="1"/>
  <c r="EO70" i="10"/>
  <c r="BB70" i="10" s="1"/>
  <c r="CB70" i="10"/>
  <c r="EG70" i="10"/>
  <c r="AT70" i="10" s="1"/>
  <c r="FC70" i="10"/>
  <c r="BP70" i="10" s="1"/>
  <c r="EI70" i="10"/>
  <c r="AV70" i="10" s="1"/>
  <c r="DJ70" i="10"/>
  <c r="W70" i="10" s="1"/>
  <c r="FB70" i="10"/>
  <c r="BO70" i="10" s="1"/>
  <c r="FH70" i="10"/>
  <c r="BU70" i="10" s="1"/>
  <c r="FJ70" i="10"/>
  <c r="BW70" i="10" s="1"/>
  <c r="EQ59" i="10"/>
  <c r="BD59" i="10" s="1"/>
  <c r="DQ59" i="10"/>
  <c r="AD59" i="10" s="1"/>
  <c r="DP59" i="10"/>
  <c r="AC59" i="10" s="1"/>
  <c r="EB59" i="10"/>
  <c r="AO59" i="10" s="1"/>
  <c r="FH59" i="10"/>
  <c r="BU59" i="10" s="1"/>
  <c r="FD59" i="10"/>
  <c r="BQ59" i="10" s="1"/>
  <c r="EH59" i="10"/>
  <c r="AU59" i="10" s="1"/>
  <c r="DN59" i="10"/>
  <c r="AA59" i="10" s="1"/>
  <c r="ED59" i="10"/>
  <c r="AQ59" i="10" s="1"/>
  <c r="EO59" i="10"/>
  <c r="BB59" i="10" s="1"/>
  <c r="DS59" i="10"/>
  <c r="AF59" i="10" s="1"/>
  <c r="EK59" i="10"/>
  <c r="AX59" i="10" s="1"/>
  <c r="DY59" i="10"/>
  <c r="AL59" i="10" s="1"/>
  <c r="EI59" i="10"/>
  <c r="AV59" i="10" s="1"/>
  <c r="ES59" i="10"/>
  <c r="BF59" i="10" s="1"/>
  <c r="DK59" i="10"/>
  <c r="X59" i="10" s="1"/>
  <c r="FI59" i="10"/>
  <c r="BV59" i="10" s="1"/>
  <c r="ET59" i="10"/>
  <c r="BG59" i="10" s="1"/>
  <c r="EM59" i="10"/>
  <c r="AZ59" i="10" s="1"/>
  <c r="DM59" i="10"/>
  <c r="Z59" i="10" s="1"/>
  <c r="FC59" i="10"/>
  <c r="BP59" i="10" s="1"/>
  <c r="FA59" i="10"/>
  <c r="BN59" i="10" s="1"/>
  <c r="DZ59" i="10"/>
  <c r="AM59" i="10" s="1"/>
  <c r="EL59" i="10"/>
  <c r="AY59" i="10" s="1"/>
  <c r="EE59" i="10"/>
  <c r="AR59" i="10" s="1"/>
  <c r="DV59" i="10"/>
  <c r="AI59" i="10" s="1"/>
  <c r="FG59" i="10"/>
  <c r="BT59" i="10" s="1"/>
  <c r="DW59" i="10"/>
  <c r="AJ59" i="10" s="1"/>
  <c r="EZ59" i="10"/>
  <c r="BM59" i="10" s="1"/>
  <c r="CB59" i="10"/>
  <c r="DL59" i="10"/>
  <c r="Y59" i="10" s="1"/>
  <c r="EJ59" i="10"/>
  <c r="AW59" i="10" s="1"/>
  <c r="FE59" i="10"/>
  <c r="BR59" i="10" s="1"/>
  <c r="FB59" i="10"/>
  <c r="BO59" i="10" s="1"/>
  <c r="DR59" i="10"/>
  <c r="AE59" i="10" s="1"/>
  <c r="DO59" i="10"/>
  <c r="AB59" i="10" s="1"/>
  <c r="EA59" i="10"/>
  <c r="AN59" i="10" s="1"/>
  <c r="EN59" i="10"/>
  <c r="BA59" i="10" s="1"/>
  <c r="DX59" i="10"/>
  <c r="AK59" i="10" s="1"/>
  <c r="EG59" i="10"/>
  <c r="AT59" i="10" s="1"/>
  <c r="EC59" i="10"/>
  <c r="AP59" i="10" s="1"/>
  <c r="EP59" i="10"/>
  <c r="BC59" i="10" s="1"/>
  <c r="FJ59" i="10"/>
  <c r="BW59" i="10" s="1"/>
  <c r="DJ59" i="10"/>
  <c r="W59" i="10" s="1"/>
  <c r="EY59" i="10"/>
  <c r="BL59" i="10" s="1"/>
  <c r="FK59" i="10"/>
  <c r="BX59" i="10" s="1"/>
  <c r="EV59" i="10"/>
  <c r="BI59" i="10" s="1"/>
  <c r="EU59" i="10"/>
  <c r="BH59" i="10" s="1"/>
  <c r="EW59" i="10"/>
  <c r="BJ59" i="10" s="1"/>
  <c r="EX59" i="10"/>
  <c r="BK59" i="10" s="1"/>
  <c r="DU59" i="10"/>
  <c r="AH59" i="10" s="1"/>
  <c r="FF59" i="10"/>
  <c r="BS59" i="10" s="1"/>
  <c r="ER59" i="10"/>
  <c r="BE59" i="10" s="1"/>
  <c r="FL59" i="10"/>
  <c r="BY59" i="10" s="1"/>
  <c r="DT59" i="10"/>
  <c r="AG59" i="10" s="1"/>
  <c r="FG105" i="10"/>
  <c r="BT105" i="10" s="1"/>
  <c r="EQ105" i="10"/>
  <c r="BD105" i="10" s="1"/>
  <c r="ER105" i="10"/>
  <c r="BE105" i="10" s="1"/>
  <c r="FB105" i="10"/>
  <c r="BO105" i="10" s="1"/>
  <c r="EK105" i="10"/>
  <c r="AX105" i="10" s="1"/>
  <c r="EZ105" i="10"/>
  <c r="BM105" i="10" s="1"/>
  <c r="EP105" i="10"/>
  <c r="BC105" i="10" s="1"/>
  <c r="EG105" i="10"/>
  <c r="AT105" i="10" s="1"/>
  <c r="EJ105" i="10"/>
  <c r="AW105" i="10" s="1"/>
  <c r="FL105" i="10"/>
  <c r="BY105" i="10" s="1"/>
  <c r="FA105" i="10"/>
  <c r="BN105" i="10" s="1"/>
  <c r="EM105" i="10"/>
  <c r="AZ105" i="10" s="1"/>
  <c r="ES105" i="10"/>
  <c r="BF105" i="10" s="1"/>
  <c r="EH105" i="10"/>
  <c r="AU105" i="10" s="1"/>
  <c r="FD105" i="10"/>
  <c r="BQ105" i="10" s="1"/>
  <c r="EN105" i="10"/>
  <c r="BA105" i="10" s="1"/>
  <c r="FJ105" i="10"/>
  <c r="BW105" i="10" s="1"/>
  <c r="FI105" i="10"/>
  <c r="BV105" i="10" s="1"/>
  <c r="EU105" i="10"/>
  <c r="BH105" i="10" s="1"/>
  <c r="FK105" i="10"/>
  <c r="BX105" i="10" s="1"/>
  <c r="FH105" i="10"/>
  <c r="BU105" i="10" s="1"/>
  <c r="EW105" i="10"/>
  <c r="BJ105" i="10" s="1"/>
  <c r="FC105" i="10"/>
  <c r="BP105" i="10" s="1"/>
  <c r="EX105" i="10"/>
  <c r="BK105" i="10" s="1"/>
  <c r="EV105" i="10"/>
  <c r="BI105" i="10" s="1"/>
  <c r="EL105" i="10"/>
  <c r="AY105" i="10" s="1"/>
  <c r="EY105" i="10"/>
  <c r="BL105" i="10" s="1"/>
  <c r="EI105" i="10"/>
  <c r="AV105" i="10" s="1"/>
  <c r="FF105" i="10"/>
  <c r="BS105" i="10" s="1"/>
  <c r="FE105" i="10"/>
  <c r="BR105" i="10" s="1"/>
  <c r="EO105" i="10"/>
  <c r="BB105" i="10" s="1"/>
  <c r="ET105" i="10"/>
  <c r="BG105" i="10" s="1"/>
  <c r="FA31" i="10"/>
  <c r="BN31" i="10" s="1"/>
  <c r="FB31" i="10"/>
  <c r="BO31" i="10" s="1"/>
  <c r="FC31" i="10"/>
  <c r="BP31" i="10" s="1"/>
  <c r="FJ31" i="10"/>
  <c r="BW31" i="10" s="1"/>
  <c r="EH31" i="10"/>
  <c r="AU31" i="10" s="1"/>
  <c r="EM31" i="10"/>
  <c r="AZ31" i="10" s="1"/>
  <c r="EK31" i="10"/>
  <c r="AX31" i="10" s="1"/>
  <c r="EW31" i="10"/>
  <c r="BJ31" i="10" s="1"/>
  <c r="FD31" i="10"/>
  <c r="BQ31" i="10" s="1"/>
  <c r="FE31" i="10"/>
  <c r="BR31" i="10" s="1"/>
  <c r="EQ31" i="10"/>
  <c r="BD31" i="10" s="1"/>
  <c r="FH31" i="10"/>
  <c r="BU31" i="10" s="1"/>
  <c r="FF31" i="10"/>
  <c r="BS31" i="10" s="1"/>
  <c r="FL31" i="10"/>
  <c r="BY31" i="10" s="1"/>
  <c r="EV31" i="10"/>
  <c r="BI31" i="10" s="1"/>
  <c r="FK31" i="10"/>
  <c r="BX31" i="10" s="1"/>
  <c r="EU31" i="10"/>
  <c r="BH31" i="10" s="1"/>
  <c r="EP31" i="10"/>
  <c r="BC31" i="10" s="1"/>
  <c r="EN31" i="10"/>
  <c r="BA31" i="10" s="1"/>
  <c r="EG31" i="10"/>
  <c r="AT31" i="10" s="1"/>
  <c r="FI31" i="10"/>
  <c r="BV31" i="10" s="1"/>
  <c r="EZ31" i="10"/>
  <c r="BM31" i="10" s="1"/>
  <c r="EL31" i="10"/>
  <c r="AY31" i="10" s="1"/>
  <c r="EY31" i="10"/>
  <c r="BL31" i="10" s="1"/>
  <c r="ER31" i="10"/>
  <c r="BE31" i="10" s="1"/>
  <c r="EO31" i="10"/>
  <c r="BB31" i="10" s="1"/>
  <c r="EI31" i="10"/>
  <c r="AV31" i="10" s="1"/>
  <c r="ES31" i="10"/>
  <c r="BF31" i="10" s="1"/>
  <c r="EX31" i="10"/>
  <c r="BK31" i="10" s="1"/>
  <c r="FG31" i="10"/>
  <c r="BT31" i="10" s="1"/>
  <c r="EJ31" i="10"/>
  <c r="AW31" i="10" s="1"/>
  <c r="ET31" i="10"/>
  <c r="BG31" i="10" s="1"/>
  <c r="ES143" i="10"/>
  <c r="BF143" i="10" s="1"/>
  <c r="DX143" i="10"/>
  <c r="AK143" i="10" s="1"/>
  <c r="EM143" i="10"/>
  <c r="AZ143" i="10" s="1"/>
  <c r="EN143" i="10"/>
  <c r="BA143" i="10" s="1"/>
  <c r="EW143" i="10"/>
  <c r="BJ143" i="10" s="1"/>
  <c r="CB143" i="10"/>
  <c r="EU143" i="10"/>
  <c r="BH143" i="10" s="1"/>
  <c r="ET143" i="10"/>
  <c r="BG143" i="10" s="1"/>
  <c r="FL143" i="10"/>
  <c r="BY143" i="10" s="1"/>
  <c r="DQ143" i="10"/>
  <c r="AD143" i="10" s="1"/>
  <c r="FA143" i="10"/>
  <c r="BN143" i="10" s="1"/>
  <c r="FB143" i="10"/>
  <c r="BO143" i="10" s="1"/>
  <c r="EG143" i="10"/>
  <c r="AT143" i="10" s="1"/>
  <c r="DP143" i="10"/>
  <c r="AC143" i="10" s="1"/>
  <c r="ED143" i="10"/>
  <c r="AQ143" i="10" s="1"/>
  <c r="EH143" i="10"/>
  <c r="AU143" i="10" s="1"/>
  <c r="DZ143" i="10"/>
  <c r="AM143" i="10" s="1"/>
  <c r="DM143" i="10"/>
  <c r="Z143" i="10" s="1"/>
  <c r="EB143" i="10"/>
  <c r="AO143" i="10" s="1"/>
  <c r="EE143" i="10"/>
  <c r="AR143" i="10" s="1"/>
  <c r="FH143" i="10"/>
  <c r="BU143" i="10" s="1"/>
  <c r="EK143" i="10"/>
  <c r="AX143" i="10" s="1"/>
  <c r="DN143" i="10"/>
  <c r="AA143" i="10" s="1"/>
  <c r="DY143" i="10"/>
  <c r="AL143" i="10" s="1"/>
  <c r="FG143" i="10"/>
  <c r="BT143" i="10" s="1"/>
  <c r="EY143" i="10"/>
  <c r="BL143" i="10" s="1"/>
  <c r="DT143" i="10"/>
  <c r="AG143" i="10" s="1"/>
  <c r="ER143" i="10"/>
  <c r="BE143" i="10" s="1"/>
  <c r="FC143" i="10"/>
  <c r="BP143" i="10" s="1"/>
  <c r="EC143" i="10"/>
  <c r="AP143" i="10" s="1"/>
  <c r="DK143" i="10"/>
  <c r="X143" i="10" s="1"/>
  <c r="DW143" i="10"/>
  <c r="AJ143" i="10" s="1"/>
  <c r="FD143" i="10"/>
  <c r="BQ143" i="10" s="1"/>
  <c r="EP143" i="10"/>
  <c r="BC143" i="10" s="1"/>
  <c r="EL143" i="10"/>
  <c r="AY143" i="10" s="1"/>
  <c r="EI143" i="10"/>
  <c r="AV143" i="10" s="1"/>
  <c r="DJ143" i="10"/>
  <c r="W143" i="10" s="1"/>
  <c r="FE143" i="10"/>
  <c r="BR143" i="10" s="1"/>
  <c r="DU143" i="10"/>
  <c r="AH143" i="10" s="1"/>
  <c r="DO143" i="10"/>
  <c r="AB143" i="10" s="1"/>
  <c r="DS143" i="10"/>
  <c r="AF143" i="10" s="1"/>
  <c r="EX143" i="10"/>
  <c r="BK143" i="10" s="1"/>
  <c r="EQ143" i="10"/>
  <c r="BD143" i="10" s="1"/>
  <c r="EO143" i="10"/>
  <c r="BB143" i="10" s="1"/>
  <c r="EA143" i="10"/>
  <c r="AN143" i="10" s="1"/>
  <c r="EJ143" i="10"/>
  <c r="AW143" i="10" s="1"/>
  <c r="DR143" i="10"/>
  <c r="AE143" i="10" s="1"/>
  <c r="DV143" i="10"/>
  <c r="AI143" i="10" s="1"/>
  <c r="FF143" i="10"/>
  <c r="BS143" i="10" s="1"/>
  <c r="FJ143" i="10"/>
  <c r="BW143" i="10" s="1"/>
  <c r="FK143" i="10"/>
  <c r="BX143" i="10" s="1"/>
  <c r="EZ143" i="10"/>
  <c r="BM143" i="10" s="1"/>
  <c r="FI143" i="10"/>
  <c r="BV143" i="10" s="1"/>
  <c r="DL143" i="10"/>
  <c r="Y143" i="10" s="1"/>
  <c r="EV143" i="10"/>
  <c r="BI143" i="10" s="1"/>
  <c r="EL238" i="10"/>
  <c r="EM238" i="10"/>
  <c r="EW238" i="10"/>
  <c r="FA238" i="10"/>
  <c r="FI238" i="10"/>
  <c r="FJ238" i="10"/>
  <c r="EZ238" i="10"/>
  <c r="EQ238" i="10"/>
  <c r="BP238" i="10"/>
  <c r="FB238" i="10"/>
  <c r="ET238" i="10"/>
  <c r="FC238" i="10"/>
  <c r="EU238" i="10"/>
  <c r="EO238" i="10"/>
  <c r="EX238" i="10"/>
  <c r="FG238" i="10"/>
  <c r="EJ238" i="10"/>
  <c r="EN238" i="10"/>
  <c r="CB238" i="10"/>
  <c r="EY238" i="10"/>
  <c r="EP238" i="10"/>
  <c r="EG238" i="10"/>
  <c r="FD238" i="10"/>
  <c r="FL238" i="10"/>
  <c r="EE68" i="10"/>
  <c r="AR68" i="10" s="1"/>
  <c r="FE68" i="10"/>
  <c r="BR68" i="10" s="1"/>
  <c r="FK68" i="10"/>
  <c r="BX68" i="10" s="1"/>
  <c r="EI68" i="10"/>
  <c r="AV68" i="10" s="1"/>
  <c r="FH68" i="10"/>
  <c r="BU68" i="10" s="1"/>
  <c r="FF68" i="10"/>
  <c r="BS68" i="10" s="1"/>
  <c r="EV238" i="10"/>
  <c r="FK238" i="10"/>
  <c r="FH238" i="10"/>
  <c r="ER238" i="10"/>
  <c r="EK238" i="10"/>
  <c r="FF238" i="10"/>
  <c r="EH238" i="10"/>
  <c r="FE238" i="10"/>
  <c r="ES238" i="10"/>
  <c r="EI238" i="10"/>
  <c r="EO68" i="10"/>
  <c r="BB68" i="10" s="1"/>
  <c r="EC68" i="10"/>
  <c r="AP68" i="10" s="1"/>
  <c r="FJ68" i="10"/>
  <c r="BW68" i="10" s="1"/>
  <c r="FI68" i="10"/>
  <c r="BV68" i="10" s="1"/>
  <c r="DO68" i="10"/>
  <c r="AB68" i="10" s="1"/>
  <c r="EN68" i="10"/>
  <c r="BA68" i="10" s="1"/>
  <c r="EQ68" i="10"/>
  <c r="BD68" i="10" s="1"/>
  <c r="DT68" i="10"/>
  <c r="AG68" i="10" s="1"/>
  <c r="EU68" i="10"/>
  <c r="BH68" i="10" s="1"/>
  <c r="EA68" i="10"/>
  <c r="AN68" i="10" s="1"/>
  <c r="EP68" i="10"/>
  <c r="BC68" i="10" s="1"/>
  <c r="EW68" i="10"/>
  <c r="BJ68" i="10" s="1"/>
  <c r="EL68" i="10"/>
  <c r="AY68" i="10" s="1"/>
  <c r="EY68" i="10"/>
  <c r="BL68" i="10" s="1"/>
  <c r="DY68" i="10"/>
  <c r="AL68" i="10" s="1"/>
  <c r="B49" i="20"/>
  <c r="B77" i="20"/>
  <c r="B112" i="20"/>
  <c r="B60" i="20"/>
  <c r="B22" i="20"/>
  <c r="B28" i="20"/>
  <c r="B247" i="20"/>
  <c r="B72" i="20"/>
  <c r="B53" i="20"/>
  <c r="B89" i="20"/>
  <c r="B82" i="20"/>
  <c r="B91" i="20"/>
  <c r="B32" i="20"/>
  <c r="B103" i="20"/>
  <c r="B34" i="20"/>
  <c r="B69" i="20"/>
  <c r="B126" i="20"/>
  <c r="B54" i="20"/>
  <c r="B48" i="20"/>
  <c r="B133" i="20"/>
  <c r="B142" i="20"/>
  <c r="B21" i="20"/>
  <c r="B37" i="20"/>
  <c r="B67" i="20"/>
  <c r="B124" i="20"/>
  <c r="A43" i="18" s="1"/>
  <c r="B56" i="20"/>
  <c r="B97" i="20"/>
  <c r="B87" i="20"/>
  <c r="B75" i="20"/>
  <c r="B107" i="20"/>
  <c r="B30" i="20"/>
  <c r="B138" i="20"/>
  <c r="B119" i="20"/>
  <c r="S47" i="3" s="1"/>
  <c r="B20" i="20"/>
  <c r="B73" i="20"/>
  <c r="B35" i="20"/>
  <c r="B64" i="20"/>
  <c r="B29" i="20"/>
  <c r="H29" i="20" s="1"/>
  <c r="B79" i="20"/>
  <c r="M8" i="6"/>
  <c r="B36" i="20"/>
  <c r="B68" i="20"/>
  <c r="B74" i="20"/>
  <c r="B66" i="20"/>
  <c r="B61" i="20"/>
  <c r="B43" i="20"/>
  <c r="B81" i="20"/>
  <c r="D53" i="20"/>
  <c r="B106" i="20"/>
  <c r="B80" i="20"/>
  <c r="B209" i="20"/>
  <c r="H209" i="20" s="1"/>
  <c r="B121" i="20"/>
  <c r="D106" i="20"/>
  <c r="B101" i="20"/>
  <c r="H101" i="20" s="1"/>
  <c r="B51" i="20"/>
  <c r="B76" i="20"/>
  <c r="B24" i="20"/>
  <c r="B26" i="20"/>
  <c r="B145" i="20"/>
  <c r="B83" i="20"/>
  <c r="B31" i="20"/>
  <c r="B90" i="20"/>
  <c r="B92" i="20"/>
  <c r="D247" i="20"/>
  <c r="B125" i="20"/>
  <c r="D87" i="20"/>
  <c r="B164" i="20"/>
  <c r="H164" i="20" s="1"/>
  <c r="B70" i="20"/>
  <c r="C132" i="20"/>
  <c r="B131" i="20"/>
  <c r="B93" i="20"/>
  <c r="B27" i="20"/>
  <c r="DK19" i="10" s="1"/>
  <c r="X19" i="10" s="1"/>
  <c r="F87" i="20"/>
  <c r="B78" i="20"/>
  <c r="B122" i="20"/>
  <c r="S112" i="7" s="1"/>
  <c r="B33" i="20"/>
  <c r="B71" i="20"/>
  <c r="B98" i="20"/>
  <c r="B118" i="20"/>
  <c r="B84" i="20"/>
  <c r="B65" i="20"/>
  <c r="FH132" i="10"/>
  <c r="BU132" i="10" s="1"/>
  <c r="FE132" i="10"/>
  <c r="BR132" i="10" s="1"/>
  <c r="CB132" i="10"/>
  <c r="EI132" i="10"/>
  <c r="AV132" i="10" s="1"/>
  <c r="FB132" i="10"/>
  <c r="BO132" i="10" s="1"/>
  <c r="EC132" i="10"/>
  <c r="AP132" i="10" s="1"/>
  <c r="DS132" i="10"/>
  <c r="AF132" i="10" s="1"/>
  <c r="EA132" i="10"/>
  <c r="AN132" i="10" s="1"/>
  <c r="FF132" i="10"/>
  <c r="BS132" i="10" s="1"/>
  <c r="EV132" i="10"/>
  <c r="BI132" i="10" s="1"/>
  <c r="ED132" i="10"/>
  <c r="AQ132" i="10" s="1"/>
  <c r="DP132" i="10"/>
  <c r="AC132" i="10" s="1"/>
  <c r="EK132" i="10"/>
  <c r="AX132" i="10" s="1"/>
  <c r="DL132" i="10"/>
  <c r="Y132" i="10" s="1"/>
  <c r="EM132" i="10"/>
  <c r="AZ132" i="10" s="1"/>
  <c r="ES132" i="10"/>
  <c r="BF132" i="10" s="1"/>
  <c r="DO132" i="10"/>
  <c r="AB132" i="10" s="1"/>
  <c r="FC132" i="10"/>
  <c r="BP132" i="10" s="1"/>
  <c r="FJ132" i="10"/>
  <c r="BW132" i="10" s="1"/>
  <c r="DV132" i="10"/>
  <c r="AI132" i="10" s="1"/>
  <c r="EN132" i="10"/>
  <c r="BA132" i="10" s="1"/>
  <c r="EW132" i="10"/>
  <c r="BJ132" i="10" s="1"/>
  <c r="DN132" i="10"/>
  <c r="AA132" i="10" s="1"/>
  <c r="FD132" i="10"/>
  <c r="BQ132" i="10" s="1"/>
  <c r="EU132" i="10"/>
  <c r="BH132" i="10" s="1"/>
  <c r="EO132" i="10"/>
  <c r="BB132" i="10" s="1"/>
  <c r="FI132" i="10"/>
  <c r="BV132" i="10" s="1"/>
  <c r="FL132" i="10"/>
  <c r="BY132" i="10" s="1"/>
  <c r="DY132" i="10"/>
  <c r="AL132" i="10" s="1"/>
  <c r="DW132" i="10"/>
  <c r="AJ132" i="10" s="1"/>
  <c r="FA132" i="10"/>
  <c r="BN132" i="10" s="1"/>
  <c r="EY132" i="10"/>
  <c r="BL132" i="10" s="1"/>
  <c r="ET132" i="10"/>
  <c r="BG132" i="10" s="1"/>
  <c r="DR132" i="10"/>
  <c r="AE132" i="10" s="1"/>
  <c r="FG132" i="10"/>
  <c r="BT132" i="10" s="1"/>
  <c r="EJ132" i="10"/>
  <c r="AW132" i="10" s="1"/>
  <c r="DK132" i="10"/>
  <c r="X132" i="10" s="1"/>
  <c r="DQ132" i="10"/>
  <c r="AD132" i="10" s="1"/>
  <c r="EG132" i="10"/>
  <c r="AT132" i="10" s="1"/>
  <c r="EL132" i="10"/>
  <c r="AY132" i="10" s="1"/>
  <c r="FK132" i="10"/>
  <c r="BX132" i="10" s="1"/>
  <c r="EH132" i="10"/>
  <c r="AU132" i="10" s="1"/>
  <c r="DJ132" i="10"/>
  <c r="W132" i="10" s="1"/>
  <c r="EZ132" i="10"/>
  <c r="BM132" i="10" s="1"/>
  <c r="DT132" i="10"/>
  <c r="AG132" i="10" s="1"/>
  <c r="DZ132" i="10"/>
  <c r="AM132" i="10" s="1"/>
  <c r="EB132" i="10"/>
  <c r="AO132" i="10" s="1"/>
  <c r="DM132" i="10"/>
  <c r="Z132" i="10" s="1"/>
  <c r="EE132" i="10"/>
  <c r="AR132" i="10" s="1"/>
  <c r="ER132" i="10"/>
  <c r="BE132" i="10" s="1"/>
  <c r="EX132" i="10"/>
  <c r="BK132" i="10" s="1"/>
  <c r="EQ132" i="10"/>
  <c r="BD132" i="10" s="1"/>
  <c r="DU132" i="10"/>
  <c r="AH132" i="10" s="1"/>
  <c r="DX132" i="10"/>
  <c r="AK132" i="10" s="1"/>
  <c r="EP132" i="10"/>
  <c r="BC132" i="10" s="1"/>
  <c r="N63" i="29"/>
  <c r="J63" i="29"/>
  <c r="K63" i="29"/>
  <c r="M63" i="29"/>
  <c r="I63" i="29"/>
  <c r="L63" i="29"/>
  <c r="S64" i="29"/>
  <c r="H64" i="29"/>
  <c r="GX72" i="7"/>
  <c r="DO27" i="10"/>
  <c r="AB27" i="10" s="1"/>
  <c r="DX37" i="10"/>
  <c r="AK37" i="10" s="1"/>
  <c r="EB17" i="10"/>
  <c r="AO17" i="10" s="1"/>
  <c r="EA18" i="10"/>
  <c r="AN18" i="10" s="1"/>
  <c r="DS15" i="10"/>
  <c r="AF15" i="10" s="1"/>
  <c r="ED18" i="10"/>
  <c r="AQ18" i="10" s="1"/>
  <c r="DZ17" i="10"/>
  <c r="AM17" i="10" s="1"/>
  <c r="DQ36" i="10"/>
  <c r="AD36" i="10" s="1"/>
  <c r="DW37" i="10"/>
  <c r="AJ37" i="10" s="1"/>
  <c r="DK36" i="10"/>
  <c r="X36" i="10" s="1"/>
  <c r="DP18" i="10"/>
  <c r="AC18" i="10" s="1"/>
  <c r="DZ18" i="10"/>
  <c r="AM18" i="10" s="1"/>
  <c r="DQ18" i="10"/>
  <c r="AD18" i="10" s="1"/>
  <c r="DR18" i="10"/>
  <c r="AE18" i="10" s="1"/>
  <c r="DV17" i="10"/>
  <c r="AI17" i="10" s="1"/>
  <c r="DU37" i="10"/>
  <c r="AH37" i="10" s="1"/>
  <c r="DK17" i="10"/>
  <c r="X17" i="10" s="1"/>
  <c r="EA37" i="10"/>
  <c r="AN37" i="10" s="1"/>
  <c r="EE36" i="10"/>
  <c r="AR36" i="10" s="1"/>
  <c r="DN31" i="10"/>
  <c r="AA31" i="10" s="1"/>
  <c r="DW36" i="10"/>
  <c r="AJ36" i="10" s="1"/>
  <c r="DK27" i="10"/>
  <c r="X27" i="10" s="1"/>
  <c r="DO31" i="10"/>
  <c r="AB31" i="10" s="1"/>
  <c r="DZ36" i="10"/>
  <c r="AM36" i="10" s="1"/>
  <c r="DY17" i="10"/>
  <c r="AL17" i="10" s="1"/>
  <c r="DT17" i="10"/>
  <c r="AG17" i="10" s="1"/>
  <c r="DZ27" i="10"/>
  <c r="AM27" i="10" s="1"/>
  <c r="DP17" i="10"/>
  <c r="AC17" i="10" s="1"/>
  <c r="DW17" i="10"/>
  <c r="AJ17" i="10" s="1"/>
  <c r="DJ36" i="10"/>
  <c r="W36" i="10" s="1"/>
  <c r="DM37" i="10"/>
  <c r="Z37" i="10" s="1"/>
  <c r="EB37" i="10"/>
  <c r="AO37" i="10" s="1"/>
  <c r="DU31" i="10"/>
  <c r="AH31" i="10" s="1"/>
  <c r="DX36" i="10"/>
  <c r="AK36" i="10" s="1"/>
  <c r="DJ37" i="10"/>
  <c r="W37" i="10" s="1"/>
  <c r="DP37" i="10"/>
  <c r="AC37" i="10" s="1"/>
  <c r="EC36" i="10"/>
  <c r="AP36" i="10" s="1"/>
  <c r="DN27" i="10"/>
  <c r="AA27" i="10" s="1"/>
  <c r="DV37" i="10"/>
  <c r="AI37" i="10" s="1"/>
  <c r="DM27" i="10"/>
  <c r="Z27" i="10" s="1"/>
  <c r="ED37" i="10"/>
  <c r="AQ37" i="10" s="1"/>
  <c r="DO37" i="10"/>
  <c r="AB37" i="10" s="1"/>
  <c r="DW31" i="10"/>
  <c r="AJ31" i="10" s="1"/>
  <c r="EE37" i="10"/>
  <c r="AR37" i="10" s="1"/>
  <c r="DU35" i="10"/>
  <c r="AH35" i="10" s="1"/>
  <c r="DN35" i="10"/>
  <c r="AA35" i="10" s="1"/>
  <c r="DZ35" i="10"/>
  <c r="AM35" i="10" s="1"/>
  <c r="DL98" i="10"/>
  <c r="Y98" i="10" s="1"/>
  <c r="EA92" i="10"/>
  <c r="AN92" i="10" s="1"/>
  <c r="DL99" i="10"/>
  <c r="Y99" i="10" s="1"/>
  <c r="DW101" i="10"/>
  <c r="AJ101" i="10" s="1"/>
  <c r="DQ99" i="10"/>
  <c r="AD99" i="10" s="1"/>
  <c r="DS95" i="10"/>
  <c r="AF95" i="10" s="1"/>
  <c r="DX92" i="10"/>
  <c r="AK92" i="10" s="1"/>
  <c r="DY101" i="10"/>
  <c r="AL101" i="10" s="1"/>
  <c r="EE101" i="10"/>
  <c r="AR101" i="10" s="1"/>
  <c r="DK99" i="10"/>
  <c r="X99" i="10" s="1"/>
  <c r="EB98" i="10"/>
  <c r="AO98" i="10" s="1"/>
  <c r="EB103" i="10"/>
  <c r="AO103" i="10" s="1"/>
  <c r="EE95" i="10"/>
  <c r="AR95" i="10" s="1"/>
  <c r="ED92" i="10"/>
  <c r="AQ92" i="10" s="1"/>
  <c r="DV99" i="10"/>
  <c r="AI99" i="10" s="1"/>
  <c r="ED101" i="10"/>
  <c r="AQ101" i="10" s="1"/>
  <c r="EE103" i="10"/>
  <c r="AR103" i="10" s="1"/>
  <c r="DT95" i="10"/>
  <c r="AG95" i="10" s="1"/>
  <c r="DW95" i="10"/>
  <c r="AJ95" i="10" s="1"/>
  <c r="EE92" i="10"/>
  <c r="AR92" i="10" s="1"/>
  <c r="DX101" i="10"/>
  <c r="AK101" i="10" s="1"/>
  <c r="DV101" i="10"/>
  <c r="AI101" i="10" s="1"/>
  <c r="DX95" i="10"/>
  <c r="AK95" i="10" s="1"/>
  <c r="DM98" i="10"/>
  <c r="Z98" i="10" s="1"/>
  <c r="DR98" i="10"/>
  <c r="AE98" i="10" s="1"/>
  <c r="DM92" i="10"/>
  <c r="Z92" i="10" s="1"/>
  <c r="EA99" i="10"/>
  <c r="AN99" i="10" s="1"/>
  <c r="DN101" i="10"/>
  <c r="AA101" i="10" s="1"/>
  <c r="DT99" i="10"/>
  <c r="AG99" i="10" s="1"/>
  <c r="DU93" i="10"/>
  <c r="AH93" i="10" s="1"/>
  <c r="EC99" i="10"/>
  <c r="AP99" i="10" s="1"/>
  <c r="DL101" i="10"/>
  <c r="Y101" i="10" s="1"/>
  <c r="DT103" i="10"/>
  <c r="AG103" i="10" s="1"/>
  <c r="DJ101" i="10"/>
  <c r="W101" i="10" s="1"/>
  <c r="EA101" i="10"/>
  <c r="AN101" i="10" s="1"/>
  <c r="DZ95" i="10"/>
  <c r="AM95" i="10" s="1"/>
  <c r="DK93" i="10"/>
  <c r="X93" i="10" s="1"/>
  <c r="DP97" i="10"/>
  <c r="AC97" i="10" s="1"/>
  <c r="DS93" i="10"/>
  <c r="AF93" i="10" s="1"/>
  <c r="EC93" i="10"/>
  <c r="AP93" i="10" s="1"/>
  <c r="DX97" i="10"/>
  <c r="AK97" i="10" s="1"/>
  <c r="DW93" i="10"/>
  <c r="AJ93" i="10" s="1"/>
  <c r="DL93" i="10"/>
  <c r="Y93" i="10" s="1"/>
  <c r="DR100" i="10"/>
  <c r="AE100" i="10" s="1"/>
  <c r="ED98" i="10"/>
  <c r="AQ98" i="10" s="1"/>
  <c r="DT97" i="10"/>
  <c r="AG97" i="10" s="1"/>
  <c r="DV103" i="10"/>
  <c r="AI103" i="10" s="1"/>
  <c r="DW98" i="10"/>
  <c r="AJ98" i="10" s="1"/>
  <c r="DN103" i="10"/>
  <c r="AA103" i="10" s="1"/>
  <c r="DY93" i="10"/>
  <c r="AL93" i="10" s="1"/>
  <c r="DP93" i="10"/>
  <c r="AC93" i="10" s="1"/>
  <c r="DN93" i="10"/>
  <c r="AA93" i="10" s="1"/>
  <c r="DK97" i="10"/>
  <c r="X97" i="10" s="1"/>
  <c r="EA97" i="10"/>
  <c r="AN97" i="10" s="1"/>
  <c r="EC98" i="10"/>
  <c r="AP98" i="10" s="1"/>
  <c r="DS100" i="10"/>
  <c r="AF100" i="10" s="1"/>
  <c r="DO93" i="10"/>
  <c r="AB93" i="10" s="1"/>
  <c r="EE93" i="10"/>
  <c r="AR93" i="10" s="1"/>
  <c r="DM103" i="10"/>
  <c r="Z103" i="10" s="1"/>
  <c r="DS97" i="10"/>
  <c r="AF97" i="10" s="1"/>
  <c r="DZ103" i="10"/>
  <c r="AM103" i="10" s="1"/>
  <c r="DU97" i="10"/>
  <c r="AH97" i="10" s="1"/>
  <c r="DJ97" i="10"/>
  <c r="W97" i="10" s="1"/>
  <c r="DO95" i="10"/>
  <c r="AB95" i="10" s="1"/>
  <c r="DV95" i="10"/>
  <c r="AI95" i="10" s="1"/>
  <c r="DT85" i="10"/>
  <c r="AG85" i="10" s="1"/>
  <c r="EC86" i="10"/>
  <c r="AP86" i="10" s="1"/>
  <c r="EA95" i="10"/>
  <c r="AN95" i="10" s="1"/>
  <c r="DR104" i="10"/>
  <c r="AE104" i="10" s="1"/>
  <c r="DY85" i="10"/>
  <c r="AL85" i="10" s="1"/>
  <c r="EB85" i="10"/>
  <c r="AO85" i="10" s="1"/>
  <c r="DR85" i="10"/>
  <c r="AE85" i="10" s="1"/>
  <c r="DY86" i="10"/>
  <c r="AL86" i="10" s="1"/>
  <c r="DT92" i="10"/>
  <c r="AG92" i="10" s="1"/>
  <c r="DU95" i="10"/>
  <c r="AH95" i="10" s="1"/>
  <c r="DV86" i="10"/>
  <c r="AI86" i="10" s="1"/>
  <c r="EA104" i="10"/>
  <c r="AN104" i="10" s="1"/>
  <c r="DS104" i="10"/>
  <c r="AF104" i="10" s="1"/>
  <c r="EE104" i="10"/>
  <c r="AR104" i="10" s="1"/>
  <c r="EB87" i="10"/>
  <c r="AO87" i="10" s="1"/>
  <c r="DO87" i="10"/>
  <c r="AB87" i="10" s="1"/>
  <c r="EE85" i="10"/>
  <c r="AR85" i="10" s="1"/>
  <c r="DL86" i="10"/>
  <c r="Y86" i="10" s="1"/>
  <c r="DW92" i="10"/>
  <c r="AJ92" i="10" s="1"/>
  <c r="DU92" i="10"/>
  <c r="AH92" i="10" s="1"/>
  <c r="DK95" i="10"/>
  <c r="X95" i="10" s="1"/>
  <c r="ED87" i="10"/>
  <c r="AQ87" i="10" s="1"/>
  <c r="DQ104" i="10"/>
  <c r="AD104" i="10" s="1"/>
  <c r="EB104" i="10"/>
  <c r="AO104" i="10" s="1"/>
  <c r="DX104" i="10"/>
  <c r="AK104" i="10" s="1"/>
  <c r="DJ87" i="10"/>
  <c r="W87" i="10" s="1"/>
  <c r="DR86" i="10"/>
  <c r="AE86" i="10" s="1"/>
  <c r="EE86" i="10"/>
  <c r="AR86" i="10" s="1"/>
  <c r="DY92" i="10"/>
  <c r="AL92" i="10" s="1"/>
  <c r="DZ104" i="10"/>
  <c r="AM104" i="10" s="1"/>
  <c r="DW104" i="10"/>
  <c r="AJ104" i="10" s="1"/>
  <c r="Z44" i="28"/>
  <c r="A45" i="28" s="1"/>
  <c r="AE43" i="28"/>
  <c r="EM233" i="10"/>
  <c r="FJ233" i="10"/>
  <c r="EU233" i="10"/>
  <c r="FB233" i="10"/>
  <c r="FG233" i="10"/>
  <c r="FF233" i="10"/>
  <c r="EJ233" i="10"/>
  <c r="FH233" i="10"/>
  <c r="FK233" i="10"/>
  <c r="ER233" i="10"/>
  <c r="ET233" i="10"/>
  <c r="EP233" i="10"/>
  <c r="FE233" i="10"/>
  <c r="EO233" i="10"/>
  <c r="ES233" i="10"/>
  <c r="EL233" i="10"/>
  <c r="FC233" i="10"/>
  <c r="EI233" i="10"/>
  <c r="EY233" i="10"/>
  <c r="EG233" i="10"/>
  <c r="FD233" i="10"/>
  <c r="FL233" i="10"/>
  <c r="EW233" i="10"/>
  <c r="FA233" i="10"/>
  <c r="EK233" i="10"/>
  <c r="EQ233" i="10"/>
  <c r="FI233" i="10"/>
  <c r="EV233" i="10"/>
  <c r="EH233" i="10"/>
  <c r="EN233" i="10"/>
  <c r="CB233" i="10"/>
  <c r="BP233" i="10"/>
  <c r="EZ233" i="10"/>
  <c r="EX233" i="10"/>
  <c r="FJ119" i="10"/>
  <c r="BW119" i="10" s="1"/>
  <c r="FK119" i="10"/>
  <c r="BX119" i="10" s="1"/>
  <c r="EZ119" i="10"/>
  <c r="BM119" i="10" s="1"/>
  <c r="DY119" i="10"/>
  <c r="AL119" i="10" s="1"/>
  <c r="FH119" i="10"/>
  <c r="BU119" i="10" s="1"/>
  <c r="DM119" i="10"/>
  <c r="Z119" i="10" s="1"/>
  <c r="FC119" i="10"/>
  <c r="BP119" i="10" s="1"/>
  <c r="FD119" i="10"/>
  <c r="BQ119" i="10" s="1"/>
  <c r="EO119" i="10"/>
  <c r="BB119" i="10" s="1"/>
  <c r="FF119" i="10"/>
  <c r="BS119" i="10" s="1"/>
  <c r="FI119" i="10"/>
  <c r="BV119" i="10" s="1"/>
  <c r="EK119" i="10"/>
  <c r="AX119" i="10" s="1"/>
  <c r="DP119" i="10"/>
  <c r="AC119" i="10" s="1"/>
  <c r="EW119" i="10"/>
  <c r="BJ119" i="10" s="1"/>
  <c r="FE119" i="10"/>
  <c r="BR119" i="10" s="1"/>
  <c r="DS119" i="10"/>
  <c r="AF119" i="10" s="1"/>
  <c r="FG119" i="10"/>
  <c r="BT119" i="10" s="1"/>
  <c r="DW119" i="10"/>
  <c r="AJ119" i="10" s="1"/>
  <c r="DJ119" i="10"/>
  <c r="W119" i="10" s="1"/>
  <c r="DN119" i="10"/>
  <c r="AA119" i="10" s="1"/>
  <c r="EX119" i="10"/>
  <c r="BK119" i="10" s="1"/>
  <c r="EU119" i="10"/>
  <c r="BH119" i="10" s="1"/>
  <c r="EH119" i="10"/>
  <c r="AU119" i="10" s="1"/>
  <c r="FA119" i="10"/>
  <c r="BN119" i="10" s="1"/>
  <c r="DK119" i="10"/>
  <c r="X119" i="10" s="1"/>
  <c r="DL119" i="10"/>
  <c r="Y119" i="10" s="1"/>
  <c r="EQ119" i="10"/>
  <c r="BD119" i="10" s="1"/>
  <c r="EM119" i="10"/>
  <c r="AZ119" i="10" s="1"/>
  <c r="ES119" i="10"/>
  <c r="BF119" i="10" s="1"/>
  <c r="EE119" i="10"/>
  <c r="AR119" i="10" s="1"/>
  <c r="EP119" i="10"/>
  <c r="BC119" i="10" s="1"/>
  <c r="EA119" i="10"/>
  <c r="AN119" i="10" s="1"/>
  <c r="EB119" i="10"/>
  <c r="AO119" i="10" s="1"/>
  <c r="CB119" i="10"/>
  <c r="DO119" i="10"/>
  <c r="AB119" i="10" s="1"/>
  <c r="EV119" i="10"/>
  <c r="BI119" i="10" s="1"/>
  <c r="EJ119" i="10"/>
  <c r="AW119" i="10" s="1"/>
  <c r="ER119" i="10"/>
  <c r="BE119" i="10" s="1"/>
  <c r="ET119" i="10"/>
  <c r="BG119" i="10" s="1"/>
  <c r="DR119" i="10"/>
  <c r="AE119" i="10" s="1"/>
  <c r="DM35" i="10"/>
  <c r="Z35" i="10" s="1"/>
  <c r="DL35" i="10"/>
  <c r="Y35" i="10" s="1"/>
  <c r="DP35" i="10"/>
  <c r="AC35" i="10" s="1"/>
  <c r="FK231" i="10"/>
  <c r="EX231" i="10"/>
  <c r="FD231" i="10"/>
  <c r="EP231" i="10"/>
  <c r="FJ231" i="10"/>
  <c r="EG231" i="10"/>
  <c r="FF231" i="10"/>
  <c r="EL231" i="10"/>
  <c r="EK231" i="10"/>
  <c r="DY152" i="10"/>
  <c r="AL152" i="10" s="1"/>
  <c r="FC152" i="10"/>
  <c r="BP152" i="10" s="1"/>
  <c r="EO152" i="10"/>
  <c r="BB152" i="10" s="1"/>
  <c r="DK152" i="10"/>
  <c r="X152" i="10" s="1"/>
  <c r="ED152" i="10"/>
  <c r="AQ152" i="10" s="1"/>
  <c r="EB152" i="10"/>
  <c r="AO152" i="10" s="1"/>
  <c r="EU152" i="10"/>
  <c r="BH152" i="10" s="1"/>
  <c r="EZ152" i="10"/>
  <c r="BM152" i="10" s="1"/>
  <c r="DU152" i="10"/>
  <c r="AH152" i="10" s="1"/>
  <c r="DT152" i="10"/>
  <c r="AG152" i="10" s="1"/>
  <c r="EE152" i="10"/>
  <c r="AR152" i="10" s="1"/>
  <c r="DW152" i="10"/>
  <c r="AJ152" i="10" s="1"/>
  <c r="FL152" i="10"/>
  <c r="BY152" i="10" s="1"/>
  <c r="FB152" i="10"/>
  <c r="BO152" i="10" s="1"/>
  <c r="DJ152" i="10"/>
  <c r="W152" i="10" s="1"/>
  <c r="DL152" i="10"/>
  <c r="Y152" i="10" s="1"/>
  <c r="EY152" i="10"/>
  <c r="BL152" i="10" s="1"/>
  <c r="EQ152" i="10"/>
  <c r="BD152" i="10" s="1"/>
  <c r="DX152" i="10"/>
  <c r="AK152" i="10" s="1"/>
  <c r="DV152" i="10"/>
  <c r="AI152" i="10" s="1"/>
  <c r="DM152" i="10"/>
  <c r="Z152" i="10" s="1"/>
  <c r="DP152" i="10"/>
  <c r="AC152" i="10" s="1"/>
  <c r="FE152" i="10"/>
  <c r="BR152" i="10" s="1"/>
  <c r="FA152" i="10"/>
  <c r="BN152" i="10" s="1"/>
  <c r="FH152" i="10"/>
  <c r="BU152" i="10" s="1"/>
  <c r="FJ152" i="10"/>
  <c r="BW152" i="10" s="1"/>
  <c r="DN152" i="10"/>
  <c r="AA152" i="10" s="1"/>
  <c r="ET152" i="10"/>
  <c r="BG152" i="10" s="1"/>
  <c r="EW152" i="10"/>
  <c r="BJ152" i="10" s="1"/>
  <c r="ES152" i="10"/>
  <c r="BF152" i="10" s="1"/>
  <c r="EV152" i="10"/>
  <c r="BI152" i="10" s="1"/>
  <c r="DQ152" i="10"/>
  <c r="AD152" i="10" s="1"/>
  <c r="FI152" i="10"/>
  <c r="BV152" i="10" s="1"/>
  <c r="EI152" i="10"/>
  <c r="AV152" i="10" s="1"/>
  <c r="FG152" i="10"/>
  <c r="BT152" i="10" s="1"/>
  <c r="EH152" i="10"/>
  <c r="AU152" i="10" s="1"/>
  <c r="EP152" i="10"/>
  <c r="BC152" i="10" s="1"/>
  <c r="EN152" i="10"/>
  <c r="BA152" i="10" s="1"/>
  <c r="CB152" i="10"/>
  <c r="FK152" i="10"/>
  <c r="BX152" i="10" s="1"/>
  <c r="DU155" i="10"/>
  <c r="AH155" i="10" s="1"/>
  <c r="EN155" i="10"/>
  <c r="BA155" i="10" s="1"/>
  <c r="FG155" i="10"/>
  <c r="BT155" i="10" s="1"/>
  <c r="FF155" i="10"/>
  <c r="BS155" i="10" s="1"/>
  <c r="DJ35" i="10"/>
  <c r="W35" i="10" s="1"/>
  <c r="EW155" i="10"/>
  <c r="BJ155" i="10" s="1"/>
  <c r="EL155" i="10"/>
  <c r="AY155" i="10" s="1"/>
  <c r="EC155" i="10"/>
  <c r="AP155" i="10" s="1"/>
  <c r="CZ156" i="10"/>
  <c r="CZ107" i="10"/>
  <c r="CZ51" i="10"/>
  <c r="CZ115" i="10"/>
  <c r="EO155" i="10"/>
  <c r="BB155" i="10" s="1"/>
  <c r="DZ155" i="10"/>
  <c r="AM155" i="10" s="1"/>
  <c r="EG155" i="10"/>
  <c r="AT155" i="10" s="1"/>
  <c r="EH155" i="10"/>
  <c r="AU155" i="10" s="1"/>
  <c r="DS155" i="10"/>
  <c r="AF155" i="10" s="1"/>
  <c r="ES155" i="10"/>
  <c r="BF155" i="10" s="1"/>
  <c r="EP155" i="10"/>
  <c r="BC155" i="10" s="1"/>
  <c r="EQ155" i="10"/>
  <c r="BD155" i="10" s="1"/>
  <c r="FB155" i="10"/>
  <c r="BO155" i="10" s="1"/>
  <c r="EE155" i="10"/>
  <c r="AR155" i="10" s="1"/>
  <c r="CB155" i="10"/>
  <c r="FI155" i="10"/>
  <c r="BV155" i="10" s="1"/>
  <c r="DO155" i="10"/>
  <c r="AB155" i="10" s="1"/>
  <c r="EA35" i="10"/>
  <c r="AN35" i="10" s="1"/>
  <c r="DN155" i="10"/>
  <c r="AA155" i="10" s="1"/>
  <c r="ET155" i="10"/>
  <c r="BG155" i="10" s="1"/>
  <c r="EA155" i="10"/>
  <c r="AN155" i="10" s="1"/>
  <c r="EX155" i="10"/>
  <c r="BK155" i="10" s="1"/>
  <c r="FA155" i="10"/>
  <c r="BN155" i="10" s="1"/>
  <c r="DY155" i="10"/>
  <c r="AL155" i="10" s="1"/>
  <c r="EJ155" i="10"/>
  <c r="AW155" i="10" s="1"/>
  <c r="DT35" i="10"/>
  <c r="AG35" i="10" s="1"/>
  <c r="EC35" i="10"/>
  <c r="AP35" i="10" s="1"/>
  <c r="CZ125" i="10"/>
  <c r="DM155" i="10"/>
  <c r="Z155" i="10" s="1"/>
  <c r="EB155" i="10"/>
  <c r="AO155" i="10" s="1"/>
  <c r="FE155" i="10"/>
  <c r="BR155" i="10" s="1"/>
  <c r="DJ155" i="10"/>
  <c r="W155" i="10" s="1"/>
  <c r="DW155" i="10"/>
  <c r="AJ155" i="10" s="1"/>
  <c r="FD155" i="10"/>
  <c r="BQ155" i="10" s="1"/>
  <c r="EM155" i="10"/>
  <c r="AZ155" i="10" s="1"/>
  <c r="DV155" i="10"/>
  <c r="AI155" i="10" s="1"/>
  <c r="DX155" i="10"/>
  <c r="AK155" i="10" s="1"/>
  <c r="EE35" i="10"/>
  <c r="AR35" i="10" s="1"/>
  <c r="CZ55" i="10"/>
  <c r="CZ65" i="10"/>
  <c r="CZ110" i="10"/>
  <c r="FK155" i="10"/>
  <c r="BX155" i="10" s="1"/>
  <c r="EK155" i="10"/>
  <c r="AX155" i="10" s="1"/>
  <c r="EZ155" i="10"/>
  <c r="BM155" i="10" s="1"/>
  <c r="EI155" i="10"/>
  <c r="AV155" i="10" s="1"/>
  <c r="DP155" i="10"/>
  <c r="AC155" i="10" s="1"/>
  <c r="FC155" i="10"/>
  <c r="BP155" i="10" s="1"/>
  <c r="DT155" i="10"/>
  <c r="AG155" i="10" s="1"/>
  <c r="ER155" i="10"/>
  <c r="BE155" i="10" s="1"/>
  <c r="DL155" i="10"/>
  <c r="Y155" i="10" s="1"/>
  <c r="EY155" i="10"/>
  <c r="BL155" i="10" s="1"/>
  <c r="ED155" i="10"/>
  <c r="AQ155" i="10" s="1"/>
  <c r="EV155" i="10"/>
  <c r="BI155" i="10" s="1"/>
  <c r="FH155" i="10"/>
  <c r="BU155" i="10" s="1"/>
  <c r="EB35" i="10"/>
  <c r="AO35" i="10" s="1"/>
  <c r="ED35" i="10"/>
  <c r="AQ35" i="10" s="1"/>
  <c r="EO35" i="10"/>
  <c r="BB35" i="10" s="1"/>
  <c r="ES35" i="10"/>
  <c r="BF35" i="10" s="1"/>
  <c r="ER35" i="10"/>
  <c r="BE35" i="10" s="1"/>
  <c r="EH35" i="10"/>
  <c r="AU35" i="10" s="1"/>
  <c r="FJ35" i="10"/>
  <c r="BW35" i="10" s="1"/>
  <c r="EK35" i="10"/>
  <c r="AX35" i="10" s="1"/>
  <c r="EN35" i="10"/>
  <c r="BA35" i="10" s="1"/>
  <c r="DQ35" i="10"/>
  <c r="AD35" i="10" s="1"/>
  <c r="ET35" i="10"/>
  <c r="BG35" i="10" s="1"/>
  <c r="EJ35" i="10"/>
  <c r="AW35" i="10" s="1"/>
  <c r="FI35" i="10"/>
  <c r="BV35" i="10" s="1"/>
  <c r="FL35" i="10"/>
  <c r="BY35" i="10" s="1"/>
  <c r="EI35" i="10"/>
  <c r="AV35" i="10" s="1"/>
  <c r="FE35" i="10"/>
  <c r="BR35" i="10" s="1"/>
  <c r="FF35" i="10"/>
  <c r="BS35" i="10" s="1"/>
  <c r="EW35" i="10"/>
  <c r="BJ35" i="10" s="1"/>
  <c r="FH35" i="10"/>
  <c r="BU35" i="10" s="1"/>
  <c r="EM35" i="10"/>
  <c r="AZ35" i="10" s="1"/>
  <c r="DO35" i="10"/>
  <c r="AB35" i="10" s="1"/>
  <c r="EZ35" i="10"/>
  <c r="BM35" i="10" s="1"/>
  <c r="EG35" i="10"/>
  <c r="AT35" i="10" s="1"/>
  <c r="FG35" i="10"/>
  <c r="BT35" i="10" s="1"/>
  <c r="EV35" i="10"/>
  <c r="BI35" i="10" s="1"/>
  <c r="DV35" i="10"/>
  <c r="AI35" i="10" s="1"/>
  <c r="EL35" i="10"/>
  <c r="AY35" i="10" s="1"/>
  <c r="EY35" i="10"/>
  <c r="BL35" i="10" s="1"/>
  <c r="EP35" i="10"/>
  <c r="BC35" i="10" s="1"/>
  <c r="EX35" i="10"/>
  <c r="BK35" i="10" s="1"/>
  <c r="FC35" i="10"/>
  <c r="BP35" i="10" s="1"/>
  <c r="FD35" i="10"/>
  <c r="BQ35" i="10" s="1"/>
  <c r="EU35" i="10"/>
  <c r="BH35" i="10" s="1"/>
  <c r="FA35" i="10"/>
  <c r="BN35" i="10" s="1"/>
  <c r="FK35" i="10"/>
  <c r="BX35" i="10" s="1"/>
  <c r="FB35" i="10"/>
  <c r="BO35" i="10" s="1"/>
  <c r="DW35" i="10"/>
  <c r="AJ35" i="10" s="1"/>
  <c r="EQ35" i="10"/>
  <c r="BD35" i="10" s="1"/>
  <c r="DM46" i="10"/>
  <c r="Z46" i="10" s="1"/>
  <c r="FL46" i="10"/>
  <c r="BY46" i="10" s="1"/>
  <c r="ER46" i="10"/>
  <c r="BE46" i="10" s="1"/>
  <c r="EQ46" i="10"/>
  <c r="BD46" i="10" s="1"/>
  <c r="FD46" i="10"/>
  <c r="BQ46" i="10" s="1"/>
  <c r="FK46" i="10"/>
  <c r="BX46" i="10" s="1"/>
  <c r="DJ46" i="10"/>
  <c r="W46" i="10" s="1"/>
  <c r="EZ46" i="10"/>
  <c r="BM46" i="10" s="1"/>
  <c r="DP46" i="10"/>
  <c r="AC46" i="10" s="1"/>
  <c r="EH46" i="10"/>
  <c r="AU46" i="10" s="1"/>
  <c r="EK46" i="10"/>
  <c r="AX46" i="10" s="1"/>
  <c r="EO46" i="10"/>
  <c r="BB46" i="10" s="1"/>
  <c r="EE46" i="10"/>
  <c r="AR46" i="10" s="1"/>
  <c r="EY46" i="10"/>
  <c r="BL46" i="10" s="1"/>
  <c r="DS46" i="10"/>
  <c r="AF46" i="10" s="1"/>
  <c r="FH46" i="10"/>
  <c r="BU46" i="10" s="1"/>
  <c r="EP46" i="10"/>
  <c r="BC46" i="10" s="1"/>
  <c r="EG46" i="10"/>
  <c r="AT46" i="10" s="1"/>
  <c r="DU46" i="10"/>
  <c r="AH46" i="10" s="1"/>
  <c r="EM46" i="10"/>
  <c r="AZ46" i="10" s="1"/>
  <c r="EL46" i="10"/>
  <c r="AY46" i="10" s="1"/>
  <c r="DQ46" i="10"/>
  <c r="AD46" i="10" s="1"/>
  <c r="DN46" i="10"/>
  <c r="AA46" i="10" s="1"/>
  <c r="EU46" i="10"/>
  <c r="BH46" i="10" s="1"/>
  <c r="FC46" i="10"/>
  <c r="BP46" i="10" s="1"/>
  <c r="FF46" i="10"/>
  <c r="BS46" i="10" s="1"/>
  <c r="FG46" i="10"/>
  <c r="BT46" i="10" s="1"/>
  <c r="ES46" i="10"/>
  <c r="BF46" i="10" s="1"/>
  <c r="DR46" i="10"/>
  <c r="AE46" i="10" s="1"/>
  <c r="DT46" i="10"/>
  <c r="AG46" i="10" s="1"/>
  <c r="DL46" i="10"/>
  <c r="Y46" i="10" s="1"/>
  <c r="EV46" i="10"/>
  <c r="BI46" i="10" s="1"/>
  <c r="EC46" i="10"/>
  <c r="AP46" i="10" s="1"/>
  <c r="DV46" i="10"/>
  <c r="AI46" i="10" s="1"/>
  <c r="EW46" i="10"/>
  <c r="BJ46" i="10" s="1"/>
  <c r="EJ46" i="10"/>
  <c r="AW46" i="10" s="1"/>
  <c r="EA46" i="10"/>
  <c r="AN46" i="10" s="1"/>
  <c r="DK46" i="10"/>
  <c r="X46" i="10" s="1"/>
  <c r="EN46" i="10"/>
  <c r="BA46" i="10" s="1"/>
  <c r="FE46" i="10"/>
  <c r="BR46" i="10" s="1"/>
  <c r="FI46" i="10"/>
  <c r="BV46" i="10" s="1"/>
  <c r="ET46" i="10"/>
  <c r="BG46" i="10" s="1"/>
  <c r="DY46" i="10"/>
  <c r="AL46" i="10" s="1"/>
  <c r="ED46" i="10"/>
  <c r="AQ46" i="10" s="1"/>
  <c r="EX46" i="10"/>
  <c r="BK46" i="10" s="1"/>
  <c r="FB46" i="10"/>
  <c r="BO46" i="10" s="1"/>
  <c r="EB46" i="10"/>
  <c r="AO46" i="10" s="1"/>
  <c r="DW46" i="10"/>
  <c r="AJ46" i="10" s="1"/>
  <c r="FA46" i="10"/>
  <c r="BN46" i="10" s="1"/>
  <c r="DZ46" i="10"/>
  <c r="AM46" i="10" s="1"/>
  <c r="DX46" i="10"/>
  <c r="AK46" i="10" s="1"/>
  <c r="DO46" i="10"/>
  <c r="AB46" i="10" s="1"/>
  <c r="FJ46" i="10"/>
  <c r="BW46" i="10" s="1"/>
  <c r="EI46" i="10"/>
  <c r="AV46" i="10" s="1"/>
  <c r="CB46" i="10"/>
  <c r="FJ155" i="10"/>
  <c r="BW155" i="10" s="1"/>
  <c r="DK155" i="10"/>
  <c r="X155" i="10" s="1"/>
  <c r="DR155" i="10"/>
  <c r="AE155" i="10" s="1"/>
  <c r="EU155" i="10"/>
  <c r="BH155" i="10" s="1"/>
  <c r="DQ155" i="10"/>
  <c r="AD155" i="10" s="1"/>
  <c r="EM83" i="10"/>
  <c r="AZ83" i="10" s="1"/>
  <c r="FH83" i="10"/>
  <c r="BU83" i="10" s="1"/>
  <c r="ER83" i="10"/>
  <c r="BE83" i="10" s="1"/>
  <c r="EJ83" i="10"/>
  <c r="AW83" i="10" s="1"/>
  <c r="FD83" i="10"/>
  <c r="BQ83" i="10" s="1"/>
  <c r="EK83" i="10"/>
  <c r="AX83" i="10" s="1"/>
  <c r="EZ83" i="10"/>
  <c r="BM83" i="10" s="1"/>
  <c r="FK83" i="10"/>
  <c r="BX83" i="10" s="1"/>
  <c r="FA83" i="10"/>
  <c r="BN83" i="10" s="1"/>
  <c r="EW83" i="10"/>
  <c r="BJ83" i="10" s="1"/>
  <c r="EY83" i="10"/>
  <c r="BL83" i="10" s="1"/>
  <c r="EO83" i="10"/>
  <c r="BB83" i="10" s="1"/>
  <c r="FE83" i="10"/>
  <c r="BR83" i="10" s="1"/>
  <c r="FB83" i="10"/>
  <c r="BO83" i="10" s="1"/>
  <c r="EH83" i="10"/>
  <c r="AU83" i="10" s="1"/>
  <c r="EX83" i="10"/>
  <c r="BK83" i="10" s="1"/>
  <c r="FJ83" i="10"/>
  <c r="BW83" i="10" s="1"/>
  <c r="EV83" i="10"/>
  <c r="BI83" i="10" s="1"/>
  <c r="EL83" i="10"/>
  <c r="AY83" i="10" s="1"/>
  <c r="FI83" i="10"/>
  <c r="BV83" i="10" s="1"/>
  <c r="EN83" i="10"/>
  <c r="BA83" i="10" s="1"/>
  <c r="EU83" i="10"/>
  <c r="BH83" i="10" s="1"/>
  <c r="FF83" i="10"/>
  <c r="BS83" i="10" s="1"/>
  <c r="ET83" i="10"/>
  <c r="BG83" i="10" s="1"/>
  <c r="FC83" i="10"/>
  <c r="BP83" i="10" s="1"/>
  <c r="ES83" i="10"/>
  <c r="BF83" i="10" s="1"/>
  <c r="FL83" i="10"/>
  <c r="BY83" i="10" s="1"/>
  <c r="EQ83" i="10"/>
  <c r="BD83" i="10" s="1"/>
  <c r="FG83" i="10"/>
  <c r="BT83" i="10" s="1"/>
  <c r="EP83" i="10"/>
  <c r="BC83" i="10" s="1"/>
  <c r="EG83" i="10"/>
  <c r="AT83" i="10" s="1"/>
  <c r="EI83" i="10"/>
  <c r="AV83" i="10" s="1"/>
  <c r="DZ121" i="10"/>
  <c r="AM121" i="10" s="1"/>
  <c r="EN121" i="10"/>
  <c r="BA121" i="10" s="1"/>
  <c r="EL121" i="10"/>
  <c r="AY121" i="10" s="1"/>
  <c r="EU121" i="10"/>
  <c r="BH121" i="10" s="1"/>
  <c r="DY121" i="10"/>
  <c r="AL121" i="10" s="1"/>
  <c r="FK121" i="10"/>
  <c r="BX121" i="10" s="1"/>
  <c r="ET121" i="10"/>
  <c r="BG121" i="10" s="1"/>
  <c r="EX121" i="10"/>
  <c r="BK121" i="10" s="1"/>
  <c r="DS121" i="10"/>
  <c r="AF121" i="10" s="1"/>
  <c r="FA121" i="10"/>
  <c r="BN121" i="10" s="1"/>
  <c r="EO121" i="10"/>
  <c r="BB121" i="10" s="1"/>
  <c r="FE121" i="10"/>
  <c r="BR121" i="10" s="1"/>
  <c r="DM121" i="10"/>
  <c r="Z121" i="10" s="1"/>
  <c r="FL121" i="10"/>
  <c r="BY121" i="10" s="1"/>
  <c r="DK121" i="10"/>
  <c r="X121" i="10" s="1"/>
  <c r="EG121" i="10"/>
  <c r="AT121" i="10" s="1"/>
  <c r="ED121" i="10"/>
  <c r="AQ121" i="10" s="1"/>
  <c r="DV121" i="10"/>
  <c r="AI121" i="10" s="1"/>
  <c r="EE121" i="10"/>
  <c r="AR121" i="10" s="1"/>
  <c r="FG121" i="10"/>
  <c r="BT121" i="10" s="1"/>
  <c r="ES121" i="10"/>
  <c r="BF121" i="10" s="1"/>
  <c r="EC121" i="10"/>
  <c r="AP121" i="10" s="1"/>
  <c r="DL121" i="10"/>
  <c r="Y121" i="10" s="1"/>
  <c r="FJ121" i="10"/>
  <c r="BW121" i="10" s="1"/>
  <c r="CB121" i="10"/>
  <c r="FC121" i="10"/>
  <c r="BP121" i="10" s="1"/>
  <c r="FF121" i="10"/>
  <c r="BS121" i="10" s="1"/>
  <c r="EZ121" i="10"/>
  <c r="BM121" i="10" s="1"/>
  <c r="DQ121" i="10"/>
  <c r="AD121" i="10" s="1"/>
  <c r="ER121" i="10"/>
  <c r="BE121" i="10" s="1"/>
  <c r="DT121" i="10"/>
  <c r="AG121" i="10" s="1"/>
  <c r="DP121" i="10"/>
  <c r="AC121" i="10" s="1"/>
  <c r="EW121" i="10"/>
  <c r="BJ121" i="10" s="1"/>
  <c r="FB121" i="10"/>
  <c r="BO121" i="10" s="1"/>
  <c r="DR121" i="10"/>
  <c r="AE121" i="10" s="1"/>
  <c r="EB121" i="10"/>
  <c r="AO121" i="10" s="1"/>
  <c r="EK121" i="10"/>
  <c r="AX121" i="10" s="1"/>
  <c r="FH121" i="10"/>
  <c r="BU121" i="10" s="1"/>
  <c r="EJ121" i="10"/>
  <c r="AW121" i="10" s="1"/>
  <c r="DU121" i="10"/>
  <c r="AH121" i="10" s="1"/>
  <c r="DX121" i="10"/>
  <c r="AK121" i="10" s="1"/>
  <c r="FD121" i="10"/>
  <c r="BQ121" i="10" s="1"/>
  <c r="DW121" i="10"/>
  <c r="AJ121" i="10" s="1"/>
  <c r="DO121" i="10"/>
  <c r="AB121" i="10" s="1"/>
  <c r="EA121" i="10"/>
  <c r="AN121" i="10" s="1"/>
  <c r="DN121" i="10"/>
  <c r="AA121" i="10" s="1"/>
  <c r="FI121" i="10"/>
  <c r="BV121" i="10" s="1"/>
  <c r="EH121" i="10"/>
  <c r="AU121" i="10" s="1"/>
  <c r="EI121" i="10"/>
  <c r="AV121" i="10" s="1"/>
  <c r="EY121" i="10"/>
  <c r="BL121" i="10" s="1"/>
  <c r="EP121" i="10"/>
  <c r="BC121" i="10" s="1"/>
  <c r="EQ121" i="10"/>
  <c r="BD121" i="10" s="1"/>
  <c r="EM121" i="10"/>
  <c r="AZ121" i="10" s="1"/>
  <c r="DJ121" i="10"/>
  <c r="W121" i="10" s="1"/>
  <c r="EV121" i="10"/>
  <c r="BI121" i="10" s="1"/>
  <c r="DN116" i="10"/>
  <c r="AA116" i="10" s="1"/>
  <c r="EH116" i="10"/>
  <c r="AU116" i="10" s="1"/>
  <c r="FE116" i="10"/>
  <c r="BR116" i="10" s="1"/>
  <c r="ED116" i="10"/>
  <c r="AQ116" i="10" s="1"/>
  <c r="DJ116" i="10"/>
  <c r="W116" i="10" s="1"/>
  <c r="EB116" i="10"/>
  <c r="AO116" i="10" s="1"/>
  <c r="EV116" i="10"/>
  <c r="BI116" i="10" s="1"/>
  <c r="DT116" i="10"/>
  <c r="AG116" i="10" s="1"/>
  <c r="DW116" i="10"/>
  <c r="AJ116" i="10" s="1"/>
  <c r="EY116" i="10"/>
  <c r="BL116" i="10" s="1"/>
  <c r="ET116" i="10"/>
  <c r="BG116" i="10" s="1"/>
  <c r="DK116" i="10"/>
  <c r="X116" i="10" s="1"/>
  <c r="DM116" i="10"/>
  <c r="Z116" i="10" s="1"/>
  <c r="DQ116" i="10"/>
  <c r="AD116" i="10" s="1"/>
  <c r="EU116" i="10"/>
  <c r="BH116" i="10" s="1"/>
  <c r="DO116" i="10"/>
  <c r="AB116" i="10" s="1"/>
  <c r="ER116" i="10"/>
  <c r="BE116" i="10" s="1"/>
  <c r="EN116" i="10"/>
  <c r="BA116" i="10" s="1"/>
  <c r="EO116" i="10"/>
  <c r="BB116" i="10" s="1"/>
  <c r="DR116" i="10"/>
  <c r="AE116" i="10" s="1"/>
  <c r="ES116" i="10"/>
  <c r="BF116" i="10" s="1"/>
  <c r="EW116" i="10"/>
  <c r="BJ116" i="10" s="1"/>
  <c r="FA116" i="10"/>
  <c r="BN116" i="10" s="1"/>
  <c r="FK116" i="10"/>
  <c r="BX116" i="10" s="1"/>
  <c r="CB116" i="10"/>
  <c r="EZ116" i="10"/>
  <c r="BM116" i="10" s="1"/>
  <c r="FC116" i="10"/>
  <c r="BP116" i="10" s="1"/>
  <c r="DY116" i="10"/>
  <c r="AL116" i="10" s="1"/>
  <c r="DU116" i="10"/>
  <c r="AH116" i="10" s="1"/>
  <c r="EC116" i="10"/>
  <c r="AP116" i="10" s="1"/>
  <c r="EP116" i="10"/>
  <c r="BC116" i="10" s="1"/>
  <c r="FF116" i="10"/>
  <c r="BS116" i="10" s="1"/>
  <c r="FL116" i="10"/>
  <c r="BY116" i="10" s="1"/>
  <c r="EL116" i="10"/>
  <c r="AY116" i="10" s="1"/>
  <c r="EA116" i="10"/>
  <c r="AN116" i="10" s="1"/>
  <c r="EJ116" i="10"/>
  <c r="AW116" i="10" s="1"/>
  <c r="EK116" i="10"/>
  <c r="AX116" i="10" s="1"/>
  <c r="FH116" i="10"/>
  <c r="BU116" i="10" s="1"/>
  <c r="EI116" i="10"/>
  <c r="AV116" i="10" s="1"/>
  <c r="EM116" i="10"/>
  <c r="AZ116" i="10" s="1"/>
  <c r="DX116" i="10"/>
  <c r="AK116" i="10" s="1"/>
  <c r="FD116" i="10"/>
  <c r="BQ116" i="10" s="1"/>
  <c r="EG116" i="10"/>
  <c r="AT116" i="10" s="1"/>
  <c r="DZ116" i="10"/>
  <c r="AM116" i="10" s="1"/>
  <c r="DV116" i="10"/>
  <c r="AI116" i="10" s="1"/>
  <c r="FI116" i="10"/>
  <c r="BV116" i="10" s="1"/>
  <c r="FJ116" i="10"/>
  <c r="BW116" i="10" s="1"/>
  <c r="EX116" i="10"/>
  <c r="BK116" i="10" s="1"/>
  <c r="DL116" i="10"/>
  <c r="Y116" i="10" s="1"/>
  <c r="FB116" i="10"/>
  <c r="BO116" i="10" s="1"/>
  <c r="DS116" i="10"/>
  <c r="AF116" i="10" s="1"/>
  <c r="EQ116" i="10"/>
  <c r="BD116" i="10" s="1"/>
  <c r="DP116" i="10"/>
  <c r="AC116" i="10" s="1"/>
  <c r="FG116" i="10"/>
  <c r="BT116" i="10" s="1"/>
  <c r="EE116" i="10"/>
  <c r="AR116" i="10" s="1"/>
  <c r="FF19" i="10"/>
  <c r="BS19" i="10" s="1"/>
  <c r="EO19" i="10"/>
  <c r="BB19" i="10" s="1"/>
  <c r="ER19" i="10"/>
  <c r="BE19" i="10" s="1"/>
  <c r="EJ19" i="10"/>
  <c r="AW19" i="10" s="1"/>
  <c r="ET19" i="10"/>
  <c r="BG19" i="10" s="1"/>
  <c r="EL19" i="10"/>
  <c r="AY19" i="10" s="1"/>
  <c r="EV19" i="10"/>
  <c r="BI19" i="10" s="1"/>
  <c r="FA19" i="10"/>
  <c r="BN19" i="10" s="1"/>
  <c r="FB19" i="10"/>
  <c r="BO19" i="10" s="1"/>
  <c r="EP19" i="10"/>
  <c r="BC19" i="10" s="1"/>
  <c r="EI19" i="10"/>
  <c r="AV19" i="10" s="1"/>
  <c r="EH19" i="10"/>
  <c r="AU19" i="10" s="1"/>
  <c r="ES19" i="10"/>
  <c r="BF19" i="10" s="1"/>
  <c r="EQ19" i="10"/>
  <c r="BD19" i="10" s="1"/>
  <c r="FE19" i="10"/>
  <c r="BR19" i="10" s="1"/>
  <c r="EU19" i="10"/>
  <c r="BH19" i="10" s="1"/>
  <c r="FG19" i="10"/>
  <c r="BT19" i="10" s="1"/>
  <c r="FL19" i="10"/>
  <c r="BY19" i="10" s="1"/>
  <c r="EN19" i="10"/>
  <c r="BA19" i="10" s="1"/>
  <c r="EG19" i="10"/>
  <c r="AT19" i="10" s="1"/>
  <c r="EK19" i="10"/>
  <c r="AX19" i="10" s="1"/>
  <c r="FK19" i="10"/>
  <c r="BX19" i="10" s="1"/>
  <c r="FJ19" i="10"/>
  <c r="BW19" i="10" s="1"/>
  <c r="EX19" i="10"/>
  <c r="BK19" i="10" s="1"/>
  <c r="EY19" i="10"/>
  <c r="BL19" i="10" s="1"/>
  <c r="EW19" i="10"/>
  <c r="BJ19" i="10" s="1"/>
  <c r="EZ19" i="10"/>
  <c r="BM19" i="10" s="1"/>
  <c r="FD19" i="10"/>
  <c r="BQ19" i="10" s="1"/>
  <c r="EM19" i="10"/>
  <c r="AZ19" i="10" s="1"/>
  <c r="FI19" i="10"/>
  <c r="BV19" i="10" s="1"/>
  <c r="FC19" i="10"/>
  <c r="BP19" i="10" s="1"/>
  <c r="FH19" i="10"/>
  <c r="BU19" i="10" s="1"/>
  <c r="DU145" i="10"/>
  <c r="AH145" i="10" s="1"/>
  <c r="EH145" i="10"/>
  <c r="AU145" i="10" s="1"/>
  <c r="EA145" i="10"/>
  <c r="AN145" i="10" s="1"/>
  <c r="EE145" i="10"/>
  <c r="AR145" i="10" s="1"/>
  <c r="DR145" i="10"/>
  <c r="AE145" i="10" s="1"/>
  <c r="ED145" i="10"/>
  <c r="AQ145" i="10" s="1"/>
  <c r="EI145" i="10"/>
  <c r="AV145" i="10" s="1"/>
  <c r="EW145" i="10"/>
  <c r="BJ145" i="10" s="1"/>
  <c r="FG145" i="10"/>
  <c r="BT145" i="10" s="1"/>
  <c r="FJ145" i="10"/>
  <c r="BW145" i="10" s="1"/>
  <c r="FD145" i="10"/>
  <c r="BQ145" i="10" s="1"/>
  <c r="EM145" i="10"/>
  <c r="AZ145" i="10" s="1"/>
  <c r="EY145" i="10"/>
  <c r="BL145" i="10" s="1"/>
  <c r="EL145" i="10"/>
  <c r="AY145" i="10" s="1"/>
  <c r="FI145" i="10"/>
  <c r="BV145" i="10" s="1"/>
  <c r="EU145" i="10"/>
  <c r="BH145" i="10" s="1"/>
  <c r="DV145" i="10"/>
  <c r="AI145" i="10" s="1"/>
  <c r="DQ145" i="10"/>
  <c r="AD145" i="10" s="1"/>
  <c r="EX145" i="10"/>
  <c r="BK145" i="10" s="1"/>
  <c r="FH145" i="10"/>
  <c r="BU145" i="10" s="1"/>
  <c r="DM145" i="10"/>
  <c r="Z145" i="10" s="1"/>
  <c r="EV145" i="10"/>
  <c r="BI145" i="10" s="1"/>
  <c r="ES145" i="10"/>
  <c r="BF145" i="10" s="1"/>
  <c r="DY145" i="10"/>
  <c r="AL145" i="10" s="1"/>
  <c r="EO145" i="10"/>
  <c r="BB145" i="10" s="1"/>
  <c r="DX145" i="10"/>
  <c r="AK145" i="10" s="1"/>
  <c r="CB145" i="10"/>
  <c r="EK145" i="10"/>
  <c r="AX145" i="10" s="1"/>
  <c r="FF145" i="10"/>
  <c r="BS145" i="10" s="1"/>
  <c r="DJ145" i="10"/>
  <c r="W145" i="10" s="1"/>
  <c r="ER145" i="10"/>
  <c r="BE145" i="10" s="1"/>
  <c r="DN145" i="10"/>
  <c r="AA145" i="10" s="1"/>
  <c r="EC145" i="10"/>
  <c r="AP145" i="10" s="1"/>
  <c r="EQ145" i="10"/>
  <c r="BD145" i="10" s="1"/>
  <c r="DL145" i="10"/>
  <c r="Y145" i="10" s="1"/>
  <c r="EN145" i="10"/>
  <c r="BA145" i="10" s="1"/>
  <c r="EZ145" i="10"/>
  <c r="BM145" i="10" s="1"/>
  <c r="DT145" i="10"/>
  <c r="AG145" i="10" s="1"/>
  <c r="ET145" i="10"/>
  <c r="BG145" i="10" s="1"/>
  <c r="FE145" i="10"/>
  <c r="BR145" i="10" s="1"/>
  <c r="FC145" i="10"/>
  <c r="BP145" i="10" s="1"/>
  <c r="FK145" i="10"/>
  <c r="BX145" i="10" s="1"/>
  <c r="EP145" i="10"/>
  <c r="BC145" i="10" s="1"/>
  <c r="FB145" i="10"/>
  <c r="BO145" i="10" s="1"/>
  <c r="DS145" i="10"/>
  <c r="AF145" i="10" s="1"/>
  <c r="FL145" i="10"/>
  <c r="BY145" i="10" s="1"/>
  <c r="FA145" i="10"/>
  <c r="BN145" i="10" s="1"/>
  <c r="EJ145" i="10"/>
  <c r="AW145" i="10" s="1"/>
  <c r="DZ145" i="10"/>
  <c r="AM145" i="10" s="1"/>
  <c r="DO145" i="10"/>
  <c r="AB145" i="10" s="1"/>
  <c r="EB145" i="10"/>
  <c r="AO145" i="10" s="1"/>
  <c r="DP145" i="10"/>
  <c r="AC145" i="10" s="1"/>
  <c r="DW145" i="10"/>
  <c r="AJ145" i="10" s="1"/>
  <c r="EG145" i="10"/>
  <c r="AT145" i="10" s="1"/>
  <c r="DK145" i="10"/>
  <c r="X145" i="10" s="1"/>
  <c r="ET153" i="10"/>
  <c r="BG153" i="10" s="1"/>
  <c r="DO153" i="10"/>
  <c r="AB153" i="10" s="1"/>
  <c r="EG153" i="10"/>
  <c r="AT153" i="10" s="1"/>
  <c r="FC153" i="10"/>
  <c r="BP153" i="10" s="1"/>
  <c r="FJ153" i="10"/>
  <c r="BW153" i="10" s="1"/>
  <c r="EU153" i="10"/>
  <c r="BH153" i="10" s="1"/>
  <c r="EO153" i="10"/>
  <c r="BB153" i="10" s="1"/>
  <c r="ED153" i="10"/>
  <c r="AQ153" i="10" s="1"/>
  <c r="EZ153" i="10"/>
  <c r="BM153" i="10" s="1"/>
  <c r="FE153" i="10"/>
  <c r="BR153" i="10" s="1"/>
  <c r="FG153" i="10"/>
  <c r="BT153" i="10" s="1"/>
  <c r="EH153" i="10"/>
  <c r="AU153" i="10" s="1"/>
  <c r="FD153" i="10"/>
  <c r="BQ153" i="10" s="1"/>
  <c r="EQ153" i="10"/>
  <c r="BD153" i="10" s="1"/>
  <c r="DU153" i="10"/>
  <c r="AH153" i="10" s="1"/>
  <c r="DT153" i="10"/>
  <c r="AG153" i="10" s="1"/>
  <c r="EX153" i="10"/>
  <c r="BK153" i="10" s="1"/>
  <c r="CB153" i="10"/>
  <c r="DP153" i="10"/>
  <c r="AC153" i="10" s="1"/>
  <c r="DJ153" i="10"/>
  <c r="W153" i="10" s="1"/>
  <c r="EC153" i="10"/>
  <c r="AP153" i="10" s="1"/>
  <c r="EY153" i="10"/>
  <c r="BL153" i="10" s="1"/>
  <c r="FH153" i="10"/>
  <c r="BU153" i="10" s="1"/>
  <c r="DW153" i="10"/>
  <c r="AJ153" i="10" s="1"/>
  <c r="FK153" i="10"/>
  <c r="BX153" i="10" s="1"/>
  <c r="FI153" i="10"/>
  <c r="BV153" i="10" s="1"/>
  <c r="DY153" i="10"/>
  <c r="AL153" i="10" s="1"/>
  <c r="EW153" i="10"/>
  <c r="BJ153" i="10" s="1"/>
  <c r="DK153" i="10"/>
  <c r="X153" i="10" s="1"/>
  <c r="DL153" i="10"/>
  <c r="Y153" i="10" s="1"/>
  <c r="EK153" i="10"/>
  <c r="AX153" i="10" s="1"/>
  <c r="FF153" i="10"/>
  <c r="BS153" i="10" s="1"/>
  <c r="DX153" i="10"/>
  <c r="AK153" i="10" s="1"/>
  <c r="EE153" i="10"/>
  <c r="AR153" i="10" s="1"/>
  <c r="EN153" i="10"/>
  <c r="BA153" i="10" s="1"/>
  <c r="EM153" i="10"/>
  <c r="AZ153" i="10" s="1"/>
  <c r="DR153" i="10"/>
  <c r="AE153" i="10" s="1"/>
  <c r="DQ153" i="10"/>
  <c r="AD153" i="10" s="1"/>
  <c r="DZ153" i="10"/>
  <c r="AM153" i="10" s="1"/>
  <c r="EP153" i="10"/>
  <c r="BC153" i="10" s="1"/>
  <c r="ES153" i="10"/>
  <c r="BF153" i="10" s="1"/>
  <c r="EA153" i="10"/>
  <c r="AN153" i="10" s="1"/>
  <c r="ER153" i="10"/>
  <c r="BE153" i="10" s="1"/>
  <c r="FB153" i="10"/>
  <c r="BO153" i="10" s="1"/>
  <c r="EI153" i="10"/>
  <c r="AV153" i="10" s="1"/>
  <c r="EV153" i="10"/>
  <c r="BI153" i="10" s="1"/>
  <c r="EB153" i="10"/>
  <c r="AO153" i="10" s="1"/>
  <c r="DM153" i="10"/>
  <c r="Z153" i="10" s="1"/>
  <c r="EJ153" i="10"/>
  <c r="AW153" i="10" s="1"/>
  <c r="DS153" i="10"/>
  <c r="AF153" i="10" s="1"/>
  <c r="DV153" i="10"/>
  <c r="AI153" i="10" s="1"/>
  <c r="FA153" i="10"/>
  <c r="BN153" i="10" s="1"/>
  <c r="EL153" i="10"/>
  <c r="AY153" i="10" s="1"/>
  <c r="DN153" i="10"/>
  <c r="AA153" i="10" s="1"/>
  <c r="FL153" i="10"/>
  <c r="BY153" i="10" s="1"/>
  <c r="DQ133" i="10"/>
  <c r="AD133" i="10" s="1"/>
  <c r="DS133" i="10"/>
  <c r="AF133" i="10" s="1"/>
  <c r="EC133" i="10"/>
  <c r="AP133" i="10" s="1"/>
  <c r="FJ133" i="10"/>
  <c r="BW133" i="10" s="1"/>
  <c r="FF133" i="10"/>
  <c r="BS133" i="10" s="1"/>
  <c r="EY133" i="10"/>
  <c r="BL133" i="10" s="1"/>
  <c r="DR133" i="10"/>
  <c r="AE133" i="10" s="1"/>
  <c r="DY133" i="10"/>
  <c r="AL133" i="10" s="1"/>
  <c r="DT133" i="10"/>
  <c r="AG133" i="10" s="1"/>
  <c r="EQ133" i="10"/>
  <c r="BD133" i="10" s="1"/>
  <c r="DM133" i="10"/>
  <c r="Z133" i="10" s="1"/>
  <c r="DP133" i="10"/>
  <c r="AC133" i="10" s="1"/>
  <c r="FH133" i="10"/>
  <c r="BU133" i="10" s="1"/>
  <c r="CB133" i="10"/>
  <c r="EK133" i="10"/>
  <c r="AX133" i="10" s="1"/>
  <c r="ED133" i="10"/>
  <c r="AQ133" i="10" s="1"/>
  <c r="EU133" i="10"/>
  <c r="BH133" i="10" s="1"/>
  <c r="EG133" i="10"/>
  <c r="AT133" i="10" s="1"/>
  <c r="EV133" i="10"/>
  <c r="BI133" i="10" s="1"/>
  <c r="FC133" i="10"/>
  <c r="BP133" i="10" s="1"/>
  <c r="FG133" i="10"/>
  <c r="BT133" i="10" s="1"/>
  <c r="EM133" i="10"/>
  <c r="AZ133" i="10" s="1"/>
  <c r="EH133" i="10"/>
  <c r="AU133" i="10" s="1"/>
  <c r="EX133" i="10"/>
  <c r="BK133" i="10" s="1"/>
  <c r="DN133" i="10"/>
  <c r="AA133" i="10" s="1"/>
  <c r="FI133" i="10"/>
  <c r="BV133" i="10" s="1"/>
  <c r="EN133" i="10"/>
  <c r="BA133" i="10" s="1"/>
  <c r="EE133" i="10"/>
  <c r="AR133" i="10" s="1"/>
  <c r="ER133" i="10"/>
  <c r="BE133" i="10" s="1"/>
  <c r="ET133" i="10"/>
  <c r="BG133" i="10" s="1"/>
  <c r="EL133" i="10"/>
  <c r="AY133" i="10" s="1"/>
  <c r="DK133" i="10"/>
  <c r="X133" i="10" s="1"/>
  <c r="FB133" i="10"/>
  <c r="BO133" i="10" s="1"/>
  <c r="DX133" i="10"/>
  <c r="AK133" i="10" s="1"/>
  <c r="DU133" i="10"/>
  <c r="AH133" i="10" s="1"/>
  <c r="DL133" i="10"/>
  <c r="Y133" i="10" s="1"/>
  <c r="FE133" i="10"/>
  <c r="BR133" i="10" s="1"/>
  <c r="DW133" i="10"/>
  <c r="AJ133" i="10" s="1"/>
  <c r="DV133" i="10"/>
  <c r="AI133" i="10" s="1"/>
  <c r="EO133" i="10"/>
  <c r="BB133" i="10" s="1"/>
  <c r="EI133" i="10"/>
  <c r="AV133" i="10" s="1"/>
  <c r="FD133" i="10"/>
  <c r="BQ133" i="10" s="1"/>
  <c r="EP133" i="10"/>
  <c r="BC133" i="10" s="1"/>
  <c r="DJ133" i="10"/>
  <c r="W133" i="10" s="1"/>
  <c r="EJ133" i="10"/>
  <c r="AW133" i="10" s="1"/>
  <c r="FL133" i="10"/>
  <c r="BY133" i="10" s="1"/>
  <c r="DZ133" i="10"/>
  <c r="AM133" i="10" s="1"/>
  <c r="FA133" i="10"/>
  <c r="BN133" i="10" s="1"/>
  <c r="ES133" i="10"/>
  <c r="BF133" i="10" s="1"/>
  <c r="FK133" i="10"/>
  <c r="BX133" i="10" s="1"/>
  <c r="EB133" i="10"/>
  <c r="AO133" i="10" s="1"/>
  <c r="EZ133" i="10"/>
  <c r="BM133" i="10" s="1"/>
  <c r="EA133" i="10"/>
  <c r="AN133" i="10" s="1"/>
  <c r="DO133" i="10"/>
  <c r="AB133" i="10" s="1"/>
  <c r="EW133" i="10"/>
  <c r="BJ133" i="10" s="1"/>
  <c r="FE147" i="10"/>
  <c r="BR147" i="10" s="1"/>
  <c r="FL147" i="10"/>
  <c r="BY147" i="10" s="1"/>
  <c r="FF147" i="10"/>
  <c r="BS147" i="10" s="1"/>
  <c r="EU147" i="10"/>
  <c r="BH147" i="10" s="1"/>
  <c r="FD147" i="10"/>
  <c r="BQ147" i="10" s="1"/>
  <c r="FK147" i="10"/>
  <c r="BX147" i="10" s="1"/>
  <c r="FB147" i="10"/>
  <c r="BO147" i="10" s="1"/>
  <c r="EC147" i="10"/>
  <c r="AP147" i="10" s="1"/>
  <c r="DX147" i="10"/>
  <c r="AK147" i="10" s="1"/>
  <c r="FC147" i="10"/>
  <c r="BP147" i="10" s="1"/>
  <c r="FI147" i="10"/>
  <c r="BV147" i="10" s="1"/>
  <c r="EX147" i="10"/>
  <c r="BK147" i="10" s="1"/>
  <c r="DT147" i="10"/>
  <c r="AG147" i="10" s="1"/>
  <c r="CB147" i="10"/>
  <c r="EK147" i="10"/>
  <c r="AX147" i="10" s="1"/>
  <c r="EZ147" i="10"/>
  <c r="BM147" i="10" s="1"/>
  <c r="EV147" i="10"/>
  <c r="BI147" i="10" s="1"/>
  <c r="EN147" i="10"/>
  <c r="BA147" i="10" s="1"/>
  <c r="EL147" i="10"/>
  <c r="AY147" i="10" s="1"/>
  <c r="DZ147" i="10"/>
  <c r="AM147" i="10" s="1"/>
  <c r="DK147" i="10"/>
  <c r="X147" i="10" s="1"/>
  <c r="EH147" i="10"/>
  <c r="AU147" i="10" s="1"/>
  <c r="ER147" i="10"/>
  <c r="BE147" i="10" s="1"/>
  <c r="DW147" i="10"/>
  <c r="AJ147" i="10" s="1"/>
  <c r="ES147" i="10"/>
  <c r="BF147" i="10" s="1"/>
  <c r="EM147" i="10"/>
  <c r="AZ147" i="10" s="1"/>
  <c r="EQ147" i="10"/>
  <c r="BD147" i="10" s="1"/>
  <c r="FJ147" i="10"/>
  <c r="BW147" i="10" s="1"/>
  <c r="DS147" i="10"/>
  <c r="AF147" i="10" s="1"/>
  <c r="DU147" i="10"/>
  <c r="AH147" i="10" s="1"/>
  <c r="ET147" i="10"/>
  <c r="BG147" i="10" s="1"/>
  <c r="EJ147" i="10"/>
  <c r="AW147" i="10" s="1"/>
  <c r="DM147" i="10"/>
  <c r="Z147" i="10" s="1"/>
  <c r="EA147" i="10"/>
  <c r="AN147" i="10" s="1"/>
  <c r="FA147" i="10"/>
  <c r="BN147" i="10" s="1"/>
  <c r="ED147" i="10"/>
  <c r="AQ147" i="10" s="1"/>
  <c r="DR147" i="10"/>
  <c r="AE147" i="10" s="1"/>
  <c r="EI147" i="10"/>
  <c r="AV147" i="10" s="1"/>
  <c r="EO147" i="10"/>
  <c r="BB147" i="10" s="1"/>
  <c r="EB147" i="10"/>
  <c r="AO147" i="10" s="1"/>
  <c r="DL147" i="10"/>
  <c r="Y147" i="10" s="1"/>
  <c r="FH147" i="10"/>
  <c r="BU147" i="10" s="1"/>
  <c r="FG147" i="10"/>
  <c r="BT147" i="10" s="1"/>
  <c r="DP147" i="10"/>
  <c r="AC147" i="10" s="1"/>
  <c r="EE147" i="10"/>
  <c r="AR147" i="10" s="1"/>
  <c r="DQ147" i="10"/>
  <c r="AD147" i="10" s="1"/>
  <c r="EG147" i="10"/>
  <c r="AT147" i="10" s="1"/>
  <c r="DV147" i="10"/>
  <c r="AI147" i="10" s="1"/>
  <c r="EY147" i="10"/>
  <c r="BL147" i="10" s="1"/>
  <c r="DY147" i="10"/>
  <c r="AL147" i="10" s="1"/>
  <c r="EP147" i="10"/>
  <c r="BC147" i="10" s="1"/>
  <c r="EW147" i="10"/>
  <c r="BJ147" i="10" s="1"/>
  <c r="DO147" i="10"/>
  <c r="AB147" i="10" s="1"/>
  <c r="DJ147" i="10"/>
  <c r="W147" i="10" s="1"/>
  <c r="DN147" i="10"/>
  <c r="AA147" i="10" s="1"/>
  <c r="CZ141" i="10"/>
  <c r="CZ79" i="10"/>
  <c r="U38" i="24"/>
  <c r="V38" i="24" s="1"/>
  <c r="H40" i="24"/>
  <c r="A40" i="24" s="1"/>
  <c r="E40" i="24"/>
  <c r="B40" i="24"/>
  <c r="V85" i="24"/>
  <c r="U86" i="24" s="1"/>
  <c r="L85" i="24"/>
  <c r="P85" i="24"/>
  <c r="J85" i="24"/>
  <c r="R54" i="24"/>
  <c r="S54" i="24" s="1"/>
  <c r="J37" i="24"/>
  <c r="P37" i="24"/>
  <c r="I37" i="24" s="1"/>
  <c r="L37" i="24"/>
  <c r="L84" i="24"/>
  <c r="J84" i="24"/>
  <c r="P84" i="24"/>
  <c r="S40" i="24"/>
  <c r="R41" i="24" s="1"/>
  <c r="E5" i="42"/>
  <c r="F5" i="42" s="1"/>
  <c r="E6" i="42" s="1"/>
  <c r="AF38" i="33"/>
  <c r="A37" i="33"/>
  <c r="AA35" i="33"/>
  <c r="Z35" i="33"/>
  <c r="AD35" i="33"/>
  <c r="AH43" i="28"/>
  <c r="X43" i="28"/>
  <c r="B44" i="28"/>
  <c r="AD44" i="28"/>
  <c r="O44" i="28"/>
  <c r="T44" i="28"/>
  <c r="S44" i="28" s="1"/>
  <c r="P44" i="28"/>
  <c r="Q44" i="28"/>
  <c r="R44" i="28" s="1"/>
  <c r="H44" i="28"/>
  <c r="C44" i="28"/>
  <c r="AC44" i="28"/>
  <c r="AG44" i="28"/>
  <c r="O195" i="10"/>
  <c r="B159" i="39" s="1"/>
  <c r="G178" i="39"/>
  <c r="B196" i="10"/>
  <c r="CN196" i="10" s="1"/>
  <c r="BQ204" i="10"/>
  <c r="A203" i="10"/>
  <c r="CG202" i="10"/>
  <c r="BO202" i="10"/>
  <c r="EF197" i="10"/>
  <c r="CH197" i="10"/>
  <c r="BW197" i="10"/>
  <c r="M26" i="23"/>
  <c r="O26" i="23"/>
  <c r="E26" i="23"/>
  <c r="I26" i="23"/>
  <c r="AD26" i="23"/>
  <c r="Z26" i="23"/>
  <c r="S26" i="23"/>
  <c r="Y26" i="23"/>
  <c r="V26" i="23"/>
  <c r="AG27" i="23"/>
  <c r="B27" i="23"/>
  <c r="C22" i="34"/>
  <c r="D23" i="34" s="1"/>
  <c r="BN198" i="10"/>
  <c r="BY198" i="10"/>
  <c r="G22" i="6"/>
  <c r="O2" i="43"/>
  <c r="J29" i="1"/>
  <c r="J33" i="1"/>
  <c r="J30" i="1"/>
  <c r="G21" i="6"/>
  <c r="G18" i="6"/>
  <c r="G14" i="6"/>
  <c r="G15" i="6"/>
  <c r="G19" i="6"/>
  <c r="G17" i="6"/>
  <c r="G20" i="6"/>
  <c r="G16" i="6"/>
  <c r="DD125" i="10"/>
  <c r="GW73" i="7"/>
  <c r="DE101" i="10"/>
  <c r="DE102" i="10" s="1"/>
  <c r="DE103" i="10" s="1"/>
  <c r="DE104" i="10" s="1"/>
  <c r="GV74" i="7"/>
  <c r="DE131" i="10"/>
  <c r="DD32" i="10"/>
  <c r="DD102" i="10"/>
  <c r="DE36" i="10"/>
  <c r="GU74" i="7"/>
  <c r="BX198" i="10"/>
  <c r="T247" i="14"/>
  <c r="G198" i="10"/>
  <c r="T243" i="14"/>
  <c r="T246" i="14"/>
  <c r="T242" i="14"/>
  <c r="T244" i="14"/>
  <c r="C197" i="10"/>
  <c r="T245" i="14"/>
  <c r="T241" i="14"/>
  <c r="F198" i="10"/>
  <c r="EX96" i="10" l="1"/>
  <c r="BK96" i="10" s="1"/>
  <c r="EJ96" i="10"/>
  <c r="AW96" i="10" s="1"/>
  <c r="EL98" i="10"/>
  <c r="AY98" i="10" s="1"/>
  <c r="EM98" i="10"/>
  <c r="AZ98" i="10" s="1"/>
  <c r="EX98" i="10"/>
  <c r="BK98" i="10" s="1"/>
  <c r="ET98" i="10"/>
  <c r="BG98" i="10" s="1"/>
  <c r="FK98" i="10"/>
  <c r="BX98" i="10" s="1"/>
  <c r="EJ98" i="10"/>
  <c r="AW98" i="10" s="1"/>
  <c r="EN98" i="10"/>
  <c r="BA98" i="10" s="1"/>
  <c r="FG98" i="10"/>
  <c r="BT98" i="10" s="1"/>
  <c r="EI98" i="10"/>
  <c r="AV98" i="10" s="1"/>
  <c r="EZ98" i="10"/>
  <c r="BM98" i="10" s="1"/>
  <c r="FL98" i="10"/>
  <c r="BY98" i="10" s="1"/>
  <c r="EV98" i="10"/>
  <c r="BI98" i="10" s="1"/>
  <c r="FH98" i="10"/>
  <c r="BU98" i="10" s="1"/>
  <c r="FJ98" i="10"/>
  <c r="BW98" i="10" s="1"/>
  <c r="EU98" i="10"/>
  <c r="BH98" i="10" s="1"/>
  <c r="EQ98" i="10"/>
  <c r="BD98" i="10" s="1"/>
  <c r="EP98" i="10"/>
  <c r="BC98" i="10" s="1"/>
  <c r="ES98" i="10"/>
  <c r="BF98" i="10" s="1"/>
  <c r="EW98" i="10"/>
  <c r="BJ98" i="10" s="1"/>
  <c r="EG98" i="10"/>
  <c r="AT98" i="10" s="1"/>
  <c r="EH98" i="10"/>
  <c r="AU98" i="10" s="1"/>
  <c r="FI98" i="10"/>
  <c r="BV98" i="10" s="1"/>
  <c r="EO98" i="10"/>
  <c r="BB98" i="10" s="1"/>
  <c r="FC96" i="10"/>
  <c r="BP96" i="10" s="1"/>
  <c r="FD96" i="10"/>
  <c r="BQ96" i="10" s="1"/>
  <c r="EQ96" i="10"/>
  <c r="BD96" i="10" s="1"/>
  <c r="ER96" i="10"/>
  <c r="BE96" i="10" s="1"/>
  <c r="FB96" i="10"/>
  <c r="BO96" i="10" s="1"/>
  <c r="FL96" i="10"/>
  <c r="BY96" i="10" s="1"/>
  <c r="ET96" i="10"/>
  <c r="BG96" i="10" s="1"/>
  <c r="EZ96" i="10"/>
  <c r="BM96" i="10" s="1"/>
  <c r="FI96" i="10"/>
  <c r="BV96" i="10" s="1"/>
  <c r="FG96" i="10"/>
  <c r="BT96" i="10" s="1"/>
  <c r="EN96" i="10"/>
  <c r="BA96" i="10" s="1"/>
  <c r="FK96" i="10"/>
  <c r="BX96" i="10" s="1"/>
  <c r="EW96" i="10"/>
  <c r="BJ96" i="10" s="1"/>
  <c r="EG96" i="10"/>
  <c r="AT96" i="10" s="1"/>
  <c r="EK96" i="10"/>
  <c r="AX96" i="10" s="1"/>
  <c r="FA96" i="10"/>
  <c r="BN96" i="10" s="1"/>
  <c r="EP96" i="10"/>
  <c r="BC96" i="10" s="1"/>
  <c r="EY96" i="10"/>
  <c r="BL96" i="10" s="1"/>
  <c r="EI96" i="10"/>
  <c r="AV96" i="10" s="1"/>
  <c r="FF17" i="10"/>
  <c r="BS17" i="10" s="1"/>
  <c r="EO96" i="10"/>
  <c r="BB96" i="10" s="1"/>
  <c r="FF96" i="10"/>
  <c r="BS96" i="10" s="1"/>
  <c r="FJ96" i="10"/>
  <c r="BW96" i="10" s="1"/>
  <c r="FE96" i="10"/>
  <c r="BR96" i="10" s="1"/>
  <c r="EL96" i="10"/>
  <c r="AY96" i="10" s="1"/>
  <c r="ES96" i="10"/>
  <c r="BF96" i="10" s="1"/>
  <c r="EM96" i="10"/>
  <c r="AZ96" i="10" s="1"/>
  <c r="EV96" i="10"/>
  <c r="BI96" i="10" s="1"/>
  <c r="EM17" i="10"/>
  <c r="AZ17" i="10" s="1"/>
  <c r="EN232" i="10"/>
  <c r="FJ232" i="10"/>
  <c r="FE232" i="10"/>
  <c r="FC232" i="10"/>
  <c r="EL232" i="10"/>
  <c r="CB232" i="10"/>
  <c r="EK232" i="10"/>
  <c r="EP232" i="10"/>
  <c r="BP232" i="10"/>
  <c r="FI232" i="10"/>
  <c r="EG232" i="10"/>
  <c r="EI232" i="10"/>
  <c r="FG232" i="10"/>
  <c r="EW232" i="10"/>
  <c r="ER232" i="10"/>
  <c r="EJ232" i="10"/>
  <c r="EO232" i="10"/>
  <c r="EY232" i="10"/>
  <c r="ET232" i="10"/>
  <c r="EM232" i="10"/>
  <c r="FH232" i="10"/>
  <c r="EH232" i="10"/>
  <c r="FF232" i="10"/>
  <c r="FB232" i="10"/>
  <c r="FA232" i="10"/>
  <c r="FK232" i="10"/>
  <c r="EX232" i="10"/>
  <c r="FL232" i="10"/>
  <c r="ES232" i="10"/>
  <c r="EZ232" i="10"/>
  <c r="EQ232" i="10"/>
  <c r="EU232" i="10"/>
  <c r="FD232" i="10"/>
  <c r="EV232" i="10"/>
  <c r="EJ17" i="10"/>
  <c r="AW17" i="10" s="1"/>
  <c r="EU17" i="10"/>
  <c r="BH17" i="10" s="1"/>
  <c r="EG17" i="10"/>
  <c r="AT17" i="10" s="1"/>
  <c r="FC17" i="10"/>
  <c r="BP17" i="10" s="1"/>
  <c r="FJ17" i="10"/>
  <c r="BW17" i="10" s="1"/>
  <c r="EQ17" i="10"/>
  <c r="BD17" i="10" s="1"/>
  <c r="EN17" i="10"/>
  <c r="BA17" i="10" s="1"/>
  <c r="FA17" i="10"/>
  <c r="BN17" i="10" s="1"/>
  <c r="EY17" i="10"/>
  <c r="BL17" i="10" s="1"/>
  <c r="FI17" i="10"/>
  <c r="BV17" i="10" s="1"/>
  <c r="EV17" i="10"/>
  <c r="BI17" i="10" s="1"/>
  <c r="EK17" i="10"/>
  <c r="AX17" i="10" s="1"/>
  <c r="FE17" i="10"/>
  <c r="BR17" i="10" s="1"/>
  <c r="EW17" i="10"/>
  <c r="BJ17" i="10" s="1"/>
  <c r="FG17" i="10"/>
  <c r="BT17" i="10" s="1"/>
  <c r="ER17" i="10"/>
  <c r="BE17" i="10" s="1"/>
  <c r="EP17" i="10"/>
  <c r="BC17" i="10" s="1"/>
  <c r="FK17" i="10"/>
  <c r="BX17" i="10" s="1"/>
  <c r="ET17" i="10"/>
  <c r="BG17" i="10" s="1"/>
  <c r="EL17" i="10"/>
  <c r="AY17" i="10" s="1"/>
  <c r="ES17" i="10"/>
  <c r="BF17" i="10" s="1"/>
  <c r="FD17" i="10"/>
  <c r="BQ17" i="10" s="1"/>
  <c r="EZ17" i="10"/>
  <c r="BM17" i="10" s="1"/>
  <c r="EH17" i="10"/>
  <c r="AU17" i="10" s="1"/>
  <c r="EX17" i="10"/>
  <c r="BK17" i="10" s="1"/>
  <c r="FL17" i="10"/>
  <c r="BY17" i="10" s="1"/>
  <c r="FB17" i="10"/>
  <c r="BO17" i="10" s="1"/>
  <c r="EO17" i="10"/>
  <c r="BB17" i="10" s="1"/>
  <c r="FH17" i="10"/>
  <c r="BU17" i="10" s="1"/>
  <c r="FL231" i="10"/>
  <c r="FE231" i="10"/>
  <c r="EJ231" i="10"/>
  <c r="FB231" i="10"/>
  <c r="FH231" i="10"/>
  <c r="EH231" i="10"/>
  <c r="FG231" i="10"/>
  <c r="EU231" i="10"/>
  <c r="EN231" i="10"/>
  <c r="EI231" i="10"/>
  <c r="ES231" i="10"/>
  <c r="ER231" i="10"/>
  <c r="FA231" i="10"/>
  <c r="EW231" i="10"/>
  <c r="EZ231" i="10"/>
  <c r="FI231" i="10"/>
  <c r="EM231" i="10"/>
  <c r="CB231" i="10"/>
  <c r="EO231" i="10"/>
  <c r="FC231" i="10"/>
  <c r="EV231" i="10"/>
  <c r="ET231" i="10"/>
  <c r="EQ231" i="10"/>
  <c r="BP231" i="10"/>
  <c r="FJ50" i="10"/>
  <c r="BW50" i="10" s="1"/>
  <c r="EH50" i="10"/>
  <c r="AU50" i="10" s="1"/>
  <c r="DR64" i="10"/>
  <c r="AE64" i="10" s="1"/>
  <c r="DX50" i="10"/>
  <c r="AK50" i="10" s="1"/>
  <c r="EQ64" i="10"/>
  <c r="BD64" i="10" s="1"/>
  <c r="EI50" i="10"/>
  <c r="AV50" i="10" s="1"/>
  <c r="EX64" i="10"/>
  <c r="BK64" i="10" s="1"/>
  <c r="FF64" i="10"/>
  <c r="BS64" i="10" s="1"/>
  <c r="FH64" i="10"/>
  <c r="BU64" i="10" s="1"/>
  <c r="EJ64" i="10"/>
  <c r="AW64" i="10" s="1"/>
  <c r="DZ50" i="10"/>
  <c r="AM50" i="10" s="1"/>
  <c r="DY50" i="10"/>
  <c r="AL50" i="10" s="1"/>
  <c r="FG50" i="10"/>
  <c r="BT50" i="10" s="1"/>
  <c r="EZ64" i="10"/>
  <c r="BM64" i="10" s="1"/>
  <c r="EB64" i="10"/>
  <c r="AO64" i="10" s="1"/>
  <c r="FK64" i="10"/>
  <c r="BX64" i="10" s="1"/>
  <c r="CB50" i="10"/>
  <c r="EX50" i="10"/>
  <c r="BK50" i="10" s="1"/>
  <c r="ED64" i="10"/>
  <c r="AQ64" i="10" s="1"/>
  <c r="EM64" i="10"/>
  <c r="AZ64" i="10" s="1"/>
  <c r="FH50" i="10"/>
  <c r="BU50" i="10" s="1"/>
  <c r="EK50" i="10"/>
  <c r="AX50" i="10" s="1"/>
  <c r="FE50" i="10"/>
  <c r="BR50" i="10" s="1"/>
  <c r="EC50" i="10"/>
  <c r="AP50" i="10" s="1"/>
  <c r="DR50" i="10"/>
  <c r="AE50" i="10" s="1"/>
  <c r="ET50" i="10"/>
  <c r="BG50" i="10" s="1"/>
  <c r="DK50" i="10"/>
  <c r="X50" i="10" s="1"/>
  <c r="DW50" i="10"/>
  <c r="AJ50" i="10" s="1"/>
  <c r="EN50" i="10"/>
  <c r="BA50" i="10" s="1"/>
  <c r="EJ50" i="10"/>
  <c r="AW50" i="10" s="1"/>
  <c r="FF50" i="10"/>
  <c r="BS50" i="10" s="1"/>
  <c r="EZ50" i="10"/>
  <c r="BM50" i="10" s="1"/>
  <c r="EO50" i="10"/>
  <c r="BB50" i="10" s="1"/>
  <c r="EM50" i="10"/>
  <c r="AZ50" i="10" s="1"/>
  <c r="ED50" i="10"/>
  <c r="AQ50" i="10" s="1"/>
  <c r="FK50" i="10"/>
  <c r="BX50" i="10" s="1"/>
  <c r="DU50" i="10"/>
  <c r="AH50" i="10" s="1"/>
  <c r="FB50" i="10"/>
  <c r="BO50" i="10" s="1"/>
  <c r="FL129" i="10"/>
  <c r="BY129" i="10" s="1"/>
  <c r="EQ50" i="10"/>
  <c r="BD50" i="10" s="1"/>
  <c r="EW50" i="10"/>
  <c r="BJ50" i="10" s="1"/>
  <c r="FD50" i="10"/>
  <c r="BQ50" i="10" s="1"/>
  <c r="DL50" i="10"/>
  <c r="Y50" i="10" s="1"/>
  <c r="FI50" i="10"/>
  <c r="BV50" i="10" s="1"/>
  <c r="EU50" i="10"/>
  <c r="BH50" i="10" s="1"/>
  <c r="FL50" i="10"/>
  <c r="BY50" i="10" s="1"/>
  <c r="EV50" i="10"/>
  <c r="BI50" i="10" s="1"/>
  <c r="EA50" i="10"/>
  <c r="AN50" i="10" s="1"/>
  <c r="DM50" i="10"/>
  <c r="Z50" i="10" s="1"/>
  <c r="ES50" i="10"/>
  <c r="BF50" i="10" s="1"/>
  <c r="FA50" i="10"/>
  <c r="BN50" i="10" s="1"/>
  <c r="EB50" i="10"/>
  <c r="AO50" i="10" s="1"/>
  <c r="DN50" i="10"/>
  <c r="AA50" i="10" s="1"/>
  <c r="DV50" i="10"/>
  <c r="AI50" i="10" s="1"/>
  <c r="EY50" i="10"/>
  <c r="BL50" i="10" s="1"/>
  <c r="DJ50" i="10"/>
  <c r="W50" i="10" s="1"/>
  <c r="DP50" i="10"/>
  <c r="AC50" i="10" s="1"/>
  <c r="EL50" i="10"/>
  <c r="AY50" i="10" s="1"/>
  <c r="ER50" i="10"/>
  <c r="BE50" i="10" s="1"/>
  <c r="EP50" i="10"/>
  <c r="BC50" i="10" s="1"/>
  <c r="DQ50" i="10"/>
  <c r="AD50" i="10" s="1"/>
  <c r="FC50" i="10"/>
  <c r="BP50" i="10" s="1"/>
  <c r="EE50" i="10"/>
  <c r="AR50" i="10" s="1"/>
  <c r="DT50" i="10"/>
  <c r="AG50" i="10" s="1"/>
  <c r="DO50" i="10"/>
  <c r="AB50" i="10" s="1"/>
  <c r="DS50" i="10"/>
  <c r="AF50" i="10" s="1"/>
  <c r="EH64" i="10"/>
  <c r="AU64" i="10" s="1"/>
  <c r="DW64" i="10"/>
  <c r="AJ64" i="10" s="1"/>
  <c r="DJ64" i="10"/>
  <c r="W64" i="10" s="1"/>
  <c r="FA64" i="10"/>
  <c r="BN64" i="10" s="1"/>
  <c r="DL64" i="10"/>
  <c r="Y64" i="10" s="1"/>
  <c r="DT64" i="10"/>
  <c r="AG64" i="10" s="1"/>
  <c r="FD64" i="10"/>
  <c r="BQ64" i="10" s="1"/>
  <c r="DP64" i="10"/>
  <c r="AC64" i="10" s="1"/>
  <c r="DV64" i="10"/>
  <c r="AI64" i="10" s="1"/>
  <c r="FG26" i="10"/>
  <c r="BT26" i="10" s="1"/>
  <c r="ET26" i="10"/>
  <c r="BG26" i="10" s="1"/>
  <c r="FK26" i="10"/>
  <c r="BX26" i="10" s="1"/>
  <c r="EL26" i="10"/>
  <c r="AY26" i="10" s="1"/>
  <c r="FL26" i="10"/>
  <c r="BY26" i="10" s="1"/>
  <c r="EN26" i="10"/>
  <c r="BA26" i="10" s="1"/>
  <c r="EJ26" i="10"/>
  <c r="AW26" i="10" s="1"/>
  <c r="FB26" i="10"/>
  <c r="BO26" i="10" s="1"/>
  <c r="EM26" i="10"/>
  <c r="AZ26" i="10" s="1"/>
  <c r="EQ26" i="10"/>
  <c r="BD26" i="10" s="1"/>
  <c r="FE26" i="10"/>
  <c r="BR26" i="10" s="1"/>
  <c r="FC26" i="10"/>
  <c r="BP26" i="10" s="1"/>
  <c r="EH26" i="10"/>
  <c r="AU26" i="10" s="1"/>
  <c r="EZ26" i="10"/>
  <c r="BM26" i="10" s="1"/>
  <c r="EW26" i="10"/>
  <c r="BJ26" i="10" s="1"/>
  <c r="FF26" i="10"/>
  <c r="BS26" i="10" s="1"/>
  <c r="EY26" i="10"/>
  <c r="BL26" i="10" s="1"/>
  <c r="EV26" i="10"/>
  <c r="BI26" i="10" s="1"/>
  <c r="EU26" i="10"/>
  <c r="BH26" i="10" s="1"/>
  <c r="EK26" i="10"/>
  <c r="AX26" i="10" s="1"/>
  <c r="FD26" i="10"/>
  <c r="BQ26" i="10" s="1"/>
  <c r="EG26" i="10"/>
  <c r="AT26" i="10" s="1"/>
  <c r="FH26" i="10"/>
  <c r="BU26" i="10" s="1"/>
  <c r="FI26" i="10"/>
  <c r="BV26" i="10" s="1"/>
  <c r="EP26" i="10"/>
  <c r="BC26" i="10" s="1"/>
  <c r="ES26" i="10"/>
  <c r="BF26" i="10" s="1"/>
  <c r="EO26" i="10"/>
  <c r="BB26" i="10" s="1"/>
  <c r="EX26" i="10"/>
  <c r="BK26" i="10" s="1"/>
  <c r="EI26" i="10"/>
  <c r="AV26" i="10" s="1"/>
  <c r="FJ26" i="10"/>
  <c r="BW26" i="10" s="1"/>
  <c r="FA26" i="10"/>
  <c r="BN26" i="10" s="1"/>
  <c r="ER26" i="10"/>
  <c r="BE26" i="10" s="1"/>
  <c r="EN129" i="10"/>
  <c r="BA129" i="10" s="1"/>
  <c r="DZ129" i="10"/>
  <c r="AM129" i="10" s="1"/>
  <c r="DS129" i="10"/>
  <c r="AF129" i="10" s="1"/>
  <c r="DY129" i="10"/>
  <c r="AL129" i="10" s="1"/>
  <c r="DX129" i="10"/>
  <c r="AK129" i="10" s="1"/>
  <c r="EK129" i="10"/>
  <c r="AX129" i="10" s="1"/>
  <c r="EJ129" i="10"/>
  <c r="AW129" i="10" s="1"/>
  <c r="FC129" i="10"/>
  <c r="BP129" i="10" s="1"/>
  <c r="EU129" i="10"/>
  <c r="BH129" i="10" s="1"/>
  <c r="EP129" i="10"/>
  <c r="BC129" i="10" s="1"/>
  <c r="EM129" i="10"/>
  <c r="AZ129" i="10" s="1"/>
  <c r="FJ129" i="10"/>
  <c r="BW129" i="10" s="1"/>
  <c r="EE129" i="10"/>
  <c r="AR129" i="10" s="1"/>
  <c r="FG129" i="10"/>
  <c r="BT129" i="10" s="1"/>
  <c r="FA129" i="10"/>
  <c r="BN129" i="10" s="1"/>
  <c r="DR129" i="10"/>
  <c r="AE129" i="10" s="1"/>
  <c r="EQ129" i="10"/>
  <c r="BD129" i="10" s="1"/>
  <c r="EL129" i="10"/>
  <c r="AY129" i="10" s="1"/>
  <c r="FI129" i="10"/>
  <c r="BV129" i="10" s="1"/>
  <c r="FE129" i="10"/>
  <c r="BR129" i="10" s="1"/>
  <c r="EI129" i="10"/>
  <c r="AV129" i="10" s="1"/>
  <c r="DP129" i="10"/>
  <c r="AC129" i="10" s="1"/>
  <c r="DU129" i="10"/>
  <c r="AH129" i="10" s="1"/>
  <c r="ER129" i="10"/>
  <c r="BE129" i="10" s="1"/>
  <c r="DQ129" i="10"/>
  <c r="AD129" i="10" s="1"/>
  <c r="DK129" i="10"/>
  <c r="X129" i="10" s="1"/>
  <c r="EV129" i="10"/>
  <c r="BI129" i="10" s="1"/>
  <c r="ET129" i="10"/>
  <c r="BG129" i="10" s="1"/>
  <c r="EY129" i="10"/>
  <c r="BL129" i="10" s="1"/>
  <c r="EO129" i="10"/>
  <c r="BB129" i="10" s="1"/>
  <c r="EB129" i="10"/>
  <c r="AO129" i="10" s="1"/>
  <c r="DJ129" i="10"/>
  <c r="W129" i="10" s="1"/>
  <c r="DV129" i="10"/>
  <c r="AI129" i="10" s="1"/>
  <c r="ER157" i="10"/>
  <c r="BE157" i="10" s="1"/>
  <c r="DV157" i="10"/>
  <c r="AI157" i="10" s="1"/>
  <c r="EH157" i="10"/>
  <c r="AU157" i="10" s="1"/>
  <c r="ED157" i="10"/>
  <c r="AQ157" i="10" s="1"/>
  <c r="FD157" i="10"/>
  <c r="BQ157" i="10" s="1"/>
  <c r="DY157" i="10"/>
  <c r="AL157" i="10" s="1"/>
  <c r="DT157" i="10"/>
  <c r="AG157" i="10" s="1"/>
  <c r="DO157" i="10"/>
  <c r="AB157" i="10" s="1"/>
  <c r="EJ157" i="10"/>
  <c r="AW157" i="10" s="1"/>
  <c r="EZ157" i="10"/>
  <c r="BM157" i="10" s="1"/>
  <c r="EY157" i="10"/>
  <c r="BL157" i="10" s="1"/>
  <c r="FF157" i="10"/>
  <c r="BS157" i="10" s="1"/>
  <c r="EM157" i="10"/>
  <c r="AZ157" i="10" s="1"/>
  <c r="DW157" i="10"/>
  <c r="AJ157" i="10" s="1"/>
  <c r="EQ157" i="10"/>
  <c r="BD157" i="10" s="1"/>
  <c r="EC157" i="10"/>
  <c r="AP157" i="10" s="1"/>
  <c r="CB157" i="10"/>
  <c r="FC157" i="10"/>
  <c r="BP157" i="10" s="1"/>
  <c r="FH157" i="10"/>
  <c r="BU157" i="10" s="1"/>
  <c r="FK157" i="10"/>
  <c r="BX157" i="10" s="1"/>
  <c r="ES157" i="10"/>
  <c r="BF157" i="10" s="1"/>
  <c r="EP157" i="10"/>
  <c r="BC157" i="10" s="1"/>
  <c r="DQ157" i="10"/>
  <c r="AD157" i="10" s="1"/>
  <c r="EO157" i="10"/>
  <c r="BB157" i="10" s="1"/>
  <c r="DZ157" i="10"/>
  <c r="AM157" i="10" s="1"/>
  <c r="DX157" i="10"/>
  <c r="AK157" i="10" s="1"/>
  <c r="EE157" i="10"/>
  <c r="AR157" i="10" s="1"/>
  <c r="EI157" i="10"/>
  <c r="AV157" i="10" s="1"/>
  <c r="ET157" i="10"/>
  <c r="BG157" i="10" s="1"/>
  <c r="EN157" i="10"/>
  <c r="BA157" i="10" s="1"/>
  <c r="DN157" i="10"/>
  <c r="AA157" i="10" s="1"/>
  <c r="FJ157" i="10"/>
  <c r="BW157" i="10" s="1"/>
  <c r="DU157" i="10"/>
  <c r="AH157" i="10" s="1"/>
  <c r="EB157" i="10"/>
  <c r="AO157" i="10" s="1"/>
  <c r="DJ157" i="10"/>
  <c r="W157" i="10" s="1"/>
  <c r="FI157" i="10"/>
  <c r="BV157" i="10" s="1"/>
  <c r="FE157" i="10"/>
  <c r="BR157" i="10" s="1"/>
  <c r="DM157" i="10"/>
  <c r="Z157" i="10" s="1"/>
  <c r="EW157" i="10"/>
  <c r="BJ157" i="10" s="1"/>
  <c r="DL157" i="10"/>
  <c r="Y157" i="10" s="1"/>
  <c r="EX157" i="10"/>
  <c r="BK157" i="10" s="1"/>
  <c r="EV157" i="10"/>
  <c r="BI157" i="10" s="1"/>
  <c r="FA157" i="10"/>
  <c r="BN157" i="10" s="1"/>
  <c r="FG157" i="10"/>
  <c r="BT157" i="10" s="1"/>
  <c r="EK157" i="10"/>
  <c r="AX157" i="10" s="1"/>
  <c r="EU157" i="10"/>
  <c r="BH157" i="10" s="1"/>
  <c r="EG157" i="10"/>
  <c r="AT157" i="10" s="1"/>
  <c r="FB157" i="10"/>
  <c r="BO157" i="10" s="1"/>
  <c r="DR157" i="10"/>
  <c r="AE157" i="10" s="1"/>
  <c r="DS157" i="10"/>
  <c r="AF157" i="10" s="1"/>
  <c r="FL157" i="10"/>
  <c r="BY157" i="10" s="1"/>
  <c r="DK157" i="10"/>
  <c r="X157" i="10" s="1"/>
  <c r="DP157" i="10"/>
  <c r="AC157" i="10" s="1"/>
  <c r="EL157" i="10"/>
  <c r="AY157" i="10" s="1"/>
  <c r="EA157" i="10"/>
  <c r="AN157" i="10" s="1"/>
  <c r="DJ18" i="10"/>
  <c r="W18" i="10" s="1"/>
  <c r="DN36" i="10"/>
  <c r="AA36" i="10" s="1"/>
  <c r="DQ37" i="10"/>
  <c r="AD37" i="10" s="1"/>
  <c r="DW19" i="10"/>
  <c r="AJ19" i="10" s="1"/>
  <c r="DM64" i="10"/>
  <c r="Z64" i="10" s="1"/>
  <c r="ET64" i="10"/>
  <c r="BG64" i="10" s="1"/>
  <c r="DX64" i="10"/>
  <c r="AK64" i="10" s="1"/>
  <c r="EY64" i="10"/>
  <c r="BL64" i="10" s="1"/>
  <c r="EE64" i="10"/>
  <c r="AR64" i="10" s="1"/>
  <c r="DY64" i="10"/>
  <c r="AL64" i="10" s="1"/>
  <c r="EP64" i="10"/>
  <c r="BC64" i="10" s="1"/>
  <c r="FJ64" i="10"/>
  <c r="BW64" i="10" s="1"/>
  <c r="EC64" i="10"/>
  <c r="AP64" i="10" s="1"/>
  <c r="EV64" i="10"/>
  <c r="BI64" i="10" s="1"/>
  <c r="DL36" i="10"/>
  <c r="Y36" i="10" s="1"/>
  <c r="DY15" i="10"/>
  <c r="AL15" i="10" s="1"/>
  <c r="DY31" i="10"/>
  <c r="AL31" i="10" s="1"/>
  <c r="DX18" i="10"/>
  <c r="AK18" i="10" s="1"/>
  <c r="DQ64" i="10"/>
  <c r="AD64" i="10" s="1"/>
  <c r="EA64" i="10"/>
  <c r="AN64" i="10" s="1"/>
  <c r="EO64" i="10"/>
  <c r="BB64" i="10" s="1"/>
  <c r="FB64" i="10"/>
  <c r="BO64" i="10" s="1"/>
  <c r="DK64" i="10"/>
  <c r="X64" i="10" s="1"/>
  <c r="ES64" i="10"/>
  <c r="BF64" i="10" s="1"/>
  <c r="DS64" i="10"/>
  <c r="AF64" i="10" s="1"/>
  <c r="CB64" i="10"/>
  <c r="FC64" i="10"/>
  <c r="BP64" i="10" s="1"/>
  <c r="EG64" i="10"/>
  <c r="AT64" i="10" s="1"/>
  <c r="FG64" i="10"/>
  <c r="BT64" i="10" s="1"/>
  <c r="FE64" i="10"/>
  <c r="BR64" i="10" s="1"/>
  <c r="EK64" i="10"/>
  <c r="AX64" i="10" s="1"/>
  <c r="DU64" i="10"/>
  <c r="AH64" i="10" s="1"/>
  <c r="ER64" i="10"/>
  <c r="BE64" i="10" s="1"/>
  <c r="DN64" i="10"/>
  <c r="AA64" i="10" s="1"/>
  <c r="EU64" i="10"/>
  <c r="BH64" i="10" s="1"/>
  <c r="EI64" i="10"/>
  <c r="AV64" i="10" s="1"/>
  <c r="FI64" i="10"/>
  <c r="BV64" i="10" s="1"/>
  <c r="EN64" i="10"/>
  <c r="BA64" i="10" s="1"/>
  <c r="DZ64" i="10"/>
  <c r="AM64" i="10" s="1"/>
  <c r="EL64" i="10"/>
  <c r="AY64" i="10" s="1"/>
  <c r="FL64" i="10"/>
  <c r="BY64" i="10" s="1"/>
  <c r="DO64" i="10"/>
  <c r="AB64" i="10" s="1"/>
  <c r="DP111" i="10"/>
  <c r="AC111" i="10" s="1"/>
  <c r="DW111" i="10"/>
  <c r="AJ111" i="10" s="1"/>
  <c r="EU111" i="10"/>
  <c r="BH111" i="10" s="1"/>
  <c r="DM111" i="10"/>
  <c r="Z111" i="10" s="1"/>
  <c r="DX111" i="10"/>
  <c r="AK111" i="10" s="1"/>
  <c r="EZ111" i="10"/>
  <c r="BM111" i="10" s="1"/>
  <c r="EI111" i="10"/>
  <c r="AV111" i="10" s="1"/>
  <c r="ET111" i="10"/>
  <c r="BG111" i="10" s="1"/>
  <c r="EC111" i="10"/>
  <c r="AP111" i="10" s="1"/>
  <c r="EL111" i="10"/>
  <c r="AY111" i="10" s="1"/>
  <c r="FE111" i="10"/>
  <c r="BR111" i="10" s="1"/>
  <c r="DT111" i="10"/>
  <c r="AG111" i="10" s="1"/>
  <c r="ED111" i="10"/>
  <c r="AQ111" i="10" s="1"/>
  <c r="EN111" i="10"/>
  <c r="BA111" i="10" s="1"/>
  <c r="EK111" i="10"/>
  <c r="AX111" i="10" s="1"/>
  <c r="DN111" i="10"/>
  <c r="AA111" i="10" s="1"/>
  <c r="ES111" i="10"/>
  <c r="BF111" i="10" s="1"/>
  <c r="FD111" i="10"/>
  <c r="BQ111" i="10" s="1"/>
  <c r="DO111" i="10"/>
  <c r="AB111" i="10" s="1"/>
  <c r="FC111" i="10"/>
  <c r="BP111" i="10" s="1"/>
  <c r="CB111" i="10"/>
  <c r="EQ111" i="10"/>
  <c r="BD111" i="10" s="1"/>
  <c r="DY111" i="10"/>
  <c r="AL111" i="10" s="1"/>
  <c r="FL111" i="10"/>
  <c r="BY111" i="10" s="1"/>
  <c r="DL111" i="10"/>
  <c r="Y111" i="10" s="1"/>
  <c r="EV111" i="10"/>
  <c r="BI111" i="10" s="1"/>
  <c r="DZ111" i="10"/>
  <c r="AM111" i="10" s="1"/>
  <c r="DR111" i="10"/>
  <c r="AE111" i="10" s="1"/>
  <c r="EP111" i="10"/>
  <c r="BC111" i="10" s="1"/>
  <c r="EO111" i="10"/>
  <c r="BB111" i="10" s="1"/>
  <c r="EE111" i="10"/>
  <c r="AR111" i="10" s="1"/>
  <c r="EJ111" i="10"/>
  <c r="AW111" i="10" s="1"/>
  <c r="EX111" i="10"/>
  <c r="BK111" i="10" s="1"/>
  <c r="FA111" i="10"/>
  <c r="BN111" i="10" s="1"/>
  <c r="EH111" i="10"/>
  <c r="AU111" i="10" s="1"/>
  <c r="EG111" i="10"/>
  <c r="AT111" i="10" s="1"/>
  <c r="FH111" i="10"/>
  <c r="BU111" i="10" s="1"/>
  <c r="FB111" i="10"/>
  <c r="BO111" i="10" s="1"/>
  <c r="DK111" i="10"/>
  <c r="X111" i="10" s="1"/>
  <c r="FJ111" i="10"/>
  <c r="BW111" i="10" s="1"/>
  <c r="DQ111" i="10"/>
  <c r="AD111" i="10" s="1"/>
  <c r="FK111" i="10"/>
  <c r="BX111" i="10" s="1"/>
  <c r="DS111" i="10"/>
  <c r="AF111" i="10" s="1"/>
  <c r="EW111" i="10"/>
  <c r="BJ111" i="10" s="1"/>
  <c r="EA111" i="10"/>
  <c r="AN111" i="10" s="1"/>
  <c r="DJ111" i="10"/>
  <c r="W111" i="10" s="1"/>
  <c r="EY111" i="10"/>
  <c r="BL111" i="10" s="1"/>
  <c r="ER111" i="10"/>
  <c r="BE111" i="10" s="1"/>
  <c r="FI111" i="10"/>
  <c r="BV111" i="10" s="1"/>
  <c r="FF111" i="10"/>
  <c r="BS111" i="10" s="1"/>
  <c r="EB111" i="10"/>
  <c r="AO111" i="10" s="1"/>
  <c r="DU111" i="10"/>
  <c r="AH111" i="10" s="1"/>
  <c r="DV111" i="10"/>
  <c r="AI111" i="10" s="1"/>
  <c r="EM111" i="10"/>
  <c r="AZ111" i="10" s="1"/>
  <c r="FG111" i="10"/>
  <c r="BT111" i="10" s="1"/>
  <c r="AI190" i="14"/>
  <c r="AJ190" i="14"/>
  <c r="DK35" i="10"/>
  <c r="X35" i="10" s="1"/>
  <c r="DY35" i="10"/>
  <c r="AL35" i="10" s="1"/>
  <c r="DV31" i="10"/>
  <c r="AI31" i="10" s="1"/>
  <c r="DP36" i="10"/>
  <c r="AC36" i="10" s="1"/>
  <c r="EE31" i="10"/>
  <c r="AR31" i="10" s="1"/>
  <c r="EC17" i="10"/>
  <c r="AP17" i="10" s="1"/>
  <c r="EB27" i="10"/>
  <c r="AO27" i="10" s="1"/>
  <c r="DP31" i="10"/>
  <c r="AC31" i="10" s="1"/>
  <c r="EA27" i="10"/>
  <c r="AN27" i="10" s="1"/>
  <c r="ED31" i="10"/>
  <c r="AQ31" i="10" s="1"/>
  <c r="EA36" i="10"/>
  <c r="AN36" i="10" s="1"/>
  <c r="EE27" i="10"/>
  <c r="AR27" i="10" s="1"/>
  <c r="DT37" i="10"/>
  <c r="AG37" i="10" s="1"/>
  <c r="DR31" i="10"/>
  <c r="AE31" i="10" s="1"/>
  <c r="DS17" i="10"/>
  <c r="AF17" i="10" s="1"/>
  <c r="EB36" i="10"/>
  <c r="AO36" i="10" s="1"/>
  <c r="EC18" i="10"/>
  <c r="AP18" i="10" s="1"/>
  <c r="DS18" i="10"/>
  <c r="AF18" i="10" s="1"/>
  <c r="EB31" i="10"/>
  <c r="AO31" i="10" s="1"/>
  <c r="DK37" i="10"/>
  <c r="X37" i="10" s="1"/>
  <c r="EC37" i="10"/>
  <c r="AP37" i="10" s="1"/>
  <c r="DN18" i="10"/>
  <c r="AA18" i="10" s="1"/>
  <c r="DK31" i="10"/>
  <c r="X31" i="10" s="1"/>
  <c r="DU15" i="10"/>
  <c r="AH15" i="10" s="1"/>
  <c r="DM18" i="10"/>
  <c r="Z18" i="10" s="1"/>
  <c r="EA31" i="10"/>
  <c r="AN31" i="10" s="1"/>
  <c r="DY18" i="10"/>
  <c r="AL18" i="10" s="1"/>
  <c r="DU17" i="10"/>
  <c r="AH17" i="10" s="1"/>
  <c r="DT36" i="10"/>
  <c r="AG36" i="10" s="1"/>
  <c r="DR27" i="10"/>
  <c r="AE27" i="10" s="1"/>
  <c r="DQ27" i="10"/>
  <c r="AD27" i="10" s="1"/>
  <c r="EC19" i="10"/>
  <c r="AP19" i="10" s="1"/>
  <c r="DT18" i="10"/>
  <c r="AG18" i="10" s="1"/>
  <c r="EB18" i="10"/>
  <c r="AO18" i="10" s="1"/>
  <c r="ED17" i="10"/>
  <c r="AQ17" i="10" s="1"/>
  <c r="DL18" i="10"/>
  <c r="Y18" i="10" s="1"/>
  <c r="EE17" i="10"/>
  <c r="AR17" i="10" s="1"/>
  <c r="DX27" i="10"/>
  <c r="AK27" i="10" s="1"/>
  <c r="DV19" i="10"/>
  <c r="AI19" i="10" s="1"/>
  <c r="DO19" i="10"/>
  <c r="AB19" i="10" s="1"/>
  <c r="DR35" i="10"/>
  <c r="AE35" i="10" s="1"/>
  <c r="DS35" i="10"/>
  <c r="AF35" i="10" s="1"/>
  <c r="EC27" i="10"/>
  <c r="AP27" i="10" s="1"/>
  <c r="DQ31" i="10"/>
  <c r="AD31" i="10" s="1"/>
  <c r="DZ31" i="10"/>
  <c r="AM31" i="10" s="1"/>
  <c r="DL27" i="10"/>
  <c r="Y27" i="10" s="1"/>
  <c r="DL37" i="10"/>
  <c r="Y37" i="10" s="1"/>
  <c r="DM36" i="10"/>
  <c r="Z36" i="10" s="1"/>
  <c r="EC31" i="10"/>
  <c r="AP31" i="10" s="1"/>
  <c r="DS36" i="10"/>
  <c r="AF36" i="10" s="1"/>
  <c r="EA17" i="10"/>
  <c r="AN17" i="10" s="1"/>
  <c r="DQ17" i="10"/>
  <c r="AD17" i="10" s="1"/>
  <c r="DO36" i="10"/>
  <c r="AB36" i="10" s="1"/>
  <c r="DJ27" i="10"/>
  <c r="W27" i="10" s="1"/>
  <c r="DS37" i="10"/>
  <c r="AF37" i="10" s="1"/>
  <c r="DM31" i="10"/>
  <c r="Z31" i="10" s="1"/>
  <c r="DU36" i="10"/>
  <c r="AH36" i="10" s="1"/>
  <c r="DO18" i="10"/>
  <c r="AB18" i="10" s="1"/>
  <c r="DU18" i="10"/>
  <c r="AH18" i="10" s="1"/>
  <c r="DJ31" i="10"/>
  <c r="W31" i="10" s="1"/>
  <c r="DS31" i="10"/>
  <c r="AF31" i="10" s="1"/>
  <c r="DO17" i="10"/>
  <c r="AB17" i="10" s="1"/>
  <c r="EE18" i="10"/>
  <c r="AR18" i="10" s="1"/>
  <c r="DN37" i="10"/>
  <c r="AA37" i="10" s="1"/>
  <c r="DV18" i="10"/>
  <c r="AI18" i="10" s="1"/>
  <c r="DW18" i="10"/>
  <c r="AJ18" i="10" s="1"/>
  <c r="DY36" i="10"/>
  <c r="AL36" i="10" s="1"/>
  <c r="DV36" i="10"/>
  <c r="AI36" i="10" s="1"/>
  <c r="DN17" i="10"/>
  <c r="AA17" i="10" s="1"/>
  <c r="EE19" i="10"/>
  <c r="AR19" i="10" s="1"/>
  <c r="DS19" i="10"/>
  <c r="AF19" i="10" s="1"/>
  <c r="DV27" i="10"/>
  <c r="AI27" i="10" s="1"/>
  <c r="EA19" i="10"/>
  <c r="AN19" i="10" s="1"/>
  <c r="AB43" i="28"/>
  <c r="DJ19" i="10"/>
  <c r="W19" i="10" s="1"/>
  <c r="DS27" i="10"/>
  <c r="AF27" i="10" s="1"/>
  <c r="EB19" i="10"/>
  <c r="AO19" i="10" s="1"/>
  <c r="CZ132" i="10"/>
  <c r="H16" i="6"/>
  <c r="H20" i="6"/>
  <c r="H17" i="6"/>
  <c r="H19" i="6"/>
  <c r="H15" i="6"/>
  <c r="H14" i="6"/>
  <c r="H18" i="6"/>
  <c r="H21" i="6"/>
  <c r="H22" i="6"/>
  <c r="F22" i="6"/>
  <c r="CV45" i="10"/>
  <c r="CX45" i="10" s="1"/>
  <c r="B45" i="10" s="1"/>
  <c r="CV42" i="10"/>
  <c r="CX42" i="10" s="1"/>
  <c r="B42" i="10" s="1"/>
  <c r="CV47" i="10"/>
  <c r="CX47" i="10" s="1"/>
  <c r="B47" i="10" s="1"/>
  <c r="CL75" i="10"/>
  <c r="CN75" i="10" s="1"/>
  <c r="CO75" i="10" s="1"/>
  <c r="CE75" i="10" s="1"/>
  <c r="CL45" i="10"/>
  <c r="CN45" i="10" s="1"/>
  <c r="CO45" i="10" s="1"/>
  <c r="CE45" i="10" s="1"/>
  <c r="CL47" i="10"/>
  <c r="CN47" i="10" s="1"/>
  <c r="CO47" i="10" s="1"/>
  <c r="CE47" i="10" s="1"/>
  <c r="CL49" i="10"/>
  <c r="CN49" i="10" s="1"/>
  <c r="CO49" i="10" s="1"/>
  <c r="CE49" i="10" s="1"/>
  <c r="CV75" i="10"/>
  <c r="CX75" i="10" s="1"/>
  <c r="B75" i="10" s="1"/>
  <c r="CV49" i="10"/>
  <c r="CX49" i="10" s="1"/>
  <c r="B49" i="10" s="1"/>
  <c r="CV52" i="10"/>
  <c r="CX52" i="10" s="1"/>
  <c r="B52" i="10" s="1"/>
  <c r="CL57" i="10"/>
  <c r="CN57" i="10" s="1"/>
  <c r="CO57" i="10" s="1"/>
  <c r="CE57" i="10" s="1"/>
  <c r="CL42" i="10"/>
  <c r="CN42" i="10" s="1"/>
  <c r="CO42" i="10" s="1"/>
  <c r="CE42" i="10" s="1"/>
  <c r="CV29" i="10"/>
  <c r="CX29" i="10" s="1"/>
  <c r="B29" i="10" s="1"/>
  <c r="CL29" i="10"/>
  <c r="CV57" i="10"/>
  <c r="CX57" i="10" s="1"/>
  <c r="B57" i="10" s="1"/>
  <c r="CL52" i="10"/>
  <c r="CN52" i="10" s="1"/>
  <c r="CO52" i="10" s="1"/>
  <c r="CE52" i="10" s="1"/>
  <c r="V205" i="14"/>
  <c r="AE33" i="28"/>
  <c r="AE37" i="28"/>
  <c r="AE150" i="28"/>
  <c r="AE140" i="28"/>
  <c r="AE145" i="28"/>
  <c r="AE143" i="28"/>
  <c r="AE38" i="28"/>
  <c r="AE146" i="28"/>
  <c r="AE147" i="28"/>
  <c r="AE141" i="28"/>
  <c r="AE42" i="28"/>
  <c r="AE35" i="28"/>
  <c r="AE39" i="28"/>
  <c r="AE142" i="28"/>
  <c r="AE139" i="28"/>
  <c r="AE144" i="28"/>
  <c r="AB42" i="28"/>
  <c r="AE41" i="28"/>
  <c r="AE36" i="28"/>
  <c r="AE40" i="28"/>
  <c r="AE148" i="28"/>
  <c r="AE149" i="28"/>
  <c r="AE151" i="28"/>
  <c r="AB41" i="28"/>
  <c r="ED223" i="7"/>
  <c r="X21" i="28"/>
  <c r="W18" i="28"/>
  <c r="AS24" i="28"/>
  <c r="AL17" i="28"/>
  <c r="ED37" i="7"/>
  <c r="EH37" i="7" s="1"/>
  <c r="AI11" i="28"/>
  <c r="AZ18" i="28"/>
  <c r="S16" i="28"/>
  <c r="AM15" i="28"/>
  <c r="AH22" i="28"/>
  <c r="ED179" i="7"/>
  <c r="EH179" i="7" s="1"/>
  <c r="AG22" i="28"/>
  <c r="ED56" i="7"/>
  <c r="EH56" i="7" s="1"/>
  <c r="AI24" i="28"/>
  <c r="AJ18" i="28"/>
  <c r="AM22" i="28"/>
  <c r="AG23" i="28"/>
  <c r="ED30" i="7"/>
  <c r="EH30" i="7" s="1"/>
  <c r="ED121" i="7"/>
  <c r="EH121" i="7" s="1"/>
  <c r="AJ21" i="28"/>
  <c r="AX17" i="28"/>
  <c r="AW21" i="28"/>
  <c r="AV22" i="28"/>
  <c r="AL22" i="28"/>
  <c r="AK18" i="28"/>
  <c r="ED169" i="7"/>
  <c r="EH169" i="7" s="1"/>
  <c r="AB35" i="28"/>
  <c r="BD23" i="28"/>
  <c r="AD11" i="28"/>
  <c r="BG11" i="28"/>
  <c r="BC16" i="28"/>
  <c r="AT17" i="28"/>
  <c r="AY15" i="28"/>
  <c r="S17" i="28"/>
  <c r="BI16" i="28"/>
  <c r="ED194" i="7"/>
  <c r="EH194" i="7" s="1"/>
  <c r="AF22" i="28"/>
  <c r="AB141" i="28"/>
  <c r="AF11" i="28"/>
  <c r="ED175" i="7"/>
  <c r="EH175" i="7" s="1"/>
  <c r="T16" i="28"/>
  <c r="BJ15" i="28"/>
  <c r="U23" i="28"/>
  <c r="AW18" i="28"/>
  <c r="AP22" i="28"/>
  <c r="BA18" i="28"/>
  <c r="AT24" i="28"/>
  <c r="N203" i="14"/>
  <c r="ED159" i="7"/>
  <c r="EH159" i="7" s="1"/>
  <c r="BH17" i="28"/>
  <c r="BJ24" i="28"/>
  <c r="AS11" i="28"/>
  <c r="U18" i="28"/>
  <c r="ED146" i="7"/>
  <c r="EH146" i="7" s="1"/>
  <c r="AY22" i="28"/>
  <c r="AZ11" i="28"/>
  <c r="AB16" i="28"/>
  <c r="ED145" i="7"/>
  <c r="EH145" i="7" s="1"/>
  <c r="AI22" i="28"/>
  <c r="AG18" i="28"/>
  <c r="Y17" i="28"/>
  <c r="ED151" i="7"/>
  <c r="EH151" i="7" s="1"/>
  <c r="AX11" i="28"/>
  <c r="AL21" i="28"/>
  <c r="AU23" i="28"/>
  <c r="AR24" i="28"/>
  <c r="AS22" i="28"/>
  <c r="AR15" i="28"/>
  <c r="W15" i="28"/>
  <c r="AV16" i="28"/>
  <c r="AE21" i="28"/>
  <c r="Y16" i="28"/>
  <c r="BB17" i="28"/>
  <c r="X24" i="28"/>
  <c r="AG16" i="28"/>
  <c r="U17" i="28"/>
  <c r="BG15" i="28"/>
  <c r="BE22" i="28"/>
  <c r="W24" i="28"/>
  <c r="X18" i="28"/>
  <c r="BI17" i="28"/>
  <c r="AB36" i="28"/>
  <c r="ED36" i="7"/>
  <c r="EH36" i="7" s="1"/>
  <c r="AK17" i="28"/>
  <c r="W11" i="28"/>
  <c r="ED45" i="7"/>
  <c r="EH45" i="7" s="1"/>
  <c r="V16" i="28"/>
  <c r="ED82" i="7"/>
  <c r="EH82" i="7" s="1"/>
  <c r="AC15" i="28"/>
  <c r="BF23" i="28"/>
  <c r="ED122" i="7"/>
  <c r="EH122" i="7" s="1"/>
  <c r="ED189" i="7"/>
  <c r="EH189" i="7" s="1"/>
  <c r="AB17" i="28"/>
  <c r="AJ17" i="28"/>
  <c r="AW11" i="28"/>
  <c r="BI18" i="28"/>
  <c r="AA23" i="28"/>
  <c r="BI11" i="28"/>
  <c r="ED19" i="7"/>
  <c r="ED185" i="7"/>
  <c r="EH185" i="7" s="1"/>
  <c r="AY11" i="28"/>
  <c r="BJ22" i="28"/>
  <c r="W22" i="28"/>
  <c r="AQ24" i="28"/>
  <c r="BH24" i="28"/>
  <c r="AH23" i="28"/>
  <c r="ED180" i="7"/>
  <c r="EH180" i="7" s="1"/>
  <c r="AS18" i="28"/>
  <c r="AX16" i="28"/>
  <c r="X16" i="28"/>
  <c r="AE11" i="28"/>
  <c r="AB144" i="28"/>
  <c r="AB151" i="28"/>
  <c r="AF24" i="28"/>
  <c r="AD24" i="28"/>
  <c r="BJ11" i="28"/>
  <c r="AV15" i="28"/>
  <c r="Z23" i="28"/>
  <c r="BD17" i="28"/>
  <c r="ED23" i="7"/>
  <c r="EH23" i="7" s="1"/>
  <c r="ED17" i="7"/>
  <c r="ED184" i="7"/>
  <c r="EH184" i="7" s="1"/>
  <c r="Y22" i="28"/>
  <c r="T15" i="28"/>
  <c r="BD21" i="28"/>
  <c r="AL11" i="28"/>
  <c r="BB23" i="28"/>
  <c r="BA21" i="28"/>
  <c r="AT22" i="28"/>
  <c r="BC18" i="28"/>
  <c r="AL24" i="28"/>
  <c r="ED48" i="7"/>
  <c r="EH48" i="7" s="1"/>
  <c r="ED165" i="7"/>
  <c r="EH165" i="7" s="1"/>
  <c r="ED193" i="7"/>
  <c r="EH193" i="7" s="1"/>
  <c r="ED35" i="7"/>
  <c r="EH35" i="7" s="1"/>
  <c r="AK15" i="28"/>
  <c r="BF21" i="28"/>
  <c r="AP21" i="28"/>
  <c r="AE17" i="28"/>
  <c r="ED166" i="7"/>
  <c r="EH166" i="7" s="1"/>
  <c r="AB15" i="28"/>
  <c r="AI18" i="28"/>
  <c r="ED51" i="7"/>
  <c r="EH51" i="7" s="1"/>
  <c r="AI15" i="28"/>
  <c r="AT11" i="28"/>
  <c r="ED43" i="7"/>
  <c r="EH43" i="7" s="1"/>
  <c r="V21" i="28"/>
  <c r="BB22" i="28"/>
  <c r="AL18" i="28"/>
  <c r="ED126" i="7"/>
  <c r="EH126" i="7" s="1"/>
  <c r="AJ24" i="28"/>
  <c r="BB24" i="28"/>
  <c r="BH15" i="28"/>
  <c r="AC17" i="28"/>
  <c r="ED41" i="7"/>
  <c r="EH41" i="7" s="1"/>
  <c r="ED154" i="7"/>
  <c r="EH154" i="7" s="1"/>
  <c r="V15" i="28"/>
  <c r="ED9" i="7"/>
  <c r="AB38" i="28"/>
  <c r="AH16" i="28"/>
  <c r="AD16" i="28"/>
  <c r="ED18" i="7"/>
  <c r="AW24" i="28"/>
  <c r="AR17" i="28"/>
  <c r="AD23" i="28"/>
  <c r="AD17" i="28"/>
  <c r="AX24" i="28"/>
  <c r="ED170" i="7"/>
  <c r="EH170" i="7" s="1"/>
  <c r="AC24" i="28"/>
  <c r="AL23" i="28"/>
  <c r="AQ11" i="28"/>
  <c r="ED195" i="7"/>
  <c r="EH195" i="7" s="1"/>
  <c r="AB139" i="28"/>
  <c r="AS21" i="28"/>
  <c r="T18" i="28"/>
  <c r="AH15" i="28"/>
  <c r="AX18" i="28"/>
  <c r="X15" i="28"/>
  <c r="BE11" i="28"/>
  <c r="AY24" i="28"/>
  <c r="AB145" i="28"/>
  <c r="BI21" i="28"/>
  <c r="AY17" i="28"/>
  <c r="ED12" i="7"/>
  <c r="U16" i="28"/>
  <c r="AJ16" i="28"/>
  <c r="AE23" i="28"/>
  <c r="AG24" i="28"/>
  <c r="ED123" i="7"/>
  <c r="EH123" i="7" s="1"/>
  <c r="BC17" i="28"/>
  <c r="Z21" i="28"/>
  <c r="ED155" i="7"/>
  <c r="EH155" i="7" s="1"/>
  <c r="AQ21" i="28"/>
  <c r="ED15" i="7"/>
  <c r="ED32" i="7"/>
  <c r="EH32" i="7" s="1"/>
  <c r="BA23" i="28"/>
  <c r="ED44" i="7"/>
  <c r="EH44" i="7" s="1"/>
  <c r="ED133" i="7"/>
  <c r="EH133" i="7" s="1"/>
  <c r="ED6" i="7"/>
  <c r="Y11" i="28"/>
  <c r="AB150" i="28"/>
  <c r="AA18" i="28"/>
  <c r="ED11" i="7"/>
  <c r="AB23" i="28"/>
  <c r="ED157" i="7"/>
  <c r="EH157" i="7" s="1"/>
  <c r="BB16" i="28"/>
  <c r="ED190" i="7"/>
  <c r="EH190" i="7" s="1"/>
  <c r="U11" i="28"/>
  <c r="BH18" i="28"/>
  <c r="ED52" i="7"/>
  <c r="EH52" i="7" s="1"/>
  <c r="ED140" i="7"/>
  <c r="EH140" i="7" s="1"/>
  <c r="BF15" i="28"/>
  <c r="BG18" i="28"/>
  <c r="AI21" i="28"/>
  <c r="W16" i="28"/>
  <c r="V17" i="28"/>
  <c r="BA17" i="28"/>
  <c r="BA22" i="28"/>
  <c r="ED144" i="7"/>
  <c r="EH144" i="7" s="1"/>
  <c r="AA16" i="28"/>
  <c r="BJ21" i="28"/>
  <c r="Y21" i="28"/>
  <c r="AV21" i="28"/>
  <c r="AC16" i="28"/>
  <c r="AB18" i="28"/>
  <c r="ED149" i="7"/>
  <c r="EH149" i="7" s="1"/>
  <c r="U24" i="28"/>
  <c r="AJ22" i="28"/>
  <c r="AR23" i="28"/>
  <c r="AX21" i="28"/>
  <c r="BD15" i="28"/>
  <c r="AU16" i="28"/>
  <c r="AA21" i="28"/>
  <c r="AA11" i="28"/>
  <c r="ED5" i="7"/>
  <c r="S22" i="28"/>
  <c r="AV17" i="28"/>
  <c r="AU21" i="28"/>
  <c r="BJ16" i="28"/>
  <c r="AR16" i="28"/>
  <c r="AI17" i="28"/>
  <c r="AT15" i="28"/>
  <c r="AP24" i="28"/>
  <c r="BB21" i="28"/>
  <c r="AG11" i="28"/>
  <c r="BG17" i="28"/>
  <c r="AB148" i="28"/>
  <c r="BF11" i="28"/>
  <c r="BF17" i="28"/>
  <c r="AU15" i="28"/>
  <c r="ED16" i="7"/>
  <c r="AA15" i="28"/>
  <c r="BE21" i="28"/>
  <c r="ED7" i="7"/>
  <c r="ED150" i="7"/>
  <c r="EH150" i="7" s="1"/>
  <c r="AU22" i="28"/>
  <c r="ED167" i="7"/>
  <c r="EH167" i="7" s="1"/>
  <c r="ED191" i="7"/>
  <c r="EH191" i="7" s="1"/>
  <c r="BI23" i="28"/>
  <c r="AK11" i="28"/>
  <c r="BD11" i="28"/>
  <c r="AC18" i="28"/>
  <c r="AM21" i="28"/>
  <c r="AC11" i="28"/>
  <c r="Z11" i="28"/>
  <c r="ED127" i="7"/>
  <c r="EH127" i="7" s="1"/>
  <c r="AR18" i="28"/>
  <c r="ED177" i="7"/>
  <c r="EH177" i="7" s="1"/>
  <c r="ED42" i="7"/>
  <c r="EH42" i="7" s="1"/>
  <c r="AV24" i="28"/>
  <c r="ED161" i="7"/>
  <c r="EH161" i="7" s="1"/>
  <c r="AJ15" i="28"/>
  <c r="ED221" i="7"/>
  <c r="AF21" i="28"/>
  <c r="ED131" i="7"/>
  <c r="EH131" i="7" s="1"/>
  <c r="ED26" i="7"/>
  <c r="EH26" i="7" s="1"/>
  <c r="ED196" i="7"/>
  <c r="EH196" i="7" s="1"/>
  <c r="AG21" i="28"/>
  <c r="AQ22" i="28"/>
  <c r="ED215" i="7"/>
  <c r="EH215" i="7" s="1"/>
  <c r="BA24" i="28"/>
  <c r="BG24" i="28"/>
  <c r="V22" i="28"/>
  <c r="ED47" i="7"/>
  <c r="EH47" i="7" s="1"/>
  <c r="BE16" i="28"/>
  <c r="BA11" i="28"/>
  <c r="AF15" i="28"/>
  <c r="AJ23" i="28"/>
  <c r="BA16" i="28"/>
  <c r="S24" i="28"/>
  <c r="AW23" i="28"/>
  <c r="D51" i="20"/>
  <c r="BI24" i="28"/>
  <c r="AP23" i="28"/>
  <c r="BC15" i="28"/>
  <c r="V11" i="28"/>
  <c r="ED168" i="7"/>
  <c r="EH168" i="7" s="1"/>
  <c r="ED31" i="7"/>
  <c r="EH31" i="7" s="1"/>
  <c r="BE15" i="28"/>
  <c r="ED29" i="7"/>
  <c r="EH29" i="7" s="1"/>
  <c r="AQ17" i="28"/>
  <c r="ED132" i="7"/>
  <c r="EH132" i="7" s="1"/>
  <c r="W17" i="28"/>
  <c r="ED55" i="7"/>
  <c r="EH55" i="7" s="1"/>
  <c r="AB11" i="28"/>
  <c r="BB15" i="28"/>
  <c r="ED164" i="7"/>
  <c r="EH164" i="7" s="1"/>
  <c r="BG22" i="28"/>
  <c r="BJ23" i="28"/>
  <c r="ED139" i="7"/>
  <c r="EH139" i="7" s="1"/>
  <c r="AY16" i="28"/>
  <c r="T11" i="28"/>
  <c r="AY18" i="28"/>
  <c r="ED187" i="7"/>
  <c r="EH187" i="7" s="1"/>
  <c r="AX15" i="28"/>
  <c r="U21" i="28"/>
  <c r="AS23" i="28"/>
  <c r="AI16" i="28"/>
  <c r="AP16" i="28"/>
  <c r="AF17" i="28"/>
  <c r="Y23" i="28"/>
  <c r="ED174" i="7"/>
  <c r="EH174" i="7" s="1"/>
  <c r="AS17" i="28"/>
  <c r="AU18" i="28"/>
  <c r="Z18" i="28"/>
  <c r="AM23" i="28"/>
  <c r="AK16" i="28"/>
  <c r="ED14" i="7"/>
  <c r="AV11" i="28"/>
  <c r="AX22" i="28"/>
  <c r="BC23" i="28"/>
  <c r="ED84" i="7"/>
  <c r="EH84" i="7" s="1"/>
  <c r="AM17" i="28"/>
  <c r="BH22" i="28"/>
  <c r="AT23" i="28"/>
  <c r="ED219" i="7"/>
  <c r="BD22" i="28"/>
  <c r="Z17" i="28"/>
  <c r="ED39" i="7"/>
  <c r="EH39" i="7" s="1"/>
  <c r="AQ23" i="28"/>
  <c r="V24" i="28"/>
  <c r="AB143" i="28"/>
  <c r="BF16" i="28"/>
  <c r="Z16" i="28"/>
  <c r="ED20" i="7"/>
  <c r="AH11" i="28"/>
  <c r="ED143" i="7"/>
  <c r="EH143" i="7" s="1"/>
  <c r="AR21" i="28"/>
  <c r="ED217" i="7"/>
  <c r="EH217" i="7" s="1"/>
  <c r="X17" i="28"/>
  <c r="ED124" i="7"/>
  <c r="EH124" i="7" s="1"/>
  <c r="ED147" i="7"/>
  <c r="EH147" i="7" s="1"/>
  <c r="AY23" i="28"/>
  <c r="AE22" i="28"/>
  <c r="S21" i="28"/>
  <c r="AB147" i="28"/>
  <c r="X22" i="28"/>
  <c r="ED214" i="7"/>
  <c r="EH214" i="7" s="1"/>
  <c r="S23" i="28"/>
  <c r="AC22" i="28"/>
  <c r="AY21" i="28"/>
  <c r="ED27" i="7"/>
  <c r="EH27" i="7" s="1"/>
  <c r="AK22" i="28"/>
  <c r="W21" i="28"/>
  <c r="AH24" i="28"/>
  <c r="T24" i="28"/>
  <c r="ED134" i="7"/>
  <c r="EH134" i="7" s="1"/>
  <c r="AL16" i="28"/>
  <c r="AP15" i="28"/>
  <c r="AQ18" i="28"/>
  <c r="ED4" i="7"/>
  <c r="ED25" i="7"/>
  <c r="EH25" i="7" s="1"/>
  <c r="ED182" i="7"/>
  <c r="EH182" i="7" s="1"/>
  <c r="CB103" i="10"/>
  <c r="CB86" i="10"/>
  <c r="V23" i="28"/>
  <c r="AE24" i="28"/>
  <c r="BB18" i="28"/>
  <c r="AA17" i="28"/>
  <c r="AF18" i="28"/>
  <c r="ED81" i="7"/>
  <c r="EH81" i="7" s="1"/>
  <c r="ED222" i="7"/>
  <c r="CB84" i="10"/>
  <c r="CB93" i="10"/>
  <c r="CB89" i="10"/>
  <c r="BJ17" i="28"/>
  <c r="AC23" i="28"/>
  <c r="BG16" i="28"/>
  <c r="ED21" i="7"/>
  <c r="AU17" i="28"/>
  <c r="AZ24" i="28"/>
  <c r="BA15" i="28"/>
  <c r="ED136" i="7"/>
  <c r="EH136" i="7" s="1"/>
  <c r="H89" i="20"/>
  <c r="AF16" i="28"/>
  <c r="AB146" i="28"/>
  <c r="AZ15" i="28"/>
  <c r="AD18" i="28"/>
  <c r="AX23" i="28"/>
  <c r="AD21" i="28"/>
  <c r="ED24" i="7"/>
  <c r="EH24" i="7" s="1"/>
  <c r="ED160" i="7"/>
  <c r="EH160" i="7" s="1"/>
  <c r="AM11" i="28"/>
  <c r="Z22" i="28"/>
  <c r="BI22" i="28"/>
  <c r="BF18" i="28"/>
  <c r="BD18" i="28"/>
  <c r="AS15" i="28"/>
  <c r="BE24" i="28"/>
  <c r="AB142" i="28"/>
  <c r="ED171" i="7"/>
  <c r="EH171" i="7" s="1"/>
  <c r="BJ18" i="28"/>
  <c r="AJ11" i="28"/>
  <c r="BC21" i="28"/>
  <c r="AZ21" i="28"/>
  <c r="AT21" i="28"/>
  <c r="ED197" i="7"/>
  <c r="EH197" i="7" s="1"/>
  <c r="AK24" i="28"/>
  <c r="AG15" i="28"/>
  <c r="BE17" i="28"/>
  <c r="T22" i="28"/>
  <c r="AZ22" i="28"/>
  <c r="AT16" i="28"/>
  <c r="ED162" i="7"/>
  <c r="EH162" i="7" s="1"/>
  <c r="BH11" i="28"/>
  <c r="AU24" i="28"/>
  <c r="BF22" i="28"/>
  <c r="AE18" i="28"/>
  <c r="AD15" i="28"/>
  <c r="AW15" i="28"/>
  <c r="AT18" i="28"/>
  <c r="AS16" i="28"/>
  <c r="AC21" i="28"/>
  <c r="Y24" i="28"/>
  <c r="U15" i="28"/>
  <c r="ED178" i="7"/>
  <c r="EH178" i="7" s="1"/>
  <c r="Y15" i="28"/>
  <c r="ED40" i="7"/>
  <c r="EH40" i="7" s="1"/>
  <c r="T21" i="28"/>
  <c r="AH21" i="28"/>
  <c r="AB149" i="28"/>
  <c r="ED220" i="7"/>
  <c r="ED83" i="7"/>
  <c r="EH83" i="7" s="1"/>
  <c r="BD16" i="28"/>
  <c r="AM24" i="28"/>
  <c r="ED183" i="7"/>
  <c r="EH183" i="7" s="1"/>
  <c r="ED176" i="7"/>
  <c r="EH176" i="7" s="1"/>
  <c r="AM18" i="28"/>
  <c r="AK23" i="28"/>
  <c r="ED192" i="7"/>
  <c r="EH192" i="7" s="1"/>
  <c r="ED130" i="7"/>
  <c r="EH130" i="7" s="1"/>
  <c r="AB21" i="28"/>
  <c r="AD22" i="28"/>
  <c r="ED188" i="7"/>
  <c r="EH188" i="7" s="1"/>
  <c r="AH17" i="28"/>
  <c r="V18" i="28"/>
  <c r="ED172" i="7"/>
  <c r="EH172" i="7" s="1"/>
  <c r="ED129" i="7"/>
  <c r="EH129" i="7" s="1"/>
  <c r="AV18" i="28"/>
  <c r="Z24" i="28"/>
  <c r="BE23" i="28"/>
  <c r="Y18" i="28"/>
  <c r="ED163" i="7"/>
  <c r="EH163" i="7" s="1"/>
  <c r="AL15" i="28"/>
  <c r="BF24" i="28"/>
  <c r="AB22" i="28"/>
  <c r="BC24" i="28"/>
  <c r="U22" i="28"/>
  <c r="AM16" i="28"/>
  <c r="ED49" i="7"/>
  <c r="EH49" i="7" s="1"/>
  <c r="ED34" i="7"/>
  <c r="EH34" i="7" s="1"/>
  <c r="AH18" i="28"/>
  <c r="AB140" i="28"/>
  <c r="AB39" i="28"/>
  <c r="AB37" i="28"/>
  <c r="ED152" i="7"/>
  <c r="EH152" i="7" s="1"/>
  <c r="BB11" i="28"/>
  <c r="T23" i="28"/>
  <c r="BI15" i="28"/>
  <c r="ED38" i="7"/>
  <c r="EH38" i="7" s="1"/>
  <c r="ED137" i="7"/>
  <c r="EH137" i="7" s="1"/>
  <c r="ED128" i="7"/>
  <c r="EH128" i="7" s="1"/>
  <c r="ED138" i="7"/>
  <c r="EH138" i="7" s="1"/>
  <c r="AB24" i="28"/>
  <c r="CB101" i="10"/>
  <c r="AF23" i="28"/>
  <c r="AP17" i="28"/>
  <c r="ED181" i="7"/>
  <c r="EH181" i="7" s="1"/>
  <c r="CB97" i="10"/>
  <c r="CB87" i="10"/>
  <c r="ED148" i="7"/>
  <c r="EH148" i="7" s="1"/>
  <c r="AI23" i="28"/>
  <c r="AA22" i="28"/>
  <c r="BH21" i="28"/>
  <c r="W23" i="28"/>
  <c r="BD24" i="28"/>
  <c r="CB104" i="10"/>
  <c r="CB90" i="10"/>
  <c r="CB100" i="10"/>
  <c r="CB91" i="10"/>
  <c r="AZ23" i="28"/>
  <c r="X23" i="28"/>
  <c r="ED10" i="7"/>
  <c r="AG17" i="28"/>
  <c r="ED46" i="7"/>
  <c r="EH46" i="7" s="1"/>
  <c r="ED141" i="7"/>
  <c r="EH141" i="7" s="1"/>
  <c r="ED142" i="7"/>
  <c r="EH142" i="7" s="1"/>
  <c r="CB95" i="10"/>
  <c r="BG21" i="28"/>
  <c r="CB92" i="10"/>
  <c r="AP11" i="28"/>
  <c r="CB85" i="10"/>
  <c r="Z15" i="28"/>
  <c r="AB40" i="28"/>
  <c r="AQ205" i="14"/>
  <c r="X205" i="14"/>
  <c r="AR205" i="14"/>
  <c r="AT205" i="14"/>
  <c r="AU205" i="14"/>
  <c r="AE15" i="28"/>
  <c r="S15" i="28"/>
  <c r="BG23" i="28"/>
  <c r="AZ17" i="28"/>
  <c r="AW17" i="28"/>
  <c r="BH23" i="28"/>
  <c r="ED8" i="7"/>
  <c r="AK21" i="28"/>
  <c r="ED53" i="7"/>
  <c r="EH53" i="7" s="1"/>
  <c r="AQ15" i="28"/>
  <c r="AR22" i="28"/>
  <c r="AZ16" i="28"/>
  <c r="ED135" i="7"/>
  <c r="EH135" i="7" s="1"/>
  <c r="CB105" i="10"/>
  <c r="CB96" i="10"/>
  <c r="BB205" i="14"/>
  <c r="BG205" i="14"/>
  <c r="BA205" i="14"/>
  <c r="AS205" i="14"/>
  <c r="W205" i="14"/>
  <c r="BH16" i="28"/>
  <c r="AQ16" i="28"/>
  <c r="AE16" i="28"/>
  <c r="AU11" i="28"/>
  <c r="BC22" i="28"/>
  <c r="BC11" i="28"/>
  <c r="AV23" i="28"/>
  <c r="AW16" i="28"/>
  <c r="AP18" i="28"/>
  <c r="ED13" i="7"/>
  <c r="AA24" i="28"/>
  <c r="T17" i="28"/>
  <c r="AR11" i="28"/>
  <c r="CB88" i="10"/>
  <c r="AE205" i="14"/>
  <c r="AB205" i="14"/>
  <c r="AF205" i="14"/>
  <c r="AC205" i="14"/>
  <c r="AI205" i="14"/>
  <c r="R205" i="14"/>
  <c r="AJ205" i="14"/>
  <c r="BF205" i="14"/>
  <c r="AZ205" i="14"/>
  <c r="AG205" i="14"/>
  <c r="S205" i="14"/>
  <c r="Z205" i="14"/>
  <c r="AY205" i="14"/>
  <c r="AX205" i="14"/>
  <c r="Q205" i="14"/>
  <c r="AW22" i="28"/>
  <c r="ED216" i="7"/>
  <c r="EH216" i="7" s="1"/>
  <c r="S18" i="28"/>
  <c r="X11" i="28"/>
  <c r="ED28" i="7"/>
  <c r="EH28" i="7" s="1"/>
  <c r="ED54" i="7"/>
  <c r="EH54" i="7" s="1"/>
  <c r="S11" i="28"/>
  <c r="CB98" i="10"/>
  <c r="BE18" i="28"/>
  <c r="CB99" i="10"/>
  <c r="ED156" i="7"/>
  <c r="EH156" i="7" s="1"/>
  <c r="ED153" i="7"/>
  <c r="EH153" i="7" s="1"/>
  <c r="ED120" i="7"/>
  <c r="EH120" i="7" s="1"/>
  <c r="CB94" i="10"/>
  <c r="CB83" i="10"/>
  <c r="BC205" i="14"/>
  <c r="AW205" i="14"/>
  <c r="T205" i="14"/>
  <c r="Y205" i="14"/>
  <c r="AD205" i="14"/>
  <c r="BD205" i="14"/>
  <c r="AA205" i="14"/>
  <c r="AH205" i="14"/>
  <c r="BH205" i="14"/>
  <c r="CB102" i="10"/>
  <c r="BE205" i="14"/>
  <c r="U205" i="14"/>
  <c r="AK205" i="14"/>
  <c r="AV205" i="14"/>
  <c r="AW11" i="33"/>
  <c r="H247" i="20"/>
  <c r="E31" i="18"/>
  <c r="CZ43" i="10"/>
  <c r="CZ140" i="10"/>
  <c r="CZ138" i="10"/>
  <c r="CZ139" i="10"/>
  <c r="CZ131" i="10"/>
  <c r="CZ108" i="10"/>
  <c r="CZ127" i="10"/>
  <c r="CZ135" i="10"/>
  <c r="CZ62" i="10"/>
  <c r="CZ67" i="10"/>
  <c r="CZ113" i="10"/>
  <c r="CZ78" i="10"/>
  <c r="CZ61" i="10"/>
  <c r="CZ118" i="10"/>
  <c r="CZ63" i="10"/>
  <c r="S11" i="6"/>
  <c r="CZ130" i="10"/>
  <c r="CZ69" i="10"/>
  <c r="CZ77" i="10"/>
  <c r="CZ128" i="10"/>
  <c r="CZ50" i="10"/>
  <c r="CZ123" i="10"/>
  <c r="CZ122" i="10"/>
  <c r="CZ126" i="10"/>
  <c r="CZ124" i="10"/>
  <c r="CZ154" i="10"/>
  <c r="CZ151" i="10"/>
  <c r="CZ66" i="10"/>
  <c r="CZ56" i="10"/>
  <c r="CZ120" i="10"/>
  <c r="CZ134" i="10"/>
  <c r="H5" i="10"/>
  <c r="K10" i="6"/>
  <c r="CZ144" i="10"/>
  <c r="CZ137" i="10"/>
  <c r="CZ111" i="10"/>
  <c r="CZ64" i="10"/>
  <c r="CZ71" i="10"/>
  <c r="CZ74" i="10"/>
  <c r="CZ44" i="10"/>
  <c r="CZ149" i="10"/>
  <c r="CZ114" i="10"/>
  <c r="CZ150" i="10"/>
  <c r="CZ112" i="10"/>
  <c r="CZ148" i="10"/>
  <c r="CZ146" i="10"/>
  <c r="CZ136" i="10"/>
  <c r="CP246" i="10"/>
  <c r="I175" i="10"/>
  <c r="CZ54" i="10"/>
  <c r="CZ53" i="10"/>
  <c r="CZ70" i="10"/>
  <c r="CZ80" i="10"/>
  <c r="CZ142" i="10"/>
  <c r="CZ117" i="10"/>
  <c r="CZ48" i="10"/>
  <c r="CZ109" i="10"/>
  <c r="CZ59" i="10"/>
  <c r="CZ76" i="10"/>
  <c r="CZ157" i="10"/>
  <c r="CZ73" i="10"/>
  <c r="CZ58" i="10"/>
  <c r="CZ68" i="10"/>
  <c r="CZ129" i="10"/>
  <c r="CZ143" i="10"/>
  <c r="FK219" i="7"/>
  <c r="FE219" i="7" s="1"/>
  <c r="FK206" i="7"/>
  <c r="FE206" i="7" s="1"/>
  <c r="FK216" i="7"/>
  <c r="FE216" i="7" s="1"/>
  <c r="FK202" i="7"/>
  <c r="FE202" i="7" s="1"/>
  <c r="FK210" i="7"/>
  <c r="FE210" i="7" s="1"/>
  <c r="FK209" i="7"/>
  <c r="FE209" i="7" s="1"/>
  <c r="FK167" i="7"/>
  <c r="FK207" i="7"/>
  <c r="FE207" i="7" s="1"/>
  <c r="O283" i="20"/>
  <c r="FK212" i="7"/>
  <c r="FE212" i="7" s="1"/>
  <c r="FK215" i="7"/>
  <c r="FE215" i="7" s="1"/>
  <c r="FK208" i="7"/>
  <c r="FE208" i="7" s="1"/>
  <c r="FK203" i="7"/>
  <c r="FE203" i="7" s="1"/>
  <c r="FK201" i="7"/>
  <c r="FE201" i="7" s="1"/>
  <c r="FK126" i="7"/>
  <c r="FK204" i="7"/>
  <c r="FE204" i="7" s="1"/>
  <c r="FK214" i="7"/>
  <c r="FE214" i="7" s="1"/>
  <c r="FK205" i="7"/>
  <c r="FE205" i="7" s="1"/>
  <c r="FK211" i="7"/>
  <c r="FE211" i="7" s="1"/>
  <c r="FK218" i="7"/>
  <c r="FE218" i="7" s="1"/>
  <c r="FK217" i="7"/>
  <c r="FE217" i="7" s="1"/>
  <c r="AC3" i="14"/>
  <c r="FK160" i="7"/>
  <c r="FK213" i="7"/>
  <c r="FE213" i="7" s="1"/>
  <c r="FK200" i="7"/>
  <c r="FE200" i="7" s="1"/>
  <c r="FK199" i="7"/>
  <c r="FE199" i="7" s="1"/>
  <c r="EF195" i="10"/>
  <c r="AL195" i="10" s="1"/>
  <c r="EF84" i="10"/>
  <c r="EF85" i="10"/>
  <c r="DP85" i="10" s="1"/>
  <c r="AC85" i="10" s="1"/>
  <c r="EF177" i="10"/>
  <c r="AL177" i="10" s="1"/>
  <c r="EF102" i="10"/>
  <c r="EF186" i="10"/>
  <c r="AL186" i="10" s="1"/>
  <c r="EF90" i="10"/>
  <c r="EF91" i="10"/>
  <c r="EF104" i="10"/>
  <c r="DV104" i="10" s="1"/>
  <c r="AI104" i="10" s="1"/>
  <c r="EF87" i="10"/>
  <c r="DK87" i="10" s="1"/>
  <c r="X87" i="10" s="1"/>
  <c r="EF94" i="10"/>
  <c r="DV97" i="10"/>
  <c r="AI97" i="10" s="1"/>
  <c r="DY97" i="10"/>
  <c r="AL97" i="10" s="1"/>
  <c r="ED99" i="10"/>
  <c r="AQ99" i="10" s="1"/>
  <c r="DP86" i="10"/>
  <c r="AC86" i="10" s="1"/>
  <c r="DN85" i="10"/>
  <c r="AA85" i="10" s="1"/>
  <c r="ED84" i="10"/>
  <c r="AQ84" i="10" s="1"/>
  <c r="DY104" i="10"/>
  <c r="AL104" i="10" s="1"/>
  <c r="DQ103" i="10"/>
  <c r="AD103" i="10" s="1"/>
  <c r="DY99" i="10"/>
  <c r="AL99" i="10" s="1"/>
  <c r="DS99" i="10"/>
  <c r="AF99" i="10" s="1"/>
  <c r="EB86" i="10"/>
  <c r="AO86" i="10" s="1"/>
  <c r="ED85" i="10"/>
  <c r="AQ85" i="10" s="1"/>
  <c r="DM90" i="10"/>
  <c r="Z90" i="10" s="1"/>
  <c r="DR83" i="10"/>
  <c r="AE83" i="10" s="1"/>
  <c r="DK104" i="10"/>
  <c r="X104" i="10" s="1"/>
  <c r="DO99" i="10"/>
  <c r="AB99" i="10" s="1"/>
  <c r="EA87" i="10"/>
  <c r="AN87" i="10" s="1"/>
  <c r="DN99" i="10"/>
  <c r="AA99" i="10" s="1"/>
  <c r="EC92" i="10"/>
  <c r="AP92" i="10" s="1"/>
  <c r="DO86" i="10"/>
  <c r="AB86" i="10" s="1"/>
  <c r="EA85" i="10"/>
  <c r="AN85" i="10" s="1"/>
  <c r="DT87" i="10"/>
  <c r="AG87" i="10" s="1"/>
  <c r="DM93" i="10"/>
  <c r="Z93" i="10" s="1"/>
  <c r="DY103" i="10"/>
  <c r="AL103" i="10" s="1"/>
  <c r="EC97" i="10"/>
  <c r="AP97" i="10" s="1"/>
  <c r="DP98" i="10"/>
  <c r="AC98" i="10" s="1"/>
  <c r="DU104" i="10"/>
  <c r="AH104" i="10" s="1"/>
  <c r="DW99" i="10"/>
  <c r="AJ99" i="10" s="1"/>
  <c r="DS98" i="10"/>
  <c r="AF98" i="10" s="1"/>
  <c r="DV84" i="10"/>
  <c r="AI84" i="10" s="1"/>
  <c r="EC95" i="10"/>
  <c r="AP95" i="10" s="1"/>
  <c r="DS101" i="10"/>
  <c r="AF101" i="10" s="1"/>
  <c r="DZ101" i="10"/>
  <c r="AM101" i="10" s="1"/>
  <c r="DV92" i="10"/>
  <c r="AI92" i="10" s="1"/>
  <c r="EF99" i="10"/>
  <c r="DX99" i="10" s="1"/>
  <c r="AK99" i="10" s="1"/>
  <c r="EF95" i="10"/>
  <c r="DL95" i="10" s="1"/>
  <c r="Y95" i="10" s="1"/>
  <c r="EF92" i="10"/>
  <c r="DP92" i="10" s="1"/>
  <c r="AC92" i="10" s="1"/>
  <c r="EF190" i="10"/>
  <c r="AL190" i="10" s="1"/>
  <c r="EF191" i="10"/>
  <c r="AL191" i="10" s="1"/>
  <c r="EF184" i="10"/>
  <c r="AL184" i="10" s="1"/>
  <c r="EF180" i="10"/>
  <c r="AL180" i="10" s="1"/>
  <c r="EF98" i="10"/>
  <c r="DK98" i="10" s="1"/>
  <c r="X98" i="10" s="1"/>
  <c r="EF178" i="10"/>
  <c r="AL178" i="10" s="1"/>
  <c r="EF183" i="10"/>
  <c r="AL183" i="10" s="1"/>
  <c r="EF101" i="10"/>
  <c r="DR101" i="10" s="1"/>
  <c r="AE101" i="10" s="1"/>
  <c r="DT104" i="10"/>
  <c r="AG104" i="10" s="1"/>
  <c r="DQ87" i="10"/>
  <c r="AD87" i="10" s="1"/>
  <c r="DO101" i="10"/>
  <c r="AB101" i="10" s="1"/>
  <c r="ED86" i="10"/>
  <c r="AQ86" i="10" s="1"/>
  <c r="DR87" i="10"/>
  <c r="AE87" i="10" s="1"/>
  <c r="EA98" i="10"/>
  <c r="AN98" i="10" s="1"/>
  <c r="DN104" i="10"/>
  <c r="AA104" i="10" s="1"/>
  <c r="DZ98" i="10"/>
  <c r="AM98" i="10" s="1"/>
  <c r="DT101" i="10"/>
  <c r="AG101" i="10" s="1"/>
  <c r="DO92" i="10"/>
  <c r="AB92" i="10" s="1"/>
  <c r="DV85" i="10"/>
  <c r="AI85" i="10" s="1"/>
  <c r="DJ95" i="10"/>
  <c r="W95" i="10" s="1"/>
  <c r="DU98" i="10"/>
  <c r="AH98" i="10" s="1"/>
  <c r="DL104" i="10"/>
  <c r="Y104" i="10" s="1"/>
  <c r="DP104" i="10"/>
  <c r="AC104" i="10" s="1"/>
  <c r="DM97" i="10"/>
  <c r="Z97" i="10" s="1"/>
  <c r="EC87" i="10"/>
  <c r="AP87" i="10" s="1"/>
  <c r="DQ101" i="10"/>
  <c r="AD101" i="10" s="1"/>
  <c r="DS92" i="10"/>
  <c r="AF92" i="10" s="1"/>
  <c r="DQ86" i="10"/>
  <c r="AD86" i="10" s="1"/>
  <c r="DJ85" i="10"/>
  <c r="W85" i="10" s="1"/>
  <c r="DT84" i="10"/>
  <c r="AG84" i="10" s="1"/>
  <c r="DW85" i="10"/>
  <c r="AJ85" i="10" s="1"/>
  <c r="DU103" i="10"/>
  <c r="AH103" i="10" s="1"/>
  <c r="DJ93" i="10"/>
  <c r="W93" i="10" s="1"/>
  <c r="DQ97" i="10"/>
  <c r="AD97" i="10" s="1"/>
  <c r="DK86" i="10"/>
  <c r="X86" i="10" s="1"/>
  <c r="DZ97" i="10"/>
  <c r="AM97" i="10" s="1"/>
  <c r="EE97" i="10"/>
  <c r="AR97" i="10" s="1"/>
  <c r="DZ87" i="10"/>
  <c r="AM87" i="10" s="1"/>
  <c r="EB95" i="10"/>
  <c r="AO95" i="10" s="1"/>
  <c r="DP101" i="10"/>
  <c r="AC101" i="10" s="1"/>
  <c r="EB101" i="10"/>
  <c r="AO101" i="10" s="1"/>
  <c r="DJ92" i="10"/>
  <c r="W92" i="10" s="1"/>
  <c r="DJ86" i="10"/>
  <c r="W86" i="10" s="1"/>
  <c r="DN86" i="10"/>
  <c r="AA86" i="10" s="1"/>
  <c r="DS84" i="10"/>
  <c r="AF84" i="10" s="1"/>
  <c r="EF179" i="10"/>
  <c r="AL179" i="10" s="1"/>
  <c r="EF103" i="10"/>
  <c r="EC103" i="10" s="1"/>
  <c r="AP103" i="10" s="1"/>
  <c r="EF185" i="10"/>
  <c r="AL185" i="10" s="1"/>
  <c r="EF105" i="10"/>
  <c r="EF96" i="10"/>
  <c r="DS96" i="10" s="1"/>
  <c r="AF96" i="10" s="1"/>
  <c r="EF189" i="10"/>
  <c r="AL189" i="10" s="1"/>
  <c r="EF93" i="10"/>
  <c r="EB93" i="10" s="1"/>
  <c r="AO93" i="10" s="1"/>
  <c r="EF83" i="10"/>
  <c r="DS83" i="10" s="1"/>
  <c r="AF83" i="10" s="1"/>
  <c r="EF192" i="10"/>
  <c r="DL103" i="10"/>
  <c r="Y103" i="10" s="1"/>
  <c r="DK101" i="10"/>
  <c r="X101" i="10" s="1"/>
  <c r="DY87" i="10"/>
  <c r="AL87" i="10" s="1"/>
  <c r="DK92" i="10"/>
  <c r="X92" i="10" s="1"/>
  <c r="DO85" i="10"/>
  <c r="AB85" i="10" s="1"/>
  <c r="DP83" i="10"/>
  <c r="AC83" i="10" s="1"/>
  <c r="DW103" i="10"/>
  <c r="AJ103" i="10" s="1"/>
  <c r="DO103" i="10"/>
  <c r="AB103" i="10" s="1"/>
  <c r="DW97" i="10"/>
  <c r="AJ97" i="10" s="1"/>
  <c r="DU99" i="10"/>
  <c r="AH99" i="10" s="1"/>
  <c r="DN92" i="10"/>
  <c r="AA92" i="10" s="1"/>
  <c r="DX85" i="10"/>
  <c r="AK85" i="10" s="1"/>
  <c r="DU87" i="10"/>
  <c r="AH87" i="10" s="1"/>
  <c r="DJ98" i="10"/>
  <c r="W98" i="10" s="1"/>
  <c r="EC104" i="10"/>
  <c r="AP104" i="10" s="1"/>
  <c r="ED103" i="10"/>
  <c r="AQ103" i="10" s="1"/>
  <c r="DU101" i="10"/>
  <c r="AH101" i="10" s="1"/>
  <c r="DN95" i="10"/>
  <c r="AA95" i="10" s="1"/>
  <c r="EE99" i="10"/>
  <c r="AR99" i="10" s="1"/>
  <c r="EB92" i="10"/>
  <c r="AO92" i="10" s="1"/>
  <c r="DS86" i="10"/>
  <c r="AF86" i="10" s="1"/>
  <c r="DU85" i="10"/>
  <c r="AH85" i="10" s="1"/>
  <c r="EC100" i="10"/>
  <c r="AP100" i="10" s="1"/>
  <c r="ED97" i="10"/>
  <c r="AQ97" i="10" s="1"/>
  <c r="DX103" i="10"/>
  <c r="AK103" i="10" s="1"/>
  <c r="ED104" i="10"/>
  <c r="AQ104" i="10" s="1"/>
  <c r="DO104" i="10"/>
  <c r="AB104" i="10" s="1"/>
  <c r="DS103" i="10"/>
  <c r="AF103" i="10" s="1"/>
  <c r="DT93" i="10"/>
  <c r="AG93" i="10" s="1"/>
  <c r="EB97" i="10"/>
  <c r="AO97" i="10" s="1"/>
  <c r="DY95" i="10"/>
  <c r="AL95" i="10" s="1"/>
  <c r="DR99" i="10"/>
  <c r="AE99" i="10" s="1"/>
  <c r="ED93" i="10"/>
  <c r="AQ93" i="10" s="1"/>
  <c r="DZ99" i="10"/>
  <c r="AM99" i="10" s="1"/>
  <c r="DQ92" i="10"/>
  <c r="AD92" i="10" s="1"/>
  <c r="DL92" i="10"/>
  <c r="Y92" i="10" s="1"/>
  <c r="DM86" i="10"/>
  <c r="Z86" i="10" s="1"/>
  <c r="DQ85" i="10"/>
  <c r="AD85" i="10" s="1"/>
  <c r="DP95" i="10"/>
  <c r="AC95" i="10" s="1"/>
  <c r="DM87" i="10"/>
  <c r="Z87" i="10" s="1"/>
  <c r="EF89" i="10"/>
  <c r="EF82" i="10"/>
  <c r="EF181" i="10"/>
  <c r="AL181" i="10" s="1"/>
  <c r="EF97" i="10"/>
  <c r="DL97" i="10" s="1"/>
  <c r="Y97" i="10" s="1"/>
  <c r="EF100" i="10"/>
  <c r="EA100" i="10" s="1"/>
  <c r="AN100" i="10" s="1"/>
  <c r="EF187" i="10"/>
  <c r="AL187" i="10" s="1"/>
  <c r="EF188" i="10"/>
  <c r="AL188" i="10" s="1"/>
  <c r="EF182" i="10"/>
  <c r="AL182" i="10" s="1"/>
  <c r="EF86" i="10"/>
  <c r="DW86" i="10" s="1"/>
  <c r="AJ86" i="10" s="1"/>
  <c r="EF88" i="10"/>
  <c r="DJ104" i="10"/>
  <c r="W104" i="10" s="1"/>
  <c r="DN97" i="10"/>
  <c r="AA97" i="10" s="1"/>
  <c r="EE87" i="10"/>
  <c r="AR87" i="10" s="1"/>
  <c r="EA86" i="10"/>
  <c r="AN86" i="10" s="1"/>
  <c r="DL85" i="10"/>
  <c r="Y85" i="10" s="1"/>
  <c r="DR84" i="10"/>
  <c r="AE84" i="10" s="1"/>
  <c r="DP103" i="10"/>
  <c r="AC103" i="10" s="1"/>
  <c r="DJ103" i="10"/>
  <c r="W103" i="10" s="1"/>
  <c r="DJ99" i="10"/>
  <c r="W99" i="10" s="1"/>
  <c r="DM101" i="10"/>
  <c r="Z101" i="10" s="1"/>
  <c r="DT86" i="10"/>
  <c r="AG86" i="10" s="1"/>
  <c r="DM85" i="10"/>
  <c r="Z85" i="10" s="1"/>
  <c r="DN87" i="10"/>
  <c r="AA87" i="10" s="1"/>
  <c r="DL87" i="10"/>
  <c r="Y87" i="10" s="1"/>
  <c r="DQ98" i="10"/>
  <c r="AD98" i="10" s="1"/>
  <c r="DK103" i="10"/>
  <c r="X103" i="10" s="1"/>
  <c r="DR97" i="10"/>
  <c r="AE97" i="10" s="1"/>
  <c r="DS87" i="10"/>
  <c r="AF87" i="10" s="1"/>
  <c r="EC101" i="10"/>
  <c r="AP101" i="10" s="1"/>
  <c r="DX86" i="10"/>
  <c r="AK86" i="10" s="1"/>
  <c r="EC85" i="10"/>
  <c r="AP85" i="10" s="1"/>
  <c r="DV100" i="10"/>
  <c r="AI100" i="10" s="1"/>
  <c r="DV93" i="10"/>
  <c r="AI93" i="10" s="1"/>
  <c r="DR103" i="10"/>
  <c r="AE103" i="10" s="1"/>
  <c r="EA93" i="10"/>
  <c r="AN93" i="10" s="1"/>
  <c r="DM104" i="10"/>
  <c r="Z104" i="10" s="1"/>
  <c r="DX93" i="10"/>
  <c r="AK93" i="10" s="1"/>
  <c r="EA103" i="10"/>
  <c r="AN103" i="10" s="1"/>
  <c r="DO97" i="10"/>
  <c r="AB97" i="10" s="1"/>
  <c r="DX87" i="10"/>
  <c r="AK87" i="10" s="1"/>
  <c r="DP87" i="10"/>
  <c r="AC87" i="10" s="1"/>
  <c r="EB99" i="10"/>
  <c r="AO99" i="10" s="1"/>
  <c r="DP99" i="10"/>
  <c r="AC99" i="10" s="1"/>
  <c r="DM99" i="10"/>
  <c r="Z99" i="10" s="1"/>
  <c r="DZ92" i="10"/>
  <c r="AM92" i="10" s="1"/>
  <c r="DZ86" i="10"/>
  <c r="AM86" i="10" s="1"/>
  <c r="DS85" i="10"/>
  <c r="AF85" i="10" s="1"/>
  <c r="DJ100" i="10"/>
  <c r="W100" i="10" s="1"/>
  <c r="DM95" i="10"/>
  <c r="Z95" i="10" s="1"/>
  <c r="DR95" i="10"/>
  <c r="AE95" i="10" s="1"/>
  <c r="DU86" i="10"/>
  <c r="AH86" i="10" s="1"/>
  <c r="DQ95" i="10"/>
  <c r="AD95" i="10" s="1"/>
  <c r="EE98" i="10"/>
  <c r="AR98" i="10" s="1"/>
  <c r="DR93" i="10"/>
  <c r="AE93" i="10" s="1"/>
  <c r="EC84" i="10"/>
  <c r="AP84" i="10" s="1"/>
  <c r="EE100" i="10"/>
  <c r="AR100" i="10" s="1"/>
  <c r="DZ84" i="10"/>
  <c r="AM84" i="10" s="1"/>
  <c r="DK102" i="10"/>
  <c r="X102" i="10" s="1"/>
  <c r="DV94" i="10"/>
  <c r="AI94" i="10" s="1"/>
  <c r="EB90" i="10"/>
  <c r="AO90" i="10" s="1"/>
  <c r="DZ102" i="10"/>
  <c r="AM102" i="10" s="1"/>
  <c r="DZ89" i="10"/>
  <c r="AM89" i="10" s="1"/>
  <c r="DX94" i="10"/>
  <c r="AK94" i="10" s="1"/>
  <c r="EB88" i="10"/>
  <c r="AO88" i="10" s="1"/>
  <c r="DW91" i="10"/>
  <c r="AJ91" i="10" s="1"/>
  <c r="EE96" i="10"/>
  <c r="AR96" i="10" s="1"/>
  <c r="DU88" i="10"/>
  <c r="AH88" i="10" s="1"/>
  <c r="DS88" i="10"/>
  <c r="AF88" i="10" s="1"/>
  <c r="DX98" i="10"/>
  <c r="AK98" i="10" s="1"/>
  <c r="DK105" i="10"/>
  <c r="X105" i="10" s="1"/>
  <c r="EA84" i="10"/>
  <c r="AN84" i="10" s="1"/>
  <c r="DQ84" i="10"/>
  <c r="AD84" i="10" s="1"/>
  <c r="DK83" i="10"/>
  <c r="X83" i="10" s="1"/>
  <c r="DO94" i="10"/>
  <c r="AB94" i="10" s="1"/>
  <c r="DS102" i="10"/>
  <c r="AF102" i="10" s="1"/>
  <c r="DR89" i="10"/>
  <c r="AE89" i="10" s="1"/>
  <c r="DY90" i="10"/>
  <c r="AL90" i="10" s="1"/>
  <c r="DR102" i="10"/>
  <c r="AE102" i="10" s="1"/>
  <c r="DK88" i="10"/>
  <c r="X88" i="10" s="1"/>
  <c r="DM91" i="10"/>
  <c r="Z91" i="10" s="1"/>
  <c r="DW82" i="10"/>
  <c r="AJ82" i="10" s="1"/>
  <c r="DX82" i="10"/>
  <c r="AK82" i="10" s="1"/>
  <c r="DQ105" i="10"/>
  <c r="AD105" i="10" s="1"/>
  <c r="ED82" i="10"/>
  <c r="AQ82" i="10" s="1"/>
  <c r="EC96" i="10"/>
  <c r="AP96" i="10" s="1"/>
  <c r="DL96" i="10"/>
  <c r="Y96" i="10" s="1"/>
  <c r="DU84" i="10"/>
  <c r="AH84" i="10" s="1"/>
  <c r="DS94" i="10"/>
  <c r="AF94" i="10" s="1"/>
  <c r="DP84" i="10"/>
  <c r="AC84" i="10" s="1"/>
  <c r="DU94" i="10"/>
  <c r="AH94" i="10" s="1"/>
  <c r="DL89" i="10"/>
  <c r="Y89" i="10" s="1"/>
  <c r="DK94" i="10"/>
  <c r="X94" i="10" s="1"/>
  <c r="ED102" i="10"/>
  <c r="AQ102" i="10" s="1"/>
  <c r="DS89" i="10"/>
  <c r="AF89" i="10" s="1"/>
  <c r="ED90" i="10"/>
  <c r="AQ90" i="10" s="1"/>
  <c r="DM96" i="10"/>
  <c r="Z96" i="10" s="1"/>
  <c r="DO82" i="10"/>
  <c r="AB82" i="10" s="1"/>
  <c r="DV91" i="10"/>
  <c r="AI91" i="10" s="1"/>
  <c r="DJ82" i="10"/>
  <c r="W82" i="10" s="1"/>
  <c r="DL88" i="10"/>
  <c r="Y88" i="10" s="1"/>
  <c r="DO105" i="10"/>
  <c r="AB105" i="10" s="1"/>
  <c r="DP96" i="10"/>
  <c r="AC96" i="10" s="1"/>
  <c r="DO84" i="10"/>
  <c r="AB84" i="10" s="1"/>
  <c r="EB100" i="10"/>
  <c r="AO100" i="10" s="1"/>
  <c r="EB84" i="10"/>
  <c r="AO84" i="10" s="1"/>
  <c r="DY83" i="10"/>
  <c r="AL83" i="10" s="1"/>
  <c r="DJ102" i="10"/>
  <c r="W102" i="10" s="1"/>
  <c r="EA89" i="10"/>
  <c r="AN89" i="10" s="1"/>
  <c r="DP90" i="10"/>
  <c r="AC90" i="10" s="1"/>
  <c r="DP94" i="10"/>
  <c r="AC94" i="10" s="1"/>
  <c r="ED96" i="10"/>
  <c r="AQ96" i="10" s="1"/>
  <c r="DR91" i="10"/>
  <c r="AE91" i="10" s="1"/>
  <c r="DJ96" i="10"/>
  <c r="W96" i="10" s="1"/>
  <c r="DQ82" i="10"/>
  <c r="AD82" i="10" s="1"/>
  <c r="EC88" i="10"/>
  <c r="AP88" i="10" s="1"/>
  <c r="DR105" i="10"/>
  <c r="AE105" i="10" s="1"/>
  <c r="DZ96" i="10"/>
  <c r="AM96" i="10" s="1"/>
  <c r="DK85" i="10"/>
  <c r="X85" i="10" s="1"/>
  <c r="ED95" i="10"/>
  <c r="AQ95" i="10" s="1"/>
  <c r="DO98" i="10"/>
  <c r="AB98" i="10" s="1"/>
  <c r="DQ93" i="10"/>
  <c r="AD93" i="10" s="1"/>
  <c r="DO83" i="10"/>
  <c r="AB83" i="10" s="1"/>
  <c r="ED100" i="10"/>
  <c r="AQ100" i="10" s="1"/>
  <c r="DM84" i="10"/>
  <c r="Z84" i="10" s="1"/>
  <c r="DN90" i="10"/>
  <c r="AA90" i="10" s="1"/>
  <c r="DT89" i="10"/>
  <c r="AG89" i="10" s="1"/>
  <c r="DN102" i="10"/>
  <c r="AA102" i="10" s="1"/>
  <c r="EE102" i="10"/>
  <c r="AR102" i="10" s="1"/>
  <c r="DP89" i="10"/>
  <c r="AC89" i="10" s="1"/>
  <c r="DO90" i="10"/>
  <c r="AB90" i="10" s="1"/>
  <c r="EE91" i="10"/>
  <c r="AR91" i="10" s="1"/>
  <c r="DT88" i="10"/>
  <c r="AG88" i="10" s="1"/>
  <c r="EA96" i="10"/>
  <c r="AN96" i="10" s="1"/>
  <c r="DL82" i="10"/>
  <c r="Y82" i="10" s="1"/>
  <c r="DY88" i="10"/>
  <c r="AL88" i="10" s="1"/>
  <c r="DX96" i="10"/>
  <c r="AK96" i="10" s="1"/>
  <c r="EE105" i="10"/>
  <c r="AR105" i="10" s="1"/>
  <c r="EA83" i="10"/>
  <c r="AN83" i="10" s="1"/>
  <c r="DY100" i="10"/>
  <c r="AL100" i="10" s="1"/>
  <c r="DN100" i="10"/>
  <c r="AA100" i="10" s="1"/>
  <c r="DJ89" i="10"/>
  <c r="W89" i="10" s="1"/>
  <c r="ED89" i="10"/>
  <c r="AQ89" i="10" s="1"/>
  <c r="DL94" i="10"/>
  <c r="Y94" i="10" s="1"/>
  <c r="DQ89" i="10"/>
  <c r="AD89" i="10" s="1"/>
  <c r="DR90" i="10"/>
  <c r="AE90" i="10" s="1"/>
  <c r="DO91" i="10"/>
  <c r="AB91" i="10" s="1"/>
  <c r="DV88" i="10"/>
  <c r="AI88" i="10" s="1"/>
  <c r="DX105" i="10"/>
  <c r="AK105" i="10" s="1"/>
  <c r="ED88" i="10"/>
  <c r="AQ88" i="10" s="1"/>
  <c r="DR82" i="10"/>
  <c r="AE82" i="10" s="1"/>
  <c r="EB91" i="10"/>
  <c r="AO91" i="10" s="1"/>
  <c r="DW96" i="10"/>
  <c r="AJ96" i="10" s="1"/>
  <c r="DV98" i="10"/>
  <c r="AI98" i="10" s="1"/>
  <c r="DV83" i="10"/>
  <c r="AI83" i="10" s="1"/>
  <c r="DU100" i="10"/>
  <c r="AH100" i="10" s="1"/>
  <c r="DK84" i="10"/>
  <c r="X84" i="10" s="1"/>
  <c r="DM89" i="10"/>
  <c r="Z89" i="10" s="1"/>
  <c r="DO102" i="10"/>
  <c r="AB102" i="10" s="1"/>
  <c r="DV89" i="10"/>
  <c r="AI89" i="10" s="1"/>
  <c r="DV90" i="10"/>
  <c r="AI90" i="10" s="1"/>
  <c r="DY102" i="10"/>
  <c r="AL102" i="10" s="1"/>
  <c r="DK90" i="10"/>
  <c r="X90" i="10" s="1"/>
  <c r="DZ88" i="10"/>
  <c r="AM88" i="10" s="1"/>
  <c r="DZ91" i="10"/>
  <c r="AM91" i="10" s="1"/>
  <c r="ED91" i="10"/>
  <c r="AQ91" i="10" s="1"/>
  <c r="EA88" i="10"/>
  <c r="AN88" i="10" s="1"/>
  <c r="DK82" i="10"/>
  <c r="X82" i="10" s="1"/>
  <c r="DV105" i="10"/>
  <c r="AI105" i="10" s="1"/>
  <c r="DY98" i="10"/>
  <c r="AL98" i="10" s="1"/>
  <c r="DU89" i="10"/>
  <c r="AH89" i="10" s="1"/>
  <c r="DM83" i="10"/>
  <c r="Z83" i="10" s="1"/>
  <c r="DZ83" i="10"/>
  <c r="AM83" i="10" s="1"/>
  <c r="EA102" i="10"/>
  <c r="AN102" i="10" s="1"/>
  <c r="DT90" i="10"/>
  <c r="AG90" i="10" s="1"/>
  <c r="DM94" i="10"/>
  <c r="Z94" i="10" s="1"/>
  <c r="EC89" i="10"/>
  <c r="AP89" i="10" s="1"/>
  <c r="EC102" i="10"/>
  <c r="AP102" i="10" s="1"/>
  <c r="DM82" i="10"/>
  <c r="Z82" i="10" s="1"/>
  <c r="DS82" i="10"/>
  <c r="AF82" i="10" s="1"/>
  <c r="DN91" i="10"/>
  <c r="AA91" i="10" s="1"/>
  <c r="DY82" i="10"/>
  <c r="AL82" i="10" s="1"/>
  <c r="DO88" i="10"/>
  <c r="AB88" i="10" s="1"/>
  <c r="DN96" i="10"/>
  <c r="AA96" i="10" s="1"/>
  <c r="EF193" i="10"/>
  <c r="AL193" i="10" s="1"/>
  <c r="DZ85" i="10"/>
  <c r="AM85" i="10" s="1"/>
  <c r="DV87" i="10"/>
  <c r="AI87" i="10" s="1"/>
  <c r="DN98" i="10"/>
  <c r="AA98" i="10" s="1"/>
  <c r="DZ93" i="10"/>
  <c r="AM93" i="10" s="1"/>
  <c r="DQ83" i="10"/>
  <c r="AD83" i="10" s="1"/>
  <c r="DT83" i="10"/>
  <c r="AG83" i="10" s="1"/>
  <c r="DX83" i="10"/>
  <c r="AK83" i="10" s="1"/>
  <c r="DY94" i="10"/>
  <c r="AL94" i="10" s="1"/>
  <c r="DN89" i="10"/>
  <c r="AA89" i="10" s="1"/>
  <c r="DS90" i="10"/>
  <c r="AF90" i="10" s="1"/>
  <c r="DL90" i="10"/>
  <c r="Y90" i="10" s="1"/>
  <c r="DP102" i="10"/>
  <c r="AC102" i="10" s="1"/>
  <c r="DN82" i="10"/>
  <c r="AA82" i="10" s="1"/>
  <c r="DT96" i="10"/>
  <c r="AG96" i="10" s="1"/>
  <c r="DP82" i="10"/>
  <c r="AC82" i="10" s="1"/>
  <c r="DP91" i="10"/>
  <c r="AC91" i="10" s="1"/>
  <c r="DJ88" i="10"/>
  <c r="W88" i="10" s="1"/>
  <c r="DZ105" i="10"/>
  <c r="AM105" i="10" s="1"/>
  <c r="EA105" i="10"/>
  <c r="AN105" i="10" s="1"/>
  <c r="DK100" i="10"/>
  <c r="X100" i="10" s="1"/>
  <c r="DN83" i="10"/>
  <c r="AA83" i="10" s="1"/>
  <c r="EE84" i="10"/>
  <c r="AR84" i="10" s="1"/>
  <c r="DR94" i="10"/>
  <c r="AE94" i="10" s="1"/>
  <c r="EE94" i="10"/>
  <c r="AR94" i="10" s="1"/>
  <c r="DN94" i="10"/>
  <c r="AA94" i="10" s="1"/>
  <c r="DL102" i="10"/>
  <c r="Y102" i="10" s="1"/>
  <c r="DK89" i="10"/>
  <c r="X89" i="10" s="1"/>
  <c r="EE90" i="10"/>
  <c r="AR90" i="10" s="1"/>
  <c r="EE88" i="10"/>
  <c r="AR88" i="10" s="1"/>
  <c r="DU91" i="10"/>
  <c r="AH91" i="10" s="1"/>
  <c r="DQ91" i="10"/>
  <c r="AD91" i="10" s="1"/>
  <c r="DZ82" i="10"/>
  <c r="AM82" i="10" s="1"/>
  <c r="ED105" i="10"/>
  <c r="AQ105" i="10" s="1"/>
  <c r="DV96" i="10"/>
  <c r="AI96" i="10" s="1"/>
  <c r="DU105" i="10"/>
  <c r="AH105" i="10" s="1"/>
  <c r="DL83" i="10"/>
  <c r="Y83" i="10" s="1"/>
  <c r="DN84" i="10"/>
  <c r="AA84" i="10" s="1"/>
  <c r="ED83" i="10"/>
  <c r="AQ83" i="10" s="1"/>
  <c r="EC83" i="10"/>
  <c r="AP83" i="10" s="1"/>
  <c r="DQ94" i="10"/>
  <c r="AD94" i="10" s="1"/>
  <c r="DW90" i="10"/>
  <c r="AJ90" i="10" s="1"/>
  <c r="EA94" i="10"/>
  <c r="AN94" i="10" s="1"/>
  <c r="EE89" i="10"/>
  <c r="AR89" i="10" s="1"/>
  <c r="EB102" i="10"/>
  <c r="AO102" i="10" s="1"/>
  <c r="DT102" i="10"/>
  <c r="AG102" i="10" s="1"/>
  <c r="DT91" i="10"/>
  <c r="AG91" i="10" s="1"/>
  <c r="DO96" i="10"/>
  <c r="AB96" i="10" s="1"/>
  <c r="EC91" i="10"/>
  <c r="AP91" i="10" s="1"/>
  <c r="DS105" i="10"/>
  <c r="AF105" i="10" s="1"/>
  <c r="DJ105" i="10"/>
  <c r="W105" i="10" s="1"/>
  <c r="DW105" i="10"/>
  <c r="AJ105" i="10" s="1"/>
  <c r="DP100" i="10"/>
  <c r="AC100" i="10" s="1"/>
  <c r="DT100" i="10"/>
  <c r="AG100" i="10" s="1"/>
  <c r="DW100" i="10"/>
  <c r="AJ100" i="10" s="1"/>
  <c r="EE83" i="10"/>
  <c r="AR83" i="10" s="1"/>
  <c r="DU102" i="10"/>
  <c r="AH102" i="10" s="1"/>
  <c r="DX102" i="10"/>
  <c r="AK102" i="10" s="1"/>
  <c r="DW94" i="10"/>
  <c r="AJ94" i="10" s="1"/>
  <c r="DX89" i="10"/>
  <c r="AK89" i="10" s="1"/>
  <c r="DZ90" i="10"/>
  <c r="AM90" i="10" s="1"/>
  <c r="DY105" i="10"/>
  <c r="AL105" i="10" s="1"/>
  <c r="EE82" i="10"/>
  <c r="AR82" i="10" s="1"/>
  <c r="DS91" i="10"/>
  <c r="AF91" i="10" s="1"/>
  <c r="DV82" i="10"/>
  <c r="AI82" i="10" s="1"/>
  <c r="DT105" i="10"/>
  <c r="AG105" i="10" s="1"/>
  <c r="DK96" i="10"/>
  <c r="X96" i="10" s="1"/>
  <c r="EF194" i="10"/>
  <c r="AL194" i="10" s="1"/>
  <c r="DR92" i="10"/>
  <c r="AE92" i="10" s="1"/>
  <c r="DW83" i="10"/>
  <c r="AJ83" i="10" s="1"/>
  <c r="DW87" i="10"/>
  <c r="AJ87" i="10" s="1"/>
  <c r="DT98" i="10"/>
  <c r="AG98" i="10" s="1"/>
  <c r="DX84" i="10"/>
  <c r="AK84" i="10" s="1"/>
  <c r="DU83" i="10"/>
  <c r="AH83" i="10" s="1"/>
  <c r="DZ100" i="10"/>
  <c r="AM100" i="10" s="1"/>
  <c r="DJ84" i="10"/>
  <c r="W84" i="10" s="1"/>
  <c r="DU90" i="10"/>
  <c r="AH90" i="10" s="1"/>
  <c r="DJ94" i="10"/>
  <c r="W94" i="10" s="1"/>
  <c r="DW89" i="10"/>
  <c r="AJ89" i="10" s="1"/>
  <c r="DX90" i="10"/>
  <c r="AK90" i="10" s="1"/>
  <c r="DW102" i="10"/>
  <c r="AJ102" i="10" s="1"/>
  <c r="DK91" i="10"/>
  <c r="X91" i="10" s="1"/>
  <c r="DX88" i="10"/>
  <c r="AK88" i="10" s="1"/>
  <c r="DR88" i="10"/>
  <c r="AE88" i="10" s="1"/>
  <c r="DY91" i="10"/>
  <c r="AL91" i="10" s="1"/>
  <c r="EB82" i="10"/>
  <c r="AO82" i="10" s="1"/>
  <c r="DW88" i="10"/>
  <c r="AJ88" i="10" s="1"/>
  <c r="EB96" i="10"/>
  <c r="AO96" i="10" s="1"/>
  <c r="DW84" i="10"/>
  <c r="AJ84" i="10" s="1"/>
  <c r="DO100" i="10"/>
  <c r="AB100" i="10" s="1"/>
  <c r="DL84" i="10"/>
  <c r="Y84" i="10" s="1"/>
  <c r="DL100" i="10"/>
  <c r="Y100" i="10" s="1"/>
  <c r="EB94" i="10"/>
  <c r="AO94" i="10" s="1"/>
  <c r="DY89" i="10"/>
  <c r="AL89" i="10" s="1"/>
  <c r="DQ90" i="10"/>
  <c r="AD90" i="10" s="1"/>
  <c r="DZ94" i="10"/>
  <c r="AM94" i="10" s="1"/>
  <c r="EC82" i="10"/>
  <c r="AP82" i="10" s="1"/>
  <c r="DJ91" i="10"/>
  <c r="W91" i="10" s="1"/>
  <c r="DQ88" i="10"/>
  <c r="AD88" i="10" s="1"/>
  <c r="DX91" i="10"/>
  <c r="AK91" i="10" s="1"/>
  <c r="DM105" i="10"/>
  <c r="Z105" i="10" s="1"/>
  <c r="DP105" i="10"/>
  <c r="AC105" i="10" s="1"/>
  <c r="DR96" i="10"/>
  <c r="AE96" i="10" s="1"/>
  <c r="EC105" i="10"/>
  <c r="AP105" i="10" s="1"/>
  <c r="DM100" i="10"/>
  <c r="Z100" i="10" s="1"/>
  <c r="DX100" i="10"/>
  <c r="AK100" i="10" s="1"/>
  <c r="DQ100" i="10"/>
  <c r="AD100" i="10" s="1"/>
  <c r="EB83" i="10"/>
  <c r="AO83" i="10" s="1"/>
  <c r="DT94" i="10"/>
  <c r="AG94" i="10" s="1"/>
  <c r="DO89" i="10"/>
  <c r="AB89" i="10" s="1"/>
  <c r="DV102" i="10"/>
  <c r="AI102" i="10" s="1"/>
  <c r="ED94" i="10"/>
  <c r="AQ94" i="10" s="1"/>
  <c r="DQ102" i="10"/>
  <c r="AD102" i="10" s="1"/>
  <c r="DM88" i="10"/>
  <c r="Z88" i="10" s="1"/>
  <c r="DP88" i="10"/>
  <c r="AC88" i="10" s="1"/>
  <c r="DL91" i="10"/>
  <c r="Y91" i="10" s="1"/>
  <c r="DN105" i="10"/>
  <c r="AA105" i="10" s="1"/>
  <c r="EA82" i="10"/>
  <c r="AN82" i="10" s="1"/>
  <c r="DQ96" i="10"/>
  <c r="AD96" i="10" s="1"/>
  <c r="DL105" i="10"/>
  <c r="Y105" i="10" s="1"/>
  <c r="DJ83" i="10"/>
  <c r="W83" i="10" s="1"/>
  <c r="DJ90" i="10"/>
  <c r="W90" i="10" s="1"/>
  <c r="DY84" i="10"/>
  <c r="AL84" i="10" s="1"/>
  <c r="DM102" i="10"/>
  <c r="Z102" i="10" s="1"/>
  <c r="EB89" i="10"/>
  <c r="AO89" i="10" s="1"/>
  <c r="EA90" i="10"/>
  <c r="AN90" i="10" s="1"/>
  <c r="EC90" i="10"/>
  <c r="AP90" i="10" s="1"/>
  <c r="EC94" i="10"/>
  <c r="AP94" i="10" s="1"/>
  <c r="DU82" i="10"/>
  <c r="AH82" i="10" s="1"/>
  <c r="DU96" i="10"/>
  <c r="AH96" i="10" s="1"/>
  <c r="EA91" i="10"/>
  <c r="AN91" i="10" s="1"/>
  <c r="DT82" i="10"/>
  <c r="AG82" i="10" s="1"/>
  <c r="DN88" i="10"/>
  <c r="AA88" i="10" s="1"/>
  <c r="EB105" i="10"/>
  <c r="AO105" i="10" s="1"/>
  <c r="DY96" i="10"/>
  <c r="AL96" i="10" s="1"/>
  <c r="EF196" i="10"/>
  <c r="ED227" i="7"/>
  <c r="EH227" i="7" s="1"/>
  <c r="A113" i="18"/>
  <c r="D113" i="18" s="1"/>
  <c r="D89" i="20"/>
  <c r="ED118" i="7"/>
  <c r="EH118" i="7" s="1"/>
  <c r="ED205" i="7"/>
  <c r="EH205" i="7" s="1"/>
  <c r="ED65" i="7"/>
  <c r="EH65" i="7" s="1"/>
  <c r="ED109" i="7"/>
  <c r="EH109" i="7" s="1"/>
  <c r="ED76" i="7"/>
  <c r="EH76" i="7" s="1"/>
  <c r="ED78" i="7"/>
  <c r="EH78" i="7" s="1"/>
  <c r="ED112" i="7"/>
  <c r="EH112" i="7" s="1"/>
  <c r="ED75" i="7"/>
  <c r="EH75" i="7" s="1"/>
  <c r="ED88" i="7"/>
  <c r="EH88" i="7" s="1"/>
  <c r="ED211" i="7"/>
  <c r="EH211" i="7" s="1"/>
  <c r="ED61" i="7"/>
  <c r="EH61" i="7" s="1"/>
  <c r="ED95" i="7"/>
  <c r="EH95" i="7" s="1"/>
  <c r="ED208" i="7"/>
  <c r="EH208" i="7" s="1"/>
  <c r="ED108" i="7"/>
  <c r="EH108" i="7" s="1"/>
  <c r="ED94" i="7"/>
  <c r="EH94" i="7" s="1"/>
  <c r="ED209" i="7"/>
  <c r="EH209" i="7" s="1"/>
  <c r="ED98" i="7"/>
  <c r="EH98" i="7" s="1"/>
  <c r="FE222" i="7"/>
  <c r="FF222" i="7" s="1"/>
  <c r="ED59" i="7"/>
  <c r="EH59" i="7" s="1"/>
  <c r="ED91" i="7"/>
  <c r="EH91" i="7" s="1"/>
  <c r="ED62" i="7"/>
  <c r="EH62" i="7" s="1"/>
  <c r="ED93" i="7"/>
  <c r="EH93" i="7" s="1"/>
  <c r="ED89" i="7"/>
  <c r="EH89" i="7" s="1"/>
  <c r="ED100" i="7"/>
  <c r="EH100" i="7" s="1"/>
  <c r="ED105" i="7"/>
  <c r="EH105" i="7" s="1"/>
  <c r="ED110" i="7"/>
  <c r="EH110" i="7" s="1"/>
  <c r="ED66" i="7"/>
  <c r="EH66" i="7" s="1"/>
  <c r="ED212" i="7"/>
  <c r="EH212" i="7" s="1"/>
  <c r="ED90" i="7"/>
  <c r="EH90" i="7" s="1"/>
  <c r="ED117" i="7"/>
  <c r="EH117" i="7" s="1"/>
  <c r="ED86" i="7"/>
  <c r="EH86" i="7" s="1"/>
  <c r="ED63" i="7"/>
  <c r="EH63" i="7" s="1"/>
  <c r="ED114" i="7"/>
  <c r="EH114" i="7" s="1"/>
  <c r="ED92" i="7"/>
  <c r="EH92" i="7" s="1"/>
  <c r="ED96" i="7"/>
  <c r="EH96" i="7" s="1"/>
  <c r="FE225" i="7"/>
  <c r="FF225" i="7" s="1"/>
  <c r="FE230" i="7"/>
  <c r="FF230" i="7" s="1"/>
  <c r="ED69" i="7"/>
  <c r="EH69" i="7" s="1"/>
  <c r="FE226" i="7"/>
  <c r="FF226" i="7" s="1"/>
  <c r="ED206" i="7"/>
  <c r="EH206" i="7" s="1"/>
  <c r="ED102" i="7"/>
  <c r="EH102" i="7" s="1"/>
  <c r="ED58" i="7"/>
  <c r="EH58" i="7" s="1"/>
  <c r="ED106" i="7"/>
  <c r="EH106" i="7" s="1"/>
  <c r="ED60" i="7"/>
  <c r="EH60" i="7" s="1"/>
  <c r="ED107" i="7"/>
  <c r="EH107" i="7" s="1"/>
  <c r="ED70" i="7"/>
  <c r="EH70" i="7" s="1"/>
  <c r="ED115" i="7"/>
  <c r="EH115" i="7" s="1"/>
  <c r="ED103" i="7"/>
  <c r="EH103" i="7" s="1"/>
  <c r="ED67" i="7"/>
  <c r="EH67" i="7" s="1"/>
  <c r="ED87" i="7"/>
  <c r="EH87" i="7" s="1"/>
  <c r="ED71" i="7"/>
  <c r="EH71" i="7" s="1"/>
  <c r="FE224" i="7"/>
  <c r="FF224" i="7" s="1"/>
  <c r="ED210" i="7"/>
  <c r="EH210" i="7" s="1"/>
  <c r="FE221" i="7"/>
  <c r="FF221" i="7" s="1"/>
  <c r="FE223" i="7"/>
  <c r="FF223" i="7" s="1"/>
  <c r="ED104" i="7"/>
  <c r="EH104" i="7" s="1"/>
  <c r="ED111" i="7"/>
  <c r="EH111" i="7" s="1"/>
  <c r="ED73" i="7"/>
  <c r="EH73" i="7" s="1"/>
  <c r="ED68" i="7"/>
  <c r="EH68" i="7" s="1"/>
  <c r="ED77" i="7"/>
  <c r="EH77" i="7" s="1"/>
  <c r="ED101" i="7"/>
  <c r="EH101" i="7" s="1"/>
  <c r="ED74" i="7"/>
  <c r="EH74" i="7" s="1"/>
  <c r="ED64" i="7"/>
  <c r="EH64" i="7" s="1"/>
  <c r="ED79" i="7"/>
  <c r="EH79" i="7" s="1"/>
  <c r="ED97" i="7"/>
  <c r="EH97" i="7" s="1"/>
  <c r="ED113" i="7"/>
  <c r="EH113" i="7" s="1"/>
  <c r="ED207" i="7"/>
  <c r="EH207" i="7" s="1"/>
  <c r="ED99" i="7"/>
  <c r="EH99" i="7" s="1"/>
  <c r="ED116" i="7"/>
  <c r="EH116" i="7" s="1"/>
  <c r="H16" i="24"/>
  <c r="A16" i="24" s="1"/>
  <c r="H20" i="24"/>
  <c r="A20" i="24" s="1"/>
  <c r="H17" i="24"/>
  <c r="A17" i="24" s="1"/>
  <c r="H12" i="24"/>
  <c r="A12" i="24" s="1"/>
  <c r="H19" i="24"/>
  <c r="A19" i="24" s="1"/>
  <c r="H22" i="24"/>
  <c r="A22" i="24" s="1"/>
  <c r="H13" i="24"/>
  <c r="A13" i="24" s="1"/>
  <c r="FK227" i="7"/>
  <c r="FE227" i="7" s="1"/>
  <c r="FF227" i="7" s="1"/>
  <c r="FK229" i="7"/>
  <c r="FE229" i="7" s="1"/>
  <c r="FF229" i="7" s="1"/>
  <c r="FK228" i="7"/>
  <c r="FE228" i="7" s="1"/>
  <c r="FF228" i="7" s="1"/>
  <c r="H106" i="20"/>
  <c r="C64" i="20"/>
  <c r="O281" i="20" s="1"/>
  <c r="C43" i="18"/>
  <c r="H53" i="20"/>
  <c r="X168" i="7"/>
  <c r="X169" i="7"/>
  <c r="X167" i="7"/>
  <c r="X165" i="7"/>
  <c r="U31" i="7"/>
  <c r="X166" i="7"/>
  <c r="AH126" i="33"/>
  <c r="AH51" i="33"/>
  <c r="AH12" i="33"/>
  <c r="AH113" i="33"/>
  <c r="AW35" i="33"/>
  <c r="AW12" i="33"/>
  <c r="L75" i="6"/>
  <c r="J80" i="23"/>
  <c r="J60" i="22"/>
  <c r="FE21" i="7"/>
  <c r="FE5" i="7"/>
  <c r="EF34" i="10"/>
  <c r="FE19" i="7"/>
  <c r="EF23" i="10"/>
  <c r="EF24" i="10"/>
  <c r="EF35" i="10"/>
  <c r="DX35" i="10" s="1"/>
  <c r="AK35" i="10" s="1"/>
  <c r="FE15" i="7"/>
  <c r="FE10" i="7"/>
  <c r="EF32" i="10"/>
  <c r="EF18" i="10"/>
  <c r="DK18" i="10" s="1"/>
  <c r="X18" i="10" s="1"/>
  <c r="CZ18" i="10" s="1"/>
  <c r="EF28" i="10"/>
  <c r="DJ17" i="10"/>
  <c r="W17" i="10" s="1"/>
  <c r="DM15" i="10"/>
  <c r="Z15" i="10" s="1"/>
  <c r="EA15" i="10"/>
  <c r="AN15" i="10" s="1"/>
  <c r="ED27" i="10"/>
  <c r="AQ27" i="10" s="1"/>
  <c r="DO15" i="10"/>
  <c r="AB15" i="10" s="1"/>
  <c r="DJ15" i="10"/>
  <c r="W15" i="10" s="1"/>
  <c r="DL31" i="10"/>
  <c r="Y31" i="10" s="1"/>
  <c r="DS16" i="10"/>
  <c r="AF16" i="10" s="1"/>
  <c r="DP16" i="10"/>
  <c r="AC16" i="10" s="1"/>
  <c r="EE26" i="10"/>
  <c r="AR26" i="10" s="1"/>
  <c r="DR26" i="10"/>
  <c r="AE26" i="10" s="1"/>
  <c r="EF17" i="10"/>
  <c r="DR17" i="10" s="1"/>
  <c r="AE17" i="10" s="1"/>
  <c r="DM17" i="10"/>
  <c r="Z17" i="10" s="1"/>
  <c r="FE8" i="7"/>
  <c r="EF31" i="10"/>
  <c r="DT31" i="10" s="1"/>
  <c r="AG31" i="10" s="1"/>
  <c r="EF29" i="10"/>
  <c r="FE13" i="7"/>
  <c r="FE11" i="7"/>
  <c r="EF22" i="10"/>
  <c r="FE18" i="7"/>
  <c r="EF36" i="10"/>
  <c r="ED36" i="10" s="1"/>
  <c r="AQ36" i="10" s="1"/>
  <c r="EF37" i="10"/>
  <c r="DR37" i="10" s="1"/>
  <c r="AE37" i="10" s="1"/>
  <c r="DY37" i="10"/>
  <c r="AL37" i="10" s="1"/>
  <c r="DX17" i="10"/>
  <c r="AK17" i="10" s="1"/>
  <c r="DQ15" i="10"/>
  <c r="AD15" i="10" s="1"/>
  <c r="DR15" i="10"/>
  <c r="AE15" i="10" s="1"/>
  <c r="DR36" i="10"/>
  <c r="AE36" i="10" s="1"/>
  <c r="DW15" i="10"/>
  <c r="AJ15" i="10" s="1"/>
  <c r="DW27" i="10"/>
  <c r="AJ27" i="10" s="1"/>
  <c r="DZ15" i="10"/>
  <c r="AM15" i="10" s="1"/>
  <c r="DO16" i="10"/>
  <c r="AB16" i="10" s="1"/>
  <c r="DM16" i="10"/>
  <c r="Z16" i="10" s="1"/>
  <c r="EC26" i="10"/>
  <c r="AP26" i="10" s="1"/>
  <c r="DM26" i="10"/>
  <c r="Z26" i="10" s="1"/>
  <c r="EF27" i="10"/>
  <c r="DY27" i="10" s="1"/>
  <c r="AL27" i="10" s="1"/>
  <c r="EF14" i="10"/>
  <c r="FE20" i="7"/>
  <c r="FE6" i="7"/>
  <c r="FE17" i="7"/>
  <c r="EF25" i="10"/>
  <c r="FE22" i="7"/>
  <c r="FE12" i="7"/>
  <c r="EF19" i="10"/>
  <c r="DN19" i="10" s="1"/>
  <c r="AA19" i="10" s="1"/>
  <c r="FE9" i="7"/>
  <c r="EF40" i="10"/>
  <c r="FE4" i="7"/>
  <c r="ED15" i="10"/>
  <c r="AQ15" i="10" s="1"/>
  <c r="DW16" i="10"/>
  <c r="AJ16" i="10" s="1"/>
  <c r="EB15" i="10"/>
  <c r="AO15" i="10" s="1"/>
  <c r="EC15" i="10"/>
  <c r="AP15" i="10" s="1"/>
  <c r="DX31" i="10"/>
  <c r="AK31" i="10" s="1"/>
  <c r="DX15" i="10"/>
  <c r="AK15" i="10" s="1"/>
  <c r="DP27" i="10"/>
  <c r="AC27" i="10" s="1"/>
  <c r="DP15" i="10"/>
  <c r="AC15" i="10" s="1"/>
  <c r="DK16" i="10"/>
  <c r="X16" i="10" s="1"/>
  <c r="DL19" i="10"/>
  <c r="Y19" i="10" s="1"/>
  <c r="ED26" i="10"/>
  <c r="AQ26" i="10" s="1"/>
  <c r="DV26" i="10"/>
  <c r="AI26" i="10" s="1"/>
  <c r="EF33" i="10"/>
  <c r="EF20" i="10"/>
  <c r="EF39" i="10"/>
  <c r="EF21" i="10"/>
  <c r="FE14" i="7"/>
  <c r="EF30" i="10"/>
  <c r="EF26" i="10"/>
  <c r="EF16" i="10"/>
  <c r="EF15" i="10"/>
  <c r="EE15" i="10" s="1"/>
  <c r="AR15" i="10" s="1"/>
  <c r="FE16" i="7"/>
  <c r="FE7" i="7"/>
  <c r="EF38" i="10"/>
  <c r="DT27" i="10"/>
  <c r="AG27" i="10" s="1"/>
  <c r="DT15" i="10"/>
  <c r="AG15" i="10" s="1"/>
  <c r="DU27" i="10"/>
  <c r="AH27" i="10" s="1"/>
  <c r="DZ37" i="10"/>
  <c r="AM37" i="10" s="1"/>
  <c r="DK15" i="10"/>
  <c r="X15" i="10" s="1"/>
  <c r="DN15" i="10"/>
  <c r="AA15" i="10" s="1"/>
  <c r="DL17" i="10"/>
  <c r="Y17" i="10" s="1"/>
  <c r="DV15" i="10"/>
  <c r="AI15" i="10" s="1"/>
  <c r="DQ16" i="10"/>
  <c r="AD16" i="10" s="1"/>
  <c r="DP19" i="10"/>
  <c r="AC19" i="10" s="1"/>
  <c r="DU19" i="10"/>
  <c r="AH19" i="10" s="1"/>
  <c r="DT16" i="10"/>
  <c r="AG16" i="10" s="1"/>
  <c r="EB16" i="10"/>
  <c r="AO16" i="10" s="1"/>
  <c r="DQ19" i="10"/>
  <c r="AD19" i="10" s="1"/>
  <c r="ED16" i="10"/>
  <c r="AQ16" i="10" s="1"/>
  <c r="EA26" i="10"/>
  <c r="AN26" i="10" s="1"/>
  <c r="DL26" i="10"/>
  <c r="Y26" i="10" s="1"/>
  <c r="DJ16" i="10"/>
  <c r="W16" i="10" s="1"/>
  <c r="DZ16" i="10"/>
  <c r="AM16" i="10" s="1"/>
  <c r="DZ19" i="10"/>
  <c r="AM19" i="10" s="1"/>
  <c r="DQ26" i="10"/>
  <c r="AD26" i="10" s="1"/>
  <c r="DK26" i="10"/>
  <c r="X26" i="10" s="1"/>
  <c r="DU16" i="10"/>
  <c r="AH16" i="10" s="1"/>
  <c r="DX19" i="10"/>
  <c r="AK19" i="10" s="1"/>
  <c r="ED19" i="10"/>
  <c r="AQ19" i="10" s="1"/>
  <c r="DV16" i="10"/>
  <c r="AI16" i="10" s="1"/>
  <c r="DS26" i="10"/>
  <c r="AF26" i="10" s="1"/>
  <c r="DU26" i="10"/>
  <c r="AH26" i="10" s="1"/>
  <c r="DR16" i="10"/>
  <c r="AE16" i="10" s="1"/>
  <c r="EE16" i="10"/>
  <c r="AR16" i="10" s="1"/>
  <c r="DM19" i="10"/>
  <c r="Z19" i="10" s="1"/>
  <c r="DZ26" i="10"/>
  <c r="AM26" i="10" s="1"/>
  <c r="DN16" i="10"/>
  <c r="AA16" i="10" s="1"/>
  <c r="DY19" i="10"/>
  <c r="AL19" i="10" s="1"/>
  <c r="DP26" i="10"/>
  <c r="AC26" i="10" s="1"/>
  <c r="DY16" i="10"/>
  <c r="AL16" i="10" s="1"/>
  <c r="DW26" i="10"/>
  <c r="AJ26" i="10" s="1"/>
  <c r="DO26" i="10"/>
  <c r="AB26" i="10" s="1"/>
  <c r="EC16" i="10"/>
  <c r="AP16" i="10" s="1"/>
  <c r="DT19" i="10"/>
  <c r="AG19" i="10" s="1"/>
  <c r="DT26" i="10"/>
  <c r="AG26" i="10" s="1"/>
  <c r="DL15" i="10"/>
  <c r="Y15" i="10" s="1"/>
  <c r="DX16" i="10"/>
  <c r="AK16" i="10" s="1"/>
  <c r="DN26" i="10"/>
  <c r="AA26" i="10" s="1"/>
  <c r="EB26" i="10"/>
  <c r="AO26" i="10" s="1"/>
  <c r="DL16" i="10"/>
  <c r="Y16" i="10" s="1"/>
  <c r="DR19" i="10"/>
  <c r="AE19" i="10" s="1"/>
  <c r="DJ26" i="10"/>
  <c r="W26" i="10" s="1"/>
  <c r="EA16" i="10"/>
  <c r="AN16" i="10" s="1"/>
  <c r="DY26" i="10"/>
  <c r="AL26" i="10" s="1"/>
  <c r="DX26" i="10"/>
  <c r="AK26" i="10" s="1"/>
  <c r="P65" i="22"/>
  <c r="H121" i="20"/>
  <c r="C33" i="18"/>
  <c r="L51" i="6"/>
  <c r="X101" i="20"/>
  <c r="L31" i="6"/>
  <c r="L52" i="6"/>
  <c r="D98" i="20"/>
  <c r="L32" i="6"/>
  <c r="Z101" i="20"/>
  <c r="Z102" i="20" s="1"/>
  <c r="D34" i="20"/>
  <c r="L44" i="6"/>
  <c r="L25" i="6"/>
  <c r="K25" i="6" s="1"/>
  <c r="J25" i="6" s="1"/>
  <c r="C41" i="18"/>
  <c r="L28" i="6"/>
  <c r="K28" i="6" s="1"/>
  <c r="J28" i="6" s="1"/>
  <c r="L50" i="6"/>
  <c r="D112" i="20"/>
  <c r="C37" i="18"/>
  <c r="C44" i="18"/>
  <c r="E2" i="38"/>
  <c r="F2" i="38" s="1"/>
  <c r="D33" i="20"/>
  <c r="L30" i="6"/>
  <c r="C34" i="18"/>
  <c r="E124" i="20"/>
  <c r="D124" i="20" s="1"/>
  <c r="L49" i="6"/>
  <c r="L27" i="6"/>
  <c r="K27" i="6" s="1"/>
  <c r="J27" i="6" s="1"/>
  <c r="L43" i="6"/>
  <c r="L42" i="6"/>
  <c r="D36" i="20"/>
  <c r="C42" i="18"/>
  <c r="C36" i="18"/>
  <c r="L45" i="6"/>
  <c r="F92" i="20"/>
  <c r="C39" i="18"/>
  <c r="D92" i="20"/>
  <c r="T237" i="14"/>
  <c r="A20" i="1"/>
  <c r="L46" i="6"/>
  <c r="L29" i="6"/>
  <c r="K29" i="6" s="1"/>
  <c r="J29" i="6" s="1"/>
  <c r="C35" i="18"/>
  <c r="C38" i="18"/>
  <c r="C32" i="18"/>
  <c r="Y101" i="20"/>
  <c r="L48" i="6"/>
  <c r="L26" i="6"/>
  <c r="K26" i="6" s="1"/>
  <c r="J26" i="6" s="1"/>
  <c r="D119" i="20"/>
  <c r="D61" i="20"/>
  <c r="D97" i="20"/>
  <c r="C40" i="18"/>
  <c r="L33" i="6"/>
  <c r="L34" i="6"/>
  <c r="L47" i="6"/>
  <c r="H87" i="20"/>
  <c r="FA2" i="27"/>
  <c r="F60" i="14"/>
  <c r="EW2" i="27"/>
  <c r="FM2" i="27"/>
  <c r="FO2" i="27"/>
  <c r="ES2" i="27"/>
  <c r="FN2" i="27"/>
  <c r="FQ2" i="27"/>
  <c r="FI2" i="27"/>
  <c r="FU2" i="27"/>
  <c r="GE2" i="27"/>
  <c r="EQ2" i="27"/>
  <c r="FF2" i="27"/>
  <c r="ET2" i="27"/>
  <c r="EP2" i="27"/>
  <c r="EN2" i="27"/>
  <c r="U92" i="7"/>
  <c r="FX2" i="27"/>
  <c r="FD2" i="27"/>
  <c r="ER2" i="27"/>
  <c r="EK2" i="27"/>
  <c r="GB2" i="27"/>
  <c r="FR2" i="27"/>
  <c r="FZ2" i="27"/>
  <c r="FV2" i="27"/>
  <c r="FS2" i="27"/>
  <c r="FJ2" i="27"/>
  <c r="FP2" i="27"/>
  <c r="EJ2" i="27"/>
  <c r="EI2" i="27"/>
  <c r="FY2" i="27"/>
  <c r="GC2" i="27"/>
  <c r="EV2" i="27"/>
  <c r="GF2" i="27"/>
  <c r="EM2" i="27"/>
  <c r="FL2" i="27"/>
  <c r="GD2" i="27"/>
  <c r="FH2" i="27"/>
  <c r="EO2" i="27"/>
  <c r="FE2" i="27"/>
  <c r="EY2" i="27"/>
  <c r="EH2" i="27"/>
  <c r="FK2" i="27"/>
  <c r="EX2" i="27"/>
  <c r="FW2" i="27"/>
  <c r="FC2" i="27"/>
  <c r="FB2" i="27"/>
  <c r="EL2" i="27"/>
  <c r="FT2" i="27"/>
  <c r="EZ2" i="27"/>
  <c r="T147" i="7"/>
  <c r="EU2" i="27"/>
  <c r="GA2" i="27"/>
  <c r="K64" i="29"/>
  <c r="L64" i="29"/>
  <c r="I64" i="29"/>
  <c r="M64" i="29"/>
  <c r="N64" i="29"/>
  <c r="J64" i="29"/>
  <c r="GX73" i="7"/>
  <c r="AL192" i="10"/>
  <c r="AE44" i="28"/>
  <c r="Z45" i="28"/>
  <c r="A46" i="28" s="1"/>
  <c r="AC46" i="28" s="1"/>
  <c r="CZ119" i="10"/>
  <c r="S41" i="24"/>
  <c r="CZ152" i="10"/>
  <c r="CZ35" i="10"/>
  <c r="CZ46" i="10"/>
  <c r="CZ155" i="10"/>
  <c r="CZ121" i="10"/>
  <c r="CZ116" i="10"/>
  <c r="CZ145" i="10"/>
  <c r="CZ153" i="10"/>
  <c r="K182" i="14"/>
  <c r="N182" i="14" s="1"/>
  <c r="K184" i="14"/>
  <c r="N184" i="14" s="1"/>
  <c r="CZ147" i="10"/>
  <c r="CZ133" i="10"/>
  <c r="K183" i="14"/>
  <c r="P183" i="14" s="1"/>
  <c r="I84" i="24"/>
  <c r="N84" i="24"/>
  <c r="H54" i="24"/>
  <c r="A54" i="24" s="1"/>
  <c r="B54" i="24"/>
  <c r="E54" i="24"/>
  <c r="R55" i="24"/>
  <c r="S55" i="24" s="1"/>
  <c r="V86" i="24"/>
  <c r="U87" i="24" s="1"/>
  <c r="J86" i="24"/>
  <c r="P86" i="24"/>
  <c r="L86" i="24"/>
  <c r="B70" i="22"/>
  <c r="B72" i="22"/>
  <c r="L38" i="24"/>
  <c r="J38" i="24"/>
  <c r="U39" i="24"/>
  <c r="P38" i="24"/>
  <c r="I38" i="24" s="1"/>
  <c r="N85" i="24"/>
  <c r="I85" i="24"/>
  <c r="E3" i="38"/>
  <c r="F3" i="38" s="1"/>
  <c r="E4" i="38" s="1"/>
  <c r="K185" i="14"/>
  <c r="H41" i="24"/>
  <c r="A41" i="24" s="1"/>
  <c r="E41" i="24"/>
  <c r="B41" i="24"/>
  <c r="B71" i="22"/>
  <c r="B36" i="4"/>
  <c r="B37" i="4" s="1"/>
  <c r="AL2" i="43" s="1"/>
  <c r="B29" i="18"/>
  <c r="N29" i="18" s="1"/>
  <c r="L10" i="1"/>
  <c r="F6" i="42"/>
  <c r="C6" i="42"/>
  <c r="A6" i="42"/>
  <c r="B6" i="42" s="1"/>
  <c r="C5" i="42"/>
  <c r="A5" i="42"/>
  <c r="B5" i="42" s="1"/>
  <c r="A61" i="14"/>
  <c r="CE61" i="14" s="1"/>
  <c r="A62" i="14" s="1"/>
  <c r="AF39" i="33"/>
  <c r="A38" i="33"/>
  <c r="C37" i="33"/>
  <c r="FM27" i="7" s="1"/>
  <c r="FN27" i="7" s="1"/>
  <c r="FE27" i="7" s="1"/>
  <c r="AL37" i="33"/>
  <c r="AC37" i="33"/>
  <c r="X44" i="28"/>
  <c r="B45" i="28"/>
  <c r="AD45" i="28"/>
  <c r="O45" i="28"/>
  <c r="Q45" i="28"/>
  <c r="R45" i="28" s="1"/>
  <c r="AG45" i="28"/>
  <c r="H45" i="28"/>
  <c r="C45" i="28"/>
  <c r="AB45" i="28" s="1"/>
  <c r="P45" i="28"/>
  <c r="T45" i="28"/>
  <c r="S45" i="28" s="1"/>
  <c r="AC45" i="28"/>
  <c r="AB44" i="28"/>
  <c r="AH44" i="28"/>
  <c r="G179" i="39"/>
  <c r="O196" i="10"/>
  <c r="B160" i="39" s="1"/>
  <c r="AL196" i="10"/>
  <c r="C111" i="24"/>
  <c r="A113" i="24"/>
  <c r="B197" i="10"/>
  <c r="BO203" i="10"/>
  <c r="CG203" i="10"/>
  <c r="BQ205" i="10"/>
  <c r="A204" i="10"/>
  <c r="BW198" i="10"/>
  <c r="CH198" i="10"/>
  <c r="EF198" i="10"/>
  <c r="C23" i="34"/>
  <c r="D24" i="34" s="1"/>
  <c r="M27" i="23"/>
  <c r="I27" i="23"/>
  <c r="O27" i="23"/>
  <c r="Z27" i="23"/>
  <c r="Y27" i="23"/>
  <c r="AD27" i="23"/>
  <c r="S27" i="23"/>
  <c r="V27" i="23"/>
  <c r="E27" i="23"/>
  <c r="B28" i="23"/>
  <c r="AG28" i="23"/>
  <c r="BN199" i="10"/>
  <c r="BY199" i="10"/>
  <c r="F16" i="6"/>
  <c r="K16" i="6"/>
  <c r="F15" i="6"/>
  <c r="K15" i="6"/>
  <c r="K22" i="6"/>
  <c r="F20" i="6"/>
  <c r="K20" i="6"/>
  <c r="F14" i="6"/>
  <c r="K14" i="6"/>
  <c r="K17" i="6"/>
  <c r="F17" i="6"/>
  <c r="F18" i="6"/>
  <c r="K18" i="6"/>
  <c r="K19" i="6"/>
  <c r="F19" i="6"/>
  <c r="K21" i="6"/>
  <c r="F21" i="6"/>
  <c r="DD103" i="10"/>
  <c r="GU75" i="7"/>
  <c r="GW74" i="7"/>
  <c r="GV75" i="7"/>
  <c r="DE37" i="10"/>
  <c r="DD126" i="10"/>
  <c r="DE105" i="10"/>
  <c r="DE132" i="10"/>
  <c r="DD33" i="10"/>
  <c r="G199" i="10"/>
  <c r="BX199" i="10"/>
  <c r="C198" i="10"/>
  <c r="F199" i="10"/>
  <c r="P182" i="14" l="1"/>
  <c r="AJ191" i="14"/>
  <c r="AI191" i="14"/>
  <c r="O183" i="14"/>
  <c r="N183" i="14"/>
  <c r="P46" i="28"/>
  <c r="H46" i="28"/>
  <c r="AG46" i="28"/>
  <c r="C46" i="28"/>
  <c r="AB46" i="28" s="1"/>
  <c r="Q46" i="28"/>
  <c r="R46" i="28" s="1"/>
  <c r="B46" i="28"/>
  <c r="T46" i="28"/>
  <c r="S46" i="28" s="1"/>
  <c r="Z46" i="28"/>
  <c r="A47" i="28" s="1"/>
  <c r="O46" i="28"/>
  <c r="AD46" i="28"/>
  <c r="O182" i="14"/>
  <c r="O184" i="14"/>
  <c r="P184" i="14"/>
  <c r="CZ83" i="10"/>
  <c r="CZ91" i="10"/>
  <c r="CZ26" i="10"/>
  <c r="CZ37" i="10"/>
  <c r="CZ105" i="10"/>
  <c r="CZ98" i="10"/>
  <c r="CZ101" i="10"/>
  <c r="CZ95" i="10"/>
  <c r="CZ27" i="10"/>
  <c r="CZ17" i="10"/>
  <c r="CZ90" i="10"/>
  <c r="CZ94" i="10"/>
  <c r="CZ88" i="10"/>
  <c r="CZ86" i="10"/>
  <c r="CZ16" i="10"/>
  <c r="CZ19" i="10"/>
  <c r="CZ97" i="10"/>
  <c r="CZ87" i="10"/>
  <c r="CZ36" i="10"/>
  <c r="CZ31" i="10"/>
  <c r="CZ84" i="10"/>
  <c r="CZ102" i="10"/>
  <c r="CZ99" i="10"/>
  <c r="CZ104" i="10"/>
  <c r="CZ93" i="10"/>
  <c r="B32" i="18"/>
  <c r="BH32" i="18"/>
  <c r="H32" i="18"/>
  <c r="BH39" i="18"/>
  <c r="H39" i="18"/>
  <c r="B39" i="18"/>
  <c r="H42" i="18"/>
  <c r="B42" i="18"/>
  <c r="BH42" i="18"/>
  <c r="BH37" i="18"/>
  <c r="H37" i="18"/>
  <c r="B37" i="18"/>
  <c r="B41" i="18"/>
  <c r="BH41" i="18"/>
  <c r="H41" i="18"/>
  <c r="Z103" i="20"/>
  <c r="X102" i="20"/>
  <c r="Y102" i="20"/>
  <c r="C123" i="33"/>
  <c r="AC119" i="33"/>
  <c r="AL119" i="33"/>
  <c r="AL117" i="33"/>
  <c r="AC115" i="33"/>
  <c r="AL123" i="33"/>
  <c r="AL115" i="33"/>
  <c r="C115" i="33"/>
  <c r="J115" i="33" s="1"/>
  <c r="AL120" i="33"/>
  <c r="C117" i="33"/>
  <c r="J117" i="33" s="1"/>
  <c r="AC118" i="33"/>
  <c r="AC122" i="33"/>
  <c r="AL118" i="33"/>
  <c r="AL121" i="33"/>
  <c r="AC116" i="33"/>
  <c r="AL116" i="33"/>
  <c r="C120" i="33"/>
  <c r="J120" i="33" s="1"/>
  <c r="AC121" i="33"/>
  <c r="AC123" i="33"/>
  <c r="AC120" i="33"/>
  <c r="AL122" i="33"/>
  <c r="AC117" i="33"/>
  <c r="C116" i="33"/>
  <c r="J116" i="33" s="1"/>
  <c r="CZ82" i="10"/>
  <c r="CZ85" i="10"/>
  <c r="O52" i="10"/>
  <c r="H18" i="24"/>
  <c r="A18" i="24" s="1"/>
  <c r="G39" i="39"/>
  <c r="CY52" i="10"/>
  <c r="EZ47" i="10"/>
  <c r="BM47" i="10" s="1"/>
  <c r="DM47" i="10"/>
  <c r="Z47" i="10" s="1"/>
  <c r="EP47" i="10"/>
  <c r="BC47" i="10" s="1"/>
  <c r="EC47" i="10"/>
  <c r="AP47" i="10" s="1"/>
  <c r="EH47" i="10"/>
  <c r="AU47" i="10" s="1"/>
  <c r="DS47" i="10"/>
  <c r="AF47" i="10" s="1"/>
  <c r="FJ47" i="10"/>
  <c r="BW47" i="10" s="1"/>
  <c r="FE47" i="10"/>
  <c r="BR47" i="10" s="1"/>
  <c r="ER47" i="10"/>
  <c r="BE47" i="10" s="1"/>
  <c r="DN47" i="10"/>
  <c r="AA47" i="10" s="1"/>
  <c r="EK47" i="10"/>
  <c r="AX47" i="10" s="1"/>
  <c r="EJ47" i="10"/>
  <c r="AW47" i="10" s="1"/>
  <c r="DP47" i="10"/>
  <c r="AC47" i="10" s="1"/>
  <c r="EB47" i="10"/>
  <c r="AO47" i="10" s="1"/>
  <c r="EQ47" i="10"/>
  <c r="BD47" i="10" s="1"/>
  <c r="DU47" i="10"/>
  <c r="AH47" i="10" s="1"/>
  <c r="EX47" i="10"/>
  <c r="BK47" i="10" s="1"/>
  <c r="FL47" i="10"/>
  <c r="BY47" i="10" s="1"/>
  <c r="DX47" i="10"/>
  <c r="AK47" i="10" s="1"/>
  <c r="FK47" i="10"/>
  <c r="BX47" i="10" s="1"/>
  <c r="DZ47" i="10"/>
  <c r="AM47" i="10" s="1"/>
  <c r="FH47" i="10"/>
  <c r="BU47" i="10" s="1"/>
  <c r="EL47" i="10"/>
  <c r="AY47" i="10" s="1"/>
  <c r="EV47" i="10"/>
  <c r="BI47" i="10" s="1"/>
  <c r="EI47" i="10"/>
  <c r="AV47" i="10" s="1"/>
  <c r="EO47" i="10"/>
  <c r="BB47" i="10" s="1"/>
  <c r="DT47" i="10"/>
  <c r="AG47" i="10" s="1"/>
  <c r="FG47" i="10"/>
  <c r="BT47" i="10" s="1"/>
  <c r="FB47" i="10"/>
  <c r="BO47" i="10" s="1"/>
  <c r="FA47" i="10"/>
  <c r="BN47" i="10" s="1"/>
  <c r="ET47" i="10"/>
  <c r="BG47" i="10" s="1"/>
  <c r="EU47" i="10"/>
  <c r="BH47" i="10" s="1"/>
  <c r="DK47" i="10"/>
  <c r="X47" i="10" s="1"/>
  <c r="FC47" i="10"/>
  <c r="BP47" i="10" s="1"/>
  <c r="DY47" i="10"/>
  <c r="AL47" i="10" s="1"/>
  <c r="EY47" i="10"/>
  <c r="BL47" i="10" s="1"/>
  <c r="ED47" i="10"/>
  <c r="AQ47" i="10" s="1"/>
  <c r="DV47" i="10"/>
  <c r="AI47" i="10" s="1"/>
  <c r="DO47" i="10"/>
  <c r="AB47" i="10" s="1"/>
  <c r="FD47" i="10"/>
  <c r="BQ47" i="10" s="1"/>
  <c r="FF47" i="10"/>
  <c r="BS47" i="10" s="1"/>
  <c r="FI47" i="10"/>
  <c r="BV47" i="10" s="1"/>
  <c r="CB47" i="10"/>
  <c r="EN47" i="10"/>
  <c r="BA47" i="10" s="1"/>
  <c r="DL47" i="10"/>
  <c r="Y47" i="10" s="1"/>
  <c r="EM47" i="10"/>
  <c r="AZ47" i="10" s="1"/>
  <c r="EE47" i="10"/>
  <c r="AR47" i="10" s="1"/>
  <c r="DJ47" i="10"/>
  <c r="W47" i="10" s="1"/>
  <c r="EW47" i="10"/>
  <c r="BJ47" i="10" s="1"/>
  <c r="EA47" i="10"/>
  <c r="AN47" i="10" s="1"/>
  <c r="EG47" i="10"/>
  <c r="AT47" i="10" s="1"/>
  <c r="DQ47" i="10"/>
  <c r="AD47" i="10" s="1"/>
  <c r="ES47" i="10"/>
  <c r="BF47" i="10" s="1"/>
  <c r="DW47" i="10"/>
  <c r="AJ47" i="10" s="1"/>
  <c r="DR47" i="10"/>
  <c r="AE47" i="10" s="1"/>
  <c r="G29" i="39"/>
  <c r="CY42" i="10"/>
  <c r="CF42" i="10"/>
  <c r="CF44" i="10" s="1"/>
  <c r="CF45" i="10" s="1"/>
  <c r="CF48" i="10" s="1"/>
  <c r="CF55" i="10" s="1"/>
  <c r="CF56" i="10" s="1"/>
  <c r="CF58" i="10" s="1"/>
  <c r="CF60" i="10" s="1"/>
  <c r="R23" i="24" s="1"/>
  <c r="O42" i="10"/>
  <c r="N27" i="18"/>
  <c r="B27" i="18"/>
  <c r="C37" i="1"/>
  <c r="D37" i="1" s="1"/>
  <c r="C34" i="1"/>
  <c r="B25" i="18"/>
  <c r="N25" i="18"/>
  <c r="H40" i="18"/>
  <c r="B40" i="18"/>
  <c r="BH40" i="18"/>
  <c r="B38" i="18"/>
  <c r="BH38" i="18"/>
  <c r="H38" i="18"/>
  <c r="J37" i="6"/>
  <c r="O65" i="22"/>
  <c r="O64" i="22"/>
  <c r="CZ15" i="10"/>
  <c r="C35" i="33"/>
  <c r="AL35" i="33"/>
  <c r="AC35" i="33"/>
  <c r="C27" i="33"/>
  <c r="FM17" i="7" s="1"/>
  <c r="FN17" i="7" s="1"/>
  <c r="AL23" i="33"/>
  <c r="AL31" i="33"/>
  <c r="AL26" i="33"/>
  <c r="AC22" i="33"/>
  <c r="C16" i="33"/>
  <c r="FM6" i="7" s="1"/>
  <c r="FN6" i="7" s="1"/>
  <c r="C20" i="33"/>
  <c r="FM10" i="7" s="1"/>
  <c r="FN10" i="7" s="1"/>
  <c r="AC30" i="33"/>
  <c r="C17" i="33"/>
  <c r="FM7" i="7" s="1"/>
  <c r="FN7" i="7" s="1"/>
  <c r="C19" i="33"/>
  <c r="FM9" i="7" s="1"/>
  <c r="FN9" i="7" s="1"/>
  <c r="AL24" i="33"/>
  <c r="C30" i="33"/>
  <c r="FM20" i="7" s="1"/>
  <c r="FN20" i="7" s="1"/>
  <c r="AL18" i="33"/>
  <c r="AL14" i="33"/>
  <c r="AC33" i="33"/>
  <c r="AL34" i="33"/>
  <c r="AC18" i="33"/>
  <c r="C15" i="33"/>
  <c r="FM5" i="7" s="1"/>
  <c r="FN5" i="7" s="1"/>
  <c r="AC19" i="33"/>
  <c r="AL25" i="33"/>
  <c r="AC31" i="33"/>
  <c r="AL32" i="33"/>
  <c r="AC23" i="33"/>
  <c r="C31" i="33"/>
  <c r="FM21" i="7" s="1"/>
  <c r="FN21" i="7" s="1"/>
  <c r="AL16" i="33"/>
  <c r="C26" i="33"/>
  <c r="FM16" i="7" s="1"/>
  <c r="FN16" i="7" s="1"/>
  <c r="AL28" i="33"/>
  <c r="AC27" i="33"/>
  <c r="C23" i="33"/>
  <c r="FM13" i="7" s="1"/>
  <c r="FN13" i="7" s="1"/>
  <c r="C24" i="33"/>
  <c r="FM14" i="7" s="1"/>
  <c r="FN14" i="7" s="1"/>
  <c r="AL33" i="33"/>
  <c r="AC15" i="33"/>
  <c r="AL27" i="33"/>
  <c r="AL20" i="33"/>
  <c r="C29" i="33"/>
  <c r="FM19" i="7" s="1"/>
  <c r="FN19" i="7" s="1"/>
  <c r="C14" i="33"/>
  <c r="FM4" i="7" s="1"/>
  <c r="FN4" i="7" s="1"/>
  <c r="C18" i="33"/>
  <c r="FM8" i="7" s="1"/>
  <c r="FN8" i="7" s="1"/>
  <c r="AL22" i="33"/>
  <c r="C28" i="33"/>
  <c r="FM18" i="7" s="1"/>
  <c r="FN18" i="7" s="1"/>
  <c r="AC26" i="33"/>
  <c r="C32" i="33"/>
  <c r="FM22" i="7" s="1"/>
  <c r="FN22" i="7" s="1"/>
  <c r="AC29" i="33"/>
  <c r="AL17" i="33"/>
  <c r="AC21" i="33"/>
  <c r="AC17" i="33"/>
  <c r="AC25" i="33"/>
  <c r="AC34" i="33"/>
  <c r="AC28" i="33"/>
  <c r="C22" i="33"/>
  <c r="FM12" i="7" s="1"/>
  <c r="FN12" i="7" s="1"/>
  <c r="C21" i="33"/>
  <c r="FM11" i="7" s="1"/>
  <c r="FN11" i="7" s="1"/>
  <c r="AL19" i="33"/>
  <c r="AC14" i="33"/>
  <c r="AC32" i="33"/>
  <c r="AL21" i="33"/>
  <c r="C25" i="33"/>
  <c r="FM15" i="7" s="1"/>
  <c r="FN15" i="7" s="1"/>
  <c r="AL30" i="33"/>
  <c r="AC24" i="33"/>
  <c r="AL29" i="33"/>
  <c r="AC16" i="33"/>
  <c r="AC20" i="33"/>
  <c r="AL15" i="33"/>
  <c r="C33" i="33"/>
  <c r="FM23" i="7" s="1"/>
  <c r="FN23" i="7" s="1"/>
  <c r="FE23" i="7" s="1"/>
  <c r="C34" i="33"/>
  <c r="AL36" i="33"/>
  <c r="AC36" i="33"/>
  <c r="C36" i="33"/>
  <c r="FM26" i="7" s="1"/>
  <c r="FN26" i="7" s="1"/>
  <c r="FE26" i="7" s="1"/>
  <c r="CZ103" i="10"/>
  <c r="O31" i="1"/>
  <c r="A111" i="24"/>
  <c r="K31" i="1"/>
  <c r="DN14" i="7"/>
  <c r="DN253" i="7"/>
  <c r="DN42" i="7"/>
  <c r="DN186" i="7"/>
  <c r="DN104" i="7"/>
  <c r="DN214" i="7"/>
  <c r="DN255" i="7"/>
  <c r="DN72" i="7"/>
  <c r="DN272" i="7"/>
  <c r="DN248" i="7"/>
  <c r="DN182" i="7"/>
  <c r="DN121" i="7"/>
  <c r="DN274" i="7"/>
  <c r="DN278" i="7"/>
  <c r="DN148" i="7"/>
  <c r="DN142" i="7"/>
  <c r="DN52" i="7"/>
  <c r="DN50" i="7"/>
  <c r="DN223" i="7"/>
  <c r="DN295" i="7"/>
  <c r="DN315" i="7"/>
  <c r="DN276" i="7"/>
  <c r="DN235" i="7"/>
  <c r="DN117" i="7"/>
  <c r="DN162" i="7"/>
  <c r="DN212" i="7"/>
  <c r="DN183" i="7"/>
  <c r="DN83" i="7"/>
  <c r="DN111" i="7"/>
  <c r="DN257" i="7"/>
  <c r="DN73" i="7"/>
  <c r="DN149" i="7"/>
  <c r="DN15" i="7"/>
  <c r="DN156" i="7"/>
  <c r="DN309" i="7"/>
  <c r="DN141" i="7"/>
  <c r="DN303" i="7"/>
  <c r="DN47" i="7"/>
  <c r="DN234" i="7"/>
  <c r="DN265" i="7"/>
  <c r="DN152" i="7"/>
  <c r="DN256" i="7"/>
  <c r="BP5" i="14"/>
  <c r="DN326" i="7"/>
  <c r="DN27" i="7"/>
  <c r="DN298" i="7"/>
  <c r="DN9" i="7"/>
  <c r="DN292" i="7"/>
  <c r="DN94" i="7"/>
  <c r="DN71" i="7"/>
  <c r="DN219" i="7"/>
  <c r="DN167" i="7"/>
  <c r="DN38" i="7"/>
  <c r="DN151" i="7"/>
  <c r="DN127" i="7"/>
  <c r="DN308" i="7"/>
  <c r="DN66" i="7"/>
  <c r="DN57" i="7"/>
  <c r="DN259" i="7"/>
  <c r="DN98" i="7"/>
  <c r="DN238" i="7"/>
  <c r="DN145" i="7"/>
  <c r="DN197" i="7"/>
  <c r="DN58" i="7"/>
  <c r="DN306" i="7"/>
  <c r="DN225" i="7"/>
  <c r="DN123" i="7"/>
  <c r="DN4" i="7"/>
  <c r="DN204" i="7"/>
  <c r="DN226" i="7"/>
  <c r="DN41" i="7"/>
  <c r="DN277" i="7"/>
  <c r="DN313" i="7"/>
  <c r="DN224" i="7"/>
  <c r="DN191" i="7"/>
  <c r="DN244" i="7"/>
  <c r="DN330" i="7"/>
  <c r="DN62" i="7"/>
  <c r="DN165" i="7"/>
  <c r="DN247" i="7"/>
  <c r="DN297" i="7"/>
  <c r="DN187" i="7"/>
  <c r="DN305" i="7"/>
  <c r="DN220" i="7"/>
  <c r="DN64" i="7"/>
  <c r="EG73" i="7"/>
  <c r="D167" i="14"/>
  <c r="G200" i="14"/>
  <c r="D165" i="14"/>
  <c r="F189" i="14"/>
  <c r="E185" i="14"/>
  <c r="G192" i="14"/>
  <c r="F185" i="14"/>
  <c r="D164" i="14"/>
  <c r="D168" i="14"/>
  <c r="C166" i="14"/>
  <c r="F196" i="14"/>
  <c r="G201" i="14"/>
  <c r="G197" i="14"/>
  <c r="G194" i="14"/>
  <c r="E195" i="14"/>
  <c r="F183" i="14"/>
  <c r="E193" i="14"/>
  <c r="G191" i="14"/>
  <c r="E198" i="14"/>
  <c r="E187" i="14"/>
  <c r="G182" i="14"/>
  <c r="F190" i="14"/>
  <c r="E192" i="14"/>
  <c r="Q2" i="43"/>
  <c r="DN314" i="7"/>
  <c r="DN205" i="7"/>
  <c r="DN283" i="7"/>
  <c r="DN164" i="7"/>
  <c r="DN88" i="7"/>
  <c r="DN82" i="7"/>
  <c r="DN159" i="7"/>
  <c r="DN211" i="7"/>
  <c r="DN67" i="7"/>
  <c r="DN63" i="7"/>
  <c r="DN242" i="7"/>
  <c r="DN79" i="7"/>
  <c r="DN206" i="7"/>
  <c r="DN267" i="7"/>
  <c r="DN124" i="7"/>
  <c r="DN217" i="7"/>
  <c r="DN161" i="7"/>
  <c r="DN284" i="7"/>
  <c r="DN86" i="7"/>
  <c r="DN270" i="7"/>
  <c r="BP4" i="14"/>
  <c r="E83" i="23" s="1"/>
  <c r="DN11" i="7"/>
  <c r="DN77" i="7"/>
  <c r="DN157" i="7"/>
  <c r="DN266" i="7"/>
  <c r="DN7" i="7"/>
  <c r="DN208" i="7"/>
  <c r="DN100" i="7"/>
  <c r="DN93" i="7"/>
  <c r="DN279" i="7"/>
  <c r="DN81" i="7"/>
  <c r="DN91" i="7"/>
  <c r="DN322" i="7"/>
  <c r="DN329" i="7"/>
  <c r="DN338" i="7"/>
  <c r="DN120" i="7"/>
  <c r="DN207" i="7"/>
  <c r="DN327" i="7"/>
  <c r="DN331" i="7"/>
  <c r="DN59" i="7"/>
  <c r="DN113" i="7"/>
  <c r="DN70" i="7"/>
  <c r="J31" i="1"/>
  <c r="DN184" i="7"/>
  <c r="DN137" i="7"/>
  <c r="DN12" i="7"/>
  <c r="DN194" i="7"/>
  <c r="DN45" i="7"/>
  <c r="DN286" i="7"/>
  <c r="DN181" i="7"/>
  <c r="DN291" i="7"/>
  <c r="DN201" i="7"/>
  <c r="DN76" i="7"/>
  <c r="DN271" i="7"/>
  <c r="DN335" i="7"/>
  <c r="DN78" i="7"/>
  <c r="DN334" i="7"/>
  <c r="DN200" i="7"/>
  <c r="DN300" i="7"/>
  <c r="DN216" i="7"/>
  <c r="DN196" i="7"/>
  <c r="DN25" i="7"/>
  <c r="DN245" i="7"/>
  <c r="BP2" i="14"/>
  <c r="DN44" i="7"/>
  <c r="DN289" i="7"/>
  <c r="DN31" i="7"/>
  <c r="DN323" i="7"/>
  <c r="DN228" i="7"/>
  <c r="DN20" i="7"/>
  <c r="DN321" i="7"/>
  <c r="DN190" i="7"/>
  <c r="DN180" i="7"/>
  <c r="DN53" i="7"/>
  <c r="DN37" i="7"/>
  <c r="DN203" i="7"/>
  <c r="DN263" i="7"/>
  <c r="DN107" i="7"/>
  <c r="DN268" i="7"/>
  <c r="DN198" i="7"/>
  <c r="DN188" i="7"/>
  <c r="DN106" i="7"/>
  <c r="DN22" i="7"/>
  <c r="DN160" i="7"/>
  <c r="DN269" i="7"/>
  <c r="EG77" i="7"/>
  <c r="E196" i="14"/>
  <c r="D162" i="14"/>
  <c r="G193" i="14"/>
  <c r="C168" i="14"/>
  <c r="F194" i="14"/>
  <c r="F193" i="14"/>
  <c r="D163" i="14"/>
  <c r="G195" i="14"/>
  <c r="D170" i="14"/>
  <c r="G196" i="14"/>
  <c r="E190" i="14"/>
  <c r="C175" i="14"/>
  <c r="AB241" i="14"/>
  <c r="G183" i="14"/>
  <c r="E186" i="14"/>
  <c r="F201" i="14"/>
  <c r="E197" i="14"/>
  <c r="DN99" i="7"/>
  <c r="F188" i="14"/>
  <c r="E184" i="14"/>
  <c r="F182" i="14"/>
  <c r="C167" i="14"/>
  <c r="F200" i="14"/>
  <c r="D174" i="14"/>
  <c r="DN65" i="7"/>
  <c r="DN122" i="7"/>
  <c r="DN115" i="7"/>
  <c r="DN178" i="7"/>
  <c r="DN316" i="7"/>
  <c r="DN333" i="7"/>
  <c r="DN132" i="7"/>
  <c r="DN33" i="7"/>
  <c r="DN185" i="7"/>
  <c r="DN168" i="7"/>
  <c r="DN92" i="7"/>
  <c r="DN102" i="7"/>
  <c r="DN87" i="7"/>
  <c r="DN23" i="7"/>
  <c r="DN320" i="7"/>
  <c r="DN10" i="7"/>
  <c r="DN249" i="7"/>
  <c r="DN18" i="7"/>
  <c r="DN318" i="7"/>
  <c r="DN8" i="7"/>
  <c r="DN282" i="7"/>
  <c r="BP3" i="14"/>
  <c r="DN175" i="7"/>
  <c r="DN155" i="7"/>
  <c r="DN95" i="7"/>
  <c r="DN301" i="7"/>
  <c r="DN34" i="7"/>
  <c r="DN21" i="7"/>
  <c r="DN43" i="7"/>
  <c r="DN28" i="7"/>
  <c r="DN112" i="7"/>
  <c r="DN69" i="7"/>
  <c r="DN290" i="7"/>
  <c r="DN281" i="7"/>
  <c r="DN336" i="7"/>
  <c r="DN101" i="7"/>
  <c r="DN153" i="7"/>
  <c r="DN80" i="7"/>
  <c r="DN240" i="7"/>
  <c r="DN317" i="7"/>
  <c r="DN169" i="7"/>
  <c r="DN195" i="7"/>
  <c r="DN213" i="7"/>
  <c r="DN192" i="7"/>
  <c r="DN116" i="7"/>
  <c r="DN30" i="7"/>
  <c r="DN254" i="7"/>
  <c r="DN110" i="7"/>
  <c r="DN172" i="7"/>
  <c r="DN108" i="7"/>
  <c r="DN310" i="7"/>
  <c r="DN143" i="7"/>
  <c r="DN136" i="7"/>
  <c r="DN17" i="7"/>
  <c r="DN171" i="7"/>
  <c r="DN176" i="7"/>
  <c r="DN60" i="7"/>
  <c r="DN296" i="7"/>
  <c r="DN332" i="7"/>
  <c r="DN237" i="7"/>
  <c r="DN325" i="7"/>
  <c r="DN40" i="7"/>
  <c r="DN227" i="7"/>
  <c r="DN193" i="7"/>
  <c r="EG79" i="7"/>
  <c r="DN140" i="7"/>
  <c r="DN103" i="7"/>
  <c r="DN75" i="7"/>
  <c r="DN246" i="7"/>
  <c r="DN118" i="7"/>
  <c r="DN307" i="7"/>
  <c r="DN105" i="7"/>
  <c r="DN236" i="7"/>
  <c r="DN210" i="7"/>
  <c r="DN96" i="7"/>
  <c r="DN3" i="7"/>
  <c r="DN26" i="7"/>
  <c r="DN319" i="7"/>
  <c r="DN285" i="7"/>
  <c r="DN46" i="7"/>
  <c r="DN288" i="7"/>
  <c r="DN5" i="7"/>
  <c r="DN19" i="7"/>
  <c r="DN230" i="7"/>
  <c r="DN126" i="7"/>
  <c r="EG76" i="7"/>
  <c r="DN97" i="7"/>
  <c r="F192" i="14"/>
  <c r="C170" i="14"/>
  <c r="G184" i="14"/>
  <c r="M31" i="1"/>
  <c r="G189" i="14"/>
  <c r="E182" i="14"/>
  <c r="F184" i="14"/>
  <c r="E200" i="14"/>
  <c r="D172" i="14"/>
  <c r="G190" i="14"/>
  <c r="G199" i="14"/>
  <c r="DN258" i="7"/>
  <c r="F199" i="14"/>
  <c r="D166" i="14"/>
  <c r="G185" i="14"/>
  <c r="F191" i="14"/>
  <c r="F195" i="14"/>
  <c r="DN125" i="7"/>
  <c r="G186" i="14"/>
  <c r="S51" i="3"/>
  <c r="F198" i="14"/>
  <c r="C163" i="14"/>
  <c r="E189" i="14"/>
  <c r="DN252" i="7"/>
  <c r="DN311" i="7"/>
  <c r="DN173" i="7"/>
  <c r="DN287" i="7"/>
  <c r="DN170" i="7"/>
  <c r="DN133" i="7"/>
  <c r="DN90" i="7"/>
  <c r="DN158" i="7"/>
  <c r="DN275" i="7"/>
  <c r="DN51" i="7"/>
  <c r="DN49" i="7"/>
  <c r="DN55" i="7"/>
  <c r="DN251" i="7"/>
  <c r="DN337" i="7"/>
  <c r="DN232" i="7"/>
  <c r="DN264" i="7"/>
  <c r="DN138" i="7"/>
  <c r="DN209" i="7"/>
  <c r="DN6" i="7"/>
  <c r="DN328" i="7"/>
  <c r="DN304" i="7"/>
  <c r="EG78" i="7"/>
  <c r="DN130" i="7"/>
  <c r="DN134" i="7"/>
  <c r="DN231" i="7"/>
  <c r="DN147" i="7"/>
  <c r="DN139" i="7"/>
  <c r="DN68" i="7"/>
  <c r="DN85" i="7"/>
  <c r="DN163" i="7"/>
  <c r="DN39" i="7"/>
  <c r="DN233" i="7"/>
  <c r="DN150" i="7"/>
  <c r="DN189" i="7"/>
  <c r="DN179" i="7"/>
  <c r="DN131" i="7"/>
  <c r="DN218" i="7"/>
  <c r="DN54" i="7"/>
  <c r="DN262" i="7"/>
  <c r="DN32" i="7"/>
  <c r="DN36" i="7"/>
  <c r="DN56" i="7"/>
  <c r="EG74" i="7"/>
  <c r="DN13" i="7"/>
  <c r="DN154" i="7"/>
  <c r="DN239" i="7"/>
  <c r="DN243" i="7"/>
  <c r="DN144" i="7"/>
  <c r="DN16" i="7"/>
  <c r="DN61" i="7"/>
  <c r="DN74" i="7"/>
  <c r="DN84" i="7"/>
  <c r="DN250" i="7"/>
  <c r="DN302" i="7"/>
  <c r="DN114" i="7"/>
  <c r="DN261" i="7"/>
  <c r="DN260" i="7"/>
  <c r="DN221" i="7"/>
  <c r="DN109" i="7"/>
  <c r="DN294" i="7"/>
  <c r="DN324" i="7"/>
  <c r="DN177" i="7"/>
  <c r="DN293" i="7"/>
  <c r="DN119" i="7"/>
  <c r="EG75" i="7"/>
  <c r="DN166" i="7"/>
  <c r="DN48" i="7"/>
  <c r="DN299" i="7"/>
  <c r="DN312" i="7"/>
  <c r="DN146" i="7"/>
  <c r="DN222" i="7"/>
  <c r="DN29" i="7"/>
  <c r="DN229" i="7"/>
  <c r="DN202" i="7"/>
  <c r="DN199" i="7"/>
  <c r="DN135" i="7"/>
  <c r="DN129" i="7"/>
  <c r="DN340" i="7"/>
  <c r="DN241" i="7"/>
  <c r="DN24" i="7"/>
  <c r="DN280" i="7"/>
  <c r="DN128" i="7"/>
  <c r="DN215" i="7"/>
  <c r="DN35" i="7"/>
  <c r="DN339" i="7"/>
  <c r="F203" i="14"/>
  <c r="DN89" i="7"/>
  <c r="D171" i="14"/>
  <c r="E188" i="14"/>
  <c r="F197" i="14"/>
  <c r="D169" i="14"/>
  <c r="E199" i="14"/>
  <c r="DN273" i="7"/>
  <c r="C169" i="14"/>
  <c r="E183" i="14"/>
  <c r="E201" i="14"/>
  <c r="G187" i="14"/>
  <c r="C172" i="14"/>
  <c r="DN174" i="7"/>
  <c r="F187" i="14"/>
  <c r="C165" i="14"/>
  <c r="G198" i="14"/>
  <c r="E191" i="14"/>
  <c r="C164" i="14"/>
  <c r="C162" i="14"/>
  <c r="E194" i="14"/>
  <c r="G188" i="14"/>
  <c r="C171" i="14"/>
  <c r="F186" i="14"/>
  <c r="C174" i="14"/>
  <c r="L31" i="1"/>
  <c r="A112" i="24"/>
  <c r="O29" i="10"/>
  <c r="B17" i="39" s="1"/>
  <c r="CY29" i="10"/>
  <c r="G17" i="39"/>
  <c r="P75" i="24"/>
  <c r="I75" i="24" s="1"/>
  <c r="CY49" i="10"/>
  <c r="G36" i="39"/>
  <c r="H15" i="24"/>
  <c r="A15" i="24" s="1"/>
  <c r="O49" i="10"/>
  <c r="FJ45" i="10"/>
  <c r="BW45" i="10" s="1"/>
  <c r="EK45" i="10"/>
  <c r="AX45" i="10" s="1"/>
  <c r="FF45" i="10"/>
  <c r="BS45" i="10" s="1"/>
  <c r="CB45" i="10"/>
  <c r="FC45" i="10"/>
  <c r="BP45" i="10" s="1"/>
  <c r="EM45" i="10"/>
  <c r="AZ45" i="10" s="1"/>
  <c r="FI45" i="10"/>
  <c r="BV45" i="10" s="1"/>
  <c r="FH45" i="10"/>
  <c r="BU45" i="10" s="1"/>
  <c r="EA45" i="10"/>
  <c r="AN45" i="10" s="1"/>
  <c r="DS45" i="10"/>
  <c r="AF45" i="10" s="1"/>
  <c r="DO45" i="10"/>
  <c r="AB45" i="10" s="1"/>
  <c r="FB45" i="10"/>
  <c r="BO45" i="10" s="1"/>
  <c r="ET45" i="10"/>
  <c r="BG45" i="10" s="1"/>
  <c r="DR45" i="10"/>
  <c r="AE45" i="10" s="1"/>
  <c r="DX45" i="10"/>
  <c r="AK45" i="10" s="1"/>
  <c r="DW45" i="10"/>
  <c r="AJ45" i="10" s="1"/>
  <c r="EL45" i="10"/>
  <c r="AY45" i="10" s="1"/>
  <c r="DQ45" i="10"/>
  <c r="AD45" i="10" s="1"/>
  <c r="DK45" i="10"/>
  <c r="X45" i="10" s="1"/>
  <c r="EJ45" i="10"/>
  <c r="AW45" i="10" s="1"/>
  <c r="FE45" i="10"/>
  <c r="BR45" i="10" s="1"/>
  <c r="EE45" i="10"/>
  <c r="AR45" i="10" s="1"/>
  <c r="DM45" i="10"/>
  <c r="Z45" i="10" s="1"/>
  <c r="FK45" i="10"/>
  <c r="BX45" i="10" s="1"/>
  <c r="FL45" i="10"/>
  <c r="BY45" i="10" s="1"/>
  <c r="DP45" i="10"/>
  <c r="AC45" i="10" s="1"/>
  <c r="EP45" i="10"/>
  <c r="BC45" i="10" s="1"/>
  <c r="EC45" i="10"/>
  <c r="AP45" i="10" s="1"/>
  <c r="EZ45" i="10"/>
  <c r="BM45" i="10" s="1"/>
  <c r="EI45" i="10"/>
  <c r="AV45" i="10" s="1"/>
  <c r="EY45" i="10"/>
  <c r="BL45" i="10" s="1"/>
  <c r="DY45" i="10"/>
  <c r="AL45" i="10" s="1"/>
  <c r="DJ45" i="10"/>
  <c r="W45" i="10" s="1"/>
  <c r="EO45" i="10"/>
  <c r="BB45" i="10" s="1"/>
  <c r="ES45" i="10"/>
  <c r="BF45" i="10" s="1"/>
  <c r="FG45" i="10"/>
  <c r="BT45" i="10" s="1"/>
  <c r="DL45" i="10"/>
  <c r="Y45" i="10" s="1"/>
  <c r="DV45" i="10"/>
  <c r="AI45" i="10" s="1"/>
  <c r="DT45" i="10"/>
  <c r="AG45" i="10" s="1"/>
  <c r="EB45" i="10"/>
  <c r="AO45" i="10" s="1"/>
  <c r="DU45" i="10"/>
  <c r="AH45" i="10" s="1"/>
  <c r="EW45" i="10"/>
  <c r="BJ45" i="10" s="1"/>
  <c r="DZ45" i="10"/>
  <c r="AM45" i="10" s="1"/>
  <c r="EN45" i="10"/>
  <c r="BA45" i="10" s="1"/>
  <c r="DN45" i="10"/>
  <c r="AA45" i="10" s="1"/>
  <c r="EU45" i="10"/>
  <c r="BH45" i="10" s="1"/>
  <c r="EX45" i="10"/>
  <c r="BK45" i="10" s="1"/>
  <c r="EH45" i="10"/>
  <c r="AU45" i="10" s="1"/>
  <c r="EV45" i="10"/>
  <c r="BI45" i="10" s="1"/>
  <c r="ER45" i="10"/>
  <c r="BE45" i="10" s="1"/>
  <c r="EG45" i="10"/>
  <c r="AT45" i="10" s="1"/>
  <c r="ED45" i="10"/>
  <c r="AQ45" i="10" s="1"/>
  <c r="FA45" i="10"/>
  <c r="BN45" i="10" s="1"/>
  <c r="EQ45" i="10"/>
  <c r="BD45" i="10" s="1"/>
  <c r="FD45" i="10"/>
  <c r="BQ45" i="10" s="1"/>
  <c r="G32" i="39"/>
  <c r="O45" i="10"/>
  <c r="CY45" i="10"/>
  <c r="B24" i="18"/>
  <c r="N24" i="18"/>
  <c r="C33" i="1"/>
  <c r="B23" i="18"/>
  <c r="N23" i="18"/>
  <c r="C32" i="1"/>
  <c r="H35" i="18"/>
  <c r="BH35" i="18"/>
  <c r="B35" i="18"/>
  <c r="A2" i="38"/>
  <c r="B2" i="38" s="1"/>
  <c r="C2" i="38"/>
  <c r="O28" i="33"/>
  <c r="AR26" i="33"/>
  <c r="AR21" i="33"/>
  <c r="O27" i="33"/>
  <c r="O33" i="33"/>
  <c r="O24" i="33"/>
  <c r="AR17" i="33"/>
  <c r="O32" i="33"/>
  <c r="AR14" i="33"/>
  <c r="O16" i="33"/>
  <c r="O20" i="33"/>
  <c r="O15" i="33"/>
  <c r="AR15" i="33"/>
  <c r="AR25" i="33"/>
  <c r="O26" i="33"/>
  <c r="AR19" i="33"/>
  <c r="O21" i="33"/>
  <c r="O25" i="33"/>
  <c r="AR32" i="33"/>
  <c r="AR29" i="33"/>
  <c r="AR30" i="33"/>
  <c r="O22" i="33"/>
  <c r="O18" i="33"/>
  <c r="AR24" i="33"/>
  <c r="AR20" i="33"/>
  <c r="O17" i="33"/>
  <c r="AR23" i="33"/>
  <c r="AR33" i="33"/>
  <c r="O23" i="33"/>
  <c r="O30" i="33"/>
  <c r="O29" i="33"/>
  <c r="O19" i="33"/>
  <c r="AR18" i="33"/>
  <c r="O31" i="33"/>
  <c r="O14" i="33"/>
  <c r="AR31" i="33"/>
  <c r="AR28" i="33"/>
  <c r="AC54" i="33"/>
  <c r="AC103" i="33"/>
  <c r="AL91" i="33"/>
  <c r="C78" i="33"/>
  <c r="AL104" i="33"/>
  <c r="C110" i="33"/>
  <c r="J110" i="33" s="1"/>
  <c r="C108" i="33"/>
  <c r="C76" i="33"/>
  <c r="J76" i="33" s="1"/>
  <c r="C96" i="33"/>
  <c r="J96" i="33" s="1"/>
  <c r="AL60" i="33"/>
  <c r="AL77" i="33"/>
  <c r="AL102" i="33"/>
  <c r="AC85" i="33"/>
  <c r="C64" i="33"/>
  <c r="J64" i="33" s="1"/>
  <c r="AL100" i="33"/>
  <c r="AC78" i="33"/>
  <c r="AC111" i="33"/>
  <c r="C91" i="33"/>
  <c r="J91" i="33" s="1"/>
  <c r="AL83" i="33"/>
  <c r="AL84" i="33"/>
  <c r="AL55" i="33"/>
  <c r="C102" i="33"/>
  <c r="J102" i="33" s="1"/>
  <c r="AC84" i="33"/>
  <c r="AC90" i="33"/>
  <c r="AL88" i="33"/>
  <c r="C74" i="33"/>
  <c r="J74" i="33" s="1"/>
  <c r="AC89" i="33"/>
  <c r="AL90" i="33"/>
  <c r="AL62" i="33"/>
  <c r="C68" i="33"/>
  <c r="J68" i="33" s="1"/>
  <c r="AL73" i="33"/>
  <c r="C93" i="33"/>
  <c r="J93" i="33" s="1"/>
  <c r="AC74" i="33"/>
  <c r="AL95" i="33"/>
  <c r="C107" i="33"/>
  <c r="AL64" i="33"/>
  <c r="AL74" i="33"/>
  <c r="AL106" i="33"/>
  <c r="C72" i="33"/>
  <c r="J72" i="33" s="1"/>
  <c r="AC80" i="33"/>
  <c r="AL70" i="33"/>
  <c r="AL105" i="33"/>
  <c r="C61" i="33"/>
  <c r="J61" i="33" s="1"/>
  <c r="AL110" i="33"/>
  <c r="AC109" i="33"/>
  <c r="AL99" i="33"/>
  <c r="AC86" i="33"/>
  <c r="C56" i="33"/>
  <c r="J56" i="33" s="1"/>
  <c r="C97" i="33"/>
  <c r="J97" i="33" s="1"/>
  <c r="AL78" i="33"/>
  <c r="AC79" i="33"/>
  <c r="AC98" i="33"/>
  <c r="AC106" i="33"/>
  <c r="C105" i="33"/>
  <c r="C82" i="33"/>
  <c r="J82" i="33" s="1"/>
  <c r="AL58" i="33"/>
  <c r="C99" i="33"/>
  <c r="J99" i="33" s="1"/>
  <c r="AC66" i="33"/>
  <c r="AL71" i="33"/>
  <c r="AC58" i="33"/>
  <c r="C111" i="33"/>
  <c r="J111" i="33" s="1"/>
  <c r="AC95" i="33"/>
  <c r="AC67" i="33"/>
  <c r="AC62" i="33"/>
  <c r="AL101" i="33"/>
  <c r="C59" i="33"/>
  <c r="J59" i="33" s="1"/>
  <c r="AL54" i="33"/>
  <c r="AC96" i="33"/>
  <c r="C103" i="33"/>
  <c r="J103" i="33" s="1"/>
  <c r="AC55" i="33"/>
  <c r="AC110" i="33"/>
  <c r="AL94" i="33"/>
  <c r="AL67" i="33"/>
  <c r="C95" i="33"/>
  <c r="J95" i="33" s="1"/>
  <c r="AL92" i="33"/>
  <c r="C69" i="33"/>
  <c r="J69" i="33" s="1"/>
  <c r="AC81" i="33"/>
  <c r="AL79" i="33"/>
  <c r="AC64" i="33"/>
  <c r="AC87" i="33"/>
  <c r="AC108" i="33"/>
  <c r="AL57" i="33"/>
  <c r="AC68" i="33"/>
  <c r="C58" i="33"/>
  <c r="J58" i="33" s="1"/>
  <c r="AL72" i="33"/>
  <c r="AL53" i="33"/>
  <c r="C89" i="33"/>
  <c r="J89" i="33" s="1"/>
  <c r="AL82" i="33"/>
  <c r="C87" i="33"/>
  <c r="J87" i="33" s="1"/>
  <c r="AL76" i="33"/>
  <c r="AL97" i="33"/>
  <c r="C92" i="33"/>
  <c r="J92" i="33" s="1"/>
  <c r="AL111" i="33"/>
  <c r="C73" i="33"/>
  <c r="J73" i="33" s="1"/>
  <c r="AL59" i="33"/>
  <c r="C63" i="33"/>
  <c r="J63" i="33" s="1"/>
  <c r="AC83" i="33"/>
  <c r="AC70" i="33"/>
  <c r="C86" i="33"/>
  <c r="J86" i="33" s="1"/>
  <c r="AC93" i="33"/>
  <c r="C60" i="33"/>
  <c r="J60" i="33" s="1"/>
  <c r="AC94" i="33"/>
  <c r="AC99" i="33"/>
  <c r="AL75" i="33"/>
  <c r="C71" i="33"/>
  <c r="J71" i="33" s="1"/>
  <c r="AL87" i="33"/>
  <c r="AC72" i="33"/>
  <c r="C84" i="33"/>
  <c r="J84" i="33" s="1"/>
  <c r="C57" i="33"/>
  <c r="J57" i="33" s="1"/>
  <c r="C65" i="33"/>
  <c r="J65" i="33" s="1"/>
  <c r="C80" i="33"/>
  <c r="J80" i="33" s="1"/>
  <c r="C55" i="33"/>
  <c r="J55" i="33" s="1"/>
  <c r="AC82" i="33"/>
  <c r="C79" i="33"/>
  <c r="J79" i="33" s="1"/>
  <c r="AL81" i="33"/>
  <c r="AC73" i="33"/>
  <c r="AC75" i="33"/>
  <c r="AL80" i="33"/>
  <c r="AC105" i="33"/>
  <c r="AC61" i="33"/>
  <c r="AL61" i="33"/>
  <c r="AC102" i="33"/>
  <c r="AC100" i="33"/>
  <c r="AL63" i="33"/>
  <c r="C101" i="33"/>
  <c r="J101" i="33" s="1"/>
  <c r="AC65" i="33"/>
  <c r="C106" i="33"/>
  <c r="AL103" i="33"/>
  <c r="C77" i="33"/>
  <c r="AC59" i="33"/>
  <c r="AL86" i="33"/>
  <c r="AC71" i="33"/>
  <c r="AL96" i="33"/>
  <c r="AL65" i="33"/>
  <c r="AL69" i="33"/>
  <c r="AL108" i="33"/>
  <c r="AC97" i="33"/>
  <c r="AC107" i="33"/>
  <c r="AC56" i="33"/>
  <c r="AC63" i="33"/>
  <c r="AL107" i="33"/>
  <c r="AC69" i="33"/>
  <c r="C94" i="33"/>
  <c r="J94" i="33" s="1"/>
  <c r="AC60" i="33"/>
  <c r="AL93" i="33"/>
  <c r="AC77" i="33"/>
  <c r="AC53" i="33"/>
  <c r="C81" i="33"/>
  <c r="J81" i="33" s="1"/>
  <c r="AL98" i="33"/>
  <c r="AC88" i="33"/>
  <c r="AL56" i="33"/>
  <c r="C67" i="33"/>
  <c r="J67" i="33" s="1"/>
  <c r="C109" i="33"/>
  <c r="J109" i="33" s="1"/>
  <c r="AE109" i="33" s="1"/>
  <c r="AC104" i="33"/>
  <c r="C75" i="33"/>
  <c r="J75" i="33" s="1"/>
  <c r="C70" i="33"/>
  <c r="J70" i="33" s="1"/>
  <c r="C85" i="33"/>
  <c r="J85" i="33" s="1"/>
  <c r="AL89" i="33"/>
  <c r="AC92" i="33"/>
  <c r="C54" i="33"/>
  <c r="J54" i="33" s="1"/>
  <c r="C98" i="33"/>
  <c r="J98" i="33" s="1"/>
  <c r="C62" i="33"/>
  <c r="J62" i="33" s="1"/>
  <c r="C104" i="33"/>
  <c r="J104" i="33" s="1"/>
  <c r="AL109" i="33"/>
  <c r="C66" i="33"/>
  <c r="J66" i="33" s="1"/>
  <c r="C90" i="33"/>
  <c r="J90" i="33" s="1"/>
  <c r="AL66" i="33"/>
  <c r="C88" i="33"/>
  <c r="J88" i="33" s="1"/>
  <c r="AC91" i="33"/>
  <c r="AC76" i="33"/>
  <c r="AL85" i="33"/>
  <c r="C100" i="33"/>
  <c r="J100" i="33" s="1"/>
  <c r="C83" i="33"/>
  <c r="J83" i="33" s="1"/>
  <c r="AL68" i="33"/>
  <c r="AC57" i="33"/>
  <c r="AC101" i="33"/>
  <c r="C53" i="33"/>
  <c r="J53" i="33" s="1"/>
  <c r="CZ89" i="10"/>
  <c r="CZ96" i="10"/>
  <c r="U72" i="7"/>
  <c r="U34" i="7" s="1"/>
  <c r="N29" i="33"/>
  <c r="AM29" i="33"/>
  <c r="N18" i="33"/>
  <c r="N27" i="33"/>
  <c r="AM20" i="33"/>
  <c r="AM18" i="33"/>
  <c r="AM26" i="33"/>
  <c r="N20" i="33"/>
  <c r="AM24" i="33"/>
  <c r="N19" i="33"/>
  <c r="N23" i="33"/>
  <c r="N32" i="33"/>
  <c r="N31" i="33"/>
  <c r="AM30" i="33"/>
  <c r="N16" i="33"/>
  <c r="AM25" i="33"/>
  <c r="N33" i="33"/>
  <c r="N15" i="33"/>
  <c r="AM19" i="33"/>
  <c r="AM21" i="33"/>
  <c r="AM22" i="33"/>
  <c r="N21" i="33"/>
  <c r="AM27" i="33"/>
  <c r="N17" i="33"/>
  <c r="AM14" i="33"/>
  <c r="AM28" i="33"/>
  <c r="N28" i="33"/>
  <c r="AM17" i="33"/>
  <c r="N25" i="33"/>
  <c r="N14" i="33"/>
  <c r="AM33" i="33"/>
  <c r="N30" i="33"/>
  <c r="AM31" i="33"/>
  <c r="AM16" i="33"/>
  <c r="AM23" i="33"/>
  <c r="N26" i="33"/>
  <c r="N24" i="33"/>
  <c r="AM15" i="33"/>
  <c r="AM32" i="33"/>
  <c r="FC52" i="10"/>
  <c r="BP52" i="10" s="1"/>
  <c r="EQ52" i="10"/>
  <c r="BD52" i="10" s="1"/>
  <c r="EP52" i="10"/>
  <c r="BC52" i="10" s="1"/>
  <c r="FF52" i="10"/>
  <c r="BS52" i="10" s="1"/>
  <c r="ET52" i="10"/>
  <c r="BG52" i="10" s="1"/>
  <c r="EL52" i="10"/>
  <c r="AY52" i="10" s="1"/>
  <c r="DM52" i="10"/>
  <c r="Z52" i="10" s="1"/>
  <c r="FJ52" i="10"/>
  <c r="BW52" i="10" s="1"/>
  <c r="ES52" i="10"/>
  <c r="BF52" i="10" s="1"/>
  <c r="FA52" i="10"/>
  <c r="BN52" i="10" s="1"/>
  <c r="DQ52" i="10"/>
  <c r="AD52" i="10" s="1"/>
  <c r="EG52" i="10"/>
  <c r="AT52" i="10" s="1"/>
  <c r="DU52" i="10"/>
  <c r="AH52" i="10" s="1"/>
  <c r="DN52" i="10"/>
  <c r="AA52" i="10" s="1"/>
  <c r="EN52" i="10"/>
  <c r="BA52" i="10" s="1"/>
  <c r="DS52" i="10"/>
  <c r="AF52" i="10" s="1"/>
  <c r="EH52" i="10"/>
  <c r="AU52" i="10" s="1"/>
  <c r="ED52" i="10"/>
  <c r="AQ52" i="10" s="1"/>
  <c r="EW52" i="10"/>
  <c r="BJ52" i="10" s="1"/>
  <c r="DZ52" i="10"/>
  <c r="AM52" i="10" s="1"/>
  <c r="DL52" i="10"/>
  <c r="Y52" i="10" s="1"/>
  <c r="EC52" i="10"/>
  <c r="AP52" i="10" s="1"/>
  <c r="DX52" i="10"/>
  <c r="AK52" i="10" s="1"/>
  <c r="EZ52" i="10"/>
  <c r="BM52" i="10" s="1"/>
  <c r="DK52" i="10"/>
  <c r="X52" i="10" s="1"/>
  <c r="FB52" i="10"/>
  <c r="BO52" i="10" s="1"/>
  <c r="FG52" i="10"/>
  <c r="BT52" i="10" s="1"/>
  <c r="EU52" i="10"/>
  <c r="BH52" i="10" s="1"/>
  <c r="DP52" i="10"/>
  <c r="AC52" i="10" s="1"/>
  <c r="FH52" i="10"/>
  <c r="BU52" i="10" s="1"/>
  <c r="EJ52" i="10"/>
  <c r="AW52" i="10" s="1"/>
  <c r="EE52" i="10"/>
  <c r="AR52" i="10" s="1"/>
  <c r="EK52" i="10"/>
  <c r="AX52" i="10" s="1"/>
  <c r="EV52" i="10"/>
  <c r="BI52" i="10" s="1"/>
  <c r="EX52" i="10"/>
  <c r="BK52" i="10" s="1"/>
  <c r="DV52" i="10"/>
  <c r="AI52" i="10" s="1"/>
  <c r="EI52" i="10"/>
  <c r="AV52" i="10" s="1"/>
  <c r="EB52" i="10"/>
  <c r="AO52" i="10" s="1"/>
  <c r="FE52" i="10"/>
  <c r="BR52" i="10" s="1"/>
  <c r="EA52" i="10"/>
  <c r="AN52" i="10" s="1"/>
  <c r="EM52" i="10"/>
  <c r="AZ52" i="10" s="1"/>
  <c r="DJ52" i="10"/>
  <c r="W52" i="10" s="1"/>
  <c r="FI52" i="10"/>
  <c r="BV52" i="10" s="1"/>
  <c r="FL52" i="10"/>
  <c r="BY52" i="10" s="1"/>
  <c r="ER52" i="10"/>
  <c r="BE52" i="10" s="1"/>
  <c r="DY52" i="10"/>
  <c r="AL52" i="10" s="1"/>
  <c r="FK52" i="10"/>
  <c r="BX52" i="10" s="1"/>
  <c r="EY52" i="10"/>
  <c r="BL52" i="10" s="1"/>
  <c r="FD52" i="10"/>
  <c r="BQ52" i="10" s="1"/>
  <c r="DW52" i="10"/>
  <c r="AJ52" i="10" s="1"/>
  <c r="DO52" i="10"/>
  <c r="AB52" i="10" s="1"/>
  <c r="EO52" i="10"/>
  <c r="BB52" i="10" s="1"/>
  <c r="DT52" i="10"/>
  <c r="AG52" i="10" s="1"/>
  <c r="DR52" i="10"/>
  <c r="AE52" i="10" s="1"/>
  <c r="CB52" i="10"/>
  <c r="EA42" i="10"/>
  <c r="AN42" i="10" s="1"/>
  <c r="FF42" i="10"/>
  <c r="BS42" i="10" s="1"/>
  <c r="FJ42" i="10"/>
  <c r="BW42" i="10" s="1"/>
  <c r="EL42" i="10"/>
  <c r="AY42" i="10" s="1"/>
  <c r="EB42" i="10"/>
  <c r="AO42" i="10" s="1"/>
  <c r="EI42" i="10"/>
  <c r="AV42" i="10" s="1"/>
  <c r="EQ42" i="10"/>
  <c r="BD42" i="10" s="1"/>
  <c r="DS42" i="10"/>
  <c r="AF42" i="10" s="1"/>
  <c r="DU42" i="10"/>
  <c r="AH42" i="10" s="1"/>
  <c r="DO42" i="10"/>
  <c r="AB42" i="10" s="1"/>
  <c r="EM42" i="10"/>
  <c r="AZ42" i="10" s="1"/>
  <c r="EJ42" i="10"/>
  <c r="AW42" i="10" s="1"/>
  <c r="EG42" i="10"/>
  <c r="AT42" i="10" s="1"/>
  <c r="EU42" i="10"/>
  <c r="BH42" i="10" s="1"/>
  <c r="DZ42" i="10"/>
  <c r="AM42" i="10" s="1"/>
  <c r="EW42" i="10"/>
  <c r="BJ42" i="10" s="1"/>
  <c r="ER42" i="10"/>
  <c r="BE42" i="10" s="1"/>
  <c r="FD42" i="10"/>
  <c r="BQ42" i="10" s="1"/>
  <c r="EZ42" i="10"/>
  <c r="BM42" i="10" s="1"/>
  <c r="ED42" i="10"/>
  <c r="AQ42" i="10" s="1"/>
  <c r="FA42" i="10"/>
  <c r="BN42" i="10" s="1"/>
  <c r="EE42" i="10"/>
  <c r="AR42" i="10" s="1"/>
  <c r="ET42" i="10"/>
  <c r="BG42" i="10" s="1"/>
  <c r="FC42" i="10"/>
  <c r="BP42" i="10" s="1"/>
  <c r="DY42" i="10"/>
  <c r="AL42" i="10" s="1"/>
  <c r="DK42" i="10"/>
  <c r="X42" i="10" s="1"/>
  <c r="DN42" i="10"/>
  <c r="AA42" i="10" s="1"/>
  <c r="DL42" i="10"/>
  <c r="Y42" i="10" s="1"/>
  <c r="EY42" i="10"/>
  <c r="BL42" i="10" s="1"/>
  <c r="EN42" i="10"/>
  <c r="BA42" i="10" s="1"/>
  <c r="FH42" i="10"/>
  <c r="BU42" i="10" s="1"/>
  <c r="EO42" i="10"/>
  <c r="BB42" i="10" s="1"/>
  <c r="ES42" i="10"/>
  <c r="BF42" i="10" s="1"/>
  <c r="EX42" i="10"/>
  <c r="BK42" i="10" s="1"/>
  <c r="FK42" i="10"/>
  <c r="BX42" i="10" s="1"/>
  <c r="FE42" i="10"/>
  <c r="BR42" i="10" s="1"/>
  <c r="DX42" i="10"/>
  <c r="AK42" i="10" s="1"/>
  <c r="FB42" i="10"/>
  <c r="BO42" i="10" s="1"/>
  <c r="DQ42" i="10"/>
  <c r="AD42" i="10" s="1"/>
  <c r="DT42" i="10"/>
  <c r="AG42" i="10" s="1"/>
  <c r="EP42" i="10"/>
  <c r="BC42" i="10" s="1"/>
  <c r="FG42" i="10"/>
  <c r="BT42" i="10" s="1"/>
  <c r="DJ42" i="10"/>
  <c r="W42" i="10" s="1"/>
  <c r="DP42" i="10"/>
  <c r="AC42" i="10" s="1"/>
  <c r="EC42" i="10"/>
  <c r="AP42" i="10" s="1"/>
  <c r="FL42" i="10"/>
  <c r="BY42" i="10" s="1"/>
  <c r="DV42" i="10"/>
  <c r="AI42" i="10" s="1"/>
  <c r="DR42" i="10"/>
  <c r="AE42" i="10" s="1"/>
  <c r="EK42" i="10"/>
  <c r="AX42" i="10" s="1"/>
  <c r="EH42" i="10"/>
  <c r="AU42" i="10" s="1"/>
  <c r="FI42" i="10"/>
  <c r="BV42" i="10" s="1"/>
  <c r="CB42" i="10"/>
  <c r="DM42" i="10"/>
  <c r="Z42" i="10" s="1"/>
  <c r="EV42" i="10"/>
  <c r="BI42" i="10" s="1"/>
  <c r="DW42" i="10"/>
  <c r="AJ42" i="10" s="1"/>
  <c r="CY75" i="10"/>
  <c r="G61" i="39"/>
  <c r="CF75" i="10"/>
  <c r="CF76" i="10" s="1"/>
  <c r="CF78" i="10" s="1"/>
  <c r="CF79" i="10" s="1"/>
  <c r="CF81" i="10" s="1"/>
  <c r="U17" i="24" s="1"/>
  <c r="O75" i="10"/>
  <c r="FH75" i="10"/>
  <c r="BU75" i="10" s="1"/>
  <c r="EJ75" i="10"/>
  <c r="AW75" i="10" s="1"/>
  <c r="ES75" i="10"/>
  <c r="BF75" i="10" s="1"/>
  <c r="EW75" i="10"/>
  <c r="BJ75" i="10" s="1"/>
  <c r="EL75" i="10"/>
  <c r="AY75" i="10" s="1"/>
  <c r="CB75" i="10"/>
  <c r="DU75" i="10"/>
  <c r="AH75" i="10" s="1"/>
  <c r="EC75" i="10"/>
  <c r="AP75" i="10" s="1"/>
  <c r="EH75" i="10"/>
  <c r="AU75" i="10" s="1"/>
  <c r="DR75" i="10"/>
  <c r="AE75" i="10" s="1"/>
  <c r="FG75" i="10"/>
  <c r="BT75" i="10" s="1"/>
  <c r="FB75" i="10"/>
  <c r="BO75" i="10" s="1"/>
  <c r="DW75" i="10"/>
  <c r="AJ75" i="10" s="1"/>
  <c r="DV75" i="10"/>
  <c r="AI75" i="10" s="1"/>
  <c r="FA75" i="10"/>
  <c r="BN75" i="10" s="1"/>
  <c r="EE75" i="10"/>
  <c r="AR75" i="10" s="1"/>
  <c r="EX75" i="10"/>
  <c r="BK75" i="10" s="1"/>
  <c r="EO75" i="10"/>
  <c r="BB75" i="10" s="1"/>
  <c r="DP75" i="10"/>
  <c r="AC75" i="10" s="1"/>
  <c r="EA75" i="10"/>
  <c r="AN75" i="10" s="1"/>
  <c r="FF75" i="10"/>
  <c r="BS75" i="10" s="1"/>
  <c r="DL75" i="10"/>
  <c r="Y75" i="10" s="1"/>
  <c r="DZ75" i="10"/>
  <c r="AM75" i="10" s="1"/>
  <c r="DY75" i="10"/>
  <c r="AL75" i="10" s="1"/>
  <c r="EK75" i="10"/>
  <c r="AX75" i="10" s="1"/>
  <c r="DN75" i="10"/>
  <c r="AA75" i="10" s="1"/>
  <c r="EN75" i="10"/>
  <c r="BA75" i="10" s="1"/>
  <c r="FI75" i="10"/>
  <c r="BV75" i="10" s="1"/>
  <c r="DO75" i="10"/>
  <c r="AB75" i="10" s="1"/>
  <c r="DM75" i="10"/>
  <c r="Z75" i="10" s="1"/>
  <c r="EP75" i="10"/>
  <c r="BC75" i="10" s="1"/>
  <c r="ET75" i="10"/>
  <c r="BG75" i="10" s="1"/>
  <c r="FK75" i="10"/>
  <c r="BX75" i="10" s="1"/>
  <c r="EY75" i="10"/>
  <c r="BL75" i="10" s="1"/>
  <c r="EU75" i="10"/>
  <c r="BH75" i="10" s="1"/>
  <c r="FE75" i="10"/>
  <c r="BR75" i="10" s="1"/>
  <c r="FL75" i="10"/>
  <c r="BY75" i="10" s="1"/>
  <c r="FJ75" i="10"/>
  <c r="BW75" i="10" s="1"/>
  <c r="EQ75" i="10"/>
  <c r="BD75" i="10" s="1"/>
  <c r="DT75" i="10"/>
  <c r="AG75" i="10" s="1"/>
  <c r="ER75" i="10"/>
  <c r="BE75" i="10" s="1"/>
  <c r="EZ75" i="10"/>
  <c r="BM75" i="10" s="1"/>
  <c r="DS75" i="10"/>
  <c r="AF75" i="10" s="1"/>
  <c r="DX75" i="10"/>
  <c r="AK75" i="10" s="1"/>
  <c r="DK75" i="10"/>
  <c r="X75" i="10" s="1"/>
  <c r="EB75" i="10"/>
  <c r="AO75" i="10" s="1"/>
  <c r="ED75" i="10"/>
  <c r="AQ75" i="10" s="1"/>
  <c r="EM75" i="10"/>
  <c r="AZ75" i="10" s="1"/>
  <c r="DQ75" i="10"/>
  <c r="AD75" i="10" s="1"/>
  <c r="EG75" i="10"/>
  <c r="AT75" i="10" s="1"/>
  <c r="DJ75" i="10"/>
  <c r="W75" i="10" s="1"/>
  <c r="FC75" i="10"/>
  <c r="BP75" i="10" s="1"/>
  <c r="FD75" i="10"/>
  <c r="BQ75" i="10" s="1"/>
  <c r="EV75" i="10"/>
  <c r="BI75" i="10" s="1"/>
  <c r="EI75" i="10"/>
  <c r="AV75" i="10" s="1"/>
  <c r="N20" i="18"/>
  <c r="B20" i="18"/>
  <c r="C29" i="1"/>
  <c r="B26" i="18"/>
  <c r="C36" i="1"/>
  <c r="D36" i="1" s="1"/>
  <c r="N26" i="18"/>
  <c r="B36" i="18"/>
  <c r="BH36" i="18"/>
  <c r="H36" i="18"/>
  <c r="H34" i="18"/>
  <c r="BH34" i="18"/>
  <c r="B34" i="18"/>
  <c r="BH44" i="18"/>
  <c r="B44" i="18"/>
  <c r="H44" i="18"/>
  <c r="B33" i="18"/>
  <c r="BH33" i="18"/>
  <c r="H33" i="18"/>
  <c r="O111" i="33"/>
  <c r="AM55" i="33"/>
  <c r="AR124" i="33"/>
  <c r="O85" i="33"/>
  <c r="V85" i="33" s="1"/>
  <c r="AM95" i="33"/>
  <c r="AR92" i="33"/>
  <c r="AM93" i="33"/>
  <c r="AR42" i="33"/>
  <c r="AM56" i="33"/>
  <c r="O45" i="33"/>
  <c r="V45" i="33" s="1"/>
  <c r="AM71" i="33"/>
  <c r="AR99" i="33"/>
  <c r="AR38" i="33"/>
  <c r="O46" i="33"/>
  <c r="V46" i="33" s="1"/>
  <c r="O78" i="33"/>
  <c r="V78" i="33" s="1"/>
  <c r="O48" i="33"/>
  <c r="V48" i="33" s="1"/>
  <c r="AR48" i="33"/>
  <c r="O79" i="33"/>
  <c r="V79" i="33" s="1"/>
  <c r="AM122" i="33"/>
  <c r="O44" i="33"/>
  <c r="V44" i="33" s="1"/>
  <c r="O76" i="33"/>
  <c r="V76" i="33" s="1"/>
  <c r="AR44" i="33"/>
  <c r="AM125" i="33"/>
  <c r="AM77" i="33"/>
  <c r="AM41" i="33"/>
  <c r="O80" i="33"/>
  <c r="V80" i="33" s="1"/>
  <c r="AR113" i="33"/>
  <c r="O70" i="33"/>
  <c r="V70" i="33" s="1"/>
  <c r="AR40" i="33"/>
  <c r="O60" i="33"/>
  <c r="V60" i="33" s="1"/>
  <c r="AM67" i="33"/>
  <c r="AM54" i="33"/>
  <c r="AM75" i="33"/>
  <c r="AM115" i="33"/>
  <c r="O69" i="33"/>
  <c r="V69" i="33" s="1"/>
  <c r="AM49" i="33"/>
  <c r="AM109" i="33"/>
  <c r="O53" i="33"/>
  <c r="V53" i="33" s="1"/>
  <c r="AR96" i="33"/>
  <c r="O108" i="33"/>
  <c r="AR112" i="33"/>
  <c r="AR97" i="33"/>
  <c r="O43" i="33"/>
  <c r="V43" i="33" s="1"/>
  <c r="AM87" i="33"/>
  <c r="AM88" i="33"/>
  <c r="O91" i="33"/>
  <c r="V91" i="33" s="1"/>
  <c r="AR70" i="33"/>
  <c r="AR83" i="33"/>
  <c r="AR116" i="33"/>
  <c r="AR54" i="33"/>
  <c r="O92" i="33"/>
  <c r="V92" i="33" s="1"/>
  <c r="AR37" i="33"/>
  <c r="AR89" i="33"/>
  <c r="AR90" i="33"/>
  <c r="O39" i="33"/>
  <c r="V39" i="33" s="1"/>
  <c r="AM96" i="33"/>
  <c r="AM83" i="33"/>
  <c r="AR52" i="33"/>
  <c r="AR95" i="33"/>
  <c r="AM90" i="33"/>
  <c r="O83" i="33"/>
  <c r="V83" i="33" s="1"/>
  <c r="O124" i="33"/>
  <c r="AM72" i="33"/>
  <c r="AR53" i="33"/>
  <c r="AM57" i="33"/>
  <c r="AR68" i="33"/>
  <c r="AM52" i="33"/>
  <c r="AR65" i="33"/>
  <c r="AM50" i="33"/>
  <c r="O41" i="33"/>
  <c r="V41" i="33" s="1"/>
  <c r="AR74" i="33"/>
  <c r="O121" i="33"/>
  <c r="AM114" i="33"/>
  <c r="AR88" i="33"/>
  <c r="O95" i="33"/>
  <c r="V95" i="33" s="1"/>
  <c r="O115" i="33"/>
  <c r="O99" i="33"/>
  <c r="AR115" i="33"/>
  <c r="AM48" i="33"/>
  <c r="AM58" i="33"/>
  <c r="AM86" i="33"/>
  <c r="AM108" i="33"/>
  <c r="AM53" i="33"/>
  <c r="AR66" i="33"/>
  <c r="O73" i="33"/>
  <c r="V73" i="33" s="1"/>
  <c r="O116" i="33"/>
  <c r="O71" i="33"/>
  <c r="V71" i="33" s="1"/>
  <c r="AR60" i="33"/>
  <c r="O68" i="33"/>
  <c r="V68" i="33" s="1"/>
  <c r="AM63" i="33"/>
  <c r="O47" i="33"/>
  <c r="V47" i="33" s="1"/>
  <c r="O113" i="33"/>
  <c r="O37" i="33"/>
  <c r="V37" i="33" s="1"/>
  <c r="O62" i="33"/>
  <c r="V62" i="33" s="1"/>
  <c r="O42" i="33"/>
  <c r="V42" i="33" s="1"/>
  <c r="AR72" i="33"/>
  <c r="AR51" i="33"/>
  <c r="O94" i="33"/>
  <c r="V94" i="33" s="1"/>
  <c r="AR126" i="33"/>
  <c r="O114" i="33"/>
  <c r="AM70" i="33"/>
  <c r="AM37" i="33"/>
  <c r="AR78" i="33"/>
  <c r="O125" i="33"/>
  <c r="AR108" i="33"/>
  <c r="O117" i="33"/>
  <c r="O75" i="33"/>
  <c r="V75" i="33" s="1"/>
  <c r="AM47" i="33"/>
  <c r="AR76" i="33"/>
  <c r="O49" i="33"/>
  <c r="V49" i="33" s="1"/>
  <c r="AR109" i="33"/>
  <c r="AM78" i="33"/>
  <c r="AM80" i="33"/>
  <c r="AM121" i="33"/>
  <c r="AR110" i="33"/>
  <c r="AR61" i="33"/>
  <c r="O57" i="33"/>
  <c r="V57" i="33" s="1"/>
  <c r="AR55" i="33"/>
  <c r="AR121" i="33"/>
  <c r="AR81" i="33"/>
  <c r="AR39" i="33"/>
  <c r="AM91" i="33"/>
  <c r="O55" i="33"/>
  <c r="V55" i="33" s="1"/>
  <c r="AR77" i="33"/>
  <c r="AR122" i="33"/>
  <c r="AM51" i="33"/>
  <c r="O65" i="33"/>
  <c r="V65" i="33" s="1"/>
  <c r="AR111" i="33"/>
  <c r="AR114" i="33"/>
  <c r="O122" i="33"/>
  <c r="AR85" i="33"/>
  <c r="O77" i="33"/>
  <c r="V77" i="33" s="1"/>
  <c r="O61" i="33"/>
  <c r="V61" i="33" s="1"/>
  <c r="AR57" i="33"/>
  <c r="AM79" i="33"/>
  <c r="AM68" i="33"/>
  <c r="AM85" i="33"/>
  <c r="O38" i="33"/>
  <c r="V38" i="33" s="1"/>
  <c r="AM46" i="33"/>
  <c r="O127" i="33"/>
  <c r="AR56" i="33"/>
  <c r="O87" i="33"/>
  <c r="V87" i="33" s="1"/>
  <c r="AM82" i="33"/>
  <c r="O110" i="33"/>
  <c r="AR58" i="33"/>
  <c r="AM99" i="33"/>
  <c r="AM110" i="33"/>
  <c r="AM73" i="33"/>
  <c r="AR117" i="33"/>
  <c r="AR71" i="33"/>
  <c r="AR62" i="33"/>
  <c r="O51" i="33"/>
  <c r="V51" i="33" s="1"/>
  <c r="O67" i="33"/>
  <c r="V67" i="33" s="1"/>
  <c r="O93" i="33"/>
  <c r="V93" i="33" s="1"/>
  <c r="AR67" i="33"/>
  <c r="AR84" i="33"/>
  <c r="AR123" i="33"/>
  <c r="AM59" i="33"/>
  <c r="AM40" i="33"/>
  <c r="AM38" i="33"/>
  <c r="O72" i="33"/>
  <c r="V72" i="33" s="1"/>
  <c r="O90" i="33"/>
  <c r="V90" i="33" s="1"/>
  <c r="O52" i="33"/>
  <c r="V52" i="33" s="1"/>
  <c r="O109" i="33"/>
  <c r="AR49" i="33"/>
  <c r="AR43" i="33"/>
  <c r="O74" i="33"/>
  <c r="V74" i="33" s="1"/>
  <c r="AR80" i="33"/>
  <c r="AM116" i="33"/>
  <c r="AM111" i="33"/>
  <c r="AM39" i="33"/>
  <c r="AM113" i="33"/>
  <c r="AR41" i="33"/>
  <c r="AR127" i="33"/>
  <c r="O84" i="33"/>
  <c r="V84" i="33" s="1"/>
  <c r="O96" i="33"/>
  <c r="V96" i="33" s="1"/>
  <c r="O56" i="33"/>
  <c r="V56" i="33" s="1"/>
  <c r="O81" i="33"/>
  <c r="V81" i="33" s="1"/>
  <c r="AR46" i="33"/>
  <c r="AR98" i="33"/>
  <c r="AM81" i="33"/>
  <c r="AR64" i="33"/>
  <c r="AR91" i="33"/>
  <c r="AR73" i="33"/>
  <c r="O98" i="33"/>
  <c r="V98" i="33" s="1"/>
  <c r="O97" i="33"/>
  <c r="V97" i="33" s="1"/>
  <c r="AR79" i="33"/>
  <c r="AM65" i="33"/>
  <c r="AR59" i="33"/>
  <c r="AM124" i="33"/>
  <c r="AM64" i="33"/>
  <c r="AM117" i="33"/>
  <c r="AM76" i="33"/>
  <c r="AM97" i="33"/>
  <c r="AM74" i="33"/>
  <c r="O89" i="33"/>
  <c r="V89" i="33" s="1"/>
  <c r="O40" i="33"/>
  <c r="V40" i="33" s="1"/>
  <c r="AM61" i="33"/>
  <c r="O63" i="33"/>
  <c r="V63" i="33" s="1"/>
  <c r="O112" i="33"/>
  <c r="AR93" i="33"/>
  <c r="AR75" i="33"/>
  <c r="AM94" i="33"/>
  <c r="O123" i="33"/>
  <c r="AM62" i="33"/>
  <c r="AM45" i="33"/>
  <c r="AR69" i="33"/>
  <c r="O54" i="33"/>
  <c r="AR50" i="33"/>
  <c r="AM60" i="33"/>
  <c r="AR87" i="33"/>
  <c r="AM43" i="33"/>
  <c r="AM42" i="33"/>
  <c r="AM44" i="33"/>
  <c r="O126" i="33"/>
  <c r="AR47" i="33"/>
  <c r="AM84" i="33"/>
  <c r="O50" i="33"/>
  <c r="V50" i="33" s="1"/>
  <c r="AR125" i="33"/>
  <c r="O58" i="33"/>
  <c r="V58" i="33" s="1"/>
  <c r="O59" i="33"/>
  <c r="V59" i="33" s="1"/>
  <c r="AM112" i="33"/>
  <c r="O86" i="33"/>
  <c r="V86" i="33" s="1"/>
  <c r="AM98" i="33"/>
  <c r="AM66" i="33"/>
  <c r="AR86" i="33"/>
  <c r="AM92" i="33"/>
  <c r="AM89" i="33"/>
  <c r="AM127" i="33"/>
  <c r="AR45" i="33"/>
  <c r="AR94" i="33"/>
  <c r="O88" i="33"/>
  <c r="V88" i="33" s="1"/>
  <c r="AR82" i="33"/>
  <c r="AR63" i="33"/>
  <c r="AM123" i="33"/>
  <c r="AM126" i="33"/>
  <c r="AM69" i="33"/>
  <c r="AL129" i="33"/>
  <c r="C129" i="33"/>
  <c r="AC130" i="33"/>
  <c r="AC132" i="33"/>
  <c r="C132" i="33"/>
  <c r="AL132" i="33"/>
  <c r="C131" i="33"/>
  <c r="C128" i="33"/>
  <c r="AC131" i="33"/>
  <c r="AL133" i="33"/>
  <c r="C130" i="33"/>
  <c r="AL131" i="33"/>
  <c r="AC133" i="33"/>
  <c r="AC128" i="33"/>
  <c r="AL128" i="33"/>
  <c r="AC129" i="33"/>
  <c r="C133" i="33"/>
  <c r="AL130" i="33"/>
  <c r="B43" i="18"/>
  <c r="H43" i="18"/>
  <c r="BH43" i="18"/>
  <c r="CZ100" i="10"/>
  <c r="CZ92" i="10"/>
  <c r="H21" i="24"/>
  <c r="A21" i="24" s="1"/>
  <c r="CY57" i="10"/>
  <c r="O57" i="10"/>
  <c r="G44" i="39"/>
  <c r="DU57" i="10"/>
  <c r="AH57" i="10" s="1"/>
  <c r="DK57" i="10"/>
  <c r="X57" i="10" s="1"/>
  <c r="EW57" i="10"/>
  <c r="BJ57" i="10" s="1"/>
  <c r="FF57" i="10"/>
  <c r="BS57" i="10" s="1"/>
  <c r="EC57" i="10"/>
  <c r="AP57" i="10" s="1"/>
  <c r="EV57" i="10"/>
  <c r="BI57" i="10" s="1"/>
  <c r="DM57" i="10"/>
  <c r="Z57" i="10" s="1"/>
  <c r="FJ57" i="10"/>
  <c r="BW57" i="10" s="1"/>
  <c r="DJ57" i="10"/>
  <c r="W57" i="10" s="1"/>
  <c r="DQ57" i="10"/>
  <c r="AD57" i="10" s="1"/>
  <c r="ET57" i="10"/>
  <c r="BG57" i="10" s="1"/>
  <c r="DZ57" i="10"/>
  <c r="AM57" i="10" s="1"/>
  <c r="EI57" i="10"/>
  <c r="AV57" i="10" s="1"/>
  <c r="EB57" i="10"/>
  <c r="AO57" i="10" s="1"/>
  <c r="EJ57" i="10"/>
  <c r="AW57" i="10" s="1"/>
  <c r="EG57" i="10"/>
  <c r="AT57" i="10" s="1"/>
  <c r="EH57" i="10"/>
  <c r="AU57" i="10" s="1"/>
  <c r="DS57" i="10"/>
  <c r="AF57" i="10" s="1"/>
  <c r="DT57" i="10"/>
  <c r="AG57" i="10" s="1"/>
  <c r="FI57" i="10"/>
  <c r="BV57" i="10" s="1"/>
  <c r="FL57" i="10"/>
  <c r="BY57" i="10" s="1"/>
  <c r="EL57" i="10"/>
  <c r="AY57" i="10" s="1"/>
  <c r="FA57" i="10"/>
  <c r="BN57" i="10" s="1"/>
  <c r="EX57" i="10"/>
  <c r="BK57" i="10" s="1"/>
  <c r="DX57" i="10"/>
  <c r="AK57" i="10" s="1"/>
  <c r="FE57" i="10"/>
  <c r="BR57" i="10" s="1"/>
  <c r="ES57" i="10"/>
  <c r="BF57" i="10" s="1"/>
  <c r="DP57" i="10"/>
  <c r="AC57" i="10" s="1"/>
  <c r="DV57" i="10"/>
  <c r="AI57" i="10" s="1"/>
  <c r="DO57" i="10"/>
  <c r="AB57" i="10" s="1"/>
  <c r="EZ57" i="10"/>
  <c r="BM57" i="10" s="1"/>
  <c r="EO57" i="10"/>
  <c r="BB57" i="10" s="1"/>
  <c r="FH57" i="10"/>
  <c r="BU57" i="10" s="1"/>
  <c r="EP57" i="10"/>
  <c r="BC57" i="10" s="1"/>
  <c r="EN57" i="10"/>
  <c r="BA57" i="10" s="1"/>
  <c r="EU57" i="10"/>
  <c r="BH57" i="10" s="1"/>
  <c r="DL57" i="10"/>
  <c r="Y57" i="10" s="1"/>
  <c r="EA57" i="10"/>
  <c r="AN57" i="10" s="1"/>
  <c r="DR57" i="10"/>
  <c r="AE57" i="10" s="1"/>
  <c r="EK57" i="10"/>
  <c r="AX57" i="10" s="1"/>
  <c r="DY57" i="10"/>
  <c r="AL57" i="10" s="1"/>
  <c r="EQ57" i="10"/>
  <c r="BD57" i="10" s="1"/>
  <c r="DN57" i="10"/>
  <c r="AA57" i="10" s="1"/>
  <c r="FB57" i="10"/>
  <c r="BO57" i="10" s="1"/>
  <c r="FD57" i="10"/>
  <c r="BQ57" i="10" s="1"/>
  <c r="FK57" i="10"/>
  <c r="BX57" i="10" s="1"/>
  <c r="FG57" i="10"/>
  <c r="BT57" i="10" s="1"/>
  <c r="CB57" i="10"/>
  <c r="DW57" i="10"/>
  <c r="AJ57" i="10" s="1"/>
  <c r="EE57" i="10"/>
  <c r="AR57" i="10" s="1"/>
  <c r="EM57" i="10"/>
  <c r="AZ57" i="10" s="1"/>
  <c r="ED57" i="10"/>
  <c r="AQ57" i="10" s="1"/>
  <c r="FC57" i="10"/>
  <c r="BP57" i="10" s="1"/>
  <c r="EY57" i="10"/>
  <c r="BL57" i="10" s="1"/>
  <c r="ER57" i="10"/>
  <c r="BE57" i="10" s="1"/>
  <c r="DN49" i="10"/>
  <c r="AA49" i="10" s="1"/>
  <c r="EQ49" i="10"/>
  <c r="BD49" i="10" s="1"/>
  <c r="DM49" i="10"/>
  <c r="Z49" i="10" s="1"/>
  <c r="DV49" i="10"/>
  <c r="AI49" i="10" s="1"/>
  <c r="FD49" i="10"/>
  <c r="BQ49" i="10" s="1"/>
  <c r="DK49" i="10"/>
  <c r="X49" i="10" s="1"/>
  <c r="DP49" i="10"/>
  <c r="AC49" i="10" s="1"/>
  <c r="EK49" i="10"/>
  <c r="AX49" i="10" s="1"/>
  <c r="DR49" i="10"/>
  <c r="AE49" i="10" s="1"/>
  <c r="FC49" i="10"/>
  <c r="BP49" i="10" s="1"/>
  <c r="EI49" i="10"/>
  <c r="AV49" i="10" s="1"/>
  <c r="EB49" i="10"/>
  <c r="AO49" i="10" s="1"/>
  <c r="EN49" i="10"/>
  <c r="BA49" i="10" s="1"/>
  <c r="FI49" i="10"/>
  <c r="BV49" i="10" s="1"/>
  <c r="EU49" i="10"/>
  <c r="BH49" i="10" s="1"/>
  <c r="FA49" i="10"/>
  <c r="BN49" i="10" s="1"/>
  <c r="DY49" i="10"/>
  <c r="AL49" i="10" s="1"/>
  <c r="EP49" i="10"/>
  <c r="BC49" i="10" s="1"/>
  <c r="EY49" i="10"/>
  <c r="BL49" i="10" s="1"/>
  <c r="DW49" i="10"/>
  <c r="AJ49" i="10" s="1"/>
  <c r="EA49" i="10"/>
  <c r="AN49" i="10" s="1"/>
  <c r="EW49" i="10"/>
  <c r="BJ49" i="10" s="1"/>
  <c r="EV49" i="10"/>
  <c r="BI49" i="10" s="1"/>
  <c r="ET49" i="10"/>
  <c r="BG49" i="10" s="1"/>
  <c r="FL49" i="10"/>
  <c r="BY49" i="10" s="1"/>
  <c r="FB49" i="10"/>
  <c r="BO49" i="10" s="1"/>
  <c r="FJ49" i="10"/>
  <c r="BW49" i="10" s="1"/>
  <c r="EH49" i="10"/>
  <c r="AU49" i="10" s="1"/>
  <c r="ER49" i="10"/>
  <c r="BE49" i="10" s="1"/>
  <c r="EC49" i="10"/>
  <c r="AP49" i="10" s="1"/>
  <c r="DT49" i="10"/>
  <c r="AG49" i="10" s="1"/>
  <c r="FF49" i="10"/>
  <c r="BS49" i="10" s="1"/>
  <c r="FH49" i="10"/>
  <c r="BU49" i="10" s="1"/>
  <c r="EO49" i="10"/>
  <c r="BB49" i="10" s="1"/>
  <c r="EG49" i="10"/>
  <c r="AT49" i="10" s="1"/>
  <c r="EL49" i="10"/>
  <c r="AY49" i="10" s="1"/>
  <c r="EX49" i="10"/>
  <c r="BK49" i="10" s="1"/>
  <c r="DL49" i="10"/>
  <c r="Y49" i="10" s="1"/>
  <c r="FK49" i="10"/>
  <c r="BX49" i="10" s="1"/>
  <c r="DO49" i="10"/>
  <c r="AB49" i="10" s="1"/>
  <c r="ED49" i="10"/>
  <c r="AQ49" i="10" s="1"/>
  <c r="EZ49" i="10"/>
  <c r="BM49" i="10" s="1"/>
  <c r="FE49" i="10"/>
  <c r="BR49" i="10" s="1"/>
  <c r="ES49" i="10"/>
  <c r="BF49" i="10" s="1"/>
  <c r="FG49" i="10"/>
  <c r="BT49" i="10" s="1"/>
  <c r="DS49" i="10"/>
  <c r="AF49" i="10" s="1"/>
  <c r="DQ49" i="10"/>
  <c r="AD49" i="10" s="1"/>
  <c r="DZ49" i="10"/>
  <c r="AM49" i="10" s="1"/>
  <c r="EM49" i="10"/>
  <c r="AZ49" i="10" s="1"/>
  <c r="DJ49" i="10"/>
  <c r="W49" i="10" s="1"/>
  <c r="EE49" i="10"/>
  <c r="AR49" i="10" s="1"/>
  <c r="DU49" i="10"/>
  <c r="AH49" i="10" s="1"/>
  <c r="CB49" i="10"/>
  <c r="EJ49" i="10"/>
  <c r="AW49" i="10" s="1"/>
  <c r="DX49" i="10"/>
  <c r="AK49" i="10" s="1"/>
  <c r="CY47" i="10"/>
  <c r="G34" i="39"/>
  <c r="O47" i="10"/>
  <c r="H14" i="24"/>
  <c r="A14" i="24" s="1"/>
  <c r="J75" i="6"/>
  <c r="C30" i="1"/>
  <c r="B192" i="10" s="1"/>
  <c r="B21" i="18"/>
  <c r="N21" i="18"/>
  <c r="N22" i="18"/>
  <c r="C31" i="1"/>
  <c r="B22" i="18"/>
  <c r="GX74" i="7"/>
  <c r="O47" i="28"/>
  <c r="AE45" i="28"/>
  <c r="AE46" i="28"/>
  <c r="H272" i="20"/>
  <c r="O262" i="20" s="1"/>
  <c r="M23" i="6" s="1"/>
  <c r="H126" i="20"/>
  <c r="T19" i="7"/>
  <c r="H21" i="20"/>
  <c r="H129" i="20"/>
  <c r="H22" i="20"/>
  <c r="AK2" i="43"/>
  <c r="B73" i="22"/>
  <c r="N185" i="14"/>
  <c r="P185" i="14"/>
  <c r="O185" i="14"/>
  <c r="F4" i="38"/>
  <c r="E5" i="38" s="1"/>
  <c r="A4" i="38"/>
  <c r="B4" i="38" s="1"/>
  <c r="C4" i="38"/>
  <c r="D175" i="14"/>
  <c r="I86" i="24"/>
  <c r="N86" i="24"/>
  <c r="E55" i="24"/>
  <c r="B55" i="24"/>
  <c r="H55" i="24"/>
  <c r="A55" i="24" s="1"/>
  <c r="R56" i="24"/>
  <c r="C3" i="38"/>
  <c r="A3" i="38"/>
  <c r="B3" i="38" s="1"/>
  <c r="L70" i="22"/>
  <c r="I70" i="22"/>
  <c r="E70" i="22"/>
  <c r="V87" i="24"/>
  <c r="L87" i="24"/>
  <c r="J87" i="24"/>
  <c r="P87" i="24"/>
  <c r="J123" i="33"/>
  <c r="L71" i="22"/>
  <c r="E71" i="22"/>
  <c r="I71" i="22"/>
  <c r="J39" i="24"/>
  <c r="P39" i="24"/>
  <c r="I39" i="24" s="1"/>
  <c r="L39" i="24"/>
  <c r="I72" i="22"/>
  <c r="E72" i="22"/>
  <c r="L72" i="22"/>
  <c r="V39" i="24"/>
  <c r="U40" i="24" s="1"/>
  <c r="E7" i="42"/>
  <c r="F7" i="42" s="1"/>
  <c r="B61" i="14"/>
  <c r="M61" i="14" s="1"/>
  <c r="C50" i="40" s="1"/>
  <c r="E50" i="40" s="1"/>
  <c r="BQ61" i="14"/>
  <c r="CA61" i="14" s="1"/>
  <c r="A50" i="40"/>
  <c r="BX61" i="14"/>
  <c r="P61" i="14"/>
  <c r="C61" i="14"/>
  <c r="BT61" i="14" s="1"/>
  <c r="CB61" i="14"/>
  <c r="BV61" i="14" s="1"/>
  <c r="BP61" i="14"/>
  <c r="CG61" i="14"/>
  <c r="K82" i="24"/>
  <c r="BR38" i="14"/>
  <c r="CC38" i="14"/>
  <c r="BR61" i="14"/>
  <c r="D61" i="14" s="1"/>
  <c r="CC61" i="14"/>
  <c r="BR13" i="14"/>
  <c r="CC13" i="14"/>
  <c r="A39" i="33"/>
  <c r="AF40" i="33"/>
  <c r="C38" i="33"/>
  <c r="FM28" i="7" s="1"/>
  <c r="FN28" i="7" s="1"/>
  <c r="FE28" i="7" s="1"/>
  <c r="AL38" i="33"/>
  <c r="AC38" i="33"/>
  <c r="C47" i="28"/>
  <c r="AB47" i="28" s="1"/>
  <c r="B47" i="28"/>
  <c r="X46" i="28"/>
  <c r="X45" i="28"/>
  <c r="AD47" i="28"/>
  <c r="T47" i="28"/>
  <c r="S47" i="28" s="1"/>
  <c r="Q47" i="28"/>
  <c r="R47" i="28" s="1"/>
  <c r="AC47" i="28"/>
  <c r="Z47" i="28"/>
  <c r="A48" i="28" s="1"/>
  <c r="H47" i="28"/>
  <c r="P47" i="28"/>
  <c r="AG47" i="28"/>
  <c r="AH45" i="28"/>
  <c r="AH46" i="28"/>
  <c r="O197" i="10"/>
  <c r="B161" i="39" s="1"/>
  <c r="C112" i="24"/>
  <c r="A39" i="14"/>
  <c r="G180" i="39"/>
  <c r="AL197" i="10"/>
  <c r="A114" i="24"/>
  <c r="CE62" i="14"/>
  <c r="A63" i="14" s="1"/>
  <c r="CB62" i="14"/>
  <c r="BV62" i="14" s="1"/>
  <c r="BQ62" i="14"/>
  <c r="A51" i="40"/>
  <c r="B62" i="14"/>
  <c r="C62" i="14"/>
  <c r="BP62" i="14"/>
  <c r="P62" i="14"/>
  <c r="BX62" i="14"/>
  <c r="CG62" i="14"/>
  <c r="CN197" i="10"/>
  <c r="B198" i="10"/>
  <c r="CG204" i="10"/>
  <c r="BO204" i="10"/>
  <c r="A205" i="10"/>
  <c r="BQ206" i="10"/>
  <c r="CH199" i="10"/>
  <c r="EF199" i="10"/>
  <c r="BW199" i="10"/>
  <c r="BN200" i="10"/>
  <c r="AG29" i="23"/>
  <c r="B29" i="23"/>
  <c r="C24" i="34"/>
  <c r="D25" i="34" s="1"/>
  <c r="Z28" i="23"/>
  <c r="M28" i="23"/>
  <c r="Y28" i="23"/>
  <c r="AD28" i="23"/>
  <c r="S28" i="23"/>
  <c r="O28" i="23"/>
  <c r="I28" i="23"/>
  <c r="V28" i="23"/>
  <c r="E28" i="23"/>
  <c r="BY200" i="10"/>
  <c r="DD34" i="10"/>
  <c r="DE38" i="10"/>
  <c r="GW75" i="7"/>
  <c r="GU76" i="7"/>
  <c r="DD104" i="10"/>
  <c r="GV76" i="7"/>
  <c r="DE133" i="10"/>
  <c r="DD127" i="10"/>
  <c r="BX200" i="10"/>
  <c r="G200" i="10"/>
  <c r="C199" i="10"/>
  <c r="F200" i="10"/>
  <c r="F161" i="7" l="1"/>
  <c r="F164" i="7"/>
  <c r="F160" i="7"/>
  <c r="F159" i="7"/>
  <c r="F157" i="7"/>
  <c r="F158" i="7"/>
  <c r="F163" i="7"/>
  <c r="B162" i="10" s="1"/>
  <c r="F162" i="7"/>
  <c r="F171" i="7"/>
  <c r="F168" i="7"/>
  <c r="F167" i="7"/>
  <c r="F169" i="7"/>
  <c r="F166" i="7"/>
  <c r="B163" i="10" s="1"/>
  <c r="F165" i="7"/>
  <c r="F170" i="7"/>
  <c r="CZ75" i="10"/>
  <c r="CZ47" i="10"/>
  <c r="CZ49" i="10"/>
  <c r="CZ57" i="10"/>
  <c r="CZ45" i="10"/>
  <c r="A41" i="1"/>
  <c r="AM2" i="43"/>
  <c r="B44" i="39"/>
  <c r="AS86" i="33"/>
  <c r="AN86" i="33"/>
  <c r="AQ86" i="33"/>
  <c r="AS63" i="33"/>
  <c r="AN63" i="33"/>
  <c r="AQ63" i="33"/>
  <c r="AS84" i="33"/>
  <c r="AQ84" i="33"/>
  <c r="AN84" i="33"/>
  <c r="AQ74" i="33"/>
  <c r="AN74" i="33"/>
  <c r="AS74" i="33"/>
  <c r="AN52" i="33"/>
  <c r="AS52" i="33"/>
  <c r="AQ52" i="33"/>
  <c r="AS65" i="33"/>
  <c r="AQ65" i="33"/>
  <c r="AN65" i="33"/>
  <c r="AS55" i="33"/>
  <c r="AQ55" i="33"/>
  <c r="AN55" i="33"/>
  <c r="AN75" i="33"/>
  <c r="AQ75" i="33"/>
  <c r="AS75" i="33"/>
  <c r="AS42" i="33"/>
  <c r="AN42" i="33"/>
  <c r="AQ42" i="33"/>
  <c r="AS47" i="33"/>
  <c r="AN47" i="33"/>
  <c r="AQ47" i="33"/>
  <c r="AN71" i="33"/>
  <c r="AQ71" i="33"/>
  <c r="AS71" i="33"/>
  <c r="AS95" i="33"/>
  <c r="AN95" i="33"/>
  <c r="AQ95" i="33"/>
  <c r="AN39" i="33"/>
  <c r="AS39" i="33"/>
  <c r="AQ39" i="33"/>
  <c r="AS92" i="33"/>
  <c r="AQ92" i="33"/>
  <c r="AN92" i="33"/>
  <c r="AN43" i="33"/>
  <c r="AQ43" i="33"/>
  <c r="AS43" i="33"/>
  <c r="AS69" i="33"/>
  <c r="AQ69" i="33"/>
  <c r="AN69" i="33"/>
  <c r="AS78" i="33"/>
  <c r="AQ78" i="33"/>
  <c r="AN78" i="33"/>
  <c r="O29" i="1"/>
  <c r="I2" i="43"/>
  <c r="M37" i="1"/>
  <c r="AN30" i="3"/>
  <c r="AM30" i="3" s="1"/>
  <c r="K29" i="1"/>
  <c r="O30" i="1"/>
  <c r="B60" i="39"/>
  <c r="CZ42" i="10"/>
  <c r="CZ52" i="10"/>
  <c r="V24" i="33"/>
  <c r="AT24" i="33"/>
  <c r="AO24" i="33"/>
  <c r="AP24" i="33"/>
  <c r="V25" i="33"/>
  <c r="AT25" i="33"/>
  <c r="AP25" i="33"/>
  <c r="AO25" i="33"/>
  <c r="V33" i="33"/>
  <c r="AP33" i="33"/>
  <c r="AO33" i="33"/>
  <c r="AT33" i="33"/>
  <c r="AP31" i="33"/>
  <c r="AT31" i="33"/>
  <c r="AO31" i="33"/>
  <c r="V31" i="33"/>
  <c r="V29" i="33"/>
  <c r="AT29" i="33"/>
  <c r="AO29" i="33"/>
  <c r="AP29" i="33"/>
  <c r="AB53" i="33"/>
  <c r="Y53" i="33"/>
  <c r="AE53" i="33"/>
  <c r="O55" i="3" s="1"/>
  <c r="AB83" i="33"/>
  <c r="AE83" i="33"/>
  <c r="C64" i="41" s="1"/>
  <c r="A64" i="41" s="1"/>
  <c r="Y83" i="33"/>
  <c r="Y66" i="33"/>
  <c r="AE66" i="33"/>
  <c r="AB66" i="33"/>
  <c r="AB98" i="33"/>
  <c r="Y98" i="33"/>
  <c r="AE98" i="33"/>
  <c r="AE85" i="33"/>
  <c r="Y85" i="33"/>
  <c r="AB85" i="33"/>
  <c r="J78" i="33"/>
  <c r="J77" i="33"/>
  <c r="Y101" i="33"/>
  <c r="AE101" i="33"/>
  <c r="AB101" i="33"/>
  <c r="AE57" i="33"/>
  <c r="C63" i="41" s="1"/>
  <c r="A63" i="41" s="1"/>
  <c r="AB57" i="33"/>
  <c r="Y57" i="33"/>
  <c r="Y71" i="33"/>
  <c r="AB71" i="33"/>
  <c r="AE71" i="33"/>
  <c r="AB60" i="33"/>
  <c r="AE60" i="33"/>
  <c r="Y60" i="33"/>
  <c r="Y87" i="33"/>
  <c r="AE87" i="33"/>
  <c r="C65" i="41" s="1"/>
  <c r="A65" i="41" s="1"/>
  <c r="AB87" i="33"/>
  <c r="AE103" i="33"/>
  <c r="AB103" i="33"/>
  <c r="Y103" i="33"/>
  <c r="Y111" i="33"/>
  <c r="AB111" i="33"/>
  <c r="AE111" i="33"/>
  <c r="AB99" i="33"/>
  <c r="AE99" i="33"/>
  <c r="Y99" i="33"/>
  <c r="AE97" i="33"/>
  <c r="AB97" i="33"/>
  <c r="Y97" i="33"/>
  <c r="AB96" i="33"/>
  <c r="AE96" i="33"/>
  <c r="Y96" i="33"/>
  <c r="AZ35" i="18"/>
  <c r="AQ35" i="18"/>
  <c r="BC35" i="18"/>
  <c r="AI35" i="18"/>
  <c r="T35" i="18"/>
  <c r="Y35" i="18"/>
  <c r="AN35" i="18"/>
  <c r="AD35" i="18"/>
  <c r="W35" i="18"/>
  <c r="AH35" i="18"/>
  <c r="AX35" i="18"/>
  <c r="AY35" i="18"/>
  <c r="AO35" i="18"/>
  <c r="AL35" i="18"/>
  <c r="X35" i="18"/>
  <c r="AE35" i="18"/>
  <c r="AJ35" i="18"/>
  <c r="AS35" i="18"/>
  <c r="S35" i="18"/>
  <c r="BA35" i="18"/>
  <c r="U35" i="18"/>
  <c r="AU35" i="18"/>
  <c r="Z35" i="18"/>
  <c r="AG35" i="18"/>
  <c r="AC35" i="18"/>
  <c r="AT35" i="18"/>
  <c r="AF35" i="18"/>
  <c r="BE35" i="18"/>
  <c r="AW35" i="18"/>
  <c r="AP35" i="18"/>
  <c r="AM35" i="18"/>
  <c r="AA35" i="18"/>
  <c r="AR35" i="18"/>
  <c r="AV35" i="18"/>
  <c r="BB35" i="18"/>
  <c r="V35" i="18"/>
  <c r="AB35" i="18"/>
  <c r="R24" i="18"/>
  <c r="AG24" i="18"/>
  <c r="AY24" i="18"/>
  <c r="AQ24" i="18"/>
  <c r="AE24" i="18"/>
  <c r="AD24" i="18"/>
  <c r="BI24" i="18"/>
  <c r="BC24" i="18"/>
  <c r="BJ24" i="18"/>
  <c r="V24" i="18"/>
  <c r="T24" i="18"/>
  <c r="AJ24" i="18"/>
  <c r="P24" i="18"/>
  <c r="Y24" i="18"/>
  <c r="AK24" i="18"/>
  <c r="W24" i="18"/>
  <c r="AR24" i="18"/>
  <c r="AX24" i="18"/>
  <c r="H24" i="18"/>
  <c r="D33" i="1" s="1"/>
  <c r="AV24" i="18"/>
  <c r="AN24" i="18"/>
  <c r="AF24" i="18"/>
  <c r="Z24" i="18"/>
  <c r="AU24" i="18"/>
  <c r="BB24" i="18"/>
  <c r="AT24" i="18"/>
  <c r="BD24" i="18"/>
  <c r="X24" i="18"/>
  <c r="AA24" i="18"/>
  <c r="BE24" i="18"/>
  <c r="AW24" i="18"/>
  <c r="AL24" i="18"/>
  <c r="AI24" i="18"/>
  <c r="BF24" i="18"/>
  <c r="AP24" i="18"/>
  <c r="AC24" i="18"/>
  <c r="BG24" i="18"/>
  <c r="U24" i="18"/>
  <c r="S24" i="18"/>
  <c r="BK24" i="18"/>
  <c r="AZ24" i="18"/>
  <c r="AH24" i="18"/>
  <c r="BH24" i="18"/>
  <c r="AB24" i="18"/>
  <c r="AS24" i="18"/>
  <c r="Q24" i="18"/>
  <c r="AO24" i="18"/>
  <c r="O24" i="18"/>
  <c r="BA24" i="18"/>
  <c r="R2" i="43"/>
  <c r="C51" i="3"/>
  <c r="DO174" i="7"/>
  <c r="DO89" i="7"/>
  <c r="DO215" i="7"/>
  <c r="DO241" i="7"/>
  <c r="DO199" i="7"/>
  <c r="DO222" i="7"/>
  <c r="DO48" i="7"/>
  <c r="DO293" i="7"/>
  <c r="DO109" i="7"/>
  <c r="DO114" i="7"/>
  <c r="DO74" i="7"/>
  <c r="DO243" i="7"/>
  <c r="DO262" i="7"/>
  <c r="DO179" i="7"/>
  <c r="DN342" i="7"/>
  <c r="DO39" i="7"/>
  <c r="DO139" i="7"/>
  <c r="DO130" i="7"/>
  <c r="DO6" i="7"/>
  <c r="DO232" i="7"/>
  <c r="DO49" i="7"/>
  <c r="DO90" i="7"/>
  <c r="DO173" i="7"/>
  <c r="BU163" i="14"/>
  <c r="BT163" i="14"/>
  <c r="B151" i="40"/>
  <c r="DO125" i="7"/>
  <c r="T181" i="14"/>
  <c r="BU170" i="14"/>
  <c r="BT170" i="14"/>
  <c r="B158" i="40"/>
  <c r="DO126" i="7"/>
  <c r="DO288" i="7"/>
  <c r="DO26" i="7"/>
  <c r="DO236" i="7"/>
  <c r="DO246" i="7"/>
  <c r="DO325" i="7"/>
  <c r="DO60" i="7"/>
  <c r="DO136" i="7"/>
  <c r="DO172" i="7"/>
  <c r="DO116" i="7"/>
  <c r="DO169" i="7"/>
  <c r="DO153" i="7"/>
  <c r="DO290" i="7"/>
  <c r="DO43" i="7"/>
  <c r="DO95" i="7"/>
  <c r="DO282" i="7"/>
  <c r="DN349" i="7"/>
  <c r="DO249" i="7"/>
  <c r="DO87" i="7"/>
  <c r="DO185" i="7"/>
  <c r="DO316" i="7"/>
  <c r="DO65" i="7"/>
  <c r="AA9" i="7"/>
  <c r="X240" i="14"/>
  <c r="DO22" i="7"/>
  <c r="DO268" i="7"/>
  <c r="DO37" i="7"/>
  <c r="DO321" i="7"/>
  <c r="DO31" i="7"/>
  <c r="DO245" i="7"/>
  <c r="DO300" i="7"/>
  <c r="DO335" i="7"/>
  <c r="DO291" i="7"/>
  <c r="DO194" i="7"/>
  <c r="G60" i="22"/>
  <c r="G80" i="23"/>
  <c r="DO331" i="7"/>
  <c r="DO338" i="7"/>
  <c r="DO81" i="7"/>
  <c r="DO208" i="7"/>
  <c r="DO77" i="7"/>
  <c r="DO86" i="7"/>
  <c r="DO124" i="7"/>
  <c r="DO242" i="7"/>
  <c r="DO159" i="7"/>
  <c r="DN346" i="7"/>
  <c r="DO283" i="7"/>
  <c r="DO64" i="7"/>
  <c r="DO297" i="7"/>
  <c r="DO330" i="7"/>
  <c r="DO313" i="7"/>
  <c r="DO204" i="7"/>
  <c r="DO306" i="7"/>
  <c r="DO238" i="7"/>
  <c r="DO66" i="7"/>
  <c r="DO38" i="7"/>
  <c r="DO94" i="7"/>
  <c r="DO27" i="7"/>
  <c r="DO152" i="7"/>
  <c r="DO303" i="7"/>
  <c r="DO15" i="7"/>
  <c r="DO111" i="7"/>
  <c r="DO162" i="7"/>
  <c r="DO315" i="7"/>
  <c r="DO52" i="7"/>
  <c r="DO274" i="7"/>
  <c r="DO272" i="7"/>
  <c r="DO104" i="7"/>
  <c r="DO14" i="7"/>
  <c r="FM24" i="7"/>
  <c r="FN24" i="7" s="1"/>
  <c r="FE24" i="7" s="1"/>
  <c r="J34" i="33"/>
  <c r="AX38" i="18"/>
  <c r="AJ38" i="18"/>
  <c r="Z38" i="18"/>
  <c r="AB38" i="18"/>
  <c r="T38" i="18"/>
  <c r="S38" i="18"/>
  <c r="AN38" i="18"/>
  <c r="AH38" i="18"/>
  <c r="AU38" i="18"/>
  <c r="AA38" i="18"/>
  <c r="AG38" i="18"/>
  <c r="W38" i="18"/>
  <c r="AY38" i="18"/>
  <c r="V38" i="18"/>
  <c r="BE38" i="18"/>
  <c r="Y38" i="18"/>
  <c r="BB38" i="18"/>
  <c r="U38" i="18"/>
  <c r="BC38" i="18"/>
  <c r="AE38" i="18"/>
  <c r="AV38" i="18"/>
  <c r="AO38" i="18"/>
  <c r="AD38" i="18"/>
  <c r="BA38" i="18"/>
  <c r="AF38" i="18"/>
  <c r="AM38" i="18"/>
  <c r="X38" i="18"/>
  <c r="AT38" i="18"/>
  <c r="AR38" i="18"/>
  <c r="AP38" i="18"/>
  <c r="AS38" i="18"/>
  <c r="AQ38" i="18"/>
  <c r="N38" i="18"/>
  <c r="AI38" i="18"/>
  <c r="AZ38" i="18"/>
  <c r="AL38" i="18"/>
  <c r="AW38" i="18"/>
  <c r="AC38" i="18"/>
  <c r="T27" i="18"/>
  <c r="AA27" i="18"/>
  <c r="AO27" i="18"/>
  <c r="AT27" i="18"/>
  <c r="AF27" i="18"/>
  <c r="BE27" i="18"/>
  <c r="AN27" i="18"/>
  <c r="AW27" i="18"/>
  <c r="AU27" i="18"/>
  <c r="AZ27" i="18"/>
  <c r="AH27" i="18"/>
  <c r="BD27" i="18"/>
  <c r="BG27" i="18"/>
  <c r="H27" i="18"/>
  <c r="AQ27" i="18"/>
  <c r="AX27" i="18"/>
  <c r="AE27" i="18"/>
  <c r="R27" i="18"/>
  <c r="AG27" i="18"/>
  <c r="U27" i="18"/>
  <c r="AL27" i="18"/>
  <c r="BB27" i="18"/>
  <c r="O27" i="18"/>
  <c r="Q27" i="18"/>
  <c r="AB27" i="18"/>
  <c r="BA27" i="18"/>
  <c r="BI27" i="18"/>
  <c r="AJ27" i="18"/>
  <c r="AK27" i="18"/>
  <c r="BH27" i="18"/>
  <c r="X27" i="18"/>
  <c r="V27" i="18"/>
  <c r="AP27" i="18"/>
  <c r="AV27" i="18"/>
  <c r="AY27" i="18"/>
  <c r="S27" i="18"/>
  <c r="Z27" i="18"/>
  <c r="BC27" i="18"/>
  <c r="Y27" i="18"/>
  <c r="AS27" i="18"/>
  <c r="AC27" i="18"/>
  <c r="P27" i="18"/>
  <c r="BJ27" i="18"/>
  <c r="BF27" i="18"/>
  <c r="W27" i="18"/>
  <c r="AD27" i="18"/>
  <c r="BK27" i="18"/>
  <c r="AR27" i="18"/>
  <c r="AI27" i="18"/>
  <c r="B39" i="39"/>
  <c r="AE117" i="33"/>
  <c r="AB117" i="33"/>
  <c r="Y117" i="33"/>
  <c r="X103" i="20"/>
  <c r="Y103" i="20"/>
  <c r="Z104" i="20"/>
  <c r="AU37" i="18"/>
  <c r="AP37" i="18"/>
  <c r="AG37" i="18"/>
  <c r="AB37" i="18"/>
  <c r="AJ37" i="18"/>
  <c r="AT37" i="18"/>
  <c r="BE37" i="18"/>
  <c r="W37" i="18"/>
  <c r="T37" i="18"/>
  <c r="AE37" i="18"/>
  <c r="Z37" i="18"/>
  <c r="Y37" i="18"/>
  <c r="AX37" i="18"/>
  <c r="BA37" i="18"/>
  <c r="AY37" i="18"/>
  <c r="AN37" i="18"/>
  <c r="AD37" i="18"/>
  <c r="AC37" i="18"/>
  <c r="AL37" i="18"/>
  <c r="AO37" i="18"/>
  <c r="AZ37" i="18"/>
  <c r="AQ37" i="18"/>
  <c r="X37" i="18"/>
  <c r="V37" i="18"/>
  <c r="AI37" i="18"/>
  <c r="AF37" i="18"/>
  <c r="BB37" i="18"/>
  <c r="AR37" i="18"/>
  <c r="BC37" i="18"/>
  <c r="AM37" i="18"/>
  <c r="U37" i="18"/>
  <c r="AW37" i="18"/>
  <c r="S37" i="18"/>
  <c r="AV37" i="18"/>
  <c r="AH37" i="18"/>
  <c r="AS37" i="18"/>
  <c r="AA37" i="18"/>
  <c r="AD42" i="18"/>
  <c r="W42" i="18"/>
  <c r="AX42" i="18"/>
  <c r="AU42" i="18"/>
  <c r="T42" i="18"/>
  <c r="Y42" i="18"/>
  <c r="BB42" i="18"/>
  <c r="AZ42" i="18"/>
  <c r="AY42" i="18"/>
  <c r="AA42" i="18"/>
  <c r="V42" i="18"/>
  <c r="AG42" i="18"/>
  <c r="AH42" i="18"/>
  <c r="AQ42" i="18"/>
  <c r="AW42" i="18"/>
  <c r="AJ42" i="18"/>
  <c r="AO42" i="18"/>
  <c r="AB42" i="18"/>
  <c r="AC42" i="18"/>
  <c r="AN42" i="18"/>
  <c r="U42" i="18"/>
  <c r="AE42" i="18"/>
  <c r="AR42" i="18"/>
  <c r="AM42" i="18"/>
  <c r="BC42" i="18"/>
  <c r="AL42" i="18"/>
  <c r="AS42" i="18"/>
  <c r="Z42" i="18"/>
  <c r="BA42" i="18"/>
  <c r="AT42" i="18"/>
  <c r="BE42" i="18"/>
  <c r="AV42" i="18"/>
  <c r="AI42" i="18"/>
  <c r="X42" i="18"/>
  <c r="S42" i="18"/>
  <c r="AP42" i="18"/>
  <c r="AF42" i="18"/>
  <c r="AN50" i="33"/>
  <c r="AS50" i="33"/>
  <c r="AQ50" i="33"/>
  <c r="AN81" i="33"/>
  <c r="AQ81" i="33"/>
  <c r="AS81" i="33"/>
  <c r="B174" i="14" s="1"/>
  <c r="AS90" i="33"/>
  <c r="AQ90" i="33"/>
  <c r="AN90" i="33"/>
  <c r="AS93" i="33"/>
  <c r="AQ93" i="33"/>
  <c r="AN93" i="33"/>
  <c r="AS87" i="33"/>
  <c r="AN87" i="33"/>
  <c r="AQ87" i="33"/>
  <c r="AS38" i="33"/>
  <c r="AN38" i="33"/>
  <c r="AQ38" i="33"/>
  <c r="AS49" i="33"/>
  <c r="AQ49" i="33"/>
  <c r="AN49" i="33"/>
  <c r="AN94" i="33"/>
  <c r="AS94" i="33"/>
  <c r="AQ94" i="33"/>
  <c r="AS62" i="33"/>
  <c r="AQ62" i="33"/>
  <c r="AN62" i="33"/>
  <c r="AS41" i="33"/>
  <c r="AN41" i="33"/>
  <c r="AQ41" i="33"/>
  <c r="AS91" i="33"/>
  <c r="AQ91" i="33"/>
  <c r="AN91" i="33"/>
  <c r="AN53" i="33"/>
  <c r="AS53" i="33"/>
  <c r="AQ53" i="33"/>
  <c r="AS60" i="33"/>
  <c r="AN60" i="33"/>
  <c r="AQ60" i="33"/>
  <c r="AQ80" i="33"/>
  <c r="AS80" i="33"/>
  <c r="AN80" i="33"/>
  <c r="AQ79" i="33"/>
  <c r="AN79" i="33"/>
  <c r="AS79" i="33"/>
  <c r="AS46" i="33"/>
  <c r="AN46" i="33"/>
  <c r="AQ46" i="33"/>
  <c r="AN45" i="33"/>
  <c r="AQ45" i="33"/>
  <c r="AS45" i="33"/>
  <c r="V33" i="18"/>
  <c r="BC33" i="18"/>
  <c r="AE33" i="18"/>
  <c r="AX33" i="18"/>
  <c r="AS33" i="18"/>
  <c r="X33" i="18"/>
  <c r="AY33" i="18"/>
  <c r="Z33" i="18"/>
  <c r="AP33" i="18"/>
  <c r="AW33" i="18"/>
  <c r="AJ33" i="18"/>
  <c r="AQ33" i="18"/>
  <c r="AG33" i="18"/>
  <c r="Y33" i="18"/>
  <c r="AR33" i="18"/>
  <c r="AU33" i="18"/>
  <c r="AB33" i="18"/>
  <c r="AD33" i="18"/>
  <c r="N33" i="18"/>
  <c r="G55" i="3" s="1"/>
  <c r="AI33" i="18"/>
  <c r="AL33" i="18"/>
  <c r="AF33" i="18"/>
  <c r="W33" i="18"/>
  <c r="BB33" i="18"/>
  <c r="AA33" i="18"/>
  <c r="AO33" i="18"/>
  <c r="AH33" i="18"/>
  <c r="BA33" i="18"/>
  <c r="AN33" i="18"/>
  <c r="AT33" i="18"/>
  <c r="S33" i="18"/>
  <c r="U33" i="18"/>
  <c r="T33" i="18"/>
  <c r="AC33" i="18"/>
  <c r="BE33" i="18"/>
  <c r="AZ33" i="18"/>
  <c r="AM33" i="18"/>
  <c r="AV33" i="18"/>
  <c r="BC34" i="18"/>
  <c r="BB34" i="18"/>
  <c r="X34" i="18"/>
  <c r="W34" i="18"/>
  <c r="AF34" i="18"/>
  <c r="AI34" i="18"/>
  <c r="AT34" i="18"/>
  <c r="AA34" i="18"/>
  <c r="AE34" i="18"/>
  <c r="AG34" i="18"/>
  <c r="BE34" i="18"/>
  <c r="AV34" i="18"/>
  <c r="V34" i="18"/>
  <c r="AY34" i="18"/>
  <c r="Z34" i="18"/>
  <c r="AO34" i="18"/>
  <c r="BA34" i="18"/>
  <c r="AB34" i="18"/>
  <c r="T34" i="18"/>
  <c r="N34" i="18"/>
  <c r="AX34" i="18"/>
  <c r="AJ34" i="18"/>
  <c r="AC34" i="18"/>
  <c r="AL34" i="18"/>
  <c r="AM34" i="18"/>
  <c r="AR34" i="18"/>
  <c r="AD34" i="18"/>
  <c r="AN34" i="18"/>
  <c r="AU34" i="18"/>
  <c r="Y34" i="18"/>
  <c r="S34" i="18"/>
  <c r="U34" i="18"/>
  <c r="AZ34" i="18"/>
  <c r="AW34" i="18"/>
  <c r="AS34" i="18"/>
  <c r="AH34" i="18"/>
  <c r="AP34" i="18"/>
  <c r="AQ34" i="18"/>
  <c r="BH26" i="18"/>
  <c r="V26" i="18"/>
  <c r="AZ26" i="18"/>
  <c r="AJ26" i="18"/>
  <c r="Y26" i="18"/>
  <c r="AX26" i="18"/>
  <c r="AP26" i="18"/>
  <c r="BI26" i="18"/>
  <c r="AQ26" i="18"/>
  <c r="AL26" i="18"/>
  <c r="AR26" i="18"/>
  <c r="P26" i="18"/>
  <c r="BE26" i="18"/>
  <c r="AB26" i="18"/>
  <c r="BJ26" i="18"/>
  <c r="BD26" i="18"/>
  <c r="T26" i="18"/>
  <c r="AW26" i="18"/>
  <c r="O26" i="18"/>
  <c r="AK26" i="18"/>
  <c r="BB26" i="18"/>
  <c r="AH26" i="18"/>
  <c r="AU26" i="18"/>
  <c r="AI26" i="18"/>
  <c r="AO26" i="18"/>
  <c r="U26" i="18"/>
  <c r="BC26" i="18"/>
  <c r="BA26" i="18"/>
  <c r="AC26" i="18"/>
  <c r="S26" i="18"/>
  <c r="BK26" i="18"/>
  <c r="W26" i="18"/>
  <c r="AY26" i="18"/>
  <c r="AA26" i="18"/>
  <c r="Z26" i="18"/>
  <c r="AN26" i="18"/>
  <c r="H26" i="18"/>
  <c r="AG26" i="18"/>
  <c r="R26" i="18"/>
  <c r="AT26" i="18"/>
  <c r="X26" i="18"/>
  <c r="AF26" i="18"/>
  <c r="AE26" i="18"/>
  <c r="Q26" i="18"/>
  <c r="BF26" i="18"/>
  <c r="AV26" i="18"/>
  <c r="BG26" i="18"/>
  <c r="AS26" i="18"/>
  <c r="AD26" i="18"/>
  <c r="J17" i="24"/>
  <c r="P17" i="24"/>
  <c r="I17" i="24" s="1"/>
  <c r="V17" i="24"/>
  <c r="L17" i="24"/>
  <c r="AT26" i="33"/>
  <c r="AP26" i="33"/>
  <c r="V26" i="33"/>
  <c r="AO26" i="33"/>
  <c r="AP30" i="33"/>
  <c r="AO30" i="33"/>
  <c r="AT30" i="33"/>
  <c r="V30" i="33"/>
  <c r="AO17" i="33"/>
  <c r="AT17" i="33"/>
  <c r="V17" i="33"/>
  <c r="AP17" i="33"/>
  <c r="AY18" i="33"/>
  <c r="AP32" i="33"/>
  <c r="AO32" i="33"/>
  <c r="AS32" i="33"/>
  <c r="V32" i="33"/>
  <c r="AT32" i="33"/>
  <c r="AO20" i="33"/>
  <c r="AT20" i="33"/>
  <c r="V20" i="33"/>
  <c r="AP20" i="33"/>
  <c r="AT27" i="33"/>
  <c r="AS27" i="33"/>
  <c r="AE100" i="33"/>
  <c r="Y100" i="33"/>
  <c r="AB100" i="33"/>
  <c r="AE88" i="33"/>
  <c r="C66" i="41" s="1"/>
  <c r="A66" i="41" s="1"/>
  <c r="AB88" i="33"/>
  <c r="Y88" i="33"/>
  <c r="AB54" i="33"/>
  <c r="AE54" i="33"/>
  <c r="Y54" i="33"/>
  <c r="AE70" i="33"/>
  <c r="Y70" i="33"/>
  <c r="AB70" i="33"/>
  <c r="AB67" i="33"/>
  <c r="AE67" i="33"/>
  <c r="Y67" i="33"/>
  <c r="AE81" i="33"/>
  <c r="AB81" i="33"/>
  <c r="Y81" i="33"/>
  <c r="AE55" i="33"/>
  <c r="C61" i="41" s="1"/>
  <c r="A61" i="41" s="1"/>
  <c r="AB55" i="33"/>
  <c r="Y55" i="33"/>
  <c r="AE84" i="33"/>
  <c r="AB84" i="33"/>
  <c r="Y84" i="33"/>
  <c r="AE63" i="33"/>
  <c r="AB63" i="33"/>
  <c r="Y63" i="33"/>
  <c r="AB92" i="33"/>
  <c r="AE92" i="33"/>
  <c r="Y92" i="33"/>
  <c r="AE58" i="33"/>
  <c r="AB58" i="33"/>
  <c r="Y58" i="33"/>
  <c r="AB69" i="33"/>
  <c r="Y69" i="33"/>
  <c r="AE69" i="33"/>
  <c r="Y56" i="33"/>
  <c r="AB56" i="33"/>
  <c r="AE56" i="33"/>
  <c r="C62" i="41" s="1"/>
  <c r="A62" i="41" s="1"/>
  <c r="AE93" i="33"/>
  <c r="C70" i="41" s="1"/>
  <c r="A70" i="41" s="1"/>
  <c r="Y93" i="33"/>
  <c r="AB93" i="33"/>
  <c r="AE76" i="33"/>
  <c r="Y76" i="33"/>
  <c r="AB76" i="33"/>
  <c r="BC23" i="18"/>
  <c r="BB23" i="18"/>
  <c r="BE23" i="18"/>
  <c r="BI23" i="18"/>
  <c r="BK23" i="18"/>
  <c r="AU23" i="18"/>
  <c r="BJ23" i="18"/>
  <c r="BH23" i="18"/>
  <c r="BD23" i="18"/>
  <c r="AS23" i="18"/>
  <c r="AQ23" i="18"/>
  <c r="AO23" i="18"/>
  <c r="BF23" i="18"/>
  <c r="BA23" i="18"/>
  <c r="H23" i="18"/>
  <c r="D32" i="1" s="1"/>
  <c r="AY23" i="18"/>
  <c r="AN23" i="18"/>
  <c r="BG23" i="18"/>
  <c r="AP23" i="18"/>
  <c r="AT23" i="18"/>
  <c r="AX23" i="18"/>
  <c r="AR23" i="18"/>
  <c r="AV23" i="18"/>
  <c r="AW23" i="18"/>
  <c r="AZ23" i="18"/>
  <c r="BU174" i="14"/>
  <c r="B161" i="40"/>
  <c r="BT174" i="14"/>
  <c r="B160" i="40"/>
  <c r="BT172" i="14"/>
  <c r="BU172" i="14"/>
  <c r="B157" i="40"/>
  <c r="BU169" i="14"/>
  <c r="BT169" i="14"/>
  <c r="K214" i="14"/>
  <c r="K223" i="14"/>
  <c r="K213" i="14"/>
  <c r="K211" i="14"/>
  <c r="K224" i="14"/>
  <c r="K216" i="14"/>
  <c r="K221" i="14"/>
  <c r="K210" i="14"/>
  <c r="K219" i="14"/>
  <c r="K222" i="14"/>
  <c r="K217" i="14"/>
  <c r="K212" i="14"/>
  <c r="K218" i="14"/>
  <c r="K215" i="14"/>
  <c r="K220" i="14"/>
  <c r="K225" i="14"/>
  <c r="BI204" i="14"/>
  <c r="B203" i="14"/>
  <c r="DO128" i="7"/>
  <c r="DO340" i="7"/>
  <c r="DO202" i="7"/>
  <c r="DO146" i="7"/>
  <c r="DO166" i="7"/>
  <c r="DO177" i="7"/>
  <c r="DO221" i="7"/>
  <c r="DO302" i="7"/>
  <c r="DO61" i="7"/>
  <c r="DO239" i="7"/>
  <c r="DO56" i="7"/>
  <c r="DO54" i="7"/>
  <c r="DN347" i="7"/>
  <c r="DO189" i="7"/>
  <c r="DO163" i="7"/>
  <c r="DO147" i="7"/>
  <c r="DO209" i="7"/>
  <c r="DO337" i="7"/>
  <c r="DO51" i="7"/>
  <c r="DO133" i="7"/>
  <c r="DO311" i="7"/>
  <c r="DO230" i="7"/>
  <c r="DO46" i="7"/>
  <c r="DN341" i="7"/>
  <c r="DO3" i="7"/>
  <c r="DO105" i="7"/>
  <c r="DO75" i="7"/>
  <c r="DO193" i="7"/>
  <c r="DO237" i="7"/>
  <c r="DO176" i="7"/>
  <c r="DO143" i="7"/>
  <c r="DO110" i="7"/>
  <c r="DO192" i="7"/>
  <c r="DO317" i="7"/>
  <c r="DO101" i="7"/>
  <c r="DN343" i="7"/>
  <c r="DO69" i="7"/>
  <c r="DO21" i="7"/>
  <c r="DO155" i="7"/>
  <c r="DO8" i="7"/>
  <c r="DO10" i="7"/>
  <c r="DO102" i="7"/>
  <c r="DO33" i="7"/>
  <c r="DO178" i="7"/>
  <c r="BT175" i="14"/>
  <c r="BU175" i="14"/>
  <c r="B162" i="40"/>
  <c r="BU168" i="14"/>
  <c r="BT168" i="14"/>
  <c r="B156" i="40"/>
  <c r="DO106" i="7"/>
  <c r="DO107" i="7"/>
  <c r="DO53" i="7"/>
  <c r="DO20" i="7"/>
  <c r="DO289" i="7"/>
  <c r="DO25" i="7"/>
  <c r="DO200" i="7"/>
  <c r="DO271" i="7"/>
  <c r="DO181" i="7"/>
  <c r="DO12" i="7"/>
  <c r="DO70" i="7"/>
  <c r="DO327" i="7"/>
  <c r="DO329" i="7"/>
  <c r="DO279" i="7"/>
  <c r="DN350" i="7"/>
  <c r="DO7" i="7"/>
  <c r="DO11" i="7"/>
  <c r="DO284" i="7"/>
  <c r="DO267" i="7"/>
  <c r="DO63" i="7"/>
  <c r="DO82" i="7"/>
  <c r="DO205" i="7"/>
  <c r="BT166" i="14"/>
  <c r="BU166" i="14"/>
  <c r="B154" i="40"/>
  <c r="DO220" i="7"/>
  <c r="DO247" i="7"/>
  <c r="DO244" i="7"/>
  <c r="DO277" i="7"/>
  <c r="DO4" i="7"/>
  <c r="DO58" i="7"/>
  <c r="DO98" i="7"/>
  <c r="DO308" i="7"/>
  <c r="DO167" i="7"/>
  <c r="DO292" i="7"/>
  <c r="DO326" i="7"/>
  <c r="DO265" i="7"/>
  <c r="DO141" i="7"/>
  <c r="DO149" i="7"/>
  <c r="DO83" i="7"/>
  <c r="DO117" i="7"/>
  <c r="DO295" i="7"/>
  <c r="DO142" i="7"/>
  <c r="DO121" i="7"/>
  <c r="DO72" i="7"/>
  <c r="DO186" i="7"/>
  <c r="D60" i="22"/>
  <c r="D80" i="23"/>
  <c r="FM25" i="7"/>
  <c r="FN25" i="7" s="1"/>
  <c r="FE25" i="7" s="1"/>
  <c r="J35" i="33"/>
  <c r="AG25" i="18"/>
  <c r="AC25" i="18"/>
  <c r="R25" i="18"/>
  <c r="Q25" i="18"/>
  <c r="AL25" i="18"/>
  <c r="BK25" i="18"/>
  <c r="Z25" i="18"/>
  <c r="AY25" i="18"/>
  <c r="AP25" i="18"/>
  <c r="Y25" i="18"/>
  <c r="AD25" i="18"/>
  <c r="AX25" i="18"/>
  <c r="BB25" i="18"/>
  <c r="AZ25" i="18"/>
  <c r="S25" i="18"/>
  <c r="AI25" i="18"/>
  <c r="AJ25" i="18"/>
  <c r="AF25" i="18"/>
  <c r="AT25" i="18"/>
  <c r="AS25" i="18"/>
  <c r="BG25" i="18"/>
  <c r="AN25" i="18"/>
  <c r="AW25" i="18"/>
  <c r="H25" i="18"/>
  <c r="D34" i="1" s="1"/>
  <c r="BI25" i="18"/>
  <c r="BH25" i="18"/>
  <c r="AQ25" i="18"/>
  <c r="BF25" i="18"/>
  <c r="W25" i="18"/>
  <c r="V25" i="18"/>
  <c r="BD25" i="18"/>
  <c r="AK25" i="18"/>
  <c r="T25" i="18"/>
  <c r="U25" i="18"/>
  <c r="AU25" i="18"/>
  <c r="BA25" i="18"/>
  <c r="AE25" i="18"/>
  <c r="X25" i="18"/>
  <c r="BE25" i="18"/>
  <c r="AR25" i="18"/>
  <c r="AB25" i="18"/>
  <c r="BC25" i="18"/>
  <c r="AO25" i="18"/>
  <c r="P25" i="18"/>
  <c r="O25" i="18"/>
  <c r="AV25" i="18"/>
  <c r="BJ25" i="18"/>
  <c r="AH25" i="18"/>
  <c r="AA25" i="18"/>
  <c r="AE120" i="33"/>
  <c r="Y120" i="33"/>
  <c r="AB120" i="33"/>
  <c r="AG22" i="18"/>
  <c r="BA22" i="18"/>
  <c r="AS22" i="18"/>
  <c r="T22" i="18"/>
  <c r="AO22" i="18"/>
  <c r="BK22" i="18"/>
  <c r="AT22" i="18"/>
  <c r="BC22" i="18"/>
  <c r="BF22" i="18"/>
  <c r="BE22" i="18"/>
  <c r="AJ22" i="18"/>
  <c r="W22" i="18"/>
  <c r="X22" i="18"/>
  <c r="AR22" i="18"/>
  <c r="AC22" i="18"/>
  <c r="AB22" i="18"/>
  <c r="R22" i="18"/>
  <c r="O22" i="18"/>
  <c r="BI22" i="18"/>
  <c r="AY22" i="18"/>
  <c r="AD22" i="18"/>
  <c r="U22" i="18"/>
  <c r="Y22" i="18"/>
  <c r="Z22" i="18"/>
  <c r="AX22" i="18"/>
  <c r="AU22" i="18"/>
  <c r="AI22" i="18"/>
  <c r="S22" i="18"/>
  <c r="H22" i="18"/>
  <c r="D31" i="1" s="1"/>
  <c r="AK22" i="18"/>
  <c r="BJ22" i="18"/>
  <c r="AF22" i="18"/>
  <c r="AW22" i="18"/>
  <c r="P22" i="18"/>
  <c r="AA22" i="18"/>
  <c r="AL22" i="18"/>
  <c r="BG22" i="18"/>
  <c r="BD22" i="18"/>
  <c r="AN22" i="18"/>
  <c r="Q22" i="18"/>
  <c r="BH22" i="18"/>
  <c r="AH22" i="18"/>
  <c r="AZ22" i="18"/>
  <c r="V22" i="18"/>
  <c r="AP22" i="18"/>
  <c r="AE22" i="18"/>
  <c r="BB22" i="18"/>
  <c r="AV22" i="18"/>
  <c r="AQ22" i="18"/>
  <c r="Q21" i="18"/>
  <c r="AQ21" i="18"/>
  <c r="AL21" i="18"/>
  <c r="AG21" i="18"/>
  <c r="AK21" i="18"/>
  <c r="V21" i="18"/>
  <c r="AW21" i="18"/>
  <c r="S21" i="18"/>
  <c r="BE21" i="18"/>
  <c r="AX21" i="18"/>
  <c r="AJ21" i="18"/>
  <c r="Y21" i="18"/>
  <c r="AS21" i="18"/>
  <c r="AE21" i="18"/>
  <c r="BH21" i="18"/>
  <c r="BB21" i="18"/>
  <c r="BD21" i="18"/>
  <c r="AI21" i="18"/>
  <c r="AD21" i="18"/>
  <c r="BK21" i="18"/>
  <c r="Z21" i="18"/>
  <c r="AB21" i="18"/>
  <c r="AA21" i="18"/>
  <c r="AP21" i="18"/>
  <c r="BA21" i="18"/>
  <c r="AT21" i="18"/>
  <c r="AZ21" i="18"/>
  <c r="BJ21" i="18"/>
  <c r="O21" i="18"/>
  <c r="AN21" i="18"/>
  <c r="W21" i="18"/>
  <c r="H21" i="18"/>
  <c r="D30" i="1" s="1"/>
  <c r="AU21" i="18"/>
  <c r="BC21" i="18"/>
  <c r="AC21" i="18"/>
  <c r="P21" i="18"/>
  <c r="AF21" i="18"/>
  <c r="AH21" i="18"/>
  <c r="BF21" i="18"/>
  <c r="AY21" i="18"/>
  <c r="BI21" i="18"/>
  <c r="AR21" i="18"/>
  <c r="X21" i="18"/>
  <c r="BG21" i="18"/>
  <c r="U21" i="18"/>
  <c r="R21" i="18"/>
  <c r="AV21" i="18"/>
  <c r="T21" i="18"/>
  <c r="AO21" i="18"/>
  <c r="DB42" i="10"/>
  <c r="B34" i="39"/>
  <c r="AS59" i="33"/>
  <c r="G177" i="7" s="1"/>
  <c r="AQ59" i="33"/>
  <c r="AN59" i="33"/>
  <c r="AS40" i="33"/>
  <c r="AQ40" i="33"/>
  <c r="AN40" i="33"/>
  <c r="AQ98" i="33"/>
  <c r="AS98" i="33"/>
  <c r="AN98" i="33"/>
  <c r="AS56" i="33"/>
  <c r="AQ56" i="33"/>
  <c r="AN56" i="33"/>
  <c r="AS72" i="33"/>
  <c r="AN72" i="33"/>
  <c r="AQ72" i="33"/>
  <c r="AO72" i="33"/>
  <c r="AN67" i="33"/>
  <c r="AQ67" i="33"/>
  <c r="AS67" i="33"/>
  <c r="AQ61" i="33"/>
  <c r="AN61" i="33"/>
  <c r="AS61" i="33"/>
  <c r="AS57" i="33"/>
  <c r="AQ57" i="33"/>
  <c r="AN57" i="33"/>
  <c r="AS37" i="33"/>
  <c r="AQ37" i="33"/>
  <c r="AN37" i="33"/>
  <c r="AS68" i="33"/>
  <c r="AN68" i="33"/>
  <c r="AQ68" i="33"/>
  <c r="AQ73" i="33"/>
  <c r="AS73" i="33"/>
  <c r="AN73" i="33"/>
  <c r="AN83" i="33"/>
  <c r="AQ83" i="33"/>
  <c r="AS83" i="33"/>
  <c r="AS76" i="33"/>
  <c r="AQ76" i="33"/>
  <c r="AN76" i="33"/>
  <c r="AW36" i="18"/>
  <c r="BC36" i="18"/>
  <c r="W36" i="18"/>
  <c r="S36" i="18"/>
  <c r="AP36" i="18"/>
  <c r="U36" i="18"/>
  <c r="AO36" i="18"/>
  <c r="T36" i="18"/>
  <c r="AG36" i="18"/>
  <c r="BB36" i="18"/>
  <c r="Y36" i="18"/>
  <c r="AV36" i="18"/>
  <c r="AQ36" i="18"/>
  <c r="AJ36" i="18"/>
  <c r="AL36" i="18"/>
  <c r="AF36" i="18"/>
  <c r="AT36" i="18"/>
  <c r="V36" i="18"/>
  <c r="X36" i="18"/>
  <c r="AS36" i="18"/>
  <c r="AA36" i="18"/>
  <c r="AZ36" i="18"/>
  <c r="AR36" i="18"/>
  <c r="AB36" i="18"/>
  <c r="AI36" i="18"/>
  <c r="AH36" i="18"/>
  <c r="BA36" i="18"/>
  <c r="AD36" i="18"/>
  <c r="Z36" i="18"/>
  <c r="AE36" i="18"/>
  <c r="AM36" i="18"/>
  <c r="AN36" i="18"/>
  <c r="AU36" i="18"/>
  <c r="BE36" i="18"/>
  <c r="AC36" i="18"/>
  <c r="AX36" i="18"/>
  <c r="AY36" i="18"/>
  <c r="AO28" i="33"/>
  <c r="AP28" i="33"/>
  <c r="AT28" i="33"/>
  <c r="V28" i="33"/>
  <c r="AT16" i="33"/>
  <c r="AS16" i="33"/>
  <c r="AO23" i="33"/>
  <c r="V23" i="33"/>
  <c r="AT23" i="33"/>
  <c r="AP23" i="33"/>
  <c r="AP18" i="33"/>
  <c r="AO18" i="33"/>
  <c r="AT18" i="33"/>
  <c r="V18" i="33"/>
  <c r="AE104" i="33"/>
  <c r="AB104" i="33"/>
  <c r="Y104" i="33"/>
  <c r="Y75" i="33"/>
  <c r="AB75" i="33"/>
  <c r="AE75" i="33"/>
  <c r="AE94" i="33"/>
  <c r="C71" i="41" s="1"/>
  <c r="A71" i="41" s="1"/>
  <c r="Y94" i="33"/>
  <c r="AB94" i="33"/>
  <c r="Y80" i="33"/>
  <c r="AB80" i="33"/>
  <c r="AE80" i="33"/>
  <c r="AE86" i="33"/>
  <c r="AB86" i="33"/>
  <c r="Y86" i="33"/>
  <c r="AE89" i="33"/>
  <c r="Y89" i="33"/>
  <c r="AB89" i="33"/>
  <c r="AE82" i="33"/>
  <c r="Y82" i="33"/>
  <c r="AB82" i="33"/>
  <c r="Y61" i="33"/>
  <c r="AE61" i="33"/>
  <c r="AB61" i="33"/>
  <c r="AE72" i="33"/>
  <c r="Y72" i="33"/>
  <c r="AB72" i="33"/>
  <c r="B32" i="39"/>
  <c r="BT162" i="14"/>
  <c r="BU162" i="14"/>
  <c r="B150" i="40"/>
  <c r="B153" i="40"/>
  <c r="BT165" i="14"/>
  <c r="BU165" i="14"/>
  <c r="DO273" i="7"/>
  <c r="DO339" i="7"/>
  <c r="DO280" i="7"/>
  <c r="DN345" i="7"/>
  <c r="DO129" i="7"/>
  <c r="DO229" i="7"/>
  <c r="DO312" i="7"/>
  <c r="DO324" i="7"/>
  <c r="DO260" i="7"/>
  <c r="DO250" i="7"/>
  <c r="DO16" i="7"/>
  <c r="DO154" i="7"/>
  <c r="DO36" i="7"/>
  <c r="DO218" i="7"/>
  <c r="DO150" i="7"/>
  <c r="DO85" i="7"/>
  <c r="DO231" i="7"/>
  <c r="DO304" i="7"/>
  <c r="DO138" i="7"/>
  <c r="DO251" i="7"/>
  <c r="DO275" i="7"/>
  <c r="DO170" i="7"/>
  <c r="DO252" i="7"/>
  <c r="DO258" i="7"/>
  <c r="T60" i="22"/>
  <c r="T80" i="23"/>
  <c r="DO97" i="7"/>
  <c r="DO19" i="7"/>
  <c r="DO285" i="7"/>
  <c r="DO96" i="7"/>
  <c r="DO307" i="7"/>
  <c r="DO103" i="7"/>
  <c r="DO227" i="7"/>
  <c r="DO332" i="7"/>
  <c r="DO171" i="7"/>
  <c r="DO310" i="7"/>
  <c r="DO254" i="7"/>
  <c r="DO213" i="7"/>
  <c r="DO240" i="7"/>
  <c r="DO336" i="7"/>
  <c r="DO112" i="7"/>
  <c r="DO34" i="7"/>
  <c r="DO175" i="7"/>
  <c r="DO318" i="7"/>
  <c r="DO320" i="7"/>
  <c r="DO92" i="7"/>
  <c r="DO132" i="7"/>
  <c r="DO115" i="7"/>
  <c r="DO269" i="7"/>
  <c r="DO188" i="7"/>
  <c r="DO263" i="7"/>
  <c r="DO180" i="7"/>
  <c r="DO228" i="7"/>
  <c r="DO44" i="7"/>
  <c r="DO196" i="7"/>
  <c r="DO334" i="7"/>
  <c r="DO76" i="7"/>
  <c r="DO286" i="7"/>
  <c r="DO137" i="7"/>
  <c r="DO113" i="7"/>
  <c r="DO207" i="7"/>
  <c r="DO322" i="7"/>
  <c r="DO93" i="7"/>
  <c r="DO266" i="7"/>
  <c r="DO161" i="7"/>
  <c r="DO206" i="7"/>
  <c r="DO67" i="7"/>
  <c r="DO88" i="7"/>
  <c r="DO314" i="7"/>
  <c r="DO305" i="7"/>
  <c r="DO165" i="7"/>
  <c r="DO191" i="7"/>
  <c r="DO41" i="7"/>
  <c r="DO123" i="7"/>
  <c r="DO197" i="7"/>
  <c r="DO259" i="7"/>
  <c r="DO127" i="7"/>
  <c r="DO219" i="7"/>
  <c r="DN348" i="7"/>
  <c r="DO9" i="7"/>
  <c r="DO234" i="7"/>
  <c r="DO309" i="7"/>
  <c r="DN351" i="7"/>
  <c r="DO73" i="7"/>
  <c r="DO183" i="7"/>
  <c r="DO235" i="7"/>
  <c r="DO223" i="7"/>
  <c r="DO148" i="7"/>
  <c r="DO182" i="7"/>
  <c r="DO255" i="7"/>
  <c r="DO42" i="7"/>
  <c r="Y40" i="18"/>
  <c r="AD40" i="18"/>
  <c r="AI40" i="18"/>
  <c r="BB40" i="18"/>
  <c r="AO40" i="18"/>
  <c r="BE40" i="18"/>
  <c r="AQ40" i="18"/>
  <c r="AE40" i="18"/>
  <c r="AY40" i="18"/>
  <c r="AG40" i="18"/>
  <c r="AM40" i="18"/>
  <c r="X40" i="18"/>
  <c r="AT40" i="18"/>
  <c r="AB40" i="18"/>
  <c r="BC40" i="18"/>
  <c r="AR40" i="18"/>
  <c r="V40" i="18"/>
  <c r="AJ40" i="18"/>
  <c r="U40" i="18"/>
  <c r="AX40" i="18"/>
  <c r="AL40" i="18"/>
  <c r="W40" i="18"/>
  <c r="AA40" i="18"/>
  <c r="AW40" i="18"/>
  <c r="AU40" i="18"/>
  <c r="AF40" i="18"/>
  <c r="AV40" i="18"/>
  <c r="BA40" i="18"/>
  <c r="Z40" i="18"/>
  <c r="AP40" i="18"/>
  <c r="AN40" i="18"/>
  <c r="AH40" i="18"/>
  <c r="S40" i="18"/>
  <c r="AS40" i="18"/>
  <c r="AC40" i="18"/>
  <c r="AZ40" i="18"/>
  <c r="T40" i="18"/>
  <c r="AN28" i="3"/>
  <c r="B29" i="39"/>
  <c r="AB115" i="33"/>
  <c r="Y115" i="33"/>
  <c r="AE115" i="33"/>
  <c r="AF39" i="18"/>
  <c r="U39" i="18"/>
  <c r="S39" i="18"/>
  <c r="AQ39" i="18"/>
  <c r="AW39" i="18"/>
  <c r="BC39" i="18"/>
  <c r="V39" i="18"/>
  <c r="AY39" i="18"/>
  <c r="AB39" i="18"/>
  <c r="AG39" i="18"/>
  <c r="AT39" i="18"/>
  <c r="AM39" i="18"/>
  <c r="N39" i="18"/>
  <c r="AD39" i="18"/>
  <c r="AS39" i="18"/>
  <c r="AL39" i="18"/>
  <c r="AJ39" i="18"/>
  <c r="Y39" i="18"/>
  <c r="BE39" i="18"/>
  <c r="AA39" i="18"/>
  <c r="AR39" i="18"/>
  <c r="AX39" i="18"/>
  <c r="AZ39" i="18"/>
  <c r="AH39" i="18"/>
  <c r="AP39" i="18"/>
  <c r="AN39" i="18"/>
  <c r="AV39" i="18"/>
  <c r="AO39" i="18"/>
  <c r="AI39" i="18"/>
  <c r="X39" i="18"/>
  <c r="W39" i="18"/>
  <c r="BA39" i="18"/>
  <c r="T39" i="18"/>
  <c r="AC39" i="18"/>
  <c r="Z39" i="18"/>
  <c r="AU39" i="18"/>
  <c r="BB39" i="18"/>
  <c r="AE39" i="18"/>
  <c r="CL192" i="10"/>
  <c r="CL193" i="10" s="1"/>
  <c r="CL194" i="10" s="1"/>
  <c r="CL195" i="10" s="1"/>
  <c r="CL196" i="10" s="1"/>
  <c r="CL197" i="10" s="1"/>
  <c r="CL198" i="10" s="1"/>
  <c r="BR192" i="10"/>
  <c r="BR193" i="10" s="1"/>
  <c r="BR194" i="10" s="1"/>
  <c r="BR195" i="10" s="1"/>
  <c r="BR196" i="10" s="1"/>
  <c r="BR197" i="10" s="1"/>
  <c r="G175" i="39"/>
  <c r="CN192" i="10"/>
  <c r="CK192" i="10"/>
  <c r="CK193" i="10" s="1"/>
  <c r="CK194" i="10" s="1"/>
  <c r="CK195" i="10" s="1"/>
  <c r="CK196" i="10" s="1"/>
  <c r="CK197" i="10" s="1"/>
  <c r="CK198" i="10" s="1"/>
  <c r="O192" i="10"/>
  <c r="B156" i="39" s="1"/>
  <c r="AW43" i="18"/>
  <c r="AS43" i="18"/>
  <c r="AT43" i="18"/>
  <c r="AE43" i="18"/>
  <c r="AZ43" i="18"/>
  <c r="AD43" i="18"/>
  <c r="AQ43" i="18"/>
  <c r="AN43" i="18"/>
  <c r="BE43" i="18"/>
  <c r="Y43" i="18"/>
  <c r="Z43" i="18"/>
  <c r="AR43" i="18"/>
  <c r="AX43" i="18"/>
  <c r="AY43" i="18"/>
  <c r="AA43" i="18"/>
  <c r="BB43" i="18"/>
  <c r="AC43" i="18"/>
  <c r="W43" i="18"/>
  <c r="X43" i="18"/>
  <c r="AL43" i="18"/>
  <c r="AJ43" i="18"/>
  <c r="T43" i="18"/>
  <c r="AU43" i="18"/>
  <c r="AP43" i="18"/>
  <c r="AF43" i="18"/>
  <c r="U43" i="18"/>
  <c r="V43" i="18"/>
  <c r="BC43" i="18"/>
  <c r="AH43" i="18"/>
  <c r="AG43" i="18"/>
  <c r="BA43" i="18"/>
  <c r="AO43" i="18"/>
  <c r="S43" i="18"/>
  <c r="AI43" i="18"/>
  <c r="AB43" i="18"/>
  <c r="AV43" i="18"/>
  <c r="AM43" i="18"/>
  <c r="AN88" i="33"/>
  <c r="AS88" i="33"/>
  <c r="AQ88" i="33"/>
  <c r="AN58" i="33"/>
  <c r="AQ58" i="33"/>
  <c r="AS58" i="33"/>
  <c r="AN89" i="33"/>
  <c r="AQ89" i="33"/>
  <c r="AS89" i="33"/>
  <c r="AS96" i="33"/>
  <c r="AQ96" i="33"/>
  <c r="AN96" i="33"/>
  <c r="AQ51" i="33"/>
  <c r="AS51" i="33"/>
  <c r="AN51" i="33"/>
  <c r="AQ77" i="33"/>
  <c r="AS77" i="33"/>
  <c r="AN77" i="33"/>
  <c r="AQ70" i="33"/>
  <c r="AN70" i="33"/>
  <c r="AS70" i="33"/>
  <c r="AS44" i="33"/>
  <c r="AN44" i="33"/>
  <c r="AQ44" i="33"/>
  <c r="AQ48" i="33"/>
  <c r="AS48" i="33"/>
  <c r="AN48" i="33"/>
  <c r="AN85" i="33"/>
  <c r="AS85" i="33"/>
  <c r="AQ85" i="33"/>
  <c r="BE44" i="18"/>
  <c r="N44" i="18"/>
  <c r="BB44" i="18"/>
  <c r="AX44" i="18"/>
  <c r="W44" i="18"/>
  <c r="AP44" i="18"/>
  <c r="AO44" i="18"/>
  <c r="U44" i="18"/>
  <c r="AL44" i="18"/>
  <c r="AS44" i="18"/>
  <c r="X44" i="18"/>
  <c r="Z44" i="18"/>
  <c r="AN44" i="18"/>
  <c r="Y44" i="18"/>
  <c r="AJ44" i="18"/>
  <c r="BC44" i="18"/>
  <c r="AA44" i="18"/>
  <c r="AU44" i="18"/>
  <c r="AE44" i="18"/>
  <c r="AY44" i="18"/>
  <c r="AT44" i="18"/>
  <c r="S44" i="18"/>
  <c r="AW44" i="18"/>
  <c r="BA44" i="18"/>
  <c r="AF44" i="18"/>
  <c r="AG44" i="18"/>
  <c r="AV44" i="18"/>
  <c r="AC44" i="18"/>
  <c r="AD44" i="18"/>
  <c r="AM44" i="18"/>
  <c r="V44" i="18"/>
  <c r="AR44" i="18"/>
  <c r="T44" i="18"/>
  <c r="AZ44" i="18"/>
  <c r="AH44" i="18"/>
  <c r="AI44" i="18"/>
  <c r="AB44" i="18"/>
  <c r="AQ44" i="18"/>
  <c r="AN20" i="18"/>
  <c r="Z20" i="18"/>
  <c r="Z23" i="18" s="1"/>
  <c r="AS20" i="18"/>
  <c r="W20" i="18"/>
  <c r="W23" i="18" s="1"/>
  <c r="AI20" i="18"/>
  <c r="AI23" i="18" s="1"/>
  <c r="BJ20" i="18"/>
  <c r="X20" i="18"/>
  <c r="X23" i="18" s="1"/>
  <c r="AU20" i="18"/>
  <c r="Y20" i="18"/>
  <c r="Y23" i="18" s="1"/>
  <c r="V20" i="18"/>
  <c r="V23" i="18" s="1"/>
  <c r="H20" i="18"/>
  <c r="D29" i="1" s="1"/>
  <c r="AH20" i="18"/>
  <c r="AH23" i="18" s="1"/>
  <c r="BH20" i="18"/>
  <c r="AL20" i="18"/>
  <c r="AL23" i="18" s="1"/>
  <c r="BA20" i="18"/>
  <c r="AZ20" i="18"/>
  <c r="AD20" i="18"/>
  <c r="AD23" i="18" s="1"/>
  <c r="AE20" i="18"/>
  <c r="AE23" i="18" s="1"/>
  <c r="AV20" i="18"/>
  <c r="AQ20" i="18"/>
  <c r="BD20" i="18"/>
  <c r="AK20" i="18"/>
  <c r="AK23" i="18" s="1"/>
  <c r="AR20" i="18"/>
  <c r="AF20" i="18"/>
  <c r="AF23" i="18" s="1"/>
  <c r="AP20" i="18"/>
  <c r="AT20" i="18"/>
  <c r="BG20" i="18"/>
  <c r="AB20" i="18"/>
  <c r="AB23" i="18" s="1"/>
  <c r="T20" i="18"/>
  <c r="T23" i="18" s="1"/>
  <c r="P20" i="18"/>
  <c r="P23" i="18" s="1"/>
  <c r="AC20" i="18"/>
  <c r="AC23" i="18" s="1"/>
  <c r="AY20" i="18"/>
  <c r="BE20" i="18"/>
  <c r="AO20" i="18"/>
  <c r="AX20" i="18"/>
  <c r="BB20" i="18"/>
  <c r="BI20" i="18"/>
  <c r="AJ20" i="18"/>
  <c r="AJ23" i="18" s="1"/>
  <c r="AG20" i="18"/>
  <c r="AG23" i="18" s="1"/>
  <c r="S20" i="18"/>
  <c r="S23" i="18" s="1"/>
  <c r="BC20" i="18"/>
  <c r="AW20" i="18"/>
  <c r="AA20" i="18"/>
  <c r="AA23" i="18" s="1"/>
  <c r="O20" i="18"/>
  <c r="O23" i="18" s="1"/>
  <c r="BK20" i="18"/>
  <c r="R20" i="18"/>
  <c r="R23" i="18" s="1"/>
  <c r="Q20" i="18"/>
  <c r="Q23" i="18" s="1"/>
  <c r="U20" i="18"/>
  <c r="U23" i="18" s="1"/>
  <c r="BF20" i="18"/>
  <c r="V14" i="33"/>
  <c r="AO14" i="33"/>
  <c r="AT14" i="33"/>
  <c r="AP14" i="33"/>
  <c r="AP21" i="33"/>
  <c r="AO21" i="33"/>
  <c r="AT21" i="33"/>
  <c r="V21" i="33"/>
  <c r="AP15" i="33"/>
  <c r="AO15" i="33"/>
  <c r="AT15" i="33"/>
  <c r="V15" i="33"/>
  <c r="AP19" i="33"/>
  <c r="AO19" i="33"/>
  <c r="AT19" i="33"/>
  <c r="V19" i="33"/>
  <c r="Y90" i="33"/>
  <c r="AB90" i="33"/>
  <c r="AE90" i="33"/>
  <c r="C67" i="41" s="1"/>
  <c r="AE62" i="33"/>
  <c r="AB62" i="33"/>
  <c r="Y62" i="33"/>
  <c r="AE79" i="33"/>
  <c r="AB79" i="33"/>
  <c r="Y79" i="33"/>
  <c r="AB65" i="33"/>
  <c r="AE65" i="33"/>
  <c r="Y65" i="33"/>
  <c r="AB73" i="33"/>
  <c r="Y73" i="33"/>
  <c r="AE73" i="33"/>
  <c r="AB95" i="33"/>
  <c r="AE95" i="33"/>
  <c r="Y95" i="33"/>
  <c r="AE59" i="33"/>
  <c r="AB59" i="33"/>
  <c r="Y59" i="33"/>
  <c r="AB68" i="33"/>
  <c r="Y68" i="33"/>
  <c r="AE68" i="33"/>
  <c r="Y74" i="33"/>
  <c r="AE74" i="33"/>
  <c r="AB74" i="33"/>
  <c r="AE102" i="33"/>
  <c r="Y102" i="33"/>
  <c r="AB102" i="33"/>
  <c r="AE91" i="33"/>
  <c r="C68" i="41" s="1"/>
  <c r="A68" i="41" s="1"/>
  <c r="Y91" i="33"/>
  <c r="AB91" i="33"/>
  <c r="Y64" i="33"/>
  <c r="AB64" i="33"/>
  <c r="AE64" i="33"/>
  <c r="AE110" i="33"/>
  <c r="AB110" i="33"/>
  <c r="Y110" i="33"/>
  <c r="B36" i="39"/>
  <c r="BU171" i="14"/>
  <c r="BT171" i="14"/>
  <c r="B159" i="40"/>
  <c r="BT164" i="14"/>
  <c r="B152" i="40"/>
  <c r="BU164" i="14"/>
  <c r="DO35" i="7"/>
  <c r="DO24" i="7"/>
  <c r="DO135" i="7"/>
  <c r="DO29" i="7"/>
  <c r="DO299" i="7"/>
  <c r="DO119" i="7"/>
  <c r="DO294" i="7"/>
  <c r="DO261" i="7"/>
  <c r="DO84" i="7"/>
  <c r="DO144" i="7"/>
  <c r="DO13" i="7"/>
  <c r="DO32" i="7"/>
  <c r="DO131" i="7"/>
  <c r="DO233" i="7"/>
  <c r="DO68" i="7"/>
  <c r="DO134" i="7"/>
  <c r="DO328" i="7"/>
  <c r="DO264" i="7"/>
  <c r="DO55" i="7"/>
  <c r="DO158" i="7"/>
  <c r="DO287" i="7"/>
  <c r="DO5" i="7"/>
  <c r="DO319" i="7"/>
  <c r="DO210" i="7"/>
  <c r="DO118" i="7"/>
  <c r="DO140" i="7"/>
  <c r="DO40" i="7"/>
  <c r="DO296" i="7"/>
  <c r="DO17" i="7"/>
  <c r="DO108" i="7"/>
  <c r="DO30" i="7"/>
  <c r="DO195" i="7"/>
  <c r="DO80" i="7"/>
  <c r="DO281" i="7"/>
  <c r="DO28" i="7"/>
  <c r="DO301" i="7"/>
  <c r="BS140" i="14"/>
  <c r="CD105" i="14"/>
  <c r="CD154" i="14"/>
  <c r="CD97" i="14"/>
  <c r="CD93" i="14"/>
  <c r="CD91" i="14"/>
  <c r="BS14" i="14"/>
  <c r="CD22" i="14"/>
  <c r="CD84" i="14"/>
  <c r="BS87" i="14"/>
  <c r="CD63" i="14"/>
  <c r="BS61" i="14"/>
  <c r="CD32" i="14"/>
  <c r="BS48" i="14"/>
  <c r="CD94" i="14"/>
  <c r="CD48" i="14"/>
  <c r="BS55" i="14"/>
  <c r="CD168" i="14"/>
  <c r="CD138" i="14"/>
  <c r="BS124" i="14"/>
  <c r="CD133" i="14"/>
  <c r="CD75" i="14"/>
  <c r="CD123" i="14"/>
  <c r="CD129" i="14"/>
  <c r="BS78" i="14"/>
  <c r="CD66" i="14"/>
  <c r="CD103" i="14"/>
  <c r="CD73" i="14"/>
  <c r="CD113" i="14"/>
  <c r="BS86" i="14"/>
  <c r="BS149" i="14"/>
  <c r="CD31" i="14"/>
  <c r="CD151" i="14"/>
  <c r="BS169" i="14"/>
  <c r="BS166" i="14"/>
  <c r="BS46" i="14"/>
  <c r="CD18" i="14"/>
  <c r="CD33" i="14"/>
  <c r="BS106" i="14"/>
  <c r="CD163" i="14"/>
  <c r="BS159" i="14"/>
  <c r="BS20" i="14"/>
  <c r="CD27" i="14"/>
  <c r="BS77" i="14"/>
  <c r="BS164" i="14"/>
  <c r="BS24" i="14"/>
  <c r="BS126" i="14"/>
  <c r="CD164" i="14"/>
  <c r="CD170" i="14"/>
  <c r="CD50" i="14"/>
  <c r="BS165" i="14"/>
  <c r="BS158" i="14"/>
  <c r="CD79" i="14"/>
  <c r="CD72" i="14"/>
  <c r="CD144" i="14"/>
  <c r="BS75" i="14"/>
  <c r="CD92" i="14"/>
  <c r="CD141" i="14"/>
  <c r="CD171" i="14"/>
  <c r="BS83" i="14"/>
  <c r="BS25" i="14"/>
  <c r="BS88" i="14"/>
  <c r="CD71" i="14"/>
  <c r="BS97" i="14"/>
  <c r="CD136" i="14"/>
  <c r="BS153" i="14"/>
  <c r="CD83" i="14"/>
  <c r="CD115" i="14"/>
  <c r="BS145" i="14"/>
  <c r="BS171" i="14"/>
  <c r="BS91" i="14"/>
  <c r="CD96" i="14"/>
  <c r="CD37" i="14"/>
  <c r="CD172" i="14"/>
  <c r="BS148" i="14"/>
  <c r="CD39" i="14"/>
  <c r="CD135" i="14"/>
  <c r="CD100" i="14"/>
  <c r="CD174" i="14"/>
  <c r="BS109" i="14"/>
  <c r="BS15" i="14"/>
  <c r="CD85" i="14"/>
  <c r="BS11" i="14"/>
  <c r="BS147" i="14"/>
  <c r="CD44" i="14"/>
  <c r="CD58" i="14"/>
  <c r="BS17" i="14"/>
  <c r="CD43" i="14"/>
  <c r="CD78" i="14"/>
  <c r="CD125" i="14"/>
  <c r="CD146" i="14"/>
  <c r="CD64" i="14"/>
  <c r="BS114" i="14"/>
  <c r="CD98" i="14"/>
  <c r="CD53" i="14"/>
  <c r="CD116" i="14"/>
  <c r="BS85" i="14"/>
  <c r="BS141" i="14"/>
  <c r="BS68" i="14"/>
  <c r="CD19" i="14"/>
  <c r="BS144" i="14"/>
  <c r="CD130" i="14"/>
  <c r="CD54" i="14"/>
  <c r="BS37" i="14"/>
  <c r="BS108" i="14"/>
  <c r="CD137" i="14"/>
  <c r="BS134" i="14"/>
  <c r="CD82" i="14"/>
  <c r="CD102" i="14"/>
  <c r="CD119" i="14"/>
  <c r="BS70" i="14"/>
  <c r="BS73" i="14"/>
  <c r="CD111" i="14"/>
  <c r="BS54" i="14"/>
  <c r="BS23" i="14"/>
  <c r="BS160" i="14"/>
  <c r="BS67" i="14"/>
  <c r="CD117" i="14"/>
  <c r="CD87" i="14"/>
  <c r="CD25" i="14"/>
  <c r="BS163" i="14"/>
  <c r="BS172" i="14"/>
  <c r="CD42" i="14"/>
  <c r="CD76" i="14"/>
  <c r="BS93" i="14"/>
  <c r="CD34" i="14"/>
  <c r="CD26" i="14"/>
  <c r="BS152" i="14"/>
  <c r="CD14" i="14"/>
  <c r="CD23" i="14"/>
  <c r="CD156" i="14"/>
  <c r="BS28" i="14"/>
  <c r="CD118" i="14"/>
  <c r="BS18" i="14"/>
  <c r="CD57" i="14"/>
  <c r="BS47" i="14"/>
  <c r="CD108" i="14"/>
  <c r="CD121" i="14"/>
  <c r="CD20" i="14"/>
  <c r="BS115" i="14"/>
  <c r="CD51" i="14"/>
  <c r="CD46" i="14"/>
  <c r="BS156" i="14"/>
  <c r="BS125" i="14"/>
  <c r="CD80" i="14"/>
  <c r="BS151" i="14"/>
  <c r="BS21" i="14"/>
  <c r="CD109" i="14"/>
  <c r="BS103" i="14"/>
  <c r="BS119" i="14"/>
  <c r="BS131" i="14"/>
  <c r="BS12" i="14"/>
  <c r="BS44" i="14"/>
  <c r="CD86" i="14"/>
  <c r="CD160" i="14"/>
  <c r="BS92" i="14"/>
  <c r="CD112" i="14"/>
  <c r="BS66" i="14"/>
  <c r="BS45" i="14"/>
  <c r="BS94" i="14"/>
  <c r="BS135" i="14"/>
  <c r="CD143" i="14"/>
  <c r="CD24" i="14"/>
  <c r="CD101" i="14"/>
  <c r="CD169" i="14"/>
  <c r="BS16" i="14"/>
  <c r="BS84" i="14"/>
  <c r="CD70" i="14"/>
  <c r="CD175" i="14"/>
  <c r="BS56" i="14"/>
  <c r="BS49" i="14"/>
  <c r="CD124" i="14"/>
  <c r="BS112" i="14"/>
  <c r="BS105" i="14"/>
  <c r="CD28" i="14"/>
  <c r="BS57" i="14"/>
  <c r="CD13" i="14"/>
  <c r="CD122" i="14"/>
  <c r="BS111" i="14"/>
  <c r="BS139" i="14"/>
  <c r="BS53" i="14"/>
  <c r="CD81" i="14"/>
  <c r="CD147" i="14"/>
  <c r="BS155" i="14"/>
  <c r="BS137" i="14"/>
  <c r="BS26" i="14"/>
  <c r="BS65" i="14"/>
  <c r="BS41" i="14"/>
  <c r="CD165" i="14"/>
  <c r="BS170" i="14"/>
  <c r="CD150" i="14"/>
  <c r="BS132" i="14"/>
  <c r="CD107" i="14"/>
  <c r="BS129" i="14"/>
  <c r="CD166" i="14"/>
  <c r="CD77" i="14"/>
  <c r="BS50" i="14"/>
  <c r="CD95" i="14"/>
  <c r="BS175" i="14"/>
  <c r="BS34" i="14"/>
  <c r="CD149" i="14"/>
  <c r="BS100" i="14"/>
  <c r="BS133" i="14"/>
  <c r="BS63" i="14"/>
  <c r="CD132" i="14"/>
  <c r="BS81" i="14"/>
  <c r="BS13" i="14"/>
  <c r="BS122" i="14"/>
  <c r="BS89" i="14"/>
  <c r="BS116" i="14"/>
  <c r="BS128" i="14"/>
  <c r="BS98" i="14"/>
  <c r="BS38" i="14"/>
  <c r="CD128" i="14"/>
  <c r="CD89" i="14"/>
  <c r="BS76" i="14"/>
  <c r="CD38" i="14"/>
  <c r="BS35" i="14"/>
  <c r="BS90" i="14"/>
  <c r="CD99" i="14"/>
  <c r="CD110" i="14"/>
  <c r="BS121" i="14"/>
  <c r="BS30" i="14"/>
  <c r="BS113" i="14"/>
  <c r="CD35" i="14"/>
  <c r="BS101" i="14"/>
  <c r="CD56" i="14"/>
  <c r="CD126" i="14"/>
  <c r="BS72" i="14"/>
  <c r="BS29" i="14"/>
  <c r="CD134" i="14"/>
  <c r="CD65" i="14"/>
  <c r="CD15" i="14"/>
  <c r="CD88" i="14"/>
  <c r="BS143" i="14"/>
  <c r="BS127" i="14"/>
  <c r="CD61" i="14"/>
  <c r="BS62" i="14"/>
  <c r="CD29" i="14"/>
  <c r="CD59" i="14"/>
  <c r="CD106" i="14"/>
  <c r="BS80" i="14"/>
  <c r="CD55" i="14"/>
  <c r="BS40" i="14"/>
  <c r="BS117" i="14"/>
  <c r="BS162" i="14"/>
  <c r="BS95" i="14"/>
  <c r="CD90" i="14"/>
  <c r="CD148" i="14"/>
  <c r="BS99" i="14"/>
  <c r="BS107" i="14"/>
  <c r="CD52" i="14"/>
  <c r="BS69" i="14"/>
  <c r="BS154" i="14"/>
  <c r="BS150" i="14"/>
  <c r="CD62" i="14"/>
  <c r="CD104" i="14"/>
  <c r="BS136" i="14"/>
  <c r="CD142" i="14"/>
  <c r="BS142" i="14"/>
  <c r="BS79" i="14"/>
  <c r="BS168" i="14"/>
  <c r="CD41" i="14"/>
  <c r="CD140" i="14"/>
  <c r="BS39" i="14"/>
  <c r="BS43" i="14"/>
  <c r="CD47" i="14"/>
  <c r="BS102" i="14"/>
  <c r="CD30" i="14"/>
  <c r="BS22" i="14"/>
  <c r="BS157" i="14"/>
  <c r="BS19" i="14"/>
  <c r="BS104" i="14"/>
  <c r="CD120" i="14"/>
  <c r="BS59" i="14"/>
  <c r="BS110" i="14"/>
  <c r="CD17" i="14"/>
  <c r="BS58" i="14"/>
  <c r="BS138" i="14"/>
  <c r="BS52" i="14"/>
  <c r="BS71" i="14"/>
  <c r="BS42" i="14"/>
  <c r="CD114" i="14"/>
  <c r="BS74" i="14"/>
  <c r="CD67" i="14"/>
  <c r="BS120" i="14"/>
  <c r="BS51" i="14"/>
  <c r="CD40" i="14"/>
  <c r="CD157" i="14"/>
  <c r="CD127" i="14"/>
  <c r="CD74" i="14"/>
  <c r="BS64" i="14"/>
  <c r="CD139" i="14"/>
  <c r="BS146" i="14"/>
  <c r="CD68" i="14"/>
  <c r="CD158" i="14"/>
  <c r="BS167" i="14"/>
  <c r="CD45" i="14"/>
  <c r="CD152" i="14"/>
  <c r="BS33" i="14"/>
  <c r="BS118" i="14"/>
  <c r="BS123" i="14"/>
  <c r="CD69" i="14"/>
  <c r="CD167" i="14"/>
  <c r="BS32" i="14"/>
  <c r="BS130" i="14"/>
  <c r="CD12" i="14"/>
  <c r="CD153" i="14"/>
  <c r="CD159" i="14"/>
  <c r="BS174" i="14"/>
  <c r="CD131" i="14"/>
  <c r="CD155" i="14"/>
  <c r="BS96" i="14"/>
  <c r="CD162" i="14"/>
  <c r="BS31" i="14"/>
  <c r="CD145" i="14"/>
  <c r="CD49" i="14"/>
  <c r="BS27" i="14"/>
  <c r="CD21" i="14"/>
  <c r="BS82" i="14"/>
  <c r="CD11" i="14"/>
  <c r="CD16" i="14"/>
  <c r="DO18" i="7"/>
  <c r="DO23" i="7"/>
  <c r="DO168" i="7"/>
  <c r="DO333" i="7"/>
  <c r="DO122" i="7"/>
  <c r="B155" i="40"/>
  <c r="BU167" i="14"/>
  <c r="BT167" i="14"/>
  <c r="DN344" i="7"/>
  <c r="DO99" i="7"/>
  <c r="DO160" i="7"/>
  <c r="DO198" i="7"/>
  <c r="DO203" i="7"/>
  <c r="DO190" i="7"/>
  <c r="DO323" i="7"/>
  <c r="BR11" i="14"/>
  <c r="O66" i="33"/>
  <c r="V66" i="33" s="1"/>
  <c r="CC11" i="14"/>
  <c r="O82" i="33"/>
  <c r="V82" i="33" s="1"/>
  <c r="O64" i="33"/>
  <c r="V64" i="33" s="1"/>
  <c r="CC168" i="14"/>
  <c r="BR166" i="14"/>
  <c r="CC162" i="14"/>
  <c r="BR172" i="14"/>
  <c r="CC163" i="14"/>
  <c r="BR174" i="14"/>
  <c r="CC170" i="14"/>
  <c r="BR175" i="14"/>
  <c r="BR37" i="14"/>
  <c r="CC175" i="14"/>
  <c r="CC164" i="14"/>
  <c r="Z241" i="14"/>
  <c r="BR170" i="14"/>
  <c r="AH241" i="14"/>
  <c r="BR163" i="14"/>
  <c r="CC166" i="14"/>
  <c r="CC37" i="14"/>
  <c r="BR164" i="14"/>
  <c r="BR162" i="14"/>
  <c r="BR165" i="14"/>
  <c r="BR171" i="14"/>
  <c r="BR167" i="14"/>
  <c r="D84" i="23"/>
  <c r="CC171" i="14"/>
  <c r="BR12" i="14"/>
  <c r="CC172" i="14"/>
  <c r="CC165" i="14"/>
  <c r="CC174" i="14"/>
  <c r="BR169" i="14"/>
  <c r="CC169" i="14"/>
  <c r="BR168" i="14"/>
  <c r="CC167" i="14"/>
  <c r="CC12" i="14"/>
  <c r="DO216" i="7"/>
  <c r="DO78" i="7"/>
  <c r="DO201" i="7"/>
  <c r="DO45" i="7"/>
  <c r="DO184" i="7"/>
  <c r="DO59" i="7"/>
  <c r="DO120" i="7"/>
  <c r="DO91" i="7"/>
  <c r="DO100" i="7"/>
  <c r="DO157" i="7"/>
  <c r="DO270" i="7"/>
  <c r="DO217" i="7"/>
  <c r="DO79" i="7"/>
  <c r="DO211" i="7"/>
  <c r="DO164" i="7"/>
  <c r="DO187" i="7"/>
  <c r="DO62" i="7"/>
  <c r="DO224" i="7"/>
  <c r="DO226" i="7"/>
  <c r="DO225" i="7"/>
  <c r="DO145" i="7"/>
  <c r="DO57" i="7"/>
  <c r="DO151" i="7"/>
  <c r="DO71" i="7"/>
  <c r="DO298" i="7"/>
  <c r="DO256" i="7"/>
  <c r="DO47" i="7"/>
  <c r="DO156" i="7"/>
  <c r="DO257" i="7"/>
  <c r="DO212" i="7"/>
  <c r="DO276" i="7"/>
  <c r="DO50" i="7"/>
  <c r="DO278" i="7"/>
  <c r="DO248" i="7"/>
  <c r="DO214" i="7"/>
  <c r="DO253" i="7"/>
  <c r="BE13" i="18"/>
  <c r="BD13" i="18"/>
  <c r="BK15" i="18"/>
  <c r="AT13" i="18"/>
  <c r="Z15" i="18"/>
  <c r="AA15" i="18"/>
  <c r="AB15" i="18"/>
  <c r="BH13" i="18"/>
  <c r="AD13" i="18"/>
  <c r="AI13" i="18"/>
  <c r="R13" i="18"/>
  <c r="AQ13" i="18"/>
  <c r="AC13" i="18"/>
  <c r="T13" i="18"/>
  <c r="Y13" i="18"/>
  <c r="AZ15" i="18"/>
  <c r="V13" i="18"/>
  <c r="BG15" i="18"/>
  <c r="AC15" i="18"/>
  <c r="AI15" i="18"/>
  <c r="X15" i="18"/>
  <c r="BI13" i="18"/>
  <c r="AS13" i="18"/>
  <c r="AG13" i="18"/>
  <c r="U13" i="18"/>
  <c r="AN13" i="18"/>
  <c r="BA13" i="18"/>
  <c r="AN15" i="18"/>
  <c r="T15" i="18"/>
  <c r="BB15" i="18"/>
  <c r="W15" i="18"/>
  <c r="BC13" i="18"/>
  <c r="BC15" i="18"/>
  <c r="BH15" i="18"/>
  <c r="BJ13" i="18"/>
  <c r="BI15" i="18"/>
  <c r="AY13" i="18"/>
  <c r="AL15" i="18"/>
  <c r="U15" i="18"/>
  <c r="AU13" i="18"/>
  <c r="AX13" i="18"/>
  <c r="S13" i="18"/>
  <c r="P15" i="18"/>
  <c r="BA15" i="18"/>
  <c r="AP13" i="18"/>
  <c r="AL13" i="18"/>
  <c r="BK13" i="18"/>
  <c r="AD15" i="18"/>
  <c r="AR15" i="18"/>
  <c r="Z13" i="18"/>
  <c r="AP15" i="18"/>
  <c r="BE15" i="18"/>
  <c r="AS15" i="18"/>
  <c r="AA13" i="18"/>
  <c r="BB13" i="18"/>
  <c r="AO13" i="18"/>
  <c r="S15" i="18"/>
  <c r="AE15" i="18"/>
  <c r="BD15" i="18"/>
  <c r="AT15" i="18"/>
  <c r="AW15" i="18"/>
  <c r="O15" i="18"/>
  <c r="H13" i="18"/>
  <c r="AV15" i="18"/>
  <c r="X13" i="18"/>
  <c r="AQ15" i="18"/>
  <c r="AF13" i="18"/>
  <c r="R15" i="18"/>
  <c r="AO15" i="18"/>
  <c r="AV13" i="18"/>
  <c r="AH13" i="18"/>
  <c r="AF15" i="18"/>
  <c r="BF13" i="18"/>
  <c r="AU15" i="18"/>
  <c r="BG13" i="18"/>
  <c r="Q15" i="18"/>
  <c r="BJ15" i="18"/>
  <c r="AX15" i="18"/>
  <c r="AZ13" i="18"/>
  <c r="AY15" i="18"/>
  <c r="AJ13" i="18"/>
  <c r="AR13" i="18"/>
  <c r="AK13" i="18"/>
  <c r="AJ15" i="18"/>
  <c r="Q13" i="18"/>
  <c r="AK15" i="18"/>
  <c r="AW13" i="18"/>
  <c r="AB13" i="18"/>
  <c r="P13" i="18"/>
  <c r="Y15" i="18"/>
  <c r="BF15" i="18"/>
  <c r="AE13" i="18"/>
  <c r="AG15" i="18"/>
  <c r="O13" i="18"/>
  <c r="V15" i="18"/>
  <c r="W13" i="18"/>
  <c r="AH15" i="18"/>
  <c r="D118" i="24"/>
  <c r="H6" i="3"/>
  <c r="H5" i="3"/>
  <c r="J2" i="43"/>
  <c r="H23" i="24"/>
  <c r="A23" i="24" s="1"/>
  <c r="B23" i="24"/>
  <c r="D23" i="24"/>
  <c r="E23" i="24"/>
  <c r="S23" i="24"/>
  <c r="AE116" i="33"/>
  <c r="Y116" i="33"/>
  <c r="AB116" i="33"/>
  <c r="T41" i="18"/>
  <c r="AF41" i="18"/>
  <c r="AM41" i="18"/>
  <c r="AQ41" i="18"/>
  <c r="AA41" i="18"/>
  <c r="BE41" i="18"/>
  <c r="AV41" i="18"/>
  <c r="BB41" i="18"/>
  <c r="U41" i="18"/>
  <c r="AD41" i="18"/>
  <c r="AB41" i="18"/>
  <c r="Y41" i="18"/>
  <c r="AE41" i="18"/>
  <c r="BA41" i="18"/>
  <c r="AP41" i="18"/>
  <c r="V41" i="18"/>
  <c r="AS41" i="18"/>
  <c r="AC41" i="18"/>
  <c r="AI41" i="18"/>
  <c r="AN41" i="18"/>
  <c r="AH41" i="18"/>
  <c r="X41" i="18"/>
  <c r="BC41" i="18"/>
  <c r="AJ41" i="18"/>
  <c r="AY41" i="18"/>
  <c r="AX41" i="18"/>
  <c r="S41" i="18"/>
  <c r="Z41" i="18"/>
  <c r="AO41" i="18"/>
  <c r="AZ41" i="18"/>
  <c r="AR41" i="18"/>
  <c r="AG41" i="18"/>
  <c r="AW41" i="18"/>
  <c r="AU41" i="18"/>
  <c r="AL41" i="18"/>
  <c r="AT41" i="18"/>
  <c r="W41" i="18"/>
  <c r="AA32" i="18"/>
  <c r="AI32" i="18"/>
  <c r="AG32" i="18"/>
  <c r="Z32" i="18"/>
  <c r="BB32" i="18"/>
  <c r="Y32" i="18"/>
  <c r="AH32" i="18"/>
  <c r="V32" i="18"/>
  <c r="BC32" i="18"/>
  <c r="T32" i="18"/>
  <c r="AX32" i="18"/>
  <c r="AW32" i="18"/>
  <c r="AL32" i="18"/>
  <c r="AC32" i="18"/>
  <c r="U32" i="18"/>
  <c r="AN32" i="18"/>
  <c r="X32" i="18"/>
  <c r="AF32" i="18"/>
  <c r="AV32" i="18"/>
  <c r="BA32" i="18"/>
  <c r="AS32" i="18"/>
  <c r="AD32" i="18"/>
  <c r="AO32" i="18"/>
  <c r="AZ32" i="18"/>
  <c r="AB32" i="18"/>
  <c r="AQ32" i="18"/>
  <c r="AM32" i="18"/>
  <c r="BE32" i="18"/>
  <c r="AY32" i="18"/>
  <c r="S32" i="18"/>
  <c r="AJ32" i="18"/>
  <c r="AR32" i="18"/>
  <c r="AT32" i="18"/>
  <c r="AU32" i="18"/>
  <c r="AE32" i="18"/>
  <c r="W32" i="18"/>
  <c r="AP32" i="18"/>
  <c r="GX75" i="7"/>
  <c r="AE47" i="28"/>
  <c r="V40" i="24"/>
  <c r="U88" i="24"/>
  <c r="V88" i="24" s="1"/>
  <c r="U89" i="24" s="1"/>
  <c r="B56" i="24"/>
  <c r="H56" i="24"/>
  <c r="A56" i="24" s="1"/>
  <c r="E56" i="24"/>
  <c r="Y123" i="33"/>
  <c r="AE123" i="33"/>
  <c r="U17" i="3" s="1"/>
  <c r="A11" i="14"/>
  <c r="AX11" i="14" s="1"/>
  <c r="F5" i="38"/>
  <c r="E6" i="38" s="1"/>
  <c r="C5" i="38"/>
  <c r="A5" i="38"/>
  <c r="B5" i="38" s="1"/>
  <c r="E73" i="22"/>
  <c r="I73" i="22"/>
  <c r="L73" i="22"/>
  <c r="S56" i="24"/>
  <c r="R57" i="24" s="1"/>
  <c r="O260" i="20"/>
  <c r="M13" i="6" s="1"/>
  <c r="P40" i="24"/>
  <c r="I40" i="24" s="1"/>
  <c r="L40" i="24"/>
  <c r="J40" i="24"/>
  <c r="U41" i="24"/>
  <c r="I87" i="24"/>
  <c r="N87" i="24"/>
  <c r="AN97" i="33"/>
  <c r="AS97" i="33"/>
  <c r="E8" i="42"/>
  <c r="F8" i="42"/>
  <c r="A7" i="42"/>
  <c r="B7" i="42" s="1"/>
  <c r="C7" i="42"/>
  <c r="BU61" i="14"/>
  <c r="K61" i="14"/>
  <c r="BA61" i="14" s="1"/>
  <c r="B50" i="40"/>
  <c r="CC14" i="14"/>
  <c r="BR14" i="14"/>
  <c r="CA62" i="14"/>
  <c r="CC62" i="14"/>
  <c r="BR62" i="14"/>
  <c r="D62" i="14" s="1"/>
  <c r="A40" i="33"/>
  <c r="AF41" i="33"/>
  <c r="C39" i="33"/>
  <c r="FM29" i="7" s="1"/>
  <c r="FN29" i="7" s="1"/>
  <c r="FE29" i="7" s="1"/>
  <c r="AL39" i="33"/>
  <c r="AC39" i="33"/>
  <c r="X47" i="28"/>
  <c r="AH47" i="28"/>
  <c r="C48" i="28"/>
  <c r="B48" i="28"/>
  <c r="AC48" i="28"/>
  <c r="AD48" i="28"/>
  <c r="P48" i="28"/>
  <c r="O48" i="28"/>
  <c r="Z48" i="28"/>
  <c r="AG48" i="28"/>
  <c r="Q48" i="28"/>
  <c r="R48" i="28" s="1"/>
  <c r="T48" i="28"/>
  <c r="S48" i="28" s="1"/>
  <c r="H48" i="28"/>
  <c r="C113" i="24"/>
  <c r="BE61" i="14"/>
  <c r="BU62" i="14"/>
  <c r="B51" i="40"/>
  <c r="BT62" i="14"/>
  <c r="CH39" i="14"/>
  <c r="CI39" i="14" s="1"/>
  <c r="B35" i="22"/>
  <c r="BQ39" i="14"/>
  <c r="A29" i="40"/>
  <c r="E29" i="40" s="1"/>
  <c r="P39" i="14"/>
  <c r="BX39" i="14"/>
  <c r="C39" i="14"/>
  <c r="CB39" i="14"/>
  <c r="BV39" i="14" s="1"/>
  <c r="CG39" i="14"/>
  <c r="CL39" i="14"/>
  <c r="BP39" i="14"/>
  <c r="CV61" i="14"/>
  <c r="DF61" i="14"/>
  <c r="ER61" i="14"/>
  <c r="DK61" i="14"/>
  <c r="ED61" i="14"/>
  <c r="DA61" i="14"/>
  <c r="EF61" i="14"/>
  <c r="DY61" i="14"/>
  <c r="DE61" i="14"/>
  <c r="EJ61" i="14"/>
  <c r="DG61" i="14"/>
  <c r="DZ61" i="14"/>
  <c r="DP61" i="14"/>
  <c r="EO61" i="14"/>
  <c r="DC61" i="14"/>
  <c r="EM61" i="14"/>
  <c r="CW61" i="14"/>
  <c r="EE61" i="14"/>
  <c r="DB61" i="14"/>
  <c r="DS61" i="14"/>
  <c r="EH61" i="14"/>
  <c r="DT61" i="14"/>
  <c r="CX61" i="14"/>
  <c r="DU61" i="14"/>
  <c r="EK61" i="14"/>
  <c r="DW61" i="14"/>
  <c r="CZ61" i="14"/>
  <c r="DH61" i="14"/>
  <c r="EC61" i="14"/>
  <c r="DL61" i="14"/>
  <c r="EP61" i="14"/>
  <c r="DJ61" i="14"/>
  <c r="DO61" i="14"/>
  <c r="DN61" i="14"/>
  <c r="EA61" i="14"/>
  <c r="EL61" i="14"/>
  <c r="EQ61" i="14"/>
  <c r="BO61" i="14"/>
  <c r="G61" i="14" s="1"/>
  <c r="EI61" i="14"/>
  <c r="ES61" i="14"/>
  <c r="DX61" i="14"/>
  <c r="EN61" i="14"/>
  <c r="DM61" i="14"/>
  <c r="EB61" i="14"/>
  <c r="EG61" i="14"/>
  <c r="DI61" i="14"/>
  <c r="DQ61" i="14"/>
  <c r="DD61" i="14"/>
  <c r="DV61" i="14"/>
  <c r="CY61" i="14"/>
  <c r="M62" i="14"/>
  <c r="CE63" i="14"/>
  <c r="P63" i="14"/>
  <c r="BX63" i="14"/>
  <c r="BP63" i="14"/>
  <c r="B63" i="14"/>
  <c r="C63" i="14"/>
  <c r="CB63" i="14"/>
  <c r="BV63" i="14" s="1"/>
  <c r="CG63" i="14"/>
  <c r="BQ63" i="14"/>
  <c r="A52" i="40"/>
  <c r="BF61" i="14"/>
  <c r="AQ61" i="14"/>
  <c r="BH61" i="14"/>
  <c r="BN61" i="14"/>
  <c r="AY61" i="14"/>
  <c r="BB61" i="14"/>
  <c r="AU61" i="14"/>
  <c r="BC61" i="14"/>
  <c r="AO61" i="14"/>
  <c r="BJ61" i="14"/>
  <c r="AP61" i="14"/>
  <c r="BL61" i="14"/>
  <c r="BG61" i="14"/>
  <c r="AW61" i="14"/>
  <c r="AX61" i="14"/>
  <c r="BD61" i="14"/>
  <c r="AZ61" i="14"/>
  <c r="BI61" i="14"/>
  <c r="BM61" i="14"/>
  <c r="AV61" i="14"/>
  <c r="AR61" i="14"/>
  <c r="AS61" i="14"/>
  <c r="AT61" i="14"/>
  <c r="BK61" i="14"/>
  <c r="A115" i="24"/>
  <c r="O198" i="10"/>
  <c r="B162" i="39" s="1"/>
  <c r="CN198" i="10"/>
  <c r="AL198" i="10"/>
  <c r="G181" i="39"/>
  <c r="BR198" i="10"/>
  <c r="B199" i="10"/>
  <c r="CN199" i="10" s="1"/>
  <c r="A206" i="10"/>
  <c r="BQ207" i="10"/>
  <c r="CG205" i="10"/>
  <c r="BO205" i="10"/>
  <c r="CH200" i="10"/>
  <c r="BW200" i="10"/>
  <c r="EF200" i="10"/>
  <c r="C25" i="34"/>
  <c r="D26" i="34" s="1"/>
  <c r="BN201" i="10"/>
  <c r="AG30" i="23"/>
  <c r="B30" i="23"/>
  <c r="E29" i="23"/>
  <c r="O29" i="23"/>
  <c r="M29" i="23"/>
  <c r="S29" i="23"/>
  <c r="V29" i="23"/>
  <c r="I29" i="23"/>
  <c r="Z29" i="23"/>
  <c r="AD29" i="23"/>
  <c r="Y29" i="23"/>
  <c r="BY201" i="10"/>
  <c r="CJ39" i="14"/>
  <c r="DD128" i="10"/>
  <c r="DD35" i="10"/>
  <c r="GW76" i="7"/>
  <c r="DE39" i="10"/>
  <c r="DD105" i="10"/>
  <c r="GU77" i="7"/>
  <c r="GV77" i="7"/>
  <c r="DE134" i="10"/>
  <c r="G23" i="24"/>
  <c r="DC69" i="10"/>
  <c r="DC58" i="10"/>
  <c r="DC117" i="10"/>
  <c r="N40" i="24"/>
  <c r="DC147" i="10"/>
  <c r="N39" i="24"/>
  <c r="N33" i="24"/>
  <c r="DC141" i="10"/>
  <c r="DC148" i="10"/>
  <c r="DC152" i="10"/>
  <c r="DC89" i="10"/>
  <c r="G34" i="24"/>
  <c r="DC124" i="10"/>
  <c r="DC140" i="10"/>
  <c r="G54" i="24"/>
  <c r="DC64" i="10"/>
  <c r="DC84" i="10"/>
  <c r="DC83" i="10"/>
  <c r="DC132" i="10"/>
  <c r="DC113" i="10"/>
  <c r="DC149" i="10"/>
  <c r="DC48" i="10"/>
  <c r="G49" i="24"/>
  <c r="DC75" i="10"/>
  <c r="DC104" i="10"/>
  <c r="G48" i="24"/>
  <c r="DC79" i="10"/>
  <c r="DC100" i="10"/>
  <c r="DC157" i="10"/>
  <c r="DC55" i="10"/>
  <c r="G55" i="24"/>
  <c r="DC127" i="10"/>
  <c r="DC109" i="10"/>
  <c r="DC44" i="10"/>
  <c r="DC122" i="10"/>
  <c r="DC139" i="10"/>
  <c r="G33" i="24"/>
  <c r="DC108" i="10"/>
  <c r="DC125" i="10"/>
  <c r="DC150" i="10"/>
  <c r="DC63" i="10"/>
  <c r="G36" i="24"/>
  <c r="DC68" i="10"/>
  <c r="DC103" i="10"/>
  <c r="N34" i="24"/>
  <c r="DC90" i="10"/>
  <c r="DC92" i="10"/>
  <c r="G39" i="24"/>
  <c r="DC133" i="10"/>
  <c r="DC111" i="10"/>
  <c r="DC143" i="10"/>
  <c r="DC120" i="10"/>
  <c r="DC131" i="10"/>
  <c r="DC76" i="10"/>
  <c r="DC98" i="10"/>
  <c r="DC85" i="10"/>
  <c r="G47" i="24"/>
  <c r="G52" i="24"/>
  <c r="G53" i="24"/>
  <c r="N35" i="24"/>
  <c r="DC82" i="10"/>
  <c r="DC105" i="10"/>
  <c r="G40" i="24"/>
  <c r="DC67" i="10"/>
  <c r="DC145" i="10"/>
  <c r="DC155" i="10"/>
  <c r="G35" i="24"/>
  <c r="DC142" i="10"/>
  <c r="DC128" i="10"/>
  <c r="DC115" i="10"/>
  <c r="DC86" i="10"/>
  <c r="DC62" i="10"/>
  <c r="DC93" i="10"/>
  <c r="G37" i="24"/>
  <c r="DC95" i="10"/>
  <c r="N37" i="24"/>
  <c r="DC134" i="10"/>
  <c r="DC118" i="10"/>
  <c r="DC154" i="10"/>
  <c r="DC121" i="10"/>
  <c r="DC114" i="10"/>
  <c r="DC153" i="10"/>
  <c r="DC42" i="10"/>
  <c r="DC112" i="10"/>
  <c r="DC110" i="10"/>
  <c r="DC74" i="10"/>
  <c r="G50" i="24"/>
  <c r="G51" i="24"/>
  <c r="N32" i="24"/>
  <c r="DC45" i="10"/>
  <c r="G38" i="24"/>
  <c r="DC126" i="10"/>
  <c r="DC107" i="10"/>
  <c r="G56" i="24"/>
  <c r="DC123" i="10"/>
  <c r="DC146" i="10"/>
  <c r="DC78" i="10"/>
  <c r="DC61" i="10"/>
  <c r="N38" i="24"/>
  <c r="DC116" i="10"/>
  <c r="DC65" i="10"/>
  <c r="DC71" i="10"/>
  <c r="DC56" i="10"/>
  <c r="DC96" i="10"/>
  <c r="DC102" i="10"/>
  <c r="G41" i="24"/>
  <c r="N36" i="24"/>
  <c r="DC136" i="10"/>
  <c r="DC151" i="10"/>
  <c r="DC101" i="10"/>
  <c r="DC119" i="10"/>
  <c r="DC156" i="10"/>
  <c r="N31" i="24"/>
  <c r="DC91" i="10"/>
  <c r="N30" i="24"/>
  <c r="N17" i="24"/>
  <c r="DC87" i="10"/>
  <c r="DC94" i="10"/>
  <c r="DP47" i="7"/>
  <c r="DP103" i="7"/>
  <c r="DP129" i="7"/>
  <c r="DP202" i="7"/>
  <c r="DP170" i="7"/>
  <c r="DP184" i="7"/>
  <c r="DP277" i="7"/>
  <c r="DC66" i="10"/>
  <c r="DP244" i="7"/>
  <c r="DC51" i="10"/>
  <c r="DP294" i="7"/>
  <c r="DP148" i="7"/>
  <c r="DP35" i="7"/>
  <c r="DP150" i="7"/>
  <c r="DC73" i="10"/>
  <c r="DP45" i="7"/>
  <c r="DP188" i="7"/>
  <c r="DP113" i="7"/>
  <c r="DC43" i="10"/>
  <c r="DP40" i="7"/>
  <c r="DP56" i="7"/>
  <c r="DP108" i="7"/>
  <c r="DP289" i="7"/>
  <c r="DP249" i="7"/>
  <c r="DP210" i="7"/>
  <c r="DP181" i="7"/>
  <c r="DP89" i="7"/>
  <c r="DP256" i="7"/>
  <c r="DP327" i="7"/>
  <c r="N28" i="24"/>
  <c r="DP109" i="7"/>
  <c r="DP78" i="7"/>
  <c r="DP93" i="7"/>
  <c r="DC54" i="10"/>
  <c r="DP28" i="7"/>
  <c r="DP52" i="7"/>
  <c r="DP42" i="7"/>
  <c r="DP216" i="7"/>
  <c r="DP245" i="7"/>
  <c r="DP144" i="7"/>
  <c r="DP107" i="7"/>
  <c r="DP290" i="7"/>
  <c r="DP194" i="7"/>
  <c r="DP171" i="7"/>
  <c r="DP147" i="7"/>
  <c r="DP9" i="7"/>
  <c r="DP163" i="7"/>
  <c r="DP17" i="7"/>
  <c r="DP175" i="7"/>
  <c r="DC52" i="10"/>
  <c r="DP49" i="7"/>
  <c r="DP314" i="7"/>
  <c r="DP92" i="7"/>
  <c r="DP25" i="7"/>
  <c r="DP154" i="7"/>
  <c r="G201" i="10"/>
  <c r="DP304" i="7"/>
  <c r="DP215" i="7"/>
  <c r="DP275" i="7"/>
  <c r="DP211" i="7"/>
  <c r="DP197" i="7"/>
  <c r="N15" i="24"/>
  <c r="DP333" i="7"/>
  <c r="DP83" i="7"/>
  <c r="DP125" i="7"/>
  <c r="DP131" i="7"/>
  <c r="DP97" i="7"/>
  <c r="DP10" i="7"/>
  <c r="DP248" i="7"/>
  <c r="N103" i="24"/>
  <c r="DC88" i="10"/>
  <c r="DP225" i="7"/>
  <c r="G16" i="24"/>
  <c r="DP336" i="7"/>
  <c r="G19" i="24"/>
  <c r="DP119" i="7"/>
  <c r="DP20" i="7"/>
  <c r="DP143" i="7"/>
  <c r="DP236" i="7"/>
  <c r="G17" i="24"/>
  <c r="N104" i="24"/>
  <c r="DP221" i="7"/>
  <c r="DC47" i="10"/>
  <c r="DP340" i="7"/>
  <c r="DP27" i="7"/>
  <c r="DP332" i="7"/>
  <c r="DP334" i="7"/>
  <c r="DP105" i="7"/>
  <c r="G46" i="24"/>
  <c r="DC46" i="10"/>
  <c r="DP219" i="7"/>
  <c r="DP141" i="7"/>
  <c r="DP19" i="7"/>
  <c r="C200" i="10"/>
  <c r="DP44" i="7"/>
  <c r="DP153" i="7"/>
  <c r="DP76" i="7"/>
  <c r="DP303" i="7"/>
  <c r="DP279" i="7"/>
  <c r="DP23" i="7"/>
  <c r="DP200" i="7"/>
  <c r="DP151" i="7"/>
  <c r="DP191" i="7"/>
  <c r="DP305" i="7"/>
  <c r="DP75" i="7"/>
  <c r="DP302" i="7"/>
  <c r="DP241" i="7"/>
  <c r="DP257" i="7"/>
  <c r="N29" i="24"/>
  <c r="DP306" i="7"/>
  <c r="DP115" i="7"/>
  <c r="DP38" i="7"/>
  <c r="DP177" i="7"/>
  <c r="AC241" i="14"/>
  <c r="DP186" i="7"/>
  <c r="DP72" i="7"/>
  <c r="DP169" i="7"/>
  <c r="DP88" i="7"/>
  <c r="DP87" i="7"/>
  <c r="DP53" i="7"/>
  <c r="DP278" i="7"/>
  <c r="DP102" i="7"/>
  <c r="G31" i="24"/>
  <c r="DP243" i="7"/>
  <c r="DP96" i="7"/>
  <c r="DP291" i="7"/>
  <c r="DP292" i="7"/>
  <c r="DP67" i="7"/>
  <c r="DP331" i="7"/>
  <c r="DP299" i="7"/>
  <c r="DP41" i="7"/>
  <c r="DP82" i="7"/>
  <c r="DP311" i="7"/>
  <c r="DP100" i="7"/>
  <c r="DP269" i="7"/>
  <c r="DP130" i="7"/>
  <c r="DP180" i="7"/>
  <c r="DC144" i="10"/>
  <c r="DP71" i="7"/>
  <c r="DP34" i="7"/>
  <c r="DP224" i="7"/>
  <c r="DP223" i="7"/>
  <c r="DP95" i="7"/>
  <c r="DP325" i="7"/>
  <c r="DP319" i="7"/>
  <c r="DP246" i="7"/>
  <c r="DC53" i="10"/>
  <c r="DP199" i="7"/>
  <c r="DP308" i="7"/>
  <c r="DP39" i="7"/>
  <c r="DP285" i="7"/>
  <c r="N26" i="24"/>
  <c r="DP80" i="7"/>
  <c r="DP132" i="7"/>
  <c r="DP271" i="7"/>
  <c r="DC135" i="10"/>
  <c r="DP116" i="7"/>
  <c r="DP69" i="7"/>
  <c r="DP60" i="7"/>
  <c r="DP209" i="7"/>
  <c r="DP183" i="7"/>
  <c r="DP193" i="7"/>
  <c r="DP207" i="7"/>
  <c r="DP240" i="7"/>
  <c r="DP229" i="7"/>
  <c r="DP213" i="7"/>
  <c r="DP104" i="7"/>
  <c r="DP233" i="7"/>
  <c r="DP260" i="7"/>
  <c r="N16" i="24"/>
  <c r="F201" i="10"/>
  <c r="DP234" i="7"/>
  <c r="DP300" i="7"/>
  <c r="DP73" i="7"/>
  <c r="DC138" i="10"/>
  <c r="DP111" i="7"/>
  <c r="DP263" i="7"/>
  <c r="DP77" i="7"/>
  <c r="DP339" i="7"/>
  <c r="DP335" i="7"/>
  <c r="DP172" i="7"/>
  <c r="DP264" i="7"/>
  <c r="DP29" i="7"/>
  <c r="DP288" i="7"/>
  <c r="DP293" i="7"/>
  <c r="DP63" i="7"/>
  <c r="DP48" i="7"/>
  <c r="DP26" i="7"/>
  <c r="DP237" i="7"/>
  <c r="DP134" i="7"/>
  <c r="DP46" i="7"/>
  <c r="DC70" i="10"/>
  <c r="DP121" i="7"/>
  <c r="DP86" i="7"/>
  <c r="DP140" i="7"/>
  <c r="DP79" i="7"/>
  <c r="DP162" i="7"/>
  <c r="DP58" i="7"/>
  <c r="DP222" i="7"/>
  <c r="DP253" i="7"/>
  <c r="DP309" i="7"/>
  <c r="DP259" i="7"/>
  <c r="DC99" i="10"/>
  <c r="DP217" i="7"/>
  <c r="DP33" i="7"/>
  <c r="DP226" i="7"/>
  <c r="DP51" i="7"/>
  <c r="DP255" i="7"/>
  <c r="DP145" i="7"/>
  <c r="DP14" i="7"/>
  <c r="DP168" i="7"/>
  <c r="DP11" i="7"/>
  <c r="DP242" i="7"/>
  <c r="DP94" i="7"/>
  <c r="DP158" i="7"/>
  <c r="DP155" i="7"/>
  <c r="DC59" i="10"/>
  <c r="DP317" i="7"/>
  <c r="DP3" i="7"/>
  <c r="DP18" i="7"/>
  <c r="DP146" i="7"/>
  <c r="DP50" i="7"/>
  <c r="DP122" i="7"/>
  <c r="DP273" i="7"/>
  <c r="DP167" i="7"/>
  <c r="DP297" i="7"/>
  <c r="DP138" i="7"/>
  <c r="G13" i="24"/>
  <c r="DP12" i="7"/>
  <c r="DP287" i="7"/>
  <c r="DP106" i="7"/>
  <c r="DP98" i="7"/>
  <c r="DP16" i="7"/>
  <c r="DP238" i="7"/>
  <c r="DP161" i="7"/>
  <c r="DP189" i="7"/>
  <c r="DP160" i="7"/>
  <c r="DP230" i="7"/>
  <c r="N24" i="24"/>
  <c r="DP286" i="7"/>
  <c r="DP328" i="7"/>
  <c r="DP307" i="7"/>
  <c r="DC80" i="10"/>
  <c r="DP135" i="7"/>
  <c r="DP110" i="7"/>
  <c r="DP324" i="7"/>
  <c r="DP227" i="7"/>
  <c r="DP313" i="7"/>
  <c r="DP208" i="7"/>
  <c r="DP323" i="7"/>
  <c r="DP137" i="7"/>
  <c r="N25" i="24"/>
  <c r="DP136" i="7"/>
  <c r="N101" i="24"/>
  <c r="DP90" i="7"/>
  <c r="DP262" i="7"/>
  <c r="DP205" i="7"/>
  <c r="DP258" i="7"/>
  <c r="DP37" i="7"/>
  <c r="DP192" i="7"/>
  <c r="DP276" i="7"/>
  <c r="DP250" i="7"/>
  <c r="DP54" i="7"/>
  <c r="DP62" i="7"/>
  <c r="DP298" i="7"/>
  <c r="DP295" i="7"/>
  <c r="DP59" i="7"/>
  <c r="DP265" i="7"/>
  <c r="DP74" i="7"/>
  <c r="G32" i="24"/>
  <c r="DP196" i="7"/>
  <c r="DP179" i="7"/>
  <c r="DP274" i="7"/>
  <c r="DP198" i="7"/>
  <c r="DP55" i="7"/>
  <c r="DP218" i="7"/>
  <c r="DP318" i="7"/>
  <c r="DP99" i="7"/>
  <c r="DP235" i="7"/>
  <c r="DP204" i="7"/>
  <c r="DP182" i="7"/>
  <c r="DP185" i="7"/>
  <c r="DP261" i="7"/>
  <c r="N106" i="24"/>
  <c r="DP126" i="7"/>
  <c r="DP266" i="7"/>
  <c r="G21" i="24"/>
  <c r="DP212" i="7"/>
  <c r="N105" i="24"/>
  <c r="DP252" i="7"/>
  <c r="DP64" i="7"/>
  <c r="DP296" i="7"/>
  <c r="DP81" i="7"/>
  <c r="DP206" i="7"/>
  <c r="DP315" i="7"/>
  <c r="DC50" i="10"/>
  <c r="DP84" i="7"/>
  <c r="DP152" i="7"/>
  <c r="DP142" i="7"/>
  <c r="DP133" i="7"/>
  <c r="DP326" i="7"/>
  <c r="N14" i="24"/>
  <c r="DC49" i="10"/>
  <c r="DP322" i="7"/>
  <c r="DP232" i="7"/>
  <c r="BX201" i="10"/>
  <c r="DP280" i="7"/>
  <c r="DP156" i="7"/>
  <c r="DP254" i="7"/>
  <c r="DP159" i="7"/>
  <c r="DP120" i="7"/>
  <c r="DP190" i="7"/>
  <c r="DP70" i="7"/>
  <c r="DP316" i="7"/>
  <c r="DP85" i="7"/>
  <c r="DP282" i="7"/>
  <c r="DP21" i="7"/>
  <c r="N27" i="24"/>
  <c r="DP30" i="7"/>
  <c r="DP7" i="7"/>
  <c r="G45" i="24"/>
  <c r="DP66" i="7"/>
  <c r="DP338" i="7"/>
  <c r="DP91" i="7"/>
  <c r="DP4" i="7"/>
  <c r="DC77" i="10"/>
  <c r="DP43" i="7"/>
  <c r="DP231" i="7"/>
  <c r="DP31" i="7"/>
  <c r="DP117" i="7"/>
  <c r="DP267" i="7"/>
  <c r="DP301" i="7"/>
  <c r="DP220" i="7"/>
  <c r="DP173" i="7"/>
  <c r="DP112" i="7"/>
  <c r="DP101" i="7"/>
  <c r="DP187" i="7"/>
  <c r="N102" i="24"/>
  <c r="DP36" i="7"/>
  <c r="DC129" i="10"/>
  <c r="DP251" i="7"/>
  <c r="DC57" i="10"/>
  <c r="DP139" i="7"/>
  <c r="DP149" i="7"/>
  <c r="DP8" i="7"/>
  <c r="DP57" i="7"/>
  <c r="DP201" i="7"/>
  <c r="DP320" i="7"/>
  <c r="DP312" i="7"/>
  <c r="DP178" i="7"/>
  <c r="DP5" i="7"/>
  <c r="DP272" i="7"/>
  <c r="DP118" i="7"/>
  <c r="DC137" i="10"/>
  <c r="DP268" i="7"/>
  <c r="G44" i="24"/>
  <c r="DP321" i="7"/>
  <c r="DP32" i="7"/>
  <c r="DP337" i="7"/>
  <c r="DP166" i="7"/>
  <c r="DP174" i="7"/>
  <c r="DP68" i="7"/>
  <c r="DC130" i="10"/>
  <c r="DP330" i="7"/>
  <c r="DP228" i="7"/>
  <c r="DP15" i="7"/>
  <c r="DP24" i="7"/>
  <c r="G15" i="24"/>
  <c r="DP203" i="7"/>
  <c r="DP6" i="7"/>
  <c r="G18" i="24"/>
  <c r="DP310" i="7"/>
  <c r="DP114" i="7"/>
  <c r="DP61" i="7"/>
  <c r="G14" i="24"/>
  <c r="DP239" i="7"/>
  <c r="G22" i="24"/>
  <c r="DP164" i="7"/>
  <c r="G12" i="24"/>
  <c r="DP281" i="7"/>
  <c r="DP195" i="7"/>
  <c r="DP128" i="7"/>
  <c r="DP13" i="7"/>
  <c r="DP329" i="7"/>
  <c r="DP214" i="7"/>
  <c r="DP127" i="7"/>
  <c r="DP165" i="7"/>
  <c r="DP123" i="7"/>
  <c r="DP270" i="7"/>
  <c r="DP176" i="7"/>
  <c r="DP157" i="7"/>
  <c r="DP124" i="7"/>
  <c r="DP247" i="7"/>
  <c r="DP22" i="7"/>
  <c r="DC97" i="10"/>
  <c r="G20" i="24"/>
  <c r="DP283" i="7"/>
  <c r="DP284" i="7"/>
  <c r="DP65" i="7"/>
  <c r="J131" i="10" l="1"/>
  <c r="J48" i="10"/>
  <c r="J156" i="10"/>
  <c r="J153" i="10"/>
  <c r="J120" i="10"/>
  <c r="J149" i="10"/>
  <c r="J119" i="10"/>
  <c r="J143" i="10"/>
  <c r="J113" i="10"/>
  <c r="J101" i="10"/>
  <c r="J121" i="10"/>
  <c r="J111" i="10"/>
  <c r="J132" i="10"/>
  <c r="J151" i="10"/>
  <c r="J154" i="10"/>
  <c r="J136" i="10"/>
  <c r="J118" i="10"/>
  <c r="J84" i="10"/>
  <c r="J134" i="10"/>
  <c r="J64" i="10"/>
  <c r="J90" i="10"/>
  <c r="J102" i="10"/>
  <c r="J95" i="10"/>
  <c r="J140" i="10"/>
  <c r="J96" i="10"/>
  <c r="J103" i="10"/>
  <c r="J124" i="10"/>
  <c r="J56" i="10"/>
  <c r="J71" i="10"/>
  <c r="J62" i="10"/>
  <c r="J89" i="10"/>
  <c r="J65" i="10"/>
  <c r="J63" i="10"/>
  <c r="J152" i="10"/>
  <c r="J116" i="10"/>
  <c r="J115" i="10"/>
  <c r="J150" i="10"/>
  <c r="J148" i="10"/>
  <c r="J128" i="10"/>
  <c r="J125" i="10"/>
  <c r="J141" i="10"/>
  <c r="J61" i="10"/>
  <c r="J142" i="10"/>
  <c r="J108" i="10"/>
  <c r="J78" i="10"/>
  <c r="J146" i="10"/>
  <c r="J155" i="10"/>
  <c r="J139" i="10"/>
  <c r="J147" i="10"/>
  <c r="J123" i="10"/>
  <c r="J145" i="10"/>
  <c r="J122" i="10"/>
  <c r="J67" i="10"/>
  <c r="J44" i="10"/>
  <c r="J117" i="10"/>
  <c r="J107" i="10"/>
  <c r="J58" i="10"/>
  <c r="J126" i="10"/>
  <c r="J105" i="10"/>
  <c r="J127" i="10"/>
  <c r="J69" i="10"/>
  <c r="J82" i="10"/>
  <c r="J45" i="10"/>
  <c r="J55" i="10"/>
  <c r="G145" i="39"/>
  <c r="O162" i="10"/>
  <c r="P104" i="24"/>
  <c r="I104" i="24" s="1"/>
  <c r="R24" i="24"/>
  <c r="S24" i="24" s="1"/>
  <c r="DC17" i="10"/>
  <c r="J17" i="10" s="1"/>
  <c r="DC16" i="10"/>
  <c r="J16" i="10" s="1"/>
  <c r="DC18" i="10"/>
  <c r="J18" i="10" s="1"/>
  <c r="DC19" i="10"/>
  <c r="J19" i="10" s="1"/>
  <c r="DC31" i="10"/>
  <c r="J31" i="10" s="1"/>
  <c r="DC15" i="10"/>
  <c r="J15" i="10" s="1"/>
  <c r="DC27" i="10"/>
  <c r="J27" i="10" s="1"/>
  <c r="DC26" i="10"/>
  <c r="J26" i="10" s="1"/>
  <c r="O163" i="10"/>
  <c r="G146" i="39"/>
  <c r="P105" i="24"/>
  <c r="I105" i="24" s="1"/>
  <c r="J157" i="10"/>
  <c r="J100" i="10"/>
  <c r="J87" i="10"/>
  <c r="J73" i="10"/>
  <c r="J77" i="10"/>
  <c r="J137" i="10"/>
  <c r="J79" i="10"/>
  <c r="J135" i="10"/>
  <c r="J85" i="10"/>
  <c r="J130" i="10"/>
  <c r="J138" i="10"/>
  <c r="J88" i="10"/>
  <c r="J129" i="10"/>
  <c r="J97" i="10"/>
  <c r="J74" i="10"/>
  <c r="J98" i="10"/>
  <c r="J99" i="10"/>
  <c r="J144" i="10"/>
  <c r="J54" i="10"/>
  <c r="J66" i="10"/>
  <c r="J110" i="10"/>
  <c r="J76" i="10"/>
  <c r="J53" i="10"/>
  <c r="J80" i="10"/>
  <c r="J59" i="10"/>
  <c r="J75" i="10"/>
  <c r="J91" i="10"/>
  <c r="J46" i="10"/>
  <c r="J70" i="10"/>
  <c r="J51" i="10"/>
  <c r="J49" i="10"/>
  <c r="J47" i="10"/>
  <c r="J52" i="10"/>
  <c r="J112" i="10"/>
  <c r="J50" i="10"/>
  <c r="J43" i="10"/>
  <c r="J57" i="10"/>
  <c r="BF32" i="18"/>
  <c r="U18" i="24"/>
  <c r="V18" i="24" s="1"/>
  <c r="V41" i="24"/>
  <c r="BF43" i="18"/>
  <c r="DC37" i="10"/>
  <c r="J37" i="10" s="1"/>
  <c r="DC35" i="10"/>
  <c r="J35" i="10" s="1"/>
  <c r="DC36" i="10"/>
  <c r="J36" i="10" s="1"/>
  <c r="BF41" i="18"/>
  <c r="DP344" i="7"/>
  <c r="DP343" i="7"/>
  <c r="DP341" i="7"/>
  <c r="DP349" i="7"/>
  <c r="DP351" i="7"/>
  <c r="DP348" i="7"/>
  <c r="DP350" i="7"/>
  <c r="DP346" i="7"/>
  <c r="DP342" i="7"/>
  <c r="DP345" i="7"/>
  <c r="DP347" i="7"/>
  <c r="EK174" i="14"/>
  <c r="EH174" i="14"/>
  <c r="EC174" i="14"/>
  <c r="BO174" i="14"/>
  <c r="G174" i="14" s="1"/>
  <c r="EQ174" i="14"/>
  <c r="EN174" i="14"/>
  <c r="ER174" i="14"/>
  <c r="EA174" i="14"/>
  <c r="DU174" i="14"/>
  <c r="EL174" i="14"/>
  <c r="EO174" i="14"/>
  <c r="EM174" i="14"/>
  <c r="DZ174" i="14"/>
  <c r="EF174" i="14"/>
  <c r="DW174" i="14"/>
  <c r="EE174" i="14"/>
  <c r="DT174" i="14"/>
  <c r="EG174" i="14"/>
  <c r="EJ174" i="14"/>
  <c r="DY174" i="14"/>
  <c r="DV174" i="14"/>
  <c r="EP174" i="14"/>
  <c r="DS174" i="14"/>
  <c r="EB174" i="14"/>
  <c r="ED174" i="14"/>
  <c r="EI174" i="14"/>
  <c r="ES174" i="14"/>
  <c r="DX174" i="14"/>
  <c r="DO344" i="7"/>
  <c r="BJ38" i="18"/>
  <c r="A1" i="24"/>
  <c r="BJ32" i="18"/>
  <c r="BD32" i="18" s="1"/>
  <c r="C2" i="43"/>
  <c r="BJ37" i="18"/>
  <c r="O33" i="1"/>
  <c r="BJ35" i="18"/>
  <c r="A68" i="24"/>
  <c r="BJ43" i="18"/>
  <c r="K33" i="1"/>
  <c r="D65" i="22" s="1"/>
  <c r="BJ41" i="18"/>
  <c r="BJ40" i="18"/>
  <c r="K36" i="1"/>
  <c r="L36" i="1" s="1"/>
  <c r="P27" i="10" s="1"/>
  <c r="C15" i="39" s="1"/>
  <c r="E14" i="29"/>
  <c r="K30" i="1"/>
  <c r="L30" i="1" s="1"/>
  <c r="BJ42" i="18"/>
  <c r="K34" i="1"/>
  <c r="BJ36" i="18"/>
  <c r="AS23" i="33"/>
  <c r="AQ23" i="33"/>
  <c r="AN23" i="33"/>
  <c r="AS28" i="33"/>
  <c r="AN28" i="33"/>
  <c r="AQ28" i="33"/>
  <c r="F177" i="7"/>
  <c r="K251" i="14"/>
  <c r="BJ33" i="18"/>
  <c r="D2" i="43"/>
  <c r="V54" i="33"/>
  <c r="E2" i="43"/>
  <c r="K37" i="1"/>
  <c r="L37" i="1" s="1"/>
  <c r="V55" i="3"/>
  <c r="BJ34" i="18"/>
  <c r="K38" i="1"/>
  <c r="L38" i="1" s="1"/>
  <c r="H15" i="18"/>
  <c r="BJ39" i="18"/>
  <c r="DO343" i="7"/>
  <c r="DO341" i="7"/>
  <c r="AM220" i="14"/>
  <c r="P220" i="14"/>
  <c r="N220" i="14"/>
  <c r="AM217" i="14"/>
  <c r="P217" i="14"/>
  <c r="N217" i="14"/>
  <c r="AM221" i="14"/>
  <c r="N221" i="14"/>
  <c r="P221" i="14"/>
  <c r="N213" i="14"/>
  <c r="AM213" i="14"/>
  <c r="P213" i="14"/>
  <c r="BF33" i="18"/>
  <c r="K174" i="14"/>
  <c r="AG174" i="14" s="1"/>
  <c r="AQ174" i="14"/>
  <c r="BM174" i="14"/>
  <c r="AT174" i="14"/>
  <c r="BK174" i="14"/>
  <c r="AF174" i="14"/>
  <c r="BA174" i="14"/>
  <c r="AY174" i="14"/>
  <c r="AR174" i="14"/>
  <c r="BD174" i="14"/>
  <c r="U174" i="14"/>
  <c r="R174" i="14"/>
  <c r="AZ174" i="14"/>
  <c r="AK174" i="14"/>
  <c r="E161" i="40"/>
  <c r="AE174" i="14"/>
  <c r="AD174" i="14"/>
  <c r="BF174" i="14"/>
  <c r="AO174" i="14"/>
  <c r="AP174" i="14"/>
  <c r="S174" i="14"/>
  <c r="AC174" i="14"/>
  <c r="BN174" i="14"/>
  <c r="AU174" i="14"/>
  <c r="AS174" i="14"/>
  <c r="Z174" i="14"/>
  <c r="V174" i="14"/>
  <c r="M174" i="14"/>
  <c r="AA174" i="14"/>
  <c r="AX174" i="14"/>
  <c r="AI174" i="14"/>
  <c r="AJ174" i="14"/>
  <c r="BC174" i="14"/>
  <c r="BF37" i="18"/>
  <c r="DO349" i="7"/>
  <c r="U6" i="3"/>
  <c r="U5" i="3"/>
  <c r="AB78" i="33"/>
  <c r="Y78" i="33"/>
  <c r="AE78" i="33"/>
  <c r="M35" i="1" s="1"/>
  <c r="AN31" i="33"/>
  <c r="AQ31" i="33"/>
  <c r="AS31" i="33"/>
  <c r="AD12" i="18"/>
  <c r="AO12" i="18"/>
  <c r="AJ12" i="18"/>
  <c r="AN12" i="18"/>
  <c r="AQ12" i="18"/>
  <c r="BJ12" i="18"/>
  <c r="BH12" i="18"/>
  <c r="AZ12" i="18"/>
  <c r="BG12" i="18"/>
  <c r="AU12" i="18"/>
  <c r="Y12" i="18"/>
  <c r="AW12" i="18"/>
  <c r="O12" i="18"/>
  <c r="BC12" i="18"/>
  <c r="BK12" i="18"/>
  <c r="X12" i="18"/>
  <c r="AI12" i="18"/>
  <c r="BD12" i="18"/>
  <c r="BI12" i="18"/>
  <c r="Z12" i="18"/>
  <c r="AB12" i="18"/>
  <c r="AK12" i="18"/>
  <c r="BE12" i="18"/>
  <c r="S12" i="18"/>
  <c r="AS12" i="18"/>
  <c r="V12" i="18"/>
  <c r="AH12" i="18"/>
  <c r="AF12" i="18"/>
  <c r="BB12" i="18"/>
  <c r="AG12" i="18"/>
  <c r="AE12" i="18"/>
  <c r="AL12" i="18"/>
  <c r="BF12" i="18"/>
  <c r="AP12" i="18"/>
  <c r="R12" i="18"/>
  <c r="H12" i="18"/>
  <c r="M29" i="1" s="1"/>
  <c r="AX12" i="18"/>
  <c r="AT12" i="18"/>
  <c r="W12" i="18"/>
  <c r="AC12" i="18"/>
  <c r="AV12" i="18"/>
  <c r="AA12" i="18"/>
  <c r="BA12" i="18"/>
  <c r="Q12" i="18"/>
  <c r="AY12" i="18"/>
  <c r="T12" i="18"/>
  <c r="AR12" i="18"/>
  <c r="U12" i="18"/>
  <c r="P12" i="18"/>
  <c r="AN66" i="33"/>
  <c r="AQ66" i="33"/>
  <c r="AS66" i="33"/>
  <c r="B175" i="14" s="1"/>
  <c r="AS14" i="33"/>
  <c r="AQ14" i="33"/>
  <c r="AN14" i="33"/>
  <c r="DO351" i="7"/>
  <c r="DO348" i="7"/>
  <c r="BF36" i="18"/>
  <c r="H2" i="43"/>
  <c r="C38" i="1"/>
  <c r="AE35" i="33"/>
  <c r="Y35" i="33"/>
  <c r="AB35" i="33"/>
  <c r="DO350" i="7"/>
  <c r="DN352" i="7"/>
  <c r="P203" i="14"/>
  <c r="AK203" i="14"/>
  <c r="AM203" i="14"/>
  <c r="AI203" i="14"/>
  <c r="BE203" i="14"/>
  <c r="AY203" i="14"/>
  <c r="T203" i="14"/>
  <c r="AB203" i="14"/>
  <c r="Q203" i="14"/>
  <c r="AF203" i="14"/>
  <c r="BF203" i="14"/>
  <c r="AD203" i="14"/>
  <c r="U203" i="14"/>
  <c r="BB203" i="14"/>
  <c r="AO203" i="14"/>
  <c r="X203" i="14"/>
  <c r="V203" i="14"/>
  <c r="AJ203" i="14"/>
  <c r="S203" i="14"/>
  <c r="AV203" i="14"/>
  <c r="AN203" i="14"/>
  <c r="BG203" i="14"/>
  <c r="BC203" i="14"/>
  <c r="AR203" i="14"/>
  <c r="AP203" i="14"/>
  <c r="Y203" i="14"/>
  <c r="AH203" i="14"/>
  <c r="AE203" i="14"/>
  <c r="AX203" i="14"/>
  <c r="AS203" i="14"/>
  <c r="AG203" i="14"/>
  <c r="AA203" i="14"/>
  <c r="AC203" i="14"/>
  <c r="AW203" i="14"/>
  <c r="Z203" i="14"/>
  <c r="BH203" i="14"/>
  <c r="BD203" i="14"/>
  <c r="BA203" i="14"/>
  <c r="M203" i="14"/>
  <c r="R203" i="14"/>
  <c r="AT203" i="14"/>
  <c r="AZ203" i="14"/>
  <c r="AU203" i="14"/>
  <c r="AA64" i="22"/>
  <c r="W203" i="14"/>
  <c r="AQ203" i="14"/>
  <c r="P215" i="14"/>
  <c r="AM215" i="14"/>
  <c r="N215" i="14"/>
  <c r="N222" i="14"/>
  <c r="P222" i="14"/>
  <c r="AM222" i="14"/>
  <c r="N216" i="14"/>
  <c r="P216" i="14"/>
  <c r="AM216" i="14"/>
  <c r="P223" i="14"/>
  <c r="AM223" i="14"/>
  <c r="N223" i="14"/>
  <c r="C69" i="41"/>
  <c r="A69" i="41" s="1"/>
  <c r="E44" i="3"/>
  <c r="R32" i="3" s="1"/>
  <c r="AS20" i="33"/>
  <c r="AQ20" i="33"/>
  <c r="AN20" i="33"/>
  <c r="AN32" i="33"/>
  <c r="AQ32" i="33"/>
  <c r="K234" i="14"/>
  <c r="K235" i="14"/>
  <c r="K231" i="14"/>
  <c r="B226" i="14"/>
  <c r="K228" i="14"/>
  <c r="K229" i="14"/>
  <c r="K230" i="14"/>
  <c r="K232" i="14"/>
  <c r="K233" i="14"/>
  <c r="BF42" i="18"/>
  <c r="Y104" i="20"/>
  <c r="X104" i="20"/>
  <c r="Z105" i="20"/>
  <c r="BF38" i="18"/>
  <c r="DO346" i="7"/>
  <c r="DO342" i="7"/>
  <c r="G2" i="43"/>
  <c r="BJ44" i="18"/>
  <c r="X241" i="14"/>
  <c r="Z242" i="14"/>
  <c r="D241" i="14"/>
  <c r="CO4" i="14" s="1"/>
  <c r="EA175" i="14"/>
  <c r="EE175" i="14"/>
  <c r="EB175" i="14"/>
  <c r="EI175" i="14"/>
  <c r="DV175" i="14"/>
  <c r="EH175" i="14"/>
  <c r="EG175" i="14"/>
  <c r="ER175" i="14"/>
  <c r="EC175" i="14"/>
  <c r="EK175" i="14"/>
  <c r="ED175" i="14"/>
  <c r="ES175" i="14"/>
  <c r="DZ175" i="14"/>
  <c r="BO175" i="14"/>
  <c r="G175" i="14" s="1"/>
  <c r="DS175" i="14"/>
  <c r="EQ175" i="14"/>
  <c r="DU175" i="14"/>
  <c r="EP175" i="14"/>
  <c r="DY175" i="14"/>
  <c r="DX175" i="14"/>
  <c r="EF175" i="14"/>
  <c r="EL175" i="14"/>
  <c r="DW175" i="14"/>
  <c r="EM175" i="14"/>
  <c r="EJ175" i="14"/>
  <c r="EN175" i="14"/>
  <c r="DT175" i="14"/>
  <c r="EO175" i="14"/>
  <c r="AN64" i="33"/>
  <c r="AS64" i="33"/>
  <c r="AQ64" i="33"/>
  <c r="AQ19" i="33"/>
  <c r="AS19" i="33"/>
  <c r="AN19" i="33"/>
  <c r="AQ15" i="33"/>
  <c r="AS15" i="33"/>
  <c r="AN15" i="33"/>
  <c r="AS21" i="33"/>
  <c r="AQ21" i="33"/>
  <c r="AN21" i="33"/>
  <c r="BF39" i="18"/>
  <c r="DO345" i="7"/>
  <c r="AS18" i="33"/>
  <c r="AN18" i="33"/>
  <c r="AQ18" i="33"/>
  <c r="J42" i="10"/>
  <c r="BF204" i="14"/>
  <c r="AN204" i="14"/>
  <c r="X204" i="14"/>
  <c r="AQ204" i="14"/>
  <c r="AZ204" i="14"/>
  <c r="AR204" i="14"/>
  <c r="AS204" i="14"/>
  <c r="AT204" i="14"/>
  <c r="AW204" i="14"/>
  <c r="AM204" i="14"/>
  <c r="BH204" i="14"/>
  <c r="P204" i="14"/>
  <c r="BA204" i="14"/>
  <c r="AH204" i="14"/>
  <c r="BC204" i="14"/>
  <c r="AJ204" i="14"/>
  <c r="Q204" i="14"/>
  <c r="AK204" i="14"/>
  <c r="AE204" i="14"/>
  <c r="Z204" i="14"/>
  <c r="Y204" i="14"/>
  <c r="AX204" i="14"/>
  <c r="BD204" i="14"/>
  <c r="T204" i="14"/>
  <c r="W204" i="14"/>
  <c r="AP204" i="14"/>
  <c r="BG204" i="14"/>
  <c r="AY204" i="14"/>
  <c r="AB204" i="14"/>
  <c r="AD204" i="14"/>
  <c r="V204" i="14"/>
  <c r="AA204" i="14"/>
  <c r="AO204" i="14"/>
  <c r="AU204" i="14"/>
  <c r="AI204" i="14"/>
  <c r="S204" i="14"/>
  <c r="U204" i="14"/>
  <c r="R204" i="14"/>
  <c r="AG204" i="14"/>
  <c r="BE204" i="14"/>
  <c r="BB204" i="14"/>
  <c r="AF204" i="14"/>
  <c r="AV204" i="14"/>
  <c r="AC204" i="14"/>
  <c r="AM218" i="14"/>
  <c r="N218" i="14"/>
  <c r="P218" i="14"/>
  <c r="AM219" i="14"/>
  <c r="N219" i="14"/>
  <c r="P219" i="14"/>
  <c r="N224" i="14"/>
  <c r="AM224" i="14"/>
  <c r="P224" i="14"/>
  <c r="P214" i="14"/>
  <c r="AM214" i="14"/>
  <c r="N214" i="14"/>
  <c r="F2" i="43"/>
  <c r="AN30" i="33"/>
  <c r="AQ30" i="33"/>
  <c r="AS30" i="33"/>
  <c r="BF34" i="18"/>
  <c r="BF35" i="18"/>
  <c r="AQ82" i="33"/>
  <c r="AS82" i="33"/>
  <c r="AN82" i="33"/>
  <c r="A67" i="41"/>
  <c r="B67" i="41"/>
  <c r="AQ144" i="33"/>
  <c r="AQ153" i="33" s="1"/>
  <c r="J6" i="24" s="1"/>
  <c r="BF44" i="18"/>
  <c r="BF40" i="18"/>
  <c r="DO347" i="7"/>
  <c r="P225" i="14"/>
  <c r="AM225" i="14"/>
  <c r="N225" i="14"/>
  <c r="AM212" i="14"/>
  <c r="P212" i="14"/>
  <c r="N212" i="14"/>
  <c r="P210" i="14"/>
  <c r="N210" i="14"/>
  <c r="AM210" i="14"/>
  <c r="P211" i="14"/>
  <c r="AM211" i="14"/>
  <c r="N211" i="14"/>
  <c r="AQ17" i="33"/>
  <c r="AS17" i="33"/>
  <c r="AW17" i="33" s="1"/>
  <c r="AN17" i="33"/>
  <c r="AN26" i="33"/>
  <c r="AS26" i="33"/>
  <c r="AQ26" i="33"/>
  <c r="AE34" i="33"/>
  <c r="AB34" i="33"/>
  <c r="Y34" i="33"/>
  <c r="AE77" i="33"/>
  <c r="AB77" i="33"/>
  <c r="Y77" i="33"/>
  <c r="AQ29" i="33"/>
  <c r="AS29" i="33"/>
  <c r="AN29" i="33"/>
  <c r="AS33" i="33"/>
  <c r="AN33" i="33"/>
  <c r="AQ33" i="33"/>
  <c r="AS25" i="33"/>
  <c r="AN25" i="33"/>
  <c r="AQ25" i="33"/>
  <c r="AS24" i="33"/>
  <c r="AN24" i="33"/>
  <c r="AQ24" i="33"/>
  <c r="V18" i="18"/>
  <c r="BP18" i="18"/>
  <c r="Z18" i="18"/>
  <c r="AV18" i="18"/>
  <c r="P18" i="18"/>
  <c r="Q18" i="18"/>
  <c r="O18" i="18"/>
  <c r="BM18" i="18"/>
  <c r="W18" i="18"/>
  <c r="BJ18" i="18"/>
  <c r="BB18" i="18"/>
  <c r="BL18" i="18"/>
  <c r="BC18" i="18"/>
  <c r="BD18" i="18"/>
  <c r="BV18" i="18"/>
  <c r="BA18" i="18"/>
  <c r="R18" i="18"/>
  <c r="AH18" i="18"/>
  <c r="AI18" i="18"/>
  <c r="AU18" i="18"/>
  <c r="AF18" i="18"/>
  <c r="AE18" i="18"/>
  <c r="AD18" i="18"/>
  <c r="BR18" i="18"/>
  <c r="Y18" i="18"/>
  <c r="AJ18" i="18"/>
  <c r="X18" i="18"/>
  <c r="BT18" i="18"/>
  <c r="AN18" i="18"/>
  <c r="T18" i="18"/>
  <c r="AW18" i="18"/>
  <c r="AG18" i="18"/>
  <c r="AP18" i="18"/>
  <c r="AK18" i="18"/>
  <c r="BQ18" i="18"/>
  <c r="AB18" i="18"/>
  <c r="AC18" i="18"/>
  <c r="S18" i="18"/>
  <c r="BK18" i="18"/>
  <c r="BS18" i="18"/>
  <c r="AY18" i="18"/>
  <c r="BH18" i="18"/>
  <c r="BO18" i="18"/>
  <c r="BG18" i="18"/>
  <c r="BU18" i="18"/>
  <c r="BI18" i="18"/>
  <c r="AQ18" i="18"/>
  <c r="AS18" i="18"/>
  <c r="BF18" i="18"/>
  <c r="AO18" i="18"/>
  <c r="AZ18" i="18"/>
  <c r="AA18" i="18"/>
  <c r="AR18" i="18"/>
  <c r="BW18" i="18"/>
  <c r="AL18" i="18"/>
  <c r="BE18" i="18"/>
  <c r="H18" i="18"/>
  <c r="U18" i="18"/>
  <c r="AX18" i="18"/>
  <c r="AT18" i="18"/>
  <c r="BN18" i="18"/>
  <c r="GX76" i="7"/>
  <c r="AU11" i="14"/>
  <c r="AE48" i="28"/>
  <c r="BH11" i="14"/>
  <c r="AO11" i="14"/>
  <c r="BD11" i="14"/>
  <c r="AT11" i="14"/>
  <c r="AV11" i="14"/>
  <c r="BE11" i="14"/>
  <c r="AR11" i="14"/>
  <c r="AY11" i="14"/>
  <c r="BM11" i="14"/>
  <c r="AW11" i="14"/>
  <c r="AQ11" i="14"/>
  <c r="AS11" i="14"/>
  <c r="AP11" i="14"/>
  <c r="BB11" i="14"/>
  <c r="BK11" i="14"/>
  <c r="BG11" i="14"/>
  <c r="BN11" i="14"/>
  <c r="BA11" i="14"/>
  <c r="BJ11" i="14"/>
  <c r="BI11" i="14"/>
  <c r="BC11" i="14"/>
  <c r="BF11" i="14"/>
  <c r="AZ11" i="14"/>
  <c r="BL11" i="14"/>
  <c r="S57" i="24"/>
  <c r="V89" i="24"/>
  <c r="U90" i="24" s="1"/>
  <c r="K89" i="24"/>
  <c r="L89" i="24"/>
  <c r="O89" i="24"/>
  <c r="P89" i="24"/>
  <c r="J89" i="24"/>
  <c r="P41" i="24"/>
  <c r="I41" i="24" s="1"/>
  <c r="J41" i="24"/>
  <c r="L41" i="24"/>
  <c r="F6" i="38"/>
  <c r="C6" i="38"/>
  <c r="A6" i="38"/>
  <c r="B6" i="38" s="1"/>
  <c r="B57" i="24"/>
  <c r="E57" i="24"/>
  <c r="H57" i="24"/>
  <c r="A57" i="24" s="1"/>
  <c r="R58" i="24"/>
  <c r="U42" i="24"/>
  <c r="V42" i="24" s="1"/>
  <c r="O88" i="24"/>
  <c r="J88" i="24"/>
  <c r="L88" i="24"/>
  <c r="K88" i="24"/>
  <c r="P88" i="24"/>
  <c r="P11" i="14"/>
  <c r="CH11" i="14"/>
  <c r="CI11" i="14" s="1"/>
  <c r="C11" i="14"/>
  <c r="CL11" i="14"/>
  <c r="CE11" i="14"/>
  <c r="A2" i="40"/>
  <c r="E2" i="40" s="1"/>
  <c r="BP11" i="14"/>
  <c r="BX11" i="14"/>
  <c r="CG11" i="14"/>
  <c r="CJ11" i="14"/>
  <c r="CK11" i="14" s="1"/>
  <c r="BQ11" i="14"/>
  <c r="CA11" i="14" s="1"/>
  <c r="CB11" i="14"/>
  <c r="B7" i="22"/>
  <c r="DE11" i="14"/>
  <c r="DD11" i="14"/>
  <c r="DI11" i="14"/>
  <c r="DS11" i="14"/>
  <c r="EH11" i="14"/>
  <c r="DF11" i="14"/>
  <c r="CV11" i="14"/>
  <c r="EA11" i="14"/>
  <c r="EC11" i="14"/>
  <c r="EN11" i="14"/>
  <c r="DG11" i="14"/>
  <c r="EO11" i="14"/>
  <c r="EM11" i="14"/>
  <c r="DL11" i="14"/>
  <c r="DQ11" i="14"/>
  <c r="ER11" i="14"/>
  <c r="CZ11" i="14"/>
  <c r="DC11" i="14"/>
  <c r="DV11" i="14"/>
  <c r="BO11" i="14"/>
  <c r="G11" i="14" s="1"/>
  <c r="DY11" i="14"/>
  <c r="EK11" i="14"/>
  <c r="DA11" i="14"/>
  <c r="EJ11" i="14"/>
  <c r="EF11" i="14"/>
  <c r="EG11" i="14"/>
  <c r="D11" i="14"/>
  <c r="DX11" i="14"/>
  <c r="ES11" i="14"/>
  <c r="DW11" i="14"/>
  <c r="EE11" i="14"/>
  <c r="DP11" i="14"/>
  <c r="DT11" i="14"/>
  <c r="DB11" i="14"/>
  <c r="DM11" i="14"/>
  <c r="DZ11" i="14"/>
  <c r="DN11" i="14"/>
  <c r="ED11" i="14"/>
  <c r="EI11" i="14"/>
  <c r="DJ11" i="14"/>
  <c r="CX11" i="14"/>
  <c r="EL11" i="14"/>
  <c r="CW11" i="14"/>
  <c r="DH11" i="14"/>
  <c r="EB11" i="14"/>
  <c r="CY11" i="14"/>
  <c r="DU11" i="14"/>
  <c r="DK11" i="14"/>
  <c r="EQ11" i="14"/>
  <c r="EP11" i="14"/>
  <c r="DO11" i="14"/>
  <c r="F9" i="42"/>
  <c r="E9" i="42"/>
  <c r="A8" i="42"/>
  <c r="B8" i="42" s="1"/>
  <c r="C8" i="42"/>
  <c r="AH61" i="14"/>
  <c r="T61" i="14"/>
  <c r="U61" i="14"/>
  <c r="AD61" i="14"/>
  <c r="AA61" i="14"/>
  <c r="AJ61" i="14"/>
  <c r="S61" i="14"/>
  <c r="Z61" i="14"/>
  <c r="AI61" i="14"/>
  <c r="AE61" i="14"/>
  <c r="AK61" i="14"/>
  <c r="AF61" i="14"/>
  <c r="V61" i="14"/>
  <c r="AG61" i="14"/>
  <c r="W61" i="14"/>
  <c r="AB61" i="14"/>
  <c r="Y61" i="14"/>
  <c r="AL61" i="14"/>
  <c r="R61" i="14"/>
  <c r="AC61" i="14"/>
  <c r="X61" i="14"/>
  <c r="CA63" i="14"/>
  <c r="BR63" i="14"/>
  <c r="D63" i="14" s="1"/>
  <c r="CC63" i="14"/>
  <c r="CA39" i="14"/>
  <c r="BR39" i="14"/>
  <c r="CC39" i="14"/>
  <c r="BR15" i="14"/>
  <c r="CC15" i="14"/>
  <c r="BR40" i="14"/>
  <c r="CC40" i="14"/>
  <c r="A41" i="33"/>
  <c r="AF42" i="33"/>
  <c r="C40" i="33"/>
  <c r="FM30" i="7" s="1"/>
  <c r="FN30" i="7" s="1"/>
  <c r="FE30" i="7" s="1"/>
  <c r="AC40" i="33"/>
  <c r="AL40" i="33"/>
  <c r="AB48" i="28"/>
  <c r="A49" i="28"/>
  <c r="X48" i="28"/>
  <c r="G182" i="39"/>
  <c r="C114" i="24"/>
  <c r="CK39" i="14"/>
  <c r="CM39" i="14" s="1"/>
  <c r="B39" i="14" s="1"/>
  <c r="V35" i="22"/>
  <c r="S35" i="22"/>
  <c r="E35" i="22"/>
  <c r="M35" i="22"/>
  <c r="O35" i="22"/>
  <c r="Y35" i="22"/>
  <c r="BT63" i="14"/>
  <c r="BU63" i="14"/>
  <c r="B52" i="40"/>
  <c r="B29" i="40"/>
  <c r="BT39" i="14"/>
  <c r="BU39" i="14"/>
  <c r="M63" i="14"/>
  <c r="C51" i="40"/>
  <c r="E51" i="40" s="1"/>
  <c r="K62" i="14"/>
  <c r="A64" i="14"/>
  <c r="CE64" i="14" s="1"/>
  <c r="A65" i="14" s="1"/>
  <c r="EE62" i="14"/>
  <c r="BO62" i="14"/>
  <c r="G62" i="14" s="1"/>
  <c r="DA62" i="14"/>
  <c r="DB62" i="14"/>
  <c r="DV62" i="14"/>
  <c r="DD62" i="14"/>
  <c r="DZ62" i="14"/>
  <c r="DK62" i="14"/>
  <c r="EM62" i="14"/>
  <c r="DO62" i="14"/>
  <c r="DT62" i="14"/>
  <c r="EI62" i="14"/>
  <c r="EC62" i="14"/>
  <c r="CZ62" i="14"/>
  <c r="DI62" i="14"/>
  <c r="DQ62" i="14"/>
  <c r="DN62" i="14"/>
  <c r="CV62" i="14"/>
  <c r="DS62" i="14"/>
  <c r="EO62" i="14"/>
  <c r="DG62" i="14"/>
  <c r="EK62" i="14"/>
  <c r="EG62" i="14"/>
  <c r="DY62" i="14"/>
  <c r="CY62" i="14"/>
  <c r="EP62" i="14"/>
  <c r="DW62" i="14"/>
  <c r="DM62" i="14"/>
  <c r="DC62" i="14"/>
  <c r="EJ62" i="14"/>
  <c r="EN62" i="14"/>
  <c r="EA62" i="14"/>
  <c r="EL62" i="14"/>
  <c r="EB62" i="14"/>
  <c r="DL62" i="14"/>
  <c r="CW62" i="14"/>
  <c r="DP62" i="14"/>
  <c r="EF62" i="14"/>
  <c r="DH62" i="14"/>
  <c r="DE62" i="14"/>
  <c r="DJ62" i="14"/>
  <c r="ER62" i="14"/>
  <c r="DF62" i="14"/>
  <c r="EQ62" i="14"/>
  <c r="ES62" i="14"/>
  <c r="CX62" i="14"/>
  <c r="EH62" i="14"/>
  <c r="ED62" i="14"/>
  <c r="DX62" i="14"/>
  <c r="DU62" i="14"/>
  <c r="BR199" i="10"/>
  <c r="AL199" i="10"/>
  <c r="CK199" i="10"/>
  <c r="CL199" i="10"/>
  <c r="O199" i="10"/>
  <c r="B163" i="39" s="1"/>
  <c r="B200" i="10"/>
  <c r="AL200" i="10" s="1"/>
  <c r="A207" i="10"/>
  <c r="BQ208" i="10"/>
  <c r="BO206" i="10"/>
  <c r="CG206" i="10"/>
  <c r="CH201" i="10"/>
  <c r="EF201" i="10"/>
  <c r="BW201" i="10"/>
  <c r="C26" i="34"/>
  <c r="D27" i="34" s="1"/>
  <c r="AG31" i="23"/>
  <c r="B31" i="23"/>
  <c r="BN202" i="10"/>
  <c r="M30" i="23"/>
  <c r="S30" i="23"/>
  <c r="I30" i="23"/>
  <c r="V30" i="23"/>
  <c r="O30" i="23"/>
  <c r="Z30" i="23"/>
  <c r="Y30" i="23"/>
  <c r="E30" i="23"/>
  <c r="AD30" i="23"/>
  <c r="BY202" i="10"/>
  <c r="I35" i="22"/>
  <c r="M2" i="43"/>
  <c r="GW77" i="7"/>
  <c r="GV78" i="7"/>
  <c r="DD36" i="10"/>
  <c r="DD37" i="10" s="1"/>
  <c r="DD38" i="10" s="1"/>
  <c r="DD39" i="10" s="1"/>
  <c r="DE135" i="10"/>
  <c r="DE136" i="10"/>
  <c r="DD129" i="10"/>
  <c r="GU78" i="7"/>
  <c r="DD40" i="10"/>
  <c r="DE40" i="10"/>
  <c r="N41" i="24"/>
  <c r="G57" i="24"/>
  <c r="C201" i="10"/>
  <c r="G202" i="10"/>
  <c r="BX202" i="10"/>
  <c r="F202" i="10"/>
  <c r="N18" i="24" l="1"/>
  <c r="U19" i="24"/>
  <c r="P19" i="24" s="1"/>
  <c r="I19" i="24" s="1"/>
  <c r="P16" i="10"/>
  <c r="C4" i="39" s="1"/>
  <c r="P17" i="10"/>
  <c r="C5" i="39" s="1"/>
  <c r="P19" i="10"/>
  <c r="C7" i="39" s="1"/>
  <c r="P31" i="10"/>
  <c r="C19" i="39" s="1"/>
  <c r="P18" i="10"/>
  <c r="C6" i="39" s="1"/>
  <c r="P15" i="10"/>
  <c r="R25" i="24"/>
  <c r="E24" i="24"/>
  <c r="D24" i="24"/>
  <c r="B24" i="24"/>
  <c r="H24" i="24"/>
  <c r="A24" i="24" s="1"/>
  <c r="S58" i="24"/>
  <c r="J18" i="24"/>
  <c r="L18" i="24"/>
  <c r="P18" i="24"/>
  <c r="I18" i="24" s="1"/>
  <c r="AW18" i="33"/>
  <c r="L29" i="1"/>
  <c r="P37" i="10"/>
  <c r="C25" i="39" s="1"/>
  <c r="P35" i="10"/>
  <c r="C23" i="39" s="1"/>
  <c r="S55" i="3"/>
  <c r="Y55" i="3" s="1"/>
  <c r="M34" i="1"/>
  <c r="D242" i="14"/>
  <c r="CP4" i="14" s="1"/>
  <c r="X242" i="14"/>
  <c r="Z243" i="14"/>
  <c r="Y105" i="20"/>
  <c r="X105" i="20"/>
  <c r="Z106" i="20"/>
  <c r="P233" i="14"/>
  <c r="N233" i="14"/>
  <c r="AM233" i="14"/>
  <c r="AM228" i="14"/>
  <c r="N228" i="14"/>
  <c r="P228" i="14"/>
  <c r="AM234" i="14"/>
  <c r="P234" i="14"/>
  <c r="N234" i="14"/>
  <c r="K175" i="14"/>
  <c r="AI175" i="14" s="1"/>
  <c r="M175" i="14"/>
  <c r="C162" i="40" s="1"/>
  <c r="AX175" i="14"/>
  <c r="AW175" i="14"/>
  <c r="E162" i="40"/>
  <c r="T175" i="14"/>
  <c r="AF175" i="14"/>
  <c r="AD175" i="14"/>
  <c r="R175" i="14"/>
  <c r="BC175" i="14"/>
  <c r="BK175" i="14"/>
  <c r="S175" i="14"/>
  <c r="AE175" i="14"/>
  <c r="BA175" i="14"/>
  <c r="AB175" i="14"/>
  <c r="AT175" i="14"/>
  <c r="AZ175" i="14"/>
  <c r="AL175" i="14"/>
  <c r="AY175" i="14"/>
  <c r="Y175" i="14"/>
  <c r="BG175" i="14"/>
  <c r="BD175" i="14"/>
  <c r="AC175" i="14"/>
  <c r="BL175" i="14"/>
  <c r="V175" i="14"/>
  <c r="AP175" i="14"/>
  <c r="BJ175" i="14"/>
  <c r="AJ175" i="14"/>
  <c r="AU175" i="14"/>
  <c r="BB175" i="14"/>
  <c r="BH175" i="14"/>
  <c r="W175" i="14"/>
  <c r="BI175" i="14"/>
  <c r="AO175" i="14"/>
  <c r="Z175" i="14"/>
  <c r="AR175" i="14"/>
  <c r="AV175" i="14"/>
  <c r="AH175" i="14"/>
  <c r="AW174" i="14"/>
  <c r="C161" i="40"/>
  <c r="E102" i="22"/>
  <c r="W174" i="14"/>
  <c r="T174" i="14"/>
  <c r="X174" i="14"/>
  <c r="AH174" i="14"/>
  <c r="BG174" i="14"/>
  <c r="BJ174" i="14"/>
  <c r="AV174" i="14"/>
  <c r="AL174" i="14"/>
  <c r="BB174" i="14"/>
  <c r="BL174" i="14"/>
  <c r="DO352" i="7"/>
  <c r="P36" i="10"/>
  <c r="C24" i="39" s="1"/>
  <c r="AA2" i="43"/>
  <c r="BD17" i="18"/>
  <c r="BC17" i="18"/>
  <c r="AX17" i="18"/>
  <c r="AC17" i="18"/>
  <c r="AW17" i="18"/>
  <c r="H17" i="18"/>
  <c r="M33" i="1" s="1"/>
  <c r="AP17" i="18"/>
  <c r="BI17" i="18"/>
  <c r="BA17" i="18"/>
  <c r="AN17" i="18"/>
  <c r="AY17" i="18"/>
  <c r="AD17" i="18"/>
  <c r="S17" i="18"/>
  <c r="P17" i="18"/>
  <c r="BG17" i="18"/>
  <c r="AU17" i="18"/>
  <c r="R17" i="18"/>
  <c r="Y17" i="18"/>
  <c r="AE17" i="18"/>
  <c r="AI17" i="18"/>
  <c r="Z17" i="18"/>
  <c r="AH17" i="18"/>
  <c r="O17" i="18"/>
  <c r="BJ17" i="18"/>
  <c r="X17" i="18"/>
  <c r="AS17" i="18"/>
  <c r="AG17" i="18"/>
  <c r="AQ17" i="18"/>
  <c r="AR17" i="18"/>
  <c r="AV17" i="18"/>
  <c r="U17" i="18"/>
  <c r="BF17" i="18"/>
  <c r="AJ17" i="18"/>
  <c r="AL17" i="18"/>
  <c r="BK17" i="18"/>
  <c r="BE17" i="18"/>
  <c r="T17" i="18"/>
  <c r="AF17" i="18"/>
  <c r="AT17" i="18"/>
  <c r="AK17" i="18"/>
  <c r="AZ17" i="18"/>
  <c r="BH17" i="18"/>
  <c r="AO17" i="18"/>
  <c r="V17" i="18"/>
  <c r="AA17" i="18"/>
  <c r="W17" i="18"/>
  <c r="Q17" i="18"/>
  <c r="AB17" i="18"/>
  <c r="BB17" i="18"/>
  <c r="J19" i="24"/>
  <c r="AM232" i="14"/>
  <c r="N232" i="14"/>
  <c r="P232" i="14"/>
  <c r="K226" i="14"/>
  <c r="O83" i="22"/>
  <c r="T226" i="14"/>
  <c r="AZ226" i="14"/>
  <c r="AD226" i="14"/>
  <c r="AJ226" i="14"/>
  <c r="AB83" i="22"/>
  <c r="Y226" i="14"/>
  <c r="AK226" i="14"/>
  <c r="Z226" i="14"/>
  <c r="AW226" i="14"/>
  <c r="AV226" i="14"/>
  <c r="M226" i="14"/>
  <c r="AP226" i="14"/>
  <c r="W226" i="14"/>
  <c r="AY226" i="14"/>
  <c r="BC226" i="14"/>
  <c r="S226" i="14"/>
  <c r="AD92" i="22"/>
  <c r="U226" i="14"/>
  <c r="AF226" i="14"/>
  <c r="AR226" i="14"/>
  <c r="AX226" i="14"/>
  <c r="AQ54" i="33"/>
  <c r="AS54" i="33"/>
  <c r="AN54" i="33"/>
  <c r="P26" i="10"/>
  <c r="C14" i="39" s="1"/>
  <c r="Y2" i="43"/>
  <c r="Q40" i="10"/>
  <c r="DB40" i="10" s="1"/>
  <c r="Q22" i="10"/>
  <c r="Q38" i="10"/>
  <c r="DB38" i="10" s="1"/>
  <c r="Q23" i="10"/>
  <c r="DB23" i="10" s="1"/>
  <c r="Q25" i="10"/>
  <c r="DB25" i="10" s="1"/>
  <c r="Q21" i="10"/>
  <c r="DB21" i="10" s="1"/>
  <c r="Q39" i="10"/>
  <c r="DB39" i="10" s="1"/>
  <c r="Q33" i="10"/>
  <c r="Q28" i="10"/>
  <c r="Q34" i="10"/>
  <c r="Q30" i="10"/>
  <c r="Q14" i="10"/>
  <c r="DB14" i="10" s="1"/>
  <c r="Q32" i="10"/>
  <c r="Q24" i="10"/>
  <c r="DB24" i="10" s="1"/>
  <c r="Q20" i="10"/>
  <c r="Q29" i="10"/>
  <c r="P41" i="10"/>
  <c r="DP352" i="7"/>
  <c r="P230" i="14"/>
  <c r="N230" i="14"/>
  <c r="AM230" i="14"/>
  <c r="AM231" i="14"/>
  <c r="P231" i="14"/>
  <c r="N231" i="14"/>
  <c r="M68" i="24"/>
  <c r="K2" i="43"/>
  <c r="P229" i="14"/>
  <c r="AM229" i="14"/>
  <c r="N229" i="14"/>
  <c r="P235" i="14"/>
  <c r="N235" i="14"/>
  <c r="AM235" i="14"/>
  <c r="AM28" i="3"/>
  <c r="O5" i="3"/>
  <c r="M1" i="24"/>
  <c r="BH174" i="14"/>
  <c r="BI174" i="14"/>
  <c r="BE174" i="14"/>
  <c r="AB174" i="14"/>
  <c r="Y174" i="14"/>
  <c r="Z2" i="43"/>
  <c r="AM29" i="3"/>
  <c r="Q41" i="10"/>
  <c r="J124" i="24"/>
  <c r="P2" i="43"/>
  <c r="F119" i="24"/>
  <c r="J123" i="24"/>
  <c r="C48" i="3"/>
  <c r="F124" i="24"/>
  <c r="F120" i="24"/>
  <c r="BD33" i="18"/>
  <c r="BD34" i="18" s="1"/>
  <c r="BD35" i="18" s="1"/>
  <c r="BD36" i="18" s="1"/>
  <c r="BD37" i="18" s="1"/>
  <c r="BD38" i="18" s="1"/>
  <c r="BD39" i="18" s="1"/>
  <c r="BD40" i="18" s="1"/>
  <c r="BD41" i="18" s="1"/>
  <c r="BD42" i="18" s="1"/>
  <c r="BD43" i="18" s="1"/>
  <c r="BD44" i="18" s="1"/>
  <c r="GX77" i="7"/>
  <c r="CM11" i="14"/>
  <c r="B11" i="14" s="1"/>
  <c r="M11" i="14" s="1"/>
  <c r="BT11" i="14"/>
  <c r="B2" i="40"/>
  <c r="I88" i="24"/>
  <c r="N88" i="24"/>
  <c r="A38" i="14"/>
  <c r="V90" i="24"/>
  <c r="U91" i="24" s="1"/>
  <c r="K90" i="24"/>
  <c r="O90" i="24"/>
  <c r="P90" i="24"/>
  <c r="J90" i="24"/>
  <c r="L90" i="24"/>
  <c r="P42" i="24"/>
  <c r="I42" i="24" s="1"/>
  <c r="J42" i="24"/>
  <c r="U43" i="24"/>
  <c r="L42" i="24"/>
  <c r="B58" i="24"/>
  <c r="R59" i="24"/>
  <c r="H58" i="24"/>
  <c r="A58" i="24" s="1"/>
  <c r="E58" i="24"/>
  <c r="Y7" i="22"/>
  <c r="E7" i="22"/>
  <c r="F111" i="24" s="1"/>
  <c r="I7" i="22"/>
  <c r="M7" i="22"/>
  <c r="H111" i="24" s="1"/>
  <c r="V7" i="22"/>
  <c r="J111" i="24" s="1"/>
  <c r="S7" i="22"/>
  <c r="K111" i="24" s="1"/>
  <c r="O7" i="22"/>
  <c r="M111" i="24" s="1"/>
  <c r="AD7" i="22"/>
  <c r="P111" i="24" s="1"/>
  <c r="A12" i="14"/>
  <c r="CE12" i="14" s="1"/>
  <c r="E7" i="38"/>
  <c r="F7" i="38"/>
  <c r="E8" i="38" s="1"/>
  <c r="I89" i="24"/>
  <c r="N89" i="24"/>
  <c r="A9" i="42"/>
  <c r="B9" i="42" s="1"/>
  <c r="C9" i="42"/>
  <c r="E10" i="42"/>
  <c r="F10" i="42"/>
  <c r="CC16" i="14"/>
  <c r="BR16" i="14"/>
  <c r="BR41" i="14"/>
  <c r="CC41" i="14"/>
  <c r="D39" i="14"/>
  <c r="AF43" i="33"/>
  <c r="A42" i="33"/>
  <c r="C41" i="33"/>
  <c r="FM31" i="7" s="1"/>
  <c r="FN31" i="7" s="1"/>
  <c r="FE31" i="7" s="1"/>
  <c r="AL41" i="33"/>
  <c r="AC41" i="33"/>
  <c r="O200" i="10"/>
  <c r="B164" i="39" s="1"/>
  <c r="B49" i="28"/>
  <c r="C49" i="28"/>
  <c r="AB49" i="28" s="1"/>
  <c r="AC49" i="28"/>
  <c r="AD49" i="28"/>
  <c r="P49" i="28"/>
  <c r="AH48" i="28"/>
  <c r="O49" i="28"/>
  <c r="Q49" i="28"/>
  <c r="R49" i="28" s="1"/>
  <c r="Z49" i="28"/>
  <c r="A50" i="28" s="1"/>
  <c r="H49" i="28"/>
  <c r="T49" i="28"/>
  <c r="S49" i="28" s="1"/>
  <c r="AG49" i="28"/>
  <c r="C115" i="24"/>
  <c r="CE65" i="14"/>
  <c r="A66" i="14" s="1"/>
  <c r="CB65" i="14"/>
  <c r="BV65" i="14" s="1"/>
  <c r="BP65" i="14"/>
  <c r="A54" i="40"/>
  <c r="B65" i="14"/>
  <c r="BQ65" i="14"/>
  <c r="P65" i="14"/>
  <c r="CG65" i="14"/>
  <c r="C65" i="14"/>
  <c r="BX65" i="14"/>
  <c r="DM39" i="14"/>
  <c r="CY39" i="14"/>
  <c r="CW39" i="14"/>
  <c r="DS39" i="14"/>
  <c r="DF39" i="14"/>
  <c r="EF39" i="14"/>
  <c r="EP39" i="14"/>
  <c r="EK39" i="14"/>
  <c r="EB39" i="14"/>
  <c r="ER39" i="14"/>
  <c r="EA39" i="14"/>
  <c r="DC39" i="14"/>
  <c r="DW39" i="14"/>
  <c r="EN39" i="14"/>
  <c r="DT39" i="14"/>
  <c r="DB39" i="14"/>
  <c r="DO39" i="14"/>
  <c r="EG39" i="14"/>
  <c r="EE39" i="14"/>
  <c r="CZ39" i="14"/>
  <c r="DI39" i="14"/>
  <c r="DP39" i="14"/>
  <c r="ES39" i="14"/>
  <c r="EQ39" i="14"/>
  <c r="BO39" i="14"/>
  <c r="G39" i="14" s="1"/>
  <c r="DQ39" i="14"/>
  <c r="DV39" i="14"/>
  <c r="DK39" i="14"/>
  <c r="EM39" i="14"/>
  <c r="EL39" i="14"/>
  <c r="DE39" i="14"/>
  <c r="DN39" i="14"/>
  <c r="EO39" i="14"/>
  <c r="EH39" i="14"/>
  <c r="DA39" i="14"/>
  <c r="EC39" i="14"/>
  <c r="DY39" i="14"/>
  <c r="DL39" i="14"/>
  <c r="CX39" i="14"/>
  <c r="DX39" i="14"/>
  <c r="DJ39" i="14"/>
  <c r="DZ39" i="14"/>
  <c r="CV39" i="14"/>
  <c r="DD39" i="14"/>
  <c r="DU39" i="14"/>
  <c r="EI39" i="14"/>
  <c r="DH39" i="14"/>
  <c r="EJ39" i="14"/>
  <c r="DG39" i="14"/>
  <c r="ED39" i="14"/>
  <c r="DN63" i="14"/>
  <c r="DS63" i="14"/>
  <c r="BO63" i="14"/>
  <c r="G63" i="14" s="1"/>
  <c r="DD63" i="14"/>
  <c r="DC63" i="14"/>
  <c r="CW63" i="14"/>
  <c r="ED63" i="14"/>
  <c r="CV63" i="14"/>
  <c r="DT63" i="14"/>
  <c r="EH63" i="14"/>
  <c r="DU63" i="14"/>
  <c r="CZ63" i="14"/>
  <c r="DG63" i="14"/>
  <c r="DW63" i="14"/>
  <c r="DH63" i="14"/>
  <c r="DP63" i="14"/>
  <c r="DX63" i="14"/>
  <c r="DV63" i="14"/>
  <c r="DB63" i="14"/>
  <c r="EN63" i="14"/>
  <c r="EB63" i="14"/>
  <c r="EJ63" i="14"/>
  <c r="CX63" i="14"/>
  <c r="DJ63" i="14"/>
  <c r="DQ63" i="14"/>
  <c r="DO63" i="14"/>
  <c r="EQ63" i="14"/>
  <c r="EE63" i="14"/>
  <c r="DK63" i="14"/>
  <c r="EF63" i="14"/>
  <c r="EK63" i="14"/>
  <c r="EO63" i="14"/>
  <c r="DL63" i="14"/>
  <c r="ES63" i="14"/>
  <c r="EL63" i="14"/>
  <c r="DF63" i="14"/>
  <c r="EP63" i="14"/>
  <c r="EI63" i="14"/>
  <c r="DA63" i="14"/>
  <c r="EC63" i="14"/>
  <c r="EG63" i="14"/>
  <c r="DY63" i="14"/>
  <c r="CY63" i="14"/>
  <c r="DM63" i="14"/>
  <c r="EM63" i="14"/>
  <c r="ER63" i="14"/>
  <c r="DE63" i="14"/>
  <c r="EA63" i="14"/>
  <c r="DI63" i="14"/>
  <c r="DZ63" i="14"/>
  <c r="M39" i="14"/>
  <c r="A53" i="40"/>
  <c r="B64" i="14"/>
  <c r="M64" i="14" s="1"/>
  <c r="C53" i="40" s="1"/>
  <c r="E53" i="40" s="1"/>
  <c r="BX64" i="14"/>
  <c r="C64" i="14"/>
  <c r="BP64" i="14"/>
  <c r="P64" i="14"/>
  <c r="BQ64" i="14"/>
  <c r="CB64" i="14"/>
  <c r="BV64" i="14" s="1"/>
  <c r="CG64" i="14"/>
  <c r="AZ62" i="14"/>
  <c r="AC62" i="14"/>
  <c r="R62" i="14"/>
  <c r="AD62" i="14"/>
  <c r="AI62" i="14"/>
  <c r="BH62" i="14"/>
  <c r="Y62" i="14"/>
  <c r="U62" i="14"/>
  <c r="AJ62" i="14"/>
  <c r="BI62" i="14"/>
  <c r="BF62" i="14"/>
  <c r="BN62" i="14"/>
  <c r="BB62" i="14"/>
  <c r="BC62" i="14"/>
  <c r="BD62" i="14"/>
  <c r="BK62" i="14"/>
  <c r="AB62" i="14"/>
  <c r="AL62" i="14"/>
  <c r="AS62" i="14"/>
  <c r="AU62" i="14"/>
  <c r="AA62" i="14"/>
  <c r="AQ62" i="14"/>
  <c r="AO62" i="14"/>
  <c r="AH62" i="14"/>
  <c r="AF62" i="14"/>
  <c r="AV62" i="14"/>
  <c r="BM62" i="14"/>
  <c r="S62" i="14"/>
  <c r="AE62" i="14"/>
  <c r="AG62" i="14"/>
  <c r="BL62" i="14"/>
  <c r="W62" i="14"/>
  <c r="X62" i="14"/>
  <c r="AY62" i="14"/>
  <c r="AT62" i="14"/>
  <c r="AR62" i="14"/>
  <c r="BJ62" i="14"/>
  <c r="V62" i="14"/>
  <c r="AK62" i="14"/>
  <c r="AW62" i="14"/>
  <c r="BE62" i="14"/>
  <c r="AX62" i="14"/>
  <c r="Z62" i="14"/>
  <c r="BG62" i="14"/>
  <c r="AP62" i="14"/>
  <c r="T62" i="14"/>
  <c r="BA62" i="14"/>
  <c r="C52" i="40"/>
  <c r="E52" i="40" s="1"/>
  <c r="K63" i="14"/>
  <c r="BR200" i="10"/>
  <c r="G183" i="39"/>
  <c r="CN200" i="10"/>
  <c r="CL200" i="10"/>
  <c r="CK200" i="10"/>
  <c r="B201" i="10"/>
  <c r="AL201" i="10" s="1"/>
  <c r="A208" i="10"/>
  <c r="BQ209" i="10"/>
  <c r="CG207" i="10"/>
  <c r="BO207" i="10"/>
  <c r="BW202" i="10"/>
  <c r="EF202" i="10"/>
  <c r="CH202" i="10"/>
  <c r="C27" i="34"/>
  <c r="D28" i="34" s="1"/>
  <c r="O31" i="23"/>
  <c r="S31" i="23"/>
  <c r="Y31" i="23"/>
  <c r="I31" i="23"/>
  <c r="V31" i="23"/>
  <c r="AD31" i="23"/>
  <c r="Z31" i="23"/>
  <c r="M31" i="23"/>
  <c r="E31" i="23"/>
  <c r="BN203" i="10"/>
  <c r="AG32" i="23"/>
  <c r="B32" i="23"/>
  <c r="BY203" i="10"/>
  <c r="U2" i="43"/>
  <c r="GW78" i="7"/>
  <c r="DD130" i="10"/>
  <c r="DD131" i="10" s="1"/>
  <c r="DD132" i="10" s="1"/>
  <c r="DD133" i="10" s="1"/>
  <c r="GU79" i="7"/>
  <c r="DE137" i="10"/>
  <c r="GV79" i="7"/>
  <c r="DD134" i="10"/>
  <c r="G58" i="24"/>
  <c r="G24" i="24"/>
  <c r="N42" i="24"/>
  <c r="N19" i="24"/>
  <c r="G203" i="10"/>
  <c r="F203" i="10"/>
  <c r="BX203" i="10"/>
  <c r="Q60" i="22"/>
  <c r="C202" i="10"/>
  <c r="L19" i="24" l="1"/>
  <c r="S59" i="24"/>
  <c r="C3" i="39"/>
  <c r="R17" i="3"/>
  <c r="V19" i="24"/>
  <c r="U20" i="24" s="1"/>
  <c r="L20" i="24" s="1"/>
  <c r="H25" i="24"/>
  <c r="A25" i="24" s="1"/>
  <c r="D25" i="24"/>
  <c r="B25" i="24"/>
  <c r="E25" i="24"/>
  <c r="S25" i="24"/>
  <c r="R26" i="24" s="1"/>
  <c r="N6" i="18"/>
  <c r="G65" i="22"/>
  <c r="L33" i="1"/>
  <c r="AW20" i="33"/>
  <c r="AL4" i="18"/>
  <c r="N2" i="43"/>
  <c r="C47" i="3"/>
  <c r="Q80" i="23"/>
  <c r="W80" i="23" s="1"/>
  <c r="AB80" i="23" s="1"/>
  <c r="W60" i="22"/>
  <c r="AB60" i="22" s="1"/>
  <c r="F123" i="24"/>
  <c r="H38" i="3"/>
  <c r="C121" i="24"/>
  <c r="C122" i="24"/>
  <c r="B38" i="1"/>
  <c r="D38" i="1" s="1"/>
  <c r="DB32" i="10"/>
  <c r="CJ32" i="10"/>
  <c r="DC32" i="10" s="1"/>
  <c r="D20" i="39"/>
  <c r="CI32" i="10"/>
  <c r="CI28" i="10"/>
  <c r="CJ28" i="10"/>
  <c r="DC28" i="10" s="1"/>
  <c r="D16" i="39"/>
  <c r="DB28" i="10"/>
  <c r="D13" i="39"/>
  <c r="CI25" i="10"/>
  <c r="CJ25" i="10"/>
  <c r="DC25" i="10" s="1"/>
  <c r="J25" i="10" s="1"/>
  <c r="CJ40" i="10"/>
  <c r="DC40" i="10" s="1"/>
  <c r="J40" i="10" s="1"/>
  <c r="CI40" i="10"/>
  <c r="D28" i="39"/>
  <c r="AU226" i="14"/>
  <c r="BD226" i="14"/>
  <c r="X226" i="14"/>
  <c r="AB226" i="14"/>
  <c r="BG226" i="14"/>
  <c r="BB226" i="14"/>
  <c r="AH226" i="14"/>
  <c r="AQ226" i="14"/>
  <c r="AT226" i="14"/>
  <c r="BE226" i="14"/>
  <c r="BA226" i="14"/>
  <c r="AE226" i="14"/>
  <c r="AI226" i="14"/>
  <c r="AC226" i="14"/>
  <c r="AA226" i="14"/>
  <c r="AG226" i="14"/>
  <c r="V226" i="14"/>
  <c r="BF226" i="14"/>
  <c r="AS226" i="14"/>
  <c r="BH226" i="14"/>
  <c r="AG175" i="14"/>
  <c r="X175" i="14"/>
  <c r="BN175" i="14"/>
  <c r="AA175" i="14"/>
  <c r="AQ175" i="14"/>
  <c r="AS175" i="14"/>
  <c r="U175" i="14"/>
  <c r="W102" i="22"/>
  <c r="BF175" i="14"/>
  <c r="AK175" i="14"/>
  <c r="BE175" i="14"/>
  <c r="BM175" i="14"/>
  <c r="Z107" i="20"/>
  <c r="Y106" i="20"/>
  <c r="X106" i="20"/>
  <c r="E48" i="3"/>
  <c r="F48" i="3"/>
  <c r="G48" i="3"/>
  <c r="DB29" i="10"/>
  <c r="CI29" i="10"/>
  <c r="CJ29" i="10"/>
  <c r="DC29" i="10" s="1"/>
  <c r="D17" i="39"/>
  <c r="D2" i="39"/>
  <c r="CI14" i="10"/>
  <c r="CJ14" i="10"/>
  <c r="DC14" i="10" s="1"/>
  <c r="J14" i="10" s="1"/>
  <c r="DB33" i="10"/>
  <c r="CJ33" i="10"/>
  <c r="DC33" i="10" s="1"/>
  <c r="D21" i="39"/>
  <c r="CI33" i="10"/>
  <c r="D11" i="39"/>
  <c r="CJ23" i="10"/>
  <c r="DC23" i="10" s="1"/>
  <c r="J23" i="10" s="1"/>
  <c r="CI23" i="10"/>
  <c r="J20" i="24"/>
  <c r="B6" i="24"/>
  <c r="D8" i="39"/>
  <c r="CI20" i="10"/>
  <c r="CJ20" i="10"/>
  <c r="DC20" i="10" s="1"/>
  <c r="DB20" i="10"/>
  <c r="D18" i="39"/>
  <c r="CJ30" i="10"/>
  <c r="DC30" i="10" s="1"/>
  <c r="DB30" i="10"/>
  <c r="CI30" i="10"/>
  <c r="D27" i="39"/>
  <c r="CJ39" i="10"/>
  <c r="DC39" i="10" s="1"/>
  <c r="J39" i="10" s="1"/>
  <c r="CI39" i="10"/>
  <c r="CJ38" i="10"/>
  <c r="DC38" i="10" s="1"/>
  <c r="J38" i="10" s="1"/>
  <c r="D26" i="39"/>
  <c r="CI38" i="10"/>
  <c r="L2" i="43"/>
  <c r="J34" i="1"/>
  <c r="L34" i="1" s="1"/>
  <c r="G38" i="3"/>
  <c r="O38" i="3"/>
  <c r="CI24" i="10"/>
  <c r="CJ24" i="10"/>
  <c r="DC24" i="10" s="1"/>
  <c r="J24" i="10" s="1"/>
  <c r="D12" i="39"/>
  <c r="DB34" i="10"/>
  <c r="CI34" i="10"/>
  <c r="CJ34" i="10"/>
  <c r="DC34" i="10" s="1"/>
  <c r="D22" i="39"/>
  <c r="CJ21" i="10"/>
  <c r="DC21" i="10" s="1"/>
  <c r="J21" i="10" s="1"/>
  <c r="CI21" i="10"/>
  <c r="Q5" i="3"/>
  <c r="I33" i="3" s="1"/>
  <c r="D9" i="39"/>
  <c r="CI22" i="10"/>
  <c r="DB22" i="10"/>
  <c r="D10" i="39"/>
  <c r="CJ22" i="10"/>
  <c r="DC22" i="10" s="1"/>
  <c r="A37" i="14"/>
  <c r="K163" i="14"/>
  <c r="K162" i="14"/>
  <c r="K164" i="14"/>
  <c r="K168" i="14"/>
  <c r="K170" i="14"/>
  <c r="K171" i="14"/>
  <c r="K172" i="14"/>
  <c r="K166" i="14"/>
  <c r="K167" i="14"/>
  <c r="K165" i="14"/>
  <c r="K169" i="14"/>
  <c r="Z244" i="14"/>
  <c r="D243" i="14"/>
  <c r="CQ4" i="14" s="1"/>
  <c r="X243" i="14"/>
  <c r="GX78" i="7"/>
  <c r="AR38" i="14"/>
  <c r="BA38" i="14"/>
  <c r="AQ38" i="14"/>
  <c r="BI38" i="14"/>
  <c r="AV38" i="14"/>
  <c r="BK38" i="14"/>
  <c r="BJ38" i="14"/>
  <c r="BL38" i="14"/>
  <c r="BG38" i="14"/>
  <c r="BN38" i="14"/>
  <c r="BE38" i="14"/>
  <c r="BH38" i="14"/>
  <c r="BM38" i="14"/>
  <c r="BF38" i="14"/>
  <c r="AZ38" i="14"/>
  <c r="AP38" i="14"/>
  <c r="BC38" i="14"/>
  <c r="AS38" i="14"/>
  <c r="AW38" i="14"/>
  <c r="BB38" i="14"/>
  <c r="AX38" i="14"/>
  <c r="AU38" i="14"/>
  <c r="AO38" i="14"/>
  <c r="AT38" i="14"/>
  <c r="BD38" i="14"/>
  <c r="AY38" i="14"/>
  <c r="AE49" i="28"/>
  <c r="K79" i="24"/>
  <c r="K83" i="24"/>
  <c r="K81" i="24"/>
  <c r="A13" i="14"/>
  <c r="CE13" i="14" s="1"/>
  <c r="F8" i="38"/>
  <c r="E9" i="38" s="1"/>
  <c r="A8" i="38"/>
  <c r="B8" i="38" s="1"/>
  <c r="C8" i="38"/>
  <c r="BX38" i="14"/>
  <c r="CL38" i="14"/>
  <c r="CG38" i="14"/>
  <c r="BQ38" i="14"/>
  <c r="CA38" i="14" s="1"/>
  <c r="A28" i="40"/>
  <c r="E28" i="40" s="1"/>
  <c r="CJ38" i="14"/>
  <c r="CK38" i="14" s="1"/>
  <c r="P38" i="14"/>
  <c r="BP38" i="14"/>
  <c r="B34" i="22"/>
  <c r="CH38" i="14"/>
  <c r="CI38" i="14" s="1"/>
  <c r="CB38" i="14"/>
  <c r="BV38" i="14" s="1"/>
  <c r="C38" i="14"/>
  <c r="EE38" i="14"/>
  <c r="CZ38" i="14"/>
  <c r="EF38" i="14"/>
  <c r="DY38" i="14"/>
  <c r="DV38" i="14"/>
  <c r="DD38" i="14"/>
  <c r="ER38" i="14"/>
  <c r="DU38" i="14"/>
  <c r="EC38" i="14"/>
  <c r="DQ38" i="14"/>
  <c r="DC38" i="14"/>
  <c r="DI38" i="14"/>
  <c r="BO38" i="14"/>
  <c r="G38" i="14" s="1"/>
  <c r="CX38" i="14"/>
  <c r="D38" i="14"/>
  <c r="EB38" i="14"/>
  <c r="EA38" i="14"/>
  <c r="DS38" i="14"/>
  <c r="DO38" i="14"/>
  <c r="DW38" i="14"/>
  <c r="DN38" i="14"/>
  <c r="DA38" i="14"/>
  <c r="ES38" i="14"/>
  <c r="DJ38" i="14"/>
  <c r="EK38" i="14"/>
  <c r="EO38" i="14"/>
  <c r="EN38" i="14"/>
  <c r="DG38" i="14"/>
  <c r="DX38" i="14"/>
  <c r="EP38" i="14"/>
  <c r="CW38" i="14"/>
  <c r="DK38" i="14"/>
  <c r="DE38" i="14"/>
  <c r="DH38" i="14"/>
  <c r="DT38" i="14"/>
  <c r="DL38" i="14"/>
  <c r="CV38" i="14"/>
  <c r="EI38" i="14"/>
  <c r="DZ38" i="14"/>
  <c r="EH38" i="14"/>
  <c r="EJ38" i="14"/>
  <c r="EQ38" i="14"/>
  <c r="DM38" i="14"/>
  <c r="CY38" i="14"/>
  <c r="DB38" i="14"/>
  <c r="EM38" i="14"/>
  <c r="ED38" i="14"/>
  <c r="EL38" i="14"/>
  <c r="EG38" i="14"/>
  <c r="DP38" i="14"/>
  <c r="DF38" i="14"/>
  <c r="C7" i="38"/>
  <c r="A7" i="38"/>
  <c r="B7" i="38" s="1"/>
  <c r="C12" i="14"/>
  <c r="CJ12" i="14"/>
  <c r="CK12" i="14" s="1"/>
  <c r="P12" i="14"/>
  <c r="BQ12" i="14"/>
  <c r="CA12" i="14" s="1"/>
  <c r="A3" i="40"/>
  <c r="E3" i="40" s="1"/>
  <c r="CG12" i="14"/>
  <c r="CH12" i="14"/>
  <c r="CI12" i="14" s="1"/>
  <c r="CL12" i="14"/>
  <c r="BX12" i="14"/>
  <c r="B8" i="22"/>
  <c r="BP12" i="14"/>
  <c r="D12" i="14"/>
  <c r="CY12" i="14"/>
  <c r="DD12" i="14"/>
  <c r="EC12" i="14"/>
  <c r="DZ12" i="14"/>
  <c r="DW12" i="14"/>
  <c r="DK12" i="14"/>
  <c r="EA12" i="14"/>
  <c r="EI12" i="14"/>
  <c r="BO12" i="14"/>
  <c r="G12" i="14" s="1"/>
  <c r="EQ12" i="14"/>
  <c r="DP12" i="14"/>
  <c r="DQ12" i="14"/>
  <c r="ED12" i="14"/>
  <c r="CX12" i="14"/>
  <c r="DO12" i="14"/>
  <c r="DS12" i="14"/>
  <c r="EM12" i="14"/>
  <c r="EE12" i="14"/>
  <c r="DN12" i="14"/>
  <c r="DG12" i="14"/>
  <c r="EP12" i="14"/>
  <c r="ES12" i="14"/>
  <c r="EJ12" i="14"/>
  <c r="DE12" i="14"/>
  <c r="DI12" i="14"/>
  <c r="DU12" i="14"/>
  <c r="EB12" i="14"/>
  <c r="EG12" i="14"/>
  <c r="EK12" i="14"/>
  <c r="DB12" i="14"/>
  <c r="EN12" i="14"/>
  <c r="DA12" i="14"/>
  <c r="ER12" i="14"/>
  <c r="DY12" i="14"/>
  <c r="EL12" i="14"/>
  <c r="DF12" i="14"/>
  <c r="DL12" i="14"/>
  <c r="CV12" i="14"/>
  <c r="EH12" i="14"/>
  <c r="CZ12" i="14"/>
  <c r="DV12" i="14"/>
  <c r="DJ12" i="14"/>
  <c r="CW12" i="14"/>
  <c r="DH12" i="14"/>
  <c r="DM12" i="14"/>
  <c r="DX12" i="14"/>
  <c r="DT12" i="14"/>
  <c r="EF12" i="14"/>
  <c r="EO12" i="14"/>
  <c r="DC12" i="14"/>
  <c r="BH12" i="14"/>
  <c r="BJ12" i="14"/>
  <c r="AQ12" i="14"/>
  <c r="AV12" i="14"/>
  <c r="BC12" i="14"/>
  <c r="AW12" i="14"/>
  <c r="BB12" i="14"/>
  <c r="BG12" i="14"/>
  <c r="AT12" i="14"/>
  <c r="BN12" i="14"/>
  <c r="AX12" i="14"/>
  <c r="AP12" i="14"/>
  <c r="BL12" i="14"/>
  <c r="BF12" i="14"/>
  <c r="BI12" i="14"/>
  <c r="AR12" i="14"/>
  <c r="AY12" i="14"/>
  <c r="AZ12" i="14"/>
  <c r="AS12" i="14"/>
  <c r="BA12" i="14"/>
  <c r="BK12" i="14"/>
  <c r="AU12" i="14"/>
  <c r="BE12" i="14"/>
  <c r="AO12" i="14"/>
  <c r="BD12" i="14"/>
  <c r="BM12" i="14"/>
  <c r="N90" i="24"/>
  <c r="I90" i="24"/>
  <c r="V91" i="24"/>
  <c r="U92" i="24" s="1"/>
  <c r="P91" i="24"/>
  <c r="L91" i="24"/>
  <c r="J91" i="24"/>
  <c r="B59" i="24"/>
  <c r="R60" i="24"/>
  <c r="S60" i="24" s="1"/>
  <c r="H59" i="24"/>
  <c r="A59" i="24" s="1"/>
  <c r="E59" i="24"/>
  <c r="J43" i="24"/>
  <c r="L43" i="24"/>
  <c r="P43" i="24"/>
  <c r="I43" i="24" s="1"/>
  <c r="V43" i="24"/>
  <c r="C2" i="40"/>
  <c r="K11" i="14"/>
  <c r="A40" i="14"/>
  <c r="BN40" i="14" s="1"/>
  <c r="E11" i="42"/>
  <c r="F11" i="42"/>
  <c r="A10" i="42"/>
  <c r="B10" i="42" s="1"/>
  <c r="C10" i="42"/>
  <c r="BR42" i="14"/>
  <c r="CC42" i="14"/>
  <c r="BR17" i="14"/>
  <c r="CC17" i="14"/>
  <c r="CA64" i="14"/>
  <c r="CC64" i="14"/>
  <c r="BR64" i="14"/>
  <c r="CA65" i="14"/>
  <c r="CC65" i="14"/>
  <c r="BR65" i="14"/>
  <c r="D65" i="14" s="1"/>
  <c r="AL42" i="33"/>
  <c r="AC42" i="33"/>
  <c r="C42" i="33"/>
  <c r="A43" i="33"/>
  <c r="AF44" i="33"/>
  <c r="C50" i="28"/>
  <c r="AB50" i="28" s="1"/>
  <c r="B50" i="28"/>
  <c r="AC50" i="28"/>
  <c r="AD50" i="28"/>
  <c r="P50" i="28"/>
  <c r="AH49" i="28"/>
  <c r="O50" i="28"/>
  <c r="Z50" i="28"/>
  <c r="H50" i="28"/>
  <c r="X49" i="28"/>
  <c r="Q50" i="28"/>
  <c r="R50" i="28" s="1"/>
  <c r="AG50" i="28"/>
  <c r="T50" i="28"/>
  <c r="S50" i="28" s="1"/>
  <c r="K64" i="14"/>
  <c r="AK64" i="14" s="1"/>
  <c r="C29" i="40"/>
  <c r="B53" i="40"/>
  <c r="BT64" i="14"/>
  <c r="BU64" i="14"/>
  <c r="BT65" i="14"/>
  <c r="BU65" i="14"/>
  <c r="B54" i="40"/>
  <c r="AS63" i="14"/>
  <c r="X63" i="14"/>
  <c r="AU63" i="14"/>
  <c r="BJ63" i="14"/>
  <c r="BF63" i="14"/>
  <c r="AC63" i="14"/>
  <c r="AX63" i="14"/>
  <c r="BK63" i="14"/>
  <c r="BA63" i="14"/>
  <c r="AR63" i="14"/>
  <c r="BB63" i="14"/>
  <c r="T63" i="14"/>
  <c r="AY63" i="14"/>
  <c r="BG63" i="14"/>
  <c r="AB63" i="14"/>
  <c r="S63" i="14"/>
  <c r="AF63" i="14"/>
  <c r="AA63" i="14"/>
  <c r="AQ63" i="14"/>
  <c r="W63" i="14"/>
  <c r="BH63" i="14"/>
  <c r="R63" i="14"/>
  <c r="AW63" i="14"/>
  <c r="AG63" i="14"/>
  <c r="AP63" i="14"/>
  <c r="Y63" i="14"/>
  <c r="BI63" i="14"/>
  <c r="AV63" i="14"/>
  <c r="AE63" i="14"/>
  <c r="BN63" i="14"/>
  <c r="AO63" i="14"/>
  <c r="AH63" i="14"/>
  <c r="AJ63" i="14"/>
  <c r="AK63" i="14"/>
  <c r="U63" i="14"/>
  <c r="AL63" i="14"/>
  <c r="BM63" i="14"/>
  <c r="BC63" i="14"/>
  <c r="AI63" i="14"/>
  <c r="BE63" i="14"/>
  <c r="AD63" i="14"/>
  <c r="V63" i="14"/>
  <c r="AZ63" i="14"/>
  <c r="AT63" i="14"/>
  <c r="Z63" i="14"/>
  <c r="BL63" i="14"/>
  <c r="BD63" i="14"/>
  <c r="M65" i="14"/>
  <c r="CE66" i="14"/>
  <c r="A67" i="14" s="1"/>
  <c r="C66" i="14"/>
  <c r="P66" i="14"/>
  <c r="BP66" i="14"/>
  <c r="A55" i="40"/>
  <c r="BQ66" i="14"/>
  <c r="BX66" i="14"/>
  <c r="B66" i="14"/>
  <c r="M66" i="14" s="1"/>
  <c r="CG66" i="14"/>
  <c r="CB66" i="14"/>
  <c r="BV66" i="14" s="1"/>
  <c r="CL201" i="10"/>
  <c r="G184" i="39"/>
  <c r="O201" i="10"/>
  <c r="B165" i="39" s="1"/>
  <c r="CN201" i="10"/>
  <c r="B202" i="10"/>
  <c r="CG208" i="10"/>
  <c r="BO208" i="10"/>
  <c r="BR201" i="10"/>
  <c r="CK201" i="10"/>
  <c r="A209" i="10"/>
  <c r="BQ210" i="10"/>
  <c r="EF203" i="10"/>
  <c r="CH203" i="10"/>
  <c r="BW203" i="10"/>
  <c r="C28" i="34"/>
  <c r="D29" i="34" s="1"/>
  <c r="AG33" i="23"/>
  <c r="B33" i="23"/>
  <c r="I32" i="23"/>
  <c r="O32" i="23"/>
  <c r="V32" i="23"/>
  <c r="Z32" i="23"/>
  <c r="M32" i="23"/>
  <c r="AD32" i="23"/>
  <c r="Y32" i="23"/>
  <c r="E32" i="23"/>
  <c r="S32" i="23"/>
  <c r="BN204" i="10"/>
  <c r="BY204" i="10"/>
  <c r="K39" i="14"/>
  <c r="GW79" i="7"/>
  <c r="DD135" i="10"/>
  <c r="GV80" i="7"/>
  <c r="DE138" i="10"/>
  <c r="GU80" i="7"/>
  <c r="G59" i="24"/>
  <c r="N43" i="24"/>
  <c r="G25" i="24"/>
  <c r="N20" i="24"/>
  <c r="C203" i="10"/>
  <c r="G204" i="10"/>
  <c r="BX204" i="10"/>
  <c r="F204" i="10"/>
  <c r="V20" i="24" l="1"/>
  <c r="S26" i="24"/>
  <c r="R27" i="24" s="1"/>
  <c r="E26" i="24"/>
  <c r="B26" i="24"/>
  <c r="H26" i="24"/>
  <c r="A26" i="24" s="1"/>
  <c r="D26" i="24"/>
  <c r="P20" i="24"/>
  <c r="I20" i="24" s="1"/>
  <c r="J22" i="10"/>
  <c r="CN21" i="10"/>
  <c r="CO21" i="10" s="1"/>
  <c r="CE21" i="10" s="1"/>
  <c r="K84" i="24" s="1"/>
  <c r="CN34" i="10"/>
  <c r="CO34" i="10" s="1"/>
  <c r="CE34" i="10" s="1"/>
  <c r="EJ34" i="10" s="1"/>
  <c r="AW34" i="10" s="1"/>
  <c r="CN24" i="10"/>
  <c r="CO24" i="10" s="1"/>
  <c r="CE24" i="10" s="1"/>
  <c r="K86" i="24" s="1"/>
  <c r="CN39" i="10"/>
  <c r="CO39" i="10" s="1"/>
  <c r="CE39" i="10" s="1"/>
  <c r="K80" i="24" s="1"/>
  <c r="CN23" i="10"/>
  <c r="CO23" i="10" s="1"/>
  <c r="CE23" i="10" s="1"/>
  <c r="K85" i="24" s="1"/>
  <c r="CN14" i="10"/>
  <c r="CO14" i="10" s="1"/>
  <c r="CE14" i="10" s="1"/>
  <c r="K78" i="24" s="1"/>
  <c r="CN29" i="10"/>
  <c r="CO29" i="10" s="1"/>
  <c r="CE29" i="10" s="1"/>
  <c r="CN25" i="10"/>
  <c r="CO25" i="10" s="1"/>
  <c r="CE25" i="10" s="1"/>
  <c r="K87" i="24" s="1"/>
  <c r="J32" i="10"/>
  <c r="CN30" i="10"/>
  <c r="CO30" i="10" s="1"/>
  <c r="CE30" i="10" s="1"/>
  <c r="CN33" i="10"/>
  <c r="CO33" i="10" s="1"/>
  <c r="CE33" i="10" s="1"/>
  <c r="CN22" i="10"/>
  <c r="CO22" i="10" s="1"/>
  <c r="CE22" i="10" s="1"/>
  <c r="CN38" i="10"/>
  <c r="CO38" i="10" s="1"/>
  <c r="CE38" i="10" s="1"/>
  <c r="CN20" i="10"/>
  <c r="CO20" i="10" s="1"/>
  <c r="CE20" i="10" s="1"/>
  <c r="J33" i="10"/>
  <c r="CN40" i="10"/>
  <c r="CO40" i="10" s="1"/>
  <c r="CE40" i="10" s="1"/>
  <c r="CN28" i="10"/>
  <c r="CO28" i="10" s="1"/>
  <c r="CE28" i="10" s="1"/>
  <c r="E47" i="3"/>
  <c r="F47" i="3"/>
  <c r="G47" i="3"/>
  <c r="AW21" i="33"/>
  <c r="J28" i="10"/>
  <c r="CN32" i="10"/>
  <c r="CO32" i="10" s="1"/>
  <c r="CE32" i="10" s="1"/>
  <c r="K91" i="24" s="1"/>
  <c r="B2" i="23"/>
  <c r="B2" i="22"/>
  <c r="J65" i="22"/>
  <c r="AD87" i="23"/>
  <c r="S5" i="10"/>
  <c r="O3" i="14"/>
  <c r="T165" i="14"/>
  <c r="S165" i="14"/>
  <c r="X165" i="14"/>
  <c r="AH165" i="14"/>
  <c r="AA165" i="14"/>
  <c r="AF165" i="14"/>
  <c r="Z165" i="14"/>
  <c r="Q165" i="14"/>
  <c r="AJ165" i="14"/>
  <c r="AD165" i="14"/>
  <c r="AB165" i="14"/>
  <c r="AE165" i="14"/>
  <c r="AG165" i="14"/>
  <c r="AK165" i="14"/>
  <c r="AI165" i="14"/>
  <c r="R165" i="14"/>
  <c r="AC165" i="14"/>
  <c r="V165" i="14"/>
  <c r="AL165" i="14"/>
  <c r="W165" i="14"/>
  <c r="U165" i="14"/>
  <c r="Y165" i="14"/>
  <c r="R171" i="14"/>
  <c r="S171" i="14"/>
  <c r="AE171" i="14"/>
  <c r="AF171" i="14"/>
  <c r="AK171" i="14"/>
  <c r="Z171" i="14"/>
  <c r="Q171" i="14"/>
  <c r="AL171" i="14"/>
  <c r="AD171" i="14"/>
  <c r="AG171" i="14"/>
  <c r="W171" i="14"/>
  <c r="AA171" i="14"/>
  <c r="U171" i="14"/>
  <c r="T171" i="14"/>
  <c r="AJ171" i="14"/>
  <c r="AC171" i="14"/>
  <c r="X171" i="14"/>
  <c r="AI171" i="14"/>
  <c r="AH171" i="14"/>
  <c r="Y171" i="14"/>
  <c r="V171" i="14"/>
  <c r="AB171" i="14"/>
  <c r="AG162" i="14"/>
  <c r="T162" i="14"/>
  <c r="AF162" i="14"/>
  <c r="AE162" i="14"/>
  <c r="AD162" i="14"/>
  <c r="AK162" i="14"/>
  <c r="Y162" i="14"/>
  <c r="AJ162" i="14"/>
  <c r="Z162" i="14"/>
  <c r="S162" i="14"/>
  <c r="AH162" i="14"/>
  <c r="Q162" i="14"/>
  <c r="U162" i="14"/>
  <c r="R162" i="14"/>
  <c r="V162" i="14"/>
  <c r="AI162" i="14"/>
  <c r="X162" i="14"/>
  <c r="W162" i="14"/>
  <c r="AC162" i="14"/>
  <c r="AA162" i="14"/>
  <c r="AB162" i="14"/>
  <c r="AL162" i="14"/>
  <c r="J34" i="10"/>
  <c r="G54" i="3"/>
  <c r="J54" i="3"/>
  <c r="A1" i="3"/>
  <c r="J20" i="10"/>
  <c r="V167" i="14"/>
  <c r="AG167" i="14"/>
  <c r="X167" i="14"/>
  <c r="AI167" i="14"/>
  <c r="Z167" i="14"/>
  <c r="AL167" i="14"/>
  <c r="S167" i="14"/>
  <c r="AA167" i="14"/>
  <c r="W167" i="14"/>
  <c r="AF167" i="14"/>
  <c r="AC167" i="14"/>
  <c r="AK167" i="14"/>
  <c r="AJ167" i="14"/>
  <c r="AH167" i="14"/>
  <c r="AB167" i="14"/>
  <c r="U167" i="14"/>
  <c r="AD167" i="14"/>
  <c r="Y167" i="14"/>
  <c r="AE167" i="14"/>
  <c r="T167" i="14"/>
  <c r="R167" i="14"/>
  <c r="Q167" i="14"/>
  <c r="Y170" i="14"/>
  <c r="AI170" i="14"/>
  <c r="R170" i="14"/>
  <c r="AG170" i="14"/>
  <c r="AK170" i="14"/>
  <c r="AD170" i="14"/>
  <c r="Q170" i="14"/>
  <c r="AB170" i="14"/>
  <c r="V170" i="14"/>
  <c r="T170" i="14"/>
  <c r="S170" i="14"/>
  <c r="AL170" i="14"/>
  <c r="AH170" i="14"/>
  <c r="U170" i="14"/>
  <c r="W170" i="14"/>
  <c r="AC170" i="14"/>
  <c r="Z170" i="14"/>
  <c r="AE170" i="14"/>
  <c r="X170" i="14"/>
  <c r="AJ170" i="14"/>
  <c r="AF170" i="14"/>
  <c r="AA170" i="14"/>
  <c r="AA163" i="14"/>
  <c r="AL163" i="14"/>
  <c r="AF163" i="14"/>
  <c r="Q163" i="14"/>
  <c r="T163" i="14"/>
  <c r="AJ163" i="14"/>
  <c r="AH163" i="14"/>
  <c r="AI163" i="14"/>
  <c r="AD163" i="14"/>
  <c r="AB163" i="14"/>
  <c r="Y163" i="14"/>
  <c r="R163" i="14"/>
  <c r="W163" i="14"/>
  <c r="Z163" i="14"/>
  <c r="AK163" i="14"/>
  <c r="U163" i="14"/>
  <c r="X163" i="14"/>
  <c r="AE163" i="14"/>
  <c r="AC163" i="14"/>
  <c r="AG163" i="14"/>
  <c r="V163" i="14"/>
  <c r="S163" i="14"/>
  <c r="EO24" i="10"/>
  <c r="BB24" i="10" s="1"/>
  <c r="J30" i="10"/>
  <c r="B7" i="24"/>
  <c r="H7" i="24" s="1"/>
  <c r="H6" i="24"/>
  <c r="J119" i="24"/>
  <c r="C119" i="24"/>
  <c r="J120" i="24"/>
  <c r="C120" i="24"/>
  <c r="X244" i="14"/>
  <c r="Z245" i="14"/>
  <c r="D244" i="14"/>
  <c r="CR4" i="14" s="1"/>
  <c r="AC166" i="14"/>
  <c r="AK166" i="14"/>
  <c r="Q166" i="14"/>
  <c r="W166" i="14"/>
  <c r="AF166" i="14"/>
  <c r="X166" i="14"/>
  <c r="AA166" i="14"/>
  <c r="AB166" i="14"/>
  <c r="AJ166" i="14"/>
  <c r="AH166" i="14"/>
  <c r="AD166" i="14"/>
  <c r="AG166" i="14"/>
  <c r="AI166" i="14"/>
  <c r="U166" i="14"/>
  <c r="V166" i="14"/>
  <c r="AL166" i="14"/>
  <c r="T166" i="14"/>
  <c r="Z166" i="14"/>
  <c r="R166" i="14"/>
  <c r="AE166" i="14"/>
  <c r="Y166" i="14"/>
  <c r="S166" i="14"/>
  <c r="Y168" i="14"/>
  <c r="AD168" i="14"/>
  <c r="W168" i="14"/>
  <c r="AK168" i="14"/>
  <c r="X168" i="14"/>
  <c r="R168" i="14"/>
  <c r="AL168" i="14"/>
  <c r="AA168" i="14"/>
  <c r="AC168" i="14"/>
  <c r="Q168" i="14"/>
  <c r="AI168" i="14"/>
  <c r="S168" i="14"/>
  <c r="AG168" i="14"/>
  <c r="AE168" i="14"/>
  <c r="U168" i="14"/>
  <c r="V168" i="14"/>
  <c r="Z168" i="14"/>
  <c r="AF168" i="14"/>
  <c r="AH168" i="14"/>
  <c r="AB168" i="14"/>
  <c r="T168" i="14"/>
  <c r="AJ168" i="14"/>
  <c r="CH37" i="14"/>
  <c r="CI37" i="14" s="1"/>
  <c r="A27" i="40"/>
  <c r="E27" i="40" s="1"/>
  <c r="BQ37" i="14"/>
  <c r="CA37" i="14" s="1"/>
  <c r="DQ37" i="14"/>
  <c r="EK37" i="14"/>
  <c r="EB37" i="14"/>
  <c r="D37" i="14"/>
  <c r="DU37" i="14"/>
  <c r="DB37" i="14"/>
  <c r="DG37" i="14"/>
  <c r="EH37" i="14"/>
  <c r="DK37" i="14"/>
  <c r="DT37" i="14"/>
  <c r="EI37" i="14"/>
  <c r="DO37" i="14"/>
  <c r="DV37" i="14"/>
  <c r="BG37" i="14"/>
  <c r="BM37" i="14"/>
  <c r="AT37" i="14"/>
  <c r="AO37" i="14"/>
  <c r="BD37" i="14"/>
  <c r="BK37" i="14"/>
  <c r="BC37" i="14"/>
  <c r="AQ37" i="14"/>
  <c r="AR37" i="14"/>
  <c r="AW37" i="14"/>
  <c r="BF37" i="14"/>
  <c r="AV37" i="14"/>
  <c r="BN37" i="14"/>
  <c r="AX37" i="14"/>
  <c r="CG37" i="14"/>
  <c r="CE37" i="14"/>
  <c r="CE38" i="14" s="1"/>
  <c r="CE39" i="14" s="1"/>
  <c r="CE40" i="14" s="1"/>
  <c r="P37" i="14"/>
  <c r="DS37" i="14"/>
  <c r="DZ37" i="14"/>
  <c r="EQ37" i="14"/>
  <c r="DA37" i="14"/>
  <c r="DP37" i="14"/>
  <c r="CV37" i="14"/>
  <c r="EM37" i="14"/>
  <c r="DN37" i="14"/>
  <c r="EL37" i="14"/>
  <c r="ES37" i="14"/>
  <c r="DM37" i="14"/>
  <c r="EF37" i="14"/>
  <c r="CW37" i="14"/>
  <c r="CB37" i="14"/>
  <c r="BV37" i="14" s="1"/>
  <c r="CJ37" i="14"/>
  <c r="CK37" i="14" s="1"/>
  <c r="BP37" i="14"/>
  <c r="B33" i="22"/>
  <c r="DC37" i="14"/>
  <c r="DX37" i="14"/>
  <c r="DE37" i="14"/>
  <c r="BO37" i="14"/>
  <c r="G37" i="14" s="1"/>
  <c r="DW37" i="14"/>
  <c r="DH37" i="14"/>
  <c r="ED37" i="14"/>
  <c r="EG37" i="14"/>
  <c r="DL37" i="14"/>
  <c r="ER37" i="14"/>
  <c r="EN37" i="14"/>
  <c r="CX37" i="14"/>
  <c r="BH37" i="14"/>
  <c r="BI37" i="14"/>
  <c r="AZ37" i="14"/>
  <c r="AY37" i="14"/>
  <c r="AS37" i="14"/>
  <c r="BA37" i="14"/>
  <c r="CL37" i="14"/>
  <c r="BX37" i="14"/>
  <c r="C37" i="14"/>
  <c r="DY37" i="14"/>
  <c r="EO37" i="14"/>
  <c r="DD37" i="14"/>
  <c r="DI37" i="14"/>
  <c r="CY37" i="14"/>
  <c r="DJ37" i="14"/>
  <c r="DF37" i="14"/>
  <c r="EJ37" i="14"/>
  <c r="CZ37" i="14"/>
  <c r="EE37" i="14"/>
  <c r="EA37" i="14"/>
  <c r="EP37" i="14"/>
  <c r="EC37" i="14"/>
  <c r="BB37" i="14"/>
  <c r="AP37" i="14"/>
  <c r="AU37" i="14"/>
  <c r="BJ37" i="14"/>
  <c r="BL37" i="14"/>
  <c r="BE37" i="14"/>
  <c r="U21" i="24"/>
  <c r="V21" i="24" s="1"/>
  <c r="EO14" i="10"/>
  <c r="BB14" i="10" s="1"/>
  <c r="DU14" i="10"/>
  <c r="AH14" i="10" s="1"/>
  <c r="Z108" i="20"/>
  <c r="X107" i="20"/>
  <c r="Y107" i="20"/>
  <c r="DP24" i="10"/>
  <c r="AC24" i="10" s="1"/>
  <c r="X169" i="14"/>
  <c r="AB169" i="14"/>
  <c r="AI169" i="14"/>
  <c r="Z169" i="14"/>
  <c r="AC169" i="14"/>
  <c r="V169" i="14"/>
  <c r="T169" i="14"/>
  <c r="R169" i="14"/>
  <c r="AH169" i="14"/>
  <c r="S169" i="14"/>
  <c r="AF169" i="14"/>
  <c r="AA169" i="14"/>
  <c r="W169" i="14"/>
  <c r="Q169" i="14"/>
  <c r="AD169" i="14"/>
  <c r="AG169" i="14"/>
  <c r="U169" i="14"/>
  <c r="AJ169" i="14"/>
  <c r="AL169" i="14"/>
  <c r="AE169" i="14"/>
  <c r="AK169" i="14"/>
  <c r="Y169" i="14"/>
  <c r="Z172" i="14"/>
  <c r="AK172" i="14"/>
  <c r="AL172" i="14"/>
  <c r="Y172" i="14"/>
  <c r="S172" i="14"/>
  <c r="AH172" i="14"/>
  <c r="AA172" i="14"/>
  <c r="AF172" i="14"/>
  <c r="X172" i="14"/>
  <c r="AJ172" i="14"/>
  <c r="R172" i="14"/>
  <c r="AE172" i="14"/>
  <c r="AG172" i="14"/>
  <c r="AI172" i="14"/>
  <c r="U172" i="14"/>
  <c r="AB172" i="14"/>
  <c r="T172" i="14"/>
  <c r="Q172" i="14"/>
  <c r="V172" i="14"/>
  <c r="AC172" i="14"/>
  <c r="AD172" i="14"/>
  <c r="W172" i="14"/>
  <c r="T164" i="14"/>
  <c r="AD164" i="14"/>
  <c r="AL164" i="14"/>
  <c r="X164" i="14"/>
  <c r="AF164" i="14"/>
  <c r="Y164" i="14"/>
  <c r="AI164" i="14"/>
  <c r="AC164" i="14"/>
  <c r="AA164" i="14"/>
  <c r="AJ164" i="14"/>
  <c r="S164" i="14"/>
  <c r="AE164" i="14"/>
  <c r="Z164" i="14"/>
  <c r="R164" i="14"/>
  <c r="Q164" i="14"/>
  <c r="AG164" i="14"/>
  <c r="AK164" i="14"/>
  <c r="AH164" i="14"/>
  <c r="W164" i="14"/>
  <c r="AB164" i="14"/>
  <c r="U164" i="14"/>
  <c r="V164" i="14"/>
  <c r="J29" i="10"/>
  <c r="GX79" i="7"/>
  <c r="AE50" i="28"/>
  <c r="AV40" i="14"/>
  <c r="AX40" i="14"/>
  <c r="AT40" i="14"/>
  <c r="BJ40" i="14"/>
  <c r="AZ40" i="14"/>
  <c r="BI40" i="14"/>
  <c r="AP40" i="14"/>
  <c r="BF40" i="14"/>
  <c r="BH40" i="14"/>
  <c r="AO40" i="14"/>
  <c r="BC40" i="14"/>
  <c r="BG40" i="14"/>
  <c r="BL40" i="14"/>
  <c r="AQ40" i="14"/>
  <c r="BE40" i="14"/>
  <c r="BK40" i="14"/>
  <c r="AU40" i="14"/>
  <c r="BD40" i="14"/>
  <c r="BB40" i="14"/>
  <c r="AY40" i="14"/>
  <c r="BM40" i="14"/>
  <c r="AW40" i="14"/>
  <c r="BA40" i="14"/>
  <c r="AR40" i="14"/>
  <c r="AS40" i="14"/>
  <c r="CM38" i="14"/>
  <c r="B38" i="14" s="1"/>
  <c r="M38" i="14" s="1"/>
  <c r="R61" i="24"/>
  <c r="S61" i="24" s="1"/>
  <c r="A14" i="14"/>
  <c r="CE14" i="14" s="1"/>
  <c r="N91" i="24"/>
  <c r="I91" i="24"/>
  <c r="A41" i="14"/>
  <c r="AF11" i="14"/>
  <c r="AG11" i="14"/>
  <c r="T11" i="14"/>
  <c r="AL11" i="14"/>
  <c r="AB11" i="14"/>
  <c r="AD11" i="14"/>
  <c r="Z11" i="14"/>
  <c r="AK11" i="14"/>
  <c r="X11" i="14"/>
  <c r="S11" i="14"/>
  <c r="V11" i="14"/>
  <c r="AA11" i="14"/>
  <c r="AI11" i="14"/>
  <c r="AJ11" i="14"/>
  <c r="W11" i="14"/>
  <c r="AC11" i="14"/>
  <c r="U11" i="14"/>
  <c r="Y11" i="14"/>
  <c r="AE11" i="14"/>
  <c r="R11" i="14"/>
  <c r="AH11" i="14"/>
  <c r="V34" i="22"/>
  <c r="E34" i="22"/>
  <c r="Y34" i="22"/>
  <c r="I34" i="22"/>
  <c r="S34" i="22"/>
  <c r="M34" i="22"/>
  <c r="O34" i="22"/>
  <c r="F9" i="38"/>
  <c r="E10" i="38" s="1"/>
  <c r="A9" i="38"/>
  <c r="B9" i="38" s="1"/>
  <c r="C9" i="38"/>
  <c r="CB40" i="14"/>
  <c r="BV40" i="14" s="1"/>
  <c r="P40" i="14"/>
  <c r="C40" i="14"/>
  <c r="CH40" i="14"/>
  <c r="CI40" i="14" s="1"/>
  <c r="CJ40" i="14"/>
  <c r="CK40" i="14" s="1"/>
  <c r="BX40" i="14"/>
  <c r="BP40" i="14"/>
  <c r="A30" i="40"/>
  <c r="E30" i="40" s="1"/>
  <c r="CG40" i="14"/>
  <c r="B36" i="22"/>
  <c r="CL40" i="14"/>
  <c r="BQ40" i="14"/>
  <c r="CA40" i="14" s="1"/>
  <c r="D40" i="14"/>
  <c r="EN40" i="14"/>
  <c r="EJ40" i="14"/>
  <c r="DY40" i="14"/>
  <c r="DI40" i="14"/>
  <c r="EH40" i="14"/>
  <c r="ES40" i="14"/>
  <c r="DF40" i="14"/>
  <c r="EM40" i="14"/>
  <c r="EK40" i="14"/>
  <c r="DJ40" i="14"/>
  <c r="EC40" i="14"/>
  <c r="EE40" i="14"/>
  <c r="CV40" i="14"/>
  <c r="DM40" i="14"/>
  <c r="EL40" i="14"/>
  <c r="DO40" i="14"/>
  <c r="CW40" i="14"/>
  <c r="DP40" i="14"/>
  <c r="EB40" i="14"/>
  <c r="DV40" i="14"/>
  <c r="DC40" i="14"/>
  <c r="DS40" i="14"/>
  <c r="DA40" i="14"/>
  <c r="DN40" i="14"/>
  <c r="DD40" i="14"/>
  <c r="CZ40" i="14"/>
  <c r="EP40" i="14"/>
  <c r="ED40" i="14"/>
  <c r="ER40" i="14"/>
  <c r="CY40" i="14"/>
  <c r="DH40" i="14"/>
  <c r="EO40" i="14"/>
  <c r="DQ40" i="14"/>
  <c r="EG40" i="14"/>
  <c r="DK40" i="14"/>
  <c r="DE40" i="14"/>
  <c r="CX40" i="14"/>
  <c r="DG40" i="14"/>
  <c r="EA40" i="14"/>
  <c r="DB40" i="14"/>
  <c r="DW40" i="14"/>
  <c r="DX40" i="14"/>
  <c r="EF40" i="14"/>
  <c r="DZ40" i="14"/>
  <c r="DU40" i="14"/>
  <c r="DT40" i="14"/>
  <c r="EQ40" i="14"/>
  <c r="EI40" i="14"/>
  <c r="DL40" i="14"/>
  <c r="BO40" i="14"/>
  <c r="G40" i="14" s="1"/>
  <c r="B60" i="24"/>
  <c r="E60" i="24"/>
  <c r="H60" i="24"/>
  <c r="A60" i="24" s="1"/>
  <c r="O8" i="22"/>
  <c r="M112" i="24" s="1"/>
  <c r="E8" i="22"/>
  <c r="F112" i="24" s="1"/>
  <c r="M8" i="22"/>
  <c r="H112" i="24" s="1"/>
  <c r="I8" i="22"/>
  <c r="V8" i="22"/>
  <c r="J112" i="24" s="1"/>
  <c r="S8" i="22"/>
  <c r="K112" i="24" s="1"/>
  <c r="Y8" i="22"/>
  <c r="CM12" i="14"/>
  <c r="B12" i="14" s="1"/>
  <c r="BT38" i="14"/>
  <c r="BU38" i="14"/>
  <c r="B28" i="40"/>
  <c r="U44" i="24"/>
  <c r="V44" i="24" s="1"/>
  <c r="V92" i="24"/>
  <c r="U93" i="24" s="1"/>
  <c r="K92" i="24"/>
  <c r="J92" i="24"/>
  <c r="P92" i="24"/>
  <c r="L92" i="24"/>
  <c r="B3" i="40"/>
  <c r="BT12" i="14"/>
  <c r="CL13" i="14"/>
  <c r="CG13" i="14"/>
  <c r="A4" i="40"/>
  <c r="E4" i="40" s="1"/>
  <c r="CJ13" i="14"/>
  <c r="CK13" i="14" s="1"/>
  <c r="B9" i="22"/>
  <c r="BQ13" i="14"/>
  <c r="CA13" i="14" s="1"/>
  <c r="C13" i="14"/>
  <c r="BP13" i="14"/>
  <c r="CH13" i="14"/>
  <c r="CI13" i="14" s="1"/>
  <c r="BX13" i="14"/>
  <c r="P13" i="14"/>
  <c r="DW13" i="14"/>
  <c r="EI13" i="14"/>
  <c r="EN13" i="14"/>
  <c r="DC13" i="14"/>
  <c r="EM13" i="14"/>
  <c r="BO13" i="14"/>
  <c r="G13" i="14" s="1"/>
  <c r="DH13" i="14"/>
  <c r="DE13" i="14"/>
  <c r="DO13" i="14"/>
  <c r="DP13" i="14"/>
  <c r="EO13" i="14"/>
  <c r="DY13" i="14"/>
  <c r="EF13" i="14"/>
  <c r="EJ13" i="14"/>
  <c r="EH13" i="14"/>
  <c r="DQ13" i="14"/>
  <c r="EC13" i="14"/>
  <c r="EA13" i="14"/>
  <c r="DB13" i="14"/>
  <c r="D13" i="14"/>
  <c r="EG13" i="14"/>
  <c r="ES13" i="14"/>
  <c r="CV13" i="14"/>
  <c r="ED13" i="14"/>
  <c r="DS13" i="14"/>
  <c r="EL13" i="14"/>
  <c r="EP13" i="14"/>
  <c r="DX13" i="14"/>
  <c r="EB13" i="14"/>
  <c r="EK13" i="14"/>
  <c r="ER13" i="14"/>
  <c r="DN13" i="14"/>
  <c r="DJ13" i="14"/>
  <c r="CW13" i="14"/>
  <c r="EE13" i="14"/>
  <c r="DU13" i="14"/>
  <c r="DL13" i="14"/>
  <c r="DF13" i="14"/>
  <c r="DG13" i="14"/>
  <c r="CY13" i="14"/>
  <c r="DZ13" i="14"/>
  <c r="EQ13" i="14"/>
  <c r="DK13" i="14"/>
  <c r="DV13" i="14"/>
  <c r="CX13" i="14"/>
  <c r="CZ13" i="14"/>
  <c r="DA13" i="14"/>
  <c r="DD13" i="14"/>
  <c r="DT13" i="14"/>
  <c r="DM13" i="14"/>
  <c r="DI13" i="14"/>
  <c r="AW13" i="14"/>
  <c r="AO13" i="14"/>
  <c r="AU13" i="14"/>
  <c r="BJ13" i="14"/>
  <c r="BB13" i="14"/>
  <c r="BD13" i="14"/>
  <c r="AT13" i="14"/>
  <c r="BN13" i="14"/>
  <c r="BH13" i="14"/>
  <c r="AV13" i="14"/>
  <c r="BC13" i="14"/>
  <c r="AS13" i="14"/>
  <c r="BE13" i="14"/>
  <c r="AZ13" i="14"/>
  <c r="BA13" i="14"/>
  <c r="AY13" i="14"/>
  <c r="BG13" i="14"/>
  <c r="BI13" i="14"/>
  <c r="BM13" i="14"/>
  <c r="BL13" i="14"/>
  <c r="AR13" i="14"/>
  <c r="AQ13" i="14"/>
  <c r="BK13" i="14"/>
  <c r="AP13" i="14"/>
  <c r="AX13" i="14"/>
  <c r="BF13" i="14"/>
  <c r="E12" i="42"/>
  <c r="F12" i="42"/>
  <c r="A11" i="42"/>
  <c r="B11" i="42" s="1"/>
  <c r="C11" i="42"/>
  <c r="CA66" i="14"/>
  <c r="BR66" i="14"/>
  <c r="D66" i="14" s="1"/>
  <c r="CC66" i="14"/>
  <c r="BR18" i="14"/>
  <c r="CC18" i="14"/>
  <c r="BR43" i="14"/>
  <c r="CC43" i="14"/>
  <c r="D64" i="14"/>
  <c r="C43" i="33"/>
  <c r="AL43" i="33"/>
  <c r="AC43" i="33"/>
  <c r="A44" i="33"/>
  <c r="AF45" i="33"/>
  <c r="X50" i="28"/>
  <c r="A51" i="28"/>
  <c r="CL202" i="10"/>
  <c r="Z64" i="14"/>
  <c r="AO64" i="14"/>
  <c r="W64" i="14"/>
  <c r="AX64" i="14"/>
  <c r="AL64" i="14"/>
  <c r="AI64" i="14"/>
  <c r="Y64" i="14"/>
  <c r="AU64" i="14"/>
  <c r="BH64" i="14"/>
  <c r="BL64" i="14"/>
  <c r="AD64" i="14"/>
  <c r="AT64" i="14"/>
  <c r="T64" i="14"/>
  <c r="R64" i="14"/>
  <c r="BM64" i="14"/>
  <c r="AC64" i="14"/>
  <c r="BB64" i="14"/>
  <c r="AP64" i="14"/>
  <c r="BK64" i="14"/>
  <c r="U64" i="14"/>
  <c r="BF64" i="14"/>
  <c r="AR64" i="14"/>
  <c r="AS64" i="14"/>
  <c r="AB64" i="14"/>
  <c r="BC64" i="14"/>
  <c r="AE64" i="14"/>
  <c r="AJ64" i="14"/>
  <c r="S64" i="14"/>
  <c r="AF64" i="14"/>
  <c r="BI64" i="14"/>
  <c r="X64" i="14"/>
  <c r="BD64" i="14"/>
  <c r="AG64" i="14"/>
  <c r="BJ64" i="14"/>
  <c r="BG64" i="14"/>
  <c r="AW64" i="14"/>
  <c r="BN64" i="14"/>
  <c r="AQ64" i="14"/>
  <c r="AZ64" i="14"/>
  <c r="AH64" i="14"/>
  <c r="AV64" i="14"/>
  <c r="AY64" i="14"/>
  <c r="AA64" i="14"/>
  <c r="BA64" i="14"/>
  <c r="BE64" i="14"/>
  <c r="V64" i="14"/>
  <c r="G185" i="39"/>
  <c r="AI39" i="14"/>
  <c r="AU39" i="14"/>
  <c r="W39" i="14"/>
  <c r="AP39" i="14"/>
  <c r="Z39" i="14"/>
  <c r="BC39" i="14"/>
  <c r="AG39" i="14"/>
  <c r="AE39" i="14"/>
  <c r="AO39" i="14"/>
  <c r="AC39" i="14"/>
  <c r="BB39" i="14"/>
  <c r="AV39" i="14"/>
  <c r="S39" i="14"/>
  <c r="BN39" i="14"/>
  <c r="U39" i="14"/>
  <c r="BI39" i="14"/>
  <c r="AB39" i="14"/>
  <c r="AX39" i="14"/>
  <c r="BK39" i="14"/>
  <c r="BL39" i="14"/>
  <c r="AW39" i="14"/>
  <c r="AH39" i="14"/>
  <c r="AD39" i="14"/>
  <c r="AZ39" i="14"/>
  <c r="AF39" i="14"/>
  <c r="BF39" i="14"/>
  <c r="BM39" i="14"/>
  <c r="BJ39" i="14"/>
  <c r="R39" i="14"/>
  <c r="BH39" i="14"/>
  <c r="V39" i="14"/>
  <c r="AT39" i="14"/>
  <c r="BD39" i="14"/>
  <c r="AK39" i="14"/>
  <c r="BE39" i="14"/>
  <c r="T39" i="14"/>
  <c r="AR39" i="14"/>
  <c r="AQ39" i="14"/>
  <c r="BG39" i="14"/>
  <c r="AJ39" i="14"/>
  <c r="BA39" i="14"/>
  <c r="AS39" i="14"/>
  <c r="X39" i="14"/>
  <c r="AL39" i="14"/>
  <c r="AY39" i="14"/>
  <c r="Y39" i="14"/>
  <c r="AA39" i="14"/>
  <c r="C55" i="40"/>
  <c r="E55" i="40" s="1"/>
  <c r="K66" i="14"/>
  <c r="C54" i="40"/>
  <c r="E54" i="40" s="1"/>
  <c r="K65" i="14"/>
  <c r="EB65" i="14"/>
  <c r="DK65" i="14"/>
  <c r="DM65" i="14"/>
  <c r="EC65" i="14"/>
  <c r="DB65" i="14"/>
  <c r="EA65" i="14"/>
  <c r="DQ65" i="14"/>
  <c r="CX65" i="14"/>
  <c r="EE65" i="14"/>
  <c r="DS65" i="14"/>
  <c r="EI65" i="14"/>
  <c r="EG65" i="14"/>
  <c r="DH65" i="14"/>
  <c r="DF65" i="14"/>
  <c r="ED65" i="14"/>
  <c r="EN65" i="14"/>
  <c r="EO65" i="14"/>
  <c r="CW65" i="14"/>
  <c r="BO65" i="14"/>
  <c r="G65" i="14" s="1"/>
  <c r="DY65" i="14"/>
  <c r="EH65" i="14"/>
  <c r="DW65" i="14"/>
  <c r="EF65" i="14"/>
  <c r="EK65" i="14"/>
  <c r="DJ65" i="14"/>
  <c r="DL65" i="14"/>
  <c r="CV65" i="14"/>
  <c r="DE65" i="14"/>
  <c r="DO65" i="14"/>
  <c r="DI65" i="14"/>
  <c r="DA65" i="14"/>
  <c r="DP65" i="14"/>
  <c r="DC65" i="14"/>
  <c r="DX65" i="14"/>
  <c r="DD65" i="14"/>
  <c r="ES65" i="14"/>
  <c r="DG65" i="14"/>
  <c r="EL65" i="14"/>
  <c r="EM65" i="14"/>
  <c r="DU65" i="14"/>
  <c r="DV65" i="14"/>
  <c r="DT65" i="14"/>
  <c r="ER65" i="14"/>
  <c r="EJ65" i="14"/>
  <c r="DZ65" i="14"/>
  <c r="CZ65" i="14"/>
  <c r="EQ65" i="14"/>
  <c r="DN65" i="14"/>
  <c r="EP65" i="14"/>
  <c r="CY65" i="14"/>
  <c r="DQ64" i="14"/>
  <c r="ER64" i="14"/>
  <c r="DS64" i="14"/>
  <c r="EL64" i="14"/>
  <c r="ES64" i="14"/>
  <c r="CV64" i="14"/>
  <c r="EO64" i="14"/>
  <c r="EH64" i="14"/>
  <c r="DG64" i="14"/>
  <c r="DL64" i="14"/>
  <c r="DK64" i="14"/>
  <c r="CX64" i="14"/>
  <c r="EC64" i="14"/>
  <c r="EP64" i="14"/>
  <c r="DY64" i="14"/>
  <c r="BO64" i="14"/>
  <c r="G64" i="14" s="1"/>
  <c r="EK64" i="14"/>
  <c r="DJ64" i="14"/>
  <c r="DU64" i="14"/>
  <c r="DF64" i="14"/>
  <c r="DA64" i="14"/>
  <c r="DX64" i="14"/>
  <c r="DT64" i="14"/>
  <c r="EM64" i="14"/>
  <c r="EN64" i="14"/>
  <c r="DB64" i="14"/>
  <c r="EF64" i="14"/>
  <c r="EQ64" i="14"/>
  <c r="DH64" i="14"/>
  <c r="DW64" i="14"/>
  <c r="CW64" i="14"/>
  <c r="EG64" i="14"/>
  <c r="DV64" i="14"/>
  <c r="DD64" i="14"/>
  <c r="ED64" i="14"/>
  <c r="DM64" i="14"/>
  <c r="DP64" i="14"/>
  <c r="DO64" i="14"/>
  <c r="DC64" i="14"/>
  <c r="CZ64" i="14"/>
  <c r="CY64" i="14"/>
  <c r="EA64" i="14"/>
  <c r="EJ64" i="14"/>
  <c r="DZ64" i="14"/>
  <c r="EB64" i="14"/>
  <c r="DN64" i="14"/>
  <c r="EE64" i="14"/>
  <c r="DE64" i="14"/>
  <c r="EI64" i="14"/>
  <c r="DI64" i="14"/>
  <c r="CK202" i="10"/>
  <c r="BT66" i="14"/>
  <c r="BU66" i="14"/>
  <c r="B55" i="40"/>
  <c r="CE67" i="14"/>
  <c r="A68" i="14" s="1"/>
  <c r="CG67" i="14"/>
  <c r="BQ67" i="14"/>
  <c r="BX67" i="14"/>
  <c r="CB67" i="14"/>
  <c r="BV67" i="14" s="1"/>
  <c r="B67" i="14"/>
  <c r="M67" i="14" s="1"/>
  <c r="BP67" i="14"/>
  <c r="P67" i="14"/>
  <c r="A56" i="40"/>
  <c r="C67" i="14"/>
  <c r="BR202" i="10"/>
  <c r="AL202" i="10"/>
  <c r="CN202" i="10"/>
  <c r="O202" i="10"/>
  <c r="B166" i="39" s="1"/>
  <c r="B203" i="10"/>
  <c r="BQ211" i="10"/>
  <c r="A210" i="10"/>
  <c r="CG209" i="10"/>
  <c r="BO209" i="10"/>
  <c r="CH204" i="10"/>
  <c r="EF204" i="10"/>
  <c r="BW204" i="10"/>
  <c r="BN205" i="10"/>
  <c r="C29" i="34"/>
  <c r="D30" i="34" s="1"/>
  <c r="B34" i="23"/>
  <c r="AG34" i="23"/>
  <c r="Z33" i="23"/>
  <c r="V33" i="23"/>
  <c r="E33" i="23"/>
  <c r="S33" i="23"/>
  <c r="M33" i="23"/>
  <c r="I33" i="23"/>
  <c r="AD33" i="23"/>
  <c r="Y33" i="23"/>
  <c r="O33" i="23"/>
  <c r="BY205" i="10"/>
  <c r="GW80" i="7"/>
  <c r="DE139" i="10"/>
  <c r="DD136" i="10"/>
  <c r="GV81" i="7"/>
  <c r="GU81" i="7"/>
  <c r="G60" i="24"/>
  <c r="G26" i="24"/>
  <c r="C204" i="10"/>
  <c r="G205" i="10"/>
  <c r="BX205" i="10"/>
  <c r="F205" i="10"/>
  <c r="EP24" i="10" l="1"/>
  <c r="BC24" i="10" s="1"/>
  <c r="EI24" i="10"/>
  <c r="AV24" i="10" s="1"/>
  <c r="DQ24" i="10"/>
  <c r="AD24" i="10" s="1"/>
  <c r="DY24" i="10"/>
  <c r="AL24" i="10" s="1"/>
  <c r="FJ24" i="10"/>
  <c r="BW24" i="10" s="1"/>
  <c r="DR24" i="10"/>
  <c r="AE24" i="10" s="1"/>
  <c r="EN24" i="10"/>
  <c r="BA24" i="10" s="1"/>
  <c r="DO24" i="10"/>
  <c r="AB24" i="10" s="1"/>
  <c r="EB24" i="10"/>
  <c r="AO24" i="10" s="1"/>
  <c r="FE24" i="10"/>
  <c r="BR24" i="10" s="1"/>
  <c r="EZ24" i="10"/>
  <c r="BM24" i="10" s="1"/>
  <c r="EG24" i="10"/>
  <c r="AT24" i="10" s="1"/>
  <c r="DN24" i="10"/>
  <c r="AA24" i="10" s="1"/>
  <c r="EH24" i="10"/>
  <c r="AU24" i="10" s="1"/>
  <c r="EV24" i="10"/>
  <c r="BI24" i="10" s="1"/>
  <c r="EY39" i="10"/>
  <c r="BL39" i="10" s="1"/>
  <c r="FK24" i="10"/>
  <c r="BX24" i="10" s="1"/>
  <c r="EE24" i="10"/>
  <c r="AR24" i="10" s="1"/>
  <c r="FG24" i="10"/>
  <c r="BT24" i="10" s="1"/>
  <c r="EK24" i="10"/>
  <c r="AX24" i="10" s="1"/>
  <c r="DK24" i="10"/>
  <c r="X24" i="10" s="1"/>
  <c r="EX24" i="10"/>
  <c r="BK24" i="10" s="1"/>
  <c r="EM34" i="10"/>
  <c r="AZ34" i="10" s="1"/>
  <c r="DJ24" i="10"/>
  <c r="W24" i="10" s="1"/>
  <c r="EL24" i="10"/>
  <c r="AY24" i="10" s="1"/>
  <c r="ET24" i="10"/>
  <c r="BG24" i="10" s="1"/>
  <c r="EW24" i="10"/>
  <c r="BJ24" i="10" s="1"/>
  <c r="FF24" i="10"/>
  <c r="BS24" i="10" s="1"/>
  <c r="DM24" i="10"/>
  <c r="Z24" i="10" s="1"/>
  <c r="FI34" i="10"/>
  <c r="BV34" i="10" s="1"/>
  <c r="H27" i="24"/>
  <c r="D27" i="24"/>
  <c r="B27" i="24"/>
  <c r="E27" i="24"/>
  <c r="A27" i="24"/>
  <c r="FE34" i="10"/>
  <c r="BR34" i="10" s="1"/>
  <c r="S27" i="24"/>
  <c r="R28" i="24" s="1"/>
  <c r="S28" i="24" s="1"/>
  <c r="EB34" i="10"/>
  <c r="AO34" i="10" s="1"/>
  <c r="EG34" i="10"/>
  <c r="AT34" i="10" s="1"/>
  <c r="EL34" i="10"/>
  <c r="AY34" i="10" s="1"/>
  <c r="ER34" i="10"/>
  <c r="BE34" i="10" s="1"/>
  <c r="EY34" i="10"/>
  <c r="BL34" i="10" s="1"/>
  <c r="EQ34" i="10"/>
  <c r="BD34" i="10" s="1"/>
  <c r="EN34" i="10"/>
  <c r="BA34" i="10" s="1"/>
  <c r="FC34" i="10"/>
  <c r="BP34" i="10" s="1"/>
  <c r="DT33" i="10"/>
  <c r="AG33" i="10" s="1"/>
  <c r="DZ33" i="10"/>
  <c r="AM33" i="10" s="1"/>
  <c r="DL33" i="10"/>
  <c r="Y33" i="10" s="1"/>
  <c r="DS33" i="10"/>
  <c r="AF33" i="10" s="1"/>
  <c r="FG33" i="10"/>
  <c r="BT33" i="10" s="1"/>
  <c r="FC33" i="10"/>
  <c r="BP33" i="10" s="1"/>
  <c r="FD33" i="10"/>
  <c r="BQ33" i="10" s="1"/>
  <c r="EV33" i="10"/>
  <c r="BI33" i="10" s="1"/>
  <c r="FE33" i="10"/>
  <c r="BR33" i="10" s="1"/>
  <c r="DM33" i="10"/>
  <c r="Z33" i="10" s="1"/>
  <c r="EO33" i="10"/>
  <c r="BB33" i="10" s="1"/>
  <c r="EM33" i="10"/>
  <c r="AZ33" i="10" s="1"/>
  <c r="EX33" i="10"/>
  <c r="BK33" i="10" s="1"/>
  <c r="DR33" i="10"/>
  <c r="AE33" i="10" s="1"/>
  <c r="EK33" i="10"/>
  <c r="AX33" i="10" s="1"/>
  <c r="EW33" i="10"/>
  <c r="BJ33" i="10" s="1"/>
  <c r="EH33" i="10"/>
  <c r="AU33" i="10" s="1"/>
  <c r="DX33" i="10"/>
  <c r="AK33" i="10" s="1"/>
  <c r="DP33" i="10"/>
  <c r="AC33" i="10" s="1"/>
  <c r="EU33" i="10"/>
  <c r="BH33" i="10" s="1"/>
  <c r="DW33" i="10"/>
  <c r="AJ33" i="10" s="1"/>
  <c r="EB33" i="10"/>
  <c r="AO33" i="10" s="1"/>
  <c r="EL33" i="10"/>
  <c r="AY33" i="10" s="1"/>
  <c r="ED33" i="10"/>
  <c r="AQ33" i="10" s="1"/>
  <c r="EP33" i="10"/>
  <c r="BC33" i="10" s="1"/>
  <c r="FB33" i="10"/>
  <c r="BO33" i="10" s="1"/>
  <c r="FH33" i="10"/>
  <c r="BU33" i="10" s="1"/>
  <c r="FK33" i="10"/>
  <c r="BX33" i="10" s="1"/>
  <c r="DO33" i="10"/>
  <c r="AB33" i="10" s="1"/>
  <c r="DQ33" i="10"/>
  <c r="AD33" i="10" s="1"/>
  <c r="DN33" i="10"/>
  <c r="AA33" i="10" s="1"/>
  <c r="DV33" i="10"/>
  <c r="AI33" i="10" s="1"/>
  <c r="DY33" i="10"/>
  <c r="AL33" i="10" s="1"/>
  <c r="FI33" i="10"/>
  <c r="BV33" i="10" s="1"/>
  <c r="EC33" i="10"/>
  <c r="AP33" i="10" s="1"/>
  <c r="ER33" i="10"/>
  <c r="BE33" i="10" s="1"/>
  <c r="EA33" i="10"/>
  <c r="AN33" i="10" s="1"/>
  <c r="DK33" i="10"/>
  <c r="X33" i="10" s="1"/>
  <c r="FL33" i="10"/>
  <c r="BY33" i="10" s="1"/>
  <c r="EN33" i="10"/>
  <c r="BA33" i="10" s="1"/>
  <c r="EQ33" i="10"/>
  <c r="BD33" i="10" s="1"/>
  <c r="ET33" i="10"/>
  <c r="BG33" i="10" s="1"/>
  <c r="FF33" i="10"/>
  <c r="BS33" i="10" s="1"/>
  <c r="DU33" i="10"/>
  <c r="AH33" i="10" s="1"/>
  <c r="EE33" i="10"/>
  <c r="AR33" i="10" s="1"/>
  <c r="FJ33" i="10"/>
  <c r="BW33" i="10" s="1"/>
  <c r="EG33" i="10"/>
  <c r="AT33" i="10" s="1"/>
  <c r="FA33" i="10"/>
  <c r="BN33" i="10" s="1"/>
  <c r="DJ33" i="10"/>
  <c r="W33" i="10" s="1"/>
  <c r="ES33" i="10"/>
  <c r="BF33" i="10" s="1"/>
  <c r="EY33" i="10"/>
  <c r="BL33" i="10" s="1"/>
  <c r="EJ33" i="10"/>
  <c r="AW33" i="10" s="1"/>
  <c r="EI33" i="10"/>
  <c r="AV33" i="10" s="1"/>
  <c r="EZ33" i="10"/>
  <c r="BM33" i="10" s="1"/>
  <c r="EB29" i="10"/>
  <c r="AO29" i="10" s="1"/>
  <c r="DW29" i="10"/>
  <c r="AJ29" i="10" s="1"/>
  <c r="EU29" i="10"/>
  <c r="BH29" i="10" s="1"/>
  <c r="FG29" i="10"/>
  <c r="BT29" i="10" s="1"/>
  <c r="DQ29" i="10"/>
  <c r="AD29" i="10" s="1"/>
  <c r="EQ29" i="10"/>
  <c r="BD29" i="10" s="1"/>
  <c r="DL29" i="10"/>
  <c r="Y29" i="10" s="1"/>
  <c r="EH29" i="10"/>
  <c r="AU29" i="10" s="1"/>
  <c r="EN29" i="10"/>
  <c r="BA29" i="10" s="1"/>
  <c r="FA29" i="10"/>
  <c r="BN29" i="10" s="1"/>
  <c r="ER29" i="10"/>
  <c r="BE29" i="10" s="1"/>
  <c r="FB29" i="10"/>
  <c r="BO29" i="10" s="1"/>
  <c r="K75" i="24"/>
  <c r="ED29" i="10"/>
  <c r="AQ29" i="10" s="1"/>
  <c r="EO29" i="10"/>
  <c r="BB29" i="10" s="1"/>
  <c r="FD29" i="10"/>
  <c r="BQ29" i="10" s="1"/>
  <c r="EE29" i="10"/>
  <c r="AR29" i="10" s="1"/>
  <c r="EA29" i="10"/>
  <c r="AN29" i="10" s="1"/>
  <c r="FL29" i="10"/>
  <c r="BY29" i="10" s="1"/>
  <c r="FC29" i="10"/>
  <c r="BP29" i="10" s="1"/>
  <c r="DM29" i="10"/>
  <c r="Z29" i="10" s="1"/>
  <c r="FH29" i="10"/>
  <c r="BU29" i="10" s="1"/>
  <c r="EP29" i="10"/>
  <c r="BC29" i="10" s="1"/>
  <c r="DZ29" i="10"/>
  <c r="AM29" i="10" s="1"/>
  <c r="EM29" i="10"/>
  <c r="AZ29" i="10" s="1"/>
  <c r="EI29" i="10"/>
  <c r="AV29" i="10" s="1"/>
  <c r="DK29" i="10"/>
  <c r="X29" i="10" s="1"/>
  <c r="EK29" i="10"/>
  <c r="AX29" i="10" s="1"/>
  <c r="FJ29" i="10"/>
  <c r="BW29" i="10" s="1"/>
  <c r="ES29" i="10"/>
  <c r="BF29" i="10" s="1"/>
  <c r="EV29" i="10"/>
  <c r="BI29" i="10" s="1"/>
  <c r="DN29" i="10"/>
  <c r="AA29" i="10" s="1"/>
  <c r="FK29" i="10"/>
  <c r="BX29" i="10" s="1"/>
  <c r="EZ29" i="10"/>
  <c r="BM29" i="10" s="1"/>
  <c r="ET29" i="10"/>
  <c r="BG29" i="10" s="1"/>
  <c r="EG29" i="10"/>
  <c r="AT29" i="10" s="1"/>
  <c r="EY29" i="10"/>
  <c r="BL29" i="10" s="1"/>
  <c r="DR29" i="10"/>
  <c r="AE29" i="10" s="1"/>
  <c r="FF29" i="10"/>
  <c r="BS29" i="10" s="1"/>
  <c r="DP29" i="10"/>
  <c r="AC29" i="10" s="1"/>
  <c r="DJ29" i="10"/>
  <c r="W29" i="10" s="1"/>
  <c r="EW29" i="10"/>
  <c r="BJ29" i="10" s="1"/>
  <c r="EL29" i="10"/>
  <c r="AY29" i="10" s="1"/>
  <c r="FE29" i="10"/>
  <c r="BR29" i="10" s="1"/>
  <c r="DX29" i="10"/>
  <c r="AK29" i="10" s="1"/>
  <c r="EJ29" i="10"/>
  <c r="AW29" i="10" s="1"/>
  <c r="EX29" i="10"/>
  <c r="BK29" i="10" s="1"/>
  <c r="DU29" i="10"/>
  <c r="AH29" i="10" s="1"/>
  <c r="FI29" i="10"/>
  <c r="BV29" i="10" s="1"/>
  <c r="DY29" i="10"/>
  <c r="AL29" i="10" s="1"/>
  <c r="DV29" i="10"/>
  <c r="AI29" i="10" s="1"/>
  <c r="DT29" i="10"/>
  <c r="AG29" i="10" s="1"/>
  <c r="EC29" i="10"/>
  <c r="AP29" i="10" s="1"/>
  <c r="DS29" i="10"/>
  <c r="AF29" i="10" s="1"/>
  <c r="DO29" i="10"/>
  <c r="AB29" i="10" s="1"/>
  <c r="DU24" i="10"/>
  <c r="AH24" i="10" s="1"/>
  <c r="DX24" i="10"/>
  <c r="AK24" i="10" s="1"/>
  <c r="FC24" i="10"/>
  <c r="BP24" i="10" s="1"/>
  <c r="FL24" i="10"/>
  <c r="BY24" i="10" s="1"/>
  <c r="EC24" i="10"/>
  <c r="AP24" i="10" s="1"/>
  <c r="FD24" i="10"/>
  <c r="BQ24" i="10" s="1"/>
  <c r="ER24" i="10"/>
  <c r="BE24" i="10" s="1"/>
  <c r="DV24" i="10"/>
  <c r="AI24" i="10" s="1"/>
  <c r="FH24" i="10"/>
  <c r="BU24" i="10" s="1"/>
  <c r="DW24" i="10"/>
  <c r="AJ24" i="10" s="1"/>
  <c r="ED24" i="10"/>
  <c r="AQ24" i="10" s="1"/>
  <c r="EY24" i="10"/>
  <c r="BL24" i="10" s="1"/>
  <c r="DL24" i="10"/>
  <c r="Y24" i="10" s="1"/>
  <c r="EM24" i="10"/>
  <c r="AZ24" i="10" s="1"/>
  <c r="FI24" i="10"/>
  <c r="BV24" i="10" s="1"/>
  <c r="EA24" i="10"/>
  <c r="AN24" i="10" s="1"/>
  <c r="EJ24" i="10"/>
  <c r="AW24" i="10" s="1"/>
  <c r="FB24" i="10"/>
  <c r="BO24" i="10" s="1"/>
  <c r="DS24" i="10"/>
  <c r="AF24" i="10" s="1"/>
  <c r="DT24" i="10"/>
  <c r="AG24" i="10" s="1"/>
  <c r="DZ24" i="10"/>
  <c r="AM24" i="10" s="1"/>
  <c r="EQ24" i="10"/>
  <c r="BD24" i="10" s="1"/>
  <c r="FA24" i="10"/>
  <c r="BN24" i="10" s="1"/>
  <c r="EU24" i="10"/>
  <c r="BH24" i="10" s="1"/>
  <c r="ES24" i="10"/>
  <c r="BF24" i="10" s="1"/>
  <c r="DN30" i="10"/>
  <c r="AA30" i="10" s="1"/>
  <c r="EQ30" i="10"/>
  <c r="BD30" i="10" s="1"/>
  <c r="FI30" i="10"/>
  <c r="BV30" i="10" s="1"/>
  <c r="EZ30" i="10"/>
  <c r="BM30" i="10" s="1"/>
  <c r="FF30" i="10"/>
  <c r="BS30" i="10" s="1"/>
  <c r="EG30" i="10"/>
  <c r="AT30" i="10" s="1"/>
  <c r="DR30" i="10"/>
  <c r="AE30" i="10" s="1"/>
  <c r="EU30" i="10"/>
  <c r="BH30" i="10" s="1"/>
  <c r="FK30" i="10"/>
  <c r="BX30" i="10" s="1"/>
  <c r="FL30" i="10"/>
  <c r="BY30" i="10" s="1"/>
  <c r="K76" i="24"/>
  <c r="FA30" i="10"/>
  <c r="BN30" i="10" s="1"/>
  <c r="ET30" i="10"/>
  <c r="BG30" i="10" s="1"/>
  <c r="FE30" i="10"/>
  <c r="BR30" i="10" s="1"/>
  <c r="EW30" i="10"/>
  <c r="BJ30" i="10" s="1"/>
  <c r="EI30" i="10"/>
  <c r="AV30" i="10" s="1"/>
  <c r="FG30" i="10"/>
  <c r="BT30" i="10" s="1"/>
  <c r="DU30" i="10"/>
  <c r="AH30" i="10" s="1"/>
  <c r="ES30" i="10"/>
  <c r="BF30" i="10" s="1"/>
  <c r="ER30" i="10"/>
  <c r="BE30" i="10" s="1"/>
  <c r="EE30" i="10"/>
  <c r="AR30" i="10" s="1"/>
  <c r="EP30" i="10"/>
  <c r="BC30" i="10" s="1"/>
  <c r="DM30" i="10"/>
  <c r="Z30" i="10" s="1"/>
  <c r="EV30" i="10"/>
  <c r="BI30" i="10" s="1"/>
  <c r="DS30" i="10"/>
  <c r="AF30" i="10" s="1"/>
  <c r="FB30" i="10"/>
  <c r="BO30" i="10" s="1"/>
  <c r="DT30" i="10"/>
  <c r="AG30" i="10" s="1"/>
  <c r="EN30" i="10"/>
  <c r="BA30" i="10" s="1"/>
  <c r="DO30" i="10"/>
  <c r="AB30" i="10" s="1"/>
  <c r="EY30" i="10"/>
  <c r="BL30" i="10" s="1"/>
  <c r="EL30" i="10"/>
  <c r="AY30" i="10" s="1"/>
  <c r="DP30" i="10"/>
  <c r="AC30" i="10" s="1"/>
  <c r="DW30" i="10"/>
  <c r="AJ30" i="10" s="1"/>
  <c r="DV30" i="10"/>
  <c r="AI30" i="10" s="1"/>
  <c r="DZ30" i="10"/>
  <c r="AM30" i="10" s="1"/>
  <c r="EK30" i="10"/>
  <c r="AX30" i="10" s="1"/>
  <c r="DL30" i="10"/>
  <c r="Y30" i="10" s="1"/>
  <c r="DX30" i="10"/>
  <c r="AK30" i="10" s="1"/>
  <c r="EM30" i="10"/>
  <c r="AZ30" i="10" s="1"/>
  <c r="EH30" i="10"/>
  <c r="AU30" i="10" s="1"/>
  <c r="FC30" i="10"/>
  <c r="BP30" i="10" s="1"/>
  <c r="DQ30" i="10"/>
  <c r="AD30" i="10" s="1"/>
  <c r="EC30" i="10"/>
  <c r="AP30" i="10" s="1"/>
  <c r="EA30" i="10"/>
  <c r="AN30" i="10" s="1"/>
  <c r="DY30" i="10"/>
  <c r="AL30" i="10" s="1"/>
  <c r="EJ30" i="10"/>
  <c r="AW30" i="10" s="1"/>
  <c r="EB30" i="10"/>
  <c r="AO30" i="10" s="1"/>
  <c r="FJ30" i="10"/>
  <c r="BW30" i="10" s="1"/>
  <c r="EO30" i="10"/>
  <c r="BB30" i="10" s="1"/>
  <c r="ED30" i="10"/>
  <c r="AQ30" i="10" s="1"/>
  <c r="DJ30" i="10"/>
  <c r="W30" i="10" s="1"/>
  <c r="FH30" i="10"/>
  <c r="BU30" i="10" s="1"/>
  <c r="DK30" i="10"/>
  <c r="X30" i="10" s="1"/>
  <c r="EX30" i="10"/>
  <c r="BK30" i="10" s="1"/>
  <c r="FD30" i="10"/>
  <c r="BQ30" i="10" s="1"/>
  <c r="FB14" i="10"/>
  <c r="BO14" i="10" s="1"/>
  <c r="EP14" i="10"/>
  <c r="BC14" i="10" s="1"/>
  <c r="EQ14" i="10"/>
  <c r="BD14" i="10" s="1"/>
  <c r="EN14" i="10"/>
  <c r="BA14" i="10" s="1"/>
  <c r="ES14" i="10"/>
  <c r="BF14" i="10" s="1"/>
  <c r="FH14" i="10"/>
  <c r="BU14" i="10" s="1"/>
  <c r="DY14" i="10"/>
  <c r="AL14" i="10" s="1"/>
  <c r="ER14" i="10"/>
  <c r="BE14" i="10" s="1"/>
  <c r="EY14" i="10"/>
  <c r="BL14" i="10" s="1"/>
  <c r="DQ14" i="10"/>
  <c r="AD14" i="10" s="1"/>
  <c r="EV14" i="10"/>
  <c r="BI14" i="10" s="1"/>
  <c r="DW14" i="10"/>
  <c r="AJ14" i="10" s="1"/>
  <c r="DP14" i="10"/>
  <c r="AC14" i="10" s="1"/>
  <c r="DV14" i="10"/>
  <c r="AI14" i="10" s="1"/>
  <c r="EW14" i="10"/>
  <c r="BJ14" i="10" s="1"/>
  <c r="EM14" i="10"/>
  <c r="AZ14" i="10" s="1"/>
  <c r="DN14" i="10"/>
  <c r="AA14" i="10" s="1"/>
  <c r="EA14" i="10"/>
  <c r="AN14" i="10" s="1"/>
  <c r="DM14" i="10"/>
  <c r="Z14" i="10" s="1"/>
  <c r="EJ14" i="10"/>
  <c r="AW14" i="10" s="1"/>
  <c r="EG14" i="10"/>
  <c r="AT14" i="10" s="1"/>
  <c r="EU14" i="10"/>
  <c r="BH14" i="10" s="1"/>
  <c r="FC14" i="10"/>
  <c r="BP14" i="10" s="1"/>
  <c r="FK14" i="10"/>
  <c r="BX14" i="10" s="1"/>
  <c r="EZ14" i="10"/>
  <c r="BM14" i="10" s="1"/>
  <c r="DJ14" i="10"/>
  <c r="W14" i="10" s="1"/>
  <c r="ED14" i="10"/>
  <c r="AQ14" i="10" s="1"/>
  <c r="FF14" i="10"/>
  <c r="BS14" i="10" s="1"/>
  <c r="DO14" i="10"/>
  <c r="AB14" i="10" s="1"/>
  <c r="FG14" i="10"/>
  <c r="BT14" i="10" s="1"/>
  <c r="DR14" i="10"/>
  <c r="AE14" i="10" s="1"/>
  <c r="ET14" i="10"/>
  <c r="BG14" i="10" s="1"/>
  <c r="EE14" i="10"/>
  <c r="AR14" i="10" s="1"/>
  <c r="FD14" i="10"/>
  <c r="BQ14" i="10" s="1"/>
  <c r="EI14" i="10"/>
  <c r="AV14" i="10" s="1"/>
  <c r="DZ14" i="10"/>
  <c r="AM14" i="10" s="1"/>
  <c r="DT14" i="10"/>
  <c r="AG14" i="10" s="1"/>
  <c r="FJ14" i="10"/>
  <c r="BW14" i="10" s="1"/>
  <c r="EC14" i="10"/>
  <c r="AP14" i="10" s="1"/>
  <c r="EX14" i="10"/>
  <c r="BK14" i="10" s="1"/>
  <c r="FE14" i="10"/>
  <c r="BR14" i="10" s="1"/>
  <c r="DL14" i="10"/>
  <c r="Y14" i="10" s="1"/>
  <c r="EH14" i="10"/>
  <c r="AU14" i="10" s="1"/>
  <c r="EB14" i="10"/>
  <c r="AO14" i="10" s="1"/>
  <c r="DS14" i="10"/>
  <c r="AF14" i="10" s="1"/>
  <c r="DX14" i="10"/>
  <c r="AK14" i="10" s="1"/>
  <c r="EK14" i="10"/>
  <c r="AX14" i="10" s="1"/>
  <c r="EL14" i="10"/>
  <c r="AY14" i="10" s="1"/>
  <c r="FL14" i="10"/>
  <c r="BY14" i="10" s="1"/>
  <c r="DK14" i="10"/>
  <c r="X14" i="10" s="1"/>
  <c r="FI14" i="10"/>
  <c r="BV14" i="10" s="1"/>
  <c r="FA14" i="10"/>
  <c r="BN14" i="10" s="1"/>
  <c r="DO34" i="10"/>
  <c r="AB34" i="10" s="1"/>
  <c r="FF34" i="10"/>
  <c r="BS34" i="10" s="1"/>
  <c r="EI34" i="10"/>
  <c r="AV34" i="10" s="1"/>
  <c r="EC34" i="10"/>
  <c r="AP34" i="10" s="1"/>
  <c r="FB34" i="10"/>
  <c r="BO34" i="10" s="1"/>
  <c r="DJ34" i="10"/>
  <c r="W34" i="10" s="1"/>
  <c r="ES34" i="10"/>
  <c r="BF34" i="10" s="1"/>
  <c r="DP34" i="10"/>
  <c r="AC34" i="10" s="1"/>
  <c r="DW34" i="10"/>
  <c r="AJ34" i="10" s="1"/>
  <c r="DZ34" i="10"/>
  <c r="AM34" i="10" s="1"/>
  <c r="DS34" i="10"/>
  <c r="AF34" i="10" s="1"/>
  <c r="EX34" i="10"/>
  <c r="BK34" i="10" s="1"/>
  <c r="DQ34" i="10"/>
  <c r="AD34" i="10" s="1"/>
  <c r="EK34" i="10"/>
  <c r="AX34" i="10" s="1"/>
  <c r="DT34" i="10"/>
  <c r="AG34" i="10" s="1"/>
  <c r="DL34" i="10"/>
  <c r="Y34" i="10" s="1"/>
  <c r="FA34" i="10"/>
  <c r="BN34" i="10" s="1"/>
  <c r="DK34" i="10"/>
  <c r="X34" i="10" s="1"/>
  <c r="DX34" i="10"/>
  <c r="AK34" i="10" s="1"/>
  <c r="EU34" i="10"/>
  <c r="BH34" i="10" s="1"/>
  <c r="DN34" i="10"/>
  <c r="AA34" i="10" s="1"/>
  <c r="EP34" i="10"/>
  <c r="BC34" i="10" s="1"/>
  <c r="FK34" i="10"/>
  <c r="BX34" i="10" s="1"/>
  <c r="DY34" i="10"/>
  <c r="AL34" i="10" s="1"/>
  <c r="FD34" i="10"/>
  <c r="BQ34" i="10" s="1"/>
  <c r="DR34" i="10"/>
  <c r="AE34" i="10" s="1"/>
  <c r="FJ34" i="10"/>
  <c r="BW34" i="10" s="1"/>
  <c r="FG34" i="10"/>
  <c r="BT34" i="10" s="1"/>
  <c r="EV34" i="10"/>
  <c r="BI34" i="10" s="1"/>
  <c r="EW34" i="10"/>
  <c r="BJ34" i="10" s="1"/>
  <c r="FL34" i="10"/>
  <c r="BY34" i="10" s="1"/>
  <c r="EZ34" i="10"/>
  <c r="BM34" i="10" s="1"/>
  <c r="FH34" i="10"/>
  <c r="BU34" i="10" s="1"/>
  <c r="EE34" i="10"/>
  <c r="AR34" i="10" s="1"/>
  <c r="DU34" i="10"/>
  <c r="AH34" i="10" s="1"/>
  <c r="ED34" i="10"/>
  <c r="AQ34" i="10" s="1"/>
  <c r="EH34" i="10"/>
  <c r="AU34" i="10" s="1"/>
  <c r="DV34" i="10"/>
  <c r="AI34" i="10" s="1"/>
  <c r="DM34" i="10"/>
  <c r="Z34" i="10" s="1"/>
  <c r="EA34" i="10"/>
  <c r="AN34" i="10" s="1"/>
  <c r="ET34" i="10"/>
  <c r="BG34" i="10" s="1"/>
  <c r="EO34" i="10"/>
  <c r="BB34" i="10" s="1"/>
  <c r="EC23" i="10"/>
  <c r="AP23" i="10" s="1"/>
  <c r="EM23" i="10"/>
  <c r="AZ23" i="10" s="1"/>
  <c r="DS23" i="10"/>
  <c r="AF23" i="10" s="1"/>
  <c r="FB23" i="10"/>
  <c r="BO23" i="10" s="1"/>
  <c r="DW23" i="10"/>
  <c r="AJ23" i="10" s="1"/>
  <c r="EK23" i="10"/>
  <c r="AX23" i="10" s="1"/>
  <c r="DX23" i="10"/>
  <c r="AK23" i="10" s="1"/>
  <c r="DP23" i="10"/>
  <c r="AC23" i="10" s="1"/>
  <c r="FG23" i="10"/>
  <c r="BT23" i="10" s="1"/>
  <c r="EE23" i="10"/>
  <c r="AR23" i="10" s="1"/>
  <c r="EU23" i="10"/>
  <c r="BH23" i="10" s="1"/>
  <c r="DL23" i="10"/>
  <c r="Y23" i="10" s="1"/>
  <c r="ED23" i="10"/>
  <c r="AQ23" i="10" s="1"/>
  <c r="DJ23" i="10"/>
  <c r="W23" i="10" s="1"/>
  <c r="DQ23" i="10"/>
  <c r="AD23" i="10" s="1"/>
  <c r="EQ23" i="10"/>
  <c r="BD23" i="10" s="1"/>
  <c r="DY23" i="10"/>
  <c r="AL23" i="10" s="1"/>
  <c r="FK23" i="10"/>
  <c r="BX23" i="10" s="1"/>
  <c r="EN23" i="10"/>
  <c r="BA23" i="10" s="1"/>
  <c r="FD23" i="10"/>
  <c r="BQ23" i="10" s="1"/>
  <c r="FJ23" i="10"/>
  <c r="BW23" i="10" s="1"/>
  <c r="EW23" i="10"/>
  <c r="BJ23" i="10" s="1"/>
  <c r="DU23" i="10"/>
  <c r="AH23" i="10" s="1"/>
  <c r="EA23" i="10"/>
  <c r="AN23" i="10" s="1"/>
  <c r="EX23" i="10"/>
  <c r="BK23" i="10" s="1"/>
  <c r="DN23" i="10"/>
  <c r="AA23" i="10" s="1"/>
  <c r="FL23" i="10"/>
  <c r="BY23" i="10" s="1"/>
  <c r="DK23" i="10"/>
  <c r="X23" i="10" s="1"/>
  <c r="DV23" i="10"/>
  <c r="AI23" i="10" s="1"/>
  <c r="FE23" i="10"/>
  <c r="BR23" i="10" s="1"/>
  <c r="FA23" i="10"/>
  <c r="BN23" i="10" s="1"/>
  <c r="FH23" i="10"/>
  <c r="BU23" i="10" s="1"/>
  <c r="FI23" i="10"/>
  <c r="BV23" i="10" s="1"/>
  <c r="EY23" i="10"/>
  <c r="BL23" i="10" s="1"/>
  <c r="EV23" i="10"/>
  <c r="BI23" i="10" s="1"/>
  <c r="DO23" i="10"/>
  <c r="AB23" i="10" s="1"/>
  <c r="EI23" i="10"/>
  <c r="AV23" i="10" s="1"/>
  <c r="FF23" i="10"/>
  <c r="BS23" i="10" s="1"/>
  <c r="EG23" i="10"/>
  <c r="AT23" i="10" s="1"/>
  <c r="FC23" i="10"/>
  <c r="BP23" i="10" s="1"/>
  <c r="EZ23" i="10"/>
  <c r="BM23" i="10" s="1"/>
  <c r="DM23" i="10"/>
  <c r="Z23" i="10" s="1"/>
  <c r="ES23" i="10"/>
  <c r="BF23" i="10" s="1"/>
  <c r="EJ23" i="10"/>
  <c r="AW23" i="10" s="1"/>
  <c r="ER23" i="10"/>
  <c r="BE23" i="10" s="1"/>
  <c r="ET23" i="10"/>
  <c r="BG23" i="10" s="1"/>
  <c r="DR23" i="10"/>
  <c r="AE23" i="10" s="1"/>
  <c r="DZ23" i="10"/>
  <c r="AM23" i="10" s="1"/>
  <c r="EL23" i="10"/>
  <c r="AY23" i="10" s="1"/>
  <c r="EO23" i="10"/>
  <c r="BB23" i="10" s="1"/>
  <c r="EP23" i="10"/>
  <c r="BC23" i="10" s="1"/>
  <c r="EH23" i="10"/>
  <c r="AU23" i="10" s="1"/>
  <c r="DT23" i="10"/>
  <c r="AG23" i="10" s="1"/>
  <c r="EB23" i="10"/>
  <c r="AO23" i="10" s="1"/>
  <c r="ES21" i="10"/>
  <c r="BF21" i="10" s="1"/>
  <c r="DW21" i="10"/>
  <c r="AJ21" i="10" s="1"/>
  <c r="EW21" i="10"/>
  <c r="BJ21" i="10" s="1"/>
  <c r="FJ21" i="10"/>
  <c r="BW21" i="10" s="1"/>
  <c r="DZ21" i="10"/>
  <c r="AM21" i="10" s="1"/>
  <c r="EI21" i="10"/>
  <c r="AV21" i="10" s="1"/>
  <c r="FB21" i="10"/>
  <c r="BO21" i="10" s="1"/>
  <c r="EE21" i="10"/>
  <c r="AR21" i="10" s="1"/>
  <c r="EP21" i="10"/>
  <c r="BC21" i="10" s="1"/>
  <c r="FE21" i="10"/>
  <c r="BR21" i="10" s="1"/>
  <c r="EG21" i="10"/>
  <c r="AT21" i="10" s="1"/>
  <c r="DT21" i="10"/>
  <c r="AG21" i="10" s="1"/>
  <c r="DS21" i="10"/>
  <c r="AF21" i="10" s="1"/>
  <c r="FG21" i="10"/>
  <c r="BT21" i="10" s="1"/>
  <c r="EX21" i="10"/>
  <c r="BK21" i="10" s="1"/>
  <c r="FC21" i="10"/>
  <c r="BP21" i="10" s="1"/>
  <c r="ET21" i="10"/>
  <c r="BG21" i="10" s="1"/>
  <c r="FL21" i="10"/>
  <c r="BY21" i="10" s="1"/>
  <c r="FK21" i="10"/>
  <c r="BX21" i="10" s="1"/>
  <c r="ED21" i="10"/>
  <c r="AQ21" i="10" s="1"/>
  <c r="EJ21" i="10"/>
  <c r="AW21" i="10" s="1"/>
  <c r="DK21" i="10"/>
  <c r="X21" i="10" s="1"/>
  <c r="FI21" i="10"/>
  <c r="BV21" i="10" s="1"/>
  <c r="DP21" i="10"/>
  <c r="AC21" i="10" s="1"/>
  <c r="EH21" i="10"/>
  <c r="AU21" i="10" s="1"/>
  <c r="EN21" i="10"/>
  <c r="BA21" i="10" s="1"/>
  <c r="EC21" i="10"/>
  <c r="AP21" i="10" s="1"/>
  <c r="EY21" i="10"/>
  <c r="BL21" i="10" s="1"/>
  <c r="DU21" i="10"/>
  <c r="AH21" i="10" s="1"/>
  <c r="EA21" i="10"/>
  <c r="AN21" i="10" s="1"/>
  <c r="EM21" i="10"/>
  <c r="AZ21" i="10" s="1"/>
  <c r="EL21" i="10"/>
  <c r="AY21" i="10" s="1"/>
  <c r="EQ21" i="10"/>
  <c r="BD21" i="10" s="1"/>
  <c r="DY21" i="10"/>
  <c r="AL21" i="10" s="1"/>
  <c r="DQ21" i="10"/>
  <c r="AD21" i="10" s="1"/>
  <c r="DV21" i="10"/>
  <c r="AI21" i="10" s="1"/>
  <c r="FA21" i="10"/>
  <c r="BN21" i="10" s="1"/>
  <c r="DJ21" i="10"/>
  <c r="W21" i="10" s="1"/>
  <c r="EZ21" i="10"/>
  <c r="BM21" i="10" s="1"/>
  <c r="ER21" i="10"/>
  <c r="BE21" i="10" s="1"/>
  <c r="DO21" i="10"/>
  <c r="AB21" i="10" s="1"/>
  <c r="DM21" i="10"/>
  <c r="Z21" i="10" s="1"/>
  <c r="DN21" i="10"/>
  <c r="AA21" i="10" s="1"/>
  <c r="EU21" i="10"/>
  <c r="BH21" i="10" s="1"/>
  <c r="EO21" i="10"/>
  <c r="BB21" i="10" s="1"/>
  <c r="DL21" i="10"/>
  <c r="Y21" i="10" s="1"/>
  <c r="DX21" i="10"/>
  <c r="AK21" i="10" s="1"/>
  <c r="EK21" i="10"/>
  <c r="AX21" i="10" s="1"/>
  <c r="FF21" i="10"/>
  <c r="BS21" i="10" s="1"/>
  <c r="FD21" i="10"/>
  <c r="BQ21" i="10" s="1"/>
  <c r="FH21" i="10"/>
  <c r="BU21" i="10" s="1"/>
  <c r="DR21" i="10"/>
  <c r="AE21" i="10" s="1"/>
  <c r="EB21" i="10"/>
  <c r="AO21" i="10" s="1"/>
  <c r="EV21" i="10"/>
  <c r="BI21" i="10" s="1"/>
  <c r="FI25" i="10"/>
  <c r="BV25" i="10" s="1"/>
  <c r="FD25" i="10"/>
  <c r="BQ25" i="10" s="1"/>
  <c r="EC25" i="10"/>
  <c r="AP25" i="10" s="1"/>
  <c r="EI25" i="10"/>
  <c r="AV25" i="10" s="1"/>
  <c r="ES25" i="10"/>
  <c r="BF25" i="10" s="1"/>
  <c r="EY25" i="10"/>
  <c r="BL25" i="10" s="1"/>
  <c r="DN25" i="10"/>
  <c r="AA25" i="10" s="1"/>
  <c r="FJ25" i="10"/>
  <c r="BW25" i="10" s="1"/>
  <c r="DZ25" i="10"/>
  <c r="AM25" i="10" s="1"/>
  <c r="EJ25" i="10"/>
  <c r="AW25" i="10" s="1"/>
  <c r="FF25" i="10"/>
  <c r="BS25" i="10" s="1"/>
  <c r="FA25" i="10"/>
  <c r="BN25" i="10" s="1"/>
  <c r="EX25" i="10"/>
  <c r="BK25" i="10" s="1"/>
  <c r="EP25" i="10"/>
  <c r="BC25" i="10" s="1"/>
  <c r="FG25" i="10"/>
  <c r="BT25" i="10" s="1"/>
  <c r="ET25" i="10"/>
  <c r="BG25" i="10" s="1"/>
  <c r="EW25" i="10"/>
  <c r="BJ25" i="10" s="1"/>
  <c r="EM25" i="10"/>
  <c r="AZ25" i="10" s="1"/>
  <c r="EQ25" i="10"/>
  <c r="BD25" i="10" s="1"/>
  <c r="FL25" i="10"/>
  <c r="BY25" i="10" s="1"/>
  <c r="DJ25" i="10"/>
  <c r="W25" i="10" s="1"/>
  <c r="DX25" i="10"/>
  <c r="AK25" i="10" s="1"/>
  <c r="DK25" i="10"/>
  <c r="X25" i="10" s="1"/>
  <c r="EA25" i="10"/>
  <c r="AN25" i="10" s="1"/>
  <c r="ER25" i="10"/>
  <c r="BE25" i="10" s="1"/>
  <c r="EH25" i="10"/>
  <c r="AU25" i="10" s="1"/>
  <c r="DQ25" i="10"/>
  <c r="AD25" i="10" s="1"/>
  <c r="EO25" i="10"/>
  <c r="BB25" i="10" s="1"/>
  <c r="EB25" i="10"/>
  <c r="AO25" i="10" s="1"/>
  <c r="EV25" i="10"/>
  <c r="BI25" i="10" s="1"/>
  <c r="EN25" i="10"/>
  <c r="BA25" i="10" s="1"/>
  <c r="FK25" i="10"/>
  <c r="BX25" i="10" s="1"/>
  <c r="DR25" i="10"/>
  <c r="AE25" i="10" s="1"/>
  <c r="DO25" i="10"/>
  <c r="AB25" i="10" s="1"/>
  <c r="EL25" i="10"/>
  <c r="AY25" i="10" s="1"/>
  <c r="EZ25" i="10"/>
  <c r="BM25" i="10" s="1"/>
  <c r="DP25" i="10"/>
  <c r="AC25" i="10" s="1"/>
  <c r="DS25" i="10"/>
  <c r="AF25" i="10" s="1"/>
  <c r="DM25" i="10"/>
  <c r="Z25" i="10" s="1"/>
  <c r="DY25" i="10"/>
  <c r="AL25" i="10" s="1"/>
  <c r="DW25" i="10"/>
  <c r="AJ25" i="10" s="1"/>
  <c r="EK25" i="10"/>
  <c r="AX25" i="10" s="1"/>
  <c r="FH25" i="10"/>
  <c r="BU25" i="10" s="1"/>
  <c r="FB25" i="10"/>
  <c r="BO25" i="10" s="1"/>
  <c r="EU25" i="10"/>
  <c r="BH25" i="10" s="1"/>
  <c r="EE25" i="10"/>
  <c r="AR25" i="10" s="1"/>
  <c r="ED25" i="10"/>
  <c r="AQ25" i="10" s="1"/>
  <c r="DL25" i="10"/>
  <c r="Y25" i="10" s="1"/>
  <c r="FE25" i="10"/>
  <c r="BR25" i="10" s="1"/>
  <c r="DU25" i="10"/>
  <c r="AH25" i="10" s="1"/>
  <c r="EG25" i="10"/>
  <c r="AT25" i="10" s="1"/>
  <c r="DV25" i="10"/>
  <c r="AI25" i="10" s="1"/>
  <c r="DT25" i="10"/>
  <c r="AG25" i="10" s="1"/>
  <c r="FC25" i="10"/>
  <c r="BP25" i="10" s="1"/>
  <c r="FG39" i="10"/>
  <c r="BT39" i="10" s="1"/>
  <c r="DN39" i="10"/>
  <c r="AA39" i="10" s="1"/>
  <c r="DY39" i="10"/>
  <c r="AL39" i="10" s="1"/>
  <c r="EH39" i="10"/>
  <c r="AU39" i="10" s="1"/>
  <c r="EP39" i="10"/>
  <c r="BC39" i="10" s="1"/>
  <c r="EZ39" i="10"/>
  <c r="BM39" i="10" s="1"/>
  <c r="FD39" i="10"/>
  <c r="BQ39" i="10" s="1"/>
  <c r="DP39" i="10"/>
  <c r="AC39" i="10" s="1"/>
  <c r="EQ39" i="10"/>
  <c r="BD39" i="10" s="1"/>
  <c r="DT39" i="10"/>
  <c r="AG39" i="10" s="1"/>
  <c r="DZ39" i="10"/>
  <c r="AM39" i="10" s="1"/>
  <c r="EG39" i="10"/>
  <c r="AT39" i="10" s="1"/>
  <c r="DR39" i="10"/>
  <c r="AE39" i="10" s="1"/>
  <c r="FB39" i="10"/>
  <c r="BO39" i="10" s="1"/>
  <c r="EV39" i="10"/>
  <c r="BI39" i="10" s="1"/>
  <c r="EC39" i="10"/>
  <c r="AP39" i="10" s="1"/>
  <c r="DL39" i="10"/>
  <c r="Y39" i="10" s="1"/>
  <c r="EA39" i="10"/>
  <c r="AN39" i="10" s="1"/>
  <c r="EU39" i="10"/>
  <c r="BH39" i="10" s="1"/>
  <c r="DM39" i="10"/>
  <c r="Z39" i="10" s="1"/>
  <c r="FF39" i="10"/>
  <c r="BS39" i="10" s="1"/>
  <c r="EM39" i="10"/>
  <c r="AZ39" i="10" s="1"/>
  <c r="DW39" i="10"/>
  <c r="AJ39" i="10" s="1"/>
  <c r="FI39" i="10"/>
  <c r="BV39" i="10" s="1"/>
  <c r="EI39" i="10"/>
  <c r="AV39" i="10" s="1"/>
  <c r="EX39" i="10"/>
  <c r="BK39" i="10" s="1"/>
  <c r="EO39" i="10"/>
  <c r="BB39" i="10" s="1"/>
  <c r="FK39" i="10"/>
  <c r="BX39" i="10" s="1"/>
  <c r="ES39" i="10"/>
  <c r="BF39" i="10" s="1"/>
  <c r="ED39" i="10"/>
  <c r="AQ39" i="10" s="1"/>
  <c r="EE39" i="10"/>
  <c r="AR39" i="10" s="1"/>
  <c r="ET39" i="10"/>
  <c r="BG39" i="10" s="1"/>
  <c r="ER39" i="10"/>
  <c r="BE39" i="10" s="1"/>
  <c r="FL39" i="10"/>
  <c r="BY39" i="10" s="1"/>
  <c r="FC39" i="10"/>
  <c r="BP39" i="10" s="1"/>
  <c r="EW39" i="10"/>
  <c r="BJ39" i="10" s="1"/>
  <c r="DU39" i="10"/>
  <c r="AH39" i="10" s="1"/>
  <c r="FH39" i="10"/>
  <c r="BU39" i="10" s="1"/>
  <c r="DS39" i="10"/>
  <c r="AF39" i="10" s="1"/>
  <c r="EL39" i="10"/>
  <c r="AY39" i="10" s="1"/>
  <c r="DJ39" i="10"/>
  <c r="W39" i="10" s="1"/>
  <c r="DK39" i="10"/>
  <c r="X39" i="10" s="1"/>
  <c r="EJ39" i="10"/>
  <c r="AW39" i="10" s="1"/>
  <c r="DV39" i="10"/>
  <c r="AI39" i="10" s="1"/>
  <c r="DO39" i="10"/>
  <c r="AB39" i="10" s="1"/>
  <c r="EK39" i="10"/>
  <c r="AX39" i="10" s="1"/>
  <c r="DX39" i="10"/>
  <c r="AK39" i="10" s="1"/>
  <c r="FE39" i="10"/>
  <c r="BR39" i="10" s="1"/>
  <c r="EN39" i="10"/>
  <c r="BA39" i="10" s="1"/>
  <c r="FJ39" i="10"/>
  <c r="BW39" i="10" s="1"/>
  <c r="FA39" i="10"/>
  <c r="BN39" i="10" s="1"/>
  <c r="DQ39" i="10"/>
  <c r="AD39" i="10" s="1"/>
  <c r="EB39" i="10"/>
  <c r="AO39" i="10" s="1"/>
  <c r="EM20" i="10"/>
  <c r="AZ20" i="10" s="1"/>
  <c r="EG20" i="10"/>
  <c r="AT20" i="10" s="1"/>
  <c r="EC20" i="10"/>
  <c r="AP20" i="10" s="1"/>
  <c r="ER20" i="10"/>
  <c r="BE20" i="10" s="1"/>
  <c r="EA20" i="10"/>
  <c r="AN20" i="10" s="1"/>
  <c r="FC20" i="10"/>
  <c r="BP20" i="10" s="1"/>
  <c r="FD20" i="10"/>
  <c r="BQ20" i="10" s="1"/>
  <c r="K72" i="24"/>
  <c r="EZ20" i="10"/>
  <c r="BM20" i="10" s="1"/>
  <c r="EI20" i="10"/>
  <c r="AV20" i="10" s="1"/>
  <c r="DK20" i="10"/>
  <c r="X20" i="10" s="1"/>
  <c r="EE20" i="10"/>
  <c r="AR20" i="10" s="1"/>
  <c r="DY20" i="10"/>
  <c r="AL20" i="10" s="1"/>
  <c r="FL20" i="10"/>
  <c r="BY20" i="10" s="1"/>
  <c r="EY20" i="10"/>
  <c r="BL20" i="10" s="1"/>
  <c r="EP20" i="10"/>
  <c r="BC20" i="10" s="1"/>
  <c r="EJ20" i="10"/>
  <c r="AW20" i="10" s="1"/>
  <c r="DJ20" i="10"/>
  <c r="W20" i="10" s="1"/>
  <c r="ES20" i="10"/>
  <c r="BF20" i="10" s="1"/>
  <c r="EL20" i="10"/>
  <c r="AY20" i="10" s="1"/>
  <c r="FE20" i="10"/>
  <c r="BR20" i="10" s="1"/>
  <c r="DT20" i="10"/>
  <c r="AG20" i="10" s="1"/>
  <c r="DX20" i="10"/>
  <c r="AK20" i="10" s="1"/>
  <c r="DQ20" i="10"/>
  <c r="AD20" i="10" s="1"/>
  <c r="EV20" i="10"/>
  <c r="BI20" i="10" s="1"/>
  <c r="DW20" i="10"/>
  <c r="AJ20" i="10" s="1"/>
  <c r="DM20" i="10"/>
  <c r="Z20" i="10" s="1"/>
  <c r="EN20" i="10"/>
  <c r="BA20" i="10" s="1"/>
  <c r="DZ20" i="10"/>
  <c r="AM20" i="10" s="1"/>
  <c r="FJ20" i="10"/>
  <c r="BW20" i="10" s="1"/>
  <c r="FF20" i="10"/>
  <c r="BS20" i="10" s="1"/>
  <c r="FA20" i="10"/>
  <c r="BN20" i="10" s="1"/>
  <c r="DS20" i="10"/>
  <c r="AF20" i="10" s="1"/>
  <c r="DU20" i="10"/>
  <c r="AH20" i="10" s="1"/>
  <c r="FH20" i="10"/>
  <c r="BU20" i="10" s="1"/>
  <c r="DN20" i="10"/>
  <c r="AA20" i="10" s="1"/>
  <c r="EU20" i="10"/>
  <c r="BH20" i="10" s="1"/>
  <c r="DO20" i="10"/>
  <c r="AB20" i="10" s="1"/>
  <c r="FB20" i="10"/>
  <c r="BO20" i="10" s="1"/>
  <c r="DP20" i="10"/>
  <c r="AC20" i="10" s="1"/>
  <c r="DV20" i="10"/>
  <c r="AI20" i="10" s="1"/>
  <c r="EH20" i="10"/>
  <c r="AU20" i="10" s="1"/>
  <c r="DL20" i="10"/>
  <c r="Y20" i="10" s="1"/>
  <c r="ED20" i="10"/>
  <c r="AQ20" i="10" s="1"/>
  <c r="EQ20" i="10"/>
  <c r="BD20" i="10" s="1"/>
  <c r="EX20" i="10"/>
  <c r="BK20" i="10" s="1"/>
  <c r="DR20" i="10"/>
  <c r="AE20" i="10" s="1"/>
  <c r="EB20" i="10"/>
  <c r="AO20" i="10" s="1"/>
  <c r="FG20" i="10"/>
  <c r="BT20" i="10" s="1"/>
  <c r="EK20" i="10"/>
  <c r="AX20" i="10" s="1"/>
  <c r="FI20" i="10"/>
  <c r="BV20" i="10" s="1"/>
  <c r="EO20" i="10"/>
  <c r="BB20" i="10" s="1"/>
  <c r="ET20" i="10"/>
  <c r="BG20" i="10" s="1"/>
  <c r="FK20" i="10"/>
  <c r="BX20" i="10" s="1"/>
  <c r="EW20" i="10"/>
  <c r="BJ20" i="10" s="1"/>
  <c r="EB32" i="10"/>
  <c r="AO32" i="10" s="1"/>
  <c r="DW32" i="10"/>
  <c r="AJ32" i="10" s="1"/>
  <c r="FJ32" i="10"/>
  <c r="BW32" i="10" s="1"/>
  <c r="DO32" i="10"/>
  <c r="AB32" i="10" s="1"/>
  <c r="EZ32" i="10"/>
  <c r="BM32" i="10" s="1"/>
  <c r="EV32" i="10"/>
  <c r="BI32" i="10" s="1"/>
  <c r="ET32" i="10"/>
  <c r="BG32" i="10" s="1"/>
  <c r="DJ32" i="10"/>
  <c r="W32" i="10" s="1"/>
  <c r="DX32" i="10"/>
  <c r="AK32" i="10" s="1"/>
  <c r="EK32" i="10"/>
  <c r="AX32" i="10" s="1"/>
  <c r="EQ32" i="10"/>
  <c r="BD32" i="10" s="1"/>
  <c r="ES32" i="10"/>
  <c r="BF32" i="10" s="1"/>
  <c r="EH32" i="10"/>
  <c r="AU32" i="10" s="1"/>
  <c r="FA32" i="10"/>
  <c r="BN32" i="10" s="1"/>
  <c r="DK32" i="10"/>
  <c r="X32" i="10" s="1"/>
  <c r="FL32" i="10"/>
  <c r="BY32" i="10" s="1"/>
  <c r="DM32" i="10"/>
  <c r="Z32" i="10" s="1"/>
  <c r="DZ32" i="10"/>
  <c r="AM32" i="10" s="1"/>
  <c r="DP32" i="10"/>
  <c r="AC32" i="10" s="1"/>
  <c r="EU32" i="10"/>
  <c r="BH32" i="10" s="1"/>
  <c r="DU32" i="10"/>
  <c r="AH32" i="10" s="1"/>
  <c r="DL32" i="10"/>
  <c r="Y32" i="10" s="1"/>
  <c r="FF32" i="10"/>
  <c r="BS32" i="10" s="1"/>
  <c r="ED32" i="10"/>
  <c r="AQ32" i="10" s="1"/>
  <c r="FI32" i="10"/>
  <c r="BV32" i="10" s="1"/>
  <c r="DS32" i="10"/>
  <c r="AF32" i="10" s="1"/>
  <c r="FB32" i="10"/>
  <c r="BO32" i="10" s="1"/>
  <c r="EJ32" i="10"/>
  <c r="AW32" i="10" s="1"/>
  <c r="DY32" i="10"/>
  <c r="AL32" i="10" s="1"/>
  <c r="EO32" i="10"/>
  <c r="BB32" i="10" s="1"/>
  <c r="EX32" i="10"/>
  <c r="BK32" i="10" s="1"/>
  <c r="EM32" i="10"/>
  <c r="AZ32" i="10" s="1"/>
  <c r="FH32" i="10"/>
  <c r="BU32" i="10" s="1"/>
  <c r="EL32" i="10"/>
  <c r="AY32" i="10" s="1"/>
  <c r="DV32" i="10"/>
  <c r="AI32" i="10" s="1"/>
  <c r="EN32" i="10"/>
  <c r="BA32" i="10" s="1"/>
  <c r="EI32" i="10"/>
  <c r="AV32" i="10" s="1"/>
  <c r="FC32" i="10"/>
  <c r="BP32" i="10" s="1"/>
  <c r="DT32" i="10"/>
  <c r="AG32" i="10" s="1"/>
  <c r="FE32" i="10"/>
  <c r="BR32" i="10" s="1"/>
  <c r="EC32" i="10"/>
  <c r="AP32" i="10" s="1"/>
  <c r="EG32" i="10"/>
  <c r="AT32" i="10" s="1"/>
  <c r="ER32" i="10"/>
  <c r="BE32" i="10" s="1"/>
  <c r="EW32" i="10"/>
  <c r="BJ32" i="10" s="1"/>
  <c r="FD32" i="10"/>
  <c r="BQ32" i="10" s="1"/>
  <c r="EE32" i="10"/>
  <c r="AR32" i="10" s="1"/>
  <c r="FG32" i="10"/>
  <c r="BT32" i="10" s="1"/>
  <c r="FK32" i="10"/>
  <c r="BX32" i="10" s="1"/>
  <c r="DN32" i="10"/>
  <c r="AA32" i="10" s="1"/>
  <c r="DQ32" i="10"/>
  <c r="AD32" i="10" s="1"/>
  <c r="DR32" i="10"/>
  <c r="AE32" i="10" s="1"/>
  <c r="EY32" i="10"/>
  <c r="BL32" i="10" s="1"/>
  <c r="EP32" i="10"/>
  <c r="BC32" i="10" s="1"/>
  <c r="EA32" i="10"/>
  <c r="AN32" i="10" s="1"/>
  <c r="AW23" i="33"/>
  <c r="AW24" i="33" s="1"/>
  <c r="AW30" i="33" s="1"/>
  <c r="EE28" i="10"/>
  <c r="AR28" i="10" s="1"/>
  <c r="DR28" i="10"/>
  <c r="AE28" i="10" s="1"/>
  <c r="FB28" i="10"/>
  <c r="BO28" i="10" s="1"/>
  <c r="EV28" i="10"/>
  <c r="BI28" i="10" s="1"/>
  <c r="DS28" i="10"/>
  <c r="AF28" i="10" s="1"/>
  <c r="EO28" i="10"/>
  <c r="BB28" i="10" s="1"/>
  <c r="EU28" i="10"/>
  <c r="BH28" i="10" s="1"/>
  <c r="DZ28" i="10"/>
  <c r="AM28" i="10" s="1"/>
  <c r="FH28" i="10"/>
  <c r="BU28" i="10" s="1"/>
  <c r="EH28" i="10"/>
  <c r="AU28" i="10" s="1"/>
  <c r="EK28" i="10"/>
  <c r="AX28" i="10" s="1"/>
  <c r="EM28" i="10"/>
  <c r="AZ28" i="10" s="1"/>
  <c r="FL28" i="10"/>
  <c r="BY28" i="10" s="1"/>
  <c r="FE28" i="10"/>
  <c r="BR28" i="10" s="1"/>
  <c r="ER28" i="10"/>
  <c r="BE28" i="10" s="1"/>
  <c r="FF28" i="10"/>
  <c r="BS28" i="10" s="1"/>
  <c r="EJ28" i="10"/>
  <c r="AW28" i="10" s="1"/>
  <c r="EC28" i="10"/>
  <c r="AP28" i="10" s="1"/>
  <c r="DQ28" i="10"/>
  <c r="AD28" i="10" s="1"/>
  <c r="FD28" i="10"/>
  <c r="BQ28" i="10" s="1"/>
  <c r="FA28" i="10"/>
  <c r="BN28" i="10" s="1"/>
  <c r="DN28" i="10"/>
  <c r="AA28" i="10" s="1"/>
  <c r="DM28" i="10"/>
  <c r="Z28" i="10" s="1"/>
  <c r="DP28" i="10"/>
  <c r="AC28" i="10" s="1"/>
  <c r="EA28" i="10"/>
  <c r="AN28" i="10" s="1"/>
  <c r="DU28" i="10"/>
  <c r="AH28" i="10" s="1"/>
  <c r="K74" i="24"/>
  <c r="EW28" i="10"/>
  <c r="BJ28" i="10" s="1"/>
  <c r="EG28" i="10"/>
  <c r="AT28" i="10" s="1"/>
  <c r="EI28" i="10"/>
  <c r="AV28" i="10" s="1"/>
  <c r="FJ28" i="10"/>
  <c r="BW28" i="10" s="1"/>
  <c r="EX28" i="10"/>
  <c r="BK28" i="10" s="1"/>
  <c r="DW28" i="10"/>
  <c r="AJ28" i="10" s="1"/>
  <c r="DY28" i="10"/>
  <c r="AL28" i="10" s="1"/>
  <c r="EZ28" i="10"/>
  <c r="BM28" i="10" s="1"/>
  <c r="EY28" i="10"/>
  <c r="BL28" i="10" s="1"/>
  <c r="DT28" i="10"/>
  <c r="AG28" i="10" s="1"/>
  <c r="FG28" i="10"/>
  <c r="BT28" i="10" s="1"/>
  <c r="DJ28" i="10"/>
  <c r="W28" i="10" s="1"/>
  <c r="EL28" i="10"/>
  <c r="AY28" i="10" s="1"/>
  <c r="DX28" i="10"/>
  <c r="AK28" i="10" s="1"/>
  <c r="EB28" i="10"/>
  <c r="AO28" i="10" s="1"/>
  <c r="DL28" i="10"/>
  <c r="Y28" i="10" s="1"/>
  <c r="DV28" i="10"/>
  <c r="AI28" i="10" s="1"/>
  <c r="EP28" i="10"/>
  <c r="BC28" i="10" s="1"/>
  <c r="DO28" i="10"/>
  <c r="AB28" i="10" s="1"/>
  <c r="FI28" i="10"/>
  <c r="BV28" i="10" s="1"/>
  <c r="FC28" i="10"/>
  <c r="BP28" i="10" s="1"/>
  <c r="ET28" i="10"/>
  <c r="BG28" i="10" s="1"/>
  <c r="EQ28" i="10"/>
  <c r="BD28" i="10" s="1"/>
  <c r="ES28" i="10"/>
  <c r="BF28" i="10" s="1"/>
  <c r="ED28" i="10"/>
  <c r="AQ28" i="10" s="1"/>
  <c r="DK28" i="10"/>
  <c r="X28" i="10" s="1"/>
  <c r="EN28" i="10"/>
  <c r="BA28" i="10" s="1"/>
  <c r="FK28" i="10"/>
  <c r="BX28" i="10" s="1"/>
  <c r="FG38" i="10"/>
  <c r="BT38" i="10" s="1"/>
  <c r="FE38" i="10"/>
  <c r="BR38" i="10" s="1"/>
  <c r="EI38" i="10"/>
  <c r="AV38" i="10" s="1"/>
  <c r="DW38" i="10"/>
  <c r="AJ38" i="10" s="1"/>
  <c r="DU38" i="10"/>
  <c r="AH38" i="10" s="1"/>
  <c r="EU38" i="10"/>
  <c r="BH38" i="10" s="1"/>
  <c r="EN38" i="10"/>
  <c r="BA38" i="10" s="1"/>
  <c r="FD38" i="10"/>
  <c r="BQ38" i="10" s="1"/>
  <c r="EA38" i="10"/>
  <c r="AN38" i="10" s="1"/>
  <c r="EE38" i="10"/>
  <c r="AR38" i="10" s="1"/>
  <c r="DT38" i="10"/>
  <c r="AG38" i="10" s="1"/>
  <c r="FB38" i="10"/>
  <c r="BO38" i="10" s="1"/>
  <c r="EK38" i="10"/>
  <c r="AX38" i="10" s="1"/>
  <c r="FI38" i="10"/>
  <c r="BV38" i="10" s="1"/>
  <c r="DL38" i="10"/>
  <c r="Y38" i="10" s="1"/>
  <c r="DS38" i="10"/>
  <c r="AF38" i="10" s="1"/>
  <c r="EH38" i="10"/>
  <c r="AU38" i="10" s="1"/>
  <c r="EL38" i="10"/>
  <c r="AY38" i="10" s="1"/>
  <c r="FL38" i="10"/>
  <c r="BY38" i="10" s="1"/>
  <c r="FK38" i="10"/>
  <c r="BX38" i="10" s="1"/>
  <c r="DM38" i="10"/>
  <c r="Z38" i="10" s="1"/>
  <c r="EW38" i="10"/>
  <c r="BJ38" i="10" s="1"/>
  <c r="EC38" i="10"/>
  <c r="AP38" i="10" s="1"/>
  <c r="EY38" i="10"/>
  <c r="BL38" i="10" s="1"/>
  <c r="DQ38" i="10"/>
  <c r="AD38" i="10" s="1"/>
  <c r="DN38" i="10"/>
  <c r="AA38" i="10" s="1"/>
  <c r="ES38" i="10"/>
  <c r="BF38" i="10" s="1"/>
  <c r="EB38" i="10"/>
  <c r="AO38" i="10" s="1"/>
  <c r="EV38" i="10"/>
  <c r="BI38" i="10" s="1"/>
  <c r="DR38" i="10"/>
  <c r="AE38" i="10" s="1"/>
  <c r="EJ38" i="10"/>
  <c r="AW38" i="10" s="1"/>
  <c r="EZ38" i="10"/>
  <c r="BM38" i="10" s="1"/>
  <c r="EM38" i="10"/>
  <c r="AZ38" i="10" s="1"/>
  <c r="ER38" i="10"/>
  <c r="BE38" i="10" s="1"/>
  <c r="DK38" i="10"/>
  <c r="X38" i="10" s="1"/>
  <c r="DX38" i="10"/>
  <c r="AK38" i="10" s="1"/>
  <c r="DY38" i="10"/>
  <c r="AL38" i="10" s="1"/>
  <c r="FF38" i="10"/>
  <c r="BS38" i="10" s="1"/>
  <c r="FA38" i="10"/>
  <c r="BN38" i="10" s="1"/>
  <c r="DJ38" i="10"/>
  <c r="W38" i="10" s="1"/>
  <c r="ET38" i="10"/>
  <c r="BG38" i="10" s="1"/>
  <c r="EP38" i="10"/>
  <c r="BC38" i="10" s="1"/>
  <c r="FH38" i="10"/>
  <c r="BU38" i="10" s="1"/>
  <c r="FC38" i="10"/>
  <c r="BP38" i="10" s="1"/>
  <c r="EO38" i="10"/>
  <c r="BB38" i="10" s="1"/>
  <c r="FJ38" i="10"/>
  <c r="BW38" i="10" s="1"/>
  <c r="DP38" i="10"/>
  <c r="AC38" i="10" s="1"/>
  <c r="EQ38" i="10"/>
  <c r="BD38" i="10" s="1"/>
  <c r="DO38" i="10"/>
  <c r="AB38" i="10" s="1"/>
  <c r="EX38" i="10"/>
  <c r="BK38" i="10" s="1"/>
  <c r="ED38" i="10"/>
  <c r="AQ38" i="10" s="1"/>
  <c r="DZ38" i="10"/>
  <c r="AM38" i="10" s="1"/>
  <c r="DV38" i="10"/>
  <c r="AI38" i="10" s="1"/>
  <c r="EG38" i="10"/>
  <c r="AT38" i="10" s="1"/>
  <c r="FC40" i="10"/>
  <c r="BP40" i="10" s="1"/>
  <c r="EK40" i="10"/>
  <c r="AX40" i="10" s="1"/>
  <c r="DO40" i="10"/>
  <c r="AB40" i="10" s="1"/>
  <c r="EO40" i="10"/>
  <c r="BB40" i="10" s="1"/>
  <c r="EQ40" i="10"/>
  <c r="BD40" i="10" s="1"/>
  <c r="ED40" i="10"/>
  <c r="AQ40" i="10" s="1"/>
  <c r="FH40" i="10"/>
  <c r="BU40" i="10" s="1"/>
  <c r="DW40" i="10"/>
  <c r="AJ40" i="10" s="1"/>
  <c r="EW40" i="10"/>
  <c r="BJ40" i="10" s="1"/>
  <c r="FJ40" i="10"/>
  <c r="BW40" i="10" s="1"/>
  <c r="EC40" i="10"/>
  <c r="AP40" i="10" s="1"/>
  <c r="FL40" i="10"/>
  <c r="BY40" i="10" s="1"/>
  <c r="ER40" i="10"/>
  <c r="BE40" i="10" s="1"/>
  <c r="EL40" i="10"/>
  <c r="AY40" i="10" s="1"/>
  <c r="EZ40" i="10"/>
  <c r="BM40" i="10" s="1"/>
  <c r="DK40" i="10"/>
  <c r="X40" i="10" s="1"/>
  <c r="EM40" i="10"/>
  <c r="AZ40" i="10" s="1"/>
  <c r="EI40" i="10"/>
  <c r="AV40" i="10" s="1"/>
  <c r="EJ40" i="10"/>
  <c r="AW40" i="10" s="1"/>
  <c r="FB40" i="10"/>
  <c r="BO40" i="10" s="1"/>
  <c r="FF40" i="10"/>
  <c r="BS40" i="10" s="1"/>
  <c r="FA40" i="10"/>
  <c r="BN40" i="10" s="1"/>
  <c r="EE40" i="10"/>
  <c r="AR40" i="10" s="1"/>
  <c r="EB40" i="10"/>
  <c r="AO40" i="10" s="1"/>
  <c r="DQ40" i="10"/>
  <c r="AD40" i="10" s="1"/>
  <c r="DZ40" i="10"/>
  <c r="AM40" i="10" s="1"/>
  <c r="DV40" i="10"/>
  <c r="AI40" i="10" s="1"/>
  <c r="FK40" i="10"/>
  <c r="BX40" i="10" s="1"/>
  <c r="DP40" i="10"/>
  <c r="AC40" i="10" s="1"/>
  <c r="DU40" i="10"/>
  <c r="AH40" i="10" s="1"/>
  <c r="DR40" i="10"/>
  <c r="AE40" i="10" s="1"/>
  <c r="DM40" i="10"/>
  <c r="Z40" i="10" s="1"/>
  <c r="EV40" i="10"/>
  <c r="BI40" i="10" s="1"/>
  <c r="EY40" i="10"/>
  <c r="BL40" i="10" s="1"/>
  <c r="DL40" i="10"/>
  <c r="Y40" i="10" s="1"/>
  <c r="ES40" i="10"/>
  <c r="BF40" i="10" s="1"/>
  <c r="DS40" i="10"/>
  <c r="AF40" i="10" s="1"/>
  <c r="ET40" i="10"/>
  <c r="BG40" i="10" s="1"/>
  <c r="EU40" i="10"/>
  <c r="BH40" i="10" s="1"/>
  <c r="DT40" i="10"/>
  <c r="AG40" i="10" s="1"/>
  <c r="FG40" i="10"/>
  <c r="BT40" i="10" s="1"/>
  <c r="DN40" i="10"/>
  <c r="AA40" i="10" s="1"/>
  <c r="EX40" i="10"/>
  <c r="BK40" i="10" s="1"/>
  <c r="EH40" i="10"/>
  <c r="AU40" i="10" s="1"/>
  <c r="EP40" i="10"/>
  <c r="BC40" i="10" s="1"/>
  <c r="DJ40" i="10"/>
  <c r="W40" i="10" s="1"/>
  <c r="FE40" i="10"/>
  <c r="BR40" i="10" s="1"/>
  <c r="FI40" i="10"/>
  <c r="BV40" i="10" s="1"/>
  <c r="EA40" i="10"/>
  <c r="AN40" i="10" s="1"/>
  <c r="EN40" i="10"/>
  <c r="BA40" i="10" s="1"/>
  <c r="EG40" i="10"/>
  <c r="AT40" i="10" s="1"/>
  <c r="FD40" i="10"/>
  <c r="BQ40" i="10" s="1"/>
  <c r="DY40" i="10"/>
  <c r="AL40" i="10" s="1"/>
  <c r="DX40" i="10"/>
  <c r="AK40" i="10" s="1"/>
  <c r="DZ22" i="10"/>
  <c r="AM22" i="10" s="1"/>
  <c r="DJ22" i="10"/>
  <c r="W22" i="10" s="1"/>
  <c r="FL22" i="10"/>
  <c r="BY22" i="10" s="1"/>
  <c r="FG22" i="10"/>
  <c r="BT22" i="10" s="1"/>
  <c r="EI22" i="10"/>
  <c r="AV22" i="10" s="1"/>
  <c r="EY22" i="10"/>
  <c r="BL22" i="10" s="1"/>
  <c r="ES22" i="10"/>
  <c r="BF22" i="10" s="1"/>
  <c r="EV22" i="10"/>
  <c r="BI22" i="10" s="1"/>
  <c r="EH22" i="10"/>
  <c r="AU22" i="10" s="1"/>
  <c r="EL22" i="10"/>
  <c r="AY22" i="10" s="1"/>
  <c r="DQ22" i="10"/>
  <c r="AD22" i="10" s="1"/>
  <c r="FJ22" i="10"/>
  <c r="BW22" i="10" s="1"/>
  <c r="EM22" i="10"/>
  <c r="AZ22" i="10" s="1"/>
  <c r="DS22" i="10"/>
  <c r="AF22" i="10" s="1"/>
  <c r="ET22" i="10"/>
  <c r="BG22" i="10" s="1"/>
  <c r="DR22" i="10"/>
  <c r="AE22" i="10" s="1"/>
  <c r="EC22" i="10"/>
  <c r="AP22" i="10" s="1"/>
  <c r="FH22" i="10"/>
  <c r="BU22" i="10" s="1"/>
  <c r="DV22" i="10"/>
  <c r="AI22" i="10" s="1"/>
  <c r="EQ22" i="10"/>
  <c r="BD22" i="10" s="1"/>
  <c r="DX22" i="10"/>
  <c r="AK22" i="10" s="1"/>
  <c r="DW22" i="10"/>
  <c r="AJ22" i="10" s="1"/>
  <c r="FB22" i="10"/>
  <c r="BO22" i="10" s="1"/>
  <c r="EK22" i="10"/>
  <c r="AX22" i="10" s="1"/>
  <c r="EB22" i="10"/>
  <c r="AO22" i="10" s="1"/>
  <c r="DP22" i="10"/>
  <c r="AC22" i="10" s="1"/>
  <c r="K73" i="24"/>
  <c r="FF22" i="10"/>
  <c r="BS22" i="10" s="1"/>
  <c r="EA22" i="10"/>
  <c r="AN22" i="10" s="1"/>
  <c r="DK22" i="10"/>
  <c r="X22" i="10" s="1"/>
  <c r="EZ22" i="10"/>
  <c r="BM22" i="10" s="1"/>
  <c r="EU22" i="10"/>
  <c r="BH22" i="10" s="1"/>
  <c r="FA22" i="10"/>
  <c r="BN22" i="10" s="1"/>
  <c r="EX22" i="10"/>
  <c r="BK22" i="10" s="1"/>
  <c r="DL22" i="10"/>
  <c r="Y22" i="10" s="1"/>
  <c r="EG22" i="10"/>
  <c r="AT22" i="10" s="1"/>
  <c r="DU22" i="10"/>
  <c r="AH22" i="10" s="1"/>
  <c r="EN22" i="10"/>
  <c r="BA22" i="10" s="1"/>
  <c r="DT22" i="10"/>
  <c r="AG22" i="10" s="1"/>
  <c r="EE22" i="10"/>
  <c r="AR22" i="10" s="1"/>
  <c r="EO22" i="10"/>
  <c r="BB22" i="10" s="1"/>
  <c r="DM22" i="10"/>
  <c r="Z22" i="10" s="1"/>
  <c r="EJ22" i="10"/>
  <c r="AW22" i="10" s="1"/>
  <c r="FI22" i="10"/>
  <c r="BV22" i="10" s="1"/>
  <c r="FC22" i="10"/>
  <c r="BP22" i="10" s="1"/>
  <c r="ER22" i="10"/>
  <c r="BE22" i="10" s="1"/>
  <c r="DN22" i="10"/>
  <c r="AA22" i="10" s="1"/>
  <c r="EW22" i="10"/>
  <c r="BJ22" i="10" s="1"/>
  <c r="EP22" i="10"/>
  <c r="BC22" i="10" s="1"/>
  <c r="FK22" i="10"/>
  <c r="BX22" i="10" s="1"/>
  <c r="ED22" i="10"/>
  <c r="AQ22" i="10" s="1"/>
  <c r="DY22" i="10"/>
  <c r="AL22" i="10" s="1"/>
  <c r="FD22" i="10"/>
  <c r="BQ22" i="10" s="1"/>
  <c r="FE22" i="10"/>
  <c r="BR22" i="10" s="1"/>
  <c r="DO22" i="10"/>
  <c r="AB22" i="10" s="1"/>
  <c r="CZ24" i="10"/>
  <c r="X108" i="20"/>
  <c r="AC99" i="20" s="1"/>
  <c r="Y108" i="20"/>
  <c r="L21" i="24"/>
  <c r="J21" i="24"/>
  <c r="P21" i="24"/>
  <c r="I21" i="24" s="1"/>
  <c r="B27" i="40"/>
  <c r="BT37" i="14"/>
  <c r="BU37" i="14"/>
  <c r="CM37" i="14"/>
  <c r="B37" i="14" s="1"/>
  <c r="M37" i="14" s="1"/>
  <c r="D245" i="14"/>
  <c r="CS4" i="14" s="1"/>
  <c r="X245" i="14"/>
  <c r="Z246" i="14"/>
  <c r="CE41" i="14"/>
  <c r="E33" i="22"/>
  <c r="M33" i="22"/>
  <c r="V33" i="22"/>
  <c r="O33" i="22"/>
  <c r="I33" i="22"/>
  <c r="Y33" i="22"/>
  <c r="S33" i="22"/>
  <c r="B8" i="24"/>
  <c r="R10" i="24" s="1"/>
  <c r="GX80" i="7"/>
  <c r="Z51" i="28"/>
  <c r="A52" i="28" s="1"/>
  <c r="BE41" i="14"/>
  <c r="BH41" i="14"/>
  <c r="AO41" i="14"/>
  <c r="BI41" i="14"/>
  <c r="AY41" i="14"/>
  <c r="AT41" i="14"/>
  <c r="AX41" i="14"/>
  <c r="BL41" i="14"/>
  <c r="BF41" i="14"/>
  <c r="BG41" i="14"/>
  <c r="BN41" i="14"/>
  <c r="BC41" i="14"/>
  <c r="BA41" i="14"/>
  <c r="AP41" i="14"/>
  <c r="BJ41" i="14"/>
  <c r="BB41" i="14"/>
  <c r="AW41" i="14"/>
  <c r="AQ41" i="14"/>
  <c r="AZ41" i="14"/>
  <c r="AV41" i="14"/>
  <c r="AR41" i="14"/>
  <c r="AU41" i="14"/>
  <c r="AS41" i="14"/>
  <c r="BD41" i="14"/>
  <c r="BM41" i="14"/>
  <c r="BK41" i="14"/>
  <c r="CM40" i="14"/>
  <c r="B40" i="14" s="1"/>
  <c r="M40" i="14" s="1"/>
  <c r="CM13" i="14"/>
  <c r="B13" i="14" s="1"/>
  <c r="M13" i="14" s="1"/>
  <c r="C4" i="40" s="1"/>
  <c r="A15" i="14"/>
  <c r="CE15" i="14" s="1"/>
  <c r="R62" i="24"/>
  <c r="S62" i="24" s="1"/>
  <c r="B4" i="40"/>
  <c r="BT13" i="14"/>
  <c r="C28" i="40"/>
  <c r="K38" i="14"/>
  <c r="AD8" i="22"/>
  <c r="P112" i="24" s="1"/>
  <c r="M12" i="14"/>
  <c r="S36" i="22"/>
  <c r="Y36" i="22"/>
  <c r="E36" i="22"/>
  <c r="O36" i="22"/>
  <c r="V36" i="22"/>
  <c r="I36" i="22"/>
  <c r="M36" i="22"/>
  <c r="F10" i="38"/>
  <c r="C10" i="38"/>
  <c r="A10" i="38"/>
  <c r="B10" i="38" s="1"/>
  <c r="V93" i="24"/>
  <c r="U94" i="24" s="1"/>
  <c r="L93" i="24"/>
  <c r="P93" i="24"/>
  <c r="K93" i="24"/>
  <c r="J93" i="24"/>
  <c r="D28" i="24"/>
  <c r="E28" i="24"/>
  <c r="B28" i="24"/>
  <c r="H28" i="24"/>
  <c r="A28" i="24" s="1"/>
  <c r="B10" i="22"/>
  <c r="C14" i="14"/>
  <c r="CL14" i="14"/>
  <c r="P14" i="14"/>
  <c r="CG14" i="14"/>
  <c r="BP14" i="14"/>
  <c r="A5" i="40"/>
  <c r="E5" i="40" s="1"/>
  <c r="CJ14" i="14"/>
  <c r="CK14" i="14" s="1"/>
  <c r="CH14" i="14"/>
  <c r="CI14" i="14" s="1"/>
  <c r="BQ14" i="14"/>
  <c r="CA14" i="14" s="1"/>
  <c r="BX14" i="14"/>
  <c r="D14" i="14"/>
  <c r="EM14" i="14"/>
  <c r="CV14" i="14"/>
  <c r="DD14" i="14"/>
  <c r="BO14" i="14"/>
  <c r="G14" i="14" s="1"/>
  <c r="CY14" i="14"/>
  <c r="DF14" i="14"/>
  <c r="DV14" i="14"/>
  <c r="DS14" i="14"/>
  <c r="ED14" i="14"/>
  <c r="ES14" i="14"/>
  <c r="EA14" i="14"/>
  <c r="ER14" i="14"/>
  <c r="EK14" i="14"/>
  <c r="EB14" i="14"/>
  <c r="DB14" i="14"/>
  <c r="DM14" i="14"/>
  <c r="DC14" i="14"/>
  <c r="DX14" i="14"/>
  <c r="EC14" i="14"/>
  <c r="EE14" i="14"/>
  <c r="CW14" i="14"/>
  <c r="DL14" i="14"/>
  <c r="CX14" i="14"/>
  <c r="EO14" i="14"/>
  <c r="EG14" i="14"/>
  <c r="DN14" i="14"/>
  <c r="DA14" i="14"/>
  <c r="DI14" i="14"/>
  <c r="DW14" i="14"/>
  <c r="EP14" i="14"/>
  <c r="DJ14" i="14"/>
  <c r="DU14" i="14"/>
  <c r="DH14" i="14"/>
  <c r="EH14" i="14"/>
  <c r="DP14" i="14"/>
  <c r="DE14" i="14"/>
  <c r="EL14" i="14"/>
  <c r="EI14" i="14"/>
  <c r="DG14" i="14"/>
  <c r="DZ14" i="14"/>
  <c r="DK14" i="14"/>
  <c r="DY14" i="14"/>
  <c r="CZ14" i="14"/>
  <c r="DO14" i="14"/>
  <c r="DT14" i="14"/>
  <c r="DQ14" i="14"/>
  <c r="EQ14" i="14"/>
  <c r="EF14" i="14"/>
  <c r="EJ14" i="14"/>
  <c r="EN14" i="14"/>
  <c r="AS14" i="14"/>
  <c r="BM14" i="14"/>
  <c r="BA14" i="14"/>
  <c r="AO14" i="14"/>
  <c r="AW14" i="14"/>
  <c r="AX14" i="14"/>
  <c r="BN14" i="14"/>
  <c r="BH14" i="14"/>
  <c r="BD14" i="14"/>
  <c r="BG14" i="14"/>
  <c r="AV14" i="14"/>
  <c r="AP14" i="14"/>
  <c r="AZ14" i="14"/>
  <c r="BB14" i="14"/>
  <c r="BI14" i="14"/>
  <c r="BK14" i="14"/>
  <c r="BF14" i="14"/>
  <c r="AQ14" i="14"/>
  <c r="BL14" i="14"/>
  <c r="AU14" i="14"/>
  <c r="BC14" i="14"/>
  <c r="AR14" i="14"/>
  <c r="BE14" i="14"/>
  <c r="AY14" i="14"/>
  <c r="AT14" i="14"/>
  <c r="BJ14" i="14"/>
  <c r="S9" i="22"/>
  <c r="K113" i="24" s="1"/>
  <c r="I9" i="22"/>
  <c r="E9" i="22"/>
  <c r="F113" i="24" s="1"/>
  <c r="M9" i="22"/>
  <c r="H113" i="24" s="1"/>
  <c r="V9" i="22"/>
  <c r="J113" i="24" s="1"/>
  <c r="O9" i="22"/>
  <c r="M113" i="24" s="1"/>
  <c r="Y9" i="22"/>
  <c r="AD9" i="22"/>
  <c r="P113" i="24" s="1"/>
  <c r="U45" i="24"/>
  <c r="V45" i="24" s="1"/>
  <c r="A42" i="14"/>
  <c r="I92" i="24"/>
  <c r="N92" i="24"/>
  <c r="L44" i="24"/>
  <c r="P44" i="24"/>
  <c r="I44" i="24" s="1"/>
  <c r="J44" i="24"/>
  <c r="B30" i="40"/>
  <c r="BU40" i="14"/>
  <c r="BT40" i="14"/>
  <c r="CJ41" i="14"/>
  <c r="CK41" i="14" s="1"/>
  <c r="P41" i="14"/>
  <c r="B37" i="22"/>
  <c r="BX41" i="14"/>
  <c r="A31" i="40"/>
  <c r="E31" i="40" s="1"/>
  <c r="CG41" i="14"/>
  <c r="C41" i="14"/>
  <c r="BQ41" i="14"/>
  <c r="CA41" i="14" s="1"/>
  <c r="CL41" i="14"/>
  <c r="CB41" i="14"/>
  <c r="BV41" i="14" s="1"/>
  <c r="BP41" i="14"/>
  <c r="CH41" i="14"/>
  <c r="CI41" i="14" s="1"/>
  <c r="DX41" i="14"/>
  <c r="EP41" i="14"/>
  <c r="DZ41" i="14"/>
  <c r="DU41" i="14"/>
  <c r="DN41" i="14"/>
  <c r="DD41" i="14"/>
  <c r="ES41" i="14"/>
  <c r="DI41" i="14"/>
  <c r="DG41" i="14"/>
  <c r="D41" i="14"/>
  <c r="DH41" i="14"/>
  <c r="ER41" i="14"/>
  <c r="EF41" i="14"/>
  <c r="BO41" i="14"/>
  <c r="G41" i="14" s="1"/>
  <c r="CX41" i="14"/>
  <c r="CY41" i="14"/>
  <c r="ED41" i="14"/>
  <c r="DA41" i="14"/>
  <c r="DB41" i="14"/>
  <c r="DO41" i="14"/>
  <c r="DE41" i="14"/>
  <c r="CZ41" i="14"/>
  <c r="DV41" i="14"/>
  <c r="EC41" i="14"/>
  <c r="EB41" i="14"/>
  <c r="CW41" i="14"/>
  <c r="EL41" i="14"/>
  <c r="DJ41" i="14"/>
  <c r="EO41" i="14"/>
  <c r="DY41" i="14"/>
  <c r="DQ41" i="14"/>
  <c r="EK41" i="14"/>
  <c r="EH41" i="14"/>
  <c r="CV41" i="14"/>
  <c r="DK41" i="14"/>
  <c r="EN41" i="14"/>
  <c r="DW41" i="14"/>
  <c r="EJ41" i="14"/>
  <c r="EM41" i="14"/>
  <c r="EE41" i="14"/>
  <c r="DF41" i="14"/>
  <c r="DS41" i="14"/>
  <c r="EA41" i="14"/>
  <c r="DM41" i="14"/>
  <c r="EQ41" i="14"/>
  <c r="DL41" i="14"/>
  <c r="DP41" i="14"/>
  <c r="DT41" i="14"/>
  <c r="EG41" i="14"/>
  <c r="EI41" i="14"/>
  <c r="DC41" i="14"/>
  <c r="E61" i="24"/>
  <c r="H61" i="24"/>
  <c r="A61" i="24" s="1"/>
  <c r="B61" i="24"/>
  <c r="F13" i="42"/>
  <c r="E13" i="42"/>
  <c r="C12" i="42"/>
  <c r="A12" i="42"/>
  <c r="B12" i="42" s="1"/>
  <c r="CA67" i="14"/>
  <c r="BR67" i="14"/>
  <c r="CC67" i="14"/>
  <c r="CC44" i="14"/>
  <c r="BR44" i="14"/>
  <c r="BR19" i="14"/>
  <c r="CC19" i="14"/>
  <c r="AL44" i="33"/>
  <c r="C44" i="33"/>
  <c r="FM34" i="7" s="1"/>
  <c r="FN34" i="7" s="1"/>
  <c r="FE34" i="7" s="1"/>
  <c r="FF34" i="7" s="1"/>
  <c r="AC44" i="33"/>
  <c r="B44" i="33"/>
  <c r="AF46" i="33"/>
  <c r="A45" i="33"/>
  <c r="B51" i="28"/>
  <c r="C51" i="28"/>
  <c r="AC51" i="28"/>
  <c r="AD51" i="28"/>
  <c r="P51" i="28"/>
  <c r="AH50" i="28"/>
  <c r="O51" i="28"/>
  <c r="H51" i="28"/>
  <c r="CL203" i="10"/>
  <c r="T51" i="28"/>
  <c r="S51" i="28" s="1"/>
  <c r="AG51" i="28"/>
  <c r="Q51" i="28"/>
  <c r="R51" i="28" s="1"/>
  <c r="BT67" i="14"/>
  <c r="B56" i="40"/>
  <c r="BU67" i="14"/>
  <c r="C56" i="40"/>
  <c r="E56" i="40" s="1"/>
  <c r="K67" i="14"/>
  <c r="BG67" i="14" s="1"/>
  <c r="BN65" i="14"/>
  <c r="BM65" i="14"/>
  <c r="AZ65" i="14"/>
  <c r="AC65" i="14"/>
  <c r="BD65" i="14"/>
  <c r="BG65" i="14"/>
  <c r="AA65" i="14"/>
  <c r="U65" i="14"/>
  <c r="BC65" i="14"/>
  <c r="AX65" i="14"/>
  <c r="Y65" i="14"/>
  <c r="Z65" i="14"/>
  <c r="AH65" i="14"/>
  <c r="AS65" i="14"/>
  <c r="T65" i="14"/>
  <c r="AO65" i="14"/>
  <c r="AG65" i="14"/>
  <c r="BK65" i="14"/>
  <c r="AI65" i="14"/>
  <c r="BL65" i="14"/>
  <c r="BB65" i="14"/>
  <c r="W65" i="14"/>
  <c r="AV65" i="14"/>
  <c r="S65" i="14"/>
  <c r="AK65" i="14"/>
  <c r="AL65" i="14"/>
  <c r="V65" i="14"/>
  <c r="R65" i="14"/>
  <c r="AP65" i="14"/>
  <c r="AW65" i="14"/>
  <c r="AB65" i="14"/>
  <c r="AT65" i="14"/>
  <c r="BA65" i="14"/>
  <c r="AJ65" i="14"/>
  <c r="AR65" i="14"/>
  <c r="AD65" i="14"/>
  <c r="BI65" i="14"/>
  <c r="BJ65" i="14"/>
  <c r="BE65" i="14"/>
  <c r="AU65" i="14"/>
  <c r="AF65" i="14"/>
  <c r="X65" i="14"/>
  <c r="BH65" i="14"/>
  <c r="BF65" i="14"/>
  <c r="AQ65" i="14"/>
  <c r="AE65" i="14"/>
  <c r="AY65" i="14"/>
  <c r="CE68" i="14"/>
  <c r="A69" i="14" s="1"/>
  <c r="BQ68" i="14"/>
  <c r="CG68" i="14"/>
  <c r="BP68" i="14"/>
  <c r="C68" i="14"/>
  <c r="BX68" i="14"/>
  <c r="CB68" i="14"/>
  <c r="BV68" i="14" s="1"/>
  <c r="P68" i="14"/>
  <c r="A57" i="40"/>
  <c r="B68" i="14"/>
  <c r="DQ66" i="14"/>
  <c r="EM66" i="14"/>
  <c r="CX66" i="14"/>
  <c r="EH66" i="14"/>
  <c r="EG66" i="14"/>
  <c r="DX66" i="14"/>
  <c r="ES66" i="14"/>
  <c r="EI66" i="14"/>
  <c r="DC66" i="14"/>
  <c r="EB66" i="14"/>
  <c r="DK66" i="14"/>
  <c r="DJ66" i="14"/>
  <c r="EK66" i="14"/>
  <c r="DF66" i="14"/>
  <c r="CV66" i="14"/>
  <c r="DO66" i="14"/>
  <c r="DY66" i="14"/>
  <c r="DU66" i="14"/>
  <c r="DP66" i="14"/>
  <c r="BO66" i="14"/>
  <c r="G66" i="14" s="1"/>
  <c r="CZ66" i="14"/>
  <c r="EQ66" i="14"/>
  <c r="DE66" i="14"/>
  <c r="DM66" i="14"/>
  <c r="EA66" i="14"/>
  <c r="CY66" i="14"/>
  <c r="DS66" i="14"/>
  <c r="ER66" i="14"/>
  <c r="DN66" i="14"/>
  <c r="DG66" i="14"/>
  <c r="DT66" i="14"/>
  <c r="EF66" i="14"/>
  <c r="EP66" i="14"/>
  <c r="DD66" i="14"/>
  <c r="DI66" i="14"/>
  <c r="EL66" i="14"/>
  <c r="EE66" i="14"/>
  <c r="DV66" i="14"/>
  <c r="EC66" i="14"/>
  <c r="EJ66" i="14"/>
  <c r="EN66" i="14"/>
  <c r="CW66" i="14"/>
  <c r="DL66" i="14"/>
  <c r="ED66" i="14"/>
  <c r="DA66" i="14"/>
  <c r="DB66" i="14"/>
  <c r="DH66" i="14"/>
  <c r="EO66" i="14"/>
  <c r="DZ66" i="14"/>
  <c r="DW66" i="14"/>
  <c r="BL66" i="14"/>
  <c r="AL66" i="14"/>
  <c r="Y66" i="14"/>
  <c r="AJ66" i="14"/>
  <c r="BF66" i="14"/>
  <c r="AU66" i="14"/>
  <c r="BB66" i="14"/>
  <c r="AV66" i="14"/>
  <c r="AW66" i="14"/>
  <c r="AF66" i="14"/>
  <c r="AK66" i="14"/>
  <c r="U66" i="14"/>
  <c r="AP66" i="14"/>
  <c r="BJ66" i="14"/>
  <c r="AA66" i="14"/>
  <c r="AS66" i="14"/>
  <c r="BM66" i="14"/>
  <c r="AG66" i="14"/>
  <c r="BA66" i="14"/>
  <c r="BE66" i="14"/>
  <c r="AR66" i="14"/>
  <c r="AX66" i="14"/>
  <c r="BG66" i="14"/>
  <c r="AE66" i="14"/>
  <c r="AI66" i="14"/>
  <c r="S66" i="14"/>
  <c r="AQ66" i="14"/>
  <c r="AC66" i="14"/>
  <c r="X66" i="14"/>
  <c r="AB66" i="14"/>
  <c r="V66" i="14"/>
  <c r="AY66" i="14"/>
  <c r="BD66" i="14"/>
  <c r="T66" i="14"/>
  <c r="BN66" i="14"/>
  <c r="BK66" i="14"/>
  <c r="AT66" i="14"/>
  <c r="AZ66" i="14"/>
  <c r="Z66" i="14"/>
  <c r="AH66" i="14"/>
  <c r="AO66" i="14"/>
  <c r="W66" i="14"/>
  <c r="BI66" i="14"/>
  <c r="R66" i="14"/>
  <c r="AD66" i="14"/>
  <c r="BC66" i="14"/>
  <c r="BH66" i="14"/>
  <c r="AR67" i="14"/>
  <c r="CN203" i="10"/>
  <c r="AL203" i="10"/>
  <c r="O203" i="10"/>
  <c r="B167" i="39" s="1"/>
  <c r="CK203" i="10"/>
  <c r="BR203" i="10"/>
  <c r="G186" i="39"/>
  <c r="B204" i="10"/>
  <c r="FM33" i="7"/>
  <c r="FN33" i="7" s="1"/>
  <c r="FE33" i="7" s="1"/>
  <c r="FM32" i="7"/>
  <c r="FN32" i="7" s="1"/>
  <c r="FE32" i="7" s="1"/>
  <c r="BO210" i="10"/>
  <c r="CG210" i="10"/>
  <c r="BQ212" i="10"/>
  <c r="A211" i="10"/>
  <c r="CH205" i="10"/>
  <c r="BW205" i="10"/>
  <c r="EF205" i="10"/>
  <c r="S34" i="23"/>
  <c r="M34" i="23"/>
  <c r="AD34" i="23"/>
  <c r="Y34" i="23"/>
  <c r="V34" i="23"/>
  <c r="I34" i="23"/>
  <c r="E34" i="23"/>
  <c r="O34" i="23"/>
  <c r="Z34" i="23"/>
  <c r="B35" i="23"/>
  <c r="AG35" i="23"/>
  <c r="C30" i="34"/>
  <c r="D31" i="34" s="1"/>
  <c r="BN206" i="10"/>
  <c r="BY206" i="10"/>
  <c r="GW81" i="7"/>
  <c r="DD137" i="10"/>
  <c r="GU82" i="7"/>
  <c r="GV82" i="7"/>
  <c r="DE140" i="10"/>
  <c r="N44" i="24"/>
  <c r="G27" i="24"/>
  <c r="N21" i="24"/>
  <c r="G61" i="24"/>
  <c r="G28" i="24"/>
  <c r="BX206" i="10"/>
  <c r="G206" i="10"/>
  <c r="C205" i="10"/>
  <c r="CE42" i="14" l="1"/>
  <c r="CZ34" i="10"/>
  <c r="CZ25" i="10"/>
  <c r="CZ30" i="10"/>
  <c r="CZ33" i="10"/>
  <c r="CZ21" i="10"/>
  <c r="CZ39" i="10"/>
  <c r="CZ14" i="10"/>
  <c r="CZ29" i="10"/>
  <c r="CZ23" i="10"/>
  <c r="AW31" i="33"/>
  <c r="AW32" i="33" s="1"/>
  <c r="AW33" i="33" s="1"/>
  <c r="CZ32" i="10"/>
  <c r="CZ40" i="10"/>
  <c r="CZ38" i="10"/>
  <c r="CZ28" i="10"/>
  <c r="CZ20" i="10"/>
  <c r="C106" i="10"/>
  <c r="C72" i="10"/>
  <c r="G58" i="39" s="1"/>
  <c r="C13" i="10"/>
  <c r="C41" i="10"/>
  <c r="C81" i="10"/>
  <c r="C60" i="10"/>
  <c r="CZ22" i="10"/>
  <c r="H8" i="24"/>
  <c r="B9" i="24"/>
  <c r="H9" i="24" s="1"/>
  <c r="C27" i="40"/>
  <c r="K37" i="14"/>
  <c r="Z247" i="14"/>
  <c r="D246" i="14"/>
  <c r="CT4" i="14" s="1"/>
  <c r="X246" i="14"/>
  <c r="GX81" i="7"/>
  <c r="GP346" i="7" s="1"/>
  <c r="AE51" i="28"/>
  <c r="B52" i="28"/>
  <c r="AY42" i="14"/>
  <c r="AZ42" i="14"/>
  <c r="AT42" i="14"/>
  <c r="AO42" i="14"/>
  <c r="AS42" i="14"/>
  <c r="BE42" i="14"/>
  <c r="BM42" i="14"/>
  <c r="AX42" i="14"/>
  <c r="BC42" i="14"/>
  <c r="BD42" i="14"/>
  <c r="AU42" i="14"/>
  <c r="AV42" i="14"/>
  <c r="BK42" i="14"/>
  <c r="BJ42" i="14"/>
  <c r="BI42" i="14"/>
  <c r="AW42" i="14"/>
  <c r="BL42" i="14"/>
  <c r="BB42" i="14"/>
  <c r="BG42" i="14"/>
  <c r="AR42" i="14"/>
  <c r="K13" i="14"/>
  <c r="V13" i="14" s="1"/>
  <c r="A43" i="14"/>
  <c r="AT43" i="14" s="1"/>
  <c r="A16" i="14"/>
  <c r="CE16" i="14" s="1"/>
  <c r="AQ42" i="14"/>
  <c r="BN42" i="14"/>
  <c r="BF42" i="14"/>
  <c r="AP42" i="14"/>
  <c r="BH42" i="14"/>
  <c r="BA42" i="14"/>
  <c r="CG42" i="14"/>
  <c r="BP42" i="14"/>
  <c r="C42" i="14"/>
  <c r="P42" i="14"/>
  <c r="CB42" i="14"/>
  <c r="BV42" i="14" s="1"/>
  <c r="CH42" i="14"/>
  <c r="CI42" i="14" s="1"/>
  <c r="CL42" i="14"/>
  <c r="BQ42" i="14"/>
  <c r="CA42" i="14" s="1"/>
  <c r="A32" i="40"/>
  <c r="E32" i="40" s="1"/>
  <c r="B38" i="22"/>
  <c r="BX42" i="14"/>
  <c r="CJ42" i="14"/>
  <c r="CK42" i="14" s="1"/>
  <c r="D42" i="14"/>
  <c r="EG42" i="14"/>
  <c r="DB42" i="14"/>
  <c r="DW42" i="14"/>
  <c r="EL42" i="14"/>
  <c r="DL42" i="14"/>
  <c r="DJ42" i="14"/>
  <c r="DA42" i="14"/>
  <c r="DF42" i="14"/>
  <c r="EJ42" i="14"/>
  <c r="DD42" i="14"/>
  <c r="DM42" i="14"/>
  <c r="DY42" i="14"/>
  <c r="ES42" i="14"/>
  <c r="EQ42" i="14"/>
  <c r="DT42" i="14"/>
  <c r="DH42" i="14"/>
  <c r="ER42" i="14"/>
  <c r="DS42" i="14"/>
  <c r="DU42" i="14"/>
  <c r="DC42" i="14"/>
  <c r="EO42" i="14"/>
  <c r="DG42" i="14"/>
  <c r="DX42" i="14"/>
  <c r="DO42" i="14"/>
  <c r="CX42" i="14"/>
  <c r="EC42" i="14"/>
  <c r="EK42" i="14"/>
  <c r="EN42" i="14"/>
  <c r="EM42" i="14"/>
  <c r="DP42" i="14"/>
  <c r="DV42" i="14"/>
  <c r="CY42" i="14"/>
  <c r="EE42" i="14"/>
  <c r="EF42" i="14"/>
  <c r="EP42" i="14"/>
  <c r="DI42" i="14"/>
  <c r="DK42" i="14"/>
  <c r="ED42" i="14"/>
  <c r="CW42" i="14"/>
  <c r="CZ42" i="14"/>
  <c r="EB42" i="14"/>
  <c r="EH42" i="14"/>
  <c r="DZ42" i="14"/>
  <c r="BO42" i="14"/>
  <c r="G42" i="14" s="1"/>
  <c r="DN42" i="14"/>
  <c r="CV42" i="14"/>
  <c r="DQ42" i="14"/>
  <c r="DE42" i="14"/>
  <c r="EI42" i="14"/>
  <c r="EA42" i="14"/>
  <c r="C30" i="40"/>
  <c r="K40" i="14"/>
  <c r="W38" i="14"/>
  <c r="U38" i="14"/>
  <c r="AG38" i="14"/>
  <c r="AB38" i="14"/>
  <c r="Z38" i="14"/>
  <c r="X38" i="14"/>
  <c r="T38" i="14"/>
  <c r="Y38" i="14"/>
  <c r="AJ38" i="14"/>
  <c r="S38" i="14"/>
  <c r="AA38" i="14"/>
  <c r="AK38" i="14"/>
  <c r="AE38" i="14"/>
  <c r="AC38" i="14"/>
  <c r="AL38" i="14"/>
  <c r="AI38" i="14"/>
  <c r="R38" i="14"/>
  <c r="AF38" i="14"/>
  <c r="V38" i="14"/>
  <c r="AD38" i="14"/>
  <c r="AH38" i="14"/>
  <c r="B62" i="24"/>
  <c r="H62" i="24"/>
  <c r="A62" i="24" s="1"/>
  <c r="E62" i="24"/>
  <c r="R63" i="24"/>
  <c r="S63" i="24" s="1"/>
  <c r="BT41" i="14"/>
  <c r="BU41" i="14"/>
  <c r="B31" i="40"/>
  <c r="E37" i="22"/>
  <c r="M37" i="22"/>
  <c r="V37" i="22"/>
  <c r="S37" i="22"/>
  <c r="I37" i="22"/>
  <c r="O37" i="22"/>
  <c r="Y37" i="22"/>
  <c r="BT14" i="14"/>
  <c r="B5" i="40"/>
  <c r="E11" i="38"/>
  <c r="F11" i="38"/>
  <c r="CM41" i="14"/>
  <c r="B41" i="14" s="1"/>
  <c r="P45" i="24"/>
  <c r="I45" i="24" s="1"/>
  <c r="J45" i="24"/>
  <c r="L45" i="24"/>
  <c r="U46" i="24"/>
  <c r="V46" i="24" s="1"/>
  <c r="CM14" i="14"/>
  <c r="B14" i="14" s="1"/>
  <c r="V10" i="22"/>
  <c r="J114" i="24" s="1"/>
  <c r="I10" i="22"/>
  <c r="Y10" i="22"/>
  <c r="M10" i="22"/>
  <c r="H114" i="24" s="1"/>
  <c r="O10" i="22"/>
  <c r="M114" i="24" s="1"/>
  <c r="S10" i="22"/>
  <c r="K114" i="24" s="1"/>
  <c r="E10" i="22"/>
  <c r="F114" i="24" s="1"/>
  <c r="AD10" i="22"/>
  <c r="P114" i="24" s="1"/>
  <c r="I93" i="24"/>
  <c r="N93" i="24"/>
  <c r="V94" i="24"/>
  <c r="U95" i="24" s="1"/>
  <c r="J94" i="24"/>
  <c r="K94" i="24"/>
  <c r="O94" i="24"/>
  <c r="L94" i="24"/>
  <c r="P94" i="24"/>
  <c r="C3" i="40"/>
  <c r="K12" i="14"/>
  <c r="BQ15" i="14"/>
  <c r="CA15" i="14" s="1"/>
  <c r="BX15" i="14"/>
  <c r="A6" i="40"/>
  <c r="E6" i="40" s="1"/>
  <c r="C15" i="14"/>
  <c r="CL15" i="14"/>
  <c r="CH15" i="14"/>
  <c r="CI15" i="14" s="1"/>
  <c r="CJ15" i="14"/>
  <c r="CK15" i="14" s="1"/>
  <c r="B11" i="22"/>
  <c r="CG15" i="14"/>
  <c r="BP15" i="14"/>
  <c r="P15" i="14"/>
  <c r="DI15" i="14"/>
  <c r="DD15" i="14"/>
  <c r="EH15" i="14"/>
  <c r="ER15" i="14"/>
  <c r="EJ15" i="14"/>
  <c r="EI15" i="14"/>
  <c r="DQ15" i="14"/>
  <c r="DL15" i="14"/>
  <c r="EB15" i="14"/>
  <c r="DE15" i="14"/>
  <c r="EC15" i="14"/>
  <c r="DS15" i="14"/>
  <c r="DB15" i="14"/>
  <c r="DT15" i="14"/>
  <c r="ED15" i="14"/>
  <c r="DM15" i="14"/>
  <c r="EF15" i="14"/>
  <c r="EN15" i="14"/>
  <c r="DU15" i="14"/>
  <c r="EQ15" i="14"/>
  <c r="DG15" i="14"/>
  <c r="D15" i="14"/>
  <c r="DV15" i="14"/>
  <c r="DO15" i="14"/>
  <c r="DH15" i="14"/>
  <c r="CW15" i="14"/>
  <c r="EL15" i="14"/>
  <c r="CX15" i="14"/>
  <c r="DK15" i="14"/>
  <c r="CV15" i="14"/>
  <c r="EA15" i="14"/>
  <c r="EK15" i="14"/>
  <c r="DJ15" i="14"/>
  <c r="DF15" i="14"/>
  <c r="EP15" i="14"/>
  <c r="CZ15" i="14"/>
  <c r="DP15" i="14"/>
  <c r="EO15" i="14"/>
  <c r="DZ15" i="14"/>
  <c r="DN15" i="14"/>
  <c r="DC15" i="14"/>
  <c r="DA15" i="14"/>
  <c r="DX15" i="14"/>
  <c r="DW15" i="14"/>
  <c r="EG15" i="14"/>
  <c r="ES15" i="14"/>
  <c r="BO15" i="14"/>
  <c r="G15" i="14" s="1"/>
  <c r="EE15" i="14"/>
  <c r="CY15" i="14"/>
  <c r="DY15" i="14"/>
  <c r="EM15" i="14"/>
  <c r="AZ15" i="14"/>
  <c r="AT15" i="14"/>
  <c r="AR15" i="14"/>
  <c r="AU15" i="14"/>
  <c r="AS15" i="14"/>
  <c r="BC15" i="14"/>
  <c r="BB15" i="14"/>
  <c r="BI15" i="14"/>
  <c r="AW15" i="14"/>
  <c r="BH15" i="14"/>
  <c r="BM15" i="14"/>
  <c r="BA15" i="14"/>
  <c r="BD15" i="14"/>
  <c r="BN15" i="14"/>
  <c r="AX15" i="14"/>
  <c r="BL15" i="14"/>
  <c r="AQ15" i="14"/>
  <c r="AV15" i="14"/>
  <c r="BF15" i="14"/>
  <c r="BJ15" i="14"/>
  <c r="AY15" i="14"/>
  <c r="BE15" i="14"/>
  <c r="AP15" i="14"/>
  <c r="AO15" i="14"/>
  <c r="BK15" i="14"/>
  <c r="BG15" i="14"/>
  <c r="C13" i="42"/>
  <c r="A13" i="42"/>
  <c r="B13" i="42" s="1"/>
  <c r="F14" i="42"/>
  <c r="E14" i="42"/>
  <c r="D67" i="14"/>
  <c r="BR45" i="14"/>
  <c r="CC45" i="14"/>
  <c r="CC20" i="14"/>
  <c r="BR20" i="14"/>
  <c r="CA68" i="14"/>
  <c r="BR68" i="14"/>
  <c r="D68" i="14" s="1"/>
  <c r="CC68" i="14"/>
  <c r="AD44" i="33"/>
  <c r="J44" i="33"/>
  <c r="Z44" i="33"/>
  <c r="AA44" i="33"/>
  <c r="AC45" i="33"/>
  <c r="AL45" i="33"/>
  <c r="C45" i="33"/>
  <c r="FM35" i="7" s="1"/>
  <c r="FN35" i="7" s="1"/>
  <c r="FE35" i="7" s="1"/>
  <c r="FF35" i="7" s="1"/>
  <c r="B45" i="33"/>
  <c r="A46" i="33"/>
  <c r="AF47" i="33"/>
  <c r="AD52" i="28"/>
  <c r="H52" i="28"/>
  <c r="T52" i="28"/>
  <c r="S52" i="28" s="1"/>
  <c r="O52" i="28"/>
  <c r="P52" i="28"/>
  <c r="AC52" i="28"/>
  <c r="Z52" i="28"/>
  <c r="C52" i="28"/>
  <c r="AB52" i="28" s="1"/>
  <c r="AG52" i="28"/>
  <c r="Q52" i="28"/>
  <c r="R52" i="28" s="1"/>
  <c r="FE138" i="7"/>
  <c r="FF138" i="7" s="1"/>
  <c r="FE126" i="7"/>
  <c r="FF126" i="7" s="1"/>
  <c r="AB51" i="28"/>
  <c r="AH51" i="28"/>
  <c r="CL204" i="10"/>
  <c r="X51" i="28"/>
  <c r="AA67" i="14"/>
  <c r="BH67" i="14"/>
  <c r="AK67" i="14"/>
  <c r="AX67" i="14"/>
  <c r="BJ67" i="14"/>
  <c r="T67" i="14"/>
  <c r="AC67" i="14"/>
  <c r="BE67" i="14"/>
  <c r="AY67" i="14"/>
  <c r="AF67" i="14"/>
  <c r="AL67" i="14"/>
  <c r="AJ67" i="14"/>
  <c r="AB67" i="14"/>
  <c r="AZ67" i="14"/>
  <c r="AS67" i="14"/>
  <c r="BN67" i="14"/>
  <c r="BM67" i="14"/>
  <c r="BA67" i="14"/>
  <c r="BE43" i="14"/>
  <c r="AY43" i="14"/>
  <c r="BH43" i="14"/>
  <c r="AZ43" i="14"/>
  <c r="BD43" i="14"/>
  <c r="BN43" i="14"/>
  <c r="R67" i="14"/>
  <c r="AQ67" i="14"/>
  <c r="S67" i="14"/>
  <c r="BT68" i="14"/>
  <c r="BU68" i="14"/>
  <c r="B57" i="40"/>
  <c r="V67" i="14"/>
  <c r="AO67" i="14"/>
  <c r="X67" i="14"/>
  <c r="CE69" i="14"/>
  <c r="A70" i="14" s="1"/>
  <c r="CB69" i="14"/>
  <c r="BV69" i="14" s="1"/>
  <c r="P69" i="14"/>
  <c r="BP69" i="14"/>
  <c r="C69" i="14"/>
  <c r="A58" i="40"/>
  <c r="BQ69" i="14"/>
  <c r="BX69" i="14"/>
  <c r="B69" i="14"/>
  <c r="M69" i="14" s="1"/>
  <c r="CG69" i="14"/>
  <c r="AW67" i="14"/>
  <c r="AH67" i="14"/>
  <c r="AP67" i="14"/>
  <c r="DE67" i="14"/>
  <c r="DK67" i="14"/>
  <c r="EP67" i="14"/>
  <c r="DP67" i="14"/>
  <c r="DT67" i="14"/>
  <c r="EE67" i="14"/>
  <c r="DL67" i="14"/>
  <c r="EA67" i="14"/>
  <c r="BO67" i="14"/>
  <c r="G67" i="14" s="1"/>
  <c r="EC67" i="14"/>
  <c r="DX67" i="14"/>
  <c r="EF67" i="14"/>
  <c r="DI67" i="14"/>
  <c r="EJ67" i="14"/>
  <c r="DD67" i="14"/>
  <c r="DW67" i="14"/>
  <c r="DA67" i="14"/>
  <c r="EI67" i="14"/>
  <c r="EK67" i="14"/>
  <c r="ES67" i="14"/>
  <c r="CY67" i="14"/>
  <c r="CZ67" i="14"/>
  <c r="EG67" i="14"/>
  <c r="DG67" i="14"/>
  <c r="EQ67" i="14"/>
  <c r="ER67" i="14"/>
  <c r="DQ67" i="14"/>
  <c r="EN67" i="14"/>
  <c r="DB67" i="14"/>
  <c r="DY67" i="14"/>
  <c r="DO67" i="14"/>
  <c r="DM67" i="14"/>
  <c r="EO67" i="14"/>
  <c r="EL67" i="14"/>
  <c r="DF67" i="14"/>
  <c r="EB67" i="14"/>
  <c r="DV67" i="14"/>
  <c r="EM67" i="14"/>
  <c r="DC67" i="14"/>
  <c r="DS67" i="14"/>
  <c r="ED67" i="14"/>
  <c r="EH67" i="14"/>
  <c r="DU67" i="14"/>
  <c r="CX67" i="14"/>
  <c r="CV67" i="14"/>
  <c r="DJ67" i="14"/>
  <c r="CW67" i="14"/>
  <c r="DN67" i="14"/>
  <c r="DH67" i="14"/>
  <c r="DZ67" i="14"/>
  <c r="BF67" i="14"/>
  <c r="AU67" i="14"/>
  <c r="M68" i="14"/>
  <c r="Z67" i="14"/>
  <c r="BB67" i="14"/>
  <c r="AD67" i="14"/>
  <c r="U67" i="14"/>
  <c r="BK67" i="14"/>
  <c r="BD67" i="14"/>
  <c r="AI67" i="14"/>
  <c r="AG67" i="14"/>
  <c r="AT67" i="14"/>
  <c r="BI67" i="14"/>
  <c r="BC67" i="14"/>
  <c r="AE67" i="14"/>
  <c r="AV67" i="14"/>
  <c r="BL67" i="14"/>
  <c r="Y67" i="14"/>
  <c r="W67" i="14"/>
  <c r="BR204" i="10"/>
  <c r="CN204" i="10"/>
  <c r="CK204" i="10"/>
  <c r="AL204" i="10"/>
  <c r="O204" i="10"/>
  <c r="B168" i="39" s="1"/>
  <c r="B205" i="10"/>
  <c r="CG211" i="10"/>
  <c r="BO211" i="10"/>
  <c r="A212" i="10"/>
  <c r="BQ213" i="10"/>
  <c r="EF206" i="10"/>
  <c r="BW206" i="10"/>
  <c r="BN207" i="10"/>
  <c r="AD35" i="23"/>
  <c r="E35" i="23"/>
  <c r="S35" i="23"/>
  <c r="O35" i="23"/>
  <c r="Z35" i="23"/>
  <c r="M35" i="23"/>
  <c r="Y35" i="23"/>
  <c r="V35" i="23"/>
  <c r="I35" i="23"/>
  <c r="C31" i="34"/>
  <c r="D32" i="34" s="1"/>
  <c r="B36" i="23"/>
  <c r="AG36" i="23"/>
  <c r="BY207" i="10"/>
  <c r="GW82" i="7"/>
  <c r="GU83" i="7"/>
  <c r="DE141" i="10"/>
  <c r="DD138" i="10"/>
  <c r="GV83" i="7"/>
  <c r="G62" i="24"/>
  <c r="N45" i="24"/>
  <c r="G207" i="10"/>
  <c r="F206" i="10"/>
  <c r="BX207" i="10"/>
  <c r="F207" i="10"/>
  <c r="AU43" i="14" l="1"/>
  <c r="BB43" i="14"/>
  <c r="BK43" i="14"/>
  <c r="CE43" i="14"/>
  <c r="AJ37" i="14"/>
  <c r="AH37" i="14"/>
  <c r="X37" i="14"/>
  <c r="AK37" i="14"/>
  <c r="AA37" i="14"/>
  <c r="U37" i="14"/>
  <c r="R37" i="14"/>
  <c r="AG37" i="14"/>
  <c r="AF37" i="14"/>
  <c r="S37" i="14"/>
  <c r="W37" i="14"/>
  <c r="AC37" i="14"/>
  <c r="AB37" i="14"/>
  <c r="Z37" i="14"/>
  <c r="Y37" i="14"/>
  <c r="AD37" i="14"/>
  <c r="AE37" i="14"/>
  <c r="T37" i="14"/>
  <c r="AL37" i="14"/>
  <c r="V37" i="14"/>
  <c r="AI37" i="14"/>
  <c r="X247" i="14"/>
  <c r="D247" i="14"/>
  <c r="CU4" i="14" s="1"/>
  <c r="GX82" i="7"/>
  <c r="X52" i="28"/>
  <c r="AE52" i="28"/>
  <c r="AV43" i="14"/>
  <c r="BA43" i="14"/>
  <c r="BC43" i="14"/>
  <c r="AR43" i="14"/>
  <c r="AS43" i="14"/>
  <c r="AP43" i="14"/>
  <c r="AX43" i="14"/>
  <c r="AQ43" i="14"/>
  <c r="BJ43" i="14"/>
  <c r="BI43" i="14"/>
  <c r="BG43" i="14"/>
  <c r="AO43" i="14"/>
  <c r="BL43" i="14"/>
  <c r="BF43" i="14"/>
  <c r="BM43" i="14"/>
  <c r="AW43" i="14"/>
  <c r="AK13" i="14"/>
  <c r="R13" i="14"/>
  <c r="S13" i="14"/>
  <c r="AC13" i="14"/>
  <c r="AI13" i="14"/>
  <c r="AD13" i="14"/>
  <c r="T13" i="14"/>
  <c r="W13" i="14"/>
  <c r="AJ13" i="14"/>
  <c r="AA13" i="14"/>
  <c r="U13" i="14"/>
  <c r="Y13" i="14"/>
  <c r="AE13" i="14"/>
  <c r="Z13" i="14"/>
  <c r="AB13" i="14"/>
  <c r="CM15" i="14"/>
  <c r="B15" i="14" s="1"/>
  <c r="M15" i="14" s="1"/>
  <c r="X13" i="14"/>
  <c r="AG13" i="14"/>
  <c r="AL13" i="14"/>
  <c r="AH13" i="14"/>
  <c r="AF13" i="14"/>
  <c r="U47" i="24"/>
  <c r="V47" i="24" s="1"/>
  <c r="A17" i="14"/>
  <c r="CE17" i="14" s="1"/>
  <c r="A44" i="14"/>
  <c r="AL12" i="14"/>
  <c r="W12" i="14"/>
  <c r="AF12" i="14"/>
  <c r="AA12" i="14"/>
  <c r="V12" i="14"/>
  <c r="AC12" i="14"/>
  <c r="AD12" i="14"/>
  <c r="AB12" i="14"/>
  <c r="Y12" i="14"/>
  <c r="AK12" i="14"/>
  <c r="AI12" i="14"/>
  <c r="S12" i="14"/>
  <c r="Z12" i="14"/>
  <c r="AG12" i="14"/>
  <c r="U12" i="14"/>
  <c r="AJ12" i="14"/>
  <c r="AE12" i="14"/>
  <c r="R12" i="14"/>
  <c r="X12" i="14"/>
  <c r="T12" i="14"/>
  <c r="AH12" i="14"/>
  <c r="M41" i="14"/>
  <c r="E12" i="38"/>
  <c r="F12" i="38"/>
  <c r="E13" i="38" s="1"/>
  <c r="B32" i="40"/>
  <c r="BU42" i="14"/>
  <c r="BT42" i="14"/>
  <c r="AD11" i="22"/>
  <c r="P115" i="24" s="1"/>
  <c r="A11" i="38"/>
  <c r="B11" i="38" s="1"/>
  <c r="C11" i="38"/>
  <c r="X40" i="14"/>
  <c r="Y40" i="14"/>
  <c r="AB40" i="14"/>
  <c r="AJ40" i="14"/>
  <c r="AK40" i="14"/>
  <c r="AE40" i="14"/>
  <c r="W40" i="14"/>
  <c r="AA40" i="14"/>
  <c r="AH40" i="14"/>
  <c r="AF40" i="14"/>
  <c r="AI40" i="14"/>
  <c r="AD40" i="14"/>
  <c r="AC40" i="14"/>
  <c r="S40" i="14"/>
  <c r="T40" i="14"/>
  <c r="AL40" i="14"/>
  <c r="Z40" i="14"/>
  <c r="U40" i="14"/>
  <c r="AG40" i="14"/>
  <c r="V40" i="14"/>
  <c r="R40" i="14"/>
  <c r="O38" i="22"/>
  <c r="V38" i="22"/>
  <c r="S38" i="22"/>
  <c r="Y38" i="22"/>
  <c r="E38" i="22"/>
  <c r="M38" i="22"/>
  <c r="I38" i="22"/>
  <c r="M11" i="22"/>
  <c r="H115" i="24" s="1"/>
  <c r="S11" i="22"/>
  <c r="K115" i="24" s="1"/>
  <c r="O11" i="22"/>
  <c r="M115" i="24" s="1"/>
  <c r="E11" i="22"/>
  <c r="F115" i="24" s="1"/>
  <c r="Y11" i="22"/>
  <c r="I11" i="22"/>
  <c r="V11" i="22"/>
  <c r="J115" i="24" s="1"/>
  <c r="BT15" i="14"/>
  <c r="B6" i="40"/>
  <c r="I94" i="24"/>
  <c r="N94" i="24"/>
  <c r="M14" i="14"/>
  <c r="CM42" i="14"/>
  <c r="B42" i="14" s="1"/>
  <c r="V95" i="24"/>
  <c r="U96" i="24" s="1"/>
  <c r="O95" i="24"/>
  <c r="P95" i="24"/>
  <c r="J95" i="24"/>
  <c r="K95" i="24"/>
  <c r="L95" i="24"/>
  <c r="L46" i="24"/>
  <c r="J46" i="24"/>
  <c r="P46" i="24"/>
  <c r="I46" i="24" s="1"/>
  <c r="H63" i="24"/>
  <c r="A63" i="24" s="1"/>
  <c r="B63" i="24"/>
  <c r="E63" i="24"/>
  <c r="R64" i="24"/>
  <c r="S64" i="24" s="1"/>
  <c r="A7" i="40"/>
  <c r="E7" i="40" s="1"/>
  <c r="BQ16" i="14"/>
  <c r="CA16" i="14" s="1"/>
  <c r="P16" i="14"/>
  <c r="CJ16" i="14"/>
  <c r="CK16" i="14" s="1"/>
  <c r="C16" i="14"/>
  <c r="CH16" i="14"/>
  <c r="CI16" i="14" s="1"/>
  <c r="CL16" i="14"/>
  <c r="BP16" i="14"/>
  <c r="CG16" i="14"/>
  <c r="B12" i="22"/>
  <c r="BX16" i="14"/>
  <c r="D16" i="14"/>
  <c r="DA16" i="14"/>
  <c r="DH16" i="14"/>
  <c r="DM16" i="14"/>
  <c r="EM16" i="14"/>
  <c r="EC16" i="14"/>
  <c r="EF16" i="14"/>
  <c r="DK16" i="14"/>
  <c r="ED16" i="14"/>
  <c r="CY16" i="14"/>
  <c r="DP16" i="14"/>
  <c r="EI16" i="14"/>
  <c r="DG16" i="14"/>
  <c r="DB16" i="14"/>
  <c r="EE16" i="14"/>
  <c r="DQ16" i="14"/>
  <c r="DU16" i="14"/>
  <c r="DW16" i="14"/>
  <c r="BO16" i="14"/>
  <c r="G16" i="14" s="1"/>
  <c r="CV16" i="14"/>
  <c r="EH16" i="14"/>
  <c r="EN16" i="14"/>
  <c r="EK16" i="14"/>
  <c r="EQ16" i="14"/>
  <c r="DX16" i="14"/>
  <c r="DC16" i="14"/>
  <c r="DN16" i="14"/>
  <c r="EG16" i="14"/>
  <c r="DD16" i="14"/>
  <c r="ER16" i="14"/>
  <c r="DJ16" i="14"/>
  <c r="EB16" i="14"/>
  <c r="EJ16" i="14"/>
  <c r="DZ16" i="14"/>
  <c r="EL16" i="14"/>
  <c r="EP16" i="14"/>
  <c r="CW16" i="14"/>
  <c r="DT16" i="14"/>
  <c r="DO16" i="14"/>
  <c r="CX16" i="14"/>
  <c r="DS16" i="14"/>
  <c r="ES16" i="14"/>
  <c r="DE16" i="14"/>
  <c r="DL16" i="14"/>
  <c r="DY16" i="14"/>
  <c r="EA16" i="14"/>
  <c r="DV16" i="14"/>
  <c r="DF16" i="14"/>
  <c r="EO16" i="14"/>
  <c r="CZ16" i="14"/>
  <c r="DI16" i="14"/>
  <c r="AT16" i="14"/>
  <c r="BN16" i="14"/>
  <c r="AW16" i="14"/>
  <c r="AP16" i="14"/>
  <c r="BE16" i="14"/>
  <c r="AZ16" i="14"/>
  <c r="BM16" i="14"/>
  <c r="BA16" i="14"/>
  <c r="AR16" i="14"/>
  <c r="AQ16" i="14"/>
  <c r="AY16" i="14"/>
  <c r="BB16" i="14"/>
  <c r="BJ16" i="14"/>
  <c r="BC16" i="14"/>
  <c r="AU16" i="14"/>
  <c r="BI16" i="14"/>
  <c r="AO16" i="14"/>
  <c r="BH16" i="14"/>
  <c r="BL16" i="14"/>
  <c r="BD16" i="14"/>
  <c r="AX16" i="14"/>
  <c r="AS16" i="14"/>
  <c r="AV16" i="14"/>
  <c r="BG16" i="14"/>
  <c r="BF16" i="14"/>
  <c r="BK16" i="14"/>
  <c r="P43" i="14"/>
  <c r="CL43" i="14"/>
  <c r="BQ43" i="14"/>
  <c r="CA43" i="14" s="1"/>
  <c r="CH43" i="14"/>
  <c r="CI43" i="14" s="1"/>
  <c r="BP43" i="14"/>
  <c r="BX43" i="14"/>
  <c r="B39" i="22"/>
  <c r="C43" i="14"/>
  <c r="CB43" i="14"/>
  <c r="BV43" i="14" s="1"/>
  <c r="A33" i="40"/>
  <c r="E33" i="40" s="1"/>
  <c r="CG43" i="14"/>
  <c r="CJ43" i="14"/>
  <c r="CK43" i="14" s="1"/>
  <c r="EN43" i="14"/>
  <c r="EI43" i="14"/>
  <c r="EK43" i="14"/>
  <c r="DX43" i="14"/>
  <c r="EM43" i="14"/>
  <c r="EH43" i="14"/>
  <c r="EE43" i="14"/>
  <c r="DI43" i="14"/>
  <c r="DJ43" i="14"/>
  <c r="DY43" i="14"/>
  <c r="DF43" i="14"/>
  <c r="DE43" i="14"/>
  <c r="BO43" i="14"/>
  <c r="G43" i="14" s="1"/>
  <c r="DK43" i="14"/>
  <c r="DV43" i="14"/>
  <c r="CZ43" i="14"/>
  <c r="EJ43" i="14"/>
  <c r="DN43" i="14"/>
  <c r="EQ43" i="14"/>
  <c r="CV43" i="14"/>
  <c r="DQ43" i="14"/>
  <c r="CX43" i="14"/>
  <c r="DD43" i="14"/>
  <c r="CW43" i="14"/>
  <c r="DA43" i="14"/>
  <c r="EC43" i="14"/>
  <c r="DB43" i="14"/>
  <c r="DL43" i="14"/>
  <c r="DT43" i="14"/>
  <c r="DU43" i="14"/>
  <c r="DC43" i="14"/>
  <c r="D43" i="14"/>
  <c r="EO43" i="14"/>
  <c r="DH43" i="14"/>
  <c r="ES43" i="14"/>
  <c r="CY43" i="14"/>
  <c r="DP43" i="14"/>
  <c r="EG43" i="14"/>
  <c r="EB43" i="14"/>
  <c r="DS43" i="14"/>
  <c r="DM43" i="14"/>
  <c r="EP43" i="14"/>
  <c r="EA43" i="14"/>
  <c r="DZ43" i="14"/>
  <c r="EF43" i="14"/>
  <c r="ER43" i="14"/>
  <c r="ED43" i="14"/>
  <c r="DO43" i="14"/>
  <c r="EL43" i="14"/>
  <c r="DW43" i="14"/>
  <c r="DG43" i="14"/>
  <c r="A14" i="42"/>
  <c r="B14" i="42" s="1"/>
  <c r="C14" i="42"/>
  <c r="E15" i="42"/>
  <c r="F15" i="42"/>
  <c r="CH206" i="10"/>
  <c r="CI223" i="10" s="1"/>
  <c r="BR46" i="14"/>
  <c r="CC46" i="14"/>
  <c r="CA69" i="14"/>
  <c r="BR69" i="14"/>
  <c r="D69" i="14" s="1"/>
  <c r="CC69" i="14"/>
  <c r="BR21" i="14"/>
  <c r="CC21" i="14"/>
  <c r="Z45" i="33"/>
  <c r="J45" i="33"/>
  <c r="AA45" i="33"/>
  <c r="AD45" i="33"/>
  <c r="AF48" i="33"/>
  <c r="A47" i="33"/>
  <c r="AE44" i="33"/>
  <c r="AB44" i="33"/>
  <c r="Y44" i="33"/>
  <c r="B46" i="33"/>
  <c r="C46" i="33"/>
  <c r="FM36" i="7" s="1"/>
  <c r="FN36" i="7" s="1"/>
  <c r="FE36" i="7" s="1"/>
  <c r="FF36" i="7" s="1"/>
  <c r="AL46" i="33" s="1"/>
  <c r="AC46" i="33"/>
  <c r="A53" i="28"/>
  <c r="Z53" i="28"/>
  <c r="AH52" i="28"/>
  <c r="CL205" i="10"/>
  <c r="AW44" i="14"/>
  <c r="BK44" i="14"/>
  <c r="BU69" i="14"/>
  <c r="BT69" i="14"/>
  <c r="B58" i="40"/>
  <c r="CE70" i="14"/>
  <c r="BP70" i="14"/>
  <c r="CG70" i="14"/>
  <c r="B70" i="14"/>
  <c r="M70" i="14" s="1"/>
  <c r="CB70" i="14"/>
  <c r="BV70" i="14" s="1"/>
  <c r="BX70" i="14"/>
  <c r="P70" i="14"/>
  <c r="A59" i="40"/>
  <c r="C70" i="14"/>
  <c r="BQ70" i="14"/>
  <c r="DT68" i="14"/>
  <c r="DF68" i="14"/>
  <c r="DG68" i="14"/>
  <c r="CX68" i="14"/>
  <c r="EI68" i="14"/>
  <c r="DW68" i="14"/>
  <c r="EN68" i="14"/>
  <c r="EH68" i="14"/>
  <c r="DD68" i="14"/>
  <c r="DI68" i="14"/>
  <c r="EO68" i="14"/>
  <c r="EB68" i="14"/>
  <c r="DK68" i="14"/>
  <c r="DP68" i="14"/>
  <c r="DH68" i="14"/>
  <c r="CZ68" i="14"/>
  <c r="EJ68" i="14"/>
  <c r="DO68" i="14"/>
  <c r="EQ68" i="14"/>
  <c r="EC68" i="14"/>
  <c r="EA68" i="14"/>
  <c r="DC68" i="14"/>
  <c r="DN68" i="14"/>
  <c r="DX68" i="14"/>
  <c r="DB68" i="14"/>
  <c r="EG68" i="14"/>
  <c r="DY68" i="14"/>
  <c r="EM68" i="14"/>
  <c r="CV68" i="14"/>
  <c r="EK68" i="14"/>
  <c r="EP68" i="14"/>
  <c r="ER68" i="14"/>
  <c r="DE68" i="14"/>
  <c r="ES68" i="14"/>
  <c r="DA68" i="14"/>
  <c r="DQ68" i="14"/>
  <c r="ED68" i="14"/>
  <c r="CY68" i="14"/>
  <c r="EF68" i="14"/>
  <c r="DS68" i="14"/>
  <c r="CW68" i="14"/>
  <c r="DM68" i="14"/>
  <c r="BO68" i="14"/>
  <c r="G68" i="14" s="1"/>
  <c r="DJ68" i="14"/>
  <c r="DU68" i="14"/>
  <c r="DL68" i="14"/>
  <c r="DV68" i="14"/>
  <c r="DZ68" i="14"/>
  <c r="EL68" i="14"/>
  <c r="EE68" i="14"/>
  <c r="C57" i="40"/>
  <c r="E57" i="40" s="1"/>
  <c r="K68" i="14"/>
  <c r="C58" i="40"/>
  <c r="E58" i="40" s="1"/>
  <c r="K69" i="14"/>
  <c r="O205" i="10"/>
  <c r="B169" i="39" s="1"/>
  <c r="AL205" i="10"/>
  <c r="CN205" i="10"/>
  <c r="A213" i="10"/>
  <c r="BQ214" i="10"/>
  <c r="CG212" i="10"/>
  <c r="BO212" i="10"/>
  <c r="CK205" i="10"/>
  <c r="BR205" i="10"/>
  <c r="EF207" i="10"/>
  <c r="BW207" i="10"/>
  <c r="CH207" i="10"/>
  <c r="C32" i="34"/>
  <c r="D33" i="34" s="1"/>
  <c r="O36" i="23"/>
  <c r="S36" i="23"/>
  <c r="Y36" i="23"/>
  <c r="V36" i="23"/>
  <c r="M36" i="23"/>
  <c r="E36" i="23"/>
  <c r="AD36" i="23"/>
  <c r="I36" i="23"/>
  <c r="Z36" i="23"/>
  <c r="AG37" i="23"/>
  <c r="B37" i="23"/>
  <c r="BN208" i="10"/>
  <c r="BY208" i="10"/>
  <c r="GW83" i="7"/>
  <c r="GU84" i="7"/>
  <c r="DE142" i="10"/>
  <c r="GV84" i="7"/>
  <c r="DD139" i="10"/>
  <c r="G63" i="24"/>
  <c r="N46" i="24"/>
  <c r="C207" i="10"/>
  <c r="F208" i="10"/>
  <c r="BX208" i="10"/>
  <c r="C206" i="10"/>
  <c r="G208" i="10"/>
  <c r="CE44" i="14" l="1"/>
  <c r="BG44" i="14"/>
  <c r="GX83" i="7"/>
  <c r="BH44" i="14"/>
  <c r="AU44" i="14"/>
  <c r="AP44" i="14"/>
  <c r="BC44" i="14"/>
  <c r="AT44" i="14"/>
  <c r="BM44" i="14"/>
  <c r="BI44" i="14"/>
  <c r="AY44" i="14"/>
  <c r="BL44" i="14"/>
  <c r="BA44" i="14"/>
  <c r="BD44" i="14"/>
  <c r="AS44" i="14"/>
  <c r="AV44" i="14"/>
  <c r="AZ44" i="14"/>
  <c r="AQ44" i="14"/>
  <c r="AR44" i="14"/>
  <c r="AX44" i="14"/>
  <c r="BF44" i="14"/>
  <c r="BB44" i="14"/>
  <c r="BE44" i="14"/>
  <c r="BJ44" i="14"/>
  <c r="AO44" i="14"/>
  <c r="BN44" i="14"/>
  <c r="CM16" i="14"/>
  <c r="B16" i="14" s="1"/>
  <c r="M16" i="14" s="1"/>
  <c r="C7" i="40" s="1"/>
  <c r="CM43" i="14"/>
  <c r="B43" i="14" s="1"/>
  <c r="M43" i="14" s="1"/>
  <c r="A18" i="14"/>
  <c r="CE18" i="14" s="1"/>
  <c r="A45" i="14"/>
  <c r="K16" i="14"/>
  <c r="Z16" i="14" s="1"/>
  <c r="E64" i="24"/>
  <c r="R65" i="24"/>
  <c r="S65" i="24" s="1"/>
  <c r="H64" i="24"/>
  <c r="A64" i="24" s="1"/>
  <c r="B64" i="24"/>
  <c r="M42" i="14"/>
  <c r="BU43" i="14"/>
  <c r="BT43" i="14"/>
  <c r="B33" i="40"/>
  <c r="I12" i="22"/>
  <c r="E12" i="22"/>
  <c r="M12" i="22"/>
  <c r="Y12" i="22"/>
  <c r="AD12" i="22"/>
  <c r="V12" i="22"/>
  <c r="S12" i="22"/>
  <c r="O12" i="22"/>
  <c r="C6" i="40"/>
  <c r="K15" i="14"/>
  <c r="C31" i="40"/>
  <c r="K41" i="14"/>
  <c r="CG44" i="14"/>
  <c r="CH44" i="14"/>
  <c r="CI44" i="14" s="1"/>
  <c r="P44" i="14"/>
  <c r="CJ44" i="14"/>
  <c r="CK44" i="14" s="1"/>
  <c r="BP44" i="14"/>
  <c r="C44" i="14"/>
  <c r="B40" i="22"/>
  <c r="A34" i="40"/>
  <c r="E34" i="40" s="1"/>
  <c r="CB44" i="14"/>
  <c r="BV44" i="14" s="1"/>
  <c r="BQ44" i="14"/>
  <c r="CA44" i="14" s="1"/>
  <c r="BX44" i="14"/>
  <c r="CL44" i="14"/>
  <c r="EL44" i="14"/>
  <c r="DS44" i="14"/>
  <c r="DE44" i="14"/>
  <c r="EH44" i="14"/>
  <c r="DP44" i="14"/>
  <c r="DT44" i="14"/>
  <c r="EC44" i="14"/>
  <c r="DZ44" i="14"/>
  <c r="DM44" i="14"/>
  <c r="DO44" i="14"/>
  <c r="EJ44" i="14"/>
  <c r="D44" i="14"/>
  <c r="DL44" i="14"/>
  <c r="EI44" i="14"/>
  <c r="DA44" i="14"/>
  <c r="EB44" i="14"/>
  <c r="DY44" i="14"/>
  <c r="DV44" i="14"/>
  <c r="ES44" i="14"/>
  <c r="EN44" i="14"/>
  <c r="DJ44" i="14"/>
  <c r="DK44" i="14"/>
  <c r="DD44" i="14"/>
  <c r="DI44" i="14"/>
  <c r="EG44" i="14"/>
  <c r="DW44" i="14"/>
  <c r="DC44" i="14"/>
  <c r="EF44" i="14"/>
  <c r="DQ44" i="14"/>
  <c r="DX44" i="14"/>
  <c r="EK44" i="14"/>
  <c r="CZ44" i="14"/>
  <c r="ED44" i="14"/>
  <c r="DG44" i="14"/>
  <c r="BO44" i="14"/>
  <c r="G44" i="14" s="1"/>
  <c r="EP44" i="14"/>
  <c r="EM44" i="14"/>
  <c r="ER44" i="14"/>
  <c r="DU44" i="14"/>
  <c r="EE44" i="14"/>
  <c r="CY44" i="14"/>
  <c r="CW44" i="14"/>
  <c r="CX44" i="14"/>
  <c r="DN44" i="14"/>
  <c r="EO44" i="14"/>
  <c r="DH44" i="14"/>
  <c r="DB44" i="14"/>
  <c r="EA44" i="14"/>
  <c r="DF44" i="14"/>
  <c r="EQ44" i="14"/>
  <c r="CV44" i="14"/>
  <c r="B13" i="22"/>
  <c r="P17" i="14"/>
  <c r="CG17" i="14"/>
  <c r="BP17" i="14"/>
  <c r="A8" i="40"/>
  <c r="E8" i="40" s="1"/>
  <c r="BQ17" i="14"/>
  <c r="CA17" i="14" s="1"/>
  <c r="CH17" i="14"/>
  <c r="CI17" i="14" s="1"/>
  <c r="C17" i="14"/>
  <c r="CL17" i="14"/>
  <c r="BX17" i="14"/>
  <c r="CJ17" i="14"/>
  <c r="CK17" i="14" s="1"/>
  <c r="D17" i="14"/>
  <c r="DA17" i="14"/>
  <c r="DT17" i="14"/>
  <c r="DJ17" i="14"/>
  <c r="BO17" i="14"/>
  <c r="G17" i="14" s="1"/>
  <c r="DO17" i="14"/>
  <c r="CV17" i="14"/>
  <c r="DD17" i="14"/>
  <c r="EP17" i="14"/>
  <c r="DB17" i="14"/>
  <c r="EF17" i="14"/>
  <c r="EC17" i="14"/>
  <c r="CW17" i="14"/>
  <c r="ER17" i="14"/>
  <c r="DY17" i="14"/>
  <c r="DN17" i="14"/>
  <c r="EG17" i="14"/>
  <c r="EH17" i="14"/>
  <c r="EB17" i="14"/>
  <c r="EQ17" i="14"/>
  <c r="CX17" i="14"/>
  <c r="DM17" i="14"/>
  <c r="EA17" i="14"/>
  <c r="EK17" i="14"/>
  <c r="DV17" i="14"/>
  <c r="EJ17" i="14"/>
  <c r="EL17" i="14"/>
  <c r="DK17" i="14"/>
  <c r="EO17" i="14"/>
  <c r="EN17" i="14"/>
  <c r="DE17" i="14"/>
  <c r="ES17" i="14"/>
  <c r="EI17" i="14"/>
  <c r="DH17" i="14"/>
  <c r="ED17" i="14"/>
  <c r="DZ17" i="14"/>
  <c r="DW17" i="14"/>
  <c r="DL17" i="14"/>
  <c r="DG17" i="14"/>
  <c r="DC17" i="14"/>
  <c r="DU17" i="14"/>
  <c r="EM17" i="14"/>
  <c r="DP17" i="14"/>
  <c r="DI17" i="14"/>
  <c r="CY17" i="14"/>
  <c r="DS17" i="14"/>
  <c r="DQ17" i="14"/>
  <c r="EE17" i="14"/>
  <c r="DX17" i="14"/>
  <c r="CZ17" i="14"/>
  <c r="DF17" i="14"/>
  <c r="AY17" i="14"/>
  <c r="BG17" i="14"/>
  <c r="BD17" i="14"/>
  <c r="BM17" i="14"/>
  <c r="AW17" i="14"/>
  <c r="AZ17" i="14"/>
  <c r="BA17" i="14"/>
  <c r="BK17" i="14"/>
  <c r="BN17" i="14"/>
  <c r="BE17" i="14"/>
  <c r="AX17" i="14"/>
  <c r="BH17" i="14"/>
  <c r="AQ17" i="14"/>
  <c r="AT17" i="14"/>
  <c r="AP17" i="14"/>
  <c r="AS17" i="14"/>
  <c r="AO17" i="14"/>
  <c r="AR17" i="14"/>
  <c r="AU17" i="14"/>
  <c r="BC17" i="14"/>
  <c r="BI17" i="14"/>
  <c r="BL17" i="14"/>
  <c r="AV17" i="14"/>
  <c r="BF17" i="14"/>
  <c r="BJ17" i="14"/>
  <c r="BB17" i="14"/>
  <c r="O39" i="22"/>
  <c r="Y39" i="22"/>
  <c r="M39" i="22"/>
  <c r="V39" i="22"/>
  <c r="I39" i="22"/>
  <c r="S39" i="22"/>
  <c r="E39" i="22"/>
  <c r="B7" i="40"/>
  <c r="BT16" i="14"/>
  <c r="V96" i="24"/>
  <c r="U97" i="24" s="1"/>
  <c r="J96" i="24"/>
  <c r="K96" i="24"/>
  <c r="L96" i="24"/>
  <c r="P96" i="24"/>
  <c r="C5" i="40"/>
  <c r="K14" i="14"/>
  <c r="F13" i="38"/>
  <c r="C13" i="38"/>
  <c r="A13" i="38"/>
  <c r="B13" i="38" s="1"/>
  <c r="N95" i="24"/>
  <c r="I95" i="24"/>
  <c r="A12" i="38"/>
  <c r="B12" i="38" s="1"/>
  <c r="C12" i="38"/>
  <c r="U48" i="24"/>
  <c r="V48" i="24" s="1"/>
  <c r="L47" i="24"/>
  <c r="J47" i="24"/>
  <c r="P47" i="24"/>
  <c r="I47" i="24" s="1"/>
  <c r="E16" i="42"/>
  <c r="F16" i="42"/>
  <c r="C15" i="42"/>
  <c r="A15" i="42"/>
  <c r="B15" i="42" s="1"/>
  <c r="B206" i="10"/>
  <c r="CL206" i="10" s="1"/>
  <c r="CC22" i="14"/>
  <c r="BR22" i="14"/>
  <c r="CA70" i="14"/>
  <c r="CC70" i="14"/>
  <c r="BR70" i="14"/>
  <c r="D70" i="14" s="1"/>
  <c r="BR47" i="14"/>
  <c r="CC47" i="14"/>
  <c r="E42" i="33"/>
  <c r="B42" i="33" s="1"/>
  <c r="E16" i="33"/>
  <c r="B16" i="33" s="1"/>
  <c r="AD46" i="33"/>
  <c r="Z46" i="33"/>
  <c r="J46" i="33"/>
  <c r="AA46" i="33"/>
  <c r="AL47" i="33"/>
  <c r="B47" i="33"/>
  <c r="AC47" i="33"/>
  <c r="C47" i="33"/>
  <c r="FM37" i="7" s="1"/>
  <c r="FN37" i="7" s="1"/>
  <c r="FE37" i="7" s="1"/>
  <c r="FF37" i="7" s="1"/>
  <c r="AE45" i="33"/>
  <c r="AB45" i="33"/>
  <c r="Y45" i="33"/>
  <c r="A48" i="33"/>
  <c r="AF49" i="33"/>
  <c r="A49" i="33" s="1"/>
  <c r="Z54" i="28"/>
  <c r="A54" i="28"/>
  <c r="C53" i="28"/>
  <c r="P53" i="28"/>
  <c r="O53" i="28"/>
  <c r="B53" i="28"/>
  <c r="T53" i="28"/>
  <c r="S53" i="28" s="1"/>
  <c r="AC53" i="28"/>
  <c r="Q53" i="28"/>
  <c r="R53" i="28" s="1"/>
  <c r="H53" i="28"/>
  <c r="AG53" i="28"/>
  <c r="AD53" i="28"/>
  <c r="W68" i="14"/>
  <c r="Z68" i="14"/>
  <c r="AR68" i="14"/>
  <c r="AZ68" i="14"/>
  <c r="BK68" i="14"/>
  <c r="U68" i="14"/>
  <c r="AU68" i="14"/>
  <c r="AQ68" i="14"/>
  <c r="R68" i="14"/>
  <c r="BI68" i="14"/>
  <c r="AW68" i="14"/>
  <c r="S68" i="14"/>
  <c r="AE68" i="14"/>
  <c r="AS68" i="14"/>
  <c r="AX68" i="14"/>
  <c r="T68" i="14"/>
  <c r="AF68" i="14"/>
  <c r="BB68" i="14"/>
  <c r="AL68" i="14"/>
  <c r="AY68" i="14"/>
  <c r="X68" i="14"/>
  <c r="AP68" i="14"/>
  <c r="BC68" i="14"/>
  <c r="AK68" i="14"/>
  <c r="BN68" i="14"/>
  <c r="AV68" i="14"/>
  <c r="AD68" i="14"/>
  <c r="BL68" i="14"/>
  <c r="AA68" i="14"/>
  <c r="AO68" i="14"/>
  <c r="BH68" i="14"/>
  <c r="BJ68" i="14"/>
  <c r="BA68" i="14"/>
  <c r="BM68" i="14"/>
  <c r="AT68" i="14"/>
  <c r="AH68" i="14"/>
  <c r="BF68" i="14"/>
  <c r="BE68" i="14"/>
  <c r="AJ68" i="14"/>
  <c r="BD68" i="14"/>
  <c r="AG68" i="14"/>
  <c r="AB68" i="14"/>
  <c r="BG68" i="14"/>
  <c r="AC68" i="14"/>
  <c r="AI68" i="14"/>
  <c r="V68" i="14"/>
  <c r="Y68" i="14"/>
  <c r="C59" i="40"/>
  <c r="E59" i="40" s="1"/>
  <c r="K70" i="14"/>
  <c r="A71" i="14"/>
  <c r="CE71" i="14" s="1"/>
  <c r="A72" i="14" s="1"/>
  <c r="A23" i="14"/>
  <c r="BE69" i="14"/>
  <c r="BJ69" i="14"/>
  <c r="BC69" i="14"/>
  <c r="U69" i="14"/>
  <c r="AI69" i="14"/>
  <c r="BF69" i="14"/>
  <c r="BB69" i="14"/>
  <c r="AU69" i="14"/>
  <c r="BN69" i="14"/>
  <c r="Y69" i="14"/>
  <c r="BM69" i="14"/>
  <c r="AO69" i="14"/>
  <c r="Z69" i="14"/>
  <c r="AV69" i="14"/>
  <c r="BI69" i="14"/>
  <c r="BL69" i="14"/>
  <c r="AG69" i="14"/>
  <c r="AT69" i="14"/>
  <c r="BA69" i="14"/>
  <c r="R69" i="14"/>
  <c r="AK69" i="14"/>
  <c r="AX69" i="14"/>
  <c r="AC69" i="14"/>
  <c r="AY69" i="14"/>
  <c r="AP69" i="14"/>
  <c r="AW69" i="14"/>
  <c r="S69" i="14"/>
  <c r="AE69" i="14"/>
  <c r="AD69" i="14"/>
  <c r="AJ69" i="14"/>
  <c r="X69" i="14"/>
  <c r="AH69" i="14"/>
  <c r="AA69" i="14"/>
  <c r="AL69" i="14"/>
  <c r="BG69" i="14"/>
  <c r="W69" i="14"/>
  <c r="T69" i="14"/>
  <c r="AZ69" i="14"/>
  <c r="AB69" i="14"/>
  <c r="BH69" i="14"/>
  <c r="BD69" i="14"/>
  <c r="AR69" i="14"/>
  <c r="AS69" i="14"/>
  <c r="AF69" i="14"/>
  <c r="AQ69" i="14"/>
  <c r="BK69" i="14"/>
  <c r="V69" i="14"/>
  <c r="CX69" i="14"/>
  <c r="EI69" i="14"/>
  <c r="EE69" i="14"/>
  <c r="DK69" i="14"/>
  <c r="DE69" i="14"/>
  <c r="ER69" i="14"/>
  <c r="EL69" i="14"/>
  <c r="EG69" i="14"/>
  <c r="DN69" i="14"/>
  <c r="DH69" i="14"/>
  <c r="DW69" i="14"/>
  <c r="ES69" i="14"/>
  <c r="DV69" i="14"/>
  <c r="EO69" i="14"/>
  <c r="EB69" i="14"/>
  <c r="DS69" i="14"/>
  <c r="EQ69" i="14"/>
  <c r="DJ69" i="14"/>
  <c r="DO69" i="14"/>
  <c r="CW69" i="14"/>
  <c r="EH69" i="14"/>
  <c r="CV69" i="14"/>
  <c r="DX69" i="14"/>
  <c r="DC69" i="14"/>
  <c r="BO69" i="14"/>
  <c r="G69" i="14" s="1"/>
  <c r="EM69" i="14"/>
  <c r="DZ69" i="14"/>
  <c r="DI69" i="14"/>
  <c r="EC69" i="14"/>
  <c r="DL69" i="14"/>
  <c r="DY69" i="14"/>
  <c r="EJ69" i="14"/>
  <c r="DB69" i="14"/>
  <c r="EA69" i="14"/>
  <c r="EK69" i="14"/>
  <c r="EF69" i="14"/>
  <c r="DM69" i="14"/>
  <c r="EP69" i="14"/>
  <c r="EN69" i="14"/>
  <c r="DA69" i="14"/>
  <c r="CY69" i="14"/>
  <c r="DG69" i="14"/>
  <c r="DT69" i="14"/>
  <c r="CZ69" i="14"/>
  <c r="DQ69" i="14"/>
  <c r="DP69" i="14"/>
  <c r="DU69" i="14"/>
  <c r="ED69" i="14"/>
  <c r="DD69" i="14"/>
  <c r="DF69" i="14"/>
  <c r="B59" i="40"/>
  <c r="BT70" i="14"/>
  <c r="BU70" i="14"/>
  <c r="AL206" i="10"/>
  <c r="B207" i="10"/>
  <c r="O207" i="10" s="1"/>
  <c r="B171" i="39" s="1"/>
  <c r="BQ215" i="10"/>
  <c r="A214" i="10"/>
  <c r="BO213" i="10"/>
  <c r="CG213" i="10"/>
  <c r="BW208" i="10"/>
  <c r="CH208" i="10"/>
  <c r="EF208" i="10"/>
  <c r="C33" i="34"/>
  <c r="D34" i="34" s="1"/>
  <c r="B38" i="23"/>
  <c r="AG38" i="23"/>
  <c r="AD37" i="23"/>
  <c r="V37" i="23"/>
  <c r="O37" i="23"/>
  <c r="S37" i="23"/>
  <c r="Z37" i="23"/>
  <c r="E37" i="23"/>
  <c r="M37" i="23"/>
  <c r="I37" i="23"/>
  <c r="Y37" i="23"/>
  <c r="BN209" i="10"/>
  <c r="BY209" i="10"/>
  <c r="GW84" i="7"/>
  <c r="DD140" i="10"/>
  <c r="GV85" i="7"/>
  <c r="DE143" i="10"/>
  <c r="GU85" i="7"/>
  <c r="G64" i="24"/>
  <c r="N47" i="24"/>
  <c r="G209" i="10"/>
  <c r="BX209" i="10"/>
  <c r="C208" i="10"/>
  <c r="F209" i="10"/>
  <c r="CE45" i="14" l="1"/>
  <c r="GX84" i="7"/>
  <c r="AE53" i="28"/>
  <c r="AU45" i="14"/>
  <c r="BH45" i="14"/>
  <c r="AX45" i="14"/>
  <c r="O206" i="10"/>
  <c r="B170" i="39" s="1"/>
  <c r="BM45" i="14"/>
  <c r="BI45" i="14"/>
  <c r="CK206" i="10"/>
  <c r="BR206" i="10"/>
  <c r="AY45" i="14"/>
  <c r="BG45" i="14"/>
  <c r="BN45" i="14"/>
  <c r="AP45" i="14"/>
  <c r="AW45" i="14"/>
  <c r="AS45" i="14"/>
  <c r="BL45" i="14"/>
  <c r="BF45" i="14"/>
  <c r="BA45" i="14"/>
  <c r="BD45" i="14"/>
  <c r="BK45" i="14"/>
  <c r="AV45" i="14"/>
  <c r="AQ45" i="14"/>
  <c r="BJ45" i="14"/>
  <c r="BB45" i="14"/>
  <c r="AT45" i="14"/>
  <c r="AZ45" i="14"/>
  <c r="BE45" i="14"/>
  <c r="AO45" i="14"/>
  <c r="CN206" i="10"/>
  <c r="AR45" i="14"/>
  <c r="BC45" i="14"/>
  <c r="CM44" i="14"/>
  <c r="B44" i="14" s="1"/>
  <c r="M44" i="14" s="1"/>
  <c r="U49" i="24"/>
  <c r="V49" i="24" s="1"/>
  <c r="N96" i="24"/>
  <c r="I96" i="24"/>
  <c r="C33" i="40"/>
  <c r="K43" i="14"/>
  <c r="CM17" i="14"/>
  <c r="B17" i="14" s="1"/>
  <c r="O40" i="22"/>
  <c r="E40" i="22"/>
  <c r="I40" i="22"/>
  <c r="S40" i="22"/>
  <c r="Y40" i="22"/>
  <c r="M40" i="22"/>
  <c r="V40" i="22"/>
  <c r="C32" i="40"/>
  <c r="K42" i="14"/>
  <c r="H65" i="24"/>
  <c r="A65" i="24" s="1"/>
  <c r="B65" i="24"/>
  <c r="R66" i="24"/>
  <c r="S66" i="24" s="1"/>
  <c r="E65" i="24"/>
  <c r="W16" i="14"/>
  <c r="U16" i="14"/>
  <c r="P45" i="14"/>
  <c r="CL45" i="14"/>
  <c r="A35" i="40"/>
  <c r="E35" i="40" s="1"/>
  <c r="BP45" i="14"/>
  <c r="CH45" i="14"/>
  <c r="CI45" i="14" s="1"/>
  <c r="CG45" i="14"/>
  <c r="CB45" i="14"/>
  <c r="BV45" i="14" s="1"/>
  <c r="B41" i="22"/>
  <c r="C45" i="14"/>
  <c r="BQ45" i="14"/>
  <c r="CA45" i="14" s="1"/>
  <c r="BX45" i="14"/>
  <c r="CJ45" i="14"/>
  <c r="CK45" i="14" s="1"/>
  <c r="EM45" i="14"/>
  <c r="DT45" i="14"/>
  <c r="EA45" i="14"/>
  <c r="DF45" i="14"/>
  <c r="D45" i="14"/>
  <c r="EO45" i="14"/>
  <c r="CW45" i="14"/>
  <c r="DC45" i="14"/>
  <c r="DY45" i="14"/>
  <c r="DZ45" i="14"/>
  <c r="DX45" i="14"/>
  <c r="CZ45" i="14"/>
  <c r="BO45" i="14"/>
  <c r="G45" i="14" s="1"/>
  <c r="DS45" i="14"/>
  <c r="DK45" i="14"/>
  <c r="EH45" i="14"/>
  <c r="DV45" i="14"/>
  <c r="DU45" i="14"/>
  <c r="DE45" i="14"/>
  <c r="DQ45" i="14"/>
  <c r="EJ45" i="14"/>
  <c r="DB45" i="14"/>
  <c r="EI45" i="14"/>
  <c r="EK45" i="14"/>
  <c r="EP45" i="14"/>
  <c r="CX45" i="14"/>
  <c r="EC45" i="14"/>
  <c r="DA45" i="14"/>
  <c r="CY45" i="14"/>
  <c r="DL45" i="14"/>
  <c r="DJ45" i="14"/>
  <c r="DI45" i="14"/>
  <c r="DM45" i="14"/>
  <c r="DN45" i="14"/>
  <c r="DP45" i="14"/>
  <c r="DW45" i="14"/>
  <c r="EL45" i="14"/>
  <c r="EE45" i="14"/>
  <c r="DH45" i="14"/>
  <c r="DG45" i="14"/>
  <c r="EG45" i="14"/>
  <c r="EN45" i="14"/>
  <c r="ED45" i="14"/>
  <c r="ER45" i="14"/>
  <c r="ES45" i="14"/>
  <c r="EB45" i="14"/>
  <c r="CV45" i="14"/>
  <c r="EQ45" i="14"/>
  <c r="DO45" i="14"/>
  <c r="DD45" i="14"/>
  <c r="EF45" i="14"/>
  <c r="V97" i="24"/>
  <c r="U98" i="24" s="1"/>
  <c r="J97" i="24"/>
  <c r="P97" i="24"/>
  <c r="L97" i="24"/>
  <c r="K97" i="24"/>
  <c r="B34" i="40"/>
  <c r="BU44" i="14"/>
  <c r="BT44" i="14"/>
  <c r="Z15" i="14"/>
  <c r="T15" i="14"/>
  <c r="X15" i="14"/>
  <c r="AG15" i="14"/>
  <c r="AL15" i="14"/>
  <c r="AB15" i="14"/>
  <c r="AE15" i="14"/>
  <c r="S15" i="14"/>
  <c r="W15" i="14"/>
  <c r="AH15" i="14"/>
  <c r="AA15" i="14"/>
  <c r="R15" i="14"/>
  <c r="AC15" i="14"/>
  <c r="AF15" i="14"/>
  <c r="V15" i="14"/>
  <c r="AK15" i="14"/>
  <c r="AD15" i="14"/>
  <c r="AI15" i="14"/>
  <c r="Y15" i="14"/>
  <c r="AJ15" i="14"/>
  <c r="U15" i="14"/>
  <c r="E14" i="38"/>
  <c r="F14" i="38"/>
  <c r="I13" i="22"/>
  <c r="S13" i="22"/>
  <c r="Y13" i="22"/>
  <c r="V13" i="22"/>
  <c r="E13" i="22"/>
  <c r="O13" i="22"/>
  <c r="M13" i="22"/>
  <c r="AD13" i="22"/>
  <c r="V16" i="14"/>
  <c r="AA16" i="14"/>
  <c r="AF16" i="14"/>
  <c r="R16" i="14"/>
  <c r="Y16" i="14"/>
  <c r="AC16" i="14"/>
  <c r="S16" i="14"/>
  <c r="X16" i="14"/>
  <c r="T16" i="14"/>
  <c r="AL16" i="14"/>
  <c r="AI16" i="14"/>
  <c r="AE16" i="14"/>
  <c r="AB16" i="14"/>
  <c r="AK16" i="14"/>
  <c r="AG16" i="14"/>
  <c r="AJ16" i="14"/>
  <c r="A19" i="14"/>
  <c r="CE19" i="14" s="1"/>
  <c r="L48" i="24"/>
  <c r="J48" i="24"/>
  <c r="P48" i="24"/>
  <c r="I48" i="24" s="1"/>
  <c r="T14" i="14"/>
  <c r="R14" i="14"/>
  <c r="AB14" i="14"/>
  <c r="AA14" i="14"/>
  <c r="V14" i="14"/>
  <c r="AC14" i="14"/>
  <c r="AD14" i="14"/>
  <c r="AF14" i="14"/>
  <c r="S14" i="14"/>
  <c r="U14" i="14"/>
  <c r="AG14" i="14"/>
  <c r="AI14" i="14"/>
  <c r="Z14" i="14"/>
  <c r="AE14" i="14"/>
  <c r="AH14" i="14"/>
  <c r="AK14" i="14"/>
  <c r="X14" i="14"/>
  <c r="Y14" i="14"/>
  <c r="AJ14" i="14"/>
  <c r="W14" i="14"/>
  <c r="AL14" i="14"/>
  <c r="B8" i="40"/>
  <c r="BT17" i="14"/>
  <c r="AH41" i="14"/>
  <c r="AF41" i="14"/>
  <c r="Y41" i="14"/>
  <c r="AJ41" i="14"/>
  <c r="W41" i="14"/>
  <c r="AK41" i="14"/>
  <c r="S41" i="14"/>
  <c r="AG41" i="14"/>
  <c r="AA41" i="14"/>
  <c r="X41" i="14"/>
  <c r="AE41" i="14"/>
  <c r="R41" i="14"/>
  <c r="AC41" i="14"/>
  <c r="AD41" i="14"/>
  <c r="AI41" i="14"/>
  <c r="AB41" i="14"/>
  <c r="AL41" i="14"/>
  <c r="T41" i="14"/>
  <c r="Z41" i="14"/>
  <c r="U41" i="14"/>
  <c r="V41" i="14"/>
  <c r="AH16" i="14"/>
  <c r="AD16" i="14"/>
  <c r="A46" i="14"/>
  <c r="CE46" i="14" s="1"/>
  <c r="BP18" i="14"/>
  <c r="CL18" i="14"/>
  <c r="B14" i="22"/>
  <c r="CG18" i="14"/>
  <c r="BQ18" i="14"/>
  <c r="CA18" i="14" s="1"/>
  <c r="CH18" i="14"/>
  <c r="CI18" i="14" s="1"/>
  <c r="C18" i="14"/>
  <c r="A9" i="40"/>
  <c r="E9" i="40" s="1"/>
  <c r="BX18" i="14"/>
  <c r="P18" i="14"/>
  <c r="CJ18" i="14"/>
  <c r="CK18" i="14" s="1"/>
  <c r="DM18" i="14"/>
  <c r="DX18" i="14"/>
  <c r="DH18" i="14"/>
  <c r="EF18" i="14"/>
  <c r="DD18" i="14"/>
  <c r="DL18" i="14"/>
  <c r="BO18" i="14"/>
  <c r="G18" i="14" s="1"/>
  <c r="DY18" i="14"/>
  <c r="ES18" i="14"/>
  <c r="EJ18" i="14"/>
  <c r="DP18" i="14"/>
  <c r="DW18" i="14"/>
  <c r="DV18" i="14"/>
  <c r="EI18" i="14"/>
  <c r="EQ18" i="14"/>
  <c r="DA18" i="14"/>
  <c r="DN18" i="14"/>
  <c r="CZ18" i="14"/>
  <c r="CV18" i="14"/>
  <c r="EL18" i="14"/>
  <c r="CY18" i="14"/>
  <c r="DF18" i="14"/>
  <c r="DS18" i="14"/>
  <c r="EH18" i="14"/>
  <c r="EB18" i="14"/>
  <c r="ER18" i="14"/>
  <c r="EM18" i="14"/>
  <c r="EN18" i="14"/>
  <c r="DI18" i="14"/>
  <c r="DZ18" i="14"/>
  <c r="DC18" i="14"/>
  <c r="DU18" i="14"/>
  <c r="DE18" i="14"/>
  <c r="EA18" i="14"/>
  <c r="EG18" i="14"/>
  <c r="DJ18" i="14"/>
  <c r="ED18" i="14"/>
  <c r="D18" i="14"/>
  <c r="CW18" i="14"/>
  <c r="DK18" i="14"/>
  <c r="EK18" i="14"/>
  <c r="DO18" i="14"/>
  <c r="DB18" i="14"/>
  <c r="DQ18" i="14"/>
  <c r="EE18" i="14"/>
  <c r="CX18" i="14"/>
  <c r="EP18" i="14"/>
  <c r="EC18" i="14"/>
  <c r="DT18" i="14"/>
  <c r="DG18" i="14"/>
  <c r="EO18" i="14"/>
  <c r="BD18" i="14"/>
  <c r="BE18" i="14"/>
  <c r="AX18" i="14"/>
  <c r="BC18" i="14"/>
  <c r="AY18" i="14"/>
  <c r="BL18" i="14"/>
  <c r="AU18" i="14"/>
  <c r="AP18" i="14"/>
  <c r="BF18" i="14"/>
  <c r="AS18" i="14"/>
  <c r="BH18" i="14"/>
  <c r="AW18" i="14"/>
  <c r="BI18" i="14"/>
  <c r="BM18" i="14"/>
  <c r="AR18" i="14"/>
  <c r="AT18" i="14"/>
  <c r="BA18" i="14"/>
  <c r="BJ18" i="14"/>
  <c r="AZ18" i="14"/>
  <c r="BB18" i="14"/>
  <c r="BN18" i="14"/>
  <c r="BK18" i="14"/>
  <c r="AO18" i="14"/>
  <c r="AQ18" i="14"/>
  <c r="BG18" i="14"/>
  <c r="AV18" i="14"/>
  <c r="F17" i="42"/>
  <c r="E17" i="42"/>
  <c r="A16" i="42"/>
  <c r="B16" i="42" s="1"/>
  <c r="C16" i="42"/>
  <c r="CC48" i="14"/>
  <c r="BR48" i="14"/>
  <c r="C48" i="33"/>
  <c r="FM38" i="7" s="1"/>
  <c r="FN38" i="7" s="1"/>
  <c r="FE38" i="7" s="1"/>
  <c r="FF38" i="7" s="1"/>
  <c r="AC48" i="33"/>
  <c r="AL48" i="33"/>
  <c r="B48" i="33"/>
  <c r="FM188" i="7"/>
  <c r="FN188" i="7" s="1"/>
  <c r="FE188" i="7" s="1"/>
  <c r="FF188" i="7" s="1"/>
  <c r="FM157" i="7"/>
  <c r="FN157" i="7" s="1"/>
  <c r="FE157" i="7" s="1"/>
  <c r="FF157" i="7" s="1"/>
  <c r="FM165" i="7"/>
  <c r="FN165" i="7" s="1"/>
  <c r="FM176" i="7"/>
  <c r="FN176" i="7" s="1"/>
  <c r="FE176" i="7" s="1"/>
  <c r="FF176" i="7" s="1"/>
  <c r="FM101" i="7"/>
  <c r="FN101" i="7" s="1"/>
  <c r="FE101" i="7" s="1"/>
  <c r="FM115" i="7"/>
  <c r="FN115" i="7" s="1"/>
  <c r="FE115" i="7" s="1"/>
  <c r="FF115" i="7" s="1"/>
  <c r="FM70" i="7"/>
  <c r="FN70" i="7" s="1"/>
  <c r="FE70" i="7" s="1"/>
  <c r="FF70" i="7" s="1"/>
  <c r="FM48" i="7"/>
  <c r="FN48" i="7" s="1"/>
  <c r="FE48" i="7" s="1"/>
  <c r="FF48" i="7" s="1"/>
  <c r="FM51" i="7"/>
  <c r="FN51" i="7" s="1"/>
  <c r="FE51" i="7" s="1"/>
  <c r="FF51" i="7" s="1"/>
  <c r="FM152" i="7"/>
  <c r="FN152" i="7" s="1"/>
  <c r="FE152" i="7" s="1"/>
  <c r="FF152" i="7" s="1"/>
  <c r="FM184" i="7"/>
  <c r="FN184" i="7" s="1"/>
  <c r="FE184" i="7" s="1"/>
  <c r="FF184" i="7" s="1"/>
  <c r="FM172" i="7"/>
  <c r="FN172" i="7" s="1"/>
  <c r="FE172" i="7" s="1"/>
  <c r="FF172" i="7" s="1"/>
  <c r="FM196" i="7"/>
  <c r="FN196" i="7" s="1"/>
  <c r="FE196" i="7" s="1"/>
  <c r="FF196" i="7" s="1"/>
  <c r="FM131" i="7"/>
  <c r="FN131" i="7" s="1"/>
  <c r="FE131" i="7" s="1"/>
  <c r="FF131" i="7" s="1"/>
  <c r="FM167" i="7"/>
  <c r="FN167" i="7" s="1"/>
  <c r="FE167" i="7" s="1"/>
  <c r="FF167" i="7" s="1"/>
  <c r="FM89" i="7"/>
  <c r="FN89" i="7" s="1"/>
  <c r="FE89" i="7" s="1"/>
  <c r="FF89" i="7" s="1"/>
  <c r="FM92" i="7"/>
  <c r="FN92" i="7" s="1"/>
  <c r="FE92" i="7" s="1"/>
  <c r="FF92" i="7" s="1"/>
  <c r="FM78" i="7"/>
  <c r="FN78" i="7" s="1"/>
  <c r="FE78" i="7" s="1"/>
  <c r="FF78" i="7" s="1"/>
  <c r="FM193" i="7"/>
  <c r="FN193" i="7" s="1"/>
  <c r="FE193" i="7" s="1"/>
  <c r="FF193" i="7" s="1"/>
  <c r="FM109" i="7"/>
  <c r="FN109" i="7" s="1"/>
  <c r="FE109" i="7" s="1"/>
  <c r="FF109" i="7" s="1"/>
  <c r="FM140" i="7"/>
  <c r="FN140" i="7" s="1"/>
  <c r="FE140" i="7" s="1"/>
  <c r="FF140" i="7" s="1"/>
  <c r="FM164" i="7"/>
  <c r="FN164" i="7" s="1"/>
  <c r="FM179" i="7"/>
  <c r="FN179" i="7" s="1"/>
  <c r="FE179" i="7" s="1"/>
  <c r="FF179" i="7" s="1"/>
  <c r="FM194" i="7"/>
  <c r="FN194" i="7" s="1"/>
  <c r="FE194" i="7" s="1"/>
  <c r="FF194" i="7" s="1"/>
  <c r="FM170" i="7"/>
  <c r="FN170" i="7" s="1"/>
  <c r="FE170" i="7" s="1"/>
  <c r="FF170" i="7" s="1"/>
  <c r="FM60" i="7"/>
  <c r="FN60" i="7" s="1"/>
  <c r="FE60" i="7" s="1"/>
  <c r="FF60" i="7" s="1"/>
  <c r="FM68" i="7"/>
  <c r="FN68" i="7" s="1"/>
  <c r="FE68" i="7" s="1"/>
  <c r="FF68" i="7" s="1"/>
  <c r="FM145" i="7"/>
  <c r="FN145" i="7" s="1"/>
  <c r="FE145" i="7" s="1"/>
  <c r="FF145" i="7" s="1"/>
  <c r="FM163" i="7"/>
  <c r="FN163" i="7" s="1"/>
  <c r="FM144" i="7"/>
  <c r="FN144" i="7" s="1"/>
  <c r="FE144" i="7" s="1"/>
  <c r="FF144" i="7" s="1"/>
  <c r="FM130" i="7"/>
  <c r="FN130" i="7" s="1"/>
  <c r="FE130" i="7" s="1"/>
  <c r="FF130" i="7" s="1"/>
  <c r="FM106" i="7"/>
  <c r="FN106" i="7" s="1"/>
  <c r="FE106" i="7" s="1"/>
  <c r="FF106" i="7" s="1"/>
  <c r="FM169" i="7"/>
  <c r="FN169" i="7" s="1"/>
  <c r="FE169" i="7" s="1"/>
  <c r="FF169" i="7" s="1"/>
  <c r="FM155" i="7"/>
  <c r="FN155" i="7" s="1"/>
  <c r="FE155" i="7" s="1"/>
  <c r="FF155" i="7" s="1"/>
  <c r="FM87" i="7"/>
  <c r="FN87" i="7" s="1"/>
  <c r="FE87" i="7" s="1"/>
  <c r="FF87" i="7" s="1"/>
  <c r="FM71" i="7"/>
  <c r="FN71" i="7" s="1"/>
  <c r="FE71" i="7" s="1"/>
  <c r="FF71" i="7" s="1"/>
  <c r="FM126" i="7"/>
  <c r="FN126" i="7" s="1"/>
  <c r="FM159" i="7"/>
  <c r="FN159" i="7" s="1"/>
  <c r="FE159" i="7" s="1"/>
  <c r="FF159" i="7" s="1"/>
  <c r="FM185" i="7"/>
  <c r="FN185" i="7" s="1"/>
  <c r="FE185" i="7" s="1"/>
  <c r="FF185" i="7" s="1"/>
  <c r="FM132" i="7"/>
  <c r="FN132" i="7" s="1"/>
  <c r="FE132" i="7" s="1"/>
  <c r="FF132" i="7" s="1"/>
  <c r="FM113" i="7"/>
  <c r="FN113" i="7" s="1"/>
  <c r="FE113" i="7" s="1"/>
  <c r="FF113" i="7" s="1"/>
  <c r="FM186" i="7"/>
  <c r="FN186" i="7" s="1"/>
  <c r="FE186" i="7" s="1"/>
  <c r="FM62" i="7"/>
  <c r="FN62" i="7" s="1"/>
  <c r="FE62" i="7" s="1"/>
  <c r="FF62" i="7" s="1"/>
  <c r="FM67" i="7"/>
  <c r="FN67" i="7" s="1"/>
  <c r="FE67" i="7" s="1"/>
  <c r="FF67" i="7" s="1"/>
  <c r="FM91" i="7"/>
  <c r="FN91" i="7" s="1"/>
  <c r="FE91" i="7" s="1"/>
  <c r="FF91" i="7" s="1"/>
  <c r="FM133" i="7"/>
  <c r="FN133" i="7" s="1"/>
  <c r="FE133" i="7" s="1"/>
  <c r="FF133" i="7" s="1"/>
  <c r="FM143" i="7"/>
  <c r="FN143" i="7" s="1"/>
  <c r="FE143" i="7" s="1"/>
  <c r="FF143" i="7" s="1"/>
  <c r="FM117" i="7"/>
  <c r="FN117" i="7" s="1"/>
  <c r="FE117" i="7" s="1"/>
  <c r="FF117" i="7" s="1"/>
  <c r="FM149" i="7"/>
  <c r="FN149" i="7" s="1"/>
  <c r="FE149" i="7" s="1"/>
  <c r="FF149" i="7" s="1"/>
  <c r="FM168" i="7"/>
  <c r="FN168" i="7" s="1"/>
  <c r="FE168" i="7" s="1"/>
  <c r="FF168" i="7" s="1"/>
  <c r="FM173" i="7"/>
  <c r="FN173" i="7" s="1"/>
  <c r="FE173" i="7" s="1"/>
  <c r="FF173" i="7" s="1"/>
  <c r="FM76" i="7"/>
  <c r="FN76" i="7" s="1"/>
  <c r="FE76" i="7" s="1"/>
  <c r="FF76" i="7" s="1"/>
  <c r="FM65" i="7"/>
  <c r="FN65" i="7" s="1"/>
  <c r="FE65" i="7" s="1"/>
  <c r="FF65" i="7" s="1"/>
  <c r="FM90" i="7"/>
  <c r="FN90" i="7" s="1"/>
  <c r="FE90" i="7" s="1"/>
  <c r="FF90" i="7" s="1"/>
  <c r="FM43" i="7"/>
  <c r="FN43" i="7" s="1"/>
  <c r="FE43" i="7" s="1"/>
  <c r="FF43" i="7" s="1"/>
  <c r="FM178" i="7"/>
  <c r="FN178" i="7" s="1"/>
  <c r="FE178" i="7" s="1"/>
  <c r="FF178" i="7" s="1"/>
  <c r="FM175" i="7"/>
  <c r="FN175" i="7" s="1"/>
  <c r="FE175" i="7" s="1"/>
  <c r="FF175" i="7" s="1"/>
  <c r="FM128" i="7"/>
  <c r="FN128" i="7" s="1"/>
  <c r="FE128" i="7" s="1"/>
  <c r="FF128" i="7" s="1"/>
  <c r="FM96" i="7"/>
  <c r="FN96" i="7" s="1"/>
  <c r="FE96" i="7" s="1"/>
  <c r="FF96" i="7" s="1"/>
  <c r="FM174" i="7"/>
  <c r="FN174" i="7" s="1"/>
  <c r="FE174" i="7" s="1"/>
  <c r="FF174" i="7" s="1"/>
  <c r="FM122" i="7"/>
  <c r="FN122" i="7" s="1"/>
  <c r="FE122" i="7" s="1"/>
  <c r="FF122" i="7" s="1"/>
  <c r="FM46" i="7"/>
  <c r="FN46" i="7" s="1"/>
  <c r="FE46" i="7" s="1"/>
  <c r="FF46" i="7" s="1"/>
  <c r="FM42" i="7"/>
  <c r="FN42" i="7" s="1"/>
  <c r="FE42" i="7" s="1"/>
  <c r="FF42" i="7" s="1"/>
  <c r="FM59" i="7"/>
  <c r="FN59" i="7" s="1"/>
  <c r="FE59" i="7" s="1"/>
  <c r="FF59" i="7" s="1"/>
  <c r="FM192" i="7"/>
  <c r="FN192" i="7" s="1"/>
  <c r="FE192" i="7" s="1"/>
  <c r="FF192" i="7" s="1"/>
  <c r="FM139" i="7"/>
  <c r="FN139" i="7" s="1"/>
  <c r="FE139" i="7" s="1"/>
  <c r="FF139" i="7" s="1"/>
  <c r="FM118" i="7"/>
  <c r="FN118" i="7" s="1"/>
  <c r="FE118" i="7" s="1"/>
  <c r="FF118" i="7" s="1"/>
  <c r="FM127" i="7"/>
  <c r="FN127" i="7" s="1"/>
  <c r="FE127" i="7" s="1"/>
  <c r="FF127" i="7" s="1"/>
  <c r="FM104" i="7"/>
  <c r="FN104" i="7" s="1"/>
  <c r="FE104" i="7" s="1"/>
  <c r="FF104" i="7" s="1"/>
  <c r="FM107" i="7"/>
  <c r="FN107" i="7" s="1"/>
  <c r="FE107" i="7" s="1"/>
  <c r="FF107" i="7" s="1"/>
  <c r="FM64" i="7"/>
  <c r="FN64" i="7" s="1"/>
  <c r="FE64" i="7" s="1"/>
  <c r="FF64" i="7" s="1"/>
  <c r="FM54" i="7"/>
  <c r="FN54" i="7" s="1"/>
  <c r="FE54" i="7" s="1"/>
  <c r="FF54" i="7" s="1"/>
  <c r="FM85" i="7"/>
  <c r="FN85" i="7" s="1"/>
  <c r="FE85" i="7" s="1"/>
  <c r="FF85" i="7" s="1"/>
  <c r="FM105" i="7"/>
  <c r="FN105" i="7" s="1"/>
  <c r="FE105" i="7" s="1"/>
  <c r="FF105" i="7" s="1"/>
  <c r="FM99" i="7"/>
  <c r="FN99" i="7" s="1"/>
  <c r="FE99" i="7" s="1"/>
  <c r="FF99" i="7" s="1"/>
  <c r="FM162" i="7"/>
  <c r="FN162" i="7" s="1"/>
  <c r="FE162" i="7" s="1"/>
  <c r="FF162" i="7" s="1"/>
  <c r="FM147" i="7"/>
  <c r="FN147" i="7" s="1"/>
  <c r="FE147" i="7" s="1"/>
  <c r="FF147" i="7" s="1"/>
  <c r="FM161" i="7"/>
  <c r="FN161" i="7" s="1"/>
  <c r="FE161" i="7" s="1"/>
  <c r="FF161" i="7" s="1"/>
  <c r="FM146" i="7"/>
  <c r="FN146" i="7" s="1"/>
  <c r="FE146" i="7" s="1"/>
  <c r="FF146" i="7" s="1"/>
  <c r="FM86" i="7"/>
  <c r="FN86" i="7" s="1"/>
  <c r="FE86" i="7" s="1"/>
  <c r="FF86" i="7" s="1"/>
  <c r="FM83" i="7"/>
  <c r="FN83" i="7" s="1"/>
  <c r="FE83" i="7" s="1"/>
  <c r="FF83" i="7" s="1"/>
  <c r="FM80" i="7"/>
  <c r="FN80" i="7" s="1"/>
  <c r="FE80" i="7" s="1"/>
  <c r="FF80" i="7" s="1"/>
  <c r="FM88" i="7"/>
  <c r="FN88" i="7" s="1"/>
  <c r="FE88" i="7" s="1"/>
  <c r="FF88" i="7" s="1"/>
  <c r="FM95" i="7"/>
  <c r="FN95" i="7" s="1"/>
  <c r="FE95" i="7" s="1"/>
  <c r="FF95" i="7" s="1"/>
  <c r="FM141" i="7"/>
  <c r="FN141" i="7" s="1"/>
  <c r="FE141" i="7" s="1"/>
  <c r="FF141" i="7" s="1"/>
  <c r="FM110" i="7"/>
  <c r="FN110" i="7" s="1"/>
  <c r="FE110" i="7" s="1"/>
  <c r="FF110" i="7" s="1"/>
  <c r="FM180" i="7"/>
  <c r="FN180" i="7" s="1"/>
  <c r="FE180" i="7" s="1"/>
  <c r="FF180" i="7" s="1"/>
  <c r="FM183" i="7"/>
  <c r="FN183" i="7" s="1"/>
  <c r="FE183" i="7" s="1"/>
  <c r="FF183" i="7" s="1"/>
  <c r="FM160" i="7"/>
  <c r="FN160" i="7" s="1"/>
  <c r="FE160" i="7" s="1"/>
  <c r="FF160" i="7" s="1"/>
  <c r="FM55" i="7"/>
  <c r="FN55" i="7" s="1"/>
  <c r="FE55" i="7" s="1"/>
  <c r="FF55" i="7" s="1"/>
  <c r="FM79" i="7"/>
  <c r="FN79" i="7" s="1"/>
  <c r="FE79" i="7" s="1"/>
  <c r="FF79" i="7" s="1"/>
  <c r="FM50" i="7"/>
  <c r="FN50" i="7" s="1"/>
  <c r="FE50" i="7" s="1"/>
  <c r="FF50" i="7" s="1"/>
  <c r="FM81" i="7"/>
  <c r="FN81" i="7" s="1"/>
  <c r="FE81" i="7" s="1"/>
  <c r="FF81" i="7" s="1"/>
  <c r="FM158" i="7"/>
  <c r="FN158" i="7" s="1"/>
  <c r="FE158" i="7" s="1"/>
  <c r="FF158" i="7" s="1"/>
  <c r="FM129" i="7"/>
  <c r="FN129" i="7" s="1"/>
  <c r="FE129" i="7" s="1"/>
  <c r="FF129" i="7" s="1"/>
  <c r="FM171" i="7"/>
  <c r="FN171" i="7" s="1"/>
  <c r="FE171" i="7" s="1"/>
  <c r="FF171" i="7" s="1"/>
  <c r="FM108" i="7"/>
  <c r="FN108" i="7" s="1"/>
  <c r="FE108" i="7" s="1"/>
  <c r="FF108" i="7" s="1"/>
  <c r="FM100" i="7"/>
  <c r="FN100" i="7" s="1"/>
  <c r="FE100" i="7" s="1"/>
  <c r="FF100" i="7" s="1"/>
  <c r="FM195" i="7"/>
  <c r="FN195" i="7" s="1"/>
  <c r="FE195" i="7" s="1"/>
  <c r="FF195" i="7" s="1"/>
  <c r="FM45" i="7"/>
  <c r="FN45" i="7" s="1"/>
  <c r="FE45" i="7" s="1"/>
  <c r="FF45" i="7" s="1"/>
  <c r="FM75" i="7"/>
  <c r="FN75" i="7" s="1"/>
  <c r="FE75" i="7" s="1"/>
  <c r="FF75" i="7" s="1"/>
  <c r="FM69" i="7"/>
  <c r="FN69" i="7" s="1"/>
  <c r="FE69" i="7" s="1"/>
  <c r="FF69" i="7" s="1"/>
  <c r="FM82" i="7"/>
  <c r="FN82" i="7" s="1"/>
  <c r="FE82" i="7" s="1"/>
  <c r="FF82" i="7" s="1"/>
  <c r="FM116" i="7"/>
  <c r="FN116" i="7" s="1"/>
  <c r="FE116" i="7" s="1"/>
  <c r="FF116" i="7" s="1"/>
  <c r="FM97" i="7"/>
  <c r="FN97" i="7" s="1"/>
  <c r="FE97" i="7" s="1"/>
  <c r="FF97" i="7" s="1"/>
  <c r="FM112" i="7"/>
  <c r="FN112" i="7" s="1"/>
  <c r="FE112" i="7" s="1"/>
  <c r="FF112" i="7" s="1"/>
  <c r="FM136" i="7"/>
  <c r="FN136" i="7" s="1"/>
  <c r="FE136" i="7" s="1"/>
  <c r="FF136" i="7" s="1"/>
  <c r="FM182" i="7"/>
  <c r="FN182" i="7" s="1"/>
  <c r="FE182" i="7" s="1"/>
  <c r="FF182" i="7" s="1"/>
  <c r="FM156" i="7"/>
  <c r="FN156" i="7" s="1"/>
  <c r="FE156" i="7" s="1"/>
  <c r="FF156" i="7" s="1"/>
  <c r="FM61" i="7"/>
  <c r="FN61" i="7" s="1"/>
  <c r="FE61" i="7" s="1"/>
  <c r="FF61" i="7" s="1"/>
  <c r="FM47" i="7"/>
  <c r="FN47" i="7" s="1"/>
  <c r="FE47" i="7" s="1"/>
  <c r="FF47" i="7" s="1"/>
  <c r="FM72" i="7"/>
  <c r="FN72" i="7" s="1"/>
  <c r="FE72" i="7" s="1"/>
  <c r="FF72" i="7" s="1"/>
  <c r="FM187" i="7"/>
  <c r="FN187" i="7" s="1"/>
  <c r="FE187" i="7" s="1"/>
  <c r="FF187" i="7" s="1"/>
  <c r="FM150" i="7"/>
  <c r="FN150" i="7" s="1"/>
  <c r="FE150" i="7" s="1"/>
  <c r="FF150" i="7" s="1"/>
  <c r="FM148" i="7"/>
  <c r="FN148" i="7" s="1"/>
  <c r="FE148" i="7" s="1"/>
  <c r="FF148" i="7" s="1"/>
  <c r="FM177" i="7"/>
  <c r="FN177" i="7" s="1"/>
  <c r="FE177" i="7" s="1"/>
  <c r="FF177" i="7" s="1"/>
  <c r="FM154" i="7"/>
  <c r="FN154" i="7" s="1"/>
  <c r="FE154" i="7" s="1"/>
  <c r="FF154" i="7" s="1"/>
  <c r="FM93" i="7"/>
  <c r="FN93" i="7" s="1"/>
  <c r="FE93" i="7" s="1"/>
  <c r="FF93" i="7" s="1"/>
  <c r="FM52" i="7"/>
  <c r="FN52" i="7" s="1"/>
  <c r="FE52" i="7" s="1"/>
  <c r="FF52" i="7" s="1"/>
  <c r="FM53" i="7"/>
  <c r="FN53" i="7" s="1"/>
  <c r="FE53" i="7" s="1"/>
  <c r="FF53" i="7" s="1"/>
  <c r="FM49" i="7"/>
  <c r="FN49" i="7" s="1"/>
  <c r="FE49" i="7" s="1"/>
  <c r="FF49" i="7" s="1"/>
  <c r="FM111" i="7"/>
  <c r="FN111" i="7" s="1"/>
  <c r="FE111" i="7" s="1"/>
  <c r="FF111" i="7" s="1"/>
  <c r="FM142" i="7"/>
  <c r="FN142" i="7" s="1"/>
  <c r="FE142" i="7" s="1"/>
  <c r="FF142" i="7" s="1"/>
  <c r="FM98" i="7"/>
  <c r="FN98" i="7" s="1"/>
  <c r="FE98" i="7" s="1"/>
  <c r="FF98" i="7" s="1"/>
  <c r="FM123" i="7"/>
  <c r="FN123" i="7" s="1"/>
  <c r="FE123" i="7" s="1"/>
  <c r="FF123" i="7" s="1"/>
  <c r="FM121" i="7"/>
  <c r="FN121" i="7" s="1"/>
  <c r="FE121" i="7" s="1"/>
  <c r="FF121" i="7" s="1"/>
  <c r="FM119" i="7"/>
  <c r="FN119" i="7" s="1"/>
  <c r="FE119" i="7" s="1"/>
  <c r="FF119" i="7" s="1"/>
  <c r="FM57" i="7"/>
  <c r="FN57" i="7" s="1"/>
  <c r="FE57" i="7" s="1"/>
  <c r="FF57" i="7" s="1"/>
  <c r="FM63" i="7"/>
  <c r="FN63" i="7" s="1"/>
  <c r="FE63" i="7" s="1"/>
  <c r="FF63" i="7" s="1"/>
  <c r="FM77" i="7"/>
  <c r="FN77" i="7" s="1"/>
  <c r="FE77" i="7" s="1"/>
  <c r="FF77" i="7" s="1"/>
  <c r="FM84" i="7"/>
  <c r="FN84" i="7" s="1"/>
  <c r="FE84" i="7" s="1"/>
  <c r="FF84" i="7" s="1"/>
  <c r="FM135" i="7"/>
  <c r="FN135" i="7" s="1"/>
  <c r="FE135" i="7" s="1"/>
  <c r="FF135" i="7" s="1"/>
  <c r="FM134" i="7"/>
  <c r="FN134" i="7" s="1"/>
  <c r="FE134" i="7" s="1"/>
  <c r="FF134" i="7" s="1"/>
  <c r="FM153" i="7"/>
  <c r="FN153" i="7" s="1"/>
  <c r="FE153" i="7" s="1"/>
  <c r="FF153" i="7" s="1"/>
  <c r="FM137" i="7"/>
  <c r="FN137" i="7" s="1"/>
  <c r="FE137" i="7" s="1"/>
  <c r="FF137" i="7" s="1"/>
  <c r="FM120" i="7"/>
  <c r="FN120" i="7" s="1"/>
  <c r="FE120" i="7" s="1"/>
  <c r="FF120" i="7" s="1"/>
  <c r="FM191" i="7"/>
  <c r="FN191" i="7" s="1"/>
  <c r="FE191" i="7" s="1"/>
  <c r="FF191" i="7" s="1"/>
  <c r="FM56" i="7"/>
  <c r="FN56" i="7" s="1"/>
  <c r="FE56" i="7" s="1"/>
  <c r="FF56" i="7" s="1"/>
  <c r="FM74" i="7"/>
  <c r="FN74" i="7" s="1"/>
  <c r="FE74" i="7" s="1"/>
  <c r="FF74" i="7" s="1"/>
  <c r="FM44" i="7"/>
  <c r="FN44" i="7" s="1"/>
  <c r="FE44" i="7" s="1"/>
  <c r="FF44" i="7" s="1"/>
  <c r="FM73" i="7"/>
  <c r="FN73" i="7" s="1"/>
  <c r="FE73" i="7" s="1"/>
  <c r="FF73" i="7" s="1"/>
  <c r="FM151" i="7"/>
  <c r="FN151" i="7" s="1"/>
  <c r="FE151" i="7" s="1"/>
  <c r="FF151" i="7" s="1"/>
  <c r="FM66" i="7"/>
  <c r="FN66" i="7" s="1"/>
  <c r="FE66" i="7" s="1"/>
  <c r="FF66" i="7" s="1"/>
  <c r="FM138" i="7"/>
  <c r="FN138" i="7" s="1"/>
  <c r="FM166" i="7"/>
  <c r="FN166" i="7" s="1"/>
  <c r="FE166" i="7" s="1"/>
  <c r="FF166" i="7" s="1"/>
  <c r="FM181" i="7"/>
  <c r="FN181" i="7" s="1"/>
  <c r="FE181" i="7" s="1"/>
  <c r="FF181" i="7" s="1"/>
  <c r="FM114" i="7"/>
  <c r="FN114" i="7" s="1"/>
  <c r="FE114" i="7" s="1"/>
  <c r="FF114" i="7" s="1"/>
  <c r="FM41" i="7"/>
  <c r="FN41" i="7" s="1"/>
  <c r="FE41" i="7" s="1"/>
  <c r="FF41" i="7" s="1"/>
  <c r="FM58" i="7"/>
  <c r="FN58" i="7" s="1"/>
  <c r="FE58" i="7" s="1"/>
  <c r="FF58" i="7" s="1"/>
  <c r="AE46" i="33"/>
  <c r="Y46" i="33"/>
  <c r="AB46" i="33"/>
  <c r="J16" i="33"/>
  <c r="AA16" i="33"/>
  <c r="Z16" i="33"/>
  <c r="AD16" i="33"/>
  <c r="AD47" i="33"/>
  <c r="Z47" i="33"/>
  <c r="AA47" i="33"/>
  <c r="J47" i="33"/>
  <c r="Z42" i="33"/>
  <c r="AA42" i="33"/>
  <c r="AD42" i="33"/>
  <c r="J42" i="33"/>
  <c r="C49" i="33"/>
  <c r="FM39" i="7" s="1"/>
  <c r="FN39" i="7" s="1"/>
  <c r="FE39" i="7" s="1"/>
  <c r="FF39" i="7" s="1"/>
  <c r="AC49" i="33"/>
  <c r="AL49" i="33"/>
  <c r="B49" i="33"/>
  <c r="AR31" i="3"/>
  <c r="AR30" i="3" s="1"/>
  <c r="AB53" i="28"/>
  <c r="AH53" i="28"/>
  <c r="A55" i="28"/>
  <c r="Z55" i="28"/>
  <c r="C54" i="28"/>
  <c r="AB54" i="28" s="1"/>
  <c r="AD54" i="28"/>
  <c r="Q54" i="28"/>
  <c r="R54" i="28" s="1"/>
  <c r="B54" i="28"/>
  <c r="P54" i="28"/>
  <c r="T54" i="28"/>
  <c r="S54" i="28" s="1"/>
  <c r="H54" i="28"/>
  <c r="AC54" i="28"/>
  <c r="O54" i="28"/>
  <c r="AG54" i="28"/>
  <c r="X53" i="28"/>
  <c r="CE72" i="14"/>
  <c r="A73" i="14" s="1"/>
  <c r="CE73" i="14" s="1"/>
  <c r="A74" i="14" s="1"/>
  <c r="A61" i="40"/>
  <c r="P72" i="14"/>
  <c r="BX72" i="14"/>
  <c r="B72" i="14"/>
  <c r="M72" i="14" s="1"/>
  <c r="C61" i="40" s="1"/>
  <c r="E61" i="40" s="1"/>
  <c r="BP72" i="14"/>
  <c r="C72" i="14"/>
  <c r="B61" i="40" s="1"/>
  <c r="BQ72" i="14"/>
  <c r="CB72" i="14"/>
  <c r="BV72" i="14" s="1"/>
  <c r="CG72" i="14"/>
  <c r="DQ23" i="14"/>
  <c r="DU23" i="14"/>
  <c r="DD23" i="14"/>
  <c r="B19" i="22"/>
  <c r="EB23" i="14"/>
  <c r="EO23" i="14"/>
  <c r="DT23" i="14"/>
  <c r="AR23" i="14"/>
  <c r="CW23" i="14"/>
  <c r="AO23" i="14"/>
  <c r="AU23" i="14"/>
  <c r="BB23" i="14"/>
  <c r="DB23" i="14"/>
  <c r="AQ23" i="14"/>
  <c r="EQ23" i="14"/>
  <c r="EF23" i="14"/>
  <c r="EE23" i="14"/>
  <c r="AY23" i="14"/>
  <c r="ED23" i="14"/>
  <c r="DH23" i="14"/>
  <c r="EL23" i="14"/>
  <c r="B23" i="14"/>
  <c r="M23" i="14" s="1"/>
  <c r="C14" i="40" s="1"/>
  <c r="CJ23" i="14"/>
  <c r="CK23" i="14" s="1"/>
  <c r="EA23" i="14"/>
  <c r="DC23" i="14"/>
  <c r="DZ23" i="14"/>
  <c r="BK23" i="14"/>
  <c r="EJ23" i="14"/>
  <c r="CV23" i="14"/>
  <c r="EI23" i="14"/>
  <c r="AP23" i="14"/>
  <c r="CL23" i="14"/>
  <c r="AV23" i="14"/>
  <c r="BM23" i="14"/>
  <c r="EC23" i="14"/>
  <c r="BN23" i="14"/>
  <c r="BJ23" i="14"/>
  <c r="A14" i="40"/>
  <c r="E14" i="40" s="1"/>
  <c r="CX23" i="14"/>
  <c r="BH23" i="14"/>
  <c r="CY23" i="14"/>
  <c r="DX23" i="14"/>
  <c r="BA23" i="14"/>
  <c r="G23" i="14"/>
  <c r="BF23" i="14"/>
  <c r="BG23" i="14"/>
  <c r="AW23" i="14"/>
  <c r="DN23" i="14"/>
  <c r="EN23" i="14"/>
  <c r="BP23" i="14"/>
  <c r="AS23" i="14"/>
  <c r="P23" i="14"/>
  <c r="EH23" i="14"/>
  <c r="DF23" i="14"/>
  <c r="CZ23" i="14"/>
  <c r="DA23" i="14"/>
  <c r="DO23" i="14"/>
  <c r="C23" i="14"/>
  <c r="AX23" i="14"/>
  <c r="AT23" i="14"/>
  <c r="DY23" i="14"/>
  <c r="CH23" i="14"/>
  <c r="CI23" i="14" s="1"/>
  <c r="BQ23" i="14"/>
  <c r="ER23" i="14"/>
  <c r="DK23" i="14"/>
  <c r="EM23" i="14"/>
  <c r="CG23" i="14"/>
  <c r="BO23" i="14"/>
  <c r="DG23" i="14"/>
  <c r="BC23" i="14"/>
  <c r="DV23" i="14"/>
  <c r="DM23" i="14"/>
  <c r="BL23" i="14"/>
  <c r="BE23" i="14"/>
  <c r="DE23" i="14"/>
  <c r="ES23" i="14"/>
  <c r="BD23" i="14"/>
  <c r="DP23" i="14"/>
  <c r="DS23" i="14"/>
  <c r="DI23" i="14"/>
  <c r="BI23" i="14"/>
  <c r="EP23" i="14"/>
  <c r="DJ23" i="14"/>
  <c r="AZ23" i="14"/>
  <c r="DL23" i="14"/>
  <c r="EG23" i="14"/>
  <c r="EK23" i="14"/>
  <c r="D23" i="14"/>
  <c r="DW23" i="14"/>
  <c r="BX23" i="14"/>
  <c r="C71" i="14"/>
  <c r="B71" i="14"/>
  <c r="CB71" i="14"/>
  <c r="BV71" i="14" s="1"/>
  <c r="BP71" i="14"/>
  <c r="A60" i="40"/>
  <c r="P71" i="14"/>
  <c r="CG71" i="14"/>
  <c r="BQ71" i="14"/>
  <c r="BX71" i="14"/>
  <c r="EM70" i="14"/>
  <c r="EF70" i="14"/>
  <c r="EQ70" i="14"/>
  <c r="DO70" i="14"/>
  <c r="DC70" i="14"/>
  <c r="EN70" i="14"/>
  <c r="CX70" i="14"/>
  <c r="EJ70" i="14"/>
  <c r="DU70" i="14"/>
  <c r="DA70" i="14"/>
  <c r="EC70" i="14"/>
  <c r="DW70" i="14"/>
  <c r="EK70" i="14"/>
  <c r="CZ70" i="14"/>
  <c r="CV70" i="14"/>
  <c r="EL70" i="14"/>
  <c r="DE70" i="14"/>
  <c r="DK70" i="14"/>
  <c r="DL70" i="14"/>
  <c r="DS70" i="14"/>
  <c r="DJ70" i="14"/>
  <c r="ES70" i="14"/>
  <c r="DN70" i="14"/>
  <c r="DB70" i="14"/>
  <c r="EE70" i="14"/>
  <c r="DV70" i="14"/>
  <c r="EG70" i="14"/>
  <c r="DZ70" i="14"/>
  <c r="DD70" i="14"/>
  <c r="CY70" i="14"/>
  <c r="EH70" i="14"/>
  <c r="ER70" i="14"/>
  <c r="DI70" i="14"/>
  <c r="DG70" i="14"/>
  <c r="EA70" i="14"/>
  <c r="DF70" i="14"/>
  <c r="DT70" i="14"/>
  <c r="CW70" i="14"/>
  <c r="DP70" i="14"/>
  <c r="EO70" i="14"/>
  <c r="DQ70" i="14"/>
  <c r="DX70" i="14"/>
  <c r="EP70" i="14"/>
  <c r="EI70" i="14"/>
  <c r="DH70" i="14"/>
  <c r="ED70" i="14"/>
  <c r="EB70" i="14"/>
  <c r="DM70" i="14"/>
  <c r="DY70" i="14"/>
  <c r="BO70" i="14"/>
  <c r="G70" i="14" s="1"/>
  <c r="S70" i="14"/>
  <c r="AA70" i="14"/>
  <c r="AR70" i="14"/>
  <c r="Y70" i="14"/>
  <c r="AP70" i="14"/>
  <c r="BM70" i="14"/>
  <c r="BI70" i="14"/>
  <c r="AJ70" i="14"/>
  <c r="BB70" i="14"/>
  <c r="W70" i="14"/>
  <c r="AQ70" i="14"/>
  <c r="AI70" i="14"/>
  <c r="AZ70" i="14"/>
  <c r="BG70" i="14"/>
  <c r="T70" i="14"/>
  <c r="BE70" i="14"/>
  <c r="AH70" i="14"/>
  <c r="X70" i="14"/>
  <c r="BC70" i="14"/>
  <c r="U70" i="14"/>
  <c r="BA70" i="14"/>
  <c r="AO70" i="14"/>
  <c r="BD70" i="14"/>
  <c r="AV70" i="14"/>
  <c r="AY70" i="14"/>
  <c r="BH70" i="14"/>
  <c r="BF70" i="14"/>
  <c r="AT70" i="14"/>
  <c r="AX70" i="14"/>
  <c r="AK70" i="14"/>
  <c r="AC70" i="14"/>
  <c r="AF70" i="14"/>
  <c r="BN70" i="14"/>
  <c r="AG70" i="14"/>
  <c r="AD70" i="14"/>
  <c r="AE70" i="14"/>
  <c r="BK70" i="14"/>
  <c r="BL70" i="14"/>
  <c r="BJ70" i="14"/>
  <c r="AL70" i="14"/>
  <c r="AS70" i="14"/>
  <c r="Z70" i="14"/>
  <c r="AW70" i="14"/>
  <c r="R70" i="14"/>
  <c r="V70" i="14"/>
  <c r="AB70" i="14"/>
  <c r="AU70" i="14"/>
  <c r="CN207" i="10"/>
  <c r="CL207" i="10"/>
  <c r="AL207" i="10"/>
  <c r="BR207" i="10"/>
  <c r="B208" i="10"/>
  <c r="BQ216" i="10"/>
  <c r="A215" i="10"/>
  <c r="CK207" i="10"/>
  <c r="CG214" i="10"/>
  <c r="BO214" i="10"/>
  <c r="BW209" i="10"/>
  <c r="EF209" i="10"/>
  <c r="CH209" i="10"/>
  <c r="C34" i="34"/>
  <c r="D35" i="34" s="1"/>
  <c r="BN210" i="10"/>
  <c r="I38" i="23"/>
  <c r="Z38" i="23"/>
  <c r="E38" i="23"/>
  <c r="Y38" i="23"/>
  <c r="V38" i="23"/>
  <c r="AD38" i="23"/>
  <c r="O38" i="23"/>
  <c r="S38" i="23"/>
  <c r="M38" i="23"/>
  <c r="AG39" i="23"/>
  <c r="B39" i="23"/>
  <c r="BY210" i="10"/>
  <c r="GW85" i="7"/>
  <c r="DD141" i="10"/>
  <c r="GU86" i="7"/>
  <c r="DE144" i="10"/>
  <c r="GV86" i="7"/>
  <c r="N48" i="24"/>
  <c r="G65" i="24"/>
  <c r="BX210" i="10"/>
  <c r="G210" i="10"/>
  <c r="C209" i="10"/>
  <c r="F210" i="10"/>
  <c r="GX85" i="7" l="1"/>
  <c r="J49" i="33"/>
  <c r="AE54" i="28"/>
  <c r="BF46" i="14"/>
  <c r="BD46" i="14"/>
  <c r="BB46" i="14"/>
  <c r="BG46" i="14"/>
  <c r="BM46" i="14"/>
  <c r="AS46" i="14"/>
  <c r="BL46" i="14"/>
  <c r="AX46" i="14"/>
  <c r="BN46" i="14"/>
  <c r="AY46" i="14"/>
  <c r="BA46" i="14"/>
  <c r="AU46" i="14"/>
  <c r="BI46" i="14"/>
  <c r="AR46" i="14"/>
  <c r="BJ46" i="14"/>
  <c r="BH46" i="14"/>
  <c r="BK46" i="14"/>
  <c r="AQ46" i="14"/>
  <c r="AP46" i="14"/>
  <c r="AV46" i="14"/>
  <c r="AW46" i="14"/>
  <c r="BC46" i="14"/>
  <c r="BE46" i="14"/>
  <c r="AT46" i="14"/>
  <c r="AZ46" i="14"/>
  <c r="AO46" i="14"/>
  <c r="A20" i="14"/>
  <c r="CE20" i="14" s="1"/>
  <c r="BT18" i="14"/>
  <c r="B9" i="40"/>
  <c r="AD14" i="22"/>
  <c r="E14" i="22"/>
  <c r="I14" i="22"/>
  <c r="V14" i="22"/>
  <c r="S14" i="22"/>
  <c r="M14" i="22"/>
  <c r="O14" i="22"/>
  <c r="Y14" i="22"/>
  <c r="C46" i="14"/>
  <c r="BP46" i="14"/>
  <c r="CH46" i="14"/>
  <c r="CI46" i="14" s="1"/>
  <c r="BX46" i="14"/>
  <c r="P46" i="14"/>
  <c r="B42" i="22"/>
  <c r="CB46" i="14"/>
  <c r="BV46" i="14" s="1"/>
  <c r="CG46" i="14"/>
  <c r="CL46" i="14"/>
  <c r="CJ46" i="14"/>
  <c r="CK46" i="14" s="1"/>
  <c r="A36" i="40"/>
  <c r="E36" i="40" s="1"/>
  <c r="BQ46" i="14"/>
  <c r="CA46" i="14" s="1"/>
  <c r="EA46" i="14"/>
  <c r="EH46" i="14"/>
  <c r="DL46" i="14"/>
  <c r="DW46" i="14"/>
  <c r="DE46" i="14"/>
  <c r="DD46" i="14"/>
  <c r="EC46" i="14"/>
  <c r="EG46" i="14"/>
  <c r="DP46" i="14"/>
  <c r="DG46" i="14"/>
  <c r="EB46" i="14"/>
  <c r="DS46" i="14"/>
  <c r="DI46" i="14"/>
  <c r="DK46" i="14"/>
  <c r="D46" i="14"/>
  <c r="EM46" i="14"/>
  <c r="DO46" i="14"/>
  <c r="DM46" i="14"/>
  <c r="DX46" i="14"/>
  <c r="DU46" i="14"/>
  <c r="EI46" i="14"/>
  <c r="EJ46" i="14"/>
  <c r="EL46" i="14"/>
  <c r="DH46" i="14"/>
  <c r="DF46" i="14"/>
  <c r="DY46" i="14"/>
  <c r="CX46" i="14"/>
  <c r="CW46" i="14"/>
  <c r="ER46" i="14"/>
  <c r="DV46" i="14"/>
  <c r="CV46" i="14"/>
  <c r="BO46" i="14"/>
  <c r="G46" i="14" s="1"/>
  <c r="ES46" i="14"/>
  <c r="ED46" i="14"/>
  <c r="EK46" i="14"/>
  <c r="DA46" i="14"/>
  <c r="DZ46" i="14"/>
  <c r="EF46" i="14"/>
  <c r="EE46" i="14"/>
  <c r="DT46" i="14"/>
  <c r="EQ46" i="14"/>
  <c r="DQ46" i="14"/>
  <c r="DB46" i="14"/>
  <c r="DC46" i="14"/>
  <c r="EO46" i="14"/>
  <c r="DN46" i="14"/>
  <c r="EP46" i="14"/>
  <c r="EN46" i="14"/>
  <c r="CY46" i="14"/>
  <c r="DJ46" i="14"/>
  <c r="CZ46" i="14"/>
  <c r="F15" i="38"/>
  <c r="E15" i="38"/>
  <c r="I41" i="22"/>
  <c r="O41" i="22"/>
  <c r="S41" i="22"/>
  <c r="Y41" i="22"/>
  <c r="M41" i="22"/>
  <c r="V41" i="22"/>
  <c r="E41" i="22"/>
  <c r="M17" i="14"/>
  <c r="C19" i="14"/>
  <c r="A10" i="40"/>
  <c r="E10" i="40" s="1"/>
  <c r="CH19" i="14"/>
  <c r="CI19" i="14" s="1"/>
  <c r="BP19" i="14"/>
  <c r="CJ19" i="14"/>
  <c r="CK19" i="14" s="1"/>
  <c r="BX19" i="14"/>
  <c r="CL19" i="14"/>
  <c r="CG19" i="14"/>
  <c r="BQ19" i="14"/>
  <c r="CA19" i="14" s="1"/>
  <c r="P19" i="14"/>
  <c r="B15" i="22"/>
  <c r="DO19" i="14"/>
  <c r="EI19" i="14"/>
  <c r="EA19" i="14"/>
  <c r="DL19" i="14"/>
  <c r="DA19" i="14"/>
  <c r="ED19" i="14"/>
  <c r="DG19" i="14"/>
  <c r="ES19" i="14"/>
  <c r="EM19" i="14"/>
  <c r="EN19" i="14"/>
  <c r="EO19" i="14"/>
  <c r="DI19" i="14"/>
  <c r="DJ19" i="14"/>
  <c r="DD19" i="14"/>
  <c r="EB19" i="14"/>
  <c r="DU19" i="14"/>
  <c r="DE19" i="14"/>
  <c r="EP19" i="14"/>
  <c r="EQ19" i="14"/>
  <c r="DN19" i="14"/>
  <c r="BO19" i="14"/>
  <c r="G19" i="14" s="1"/>
  <c r="EC19" i="14"/>
  <c r="EK19" i="14"/>
  <c r="EF19" i="14"/>
  <c r="CV19" i="14"/>
  <c r="DF19" i="14"/>
  <c r="EL19" i="14"/>
  <c r="EH19" i="14"/>
  <c r="DM19" i="14"/>
  <c r="DH19" i="14"/>
  <c r="ER19" i="14"/>
  <c r="EG19" i="14"/>
  <c r="DC19" i="14"/>
  <c r="DP19" i="14"/>
  <c r="DS19" i="14"/>
  <c r="DW19" i="14"/>
  <c r="DZ19" i="14"/>
  <c r="DQ19" i="14"/>
  <c r="DT19" i="14"/>
  <c r="CZ19" i="14"/>
  <c r="DV19" i="14"/>
  <c r="DX19" i="14"/>
  <c r="CW19" i="14"/>
  <c r="DK19" i="14"/>
  <c r="D19" i="14"/>
  <c r="EJ19" i="14"/>
  <c r="CX19" i="14"/>
  <c r="DY19" i="14"/>
  <c r="EE19" i="14"/>
  <c r="CY19" i="14"/>
  <c r="DB19" i="14"/>
  <c r="AW19" i="14"/>
  <c r="BL19" i="14"/>
  <c r="BH19" i="14"/>
  <c r="BG19" i="14"/>
  <c r="BC19" i="14"/>
  <c r="BI19" i="14"/>
  <c r="AP19" i="14"/>
  <c r="BD19" i="14"/>
  <c r="BM19" i="14"/>
  <c r="BE19" i="14"/>
  <c r="AS19" i="14"/>
  <c r="AO19" i="14"/>
  <c r="BA19" i="14"/>
  <c r="AQ19" i="14"/>
  <c r="AX19" i="14"/>
  <c r="BF19" i="14"/>
  <c r="AV19" i="14"/>
  <c r="AY19" i="14"/>
  <c r="AR19" i="14"/>
  <c r="BK19" i="14"/>
  <c r="AT19" i="14"/>
  <c r="BJ19" i="14"/>
  <c r="AZ19" i="14"/>
  <c r="BN19" i="14"/>
  <c r="BB19" i="14"/>
  <c r="AU19" i="14"/>
  <c r="A14" i="38"/>
  <c r="B14" i="38" s="1"/>
  <c r="C14" i="38"/>
  <c r="I97" i="24"/>
  <c r="N97" i="24"/>
  <c r="T43" i="14"/>
  <c r="AF43" i="14"/>
  <c r="V43" i="14"/>
  <c r="AC43" i="14"/>
  <c r="U43" i="14"/>
  <c r="AI43" i="14"/>
  <c r="AG43" i="14"/>
  <c r="AH43" i="14"/>
  <c r="AA43" i="14"/>
  <c r="AE43" i="14"/>
  <c r="Z43" i="14"/>
  <c r="W43" i="14"/>
  <c r="AB43" i="14"/>
  <c r="AK43" i="14"/>
  <c r="R43" i="14"/>
  <c r="X43" i="14"/>
  <c r="Y43" i="14"/>
  <c r="AJ43" i="14"/>
  <c r="AD43" i="14"/>
  <c r="AL43" i="14"/>
  <c r="S43" i="14"/>
  <c r="V98" i="24"/>
  <c r="L98" i="24"/>
  <c r="K98" i="24"/>
  <c r="P98" i="24"/>
  <c r="J98" i="24"/>
  <c r="CM45" i="14"/>
  <c r="B45" i="14" s="1"/>
  <c r="CM18" i="14"/>
  <c r="B18" i="14" s="1"/>
  <c r="A47" i="14"/>
  <c r="CE47" i="14" s="1"/>
  <c r="R67" i="24"/>
  <c r="S67" i="24" s="1"/>
  <c r="C34" i="40"/>
  <c r="K44" i="14"/>
  <c r="BU45" i="14"/>
  <c r="BT45" i="14"/>
  <c r="B35" i="40"/>
  <c r="E66" i="24"/>
  <c r="B66" i="24"/>
  <c r="H66" i="24"/>
  <c r="A66" i="24" s="1"/>
  <c r="AG42" i="14"/>
  <c r="AD42" i="14"/>
  <c r="AK42" i="14"/>
  <c r="W42" i="14"/>
  <c r="AB42" i="14"/>
  <c r="R42" i="14"/>
  <c r="AC42" i="14"/>
  <c r="S42" i="14"/>
  <c r="V42" i="14"/>
  <c r="AJ42" i="14"/>
  <c r="T42" i="14"/>
  <c r="Y42" i="14"/>
  <c r="AE42" i="14"/>
  <c r="X42" i="14"/>
  <c r="AA42" i="14"/>
  <c r="AF42" i="14"/>
  <c r="Z42" i="14"/>
  <c r="AH42" i="14"/>
  <c r="AL42" i="14"/>
  <c r="U42" i="14"/>
  <c r="AI42" i="14"/>
  <c r="P49" i="24"/>
  <c r="I49" i="24" s="1"/>
  <c r="U50" i="24"/>
  <c r="V50" i="24" s="1"/>
  <c r="J49" i="24"/>
  <c r="L49" i="24"/>
  <c r="A17" i="42"/>
  <c r="B17" i="42" s="1"/>
  <c r="C17" i="42"/>
  <c r="F18" i="42"/>
  <c r="E18" i="42"/>
  <c r="AL10" i="33"/>
  <c r="L72" i="6" s="1"/>
  <c r="CA71" i="14"/>
  <c r="BR71" i="14"/>
  <c r="CC71" i="14"/>
  <c r="BR49" i="14"/>
  <c r="CC49" i="14"/>
  <c r="CA23" i="14"/>
  <c r="BR23" i="14"/>
  <c r="CC23" i="14"/>
  <c r="CA72" i="14"/>
  <c r="BR72" i="14"/>
  <c r="D72" i="14" s="1"/>
  <c r="CC72" i="14"/>
  <c r="FF186" i="7"/>
  <c r="AQ97" i="33"/>
  <c r="FF101" i="7"/>
  <c r="AB123" i="33"/>
  <c r="AE16" i="33"/>
  <c r="Y16" i="33"/>
  <c r="AB16" i="33"/>
  <c r="E32" i="33"/>
  <c r="B32" i="33" s="1"/>
  <c r="AA48" i="33"/>
  <c r="AD48" i="33"/>
  <c r="Z48" i="33"/>
  <c r="J48" i="33"/>
  <c r="AE48" i="33" s="1"/>
  <c r="AD49" i="33"/>
  <c r="Z49" i="33"/>
  <c r="AA49" i="33"/>
  <c r="AE42" i="33"/>
  <c r="AB42" i="33"/>
  <c r="Y42" i="33"/>
  <c r="AE47" i="33"/>
  <c r="Y47" i="33"/>
  <c r="AB47" i="33"/>
  <c r="AH54" i="28"/>
  <c r="X54" i="28"/>
  <c r="B55" i="28"/>
  <c r="AC55" i="28"/>
  <c r="Q55" i="28"/>
  <c r="R55" i="28" s="1"/>
  <c r="AG55" i="28"/>
  <c r="C55" i="28"/>
  <c r="AB55" i="28" s="1"/>
  <c r="AD55" i="28"/>
  <c r="O55" i="28"/>
  <c r="T55" i="28"/>
  <c r="S55" i="28" s="1"/>
  <c r="H55" i="28"/>
  <c r="P55" i="28"/>
  <c r="A56" i="28"/>
  <c r="Z56" i="28"/>
  <c r="CE74" i="14"/>
  <c r="A75" i="14" s="1"/>
  <c r="CB73" i="14"/>
  <c r="BV73" i="14" s="1"/>
  <c r="A62" i="40"/>
  <c r="BX73" i="14"/>
  <c r="BQ73" i="14"/>
  <c r="C73" i="14"/>
  <c r="BU73" i="14" s="1"/>
  <c r="BP73" i="14"/>
  <c r="P73" i="14"/>
  <c r="CG73" i="14"/>
  <c r="D73" i="14"/>
  <c r="B73" i="14"/>
  <c r="M73" i="14" s="1"/>
  <c r="C62" i="40" s="1"/>
  <c r="E62" i="40" s="1"/>
  <c r="BT72" i="14"/>
  <c r="BU72" i="14"/>
  <c r="K72" i="14"/>
  <c r="T72" i="14" s="1"/>
  <c r="CL208" i="10"/>
  <c r="M71" i="14"/>
  <c r="O19" i="22"/>
  <c r="V19" i="22"/>
  <c r="I19" i="22"/>
  <c r="AD19" i="22"/>
  <c r="M19" i="22"/>
  <c r="E19" i="22"/>
  <c r="S19" i="22"/>
  <c r="Y19" i="22"/>
  <c r="B60" i="40"/>
  <c r="BT71" i="14"/>
  <c r="BU71" i="14"/>
  <c r="K23" i="14"/>
  <c r="AF23" i="14" s="1"/>
  <c r="CM23" i="14"/>
  <c r="BT23" i="14"/>
  <c r="B14" i="40"/>
  <c r="CK208" i="10"/>
  <c r="O208" i="10"/>
  <c r="B172" i="39" s="1"/>
  <c r="CN208" i="10"/>
  <c r="BR208" i="10"/>
  <c r="AL208" i="10"/>
  <c r="AZ72" i="14"/>
  <c r="B209" i="10"/>
  <c r="A216" i="10"/>
  <c r="BQ217" i="10"/>
  <c r="CG215" i="10"/>
  <c r="BO215" i="10"/>
  <c r="CH210" i="10"/>
  <c r="BW210" i="10"/>
  <c r="EF210" i="10"/>
  <c r="AD39" i="23"/>
  <c r="Y39" i="23"/>
  <c r="I39" i="23"/>
  <c r="M39" i="23"/>
  <c r="E39" i="23"/>
  <c r="Z39" i="23"/>
  <c r="O39" i="23"/>
  <c r="V39" i="23"/>
  <c r="S39" i="23"/>
  <c r="BN211" i="10"/>
  <c r="C35" i="34"/>
  <c r="D36" i="34" s="1"/>
  <c r="B40" i="23"/>
  <c r="AG40" i="23"/>
  <c r="B74" i="14"/>
  <c r="M74" i="14" s="1"/>
  <c r="C63" i="40" s="1"/>
  <c r="E63" i="40" s="1"/>
  <c r="A63" i="40"/>
  <c r="CB74" i="14"/>
  <c r="BV74" i="14" s="1"/>
  <c r="BP74" i="14"/>
  <c r="D74" i="14"/>
  <c r="BQ74" i="14"/>
  <c r="P74" i="14"/>
  <c r="C74" i="14"/>
  <c r="BX74" i="14"/>
  <c r="CG74" i="14"/>
  <c r="BY211" i="10"/>
  <c r="GW86" i="7"/>
  <c r="GU87" i="7"/>
  <c r="DD142" i="10"/>
  <c r="GV87" i="7"/>
  <c r="DE145" i="10"/>
  <c r="G66" i="24"/>
  <c r="N49" i="24"/>
  <c r="BX211" i="10"/>
  <c r="C210" i="10"/>
  <c r="G211" i="10"/>
  <c r="F211" i="10"/>
  <c r="GX86" i="7" l="1"/>
  <c r="BN47" i="14"/>
  <c r="AE55" i="28"/>
  <c r="BD47" i="14"/>
  <c r="AV47" i="14"/>
  <c r="AS47" i="14"/>
  <c r="AP47" i="14"/>
  <c r="BE47" i="14"/>
  <c r="AW47" i="14"/>
  <c r="BC47" i="14"/>
  <c r="BF47" i="14"/>
  <c r="BJ47" i="14"/>
  <c r="AY47" i="14"/>
  <c r="BK47" i="14"/>
  <c r="AO47" i="14"/>
  <c r="BL47" i="14"/>
  <c r="AU47" i="14"/>
  <c r="BH47" i="14"/>
  <c r="AZ47" i="14"/>
  <c r="AT47" i="14"/>
  <c r="BI47" i="14"/>
  <c r="AQ47" i="14"/>
  <c r="CM46" i="14"/>
  <c r="B46" i="14" s="1"/>
  <c r="M46" i="14" s="1"/>
  <c r="U51" i="24"/>
  <c r="V51" i="24" s="1"/>
  <c r="A48" i="14"/>
  <c r="CE48" i="14" s="1"/>
  <c r="A21" i="14"/>
  <c r="CE21" i="14" s="1"/>
  <c r="BB47" i="14"/>
  <c r="BA47" i="14"/>
  <c r="AX47" i="14"/>
  <c r="BG47" i="14"/>
  <c r="BM47" i="14"/>
  <c r="AR47" i="14"/>
  <c r="M18" i="14"/>
  <c r="I98" i="24"/>
  <c r="N98" i="24"/>
  <c r="CM19" i="14"/>
  <c r="B19" i="14" s="1"/>
  <c r="H67" i="24"/>
  <c r="A67" i="24" s="1"/>
  <c r="E67" i="24"/>
  <c r="B67" i="24"/>
  <c r="AD15" i="22"/>
  <c r="V15" i="22"/>
  <c r="I15" i="22"/>
  <c r="E15" i="22"/>
  <c r="O15" i="22"/>
  <c r="Y15" i="22"/>
  <c r="M15" i="22"/>
  <c r="S15" i="22"/>
  <c r="C8" i="40"/>
  <c r="K17" i="14"/>
  <c r="C15" i="38"/>
  <c r="A15" i="38"/>
  <c r="B15" i="38" s="1"/>
  <c r="E42" i="22"/>
  <c r="S42" i="22"/>
  <c r="M42" i="22"/>
  <c r="O42" i="22"/>
  <c r="V42" i="22"/>
  <c r="I42" i="22"/>
  <c r="Y42" i="22"/>
  <c r="AF44" i="14"/>
  <c r="T44" i="14"/>
  <c r="AH44" i="14"/>
  <c r="R44" i="14"/>
  <c r="Z44" i="14"/>
  <c r="Y44" i="14"/>
  <c r="S44" i="14"/>
  <c r="AD44" i="14"/>
  <c r="X44" i="14"/>
  <c r="W44" i="14"/>
  <c r="AA44" i="14"/>
  <c r="AK44" i="14"/>
  <c r="AL44" i="14"/>
  <c r="AC44" i="14"/>
  <c r="AB44" i="14"/>
  <c r="AI44" i="14"/>
  <c r="U44" i="14"/>
  <c r="AE44" i="14"/>
  <c r="AG44" i="14"/>
  <c r="V44" i="14"/>
  <c r="AJ44" i="14"/>
  <c r="F16" i="38"/>
  <c r="E16" i="38"/>
  <c r="B36" i="40"/>
  <c r="BT46" i="14"/>
  <c r="BU46" i="14"/>
  <c r="L50" i="24"/>
  <c r="P50" i="24"/>
  <c r="I50" i="24" s="1"/>
  <c r="J50" i="24"/>
  <c r="CH47" i="14"/>
  <c r="CI47" i="14" s="1"/>
  <c r="C47" i="14"/>
  <c r="B43" i="22"/>
  <c r="CL47" i="14"/>
  <c r="A37" i="40"/>
  <c r="E37" i="40" s="1"/>
  <c r="CJ47" i="14"/>
  <c r="CK47" i="14" s="1"/>
  <c r="P47" i="14"/>
  <c r="CB47" i="14"/>
  <c r="BV47" i="14" s="1"/>
  <c r="BP47" i="14"/>
  <c r="BX47" i="14"/>
  <c r="CG47" i="14"/>
  <c r="BQ47" i="14"/>
  <c r="CA47" i="14" s="1"/>
  <c r="DO47" i="14"/>
  <c r="DF47" i="14"/>
  <c r="EI47" i="14"/>
  <c r="CV47" i="14"/>
  <c r="DD47" i="14"/>
  <c r="DA47" i="14"/>
  <c r="DQ47" i="14"/>
  <c r="DJ47" i="14"/>
  <c r="DK47" i="14"/>
  <c r="ES47" i="14"/>
  <c r="DG47" i="14"/>
  <c r="EN47" i="14"/>
  <c r="D47" i="14"/>
  <c r="EB47" i="14"/>
  <c r="EE47" i="14"/>
  <c r="DC47" i="14"/>
  <c r="EJ47" i="14"/>
  <c r="CW47" i="14"/>
  <c r="EQ47" i="14"/>
  <c r="EG47" i="14"/>
  <c r="DT47" i="14"/>
  <c r="EK47" i="14"/>
  <c r="ED47" i="14"/>
  <c r="DS47" i="14"/>
  <c r="CZ47" i="14"/>
  <c r="DH47" i="14"/>
  <c r="DE47" i="14"/>
  <c r="EL47" i="14"/>
  <c r="DX47" i="14"/>
  <c r="DY47" i="14"/>
  <c r="DB47" i="14"/>
  <c r="CY47" i="14"/>
  <c r="EA47" i="14"/>
  <c r="EC47" i="14"/>
  <c r="DW47" i="14"/>
  <c r="DL47" i="14"/>
  <c r="DZ47" i="14"/>
  <c r="DN47" i="14"/>
  <c r="EP47" i="14"/>
  <c r="BO47" i="14"/>
  <c r="G47" i="14" s="1"/>
  <c r="DU47" i="14"/>
  <c r="EF47" i="14"/>
  <c r="DP47" i="14"/>
  <c r="DI47" i="14"/>
  <c r="CX47" i="14"/>
  <c r="ER47" i="14"/>
  <c r="EM47" i="14"/>
  <c r="DM47" i="14"/>
  <c r="EH47" i="14"/>
  <c r="DV47" i="14"/>
  <c r="EO47" i="14"/>
  <c r="M45" i="14"/>
  <c r="BT19" i="14"/>
  <c r="B10" i="40"/>
  <c r="P20" i="14"/>
  <c r="CJ20" i="14"/>
  <c r="CK20" i="14" s="1"/>
  <c r="A11" i="40"/>
  <c r="E11" i="40" s="1"/>
  <c r="B16" i="22"/>
  <c r="BQ20" i="14"/>
  <c r="CA20" i="14" s="1"/>
  <c r="BX20" i="14"/>
  <c r="CG20" i="14"/>
  <c r="C20" i="14"/>
  <c r="CH20" i="14"/>
  <c r="CI20" i="14" s="1"/>
  <c r="CL20" i="14"/>
  <c r="BP20" i="14"/>
  <c r="DE20" i="14"/>
  <c r="DA20" i="14"/>
  <c r="EI20" i="14"/>
  <c r="BO20" i="14"/>
  <c r="G20" i="14" s="1"/>
  <c r="DS20" i="14"/>
  <c r="CV20" i="14"/>
  <c r="DF20" i="14"/>
  <c r="EN20" i="14"/>
  <c r="DK20" i="14"/>
  <c r="EG20" i="14"/>
  <c r="CW20" i="14"/>
  <c r="EL20" i="14"/>
  <c r="DL20" i="14"/>
  <c r="ES20" i="14"/>
  <c r="D20" i="14"/>
  <c r="DP20" i="14"/>
  <c r="DH20" i="14"/>
  <c r="EK20" i="14"/>
  <c r="DY20" i="14"/>
  <c r="DB20" i="14"/>
  <c r="DO20" i="14"/>
  <c r="DT20" i="14"/>
  <c r="DD20" i="14"/>
  <c r="DV20" i="14"/>
  <c r="EJ20" i="14"/>
  <c r="DN20" i="14"/>
  <c r="EC20" i="14"/>
  <c r="EF20" i="14"/>
  <c r="EB20" i="14"/>
  <c r="DJ20" i="14"/>
  <c r="CY20" i="14"/>
  <c r="ED20" i="14"/>
  <c r="DC20" i="14"/>
  <c r="DU20" i="14"/>
  <c r="CX20" i="14"/>
  <c r="EQ20" i="14"/>
  <c r="EE20" i="14"/>
  <c r="CZ20" i="14"/>
  <c r="DQ20" i="14"/>
  <c r="DZ20" i="14"/>
  <c r="DX20" i="14"/>
  <c r="DG20" i="14"/>
  <c r="EM20" i="14"/>
  <c r="DI20" i="14"/>
  <c r="DW20" i="14"/>
  <c r="DM20" i="14"/>
  <c r="EO20" i="14"/>
  <c r="EH20" i="14"/>
  <c r="EA20" i="14"/>
  <c r="ER20" i="14"/>
  <c r="EP20" i="14"/>
  <c r="AT20" i="14"/>
  <c r="BB20" i="14"/>
  <c r="BI20" i="14"/>
  <c r="AZ20" i="14"/>
  <c r="BE20" i="14"/>
  <c r="AX20" i="14"/>
  <c r="BN20" i="14"/>
  <c r="AW20" i="14"/>
  <c r="AY20" i="14"/>
  <c r="BF20" i="14"/>
  <c r="BG20" i="14"/>
  <c r="BM20" i="14"/>
  <c r="AQ20" i="14"/>
  <c r="BD20" i="14"/>
  <c r="AO20" i="14"/>
  <c r="AS20" i="14"/>
  <c r="BL20" i="14"/>
  <c r="AU20" i="14"/>
  <c r="BK20" i="14"/>
  <c r="BH20" i="14"/>
  <c r="BA20" i="14"/>
  <c r="AR20" i="14"/>
  <c r="AV20" i="14"/>
  <c r="BC20" i="14"/>
  <c r="AP20" i="14"/>
  <c r="BJ20" i="14"/>
  <c r="C18" i="42"/>
  <c r="A18" i="42"/>
  <c r="B18" i="42" s="1"/>
  <c r="E19" i="42"/>
  <c r="F19" i="42"/>
  <c r="BR50" i="14"/>
  <c r="CC50" i="14"/>
  <c r="D71" i="14"/>
  <c r="CA74" i="14"/>
  <c r="BR74" i="14"/>
  <c r="CC74" i="14"/>
  <c r="BR24" i="14"/>
  <c r="CC24" i="14"/>
  <c r="CA73" i="14"/>
  <c r="BR73" i="14"/>
  <c r="CC73" i="14"/>
  <c r="E17" i="33"/>
  <c r="B17" i="33" s="1"/>
  <c r="Z32" i="33"/>
  <c r="AD32" i="33"/>
  <c r="J32" i="33"/>
  <c r="AA32" i="33"/>
  <c r="AE49" i="33"/>
  <c r="O83" i="24" s="1"/>
  <c r="Y49" i="33"/>
  <c r="AB49" i="33"/>
  <c r="E27" i="33"/>
  <c r="B27" i="33" s="1"/>
  <c r="E41" i="33"/>
  <c r="B41" i="33" s="1"/>
  <c r="AQ31" i="3"/>
  <c r="E33" i="33"/>
  <c r="B33" i="33" s="1"/>
  <c r="E24" i="33"/>
  <c r="B24" i="33" s="1"/>
  <c r="E28" i="33"/>
  <c r="B28" i="33" s="1"/>
  <c r="E40" i="33"/>
  <c r="B40" i="33" s="1"/>
  <c r="E25" i="33"/>
  <c r="B25" i="33" s="1"/>
  <c r="E30" i="33"/>
  <c r="B30" i="33" s="1"/>
  <c r="E36" i="33"/>
  <c r="B36" i="33" s="1"/>
  <c r="E39" i="33"/>
  <c r="B39" i="33" s="1"/>
  <c r="E21" i="33"/>
  <c r="B21" i="33" s="1"/>
  <c r="E18" i="33"/>
  <c r="B18" i="33" s="1"/>
  <c r="E38" i="33"/>
  <c r="B38" i="33" s="1"/>
  <c r="E29" i="33"/>
  <c r="B29" i="33" s="1"/>
  <c r="Y48" i="33"/>
  <c r="AB48" i="33"/>
  <c r="AH55" i="28"/>
  <c r="CE75" i="14"/>
  <c r="A76" i="14" s="1"/>
  <c r="W23" i="14"/>
  <c r="B56" i="28"/>
  <c r="P56" i="28"/>
  <c r="H56" i="28"/>
  <c r="AG56" i="28"/>
  <c r="C56" i="28"/>
  <c r="AB56" i="28" s="1"/>
  <c r="AD56" i="28"/>
  <c r="O56" i="28"/>
  <c r="T56" i="28"/>
  <c r="S56" i="28" s="1"/>
  <c r="AC56" i="28"/>
  <c r="Q56" i="28"/>
  <c r="R56" i="28" s="1"/>
  <c r="Z57" i="28"/>
  <c r="A57" i="28"/>
  <c r="X55" i="28"/>
  <c r="U72" i="14"/>
  <c r="B62" i="40"/>
  <c r="AE72" i="14"/>
  <c r="AH72" i="14"/>
  <c r="AK72" i="14"/>
  <c r="CX72" i="14"/>
  <c r="BA72" i="14"/>
  <c r="X72" i="14"/>
  <c r="BG72" i="14"/>
  <c r="AV72" i="14"/>
  <c r="BK72" i="14"/>
  <c r="BC72" i="14"/>
  <c r="EH72" i="14"/>
  <c r="DQ72" i="14"/>
  <c r="CW72" i="14"/>
  <c r="K73" i="14"/>
  <c r="W73" i="14" s="1"/>
  <c r="EE72" i="14"/>
  <c r="DX72" i="14"/>
  <c r="DP72" i="14"/>
  <c r="CY72" i="14"/>
  <c r="DS72" i="14"/>
  <c r="BT73" i="14"/>
  <c r="BO73" i="14" s="1"/>
  <c r="G73" i="14" s="1"/>
  <c r="BB72" i="14"/>
  <c r="AF72" i="14"/>
  <c r="AA72" i="14"/>
  <c r="AC72" i="14"/>
  <c r="AX72" i="14"/>
  <c r="AG72" i="14"/>
  <c r="DG72" i="14"/>
  <c r="EB72" i="14"/>
  <c r="DM72" i="14"/>
  <c r="DZ72" i="14"/>
  <c r="CZ72" i="14"/>
  <c r="BE72" i="14"/>
  <c r="AJ72" i="14"/>
  <c r="Z72" i="14"/>
  <c r="BL72" i="14"/>
  <c r="AU72" i="14"/>
  <c r="DK72" i="14"/>
  <c r="DA72" i="14"/>
  <c r="EJ72" i="14"/>
  <c r="DC72" i="14"/>
  <c r="DN72" i="14"/>
  <c r="DT72" i="14"/>
  <c r="EC72" i="14"/>
  <c r="EQ72" i="14"/>
  <c r="DV72" i="14"/>
  <c r="EF72" i="14"/>
  <c r="DH72" i="14"/>
  <c r="EN72" i="14"/>
  <c r="DU72" i="14"/>
  <c r="DB72" i="14"/>
  <c r="DD72" i="14"/>
  <c r="DI72" i="14"/>
  <c r="ES72" i="14"/>
  <c r="EK72" i="14"/>
  <c r="DJ72" i="14"/>
  <c r="AP72" i="14"/>
  <c r="AB72" i="14"/>
  <c r="BM72" i="14"/>
  <c r="R72" i="14"/>
  <c r="S72" i="14"/>
  <c r="AQ72" i="14"/>
  <c r="AR72" i="14"/>
  <c r="AL72" i="14"/>
  <c r="AY72" i="14"/>
  <c r="AD72" i="14"/>
  <c r="V72" i="14"/>
  <c r="AW72" i="14"/>
  <c r="AS72" i="14"/>
  <c r="ER72" i="14"/>
  <c r="BO72" i="14"/>
  <c r="G72" i="14" s="1"/>
  <c r="DL72" i="14"/>
  <c r="DW72" i="14"/>
  <c r="DO72" i="14"/>
  <c r="EA72" i="14"/>
  <c r="EP72" i="14"/>
  <c r="DY72" i="14"/>
  <c r="DE72" i="14"/>
  <c r="EM72" i="14"/>
  <c r="EI72" i="14"/>
  <c r="ED72" i="14"/>
  <c r="EG72" i="14"/>
  <c r="EO72" i="14"/>
  <c r="DF72" i="14"/>
  <c r="EL72" i="14"/>
  <c r="CV72" i="14"/>
  <c r="Y72" i="14"/>
  <c r="BF72" i="14"/>
  <c r="BD72" i="14"/>
  <c r="BI72" i="14"/>
  <c r="AI72" i="14"/>
  <c r="W72" i="14"/>
  <c r="BH72" i="14"/>
  <c r="AO72" i="14"/>
  <c r="AT72" i="14"/>
  <c r="BJ72" i="14"/>
  <c r="BN72" i="14"/>
  <c r="AE23" i="14"/>
  <c r="CL209" i="10"/>
  <c r="AH23" i="14"/>
  <c r="AI23" i="14"/>
  <c r="AD23" i="14"/>
  <c r="AK23" i="14"/>
  <c r="AA23" i="14"/>
  <c r="BI48" i="14"/>
  <c r="BK48" i="14"/>
  <c r="AW48" i="14"/>
  <c r="BH48" i="14"/>
  <c r="BL48" i="14"/>
  <c r="AV48" i="14"/>
  <c r="AT48" i="14"/>
  <c r="AU48" i="14"/>
  <c r="BG48" i="14"/>
  <c r="BD48" i="14"/>
  <c r="BM48" i="14"/>
  <c r="AO48" i="14"/>
  <c r="AR48" i="14"/>
  <c r="BC48" i="14"/>
  <c r="AP48" i="14"/>
  <c r="BB48" i="14"/>
  <c r="BF48" i="14"/>
  <c r="AX48" i="14"/>
  <c r="BE48" i="14"/>
  <c r="AS48" i="14"/>
  <c r="BA48" i="14"/>
  <c r="AY48" i="14"/>
  <c r="AZ48" i="14"/>
  <c r="AQ48" i="14"/>
  <c r="BJ48" i="14"/>
  <c r="BN48" i="14"/>
  <c r="T23" i="14"/>
  <c r="A25" i="14"/>
  <c r="U23" i="14"/>
  <c r="AC23" i="14"/>
  <c r="AB23" i="14"/>
  <c r="AG23" i="14"/>
  <c r="V23" i="14"/>
  <c r="R23" i="14"/>
  <c r="Z23" i="14"/>
  <c r="S23" i="14"/>
  <c r="AJ23" i="14"/>
  <c r="Y23" i="14"/>
  <c r="X23" i="14"/>
  <c r="EB71" i="14"/>
  <c r="DE71" i="14"/>
  <c r="EC71" i="14"/>
  <c r="EP71" i="14"/>
  <c r="ES71" i="14"/>
  <c r="CZ71" i="14"/>
  <c r="DD71" i="14"/>
  <c r="DX71" i="14"/>
  <c r="DK71" i="14"/>
  <c r="CY71" i="14"/>
  <c r="EL71" i="14"/>
  <c r="EK71" i="14"/>
  <c r="CV71" i="14"/>
  <c r="DY71" i="14"/>
  <c r="EO71" i="14"/>
  <c r="DZ71" i="14"/>
  <c r="DF71" i="14"/>
  <c r="DN71" i="14"/>
  <c r="CW71" i="14"/>
  <c r="DJ71" i="14"/>
  <c r="DO71" i="14"/>
  <c r="BO71" i="14"/>
  <c r="G71" i="14" s="1"/>
  <c r="DU71" i="14"/>
  <c r="DI71" i="14"/>
  <c r="ED71" i="14"/>
  <c r="EQ71" i="14"/>
  <c r="EF71" i="14"/>
  <c r="DM71" i="14"/>
  <c r="EN71" i="14"/>
  <c r="ER71" i="14"/>
  <c r="EJ71" i="14"/>
  <c r="DV71" i="14"/>
  <c r="DL71" i="14"/>
  <c r="EM71" i="14"/>
  <c r="DT71" i="14"/>
  <c r="DC71" i="14"/>
  <c r="DA71" i="14"/>
  <c r="EA71" i="14"/>
  <c r="DW71" i="14"/>
  <c r="CX71" i="14"/>
  <c r="DP71" i="14"/>
  <c r="DB71" i="14"/>
  <c r="EI71" i="14"/>
  <c r="EG71" i="14"/>
  <c r="DS71" i="14"/>
  <c r="DG71" i="14"/>
  <c r="EE71" i="14"/>
  <c r="DQ71" i="14"/>
  <c r="EH71" i="14"/>
  <c r="DH71" i="14"/>
  <c r="AL23" i="14"/>
  <c r="C60" i="40"/>
  <c r="E60" i="40" s="1"/>
  <c r="K71" i="14"/>
  <c r="CK209" i="10"/>
  <c r="O209" i="10"/>
  <c r="B173" i="39" s="1"/>
  <c r="AL209" i="10"/>
  <c r="BR209" i="10"/>
  <c r="CN209" i="10"/>
  <c r="B210" i="10"/>
  <c r="A217" i="10"/>
  <c r="BQ218" i="10"/>
  <c r="BO216" i="10"/>
  <c r="CG216" i="10"/>
  <c r="K74" i="14"/>
  <c r="AU74" i="14" s="1"/>
  <c r="CH211" i="10"/>
  <c r="BW211" i="10"/>
  <c r="EF211" i="10"/>
  <c r="I40" i="23"/>
  <c r="AD40" i="23"/>
  <c r="Y40" i="23"/>
  <c r="E40" i="23"/>
  <c r="O40" i="23"/>
  <c r="Z40" i="23"/>
  <c r="M40" i="23"/>
  <c r="S40" i="23"/>
  <c r="V40" i="23"/>
  <c r="BN212" i="10"/>
  <c r="B41" i="23"/>
  <c r="AG41" i="23"/>
  <c r="C36" i="34"/>
  <c r="D37" i="34" s="1"/>
  <c r="BQ75" i="14"/>
  <c r="B75" i="14"/>
  <c r="M75" i="14" s="1"/>
  <c r="C64" i="40" s="1"/>
  <c r="E64" i="40" s="1"/>
  <c r="A64" i="40"/>
  <c r="D75" i="14"/>
  <c r="CB75" i="14"/>
  <c r="BV75" i="14" s="1"/>
  <c r="P75" i="14"/>
  <c r="C75" i="14"/>
  <c r="BP75" i="14"/>
  <c r="BX75" i="14"/>
  <c r="CG75" i="14"/>
  <c r="DI73" i="14"/>
  <c r="BU74" i="14"/>
  <c r="BT74" i="14"/>
  <c r="B63" i="40"/>
  <c r="BY212" i="10"/>
  <c r="GW87" i="7"/>
  <c r="GV88" i="7"/>
  <c r="DE146" i="10"/>
  <c r="GU88" i="7"/>
  <c r="DD143" i="10"/>
  <c r="N50" i="24"/>
  <c r="G67" i="24"/>
  <c r="G212" i="10"/>
  <c r="C211" i="10"/>
  <c r="BX212" i="10"/>
  <c r="F212" i="10"/>
  <c r="GX87" i="7" l="1"/>
  <c r="AE56" i="28"/>
  <c r="O79" i="24"/>
  <c r="A22" i="14"/>
  <c r="CE22" i="14" s="1"/>
  <c r="CE23" i="14" s="1"/>
  <c r="A49" i="14"/>
  <c r="CE49" i="14" s="1"/>
  <c r="CM47" i="14"/>
  <c r="B47" i="14" s="1"/>
  <c r="S43" i="22"/>
  <c r="M43" i="22"/>
  <c r="I43" i="22"/>
  <c r="V43" i="22"/>
  <c r="Y43" i="22"/>
  <c r="O43" i="22"/>
  <c r="E43" i="22"/>
  <c r="F17" i="38"/>
  <c r="E17" i="38"/>
  <c r="B11" i="40"/>
  <c r="BT20" i="14"/>
  <c r="S16" i="22"/>
  <c r="E16" i="22"/>
  <c r="I16" i="22"/>
  <c r="AD16" i="22"/>
  <c r="V16" i="22"/>
  <c r="O16" i="22"/>
  <c r="M16" i="22"/>
  <c r="Y16" i="22"/>
  <c r="B37" i="40"/>
  <c r="BT47" i="14"/>
  <c r="BU47" i="14"/>
  <c r="CH48" i="14"/>
  <c r="CI48" i="14" s="1"/>
  <c r="BX48" i="14"/>
  <c r="BQ48" i="14"/>
  <c r="CA48" i="14" s="1"/>
  <c r="CB48" i="14"/>
  <c r="BV48" i="14" s="1"/>
  <c r="CJ48" i="14"/>
  <c r="CK48" i="14" s="1"/>
  <c r="BP48" i="14"/>
  <c r="CL48" i="14"/>
  <c r="C48" i="14"/>
  <c r="P48" i="14"/>
  <c r="B44" i="22"/>
  <c r="CG48" i="14"/>
  <c r="A38" i="40"/>
  <c r="E38" i="40" s="1"/>
  <c r="EN48" i="14"/>
  <c r="DH48" i="14"/>
  <c r="DW48" i="14"/>
  <c r="DY48" i="14"/>
  <c r="ER48" i="14"/>
  <c r="DE48" i="14"/>
  <c r="EF48" i="14"/>
  <c r="DO48" i="14"/>
  <c r="EK48" i="14"/>
  <c r="DX48" i="14"/>
  <c r="EI48" i="14"/>
  <c r="CZ48" i="14"/>
  <c r="EA48" i="14"/>
  <c r="EQ48" i="14"/>
  <c r="DV48" i="14"/>
  <c r="EC48" i="14"/>
  <c r="DF48" i="14"/>
  <c r="DL48" i="14"/>
  <c r="DG48" i="14"/>
  <c r="DZ48" i="14"/>
  <c r="DI48" i="14"/>
  <c r="DQ48" i="14"/>
  <c r="DD48" i="14"/>
  <c r="DN48" i="14"/>
  <c r="DP48" i="14"/>
  <c r="BO48" i="14"/>
  <c r="G48" i="14" s="1"/>
  <c r="DK48" i="14"/>
  <c r="EJ48" i="14"/>
  <c r="EO48" i="14"/>
  <c r="EH48" i="14"/>
  <c r="DC48" i="14"/>
  <c r="CY48" i="14"/>
  <c r="D48" i="14"/>
  <c r="DS48" i="14"/>
  <c r="EE48" i="14"/>
  <c r="DA48" i="14"/>
  <c r="DT48" i="14"/>
  <c r="DU48" i="14"/>
  <c r="EP48" i="14"/>
  <c r="DB48" i="14"/>
  <c r="DJ48" i="14"/>
  <c r="CW48" i="14"/>
  <c r="CV48" i="14"/>
  <c r="EG48" i="14"/>
  <c r="EM48" i="14"/>
  <c r="DM48" i="14"/>
  <c r="CX48" i="14"/>
  <c r="ED48" i="14"/>
  <c r="EB48" i="14"/>
  <c r="EL48" i="14"/>
  <c r="ES48" i="14"/>
  <c r="CM20" i="14"/>
  <c r="B20" i="14" s="1"/>
  <c r="C36" i="40"/>
  <c r="K46" i="14"/>
  <c r="C35" i="40"/>
  <c r="K45" i="14"/>
  <c r="M19" i="14"/>
  <c r="C9" i="40"/>
  <c r="K18" i="14"/>
  <c r="C16" i="38"/>
  <c r="A16" i="38"/>
  <c r="B16" i="38" s="1"/>
  <c r="AE17" i="14"/>
  <c r="AL17" i="14"/>
  <c r="AI17" i="14"/>
  <c r="S17" i="14"/>
  <c r="W17" i="14"/>
  <c r="V17" i="14"/>
  <c r="R17" i="14"/>
  <c r="AC17" i="14"/>
  <c r="AD17" i="14"/>
  <c r="AK17" i="14"/>
  <c r="AG17" i="14"/>
  <c r="Z17" i="14"/>
  <c r="AB17" i="14"/>
  <c r="AF17" i="14"/>
  <c r="Y17" i="14"/>
  <c r="AJ17" i="14"/>
  <c r="U17" i="14"/>
  <c r="T17" i="14"/>
  <c r="X17" i="14"/>
  <c r="AH17" i="14"/>
  <c r="AA17" i="14"/>
  <c r="C21" i="14"/>
  <c r="B17" i="22"/>
  <c r="CG21" i="14"/>
  <c r="CL21" i="14"/>
  <c r="CH21" i="14"/>
  <c r="CI21" i="14" s="1"/>
  <c r="BX21" i="14"/>
  <c r="CJ21" i="14"/>
  <c r="CK21" i="14" s="1"/>
  <c r="P21" i="14"/>
  <c r="BQ21" i="14"/>
  <c r="CA21" i="14" s="1"/>
  <c r="BP21" i="14"/>
  <c r="A12" i="40"/>
  <c r="E12" i="40" s="1"/>
  <c r="DP21" i="14"/>
  <c r="CX21" i="14"/>
  <c r="DE21" i="14"/>
  <c r="DV21" i="14"/>
  <c r="CV21" i="14"/>
  <c r="EO21" i="14"/>
  <c r="DO21" i="14"/>
  <c r="EI21" i="14"/>
  <c r="EJ21" i="14"/>
  <c r="DB21" i="14"/>
  <c r="EK21" i="14"/>
  <c r="DN21" i="14"/>
  <c r="BO21" i="14"/>
  <c r="G21" i="14" s="1"/>
  <c r="D21" i="14"/>
  <c r="EC21" i="14"/>
  <c r="EG21" i="14"/>
  <c r="DK21" i="14"/>
  <c r="EM21" i="14"/>
  <c r="DH21" i="14"/>
  <c r="DC21" i="14"/>
  <c r="CY21" i="14"/>
  <c r="DI21" i="14"/>
  <c r="DA21" i="14"/>
  <c r="DQ21" i="14"/>
  <c r="EL21" i="14"/>
  <c r="EB21" i="14"/>
  <c r="CW21" i="14"/>
  <c r="DU21" i="14"/>
  <c r="DG21" i="14"/>
  <c r="CZ21" i="14"/>
  <c r="DM21" i="14"/>
  <c r="DW21" i="14"/>
  <c r="DY21" i="14"/>
  <c r="DT21" i="14"/>
  <c r="EN21" i="14"/>
  <c r="DD21" i="14"/>
  <c r="ER21" i="14"/>
  <c r="DS21" i="14"/>
  <c r="DZ21" i="14"/>
  <c r="DL21" i="14"/>
  <c r="EA21" i="14"/>
  <c r="DJ21" i="14"/>
  <c r="EP21" i="14"/>
  <c r="DX21" i="14"/>
  <c r="EH21" i="14"/>
  <c r="EQ21" i="14"/>
  <c r="EE21" i="14"/>
  <c r="ED21" i="14"/>
  <c r="EF21" i="14"/>
  <c r="ES21" i="14"/>
  <c r="DF21" i="14"/>
  <c r="BH21" i="14"/>
  <c r="AY21" i="14"/>
  <c r="BB21" i="14"/>
  <c r="BI21" i="14"/>
  <c r="BC21" i="14"/>
  <c r="AS21" i="14"/>
  <c r="BD21" i="14"/>
  <c r="AZ21" i="14"/>
  <c r="AQ21" i="14"/>
  <c r="BM21" i="14"/>
  <c r="AP21" i="14"/>
  <c r="BE21" i="14"/>
  <c r="AU21" i="14"/>
  <c r="BN21" i="14"/>
  <c r="AR21" i="14"/>
  <c r="BL21" i="14"/>
  <c r="AX21" i="14"/>
  <c r="AV21" i="14"/>
  <c r="AT21" i="14"/>
  <c r="BK21" i="14"/>
  <c r="BG21" i="14"/>
  <c r="AO21" i="14"/>
  <c r="AW21" i="14"/>
  <c r="BF21" i="14"/>
  <c r="BA21" i="14"/>
  <c r="BJ21" i="14"/>
  <c r="L51" i="24"/>
  <c r="J51" i="24"/>
  <c r="P51" i="24"/>
  <c r="I51" i="24" s="1"/>
  <c r="U52" i="24"/>
  <c r="F20" i="42"/>
  <c r="E20" i="42"/>
  <c r="A19" i="42"/>
  <c r="B19" i="42" s="1"/>
  <c r="C19" i="42"/>
  <c r="BR51" i="14"/>
  <c r="CC51" i="14"/>
  <c r="CA75" i="14"/>
  <c r="BR75" i="14"/>
  <c r="CC75" i="14"/>
  <c r="AQ30" i="3"/>
  <c r="AR25" i="3" s="1"/>
  <c r="M85" i="24"/>
  <c r="O84" i="24"/>
  <c r="O87" i="24"/>
  <c r="M91" i="24"/>
  <c r="M93" i="24"/>
  <c r="O96" i="24"/>
  <c r="O98" i="24"/>
  <c r="M83" i="24"/>
  <c r="O85" i="24"/>
  <c r="M92" i="24"/>
  <c r="M94" i="24"/>
  <c r="O97" i="24"/>
  <c r="O78" i="24"/>
  <c r="M88" i="24"/>
  <c r="M87" i="24"/>
  <c r="M95" i="24"/>
  <c r="O93" i="24"/>
  <c r="O86" i="24"/>
  <c r="M97" i="24"/>
  <c r="M90" i="24"/>
  <c r="M96" i="24"/>
  <c r="M89" i="24"/>
  <c r="M84" i="24"/>
  <c r="O91" i="24"/>
  <c r="M98" i="24"/>
  <c r="O92" i="24"/>
  <c r="M86" i="24"/>
  <c r="E43" i="33"/>
  <c r="B43" i="33" s="1"/>
  <c r="J43" i="33" s="1"/>
  <c r="O74" i="24"/>
  <c r="O72" i="24"/>
  <c r="E31" i="33"/>
  <c r="B31" i="33" s="1"/>
  <c r="J31" i="33" s="1"/>
  <c r="E15" i="33"/>
  <c r="B15" i="33" s="1"/>
  <c r="AD15" i="33" s="1"/>
  <c r="E22" i="33"/>
  <c r="B22" i="33" s="1"/>
  <c r="J22" i="33" s="1"/>
  <c r="M79" i="24"/>
  <c r="E20" i="33"/>
  <c r="B20" i="33" s="1"/>
  <c r="Z20" i="33" s="1"/>
  <c r="O81" i="24"/>
  <c r="M72" i="24"/>
  <c r="M82" i="24"/>
  <c r="M78" i="24"/>
  <c r="E19" i="33"/>
  <c r="B19" i="33" s="1"/>
  <c r="Z19" i="33" s="1"/>
  <c r="O80" i="24"/>
  <c r="E23" i="33"/>
  <c r="B23" i="33" s="1"/>
  <c r="Z23" i="33" s="1"/>
  <c r="E26" i="33"/>
  <c r="B26" i="33" s="1"/>
  <c r="AA26" i="33" s="1"/>
  <c r="O82" i="24"/>
  <c r="O75" i="24"/>
  <c r="E14" i="33"/>
  <c r="B14" i="33" s="1"/>
  <c r="J14" i="33" s="1"/>
  <c r="O73" i="24"/>
  <c r="E37" i="33"/>
  <c r="B37" i="33" s="1"/>
  <c r="AD37" i="33" s="1"/>
  <c r="AA36" i="33"/>
  <c r="AD36" i="33"/>
  <c r="Z36" i="33"/>
  <c r="J36" i="33"/>
  <c r="AD41" i="33"/>
  <c r="AA41" i="33"/>
  <c r="Z41" i="33"/>
  <c r="J41" i="33"/>
  <c r="M76" i="24"/>
  <c r="M80" i="24"/>
  <c r="AD29" i="33"/>
  <c r="Z29" i="33"/>
  <c r="AA29" i="33"/>
  <c r="J29" i="33"/>
  <c r="AA21" i="33"/>
  <c r="J21" i="33"/>
  <c r="Z21" i="33"/>
  <c r="AD21" i="33"/>
  <c r="AA30" i="33"/>
  <c r="J30" i="33"/>
  <c r="AD30" i="33"/>
  <c r="Z30" i="33"/>
  <c r="AA24" i="33"/>
  <c r="J24" i="33"/>
  <c r="AD24" i="33"/>
  <c r="Z24" i="33"/>
  <c r="AA33" i="33"/>
  <c r="Z33" i="33"/>
  <c r="AD33" i="33"/>
  <c r="J33" i="33"/>
  <c r="J27" i="33"/>
  <c r="Z27" i="33"/>
  <c r="AA27" i="33"/>
  <c r="AD27" i="33"/>
  <c r="M73" i="24"/>
  <c r="M75" i="24"/>
  <c r="M77" i="24"/>
  <c r="AD38" i="33"/>
  <c r="AA38" i="33"/>
  <c r="J38" i="33"/>
  <c r="Z38" i="33"/>
  <c r="AA39" i="33"/>
  <c r="J39" i="33"/>
  <c r="Z39" i="33"/>
  <c r="AD39" i="33"/>
  <c r="AA40" i="33"/>
  <c r="Z40" i="33"/>
  <c r="J40" i="33"/>
  <c r="AD40" i="33"/>
  <c r="O76" i="24"/>
  <c r="J17" i="33"/>
  <c r="Z17" i="33"/>
  <c r="AA17" i="33"/>
  <c r="AD17" i="33"/>
  <c r="Z18" i="33"/>
  <c r="J18" i="33"/>
  <c r="AA18" i="33"/>
  <c r="AD18" i="33"/>
  <c r="AA25" i="33"/>
  <c r="J25" i="33"/>
  <c r="AD25" i="33"/>
  <c r="Z25" i="33"/>
  <c r="Z28" i="33"/>
  <c r="AD28" i="33"/>
  <c r="AA28" i="33"/>
  <c r="J28" i="33"/>
  <c r="AE28" i="33" s="1"/>
  <c r="AQ26" i="3"/>
  <c r="AR26" i="3"/>
  <c r="AE32" i="33"/>
  <c r="Y32" i="33"/>
  <c r="AB32" i="33"/>
  <c r="M74" i="24"/>
  <c r="M81" i="24"/>
  <c r="X56" i="28"/>
  <c r="AH56" i="28"/>
  <c r="C57" i="28"/>
  <c r="P57" i="28"/>
  <c r="Q57" i="28"/>
  <c r="R57" i="28" s="1"/>
  <c r="T57" i="28"/>
  <c r="S57" i="28" s="1"/>
  <c r="B57" i="28"/>
  <c r="AD57" i="28"/>
  <c r="AG57" i="28"/>
  <c r="AC57" i="28"/>
  <c r="O57" i="28"/>
  <c r="H57" i="28"/>
  <c r="A58" i="28"/>
  <c r="Z58" i="28"/>
  <c r="DP73" i="14"/>
  <c r="DW73" i="14"/>
  <c r="EF73" i="14"/>
  <c r="ER73" i="14"/>
  <c r="CV73" i="14"/>
  <c r="Y73" i="14"/>
  <c r="AR73" i="14"/>
  <c r="BE73" i="14"/>
  <c r="BC73" i="14"/>
  <c r="V73" i="14"/>
  <c r="BK73" i="14"/>
  <c r="AQ73" i="14"/>
  <c r="AS73" i="14"/>
  <c r="AG73" i="14"/>
  <c r="S73" i="14"/>
  <c r="AW73" i="14"/>
  <c r="AH73" i="14"/>
  <c r="BL73" i="14"/>
  <c r="AZ73" i="14"/>
  <c r="AI73" i="14"/>
  <c r="AF73" i="14"/>
  <c r="BI73" i="14"/>
  <c r="AT73" i="14"/>
  <c r="AE73" i="14"/>
  <c r="AC73" i="14"/>
  <c r="BF73" i="14"/>
  <c r="AO73" i="14"/>
  <c r="R73" i="14"/>
  <c r="T73" i="14"/>
  <c r="AJ73" i="14"/>
  <c r="AD73" i="14"/>
  <c r="BD73" i="14"/>
  <c r="AL73" i="14"/>
  <c r="AY73" i="14"/>
  <c r="BB73" i="14"/>
  <c r="AB73" i="14"/>
  <c r="BM73" i="14"/>
  <c r="Z73" i="14"/>
  <c r="AK73" i="14"/>
  <c r="AP73" i="14"/>
  <c r="AU73" i="14"/>
  <c r="BJ73" i="14"/>
  <c r="BH73" i="14"/>
  <c r="BA73" i="14"/>
  <c r="BN73" i="14"/>
  <c r="X73" i="14"/>
  <c r="AA73" i="14"/>
  <c r="AV73" i="14"/>
  <c r="AX73" i="14"/>
  <c r="U73" i="14"/>
  <c r="BG73" i="14"/>
  <c r="EE73" i="14"/>
  <c r="DX73" i="14"/>
  <c r="DM73" i="14"/>
  <c r="CY73" i="14"/>
  <c r="EN73" i="14"/>
  <c r="ES73" i="14"/>
  <c r="DE73" i="14"/>
  <c r="DF73" i="14"/>
  <c r="EB73" i="14"/>
  <c r="DC73" i="14"/>
  <c r="EK73" i="14"/>
  <c r="EG73" i="14"/>
  <c r="DA73" i="14"/>
  <c r="EA73" i="14"/>
  <c r="EM73" i="14"/>
  <c r="EO73" i="14"/>
  <c r="DU73" i="14"/>
  <c r="DB73" i="14"/>
  <c r="EJ73" i="14"/>
  <c r="CL210" i="10"/>
  <c r="DY73" i="14"/>
  <c r="DO73" i="14"/>
  <c r="DV73" i="14"/>
  <c r="ED73" i="14"/>
  <c r="DH73" i="14"/>
  <c r="DJ73" i="14"/>
  <c r="DL73" i="14"/>
  <c r="DK73" i="14"/>
  <c r="DD73" i="14"/>
  <c r="EH73" i="14"/>
  <c r="EQ73" i="14"/>
  <c r="DQ73" i="14"/>
  <c r="DT73" i="14"/>
  <c r="DZ73" i="14"/>
  <c r="DG73" i="14"/>
  <c r="CX73" i="14"/>
  <c r="CW73" i="14"/>
  <c r="CZ73" i="14"/>
  <c r="EP73" i="14"/>
  <c r="EI73" i="14"/>
  <c r="DS73" i="14"/>
  <c r="EL73" i="14"/>
  <c r="DN73" i="14"/>
  <c r="EC73" i="14"/>
  <c r="AV49" i="14"/>
  <c r="BJ49" i="14"/>
  <c r="BE49" i="14"/>
  <c r="BL49" i="14"/>
  <c r="BC49" i="14"/>
  <c r="AR49" i="14"/>
  <c r="BH49" i="14"/>
  <c r="AW49" i="14"/>
  <c r="AO49" i="14"/>
  <c r="AU49" i="14"/>
  <c r="BK49" i="14"/>
  <c r="AY49" i="14"/>
  <c r="AP49" i="14"/>
  <c r="BA49" i="14"/>
  <c r="BN74" i="14"/>
  <c r="AX71" i="14"/>
  <c r="AJ71" i="14"/>
  <c r="AG71" i="14"/>
  <c r="BE71" i="14"/>
  <c r="AO71" i="14"/>
  <c r="AI71" i="14"/>
  <c r="AP71" i="14"/>
  <c r="AE71" i="14"/>
  <c r="AC71" i="14"/>
  <c r="V71" i="14"/>
  <c r="BM71" i="14"/>
  <c r="R71" i="14"/>
  <c r="AA71" i="14"/>
  <c r="BJ71" i="14"/>
  <c r="BI71" i="14"/>
  <c r="AH71" i="14"/>
  <c r="BN71" i="14"/>
  <c r="BK71" i="14"/>
  <c r="U71" i="14"/>
  <c r="AW71" i="14"/>
  <c r="AL71" i="14"/>
  <c r="AR71" i="14"/>
  <c r="W71" i="14"/>
  <c r="Z71" i="14"/>
  <c r="BA71" i="14"/>
  <c r="AY71" i="14"/>
  <c r="AU71" i="14"/>
  <c r="AZ71" i="14"/>
  <c r="AV71" i="14"/>
  <c r="BF71" i="14"/>
  <c r="T71" i="14"/>
  <c r="AB71" i="14"/>
  <c r="BH71" i="14"/>
  <c r="AK71" i="14"/>
  <c r="AT71" i="14"/>
  <c r="S71" i="14"/>
  <c r="BG71" i="14"/>
  <c r="AF71" i="14"/>
  <c r="Y71" i="14"/>
  <c r="AQ71" i="14"/>
  <c r="AS71" i="14"/>
  <c r="BB71" i="14"/>
  <c r="AD71" i="14"/>
  <c r="BD71" i="14"/>
  <c r="BL71" i="14"/>
  <c r="X71" i="14"/>
  <c r="BC71" i="14"/>
  <c r="BB25" i="14"/>
  <c r="EK25" i="14"/>
  <c r="DG25" i="14"/>
  <c r="BM25" i="14"/>
  <c r="EE25" i="14"/>
  <c r="BE25" i="14"/>
  <c r="DB25" i="14"/>
  <c r="CZ25" i="14"/>
  <c r="DH25" i="14"/>
  <c r="DQ25" i="14"/>
  <c r="AY25" i="14"/>
  <c r="DV25" i="14"/>
  <c r="BF25" i="14"/>
  <c r="DY25" i="14"/>
  <c r="BP25" i="14"/>
  <c r="EP25" i="14"/>
  <c r="DM25" i="14"/>
  <c r="AW25" i="14"/>
  <c r="DS25" i="14"/>
  <c r="ED25" i="14"/>
  <c r="EL25" i="14"/>
  <c r="DE25" i="14"/>
  <c r="CJ25" i="14"/>
  <c r="CK25" i="14" s="1"/>
  <c r="EM25" i="14"/>
  <c r="ES25" i="14"/>
  <c r="DD25" i="14"/>
  <c r="BI25" i="14"/>
  <c r="EJ25" i="14"/>
  <c r="G25" i="14"/>
  <c r="D25" i="14"/>
  <c r="BH25" i="14"/>
  <c r="AV25" i="14"/>
  <c r="CW25" i="14"/>
  <c r="EN25" i="14"/>
  <c r="K25" i="14"/>
  <c r="DI25" i="14"/>
  <c r="CY25" i="14"/>
  <c r="BQ25" i="14"/>
  <c r="EO25" i="14"/>
  <c r="DX25" i="14"/>
  <c r="BK25" i="14"/>
  <c r="EC25" i="14"/>
  <c r="EB25" i="14"/>
  <c r="EF25" i="14"/>
  <c r="DK25" i="14"/>
  <c r="B25" i="14"/>
  <c r="AQ25" i="14"/>
  <c r="DA25" i="14"/>
  <c r="B21" i="22"/>
  <c r="EG25" i="14"/>
  <c r="AP25" i="14"/>
  <c r="DC25" i="14"/>
  <c r="BA25" i="14"/>
  <c r="EI25" i="14"/>
  <c r="BN25" i="14"/>
  <c r="DZ25" i="14"/>
  <c r="AO25" i="14"/>
  <c r="DW25" i="14"/>
  <c r="CL25" i="14"/>
  <c r="DT25" i="14"/>
  <c r="AS25" i="14"/>
  <c r="DO25" i="14"/>
  <c r="DF25" i="14"/>
  <c r="EQ25" i="14"/>
  <c r="DJ25" i="14"/>
  <c r="AZ25" i="14"/>
  <c r="CG25" i="14"/>
  <c r="BO25" i="14"/>
  <c r="CX25" i="14"/>
  <c r="C25" i="14"/>
  <c r="AX25" i="14"/>
  <c r="AU25" i="14"/>
  <c r="EH25" i="14"/>
  <c r="EA25" i="14"/>
  <c r="BD25" i="14"/>
  <c r="DL25" i="14"/>
  <c r="BG25" i="14"/>
  <c r="AR25" i="14"/>
  <c r="DP25" i="14"/>
  <c r="A16" i="40"/>
  <c r="E16" i="40" s="1"/>
  <c r="DU25" i="14"/>
  <c r="BC25" i="14"/>
  <c r="DN25" i="14"/>
  <c r="AT25" i="14"/>
  <c r="CH25" i="14"/>
  <c r="CI25" i="14" s="1"/>
  <c r="CV25" i="14"/>
  <c r="ER25" i="14"/>
  <c r="BJ25" i="14"/>
  <c r="BL25" i="14"/>
  <c r="BX25" i="14"/>
  <c r="U74" i="14"/>
  <c r="X74" i="14"/>
  <c r="BH74" i="14"/>
  <c r="BD74" i="14"/>
  <c r="BJ74" i="14"/>
  <c r="S74" i="14"/>
  <c r="BG74" i="14"/>
  <c r="AD74" i="14"/>
  <c r="AS74" i="14"/>
  <c r="AC74" i="14"/>
  <c r="BB74" i="14"/>
  <c r="BE74" i="14"/>
  <c r="BM74" i="14"/>
  <c r="AV74" i="14"/>
  <c r="AT74" i="14"/>
  <c r="AP74" i="14"/>
  <c r="AI74" i="14"/>
  <c r="AL74" i="14"/>
  <c r="BF74" i="14"/>
  <c r="AB74" i="14"/>
  <c r="AE74" i="14"/>
  <c r="T74" i="14"/>
  <c r="W74" i="14"/>
  <c r="BL74" i="14"/>
  <c r="BA74" i="14"/>
  <c r="AZ74" i="14"/>
  <c r="AY74" i="14"/>
  <c r="AG74" i="14"/>
  <c r="AR74" i="14"/>
  <c r="Y74" i="14"/>
  <c r="BK74" i="14"/>
  <c r="AX74" i="14"/>
  <c r="AO74" i="14"/>
  <c r="AF74" i="14"/>
  <c r="AJ74" i="14"/>
  <c r="AA74" i="14"/>
  <c r="BC74" i="14"/>
  <c r="AQ74" i="14"/>
  <c r="AH74" i="14"/>
  <c r="AK74" i="14"/>
  <c r="Z74" i="14"/>
  <c r="V74" i="14"/>
  <c r="AW74" i="14"/>
  <c r="BI74" i="14"/>
  <c r="R74" i="14"/>
  <c r="CN210" i="10"/>
  <c r="CK210" i="10"/>
  <c r="AL210" i="10"/>
  <c r="O210" i="10"/>
  <c r="B174" i="39" s="1"/>
  <c r="B211" i="10"/>
  <c r="O211" i="10" s="1"/>
  <c r="B175" i="39" s="1"/>
  <c r="BQ219" i="10"/>
  <c r="A218" i="10"/>
  <c r="BR210" i="10"/>
  <c r="BO217" i="10"/>
  <c r="CG217" i="10"/>
  <c r="CH212" i="10"/>
  <c r="BW212" i="10"/>
  <c r="EF212" i="10"/>
  <c r="C37" i="34"/>
  <c r="D38" i="34" s="1"/>
  <c r="B42" i="23"/>
  <c r="AG42" i="23"/>
  <c r="BN213" i="10"/>
  <c r="Y41" i="23"/>
  <c r="E41" i="23"/>
  <c r="S41" i="23"/>
  <c r="M41" i="23"/>
  <c r="O41" i="23"/>
  <c r="V41" i="23"/>
  <c r="AD41" i="23"/>
  <c r="Z41" i="23"/>
  <c r="I41" i="23"/>
  <c r="P76" i="14"/>
  <c r="BP76" i="14"/>
  <c r="A65" i="40"/>
  <c r="B76" i="14"/>
  <c r="M76" i="14" s="1"/>
  <c r="C65" i="40" s="1"/>
  <c r="E65" i="40" s="1"/>
  <c r="D76" i="14"/>
  <c r="BQ76" i="14"/>
  <c r="CB76" i="14"/>
  <c r="BV76" i="14" s="1"/>
  <c r="C76" i="14"/>
  <c r="CG76" i="14"/>
  <c r="BX76" i="14"/>
  <c r="B64" i="40"/>
  <c r="BT75" i="14"/>
  <c r="BU75" i="14"/>
  <c r="CE76" i="14"/>
  <c r="K75" i="14"/>
  <c r="EB74" i="14"/>
  <c r="DB74" i="14"/>
  <c r="EN74" i="14"/>
  <c r="EF74" i="14"/>
  <c r="DZ74" i="14"/>
  <c r="DU74" i="14"/>
  <c r="DN74" i="14"/>
  <c r="DD74" i="14"/>
  <c r="DL74" i="14"/>
  <c r="BO74" i="14"/>
  <c r="G74" i="14" s="1"/>
  <c r="EL74" i="14"/>
  <c r="DI74" i="14"/>
  <c r="EG74" i="14"/>
  <c r="DC74" i="14"/>
  <c r="DJ74" i="14"/>
  <c r="EI74" i="14"/>
  <c r="ER74" i="14"/>
  <c r="DQ74" i="14"/>
  <c r="CW74" i="14"/>
  <c r="EP74" i="14"/>
  <c r="DW74" i="14"/>
  <c r="DH74" i="14"/>
  <c r="DX74" i="14"/>
  <c r="CY74" i="14"/>
  <c r="DT74" i="14"/>
  <c r="CV74" i="14"/>
  <c r="EC74" i="14"/>
  <c r="DO74" i="14"/>
  <c r="ES74" i="14"/>
  <c r="EO74" i="14"/>
  <c r="EM74" i="14"/>
  <c r="EH74" i="14"/>
  <c r="DS74" i="14"/>
  <c r="DP74" i="14"/>
  <c r="EE74" i="14"/>
  <c r="DG74" i="14"/>
  <c r="DY74" i="14"/>
  <c r="EJ74" i="14"/>
  <c r="ED74" i="14"/>
  <c r="DA74" i="14"/>
  <c r="DV74" i="14"/>
  <c r="DF74" i="14"/>
  <c r="DE74" i="14"/>
  <c r="CZ74" i="14"/>
  <c r="CX74" i="14"/>
  <c r="DM74" i="14"/>
  <c r="DK74" i="14"/>
  <c r="EK74" i="14"/>
  <c r="EQ74" i="14"/>
  <c r="EA74" i="14"/>
  <c r="BY213" i="10"/>
  <c r="GW88" i="7"/>
  <c r="DE147" i="10"/>
  <c r="GU89" i="7"/>
  <c r="DD144" i="10"/>
  <c r="GV89" i="7"/>
  <c r="N51" i="24"/>
  <c r="BX213" i="10"/>
  <c r="C212" i="10"/>
  <c r="G213" i="10"/>
  <c r="GX88" i="7" l="1"/>
  <c r="AE57" i="28"/>
  <c r="BM49" i="14"/>
  <c r="AS49" i="14"/>
  <c r="BG49" i="14"/>
  <c r="BB49" i="14"/>
  <c r="BF49" i="14"/>
  <c r="BI49" i="14"/>
  <c r="AX49" i="14"/>
  <c r="AQ49" i="14"/>
  <c r="BN49" i="14"/>
  <c r="AZ49" i="14"/>
  <c r="AT49" i="14"/>
  <c r="BD49" i="14"/>
  <c r="CM48" i="14"/>
  <c r="B48" i="14" s="1"/>
  <c r="M48" i="14" s="1"/>
  <c r="A50" i="14"/>
  <c r="CE50" i="14" s="1"/>
  <c r="A24" i="14"/>
  <c r="CE24" i="14" s="1"/>
  <c r="CE25" i="14" s="1"/>
  <c r="S17" i="22"/>
  <c r="Y17" i="22"/>
  <c r="M17" i="22"/>
  <c r="I17" i="22"/>
  <c r="E17" i="22"/>
  <c r="V17" i="22"/>
  <c r="O17" i="22"/>
  <c r="AD17" i="22"/>
  <c r="AL46" i="14"/>
  <c r="AE46" i="14"/>
  <c r="T46" i="14"/>
  <c r="AJ46" i="14"/>
  <c r="AB46" i="14"/>
  <c r="AF46" i="14"/>
  <c r="U46" i="14"/>
  <c r="AI46" i="14"/>
  <c r="X46" i="14"/>
  <c r="W46" i="14"/>
  <c r="AG46" i="14"/>
  <c r="AH46" i="14"/>
  <c r="AA46" i="14"/>
  <c r="Y46" i="14"/>
  <c r="V46" i="14"/>
  <c r="AK46" i="14"/>
  <c r="AD46" i="14"/>
  <c r="R46" i="14"/>
  <c r="S46" i="14"/>
  <c r="Z46" i="14"/>
  <c r="AC46" i="14"/>
  <c r="BU48" i="14"/>
  <c r="BT48" i="14"/>
  <c r="B38" i="40"/>
  <c r="J52" i="24"/>
  <c r="L52" i="24"/>
  <c r="P52" i="24"/>
  <c r="I52" i="24" s="1"/>
  <c r="BT21" i="14"/>
  <c r="B12" i="40"/>
  <c r="C10" i="40"/>
  <c r="K19" i="14"/>
  <c r="A17" i="38"/>
  <c r="B17" i="38" s="1"/>
  <c r="C17" i="38"/>
  <c r="CB49" i="14"/>
  <c r="BV49" i="14" s="1"/>
  <c r="CH49" i="14"/>
  <c r="CI49" i="14" s="1"/>
  <c r="B45" i="22"/>
  <c r="D49" i="14"/>
  <c r="BQ49" i="14"/>
  <c r="CA49" i="14" s="1"/>
  <c r="BP49" i="14"/>
  <c r="A39" i="40"/>
  <c r="E39" i="40" s="1"/>
  <c r="BX49" i="14"/>
  <c r="C49" i="14"/>
  <c r="CG49" i="14"/>
  <c r="CL49" i="14"/>
  <c r="P49" i="14"/>
  <c r="CJ49" i="14"/>
  <c r="CK49" i="14" s="1"/>
  <c r="DG49" i="14"/>
  <c r="ED49" i="14"/>
  <c r="CV49" i="14"/>
  <c r="DI49" i="14"/>
  <c r="EG49" i="14"/>
  <c r="DA49" i="14"/>
  <c r="DZ49" i="14"/>
  <c r="DT49" i="14"/>
  <c r="EL49" i="14"/>
  <c r="EP49" i="14"/>
  <c r="EC49" i="14"/>
  <c r="DD49" i="14"/>
  <c r="CW49" i="14"/>
  <c r="CZ49" i="14"/>
  <c r="EN49" i="14"/>
  <c r="DP49" i="14"/>
  <c r="EI49" i="14"/>
  <c r="DJ49" i="14"/>
  <c r="ER49" i="14"/>
  <c r="EA49" i="14"/>
  <c r="DX49" i="14"/>
  <c r="DN49" i="14"/>
  <c r="ES49" i="14"/>
  <c r="DQ49" i="14"/>
  <c r="DM49" i="14"/>
  <c r="DO49" i="14"/>
  <c r="DH49" i="14"/>
  <c r="CY49" i="14"/>
  <c r="DW49" i="14"/>
  <c r="EJ49" i="14"/>
  <c r="DY49" i="14"/>
  <c r="DF49" i="14"/>
  <c r="EM49" i="14"/>
  <c r="EQ49" i="14"/>
  <c r="EO49" i="14"/>
  <c r="DU49" i="14"/>
  <c r="EE49" i="14"/>
  <c r="CX49" i="14"/>
  <c r="BO49" i="14"/>
  <c r="G49" i="14" s="1"/>
  <c r="DK49" i="14"/>
  <c r="EH49" i="14"/>
  <c r="EK49" i="14"/>
  <c r="DC49" i="14"/>
  <c r="DE49" i="14"/>
  <c r="DS49" i="14"/>
  <c r="DV49" i="14"/>
  <c r="DB49" i="14"/>
  <c r="EF49" i="14"/>
  <c r="EB49" i="14"/>
  <c r="DL49" i="14"/>
  <c r="R18" i="14"/>
  <c r="AF18" i="14"/>
  <c r="AD18" i="14"/>
  <c r="AE18" i="14"/>
  <c r="T18" i="14"/>
  <c r="AG18" i="14"/>
  <c r="Z18" i="14"/>
  <c r="AL18" i="14"/>
  <c r="Y18" i="14"/>
  <c r="W18" i="14"/>
  <c r="X18" i="14"/>
  <c r="AK18" i="14"/>
  <c r="AC18" i="14"/>
  <c r="AJ18" i="14"/>
  <c r="AB18" i="14"/>
  <c r="AH18" i="14"/>
  <c r="U18" i="14"/>
  <c r="S18" i="14"/>
  <c r="V18" i="14"/>
  <c r="AI18" i="14"/>
  <c r="AA18" i="14"/>
  <c r="U45" i="14"/>
  <c r="AL45" i="14"/>
  <c r="AB45" i="14"/>
  <c r="V45" i="14"/>
  <c r="AF45" i="14"/>
  <c r="AA45" i="14"/>
  <c r="Z45" i="14"/>
  <c r="AH45" i="14"/>
  <c r="AK45" i="14"/>
  <c r="T45" i="14"/>
  <c r="AI45" i="14"/>
  <c r="W45" i="14"/>
  <c r="S45" i="14"/>
  <c r="AD45" i="14"/>
  <c r="AE45" i="14"/>
  <c r="X45" i="14"/>
  <c r="AC45" i="14"/>
  <c r="AG45" i="14"/>
  <c r="Y45" i="14"/>
  <c r="R45" i="14"/>
  <c r="AJ45" i="14"/>
  <c r="M20" i="14"/>
  <c r="M44" i="22"/>
  <c r="V44" i="22"/>
  <c r="E44" i="22"/>
  <c r="Y44" i="22"/>
  <c r="O44" i="22"/>
  <c r="S44" i="22"/>
  <c r="I44" i="22"/>
  <c r="F18" i="38"/>
  <c r="E18" i="38"/>
  <c r="M47" i="14"/>
  <c r="CM21" i="14"/>
  <c r="B21" i="14" s="1"/>
  <c r="V52" i="24"/>
  <c r="U53" i="24" s="1"/>
  <c r="DI22" i="14"/>
  <c r="AY22" i="14"/>
  <c r="DG22" i="14"/>
  <c r="DK22" i="14"/>
  <c r="EI22" i="14"/>
  <c r="BJ22" i="14"/>
  <c r="AP22" i="14"/>
  <c r="BX22" i="14"/>
  <c r="CY22" i="14"/>
  <c r="CL22" i="14"/>
  <c r="DQ22" i="14"/>
  <c r="DT22" i="14"/>
  <c r="EL22" i="14"/>
  <c r="DU22" i="14"/>
  <c r="DM22" i="14"/>
  <c r="B22" i="14"/>
  <c r="M22" i="14" s="1"/>
  <c r="C13" i="40" s="1"/>
  <c r="C22" i="14"/>
  <c r="AT22" i="14"/>
  <c r="A13" i="40"/>
  <c r="E13" i="40" s="1"/>
  <c r="BK22" i="14"/>
  <c r="DD22" i="14"/>
  <c r="EG22" i="14"/>
  <c r="DP22" i="14"/>
  <c r="BO22" i="14"/>
  <c r="AO22" i="14"/>
  <c r="BE22" i="14"/>
  <c r="EM22" i="14"/>
  <c r="ED22" i="14"/>
  <c r="DZ22" i="14"/>
  <c r="EQ22" i="14"/>
  <c r="ES22" i="14"/>
  <c r="BB22" i="14"/>
  <c r="DJ22" i="14"/>
  <c r="DS22" i="14"/>
  <c r="CZ22" i="14"/>
  <c r="AU22" i="14"/>
  <c r="EK22" i="14"/>
  <c r="AQ22" i="14"/>
  <c r="DE22" i="14"/>
  <c r="BF22" i="14"/>
  <c r="AW22" i="14"/>
  <c r="EJ22" i="14"/>
  <c r="AS22" i="14"/>
  <c r="B18" i="22"/>
  <c r="EO22" i="14"/>
  <c r="DX22" i="14"/>
  <c r="BC22" i="14"/>
  <c r="EB22" i="14"/>
  <c r="AZ22" i="14"/>
  <c r="DL22" i="14"/>
  <c r="DW22" i="14"/>
  <c r="EH22" i="14"/>
  <c r="BP22" i="14"/>
  <c r="BD22" i="14"/>
  <c r="AV22" i="14"/>
  <c r="DF22" i="14"/>
  <c r="CV22" i="14"/>
  <c r="AR22" i="14"/>
  <c r="BN22" i="14"/>
  <c r="DB22" i="14"/>
  <c r="CG22" i="14"/>
  <c r="BG22" i="14"/>
  <c r="G22" i="14"/>
  <c r="D22" i="14"/>
  <c r="EC22" i="14"/>
  <c r="CJ22" i="14"/>
  <c r="CK22" i="14" s="1"/>
  <c r="EF22" i="14"/>
  <c r="ER22" i="14"/>
  <c r="DA22" i="14"/>
  <c r="DV22" i="14"/>
  <c r="CX22" i="14"/>
  <c r="BL22" i="14"/>
  <c r="DY22" i="14"/>
  <c r="P22" i="14"/>
  <c r="DH22" i="14"/>
  <c r="EP22" i="14"/>
  <c r="BH22" i="14"/>
  <c r="EA22" i="14"/>
  <c r="AX22" i="14"/>
  <c r="DC22" i="14"/>
  <c r="BQ22" i="14"/>
  <c r="CA22" i="14" s="1"/>
  <c r="CW22" i="14"/>
  <c r="BM22" i="14"/>
  <c r="BA22" i="14"/>
  <c r="EN22" i="14"/>
  <c r="BI22" i="14"/>
  <c r="DN22" i="14"/>
  <c r="DO22" i="14"/>
  <c r="EE22" i="14"/>
  <c r="CH22" i="14"/>
  <c r="CI22" i="14" s="1"/>
  <c r="A20" i="42"/>
  <c r="B20" i="42" s="1"/>
  <c r="C20" i="42"/>
  <c r="E21" i="42"/>
  <c r="F21" i="42"/>
  <c r="AQ25" i="3"/>
  <c r="M30" i="3" s="1"/>
  <c r="CA76" i="14"/>
  <c r="CC76" i="14"/>
  <c r="BR76" i="14"/>
  <c r="BR52" i="14"/>
  <c r="CC52" i="14"/>
  <c r="CA25" i="14"/>
  <c r="BR25" i="14"/>
  <c r="CC25" i="14"/>
  <c r="BR26" i="14"/>
  <c r="CC26" i="14"/>
  <c r="Z43" i="33"/>
  <c r="AD19" i="33"/>
  <c r="AD43" i="33"/>
  <c r="AR137" i="33" s="1"/>
  <c r="AA43" i="33"/>
  <c r="J37" i="33"/>
  <c r="AB37" i="33" s="1"/>
  <c r="AA19" i="33"/>
  <c r="AA31" i="33"/>
  <c r="AD31" i="33"/>
  <c r="AD26" i="33"/>
  <c r="J15" i="33"/>
  <c r="Y15" i="33" s="1"/>
  <c r="AA20" i="33"/>
  <c r="Z26" i="33"/>
  <c r="Z31" i="33"/>
  <c r="Z15" i="33"/>
  <c r="AD14" i="33"/>
  <c r="Z37" i="33"/>
  <c r="AA22" i="33"/>
  <c r="AA37" i="33"/>
  <c r="Z14" i="33"/>
  <c r="AD23" i="33"/>
  <c r="AA15" i="33"/>
  <c r="J19" i="33"/>
  <c r="Y19" i="33" s="1"/>
  <c r="AA23" i="33"/>
  <c r="Z22" i="33"/>
  <c r="AD20" i="33"/>
  <c r="AD22" i="33"/>
  <c r="AA14" i="33"/>
  <c r="J26" i="33"/>
  <c r="AB26" i="33" s="1"/>
  <c r="J23" i="33"/>
  <c r="AB23" i="33" s="1"/>
  <c r="J20" i="33"/>
  <c r="Y20" i="33" s="1"/>
  <c r="AE14" i="33"/>
  <c r="AB14" i="33"/>
  <c r="Y14" i="33"/>
  <c r="AE22" i="33"/>
  <c r="Y22" i="33"/>
  <c r="AB22" i="33"/>
  <c r="C30" i="3"/>
  <c r="AE25" i="33"/>
  <c r="AB25" i="33"/>
  <c r="Y25" i="33"/>
  <c r="AE18" i="33"/>
  <c r="Y18" i="33"/>
  <c r="AB18" i="33"/>
  <c r="AE40" i="33"/>
  <c r="Y40" i="33"/>
  <c r="AB40" i="33"/>
  <c r="AE38" i="33"/>
  <c r="Y38" i="33"/>
  <c r="AB38" i="33"/>
  <c r="AE24" i="33"/>
  <c r="Y24" i="33"/>
  <c r="AB24" i="33"/>
  <c r="AE30" i="33"/>
  <c r="AB30" i="33"/>
  <c r="Y30" i="33"/>
  <c r="AE21" i="33"/>
  <c r="AB21" i="33"/>
  <c r="Y21" i="33"/>
  <c r="AE31" i="33"/>
  <c r="AB31" i="33"/>
  <c r="Y31" i="33"/>
  <c r="AB28" i="33"/>
  <c r="Y28" i="33"/>
  <c r="AE17" i="33"/>
  <c r="Y17" i="33"/>
  <c r="AB17" i="33"/>
  <c r="AE26" i="33"/>
  <c r="AE39" i="33"/>
  <c r="Y39" i="33"/>
  <c r="AB39" i="33"/>
  <c r="AE27" i="33"/>
  <c r="AB27" i="33"/>
  <c r="Y27" i="33"/>
  <c r="AE43" i="33"/>
  <c r="Y43" i="33"/>
  <c r="AB43" i="33"/>
  <c r="AE33" i="33"/>
  <c r="AB33" i="33"/>
  <c r="Y33" i="33"/>
  <c r="AE29" i="33"/>
  <c r="AB29" i="33"/>
  <c r="Y29" i="33"/>
  <c r="AE41" i="33"/>
  <c r="Y41" i="33"/>
  <c r="AB41" i="33"/>
  <c r="AE36" i="33"/>
  <c r="Y36" i="33"/>
  <c r="AB36" i="33"/>
  <c r="X57" i="28"/>
  <c r="A59" i="28"/>
  <c r="Z59" i="28"/>
  <c r="AB57" i="28"/>
  <c r="AH57" i="28"/>
  <c r="C58" i="28"/>
  <c r="AB58" i="28" s="1"/>
  <c r="AC58" i="28"/>
  <c r="AG58" i="28"/>
  <c r="O58" i="28"/>
  <c r="P58" i="28"/>
  <c r="T58" i="28"/>
  <c r="S58" i="28" s="1"/>
  <c r="H58" i="28"/>
  <c r="B58" i="28"/>
  <c r="AD58" i="28"/>
  <c r="Q58" i="28"/>
  <c r="R58" i="28" s="1"/>
  <c r="AE25" i="14"/>
  <c r="X25" i="14"/>
  <c r="AH25" i="14"/>
  <c r="V25" i="14"/>
  <c r="W25" i="14"/>
  <c r="AC25" i="14"/>
  <c r="AD25" i="14"/>
  <c r="AG25" i="14"/>
  <c r="AK25" i="14"/>
  <c r="AF25" i="14"/>
  <c r="Z25" i="14"/>
  <c r="AI25" i="14"/>
  <c r="R25" i="14"/>
  <c r="Y25" i="14"/>
  <c r="U25" i="14"/>
  <c r="AL25" i="14"/>
  <c r="AA25" i="14"/>
  <c r="AJ25" i="14"/>
  <c r="T25" i="14"/>
  <c r="S25" i="14"/>
  <c r="AB25" i="14"/>
  <c r="AU50" i="14"/>
  <c r="BJ50" i="14"/>
  <c r="I21" i="22"/>
  <c r="O21" i="22"/>
  <c r="E21" i="22"/>
  <c r="Y21" i="22"/>
  <c r="V21" i="22"/>
  <c r="S21" i="22"/>
  <c r="M21" i="22"/>
  <c r="AD21" i="22"/>
  <c r="CN211" i="10"/>
  <c r="CM25" i="14"/>
  <c r="BT25" i="14"/>
  <c r="B16" i="40"/>
  <c r="AL211" i="10"/>
  <c r="B212" i="10"/>
  <c r="AL212" i="10" s="1"/>
  <c r="A219" i="10"/>
  <c r="BQ220" i="10"/>
  <c r="BR211" i="10"/>
  <c r="CK211" i="10"/>
  <c r="CL211" i="10"/>
  <c r="CG218" i="10"/>
  <c r="BO218" i="10"/>
  <c r="BW213" i="10"/>
  <c r="EF213" i="10"/>
  <c r="B43" i="23"/>
  <c r="AG43" i="23"/>
  <c r="C38" i="34"/>
  <c r="D39" i="34" s="1"/>
  <c r="BN214" i="10"/>
  <c r="O42" i="23"/>
  <c r="AD42" i="23"/>
  <c r="S42" i="23"/>
  <c r="E42" i="23"/>
  <c r="M42" i="23"/>
  <c r="V42" i="23"/>
  <c r="Z42" i="23"/>
  <c r="Y42" i="23"/>
  <c r="I42" i="23"/>
  <c r="A77" i="14"/>
  <c r="CE77" i="14" s="1"/>
  <c r="BU76" i="14"/>
  <c r="B65" i="40"/>
  <c r="BT76" i="14"/>
  <c r="V75" i="14"/>
  <c r="AX75" i="14"/>
  <c r="AW75" i="14"/>
  <c r="AO75" i="14"/>
  <c r="BI75" i="14"/>
  <c r="BF75" i="14"/>
  <c r="BM75" i="14"/>
  <c r="T75" i="14"/>
  <c r="Y75" i="14"/>
  <c r="AJ75" i="14"/>
  <c r="AI75" i="14"/>
  <c r="AL75" i="14"/>
  <c r="AR75" i="14"/>
  <c r="W75" i="14"/>
  <c r="BK75" i="14"/>
  <c r="AZ75" i="14"/>
  <c r="BC75" i="14"/>
  <c r="AU75" i="14"/>
  <c r="AE75" i="14"/>
  <c r="BD75" i="14"/>
  <c r="BJ75" i="14"/>
  <c r="BB75" i="14"/>
  <c r="AT75" i="14"/>
  <c r="AY75" i="14"/>
  <c r="S75" i="14"/>
  <c r="AF75" i="14"/>
  <c r="AQ75" i="14"/>
  <c r="R75" i="14"/>
  <c r="AC75" i="14"/>
  <c r="AS75" i="14"/>
  <c r="AD75" i="14"/>
  <c r="BH75" i="14"/>
  <c r="X75" i="14"/>
  <c r="AV75" i="14"/>
  <c r="Z75" i="14"/>
  <c r="BN75" i="14"/>
  <c r="AA75" i="14"/>
  <c r="BL75" i="14"/>
  <c r="AG75" i="14"/>
  <c r="AK75" i="14"/>
  <c r="AP75" i="14"/>
  <c r="BE75" i="14"/>
  <c r="BA75" i="14"/>
  <c r="U75" i="14"/>
  <c r="AB75" i="14"/>
  <c r="BG75" i="14"/>
  <c r="AH75" i="14"/>
  <c r="DH75" i="14"/>
  <c r="EG75" i="14"/>
  <c r="CX75" i="14"/>
  <c r="DE75" i="14"/>
  <c r="EO75" i="14"/>
  <c r="DT75" i="14"/>
  <c r="EP75" i="14"/>
  <c r="DO75" i="14"/>
  <c r="EB75" i="14"/>
  <c r="DQ75" i="14"/>
  <c r="DV75" i="14"/>
  <c r="DB75" i="14"/>
  <c r="DS75" i="14"/>
  <c r="DK75" i="14"/>
  <c r="CV75" i="14"/>
  <c r="DX75" i="14"/>
  <c r="ED75" i="14"/>
  <c r="DJ75" i="14"/>
  <c r="CZ75" i="14"/>
  <c r="DF75" i="14"/>
  <c r="EH75" i="14"/>
  <c r="EF75" i="14"/>
  <c r="DN75" i="14"/>
  <c r="DZ75" i="14"/>
  <c r="EA75" i="14"/>
  <c r="DL75" i="14"/>
  <c r="EI75" i="14"/>
  <c r="EN75" i="14"/>
  <c r="DD75" i="14"/>
  <c r="DP75" i="14"/>
  <c r="EC75" i="14"/>
  <c r="DG75" i="14"/>
  <c r="EK75" i="14"/>
  <c r="DI75" i="14"/>
  <c r="EM75" i="14"/>
  <c r="DC75" i="14"/>
  <c r="EE75" i="14"/>
  <c r="DU75" i="14"/>
  <c r="BO75" i="14"/>
  <c r="G75" i="14" s="1"/>
  <c r="EQ75" i="14"/>
  <c r="CW75" i="14"/>
  <c r="DA75" i="14"/>
  <c r="EJ75" i="14"/>
  <c r="DM75" i="14"/>
  <c r="CY75" i="14"/>
  <c r="ER75" i="14"/>
  <c r="DW75" i="14"/>
  <c r="ES75" i="14"/>
  <c r="DY75" i="14"/>
  <c r="EL75" i="14"/>
  <c r="K76" i="14"/>
  <c r="AZ76" i="14" s="1"/>
  <c r="BY214" i="10"/>
  <c r="GW89" i="7"/>
  <c r="GU90" i="7"/>
  <c r="DE148" i="10"/>
  <c r="DD145" i="10"/>
  <c r="GV90" i="7"/>
  <c r="N52" i="24"/>
  <c r="BX214" i="10"/>
  <c r="F213" i="10"/>
  <c r="G214" i="10"/>
  <c r="F214" i="10"/>
  <c r="BA50" i="14" l="1"/>
  <c r="BE50" i="14"/>
  <c r="AW50" i="14"/>
  <c r="BI50" i="14"/>
  <c r="AV50" i="14"/>
  <c r="BB50" i="14"/>
  <c r="AP50" i="14"/>
  <c r="AX50" i="14"/>
  <c r="BH50" i="14"/>
  <c r="BD50" i="14"/>
  <c r="BM50" i="14"/>
  <c r="AQ50" i="14"/>
  <c r="AS50" i="14"/>
  <c r="AZ50" i="14"/>
  <c r="BN50" i="14"/>
  <c r="AO50" i="14"/>
  <c r="BC50" i="14"/>
  <c r="AY50" i="14"/>
  <c r="BG50" i="14"/>
  <c r="BF50" i="14"/>
  <c r="BK50" i="14"/>
  <c r="BL50" i="14"/>
  <c r="AT50" i="14"/>
  <c r="AR50" i="14"/>
  <c r="GX89" i="7"/>
  <c r="AB19" i="33"/>
  <c r="AE19" i="33"/>
  <c r="AE15" i="33"/>
  <c r="AE23" i="33"/>
  <c r="AE58" i="28"/>
  <c r="V53" i="24"/>
  <c r="U54" i="24" s="1"/>
  <c r="K22" i="14"/>
  <c r="X22" i="14" s="1"/>
  <c r="CM49" i="14"/>
  <c r="B49" i="14" s="1"/>
  <c r="M49" i="14" s="1"/>
  <c r="A26" i="14"/>
  <c r="CE26" i="14" s="1"/>
  <c r="A51" i="14"/>
  <c r="CE51" i="14" s="1"/>
  <c r="CM22" i="14"/>
  <c r="BT22" i="14"/>
  <c r="B13" i="40"/>
  <c r="C11" i="40"/>
  <c r="K20" i="14"/>
  <c r="O45" i="22"/>
  <c r="S45" i="22"/>
  <c r="Y45" i="22"/>
  <c r="V45" i="22"/>
  <c r="M45" i="22"/>
  <c r="E45" i="22"/>
  <c r="I45" i="22"/>
  <c r="M18" i="22"/>
  <c r="S18" i="22"/>
  <c r="I18" i="22"/>
  <c r="AD18" i="22"/>
  <c r="Y18" i="22"/>
  <c r="V18" i="22"/>
  <c r="E18" i="22"/>
  <c r="O18" i="22"/>
  <c r="C37" i="40"/>
  <c r="K47" i="14"/>
  <c r="DE24" i="14"/>
  <c r="AT24" i="14"/>
  <c r="BE24" i="14"/>
  <c r="DZ24" i="14"/>
  <c r="AP24" i="14"/>
  <c r="ES24" i="14"/>
  <c r="EJ24" i="14"/>
  <c r="BN24" i="14"/>
  <c r="K24" i="14"/>
  <c r="ER24" i="14"/>
  <c r="DA24" i="14"/>
  <c r="BM24" i="14"/>
  <c r="EP24" i="14"/>
  <c r="BI24" i="14"/>
  <c r="EF24" i="14"/>
  <c r="DB24" i="14"/>
  <c r="EL24" i="14"/>
  <c r="BF24" i="14"/>
  <c r="CZ24" i="14"/>
  <c r="BB24" i="14"/>
  <c r="BX24" i="14"/>
  <c r="B24" i="14"/>
  <c r="DG24" i="14"/>
  <c r="DO24" i="14"/>
  <c r="DN24" i="14"/>
  <c r="EB24" i="14"/>
  <c r="AY24" i="14"/>
  <c r="AO24" i="14"/>
  <c r="CY24" i="14"/>
  <c r="BH24" i="14"/>
  <c r="DX24" i="14"/>
  <c r="C24" i="14"/>
  <c r="EN24" i="14"/>
  <c r="DJ24" i="14"/>
  <c r="BA24" i="14"/>
  <c r="EO24" i="14"/>
  <c r="A15" i="40"/>
  <c r="E15" i="40" s="1"/>
  <c r="CH24" i="14"/>
  <c r="CI24" i="14" s="1"/>
  <c r="CW24" i="14"/>
  <c r="AS24" i="14"/>
  <c r="CV24" i="14"/>
  <c r="CX24" i="14"/>
  <c r="DQ24" i="14"/>
  <c r="BJ24" i="14"/>
  <c r="DW24" i="14"/>
  <c r="AU24" i="14"/>
  <c r="DT24" i="14"/>
  <c r="EG24" i="14"/>
  <c r="DS24" i="14"/>
  <c r="EC24" i="14"/>
  <c r="B20" i="22"/>
  <c r="CJ24" i="14"/>
  <c r="CK24" i="14" s="1"/>
  <c r="BK24" i="14"/>
  <c r="DI24" i="14"/>
  <c r="BD24" i="14"/>
  <c r="EK24" i="14"/>
  <c r="BO24" i="14"/>
  <c r="AW24" i="14"/>
  <c r="CG24" i="14"/>
  <c r="AQ24" i="14"/>
  <c r="AZ24" i="14"/>
  <c r="DL24" i="14"/>
  <c r="DC24" i="14"/>
  <c r="BP24" i="14"/>
  <c r="DU24" i="14"/>
  <c r="EE24" i="14"/>
  <c r="DD24" i="14"/>
  <c r="DV24" i="14"/>
  <c r="AX24" i="14"/>
  <c r="BL24" i="14"/>
  <c r="DY24" i="14"/>
  <c r="EA24" i="14"/>
  <c r="ED24" i="14"/>
  <c r="DP24" i="14"/>
  <c r="BC24" i="14"/>
  <c r="EM24" i="14"/>
  <c r="AR24" i="14"/>
  <c r="EQ24" i="14"/>
  <c r="AV24" i="14"/>
  <c r="DM24" i="14"/>
  <c r="G24" i="14"/>
  <c r="BQ24" i="14"/>
  <c r="CA24" i="14" s="1"/>
  <c r="CL24" i="14"/>
  <c r="EI24" i="14"/>
  <c r="DH24" i="14"/>
  <c r="BG24" i="14"/>
  <c r="D24" i="14"/>
  <c r="DF24" i="14"/>
  <c r="DK24" i="14"/>
  <c r="EH24" i="14"/>
  <c r="M21" i="14"/>
  <c r="A18" i="38"/>
  <c r="B18" i="38" s="1"/>
  <c r="C18" i="38"/>
  <c r="BU49" i="14"/>
  <c r="BT49" i="14"/>
  <c r="B39" i="40"/>
  <c r="C38" i="40"/>
  <c r="K48" i="14"/>
  <c r="E19" i="38"/>
  <c r="F19" i="38"/>
  <c r="AD19" i="14"/>
  <c r="Z19" i="14"/>
  <c r="AC19" i="14"/>
  <c r="V19" i="14"/>
  <c r="X19" i="14"/>
  <c r="AJ19" i="14"/>
  <c r="R19" i="14"/>
  <c r="AH19" i="14"/>
  <c r="AK19" i="14"/>
  <c r="S19" i="14"/>
  <c r="AB19" i="14"/>
  <c r="AA19" i="14"/>
  <c r="W19" i="14"/>
  <c r="AF19" i="14"/>
  <c r="AG19" i="14"/>
  <c r="AL19" i="14"/>
  <c r="T19" i="14"/>
  <c r="U19" i="14"/>
  <c r="AE19" i="14"/>
  <c r="AI19" i="14"/>
  <c r="Y19" i="14"/>
  <c r="J53" i="24"/>
  <c r="P53" i="24"/>
  <c r="I53" i="24" s="1"/>
  <c r="L53" i="24"/>
  <c r="BQ50" i="14"/>
  <c r="CA50" i="14" s="1"/>
  <c r="P50" i="14"/>
  <c r="CG50" i="14"/>
  <c r="CJ50" i="14"/>
  <c r="CK50" i="14" s="1"/>
  <c r="A40" i="40"/>
  <c r="E40" i="40" s="1"/>
  <c r="CH50" i="14"/>
  <c r="CI50" i="14" s="1"/>
  <c r="BX50" i="14"/>
  <c r="D50" i="14"/>
  <c r="CB50" i="14"/>
  <c r="BV50" i="14" s="1"/>
  <c r="BP50" i="14"/>
  <c r="C50" i="14"/>
  <c r="CL50" i="14"/>
  <c r="B46" i="22"/>
  <c r="EN50" i="14"/>
  <c r="ER50" i="14"/>
  <c r="EL50" i="14"/>
  <c r="DG50" i="14"/>
  <c r="EE50" i="14"/>
  <c r="DW50" i="14"/>
  <c r="DM50" i="14"/>
  <c r="DB50" i="14"/>
  <c r="DO50" i="14"/>
  <c r="EK50" i="14"/>
  <c r="DQ50" i="14"/>
  <c r="ED50" i="14"/>
  <c r="DC50" i="14"/>
  <c r="EJ50" i="14"/>
  <c r="DL50" i="14"/>
  <c r="DS50" i="14"/>
  <c r="EQ50" i="14"/>
  <c r="DZ50" i="14"/>
  <c r="EB50" i="14"/>
  <c r="DF50" i="14"/>
  <c r="DJ50" i="14"/>
  <c r="DA50" i="14"/>
  <c r="DN50" i="14"/>
  <c r="DD50" i="14"/>
  <c r="BO50" i="14"/>
  <c r="G50" i="14" s="1"/>
  <c r="CV50" i="14"/>
  <c r="EO50" i="14"/>
  <c r="DX50" i="14"/>
  <c r="DK50" i="14"/>
  <c r="EF50" i="14"/>
  <c r="DY50" i="14"/>
  <c r="CZ50" i="14"/>
  <c r="DU50" i="14"/>
  <c r="EH50" i="14"/>
  <c r="CW50" i="14"/>
  <c r="DI50" i="14"/>
  <c r="DV50" i="14"/>
  <c r="EP50" i="14"/>
  <c r="DT50" i="14"/>
  <c r="DP50" i="14"/>
  <c r="CY50" i="14"/>
  <c r="CX50" i="14"/>
  <c r="ES50" i="14"/>
  <c r="EI50" i="14"/>
  <c r="DE50" i="14"/>
  <c r="EM50" i="14"/>
  <c r="EG50" i="14"/>
  <c r="EA50" i="14"/>
  <c r="DH50" i="14"/>
  <c r="EC50" i="14"/>
  <c r="E22" i="42"/>
  <c r="F22" i="42"/>
  <c r="C21" i="42"/>
  <c r="A21" i="42"/>
  <c r="B21" i="42" s="1"/>
  <c r="AE20" i="33"/>
  <c r="AE37" i="33"/>
  <c r="CC27" i="14"/>
  <c r="BR27" i="14"/>
  <c r="CC53" i="14"/>
  <c r="BR53" i="14"/>
  <c r="AB15" i="33"/>
  <c r="Y37" i="33"/>
  <c r="AH58" i="28"/>
  <c r="AB20" i="33"/>
  <c r="Y23" i="33"/>
  <c r="AX154" i="33"/>
  <c r="AQ154" i="33"/>
  <c r="S6" i="10" s="1"/>
  <c r="AQ137" i="33"/>
  <c r="AQ152" i="33" s="1"/>
  <c r="Y26" i="33"/>
  <c r="CH213" i="10"/>
  <c r="Z60" i="28"/>
  <c r="A60" i="28"/>
  <c r="X58" i="28"/>
  <c r="P59" i="28"/>
  <c r="AG59" i="28"/>
  <c r="Q59" i="28"/>
  <c r="R59" i="28" s="1"/>
  <c r="C59" i="28"/>
  <c r="AB59" i="28" s="1"/>
  <c r="AC59" i="28"/>
  <c r="O59" i="28"/>
  <c r="B59" i="28"/>
  <c r="AD59" i="28"/>
  <c r="T59" i="28"/>
  <c r="S59" i="28" s="1"/>
  <c r="H59" i="28"/>
  <c r="BG76" i="14"/>
  <c r="S76" i="14"/>
  <c r="AR76" i="14"/>
  <c r="O212" i="10"/>
  <c r="B176" i="39" s="1"/>
  <c r="BF76" i="14"/>
  <c r="BK76" i="14"/>
  <c r="CN212" i="10"/>
  <c r="AW76" i="14"/>
  <c r="AI76" i="14"/>
  <c r="BQ221" i="10"/>
  <c r="A220" i="10"/>
  <c r="AV76" i="14"/>
  <c r="BO219" i="10"/>
  <c r="CG219" i="10"/>
  <c r="T76" i="14"/>
  <c r="BR212" i="10"/>
  <c r="CK212" i="10"/>
  <c r="CL212" i="10"/>
  <c r="CH214" i="10"/>
  <c r="BW214" i="10"/>
  <c r="EF214" i="10"/>
  <c r="E43" i="23"/>
  <c r="S43" i="23"/>
  <c r="Z43" i="23"/>
  <c r="O43" i="23"/>
  <c r="V43" i="23"/>
  <c r="Y43" i="23"/>
  <c r="M43" i="23"/>
  <c r="I43" i="23"/>
  <c r="AD43" i="23"/>
  <c r="AY76" i="14"/>
  <c r="AG76" i="14"/>
  <c r="BN215" i="10"/>
  <c r="B44" i="23"/>
  <c r="AG44" i="23"/>
  <c r="Z76" i="14"/>
  <c r="AS76" i="14"/>
  <c r="C39" i="34"/>
  <c r="D40" i="34" s="1"/>
  <c r="AT76" i="14"/>
  <c r="BA76" i="14"/>
  <c r="AK76" i="14"/>
  <c r="R76" i="14"/>
  <c r="AH76" i="14"/>
  <c r="AE76" i="14"/>
  <c r="BI76" i="14"/>
  <c r="U76" i="14"/>
  <c r="BJ76" i="14"/>
  <c r="AX76" i="14"/>
  <c r="A78" i="14"/>
  <c r="CE78" i="14" s="1"/>
  <c r="AQ76" i="14"/>
  <c r="BM76" i="14"/>
  <c r="AF76" i="14"/>
  <c r="BB76" i="14"/>
  <c r="AC76" i="14"/>
  <c r="AD76" i="14"/>
  <c r="AU76" i="14"/>
  <c r="AO76" i="14"/>
  <c r="X76" i="14"/>
  <c r="AB76" i="14"/>
  <c r="BE76" i="14"/>
  <c r="AJ76" i="14"/>
  <c r="BL76" i="14"/>
  <c r="BN76" i="14"/>
  <c r="Y76" i="14"/>
  <c r="AL76" i="14"/>
  <c r="AA76" i="14"/>
  <c r="BC76" i="14"/>
  <c r="BD76" i="14"/>
  <c r="W76" i="14"/>
  <c r="EL76" i="14"/>
  <c r="EH76" i="14"/>
  <c r="DX76" i="14"/>
  <c r="DY76" i="14"/>
  <c r="CZ76" i="14"/>
  <c r="DU76" i="14"/>
  <c r="CY76" i="14"/>
  <c r="DP76" i="14"/>
  <c r="DQ76" i="14"/>
  <c r="DI76" i="14"/>
  <c r="CX76" i="14"/>
  <c r="DE76" i="14"/>
  <c r="BO76" i="14"/>
  <c r="G76" i="14" s="1"/>
  <c r="EM76" i="14"/>
  <c r="DG76" i="14"/>
  <c r="CV76" i="14"/>
  <c r="DL76" i="14"/>
  <c r="CW76" i="14"/>
  <c r="ER76" i="14"/>
  <c r="EK76" i="14"/>
  <c r="EF76" i="14"/>
  <c r="DV76" i="14"/>
  <c r="EI76" i="14"/>
  <c r="DN76" i="14"/>
  <c r="DW76" i="14"/>
  <c r="EG76" i="14"/>
  <c r="DF76" i="14"/>
  <c r="DS76" i="14"/>
  <c r="DJ76" i="14"/>
  <c r="DA76" i="14"/>
  <c r="EC76" i="14"/>
  <c r="EJ76" i="14"/>
  <c r="DK76" i="14"/>
  <c r="ES76" i="14"/>
  <c r="EN76" i="14"/>
  <c r="EA76" i="14"/>
  <c r="DZ76" i="14"/>
  <c r="EE76" i="14"/>
  <c r="DO76" i="14"/>
  <c r="EB76" i="14"/>
  <c r="DT76" i="14"/>
  <c r="ED76" i="14"/>
  <c r="EO76" i="14"/>
  <c r="DD76" i="14"/>
  <c r="DC76" i="14"/>
  <c r="DB76" i="14"/>
  <c r="DM76" i="14"/>
  <c r="DH76" i="14"/>
  <c r="EQ76" i="14"/>
  <c r="EP76" i="14"/>
  <c r="C77" i="14"/>
  <c r="D77" i="14"/>
  <c r="P77" i="14"/>
  <c r="CB77" i="14"/>
  <c r="BV77" i="14" s="1"/>
  <c r="BQ77" i="14"/>
  <c r="B77" i="14"/>
  <c r="M77" i="14" s="1"/>
  <c r="C66" i="40" s="1"/>
  <c r="E66" i="40" s="1"/>
  <c r="A66" i="40"/>
  <c r="BP77" i="14"/>
  <c r="CG77" i="14"/>
  <c r="BX77" i="14"/>
  <c r="AP76" i="14"/>
  <c r="BH76" i="14"/>
  <c r="V76" i="14"/>
  <c r="BY215" i="10"/>
  <c r="GW90" i="7"/>
  <c r="GV91" i="7"/>
  <c r="GU91" i="7"/>
  <c r="DD146" i="10"/>
  <c r="DE149" i="10"/>
  <c r="N53" i="24"/>
  <c r="C213" i="10"/>
  <c r="C214" i="10"/>
  <c r="F215" i="10"/>
  <c r="BX215" i="10"/>
  <c r="G215" i="10"/>
  <c r="BL51" i="14" l="1"/>
  <c r="AU51" i="14"/>
  <c r="GX90" i="7"/>
  <c r="BG51" i="14"/>
  <c r="AE59" i="28"/>
  <c r="W22" i="14"/>
  <c r="BB51" i="14"/>
  <c r="BF51" i="14"/>
  <c r="V54" i="24"/>
  <c r="U55" i="24" s="1"/>
  <c r="V55" i="24" s="1"/>
  <c r="BK51" i="14"/>
  <c r="AZ51" i="14"/>
  <c r="AV51" i="14"/>
  <c r="AY51" i="14"/>
  <c r="AQ51" i="14"/>
  <c r="AS51" i="14"/>
  <c r="BH51" i="14"/>
  <c r="BA51" i="14"/>
  <c r="AW51" i="14"/>
  <c r="BN51" i="14"/>
  <c r="AO51" i="14"/>
  <c r="BI51" i="14"/>
  <c r="BM51" i="14"/>
  <c r="BE51" i="14"/>
  <c r="AP51" i="14"/>
  <c r="AX51" i="14"/>
  <c r="BC51" i="14"/>
  <c r="AR51" i="14"/>
  <c r="AT51" i="14"/>
  <c r="BJ51" i="14"/>
  <c r="BD51" i="14"/>
  <c r="X24" i="14"/>
  <c r="AB24" i="14"/>
  <c r="U24" i="14"/>
  <c r="V22" i="14"/>
  <c r="AL24" i="14"/>
  <c r="AH24" i="14"/>
  <c r="AL22" i="14"/>
  <c r="AC22" i="14"/>
  <c r="AG22" i="14"/>
  <c r="AK22" i="14"/>
  <c r="S22" i="14"/>
  <c r="U22" i="14"/>
  <c r="R22" i="14"/>
  <c r="S24" i="14"/>
  <c r="AC24" i="14"/>
  <c r="W24" i="14"/>
  <c r="AD24" i="14"/>
  <c r="T24" i="14"/>
  <c r="AJ24" i="14"/>
  <c r="AG24" i="14"/>
  <c r="V24" i="14"/>
  <c r="AE24" i="14"/>
  <c r="Z24" i="14"/>
  <c r="AA24" i="14"/>
  <c r="AA22" i="14"/>
  <c r="Z22" i="14"/>
  <c r="AH22" i="14"/>
  <c r="Y22" i="14"/>
  <c r="AI22" i="14"/>
  <c r="T22" i="14"/>
  <c r="AD22" i="14"/>
  <c r="AB22" i="14"/>
  <c r="AJ22" i="14"/>
  <c r="AE22" i="14"/>
  <c r="AF22" i="14"/>
  <c r="A52" i="14"/>
  <c r="CE52" i="14" s="1"/>
  <c r="A27" i="14"/>
  <c r="CE27" i="14" s="1"/>
  <c r="M46" i="22"/>
  <c r="Y46" i="22"/>
  <c r="E46" i="22"/>
  <c r="I46" i="22"/>
  <c r="O46" i="22"/>
  <c r="V46" i="22"/>
  <c r="S46" i="22"/>
  <c r="AL48" i="14"/>
  <c r="X48" i="14"/>
  <c r="AD48" i="14"/>
  <c r="S48" i="14"/>
  <c r="R48" i="14"/>
  <c r="Y48" i="14"/>
  <c r="Z48" i="14"/>
  <c r="W48" i="14"/>
  <c r="AJ48" i="14"/>
  <c r="AI48" i="14"/>
  <c r="AC48" i="14"/>
  <c r="V48" i="14"/>
  <c r="U48" i="14"/>
  <c r="AE48" i="14"/>
  <c r="AA48" i="14"/>
  <c r="AH48" i="14"/>
  <c r="AK48" i="14"/>
  <c r="AF48" i="14"/>
  <c r="AB48" i="14"/>
  <c r="T48" i="14"/>
  <c r="AG48" i="14"/>
  <c r="AK24" i="14"/>
  <c r="AF24" i="14"/>
  <c r="Y24" i="14"/>
  <c r="R24" i="14"/>
  <c r="AI24" i="14"/>
  <c r="CM24" i="14"/>
  <c r="Y20" i="22"/>
  <c r="I20" i="22"/>
  <c r="E20" i="22"/>
  <c r="M20" i="22"/>
  <c r="AD20" i="22"/>
  <c r="V20" i="22"/>
  <c r="S20" i="22"/>
  <c r="O20" i="22"/>
  <c r="C39" i="40"/>
  <c r="K49" i="14"/>
  <c r="L54" i="24"/>
  <c r="J54" i="24"/>
  <c r="P54" i="24"/>
  <c r="I54" i="24" s="1"/>
  <c r="R47" i="14"/>
  <c r="X47" i="14"/>
  <c r="AG47" i="14"/>
  <c r="AI47" i="14"/>
  <c r="AC47" i="14"/>
  <c r="AH47" i="14"/>
  <c r="AB47" i="14"/>
  <c r="V47" i="14"/>
  <c r="U47" i="14"/>
  <c r="T47" i="14"/>
  <c r="Z47" i="14"/>
  <c r="AD47" i="14"/>
  <c r="AA47" i="14"/>
  <c r="AL47" i="14"/>
  <c r="AF47" i="14"/>
  <c r="W47" i="14"/>
  <c r="S47" i="14"/>
  <c r="Y47" i="14"/>
  <c r="AK47" i="14"/>
  <c r="AE47" i="14"/>
  <c r="AJ47" i="14"/>
  <c r="CG51" i="14"/>
  <c r="CL51" i="14"/>
  <c r="CB51" i="14"/>
  <c r="BV51" i="14" s="1"/>
  <c r="B47" i="22"/>
  <c r="C51" i="14"/>
  <c r="BQ51" i="14"/>
  <c r="CA51" i="14" s="1"/>
  <c r="CH51" i="14"/>
  <c r="CI51" i="14" s="1"/>
  <c r="BP51" i="14"/>
  <c r="P51" i="14"/>
  <c r="D51" i="14"/>
  <c r="BX51" i="14"/>
  <c r="A41" i="40"/>
  <c r="E41" i="40" s="1"/>
  <c r="CJ51" i="14"/>
  <c r="CK51" i="14" s="1"/>
  <c r="EE51" i="14"/>
  <c r="DC51" i="14"/>
  <c r="EB51" i="14"/>
  <c r="CX51" i="14"/>
  <c r="DM51" i="14"/>
  <c r="EC51" i="14"/>
  <c r="DY51" i="14"/>
  <c r="DN51" i="14"/>
  <c r="CY51" i="14"/>
  <c r="CZ51" i="14"/>
  <c r="EM51" i="14"/>
  <c r="DZ51" i="14"/>
  <c r="DP51" i="14"/>
  <c r="EG51" i="14"/>
  <c r="CW51" i="14"/>
  <c r="DO51" i="14"/>
  <c r="EO51" i="14"/>
  <c r="DS51" i="14"/>
  <c r="EF51" i="14"/>
  <c r="DG51" i="14"/>
  <c r="DV51" i="14"/>
  <c r="EP51" i="14"/>
  <c r="DT51" i="14"/>
  <c r="EI51" i="14"/>
  <c r="DJ51" i="14"/>
  <c r="DH51" i="14"/>
  <c r="DB51" i="14"/>
  <c r="DA51" i="14"/>
  <c r="DQ51" i="14"/>
  <c r="CV51" i="14"/>
  <c r="DL51" i="14"/>
  <c r="DF51" i="14"/>
  <c r="DX51" i="14"/>
  <c r="ED51" i="14"/>
  <c r="EA51" i="14"/>
  <c r="DW51" i="14"/>
  <c r="DU51" i="14"/>
  <c r="BO51" i="14"/>
  <c r="G51" i="14" s="1"/>
  <c r="EQ51" i="14"/>
  <c r="ER51" i="14"/>
  <c r="DI51" i="14"/>
  <c r="EJ51" i="14"/>
  <c r="EL51" i="14"/>
  <c r="ES51" i="14"/>
  <c r="DE51" i="14"/>
  <c r="DD51" i="14"/>
  <c r="DK51" i="14"/>
  <c r="EH51" i="14"/>
  <c r="EK51" i="14"/>
  <c r="EN51" i="14"/>
  <c r="BU50" i="14"/>
  <c r="BT50" i="14"/>
  <c r="B40" i="40"/>
  <c r="CM50" i="14"/>
  <c r="B50" i="14" s="1"/>
  <c r="E20" i="38"/>
  <c r="F20" i="38"/>
  <c r="X20" i="14"/>
  <c r="T20" i="14"/>
  <c r="V20" i="14"/>
  <c r="Z20" i="14"/>
  <c r="AL20" i="14"/>
  <c r="AI20" i="14"/>
  <c r="AE20" i="14"/>
  <c r="AA20" i="14"/>
  <c r="AH20" i="14"/>
  <c r="AF20" i="14"/>
  <c r="AC20" i="14"/>
  <c r="AB20" i="14"/>
  <c r="AK20" i="14"/>
  <c r="AD20" i="14"/>
  <c r="Y20" i="14"/>
  <c r="U20" i="14"/>
  <c r="S20" i="14"/>
  <c r="AG20" i="14"/>
  <c r="W20" i="14"/>
  <c r="AJ20" i="14"/>
  <c r="R20" i="14"/>
  <c r="A19" i="38"/>
  <c r="B19" i="38" s="1"/>
  <c r="C19" i="38"/>
  <c r="C12" i="40"/>
  <c r="K21" i="14"/>
  <c r="BT24" i="14"/>
  <c r="B15" i="40"/>
  <c r="DB26" i="14"/>
  <c r="DX26" i="14"/>
  <c r="AY26" i="14"/>
  <c r="BB26" i="14"/>
  <c r="EB26" i="14"/>
  <c r="AQ26" i="14"/>
  <c r="DO26" i="14"/>
  <c r="DZ26" i="14"/>
  <c r="DD26" i="14"/>
  <c r="DF26" i="14"/>
  <c r="BK26" i="14"/>
  <c r="CX26" i="14"/>
  <c r="BN26" i="14"/>
  <c r="AX26" i="14"/>
  <c r="AP26" i="14"/>
  <c r="AW26" i="14"/>
  <c r="EC26" i="14"/>
  <c r="DM26" i="14"/>
  <c r="B22" i="22"/>
  <c r="EE26" i="14"/>
  <c r="EA26" i="14"/>
  <c r="EO26" i="14"/>
  <c r="BX26" i="14"/>
  <c r="DS26" i="14"/>
  <c r="BC26" i="14"/>
  <c r="AZ26" i="14"/>
  <c r="CW26" i="14"/>
  <c r="AO26" i="14"/>
  <c r="CJ26" i="14"/>
  <c r="CK26" i="14" s="1"/>
  <c r="ES26" i="14"/>
  <c r="AU26" i="14"/>
  <c r="BA26" i="14"/>
  <c r="CH26" i="14"/>
  <c r="CI26" i="14" s="1"/>
  <c r="EG26" i="14"/>
  <c r="DV26" i="14"/>
  <c r="BH26" i="14"/>
  <c r="AV26" i="14"/>
  <c r="B26" i="14"/>
  <c r="CV26" i="14"/>
  <c r="CG26" i="14"/>
  <c r="DK26" i="14"/>
  <c r="BG26" i="14"/>
  <c r="EM26" i="14"/>
  <c r="DY26" i="14"/>
  <c r="A17" i="40"/>
  <c r="E17" i="40" s="1"/>
  <c r="BJ26" i="14"/>
  <c r="DP26" i="14"/>
  <c r="EP26" i="14"/>
  <c r="DE26" i="14"/>
  <c r="ED26" i="14"/>
  <c r="DJ26" i="14"/>
  <c r="EL26" i="14"/>
  <c r="EQ26" i="14"/>
  <c r="DI26" i="14"/>
  <c r="CY26" i="14"/>
  <c r="EF26" i="14"/>
  <c r="BL26" i="14"/>
  <c r="BE26" i="14"/>
  <c r="DQ26" i="14"/>
  <c r="EI26" i="14"/>
  <c r="BI26" i="14"/>
  <c r="BO26" i="14"/>
  <c r="C26" i="14"/>
  <c r="DN26" i="14"/>
  <c r="BQ26" i="14"/>
  <c r="CA26" i="14" s="1"/>
  <c r="DA26" i="14"/>
  <c r="BD26" i="14"/>
  <c r="AT26" i="14"/>
  <c r="DG26" i="14"/>
  <c r="DW26" i="14"/>
  <c r="DC26" i="14"/>
  <c r="EN26" i="14"/>
  <c r="BM26" i="14"/>
  <c r="G26" i="14"/>
  <c r="EJ26" i="14"/>
  <c r="D26" i="14"/>
  <c r="DL26" i="14"/>
  <c r="CZ26" i="14"/>
  <c r="EK26" i="14"/>
  <c r="EH26" i="14"/>
  <c r="DU26" i="14"/>
  <c r="ER26" i="14"/>
  <c r="K26" i="14"/>
  <c r="AR26" i="14"/>
  <c r="DH26" i="14"/>
  <c r="BP26" i="14"/>
  <c r="AS26" i="14"/>
  <c r="BF26" i="14"/>
  <c r="DT26" i="14"/>
  <c r="CL26" i="14"/>
  <c r="F23" i="42"/>
  <c r="E23" i="42"/>
  <c r="C22" i="42"/>
  <c r="A22" i="42"/>
  <c r="B22" i="42" s="1"/>
  <c r="CC28" i="14"/>
  <c r="BR28" i="14"/>
  <c r="CA77" i="14"/>
  <c r="CC77" i="14"/>
  <c r="BR77" i="14"/>
  <c r="BR54" i="14"/>
  <c r="CC54" i="14"/>
  <c r="L4" i="33"/>
  <c r="O4" i="14"/>
  <c r="I2" i="41"/>
  <c r="E2" i="41" s="1"/>
  <c r="F2" i="41" s="1"/>
  <c r="B213" i="10"/>
  <c r="CN213" i="10" s="1"/>
  <c r="A27" i="3"/>
  <c r="M28" i="6"/>
  <c r="Z61" i="28"/>
  <c r="A61" i="28"/>
  <c r="O60" i="28"/>
  <c r="T60" i="28"/>
  <c r="S60" i="28" s="1"/>
  <c r="C60" i="28"/>
  <c r="AB60" i="28" s="1"/>
  <c r="P60" i="28"/>
  <c r="Q60" i="28"/>
  <c r="R60" i="28" s="1"/>
  <c r="H60" i="28"/>
  <c r="B60" i="28"/>
  <c r="AD60" i="28"/>
  <c r="AC60" i="28"/>
  <c r="AG60" i="28"/>
  <c r="X59" i="28"/>
  <c r="AH59" i="28"/>
  <c r="AL213" i="10"/>
  <c r="K77" i="14"/>
  <c r="AR77" i="14" s="1"/>
  <c r="B214" i="10"/>
  <c r="CN214" i="10" s="1"/>
  <c r="CG220" i="10"/>
  <c r="BO220" i="10"/>
  <c r="BQ222" i="10"/>
  <c r="A222" i="10" s="1"/>
  <c r="A221" i="10"/>
  <c r="EF215" i="10"/>
  <c r="CH215" i="10"/>
  <c r="BW215" i="10"/>
  <c r="C40" i="34"/>
  <c r="D41" i="34" s="1"/>
  <c r="BN216" i="10"/>
  <c r="Z44" i="23"/>
  <c r="V44" i="23"/>
  <c r="M44" i="23"/>
  <c r="AD44" i="23"/>
  <c r="E44" i="23"/>
  <c r="Y44" i="23"/>
  <c r="O44" i="23"/>
  <c r="I44" i="23"/>
  <c r="S44" i="23"/>
  <c r="AG45" i="23"/>
  <c r="B45" i="23"/>
  <c r="A79" i="14"/>
  <c r="CE79" i="14" s="1"/>
  <c r="BT77" i="14"/>
  <c r="B66" i="40"/>
  <c r="BU77" i="14"/>
  <c r="B78" i="14"/>
  <c r="M78" i="14" s="1"/>
  <c r="C67" i="40" s="1"/>
  <c r="E67" i="40" s="1"/>
  <c r="A67" i="40"/>
  <c r="C78" i="14"/>
  <c r="BQ78" i="14"/>
  <c r="BP78" i="14"/>
  <c r="D78" i="14"/>
  <c r="P78" i="14"/>
  <c r="CB78" i="14"/>
  <c r="BV78" i="14" s="1"/>
  <c r="CG78" i="14"/>
  <c r="BX78" i="14"/>
  <c r="BY216" i="10"/>
  <c r="GW91" i="7"/>
  <c r="DD147" i="10"/>
  <c r="DE150" i="10"/>
  <c r="GU92" i="7"/>
  <c r="GV92" i="7"/>
  <c r="N54" i="24"/>
  <c r="F216" i="10"/>
  <c r="G216" i="10"/>
  <c r="BX216" i="10"/>
  <c r="C215" i="10"/>
  <c r="GX91" i="7" l="1"/>
  <c r="AE60" i="28"/>
  <c r="AK26" i="14"/>
  <c r="Z26" i="14"/>
  <c r="R26" i="14"/>
  <c r="AJ26" i="14"/>
  <c r="X26" i="14"/>
  <c r="U26" i="14"/>
  <c r="AA26" i="14"/>
  <c r="AD26" i="14"/>
  <c r="AE26" i="14"/>
  <c r="AG26" i="14"/>
  <c r="V26" i="14"/>
  <c r="Y26" i="14"/>
  <c r="AF26" i="14"/>
  <c r="AI26" i="14"/>
  <c r="AC26" i="14"/>
  <c r="AL26" i="14"/>
  <c r="A28" i="14"/>
  <c r="CE28" i="14" s="1"/>
  <c r="A53" i="14"/>
  <c r="CE53" i="14" s="1"/>
  <c r="AB26" i="14"/>
  <c r="T26" i="14"/>
  <c r="W26" i="14"/>
  <c r="S26" i="14"/>
  <c r="AH26" i="14"/>
  <c r="B17" i="40"/>
  <c r="BT26" i="14"/>
  <c r="M22" i="22"/>
  <c r="V22" i="22"/>
  <c r="AD22" i="22"/>
  <c r="S22" i="22"/>
  <c r="O22" i="22"/>
  <c r="Y22" i="22"/>
  <c r="I22" i="22"/>
  <c r="E22" i="22"/>
  <c r="A20" i="38"/>
  <c r="B20" i="38" s="1"/>
  <c r="C20" i="38"/>
  <c r="BT51" i="14"/>
  <c r="BU51" i="14"/>
  <c r="B41" i="40"/>
  <c r="CM51" i="14"/>
  <c r="B51" i="14" s="1"/>
  <c r="U49" i="14"/>
  <c r="AC49" i="14"/>
  <c r="AI49" i="14"/>
  <c r="AK49" i="14"/>
  <c r="AG49" i="14"/>
  <c r="R49" i="14"/>
  <c r="V49" i="14"/>
  <c r="X49" i="14"/>
  <c r="W49" i="14"/>
  <c r="AF49" i="14"/>
  <c r="AE49" i="14"/>
  <c r="AA49" i="14"/>
  <c r="Z49" i="14"/>
  <c r="S49" i="14"/>
  <c r="AH49" i="14"/>
  <c r="AL49" i="14"/>
  <c r="T49" i="14"/>
  <c r="AJ49" i="14"/>
  <c r="Y49" i="14"/>
  <c r="AD49" i="14"/>
  <c r="AB49" i="14"/>
  <c r="M50" i="14"/>
  <c r="V47" i="22"/>
  <c r="Y47" i="22"/>
  <c r="I47" i="22"/>
  <c r="O47" i="22"/>
  <c r="E47" i="22"/>
  <c r="M47" i="22"/>
  <c r="S47" i="22"/>
  <c r="DG27" i="14"/>
  <c r="DB27" i="14"/>
  <c r="EQ27" i="14"/>
  <c r="C27" i="14"/>
  <c r="AR27" i="14"/>
  <c r="AZ27" i="14"/>
  <c r="EJ27" i="14"/>
  <c r="ED27" i="14"/>
  <c r="DJ27" i="14"/>
  <c r="BQ27" i="14"/>
  <c r="CA27" i="14" s="1"/>
  <c r="BB27" i="14"/>
  <c r="DU27" i="14"/>
  <c r="BJ27" i="14"/>
  <c r="DH27" i="14"/>
  <c r="AW27" i="14"/>
  <c r="CY27" i="14"/>
  <c r="EC27" i="14"/>
  <c r="K27" i="14"/>
  <c r="BI27" i="14"/>
  <c r="DT27" i="14"/>
  <c r="DZ27" i="14"/>
  <c r="EO27" i="14"/>
  <c r="ES27" i="14"/>
  <c r="CJ27" i="14"/>
  <c r="CK27" i="14" s="1"/>
  <c r="DV27" i="14"/>
  <c r="EK27" i="14"/>
  <c r="EE27" i="14"/>
  <c r="DF27" i="14"/>
  <c r="EP27" i="14"/>
  <c r="AQ27" i="14"/>
  <c r="EA27" i="14"/>
  <c r="CZ27" i="14"/>
  <c r="AV27" i="14"/>
  <c r="D27" i="14"/>
  <c r="BL27" i="14"/>
  <c r="A18" i="40"/>
  <c r="E18" i="40" s="1"/>
  <c r="DY27" i="14"/>
  <c r="BE27" i="14"/>
  <c r="EL27" i="14"/>
  <c r="BC27" i="14"/>
  <c r="BX27" i="14"/>
  <c r="BP27" i="14"/>
  <c r="CH27" i="14"/>
  <c r="CI27" i="14" s="1"/>
  <c r="DP27" i="14"/>
  <c r="DQ27" i="14"/>
  <c r="CX27" i="14"/>
  <c r="B27" i="14"/>
  <c r="G27" i="14"/>
  <c r="AT27" i="14"/>
  <c r="AS27" i="14"/>
  <c r="EI27" i="14"/>
  <c r="ER27" i="14"/>
  <c r="EG27" i="14"/>
  <c r="DX27" i="14"/>
  <c r="BA27" i="14"/>
  <c r="AP27" i="14"/>
  <c r="BO27" i="14"/>
  <c r="CG27" i="14"/>
  <c r="BH27" i="14"/>
  <c r="DC27" i="14"/>
  <c r="BK27" i="14"/>
  <c r="DM27" i="14"/>
  <c r="CL27" i="14"/>
  <c r="B23" i="22"/>
  <c r="BD27" i="14"/>
  <c r="EN27" i="14"/>
  <c r="DW27" i="14"/>
  <c r="DL27" i="14"/>
  <c r="DA27" i="14"/>
  <c r="DK27" i="14"/>
  <c r="AU27" i="14"/>
  <c r="EF27" i="14"/>
  <c r="DE27" i="14"/>
  <c r="BM27" i="14"/>
  <c r="DD27" i="14"/>
  <c r="DI27" i="14"/>
  <c r="AO27" i="14"/>
  <c r="BF27" i="14"/>
  <c r="EB27" i="14"/>
  <c r="CW27" i="14"/>
  <c r="DO27" i="14"/>
  <c r="EH27" i="14"/>
  <c r="BG27" i="14"/>
  <c r="CV27" i="14"/>
  <c r="DS27" i="14"/>
  <c r="AX27" i="14"/>
  <c r="AY27" i="14"/>
  <c r="DN27" i="14"/>
  <c r="BN27" i="14"/>
  <c r="EM27" i="14"/>
  <c r="AK21" i="14"/>
  <c r="AB21" i="14"/>
  <c r="R21" i="14"/>
  <c r="AD21" i="14"/>
  <c r="AG21" i="14"/>
  <c r="AH21" i="14"/>
  <c r="V21" i="14"/>
  <c r="AE21" i="14"/>
  <c r="AC21" i="14"/>
  <c r="AL21" i="14"/>
  <c r="S21" i="14"/>
  <c r="X21" i="14"/>
  <c r="Z21" i="14"/>
  <c r="Y21" i="14"/>
  <c r="W21" i="14"/>
  <c r="AI21" i="14"/>
  <c r="AA21" i="14"/>
  <c r="AJ21" i="14"/>
  <c r="U21" i="14"/>
  <c r="AF21" i="14"/>
  <c r="T21" i="14"/>
  <c r="J55" i="24"/>
  <c r="P55" i="24"/>
  <c r="I55" i="24" s="1"/>
  <c r="L55" i="24"/>
  <c r="CM26" i="14"/>
  <c r="U56" i="24"/>
  <c r="V56" i="24" s="1"/>
  <c r="E21" i="38"/>
  <c r="F21" i="38"/>
  <c r="DB52" i="14"/>
  <c r="AT52" i="14"/>
  <c r="DW52" i="14"/>
  <c r="EG52" i="14"/>
  <c r="DU52" i="14"/>
  <c r="ES52" i="14"/>
  <c r="DQ52" i="14"/>
  <c r="DP52" i="14"/>
  <c r="CZ52" i="14"/>
  <c r="AR52" i="14"/>
  <c r="AY52" i="14"/>
  <c r="BJ52" i="14"/>
  <c r="BE52" i="14"/>
  <c r="BD52" i="14"/>
  <c r="DN52" i="14"/>
  <c r="EF52" i="14"/>
  <c r="DJ52" i="14"/>
  <c r="DV52" i="14"/>
  <c r="BO52" i="14"/>
  <c r="CL52" i="14"/>
  <c r="DC52" i="14"/>
  <c r="BF52" i="14"/>
  <c r="EB52" i="14"/>
  <c r="EQ52" i="14"/>
  <c r="EL52" i="14"/>
  <c r="BQ52" i="14"/>
  <c r="CA52" i="14" s="1"/>
  <c r="BI52" i="14"/>
  <c r="DG52" i="14"/>
  <c r="BX52" i="14"/>
  <c r="EH52" i="14"/>
  <c r="EM52" i="14"/>
  <c r="DI52" i="14"/>
  <c r="AV52" i="14"/>
  <c r="EJ52" i="14"/>
  <c r="C52" i="14"/>
  <c r="ER52" i="14"/>
  <c r="BA52" i="14"/>
  <c r="EA52" i="14"/>
  <c r="AU52" i="14"/>
  <c r="AP52" i="14"/>
  <c r="CX52" i="14"/>
  <c r="CY52" i="14"/>
  <c r="CJ52" i="14"/>
  <c r="CK52" i="14" s="1"/>
  <c r="DT52" i="14"/>
  <c r="BN52" i="14"/>
  <c r="CG52" i="14"/>
  <c r="EE52" i="14"/>
  <c r="G52" i="14"/>
  <c r="DE52" i="14"/>
  <c r="DF52" i="14"/>
  <c r="CW52" i="14"/>
  <c r="DZ52" i="14"/>
  <c r="EC52" i="14"/>
  <c r="AW52" i="14"/>
  <c r="DX52" i="14"/>
  <c r="B48" i="22"/>
  <c r="DH52" i="14"/>
  <c r="AQ52" i="14"/>
  <c r="EN52" i="14"/>
  <c r="DS52" i="14"/>
  <c r="AO52" i="14"/>
  <c r="CH52" i="14"/>
  <c r="CI52" i="14" s="1"/>
  <c r="EK52" i="14"/>
  <c r="EP52" i="14"/>
  <c r="ED52" i="14"/>
  <c r="AZ52" i="14"/>
  <c r="CV52" i="14"/>
  <c r="P52" i="14"/>
  <c r="BL52" i="14"/>
  <c r="DK52" i="14"/>
  <c r="DL52" i="14"/>
  <c r="EO52" i="14"/>
  <c r="EI52" i="14"/>
  <c r="DY52" i="14"/>
  <c r="AS52" i="14"/>
  <c r="BC52" i="14"/>
  <c r="DM52" i="14"/>
  <c r="BB52" i="14"/>
  <c r="AX52" i="14"/>
  <c r="A42" i="40"/>
  <c r="E42" i="40" s="1"/>
  <c r="CB52" i="14"/>
  <c r="BV52" i="14" s="1"/>
  <c r="D52" i="14"/>
  <c r="BG52" i="14"/>
  <c r="BH52" i="14"/>
  <c r="B52" i="14"/>
  <c r="BM52" i="14"/>
  <c r="DD52" i="14"/>
  <c r="BP52" i="14"/>
  <c r="DO52" i="14"/>
  <c r="BK52" i="14"/>
  <c r="DA52" i="14"/>
  <c r="C23" i="42"/>
  <c r="A23" i="42"/>
  <c r="B23" i="42" s="1"/>
  <c r="E24" i="42"/>
  <c r="F24" i="42"/>
  <c r="CC55" i="14"/>
  <c r="BR55" i="14"/>
  <c r="CC29" i="14"/>
  <c r="BR29" i="14"/>
  <c r="CA78" i="14"/>
  <c r="CC78" i="14"/>
  <c r="BR78" i="14"/>
  <c r="CL213" i="10"/>
  <c r="CL214" i="10" s="1"/>
  <c r="O213" i="10"/>
  <c r="B177" i="39" s="1"/>
  <c r="BR213" i="10"/>
  <c r="BR214" i="10" s="1"/>
  <c r="CK213" i="10"/>
  <c r="CK214" i="10" s="1"/>
  <c r="E3" i="41"/>
  <c r="F3" i="41" s="1"/>
  <c r="E4" i="41" s="1"/>
  <c r="C2" i="41"/>
  <c r="A2" i="41"/>
  <c r="B2" i="41" s="1"/>
  <c r="B61" i="28"/>
  <c r="AC61" i="28"/>
  <c r="AG61" i="28"/>
  <c r="H61" i="28"/>
  <c r="O61" i="28"/>
  <c r="P61" i="28"/>
  <c r="T61" i="28"/>
  <c r="S61" i="28" s="1"/>
  <c r="C61" i="28"/>
  <c r="AB61" i="28" s="1"/>
  <c r="AD61" i="28"/>
  <c r="Q61" i="28"/>
  <c r="R61" i="28" s="1"/>
  <c r="X60" i="28"/>
  <c r="A62" i="28"/>
  <c r="Z62" i="28"/>
  <c r="AH60" i="28"/>
  <c r="BF77" i="14"/>
  <c r="AD77" i="14"/>
  <c r="AG77" i="14"/>
  <c r="BJ77" i="14"/>
  <c r="R77" i="14"/>
  <c r="AU77" i="14"/>
  <c r="AJ77" i="14"/>
  <c r="BL77" i="14"/>
  <c r="A30" i="14"/>
  <c r="AS77" i="14"/>
  <c r="BI77" i="14"/>
  <c r="AX77" i="14"/>
  <c r="AZ77" i="14"/>
  <c r="AO77" i="14"/>
  <c r="T77" i="14"/>
  <c r="BM77" i="14"/>
  <c r="AB77" i="14"/>
  <c r="AE77" i="14"/>
  <c r="BB77" i="14"/>
  <c r="AT77" i="14"/>
  <c r="X77" i="14"/>
  <c r="AP77" i="14"/>
  <c r="Y77" i="14"/>
  <c r="AY77" i="14"/>
  <c r="BA77" i="14"/>
  <c r="BG77" i="14"/>
  <c r="AV77" i="14"/>
  <c r="AF77" i="14"/>
  <c r="BE77" i="14"/>
  <c r="BH77" i="14"/>
  <c r="W77" i="14"/>
  <c r="U77" i="14"/>
  <c r="AK77" i="14"/>
  <c r="AL77" i="14"/>
  <c r="BD77" i="14"/>
  <c r="AA77" i="14"/>
  <c r="AI77" i="14"/>
  <c r="Z77" i="14"/>
  <c r="V77" i="14"/>
  <c r="BK77" i="14"/>
  <c r="S77" i="14"/>
  <c r="BN77" i="14"/>
  <c r="BC77" i="14"/>
  <c r="AH77" i="14"/>
  <c r="AW77" i="14"/>
  <c r="AC77" i="14"/>
  <c r="AQ77" i="14"/>
  <c r="AL214" i="10"/>
  <c r="O214" i="10"/>
  <c r="B178" i="39" s="1"/>
  <c r="B215" i="10"/>
  <c r="O215" i="10" s="1"/>
  <c r="B179" i="39" s="1"/>
  <c r="CG221" i="10"/>
  <c r="BO221" i="10"/>
  <c r="BO222" i="10"/>
  <c r="CG222" i="10"/>
  <c r="CH216" i="10"/>
  <c r="EF216" i="10"/>
  <c r="BW216" i="10"/>
  <c r="Y45" i="23"/>
  <c r="V45" i="23"/>
  <c r="E45" i="23"/>
  <c r="O45" i="23"/>
  <c r="I45" i="23"/>
  <c r="M45" i="23"/>
  <c r="AD45" i="23"/>
  <c r="S45" i="23"/>
  <c r="Z45" i="23"/>
  <c r="BN217" i="10"/>
  <c r="C41" i="34"/>
  <c r="D42" i="34" s="1"/>
  <c r="B46" i="23"/>
  <c r="AG46" i="23"/>
  <c r="A80" i="14"/>
  <c r="CE80" i="14" s="1"/>
  <c r="BU78" i="14"/>
  <c r="B67" i="40"/>
  <c r="BT78" i="14"/>
  <c r="CX77" i="14"/>
  <c r="DU77" i="14"/>
  <c r="CW77" i="14"/>
  <c r="EM77" i="14"/>
  <c r="DO77" i="14"/>
  <c r="EG77" i="14"/>
  <c r="EE77" i="14"/>
  <c r="DG77" i="14"/>
  <c r="EO77" i="14"/>
  <c r="EB77" i="14"/>
  <c r="DV77" i="14"/>
  <c r="DW77" i="14"/>
  <c r="DI77" i="14"/>
  <c r="DA77" i="14"/>
  <c r="DX77" i="14"/>
  <c r="EL77" i="14"/>
  <c r="DT77" i="14"/>
  <c r="DC77" i="14"/>
  <c r="DQ77" i="14"/>
  <c r="EH77" i="14"/>
  <c r="DP77" i="14"/>
  <c r="ED77" i="14"/>
  <c r="EI77" i="14"/>
  <c r="ER77" i="14"/>
  <c r="DL77" i="14"/>
  <c r="DM77" i="14"/>
  <c r="DD77" i="14"/>
  <c r="DJ77" i="14"/>
  <c r="EC77" i="14"/>
  <c r="EQ77" i="14"/>
  <c r="DN77" i="14"/>
  <c r="DS77" i="14"/>
  <c r="EA77" i="14"/>
  <c r="DK77" i="14"/>
  <c r="ES77" i="14"/>
  <c r="DZ77" i="14"/>
  <c r="EF77" i="14"/>
  <c r="DF77" i="14"/>
  <c r="DH77" i="14"/>
  <c r="CY77" i="14"/>
  <c r="DE77" i="14"/>
  <c r="CZ77" i="14"/>
  <c r="DB77" i="14"/>
  <c r="EK77" i="14"/>
  <c r="EP77" i="14"/>
  <c r="CV77" i="14"/>
  <c r="EN77" i="14"/>
  <c r="DY77" i="14"/>
  <c r="BO77" i="14"/>
  <c r="G77" i="14" s="1"/>
  <c r="EJ77" i="14"/>
  <c r="BQ79" i="14"/>
  <c r="B79" i="14"/>
  <c r="M79" i="14" s="1"/>
  <c r="C68" i="40" s="1"/>
  <c r="E68" i="40" s="1"/>
  <c r="P79" i="14"/>
  <c r="D79" i="14"/>
  <c r="CB79" i="14"/>
  <c r="BV79" i="14" s="1"/>
  <c r="C79" i="14"/>
  <c r="A68" i="40"/>
  <c r="BP79" i="14"/>
  <c r="BX79" i="14"/>
  <c r="CG79" i="14"/>
  <c r="K78" i="14"/>
  <c r="BY217" i="10"/>
  <c r="GW92" i="7"/>
  <c r="GU93" i="7"/>
  <c r="DD148" i="10"/>
  <c r="GV93" i="7"/>
  <c r="DE151" i="10"/>
  <c r="N55" i="24"/>
  <c r="BX217" i="10"/>
  <c r="G217" i="10"/>
  <c r="C216" i="10"/>
  <c r="F217" i="10"/>
  <c r="GX92" i="7" l="1"/>
  <c r="AE61" i="28"/>
  <c r="AC27" i="14"/>
  <c r="AB27" i="14"/>
  <c r="Z27" i="14"/>
  <c r="AJ27" i="14"/>
  <c r="AD27" i="14"/>
  <c r="V27" i="14"/>
  <c r="R27" i="14"/>
  <c r="AH27" i="14"/>
  <c r="CM27" i="14"/>
  <c r="X27" i="14"/>
  <c r="AG27" i="14"/>
  <c r="AA27" i="14"/>
  <c r="AE27" i="14"/>
  <c r="AL27" i="14"/>
  <c r="AK27" i="14"/>
  <c r="Y27" i="14"/>
  <c r="U27" i="14"/>
  <c r="AI27" i="14"/>
  <c r="A54" i="14"/>
  <c r="CE54" i="14" s="1"/>
  <c r="A29" i="14"/>
  <c r="CE29" i="14" s="1"/>
  <c r="CE30" i="14" s="1"/>
  <c r="A31" i="14" s="1"/>
  <c r="S48" i="22"/>
  <c r="E48" i="22"/>
  <c r="I48" i="22"/>
  <c r="Y48" i="22"/>
  <c r="O48" i="22"/>
  <c r="V48" i="22"/>
  <c r="M48" i="22"/>
  <c r="AD48" i="22"/>
  <c r="E22" i="38"/>
  <c r="F22" i="38"/>
  <c r="AF27" i="14"/>
  <c r="T27" i="14"/>
  <c r="S27" i="14"/>
  <c r="W27" i="14"/>
  <c r="B42" i="40"/>
  <c r="BU52" i="14"/>
  <c r="BT52" i="14"/>
  <c r="C21" i="38"/>
  <c r="A21" i="38"/>
  <c r="B21" i="38" s="1"/>
  <c r="E23" i="22"/>
  <c r="O23" i="22"/>
  <c r="M23" i="22"/>
  <c r="I23" i="22"/>
  <c r="V23" i="22"/>
  <c r="S23" i="22"/>
  <c r="AD23" i="22"/>
  <c r="Y23" i="22"/>
  <c r="BT27" i="14"/>
  <c r="B18" i="40"/>
  <c r="C40" i="40"/>
  <c r="K50" i="14"/>
  <c r="C53" i="14"/>
  <c r="BJ53" i="14"/>
  <c r="DB53" i="14"/>
  <c r="BN53" i="14"/>
  <c r="EA53" i="14"/>
  <c r="EO53" i="14"/>
  <c r="DZ53" i="14"/>
  <c r="DT53" i="14"/>
  <c r="CH53" i="14"/>
  <c r="CI53" i="14" s="1"/>
  <c r="DL53" i="14"/>
  <c r="EJ53" i="14"/>
  <c r="CZ53" i="14"/>
  <c r="DG53" i="14"/>
  <c r="B53" i="14"/>
  <c r="M53" i="14" s="1"/>
  <c r="C43" i="40" s="1"/>
  <c r="AX53" i="14"/>
  <c r="AO53" i="14"/>
  <c r="EH53" i="14"/>
  <c r="CL53" i="14"/>
  <c r="BA53" i="14"/>
  <c r="P53" i="14"/>
  <c r="EE53" i="14"/>
  <c r="AZ53" i="14"/>
  <c r="DQ53" i="14"/>
  <c r="BM53" i="14"/>
  <c r="DX53" i="14"/>
  <c r="BE53" i="14"/>
  <c r="BK53" i="14"/>
  <c r="DC53" i="14"/>
  <c r="EG53" i="14"/>
  <c r="EN53" i="14"/>
  <c r="BH53" i="14"/>
  <c r="ES53" i="14"/>
  <c r="DF53" i="14"/>
  <c r="CJ53" i="14"/>
  <c r="CK53" i="14" s="1"/>
  <c r="AW53" i="14"/>
  <c r="EP53" i="14"/>
  <c r="DV53" i="14"/>
  <c r="DU53" i="14"/>
  <c r="BC53" i="14"/>
  <c r="EL53" i="14"/>
  <c r="DS53" i="14"/>
  <c r="AV53" i="14"/>
  <c r="CV53" i="14"/>
  <c r="DD53" i="14"/>
  <c r="DE53" i="14"/>
  <c r="DM53" i="14"/>
  <c r="AU53" i="14"/>
  <c r="EF53" i="14"/>
  <c r="EK53" i="14"/>
  <c r="DP53" i="14"/>
  <c r="ED53" i="14"/>
  <c r="B49" i="22"/>
  <c r="BB53" i="14"/>
  <c r="ER53" i="14"/>
  <c r="AQ53" i="14"/>
  <c r="AS53" i="14"/>
  <c r="AR53" i="14"/>
  <c r="AP53" i="14"/>
  <c r="BX53" i="14"/>
  <c r="DO53" i="14"/>
  <c r="BI53" i="14"/>
  <c r="CW53" i="14"/>
  <c r="DK53" i="14"/>
  <c r="CB53" i="14"/>
  <c r="BV53" i="14" s="1"/>
  <c r="DI53" i="14"/>
  <c r="EC53" i="14"/>
  <c r="BL53" i="14"/>
  <c r="EB53" i="14"/>
  <c r="DH53" i="14"/>
  <c r="DA53" i="14"/>
  <c r="DY53" i="14"/>
  <c r="EI53" i="14"/>
  <c r="EQ53" i="14"/>
  <c r="BP53" i="14"/>
  <c r="G53" i="14"/>
  <c r="CG53" i="14"/>
  <c r="CY53" i="14"/>
  <c r="BD53" i="14"/>
  <c r="DW53" i="14"/>
  <c r="BO53" i="14"/>
  <c r="CX53" i="14"/>
  <c r="D53" i="14"/>
  <c r="EM53" i="14"/>
  <c r="DJ53" i="14"/>
  <c r="A43" i="40"/>
  <c r="E43" i="40" s="1"/>
  <c r="DN53" i="14"/>
  <c r="BG53" i="14"/>
  <c r="BF53" i="14"/>
  <c r="BQ53" i="14"/>
  <c r="CA53" i="14" s="1"/>
  <c r="AY53" i="14"/>
  <c r="AT53" i="14"/>
  <c r="CM52" i="14"/>
  <c r="M52" i="14"/>
  <c r="J56" i="24"/>
  <c r="L56" i="24"/>
  <c r="U57" i="24"/>
  <c r="V57" i="24" s="1"/>
  <c r="P56" i="24"/>
  <c r="I56" i="24" s="1"/>
  <c r="M51" i="14"/>
  <c r="ER28" i="14"/>
  <c r="EO28" i="14"/>
  <c r="DJ28" i="14"/>
  <c r="BO28" i="14"/>
  <c r="DT28" i="14"/>
  <c r="ED28" i="14"/>
  <c r="BM28" i="14"/>
  <c r="BJ28" i="14"/>
  <c r="AS28" i="14"/>
  <c r="CY28" i="14"/>
  <c r="A19" i="40"/>
  <c r="E19" i="40" s="1"/>
  <c r="EG28" i="14"/>
  <c r="CH28" i="14"/>
  <c r="CI28" i="14" s="1"/>
  <c r="BQ28" i="14"/>
  <c r="CA28" i="14" s="1"/>
  <c r="DB28" i="14"/>
  <c r="DH28" i="14"/>
  <c r="AZ28" i="14"/>
  <c r="DV28" i="14"/>
  <c r="DN28" i="14"/>
  <c r="AY28" i="14"/>
  <c r="BB28" i="14"/>
  <c r="BA28" i="14"/>
  <c r="CJ28" i="14"/>
  <c r="CK28" i="14" s="1"/>
  <c r="EL28" i="14"/>
  <c r="B24" i="22"/>
  <c r="EJ28" i="14"/>
  <c r="ES28" i="14"/>
  <c r="EQ28" i="14"/>
  <c r="DS28" i="14"/>
  <c r="K28" i="14"/>
  <c r="BF28" i="14"/>
  <c r="CL28" i="14"/>
  <c r="EC28" i="14"/>
  <c r="AR28" i="14"/>
  <c r="BE28" i="14"/>
  <c r="CV28" i="14"/>
  <c r="BI28" i="14"/>
  <c r="EH28" i="14"/>
  <c r="DM28" i="14"/>
  <c r="CG28" i="14"/>
  <c r="DK28" i="14"/>
  <c r="BP28" i="14"/>
  <c r="AW28" i="14"/>
  <c r="DA28" i="14"/>
  <c r="EI28" i="14"/>
  <c r="EF28" i="14"/>
  <c r="CX28" i="14"/>
  <c r="G28" i="14"/>
  <c r="DE28" i="14"/>
  <c r="AP28" i="14"/>
  <c r="BL28" i="14"/>
  <c r="B28" i="14"/>
  <c r="BD28" i="14"/>
  <c r="EB28" i="14"/>
  <c r="DD28" i="14"/>
  <c r="BX28" i="14"/>
  <c r="DO28" i="14"/>
  <c r="AQ28" i="14"/>
  <c r="DY28" i="14"/>
  <c r="DQ28" i="14"/>
  <c r="BG28" i="14"/>
  <c r="DG28" i="14"/>
  <c r="BC28" i="14"/>
  <c r="DU28" i="14"/>
  <c r="CZ28" i="14"/>
  <c r="C28" i="14"/>
  <c r="EM28" i="14"/>
  <c r="DX28" i="14"/>
  <c r="D28" i="14"/>
  <c r="EE28" i="14"/>
  <c r="BN28" i="14"/>
  <c r="EP28" i="14"/>
  <c r="DF28" i="14"/>
  <c r="AT28" i="14"/>
  <c r="DW28" i="14"/>
  <c r="AU28" i="14"/>
  <c r="AV28" i="14"/>
  <c r="BK28" i="14"/>
  <c r="DL28" i="14"/>
  <c r="DZ28" i="14"/>
  <c r="EK28" i="14"/>
  <c r="AX28" i="14"/>
  <c r="AO28" i="14"/>
  <c r="EA28" i="14"/>
  <c r="DP28" i="14"/>
  <c r="BH28" i="14"/>
  <c r="CW28" i="14"/>
  <c r="DI28" i="14"/>
  <c r="EN28" i="14"/>
  <c r="DC28" i="14"/>
  <c r="F25" i="42"/>
  <c r="E25" i="42"/>
  <c r="A24" i="42"/>
  <c r="B24" i="42" s="1"/>
  <c r="C24" i="42"/>
  <c r="CC56" i="14"/>
  <c r="BR56" i="14"/>
  <c r="CA79" i="14"/>
  <c r="CC79" i="14"/>
  <c r="BR79" i="14"/>
  <c r="F4" i="41"/>
  <c r="C4" i="41"/>
  <c r="A4" i="41"/>
  <c r="B4" i="41" s="1"/>
  <c r="C3" i="41"/>
  <c r="A3" i="41"/>
  <c r="B3" i="41" s="1"/>
  <c r="X61" i="28"/>
  <c r="AH61" i="28"/>
  <c r="B62" i="28"/>
  <c r="P62" i="28"/>
  <c r="AG62" i="28"/>
  <c r="H62" i="28"/>
  <c r="AC62" i="28"/>
  <c r="T62" i="28"/>
  <c r="S62" i="28" s="1"/>
  <c r="Q62" i="28"/>
  <c r="R62" i="28" s="1"/>
  <c r="C62" i="28"/>
  <c r="AB62" i="28" s="1"/>
  <c r="AD62" i="28"/>
  <c r="O62" i="28"/>
  <c r="BO30" i="14"/>
  <c r="DU30" i="14"/>
  <c r="AY30" i="14"/>
  <c r="DY30" i="14"/>
  <c r="EM30" i="14"/>
  <c r="CX30" i="14"/>
  <c r="AO30" i="14"/>
  <c r="DQ30" i="14"/>
  <c r="CW30" i="14"/>
  <c r="BI30" i="14"/>
  <c r="BM30" i="14"/>
  <c r="DP30" i="14"/>
  <c r="CV30" i="14"/>
  <c r="DE30" i="14"/>
  <c r="BE30" i="14"/>
  <c r="CZ30" i="14"/>
  <c r="ED30" i="14"/>
  <c r="AQ30" i="14"/>
  <c r="DK30" i="14"/>
  <c r="EQ30" i="14"/>
  <c r="ES30" i="14"/>
  <c r="EB30" i="14"/>
  <c r="CG30" i="14"/>
  <c r="AZ30" i="14"/>
  <c r="DL30" i="14"/>
  <c r="BL30" i="14"/>
  <c r="C30" i="14"/>
  <c r="BC30" i="14"/>
  <c r="BN30" i="14"/>
  <c r="AP30" i="14"/>
  <c r="BJ30" i="14"/>
  <c r="EG30" i="14"/>
  <c r="EN30" i="14"/>
  <c r="CH30" i="14"/>
  <c r="CI30" i="14" s="1"/>
  <c r="DZ30" i="14"/>
  <c r="EP30" i="14"/>
  <c r="EA30" i="14"/>
  <c r="DA30" i="14"/>
  <c r="A21" i="40"/>
  <c r="E21" i="40" s="1"/>
  <c r="DV30" i="14"/>
  <c r="CL30" i="14"/>
  <c r="AV30" i="14"/>
  <c r="EH30" i="14"/>
  <c r="CY30" i="14"/>
  <c r="P30" i="14"/>
  <c r="CJ30" i="14"/>
  <c r="CK30" i="14" s="1"/>
  <c r="DB30" i="14"/>
  <c r="DO30" i="14"/>
  <c r="EO30" i="14"/>
  <c r="EE30" i="14"/>
  <c r="BQ30" i="14"/>
  <c r="G30" i="14"/>
  <c r="EF30" i="14"/>
  <c r="DG30" i="14"/>
  <c r="BK30" i="14"/>
  <c r="EC30" i="14"/>
  <c r="DW30" i="14"/>
  <c r="EL30" i="14"/>
  <c r="BG30" i="14"/>
  <c r="EK30" i="14"/>
  <c r="DS30" i="14"/>
  <c r="AX30" i="14"/>
  <c r="DH30" i="14"/>
  <c r="DT30" i="14"/>
  <c r="DJ30" i="14"/>
  <c r="EJ30" i="14"/>
  <c r="DM30" i="14"/>
  <c r="BF30" i="14"/>
  <c r="EI30" i="14"/>
  <c r="BD30" i="14"/>
  <c r="BP30" i="14"/>
  <c r="DC30" i="14"/>
  <c r="BB30" i="14"/>
  <c r="AW30" i="14"/>
  <c r="B30" i="14"/>
  <c r="M30" i="14" s="1"/>
  <c r="C21" i="40" s="1"/>
  <c r="DF30" i="14"/>
  <c r="AU30" i="14"/>
  <c r="D30" i="14"/>
  <c r="AS30" i="14"/>
  <c r="DD30" i="14"/>
  <c r="ER30" i="14"/>
  <c r="AR30" i="14"/>
  <c r="B26" i="22"/>
  <c r="DN30" i="14"/>
  <c r="BA30" i="14"/>
  <c r="DX30" i="14"/>
  <c r="AT30" i="14"/>
  <c r="DI30" i="14"/>
  <c r="BH30" i="14"/>
  <c r="BX30" i="14"/>
  <c r="CL215" i="10"/>
  <c r="CN215" i="10"/>
  <c r="AL215" i="10"/>
  <c r="K79" i="14"/>
  <c r="AG79" i="14" s="1"/>
  <c r="CK215" i="10"/>
  <c r="B216" i="10"/>
  <c r="AL216" i="10" s="1"/>
  <c r="BR215" i="10"/>
  <c r="EF217" i="10"/>
  <c r="CH217" i="10"/>
  <c r="BW217" i="10"/>
  <c r="C42" i="34"/>
  <c r="D43" i="34" s="1"/>
  <c r="BN218" i="10"/>
  <c r="S46" i="23"/>
  <c r="V46" i="23"/>
  <c r="Y46" i="23"/>
  <c r="E46" i="23"/>
  <c r="I46" i="23"/>
  <c r="Z46" i="23"/>
  <c r="AD46" i="23"/>
  <c r="M46" i="23"/>
  <c r="O46" i="23"/>
  <c r="B47" i="23"/>
  <c r="AG47" i="23"/>
  <c r="BA78" i="14"/>
  <c r="AQ78" i="14"/>
  <c r="BE78" i="14"/>
  <c r="BL78" i="14"/>
  <c r="AO78" i="14"/>
  <c r="AZ78" i="14"/>
  <c r="S78" i="14"/>
  <c r="AD78" i="14"/>
  <c r="AJ78" i="14"/>
  <c r="AE78" i="14"/>
  <c r="AC78" i="14"/>
  <c r="AG78" i="14"/>
  <c r="AV78" i="14"/>
  <c r="AR78" i="14"/>
  <c r="BJ78" i="14"/>
  <c r="BF78" i="14"/>
  <c r="AX78" i="14"/>
  <c r="BN78" i="14"/>
  <c r="AU78" i="14"/>
  <c r="AB78" i="14"/>
  <c r="BK78" i="14"/>
  <c r="BD78" i="14"/>
  <c r="Z78" i="14"/>
  <c r="X78" i="14"/>
  <c r="BC78" i="14"/>
  <c r="A81" i="14"/>
  <c r="B68" i="40"/>
  <c r="BU79" i="14"/>
  <c r="BT79" i="14"/>
  <c r="AT78" i="14"/>
  <c r="AP78" i="14"/>
  <c r="AF78" i="14"/>
  <c r="T78" i="14"/>
  <c r="AY78" i="14"/>
  <c r="AL78" i="14"/>
  <c r="AA78" i="14"/>
  <c r="AI78" i="14"/>
  <c r="DB78" i="14"/>
  <c r="DA78" i="14"/>
  <c r="DV78" i="14"/>
  <c r="DZ78" i="14"/>
  <c r="DS78" i="14"/>
  <c r="CV78" i="14"/>
  <c r="EN78" i="14"/>
  <c r="DK78" i="14"/>
  <c r="CX78" i="14"/>
  <c r="DU78" i="14"/>
  <c r="EH78" i="14"/>
  <c r="DT78" i="14"/>
  <c r="EE78" i="14"/>
  <c r="DC78" i="14"/>
  <c r="ED78" i="14"/>
  <c r="DQ78" i="14"/>
  <c r="DE78" i="14"/>
  <c r="ER78" i="14"/>
  <c r="ES78" i="14"/>
  <c r="DJ78" i="14"/>
  <c r="DL78" i="14"/>
  <c r="EK78" i="14"/>
  <c r="EB78" i="14"/>
  <c r="EL78" i="14"/>
  <c r="DX78" i="14"/>
  <c r="DI78" i="14"/>
  <c r="EP78" i="14"/>
  <c r="DW78" i="14"/>
  <c r="EC78" i="14"/>
  <c r="DM78" i="14"/>
  <c r="BO78" i="14"/>
  <c r="G78" i="14" s="1"/>
  <c r="DH78" i="14"/>
  <c r="CY78" i="14"/>
  <c r="EG78" i="14"/>
  <c r="EQ78" i="14"/>
  <c r="EA78" i="14"/>
  <c r="DF78" i="14"/>
  <c r="DP78" i="14"/>
  <c r="CW78" i="14"/>
  <c r="EM78" i="14"/>
  <c r="DD78" i="14"/>
  <c r="CZ78" i="14"/>
  <c r="EI78" i="14"/>
  <c r="DO78" i="14"/>
  <c r="EJ78" i="14"/>
  <c r="EO78" i="14"/>
  <c r="DY78" i="14"/>
  <c r="DN78" i="14"/>
  <c r="EF78" i="14"/>
  <c r="DG78" i="14"/>
  <c r="A69" i="40"/>
  <c r="CB80" i="14"/>
  <c r="BV80" i="14" s="1"/>
  <c r="B80" i="14"/>
  <c r="M80" i="14" s="1"/>
  <c r="C69" i="40" s="1"/>
  <c r="E69" i="40" s="1"/>
  <c r="BP80" i="14"/>
  <c r="C80" i="14"/>
  <c r="D80" i="14"/>
  <c r="P80" i="14"/>
  <c r="BQ80" i="14"/>
  <c r="CG80" i="14"/>
  <c r="BX80" i="14"/>
  <c r="BB78" i="14"/>
  <c r="AH78" i="14"/>
  <c r="W78" i="14"/>
  <c r="R78" i="14"/>
  <c r="V78" i="14"/>
  <c r="AW78" i="14"/>
  <c r="U78" i="14"/>
  <c r="AS78" i="14"/>
  <c r="BI78" i="14"/>
  <c r="Y78" i="14"/>
  <c r="AK78" i="14"/>
  <c r="BM78" i="14"/>
  <c r="BF79" i="14"/>
  <c r="BG78" i="14"/>
  <c r="BH78" i="14"/>
  <c r="BY218" i="10"/>
  <c r="GW93" i="7"/>
  <c r="GV94" i="7"/>
  <c r="GU94" i="7"/>
  <c r="DD149" i="10"/>
  <c r="DE152" i="10"/>
  <c r="N56" i="24"/>
  <c r="F218" i="10"/>
  <c r="BX218" i="10"/>
  <c r="G218" i="10"/>
  <c r="C217" i="10"/>
  <c r="GX93" i="7" l="1"/>
  <c r="AE62" i="28"/>
  <c r="K30" i="14"/>
  <c r="U30" i="14" s="1"/>
  <c r="U28" i="14"/>
  <c r="AK28" i="14"/>
  <c r="AE28" i="14"/>
  <c r="AH28" i="14"/>
  <c r="AB28" i="14"/>
  <c r="CM28" i="14"/>
  <c r="AD28" i="14"/>
  <c r="Y28" i="14"/>
  <c r="X28" i="14"/>
  <c r="S28" i="14"/>
  <c r="AI28" i="14"/>
  <c r="AA28" i="14"/>
  <c r="AF28" i="14"/>
  <c r="AG28" i="14"/>
  <c r="AJ28" i="14"/>
  <c r="AL28" i="14"/>
  <c r="T28" i="14"/>
  <c r="R28" i="14"/>
  <c r="A55" i="14"/>
  <c r="CE55" i="14" s="1"/>
  <c r="Z28" i="14"/>
  <c r="W28" i="14"/>
  <c r="V28" i="14"/>
  <c r="AC28" i="14"/>
  <c r="M24" i="22"/>
  <c r="Y24" i="22"/>
  <c r="V24" i="22"/>
  <c r="O24" i="22"/>
  <c r="E24" i="22"/>
  <c r="I24" i="22"/>
  <c r="AD24" i="22"/>
  <c r="S24" i="22"/>
  <c r="L57" i="24"/>
  <c r="J57" i="24"/>
  <c r="U58" i="24"/>
  <c r="V58" i="24" s="1"/>
  <c r="P57" i="24"/>
  <c r="I57" i="24" s="1"/>
  <c r="K53" i="14"/>
  <c r="AA53" i="14" s="1"/>
  <c r="CM53" i="14"/>
  <c r="O49" i="22"/>
  <c r="S49" i="22"/>
  <c r="Y49" i="22"/>
  <c r="V49" i="22"/>
  <c r="I49" i="22"/>
  <c r="AD49" i="22"/>
  <c r="E49" i="22"/>
  <c r="M49" i="22"/>
  <c r="T50" i="14"/>
  <c r="AB50" i="14"/>
  <c r="AK50" i="14"/>
  <c r="AH50" i="14"/>
  <c r="AG50" i="14"/>
  <c r="AI50" i="14"/>
  <c r="U50" i="14"/>
  <c r="AL50" i="14"/>
  <c r="AF50" i="14"/>
  <c r="AC50" i="14"/>
  <c r="AJ50" i="14"/>
  <c r="AA50" i="14"/>
  <c r="AD50" i="14"/>
  <c r="W50" i="14"/>
  <c r="AE50" i="14"/>
  <c r="Y50" i="14"/>
  <c r="S50" i="14"/>
  <c r="X50" i="14"/>
  <c r="Z50" i="14"/>
  <c r="R50" i="14"/>
  <c r="V50" i="14"/>
  <c r="EL29" i="14"/>
  <c r="ED29" i="14"/>
  <c r="EN29" i="14"/>
  <c r="BC29" i="14"/>
  <c r="DO29" i="14"/>
  <c r="CW29" i="14"/>
  <c r="BF29" i="14"/>
  <c r="B25" i="22"/>
  <c r="ES29" i="14"/>
  <c r="CY29" i="14"/>
  <c r="DV29" i="14"/>
  <c r="DK29" i="14"/>
  <c r="BH29" i="14"/>
  <c r="EI29" i="14"/>
  <c r="DE29" i="14"/>
  <c r="DT29" i="14"/>
  <c r="EA29" i="14"/>
  <c r="BL29" i="14"/>
  <c r="CH29" i="14"/>
  <c r="CI29" i="14" s="1"/>
  <c r="AZ29" i="14"/>
  <c r="P29" i="14"/>
  <c r="DF29" i="14"/>
  <c r="CX29" i="14"/>
  <c r="BP29" i="14"/>
  <c r="EF29" i="14"/>
  <c r="DU29" i="14"/>
  <c r="AO29" i="14"/>
  <c r="BA29" i="14"/>
  <c r="A20" i="40"/>
  <c r="E20" i="40" s="1"/>
  <c r="DG29" i="14"/>
  <c r="BD29" i="14"/>
  <c r="DP29" i="14"/>
  <c r="AW29" i="14"/>
  <c r="BX29" i="14"/>
  <c r="EC29" i="14"/>
  <c r="CL29" i="14"/>
  <c r="AU29" i="14"/>
  <c r="BE29" i="14"/>
  <c r="BQ29" i="14"/>
  <c r="CA29" i="14" s="1"/>
  <c r="CJ29" i="14"/>
  <c r="CK29" i="14" s="1"/>
  <c r="EG29" i="14"/>
  <c r="BG29" i="14"/>
  <c r="DZ29" i="14"/>
  <c r="B29" i="14"/>
  <c r="M29" i="14" s="1"/>
  <c r="EM29" i="14"/>
  <c r="DN29" i="14"/>
  <c r="DW29" i="14"/>
  <c r="EB29" i="14"/>
  <c r="DB29" i="14"/>
  <c r="DA29" i="14"/>
  <c r="CG29" i="14"/>
  <c r="DD29" i="14"/>
  <c r="EO29" i="14"/>
  <c r="CZ29" i="14"/>
  <c r="ER29" i="14"/>
  <c r="AP29" i="14"/>
  <c r="BK29" i="14"/>
  <c r="BN29" i="14"/>
  <c r="EQ29" i="14"/>
  <c r="AX29" i="14"/>
  <c r="DH29" i="14"/>
  <c r="EE29" i="14"/>
  <c r="DQ29" i="14"/>
  <c r="BM29" i="14"/>
  <c r="AQ29" i="14"/>
  <c r="DJ29" i="14"/>
  <c r="AY29" i="14"/>
  <c r="DY29" i="14"/>
  <c r="D29" i="14"/>
  <c r="EH29" i="14"/>
  <c r="C29" i="14"/>
  <c r="AT29" i="14"/>
  <c r="BO29" i="14"/>
  <c r="DL29" i="14"/>
  <c r="DM29" i="14"/>
  <c r="EP29" i="14"/>
  <c r="AV29" i="14"/>
  <c r="DC29" i="14"/>
  <c r="DS29" i="14"/>
  <c r="BI29" i="14"/>
  <c r="AR29" i="14"/>
  <c r="EJ29" i="14"/>
  <c r="AS29" i="14"/>
  <c r="G29" i="14"/>
  <c r="EK29" i="14"/>
  <c r="CV29" i="14"/>
  <c r="BJ29" i="14"/>
  <c r="DI29" i="14"/>
  <c r="DX29" i="14"/>
  <c r="BB29" i="14"/>
  <c r="C42" i="40"/>
  <c r="K52" i="14"/>
  <c r="F23" i="38"/>
  <c r="E23" i="38"/>
  <c r="C41" i="40"/>
  <c r="K51" i="14"/>
  <c r="A22" i="38"/>
  <c r="B22" i="38" s="1"/>
  <c r="C22" i="38"/>
  <c r="BT28" i="14"/>
  <c r="B19" i="40"/>
  <c r="B43" i="40"/>
  <c r="BU53" i="14"/>
  <c r="BT53" i="14"/>
  <c r="EE54" i="14"/>
  <c r="DV54" i="14"/>
  <c r="BF54" i="14"/>
  <c r="EH54" i="14"/>
  <c r="DX54" i="14"/>
  <c r="DM54" i="14"/>
  <c r="DQ54" i="14"/>
  <c r="ES54" i="14"/>
  <c r="EM54" i="14"/>
  <c r="DT54" i="14"/>
  <c r="C54" i="14"/>
  <c r="CG54" i="14"/>
  <c r="DH54" i="14"/>
  <c r="BP54" i="14"/>
  <c r="ER54" i="14"/>
  <c r="BE54" i="14"/>
  <c r="AO54" i="14"/>
  <c r="DZ54" i="14"/>
  <c r="D54" i="14"/>
  <c r="BB54" i="14"/>
  <c r="CB54" i="14"/>
  <c r="BV54" i="14" s="1"/>
  <c r="CW54" i="14"/>
  <c r="BD54" i="14"/>
  <c r="EN54" i="14"/>
  <c r="CH54" i="14"/>
  <c r="CI54" i="14" s="1"/>
  <c r="DG54" i="14"/>
  <c r="CX54" i="14"/>
  <c r="DS54" i="14"/>
  <c r="BX54" i="14"/>
  <c r="CZ54" i="14"/>
  <c r="AR54" i="14"/>
  <c r="EG54" i="14"/>
  <c r="BI54" i="14"/>
  <c r="CJ54" i="14"/>
  <c r="CK54" i="14" s="1"/>
  <c r="DL54" i="14"/>
  <c r="DB54" i="14"/>
  <c r="G54" i="14"/>
  <c r="EJ54" i="14"/>
  <c r="AV54" i="14"/>
  <c r="DI54" i="14"/>
  <c r="DW54" i="14"/>
  <c r="EO54" i="14"/>
  <c r="DY54" i="14"/>
  <c r="DE54" i="14"/>
  <c r="BG54" i="14"/>
  <c r="EP54" i="14"/>
  <c r="AS54" i="14"/>
  <c r="BN54" i="14"/>
  <c r="B50" i="22"/>
  <c r="EA54" i="14"/>
  <c r="ED54" i="14"/>
  <c r="BH54" i="14"/>
  <c r="EB54" i="14"/>
  <c r="A44" i="40"/>
  <c r="E44" i="40" s="1"/>
  <c r="AZ54" i="14"/>
  <c r="AP54" i="14"/>
  <c r="EI54" i="14"/>
  <c r="AX54" i="14"/>
  <c r="BK54" i="14"/>
  <c r="BM54" i="14"/>
  <c r="AT54" i="14"/>
  <c r="BL54" i="14"/>
  <c r="DK54" i="14"/>
  <c r="DU54" i="14"/>
  <c r="DC54" i="14"/>
  <c r="CL54" i="14"/>
  <c r="EK54" i="14"/>
  <c r="BC54" i="14"/>
  <c r="DN54" i="14"/>
  <c r="BA54" i="14"/>
  <c r="EL54" i="14"/>
  <c r="CY54" i="14"/>
  <c r="AQ54" i="14"/>
  <c r="AY54" i="14"/>
  <c r="DA54" i="14"/>
  <c r="BO54" i="14"/>
  <c r="B54" i="14"/>
  <c r="M54" i="14" s="1"/>
  <c r="C44" i="40" s="1"/>
  <c r="BJ54" i="14"/>
  <c r="EC54" i="14"/>
  <c r="CV54" i="14"/>
  <c r="EQ54" i="14"/>
  <c r="DO54" i="14"/>
  <c r="AW54" i="14"/>
  <c r="DF54" i="14"/>
  <c r="DP54" i="14"/>
  <c r="DD54" i="14"/>
  <c r="AU54" i="14"/>
  <c r="P54" i="14"/>
  <c r="EF54" i="14"/>
  <c r="BQ54" i="14"/>
  <c r="CA54" i="14" s="1"/>
  <c r="DJ54" i="14"/>
  <c r="A25" i="42"/>
  <c r="B25" i="42" s="1"/>
  <c r="C25" i="42"/>
  <c r="F26" i="42"/>
  <c r="E26" i="42"/>
  <c r="CA80" i="14"/>
  <c r="CC80" i="14"/>
  <c r="BR80" i="14"/>
  <c r="BR57" i="14"/>
  <c r="CC57" i="14"/>
  <c r="CA30" i="14"/>
  <c r="CC30" i="14"/>
  <c r="BR30" i="14"/>
  <c r="E5" i="41"/>
  <c r="F5" i="41" s="1"/>
  <c r="E6" i="41" s="1"/>
  <c r="AH62" i="28"/>
  <c r="X62" i="28"/>
  <c r="Y36" i="28" s="1"/>
  <c r="Y35" i="28" s="1"/>
  <c r="AO79" i="14"/>
  <c r="AE79" i="14"/>
  <c r="BN79" i="14"/>
  <c r="BM79" i="14"/>
  <c r="AJ30" i="14"/>
  <c r="AC30" i="14"/>
  <c r="AK30" i="14"/>
  <c r="W30" i="14"/>
  <c r="R30" i="14"/>
  <c r="AL30" i="14"/>
  <c r="AG30" i="14"/>
  <c r="AH30" i="14"/>
  <c r="AE30" i="14"/>
  <c r="AF30" i="14"/>
  <c r="AD30" i="14"/>
  <c r="I26" i="22"/>
  <c r="Y26" i="22"/>
  <c r="AD26" i="22"/>
  <c r="M26" i="22"/>
  <c r="O26" i="22"/>
  <c r="S26" i="22"/>
  <c r="V26" i="22"/>
  <c r="E26" i="22"/>
  <c r="BT30" i="14"/>
  <c r="B21" i="40"/>
  <c r="CM30" i="14"/>
  <c r="CE31" i="14"/>
  <c r="AY31" i="14"/>
  <c r="AV31" i="14"/>
  <c r="EF31" i="14"/>
  <c r="DB31" i="14"/>
  <c r="EH31" i="14"/>
  <c r="DN31" i="14"/>
  <c r="BA31" i="14"/>
  <c r="DD31" i="14"/>
  <c r="DF31" i="14"/>
  <c r="EK31" i="14"/>
  <c r="CL31" i="14"/>
  <c r="ER31" i="14"/>
  <c r="AS31" i="14"/>
  <c r="CY31" i="14"/>
  <c r="AO31" i="14"/>
  <c r="BE31" i="14"/>
  <c r="B27" i="22"/>
  <c r="AU31" i="14"/>
  <c r="BQ31" i="14"/>
  <c r="EO31" i="14"/>
  <c r="ED31" i="14"/>
  <c r="EM31" i="14"/>
  <c r="CJ31" i="14"/>
  <c r="CK31" i="14" s="1"/>
  <c r="DT31" i="14"/>
  <c r="CX31" i="14"/>
  <c r="BC31" i="14"/>
  <c r="AX31" i="14"/>
  <c r="G31" i="14"/>
  <c r="BB31" i="14"/>
  <c r="DI31" i="14"/>
  <c r="DE31" i="14"/>
  <c r="P31" i="14"/>
  <c r="DU31" i="14"/>
  <c r="BI31" i="14"/>
  <c r="BJ31" i="14"/>
  <c r="AQ31" i="14"/>
  <c r="EL31" i="14"/>
  <c r="EG31" i="14"/>
  <c r="DK31" i="14"/>
  <c r="BK31" i="14"/>
  <c r="AW31" i="14"/>
  <c r="DQ31" i="14"/>
  <c r="CW31" i="14"/>
  <c r="DX31" i="14"/>
  <c r="DS31" i="14"/>
  <c r="AT31" i="14"/>
  <c r="BG31" i="14"/>
  <c r="BD31" i="14"/>
  <c r="C31" i="14"/>
  <c r="EP31" i="14"/>
  <c r="DM31" i="14"/>
  <c r="DY31" i="14"/>
  <c r="BH31" i="14"/>
  <c r="A22" i="40"/>
  <c r="E22" i="40" s="1"/>
  <c r="CZ31" i="14"/>
  <c r="AR31" i="14"/>
  <c r="BF31" i="14"/>
  <c r="DZ31" i="14"/>
  <c r="DH31" i="14"/>
  <c r="BO31" i="14"/>
  <c r="CV31" i="14"/>
  <c r="EE31" i="14"/>
  <c r="ES31" i="14"/>
  <c r="BP31" i="14"/>
  <c r="CH31" i="14"/>
  <c r="CI31" i="14" s="1"/>
  <c r="D31" i="14"/>
  <c r="CG31" i="14"/>
  <c r="AP31" i="14"/>
  <c r="DJ31" i="14"/>
  <c r="EI31" i="14"/>
  <c r="EN31" i="14"/>
  <c r="DP31" i="14"/>
  <c r="DW31" i="14"/>
  <c r="EJ31" i="14"/>
  <c r="BL31" i="14"/>
  <c r="BM31" i="14"/>
  <c r="AZ31" i="14"/>
  <c r="EA31" i="14"/>
  <c r="BN31" i="14"/>
  <c r="EC31" i="14"/>
  <c r="EB31" i="14"/>
  <c r="DO31" i="14"/>
  <c r="DA31" i="14"/>
  <c r="DC31" i="14"/>
  <c r="EQ31" i="14"/>
  <c r="DV31" i="14"/>
  <c r="DG31" i="14"/>
  <c r="DL31" i="14"/>
  <c r="B31" i="14"/>
  <c r="BX31" i="14"/>
  <c r="AA30" i="14"/>
  <c r="X30" i="14"/>
  <c r="T30" i="14"/>
  <c r="AB30" i="14"/>
  <c r="Z30" i="14"/>
  <c r="Y30" i="14"/>
  <c r="S30" i="14"/>
  <c r="AC79" i="14"/>
  <c r="AF79" i="14"/>
  <c r="AB79" i="14"/>
  <c r="AX79" i="14"/>
  <c r="BL79" i="14"/>
  <c r="BE79" i="14"/>
  <c r="AY79" i="14"/>
  <c r="Z79" i="14"/>
  <c r="AP79" i="14"/>
  <c r="AU79" i="14"/>
  <c r="BG79" i="14"/>
  <c r="AD79" i="14"/>
  <c r="AV79" i="14"/>
  <c r="V79" i="14"/>
  <c r="T79" i="14"/>
  <c r="AQ79" i="14"/>
  <c r="AL79" i="14"/>
  <c r="AJ79" i="14"/>
  <c r="BK79" i="14"/>
  <c r="S79" i="14"/>
  <c r="R79" i="14"/>
  <c r="BH79" i="14"/>
  <c r="BB79" i="14"/>
  <c r="BD79" i="14"/>
  <c r="BA79" i="14"/>
  <c r="BJ79" i="14"/>
  <c r="X79" i="14"/>
  <c r="AA79" i="14"/>
  <c r="U79" i="14"/>
  <c r="AT79" i="14"/>
  <c r="Y79" i="14"/>
  <c r="W79" i="14"/>
  <c r="AK79" i="14"/>
  <c r="AI79" i="14"/>
  <c r="AZ79" i="14"/>
  <c r="BI79" i="14"/>
  <c r="AW79" i="14"/>
  <c r="AS79" i="14"/>
  <c r="BC79" i="14"/>
  <c r="AH79" i="14"/>
  <c r="O216" i="10"/>
  <c r="B180" i="39" s="1"/>
  <c r="AR79" i="14"/>
  <c r="CN216" i="10"/>
  <c r="B217" i="10"/>
  <c r="AL217" i="10" s="1"/>
  <c r="K80" i="14"/>
  <c r="AB80" i="14" s="1"/>
  <c r="CK216" i="10"/>
  <c r="CL216" i="10"/>
  <c r="BR216" i="10"/>
  <c r="CH218" i="10"/>
  <c r="BW218" i="10"/>
  <c r="EF218" i="10"/>
  <c r="BN219" i="10"/>
  <c r="C43" i="34"/>
  <c r="D44" i="34" s="1"/>
  <c r="Z47" i="23"/>
  <c r="AD47" i="23"/>
  <c r="M47" i="23"/>
  <c r="V47" i="23"/>
  <c r="S47" i="23"/>
  <c r="O47" i="23"/>
  <c r="Y47" i="23"/>
  <c r="I47" i="23"/>
  <c r="E47" i="23"/>
  <c r="AG48" i="23"/>
  <c r="B48" i="23"/>
  <c r="BU80" i="14"/>
  <c r="B69" i="40"/>
  <c r="BT80" i="14"/>
  <c r="BP81" i="14"/>
  <c r="A70" i="40"/>
  <c r="D81" i="14"/>
  <c r="B81" i="14"/>
  <c r="M81" i="14" s="1"/>
  <c r="C70" i="40" s="1"/>
  <c r="E70" i="40" s="1"/>
  <c r="BQ81" i="14"/>
  <c r="C81" i="14"/>
  <c r="P81" i="14"/>
  <c r="CB81" i="14"/>
  <c r="BV81" i="14" s="1"/>
  <c r="CG81" i="14"/>
  <c r="BX81" i="14"/>
  <c r="DX79" i="14"/>
  <c r="DN79" i="14"/>
  <c r="CW79" i="14"/>
  <c r="EA79" i="14"/>
  <c r="DZ79" i="14"/>
  <c r="EJ79" i="14"/>
  <c r="DQ79" i="14"/>
  <c r="EC79" i="14"/>
  <c r="BO79" i="14"/>
  <c r="G79" i="14" s="1"/>
  <c r="EP79" i="14"/>
  <c r="DO79" i="14"/>
  <c r="EN79" i="14"/>
  <c r="DC79" i="14"/>
  <c r="DB79" i="14"/>
  <c r="EE79" i="14"/>
  <c r="DL79" i="14"/>
  <c r="EL79" i="14"/>
  <c r="DD79" i="14"/>
  <c r="EQ79" i="14"/>
  <c r="DI79" i="14"/>
  <c r="DT79" i="14"/>
  <c r="EH79" i="14"/>
  <c r="CV79" i="14"/>
  <c r="CY79" i="14"/>
  <c r="CZ79" i="14"/>
  <c r="CX79" i="14"/>
  <c r="ED79" i="14"/>
  <c r="EF79" i="14"/>
  <c r="EB79" i="14"/>
  <c r="DA79" i="14"/>
  <c r="DG79" i="14"/>
  <c r="DK79" i="14"/>
  <c r="DV79" i="14"/>
  <c r="EK79" i="14"/>
  <c r="DF79" i="14"/>
  <c r="DW79" i="14"/>
  <c r="DE79" i="14"/>
  <c r="DS79" i="14"/>
  <c r="DJ79" i="14"/>
  <c r="DU79" i="14"/>
  <c r="EO79" i="14"/>
  <c r="ES79" i="14"/>
  <c r="ER79" i="14"/>
  <c r="DP79" i="14"/>
  <c r="EM79" i="14"/>
  <c r="DM79" i="14"/>
  <c r="DY79" i="14"/>
  <c r="DH79" i="14"/>
  <c r="EG79" i="14"/>
  <c r="EI79" i="14"/>
  <c r="CE81" i="14"/>
  <c r="BY219" i="10"/>
  <c r="GW94" i="7"/>
  <c r="GV95" i="7"/>
  <c r="GU95" i="7"/>
  <c r="DE153" i="10"/>
  <c r="DD150" i="10"/>
  <c r="N57" i="24"/>
  <c r="BX219" i="10"/>
  <c r="C218" i="10"/>
  <c r="F219" i="10"/>
  <c r="V30" i="14" l="1"/>
  <c r="AI30" i="14"/>
  <c r="GX94" i="7"/>
  <c r="K54" i="14"/>
  <c r="AC54" i="14" s="1"/>
  <c r="CM29" i="14"/>
  <c r="A56" i="14"/>
  <c r="CE56" i="14" s="1"/>
  <c r="AD50" i="22"/>
  <c r="S50" i="22"/>
  <c r="O50" i="22"/>
  <c r="I50" i="22"/>
  <c r="Y50" i="22"/>
  <c r="E50" i="22"/>
  <c r="M50" i="22"/>
  <c r="V50" i="22"/>
  <c r="Y51" i="14"/>
  <c r="V51" i="14"/>
  <c r="AG51" i="14"/>
  <c r="AK51" i="14"/>
  <c r="AL51" i="14"/>
  <c r="AH51" i="14"/>
  <c r="U51" i="14"/>
  <c r="Z51" i="14"/>
  <c r="S51" i="14"/>
  <c r="AE51" i="14"/>
  <c r="R51" i="14"/>
  <c r="W51" i="14"/>
  <c r="AD51" i="14"/>
  <c r="AB51" i="14"/>
  <c r="AI51" i="14"/>
  <c r="AC51" i="14"/>
  <c r="AF51" i="14"/>
  <c r="T51" i="14"/>
  <c r="AA51" i="14"/>
  <c r="X51" i="14"/>
  <c r="AJ51" i="14"/>
  <c r="E24" i="38"/>
  <c r="F24" i="38"/>
  <c r="X53" i="14"/>
  <c r="U53" i="14"/>
  <c r="CM54" i="14"/>
  <c r="AD52" i="14"/>
  <c r="AE52" i="14"/>
  <c r="X52" i="14"/>
  <c r="AK52" i="14"/>
  <c r="AB52" i="14"/>
  <c r="R52" i="14"/>
  <c r="Y52" i="14"/>
  <c r="S52" i="14"/>
  <c r="Z52" i="14"/>
  <c r="AH52" i="14"/>
  <c r="AG52" i="14"/>
  <c r="W52" i="14"/>
  <c r="AA52" i="14"/>
  <c r="AC52" i="14"/>
  <c r="AI52" i="14"/>
  <c r="U52" i="14"/>
  <c r="V52" i="14"/>
  <c r="T52" i="14"/>
  <c r="AJ52" i="14"/>
  <c r="AF52" i="14"/>
  <c r="AL52" i="14"/>
  <c r="C20" i="40"/>
  <c r="K29" i="14"/>
  <c r="AD25" i="22"/>
  <c r="M25" i="22"/>
  <c r="O25" i="22"/>
  <c r="I25" i="22"/>
  <c r="E25" i="22"/>
  <c r="Y25" i="22"/>
  <c r="S25" i="22"/>
  <c r="V25" i="22"/>
  <c r="Z53" i="14"/>
  <c r="B44" i="40"/>
  <c r="BT54" i="14"/>
  <c r="BU54" i="14"/>
  <c r="BT29" i="14"/>
  <c r="B20" i="40"/>
  <c r="C23" i="38"/>
  <c r="A23" i="38"/>
  <c r="B23" i="38" s="1"/>
  <c r="AD53" i="14"/>
  <c r="T53" i="14"/>
  <c r="AB53" i="14"/>
  <c r="AH53" i="14"/>
  <c r="AI53" i="14"/>
  <c r="W53" i="14"/>
  <c r="AF53" i="14"/>
  <c r="AK53" i="14"/>
  <c r="AC53" i="14"/>
  <c r="AJ53" i="14"/>
  <c r="R53" i="14"/>
  <c r="S53" i="14"/>
  <c r="AG53" i="14"/>
  <c r="AL53" i="14"/>
  <c r="V53" i="14"/>
  <c r="Y53" i="14"/>
  <c r="AE53" i="14"/>
  <c r="P58" i="24"/>
  <c r="I58" i="24" s="1"/>
  <c r="L58" i="24"/>
  <c r="U59" i="24"/>
  <c r="V59" i="24" s="1"/>
  <c r="J58" i="24"/>
  <c r="DD55" i="14"/>
  <c r="EB55" i="14"/>
  <c r="BA55" i="14"/>
  <c r="DQ55" i="14"/>
  <c r="CB55" i="14"/>
  <c r="BV55" i="14" s="1"/>
  <c r="DS55" i="14"/>
  <c r="AR55" i="14"/>
  <c r="BN55" i="14"/>
  <c r="AW55" i="14"/>
  <c r="BL55" i="14"/>
  <c r="BE55" i="14"/>
  <c r="BM55" i="14"/>
  <c r="DZ55" i="14"/>
  <c r="AO55" i="14"/>
  <c r="G55" i="14"/>
  <c r="DF55" i="14"/>
  <c r="DE55" i="14"/>
  <c r="EK55" i="14"/>
  <c r="DK55" i="14"/>
  <c r="A45" i="40"/>
  <c r="E45" i="40" s="1"/>
  <c r="DL55" i="14"/>
  <c r="EN55" i="14"/>
  <c r="EL55" i="14"/>
  <c r="DU55" i="14"/>
  <c r="B55" i="14"/>
  <c r="EI55" i="14"/>
  <c r="DN55" i="14"/>
  <c r="DI55" i="14"/>
  <c r="BK55" i="14"/>
  <c r="D55" i="14"/>
  <c r="AP55" i="14"/>
  <c r="ED55" i="14"/>
  <c r="B51" i="22"/>
  <c r="DV55" i="14"/>
  <c r="BJ55" i="14"/>
  <c r="DC55" i="14"/>
  <c r="DP55" i="14"/>
  <c r="EJ55" i="14"/>
  <c r="AT55" i="14"/>
  <c r="AX55" i="14"/>
  <c r="AZ55" i="14"/>
  <c r="ER55" i="14"/>
  <c r="DB55" i="14"/>
  <c r="AY55" i="14"/>
  <c r="CH55" i="14"/>
  <c r="CI55" i="14" s="1"/>
  <c r="EM55" i="14"/>
  <c r="EO55" i="14"/>
  <c r="BH55" i="14"/>
  <c r="CZ55" i="14"/>
  <c r="DJ55" i="14"/>
  <c r="EQ55" i="14"/>
  <c r="EA55" i="14"/>
  <c r="AQ55" i="14"/>
  <c r="CY55" i="14"/>
  <c r="DM55" i="14"/>
  <c r="BP55" i="14"/>
  <c r="EE55" i="14"/>
  <c r="EC55" i="14"/>
  <c r="AV55" i="14"/>
  <c r="BC55" i="14"/>
  <c r="EH55" i="14"/>
  <c r="P55" i="14"/>
  <c r="EG55" i="14"/>
  <c r="CX55" i="14"/>
  <c r="CL55" i="14"/>
  <c r="AS55" i="14"/>
  <c r="CG55" i="14"/>
  <c r="DA55" i="14"/>
  <c r="C55" i="14"/>
  <c r="EP55" i="14"/>
  <c r="BQ55" i="14"/>
  <c r="CA55" i="14" s="1"/>
  <c r="DH55" i="14"/>
  <c r="DW55" i="14"/>
  <c r="BB55" i="14"/>
  <c r="DT55" i="14"/>
  <c r="BI55" i="14"/>
  <c r="ES55" i="14"/>
  <c r="DO55" i="14"/>
  <c r="EF55" i="14"/>
  <c r="AU55" i="14"/>
  <c r="CW55" i="14"/>
  <c r="BF55" i="14"/>
  <c r="DG55" i="14"/>
  <c r="DX55" i="14"/>
  <c r="DY55" i="14"/>
  <c r="CJ55" i="14"/>
  <c r="CK55" i="14" s="1"/>
  <c r="BO55" i="14"/>
  <c r="CV55" i="14"/>
  <c r="BG55" i="14"/>
  <c r="BD55" i="14"/>
  <c r="BX55" i="14"/>
  <c r="A26" i="42"/>
  <c r="B26" i="42" s="1"/>
  <c r="C26" i="42"/>
  <c r="E27" i="42"/>
  <c r="F27" i="42"/>
  <c r="CA81" i="14"/>
  <c r="BR81" i="14"/>
  <c r="CC81" i="14"/>
  <c r="CA31" i="14"/>
  <c r="BR31" i="14"/>
  <c r="CC31" i="14"/>
  <c r="BR58" i="14"/>
  <c r="CC58" i="14"/>
  <c r="F6" i="41"/>
  <c r="E7" i="41" s="1"/>
  <c r="A6" i="41"/>
  <c r="B6" i="41" s="1"/>
  <c r="C6" i="41"/>
  <c r="C5" i="41"/>
  <c r="A5" i="41"/>
  <c r="B5" i="41" s="1"/>
  <c r="CM31" i="14"/>
  <c r="S80" i="14"/>
  <c r="M31" i="14"/>
  <c r="BT31" i="14"/>
  <c r="B22" i="40"/>
  <c r="V27" i="22"/>
  <c r="AD27" i="22"/>
  <c r="Y27" i="22"/>
  <c r="I27" i="22"/>
  <c r="M27" i="22"/>
  <c r="O27" i="22"/>
  <c r="S27" i="22"/>
  <c r="E27" i="22"/>
  <c r="A32" i="14"/>
  <c r="CE32" i="14" s="1"/>
  <c r="AF80" i="14"/>
  <c r="T80" i="14"/>
  <c r="Z80" i="14"/>
  <c r="AE80" i="14"/>
  <c r="BL80" i="14"/>
  <c r="AO80" i="14"/>
  <c r="BB80" i="14"/>
  <c r="BG80" i="14"/>
  <c r="AG80" i="14"/>
  <c r="X80" i="14"/>
  <c r="BK80" i="14"/>
  <c r="BD80" i="14"/>
  <c r="AR80" i="14"/>
  <c r="BA80" i="14"/>
  <c r="AX80" i="14"/>
  <c r="R80" i="14"/>
  <c r="BC80" i="14"/>
  <c r="AI80" i="14"/>
  <c r="AQ80" i="14"/>
  <c r="BJ80" i="14"/>
  <c r="AT80" i="14"/>
  <c r="AJ80" i="14"/>
  <c r="Y80" i="14"/>
  <c r="BF80" i="14"/>
  <c r="AH80" i="14"/>
  <c r="AK80" i="14"/>
  <c r="AP80" i="14"/>
  <c r="AV80" i="14"/>
  <c r="BH80" i="14"/>
  <c r="V80" i="14"/>
  <c r="AD80" i="14"/>
  <c r="BM80" i="14"/>
  <c r="AZ80" i="14"/>
  <c r="BI80" i="14"/>
  <c r="AY80" i="14"/>
  <c r="BE80" i="14"/>
  <c r="W80" i="14"/>
  <c r="AS80" i="14"/>
  <c r="AA80" i="14"/>
  <c r="AU80" i="14"/>
  <c r="AW80" i="14"/>
  <c r="BN80" i="14"/>
  <c r="U80" i="14"/>
  <c r="CN217" i="10"/>
  <c r="O217" i="10"/>
  <c r="B181" i="39" s="1"/>
  <c r="B218" i="10"/>
  <c r="O218" i="10" s="1"/>
  <c r="B182" i="39" s="1"/>
  <c r="AL80" i="14"/>
  <c r="AC80" i="14"/>
  <c r="CK217" i="10"/>
  <c r="BR217" i="10"/>
  <c r="CL217" i="10"/>
  <c r="BW219" i="10"/>
  <c r="CH219" i="10"/>
  <c r="EF219" i="10"/>
  <c r="AG49" i="23"/>
  <c r="B49" i="23"/>
  <c r="C44" i="34"/>
  <c r="D45" i="34" s="1"/>
  <c r="S48" i="23"/>
  <c r="E48" i="23"/>
  <c r="V48" i="23"/>
  <c r="AD48" i="23"/>
  <c r="Y48" i="23"/>
  <c r="M48" i="23"/>
  <c r="Z48" i="23"/>
  <c r="O48" i="23"/>
  <c r="I48" i="23"/>
  <c r="BN220" i="10"/>
  <c r="BU81" i="14"/>
  <c r="BT81" i="14"/>
  <c r="B70" i="40"/>
  <c r="K81" i="14"/>
  <c r="AR81" i="14" s="1"/>
  <c r="A82" i="14"/>
  <c r="EC80" i="14"/>
  <c r="EP80" i="14"/>
  <c r="EJ80" i="14"/>
  <c r="DE80" i="14"/>
  <c r="DQ80" i="14"/>
  <c r="EB80" i="14"/>
  <c r="CY80" i="14"/>
  <c r="DB80" i="14"/>
  <c r="DC80" i="14"/>
  <c r="DN80" i="14"/>
  <c r="DJ80" i="14"/>
  <c r="CV80" i="14"/>
  <c r="EI80" i="14"/>
  <c r="EH80" i="14"/>
  <c r="EM80" i="14"/>
  <c r="DA80" i="14"/>
  <c r="DI80" i="14"/>
  <c r="ES80" i="14"/>
  <c r="EN80" i="14"/>
  <c r="EK80" i="14"/>
  <c r="EA80" i="14"/>
  <c r="DT80" i="14"/>
  <c r="EG80" i="14"/>
  <c r="EF80" i="14"/>
  <c r="DG80" i="14"/>
  <c r="DS80" i="14"/>
  <c r="DL80" i="14"/>
  <c r="DV80" i="14"/>
  <c r="DU80" i="14"/>
  <c r="DY80" i="14"/>
  <c r="ED80" i="14"/>
  <c r="DH80" i="14"/>
  <c r="CX80" i="14"/>
  <c r="DK80" i="14"/>
  <c r="DX80" i="14"/>
  <c r="DO80" i="14"/>
  <c r="CW80" i="14"/>
  <c r="DW80" i="14"/>
  <c r="DF80" i="14"/>
  <c r="CZ80" i="14"/>
  <c r="EQ80" i="14"/>
  <c r="BO80" i="14"/>
  <c r="G80" i="14" s="1"/>
  <c r="ER80" i="14"/>
  <c r="DP80" i="14"/>
  <c r="DM80" i="14"/>
  <c r="EO80" i="14"/>
  <c r="EE80" i="14"/>
  <c r="EL80" i="14"/>
  <c r="DD80" i="14"/>
  <c r="DZ80" i="14"/>
  <c r="BY220" i="10"/>
  <c r="GW95" i="7"/>
  <c r="GU96" i="7"/>
  <c r="DD151" i="10"/>
  <c r="GV96" i="7"/>
  <c r="DD152" i="10"/>
  <c r="DE154" i="10"/>
  <c r="N58" i="24"/>
  <c r="BX220" i="10"/>
  <c r="G219" i="10"/>
  <c r="F220" i="10"/>
  <c r="GX95" i="7" l="1"/>
  <c r="AK54" i="14"/>
  <c r="V54" i="14"/>
  <c r="S54" i="14"/>
  <c r="W54" i="14"/>
  <c r="AI54" i="14"/>
  <c r="AA54" i="14"/>
  <c r="AH54" i="14"/>
  <c r="AF54" i="14"/>
  <c r="U54" i="14"/>
  <c r="AL54" i="14"/>
  <c r="R54" i="14"/>
  <c r="Y54" i="14"/>
  <c r="T54" i="14"/>
  <c r="AJ54" i="14"/>
  <c r="AB54" i="14"/>
  <c r="AE54" i="14"/>
  <c r="X54" i="14"/>
  <c r="AG54" i="14"/>
  <c r="Z54" i="14"/>
  <c r="AD54" i="14"/>
  <c r="CM55" i="14"/>
  <c r="A57" i="14"/>
  <c r="CE57" i="14" s="1"/>
  <c r="B45" i="40"/>
  <c r="BT55" i="14"/>
  <c r="BU55" i="14"/>
  <c r="V51" i="22"/>
  <c r="O51" i="22"/>
  <c r="S51" i="22"/>
  <c r="Y51" i="22"/>
  <c r="I51" i="22"/>
  <c r="M51" i="22"/>
  <c r="AD51" i="22"/>
  <c r="E51" i="22"/>
  <c r="M55" i="14"/>
  <c r="E25" i="38"/>
  <c r="F25" i="38"/>
  <c r="A24" i="38"/>
  <c r="B24" i="38" s="1"/>
  <c r="C24" i="38"/>
  <c r="P59" i="24"/>
  <c r="I59" i="24" s="1"/>
  <c r="U60" i="24"/>
  <c r="L59" i="24"/>
  <c r="J59" i="24"/>
  <c r="AD29" i="14"/>
  <c r="AA29" i="14"/>
  <c r="T29" i="14"/>
  <c r="AC29" i="14"/>
  <c r="AI29" i="14"/>
  <c r="U29" i="14"/>
  <c r="AE29" i="14"/>
  <c r="Y29" i="14"/>
  <c r="X29" i="14"/>
  <c r="V29" i="14"/>
  <c r="AK29" i="14"/>
  <c r="AJ29" i="14"/>
  <c r="AB29" i="14"/>
  <c r="AL29" i="14"/>
  <c r="Z29" i="14"/>
  <c r="R29" i="14"/>
  <c r="S29" i="14"/>
  <c r="W29" i="14"/>
  <c r="AH29" i="14"/>
  <c r="AF29" i="14"/>
  <c r="AG29" i="14"/>
  <c r="ER56" i="14"/>
  <c r="BN56" i="14"/>
  <c r="D56" i="14"/>
  <c r="AS56" i="14"/>
  <c r="BF56" i="14"/>
  <c r="EN56" i="14"/>
  <c r="DB56" i="14"/>
  <c r="DQ56" i="14"/>
  <c r="EG56" i="14"/>
  <c r="EB56" i="14"/>
  <c r="EC56" i="14"/>
  <c r="AY56" i="14"/>
  <c r="CH56" i="14"/>
  <c r="CI56" i="14" s="1"/>
  <c r="BD56" i="14"/>
  <c r="CL56" i="14"/>
  <c r="DT56" i="14"/>
  <c r="AZ56" i="14"/>
  <c r="BE56" i="14"/>
  <c r="DG56" i="14"/>
  <c r="ED56" i="14"/>
  <c r="P56" i="14"/>
  <c r="DJ56" i="14"/>
  <c r="DU56" i="14"/>
  <c r="EI56" i="14"/>
  <c r="CZ56" i="14"/>
  <c r="DY56" i="14"/>
  <c r="EE56" i="14"/>
  <c r="EQ56" i="14"/>
  <c r="AT56" i="14"/>
  <c r="DM56" i="14"/>
  <c r="DI56" i="14"/>
  <c r="CX56" i="14"/>
  <c r="DN56" i="14"/>
  <c r="DW56" i="14"/>
  <c r="EL56" i="14"/>
  <c r="C56" i="14"/>
  <c r="DF56" i="14"/>
  <c r="AR56" i="14"/>
  <c r="AO56" i="14"/>
  <c r="AP56" i="14"/>
  <c r="CW56" i="14"/>
  <c r="G56" i="14"/>
  <c r="BJ56" i="14"/>
  <c r="B56" i="14"/>
  <c r="M56" i="14" s="1"/>
  <c r="C46" i="40" s="1"/>
  <c r="EJ56" i="14"/>
  <c r="CY56" i="14"/>
  <c r="EK56" i="14"/>
  <c r="ES56" i="14"/>
  <c r="BK56" i="14"/>
  <c r="DH56" i="14"/>
  <c r="DX56" i="14"/>
  <c r="A46" i="40"/>
  <c r="E46" i="40" s="1"/>
  <c r="BG56" i="14"/>
  <c r="BM56" i="14"/>
  <c r="DS56" i="14"/>
  <c r="DK56" i="14"/>
  <c r="AU56" i="14"/>
  <c r="CJ56" i="14"/>
  <c r="CK56" i="14" s="1"/>
  <c r="DL56" i="14"/>
  <c r="DP56" i="14"/>
  <c r="EA56" i="14"/>
  <c r="EM56" i="14"/>
  <c r="AX56" i="14"/>
  <c r="DE56" i="14"/>
  <c r="BA56" i="14"/>
  <c r="B52" i="22"/>
  <c r="CG56" i="14"/>
  <c r="DO56" i="14"/>
  <c r="BQ56" i="14"/>
  <c r="CA56" i="14" s="1"/>
  <c r="DZ56" i="14"/>
  <c r="DV56" i="14"/>
  <c r="CV56" i="14"/>
  <c r="BC56" i="14"/>
  <c r="EP56" i="14"/>
  <c r="AV56" i="14"/>
  <c r="AW56" i="14"/>
  <c r="AQ56" i="14"/>
  <c r="DD56" i="14"/>
  <c r="BH56" i="14"/>
  <c r="EH56" i="14"/>
  <c r="BX56" i="14"/>
  <c r="DA56" i="14"/>
  <c r="BI56" i="14"/>
  <c r="EF56" i="14"/>
  <c r="CB56" i="14"/>
  <c r="BV56" i="14" s="1"/>
  <c r="BO56" i="14"/>
  <c r="EO56" i="14"/>
  <c r="BP56" i="14"/>
  <c r="BB56" i="14"/>
  <c r="BL56" i="14"/>
  <c r="DC56" i="14"/>
  <c r="K56" i="14"/>
  <c r="S56" i="14" s="1"/>
  <c r="F28" i="42"/>
  <c r="E28" i="42"/>
  <c r="C27" i="42"/>
  <c r="A27" i="42"/>
  <c r="B27" i="42" s="1"/>
  <c r="BR59" i="14"/>
  <c r="CC59" i="14"/>
  <c r="F7" i="41"/>
  <c r="E8" i="41" s="1"/>
  <c r="C7" i="41"/>
  <c r="A7" i="41"/>
  <c r="B7" i="41" s="1"/>
  <c r="AL218" i="10"/>
  <c r="C22" i="40"/>
  <c r="K31" i="14"/>
  <c r="A33" i="14"/>
  <c r="CE33" i="14" s="1"/>
  <c r="A34" i="14" s="1"/>
  <c r="AV32" i="14"/>
  <c r="DF32" i="14"/>
  <c r="BF32" i="14"/>
  <c r="BN32" i="14"/>
  <c r="EM32" i="14"/>
  <c r="ED32" i="14"/>
  <c r="DB32" i="14"/>
  <c r="BP32" i="14"/>
  <c r="BG32" i="14"/>
  <c r="EP32" i="14"/>
  <c r="AX32" i="14"/>
  <c r="DU32" i="14"/>
  <c r="G32" i="14"/>
  <c r="EI32" i="14"/>
  <c r="AP32" i="14"/>
  <c r="CL32" i="14"/>
  <c r="CX32" i="14"/>
  <c r="EF32" i="14"/>
  <c r="C32" i="14"/>
  <c r="BM32" i="14"/>
  <c r="P32" i="14"/>
  <c r="CG32" i="14"/>
  <c r="AR32" i="14"/>
  <c r="DK32" i="14"/>
  <c r="AT32" i="14"/>
  <c r="DG32" i="14"/>
  <c r="AW32" i="14"/>
  <c r="DZ32" i="14"/>
  <c r="CZ32" i="14"/>
  <c r="DO32" i="14"/>
  <c r="BQ32" i="14"/>
  <c r="EQ32" i="14"/>
  <c r="BA32" i="14"/>
  <c r="D32" i="14"/>
  <c r="DD32" i="14"/>
  <c r="DL32" i="14"/>
  <c r="EA32" i="14"/>
  <c r="AQ32" i="14"/>
  <c r="EK32" i="14"/>
  <c r="BE32" i="14"/>
  <c r="BC32" i="14"/>
  <c r="B28" i="22"/>
  <c r="BL32" i="14"/>
  <c r="AS32" i="14"/>
  <c r="BX32" i="14"/>
  <c r="EB32" i="14"/>
  <c r="ES32" i="14"/>
  <c r="CH32" i="14"/>
  <c r="CI32" i="14" s="1"/>
  <c r="AY32" i="14"/>
  <c r="BJ32" i="14"/>
  <c r="DM32" i="14"/>
  <c r="AO32" i="14"/>
  <c r="EO32" i="14"/>
  <c r="DY32" i="14"/>
  <c r="DE32" i="14"/>
  <c r="DV32" i="14"/>
  <c r="EH32" i="14"/>
  <c r="AU32" i="14"/>
  <c r="DQ32" i="14"/>
  <c r="DH32" i="14"/>
  <c r="BO32" i="14"/>
  <c r="BK32" i="14"/>
  <c r="EC32" i="14"/>
  <c r="EJ32" i="14"/>
  <c r="CV32" i="14"/>
  <c r="CW32" i="14"/>
  <c r="EG32" i="14"/>
  <c r="DI32" i="14"/>
  <c r="DN32" i="14"/>
  <c r="B32" i="14"/>
  <c r="M32" i="14" s="1"/>
  <c r="C23" i="40" s="1"/>
  <c r="AZ32" i="14"/>
  <c r="DS32" i="14"/>
  <c r="CY32" i="14"/>
  <c r="A23" i="40"/>
  <c r="E23" i="40" s="1"/>
  <c r="DC32" i="14"/>
  <c r="BD32" i="14"/>
  <c r="BI32" i="14"/>
  <c r="CJ32" i="14"/>
  <c r="CK32" i="14" s="1"/>
  <c r="DX32" i="14"/>
  <c r="DA32" i="14"/>
  <c r="EN32" i="14"/>
  <c r="DJ32" i="14"/>
  <c r="DP32" i="14"/>
  <c r="EE32" i="14"/>
  <c r="ER32" i="14"/>
  <c r="EL32" i="14"/>
  <c r="BB32" i="14"/>
  <c r="DW32" i="14"/>
  <c r="DT32" i="14"/>
  <c r="BH32" i="14"/>
  <c r="BJ81" i="14"/>
  <c r="CN218" i="10"/>
  <c r="AP81" i="14"/>
  <c r="BC81" i="14"/>
  <c r="AJ81" i="14"/>
  <c r="Z81" i="14"/>
  <c r="CK218" i="10"/>
  <c r="BR218" i="10"/>
  <c r="CL218" i="10"/>
  <c r="CH220" i="10"/>
  <c r="EF220" i="10"/>
  <c r="BW220" i="10"/>
  <c r="C45" i="34"/>
  <c r="D46" i="34" s="1"/>
  <c r="AG50" i="23"/>
  <c r="B50" i="23"/>
  <c r="S49" i="23"/>
  <c r="AD49" i="23"/>
  <c r="E49" i="23"/>
  <c r="O49" i="23"/>
  <c r="Y49" i="23"/>
  <c r="I49" i="23"/>
  <c r="Z49" i="23"/>
  <c r="V49" i="23"/>
  <c r="M49" i="23"/>
  <c r="BN221" i="10"/>
  <c r="DH81" i="14"/>
  <c r="DN81" i="14"/>
  <c r="DY81" i="14"/>
  <c r="ED81" i="14"/>
  <c r="CZ81" i="14"/>
  <c r="CX81" i="14"/>
  <c r="CW81" i="14"/>
  <c r="EP81" i="14"/>
  <c r="DT81" i="14"/>
  <c r="DM81" i="14"/>
  <c r="EF81" i="14"/>
  <c r="EK81" i="14"/>
  <c r="EQ81" i="14"/>
  <c r="DI81" i="14"/>
  <c r="DP81" i="14"/>
  <c r="ER81" i="14"/>
  <c r="DJ81" i="14"/>
  <c r="DF81" i="14"/>
  <c r="DZ81" i="14"/>
  <c r="EM81" i="14"/>
  <c r="EN81" i="14"/>
  <c r="EH81" i="14"/>
  <c r="DV81" i="14"/>
  <c r="CY81" i="14"/>
  <c r="DQ81" i="14"/>
  <c r="DB81" i="14"/>
  <c r="DG81" i="14"/>
  <c r="DO81" i="14"/>
  <c r="BO81" i="14"/>
  <c r="G81" i="14" s="1"/>
  <c r="EC81" i="14"/>
  <c r="DA81" i="14"/>
  <c r="DL81" i="14"/>
  <c r="DD81" i="14"/>
  <c r="EI81" i="14"/>
  <c r="DU81" i="14"/>
  <c r="DK81" i="14"/>
  <c r="CV81" i="14"/>
  <c r="EE81" i="14"/>
  <c r="DS81" i="14"/>
  <c r="ES81" i="14"/>
  <c r="EA81" i="14"/>
  <c r="DC81" i="14"/>
  <c r="EG81" i="14"/>
  <c r="DE81" i="14"/>
  <c r="EL81" i="14"/>
  <c r="DX81" i="14"/>
  <c r="EJ81" i="14"/>
  <c r="EO81" i="14"/>
  <c r="EB81" i="14"/>
  <c r="DW81" i="14"/>
  <c r="BH81" i="14"/>
  <c r="AU81" i="14"/>
  <c r="AQ81" i="14"/>
  <c r="AG81" i="14"/>
  <c r="T81" i="14"/>
  <c r="AV81" i="14"/>
  <c r="AK81" i="14"/>
  <c r="AF81" i="14"/>
  <c r="CB82" i="14"/>
  <c r="BV82" i="14" s="1"/>
  <c r="B82" i="14"/>
  <c r="M82" i="14" s="1"/>
  <c r="C71" i="40" s="1"/>
  <c r="E71" i="40" s="1"/>
  <c r="BP82" i="14"/>
  <c r="D82" i="14"/>
  <c r="BQ82" i="14"/>
  <c r="A71" i="40"/>
  <c r="P82" i="14"/>
  <c r="C82" i="14"/>
  <c r="BX82" i="14"/>
  <c r="CG82" i="14"/>
  <c r="AB81" i="14"/>
  <c r="AA81" i="14"/>
  <c r="BM81" i="14"/>
  <c r="BN81" i="14"/>
  <c r="AI81" i="14"/>
  <c r="AT81" i="14"/>
  <c r="Y81" i="14"/>
  <c r="S81" i="14"/>
  <c r="BD81" i="14"/>
  <c r="AW81" i="14"/>
  <c r="AH81" i="14"/>
  <c r="AX81" i="14"/>
  <c r="W81" i="14"/>
  <c r="X81" i="14"/>
  <c r="BB81" i="14"/>
  <c r="AO81" i="14"/>
  <c r="AZ81" i="14"/>
  <c r="BA81" i="14"/>
  <c r="AC81" i="14"/>
  <c r="R81" i="14"/>
  <c r="AE81" i="14"/>
  <c r="BL81" i="14"/>
  <c r="BK81" i="14"/>
  <c r="U81" i="14"/>
  <c r="AS81" i="14"/>
  <c r="AD81" i="14"/>
  <c r="BF81" i="14"/>
  <c r="BE81" i="14"/>
  <c r="AL81" i="14"/>
  <c r="AY81" i="14"/>
  <c r="CE82" i="14"/>
  <c r="BI81" i="14"/>
  <c r="BG81" i="14"/>
  <c r="V81" i="14"/>
  <c r="BY221" i="10"/>
  <c r="GW96" i="7"/>
  <c r="GU97" i="7"/>
  <c r="DD153" i="10"/>
  <c r="GV97" i="7"/>
  <c r="DE155" i="10"/>
  <c r="N59" i="24"/>
  <c r="G220" i="10"/>
  <c r="BX221" i="10"/>
  <c r="C219" i="10"/>
  <c r="G221" i="10"/>
  <c r="GX96" i="7" l="1"/>
  <c r="AK56" i="14"/>
  <c r="W56" i="14"/>
  <c r="V56" i="14"/>
  <c r="Y56" i="14"/>
  <c r="AH56" i="14"/>
  <c r="CM56" i="14"/>
  <c r="A58" i="14"/>
  <c r="CE58" i="14" s="1"/>
  <c r="AC56" i="14"/>
  <c r="T56" i="14"/>
  <c r="AG56" i="14"/>
  <c r="AF56" i="14"/>
  <c r="AB56" i="14"/>
  <c r="BU56" i="14"/>
  <c r="BT56" i="14"/>
  <c r="B46" i="40"/>
  <c r="L60" i="24"/>
  <c r="J60" i="24"/>
  <c r="P60" i="24"/>
  <c r="I60" i="24" s="1"/>
  <c r="C45" i="40"/>
  <c r="K55" i="14"/>
  <c r="AD56" i="14"/>
  <c r="AE56" i="14"/>
  <c r="R56" i="14"/>
  <c r="AA56" i="14"/>
  <c r="U56" i="14"/>
  <c r="F26" i="38"/>
  <c r="E26" i="38"/>
  <c r="AZ57" i="14"/>
  <c r="EH57" i="14"/>
  <c r="CJ57" i="14"/>
  <c r="CK57" i="14" s="1"/>
  <c r="CH57" i="14"/>
  <c r="CI57" i="14" s="1"/>
  <c r="DJ57" i="14"/>
  <c r="EA57" i="14"/>
  <c r="EG57" i="14"/>
  <c r="DD57" i="14"/>
  <c r="BX57" i="14"/>
  <c r="EM57" i="14"/>
  <c r="BH57" i="14"/>
  <c r="EO57" i="14"/>
  <c r="DL57" i="14"/>
  <c r="AY57" i="14"/>
  <c r="DE57" i="14"/>
  <c r="AO57" i="14"/>
  <c r="CG57" i="14"/>
  <c r="A47" i="40"/>
  <c r="E47" i="40" s="1"/>
  <c r="DA57" i="14"/>
  <c r="CV57" i="14"/>
  <c r="EK57" i="14"/>
  <c r="DZ57" i="14"/>
  <c r="D57" i="14"/>
  <c r="AU57" i="14"/>
  <c r="AX57" i="14"/>
  <c r="BJ57" i="14"/>
  <c r="BL57" i="14"/>
  <c r="EB57" i="14"/>
  <c r="EJ57" i="14"/>
  <c r="B57" i="14"/>
  <c r="M57" i="14" s="1"/>
  <c r="C47" i="40" s="1"/>
  <c r="DV57" i="14"/>
  <c r="G57" i="14"/>
  <c r="DI57" i="14"/>
  <c r="AT57" i="14"/>
  <c r="DU57" i="14"/>
  <c r="BP57" i="14"/>
  <c r="BA57" i="14"/>
  <c r="BF57" i="14"/>
  <c r="BE57" i="14"/>
  <c r="EI57" i="14"/>
  <c r="BQ57" i="14"/>
  <c r="CA57" i="14" s="1"/>
  <c r="BM57" i="14"/>
  <c r="DP57" i="14"/>
  <c r="EN57" i="14"/>
  <c r="EC57" i="14"/>
  <c r="DM57" i="14"/>
  <c r="CY57" i="14"/>
  <c r="CB57" i="14"/>
  <c r="BV57" i="14" s="1"/>
  <c r="BI57" i="14"/>
  <c r="DC57" i="14"/>
  <c r="AS57" i="14"/>
  <c r="DK57" i="14"/>
  <c r="BK57" i="14"/>
  <c r="C57" i="14"/>
  <c r="EF57" i="14"/>
  <c r="EP57" i="14"/>
  <c r="ES57" i="14"/>
  <c r="ED57" i="14"/>
  <c r="DN57" i="14"/>
  <c r="EL57" i="14"/>
  <c r="DT57" i="14"/>
  <c r="P57" i="14"/>
  <c r="CL57" i="14"/>
  <c r="AP57" i="14"/>
  <c r="BG57" i="14"/>
  <c r="AV57" i="14"/>
  <c r="EQ57" i="14"/>
  <c r="DB57" i="14"/>
  <c r="ER57" i="14"/>
  <c r="CZ57" i="14"/>
  <c r="DQ57" i="14"/>
  <c r="AW57" i="14"/>
  <c r="B53" i="22"/>
  <c r="BO57" i="14"/>
  <c r="DH57" i="14"/>
  <c r="DF57" i="14"/>
  <c r="DS57" i="14"/>
  <c r="DX57" i="14"/>
  <c r="DO57" i="14"/>
  <c r="BD57" i="14"/>
  <c r="BC57" i="14"/>
  <c r="DG57" i="14"/>
  <c r="AR57" i="14"/>
  <c r="DY57" i="14"/>
  <c r="DW57" i="14"/>
  <c r="EE57" i="14"/>
  <c r="BN57" i="14"/>
  <c r="AQ57" i="14"/>
  <c r="CW57" i="14"/>
  <c r="CX57" i="14"/>
  <c r="BB57" i="14"/>
  <c r="AI56" i="14"/>
  <c r="AL56" i="14"/>
  <c r="AJ56" i="14"/>
  <c r="Z56" i="14"/>
  <c r="X56" i="14"/>
  <c r="S52" i="22"/>
  <c r="O52" i="22"/>
  <c r="E52" i="22"/>
  <c r="I52" i="22"/>
  <c r="V52" i="22"/>
  <c r="Y52" i="22"/>
  <c r="M52" i="22"/>
  <c r="AD52" i="22"/>
  <c r="A25" i="38"/>
  <c r="B25" i="38" s="1"/>
  <c r="C25" i="38"/>
  <c r="V60" i="24"/>
  <c r="C28" i="42"/>
  <c r="A28" i="42"/>
  <c r="B28" i="42" s="1"/>
  <c r="E29" i="42"/>
  <c r="F29" i="42"/>
  <c r="B219" i="10"/>
  <c r="O219" i="10" s="1"/>
  <c r="B183" i="39" s="1"/>
  <c r="CA82" i="14"/>
  <c r="BR82" i="14"/>
  <c r="CC82" i="14"/>
  <c r="CA32" i="14"/>
  <c r="CC32" i="14"/>
  <c r="BR32" i="14"/>
  <c r="F8" i="41"/>
  <c r="C8" i="41"/>
  <c r="A8" i="41"/>
  <c r="B8" i="41" s="1"/>
  <c r="K32" i="14"/>
  <c r="AB32" i="14" s="1"/>
  <c r="CE34" i="14"/>
  <c r="A35" i="14" s="1"/>
  <c r="CE35" i="14" s="1"/>
  <c r="DB34" i="14"/>
  <c r="BE34" i="14"/>
  <c r="AV34" i="14"/>
  <c r="CW34" i="14"/>
  <c r="DN34" i="14"/>
  <c r="DW34" i="14"/>
  <c r="BQ34" i="14"/>
  <c r="BM34" i="14"/>
  <c r="DL34" i="14"/>
  <c r="ER34" i="14"/>
  <c r="DE34" i="14"/>
  <c r="BB34" i="14"/>
  <c r="ES34" i="14"/>
  <c r="DV34" i="14"/>
  <c r="AS34" i="14"/>
  <c r="DC34" i="14"/>
  <c r="DU34" i="14"/>
  <c r="AX34" i="14"/>
  <c r="EF34" i="14"/>
  <c r="AP34" i="14"/>
  <c r="EC34" i="14"/>
  <c r="CZ34" i="14"/>
  <c r="CG34" i="14"/>
  <c r="EN34" i="14"/>
  <c r="A25" i="40"/>
  <c r="E25" i="40" s="1"/>
  <c r="C34" i="14"/>
  <c r="BT34" i="14" s="1"/>
  <c r="AT34" i="14"/>
  <c r="BC34" i="14"/>
  <c r="DH34" i="14"/>
  <c r="DO34" i="14"/>
  <c r="CV34" i="14"/>
  <c r="EL34" i="14"/>
  <c r="EG34" i="14"/>
  <c r="BF34" i="14"/>
  <c r="DX34" i="14"/>
  <c r="DP34" i="14"/>
  <c r="BO34" i="14"/>
  <c r="EA34" i="14"/>
  <c r="AR34" i="14"/>
  <c r="BA34" i="14"/>
  <c r="DQ34" i="14"/>
  <c r="BH34" i="14"/>
  <c r="EE34" i="14"/>
  <c r="BJ34" i="14"/>
  <c r="AZ34" i="14"/>
  <c r="CJ34" i="14"/>
  <c r="CK34" i="14" s="1"/>
  <c r="BD34" i="14"/>
  <c r="DM34" i="14"/>
  <c r="BL34" i="14"/>
  <c r="ED34" i="14"/>
  <c r="EO34" i="14"/>
  <c r="CX34" i="14"/>
  <c r="CH34" i="14"/>
  <c r="CI34" i="14" s="1"/>
  <c r="B30" i="22"/>
  <c r="AD30" i="22" s="1"/>
  <c r="EI34" i="14"/>
  <c r="CY34" i="14"/>
  <c r="EQ34" i="14"/>
  <c r="G34" i="14"/>
  <c r="AQ34" i="14"/>
  <c r="EK34" i="14"/>
  <c r="EB34" i="14"/>
  <c r="DT34" i="14"/>
  <c r="AY34" i="14"/>
  <c r="DS34" i="14"/>
  <c r="D34" i="14"/>
  <c r="DI34" i="14"/>
  <c r="BP34" i="14"/>
  <c r="EP34" i="14"/>
  <c r="DF34" i="14"/>
  <c r="DD34" i="14"/>
  <c r="AU34" i="14"/>
  <c r="DK34" i="14"/>
  <c r="EJ34" i="14"/>
  <c r="P34" i="14"/>
  <c r="AO34" i="14"/>
  <c r="DJ34" i="14"/>
  <c r="EH34" i="14"/>
  <c r="BG34" i="14"/>
  <c r="AW34" i="14"/>
  <c r="CL34" i="14"/>
  <c r="BK34" i="14"/>
  <c r="BN34" i="14"/>
  <c r="DG34" i="14"/>
  <c r="EM34" i="14"/>
  <c r="BI34" i="14"/>
  <c r="B34" i="14"/>
  <c r="M34" i="14" s="1"/>
  <c r="C25" i="40" s="1"/>
  <c r="DZ34" i="14"/>
  <c r="DY34" i="14"/>
  <c r="DA34" i="14"/>
  <c r="BX34" i="14"/>
  <c r="BT32" i="14"/>
  <c r="B23" i="40"/>
  <c r="M28" i="22"/>
  <c r="I28" i="22"/>
  <c r="Y28" i="22"/>
  <c r="AD28" i="22"/>
  <c r="S28" i="22"/>
  <c r="V28" i="22"/>
  <c r="E28" i="22"/>
  <c r="O28" i="22"/>
  <c r="CM32" i="14"/>
  <c r="C33" i="14"/>
  <c r="ER33" i="14"/>
  <c r="DQ33" i="14"/>
  <c r="BL33" i="14"/>
  <c r="A24" i="40"/>
  <c r="E24" i="40" s="1"/>
  <c r="BQ33" i="14"/>
  <c r="DL33" i="14"/>
  <c r="DZ33" i="14"/>
  <c r="CY33" i="14"/>
  <c r="DO33" i="14"/>
  <c r="DI33" i="14"/>
  <c r="CZ33" i="14"/>
  <c r="AW33" i="14"/>
  <c r="EB33" i="14"/>
  <c r="DX33" i="14"/>
  <c r="CL33" i="14"/>
  <c r="EQ33" i="14"/>
  <c r="DA33" i="14"/>
  <c r="DH33" i="14"/>
  <c r="EO33" i="14"/>
  <c r="DT33" i="14"/>
  <c r="BX33" i="14"/>
  <c r="DV33" i="14"/>
  <c r="EL33" i="14"/>
  <c r="AT33" i="14"/>
  <c r="BM33" i="14"/>
  <c r="EI33" i="14"/>
  <c r="BO33" i="14"/>
  <c r="EC33" i="14"/>
  <c r="EE33" i="14"/>
  <c r="BB33" i="14"/>
  <c r="G33" i="14"/>
  <c r="DJ33" i="14"/>
  <c r="EH33" i="14"/>
  <c r="BI33" i="14"/>
  <c r="AY33" i="14"/>
  <c r="DN33" i="14"/>
  <c r="BK33" i="14"/>
  <c r="DW33" i="14"/>
  <c r="DG33" i="14"/>
  <c r="B33" i="14"/>
  <c r="DC33" i="14"/>
  <c r="CV33" i="14"/>
  <c r="AQ33" i="14"/>
  <c r="CG33" i="14"/>
  <c r="BC33" i="14"/>
  <c r="P33" i="14"/>
  <c r="EM33" i="14"/>
  <c r="DU33" i="14"/>
  <c r="EK33" i="14"/>
  <c r="BG33" i="14"/>
  <c r="EN33" i="14"/>
  <c r="DB33" i="14"/>
  <c r="DM33" i="14"/>
  <c r="AO33" i="14"/>
  <c r="DP33" i="14"/>
  <c r="DD33" i="14"/>
  <c r="DY33" i="14"/>
  <c r="BP33" i="14"/>
  <c r="BF33" i="14"/>
  <c r="DK33" i="14"/>
  <c r="ED33" i="14"/>
  <c r="EJ33" i="14"/>
  <c r="EG33" i="14"/>
  <c r="AP33" i="14"/>
  <c r="DF33" i="14"/>
  <c r="B29" i="22"/>
  <c r="CJ33" i="14"/>
  <c r="CK33" i="14" s="1"/>
  <c r="AU33" i="14"/>
  <c r="D33" i="14"/>
  <c r="BJ33" i="14"/>
  <c r="AZ33" i="14"/>
  <c r="BH33" i="14"/>
  <c r="EF33" i="14"/>
  <c r="BN33" i="14"/>
  <c r="ES33" i="14"/>
  <c r="BA33" i="14"/>
  <c r="CH33" i="14"/>
  <c r="CI33" i="14" s="1"/>
  <c r="BE33" i="14"/>
  <c r="BD33" i="14"/>
  <c r="AX33" i="14"/>
  <c r="EP33" i="14"/>
  <c r="DS33" i="14"/>
  <c r="CW33" i="14"/>
  <c r="DE33" i="14"/>
  <c r="AS33" i="14"/>
  <c r="EA33" i="14"/>
  <c r="AV33" i="14"/>
  <c r="AR33" i="14"/>
  <c r="CX33" i="14"/>
  <c r="AG31" i="14"/>
  <c r="AF31" i="14"/>
  <c r="Y31" i="14"/>
  <c r="AA31" i="14"/>
  <c r="AB31" i="14"/>
  <c r="Z31" i="14"/>
  <c r="T31" i="14"/>
  <c r="AC31" i="14"/>
  <c r="W31" i="14"/>
  <c r="AH31" i="14"/>
  <c r="V31" i="14"/>
  <c r="AD31" i="14"/>
  <c r="AJ31" i="14"/>
  <c r="S31" i="14"/>
  <c r="AI31" i="14"/>
  <c r="U31" i="14"/>
  <c r="X31" i="14"/>
  <c r="AE31" i="14"/>
  <c r="AK31" i="14"/>
  <c r="R31" i="14"/>
  <c r="AL31" i="14"/>
  <c r="CK219" i="10"/>
  <c r="AL219" i="10"/>
  <c r="BW221" i="10"/>
  <c r="EF221" i="10"/>
  <c r="C46" i="34"/>
  <c r="D47" i="34" s="1"/>
  <c r="BN222" i="10"/>
  <c r="AG51" i="23"/>
  <c r="B51" i="23"/>
  <c r="Z50" i="23"/>
  <c r="M50" i="23"/>
  <c r="V50" i="23"/>
  <c r="S50" i="23"/>
  <c r="E50" i="23"/>
  <c r="AD50" i="23"/>
  <c r="Y50" i="23"/>
  <c r="O50" i="23"/>
  <c r="I50" i="23"/>
  <c r="B71" i="40"/>
  <c r="BT82" i="14"/>
  <c r="BU82" i="14"/>
  <c r="A83" i="14"/>
  <c r="CE83" i="14" s="1"/>
  <c r="K82" i="14"/>
  <c r="AQ82" i="14" s="1"/>
  <c r="BY222" i="10"/>
  <c r="GW97" i="7"/>
  <c r="DE156" i="10"/>
  <c r="GU98" i="7"/>
  <c r="GV98" i="7"/>
  <c r="DD154" i="10"/>
  <c r="N60" i="24"/>
  <c r="F222" i="10"/>
  <c r="F221" i="10"/>
  <c r="C220" i="10"/>
  <c r="BX222" i="10"/>
  <c r="G222" i="10"/>
  <c r="BR219" i="10" l="1"/>
  <c r="GX97" i="7"/>
  <c r="K57" i="14"/>
  <c r="Z57" i="14" s="1"/>
  <c r="A59" i="14"/>
  <c r="CE59" i="14" s="1"/>
  <c r="I53" i="22"/>
  <c r="Y53" i="22"/>
  <c r="M53" i="22"/>
  <c r="S53" i="22"/>
  <c r="V53" i="22"/>
  <c r="O53" i="22"/>
  <c r="E53" i="22"/>
  <c r="AD53" i="22"/>
  <c r="CM57" i="14"/>
  <c r="AK55" i="14"/>
  <c r="AD55" i="14"/>
  <c r="AL55" i="14"/>
  <c r="AF55" i="14"/>
  <c r="T55" i="14"/>
  <c r="S55" i="14"/>
  <c r="AH55" i="14"/>
  <c r="AA55" i="14"/>
  <c r="AG55" i="14"/>
  <c r="AI55" i="14"/>
  <c r="V55" i="14"/>
  <c r="AC55" i="14"/>
  <c r="AE55" i="14"/>
  <c r="U55" i="14"/>
  <c r="W55" i="14"/>
  <c r="Z55" i="14"/>
  <c r="R55" i="14"/>
  <c r="Y55" i="14"/>
  <c r="AB55" i="14"/>
  <c r="AJ55" i="14"/>
  <c r="X55" i="14"/>
  <c r="U61" i="24"/>
  <c r="V61" i="24" s="1"/>
  <c r="A26" i="38"/>
  <c r="B26" i="38" s="1"/>
  <c r="C26" i="38"/>
  <c r="F27" i="38"/>
  <c r="E27" i="38"/>
  <c r="BT57" i="14"/>
  <c r="B47" i="40"/>
  <c r="BU57" i="14"/>
  <c r="EB58" i="14"/>
  <c r="CJ58" i="14"/>
  <c r="CK58" i="14" s="1"/>
  <c r="EL58" i="14"/>
  <c r="AW58" i="14"/>
  <c r="BI58" i="14"/>
  <c r="CG58" i="14"/>
  <c r="BA58" i="14"/>
  <c r="C58" i="14"/>
  <c r="BD58" i="14"/>
  <c r="AO58" i="14"/>
  <c r="DC58" i="14"/>
  <c r="DZ58" i="14"/>
  <c r="AZ58" i="14"/>
  <c r="BO58" i="14"/>
  <c r="DX58" i="14"/>
  <c r="DU58" i="14"/>
  <c r="CB58" i="14"/>
  <c r="BV58" i="14" s="1"/>
  <c r="DT58" i="14"/>
  <c r="AU58" i="14"/>
  <c r="DB58" i="14"/>
  <c r="DL58" i="14"/>
  <c r="ED58" i="14"/>
  <c r="ES58" i="14"/>
  <c r="DG58" i="14"/>
  <c r="CX58" i="14"/>
  <c r="DH58" i="14"/>
  <c r="EE58" i="14"/>
  <c r="DO58" i="14"/>
  <c r="AR58" i="14"/>
  <c r="DW58" i="14"/>
  <c r="P58" i="14"/>
  <c r="AV58" i="14"/>
  <c r="EO58" i="14"/>
  <c r="EQ58" i="14"/>
  <c r="DY58" i="14"/>
  <c r="DN58" i="14"/>
  <c r="EH58" i="14"/>
  <c r="EN58" i="14"/>
  <c r="AS58" i="14"/>
  <c r="CY58" i="14"/>
  <c r="EP58" i="14"/>
  <c r="EF58" i="14"/>
  <c r="G58" i="14"/>
  <c r="EC58" i="14"/>
  <c r="BM58" i="14"/>
  <c r="DI58" i="14"/>
  <c r="AT58" i="14"/>
  <c r="DA58" i="14"/>
  <c r="BP58" i="14"/>
  <c r="DE58" i="14"/>
  <c r="BJ58" i="14"/>
  <c r="EG58" i="14"/>
  <c r="DM58" i="14"/>
  <c r="BB58" i="14"/>
  <c r="CZ58" i="14"/>
  <c r="BN58" i="14"/>
  <c r="BE58" i="14"/>
  <c r="EA58" i="14"/>
  <c r="BL58" i="14"/>
  <c r="D58" i="14"/>
  <c r="DK58" i="14"/>
  <c r="AP58" i="14"/>
  <c r="AQ58" i="14"/>
  <c r="B58" i="14"/>
  <c r="M58" i="14" s="1"/>
  <c r="C48" i="40" s="1"/>
  <c r="BG58" i="14"/>
  <c r="BC58" i="14"/>
  <c r="AX58" i="14"/>
  <c r="CW58" i="14"/>
  <c r="DS58" i="14"/>
  <c r="BK58" i="14"/>
  <c r="EI58" i="14"/>
  <c r="DD58" i="14"/>
  <c r="BH58" i="14"/>
  <c r="DJ58" i="14"/>
  <c r="CH58" i="14"/>
  <c r="CI58" i="14" s="1"/>
  <c r="EJ58" i="14"/>
  <c r="DF58" i="14"/>
  <c r="BQ58" i="14"/>
  <c r="CA58" i="14" s="1"/>
  <c r="EM58" i="14"/>
  <c r="DV58" i="14"/>
  <c r="A48" i="40"/>
  <c r="E48" i="40" s="1"/>
  <c r="BX58" i="14"/>
  <c r="BF58" i="14"/>
  <c r="CV58" i="14"/>
  <c r="CL58" i="14"/>
  <c r="B54" i="22"/>
  <c r="DP58" i="14"/>
  <c r="EK58" i="14"/>
  <c r="DQ58" i="14"/>
  <c r="AY58" i="14"/>
  <c r="ER58" i="14"/>
  <c r="K58" i="14"/>
  <c r="AD58" i="14" s="1"/>
  <c r="E30" i="42"/>
  <c r="F30" i="42"/>
  <c r="C29" i="42"/>
  <c r="A29" i="42"/>
  <c r="B29" i="42" s="1"/>
  <c r="CL219" i="10"/>
  <c r="CN219" i="10"/>
  <c r="CA33" i="14"/>
  <c r="CC33" i="14"/>
  <c r="BR33" i="14"/>
  <c r="CA34" i="14"/>
  <c r="CC34" i="14"/>
  <c r="BR34" i="14"/>
  <c r="CH221" i="10"/>
  <c r="B220" i="10"/>
  <c r="AL220" i="10" s="1"/>
  <c r="E9" i="41"/>
  <c r="F9" i="41" s="1"/>
  <c r="E10" i="41" s="1"/>
  <c r="K34" i="14"/>
  <c r="X34" i="14" s="1"/>
  <c r="S30" i="22"/>
  <c r="M30" i="22"/>
  <c r="Y30" i="22"/>
  <c r="I30" i="22"/>
  <c r="B25" i="40"/>
  <c r="V30" i="22"/>
  <c r="E30" i="22"/>
  <c r="O30" i="22"/>
  <c r="BF35" i="14"/>
  <c r="DK35" i="14"/>
  <c r="BP35" i="14"/>
  <c r="EF35" i="14"/>
  <c r="X32" i="14"/>
  <c r="W32" i="14"/>
  <c r="EE35" i="14"/>
  <c r="AL32" i="14"/>
  <c r="AF32" i="14"/>
  <c r="Z32" i="14"/>
  <c r="S32" i="14"/>
  <c r="AK32" i="14"/>
  <c r="AA32" i="14"/>
  <c r="CM34" i="14"/>
  <c r="BJ35" i="14"/>
  <c r="AE32" i="14"/>
  <c r="AG32" i="14"/>
  <c r="DG35" i="14"/>
  <c r="DP35" i="14"/>
  <c r="C35" i="14"/>
  <c r="BT35" i="14" s="1"/>
  <c r="AV35" i="14"/>
  <c r="CH35" i="14"/>
  <c r="CI35" i="14" s="1"/>
  <c r="DV35" i="14"/>
  <c r="B31" i="22"/>
  <c r="Y31" i="22" s="1"/>
  <c r="AS35" i="14"/>
  <c r="AX35" i="14"/>
  <c r="P35" i="14"/>
  <c r="EJ35" i="14"/>
  <c r="BN35" i="14"/>
  <c r="BX35" i="14"/>
  <c r="AT35" i="14"/>
  <c r="EC35" i="14"/>
  <c r="BC35" i="14"/>
  <c r="EB35" i="14"/>
  <c r="AJ32" i="14"/>
  <c r="AH32" i="14"/>
  <c r="Y32" i="14"/>
  <c r="AC32" i="14"/>
  <c r="AD32" i="14"/>
  <c r="CG35" i="14"/>
  <c r="EH35" i="14"/>
  <c r="DB35" i="14"/>
  <c r="DJ35" i="14"/>
  <c r="BB35" i="14"/>
  <c r="BA35" i="14"/>
  <c r="DA35" i="14"/>
  <c r="DF35" i="14"/>
  <c r="DL35" i="14"/>
  <c r="A26" i="40"/>
  <c r="E26" i="40" s="1"/>
  <c r="DE35" i="14"/>
  <c r="BK35" i="14"/>
  <c r="BQ35" i="14"/>
  <c r="DM35" i="14"/>
  <c r="DY35" i="14"/>
  <c r="DD35" i="14"/>
  <c r="EA35" i="14"/>
  <c r="DC35" i="14"/>
  <c r="AW35" i="14"/>
  <c r="D35" i="14"/>
  <c r="ER35" i="14"/>
  <c r="BH35" i="14"/>
  <c r="T32" i="14"/>
  <c r="U32" i="14"/>
  <c r="V32" i="14"/>
  <c r="AZ35" i="14"/>
  <c r="BG35" i="14"/>
  <c r="DS35" i="14"/>
  <c r="EL35" i="14"/>
  <c r="CV35" i="14"/>
  <c r="AY35" i="14"/>
  <c r="DU35" i="14"/>
  <c r="AU35" i="14"/>
  <c r="EM35" i="14"/>
  <c r="BL35" i="14"/>
  <c r="DI35" i="14"/>
  <c r="EN35" i="14"/>
  <c r="BD35" i="14"/>
  <c r="EK35" i="14"/>
  <c r="DW35" i="14"/>
  <c r="DH35" i="14"/>
  <c r="ED35" i="14"/>
  <c r="CL35" i="14"/>
  <c r="EP35" i="14"/>
  <c r="DN35" i="14"/>
  <c r="CX35" i="14"/>
  <c r="DT35" i="14"/>
  <c r="AI32" i="14"/>
  <c r="R32" i="14"/>
  <c r="CJ35" i="14"/>
  <c r="CK35" i="14" s="1"/>
  <c r="DZ35" i="14"/>
  <c r="DQ35" i="14"/>
  <c r="BM35" i="14"/>
  <c r="DX35" i="14"/>
  <c r="AR35" i="14"/>
  <c r="AO35" i="14"/>
  <c r="EQ35" i="14"/>
  <c r="AP35" i="14"/>
  <c r="BI35" i="14"/>
  <c r="DO35" i="14"/>
  <c r="BO35" i="14"/>
  <c r="BE35" i="14"/>
  <c r="CY35" i="14"/>
  <c r="CW35" i="14"/>
  <c r="EO35" i="14"/>
  <c r="ES35" i="14"/>
  <c r="G35" i="14"/>
  <c r="B35" i="14"/>
  <c r="M35" i="14" s="1"/>
  <c r="C26" i="40" s="1"/>
  <c r="EI35" i="14"/>
  <c r="AQ35" i="14"/>
  <c r="CZ35" i="14"/>
  <c r="EG35" i="14"/>
  <c r="CM33" i="14"/>
  <c r="M33" i="14"/>
  <c r="BT33" i="14"/>
  <c r="B24" i="40"/>
  <c r="O29" i="22"/>
  <c r="AD29" i="22"/>
  <c r="M29" i="22"/>
  <c r="Y29" i="22"/>
  <c r="V29" i="22"/>
  <c r="I29" i="22"/>
  <c r="S29" i="22"/>
  <c r="E29" i="22"/>
  <c r="BW222" i="10"/>
  <c r="EF222" i="10"/>
  <c r="CH222" i="10"/>
  <c r="C47" i="34"/>
  <c r="D48" i="34" s="1"/>
  <c r="M51" i="23"/>
  <c r="O51" i="23"/>
  <c r="Z51" i="23"/>
  <c r="I51" i="23"/>
  <c r="E51" i="23"/>
  <c r="AD51" i="23"/>
  <c r="Y51" i="23"/>
  <c r="S51" i="23"/>
  <c r="V51" i="23"/>
  <c r="BN224" i="10"/>
  <c r="AG52" i="23"/>
  <c r="B52" i="23"/>
  <c r="T82" i="14"/>
  <c r="A84" i="14"/>
  <c r="W82" i="14"/>
  <c r="BC82" i="14"/>
  <c r="B83" i="14"/>
  <c r="M83" i="14" s="1"/>
  <c r="C72" i="40" s="1"/>
  <c r="E72" i="40" s="1"/>
  <c r="A72" i="40"/>
  <c r="BQ83" i="14"/>
  <c r="D83" i="14"/>
  <c r="CB83" i="14"/>
  <c r="BV83" i="14" s="1"/>
  <c r="P83" i="14"/>
  <c r="C83" i="14"/>
  <c r="BP83" i="14"/>
  <c r="CG83" i="14"/>
  <c r="BX83" i="14"/>
  <c r="R82" i="14"/>
  <c r="BA82" i="14"/>
  <c r="BE82" i="14"/>
  <c r="AD82" i="14"/>
  <c r="BN82" i="14"/>
  <c r="AU82" i="14"/>
  <c r="AH82" i="14"/>
  <c r="V82" i="14"/>
  <c r="AL82" i="14"/>
  <c r="AY82" i="14"/>
  <c r="U82" i="14"/>
  <c r="X82" i="14"/>
  <c r="AC82" i="14"/>
  <c r="BD82" i="14"/>
  <c r="AR82" i="14"/>
  <c r="AJ82" i="14"/>
  <c r="AB82" i="14"/>
  <c r="AI82" i="14"/>
  <c r="AG82" i="14"/>
  <c r="BF82" i="14"/>
  <c r="AK82" i="14"/>
  <c r="BH82" i="14"/>
  <c r="Z82" i="14"/>
  <c r="AZ82" i="14"/>
  <c r="AS82" i="14"/>
  <c r="AA82" i="14"/>
  <c r="AW82" i="14"/>
  <c r="AF82" i="14"/>
  <c r="AP82" i="14"/>
  <c r="AX82" i="14"/>
  <c r="AO82" i="14"/>
  <c r="BB82" i="14"/>
  <c r="BI82" i="14"/>
  <c r="AE82" i="14"/>
  <c r="BG82" i="14"/>
  <c r="BK82" i="14"/>
  <c r="Y82" i="14"/>
  <c r="AV82" i="14"/>
  <c r="S82" i="14"/>
  <c r="AT82" i="14"/>
  <c r="BL82" i="14"/>
  <c r="EK82" i="14"/>
  <c r="ER82" i="14"/>
  <c r="DD82" i="14"/>
  <c r="DH82" i="14"/>
  <c r="DB82" i="14"/>
  <c r="CV82" i="14"/>
  <c r="DF82" i="14"/>
  <c r="DN82" i="14"/>
  <c r="CZ82" i="14"/>
  <c r="DA82" i="14"/>
  <c r="EA82" i="14"/>
  <c r="DW82" i="14"/>
  <c r="EJ82" i="14"/>
  <c r="DS82" i="14"/>
  <c r="EI82" i="14"/>
  <c r="DP82" i="14"/>
  <c r="DU82" i="14"/>
  <c r="BO82" i="14"/>
  <c r="G82" i="14" s="1"/>
  <c r="DE82" i="14"/>
  <c r="DJ82" i="14"/>
  <c r="DT82" i="14"/>
  <c r="DV82" i="14"/>
  <c r="DZ82" i="14"/>
  <c r="DK82" i="14"/>
  <c r="DI82" i="14"/>
  <c r="EE82" i="14"/>
  <c r="EO82" i="14"/>
  <c r="EF82" i="14"/>
  <c r="DC82" i="14"/>
  <c r="EP82" i="14"/>
  <c r="DQ82" i="14"/>
  <c r="DL82" i="14"/>
  <c r="ES82" i="14"/>
  <c r="EN82" i="14"/>
  <c r="CX82" i="14"/>
  <c r="DG82" i="14"/>
  <c r="EQ82" i="14"/>
  <c r="DY82" i="14"/>
  <c r="EL82" i="14"/>
  <c r="EB82" i="14"/>
  <c r="EM82" i="14"/>
  <c r="EH82" i="14"/>
  <c r="EC82" i="14"/>
  <c r="CW82" i="14"/>
  <c r="DX82" i="14"/>
  <c r="EG82" i="14"/>
  <c r="CY82" i="14"/>
  <c r="ED82" i="14"/>
  <c r="DM82" i="14"/>
  <c r="DO82" i="14"/>
  <c r="BM82" i="14"/>
  <c r="BJ82" i="14"/>
  <c r="BY224" i="10"/>
  <c r="GW98" i="7"/>
  <c r="DD155" i="10"/>
  <c r="GV99" i="7"/>
  <c r="DE157" i="10"/>
  <c r="GU99" i="7"/>
  <c r="G224" i="10"/>
  <c r="BX224" i="10"/>
  <c r="F224" i="10"/>
  <c r="C222" i="10"/>
  <c r="C221" i="10"/>
  <c r="GX98" i="7" l="1"/>
  <c r="U57" i="14"/>
  <c r="S58" i="14"/>
  <c r="T58" i="14"/>
  <c r="AG58" i="14"/>
  <c r="AK58" i="14"/>
  <c r="W58" i="14"/>
  <c r="AB57" i="14"/>
  <c r="AB58" i="14"/>
  <c r="Y57" i="14"/>
  <c r="AL57" i="14"/>
  <c r="AE58" i="14"/>
  <c r="AL58" i="14"/>
  <c r="R58" i="14"/>
  <c r="Z58" i="14"/>
  <c r="AK57" i="14"/>
  <c r="AF58" i="14"/>
  <c r="V58" i="14"/>
  <c r="X58" i="14"/>
  <c r="AI58" i="14"/>
  <c r="AF57" i="14"/>
  <c r="W57" i="14"/>
  <c r="T57" i="14"/>
  <c r="S57" i="14"/>
  <c r="AG57" i="14"/>
  <c r="AA57" i="14"/>
  <c r="R57" i="14"/>
  <c r="AH57" i="14"/>
  <c r="X57" i="14"/>
  <c r="V57" i="14"/>
  <c r="AD57" i="14"/>
  <c r="AJ57" i="14"/>
  <c r="AI57" i="14"/>
  <c r="AC57" i="14"/>
  <c r="AE57" i="14"/>
  <c r="Y58" i="14"/>
  <c r="AH58" i="14"/>
  <c r="AC58" i="14"/>
  <c r="AJ58" i="14"/>
  <c r="U58" i="14"/>
  <c r="AA58" i="14"/>
  <c r="C27" i="38"/>
  <c r="A27" i="38"/>
  <c r="B27" i="38" s="1"/>
  <c r="BT58" i="14"/>
  <c r="B48" i="40"/>
  <c r="BU58" i="14"/>
  <c r="F28" i="38"/>
  <c r="E28" i="38"/>
  <c r="J61" i="24"/>
  <c r="P61" i="24"/>
  <c r="I61" i="24" s="1"/>
  <c r="U62" i="24"/>
  <c r="L61" i="24"/>
  <c r="Y54" i="22"/>
  <c r="AD54" i="22"/>
  <c r="O54" i="22"/>
  <c r="M54" i="22"/>
  <c r="I54" i="22"/>
  <c r="V54" i="22"/>
  <c r="S54" i="22"/>
  <c r="E54" i="22"/>
  <c r="CM58" i="14"/>
  <c r="DP59" i="14"/>
  <c r="DN59" i="14"/>
  <c r="DB59" i="14"/>
  <c r="D59" i="14"/>
  <c r="BO59" i="14"/>
  <c r="EL59" i="14"/>
  <c r="AO59" i="14"/>
  <c r="DV59" i="14"/>
  <c r="CL59" i="14"/>
  <c r="CZ59" i="14"/>
  <c r="EC59" i="14"/>
  <c r="CH59" i="14"/>
  <c r="CI59" i="14" s="1"/>
  <c r="AR59" i="14"/>
  <c r="DH59" i="14"/>
  <c r="DT59" i="14"/>
  <c r="DL59" i="14"/>
  <c r="CB59" i="14"/>
  <c r="BV59" i="14" s="1"/>
  <c r="DQ59" i="14"/>
  <c r="EM59" i="14"/>
  <c r="AX59" i="14"/>
  <c r="DC59" i="14"/>
  <c r="EI59" i="14"/>
  <c r="A49" i="40"/>
  <c r="E49" i="40" s="1"/>
  <c r="EH59" i="14"/>
  <c r="BJ59" i="14"/>
  <c r="ER59" i="14"/>
  <c r="BE59" i="14"/>
  <c r="DI59" i="14"/>
  <c r="AP59" i="14"/>
  <c r="CJ59" i="14"/>
  <c r="CK59" i="14" s="1"/>
  <c r="DG59" i="14"/>
  <c r="BN59" i="14"/>
  <c r="EP59" i="14"/>
  <c r="DD59" i="14"/>
  <c r="CY59" i="14"/>
  <c r="AQ59" i="14"/>
  <c r="BF59" i="14"/>
  <c r="BD59" i="14"/>
  <c r="EN59" i="14"/>
  <c r="CX59" i="14"/>
  <c r="EQ59" i="14"/>
  <c r="AW59" i="14"/>
  <c r="DU59" i="14"/>
  <c r="DZ59" i="14"/>
  <c r="EB59" i="14"/>
  <c r="EF59" i="14"/>
  <c r="EG59" i="14"/>
  <c r="CG59" i="14"/>
  <c r="DX59" i="14"/>
  <c r="ED59" i="14"/>
  <c r="DA59" i="14"/>
  <c r="BQ59" i="14"/>
  <c r="CA59" i="14" s="1"/>
  <c r="EJ59" i="14"/>
  <c r="B55" i="22"/>
  <c r="DO59" i="14"/>
  <c r="CW59" i="14"/>
  <c r="EA59" i="14"/>
  <c r="AV59" i="14"/>
  <c r="DE59" i="14"/>
  <c r="DS59" i="14"/>
  <c r="DF59" i="14"/>
  <c r="BH59" i="14"/>
  <c r="AU59" i="14"/>
  <c r="C59" i="14"/>
  <c r="P59" i="14"/>
  <c r="CV59" i="14"/>
  <c r="BL59" i="14"/>
  <c r="AT59" i="14"/>
  <c r="BB59" i="14"/>
  <c r="DK59" i="14"/>
  <c r="BI59" i="14"/>
  <c r="DW59" i="14"/>
  <c r="BP59" i="14"/>
  <c r="ES59" i="14"/>
  <c r="AS59" i="14"/>
  <c r="EO59" i="14"/>
  <c r="BC59" i="14"/>
  <c r="BG59" i="14"/>
  <c r="B59" i="14"/>
  <c r="M59" i="14" s="1"/>
  <c r="C49" i="40" s="1"/>
  <c r="AZ59" i="14"/>
  <c r="DM59" i="14"/>
  <c r="BA59" i="14"/>
  <c r="BK59" i="14"/>
  <c r="EK59" i="14"/>
  <c r="DY59" i="14"/>
  <c r="BX59" i="14"/>
  <c r="AY59" i="14"/>
  <c r="EE59" i="14"/>
  <c r="BM59" i="14"/>
  <c r="G59" i="14"/>
  <c r="DJ59" i="14"/>
  <c r="E31" i="42"/>
  <c r="F31" i="42"/>
  <c r="A30" i="42"/>
  <c r="B30" i="42" s="1"/>
  <c r="C30" i="42"/>
  <c r="CA35" i="14"/>
  <c r="BR35" i="14"/>
  <c r="CC35" i="14"/>
  <c r="CA83" i="14"/>
  <c r="CC83" i="14"/>
  <c r="BR83" i="14"/>
  <c r="CL220" i="10"/>
  <c r="O220" i="10"/>
  <c r="B184" i="39" s="1"/>
  <c r="CK220" i="10"/>
  <c r="BR220" i="10"/>
  <c r="CH223" i="10"/>
  <c r="CF220" i="10" s="1"/>
  <c r="CB220" i="10" s="1"/>
  <c r="CN220" i="10"/>
  <c r="B221" i="10"/>
  <c r="O221" i="10" s="1"/>
  <c r="B185" i="39" s="1"/>
  <c r="A9" i="41"/>
  <c r="B9" i="41" s="1"/>
  <c r="C9" i="41"/>
  <c r="F10" i="41"/>
  <c r="E11" i="41" s="1"/>
  <c r="A10" i="41"/>
  <c r="B10" i="41" s="1"/>
  <c r="C10" i="41"/>
  <c r="Z34" i="14"/>
  <c r="AA34" i="14"/>
  <c r="T34" i="14"/>
  <c r="AF34" i="14"/>
  <c r="AB34" i="14"/>
  <c r="AK34" i="14"/>
  <c r="AE34" i="14"/>
  <c r="S34" i="14"/>
  <c r="R34" i="14"/>
  <c r="AH34" i="14"/>
  <c r="U34" i="14"/>
  <c r="AG34" i="14"/>
  <c r="AC34" i="14"/>
  <c r="AI34" i="14"/>
  <c r="Y34" i="14"/>
  <c r="V34" i="14"/>
  <c r="AJ34" i="14"/>
  <c r="W34" i="14"/>
  <c r="AD34" i="14"/>
  <c r="AL34" i="14"/>
  <c r="AD31" i="22"/>
  <c r="DE158" i="10"/>
  <c r="B30" i="29" s="1"/>
  <c r="I31" i="22"/>
  <c r="M31" i="22"/>
  <c r="O31" i="22"/>
  <c r="B26" i="40"/>
  <c r="S31" i="22"/>
  <c r="E31" i="22"/>
  <c r="K35" i="14"/>
  <c r="Z35" i="14" s="1"/>
  <c r="V31" i="22"/>
  <c r="CM35" i="14"/>
  <c r="C24" i="40"/>
  <c r="K33" i="14"/>
  <c r="B222" i="10"/>
  <c r="AL222" i="10" s="1"/>
  <c r="EF224" i="10"/>
  <c r="EA224" i="10" s="1"/>
  <c r="BW224" i="10"/>
  <c r="C48" i="34"/>
  <c r="D49" i="34" s="1"/>
  <c r="B53" i="23"/>
  <c r="AG53" i="23"/>
  <c r="Y52" i="23"/>
  <c r="I52" i="23"/>
  <c r="V52" i="23"/>
  <c r="O52" i="23"/>
  <c r="E52" i="23"/>
  <c r="Z52" i="23"/>
  <c r="S52" i="23"/>
  <c r="AD52" i="23"/>
  <c r="M52" i="23"/>
  <c r="BN225" i="10"/>
  <c r="D84" i="14"/>
  <c r="P84" i="14"/>
  <c r="BP84" i="14"/>
  <c r="A73" i="40"/>
  <c r="BQ84" i="14"/>
  <c r="C84" i="14"/>
  <c r="CB84" i="14"/>
  <c r="BV84" i="14" s="1"/>
  <c r="B84" i="14"/>
  <c r="M84" i="14" s="1"/>
  <c r="C73" i="40" s="1"/>
  <c r="E73" i="40" s="1"/>
  <c r="BX84" i="14"/>
  <c r="CG84" i="14"/>
  <c r="B72" i="40"/>
  <c r="BU83" i="14"/>
  <c r="BT83" i="14"/>
  <c r="CE84" i="14"/>
  <c r="K83" i="14"/>
  <c r="BY225" i="10"/>
  <c r="GW99" i="7"/>
  <c r="GU100" i="7"/>
  <c r="DD156" i="10"/>
  <c r="GV100" i="7"/>
  <c r="N61" i="24"/>
  <c r="BX225" i="10"/>
  <c r="G225" i="10"/>
  <c r="C224" i="10"/>
  <c r="F225" i="10"/>
  <c r="GX99" i="7" l="1"/>
  <c r="AL221" i="10"/>
  <c r="K59" i="14"/>
  <c r="AD59" i="14" s="1"/>
  <c r="BU59" i="14"/>
  <c r="BT59" i="14"/>
  <c r="B49" i="40"/>
  <c r="CM59" i="14"/>
  <c r="E29" i="38"/>
  <c r="F29" i="38"/>
  <c r="AD55" i="22"/>
  <c r="O55" i="22"/>
  <c r="V55" i="22"/>
  <c r="S55" i="22"/>
  <c r="Y55" i="22"/>
  <c r="E55" i="22"/>
  <c r="M55" i="22"/>
  <c r="I55" i="22"/>
  <c r="P62" i="24"/>
  <c r="I62" i="24" s="1"/>
  <c r="L62" i="24"/>
  <c r="J62" i="24"/>
  <c r="V62" i="24"/>
  <c r="U63" i="24" s="1"/>
  <c r="C28" i="38"/>
  <c r="A28" i="38"/>
  <c r="B28" i="38" s="1"/>
  <c r="E32" i="42"/>
  <c r="F32" i="42"/>
  <c r="C31" i="42"/>
  <c r="A31" i="42"/>
  <c r="B31" i="42" s="1"/>
  <c r="CA84" i="14"/>
  <c r="CC84" i="14"/>
  <c r="BR84" i="14"/>
  <c r="CE216" i="10"/>
  <c r="CF217" i="10"/>
  <c r="CB217" i="10" s="1"/>
  <c r="DN217" i="10" s="1"/>
  <c r="T217" i="10" s="1"/>
  <c r="CF186" i="10"/>
  <c r="CB186" i="10" s="1"/>
  <c r="DL186" i="10" s="1"/>
  <c r="R186" i="10" s="1"/>
  <c r="CF190" i="10"/>
  <c r="CB190" i="10" s="1"/>
  <c r="DX190" i="10" s="1"/>
  <c r="AD190" i="10" s="1"/>
  <c r="CF215" i="10"/>
  <c r="CB215" i="10" s="1"/>
  <c r="DX215" i="10" s="1"/>
  <c r="AD215" i="10" s="1"/>
  <c r="CE187" i="10"/>
  <c r="CF178" i="10"/>
  <c r="CB178" i="10" s="1"/>
  <c r="DV178" i="10" s="1"/>
  <c r="AB178" i="10" s="1"/>
  <c r="CE196" i="10"/>
  <c r="CE180" i="10"/>
  <c r="CE197" i="10"/>
  <c r="CF191" i="10"/>
  <c r="CC191" i="10" s="1"/>
  <c r="CE185" i="10"/>
  <c r="CE206" i="10"/>
  <c r="CF182" i="10"/>
  <c r="CC182" i="10" s="1"/>
  <c r="CE192" i="10"/>
  <c r="CE218" i="10"/>
  <c r="CE212" i="10"/>
  <c r="CF180" i="10"/>
  <c r="CB180" i="10" s="1"/>
  <c r="DR180" i="10" s="1"/>
  <c r="X180" i="10" s="1"/>
  <c r="CF207" i="10"/>
  <c r="CB207" i="10" s="1"/>
  <c r="DO207" i="10" s="1"/>
  <c r="U207" i="10" s="1"/>
  <c r="CE221" i="10"/>
  <c r="BR221" i="10"/>
  <c r="BR222" i="10" s="1"/>
  <c r="CE189" i="10"/>
  <c r="CF177" i="10"/>
  <c r="CB177" i="10" s="1"/>
  <c r="DN177" i="10" s="1"/>
  <c r="T177" i="10" s="1"/>
  <c r="CE219" i="10"/>
  <c r="CE203" i="10"/>
  <c r="CF222" i="10"/>
  <c r="CB222" i="10" s="1"/>
  <c r="DK222" i="10" s="1"/>
  <c r="Q222" i="10" s="1"/>
  <c r="CF194" i="10"/>
  <c r="CB194" i="10" s="1"/>
  <c r="EB194" i="10" s="1"/>
  <c r="AH194" i="10" s="1"/>
  <c r="CF209" i="10"/>
  <c r="CB209" i="10" s="1"/>
  <c r="DR209" i="10" s="1"/>
  <c r="X209" i="10" s="1"/>
  <c r="CF221" i="10"/>
  <c r="CB221" i="10" s="1"/>
  <c r="DU221" i="10" s="1"/>
  <c r="AA221" i="10" s="1"/>
  <c r="CE202" i="10"/>
  <c r="CF198" i="10"/>
  <c r="CB198" i="10" s="1"/>
  <c r="DT198" i="10" s="1"/>
  <c r="Z198" i="10" s="1"/>
  <c r="CF197" i="10"/>
  <c r="CB197" i="10" s="1"/>
  <c r="DK197" i="10" s="1"/>
  <c r="Q197" i="10" s="1"/>
  <c r="CF181" i="10"/>
  <c r="CB181" i="10" s="1"/>
  <c r="DO181" i="10" s="1"/>
  <c r="U181" i="10" s="1"/>
  <c r="CE215" i="10"/>
  <c r="CF202" i="10"/>
  <c r="CB202" i="10" s="1"/>
  <c r="EC202" i="10" s="1"/>
  <c r="AI202" i="10" s="1"/>
  <c r="CF211" i="10"/>
  <c r="CB211" i="10" s="1"/>
  <c r="DR211" i="10" s="1"/>
  <c r="X211" i="10" s="1"/>
  <c r="CF184" i="10"/>
  <c r="CB184" i="10" s="1"/>
  <c r="ED184" i="10" s="1"/>
  <c r="AJ184" i="10" s="1"/>
  <c r="CF210" i="10"/>
  <c r="CB210" i="10" s="1"/>
  <c r="DJ210" i="10" s="1"/>
  <c r="P210" i="10" s="1"/>
  <c r="CE200" i="10"/>
  <c r="CF201" i="10"/>
  <c r="CB201" i="10" s="1"/>
  <c r="DP201" i="10" s="1"/>
  <c r="V201" i="10" s="1"/>
  <c r="CF193" i="10"/>
  <c r="CB193" i="10" s="1"/>
  <c r="DJ193" i="10" s="1"/>
  <c r="P193" i="10" s="1"/>
  <c r="CF189" i="10"/>
  <c r="CB189" i="10" s="1"/>
  <c r="EB189" i="10" s="1"/>
  <c r="AH189" i="10" s="1"/>
  <c r="CE184" i="10"/>
  <c r="CE190" i="10"/>
  <c r="CC190" i="10" s="1"/>
  <c r="CF212" i="10"/>
  <c r="CB212" i="10" s="1"/>
  <c r="EB212" i="10" s="1"/>
  <c r="AH212" i="10" s="1"/>
  <c r="CF206" i="10"/>
  <c r="CB206" i="10" s="1"/>
  <c r="DZ206" i="10" s="1"/>
  <c r="AF206" i="10" s="1"/>
  <c r="CF196" i="10"/>
  <c r="CB196" i="10" s="1"/>
  <c r="DY196" i="10" s="1"/>
  <c r="AE196" i="10" s="1"/>
  <c r="CE193" i="10"/>
  <c r="CK221" i="10"/>
  <c r="CK222" i="10" s="1"/>
  <c r="CK223" i="10" s="1"/>
  <c r="CL221" i="10"/>
  <c r="CL222" i="10" s="1"/>
  <c r="CL223" i="10" s="1"/>
  <c r="CN221" i="10"/>
  <c r="CF187" i="10"/>
  <c r="CB187" i="10" s="1"/>
  <c r="EE187" i="10" s="1"/>
  <c r="AK187" i="10" s="1"/>
  <c r="CF203" i="10"/>
  <c r="CB203" i="10" s="1"/>
  <c r="EB203" i="10" s="1"/>
  <c r="AH203" i="10" s="1"/>
  <c r="CE208" i="10"/>
  <c r="CF199" i="10"/>
  <c r="CB199" i="10" s="1"/>
  <c r="DZ199" i="10" s="1"/>
  <c r="AF199" i="10" s="1"/>
  <c r="CF179" i="10"/>
  <c r="CB179" i="10" s="1"/>
  <c r="DR179" i="10" s="1"/>
  <c r="X179" i="10" s="1"/>
  <c r="CE217" i="10"/>
  <c r="CF214" i="10"/>
  <c r="CB214" i="10" s="1"/>
  <c r="DR214" i="10" s="1"/>
  <c r="X214" i="10" s="1"/>
  <c r="CF219" i="10"/>
  <c r="CB219" i="10" s="1"/>
  <c r="EE219" i="10" s="1"/>
  <c r="AK219" i="10" s="1"/>
  <c r="CF216" i="10"/>
  <c r="CB216" i="10" s="1"/>
  <c r="DL216" i="10" s="1"/>
  <c r="R216" i="10" s="1"/>
  <c r="CF195" i="10"/>
  <c r="CB195" i="10" s="1"/>
  <c r="DK195" i="10" s="1"/>
  <c r="Q195" i="10" s="1"/>
  <c r="CE205" i="10"/>
  <c r="CE194" i="10"/>
  <c r="CC194" i="10" s="1"/>
  <c r="CF218" i="10"/>
  <c r="CB218" i="10" s="1"/>
  <c r="DQ218" i="10" s="1"/>
  <c r="W218" i="10" s="1"/>
  <c r="CE186" i="10"/>
  <c r="CF213" i="10"/>
  <c r="CB213" i="10" s="1"/>
  <c r="DN213" i="10" s="1"/>
  <c r="T213" i="10" s="1"/>
  <c r="CE195" i="10"/>
  <c r="CE179" i="10"/>
  <c r="CF200" i="10"/>
  <c r="CB200" i="10" s="1"/>
  <c r="DP200" i="10" s="1"/>
  <c r="V200" i="10" s="1"/>
  <c r="CE220" i="10"/>
  <c r="CC220" i="10" s="1"/>
  <c r="FJ220" i="10" s="1"/>
  <c r="CE178" i="10"/>
  <c r="CC178" i="10" s="1"/>
  <c r="CE199" i="10"/>
  <c r="CE222" i="10"/>
  <c r="CE207" i="10"/>
  <c r="CF204" i="10"/>
  <c r="CB204" i="10" s="1"/>
  <c r="EE204" i="10" s="1"/>
  <c r="AK204" i="10" s="1"/>
  <c r="CE181" i="10"/>
  <c r="CE210" i="10"/>
  <c r="CE188" i="10"/>
  <c r="CF208" i="10"/>
  <c r="CB208" i="10" s="1"/>
  <c r="DJ208" i="10" s="1"/>
  <c r="P208" i="10" s="1"/>
  <c r="CF192" i="10"/>
  <c r="CB192" i="10" s="1"/>
  <c r="DT192" i="10" s="1"/>
  <c r="Z192" i="10" s="1"/>
  <c r="CF188" i="10"/>
  <c r="CB188" i="10" s="1"/>
  <c r="EE188" i="10" s="1"/>
  <c r="AK188" i="10" s="1"/>
  <c r="CE211" i="10"/>
  <c r="CE213" i="10"/>
  <c r="CE177" i="10"/>
  <c r="CE214" i="10"/>
  <c r="CF183" i="10"/>
  <c r="CB183" i="10" s="1"/>
  <c r="DJ183" i="10" s="1"/>
  <c r="P183" i="10" s="1"/>
  <c r="CE198" i="10"/>
  <c r="CC198" i="10" s="1"/>
  <c r="CF185" i="10"/>
  <c r="CB185" i="10" s="1"/>
  <c r="DM185" i="10" s="1"/>
  <c r="S185" i="10" s="1"/>
  <c r="CE183" i="10"/>
  <c r="CF205" i="10"/>
  <c r="CB205" i="10" s="1"/>
  <c r="EE205" i="10" s="1"/>
  <c r="AK205" i="10" s="1"/>
  <c r="CE201" i="10"/>
  <c r="CE204" i="10"/>
  <c r="CE209" i="10"/>
  <c r="F11" i="41"/>
  <c r="E12" i="41" s="1"/>
  <c r="A11" i="41"/>
  <c r="B11" i="41" s="1"/>
  <c r="C11" i="41"/>
  <c r="AC35" i="14"/>
  <c r="AB35" i="14"/>
  <c r="AA35" i="14"/>
  <c r="AI35" i="14"/>
  <c r="S35" i="14"/>
  <c r="AF35" i="14"/>
  <c r="AL35" i="14"/>
  <c r="AE35" i="14"/>
  <c r="W35" i="14"/>
  <c r="AJ35" i="14"/>
  <c r="V35" i="14"/>
  <c r="Y35" i="14"/>
  <c r="R35" i="14"/>
  <c r="AK35" i="14"/>
  <c r="AH35" i="14"/>
  <c r="X35" i="14"/>
  <c r="T35" i="14"/>
  <c r="AD35" i="14"/>
  <c r="U35" i="14"/>
  <c r="AG35" i="14"/>
  <c r="AI33" i="14"/>
  <c r="AL33" i="14"/>
  <c r="AA33" i="14"/>
  <c r="U33" i="14"/>
  <c r="S33" i="14"/>
  <c r="X33" i="14"/>
  <c r="AH33" i="14"/>
  <c r="R33" i="14"/>
  <c r="AE33" i="14"/>
  <c r="AJ33" i="14"/>
  <c r="AG33" i="14"/>
  <c r="AF33" i="14"/>
  <c r="AC33" i="14"/>
  <c r="W33" i="14"/>
  <c r="AD33" i="14"/>
  <c r="Z33" i="14"/>
  <c r="Y33" i="14"/>
  <c r="T33" i="14"/>
  <c r="AB33" i="14"/>
  <c r="V33" i="14"/>
  <c r="AK33" i="14"/>
  <c r="O222" i="10"/>
  <c r="B186" i="39" s="1"/>
  <c r="CN222" i="10"/>
  <c r="DZ224" i="10"/>
  <c r="DK224" i="10"/>
  <c r="ED224" i="10"/>
  <c r="B224" i="10"/>
  <c r="AR224" i="10" s="1"/>
  <c r="DS224" i="10"/>
  <c r="DT224" i="10"/>
  <c r="EF225" i="10"/>
  <c r="DT225" i="10" s="1"/>
  <c r="BW225" i="10"/>
  <c r="C49" i="34"/>
  <c r="D50" i="34" s="1"/>
  <c r="DM224" i="10"/>
  <c r="DN224" i="10"/>
  <c r="DO224" i="10"/>
  <c r="DW224" i="10"/>
  <c r="DL224" i="10"/>
  <c r="DX224" i="10"/>
  <c r="B54" i="23"/>
  <c r="AG54" i="23"/>
  <c r="ED220" i="10"/>
  <c r="AJ220" i="10" s="1"/>
  <c r="EB220" i="10"/>
  <c r="AH220" i="10" s="1"/>
  <c r="DN220" i="10"/>
  <c r="T220" i="10" s="1"/>
  <c r="EC220" i="10"/>
  <c r="AI220" i="10" s="1"/>
  <c r="DJ220" i="10"/>
  <c r="P220" i="10" s="1"/>
  <c r="EE220" i="10"/>
  <c r="AK220" i="10" s="1"/>
  <c r="DW220" i="10"/>
  <c r="AC220" i="10" s="1"/>
  <c r="DK220" i="10"/>
  <c r="Q220" i="10" s="1"/>
  <c r="DS220" i="10"/>
  <c r="Y220" i="10" s="1"/>
  <c r="EA220" i="10"/>
  <c r="AG220" i="10" s="1"/>
  <c r="DV220" i="10"/>
  <c r="AB220" i="10" s="1"/>
  <c r="DX220" i="10"/>
  <c r="AD220" i="10" s="1"/>
  <c r="DL220" i="10"/>
  <c r="R220" i="10" s="1"/>
  <c r="DP220" i="10"/>
  <c r="V220" i="10" s="1"/>
  <c r="DZ220" i="10"/>
  <c r="AF220" i="10" s="1"/>
  <c r="DO220" i="10"/>
  <c r="U220" i="10" s="1"/>
  <c r="DU220" i="10"/>
  <c r="AA220" i="10" s="1"/>
  <c r="DQ220" i="10"/>
  <c r="W220" i="10" s="1"/>
  <c r="DR220" i="10"/>
  <c r="X220" i="10" s="1"/>
  <c r="DM220" i="10"/>
  <c r="S220" i="10" s="1"/>
  <c r="DY220" i="10"/>
  <c r="AE220" i="10" s="1"/>
  <c r="DT220" i="10"/>
  <c r="Z220" i="10" s="1"/>
  <c r="DY224" i="10"/>
  <c r="DV224" i="10"/>
  <c r="DQ224" i="10"/>
  <c r="EE224" i="10"/>
  <c r="DP224" i="10"/>
  <c r="BN226" i="10"/>
  <c r="M53" i="23"/>
  <c r="Y53" i="23"/>
  <c r="V53" i="23"/>
  <c r="E53" i="23"/>
  <c r="AD53" i="23"/>
  <c r="I53" i="23"/>
  <c r="Z53" i="23"/>
  <c r="S53" i="23"/>
  <c r="O53" i="23"/>
  <c r="EB224" i="10"/>
  <c r="DR224" i="10"/>
  <c r="DU224" i="10"/>
  <c r="DJ224" i="10"/>
  <c r="EC224" i="10"/>
  <c r="A85" i="14"/>
  <c r="CE85" i="14" s="1"/>
  <c r="B73" i="40"/>
  <c r="BT84" i="14"/>
  <c r="BU84" i="14"/>
  <c r="ER83" i="14"/>
  <c r="DC83" i="14"/>
  <c r="EQ83" i="14"/>
  <c r="EJ83" i="14"/>
  <c r="DT83" i="14"/>
  <c r="DY83" i="14"/>
  <c r="ED83" i="14"/>
  <c r="DS83" i="14"/>
  <c r="EN83" i="14"/>
  <c r="CW83" i="14"/>
  <c r="DF83" i="14"/>
  <c r="DP83" i="14"/>
  <c r="EA83" i="14"/>
  <c r="EI83" i="14"/>
  <c r="EE83" i="14"/>
  <c r="EH83" i="14"/>
  <c r="DJ83" i="14"/>
  <c r="DG83" i="14"/>
  <c r="CY83" i="14"/>
  <c r="EL83" i="14"/>
  <c r="EC83" i="14"/>
  <c r="EF83" i="14"/>
  <c r="DE83" i="14"/>
  <c r="CX83" i="14"/>
  <c r="DI83" i="14"/>
  <c r="BO83" i="14"/>
  <c r="G83" i="14" s="1"/>
  <c r="DW83" i="14"/>
  <c r="DL83" i="14"/>
  <c r="DQ83" i="14"/>
  <c r="EG83" i="14"/>
  <c r="EM83" i="14"/>
  <c r="DZ83" i="14"/>
  <c r="DK83" i="14"/>
  <c r="EB83" i="14"/>
  <c r="DB83" i="14"/>
  <c r="EK83" i="14"/>
  <c r="DX83" i="14"/>
  <c r="DU83" i="14"/>
  <c r="CZ83" i="14"/>
  <c r="DA83" i="14"/>
  <c r="ES83" i="14"/>
  <c r="EP83" i="14"/>
  <c r="DH83" i="14"/>
  <c r="CV83" i="14"/>
  <c r="DO83" i="14"/>
  <c r="DV83" i="14"/>
  <c r="DN83" i="14"/>
  <c r="DM83" i="14"/>
  <c r="DD83" i="14"/>
  <c r="EO83" i="14"/>
  <c r="BD83" i="14"/>
  <c r="BB83" i="14"/>
  <c r="AR83" i="14"/>
  <c r="AT83" i="14"/>
  <c r="AB83" i="14"/>
  <c r="U83" i="14"/>
  <c r="AL83" i="14"/>
  <c r="AA83" i="14"/>
  <c r="BK83" i="14"/>
  <c r="AH83" i="14"/>
  <c r="AF83" i="14"/>
  <c r="BI83" i="14"/>
  <c r="BC83" i="14"/>
  <c r="AS83" i="14"/>
  <c r="BA83" i="14"/>
  <c r="BM83" i="14"/>
  <c r="BN83" i="14"/>
  <c r="AO83" i="14"/>
  <c r="W83" i="14"/>
  <c r="Z83" i="14"/>
  <c r="AV83" i="14"/>
  <c r="Y83" i="14"/>
  <c r="AQ83" i="14"/>
  <c r="BF83" i="14"/>
  <c r="AY83" i="14"/>
  <c r="AW83" i="14"/>
  <c r="S83" i="14"/>
  <c r="AU83" i="14"/>
  <c r="V83" i="14"/>
  <c r="AC83" i="14"/>
  <c r="AG83" i="14"/>
  <c r="AK83" i="14"/>
  <c r="AZ83" i="14"/>
  <c r="BJ83" i="14"/>
  <c r="BG83" i="14"/>
  <c r="AD83" i="14"/>
  <c r="AX83" i="14"/>
  <c r="X83" i="14"/>
  <c r="AJ83" i="14"/>
  <c r="AP83" i="14"/>
  <c r="AI83" i="14"/>
  <c r="BL83" i="14"/>
  <c r="BH83" i="14"/>
  <c r="BE83" i="14"/>
  <c r="AE83" i="14"/>
  <c r="R83" i="14"/>
  <c r="T83" i="14"/>
  <c r="K84" i="14"/>
  <c r="AH84" i="14" s="1"/>
  <c r="BY226" i="10"/>
  <c r="GW100" i="7"/>
  <c r="GV101" i="7"/>
  <c r="GU101" i="7"/>
  <c r="DD157" i="10"/>
  <c r="N62" i="24"/>
  <c r="G226" i="10"/>
  <c r="F226" i="10"/>
  <c r="BX226" i="10"/>
  <c r="C225" i="10"/>
  <c r="GX100" i="7" l="1"/>
  <c r="V63" i="24"/>
  <c r="A29" i="38"/>
  <c r="B29" i="38" s="1"/>
  <c r="C29" i="38"/>
  <c r="AF59" i="14"/>
  <c r="Y59" i="14"/>
  <c r="AH59" i="14"/>
  <c r="Z59" i="14"/>
  <c r="X59" i="14"/>
  <c r="AI59" i="14"/>
  <c r="AB59" i="14"/>
  <c r="AG59" i="14"/>
  <c r="AK59" i="14"/>
  <c r="R59" i="14"/>
  <c r="W59" i="14"/>
  <c r="S59" i="14"/>
  <c r="AA59" i="14"/>
  <c r="U59" i="14"/>
  <c r="AL59" i="14"/>
  <c r="AC59" i="14"/>
  <c r="AE59" i="14"/>
  <c r="P63" i="24"/>
  <c r="I63" i="24" s="1"/>
  <c r="L63" i="24"/>
  <c r="J63" i="24"/>
  <c r="V59" i="14"/>
  <c r="T59" i="14"/>
  <c r="F30" i="38"/>
  <c r="E30" i="38"/>
  <c r="AJ59" i="14"/>
  <c r="F33" i="42"/>
  <c r="E33" i="42"/>
  <c r="C32" i="42"/>
  <c r="A32" i="42"/>
  <c r="B32" i="42" s="1"/>
  <c r="DQ190" i="10"/>
  <c r="W190" i="10" s="1"/>
  <c r="DT177" i="10"/>
  <c r="Z177" i="10" s="1"/>
  <c r="DJ186" i="10"/>
  <c r="P186" i="10" s="1"/>
  <c r="CB191" i="10"/>
  <c r="DP191" i="10" s="1"/>
  <c r="V191" i="10" s="1"/>
  <c r="EA190" i="10"/>
  <c r="AG190" i="10" s="1"/>
  <c r="EA186" i="10"/>
  <c r="AG186" i="10" s="1"/>
  <c r="DT196" i="10"/>
  <c r="Z196" i="10" s="1"/>
  <c r="EC190" i="10"/>
  <c r="AI190" i="10" s="1"/>
  <c r="DY207" i="10"/>
  <c r="AE207" i="10" s="1"/>
  <c r="DP178" i="10"/>
  <c r="V178" i="10" s="1"/>
  <c r="DJ190" i="10"/>
  <c r="P190" i="10" s="1"/>
  <c r="DR190" i="10"/>
  <c r="X190" i="10" s="1"/>
  <c r="DV190" i="10"/>
  <c r="AB190" i="10" s="1"/>
  <c r="EE216" i="10"/>
  <c r="AK216" i="10" s="1"/>
  <c r="DX179" i="10"/>
  <c r="AD179" i="10" s="1"/>
  <c r="EE190" i="10"/>
  <c r="AK190" i="10" s="1"/>
  <c r="DU190" i="10"/>
  <c r="AA190" i="10" s="1"/>
  <c r="DZ190" i="10"/>
  <c r="AF190" i="10" s="1"/>
  <c r="ED187" i="10"/>
  <c r="AJ187" i="10" s="1"/>
  <c r="DW190" i="10"/>
  <c r="AC190" i="10" s="1"/>
  <c r="DS190" i="10"/>
  <c r="Y190" i="10" s="1"/>
  <c r="ED190" i="10"/>
  <c r="AJ190" i="10" s="1"/>
  <c r="EB219" i="10"/>
  <c r="AH219" i="10" s="1"/>
  <c r="DL202" i="10"/>
  <c r="R202" i="10" s="1"/>
  <c r="DZ194" i="10"/>
  <c r="AF194" i="10" s="1"/>
  <c r="DV177" i="10"/>
  <c r="AB177" i="10" s="1"/>
  <c r="DY198" i="10"/>
  <c r="AE198" i="10" s="1"/>
  <c r="DR222" i="10"/>
  <c r="X222" i="10" s="1"/>
  <c r="DX199" i="10"/>
  <c r="AD199" i="10" s="1"/>
  <c r="EA204" i="10"/>
  <c r="AG204" i="10" s="1"/>
  <c r="DL217" i="10"/>
  <c r="R217" i="10" s="1"/>
  <c r="ED183" i="10"/>
  <c r="AJ183" i="10" s="1"/>
  <c r="DV213" i="10"/>
  <c r="AB213" i="10" s="1"/>
  <c r="DN206" i="10"/>
  <c r="T206" i="10" s="1"/>
  <c r="DK183" i="10"/>
  <c r="Q183" i="10" s="1"/>
  <c r="DN222" i="10"/>
  <c r="T222" i="10" s="1"/>
  <c r="EA189" i="10"/>
  <c r="AG189" i="10" s="1"/>
  <c r="DM214" i="10"/>
  <c r="S214" i="10" s="1"/>
  <c r="DS217" i="10"/>
  <c r="Y217" i="10" s="1"/>
  <c r="DV210" i="10"/>
  <c r="AB210" i="10" s="1"/>
  <c r="ED205" i="10"/>
  <c r="AJ205" i="10" s="1"/>
  <c r="EE180" i="10"/>
  <c r="AK180" i="10" s="1"/>
  <c r="DR206" i="10"/>
  <c r="X206" i="10" s="1"/>
  <c r="EC217" i="10"/>
  <c r="AI217" i="10" s="1"/>
  <c r="DW217" i="10"/>
  <c r="AC217" i="10" s="1"/>
  <c r="DN210" i="10"/>
  <c r="T210" i="10" s="1"/>
  <c r="EC210" i="10"/>
  <c r="AI210" i="10" s="1"/>
  <c r="DY213" i="10"/>
  <c r="AE213" i="10" s="1"/>
  <c r="DR205" i="10"/>
  <c r="X205" i="10" s="1"/>
  <c r="DR183" i="10"/>
  <c r="X183" i="10" s="1"/>
  <c r="DO222" i="10"/>
  <c r="U222" i="10" s="1"/>
  <c r="DV189" i="10"/>
  <c r="AB189" i="10" s="1"/>
  <c r="DP189" i="10"/>
  <c r="V189" i="10" s="1"/>
  <c r="DN214" i="10"/>
  <c r="T214" i="10" s="1"/>
  <c r="DU214" i="10"/>
  <c r="AA214" i="10" s="1"/>
  <c r="EA180" i="10"/>
  <c r="AG180" i="10" s="1"/>
  <c r="EB206" i="10"/>
  <c r="AH206" i="10" s="1"/>
  <c r="DW206" i="10"/>
  <c r="AC206" i="10" s="1"/>
  <c r="DZ217" i="10"/>
  <c r="AF217" i="10" s="1"/>
  <c r="EB217" i="10"/>
  <c r="AH217" i="10" s="1"/>
  <c r="DY210" i="10"/>
  <c r="AE210" i="10" s="1"/>
  <c r="DS210" i="10"/>
  <c r="Y210" i="10" s="1"/>
  <c r="DT213" i="10"/>
  <c r="Z213" i="10" s="1"/>
  <c r="DV205" i="10"/>
  <c r="AB205" i="10" s="1"/>
  <c r="DN205" i="10"/>
  <c r="T205" i="10" s="1"/>
  <c r="DZ183" i="10"/>
  <c r="AF183" i="10" s="1"/>
  <c r="EE222" i="10"/>
  <c r="AK222" i="10" s="1"/>
  <c r="DR189" i="10"/>
  <c r="X189" i="10" s="1"/>
  <c r="DK214" i="10"/>
  <c r="Q214" i="10" s="1"/>
  <c r="DJ214" i="10"/>
  <c r="P214" i="10" s="1"/>
  <c r="DM180" i="10"/>
  <c r="S180" i="10" s="1"/>
  <c r="DK206" i="10"/>
  <c r="Q206" i="10" s="1"/>
  <c r="DJ206" i="10"/>
  <c r="P206" i="10" s="1"/>
  <c r="EA210" i="10"/>
  <c r="AG210" i="10" s="1"/>
  <c r="DO213" i="10"/>
  <c r="U213" i="10" s="1"/>
  <c r="DW213" i="10"/>
  <c r="AC213" i="10" s="1"/>
  <c r="DX205" i="10"/>
  <c r="AD205" i="10" s="1"/>
  <c r="DQ183" i="10"/>
  <c r="W183" i="10" s="1"/>
  <c r="EC183" i="10"/>
  <c r="AI183" i="10" s="1"/>
  <c r="DV222" i="10"/>
  <c r="AB222" i="10" s="1"/>
  <c r="DT222" i="10"/>
  <c r="Z222" i="10" s="1"/>
  <c r="DW189" i="10"/>
  <c r="AC189" i="10" s="1"/>
  <c r="DX214" i="10"/>
  <c r="AD214" i="10" s="1"/>
  <c r="DQ180" i="10"/>
  <c r="W180" i="10" s="1"/>
  <c r="DX180" i="10"/>
  <c r="AD180" i="10" s="1"/>
  <c r="DS206" i="10"/>
  <c r="Y206" i="10" s="1"/>
  <c r="DO206" i="10"/>
  <c r="U206" i="10" s="1"/>
  <c r="DT206" i="10"/>
  <c r="Z206" i="10" s="1"/>
  <c r="DX206" i="10"/>
  <c r="AD206" i="10" s="1"/>
  <c r="EA206" i="10"/>
  <c r="AG206" i="10" s="1"/>
  <c r="DQ217" i="10"/>
  <c r="W217" i="10" s="1"/>
  <c r="DK217" i="10"/>
  <c r="Q217" i="10" s="1"/>
  <c r="DP217" i="10"/>
  <c r="V217" i="10" s="1"/>
  <c r="DO217" i="10"/>
  <c r="U217" i="10" s="1"/>
  <c r="ED217" i="10"/>
  <c r="AJ217" i="10" s="1"/>
  <c r="DM217" i="10"/>
  <c r="S217" i="10" s="1"/>
  <c r="DR210" i="10"/>
  <c r="X210" i="10" s="1"/>
  <c r="DT210" i="10"/>
  <c r="Z210" i="10" s="1"/>
  <c r="EE210" i="10"/>
  <c r="AK210" i="10" s="1"/>
  <c r="DM210" i="10"/>
  <c r="S210" i="10" s="1"/>
  <c r="DL210" i="10"/>
  <c r="R210" i="10" s="1"/>
  <c r="DO210" i="10"/>
  <c r="U210" i="10" s="1"/>
  <c r="EE213" i="10"/>
  <c r="AK213" i="10" s="1"/>
  <c r="DQ213" i="10"/>
  <c r="W213" i="10" s="1"/>
  <c r="DX213" i="10"/>
  <c r="AD213" i="10" s="1"/>
  <c r="DR213" i="10"/>
  <c r="X213" i="10" s="1"/>
  <c r="ED213" i="10"/>
  <c r="AJ213" i="10" s="1"/>
  <c r="DW205" i="10"/>
  <c r="AC205" i="10" s="1"/>
  <c r="DS205" i="10"/>
  <c r="Y205" i="10" s="1"/>
  <c r="DQ205" i="10"/>
  <c r="W205" i="10" s="1"/>
  <c r="DT205" i="10"/>
  <c r="Z205" i="10" s="1"/>
  <c r="DP205" i="10"/>
  <c r="V205" i="10" s="1"/>
  <c r="DL183" i="10"/>
  <c r="R183" i="10" s="1"/>
  <c r="DV183" i="10"/>
  <c r="AB183" i="10" s="1"/>
  <c r="DN183" i="10"/>
  <c r="T183" i="10" s="1"/>
  <c r="DX183" i="10"/>
  <c r="AD183" i="10" s="1"/>
  <c r="DS183" i="10"/>
  <c r="Y183" i="10" s="1"/>
  <c r="DT183" i="10"/>
  <c r="Z183" i="10" s="1"/>
  <c r="EC222" i="10"/>
  <c r="AI222" i="10" s="1"/>
  <c r="EB222" i="10"/>
  <c r="AH222" i="10" s="1"/>
  <c r="DX222" i="10"/>
  <c r="AD222" i="10" s="1"/>
  <c r="DL222" i="10"/>
  <c r="R222" i="10" s="1"/>
  <c r="DJ222" i="10"/>
  <c r="P222" i="10" s="1"/>
  <c r="DZ222" i="10"/>
  <c r="AF222" i="10" s="1"/>
  <c r="DY189" i="10"/>
  <c r="AE189" i="10" s="1"/>
  <c r="EE189" i="10"/>
  <c r="AK189" i="10" s="1"/>
  <c r="DL189" i="10"/>
  <c r="R189" i="10" s="1"/>
  <c r="DN189" i="10"/>
  <c r="T189" i="10" s="1"/>
  <c r="DQ189" i="10"/>
  <c r="W189" i="10" s="1"/>
  <c r="DQ214" i="10"/>
  <c r="W214" i="10" s="1"/>
  <c r="EB214" i="10"/>
  <c r="AH214" i="10" s="1"/>
  <c r="DV214" i="10"/>
  <c r="AB214" i="10" s="1"/>
  <c r="ED214" i="10"/>
  <c r="AJ214" i="10" s="1"/>
  <c r="DT214" i="10"/>
  <c r="Z214" i="10" s="1"/>
  <c r="DU180" i="10"/>
  <c r="AA180" i="10" s="1"/>
  <c r="DW180" i="10"/>
  <c r="AC180" i="10" s="1"/>
  <c r="DV180" i="10"/>
  <c r="AB180" i="10" s="1"/>
  <c r="DS180" i="10"/>
  <c r="Y180" i="10" s="1"/>
  <c r="EB180" i="10"/>
  <c r="AH180" i="10" s="1"/>
  <c r="EC180" i="10"/>
  <c r="AI180" i="10" s="1"/>
  <c r="CC217" i="10"/>
  <c r="ET217" i="10" s="1"/>
  <c r="BB217" i="10" s="1"/>
  <c r="EC206" i="10"/>
  <c r="AI206" i="10" s="1"/>
  <c r="DL206" i="10"/>
  <c r="R206" i="10" s="1"/>
  <c r="DQ206" i="10"/>
  <c r="W206" i="10" s="1"/>
  <c r="DV206" i="10"/>
  <c r="AB206" i="10" s="1"/>
  <c r="DY206" i="10"/>
  <c r="AE206" i="10" s="1"/>
  <c r="CB182" i="10"/>
  <c r="DZ182" i="10" s="1"/>
  <c r="AF182" i="10" s="1"/>
  <c r="DV217" i="10"/>
  <c r="AB217" i="10" s="1"/>
  <c r="DX217" i="10"/>
  <c r="AD217" i="10" s="1"/>
  <c r="DU217" i="10"/>
  <c r="AA217" i="10" s="1"/>
  <c r="DJ217" i="10"/>
  <c r="P217" i="10" s="1"/>
  <c r="DR217" i="10"/>
  <c r="X217" i="10" s="1"/>
  <c r="DK210" i="10"/>
  <c r="Q210" i="10" s="1"/>
  <c r="DW210" i="10"/>
  <c r="AC210" i="10" s="1"/>
  <c r="DU210" i="10"/>
  <c r="AA210" i="10" s="1"/>
  <c r="DQ210" i="10"/>
  <c r="W210" i="10" s="1"/>
  <c r="DP210" i="10"/>
  <c r="V210" i="10" s="1"/>
  <c r="DM213" i="10"/>
  <c r="S213" i="10" s="1"/>
  <c r="DP213" i="10"/>
  <c r="V213" i="10" s="1"/>
  <c r="DS213" i="10"/>
  <c r="Y213" i="10" s="1"/>
  <c r="EA213" i="10"/>
  <c r="AG213" i="10" s="1"/>
  <c r="DU213" i="10"/>
  <c r="AA213" i="10" s="1"/>
  <c r="DJ213" i="10"/>
  <c r="P213" i="10" s="1"/>
  <c r="DL205" i="10"/>
  <c r="R205" i="10" s="1"/>
  <c r="DU205" i="10"/>
  <c r="AA205" i="10" s="1"/>
  <c r="DO205" i="10"/>
  <c r="U205" i="10" s="1"/>
  <c r="DK205" i="10"/>
  <c r="Q205" i="10" s="1"/>
  <c r="DZ205" i="10"/>
  <c r="AF205" i="10" s="1"/>
  <c r="EC205" i="10"/>
  <c r="AI205" i="10" s="1"/>
  <c r="EB183" i="10"/>
  <c r="AH183" i="10" s="1"/>
  <c r="EE183" i="10"/>
  <c r="AK183" i="10" s="1"/>
  <c r="DO183" i="10"/>
  <c r="U183" i="10" s="1"/>
  <c r="DY183" i="10"/>
  <c r="AE183" i="10" s="1"/>
  <c r="DP183" i="10"/>
  <c r="V183" i="10" s="1"/>
  <c r="DQ222" i="10"/>
  <c r="W222" i="10" s="1"/>
  <c r="DY222" i="10"/>
  <c r="AE222" i="10" s="1"/>
  <c r="ED222" i="10"/>
  <c r="AJ222" i="10" s="1"/>
  <c r="DU222" i="10"/>
  <c r="AA222" i="10" s="1"/>
  <c r="DM222" i="10"/>
  <c r="S222" i="10" s="1"/>
  <c r="DK189" i="10"/>
  <c r="Q189" i="10" s="1"/>
  <c r="DX189" i="10"/>
  <c r="AD189" i="10" s="1"/>
  <c r="ED189" i="10"/>
  <c r="AJ189" i="10" s="1"/>
  <c r="DJ189" i="10"/>
  <c r="P189" i="10" s="1"/>
  <c r="DM189" i="10"/>
  <c r="S189" i="10" s="1"/>
  <c r="EC189" i="10"/>
  <c r="AI189" i="10" s="1"/>
  <c r="DP214" i="10"/>
  <c r="V214" i="10" s="1"/>
  <c r="DS214" i="10"/>
  <c r="Y214" i="10" s="1"/>
  <c r="DW214" i="10"/>
  <c r="AC214" i="10" s="1"/>
  <c r="DL214" i="10"/>
  <c r="R214" i="10" s="1"/>
  <c r="EA214" i="10"/>
  <c r="AG214" i="10" s="1"/>
  <c r="ED180" i="10"/>
  <c r="AJ180" i="10" s="1"/>
  <c r="DL180" i="10"/>
  <c r="R180" i="10" s="1"/>
  <c r="DK180" i="10"/>
  <c r="Q180" i="10" s="1"/>
  <c r="DY180" i="10"/>
  <c r="AE180" i="10" s="1"/>
  <c r="DT180" i="10"/>
  <c r="Z180" i="10" s="1"/>
  <c r="DP180" i="10"/>
  <c r="V180" i="10" s="1"/>
  <c r="EE206" i="10"/>
  <c r="AK206" i="10" s="1"/>
  <c r="DU206" i="10"/>
  <c r="AA206" i="10" s="1"/>
  <c r="DP206" i="10"/>
  <c r="V206" i="10" s="1"/>
  <c r="DM206" i="10"/>
  <c r="S206" i="10" s="1"/>
  <c r="ED206" i="10"/>
  <c r="AJ206" i="10" s="1"/>
  <c r="DT217" i="10"/>
  <c r="Z217" i="10" s="1"/>
  <c r="EE217" i="10"/>
  <c r="AK217" i="10" s="1"/>
  <c r="DY217" i="10"/>
  <c r="AE217" i="10" s="1"/>
  <c r="EA217" i="10"/>
  <c r="AG217" i="10" s="1"/>
  <c r="EB210" i="10"/>
  <c r="AH210" i="10" s="1"/>
  <c r="DZ210" i="10"/>
  <c r="AF210" i="10" s="1"/>
  <c r="ED210" i="10"/>
  <c r="AJ210" i="10" s="1"/>
  <c r="DX210" i="10"/>
  <c r="AD210" i="10" s="1"/>
  <c r="EC213" i="10"/>
  <c r="AI213" i="10" s="1"/>
  <c r="EB213" i="10"/>
  <c r="AH213" i="10" s="1"/>
  <c r="DK213" i="10"/>
  <c r="Q213" i="10" s="1"/>
  <c r="DZ213" i="10"/>
  <c r="AF213" i="10" s="1"/>
  <c r="DL213" i="10"/>
  <c r="R213" i="10" s="1"/>
  <c r="DY205" i="10"/>
  <c r="AE205" i="10" s="1"/>
  <c r="EA205" i="10"/>
  <c r="AG205" i="10" s="1"/>
  <c r="EB205" i="10"/>
  <c r="AH205" i="10" s="1"/>
  <c r="DM205" i="10"/>
  <c r="S205" i="10" s="1"/>
  <c r="DJ205" i="10"/>
  <c r="P205" i="10" s="1"/>
  <c r="EA183" i="10"/>
  <c r="AG183" i="10" s="1"/>
  <c r="DM183" i="10"/>
  <c r="S183" i="10" s="1"/>
  <c r="DW183" i="10"/>
  <c r="AC183" i="10" s="1"/>
  <c r="DU183" i="10"/>
  <c r="AA183" i="10" s="1"/>
  <c r="EA222" i="10"/>
  <c r="AG222" i="10" s="1"/>
  <c r="DS222" i="10"/>
  <c r="Y222" i="10" s="1"/>
  <c r="DP222" i="10"/>
  <c r="V222" i="10" s="1"/>
  <c r="DW222" i="10"/>
  <c r="AC222" i="10" s="1"/>
  <c r="DO189" i="10"/>
  <c r="U189" i="10" s="1"/>
  <c r="DU189" i="10"/>
  <c r="AA189" i="10" s="1"/>
  <c r="DT189" i="10"/>
  <c r="Z189" i="10" s="1"/>
  <c r="DZ189" i="10"/>
  <c r="AF189" i="10" s="1"/>
  <c r="DS189" i="10"/>
  <c r="Y189" i="10" s="1"/>
  <c r="DZ214" i="10"/>
  <c r="AF214" i="10" s="1"/>
  <c r="DY214" i="10"/>
  <c r="AE214" i="10" s="1"/>
  <c r="EC214" i="10"/>
  <c r="AI214" i="10" s="1"/>
  <c r="EE214" i="10"/>
  <c r="AK214" i="10" s="1"/>
  <c r="DO214" i="10"/>
  <c r="U214" i="10" s="1"/>
  <c r="DZ180" i="10"/>
  <c r="AF180" i="10" s="1"/>
  <c r="DJ180" i="10"/>
  <c r="P180" i="10" s="1"/>
  <c r="DO180" i="10"/>
  <c r="U180" i="10" s="1"/>
  <c r="DN180" i="10"/>
  <c r="T180" i="10" s="1"/>
  <c r="EC194" i="10"/>
  <c r="AI194" i="10" s="1"/>
  <c r="EC207" i="10"/>
  <c r="AI207" i="10" s="1"/>
  <c r="DS177" i="10"/>
  <c r="Y177" i="10" s="1"/>
  <c r="DY178" i="10"/>
  <c r="AE178" i="10" s="1"/>
  <c r="DJ196" i="10"/>
  <c r="P196" i="10" s="1"/>
  <c r="ED196" i="10"/>
  <c r="AJ196" i="10" s="1"/>
  <c r="DW219" i="10"/>
  <c r="AC219" i="10" s="1"/>
  <c r="DU198" i="10"/>
  <c r="AA198" i="10" s="1"/>
  <c r="DZ186" i="10"/>
  <c r="AF186" i="10" s="1"/>
  <c r="DS202" i="10"/>
  <c r="Y202" i="10" s="1"/>
  <c r="EB202" i="10"/>
  <c r="AH202" i="10" s="1"/>
  <c r="EA199" i="10"/>
  <c r="AG199" i="10" s="1"/>
  <c r="DJ199" i="10"/>
  <c r="P199" i="10" s="1"/>
  <c r="DM194" i="10"/>
  <c r="S194" i="10" s="1"/>
  <c r="DX194" i="10"/>
  <c r="AD194" i="10" s="1"/>
  <c r="DN207" i="10"/>
  <c r="T207" i="10" s="1"/>
  <c r="DW207" i="10"/>
  <c r="AC207" i="10" s="1"/>
  <c r="EC177" i="10"/>
  <c r="AI177" i="10" s="1"/>
  <c r="DO178" i="10"/>
  <c r="U178" i="10" s="1"/>
  <c r="DO196" i="10"/>
  <c r="U196" i="10" s="1"/>
  <c r="DK219" i="10"/>
  <c r="Q219" i="10" s="1"/>
  <c r="DN219" i="10"/>
  <c r="T219" i="10" s="1"/>
  <c r="EB198" i="10"/>
  <c r="AH198" i="10" s="1"/>
  <c r="EC198" i="10"/>
  <c r="AI198" i="10" s="1"/>
  <c r="EC186" i="10"/>
  <c r="AI186" i="10" s="1"/>
  <c r="DJ202" i="10"/>
  <c r="P202" i="10" s="1"/>
  <c r="DP202" i="10"/>
  <c r="V202" i="10" s="1"/>
  <c r="EE199" i="10"/>
  <c r="AK199" i="10" s="1"/>
  <c r="DW199" i="10"/>
  <c r="AC199" i="10" s="1"/>
  <c r="DP194" i="10"/>
  <c r="V194" i="10" s="1"/>
  <c r="DR207" i="10"/>
  <c r="X207" i="10" s="1"/>
  <c r="DM207" i="10"/>
  <c r="S207" i="10" s="1"/>
  <c r="DJ177" i="10"/>
  <c r="P177" i="10" s="1"/>
  <c r="DU178" i="10"/>
  <c r="AA178" i="10" s="1"/>
  <c r="EE178" i="10"/>
  <c r="AK178" i="10" s="1"/>
  <c r="DV196" i="10"/>
  <c r="AB196" i="10" s="1"/>
  <c r="DM219" i="10"/>
  <c r="S219" i="10" s="1"/>
  <c r="DJ219" i="10"/>
  <c r="P219" i="10" s="1"/>
  <c r="DR198" i="10"/>
  <c r="X198" i="10" s="1"/>
  <c r="DK198" i="10"/>
  <c r="Q198" i="10" s="1"/>
  <c r="DN186" i="10"/>
  <c r="T186" i="10" s="1"/>
  <c r="DY202" i="10"/>
  <c r="AE202" i="10" s="1"/>
  <c r="DT199" i="10"/>
  <c r="Z199" i="10" s="1"/>
  <c r="ED194" i="10"/>
  <c r="AJ194" i="10" s="1"/>
  <c r="DN194" i="10"/>
  <c r="T194" i="10" s="1"/>
  <c r="EA194" i="10"/>
  <c r="AG194" i="10" s="1"/>
  <c r="DS194" i="10"/>
  <c r="Y194" i="10" s="1"/>
  <c r="DU194" i="10"/>
  <c r="AA194" i="10" s="1"/>
  <c r="DS207" i="10"/>
  <c r="Y207" i="10" s="1"/>
  <c r="DL207" i="10"/>
  <c r="R207" i="10" s="1"/>
  <c r="EB207" i="10"/>
  <c r="AH207" i="10" s="1"/>
  <c r="DK207" i="10"/>
  <c r="Q207" i="10" s="1"/>
  <c r="DP207" i="10"/>
  <c r="V207" i="10" s="1"/>
  <c r="DQ177" i="10"/>
  <c r="W177" i="10" s="1"/>
  <c r="ED177" i="10"/>
  <c r="AJ177" i="10" s="1"/>
  <c r="DP177" i="10"/>
  <c r="V177" i="10" s="1"/>
  <c r="EE177" i="10"/>
  <c r="AK177" i="10" s="1"/>
  <c r="DL177" i="10"/>
  <c r="R177" i="10" s="1"/>
  <c r="DM177" i="10"/>
  <c r="S177" i="10" s="1"/>
  <c r="DR178" i="10"/>
  <c r="X178" i="10" s="1"/>
  <c r="DN178" i="10"/>
  <c r="T178" i="10" s="1"/>
  <c r="EC178" i="10"/>
  <c r="AI178" i="10" s="1"/>
  <c r="DM178" i="10"/>
  <c r="S178" i="10" s="1"/>
  <c r="DT178" i="10"/>
  <c r="Z178" i="10" s="1"/>
  <c r="DZ178" i="10"/>
  <c r="AF178" i="10" s="1"/>
  <c r="DZ196" i="10"/>
  <c r="AF196" i="10" s="1"/>
  <c r="DS196" i="10"/>
  <c r="Y196" i="10" s="1"/>
  <c r="DL196" i="10"/>
  <c r="R196" i="10" s="1"/>
  <c r="DM196" i="10"/>
  <c r="S196" i="10" s="1"/>
  <c r="EA196" i="10"/>
  <c r="AG196" i="10" s="1"/>
  <c r="DU196" i="10"/>
  <c r="AA196" i="10" s="1"/>
  <c r="DU219" i="10"/>
  <c r="AA219" i="10" s="1"/>
  <c r="DV219" i="10"/>
  <c r="AB219" i="10" s="1"/>
  <c r="DR219" i="10"/>
  <c r="X219" i="10" s="1"/>
  <c r="DO219" i="10"/>
  <c r="U219" i="10" s="1"/>
  <c r="DT219" i="10"/>
  <c r="Z219" i="10" s="1"/>
  <c r="DQ198" i="10"/>
  <c r="W198" i="10" s="1"/>
  <c r="DX198" i="10"/>
  <c r="AD198" i="10" s="1"/>
  <c r="DV198" i="10"/>
  <c r="AB198" i="10" s="1"/>
  <c r="DM198" i="10"/>
  <c r="S198" i="10" s="1"/>
  <c r="DL198" i="10"/>
  <c r="R198" i="10" s="1"/>
  <c r="DK186" i="10"/>
  <c r="Q186" i="10" s="1"/>
  <c r="EE186" i="10"/>
  <c r="AK186" i="10" s="1"/>
  <c r="EB186" i="10"/>
  <c r="AH186" i="10" s="1"/>
  <c r="DR186" i="10"/>
  <c r="X186" i="10" s="1"/>
  <c r="DP186" i="10"/>
  <c r="V186" i="10" s="1"/>
  <c r="DO186" i="10"/>
  <c r="U186" i="10" s="1"/>
  <c r="DU202" i="10"/>
  <c r="AA202" i="10" s="1"/>
  <c r="DR202" i="10"/>
  <c r="X202" i="10" s="1"/>
  <c r="DM202" i="10"/>
  <c r="S202" i="10" s="1"/>
  <c r="DK202" i="10"/>
  <c r="Q202" i="10" s="1"/>
  <c r="DX202" i="10"/>
  <c r="AD202" i="10" s="1"/>
  <c r="DT202" i="10"/>
  <c r="Z202" i="10" s="1"/>
  <c r="ED199" i="10"/>
  <c r="AJ199" i="10" s="1"/>
  <c r="EB199" i="10"/>
  <c r="AH199" i="10" s="1"/>
  <c r="DU199" i="10"/>
  <c r="AA199" i="10" s="1"/>
  <c r="DR199" i="10"/>
  <c r="X199" i="10" s="1"/>
  <c r="DS199" i="10"/>
  <c r="Y199" i="10" s="1"/>
  <c r="DP199" i="10"/>
  <c r="V199" i="10" s="1"/>
  <c r="CC207" i="10"/>
  <c r="FC207" i="10" s="1"/>
  <c r="BK207" i="10" s="1"/>
  <c r="DY194" i="10"/>
  <c r="AE194" i="10" s="1"/>
  <c r="DT194" i="10"/>
  <c r="Z194" i="10" s="1"/>
  <c r="DL194" i="10"/>
  <c r="R194" i="10" s="1"/>
  <c r="DJ194" i="10"/>
  <c r="P194" i="10" s="1"/>
  <c r="DV194" i="10"/>
  <c r="AB194" i="10" s="1"/>
  <c r="DK194" i="10"/>
  <c r="Q194" i="10" s="1"/>
  <c r="EE207" i="10"/>
  <c r="AK207" i="10" s="1"/>
  <c r="DT207" i="10"/>
  <c r="Z207" i="10" s="1"/>
  <c r="DQ207" i="10"/>
  <c r="W207" i="10" s="1"/>
  <c r="DX207" i="10"/>
  <c r="AD207" i="10" s="1"/>
  <c r="DV207" i="10"/>
  <c r="AB207" i="10" s="1"/>
  <c r="DY177" i="10"/>
  <c r="AE177" i="10" s="1"/>
  <c r="DW177" i="10"/>
  <c r="AC177" i="10" s="1"/>
  <c r="DZ177" i="10"/>
  <c r="AF177" i="10" s="1"/>
  <c r="EB177" i="10"/>
  <c r="AH177" i="10" s="1"/>
  <c r="DR177" i="10"/>
  <c r="X177" i="10" s="1"/>
  <c r="DK177" i="10"/>
  <c r="Q177" i="10" s="1"/>
  <c r="ED178" i="10"/>
  <c r="AJ178" i="10" s="1"/>
  <c r="EA178" i="10"/>
  <c r="AG178" i="10" s="1"/>
  <c r="DQ178" i="10"/>
  <c r="W178" i="10" s="1"/>
  <c r="DK178" i="10"/>
  <c r="Q178" i="10" s="1"/>
  <c r="DS178" i="10"/>
  <c r="Y178" i="10" s="1"/>
  <c r="DX178" i="10"/>
  <c r="AD178" i="10" s="1"/>
  <c r="EC196" i="10"/>
  <c r="AI196" i="10" s="1"/>
  <c r="DQ196" i="10"/>
  <c r="W196" i="10" s="1"/>
  <c r="DX196" i="10"/>
  <c r="AD196" i="10" s="1"/>
  <c r="DN196" i="10"/>
  <c r="T196" i="10" s="1"/>
  <c r="EB196" i="10"/>
  <c r="AH196" i="10" s="1"/>
  <c r="DK196" i="10"/>
  <c r="Q196" i="10" s="1"/>
  <c r="DY219" i="10"/>
  <c r="AE219" i="10" s="1"/>
  <c r="ED219" i="10"/>
  <c r="AJ219" i="10" s="1"/>
  <c r="EA219" i="10"/>
  <c r="AG219" i="10" s="1"/>
  <c r="DP219" i="10"/>
  <c r="V219" i="10" s="1"/>
  <c r="DX219" i="10"/>
  <c r="AD219" i="10" s="1"/>
  <c r="DJ198" i="10"/>
  <c r="P198" i="10" s="1"/>
  <c r="DP198" i="10"/>
  <c r="V198" i="10" s="1"/>
  <c r="ED198" i="10"/>
  <c r="AJ198" i="10" s="1"/>
  <c r="DZ198" i="10"/>
  <c r="AF198" i="10" s="1"/>
  <c r="DN198" i="10"/>
  <c r="T198" i="10" s="1"/>
  <c r="ED186" i="10"/>
  <c r="AJ186" i="10" s="1"/>
  <c r="DM186" i="10"/>
  <c r="S186" i="10" s="1"/>
  <c r="DT186" i="10"/>
  <c r="Z186" i="10" s="1"/>
  <c r="DQ186" i="10"/>
  <c r="W186" i="10" s="1"/>
  <c r="DW186" i="10"/>
  <c r="AC186" i="10" s="1"/>
  <c r="DV186" i="10"/>
  <c r="AB186" i="10" s="1"/>
  <c r="DV202" i="10"/>
  <c r="AB202" i="10" s="1"/>
  <c r="ED202" i="10"/>
  <c r="AJ202" i="10" s="1"/>
  <c r="DN202" i="10"/>
  <c r="T202" i="10" s="1"/>
  <c r="DZ202" i="10"/>
  <c r="AF202" i="10" s="1"/>
  <c r="DQ202" i="10"/>
  <c r="W202" i="10" s="1"/>
  <c r="DV199" i="10"/>
  <c r="AB199" i="10" s="1"/>
  <c r="DO199" i="10"/>
  <c r="U199" i="10" s="1"/>
  <c r="DM199" i="10"/>
  <c r="S199" i="10" s="1"/>
  <c r="DN199" i="10"/>
  <c r="T199" i="10" s="1"/>
  <c r="DY199" i="10"/>
  <c r="AE199" i="10" s="1"/>
  <c r="CC186" i="10"/>
  <c r="EX186" i="10" s="1"/>
  <c r="BF186" i="10" s="1"/>
  <c r="CC208" i="10"/>
  <c r="EH208" i="10" s="1"/>
  <c r="AP208" i="10" s="1"/>
  <c r="DW194" i="10"/>
  <c r="AC194" i="10" s="1"/>
  <c r="DQ194" i="10"/>
  <c r="W194" i="10" s="1"/>
  <c r="EE194" i="10"/>
  <c r="AK194" i="10" s="1"/>
  <c r="DR194" i="10"/>
  <c r="X194" i="10" s="1"/>
  <c r="DO194" i="10"/>
  <c r="U194" i="10" s="1"/>
  <c r="DJ207" i="10"/>
  <c r="P207" i="10" s="1"/>
  <c r="DU207" i="10"/>
  <c r="AA207" i="10" s="1"/>
  <c r="DZ207" i="10"/>
  <c r="AF207" i="10" s="1"/>
  <c r="ED207" i="10"/>
  <c r="AJ207" i="10" s="1"/>
  <c r="EA207" i="10"/>
  <c r="AG207" i="10" s="1"/>
  <c r="DO177" i="10"/>
  <c r="U177" i="10" s="1"/>
  <c r="EA177" i="10"/>
  <c r="AG177" i="10" s="1"/>
  <c r="DX177" i="10"/>
  <c r="AD177" i="10" s="1"/>
  <c r="DU177" i="10"/>
  <c r="AA177" i="10" s="1"/>
  <c r="EB178" i="10"/>
  <c r="AH178" i="10" s="1"/>
  <c r="DJ178" i="10"/>
  <c r="P178" i="10" s="1"/>
  <c r="DW178" i="10"/>
  <c r="AC178" i="10" s="1"/>
  <c r="DL178" i="10"/>
  <c r="R178" i="10" s="1"/>
  <c r="DT204" i="10"/>
  <c r="Z204" i="10" s="1"/>
  <c r="DR196" i="10"/>
  <c r="X196" i="10" s="1"/>
  <c r="DP196" i="10"/>
  <c r="V196" i="10" s="1"/>
  <c r="EE196" i="10"/>
  <c r="AK196" i="10" s="1"/>
  <c r="DW196" i="10"/>
  <c r="AC196" i="10" s="1"/>
  <c r="DS219" i="10"/>
  <c r="Y219" i="10" s="1"/>
  <c r="DL219" i="10"/>
  <c r="R219" i="10" s="1"/>
  <c r="DQ219" i="10"/>
  <c r="W219" i="10" s="1"/>
  <c r="DZ219" i="10"/>
  <c r="AF219" i="10" s="1"/>
  <c r="EC219" i="10"/>
  <c r="AI219" i="10" s="1"/>
  <c r="EA198" i="10"/>
  <c r="AG198" i="10" s="1"/>
  <c r="DO198" i="10"/>
  <c r="U198" i="10" s="1"/>
  <c r="EE198" i="10"/>
  <c r="AK198" i="10" s="1"/>
  <c r="DS198" i="10"/>
  <c r="Y198" i="10" s="1"/>
  <c r="DW198" i="10"/>
  <c r="AC198" i="10" s="1"/>
  <c r="DY186" i="10"/>
  <c r="AE186" i="10" s="1"/>
  <c r="DS186" i="10"/>
  <c r="Y186" i="10" s="1"/>
  <c r="DX186" i="10"/>
  <c r="AD186" i="10" s="1"/>
  <c r="DU186" i="10"/>
  <c r="AA186" i="10" s="1"/>
  <c r="EE208" i="10"/>
  <c r="AK208" i="10" s="1"/>
  <c r="EE202" i="10"/>
  <c r="AK202" i="10" s="1"/>
  <c r="EA202" i="10"/>
  <c r="AG202" i="10" s="1"/>
  <c r="DW202" i="10"/>
  <c r="AC202" i="10" s="1"/>
  <c r="DO202" i="10"/>
  <c r="U202" i="10" s="1"/>
  <c r="DQ199" i="10"/>
  <c r="W199" i="10" s="1"/>
  <c r="EC199" i="10"/>
  <c r="AI199" i="10" s="1"/>
  <c r="DL199" i="10"/>
  <c r="R199" i="10" s="1"/>
  <c r="DK199" i="10"/>
  <c r="Q199" i="10" s="1"/>
  <c r="CC177" i="10"/>
  <c r="FB177" i="10" s="1"/>
  <c r="BJ177" i="10" s="1"/>
  <c r="CC183" i="10"/>
  <c r="EQ183" i="10" s="1"/>
  <c r="AY183" i="10" s="1"/>
  <c r="CC210" i="10"/>
  <c r="EG210" i="10" s="1"/>
  <c r="AM210" i="10" s="1"/>
  <c r="CC222" i="10"/>
  <c r="EO222" i="10" s="1"/>
  <c r="AW222" i="10" s="1"/>
  <c r="CC213" i="10"/>
  <c r="EX213" i="10" s="1"/>
  <c r="BF213" i="10" s="1"/>
  <c r="DV200" i="10"/>
  <c r="AB200" i="10" s="1"/>
  <c r="DZ211" i="10"/>
  <c r="AF211" i="10" s="1"/>
  <c r="DS197" i="10"/>
  <c r="Y197" i="10" s="1"/>
  <c r="DN188" i="10"/>
  <c r="T188" i="10" s="1"/>
  <c r="DT190" i="10"/>
  <c r="Z190" i="10" s="1"/>
  <c r="DM190" i="10"/>
  <c r="S190" i="10" s="1"/>
  <c r="DL190" i="10"/>
  <c r="R190" i="10" s="1"/>
  <c r="DO190" i="10"/>
  <c r="U190" i="10" s="1"/>
  <c r="DN190" i="10"/>
  <c r="T190" i="10" s="1"/>
  <c r="CC201" i="10"/>
  <c r="FB201" i="10" s="1"/>
  <c r="BJ201" i="10" s="1"/>
  <c r="DV209" i="10"/>
  <c r="AB209" i="10" s="1"/>
  <c r="DK188" i="10"/>
  <c r="Q188" i="10" s="1"/>
  <c r="DS201" i="10"/>
  <c r="Y201" i="10" s="1"/>
  <c r="DW200" i="10"/>
  <c r="AC200" i="10" s="1"/>
  <c r="EB190" i="10"/>
  <c r="AH190" i="10" s="1"/>
  <c r="DY190" i="10"/>
  <c r="AE190" i="10" s="1"/>
  <c r="DK190" i="10"/>
  <c r="Q190" i="10" s="1"/>
  <c r="DP190" i="10"/>
  <c r="V190" i="10" s="1"/>
  <c r="DZ188" i="10"/>
  <c r="AF188" i="10" s="1"/>
  <c r="DM200" i="10"/>
  <c r="S200" i="10" s="1"/>
  <c r="DW188" i="10"/>
  <c r="AC188" i="10" s="1"/>
  <c r="DY200" i="10"/>
  <c r="AE200" i="10" s="1"/>
  <c r="DM188" i="10"/>
  <c r="S188" i="10" s="1"/>
  <c r="DJ200" i="10"/>
  <c r="P200" i="10" s="1"/>
  <c r="DO188" i="10"/>
  <c r="U188" i="10" s="1"/>
  <c r="DT188" i="10"/>
  <c r="Z188" i="10" s="1"/>
  <c r="DY188" i="10"/>
  <c r="AE188" i="10" s="1"/>
  <c r="DX188" i="10"/>
  <c r="AD188" i="10" s="1"/>
  <c r="DQ188" i="10"/>
  <c r="W188" i="10" s="1"/>
  <c r="EB200" i="10"/>
  <c r="AH200" i="10" s="1"/>
  <c r="EA200" i="10"/>
  <c r="AG200" i="10" s="1"/>
  <c r="DR200" i="10"/>
  <c r="X200" i="10" s="1"/>
  <c r="DT200" i="10"/>
  <c r="Z200" i="10" s="1"/>
  <c r="DL200" i="10"/>
  <c r="R200" i="10" s="1"/>
  <c r="DK200" i="10"/>
  <c r="Q200" i="10" s="1"/>
  <c r="DV188" i="10"/>
  <c r="AB188" i="10" s="1"/>
  <c r="DL188" i="10"/>
  <c r="R188" i="10" s="1"/>
  <c r="DR188" i="10"/>
  <c r="X188" i="10" s="1"/>
  <c r="DU188" i="10"/>
  <c r="AA188" i="10" s="1"/>
  <c r="DS188" i="10"/>
  <c r="Y188" i="10" s="1"/>
  <c r="DJ188" i="10"/>
  <c r="P188" i="10" s="1"/>
  <c r="DS200" i="10"/>
  <c r="Y200" i="10" s="1"/>
  <c r="EC200" i="10"/>
  <c r="AI200" i="10" s="1"/>
  <c r="DO200" i="10"/>
  <c r="U200" i="10" s="1"/>
  <c r="DZ200" i="10"/>
  <c r="AF200" i="10" s="1"/>
  <c r="DN200" i="10"/>
  <c r="T200" i="10" s="1"/>
  <c r="ED200" i="10"/>
  <c r="AJ200" i="10" s="1"/>
  <c r="ED188" i="10"/>
  <c r="AJ188" i="10" s="1"/>
  <c r="EB188" i="10"/>
  <c r="AH188" i="10" s="1"/>
  <c r="DP188" i="10"/>
  <c r="V188" i="10" s="1"/>
  <c r="EA188" i="10"/>
  <c r="AG188" i="10" s="1"/>
  <c r="EC188" i="10"/>
  <c r="AI188" i="10" s="1"/>
  <c r="CC200" i="10"/>
  <c r="ER200" i="10" s="1"/>
  <c r="AZ200" i="10" s="1"/>
  <c r="DQ200" i="10"/>
  <c r="W200" i="10" s="1"/>
  <c r="DX200" i="10"/>
  <c r="AD200" i="10" s="1"/>
  <c r="DU200" i="10"/>
  <c r="AA200" i="10" s="1"/>
  <c r="EE200" i="10"/>
  <c r="AK200" i="10" s="1"/>
  <c r="CC189" i="10"/>
  <c r="EN189" i="10" s="1"/>
  <c r="AV189" i="10" s="1"/>
  <c r="DY193" i="10"/>
  <c r="AE193" i="10" s="1"/>
  <c r="DO203" i="10"/>
  <c r="U203" i="10" s="1"/>
  <c r="DX192" i="10"/>
  <c r="AD192" i="10" s="1"/>
  <c r="EB221" i="10"/>
  <c r="AH221" i="10" s="1"/>
  <c r="CC180" i="10"/>
  <c r="EV180" i="10" s="1"/>
  <c r="BD180" i="10" s="1"/>
  <c r="DJ218" i="10"/>
  <c r="P218" i="10" s="1"/>
  <c r="EB215" i="10"/>
  <c r="AH215" i="10" s="1"/>
  <c r="EA195" i="10"/>
  <c r="AG195" i="10" s="1"/>
  <c r="EA181" i="10"/>
  <c r="AG181" i="10" s="1"/>
  <c r="DN218" i="10"/>
  <c r="T218" i="10" s="1"/>
  <c r="DU215" i="10"/>
  <c r="AA215" i="10" s="1"/>
  <c r="DP185" i="10"/>
  <c r="V185" i="10" s="1"/>
  <c r="EA212" i="10"/>
  <c r="AG212" i="10" s="1"/>
  <c r="DY184" i="10"/>
  <c r="AE184" i="10" s="1"/>
  <c r="DP192" i="10"/>
  <c r="V192" i="10" s="1"/>
  <c r="DZ221" i="10"/>
  <c r="AF221" i="10" s="1"/>
  <c r="DK218" i="10"/>
  <c r="Q218" i="10" s="1"/>
  <c r="EA193" i="10"/>
  <c r="AG193" i="10" s="1"/>
  <c r="DN203" i="10"/>
  <c r="T203" i="10" s="1"/>
  <c r="DK215" i="10"/>
  <c r="Q215" i="10" s="1"/>
  <c r="DS215" i="10"/>
  <c r="Y215" i="10" s="1"/>
  <c r="DV185" i="10"/>
  <c r="AB185" i="10" s="1"/>
  <c r="DY192" i="10"/>
  <c r="AE192" i="10" s="1"/>
  <c r="DQ195" i="10"/>
  <c r="W195" i="10" s="1"/>
  <c r="DZ195" i="10"/>
  <c r="AF195" i="10" s="1"/>
  <c r="DX212" i="10"/>
  <c r="AD212" i="10" s="1"/>
  <c r="DW181" i="10"/>
  <c r="AC181" i="10" s="1"/>
  <c r="DX221" i="10"/>
  <c r="AD221" i="10" s="1"/>
  <c r="DZ184" i="10"/>
  <c r="AF184" i="10" s="1"/>
  <c r="CC203" i="10"/>
  <c r="EV203" i="10" s="1"/>
  <c r="BD203" i="10" s="1"/>
  <c r="DM218" i="10"/>
  <c r="S218" i="10" s="1"/>
  <c r="EB193" i="10"/>
  <c r="AH193" i="10" s="1"/>
  <c r="DK193" i="10"/>
  <c r="Q193" i="10" s="1"/>
  <c r="DL203" i="10"/>
  <c r="R203" i="10" s="1"/>
  <c r="DJ215" i="10"/>
  <c r="P215" i="10" s="1"/>
  <c r="EA185" i="10"/>
  <c r="AG185" i="10" s="1"/>
  <c r="DO185" i="10"/>
  <c r="U185" i="10" s="1"/>
  <c r="DU192" i="10"/>
  <c r="AA192" i="10" s="1"/>
  <c r="DR195" i="10"/>
  <c r="X195" i="10" s="1"/>
  <c r="DM195" i="10"/>
  <c r="S195" i="10" s="1"/>
  <c r="DZ212" i="10"/>
  <c r="AF212" i="10" s="1"/>
  <c r="EC181" i="10"/>
  <c r="AI181" i="10" s="1"/>
  <c r="DZ181" i="10"/>
  <c r="AF181" i="10" s="1"/>
  <c r="DO221" i="10"/>
  <c r="U221" i="10" s="1"/>
  <c r="EE184" i="10"/>
  <c r="AK184" i="10" s="1"/>
  <c r="DL184" i="10"/>
  <c r="R184" i="10" s="1"/>
  <c r="DS218" i="10"/>
  <c r="Y218" i="10" s="1"/>
  <c r="DP193" i="10"/>
  <c r="V193" i="10" s="1"/>
  <c r="DQ193" i="10"/>
  <c r="W193" i="10" s="1"/>
  <c r="DK203" i="10"/>
  <c r="Q203" i="10" s="1"/>
  <c r="DP203" i="10"/>
  <c r="V203" i="10" s="1"/>
  <c r="EC215" i="10"/>
  <c r="AI215" i="10" s="1"/>
  <c r="EE185" i="10"/>
  <c r="AK185" i="10" s="1"/>
  <c r="DZ192" i="10"/>
  <c r="AF192" i="10" s="1"/>
  <c r="DJ192" i="10"/>
  <c r="P192" i="10" s="1"/>
  <c r="DV195" i="10"/>
  <c r="AB195" i="10" s="1"/>
  <c r="DY212" i="10"/>
  <c r="AE212" i="10" s="1"/>
  <c r="DT212" i="10"/>
  <c r="Z212" i="10" s="1"/>
  <c r="DQ181" i="10"/>
  <c r="W181" i="10" s="1"/>
  <c r="ED221" i="10"/>
  <c r="AJ221" i="10" s="1"/>
  <c r="DP184" i="10"/>
  <c r="V184" i="10" s="1"/>
  <c r="DZ218" i="10"/>
  <c r="AF218" i="10" s="1"/>
  <c r="DX218" i="10"/>
  <c r="AD218" i="10" s="1"/>
  <c r="DW218" i="10"/>
  <c r="AC218" i="10" s="1"/>
  <c r="EA218" i="10"/>
  <c r="AG218" i="10" s="1"/>
  <c r="DP218" i="10"/>
  <c r="V218" i="10" s="1"/>
  <c r="DU218" i="10"/>
  <c r="AA218" i="10" s="1"/>
  <c r="DU193" i="10"/>
  <c r="AA193" i="10" s="1"/>
  <c r="EE193" i="10"/>
  <c r="AK193" i="10" s="1"/>
  <c r="DR193" i="10"/>
  <c r="X193" i="10" s="1"/>
  <c r="DL193" i="10"/>
  <c r="R193" i="10" s="1"/>
  <c r="EC193" i="10"/>
  <c r="AI193" i="10" s="1"/>
  <c r="DT193" i="10"/>
  <c r="Z193" i="10" s="1"/>
  <c r="DT203" i="10"/>
  <c r="Z203" i="10" s="1"/>
  <c r="DS203" i="10"/>
  <c r="Y203" i="10" s="1"/>
  <c r="EA203" i="10"/>
  <c r="AG203" i="10" s="1"/>
  <c r="DQ203" i="10"/>
  <c r="W203" i="10" s="1"/>
  <c r="DR203" i="10"/>
  <c r="X203" i="10" s="1"/>
  <c r="DW203" i="10"/>
  <c r="AC203" i="10" s="1"/>
  <c r="DM215" i="10"/>
  <c r="S215" i="10" s="1"/>
  <c r="DO215" i="10"/>
  <c r="U215" i="10" s="1"/>
  <c r="EA215" i="10"/>
  <c r="AG215" i="10" s="1"/>
  <c r="DZ215" i="10"/>
  <c r="AF215" i="10" s="1"/>
  <c r="DN215" i="10"/>
  <c r="T215" i="10" s="1"/>
  <c r="EC185" i="10"/>
  <c r="AI185" i="10" s="1"/>
  <c r="DZ185" i="10"/>
  <c r="AF185" i="10" s="1"/>
  <c r="DL185" i="10"/>
  <c r="R185" i="10" s="1"/>
  <c r="DQ185" i="10"/>
  <c r="W185" i="10" s="1"/>
  <c r="DW185" i="10"/>
  <c r="AC185" i="10" s="1"/>
  <c r="DR185" i="10"/>
  <c r="X185" i="10" s="1"/>
  <c r="EA192" i="10"/>
  <c r="AG192" i="10" s="1"/>
  <c r="ED192" i="10"/>
  <c r="AJ192" i="10" s="1"/>
  <c r="DL192" i="10"/>
  <c r="R192" i="10" s="1"/>
  <c r="EB192" i="10"/>
  <c r="AH192" i="10" s="1"/>
  <c r="EC192" i="10"/>
  <c r="AI192" i="10" s="1"/>
  <c r="CC184" i="10"/>
  <c r="EJ184" i="10" s="1"/>
  <c r="AR184" i="10" s="1"/>
  <c r="DO195" i="10"/>
  <c r="U195" i="10" s="1"/>
  <c r="DT195" i="10"/>
  <c r="Z195" i="10" s="1"/>
  <c r="DW195" i="10"/>
  <c r="AC195" i="10" s="1"/>
  <c r="EB195" i="10"/>
  <c r="AH195" i="10" s="1"/>
  <c r="DX195" i="10"/>
  <c r="AD195" i="10" s="1"/>
  <c r="DJ195" i="10"/>
  <c r="P195" i="10" s="1"/>
  <c r="DL212" i="10"/>
  <c r="R212" i="10" s="1"/>
  <c r="DN212" i="10"/>
  <c r="T212" i="10" s="1"/>
  <c r="ED212" i="10"/>
  <c r="AJ212" i="10" s="1"/>
  <c r="DS212" i="10"/>
  <c r="Y212" i="10" s="1"/>
  <c r="DR212" i="10"/>
  <c r="X212" i="10" s="1"/>
  <c r="DM181" i="10"/>
  <c r="S181" i="10" s="1"/>
  <c r="DT181" i="10"/>
  <c r="Z181" i="10" s="1"/>
  <c r="DU181" i="10"/>
  <c r="AA181" i="10" s="1"/>
  <c r="ED181" i="10"/>
  <c r="AJ181" i="10" s="1"/>
  <c r="DN181" i="10"/>
  <c r="T181" i="10" s="1"/>
  <c r="DP221" i="10"/>
  <c r="V221" i="10" s="1"/>
  <c r="DJ221" i="10"/>
  <c r="P221" i="10" s="1"/>
  <c r="DT221" i="10"/>
  <c r="Z221" i="10" s="1"/>
  <c r="DS221" i="10"/>
  <c r="Y221" i="10" s="1"/>
  <c r="EE221" i="10"/>
  <c r="AK221" i="10" s="1"/>
  <c r="DN221" i="10"/>
  <c r="T221" i="10" s="1"/>
  <c r="DW184" i="10"/>
  <c r="AC184" i="10" s="1"/>
  <c r="DR184" i="10"/>
  <c r="X184" i="10" s="1"/>
  <c r="DM184" i="10"/>
  <c r="S184" i="10" s="1"/>
  <c r="DJ184" i="10"/>
  <c r="P184" i="10" s="1"/>
  <c r="DQ184" i="10"/>
  <c r="W184" i="10" s="1"/>
  <c r="DY218" i="10"/>
  <c r="AE218" i="10" s="1"/>
  <c r="EE218" i="10"/>
  <c r="AK218" i="10" s="1"/>
  <c r="DT218" i="10"/>
  <c r="Z218" i="10" s="1"/>
  <c r="DV218" i="10"/>
  <c r="AB218" i="10" s="1"/>
  <c r="DO218" i="10"/>
  <c r="U218" i="10" s="1"/>
  <c r="EC218" i="10"/>
  <c r="AI218" i="10" s="1"/>
  <c r="DO193" i="10"/>
  <c r="U193" i="10" s="1"/>
  <c r="DW193" i="10"/>
  <c r="AC193" i="10" s="1"/>
  <c r="DN193" i="10"/>
  <c r="T193" i="10" s="1"/>
  <c r="DX193" i="10"/>
  <c r="AD193" i="10" s="1"/>
  <c r="DM193" i="10"/>
  <c r="S193" i="10" s="1"/>
  <c r="DY203" i="10"/>
  <c r="AE203" i="10" s="1"/>
  <c r="DZ203" i="10"/>
  <c r="AF203" i="10" s="1"/>
  <c r="DJ203" i="10"/>
  <c r="P203" i="10" s="1"/>
  <c r="DU203" i="10"/>
  <c r="AA203" i="10" s="1"/>
  <c r="EE203" i="10"/>
  <c r="AK203" i="10" s="1"/>
  <c r="EC203" i="10"/>
  <c r="AI203" i="10" s="1"/>
  <c r="DY215" i="10"/>
  <c r="AE215" i="10" s="1"/>
  <c r="DR215" i="10"/>
  <c r="X215" i="10" s="1"/>
  <c r="DQ215" i="10"/>
  <c r="W215" i="10" s="1"/>
  <c r="EE215" i="10"/>
  <c r="AK215" i="10" s="1"/>
  <c r="ED215" i="10"/>
  <c r="AJ215" i="10" s="1"/>
  <c r="DU185" i="10"/>
  <c r="AA185" i="10" s="1"/>
  <c r="DS185" i="10"/>
  <c r="Y185" i="10" s="1"/>
  <c r="DX185" i="10"/>
  <c r="AD185" i="10" s="1"/>
  <c r="ED185" i="10"/>
  <c r="AJ185" i="10" s="1"/>
  <c r="DJ185" i="10"/>
  <c r="P185" i="10" s="1"/>
  <c r="DN185" i="10"/>
  <c r="T185" i="10" s="1"/>
  <c r="DR192" i="10"/>
  <c r="X192" i="10" s="1"/>
  <c r="DW192" i="10"/>
  <c r="AC192" i="10" s="1"/>
  <c r="EE192" i="10"/>
  <c r="AK192" i="10" s="1"/>
  <c r="DN192" i="10"/>
  <c r="T192" i="10" s="1"/>
  <c r="DK192" i="10"/>
  <c r="Q192" i="10" s="1"/>
  <c r="ED195" i="10"/>
  <c r="AJ195" i="10" s="1"/>
  <c r="EE195" i="10"/>
  <c r="AK195" i="10" s="1"/>
  <c r="EC195" i="10"/>
  <c r="AI195" i="10" s="1"/>
  <c r="DY195" i="10"/>
  <c r="AE195" i="10" s="1"/>
  <c r="DU195" i="10"/>
  <c r="AA195" i="10" s="1"/>
  <c r="DW212" i="10"/>
  <c r="AC212" i="10" s="1"/>
  <c r="EE212" i="10"/>
  <c r="AK212" i="10" s="1"/>
  <c r="DU212" i="10"/>
  <c r="AA212" i="10" s="1"/>
  <c r="DJ212" i="10"/>
  <c r="P212" i="10" s="1"/>
  <c r="DM212" i="10"/>
  <c r="S212" i="10" s="1"/>
  <c r="DO212" i="10"/>
  <c r="U212" i="10" s="1"/>
  <c r="DS181" i="10"/>
  <c r="Y181" i="10" s="1"/>
  <c r="DL181" i="10"/>
  <c r="R181" i="10" s="1"/>
  <c r="EB181" i="10"/>
  <c r="AH181" i="10" s="1"/>
  <c r="DP181" i="10"/>
  <c r="V181" i="10" s="1"/>
  <c r="DJ181" i="10"/>
  <c r="P181" i="10" s="1"/>
  <c r="DR181" i="10"/>
  <c r="X181" i="10" s="1"/>
  <c r="DV221" i="10"/>
  <c r="AB221" i="10" s="1"/>
  <c r="DL221" i="10"/>
  <c r="R221" i="10" s="1"/>
  <c r="DY221" i="10"/>
  <c r="AE221" i="10" s="1"/>
  <c r="DK221" i="10"/>
  <c r="Q221" i="10" s="1"/>
  <c r="DM221" i="10"/>
  <c r="S221" i="10" s="1"/>
  <c r="DQ221" i="10"/>
  <c r="W221" i="10" s="1"/>
  <c r="EC184" i="10"/>
  <c r="AI184" i="10" s="1"/>
  <c r="DU184" i="10"/>
  <c r="AA184" i="10" s="1"/>
  <c r="DN184" i="10"/>
  <c r="T184" i="10" s="1"/>
  <c r="DX184" i="10"/>
  <c r="AD184" i="10" s="1"/>
  <c r="EB184" i="10"/>
  <c r="AH184" i="10" s="1"/>
  <c r="DL218" i="10"/>
  <c r="R218" i="10" s="1"/>
  <c r="ED218" i="10"/>
  <c r="AJ218" i="10" s="1"/>
  <c r="DR218" i="10"/>
  <c r="X218" i="10" s="1"/>
  <c r="EB218" i="10"/>
  <c r="AH218" i="10" s="1"/>
  <c r="DV193" i="10"/>
  <c r="AB193" i="10" s="1"/>
  <c r="ED193" i="10"/>
  <c r="AJ193" i="10" s="1"/>
  <c r="DS193" i="10"/>
  <c r="Y193" i="10" s="1"/>
  <c r="DZ193" i="10"/>
  <c r="AF193" i="10" s="1"/>
  <c r="DV203" i="10"/>
  <c r="AB203" i="10" s="1"/>
  <c r="DM203" i="10"/>
  <c r="S203" i="10" s="1"/>
  <c r="DX203" i="10"/>
  <c r="AD203" i="10" s="1"/>
  <c r="ED203" i="10"/>
  <c r="AJ203" i="10" s="1"/>
  <c r="DV215" i="10"/>
  <c r="AB215" i="10" s="1"/>
  <c r="DP215" i="10"/>
  <c r="V215" i="10" s="1"/>
  <c r="DL215" i="10"/>
  <c r="R215" i="10" s="1"/>
  <c r="DW215" i="10"/>
  <c r="AC215" i="10" s="1"/>
  <c r="DT215" i="10"/>
  <c r="Z215" i="10" s="1"/>
  <c r="DT185" i="10"/>
  <c r="Z185" i="10" s="1"/>
  <c r="DY185" i="10"/>
  <c r="AE185" i="10" s="1"/>
  <c r="EB185" i="10"/>
  <c r="AH185" i="10" s="1"/>
  <c r="DK185" i="10"/>
  <c r="Q185" i="10" s="1"/>
  <c r="DM192" i="10"/>
  <c r="S192" i="10" s="1"/>
  <c r="DO192" i="10"/>
  <c r="U192" i="10" s="1"/>
  <c r="DQ192" i="10"/>
  <c r="W192" i="10" s="1"/>
  <c r="DS192" i="10"/>
  <c r="Y192" i="10" s="1"/>
  <c r="DV192" i="10"/>
  <c r="AB192" i="10" s="1"/>
  <c r="CC215" i="10"/>
  <c r="EX215" i="10" s="1"/>
  <c r="BF215" i="10" s="1"/>
  <c r="DN195" i="10"/>
  <c r="T195" i="10" s="1"/>
  <c r="DS195" i="10"/>
  <c r="Y195" i="10" s="1"/>
  <c r="DP195" i="10"/>
  <c r="V195" i="10" s="1"/>
  <c r="DL195" i="10"/>
  <c r="R195" i="10" s="1"/>
  <c r="DQ212" i="10"/>
  <c r="W212" i="10" s="1"/>
  <c r="DP212" i="10"/>
  <c r="V212" i="10" s="1"/>
  <c r="DK212" i="10"/>
  <c r="Q212" i="10" s="1"/>
  <c r="EC212" i="10"/>
  <c r="AI212" i="10" s="1"/>
  <c r="DV212" i="10"/>
  <c r="AB212" i="10" s="1"/>
  <c r="DK181" i="10"/>
  <c r="Q181" i="10" s="1"/>
  <c r="DY181" i="10"/>
  <c r="AE181" i="10" s="1"/>
  <c r="DX181" i="10"/>
  <c r="AD181" i="10" s="1"/>
  <c r="DV181" i="10"/>
  <c r="AB181" i="10" s="1"/>
  <c r="EE181" i="10"/>
  <c r="AK181" i="10" s="1"/>
  <c r="EC221" i="10"/>
  <c r="AI221" i="10" s="1"/>
  <c r="DW221" i="10"/>
  <c r="AC221" i="10" s="1"/>
  <c r="EA221" i="10"/>
  <c r="AG221" i="10" s="1"/>
  <c r="DR221" i="10"/>
  <c r="X221" i="10" s="1"/>
  <c r="DT184" i="10"/>
  <c r="Z184" i="10" s="1"/>
  <c r="DV184" i="10"/>
  <c r="AB184" i="10" s="1"/>
  <c r="DK184" i="10"/>
  <c r="Q184" i="10" s="1"/>
  <c r="DO184" i="10"/>
  <c r="U184" i="10" s="1"/>
  <c r="DN179" i="10"/>
  <c r="T179" i="10" s="1"/>
  <c r="DS184" i="10"/>
  <c r="Y184" i="10" s="1"/>
  <c r="EA184" i="10"/>
  <c r="AG184" i="10" s="1"/>
  <c r="CC193" i="10"/>
  <c r="EQ193" i="10" s="1"/>
  <c r="AY193" i="10" s="1"/>
  <c r="CC196" i="10"/>
  <c r="EJ196" i="10" s="1"/>
  <c r="AR196" i="10" s="1"/>
  <c r="DY211" i="10"/>
  <c r="AE211" i="10" s="1"/>
  <c r="EC216" i="10"/>
  <c r="AI216" i="10" s="1"/>
  <c r="EE197" i="10"/>
  <c r="AK197" i="10" s="1"/>
  <c r="DP204" i="10"/>
  <c r="V204" i="10" s="1"/>
  <c r="DY209" i="10"/>
  <c r="AE209" i="10" s="1"/>
  <c r="EB209" i="10"/>
  <c r="AH209" i="10" s="1"/>
  <c r="DY208" i="10"/>
  <c r="AE208" i="10" s="1"/>
  <c r="DV201" i="10"/>
  <c r="AB201" i="10" s="1"/>
  <c r="DN187" i="10"/>
  <c r="T187" i="10" s="1"/>
  <c r="DW187" i="10"/>
  <c r="AC187" i="10" s="1"/>
  <c r="EB179" i="10"/>
  <c r="AH179" i="10" s="1"/>
  <c r="CC197" i="10"/>
  <c r="EV197" i="10" s="1"/>
  <c r="BD197" i="10" s="1"/>
  <c r="DJ211" i="10"/>
  <c r="P211" i="10" s="1"/>
  <c r="DN211" i="10"/>
  <c r="T211" i="10" s="1"/>
  <c r="DP216" i="10"/>
  <c r="V216" i="10" s="1"/>
  <c r="ED216" i="10"/>
  <c r="AJ216" i="10" s="1"/>
  <c r="DZ197" i="10"/>
  <c r="AF197" i="10" s="1"/>
  <c r="DM197" i="10"/>
  <c r="S197" i="10" s="1"/>
  <c r="EC204" i="10"/>
  <c r="AI204" i="10" s="1"/>
  <c r="DL209" i="10"/>
  <c r="R209" i="10" s="1"/>
  <c r="DW209" i="10"/>
  <c r="AC209" i="10" s="1"/>
  <c r="CC209" i="10"/>
  <c r="EI209" i="10" s="1"/>
  <c r="AQ209" i="10" s="1"/>
  <c r="DU208" i="10"/>
  <c r="AA208" i="10" s="1"/>
  <c r="DO208" i="10"/>
  <c r="U208" i="10" s="1"/>
  <c r="DM201" i="10"/>
  <c r="S201" i="10" s="1"/>
  <c r="DZ201" i="10"/>
  <c r="AF201" i="10" s="1"/>
  <c r="DM187" i="10"/>
  <c r="S187" i="10" s="1"/>
  <c r="EC179" i="10"/>
  <c r="AI179" i="10" s="1"/>
  <c r="ED211" i="10"/>
  <c r="AJ211" i="10" s="1"/>
  <c r="EC211" i="10"/>
  <c r="AI211" i="10" s="1"/>
  <c r="DW216" i="10"/>
  <c r="AC216" i="10" s="1"/>
  <c r="DJ216" i="10"/>
  <c r="P216" i="10" s="1"/>
  <c r="DP197" i="10"/>
  <c r="V197" i="10" s="1"/>
  <c r="DT197" i="10"/>
  <c r="Z197" i="10" s="1"/>
  <c r="DO204" i="10"/>
  <c r="U204" i="10" s="1"/>
  <c r="EC209" i="10"/>
  <c r="AI209" i="10" s="1"/>
  <c r="EA208" i="10"/>
  <c r="AG208" i="10" s="1"/>
  <c r="DP208" i="10"/>
  <c r="V208" i="10" s="1"/>
  <c r="DQ201" i="10"/>
  <c r="W201" i="10" s="1"/>
  <c r="DL201" i="10"/>
  <c r="R201" i="10" s="1"/>
  <c r="CC179" i="10"/>
  <c r="EY179" i="10" s="1"/>
  <c r="BG179" i="10" s="1"/>
  <c r="DU187" i="10"/>
  <c r="AA187" i="10" s="1"/>
  <c r="DW179" i="10"/>
  <c r="AC179" i="10" s="1"/>
  <c r="CC221" i="10"/>
  <c r="BP221" i="10" s="1"/>
  <c r="CC202" i="10"/>
  <c r="FH202" i="10" s="1"/>
  <c r="CC219" i="10"/>
  <c r="EZ219" i="10" s="1"/>
  <c r="BH219" i="10" s="1"/>
  <c r="EE211" i="10"/>
  <c r="AK211" i="10" s="1"/>
  <c r="EB211" i="10"/>
  <c r="AH211" i="10" s="1"/>
  <c r="DP211" i="10"/>
  <c r="V211" i="10" s="1"/>
  <c r="DT211" i="10"/>
  <c r="Z211" i="10" s="1"/>
  <c r="DS211" i="10"/>
  <c r="Y211" i="10" s="1"/>
  <c r="DS216" i="10"/>
  <c r="Y216" i="10" s="1"/>
  <c r="DR216" i="10"/>
  <c r="X216" i="10" s="1"/>
  <c r="DT216" i="10"/>
  <c r="Z216" i="10" s="1"/>
  <c r="DK216" i="10"/>
  <c r="Q216" i="10" s="1"/>
  <c r="DN216" i="10"/>
  <c r="T216" i="10" s="1"/>
  <c r="DN197" i="10"/>
  <c r="T197" i="10" s="1"/>
  <c r="DY197" i="10"/>
  <c r="AE197" i="10" s="1"/>
  <c r="DJ197" i="10"/>
  <c r="P197" i="10" s="1"/>
  <c r="DQ197" i="10"/>
  <c r="W197" i="10" s="1"/>
  <c r="DV197" i="10"/>
  <c r="AB197" i="10" s="1"/>
  <c r="DM204" i="10"/>
  <c r="S204" i="10" s="1"/>
  <c r="DQ204" i="10"/>
  <c r="W204" i="10" s="1"/>
  <c r="DW204" i="10"/>
  <c r="AC204" i="10" s="1"/>
  <c r="DL204" i="10"/>
  <c r="R204" i="10" s="1"/>
  <c r="DS204" i="10"/>
  <c r="Y204" i="10" s="1"/>
  <c r="DR204" i="10"/>
  <c r="X204" i="10" s="1"/>
  <c r="DO209" i="10"/>
  <c r="U209" i="10" s="1"/>
  <c r="ED209" i="10"/>
  <c r="AJ209" i="10" s="1"/>
  <c r="DM209" i="10"/>
  <c r="S209" i="10" s="1"/>
  <c r="DJ209" i="10"/>
  <c r="P209" i="10" s="1"/>
  <c r="EA209" i="10"/>
  <c r="AG209" i="10" s="1"/>
  <c r="CC204" i="10"/>
  <c r="EQ204" i="10" s="1"/>
  <c r="AY204" i="10" s="1"/>
  <c r="DN208" i="10"/>
  <c r="T208" i="10" s="1"/>
  <c r="EC208" i="10"/>
  <c r="AI208" i="10" s="1"/>
  <c r="DL208" i="10"/>
  <c r="R208" i="10" s="1"/>
  <c r="DR208" i="10"/>
  <c r="X208" i="10" s="1"/>
  <c r="DV208" i="10"/>
  <c r="AB208" i="10" s="1"/>
  <c r="EB208" i="10"/>
  <c r="AH208" i="10" s="1"/>
  <c r="DK201" i="10"/>
  <c r="Q201" i="10" s="1"/>
  <c r="DW201" i="10"/>
  <c r="AC201" i="10" s="1"/>
  <c r="DX201" i="10"/>
  <c r="AD201" i="10" s="1"/>
  <c r="DR201" i="10"/>
  <c r="X201" i="10" s="1"/>
  <c r="DT201" i="10"/>
  <c r="Z201" i="10" s="1"/>
  <c r="EE201" i="10"/>
  <c r="AK201" i="10" s="1"/>
  <c r="CC216" i="10"/>
  <c r="ES216" i="10" s="1"/>
  <c r="BA216" i="10" s="1"/>
  <c r="DQ187" i="10"/>
  <c r="W187" i="10" s="1"/>
  <c r="DT187" i="10"/>
  <c r="Z187" i="10" s="1"/>
  <c r="DP187" i="10"/>
  <c r="V187" i="10" s="1"/>
  <c r="DX187" i="10"/>
  <c r="AD187" i="10" s="1"/>
  <c r="DZ187" i="10"/>
  <c r="AF187" i="10" s="1"/>
  <c r="ED179" i="10"/>
  <c r="AJ179" i="10" s="1"/>
  <c r="EE179" i="10"/>
  <c r="AK179" i="10" s="1"/>
  <c r="DS179" i="10"/>
  <c r="Y179" i="10" s="1"/>
  <c r="EA179" i="10"/>
  <c r="AG179" i="10" s="1"/>
  <c r="DQ179" i="10"/>
  <c r="W179" i="10" s="1"/>
  <c r="CC211" i="10"/>
  <c r="EJ211" i="10" s="1"/>
  <c r="AR211" i="10" s="1"/>
  <c r="DK211" i="10"/>
  <c r="Q211" i="10" s="1"/>
  <c r="DQ211" i="10"/>
  <c r="W211" i="10" s="1"/>
  <c r="DU211" i="10"/>
  <c r="AA211" i="10" s="1"/>
  <c r="DL211" i="10"/>
  <c r="R211" i="10" s="1"/>
  <c r="DV211" i="10"/>
  <c r="AB211" i="10" s="1"/>
  <c r="DZ216" i="10"/>
  <c r="AF216" i="10" s="1"/>
  <c r="EB216" i="10"/>
  <c r="AH216" i="10" s="1"/>
  <c r="DO216" i="10"/>
  <c r="U216" i="10" s="1"/>
  <c r="DQ216" i="10"/>
  <c r="W216" i="10" s="1"/>
  <c r="DV216" i="10"/>
  <c r="AB216" i="10" s="1"/>
  <c r="DU197" i="10"/>
  <c r="AA197" i="10" s="1"/>
  <c r="EB197" i="10"/>
  <c r="AH197" i="10" s="1"/>
  <c r="DX197" i="10"/>
  <c r="AD197" i="10" s="1"/>
  <c r="DL197" i="10"/>
  <c r="R197" i="10" s="1"/>
  <c r="DW197" i="10"/>
  <c r="AC197" i="10" s="1"/>
  <c r="DU204" i="10"/>
  <c r="AA204" i="10" s="1"/>
  <c r="DN204" i="10"/>
  <c r="T204" i="10" s="1"/>
  <c r="ED204" i="10"/>
  <c r="AJ204" i="10" s="1"/>
  <c r="DK204" i="10"/>
  <c r="Q204" i="10" s="1"/>
  <c r="DJ204" i="10"/>
  <c r="P204" i="10" s="1"/>
  <c r="EB204" i="10"/>
  <c r="AH204" i="10" s="1"/>
  <c r="DZ209" i="10"/>
  <c r="AF209" i="10" s="1"/>
  <c r="EE209" i="10"/>
  <c r="AK209" i="10" s="1"/>
  <c r="DX209" i="10"/>
  <c r="AD209" i="10" s="1"/>
  <c r="DS209" i="10"/>
  <c r="Y209" i="10" s="1"/>
  <c r="DN209" i="10"/>
  <c r="T209" i="10" s="1"/>
  <c r="DS208" i="10"/>
  <c r="Y208" i="10" s="1"/>
  <c r="DZ208" i="10"/>
  <c r="AF208" i="10" s="1"/>
  <c r="DM208" i="10"/>
  <c r="S208" i="10" s="1"/>
  <c r="DK208" i="10"/>
  <c r="Q208" i="10" s="1"/>
  <c r="DT208" i="10"/>
  <c r="Z208" i="10" s="1"/>
  <c r="DJ201" i="10"/>
  <c r="P201" i="10" s="1"/>
  <c r="EA201" i="10"/>
  <c r="AG201" i="10" s="1"/>
  <c r="DY201" i="10"/>
  <c r="AE201" i="10" s="1"/>
  <c r="DO201" i="10"/>
  <c r="U201" i="10" s="1"/>
  <c r="EB201" i="10"/>
  <c r="AH201" i="10" s="1"/>
  <c r="DJ187" i="10"/>
  <c r="P187" i="10" s="1"/>
  <c r="DY187" i="10"/>
  <c r="AE187" i="10" s="1"/>
  <c r="EA187" i="10"/>
  <c r="AG187" i="10" s="1"/>
  <c r="EC187" i="10"/>
  <c r="AI187" i="10" s="1"/>
  <c r="DR187" i="10"/>
  <c r="X187" i="10" s="1"/>
  <c r="EB187" i="10"/>
  <c r="AH187" i="10" s="1"/>
  <c r="DL179" i="10"/>
  <c r="R179" i="10" s="1"/>
  <c r="DO179" i="10"/>
  <c r="U179" i="10" s="1"/>
  <c r="DP179" i="10"/>
  <c r="V179" i="10" s="1"/>
  <c r="DY179" i="10"/>
  <c r="AE179" i="10" s="1"/>
  <c r="DM179" i="10"/>
  <c r="S179" i="10" s="1"/>
  <c r="DJ179" i="10"/>
  <c r="P179" i="10" s="1"/>
  <c r="DW211" i="10"/>
  <c r="AC211" i="10" s="1"/>
  <c r="DM211" i="10"/>
  <c r="S211" i="10" s="1"/>
  <c r="DX211" i="10"/>
  <c r="AD211" i="10" s="1"/>
  <c r="EA211" i="10"/>
  <c r="AG211" i="10" s="1"/>
  <c r="DO211" i="10"/>
  <c r="U211" i="10" s="1"/>
  <c r="EA216" i="10"/>
  <c r="AG216" i="10" s="1"/>
  <c r="DM216" i="10"/>
  <c r="S216" i="10" s="1"/>
  <c r="DX216" i="10"/>
  <c r="AD216" i="10" s="1"/>
  <c r="DY216" i="10"/>
  <c r="AE216" i="10" s="1"/>
  <c r="DU216" i="10"/>
  <c r="AA216" i="10" s="1"/>
  <c r="ED197" i="10"/>
  <c r="AJ197" i="10" s="1"/>
  <c r="DO197" i="10"/>
  <c r="U197" i="10" s="1"/>
  <c r="EC197" i="10"/>
  <c r="AI197" i="10" s="1"/>
  <c r="EA197" i="10"/>
  <c r="AG197" i="10" s="1"/>
  <c r="DR197" i="10"/>
  <c r="X197" i="10" s="1"/>
  <c r="DV204" i="10"/>
  <c r="AB204" i="10" s="1"/>
  <c r="DX204" i="10"/>
  <c r="AD204" i="10" s="1"/>
  <c r="DZ204" i="10"/>
  <c r="AF204" i="10" s="1"/>
  <c r="DY204" i="10"/>
  <c r="AE204" i="10" s="1"/>
  <c r="DT209" i="10"/>
  <c r="Z209" i="10" s="1"/>
  <c r="DQ209" i="10"/>
  <c r="W209" i="10" s="1"/>
  <c r="DP209" i="10"/>
  <c r="V209" i="10" s="1"/>
  <c r="DK209" i="10"/>
  <c r="Q209" i="10" s="1"/>
  <c r="DU209" i="10"/>
  <c r="AA209" i="10" s="1"/>
  <c r="ED208" i="10"/>
  <c r="AJ208" i="10" s="1"/>
  <c r="DX208" i="10"/>
  <c r="AD208" i="10" s="1"/>
  <c r="DQ208" i="10"/>
  <c r="W208" i="10" s="1"/>
  <c r="DW208" i="10"/>
  <c r="AC208" i="10" s="1"/>
  <c r="EC201" i="10"/>
  <c r="AI201" i="10" s="1"/>
  <c r="ED201" i="10"/>
  <c r="AJ201" i="10" s="1"/>
  <c r="DN201" i="10"/>
  <c r="T201" i="10" s="1"/>
  <c r="DU201" i="10"/>
  <c r="AA201" i="10" s="1"/>
  <c r="CC187" i="10"/>
  <c r="EW187" i="10" s="1"/>
  <c r="BE187" i="10" s="1"/>
  <c r="DO187" i="10"/>
  <c r="U187" i="10" s="1"/>
  <c r="DL187" i="10"/>
  <c r="R187" i="10" s="1"/>
  <c r="DV187" i="10"/>
  <c r="AB187" i="10" s="1"/>
  <c r="DK187" i="10"/>
  <c r="Q187" i="10" s="1"/>
  <c r="DS187" i="10"/>
  <c r="Y187" i="10" s="1"/>
  <c r="DV179" i="10"/>
  <c r="AB179" i="10" s="1"/>
  <c r="DZ179" i="10"/>
  <c r="AF179" i="10" s="1"/>
  <c r="DT179" i="10"/>
  <c r="Z179" i="10" s="1"/>
  <c r="DK179" i="10"/>
  <c r="Q179" i="10" s="1"/>
  <c r="DU179" i="10"/>
  <c r="AA179" i="10" s="1"/>
  <c r="CC195" i="10"/>
  <c r="FI195" i="10" s="1"/>
  <c r="CC205" i="10"/>
  <c r="EP205" i="10" s="1"/>
  <c r="AX205" i="10" s="1"/>
  <c r="CC199" i="10"/>
  <c r="FK199" i="10" s="1"/>
  <c r="CC218" i="10"/>
  <c r="CC181" i="10"/>
  <c r="EO181" i="10" s="1"/>
  <c r="AW181" i="10" s="1"/>
  <c r="CC212" i="10"/>
  <c r="CC185" i="10"/>
  <c r="EG185" i="10" s="1"/>
  <c r="AM185" i="10" s="1"/>
  <c r="CC214" i="10"/>
  <c r="EP214" i="10" s="1"/>
  <c r="AX214" i="10" s="1"/>
  <c r="CC192" i="10"/>
  <c r="EK192" i="10" s="1"/>
  <c r="AS192" i="10" s="1"/>
  <c r="CC206" i="10"/>
  <c r="EK206" i="10" s="1"/>
  <c r="AS206" i="10" s="1"/>
  <c r="CC188" i="10"/>
  <c r="F12" i="41"/>
  <c r="E13" i="41" s="1"/>
  <c r="C12" i="41"/>
  <c r="A12" i="41"/>
  <c r="B12" i="41" s="1"/>
  <c r="DD158" i="10"/>
  <c r="B26" i="29" s="1"/>
  <c r="AV224" i="10"/>
  <c r="P224" i="10"/>
  <c r="AL224" i="10"/>
  <c r="FA220" i="10"/>
  <c r="BI220" i="10" s="1"/>
  <c r="BC224" i="10"/>
  <c r="EH220" i="10"/>
  <c r="AP220" i="10" s="1"/>
  <c r="ES220" i="10"/>
  <c r="BA220" i="10" s="1"/>
  <c r="EU220" i="10"/>
  <c r="BC220" i="10" s="1"/>
  <c r="AU224" i="10"/>
  <c r="G187" i="39"/>
  <c r="Z224" i="10"/>
  <c r="ET220" i="10"/>
  <c r="BB220" i="10" s="1"/>
  <c r="EZ220" i="10"/>
  <c r="BH220" i="10" s="1"/>
  <c r="AX224" i="10"/>
  <c r="U224" i="10"/>
  <c r="EW220" i="10"/>
  <c r="BE220" i="10" s="1"/>
  <c r="FL220" i="10"/>
  <c r="AT224" i="10"/>
  <c r="AO224" i="10"/>
  <c r="AK224" i="10"/>
  <c r="AA224" i="10"/>
  <c r="FF220" i="10"/>
  <c r="EY220" i="10"/>
  <c r="BG220" i="10" s="1"/>
  <c r="EN220" i="10"/>
  <c r="AV220" i="10" s="1"/>
  <c r="FC220" i="10"/>
  <c r="BK220" i="10" s="1"/>
  <c r="FG220" i="10"/>
  <c r="EX220" i="10"/>
  <c r="BF220" i="10" s="1"/>
  <c r="ER220" i="10"/>
  <c r="AZ220" i="10" s="1"/>
  <c r="EV220" i="10"/>
  <c r="BD220" i="10" s="1"/>
  <c r="AQ224" i="10"/>
  <c r="BB224" i="10"/>
  <c r="BK224" i="10"/>
  <c r="AZ224" i="10"/>
  <c r="BD224" i="10"/>
  <c r="AY224" i="10"/>
  <c r="CN224" i="10"/>
  <c r="W224" i="10"/>
  <c r="AD224" i="10"/>
  <c r="T224" i="10"/>
  <c r="Y224" i="10"/>
  <c r="X224" i="10"/>
  <c r="BR224" i="10"/>
  <c r="FH220" i="10"/>
  <c r="FK220" i="10"/>
  <c r="BP220" i="10"/>
  <c r="EK220" i="10"/>
  <c r="AS220" i="10" s="1"/>
  <c r="FB220" i="10"/>
  <c r="BJ220" i="10" s="1"/>
  <c r="EM220" i="10"/>
  <c r="AU220" i="10" s="1"/>
  <c r="EP220" i="10"/>
  <c r="AX220" i="10" s="1"/>
  <c r="FI220" i="10"/>
  <c r="AM224" i="10"/>
  <c r="AW224" i="10"/>
  <c r="BH224" i="10"/>
  <c r="BJ224" i="10"/>
  <c r="AS224" i="10"/>
  <c r="AP224" i="10"/>
  <c r="BE224" i="10"/>
  <c r="O224" i="10"/>
  <c r="B187" i="39" s="1"/>
  <c r="AB224" i="10"/>
  <c r="R224" i="10"/>
  <c r="S224" i="10"/>
  <c r="AG224" i="10"/>
  <c r="Q224" i="10"/>
  <c r="AI224" i="10"/>
  <c r="AH224" i="10"/>
  <c r="EG220" i="10"/>
  <c r="AO220" i="10" s="1"/>
  <c r="EO220" i="10"/>
  <c r="AW220" i="10" s="1"/>
  <c r="FE220" i="10"/>
  <c r="BM220" i="10" s="1"/>
  <c r="EJ220" i="10"/>
  <c r="AR220" i="10" s="1"/>
  <c r="EL220" i="10"/>
  <c r="AT220" i="10" s="1"/>
  <c r="EI220" i="10"/>
  <c r="AQ220" i="10" s="1"/>
  <c r="EQ220" i="10"/>
  <c r="AY220" i="10" s="1"/>
  <c r="FD220" i="10"/>
  <c r="BL220" i="10" s="1"/>
  <c r="BI224" i="10"/>
  <c r="BG224" i="10"/>
  <c r="BL224" i="10"/>
  <c r="BA224" i="10"/>
  <c r="BM224" i="10"/>
  <c r="BF224" i="10"/>
  <c r="V224" i="10"/>
  <c r="AE224" i="10"/>
  <c r="AC224" i="10"/>
  <c r="AF224" i="10"/>
  <c r="AJ224" i="10"/>
  <c r="BL84" i="14"/>
  <c r="BN84" i="14"/>
  <c r="BA84" i="14"/>
  <c r="AS84" i="14"/>
  <c r="B225" i="10"/>
  <c r="Z225" i="10" s="1"/>
  <c r="EC225" i="10"/>
  <c r="EE225" i="10"/>
  <c r="DL225" i="10"/>
  <c r="AI84" i="14"/>
  <c r="DO225" i="10"/>
  <c r="DP225" i="10"/>
  <c r="EF226" i="10"/>
  <c r="DK226" i="10" s="1"/>
  <c r="BW226" i="10"/>
  <c r="C50" i="34"/>
  <c r="D51" i="34" s="1"/>
  <c r="FC198" i="10"/>
  <c r="BK198" i="10" s="1"/>
  <c r="ET198" i="10"/>
  <c r="BB198" i="10" s="1"/>
  <c r="EK198" i="10"/>
  <c r="AS198" i="10" s="1"/>
  <c r="FI198" i="10"/>
  <c r="EQ198" i="10"/>
  <c r="AY198" i="10" s="1"/>
  <c r="FB198" i="10"/>
  <c r="BJ198" i="10" s="1"/>
  <c r="EX198" i="10"/>
  <c r="BF198" i="10" s="1"/>
  <c r="FG198" i="10"/>
  <c r="FH198" i="10"/>
  <c r="FL198" i="10"/>
  <c r="ER198" i="10"/>
  <c r="AZ198" i="10" s="1"/>
  <c r="EW198" i="10"/>
  <c r="BE198" i="10" s="1"/>
  <c r="FD198" i="10"/>
  <c r="BL198" i="10" s="1"/>
  <c r="EP198" i="10"/>
  <c r="AX198" i="10" s="1"/>
  <c r="EZ198" i="10"/>
  <c r="BH198" i="10" s="1"/>
  <c r="EU198" i="10"/>
  <c r="BC198" i="10" s="1"/>
  <c r="FF198" i="10"/>
  <c r="EL198" i="10"/>
  <c r="AT198" i="10" s="1"/>
  <c r="FA198" i="10"/>
  <c r="BI198" i="10" s="1"/>
  <c r="EV198" i="10"/>
  <c r="BD198" i="10" s="1"/>
  <c r="EH198" i="10"/>
  <c r="AP198" i="10" s="1"/>
  <c r="EM198" i="10"/>
  <c r="AU198" i="10" s="1"/>
  <c r="BP198" i="10"/>
  <c r="EG198" i="10"/>
  <c r="EN198" i="10"/>
  <c r="AV198" i="10" s="1"/>
  <c r="EO198" i="10"/>
  <c r="AW198" i="10" s="1"/>
  <c r="ES198" i="10"/>
  <c r="BA198" i="10" s="1"/>
  <c r="FJ198" i="10"/>
  <c r="EY198" i="10"/>
  <c r="BG198" i="10" s="1"/>
  <c r="EJ198" i="10"/>
  <c r="AR198" i="10" s="1"/>
  <c r="EI198" i="10"/>
  <c r="AQ198" i="10" s="1"/>
  <c r="FE198" i="10"/>
  <c r="BM198" i="10" s="1"/>
  <c r="FK198" i="10"/>
  <c r="M54" i="23"/>
  <c r="Y54" i="23"/>
  <c r="Z54" i="23"/>
  <c r="O54" i="23"/>
  <c r="E54" i="23"/>
  <c r="V54" i="23"/>
  <c r="I54" i="23"/>
  <c r="S54" i="23"/>
  <c r="AD54" i="23"/>
  <c r="EH191" i="10"/>
  <c r="AP191" i="10" s="1"/>
  <c r="ES191" i="10"/>
  <c r="BA191" i="10" s="1"/>
  <c r="FJ191" i="10"/>
  <c r="EX191" i="10"/>
  <c r="BF191" i="10" s="1"/>
  <c r="EW191" i="10"/>
  <c r="BE191" i="10" s="1"/>
  <c r="ET191" i="10"/>
  <c r="BB191" i="10" s="1"/>
  <c r="FB191" i="10"/>
  <c r="BJ191" i="10" s="1"/>
  <c r="FD191" i="10"/>
  <c r="BL191" i="10" s="1"/>
  <c r="FA191" i="10"/>
  <c r="BI191" i="10" s="1"/>
  <c r="EN191" i="10"/>
  <c r="AV191" i="10" s="1"/>
  <c r="FF191" i="10"/>
  <c r="ER191" i="10"/>
  <c r="AZ191" i="10" s="1"/>
  <c r="EU191" i="10"/>
  <c r="BC191" i="10" s="1"/>
  <c r="FK191" i="10"/>
  <c r="FH191" i="10"/>
  <c r="EK191" i="10"/>
  <c r="AS191" i="10" s="1"/>
  <c r="FL191" i="10"/>
  <c r="FI191" i="10"/>
  <c r="FE191" i="10"/>
  <c r="BM191" i="10" s="1"/>
  <c r="EP191" i="10"/>
  <c r="AX191" i="10" s="1"/>
  <c r="EL191" i="10"/>
  <c r="AT191" i="10" s="1"/>
  <c r="EO191" i="10"/>
  <c r="AW191" i="10" s="1"/>
  <c r="EM191" i="10"/>
  <c r="AU191" i="10" s="1"/>
  <c r="EZ191" i="10"/>
  <c r="BH191" i="10" s="1"/>
  <c r="EI191" i="10"/>
  <c r="AQ191" i="10" s="1"/>
  <c r="EG191" i="10"/>
  <c r="FC191" i="10"/>
  <c r="BK191" i="10" s="1"/>
  <c r="EQ191" i="10"/>
  <c r="AY191" i="10" s="1"/>
  <c r="EV191" i="10"/>
  <c r="BD191" i="10" s="1"/>
  <c r="EJ191" i="10"/>
  <c r="AR191" i="10" s="1"/>
  <c r="EY191" i="10"/>
  <c r="BG191" i="10" s="1"/>
  <c r="BP191" i="10"/>
  <c r="FG191" i="10"/>
  <c r="DZ225" i="10"/>
  <c r="DX225" i="10"/>
  <c r="DS225" i="10"/>
  <c r="DV225" i="10"/>
  <c r="DW225" i="10"/>
  <c r="EA225" i="10"/>
  <c r="BN227" i="10"/>
  <c r="EO190" i="10"/>
  <c r="AW190" i="10" s="1"/>
  <c r="EH190" i="10"/>
  <c r="AP190" i="10" s="1"/>
  <c r="EG190" i="10"/>
  <c r="EV190" i="10"/>
  <c r="BD190" i="10" s="1"/>
  <c r="FK190" i="10"/>
  <c r="EL190" i="10"/>
  <c r="AT190" i="10" s="1"/>
  <c r="EY190" i="10"/>
  <c r="BG190" i="10" s="1"/>
  <c r="FA190" i="10"/>
  <c r="BI190" i="10" s="1"/>
  <c r="EN190" i="10"/>
  <c r="AV190" i="10" s="1"/>
  <c r="EU190" i="10"/>
  <c r="BC190" i="10" s="1"/>
  <c r="FG190" i="10"/>
  <c r="EJ190" i="10"/>
  <c r="AR190" i="10" s="1"/>
  <c r="ES190" i="10"/>
  <c r="BA190" i="10" s="1"/>
  <c r="FC190" i="10"/>
  <c r="BK190" i="10" s="1"/>
  <c r="FF190" i="10"/>
  <c r="ET190" i="10"/>
  <c r="BB190" i="10" s="1"/>
  <c r="ER190" i="10"/>
  <c r="AZ190" i="10" s="1"/>
  <c r="FB190" i="10"/>
  <c r="BJ190" i="10" s="1"/>
  <c r="EX190" i="10"/>
  <c r="BF190" i="10" s="1"/>
  <c r="FD190" i="10"/>
  <c r="BL190" i="10" s="1"/>
  <c r="EM190" i="10"/>
  <c r="AU190" i="10" s="1"/>
  <c r="BP190" i="10"/>
  <c r="EK190" i="10"/>
  <c r="AS190" i="10" s="1"/>
  <c r="EI190" i="10"/>
  <c r="AQ190" i="10" s="1"/>
  <c r="EZ190" i="10"/>
  <c r="BH190" i="10" s="1"/>
  <c r="EP190" i="10"/>
  <c r="AX190" i="10" s="1"/>
  <c r="FJ190" i="10"/>
  <c r="FH190" i="10"/>
  <c r="EQ190" i="10"/>
  <c r="AY190" i="10" s="1"/>
  <c r="FL190" i="10"/>
  <c r="FI190" i="10"/>
  <c r="EW190" i="10"/>
  <c r="BE190" i="10" s="1"/>
  <c r="FE190" i="10"/>
  <c r="BM190" i="10" s="1"/>
  <c r="B55" i="23"/>
  <c r="AG55" i="23"/>
  <c r="AJ84" i="14"/>
  <c r="BC84" i="14"/>
  <c r="AG84" i="14"/>
  <c r="DM225" i="10"/>
  <c r="EB225" i="10"/>
  <c r="DJ225" i="10"/>
  <c r="DN225" i="10"/>
  <c r="DY225" i="10"/>
  <c r="EI182" i="10"/>
  <c r="AQ182" i="10" s="1"/>
  <c r="FK182" i="10"/>
  <c r="FE182" i="10"/>
  <c r="BM182" i="10" s="1"/>
  <c r="FF182" i="10"/>
  <c r="EV182" i="10"/>
  <c r="BD182" i="10" s="1"/>
  <c r="ES182" i="10"/>
  <c r="BA182" i="10" s="1"/>
  <c r="EH182" i="10"/>
  <c r="AP182" i="10" s="1"/>
  <c r="EW182" i="10"/>
  <c r="BE182" i="10" s="1"/>
  <c r="EX182" i="10"/>
  <c r="BF182" i="10" s="1"/>
  <c r="FC182" i="10"/>
  <c r="BK182" i="10" s="1"/>
  <c r="ET182" i="10"/>
  <c r="BB182" i="10" s="1"/>
  <c r="FD182" i="10"/>
  <c r="BL182" i="10" s="1"/>
  <c r="FG182" i="10"/>
  <c r="EJ182" i="10"/>
  <c r="AR182" i="10" s="1"/>
  <c r="FI182" i="10"/>
  <c r="FJ182" i="10"/>
  <c r="FL182" i="10"/>
  <c r="EM182" i="10"/>
  <c r="AU182" i="10" s="1"/>
  <c r="ER182" i="10"/>
  <c r="AZ182" i="10" s="1"/>
  <c r="EQ182" i="10"/>
  <c r="AY182" i="10" s="1"/>
  <c r="EG182" i="10"/>
  <c r="EK182" i="10"/>
  <c r="AS182" i="10" s="1"/>
  <c r="EN182" i="10"/>
  <c r="AV182" i="10" s="1"/>
  <c r="EZ182" i="10"/>
  <c r="BH182" i="10" s="1"/>
  <c r="FA182" i="10"/>
  <c r="BI182" i="10" s="1"/>
  <c r="FH182" i="10"/>
  <c r="EO182" i="10"/>
  <c r="AW182" i="10" s="1"/>
  <c r="EL182" i="10"/>
  <c r="AT182" i="10" s="1"/>
  <c r="BP182" i="10"/>
  <c r="EP182" i="10"/>
  <c r="AX182" i="10" s="1"/>
  <c r="EY182" i="10"/>
  <c r="BG182" i="10" s="1"/>
  <c r="EU182" i="10"/>
  <c r="BC182" i="10" s="1"/>
  <c r="FB182" i="10"/>
  <c r="BJ182" i="10" s="1"/>
  <c r="EG178" i="10"/>
  <c r="ER178" i="10"/>
  <c r="AZ178" i="10" s="1"/>
  <c r="EH178" i="10"/>
  <c r="AP178" i="10" s="1"/>
  <c r="FF178" i="10"/>
  <c r="EK178" i="10"/>
  <c r="AS178" i="10" s="1"/>
  <c r="BP178" i="10"/>
  <c r="EP178" i="10"/>
  <c r="AX178" i="10" s="1"/>
  <c r="EL178" i="10"/>
  <c r="AT178" i="10" s="1"/>
  <c r="FK178" i="10"/>
  <c r="EV178" i="10"/>
  <c r="BD178" i="10" s="1"/>
  <c r="FB178" i="10"/>
  <c r="BJ178" i="10" s="1"/>
  <c r="FD178" i="10"/>
  <c r="BL178" i="10" s="1"/>
  <c r="FG178" i="10"/>
  <c r="EO178" i="10"/>
  <c r="AW178" i="10" s="1"/>
  <c r="FC178" i="10"/>
  <c r="BK178" i="10" s="1"/>
  <c r="FI178" i="10"/>
  <c r="EZ178" i="10"/>
  <c r="BH178" i="10" s="1"/>
  <c r="EJ178" i="10"/>
  <c r="AR178" i="10" s="1"/>
  <c r="EI178" i="10"/>
  <c r="AQ178" i="10" s="1"/>
  <c r="EQ178" i="10"/>
  <c r="AY178" i="10" s="1"/>
  <c r="FJ178" i="10"/>
  <c r="FH178" i="10"/>
  <c r="EU178" i="10"/>
  <c r="BC178" i="10" s="1"/>
  <c r="EX178" i="10"/>
  <c r="BF178" i="10" s="1"/>
  <c r="EY178" i="10"/>
  <c r="BG178" i="10" s="1"/>
  <c r="EM178" i="10"/>
  <c r="AU178" i="10" s="1"/>
  <c r="ET178" i="10"/>
  <c r="BB178" i="10" s="1"/>
  <c r="EN178" i="10"/>
  <c r="AV178" i="10" s="1"/>
  <c r="FL178" i="10"/>
  <c r="FE178" i="10"/>
  <c r="BM178" i="10" s="1"/>
  <c r="ES178" i="10"/>
  <c r="BA178" i="10" s="1"/>
  <c r="FA178" i="10"/>
  <c r="BI178" i="10" s="1"/>
  <c r="EW178" i="10"/>
  <c r="BE178" i="10" s="1"/>
  <c r="DS191" i="10"/>
  <c r="Y191" i="10" s="1"/>
  <c r="DT191" i="10"/>
  <c r="Z191" i="10" s="1"/>
  <c r="DV191" i="10"/>
  <c r="AB191" i="10" s="1"/>
  <c r="EE191" i="10"/>
  <c r="AK191" i="10" s="1"/>
  <c r="DZ191" i="10"/>
  <c r="AF191" i="10" s="1"/>
  <c r="ED191" i="10"/>
  <c r="AJ191" i="10" s="1"/>
  <c r="FJ194" i="10"/>
  <c r="EW194" i="10"/>
  <c r="BE194" i="10" s="1"/>
  <c r="FK194" i="10"/>
  <c r="EZ194" i="10"/>
  <c r="BH194" i="10" s="1"/>
  <c r="FC194" i="10"/>
  <c r="BK194" i="10" s="1"/>
  <c r="EX194" i="10"/>
  <c r="BF194" i="10" s="1"/>
  <c r="EU194" i="10"/>
  <c r="BC194" i="10" s="1"/>
  <c r="EM194" i="10"/>
  <c r="AU194" i="10" s="1"/>
  <c r="EJ194" i="10"/>
  <c r="AR194" i="10" s="1"/>
  <c r="ET194" i="10"/>
  <c r="BB194" i="10" s="1"/>
  <c r="EP194" i="10"/>
  <c r="AX194" i="10" s="1"/>
  <c r="FI194" i="10"/>
  <c r="FF194" i="10"/>
  <c r="EI194" i="10"/>
  <c r="AQ194" i="10" s="1"/>
  <c r="FB194" i="10"/>
  <c r="BJ194" i="10" s="1"/>
  <c r="EV194" i="10"/>
  <c r="BD194" i="10" s="1"/>
  <c r="EG194" i="10"/>
  <c r="FE194" i="10"/>
  <c r="BM194" i="10" s="1"/>
  <c r="EN194" i="10"/>
  <c r="AV194" i="10" s="1"/>
  <c r="FG194" i="10"/>
  <c r="ES194" i="10"/>
  <c r="BA194" i="10" s="1"/>
  <c r="EK194" i="10"/>
  <c r="AS194" i="10" s="1"/>
  <c r="FA194" i="10"/>
  <c r="BI194" i="10" s="1"/>
  <c r="EO194" i="10"/>
  <c r="AW194" i="10" s="1"/>
  <c r="EH194" i="10"/>
  <c r="AP194" i="10" s="1"/>
  <c r="BP194" i="10"/>
  <c r="EL194" i="10"/>
  <c r="AT194" i="10" s="1"/>
  <c r="EQ194" i="10"/>
  <c r="AY194" i="10" s="1"/>
  <c r="FH194" i="10"/>
  <c r="EY194" i="10"/>
  <c r="BG194" i="10" s="1"/>
  <c r="ER194" i="10"/>
  <c r="AZ194" i="10" s="1"/>
  <c r="FL194" i="10"/>
  <c r="FD194" i="10"/>
  <c r="BL194" i="10" s="1"/>
  <c r="AD84" i="14"/>
  <c r="DR225" i="10"/>
  <c r="DK225" i="10"/>
  <c r="DU225" i="10"/>
  <c r="ED225" i="10"/>
  <c r="DQ225" i="10"/>
  <c r="A86" i="14"/>
  <c r="CE86" i="14" s="1"/>
  <c r="BH84" i="14"/>
  <c r="T84" i="14"/>
  <c r="W84" i="14"/>
  <c r="BK84" i="14"/>
  <c r="AO84" i="14"/>
  <c r="AL84" i="14"/>
  <c r="BB84" i="14"/>
  <c r="AF84" i="14"/>
  <c r="BJ84" i="14"/>
  <c r="X84" i="14"/>
  <c r="AP84" i="14"/>
  <c r="BF84" i="14"/>
  <c r="S84" i="14"/>
  <c r="AK84" i="14"/>
  <c r="AE84" i="14"/>
  <c r="V84" i="14"/>
  <c r="AY84" i="14"/>
  <c r="BE84" i="14"/>
  <c r="BG84" i="14"/>
  <c r="Z84" i="14"/>
  <c r="AV84" i="14"/>
  <c r="BD84" i="14"/>
  <c r="AW84" i="14"/>
  <c r="AC84" i="14"/>
  <c r="AQ84" i="14"/>
  <c r="BI84" i="14"/>
  <c r="U84" i="14"/>
  <c r="R84" i="14"/>
  <c r="BM84" i="14"/>
  <c r="AB84" i="14"/>
  <c r="AU84" i="14"/>
  <c r="AZ84" i="14"/>
  <c r="DP84" i="14"/>
  <c r="ES84" i="14"/>
  <c r="DY84" i="14"/>
  <c r="DE84" i="14"/>
  <c r="DB84" i="14"/>
  <c r="CW84" i="14"/>
  <c r="DI84" i="14"/>
  <c r="EC84" i="14"/>
  <c r="EA84" i="14"/>
  <c r="ER84" i="14"/>
  <c r="EB84" i="14"/>
  <c r="CY84" i="14"/>
  <c r="EG84" i="14"/>
  <c r="DS84" i="14"/>
  <c r="EE84" i="14"/>
  <c r="EI84" i="14"/>
  <c r="ED84" i="14"/>
  <c r="DD84" i="14"/>
  <c r="EH84" i="14"/>
  <c r="CX84" i="14"/>
  <c r="EP84" i="14"/>
  <c r="DZ84" i="14"/>
  <c r="EK84" i="14"/>
  <c r="CZ84" i="14"/>
  <c r="DW84" i="14"/>
  <c r="EF84" i="14"/>
  <c r="DT84" i="14"/>
  <c r="EQ84" i="14"/>
  <c r="DK84" i="14"/>
  <c r="DL84" i="14"/>
  <c r="EL84" i="14"/>
  <c r="DV84" i="14"/>
  <c r="BO84" i="14"/>
  <c r="G84" i="14" s="1"/>
  <c r="DQ84" i="14"/>
  <c r="DA84" i="14"/>
  <c r="DN84" i="14"/>
  <c r="EO84" i="14"/>
  <c r="EJ84" i="14"/>
  <c r="DG84" i="14"/>
  <c r="DH84" i="14"/>
  <c r="DJ84" i="14"/>
  <c r="CV84" i="14"/>
  <c r="DF84" i="14"/>
  <c r="DM84" i="14"/>
  <c r="DC84" i="14"/>
  <c r="EN84" i="14"/>
  <c r="DO84" i="14"/>
  <c r="EM84" i="14"/>
  <c r="DU84" i="14"/>
  <c r="DX84" i="14"/>
  <c r="A74" i="40"/>
  <c r="CB85" i="14"/>
  <c r="BV85" i="14" s="1"/>
  <c r="C85" i="14"/>
  <c r="BP85" i="14"/>
  <c r="B85" i="14"/>
  <c r="M85" i="14" s="1"/>
  <c r="C74" i="40" s="1"/>
  <c r="E74" i="40" s="1"/>
  <c r="P85" i="14"/>
  <c r="BQ85" i="14"/>
  <c r="D85" i="14"/>
  <c r="CG85" i="14"/>
  <c r="BX85" i="14"/>
  <c r="AA84" i="14"/>
  <c r="AR84" i="14"/>
  <c r="Y84" i="14"/>
  <c r="AX84" i="14"/>
  <c r="AT84" i="14"/>
  <c r="BY227" i="10"/>
  <c r="GW101" i="7"/>
  <c r="GU102" i="7"/>
  <c r="GV102" i="7"/>
  <c r="N63" i="24"/>
  <c r="G227" i="10"/>
  <c r="F227" i="10"/>
  <c r="BX227" i="10"/>
  <c r="C226" i="10"/>
  <c r="GX101" i="7" l="1"/>
  <c r="F31" i="38"/>
  <c r="E31" i="38"/>
  <c r="A30" i="38"/>
  <c r="B30" i="38" s="1"/>
  <c r="C30" i="38"/>
  <c r="U64" i="24"/>
  <c r="V64" i="24" s="1"/>
  <c r="C33" i="42"/>
  <c r="A33" i="42"/>
  <c r="B33" i="42" s="1"/>
  <c r="F34" i="42"/>
  <c r="E34" i="42"/>
  <c r="DR191" i="10"/>
  <c r="X191" i="10" s="1"/>
  <c r="DO191" i="10"/>
  <c r="U191" i="10" s="1"/>
  <c r="EQ222" i="10"/>
  <c r="AY222" i="10" s="1"/>
  <c r="DY191" i="10"/>
  <c r="AE191" i="10" s="1"/>
  <c r="DM191" i="10"/>
  <c r="S191" i="10" s="1"/>
  <c r="DX191" i="10"/>
  <c r="AD191" i="10" s="1"/>
  <c r="DL191" i="10"/>
  <c r="R191" i="10" s="1"/>
  <c r="DW191" i="10"/>
  <c r="AC191" i="10" s="1"/>
  <c r="DQ191" i="10"/>
  <c r="W191" i="10" s="1"/>
  <c r="EC191" i="10"/>
  <c r="AI191" i="10" s="1"/>
  <c r="EB191" i="10"/>
  <c r="AH191" i="10" s="1"/>
  <c r="DU191" i="10"/>
  <c r="AA191" i="10" s="1"/>
  <c r="EA191" i="10"/>
  <c r="AG191" i="10" s="1"/>
  <c r="DN191" i="10"/>
  <c r="T191" i="10" s="1"/>
  <c r="DJ191" i="10"/>
  <c r="P191" i="10" s="1"/>
  <c r="DK191" i="10"/>
  <c r="Q191" i="10" s="1"/>
  <c r="EU222" i="10"/>
  <c r="BC222" i="10" s="1"/>
  <c r="FI222" i="10"/>
  <c r="DK182" i="10"/>
  <c r="Q182" i="10" s="1"/>
  <c r="EO207" i="10"/>
  <c r="AW207" i="10" s="1"/>
  <c r="FF177" i="10"/>
  <c r="DS182" i="10"/>
  <c r="Y182" i="10" s="1"/>
  <c r="DV182" i="10"/>
  <c r="AB182" i="10" s="1"/>
  <c r="EO186" i="10"/>
  <c r="AW186" i="10" s="1"/>
  <c r="EY207" i="10"/>
  <c r="BG207" i="10" s="1"/>
  <c r="EI186" i="10"/>
  <c r="AQ186" i="10" s="1"/>
  <c r="ED182" i="10"/>
  <c r="AJ182" i="10" s="1"/>
  <c r="DY182" i="10"/>
  <c r="AE182" i="10" s="1"/>
  <c r="FG177" i="10"/>
  <c r="FK207" i="10"/>
  <c r="FA222" i="10"/>
  <c r="BI222" i="10" s="1"/>
  <c r="EY222" i="10"/>
  <c r="BG222" i="10" s="1"/>
  <c r="FC222" i="10"/>
  <c r="BK222" i="10" s="1"/>
  <c r="FI201" i="10"/>
  <c r="FE189" i="10"/>
  <c r="BM189" i="10" s="1"/>
  <c r="EN210" i="10"/>
  <c r="AV210" i="10" s="1"/>
  <c r="EM201" i="10"/>
  <c r="AU201" i="10" s="1"/>
  <c r="FK201" i="10"/>
  <c r="EU201" i="10"/>
  <c r="BC201" i="10" s="1"/>
  <c r="AO210" i="10"/>
  <c r="FG210" i="10"/>
  <c r="EH210" i="10"/>
  <c r="AP210" i="10" s="1"/>
  <c r="EM210" i="10"/>
  <c r="AU210" i="10" s="1"/>
  <c r="EL210" i="10"/>
  <c r="AT210" i="10" s="1"/>
  <c r="FF189" i="10"/>
  <c r="EO201" i="10"/>
  <c r="AW201" i="10" s="1"/>
  <c r="EQ201" i="10"/>
  <c r="AY201" i="10" s="1"/>
  <c r="EI201" i="10"/>
  <c r="AQ201" i="10" s="1"/>
  <c r="EJ210" i="10"/>
  <c r="AR210" i="10" s="1"/>
  <c r="ES210" i="10"/>
  <c r="BA210" i="10" s="1"/>
  <c r="EZ210" i="10"/>
  <c r="BH210" i="10" s="1"/>
  <c r="EP201" i="10"/>
  <c r="AX201" i="10" s="1"/>
  <c r="EK201" i="10"/>
  <c r="AS201" i="10" s="1"/>
  <c r="EQ210" i="10"/>
  <c r="AY210" i="10" s="1"/>
  <c r="EP204" i="10"/>
  <c r="AX204" i="10" s="1"/>
  <c r="EY202" i="10"/>
  <c r="BG202" i="10" s="1"/>
  <c r="FG202" i="10"/>
  <c r="EN204" i="10"/>
  <c r="AV204" i="10" s="1"/>
  <c r="EV202" i="10"/>
  <c r="BD202" i="10" s="1"/>
  <c r="EJ217" i="10"/>
  <c r="AR217" i="10" s="1"/>
  <c r="FI208" i="10"/>
  <c r="EU204" i="10"/>
  <c r="BC204" i="10" s="1"/>
  <c r="EH204" i="10"/>
  <c r="AP204" i="10" s="1"/>
  <c r="FE202" i="10"/>
  <c r="BM202" i="10" s="1"/>
  <c r="ET202" i="10"/>
  <c r="BB202" i="10" s="1"/>
  <c r="FJ202" i="10"/>
  <c r="EZ202" i="10"/>
  <c r="BH202" i="10" s="1"/>
  <c r="FD217" i="10"/>
  <c r="BL217" i="10" s="1"/>
  <c r="EL208" i="10"/>
  <c r="AT208" i="10" s="1"/>
  <c r="EO204" i="10"/>
  <c r="AW204" i="10" s="1"/>
  <c r="EI204" i="10"/>
  <c r="AQ204" i="10" s="1"/>
  <c r="EQ202" i="10"/>
  <c r="AY202" i="10" s="1"/>
  <c r="EW202" i="10"/>
  <c r="BE202" i="10" s="1"/>
  <c r="FC183" i="10"/>
  <c r="BK183" i="10" s="1"/>
  <c r="EG204" i="10"/>
  <c r="AM204" i="10" s="1"/>
  <c r="CO204" i="10" s="1"/>
  <c r="EL204" i="10"/>
  <c r="AT204" i="10" s="1"/>
  <c r="EG201" i="10"/>
  <c r="AO201" i="10" s="1"/>
  <c r="EL201" i="10"/>
  <c r="AT201" i="10" s="1"/>
  <c r="EX201" i="10"/>
  <c r="BF201" i="10" s="1"/>
  <c r="FF201" i="10"/>
  <c r="ET201" i="10"/>
  <c r="BB201" i="10" s="1"/>
  <c r="EJ201" i="10"/>
  <c r="AR201" i="10" s="1"/>
  <c r="FE201" i="10"/>
  <c r="BM201" i="10" s="1"/>
  <c r="FH201" i="10"/>
  <c r="EV204" i="10"/>
  <c r="BD204" i="10" s="1"/>
  <c r="EW204" i="10"/>
  <c r="BE204" i="10" s="1"/>
  <c r="FF204" i="10"/>
  <c r="EX204" i="10"/>
  <c r="BF204" i="10" s="1"/>
  <c r="FD204" i="10"/>
  <c r="BL204" i="10" s="1"/>
  <c r="EK204" i="10"/>
  <c r="AS204" i="10" s="1"/>
  <c r="ER204" i="10"/>
  <c r="AZ204" i="10" s="1"/>
  <c r="FG204" i="10"/>
  <c r="BP204" i="10"/>
  <c r="EM202" i="10"/>
  <c r="AU202" i="10" s="1"/>
  <c r="ER202" i="10"/>
  <c r="AZ202" i="10" s="1"/>
  <c r="EJ202" i="10"/>
  <c r="AR202" i="10" s="1"/>
  <c r="FD202" i="10"/>
  <c r="BL202" i="10" s="1"/>
  <c r="ES202" i="10"/>
  <c r="BA202" i="10" s="1"/>
  <c r="FL202" i="10"/>
  <c r="FF202" i="10"/>
  <c r="EK202" i="10"/>
  <c r="AS202" i="10" s="1"/>
  <c r="FD210" i="10"/>
  <c r="BL210" i="10" s="1"/>
  <c r="FB210" i="10"/>
  <c r="BJ210" i="10" s="1"/>
  <c r="EO210" i="10"/>
  <c r="AW210" i="10" s="1"/>
  <c r="FJ210" i="10"/>
  <c r="EX210" i="10"/>
  <c r="BF210" i="10" s="1"/>
  <c r="EK210" i="10"/>
  <c r="AS210" i="10" s="1"/>
  <c r="FE210" i="10"/>
  <c r="BM210" i="10" s="1"/>
  <c r="FC210" i="10"/>
  <c r="BK210" i="10" s="1"/>
  <c r="EY210" i="10"/>
  <c r="BG210" i="10" s="1"/>
  <c r="EI189" i="10"/>
  <c r="AQ189" i="10" s="1"/>
  <c r="EN201" i="10"/>
  <c r="AV201" i="10" s="1"/>
  <c r="FL201" i="10"/>
  <c r="EY201" i="10"/>
  <c r="BG201" i="10" s="1"/>
  <c r="EW201" i="10"/>
  <c r="BE201" i="10" s="1"/>
  <c r="EV201" i="10"/>
  <c r="BD201" i="10" s="1"/>
  <c r="FC201" i="10"/>
  <c r="BK201" i="10" s="1"/>
  <c r="FA201" i="10"/>
  <c r="BI201" i="10" s="1"/>
  <c r="FJ201" i="10"/>
  <c r="ES204" i="10"/>
  <c r="BA204" i="10" s="1"/>
  <c r="FL204" i="10"/>
  <c r="FA204" i="10"/>
  <c r="BI204" i="10" s="1"/>
  <c r="ET204" i="10"/>
  <c r="BB204" i="10" s="1"/>
  <c r="EY204" i="10"/>
  <c r="BG204" i="10" s="1"/>
  <c r="FH204" i="10"/>
  <c r="EJ204" i="10"/>
  <c r="AR204" i="10" s="1"/>
  <c r="EZ204" i="10"/>
  <c r="BH204" i="10" s="1"/>
  <c r="FK202" i="10"/>
  <c r="EO202" i="10"/>
  <c r="AW202" i="10" s="1"/>
  <c r="EX202" i="10"/>
  <c r="BF202" i="10" s="1"/>
  <c r="EN202" i="10"/>
  <c r="AV202" i="10" s="1"/>
  <c r="EL202" i="10"/>
  <c r="AT202" i="10" s="1"/>
  <c r="FB202" i="10"/>
  <c r="BJ202" i="10" s="1"/>
  <c r="FA202" i="10"/>
  <c r="BI202" i="10" s="1"/>
  <c r="FK210" i="10"/>
  <c r="FH210" i="10"/>
  <c r="FF210" i="10"/>
  <c r="EU210" i="10"/>
  <c r="BC210" i="10" s="1"/>
  <c r="FL210" i="10"/>
  <c r="FI210" i="10"/>
  <c r="FA210" i="10"/>
  <c r="BI210" i="10" s="1"/>
  <c r="EV189" i="10"/>
  <c r="BD189" i="10" s="1"/>
  <c r="EP189" i="10"/>
  <c r="AX189" i="10" s="1"/>
  <c r="EG189" i="10"/>
  <c r="AM189" i="10" s="1"/>
  <c r="EH201" i="10"/>
  <c r="AP201" i="10" s="1"/>
  <c r="ER201" i="10"/>
  <c r="AZ201" i="10" s="1"/>
  <c r="ES201" i="10"/>
  <c r="BA201" i="10" s="1"/>
  <c r="FD201" i="10"/>
  <c r="BL201" i="10" s="1"/>
  <c r="BP201" i="10"/>
  <c r="EZ201" i="10"/>
  <c r="BH201" i="10" s="1"/>
  <c r="FG201" i="10"/>
  <c r="EM204" i="10"/>
  <c r="AU204" i="10" s="1"/>
  <c r="FI204" i="10"/>
  <c r="FB204" i="10"/>
  <c r="BJ204" i="10" s="1"/>
  <c r="FE204" i="10"/>
  <c r="BM204" i="10" s="1"/>
  <c r="FC204" i="10"/>
  <c r="BK204" i="10" s="1"/>
  <c r="FJ204" i="10"/>
  <c r="FK204" i="10"/>
  <c r="EH202" i="10"/>
  <c r="AP202" i="10" s="1"/>
  <c r="EI202" i="10"/>
  <c r="AQ202" i="10" s="1"/>
  <c r="FC202" i="10"/>
  <c r="BK202" i="10" s="1"/>
  <c r="EG202" i="10"/>
  <c r="AO202" i="10" s="1"/>
  <c r="EU202" i="10"/>
  <c r="BC202" i="10" s="1"/>
  <c r="FI202" i="10"/>
  <c r="EP202" i="10"/>
  <c r="AX202" i="10" s="1"/>
  <c r="ER210" i="10"/>
  <c r="AZ210" i="10" s="1"/>
  <c r="EW210" i="10"/>
  <c r="BE210" i="10" s="1"/>
  <c r="ET210" i="10"/>
  <c r="BB210" i="10" s="1"/>
  <c r="EI210" i="10"/>
  <c r="AQ210" i="10" s="1"/>
  <c r="EP210" i="10"/>
  <c r="AX210" i="10" s="1"/>
  <c r="EV210" i="10"/>
  <c r="BD210" i="10" s="1"/>
  <c r="BP202" i="10"/>
  <c r="BP210" i="10"/>
  <c r="EB182" i="10"/>
  <c r="AH182" i="10" s="1"/>
  <c r="DJ182" i="10"/>
  <c r="P182" i="10" s="1"/>
  <c r="DW182" i="10"/>
  <c r="AC182" i="10" s="1"/>
  <c r="DR182" i="10"/>
  <c r="X182" i="10" s="1"/>
  <c r="DX182" i="10"/>
  <c r="AD182" i="10" s="1"/>
  <c r="EE182" i="10"/>
  <c r="AK182" i="10" s="1"/>
  <c r="FB186" i="10"/>
  <c r="BJ186" i="10" s="1"/>
  <c r="EM186" i="10"/>
  <c r="AU186" i="10" s="1"/>
  <c r="BP177" i="10"/>
  <c r="FC177" i="10"/>
  <c r="BK177" i="10" s="1"/>
  <c r="EU207" i="10"/>
  <c r="BC207" i="10" s="1"/>
  <c r="EW207" i="10"/>
  <c r="BE207" i="10" s="1"/>
  <c r="ET213" i="10"/>
  <c r="BB213" i="10" s="1"/>
  <c r="EC182" i="10"/>
  <c r="AI182" i="10" s="1"/>
  <c r="EA182" i="10"/>
  <c r="AG182" i="10" s="1"/>
  <c r="DQ182" i="10"/>
  <c r="W182" i="10" s="1"/>
  <c r="DU182" i="10"/>
  <c r="AA182" i="10" s="1"/>
  <c r="DT182" i="10"/>
  <c r="Z182" i="10" s="1"/>
  <c r="DM182" i="10"/>
  <c r="S182" i="10" s="1"/>
  <c r="EQ186" i="10"/>
  <c r="AY186" i="10" s="1"/>
  <c r="ER186" i="10"/>
  <c r="AZ186" i="10" s="1"/>
  <c r="FL177" i="10"/>
  <c r="ES177" i="10"/>
  <c r="BA177" i="10" s="1"/>
  <c r="FE207" i="10"/>
  <c r="BM207" i="10" s="1"/>
  <c r="FG207" i="10"/>
  <c r="DL182" i="10"/>
  <c r="R182" i="10" s="1"/>
  <c r="DP182" i="10"/>
  <c r="V182" i="10" s="1"/>
  <c r="DO182" i="10"/>
  <c r="U182" i="10" s="1"/>
  <c r="DN182" i="10"/>
  <c r="T182" i="10" s="1"/>
  <c r="EZ186" i="10"/>
  <c r="BH186" i="10" s="1"/>
  <c r="FC186" i="10"/>
  <c r="BK186" i="10" s="1"/>
  <c r="FJ177" i="10"/>
  <c r="EZ177" i="10"/>
  <c r="BH177" i="10" s="1"/>
  <c r="EZ207" i="10"/>
  <c r="BH207" i="10" s="1"/>
  <c r="EI207" i="10"/>
  <c r="AQ207" i="10" s="1"/>
  <c r="EO217" i="10"/>
  <c r="AW217" i="10" s="1"/>
  <c r="EX217" i="10"/>
  <c r="BF217" i="10" s="1"/>
  <c r="BP215" i="10"/>
  <c r="EV208" i="10"/>
  <c r="BD208" i="10" s="1"/>
  <c r="BP208" i="10"/>
  <c r="EI217" i="10"/>
  <c r="AQ217" i="10" s="1"/>
  <c r="FH217" i="10"/>
  <c r="FF208" i="10"/>
  <c r="FE208" i="10"/>
  <c r="BM208" i="10" s="1"/>
  <c r="FH183" i="10"/>
  <c r="EG217" i="10"/>
  <c r="AM217" i="10" s="1"/>
  <c r="CO217" i="10" s="1"/>
  <c r="EP217" i="10"/>
  <c r="AX217" i="10" s="1"/>
  <c r="FK208" i="10"/>
  <c r="FL208" i="10"/>
  <c r="EU183" i="10"/>
  <c r="BC183" i="10" s="1"/>
  <c r="EV183" i="10"/>
  <c r="BD183" i="10" s="1"/>
  <c r="BP217" i="10"/>
  <c r="FJ217" i="10"/>
  <c r="EN217" i="10"/>
  <c r="AV217" i="10" s="1"/>
  <c r="FL217" i="10"/>
  <c r="FC217" i="10"/>
  <c r="BK217" i="10" s="1"/>
  <c r="FA217" i="10"/>
  <c r="BI217" i="10" s="1"/>
  <c r="EZ217" i="10"/>
  <c r="BH217" i="10" s="1"/>
  <c r="ER217" i="10"/>
  <c r="AZ217" i="10" s="1"/>
  <c r="FI217" i="10"/>
  <c r="FL200" i="10"/>
  <c r="EQ208" i="10"/>
  <c r="AY208" i="10" s="1"/>
  <c r="FG208" i="10"/>
  <c r="EJ208" i="10"/>
  <c r="AR208" i="10" s="1"/>
  <c r="EZ208" i="10"/>
  <c r="BH208" i="10" s="1"/>
  <c r="FD208" i="10"/>
  <c r="BL208" i="10" s="1"/>
  <c r="EN208" i="10"/>
  <c r="AV208" i="10" s="1"/>
  <c r="EG208" i="10"/>
  <c r="AM208" i="10" s="1"/>
  <c r="CO208" i="10" s="1"/>
  <c r="EO208" i="10"/>
  <c r="AW208" i="10" s="1"/>
  <c r="EW208" i="10"/>
  <c r="BE208" i="10" s="1"/>
  <c r="CO189" i="10"/>
  <c r="CO210" i="10"/>
  <c r="ES183" i="10"/>
  <c r="BA183" i="10" s="1"/>
  <c r="FB183" i="10"/>
  <c r="BJ183" i="10" s="1"/>
  <c r="FB217" i="10"/>
  <c r="BJ217" i="10" s="1"/>
  <c r="EV217" i="10"/>
  <c r="BD217" i="10" s="1"/>
  <c r="EU217" i="10"/>
  <c r="BC217" i="10" s="1"/>
  <c r="EW217" i="10"/>
  <c r="BE217" i="10" s="1"/>
  <c r="EQ217" i="10"/>
  <c r="AY217" i="10" s="1"/>
  <c r="EK217" i="10"/>
  <c r="AS217" i="10" s="1"/>
  <c r="FE217" i="10"/>
  <c r="BM217" i="10" s="1"/>
  <c r="ES217" i="10"/>
  <c r="BA217" i="10" s="1"/>
  <c r="FF200" i="10"/>
  <c r="ES208" i="10"/>
  <c r="BA208" i="10" s="1"/>
  <c r="EK208" i="10"/>
  <c r="AS208" i="10" s="1"/>
  <c r="FC208" i="10"/>
  <c r="BK208" i="10" s="1"/>
  <c r="FH208" i="10"/>
  <c r="EX208" i="10"/>
  <c r="BF208" i="10" s="1"/>
  <c r="ER208" i="10"/>
  <c r="AZ208" i="10" s="1"/>
  <c r="EI208" i="10"/>
  <c r="AQ208" i="10" s="1"/>
  <c r="FJ208" i="10"/>
  <c r="EH183" i="10"/>
  <c r="AP183" i="10" s="1"/>
  <c r="FG183" i="10"/>
  <c r="EH217" i="10"/>
  <c r="AP217" i="10" s="1"/>
  <c r="EM217" i="10"/>
  <c r="AU217" i="10" s="1"/>
  <c r="FK217" i="10"/>
  <c r="EY217" i="10"/>
  <c r="BG217" i="10" s="1"/>
  <c r="EL217" i="10"/>
  <c r="AT217" i="10" s="1"/>
  <c r="FG217" i="10"/>
  <c r="FF217" i="10"/>
  <c r="FB215" i="10"/>
  <c r="BJ215" i="10" s="1"/>
  <c r="EM208" i="10"/>
  <c r="AU208" i="10" s="1"/>
  <c r="FA208" i="10"/>
  <c r="BI208" i="10" s="1"/>
  <c r="EP208" i="10"/>
  <c r="AX208" i="10" s="1"/>
  <c r="EU208" i="10"/>
  <c r="BC208" i="10" s="1"/>
  <c r="ET208" i="10"/>
  <c r="BB208" i="10" s="1"/>
  <c r="EY208" i="10"/>
  <c r="BG208" i="10" s="1"/>
  <c r="FB208" i="10"/>
  <c r="BJ208" i="10" s="1"/>
  <c r="FL222" i="10"/>
  <c r="EI222" i="10"/>
  <c r="AQ222" i="10" s="1"/>
  <c r="ES222" i="10"/>
  <c r="BA222" i="10" s="1"/>
  <c r="FE222" i="10"/>
  <c r="BM222" i="10" s="1"/>
  <c r="EZ222" i="10"/>
  <c r="BH222" i="10" s="1"/>
  <c r="FK222" i="10"/>
  <c r="ER222" i="10"/>
  <c r="AZ222" i="10" s="1"/>
  <c r="ET222" i="10"/>
  <c r="BB222" i="10" s="1"/>
  <c r="FF222" i="10"/>
  <c r="FJ222" i="10"/>
  <c r="FB222" i="10"/>
  <c r="BJ222" i="10" s="1"/>
  <c r="EM222" i="10"/>
  <c r="AU222" i="10" s="1"/>
  <c r="EJ222" i="10"/>
  <c r="AR222" i="10" s="1"/>
  <c r="FD222" i="10"/>
  <c r="BL222" i="10" s="1"/>
  <c r="BP222" i="10"/>
  <c r="EL222" i="10"/>
  <c r="AT222" i="10" s="1"/>
  <c r="EX222" i="10"/>
  <c r="BF222" i="10" s="1"/>
  <c r="EH222" i="10"/>
  <c r="AP222" i="10" s="1"/>
  <c r="EQ211" i="10"/>
  <c r="AY211" i="10" s="1"/>
  <c r="FC199" i="10"/>
  <c r="BK199" i="10" s="1"/>
  <c r="EV186" i="10"/>
  <c r="BD186" i="10" s="1"/>
  <c r="ET186" i="10"/>
  <c r="BB186" i="10" s="1"/>
  <c r="EN186" i="10"/>
  <c r="AV186" i="10" s="1"/>
  <c r="FI186" i="10"/>
  <c r="FK186" i="10"/>
  <c r="EJ186" i="10"/>
  <c r="AR186" i="10" s="1"/>
  <c r="EW186" i="10"/>
  <c r="BE186" i="10" s="1"/>
  <c r="EH186" i="10"/>
  <c r="AP186" i="10" s="1"/>
  <c r="FA177" i="10"/>
  <c r="BI177" i="10" s="1"/>
  <c r="ER177" i="10"/>
  <c r="AZ177" i="10" s="1"/>
  <c r="EI177" i="10"/>
  <c r="AQ177" i="10" s="1"/>
  <c r="EG177" i="10"/>
  <c r="AO177" i="10" s="1"/>
  <c r="FE177" i="10"/>
  <c r="BM177" i="10" s="1"/>
  <c r="EP177" i="10"/>
  <c r="AX177" i="10" s="1"/>
  <c r="EV177" i="10"/>
  <c r="BD177" i="10" s="1"/>
  <c r="EJ177" i="10"/>
  <c r="AR177" i="10" s="1"/>
  <c r="FH207" i="10"/>
  <c r="EL207" i="10"/>
  <c r="AT207" i="10" s="1"/>
  <c r="ER207" i="10"/>
  <c r="AZ207" i="10" s="1"/>
  <c r="EG207" i="10"/>
  <c r="AM207" i="10" s="1"/>
  <c r="CO207" i="10" s="1"/>
  <c r="FF207" i="10"/>
  <c r="FI207" i="10"/>
  <c r="EN207" i="10"/>
  <c r="AV207" i="10" s="1"/>
  <c r="FJ186" i="10"/>
  <c r="EY186" i="10"/>
  <c r="BG186" i="10" s="1"/>
  <c r="FH186" i="10"/>
  <c r="FF186" i="10"/>
  <c r="FA186" i="10"/>
  <c r="BI186" i="10" s="1"/>
  <c r="FL186" i="10"/>
  <c r="EL186" i="10"/>
  <c r="AT186" i="10" s="1"/>
  <c r="EU186" i="10"/>
  <c r="BC186" i="10" s="1"/>
  <c r="FE186" i="10"/>
  <c r="BM186" i="10" s="1"/>
  <c r="EO177" i="10"/>
  <c r="AW177" i="10" s="1"/>
  <c r="EU177" i="10"/>
  <c r="BC177" i="10" s="1"/>
  <c r="FH177" i="10"/>
  <c r="FD177" i="10"/>
  <c r="BL177" i="10" s="1"/>
  <c r="ET177" i="10"/>
  <c r="BB177" i="10" s="1"/>
  <c r="EK177" i="10"/>
  <c r="AS177" i="10" s="1"/>
  <c r="FK177" i="10"/>
  <c r="EM177" i="10"/>
  <c r="AU177" i="10" s="1"/>
  <c r="EK207" i="10"/>
  <c r="AS207" i="10" s="1"/>
  <c r="EX207" i="10"/>
  <c r="BF207" i="10" s="1"/>
  <c r="EH207" i="10"/>
  <c r="AP207" i="10" s="1"/>
  <c r="BP207" i="10"/>
  <c r="EQ207" i="10"/>
  <c r="AY207" i="10" s="1"/>
  <c r="EP207" i="10"/>
  <c r="AX207" i="10" s="1"/>
  <c r="ET207" i="10"/>
  <c r="BB207" i="10" s="1"/>
  <c r="FJ207" i="10"/>
  <c r="EO213" i="10"/>
  <c r="AW213" i="10" s="1"/>
  <c r="FD186" i="10"/>
  <c r="BL186" i="10" s="1"/>
  <c r="EP186" i="10"/>
  <c r="AX186" i="10" s="1"/>
  <c r="FG186" i="10"/>
  <c r="ES186" i="10"/>
  <c r="BA186" i="10" s="1"/>
  <c r="EG186" i="10"/>
  <c r="AO186" i="10" s="1"/>
  <c r="EK186" i="10"/>
  <c r="AS186" i="10" s="1"/>
  <c r="BP186" i="10"/>
  <c r="EL177" i="10"/>
  <c r="AT177" i="10" s="1"/>
  <c r="EN177" i="10"/>
  <c r="AV177" i="10" s="1"/>
  <c r="FI177" i="10"/>
  <c r="EX177" i="10"/>
  <c r="BF177" i="10" s="1"/>
  <c r="EY177" i="10"/>
  <c r="BG177" i="10" s="1"/>
  <c r="EW177" i="10"/>
  <c r="BE177" i="10" s="1"/>
  <c r="EH177" i="10"/>
  <c r="AP177" i="10" s="1"/>
  <c r="EQ177" i="10"/>
  <c r="AY177" i="10" s="1"/>
  <c r="EJ207" i="10"/>
  <c r="AR207" i="10" s="1"/>
  <c r="FL207" i="10"/>
  <c r="FA207" i="10"/>
  <c r="BI207" i="10" s="1"/>
  <c r="EM207" i="10"/>
  <c r="AU207" i="10" s="1"/>
  <c r="ES207" i="10"/>
  <c r="BA207" i="10" s="1"/>
  <c r="FD207" i="10"/>
  <c r="BL207" i="10" s="1"/>
  <c r="EV207" i="10"/>
  <c r="BD207" i="10" s="1"/>
  <c r="FB207" i="10"/>
  <c r="BJ207" i="10" s="1"/>
  <c r="EV222" i="10"/>
  <c r="BD222" i="10" s="1"/>
  <c r="FG222" i="10"/>
  <c r="EN222" i="10"/>
  <c r="AV222" i="10" s="1"/>
  <c r="FH222" i="10"/>
  <c r="EP222" i="10"/>
  <c r="AX222" i="10" s="1"/>
  <c r="EG222" i="10"/>
  <c r="AO222" i="10" s="1"/>
  <c r="EW222" i="10"/>
  <c r="BE222" i="10" s="1"/>
  <c r="EK222" i="10"/>
  <c r="AS222" i="10" s="1"/>
  <c r="FI213" i="10"/>
  <c r="EL213" i="10"/>
  <c r="AT213" i="10" s="1"/>
  <c r="FD213" i="10"/>
  <c r="BL213" i="10" s="1"/>
  <c r="EW213" i="10"/>
  <c r="BE213" i="10" s="1"/>
  <c r="EI213" i="10"/>
  <c r="AQ213" i="10" s="1"/>
  <c r="EQ213" i="10"/>
  <c r="AY213" i="10" s="1"/>
  <c r="FJ187" i="10"/>
  <c r="FF183" i="10"/>
  <c r="FK183" i="10"/>
  <c r="EM183" i="10"/>
  <c r="AU183" i="10" s="1"/>
  <c r="EJ183" i="10"/>
  <c r="AR183" i="10" s="1"/>
  <c r="FA183" i="10"/>
  <c r="BI183" i="10" s="1"/>
  <c r="ER183" i="10"/>
  <c r="AZ183" i="10" s="1"/>
  <c r="EZ183" i="10"/>
  <c r="BH183" i="10" s="1"/>
  <c r="ET183" i="10"/>
  <c r="BB183" i="10" s="1"/>
  <c r="BP200" i="10"/>
  <c r="FC200" i="10"/>
  <c r="BK200" i="10" s="1"/>
  <c r="ES215" i="10"/>
  <c r="BA215" i="10" s="1"/>
  <c r="EI215" i="10"/>
  <c r="AQ215" i="10" s="1"/>
  <c r="EY215" i="10"/>
  <c r="BG215" i="10" s="1"/>
  <c r="EX187" i="10"/>
  <c r="BF187" i="10" s="1"/>
  <c r="EX183" i="10"/>
  <c r="BF183" i="10" s="1"/>
  <c r="FE183" i="10"/>
  <c r="BM183" i="10" s="1"/>
  <c r="FL183" i="10"/>
  <c r="EI183" i="10"/>
  <c r="AQ183" i="10" s="1"/>
  <c r="BP183" i="10"/>
  <c r="EY183" i="10"/>
  <c r="BG183" i="10" s="1"/>
  <c r="FI183" i="10"/>
  <c r="EL183" i="10"/>
  <c r="AT183" i="10" s="1"/>
  <c r="FI200" i="10"/>
  <c r="EU200" i="10"/>
  <c r="BC200" i="10" s="1"/>
  <c r="EH215" i="10"/>
  <c r="AP215" i="10" s="1"/>
  <c r="FG215" i="10"/>
  <c r="FD183" i="10"/>
  <c r="BL183" i="10" s="1"/>
  <c r="EK183" i="10"/>
  <c r="AS183" i="10" s="1"/>
  <c r="FJ183" i="10"/>
  <c r="EG183" i="10"/>
  <c r="AO183" i="10" s="1"/>
  <c r="EN183" i="10"/>
  <c r="AV183" i="10" s="1"/>
  <c r="EW183" i="10"/>
  <c r="BE183" i="10" s="1"/>
  <c r="EP183" i="10"/>
  <c r="AX183" i="10" s="1"/>
  <c r="EO183" i="10"/>
  <c r="AW183" i="10" s="1"/>
  <c r="EL200" i="10"/>
  <c r="AT200" i="10" s="1"/>
  <c r="EG200" i="10"/>
  <c r="AM200" i="10" s="1"/>
  <c r="CO200" i="10" s="1"/>
  <c r="ET215" i="10"/>
  <c r="BB215" i="10" s="1"/>
  <c r="EO215" i="10"/>
  <c r="AW215" i="10" s="1"/>
  <c r="EH213" i="10"/>
  <c r="AP213" i="10" s="1"/>
  <c r="FL213" i="10"/>
  <c r="EK213" i="10"/>
  <c r="AS213" i="10" s="1"/>
  <c r="FH213" i="10"/>
  <c r="FE213" i="10"/>
  <c r="BM213" i="10" s="1"/>
  <c r="EZ213" i="10"/>
  <c r="BH213" i="10" s="1"/>
  <c r="EG213" i="10"/>
  <c r="AM213" i="10" s="1"/>
  <c r="CO213" i="10" s="1"/>
  <c r="FF213" i="10"/>
  <c r="ER213" i="10"/>
  <c r="AZ213" i="10" s="1"/>
  <c r="BP213" i="10"/>
  <c r="EP213" i="10"/>
  <c r="AX213" i="10" s="1"/>
  <c r="ES213" i="10"/>
  <c r="BA213" i="10" s="1"/>
  <c r="FJ213" i="10"/>
  <c r="FG213" i="10"/>
  <c r="EY213" i="10"/>
  <c r="BG213" i="10" s="1"/>
  <c r="EN213" i="10"/>
  <c r="AV213" i="10" s="1"/>
  <c r="EV213" i="10"/>
  <c r="BD213" i="10" s="1"/>
  <c r="FB213" i="10"/>
  <c r="BJ213" i="10" s="1"/>
  <c r="EJ213" i="10"/>
  <c r="AR213" i="10" s="1"/>
  <c r="FA213" i="10"/>
  <c r="BI213" i="10" s="1"/>
  <c r="EM213" i="10"/>
  <c r="AU213" i="10" s="1"/>
  <c r="FK213" i="10"/>
  <c r="FC213" i="10"/>
  <c r="BK213" i="10" s="1"/>
  <c r="EU213" i="10"/>
  <c r="BC213" i="10" s="1"/>
  <c r="ES193" i="10"/>
  <c r="BA193" i="10" s="1"/>
  <c r="EV185" i="10"/>
  <c r="BD185" i="10" s="1"/>
  <c r="FF193" i="10"/>
  <c r="EW180" i="10"/>
  <c r="BE180" i="10" s="1"/>
  <c r="EH199" i="10"/>
  <c r="AP199" i="10" s="1"/>
  <c r="EU180" i="10"/>
  <c r="BC180" i="10" s="1"/>
  <c r="EQ185" i="10"/>
  <c r="AY185" i="10" s="1"/>
  <c r="EQ199" i="10"/>
  <c r="AY199" i="10" s="1"/>
  <c r="FG185" i="10"/>
  <c r="EG199" i="10"/>
  <c r="AO199" i="10" s="1"/>
  <c r="FE219" i="10"/>
  <c r="BM219" i="10" s="1"/>
  <c r="EP180" i="10"/>
  <c r="AX180" i="10" s="1"/>
  <c r="EQ180" i="10"/>
  <c r="AY180" i="10" s="1"/>
  <c r="EU193" i="10"/>
  <c r="BC193" i="10" s="1"/>
  <c r="EM193" i="10"/>
  <c r="AU193" i="10" s="1"/>
  <c r="FF216" i="10"/>
  <c r="FI209" i="10"/>
  <c r="FF185" i="10"/>
  <c r="FH185" i="10"/>
  <c r="FE199" i="10"/>
  <c r="BM199" i="10" s="1"/>
  <c r="FH199" i="10"/>
  <c r="EY199" i="10"/>
  <c r="BG199" i="10" s="1"/>
  <c r="EK199" i="10"/>
  <c r="AS199" i="10" s="1"/>
  <c r="FH219" i="10"/>
  <c r="FH180" i="10"/>
  <c r="EZ180" i="10"/>
  <c r="BH180" i="10" s="1"/>
  <c r="EJ193" i="10"/>
  <c r="AR193" i="10" s="1"/>
  <c r="EZ193" i="10"/>
  <c r="BH193" i="10" s="1"/>
  <c r="EN216" i="10"/>
  <c r="AV216" i="10" s="1"/>
  <c r="FF209" i="10"/>
  <c r="EL185" i="10"/>
  <c r="AT185" i="10" s="1"/>
  <c r="FE180" i="10"/>
  <c r="BM180" i="10" s="1"/>
  <c r="FD180" i="10"/>
  <c r="BL180" i="10" s="1"/>
  <c r="FC193" i="10"/>
  <c r="BK193" i="10" s="1"/>
  <c r="EV193" i="10"/>
  <c r="BD193" i="10" s="1"/>
  <c r="EX185" i="10"/>
  <c r="BF185" i="10" s="1"/>
  <c r="EH185" i="10"/>
  <c r="AP185" i="10" s="1"/>
  <c r="ER219" i="10"/>
  <c r="AZ219" i="10" s="1"/>
  <c r="FD219" i="10"/>
  <c r="BL219" i="10" s="1"/>
  <c r="FJ180" i="10"/>
  <c r="EL180" i="10"/>
  <c r="AT180" i="10" s="1"/>
  <c r="EM180" i="10"/>
  <c r="AU180" i="10" s="1"/>
  <c r="FG180" i="10"/>
  <c r="FI180" i="10"/>
  <c r="EJ180" i="10"/>
  <c r="AR180" i="10" s="1"/>
  <c r="FC180" i="10"/>
  <c r="BK180" i="10" s="1"/>
  <c r="EN180" i="10"/>
  <c r="AV180" i="10" s="1"/>
  <c r="EL193" i="10"/>
  <c r="AT193" i="10" s="1"/>
  <c r="EK193" i="10"/>
  <c r="AS193" i="10" s="1"/>
  <c r="FH193" i="10"/>
  <c r="EI193" i="10"/>
  <c r="AQ193" i="10" s="1"/>
  <c r="EN193" i="10"/>
  <c r="AV193" i="10" s="1"/>
  <c r="EP193" i="10"/>
  <c r="AX193" i="10" s="1"/>
  <c r="FB193" i="10"/>
  <c r="BJ193" i="10" s="1"/>
  <c r="FL193" i="10"/>
  <c r="AO185" i="10"/>
  <c r="FB216" i="10"/>
  <c r="BJ216" i="10" s="1"/>
  <c r="BP216" i="10"/>
  <c r="FH209" i="10"/>
  <c r="ET209" i="10"/>
  <c r="BB209" i="10" s="1"/>
  <c r="EW185" i="10"/>
  <c r="BE185" i="10" s="1"/>
  <c r="EO185" i="10"/>
  <c r="AW185" i="10" s="1"/>
  <c r="FC185" i="10"/>
  <c r="BK185" i="10" s="1"/>
  <c r="FL185" i="10"/>
  <c r="ER185" i="10"/>
  <c r="AZ185" i="10" s="1"/>
  <c r="FI185" i="10"/>
  <c r="FG199" i="10"/>
  <c r="FJ199" i="10"/>
  <c r="EP199" i="10"/>
  <c r="AX199" i="10" s="1"/>
  <c r="EO199" i="10"/>
  <c r="AW199" i="10" s="1"/>
  <c r="FL199" i="10"/>
  <c r="FD199" i="10"/>
  <c r="BL199" i="10" s="1"/>
  <c r="EP185" i="10"/>
  <c r="AX185" i="10" s="1"/>
  <c r="EI199" i="10"/>
  <c r="AQ199" i="10" s="1"/>
  <c r="FA219" i="10"/>
  <c r="BI219" i="10" s="1"/>
  <c r="EQ219" i="10"/>
  <c r="AY219" i="10" s="1"/>
  <c r="EG180" i="10"/>
  <c r="AO180" i="10" s="1"/>
  <c r="ES180" i="10"/>
  <c r="BA180" i="10" s="1"/>
  <c r="EH180" i="10"/>
  <c r="AP180" i="10" s="1"/>
  <c r="EX180" i="10"/>
  <c r="BF180" i="10" s="1"/>
  <c r="FB180" i="10"/>
  <c r="BJ180" i="10" s="1"/>
  <c r="FK180" i="10"/>
  <c r="EO180" i="10"/>
  <c r="AW180" i="10" s="1"/>
  <c r="EI180" i="10"/>
  <c r="AQ180" i="10" s="1"/>
  <c r="ET180" i="10"/>
  <c r="BB180" i="10" s="1"/>
  <c r="EO193" i="10"/>
  <c r="AW193" i="10" s="1"/>
  <c r="FK193" i="10"/>
  <c r="BP193" i="10"/>
  <c r="EH193" i="10"/>
  <c r="AP193" i="10" s="1"/>
  <c r="EX193" i="10"/>
  <c r="BF193" i="10" s="1"/>
  <c r="EW193" i="10"/>
  <c r="BE193" i="10" s="1"/>
  <c r="ER193" i="10"/>
  <c r="AZ193" i="10" s="1"/>
  <c r="EG193" i="10"/>
  <c r="AM193" i="10" s="1"/>
  <c r="CO193" i="10" s="1"/>
  <c r="EV216" i="10"/>
  <c r="BD216" i="10" s="1"/>
  <c r="EY216" i="10"/>
  <c r="BG216" i="10" s="1"/>
  <c r="FL209" i="10"/>
  <c r="EH209" i="10"/>
  <c r="AP209" i="10" s="1"/>
  <c r="FJ209" i="10"/>
  <c r="ET185" i="10"/>
  <c r="BB185" i="10" s="1"/>
  <c r="EY185" i="10"/>
  <c r="BG185" i="10" s="1"/>
  <c r="FJ185" i="10"/>
  <c r="FK185" i="10"/>
  <c r="EZ185" i="10"/>
  <c r="BH185" i="10" s="1"/>
  <c r="EU185" i="10"/>
  <c r="BC185" i="10" s="1"/>
  <c r="EM199" i="10"/>
  <c r="AU199" i="10" s="1"/>
  <c r="ES199" i="10"/>
  <c r="BA199" i="10" s="1"/>
  <c r="EL199" i="10"/>
  <c r="AT199" i="10" s="1"/>
  <c r="BP199" i="10"/>
  <c r="FF199" i="10"/>
  <c r="EV199" i="10"/>
  <c r="BD199" i="10" s="1"/>
  <c r="FB185" i="10"/>
  <c r="BJ185" i="10" s="1"/>
  <c r="EJ199" i="10"/>
  <c r="AR199" i="10" s="1"/>
  <c r="ET219" i="10"/>
  <c r="BB219" i="10" s="1"/>
  <c r="EP219" i="10"/>
  <c r="AX219" i="10" s="1"/>
  <c r="EY180" i="10"/>
  <c r="BG180" i="10" s="1"/>
  <c r="EK180" i="10"/>
  <c r="AS180" i="10" s="1"/>
  <c r="ER180" i="10"/>
  <c r="AZ180" i="10" s="1"/>
  <c r="FF180" i="10"/>
  <c r="FA180" i="10"/>
  <c r="BI180" i="10" s="1"/>
  <c r="BP180" i="10"/>
  <c r="FL180" i="10"/>
  <c r="EY193" i="10"/>
  <c r="BG193" i="10" s="1"/>
  <c r="FI193" i="10"/>
  <c r="FJ193" i="10"/>
  <c r="FD193" i="10"/>
  <c r="BL193" i="10" s="1"/>
  <c r="FA193" i="10"/>
  <c r="BI193" i="10" s="1"/>
  <c r="ET193" i="10"/>
  <c r="BB193" i="10" s="1"/>
  <c r="FE193" i="10"/>
  <c r="BM193" i="10" s="1"/>
  <c r="FG193" i="10"/>
  <c r="FE216" i="10"/>
  <c r="BM216" i="10" s="1"/>
  <c r="EZ216" i="10"/>
  <c r="BH216" i="10" s="1"/>
  <c r="EX209" i="10"/>
  <c r="BF209" i="10" s="1"/>
  <c r="FK209" i="10"/>
  <c r="BP185" i="10"/>
  <c r="EN185" i="10"/>
  <c r="AV185" i="10" s="1"/>
  <c r="FA185" i="10"/>
  <c r="BI185" i="10" s="1"/>
  <c r="FE185" i="10"/>
  <c r="BM185" i="10" s="1"/>
  <c r="EK185" i="10"/>
  <c r="AS185" i="10" s="1"/>
  <c r="FD185" i="10"/>
  <c r="BL185" i="10" s="1"/>
  <c r="ER199" i="10"/>
  <c r="AZ199" i="10" s="1"/>
  <c r="EZ199" i="10"/>
  <c r="BH199" i="10" s="1"/>
  <c r="EX199" i="10"/>
  <c r="BF199" i="10" s="1"/>
  <c r="FB199" i="10"/>
  <c r="BJ199" i="10" s="1"/>
  <c r="ET199" i="10"/>
  <c r="BB199" i="10" s="1"/>
  <c r="EU199" i="10"/>
  <c r="BC199" i="10" s="1"/>
  <c r="EJ185" i="10"/>
  <c r="AR185" i="10" s="1"/>
  <c r="EI185" i="10"/>
  <c r="AQ185" i="10" s="1"/>
  <c r="FA199" i="10"/>
  <c r="BI199" i="10" s="1"/>
  <c r="FI199" i="10"/>
  <c r="CA85" i="14"/>
  <c r="BR85" i="14"/>
  <c r="CC85" i="14"/>
  <c r="EN199" i="10"/>
  <c r="AV199" i="10" s="1"/>
  <c r="EK196" i="10"/>
  <c r="AS196" i="10" s="1"/>
  <c r="EH196" i="10"/>
  <c r="AP196" i="10" s="1"/>
  <c r="BP203" i="10"/>
  <c r="EX203" i="10"/>
  <c r="BF203" i="10" s="1"/>
  <c r="FE203" i="10"/>
  <c r="BM203" i="10" s="1"/>
  <c r="FL203" i="10"/>
  <c r="ES203" i="10"/>
  <c r="BA203" i="10" s="1"/>
  <c r="EU196" i="10"/>
  <c r="BC196" i="10" s="1"/>
  <c r="ER196" i="10"/>
  <c r="AZ196" i="10" s="1"/>
  <c r="EL203" i="10"/>
  <c r="AT203" i="10" s="1"/>
  <c r="EI203" i="10"/>
  <c r="AQ203" i="10" s="1"/>
  <c r="EL196" i="10"/>
  <c r="AT196" i="10" s="1"/>
  <c r="FD196" i="10"/>
  <c r="BL196" i="10" s="1"/>
  <c r="EW203" i="10"/>
  <c r="BE203" i="10" s="1"/>
  <c r="EG203" i="10"/>
  <c r="AO203" i="10" s="1"/>
  <c r="EO196" i="10"/>
  <c r="AW196" i="10" s="1"/>
  <c r="FA196" i="10"/>
  <c r="BI196" i="10" s="1"/>
  <c r="FF203" i="10"/>
  <c r="EO203" i="10"/>
  <c r="AW203" i="10" s="1"/>
  <c r="FK203" i="10"/>
  <c r="ET203" i="10"/>
  <c r="BB203" i="10" s="1"/>
  <c r="FD203" i="10"/>
  <c r="BL203" i="10" s="1"/>
  <c r="ER203" i="10"/>
  <c r="AZ203" i="10" s="1"/>
  <c r="EP203" i="10"/>
  <c r="AX203" i="10" s="1"/>
  <c r="FJ203" i="10"/>
  <c r="FE196" i="10"/>
  <c r="BM196" i="10" s="1"/>
  <c r="EN196" i="10"/>
  <c r="AV196" i="10" s="1"/>
  <c r="EI196" i="10"/>
  <c r="AQ196" i="10" s="1"/>
  <c r="EV196" i="10"/>
  <c r="BD196" i="10" s="1"/>
  <c r="EY196" i="10"/>
  <c r="BG196" i="10" s="1"/>
  <c r="FJ196" i="10"/>
  <c r="FG196" i="10"/>
  <c r="EW196" i="10"/>
  <c r="BE196" i="10" s="1"/>
  <c r="FH196" i="10"/>
  <c r="EN203" i="10"/>
  <c r="AV203" i="10" s="1"/>
  <c r="EK203" i="10"/>
  <c r="AS203" i="10" s="1"/>
  <c r="EY203" i="10"/>
  <c r="BG203" i="10" s="1"/>
  <c r="EM203" i="10"/>
  <c r="AU203" i="10" s="1"/>
  <c r="EH203" i="10"/>
  <c r="AP203" i="10" s="1"/>
  <c r="FI203" i="10"/>
  <c r="EZ203" i="10"/>
  <c r="BH203" i="10" s="1"/>
  <c r="FG203" i="10"/>
  <c r="FI196" i="10"/>
  <c r="EM196" i="10"/>
  <c r="AU196" i="10" s="1"/>
  <c r="EZ196" i="10"/>
  <c r="BH196" i="10" s="1"/>
  <c r="FB196" i="10"/>
  <c r="BJ196" i="10" s="1"/>
  <c r="ET196" i="10"/>
  <c r="BB196" i="10" s="1"/>
  <c r="FL196" i="10"/>
  <c r="EP196" i="10"/>
  <c r="AX196" i="10" s="1"/>
  <c r="EQ196" i="10"/>
  <c r="AY196" i="10" s="1"/>
  <c r="FB203" i="10"/>
  <c r="BJ203" i="10" s="1"/>
  <c r="EQ203" i="10"/>
  <c r="AY203" i="10" s="1"/>
  <c r="FH203" i="10"/>
  <c r="EJ203" i="10"/>
  <c r="AR203" i="10" s="1"/>
  <c r="EU203" i="10"/>
  <c r="BC203" i="10" s="1"/>
  <c r="FA203" i="10"/>
  <c r="BI203" i="10" s="1"/>
  <c r="FC203" i="10"/>
  <c r="BK203" i="10" s="1"/>
  <c r="EG196" i="10"/>
  <c r="AO196" i="10" s="1"/>
  <c r="FK196" i="10"/>
  <c r="FC196" i="10"/>
  <c r="BK196" i="10" s="1"/>
  <c r="BP196" i="10"/>
  <c r="FF196" i="10"/>
  <c r="ES196" i="10"/>
  <c r="BA196" i="10" s="1"/>
  <c r="EX196" i="10"/>
  <c r="BF196" i="10" s="1"/>
  <c r="EW199" i="10"/>
  <c r="BE199" i="10" s="1"/>
  <c r="EM185" i="10"/>
  <c r="AU185" i="10" s="1"/>
  <c r="ES187" i="10"/>
  <c r="BA187" i="10" s="1"/>
  <c r="ET187" i="10"/>
  <c r="BB187" i="10" s="1"/>
  <c r="EJ200" i="10"/>
  <c r="AR200" i="10" s="1"/>
  <c r="EZ200" i="10"/>
  <c r="BH200" i="10" s="1"/>
  <c r="FB200" i="10"/>
  <c r="BJ200" i="10" s="1"/>
  <c r="EI200" i="10"/>
  <c r="AQ200" i="10" s="1"/>
  <c r="EW200" i="10"/>
  <c r="BE200" i="10" s="1"/>
  <c r="ES200" i="10"/>
  <c r="BA200" i="10" s="1"/>
  <c r="FD200" i="10"/>
  <c r="BL200" i="10" s="1"/>
  <c r="EK200" i="10"/>
  <c r="AS200" i="10" s="1"/>
  <c r="EN215" i="10"/>
  <c r="AV215" i="10" s="1"/>
  <c r="FK215" i="10"/>
  <c r="FC215" i="10"/>
  <c r="BK215" i="10" s="1"/>
  <c r="FE215" i="10"/>
  <c r="BM215" i="10" s="1"/>
  <c r="FJ215" i="10"/>
  <c r="EJ215" i="10"/>
  <c r="AR215" i="10" s="1"/>
  <c r="ER215" i="10"/>
  <c r="AZ215" i="10" s="1"/>
  <c r="FH215" i="10"/>
  <c r="FL197" i="10"/>
  <c r="FG195" i="10"/>
  <c r="EP187" i="10"/>
  <c r="AX187" i="10" s="1"/>
  <c r="EQ187" i="10"/>
  <c r="AY187" i="10" s="1"/>
  <c r="FA200" i="10"/>
  <c r="BI200" i="10" s="1"/>
  <c r="EH200" i="10"/>
  <c r="AP200" i="10" s="1"/>
  <c r="EO200" i="10"/>
  <c r="AW200" i="10" s="1"/>
  <c r="FK200" i="10"/>
  <c r="FE200" i="10"/>
  <c r="BM200" i="10" s="1"/>
  <c r="FJ200" i="10"/>
  <c r="EY200" i="10"/>
  <c r="BG200" i="10" s="1"/>
  <c r="EP200" i="10"/>
  <c r="AX200" i="10" s="1"/>
  <c r="EU215" i="10"/>
  <c r="BC215" i="10" s="1"/>
  <c r="FF215" i="10"/>
  <c r="EL215" i="10"/>
  <c r="AT215" i="10" s="1"/>
  <c r="EK215" i="10"/>
  <c r="AS215" i="10" s="1"/>
  <c r="EV215" i="10"/>
  <c r="BD215" i="10" s="1"/>
  <c r="EW215" i="10"/>
  <c r="BE215" i="10" s="1"/>
  <c r="EQ215" i="10"/>
  <c r="AY215" i="10" s="1"/>
  <c r="FA215" i="10"/>
  <c r="BI215" i="10" s="1"/>
  <c r="FF187" i="10"/>
  <c r="EL187" i="10"/>
  <c r="AT187" i="10" s="1"/>
  <c r="EQ200" i="10"/>
  <c r="AY200" i="10" s="1"/>
  <c r="EN200" i="10"/>
  <c r="AV200" i="10" s="1"/>
  <c r="EM200" i="10"/>
  <c r="AU200" i="10" s="1"/>
  <c r="FH200" i="10"/>
  <c r="FG200" i="10"/>
  <c r="EX200" i="10"/>
  <c r="BF200" i="10" s="1"/>
  <c r="EV200" i="10"/>
  <c r="BD200" i="10" s="1"/>
  <c r="ET200" i="10"/>
  <c r="BB200" i="10" s="1"/>
  <c r="EM215" i="10"/>
  <c r="AU215" i="10" s="1"/>
  <c r="FL215" i="10"/>
  <c r="FI215" i="10"/>
  <c r="FD215" i="10"/>
  <c r="BL215" i="10" s="1"/>
  <c r="EZ215" i="10"/>
  <c r="BH215" i="10" s="1"/>
  <c r="EG215" i="10"/>
  <c r="AO215" i="10" s="1"/>
  <c r="EP215" i="10"/>
  <c r="AX215" i="10" s="1"/>
  <c r="EM189" i="10"/>
  <c r="AU189" i="10" s="1"/>
  <c r="ER189" i="10"/>
  <c r="AZ189" i="10" s="1"/>
  <c r="BP189" i="10"/>
  <c r="EJ189" i="10"/>
  <c r="AR189" i="10" s="1"/>
  <c r="FG189" i="10"/>
  <c r="FH189" i="10"/>
  <c r="ET189" i="10"/>
  <c r="BB189" i="10" s="1"/>
  <c r="FL189" i="10"/>
  <c r="FB189" i="10"/>
  <c r="BJ189" i="10" s="1"/>
  <c r="ES189" i="10"/>
  <c r="BA189" i="10" s="1"/>
  <c r="EO189" i="10"/>
  <c r="AW189" i="10" s="1"/>
  <c r="FA189" i="10"/>
  <c r="BI189" i="10" s="1"/>
  <c r="EW189" i="10"/>
  <c r="BE189" i="10" s="1"/>
  <c r="EL189" i="10"/>
  <c r="AT189" i="10" s="1"/>
  <c r="EY189" i="10"/>
  <c r="BG189" i="10" s="1"/>
  <c r="EX189" i="10"/>
  <c r="BF189" i="10" s="1"/>
  <c r="FC189" i="10"/>
  <c r="BK189" i="10" s="1"/>
  <c r="EK189" i="10"/>
  <c r="AS189" i="10" s="1"/>
  <c r="FI189" i="10"/>
  <c r="FD189" i="10"/>
  <c r="BL189" i="10" s="1"/>
  <c r="FJ189" i="10"/>
  <c r="EZ189" i="10"/>
  <c r="BH189" i="10" s="1"/>
  <c r="FK189" i="10"/>
  <c r="EQ189" i="10"/>
  <c r="AY189" i="10" s="1"/>
  <c r="EH189" i="10"/>
  <c r="AP189" i="10" s="1"/>
  <c r="EU189" i="10"/>
  <c r="BC189" i="10" s="1"/>
  <c r="FL205" i="10"/>
  <c r="FH205" i="10"/>
  <c r="EU205" i="10"/>
  <c r="BC205" i="10" s="1"/>
  <c r="EI181" i="10"/>
  <c r="AQ181" i="10" s="1"/>
  <c r="EK179" i="10"/>
  <c r="AS179" i="10" s="1"/>
  <c r="ES206" i="10"/>
  <c r="BA206" i="10" s="1"/>
  <c r="FB179" i="10"/>
  <c r="BJ179" i="10" s="1"/>
  <c r="FF221" i="10"/>
  <c r="EK211" i="10"/>
  <c r="AS211" i="10" s="1"/>
  <c r="EK184" i="10"/>
  <c r="AS184" i="10" s="1"/>
  <c r="EL195" i="10"/>
  <c r="AT195" i="10" s="1"/>
  <c r="EV181" i="10"/>
  <c r="BD181" i="10" s="1"/>
  <c r="FJ184" i="10"/>
  <c r="EN181" i="10"/>
  <c r="AV181" i="10" s="1"/>
  <c r="FD206" i="10"/>
  <c r="BL206" i="10" s="1"/>
  <c r="BP179" i="10"/>
  <c r="FE179" i="10"/>
  <c r="BM179" i="10" s="1"/>
  <c r="EM221" i="10"/>
  <c r="AU221" i="10" s="1"/>
  <c r="EJ195" i="10"/>
  <c r="AR195" i="10" s="1"/>
  <c r="EP181" i="10"/>
  <c r="AX181" i="10" s="1"/>
  <c r="EY221" i="10"/>
  <c r="BG221" i="10" s="1"/>
  <c r="EZ195" i="10"/>
  <c r="BH195" i="10" s="1"/>
  <c r="EJ206" i="10"/>
  <c r="AR206" i="10" s="1"/>
  <c r="EX206" i="10"/>
  <c r="BF206" i="10" s="1"/>
  <c r="EY211" i="10"/>
  <c r="BG211" i="10" s="1"/>
  <c r="FD184" i="10"/>
  <c r="BL184" i="10" s="1"/>
  <c r="EO184" i="10"/>
  <c r="AW184" i="10" s="1"/>
  <c r="BP184" i="10"/>
  <c r="EP184" i="10"/>
  <c r="AX184" i="10" s="1"/>
  <c r="EM179" i="10"/>
  <c r="AU179" i="10" s="1"/>
  <c r="ET179" i="10"/>
  <c r="BB179" i="10" s="1"/>
  <c r="FH179" i="10"/>
  <c r="EU221" i="10"/>
  <c r="BC221" i="10" s="1"/>
  <c r="EV195" i="10"/>
  <c r="BD195" i="10" s="1"/>
  <c r="EX181" i="10"/>
  <c r="BF181" i="10" s="1"/>
  <c r="FE221" i="10"/>
  <c r="BM221" i="10" s="1"/>
  <c r="ES195" i="10"/>
  <c r="BA195" i="10" s="1"/>
  <c r="EU206" i="10"/>
  <c r="BC206" i="10" s="1"/>
  <c r="EO211" i="10"/>
  <c r="AW211" i="10" s="1"/>
  <c r="EM211" i="10"/>
  <c r="AU211" i="10" s="1"/>
  <c r="EI184" i="10"/>
  <c r="AQ184" i="10" s="1"/>
  <c r="FG184" i="10"/>
  <c r="EN179" i="10"/>
  <c r="AV179" i="10" s="1"/>
  <c r="EH179" i="10"/>
  <c r="AP179" i="10" s="1"/>
  <c r="EM181" i="10"/>
  <c r="AU181" i="10" s="1"/>
  <c r="FH221" i="10"/>
  <c r="EK195" i="10"/>
  <c r="AS195" i="10" s="1"/>
  <c r="EY181" i="10"/>
  <c r="BG181" i="10" s="1"/>
  <c r="FB206" i="10"/>
  <c r="BJ206" i="10" s="1"/>
  <c r="EV206" i="10"/>
  <c r="BD206" i="10" s="1"/>
  <c r="EM206" i="10"/>
  <c r="AU206" i="10" s="1"/>
  <c r="FK211" i="10"/>
  <c r="ES211" i="10"/>
  <c r="BA211" i="10" s="1"/>
  <c r="FC221" i="10"/>
  <c r="BK221" i="10" s="1"/>
  <c r="EW211" i="10"/>
  <c r="BE211" i="10" s="1"/>
  <c r="EZ206" i="10"/>
  <c r="BH206" i="10" s="1"/>
  <c r="EH197" i="10"/>
  <c r="AP197" i="10" s="1"/>
  <c r="FD205" i="10"/>
  <c r="BL205" i="10" s="1"/>
  <c r="FI205" i="10"/>
  <c r="EV205" i="10"/>
  <c r="BD205" i="10" s="1"/>
  <c r="FB197" i="10"/>
  <c r="BJ197" i="10" s="1"/>
  <c r="EX197" i="10"/>
  <c r="BF197" i="10" s="1"/>
  <c r="EY205" i="10"/>
  <c r="BG205" i="10" s="1"/>
  <c r="EJ197" i="10"/>
  <c r="AR197" i="10" s="1"/>
  <c r="EP197" i="10"/>
  <c r="AX197" i="10" s="1"/>
  <c r="BP205" i="10"/>
  <c r="EI197" i="10"/>
  <c r="AQ197" i="10" s="1"/>
  <c r="EK214" i="10"/>
  <c r="AS214" i="10" s="1"/>
  <c r="EZ184" i="10"/>
  <c r="BH184" i="10" s="1"/>
  <c r="EY184" i="10"/>
  <c r="BG184" i="10" s="1"/>
  <c r="EV184" i="10"/>
  <c r="BD184" i="10" s="1"/>
  <c r="EM184" i="10"/>
  <c r="AU184" i="10" s="1"/>
  <c r="FI184" i="10"/>
  <c r="ER184" i="10"/>
  <c r="AZ184" i="10" s="1"/>
  <c r="EW184" i="10"/>
  <c r="BE184" i="10" s="1"/>
  <c r="EU184" i="10"/>
  <c r="BC184" i="10" s="1"/>
  <c r="EU179" i="10"/>
  <c r="BC179" i="10" s="1"/>
  <c r="EJ179" i="10"/>
  <c r="AR179" i="10" s="1"/>
  <c r="FA179" i="10"/>
  <c r="BI179" i="10" s="1"/>
  <c r="EP179" i="10"/>
  <c r="AX179" i="10" s="1"/>
  <c r="EW179" i="10"/>
  <c r="BE179" i="10" s="1"/>
  <c r="FK179" i="10"/>
  <c r="FG179" i="10"/>
  <c r="FC179" i="10"/>
  <c r="BK179" i="10" s="1"/>
  <c r="FD221" i="10"/>
  <c r="BL221" i="10" s="1"/>
  <c r="EQ221" i="10"/>
  <c r="AY221" i="10" s="1"/>
  <c r="FE181" i="10"/>
  <c r="BM181" i="10" s="1"/>
  <c r="BP181" i="10"/>
  <c r="EI195" i="10"/>
  <c r="AQ195" i="10" s="1"/>
  <c r="EK221" i="10"/>
  <c r="AS221" i="10" s="1"/>
  <c r="EV221" i="10"/>
  <c r="BD221" i="10" s="1"/>
  <c r="ER181" i="10"/>
  <c r="AZ181" i="10" s="1"/>
  <c r="FH181" i="10"/>
  <c r="EK181" i="10"/>
  <c r="AS181" i="10" s="1"/>
  <c r="ER195" i="10"/>
  <c r="AZ195" i="10" s="1"/>
  <c r="FA195" i="10"/>
  <c r="BI195" i="10" s="1"/>
  <c r="EZ221" i="10"/>
  <c r="BH221" i="10" s="1"/>
  <c r="EW221" i="10"/>
  <c r="BE221" i="10" s="1"/>
  <c r="FD181" i="10"/>
  <c r="BL181" i="10" s="1"/>
  <c r="FF181" i="10"/>
  <c r="EP195" i="10"/>
  <c r="AX195" i="10" s="1"/>
  <c r="BP195" i="10"/>
  <c r="FJ206" i="10"/>
  <c r="FG206" i="10"/>
  <c r="EW206" i="10"/>
  <c r="BE206" i="10" s="1"/>
  <c r="FK206" i="10"/>
  <c r="ET206" i="10"/>
  <c r="BB206" i="10" s="1"/>
  <c r="EY206" i="10"/>
  <c r="BG206" i="10" s="1"/>
  <c r="EI206" i="10"/>
  <c r="AQ206" i="10" s="1"/>
  <c r="EV211" i="10"/>
  <c r="BD211" i="10" s="1"/>
  <c r="EH211" i="10"/>
  <c r="AP211" i="10" s="1"/>
  <c r="FF211" i="10"/>
  <c r="FC211" i="10"/>
  <c r="BK211" i="10" s="1"/>
  <c r="EX211" i="10"/>
  <c r="BF211" i="10" s="1"/>
  <c r="ER211" i="10"/>
  <c r="AZ211" i="10" s="1"/>
  <c r="FB181" i="10"/>
  <c r="BJ181" i="10" s="1"/>
  <c r="ES221" i="10"/>
  <c r="BA221" i="10" s="1"/>
  <c r="EL211" i="10"/>
  <c r="AT211" i="10" s="1"/>
  <c r="FG221" i="10"/>
  <c r="FF184" i="10"/>
  <c r="FC184" i="10"/>
  <c r="BK184" i="10" s="1"/>
  <c r="FL184" i="10"/>
  <c r="FH184" i="10"/>
  <c r="FE184" i="10"/>
  <c r="BM184" i="10" s="1"/>
  <c r="ES184" i="10"/>
  <c r="BA184" i="10" s="1"/>
  <c r="EX184" i="10"/>
  <c r="BF184" i="10" s="1"/>
  <c r="FK184" i="10"/>
  <c r="ER179" i="10"/>
  <c r="AZ179" i="10" s="1"/>
  <c r="EI179" i="10"/>
  <c r="AQ179" i="10" s="1"/>
  <c r="EX179" i="10"/>
  <c r="BF179" i="10" s="1"/>
  <c r="FD179" i="10"/>
  <c r="BL179" i="10" s="1"/>
  <c r="FI179" i="10"/>
  <c r="EV179" i="10"/>
  <c r="BD179" i="10" s="1"/>
  <c r="EG179" i="10"/>
  <c r="AM179" i="10" s="1"/>
  <c r="CO179" i="10" s="1"/>
  <c r="EL179" i="10"/>
  <c r="AT179" i="10" s="1"/>
  <c r="ER221" i="10"/>
  <c r="AZ221" i="10" s="1"/>
  <c r="EJ221" i="10"/>
  <c r="AR221" i="10" s="1"/>
  <c r="EO221" i="10"/>
  <c r="AW221" i="10" s="1"/>
  <c r="ET181" i="10"/>
  <c r="BB181" i="10" s="1"/>
  <c r="FE195" i="10"/>
  <c r="BM195" i="10" s="1"/>
  <c r="EY195" i="10"/>
  <c r="BG195" i="10" s="1"/>
  <c r="FL221" i="10"/>
  <c r="EH221" i="10"/>
  <c r="AP221" i="10" s="1"/>
  <c r="FI181" i="10"/>
  <c r="FJ181" i="10"/>
  <c r="EO195" i="10"/>
  <c r="AW195" i="10" s="1"/>
  <c r="FJ195" i="10"/>
  <c r="EN195" i="10"/>
  <c r="AV195" i="10" s="1"/>
  <c r="FJ221" i="10"/>
  <c r="EG221" i="10"/>
  <c r="AO221" i="10" s="1"/>
  <c r="FC181" i="10"/>
  <c r="BK181" i="10" s="1"/>
  <c r="EL181" i="10"/>
  <c r="AT181" i="10" s="1"/>
  <c r="EU195" i="10"/>
  <c r="BC195" i="10" s="1"/>
  <c r="FB195" i="10"/>
  <c r="BJ195" i="10" s="1"/>
  <c r="FI206" i="10"/>
  <c r="FE206" i="10"/>
  <c r="BM206" i="10" s="1"/>
  <c r="EN206" i="10"/>
  <c r="AV206" i="10" s="1"/>
  <c r="EH206" i="10"/>
  <c r="AP206" i="10" s="1"/>
  <c r="FA206" i="10"/>
  <c r="BI206" i="10" s="1"/>
  <c r="FH206" i="10"/>
  <c r="FL211" i="10"/>
  <c r="EG211" i="10"/>
  <c r="AM211" i="10" s="1"/>
  <c r="CO211" i="10" s="1"/>
  <c r="FB211" i="10"/>
  <c r="BJ211" i="10" s="1"/>
  <c r="FH211" i="10"/>
  <c r="EI211" i="10"/>
  <c r="AQ211" i="10" s="1"/>
  <c r="FA211" i="10"/>
  <c r="BI211" i="10" s="1"/>
  <c r="FA221" i="10"/>
  <c r="BI221" i="10" s="1"/>
  <c r="EL221" i="10"/>
  <c r="AT221" i="10" s="1"/>
  <c r="EJ181" i="10"/>
  <c r="AR181" i="10" s="1"/>
  <c r="FI211" i="10"/>
  <c r="EQ184" i="10"/>
  <c r="AY184" i="10" s="1"/>
  <c r="EN184" i="10"/>
  <c r="AV184" i="10" s="1"/>
  <c r="EH184" i="10"/>
  <c r="AP184" i="10" s="1"/>
  <c r="EG184" i="10"/>
  <c r="AM184" i="10" s="1"/>
  <c r="CO184" i="10" s="1"/>
  <c r="FA184" i="10"/>
  <c r="BI184" i="10" s="1"/>
  <c r="FB184" i="10"/>
  <c r="BJ184" i="10" s="1"/>
  <c r="ET184" i="10"/>
  <c r="BB184" i="10" s="1"/>
  <c r="EL184" i="10"/>
  <c r="AT184" i="10" s="1"/>
  <c r="EZ179" i="10"/>
  <c r="BH179" i="10" s="1"/>
  <c r="FJ179" i="10"/>
  <c r="ES179" i="10"/>
  <c r="BA179" i="10" s="1"/>
  <c r="FL179" i="10"/>
  <c r="EQ179" i="10"/>
  <c r="AY179" i="10" s="1"/>
  <c r="FF179" i="10"/>
  <c r="EO179" i="10"/>
  <c r="AW179" i="10" s="1"/>
  <c r="EI221" i="10"/>
  <c r="AQ221" i="10" s="1"/>
  <c r="ET221" i="10"/>
  <c r="BB221" i="10" s="1"/>
  <c r="FG181" i="10"/>
  <c r="EW181" i="10"/>
  <c r="BE181" i="10" s="1"/>
  <c r="EQ195" i="10"/>
  <c r="AY195" i="10" s="1"/>
  <c r="ET195" i="10"/>
  <c r="BB195" i="10" s="1"/>
  <c r="FI221" i="10"/>
  <c r="EX221" i="10"/>
  <c r="BF221" i="10" s="1"/>
  <c r="FK181" i="10"/>
  <c r="FL181" i="10"/>
  <c r="FL195" i="10"/>
  <c r="EG195" i="10"/>
  <c r="AM195" i="10" s="1"/>
  <c r="EN221" i="10"/>
  <c r="AV221" i="10" s="1"/>
  <c r="EP221" i="10"/>
  <c r="AX221" i="10" s="1"/>
  <c r="EQ181" i="10"/>
  <c r="AY181" i="10" s="1"/>
  <c r="ES181" i="10"/>
  <c r="BA181" i="10" s="1"/>
  <c r="FD195" i="10"/>
  <c r="BL195" i="10" s="1"/>
  <c r="FH195" i="10"/>
  <c r="FF206" i="10"/>
  <c r="EP206" i="10"/>
  <c r="AX206" i="10" s="1"/>
  <c r="BP206" i="10"/>
  <c r="ER206" i="10"/>
  <c r="AZ206" i="10" s="1"/>
  <c r="FL206" i="10"/>
  <c r="EL206" i="10"/>
  <c r="AT206" i="10" s="1"/>
  <c r="EQ206" i="10"/>
  <c r="AY206" i="10" s="1"/>
  <c r="EO206" i="10"/>
  <c r="AW206" i="10" s="1"/>
  <c r="FJ211" i="10"/>
  <c r="ET211" i="10"/>
  <c r="BB211" i="10" s="1"/>
  <c r="FE211" i="10"/>
  <c r="BM211" i="10" s="1"/>
  <c r="EZ211" i="10"/>
  <c r="BH211" i="10" s="1"/>
  <c r="EN211" i="10"/>
  <c r="AV211" i="10" s="1"/>
  <c r="EP211" i="10"/>
  <c r="AX211" i="10" s="1"/>
  <c r="EG181" i="10"/>
  <c r="AO181" i="10" s="1"/>
  <c r="FK221" i="10"/>
  <c r="FG211" i="10"/>
  <c r="EU211" i="10"/>
  <c r="BC211" i="10" s="1"/>
  <c r="FD211" i="10"/>
  <c r="BL211" i="10" s="1"/>
  <c r="FB221" i="10"/>
  <c r="BJ221" i="10" s="1"/>
  <c r="BP211" i="10"/>
  <c r="CO185" i="10"/>
  <c r="EZ197" i="10"/>
  <c r="BH197" i="10" s="1"/>
  <c r="FD197" i="10"/>
  <c r="BL197" i="10" s="1"/>
  <c r="EO197" i="10"/>
  <c r="AW197" i="10" s="1"/>
  <c r="FH197" i="10"/>
  <c r="EG197" i="10"/>
  <c r="AO197" i="10" s="1"/>
  <c r="FE197" i="10"/>
  <c r="BM197" i="10" s="1"/>
  <c r="EJ205" i="10"/>
  <c r="AR205" i="10" s="1"/>
  <c r="FF205" i="10"/>
  <c r="EL205" i="10"/>
  <c r="AT205" i="10" s="1"/>
  <c r="EI205" i="10"/>
  <c r="AQ205" i="10" s="1"/>
  <c r="EQ205" i="10"/>
  <c r="AY205" i="10" s="1"/>
  <c r="EK205" i="10"/>
  <c r="AS205" i="10" s="1"/>
  <c r="EZ205" i="10"/>
  <c r="BH205" i="10" s="1"/>
  <c r="ES205" i="10"/>
  <c r="BA205" i="10" s="1"/>
  <c r="FG205" i="10"/>
  <c r="EQ197" i="10"/>
  <c r="AY197" i="10" s="1"/>
  <c r="EW197" i="10"/>
  <c r="BE197" i="10" s="1"/>
  <c r="ET197" i="10"/>
  <c r="BB197" i="10" s="1"/>
  <c r="FK197" i="10"/>
  <c r="ES197" i="10"/>
  <c r="BA197" i="10" s="1"/>
  <c r="FA197" i="10"/>
  <c r="BI197" i="10" s="1"/>
  <c r="FJ197" i="10"/>
  <c r="EN205" i="10"/>
  <c r="AV205" i="10" s="1"/>
  <c r="EM205" i="10"/>
  <c r="AU205" i="10" s="1"/>
  <c r="FC205" i="10"/>
  <c r="BK205" i="10" s="1"/>
  <c r="ER205" i="10"/>
  <c r="AZ205" i="10" s="1"/>
  <c r="EH205" i="10"/>
  <c r="AP205" i="10" s="1"/>
  <c r="FJ205" i="10"/>
  <c r="ET205" i="10"/>
  <c r="BB205" i="10" s="1"/>
  <c r="EG205" i="10"/>
  <c r="AO205" i="10" s="1"/>
  <c r="EM197" i="10"/>
  <c r="AU197" i="10" s="1"/>
  <c r="CO195" i="10"/>
  <c r="EN197" i="10"/>
  <c r="AV197" i="10" s="1"/>
  <c r="EX205" i="10"/>
  <c r="BF205" i="10" s="1"/>
  <c r="FI197" i="10"/>
  <c r="EU197" i="10"/>
  <c r="BC197" i="10" s="1"/>
  <c r="EL197" i="10"/>
  <c r="AT197" i="10" s="1"/>
  <c r="ER197" i="10"/>
  <c r="AZ197" i="10" s="1"/>
  <c r="EK197" i="10"/>
  <c r="AS197" i="10" s="1"/>
  <c r="EY197" i="10"/>
  <c r="BG197" i="10" s="1"/>
  <c r="FE205" i="10"/>
  <c r="BM205" i="10" s="1"/>
  <c r="FA205" i="10"/>
  <c r="BI205" i="10" s="1"/>
  <c r="FB205" i="10"/>
  <c r="BJ205" i="10" s="1"/>
  <c r="EO205" i="10"/>
  <c r="AW205" i="10" s="1"/>
  <c r="FK205" i="10"/>
  <c r="EW205" i="10"/>
  <c r="BE205" i="10" s="1"/>
  <c r="FG197" i="10"/>
  <c r="FF197" i="10"/>
  <c r="FC197" i="10"/>
  <c r="BK197" i="10" s="1"/>
  <c r="BP197" i="10"/>
  <c r="FE192" i="10"/>
  <c r="BM192" i="10" s="1"/>
  <c r="EX214" i="10"/>
  <c r="BF214" i="10" s="1"/>
  <c r="FA181" i="10"/>
  <c r="BI181" i="10" s="1"/>
  <c r="EZ181" i="10"/>
  <c r="BH181" i="10" s="1"/>
  <c r="EP192" i="10"/>
  <c r="AX192" i="10" s="1"/>
  <c r="FD192" i="10"/>
  <c r="BL192" i="10" s="1"/>
  <c r="EU187" i="10"/>
  <c r="BC187" i="10" s="1"/>
  <c r="FH187" i="10"/>
  <c r="FE187" i="10"/>
  <c r="BM187" i="10" s="1"/>
  <c r="EV187" i="10"/>
  <c r="BD187" i="10" s="1"/>
  <c r="EM187" i="10"/>
  <c r="AU187" i="10" s="1"/>
  <c r="EG187" i="10"/>
  <c r="AO187" i="10" s="1"/>
  <c r="EJ187" i="10"/>
  <c r="AR187" i="10" s="1"/>
  <c r="ER187" i="10"/>
  <c r="AZ187" i="10" s="1"/>
  <c r="FL219" i="10"/>
  <c r="EV219" i="10"/>
  <c r="BD219" i="10" s="1"/>
  <c r="EJ219" i="10"/>
  <c r="AR219" i="10" s="1"/>
  <c r="EO219" i="10"/>
  <c r="AW219" i="10" s="1"/>
  <c r="EH219" i="10"/>
  <c r="AP219" i="10" s="1"/>
  <c r="FF219" i="10"/>
  <c r="EK219" i="10"/>
  <c r="AS219" i="10" s="1"/>
  <c r="FK219" i="10"/>
  <c r="FA216" i="10"/>
  <c r="BI216" i="10" s="1"/>
  <c r="EH216" i="10"/>
  <c r="AP216" i="10" s="1"/>
  <c r="EL216" i="10"/>
  <c r="AT216" i="10" s="1"/>
  <c r="FC216" i="10"/>
  <c r="BK216" i="10" s="1"/>
  <c r="FK216" i="10"/>
  <c r="EI216" i="10"/>
  <c r="AQ216" i="10" s="1"/>
  <c r="FH216" i="10"/>
  <c r="FL216" i="10"/>
  <c r="EX216" i="10"/>
  <c r="BF216" i="10" s="1"/>
  <c r="BP209" i="10"/>
  <c r="EL209" i="10"/>
  <c r="AT209" i="10" s="1"/>
  <c r="EN209" i="10"/>
  <c r="AV209" i="10" s="1"/>
  <c r="EZ209" i="10"/>
  <c r="BH209" i="10" s="1"/>
  <c r="EP209" i="10"/>
  <c r="AX209" i="10" s="1"/>
  <c r="EO209" i="10"/>
  <c r="AW209" i="10" s="1"/>
  <c r="ER209" i="10"/>
  <c r="AZ209" i="10" s="1"/>
  <c r="EY209" i="10"/>
  <c r="BG209" i="10" s="1"/>
  <c r="FL214" i="10"/>
  <c r="FC214" i="10"/>
  <c r="BK214" i="10" s="1"/>
  <c r="ES192" i="10"/>
  <c r="BA192" i="10" s="1"/>
  <c r="EH187" i="10"/>
  <c r="AP187" i="10" s="1"/>
  <c r="FK187" i="10"/>
  <c r="EO187" i="10"/>
  <c r="AW187" i="10" s="1"/>
  <c r="FG187" i="10"/>
  <c r="FC187" i="10"/>
  <c r="BK187" i="10" s="1"/>
  <c r="EI187" i="10"/>
  <c r="AQ187" i="10" s="1"/>
  <c r="EN187" i="10"/>
  <c r="AV187" i="10" s="1"/>
  <c r="FA187" i="10"/>
  <c r="BI187" i="10" s="1"/>
  <c r="FJ219" i="10"/>
  <c r="EW219" i="10"/>
  <c r="BE219" i="10" s="1"/>
  <c r="EG219" i="10"/>
  <c r="AM219" i="10" s="1"/>
  <c r="CO219" i="10" s="1"/>
  <c r="FG219" i="10"/>
  <c r="EY219" i="10"/>
  <c r="BG219" i="10" s="1"/>
  <c r="FB219" i="10"/>
  <c r="BJ219" i="10" s="1"/>
  <c r="EN219" i="10"/>
  <c r="AV219" i="10" s="1"/>
  <c r="EI219" i="10"/>
  <c r="AQ219" i="10" s="1"/>
  <c r="EU219" i="10"/>
  <c r="BC219" i="10" s="1"/>
  <c r="EQ216" i="10"/>
  <c r="AY216" i="10" s="1"/>
  <c r="EP216" i="10"/>
  <c r="AX216" i="10" s="1"/>
  <c r="ET216" i="10"/>
  <c r="BB216" i="10" s="1"/>
  <c r="FG216" i="10"/>
  <c r="ER216" i="10"/>
  <c r="AZ216" i="10" s="1"/>
  <c r="EU216" i="10"/>
  <c r="BC216" i="10" s="1"/>
  <c r="EG216" i="10"/>
  <c r="AM216" i="10" s="1"/>
  <c r="CO216" i="10" s="1"/>
  <c r="FI216" i="10"/>
  <c r="EU209" i="10"/>
  <c r="BC209" i="10" s="1"/>
  <c r="EQ209" i="10"/>
  <c r="AY209" i="10" s="1"/>
  <c r="EK209" i="10"/>
  <c r="AS209" i="10" s="1"/>
  <c r="FD209" i="10"/>
  <c r="BL209" i="10" s="1"/>
  <c r="EJ209" i="10"/>
  <c r="AR209" i="10" s="1"/>
  <c r="EW209" i="10"/>
  <c r="BE209" i="10" s="1"/>
  <c r="FA209" i="10"/>
  <c r="BI209" i="10" s="1"/>
  <c r="FC209" i="10"/>
  <c r="BK209" i="10" s="1"/>
  <c r="EH192" i="10"/>
  <c r="AP192" i="10" s="1"/>
  <c r="EG214" i="10"/>
  <c r="AO214" i="10" s="1"/>
  <c r="EM214" i="10"/>
  <c r="AU214" i="10" s="1"/>
  <c r="EO192" i="10"/>
  <c r="AW192" i="10" s="1"/>
  <c r="EU192" i="10"/>
  <c r="BC192" i="10" s="1"/>
  <c r="EQ192" i="10"/>
  <c r="AY192" i="10" s="1"/>
  <c r="FL187" i="10"/>
  <c r="EZ187" i="10"/>
  <c r="BH187" i="10" s="1"/>
  <c r="EK187" i="10"/>
  <c r="AS187" i="10" s="1"/>
  <c r="FI187" i="10"/>
  <c r="BP187" i="10"/>
  <c r="EY187" i="10"/>
  <c r="BG187" i="10" s="1"/>
  <c r="FD187" i="10"/>
  <c r="BL187" i="10" s="1"/>
  <c r="FB187" i="10"/>
  <c r="BJ187" i="10" s="1"/>
  <c r="BP219" i="10"/>
  <c r="EL219" i="10"/>
  <c r="AT219" i="10" s="1"/>
  <c r="EX219" i="10"/>
  <c r="BF219" i="10" s="1"/>
  <c r="FI219" i="10"/>
  <c r="ES219" i="10"/>
  <c r="BA219" i="10" s="1"/>
  <c r="FC219" i="10"/>
  <c r="BK219" i="10" s="1"/>
  <c r="EM219" i="10"/>
  <c r="AU219" i="10" s="1"/>
  <c r="EO216" i="10"/>
  <c r="AW216" i="10" s="1"/>
  <c r="FD216" i="10"/>
  <c r="BL216" i="10" s="1"/>
  <c r="EK216" i="10"/>
  <c r="AS216" i="10" s="1"/>
  <c r="EW216" i="10"/>
  <c r="BE216" i="10" s="1"/>
  <c r="EM216" i="10"/>
  <c r="AU216" i="10" s="1"/>
  <c r="FJ216" i="10"/>
  <c r="EJ216" i="10"/>
  <c r="AR216" i="10" s="1"/>
  <c r="EV209" i="10"/>
  <c r="BD209" i="10" s="1"/>
  <c r="FB209" i="10"/>
  <c r="BJ209" i="10" s="1"/>
  <c r="EM209" i="10"/>
  <c r="AU209" i="10" s="1"/>
  <c r="EG209" i="10"/>
  <c r="AO209" i="10" s="1"/>
  <c r="FE209" i="10"/>
  <c r="BM209" i="10" s="1"/>
  <c r="FG209" i="10"/>
  <c r="ES209" i="10"/>
  <c r="BA209" i="10" s="1"/>
  <c r="FB192" i="10"/>
  <c r="BJ192" i="10" s="1"/>
  <c r="EY192" i="10"/>
  <c r="BG192" i="10" s="1"/>
  <c r="ES214" i="10"/>
  <c r="BA214" i="10" s="1"/>
  <c r="FG214" i="10"/>
  <c r="FJ192" i="10"/>
  <c r="EX195" i="10"/>
  <c r="BF195" i="10" s="1"/>
  <c r="EM195" i="10"/>
  <c r="AU195" i="10" s="1"/>
  <c r="EG192" i="10"/>
  <c r="AM192" i="10" s="1"/>
  <c r="CO192" i="10" s="1"/>
  <c r="EV214" i="10"/>
  <c r="BD214" i="10" s="1"/>
  <c r="FF192" i="10"/>
  <c r="FI192" i="10"/>
  <c r="EI214" i="10"/>
  <c r="AQ214" i="10" s="1"/>
  <c r="EJ214" i="10"/>
  <c r="AR214" i="10" s="1"/>
  <c r="EW195" i="10"/>
  <c r="BE195" i="10" s="1"/>
  <c r="FC195" i="10"/>
  <c r="BK195" i="10" s="1"/>
  <c r="FK195" i="10"/>
  <c r="EG206" i="10"/>
  <c r="AO206" i="10" s="1"/>
  <c r="FF195" i="10"/>
  <c r="EH195" i="10"/>
  <c r="AP195" i="10" s="1"/>
  <c r="FC192" i="10"/>
  <c r="BK192" i="10" s="1"/>
  <c r="FJ214" i="10"/>
  <c r="ER192" i="10"/>
  <c r="AZ192" i="10" s="1"/>
  <c r="BP214" i="10"/>
  <c r="FI214" i="10"/>
  <c r="EN192" i="10"/>
  <c r="AV192" i="10" s="1"/>
  <c r="ER214" i="10"/>
  <c r="AZ214" i="10" s="1"/>
  <c r="ET192" i="10"/>
  <c r="BB192" i="10" s="1"/>
  <c r="FD214" i="10"/>
  <c r="BL214" i="10" s="1"/>
  <c r="ES185" i="10"/>
  <c r="BA185" i="10" s="1"/>
  <c r="FA192" i="10"/>
  <c r="BI192" i="10" s="1"/>
  <c r="FH214" i="10"/>
  <c r="EX192" i="10"/>
  <c r="BF192" i="10" s="1"/>
  <c r="EZ192" i="10"/>
  <c r="BH192" i="10" s="1"/>
  <c r="EZ214" i="10"/>
  <c r="BH214" i="10" s="1"/>
  <c r="EW192" i="10"/>
  <c r="BE192" i="10" s="1"/>
  <c r="EM192" i="10"/>
  <c r="AU192" i="10" s="1"/>
  <c r="EN214" i="10"/>
  <c r="AV214" i="10" s="1"/>
  <c r="FF214" i="10"/>
  <c r="FK192" i="10"/>
  <c r="EU214" i="10"/>
  <c r="BC214" i="10" s="1"/>
  <c r="FL192" i="10"/>
  <c r="FK214" i="10"/>
  <c r="EU181" i="10"/>
  <c r="BC181" i="10" s="1"/>
  <c r="EH181" i="10"/>
  <c r="AP181" i="10" s="1"/>
  <c r="EQ214" i="10"/>
  <c r="AY214" i="10" s="1"/>
  <c r="EG218" i="10"/>
  <c r="FA218" i="10"/>
  <c r="BI218" i="10" s="1"/>
  <c r="ET218" i="10"/>
  <c r="BB218" i="10" s="1"/>
  <c r="FF218" i="10"/>
  <c r="FK218" i="10"/>
  <c r="FL218" i="10"/>
  <c r="FJ218" i="10"/>
  <c r="EL218" i="10"/>
  <c r="AT218" i="10" s="1"/>
  <c r="EQ218" i="10"/>
  <c r="AY218" i="10" s="1"/>
  <c r="EJ218" i="10"/>
  <c r="AR218" i="10" s="1"/>
  <c r="FE218" i="10"/>
  <c r="BM218" i="10" s="1"/>
  <c r="EY218" i="10"/>
  <c r="BG218" i="10" s="1"/>
  <c r="EP218" i="10"/>
  <c r="AX218" i="10" s="1"/>
  <c r="EW218" i="10"/>
  <c r="BE218" i="10" s="1"/>
  <c r="ES218" i="10"/>
  <c r="BA218" i="10" s="1"/>
  <c r="FI218" i="10"/>
  <c r="FD218" i="10"/>
  <c r="BL218" i="10" s="1"/>
  <c r="FB218" i="10"/>
  <c r="BJ218" i="10" s="1"/>
  <c r="EN218" i="10"/>
  <c r="AV218" i="10" s="1"/>
  <c r="EZ218" i="10"/>
  <c r="BH218" i="10" s="1"/>
  <c r="FH218" i="10"/>
  <c r="EK218" i="10"/>
  <c r="AS218" i="10" s="1"/>
  <c r="EV218" i="10"/>
  <c r="BD218" i="10" s="1"/>
  <c r="EH218" i="10"/>
  <c r="AP218" i="10" s="1"/>
  <c r="FC218" i="10"/>
  <c r="BK218" i="10" s="1"/>
  <c r="EX218" i="10"/>
  <c r="BF218" i="10" s="1"/>
  <c r="EI218" i="10"/>
  <c r="AQ218" i="10" s="1"/>
  <c r="EO218" i="10"/>
  <c r="AW218" i="10" s="1"/>
  <c r="ER218" i="10"/>
  <c r="AZ218" i="10" s="1"/>
  <c r="EM218" i="10"/>
  <c r="AU218" i="10" s="1"/>
  <c r="FG218" i="10"/>
  <c r="BP218" i="10"/>
  <c r="EU218" i="10"/>
  <c r="BC218" i="10" s="1"/>
  <c r="EY212" i="10"/>
  <c r="BG212" i="10" s="1"/>
  <c r="FG212" i="10"/>
  <c r="BP212" i="10"/>
  <c r="EW212" i="10"/>
  <c r="BE212" i="10" s="1"/>
  <c r="FH212" i="10"/>
  <c r="ES212" i="10"/>
  <c r="BA212" i="10" s="1"/>
  <c r="FC212" i="10"/>
  <c r="BK212" i="10" s="1"/>
  <c r="FJ212" i="10"/>
  <c r="ET212" i="10"/>
  <c r="BB212" i="10" s="1"/>
  <c r="FD212" i="10"/>
  <c r="BL212" i="10" s="1"/>
  <c r="EZ212" i="10"/>
  <c r="BH212" i="10" s="1"/>
  <c r="EX212" i="10"/>
  <c r="BF212" i="10" s="1"/>
  <c r="FB212" i="10"/>
  <c r="BJ212" i="10" s="1"/>
  <c r="EG212" i="10"/>
  <c r="EH212" i="10"/>
  <c r="AP212" i="10" s="1"/>
  <c r="EK212" i="10"/>
  <c r="AS212" i="10" s="1"/>
  <c r="FF212" i="10"/>
  <c r="EL212" i="10"/>
  <c r="AT212" i="10" s="1"/>
  <c r="EQ212" i="10"/>
  <c r="AY212" i="10" s="1"/>
  <c r="EU212" i="10"/>
  <c r="BC212" i="10" s="1"/>
  <c r="EJ212" i="10"/>
  <c r="AR212" i="10" s="1"/>
  <c r="FI212" i="10"/>
  <c r="EM212" i="10"/>
  <c r="AU212" i="10" s="1"/>
  <c r="EI212" i="10"/>
  <c r="AQ212" i="10" s="1"/>
  <c r="FK212" i="10"/>
  <c r="EO212" i="10"/>
  <c r="AW212" i="10" s="1"/>
  <c r="EP212" i="10"/>
  <c r="AX212" i="10" s="1"/>
  <c r="FL212" i="10"/>
  <c r="EN212" i="10"/>
  <c r="AV212" i="10" s="1"/>
  <c r="FE212" i="10"/>
  <c r="BM212" i="10" s="1"/>
  <c r="EV212" i="10"/>
  <c r="BD212" i="10" s="1"/>
  <c r="FA212" i="10"/>
  <c r="BI212" i="10" s="1"/>
  <c r="ER212" i="10"/>
  <c r="AZ212" i="10" s="1"/>
  <c r="EV192" i="10"/>
  <c r="BD192" i="10" s="1"/>
  <c r="FH192" i="10"/>
  <c r="EO214" i="10"/>
  <c r="AW214" i="10" s="1"/>
  <c r="EW214" i="10"/>
  <c r="BE214" i="10" s="1"/>
  <c r="EI192" i="10"/>
  <c r="AQ192" i="10" s="1"/>
  <c r="FG192" i="10"/>
  <c r="FE214" i="10"/>
  <c r="BM214" i="10" s="1"/>
  <c r="EY214" i="10"/>
  <c r="BG214" i="10" s="1"/>
  <c r="EL192" i="10"/>
  <c r="AT192" i="10" s="1"/>
  <c r="EJ192" i="10"/>
  <c r="AR192" i="10" s="1"/>
  <c r="EL214" i="10"/>
  <c r="AT214" i="10" s="1"/>
  <c r="ET214" i="10"/>
  <c r="BB214" i="10" s="1"/>
  <c r="FA214" i="10"/>
  <c r="BI214" i="10" s="1"/>
  <c r="EH214" i="10"/>
  <c r="AP214" i="10" s="1"/>
  <c r="FB214" i="10"/>
  <c r="BJ214" i="10" s="1"/>
  <c r="BP192" i="10"/>
  <c r="FC206" i="10"/>
  <c r="BK206" i="10" s="1"/>
  <c r="EL188" i="10"/>
  <c r="AT188" i="10" s="1"/>
  <c r="FF188" i="10"/>
  <c r="FA188" i="10"/>
  <c r="BI188" i="10" s="1"/>
  <c r="FC188" i="10"/>
  <c r="BK188" i="10" s="1"/>
  <c r="FE188" i="10"/>
  <c r="BM188" i="10" s="1"/>
  <c r="EZ188" i="10"/>
  <c r="BH188" i="10" s="1"/>
  <c r="ER188" i="10"/>
  <c r="AZ188" i="10" s="1"/>
  <c r="EH188" i="10"/>
  <c r="AP188" i="10" s="1"/>
  <c r="FJ188" i="10"/>
  <c r="FB188" i="10"/>
  <c r="BJ188" i="10" s="1"/>
  <c r="EY188" i="10"/>
  <c r="BG188" i="10" s="1"/>
  <c r="ES188" i="10"/>
  <c r="BA188" i="10" s="1"/>
  <c r="EQ188" i="10"/>
  <c r="AY188" i="10" s="1"/>
  <c r="EU188" i="10"/>
  <c r="BC188" i="10" s="1"/>
  <c r="EV188" i="10"/>
  <c r="BD188" i="10" s="1"/>
  <c r="FG188" i="10"/>
  <c r="FK188" i="10"/>
  <c r="EM188" i="10"/>
  <c r="AU188" i="10" s="1"/>
  <c r="FL188" i="10"/>
  <c r="EP188" i="10"/>
  <c r="AX188" i="10" s="1"/>
  <c r="EG188" i="10"/>
  <c r="EW188" i="10"/>
  <c r="BE188" i="10" s="1"/>
  <c r="EN188" i="10"/>
  <c r="AV188" i="10" s="1"/>
  <c r="FD188" i="10"/>
  <c r="BL188" i="10" s="1"/>
  <c r="EK188" i="10"/>
  <c r="AS188" i="10" s="1"/>
  <c r="FH188" i="10"/>
  <c r="EJ188" i="10"/>
  <c r="AR188" i="10" s="1"/>
  <c r="EI188" i="10"/>
  <c r="AQ188" i="10" s="1"/>
  <c r="EX188" i="10"/>
  <c r="BF188" i="10" s="1"/>
  <c r="FI188" i="10"/>
  <c r="ET188" i="10"/>
  <c r="BB188" i="10" s="1"/>
  <c r="BP188" i="10"/>
  <c r="EO188" i="10"/>
  <c r="AW188" i="10" s="1"/>
  <c r="F13" i="41"/>
  <c r="E14" i="41" s="1"/>
  <c r="C13" i="41"/>
  <c r="A13" i="41"/>
  <c r="B13" i="41" s="1"/>
  <c r="T225" i="10"/>
  <c r="AQ225" i="10"/>
  <c r="BR225" i="10"/>
  <c r="AM220" i="10"/>
  <c r="CO220" i="10" s="1"/>
  <c r="AO225" i="10"/>
  <c r="W225" i="10"/>
  <c r="X225" i="10"/>
  <c r="G188" i="39"/>
  <c r="AG225" i="10"/>
  <c r="AD225" i="10"/>
  <c r="U225" i="10"/>
  <c r="AT225" i="10"/>
  <c r="CO224" i="10"/>
  <c r="Q225" i="10"/>
  <c r="AE225" i="10"/>
  <c r="S225" i="10"/>
  <c r="BC225" i="10"/>
  <c r="BE225" i="10"/>
  <c r="AV225" i="10"/>
  <c r="O225" i="10"/>
  <c r="B188" i="39" s="1"/>
  <c r="AJ225" i="10"/>
  <c r="AL225" i="10"/>
  <c r="P225" i="10"/>
  <c r="AX225" i="10"/>
  <c r="AP225" i="10"/>
  <c r="BD225" i="10"/>
  <c r="AA225" i="10"/>
  <c r="AH225" i="10"/>
  <c r="BM225" i="10"/>
  <c r="BI225" i="10"/>
  <c r="BH225" i="10"/>
  <c r="BK225" i="10"/>
  <c r="BA225" i="10"/>
  <c r="AW225" i="10"/>
  <c r="AU225" i="10"/>
  <c r="BJ225" i="10"/>
  <c r="BF225" i="10"/>
  <c r="BL225" i="10"/>
  <c r="AR225" i="10"/>
  <c r="AC225" i="10"/>
  <c r="AF225" i="10"/>
  <c r="AB225" i="10"/>
  <c r="R225" i="10"/>
  <c r="AI225" i="10"/>
  <c r="AZ225" i="10"/>
  <c r="AS225" i="10"/>
  <c r="BG225" i="10"/>
  <c r="AY225" i="10"/>
  <c r="AM225" i="10"/>
  <c r="BB225" i="10"/>
  <c r="CN225" i="10"/>
  <c r="Y225" i="10"/>
  <c r="V225" i="10"/>
  <c r="AK225" i="10"/>
  <c r="ED226" i="10"/>
  <c r="DS226" i="10"/>
  <c r="DU226" i="10"/>
  <c r="DZ226" i="10"/>
  <c r="B226" i="10"/>
  <c r="Q226" i="10" s="1"/>
  <c r="DV226" i="10"/>
  <c r="BW227" i="10"/>
  <c r="EF227" i="10"/>
  <c r="DX227" i="10" s="1"/>
  <c r="AO182" i="10"/>
  <c r="AM182" i="10"/>
  <c r="BN228" i="10"/>
  <c r="DJ226" i="10"/>
  <c r="DX226" i="10"/>
  <c r="DM226" i="10"/>
  <c r="DP226" i="10"/>
  <c r="DW226" i="10"/>
  <c r="M55" i="23"/>
  <c r="E55" i="23"/>
  <c r="O55" i="23"/>
  <c r="Y55" i="23"/>
  <c r="V55" i="23"/>
  <c r="Z55" i="23"/>
  <c r="I55" i="23"/>
  <c r="S55" i="23"/>
  <c r="AD55" i="23"/>
  <c r="C51" i="34"/>
  <c r="D52" i="34" s="1"/>
  <c r="AG56" i="23"/>
  <c r="B56" i="23"/>
  <c r="AO190" i="10"/>
  <c r="AM190" i="10"/>
  <c r="CO190" i="10" s="1"/>
  <c r="AO191" i="10"/>
  <c r="AM191" i="10"/>
  <c r="EE226" i="10"/>
  <c r="EC226" i="10"/>
  <c r="DT226" i="10"/>
  <c r="EA226" i="10"/>
  <c r="DR226" i="10"/>
  <c r="DY226" i="10"/>
  <c r="AO178" i="10"/>
  <c r="AM178" i="10"/>
  <c r="CO178" i="10" s="1"/>
  <c r="AM194" i="10"/>
  <c r="CO194" i="10" s="1"/>
  <c r="AO194" i="10"/>
  <c r="AO198" i="10"/>
  <c r="AM198" i="10"/>
  <c r="CO198" i="10" s="1"/>
  <c r="K85" i="14"/>
  <c r="BL85" i="14" s="1"/>
  <c r="DL226" i="10"/>
  <c r="EB226" i="10"/>
  <c r="DN226" i="10"/>
  <c r="DQ226" i="10"/>
  <c r="DO226" i="10"/>
  <c r="A87" i="14"/>
  <c r="CE87" i="14" s="1"/>
  <c r="CB86" i="14"/>
  <c r="BV86" i="14" s="1"/>
  <c r="C86" i="14"/>
  <c r="A75" i="40"/>
  <c r="B86" i="14"/>
  <c r="M86" i="14" s="1"/>
  <c r="C75" i="40" s="1"/>
  <c r="E75" i="40" s="1"/>
  <c r="D86" i="14"/>
  <c r="BP86" i="14"/>
  <c r="BQ86" i="14"/>
  <c r="P86" i="14"/>
  <c r="BX86" i="14"/>
  <c r="CG86" i="14"/>
  <c r="BT85" i="14"/>
  <c r="BU85" i="14"/>
  <c r="B74" i="40"/>
  <c r="BY228" i="10"/>
  <c r="GW102" i="7"/>
  <c r="GU103" i="7"/>
  <c r="GV103" i="7"/>
  <c r="C227" i="10"/>
  <c r="G228" i="10"/>
  <c r="BX228" i="10"/>
  <c r="F228" i="10"/>
  <c r="GX102" i="7" l="1"/>
  <c r="U65" i="24"/>
  <c r="V65" i="24" s="1"/>
  <c r="C31" i="38"/>
  <c r="A31" i="38"/>
  <c r="B31" i="38" s="1"/>
  <c r="J64" i="24"/>
  <c r="L64" i="24"/>
  <c r="P64" i="24"/>
  <c r="I64" i="24" s="1"/>
  <c r="E32" i="38"/>
  <c r="F32" i="38"/>
  <c r="A34" i="42"/>
  <c r="B34" i="42" s="1"/>
  <c r="C34" i="42"/>
  <c r="F35" i="42"/>
  <c r="E35" i="42"/>
  <c r="CO191" i="10"/>
  <c r="AO204" i="10"/>
  <c r="AM199" i="10"/>
  <c r="CO199" i="10" s="1"/>
  <c r="AO207" i="10"/>
  <c r="AM201" i="10"/>
  <c r="CO201" i="10" s="1"/>
  <c r="AM202" i="10"/>
  <c r="CO202" i="10" s="1"/>
  <c r="AM222" i="10"/>
  <c r="CO222" i="10" s="1"/>
  <c r="AM186" i="10"/>
  <c r="CO186" i="10" s="1"/>
  <c r="AO217" i="10"/>
  <c r="AO189" i="10"/>
  <c r="AO200" i="10"/>
  <c r="AO208" i="10"/>
  <c r="CO182" i="10"/>
  <c r="AM183" i="10"/>
  <c r="CO183" i="10" s="1"/>
  <c r="AM196" i="10"/>
  <c r="CO196" i="10" s="1"/>
  <c r="AM177" i="10"/>
  <c r="CO177" i="10" s="1"/>
  <c r="AO213" i="10"/>
  <c r="AM180" i="10"/>
  <c r="CO180" i="10" s="1"/>
  <c r="AM203" i="10"/>
  <c r="CO203" i="10" s="1"/>
  <c r="AO193" i="10"/>
  <c r="CA86" i="14"/>
  <c r="CC86" i="14"/>
  <c r="BR86" i="14"/>
  <c r="AM215" i="10"/>
  <c r="CO215" i="10" s="1"/>
  <c r="AO195" i="10"/>
  <c r="AM187" i="10"/>
  <c r="CO187" i="10" s="1"/>
  <c r="AM197" i="10"/>
  <c r="CO197" i="10" s="1"/>
  <c r="AO216" i="10"/>
  <c r="AO179" i="10"/>
  <c r="AO184" i="10"/>
  <c r="AM221" i="10"/>
  <c r="CO221" i="10" s="1"/>
  <c r="AO211" i="10"/>
  <c r="AM181" i="10"/>
  <c r="CO181" i="10" s="1"/>
  <c r="AO192" i="10"/>
  <c r="AM209" i="10"/>
  <c r="CO209" i="10" s="1"/>
  <c r="AM205" i="10"/>
  <c r="CO205" i="10" s="1"/>
  <c r="AM206" i="10"/>
  <c r="CO206" i="10" s="1"/>
  <c r="AO219" i="10"/>
  <c r="AM214" i="10"/>
  <c r="CO214" i="10" s="1"/>
  <c r="AO218" i="10"/>
  <c r="AM218" i="10"/>
  <c r="CO218" i="10" s="1"/>
  <c r="AO212" i="10"/>
  <c r="AM212" i="10"/>
  <c r="CO212" i="10" s="1"/>
  <c r="AM188" i="10"/>
  <c r="CO188" i="10" s="1"/>
  <c r="AO188" i="10"/>
  <c r="F14" i="41"/>
  <c r="E15" i="41" s="1"/>
  <c r="A14" i="41"/>
  <c r="B14" i="41" s="1"/>
  <c r="C14" i="41"/>
  <c r="Y85" i="14"/>
  <c r="AK85" i="14"/>
  <c r="BK226" i="10"/>
  <c r="BA226" i="10"/>
  <c r="AP226" i="10"/>
  <c r="W226" i="10"/>
  <c r="Z226" i="10"/>
  <c r="S226" i="10"/>
  <c r="AY226" i="10"/>
  <c r="BJ226" i="10"/>
  <c r="BL226" i="10"/>
  <c r="BE226" i="10"/>
  <c r="BA85" i="14"/>
  <c r="BG85" i="14"/>
  <c r="T226" i="10"/>
  <c r="AE226" i="10"/>
  <c r="AI226" i="10"/>
  <c r="AD226" i="10"/>
  <c r="BM226" i="10"/>
  <c r="BD226" i="10"/>
  <c r="BB226" i="10"/>
  <c r="BG226" i="10"/>
  <c r="AZ226" i="10"/>
  <c r="AR226" i="10"/>
  <c r="G189" i="39"/>
  <c r="AH226" i="10"/>
  <c r="X226" i="10"/>
  <c r="AK226" i="10"/>
  <c r="AC226" i="10"/>
  <c r="P226" i="10"/>
  <c r="AX226" i="10"/>
  <c r="BF226" i="10"/>
  <c r="AW226" i="10"/>
  <c r="AQ226" i="10"/>
  <c r="AS226" i="10"/>
  <c r="AV226" i="10"/>
  <c r="CN226" i="10"/>
  <c r="AT85" i="14"/>
  <c r="T85" i="14"/>
  <c r="U226" i="10"/>
  <c r="R226" i="10"/>
  <c r="AG226" i="10"/>
  <c r="V226" i="10"/>
  <c r="AO226" i="10"/>
  <c r="AT226" i="10"/>
  <c r="AM226" i="10"/>
  <c r="BC226" i="10"/>
  <c r="BI226" i="10"/>
  <c r="BH226" i="10"/>
  <c r="AU226" i="10"/>
  <c r="O226" i="10"/>
  <c r="B189" i="39" s="1"/>
  <c r="CO225" i="10"/>
  <c r="AR85" i="14"/>
  <c r="V85" i="14"/>
  <c r="AY85" i="14"/>
  <c r="AI85" i="14"/>
  <c r="AW85" i="14"/>
  <c r="BM85" i="14"/>
  <c r="AL85" i="14"/>
  <c r="AG85" i="14"/>
  <c r="BF85" i="14"/>
  <c r="X85" i="14"/>
  <c r="AD85" i="14"/>
  <c r="BE85" i="14"/>
  <c r="W85" i="14"/>
  <c r="AJ85" i="14"/>
  <c r="AO85" i="14"/>
  <c r="AZ85" i="14"/>
  <c r="BN85" i="14"/>
  <c r="BB85" i="14"/>
  <c r="Z85" i="14"/>
  <c r="BJ85" i="14"/>
  <c r="AV85" i="14"/>
  <c r="AF85" i="14"/>
  <c r="S85" i="14"/>
  <c r="AS85" i="14"/>
  <c r="AA85" i="14"/>
  <c r="BD85" i="14"/>
  <c r="BH85" i="14"/>
  <c r="AH85" i="14"/>
  <c r="U85" i="14"/>
  <c r="AC85" i="14"/>
  <c r="AQ85" i="14"/>
  <c r="AE85" i="14"/>
  <c r="AB85" i="14"/>
  <c r="BC85" i="14"/>
  <c r="AP85" i="14"/>
  <c r="BI85" i="14"/>
  <c r="R85" i="14"/>
  <c r="BK85" i="14"/>
  <c r="AX85" i="14"/>
  <c r="AU85" i="14"/>
  <c r="AB226" i="10"/>
  <c r="Y226" i="10"/>
  <c r="AL226" i="10"/>
  <c r="AJ226" i="10"/>
  <c r="AA226" i="10"/>
  <c r="B227" i="10"/>
  <c r="CN227" i="10" s="1"/>
  <c r="BR226" i="10"/>
  <c r="AF226" i="10"/>
  <c r="K86" i="14"/>
  <c r="S86" i="14" s="1"/>
  <c r="AL227" i="10"/>
  <c r="EF228" i="10"/>
  <c r="DX228" i="10" s="1"/>
  <c r="BW228" i="10"/>
  <c r="S56" i="23"/>
  <c r="E56" i="23"/>
  <c r="M56" i="23"/>
  <c r="AD56" i="23"/>
  <c r="O56" i="23"/>
  <c r="Z56" i="23"/>
  <c r="Y56" i="23"/>
  <c r="I56" i="23"/>
  <c r="V56" i="23"/>
  <c r="DS227" i="10"/>
  <c r="DU227" i="10"/>
  <c r="DV227" i="10"/>
  <c r="DP227" i="10"/>
  <c r="DR227" i="10"/>
  <c r="DW227" i="10"/>
  <c r="DN227" i="10"/>
  <c r="C52" i="34"/>
  <c r="D53" i="34" s="1"/>
  <c r="ED227" i="10"/>
  <c r="DK227" i="10"/>
  <c r="DY227" i="10"/>
  <c r="EC227" i="10"/>
  <c r="DQ227" i="10"/>
  <c r="DT227" i="10"/>
  <c r="EE227" i="10"/>
  <c r="EA227" i="10"/>
  <c r="B57" i="23"/>
  <c r="AG57" i="23"/>
  <c r="BN229" i="10"/>
  <c r="DM227" i="10"/>
  <c r="DO227" i="10"/>
  <c r="DZ227" i="10"/>
  <c r="DL227" i="10"/>
  <c r="EB227" i="10"/>
  <c r="DJ227" i="10"/>
  <c r="A88" i="14"/>
  <c r="CE88" i="14" s="1"/>
  <c r="AW86" i="14"/>
  <c r="EC85" i="14"/>
  <c r="DG85" i="14"/>
  <c r="EF85" i="14"/>
  <c r="DT85" i="14"/>
  <c r="DL85" i="14"/>
  <c r="EN85" i="14"/>
  <c r="DI85" i="14"/>
  <c r="CV85" i="14"/>
  <c r="EE85" i="14"/>
  <c r="EA85" i="14"/>
  <c r="ER85" i="14"/>
  <c r="EL85" i="14"/>
  <c r="EJ85" i="14"/>
  <c r="DZ85" i="14"/>
  <c r="DU85" i="14"/>
  <c r="DX85" i="14"/>
  <c r="DC85" i="14"/>
  <c r="EQ85" i="14"/>
  <c r="EB85" i="14"/>
  <c r="CX85" i="14"/>
  <c r="DJ85" i="14"/>
  <c r="EG85" i="14"/>
  <c r="DB85" i="14"/>
  <c r="DA85" i="14"/>
  <c r="DQ85" i="14"/>
  <c r="ES85" i="14"/>
  <c r="DO85" i="14"/>
  <c r="EI85" i="14"/>
  <c r="DM85" i="14"/>
  <c r="EP85" i="14"/>
  <c r="DY85" i="14"/>
  <c r="BO85" i="14"/>
  <c r="G85" i="14" s="1"/>
  <c r="EM85" i="14"/>
  <c r="DP85" i="14"/>
  <c r="CY85" i="14"/>
  <c r="DD85" i="14"/>
  <c r="CZ85" i="14"/>
  <c r="DH85" i="14"/>
  <c r="EO85" i="14"/>
  <c r="CW85" i="14"/>
  <c r="DF85" i="14"/>
  <c r="DV85" i="14"/>
  <c r="DS85" i="14"/>
  <c r="DK85" i="14"/>
  <c r="DE85" i="14"/>
  <c r="DN85" i="14"/>
  <c r="ED85" i="14"/>
  <c r="EH85" i="14"/>
  <c r="EK85" i="14"/>
  <c r="DW85" i="14"/>
  <c r="B75" i="40"/>
  <c r="BT86" i="14"/>
  <c r="BU86" i="14"/>
  <c r="A76" i="40"/>
  <c r="B87" i="14"/>
  <c r="M87" i="14" s="1"/>
  <c r="C76" i="40" s="1"/>
  <c r="E76" i="40" s="1"/>
  <c r="BP87" i="14"/>
  <c r="C87" i="14"/>
  <c r="CB87" i="14"/>
  <c r="BV87" i="14" s="1"/>
  <c r="D87" i="14"/>
  <c r="P87" i="14"/>
  <c r="BQ87" i="14"/>
  <c r="BX87" i="14"/>
  <c r="CG87" i="14"/>
  <c r="BY229" i="10"/>
  <c r="GW103" i="7"/>
  <c r="GU104" i="7"/>
  <c r="GV104" i="7"/>
  <c r="N64" i="24"/>
  <c r="BX229" i="10"/>
  <c r="F229" i="10"/>
  <c r="C228" i="10"/>
  <c r="G229" i="10"/>
  <c r="GX103" i="7" l="1"/>
  <c r="F33" i="38"/>
  <c r="E33" i="38"/>
  <c r="A32" i="38"/>
  <c r="B32" i="38" s="1"/>
  <c r="C32" i="38"/>
  <c r="L65" i="24"/>
  <c r="P65" i="24"/>
  <c r="I65" i="24" s="1"/>
  <c r="J65" i="24"/>
  <c r="U66" i="24"/>
  <c r="C35" i="42"/>
  <c r="A35" i="42"/>
  <c r="B35" i="42" s="1"/>
  <c r="F36" i="42"/>
  <c r="E36" i="42"/>
  <c r="CA87" i="14"/>
  <c r="BR87" i="14"/>
  <c r="CC87" i="14"/>
  <c r="F15" i="41"/>
  <c r="E16" i="41" s="1"/>
  <c r="A15" i="41"/>
  <c r="B15" i="41" s="1"/>
  <c r="C15" i="41"/>
  <c r="BH227" i="10"/>
  <c r="BM86" i="14"/>
  <c r="AV227" i="10"/>
  <c r="AF227" i="10"/>
  <c r="Z227" i="10"/>
  <c r="Q227" i="10"/>
  <c r="BB227" i="10"/>
  <c r="BC227" i="10"/>
  <c r="AB86" i="14"/>
  <c r="AD86" i="14"/>
  <c r="AA86" i="14"/>
  <c r="BN86" i="14"/>
  <c r="BG227" i="10"/>
  <c r="AR227" i="10"/>
  <c r="AU227" i="10"/>
  <c r="V227" i="10"/>
  <c r="EA228" i="10"/>
  <c r="ED228" i="10"/>
  <c r="DN228" i="10"/>
  <c r="DT228" i="10"/>
  <c r="R227" i="10"/>
  <c r="AK227" i="10"/>
  <c r="AE227" i="10"/>
  <c r="BE227" i="10"/>
  <c r="BJ227" i="10"/>
  <c r="BF227" i="10"/>
  <c r="AM227" i="10"/>
  <c r="AS227" i="10"/>
  <c r="BA227" i="10"/>
  <c r="BD227" i="10"/>
  <c r="G190" i="39"/>
  <c r="X227" i="10"/>
  <c r="Y227" i="10"/>
  <c r="AD227" i="10"/>
  <c r="P227" i="10"/>
  <c r="U227" i="10"/>
  <c r="W227" i="10"/>
  <c r="AJ227" i="10"/>
  <c r="BK227" i="10"/>
  <c r="BL227" i="10"/>
  <c r="BM227" i="10"/>
  <c r="AW227" i="10"/>
  <c r="AO227" i="10"/>
  <c r="AX227" i="10"/>
  <c r="O227" i="10"/>
  <c r="B190" i="39" s="1"/>
  <c r="T227" i="10"/>
  <c r="AB227" i="10"/>
  <c r="AH227" i="10"/>
  <c r="S227" i="10"/>
  <c r="AG227" i="10"/>
  <c r="AI227" i="10"/>
  <c r="AT227" i="10"/>
  <c r="AY227" i="10"/>
  <c r="AZ227" i="10"/>
  <c r="AP227" i="10"/>
  <c r="AQ227" i="10"/>
  <c r="BI227" i="10"/>
  <c r="AC227" i="10"/>
  <c r="AA227" i="10"/>
  <c r="AH86" i="14"/>
  <c r="AK86" i="14"/>
  <c r="AT86" i="14"/>
  <c r="BD86" i="14"/>
  <c r="BI86" i="14"/>
  <c r="AC86" i="14"/>
  <c r="AP86" i="14"/>
  <c r="AQ86" i="14"/>
  <c r="BF86" i="14"/>
  <c r="Y86" i="14"/>
  <c r="U86" i="14"/>
  <c r="BJ86" i="14"/>
  <c r="BH86" i="14"/>
  <c r="AF86" i="14"/>
  <c r="AR86" i="14"/>
  <c r="BK86" i="14"/>
  <c r="BE86" i="14"/>
  <c r="AL86" i="14"/>
  <c r="BA86" i="14"/>
  <c r="BC86" i="14"/>
  <c r="W86" i="14"/>
  <c r="AY86" i="14"/>
  <c r="AE86" i="14"/>
  <c r="AV86" i="14"/>
  <c r="V86" i="14"/>
  <c r="T86" i="14"/>
  <c r="BG86" i="14"/>
  <c r="AO86" i="14"/>
  <c r="AS86" i="14"/>
  <c r="AI86" i="14"/>
  <c r="AG86" i="14"/>
  <c r="X86" i="14"/>
  <c r="AX86" i="14"/>
  <c r="BB86" i="14"/>
  <c r="AJ86" i="14"/>
  <c r="AU86" i="14"/>
  <c r="AZ86" i="14"/>
  <c r="R86" i="14"/>
  <c r="BL86" i="14"/>
  <c r="Z86" i="14"/>
  <c r="DQ228" i="10"/>
  <c r="DO228" i="10"/>
  <c r="DV228" i="10"/>
  <c r="BR227" i="10"/>
  <c r="DR228" i="10"/>
  <c r="EC228" i="10"/>
  <c r="DJ228" i="10"/>
  <c r="DL228" i="10"/>
  <c r="DS228" i="10"/>
  <c r="DY228" i="10"/>
  <c r="DU228" i="10"/>
  <c r="DP228" i="10"/>
  <c r="CO226" i="10"/>
  <c r="EE228" i="10"/>
  <c r="B228" i="10"/>
  <c r="BH228" i="10" s="1"/>
  <c r="K87" i="14"/>
  <c r="AO87" i="14" s="1"/>
  <c r="DZ228" i="10"/>
  <c r="EB228" i="10"/>
  <c r="DK228" i="10"/>
  <c r="DW228" i="10"/>
  <c r="DM228" i="10"/>
  <c r="BW229" i="10"/>
  <c r="EF229" i="10"/>
  <c r="C53" i="34"/>
  <c r="D54" i="34" s="1"/>
  <c r="BN230" i="10"/>
  <c r="E57" i="23"/>
  <c r="M57" i="23"/>
  <c r="O57" i="23"/>
  <c r="S57" i="23"/>
  <c r="V57" i="23"/>
  <c r="I57" i="23"/>
  <c r="Y57" i="23"/>
  <c r="AD57" i="23"/>
  <c r="Z57" i="23"/>
  <c r="AG58" i="23"/>
  <c r="B58" i="23"/>
  <c r="DF86" i="14"/>
  <c r="CV86" i="14"/>
  <c r="ES86" i="14"/>
  <c r="DD86" i="14"/>
  <c r="DU86" i="14"/>
  <c r="EO86" i="14"/>
  <c r="DB86" i="14"/>
  <c r="DS86" i="14"/>
  <c r="EI86" i="14"/>
  <c r="DV86" i="14"/>
  <c r="DK86" i="14"/>
  <c r="DW86" i="14"/>
  <c r="DJ86" i="14"/>
  <c r="ER86" i="14"/>
  <c r="EC86" i="14"/>
  <c r="ED86" i="14"/>
  <c r="EG86" i="14"/>
  <c r="CZ86" i="14"/>
  <c r="CW86" i="14"/>
  <c r="EN86" i="14"/>
  <c r="DO86" i="14"/>
  <c r="EM86" i="14"/>
  <c r="EJ86" i="14"/>
  <c r="DT86" i="14"/>
  <c r="BO86" i="14"/>
  <c r="G86" i="14" s="1"/>
  <c r="DX86" i="14"/>
  <c r="DI86" i="14"/>
  <c r="EQ86" i="14"/>
  <c r="DZ86" i="14"/>
  <c r="DQ86" i="14"/>
  <c r="DC86" i="14"/>
  <c r="EK86" i="14"/>
  <c r="DG86" i="14"/>
  <c r="EF86" i="14"/>
  <c r="DH86" i="14"/>
  <c r="EL86" i="14"/>
  <c r="DM86" i="14"/>
  <c r="EP86" i="14"/>
  <c r="DE86" i="14"/>
  <c r="EH86" i="14"/>
  <c r="DN86" i="14"/>
  <c r="EE86" i="14"/>
  <c r="DP86" i="14"/>
  <c r="DA86" i="14"/>
  <c r="CX86" i="14"/>
  <c r="DY86" i="14"/>
  <c r="DL86" i="14"/>
  <c r="CY86" i="14"/>
  <c r="EA86" i="14"/>
  <c r="EB86" i="14"/>
  <c r="A89" i="14"/>
  <c r="B88" i="14"/>
  <c r="M88" i="14" s="1"/>
  <c r="C77" i="40" s="1"/>
  <c r="E77" i="40" s="1"/>
  <c r="BQ88" i="14"/>
  <c r="D88" i="14"/>
  <c r="A77" i="40"/>
  <c r="CB88" i="14"/>
  <c r="BV88" i="14" s="1"/>
  <c r="C88" i="14"/>
  <c r="P88" i="14"/>
  <c r="BP88" i="14"/>
  <c r="CG88" i="14"/>
  <c r="BX88" i="14"/>
  <c r="BT87" i="14"/>
  <c r="B76" i="40"/>
  <c r="BU87" i="14"/>
  <c r="BY230" i="10"/>
  <c r="GW104" i="7"/>
  <c r="GU105" i="7"/>
  <c r="GV105" i="7"/>
  <c r="N65" i="24"/>
  <c r="F230" i="10"/>
  <c r="BX230" i="10"/>
  <c r="G230" i="10"/>
  <c r="C229" i="10"/>
  <c r="GX104" i="7" l="1"/>
  <c r="A33" i="38"/>
  <c r="B33" i="38" s="1"/>
  <c r="C33" i="38"/>
  <c r="F34" i="38"/>
  <c r="E34" i="38"/>
  <c r="L66" i="24"/>
  <c r="J66" i="24"/>
  <c r="P66" i="24"/>
  <c r="I66" i="24" s="1"/>
  <c r="V66" i="24"/>
  <c r="U67" i="24" s="1"/>
  <c r="C36" i="42"/>
  <c r="A36" i="42"/>
  <c r="B36" i="42" s="1"/>
  <c r="E37" i="42"/>
  <c r="F37" i="42"/>
  <c r="CA88" i="14"/>
  <c r="BR88" i="14"/>
  <c r="CC88" i="14"/>
  <c r="F16" i="41"/>
  <c r="E17" i="41" s="1"/>
  <c r="A16" i="41"/>
  <c r="B16" i="41" s="1"/>
  <c r="C16" i="41"/>
  <c r="BC87" i="14"/>
  <c r="AJ87" i="14"/>
  <c r="AQ87" i="14"/>
  <c r="AX87" i="14"/>
  <c r="AY87" i="14"/>
  <c r="AV87" i="14"/>
  <c r="AD87" i="14"/>
  <c r="Z87" i="14"/>
  <c r="T87" i="14"/>
  <c r="AP87" i="14"/>
  <c r="AL87" i="14"/>
  <c r="AC87" i="14"/>
  <c r="BG87" i="14"/>
  <c r="AK87" i="14"/>
  <c r="S87" i="14"/>
  <c r="AI87" i="14"/>
  <c r="BF87" i="14"/>
  <c r="BI87" i="14"/>
  <c r="R87" i="14"/>
  <c r="BJ228" i="10"/>
  <c r="AH228" i="10"/>
  <c r="CO227" i="10"/>
  <c r="AL228" i="10"/>
  <c r="AS228" i="10"/>
  <c r="AW228" i="10"/>
  <c r="AZ228" i="10"/>
  <c r="AK228" i="10"/>
  <c r="AE228" i="10"/>
  <c r="Z228" i="10"/>
  <c r="AS87" i="14"/>
  <c r="AZ87" i="14"/>
  <c r="BN87" i="14"/>
  <c r="BJ87" i="14"/>
  <c r="AF87" i="14"/>
  <c r="BB87" i="14"/>
  <c r="AH87" i="14"/>
  <c r="AT87" i="14"/>
  <c r="BD87" i="14"/>
  <c r="Y87" i="14"/>
  <c r="AA87" i="14"/>
  <c r="BE87" i="14"/>
  <c r="BA87" i="14"/>
  <c r="W87" i="14"/>
  <c r="BM87" i="14"/>
  <c r="BK87" i="14"/>
  <c r="AE87" i="14"/>
  <c r="AG87" i="14"/>
  <c r="X87" i="14"/>
  <c r="AI228" i="10"/>
  <c r="U228" i="10"/>
  <c r="V87" i="14"/>
  <c r="AU87" i="14"/>
  <c r="AA228" i="10"/>
  <c r="P228" i="10"/>
  <c r="AB228" i="10"/>
  <c r="AJ228" i="10"/>
  <c r="AP228" i="10"/>
  <c r="BI228" i="10"/>
  <c r="AQ228" i="10"/>
  <c r="BM228" i="10"/>
  <c r="BF228" i="10"/>
  <c r="CN228" i="10"/>
  <c r="S228" i="10"/>
  <c r="Q228" i="10"/>
  <c r="R228" i="10"/>
  <c r="X228" i="10"/>
  <c r="Y228" i="10"/>
  <c r="V228" i="10"/>
  <c r="W228" i="10"/>
  <c r="BG228" i="10"/>
  <c r="AY228" i="10"/>
  <c r="AU228" i="10"/>
  <c r="AM228" i="10"/>
  <c r="AV228" i="10"/>
  <c r="AD228" i="10"/>
  <c r="BR228" i="10"/>
  <c r="T228" i="10"/>
  <c r="BK228" i="10"/>
  <c r="AR228" i="10"/>
  <c r="BD228" i="10"/>
  <c r="AT228" i="10"/>
  <c r="BC228" i="10"/>
  <c r="O228" i="10"/>
  <c r="BH87" i="14"/>
  <c r="AW87" i="14"/>
  <c r="BL87" i="14"/>
  <c r="BE228" i="10"/>
  <c r="BA228" i="10"/>
  <c r="AO228" i="10"/>
  <c r="BL228" i="10"/>
  <c r="BB228" i="10"/>
  <c r="AX228" i="10"/>
  <c r="G191" i="39"/>
  <c r="U87" i="14"/>
  <c r="AR87" i="14"/>
  <c r="AF228" i="10"/>
  <c r="AB87" i="14"/>
  <c r="AC228" i="10"/>
  <c r="AG228" i="10"/>
  <c r="B229" i="10"/>
  <c r="AL229" i="10" s="1"/>
  <c r="EF230" i="10"/>
  <c r="DK230" i="10" s="1"/>
  <c r="BW230" i="10"/>
  <c r="C54" i="34"/>
  <c r="D55" i="34" s="1"/>
  <c r="DW229" i="10"/>
  <c r="AC229" i="10" s="1"/>
  <c r="DK229" i="10"/>
  <c r="EB229" i="10"/>
  <c r="DZ229" i="10"/>
  <c r="DT229" i="10"/>
  <c r="Z229" i="10" s="1"/>
  <c r="DJ229" i="10"/>
  <c r="DY229" i="10"/>
  <c r="B191" i="39"/>
  <c r="DR229" i="10"/>
  <c r="X229" i="10" s="1"/>
  <c r="DN229" i="10"/>
  <c r="DP229" i="10"/>
  <c r="DS229" i="10"/>
  <c r="DO229" i="10"/>
  <c r="U229" i="10" s="1"/>
  <c r="DL229" i="10"/>
  <c r="S58" i="23"/>
  <c r="AD58" i="23"/>
  <c r="I58" i="23"/>
  <c r="Z58" i="23"/>
  <c r="V58" i="23"/>
  <c r="E58" i="23"/>
  <c r="M58" i="23"/>
  <c r="Y58" i="23"/>
  <c r="O58" i="23"/>
  <c r="B59" i="23"/>
  <c r="AG59" i="23"/>
  <c r="BN231" i="10"/>
  <c r="DQ229" i="10"/>
  <c r="EA229" i="10"/>
  <c r="DU229" i="10"/>
  <c r="DV229" i="10"/>
  <c r="DX229" i="10"/>
  <c r="ED229" i="10"/>
  <c r="EE229" i="10"/>
  <c r="EC229" i="10"/>
  <c r="DM229" i="10"/>
  <c r="BT88" i="14"/>
  <c r="BU88" i="14"/>
  <c r="B77" i="40"/>
  <c r="BQ89" i="14"/>
  <c r="CB89" i="14"/>
  <c r="BV89" i="14" s="1"/>
  <c r="D89" i="14"/>
  <c r="C89" i="14"/>
  <c r="P89" i="14"/>
  <c r="A78" i="40"/>
  <c r="B89" i="14"/>
  <c r="M89" i="14" s="1"/>
  <c r="C78" i="40" s="1"/>
  <c r="E78" i="40" s="1"/>
  <c r="BP89" i="14"/>
  <c r="CG89" i="14"/>
  <c r="BX89" i="14"/>
  <c r="DP87" i="14"/>
  <c r="DV87" i="14"/>
  <c r="CW87" i="14"/>
  <c r="CZ87" i="14"/>
  <c r="DH87" i="14"/>
  <c r="DQ87" i="14"/>
  <c r="DX87" i="14"/>
  <c r="EG87" i="14"/>
  <c r="EI87" i="14"/>
  <c r="DE87" i="14"/>
  <c r="DA87" i="14"/>
  <c r="DF87" i="14"/>
  <c r="EJ87" i="14"/>
  <c r="EK87" i="14"/>
  <c r="DK87" i="14"/>
  <c r="EN87" i="14"/>
  <c r="ER87" i="14"/>
  <c r="DJ87" i="14"/>
  <c r="EH87" i="14"/>
  <c r="CY87" i="14"/>
  <c r="DG87" i="14"/>
  <c r="BO87" i="14"/>
  <c r="G87" i="14" s="1"/>
  <c r="EC87" i="14"/>
  <c r="EE87" i="14"/>
  <c r="ED87" i="14"/>
  <c r="DN87" i="14"/>
  <c r="DW87" i="14"/>
  <c r="EA87" i="14"/>
  <c r="DM87" i="14"/>
  <c r="DC87" i="14"/>
  <c r="EF87" i="14"/>
  <c r="EQ87" i="14"/>
  <c r="CX87" i="14"/>
  <c r="EB87" i="14"/>
  <c r="DZ87" i="14"/>
  <c r="EL87" i="14"/>
  <c r="DO87" i="14"/>
  <c r="EM87" i="14"/>
  <c r="DL87" i="14"/>
  <c r="DS87" i="14"/>
  <c r="DD87" i="14"/>
  <c r="EP87" i="14"/>
  <c r="CV87" i="14"/>
  <c r="ES87" i="14"/>
  <c r="DT87" i="14"/>
  <c r="DI87" i="14"/>
  <c r="DU87" i="14"/>
  <c r="DB87" i="14"/>
  <c r="EO87" i="14"/>
  <c r="DY87" i="14"/>
  <c r="K88" i="14"/>
  <c r="AH88" i="14" s="1"/>
  <c r="CE89" i="14"/>
  <c r="BY231" i="10"/>
  <c r="GW105" i="7"/>
  <c r="GV106" i="7"/>
  <c r="GU106" i="7"/>
  <c r="N66" i="24"/>
  <c r="C230" i="10"/>
  <c r="F231" i="10"/>
  <c r="BX231" i="10"/>
  <c r="G231" i="10"/>
  <c r="GX105" i="7" l="1"/>
  <c r="C34" i="38"/>
  <c r="A34" i="38"/>
  <c r="B34" i="38" s="1"/>
  <c r="E35" i="38"/>
  <c r="F35" i="38"/>
  <c r="V67" i="24"/>
  <c r="J67" i="24"/>
  <c r="P67" i="24"/>
  <c r="I67" i="24" s="1"/>
  <c r="L67" i="24"/>
  <c r="E38" i="42"/>
  <c r="F38" i="42"/>
  <c r="C37" i="42"/>
  <c r="A37" i="42"/>
  <c r="B37" i="42" s="1"/>
  <c r="CA89" i="14"/>
  <c r="CC89" i="14"/>
  <c r="BR89" i="14"/>
  <c r="F17" i="41"/>
  <c r="E18" i="41" s="1"/>
  <c r="A17" i="41"/>
  <c r="B17" i="41" s="1"/>
  <c r="C17" i="41"/>
  <c r="AT229" i="10"/>
  <c r="BJ229" i="10"/>
  <c r="BC229" i="10"/>
  <c r="AU229" i="10"/>
  <c r="AW229" i="10"/>
  <c r="O229" i="10"/>
  <c r="B192" i="39" s="1"/>
  <c r="BG229" i="10"/>
  <c r="G192" i="39"/>
  <c r="Y229" i="10"/>
  <c r="AJ229" i="10"/>
  <c r="AG229" i="10"/>
  <c r="AO229" i="10"/>
  <c r="BH229" i="10"/>
  <c r="BM229" i="10"/>
  <c r="S229" i="10"/>
  <c r="AD229" i="10"/>
  <c r="W229" i="10"/>
  <c r="AY229" i="10"/>
  <c r="AS229" i="10"/>
  <c r="AV229" i="10"/>
  <c r="AR229" i="10"/>
  <c r="AI229" i="10"/>
  <c r="AB229" i="10"/>
  <c r="AP229" i="10"/>
  <c r="AZ229" i="10"/>
  <c r="BK229" i="10"/>
  <c r="AM229" i="10"/>
  <c r="BF229" i="10"/>
  <c r="BD229" i="10"/>
  <c r="BE229" i="10"/>
  <c r="V229" i="10"/>
  <c r="AE229" i="10"/>
  <c r="AH229" i="10"/>
  <c r="AK229" i="10"/>
  <c r="AA229" i="10"/>
  <c r="AQ229" i="10"/>
  <c r="BA229" i="10"/>
  <c r="BB229" i="10"/>
  <c r="AX229" i="10"/>
  <c r="BL229" i="10"/>
  <c r="BI229" i="10"/>
  <c r="CN229" i="10"/>
  <c r="R229" i="10"/>
  <c r="T229" i="10"/>
  <c r="P229" i="10"/>
  <c r="Q229" i="10"/>
  <c r="AF229" i="10"/>
  <c r="CO228" i="10"/>
  <c r="BR229" i="10"/>
  <c r="DY230" i="10"/>
  <c r="DP230" i="10"/>
  <c r="DQ230" i="10"/>
  <c r="DZ230" i="10"/>
  <c r="DJ230" i="10"/>
  <c r="EA230" i="10"/>
  <c r="DL230" i="10"/>
  <c r="DT230" i="10"/>
  <c r="DR230" i="10"/>
  <c r="DW230" i="10"/>
  <c r="ED230" i="10"/>
  <c r="DX230" i="10"/>
  <c r="EC230" i="10"/>
  <c r="AV88" i="14"/>
  <c r="BF88" i="14"/>
  <c r="B230" i="10"/>
  <c r="R88" i="14"/>
  <c r="DS230" i="10"/>
  <c r="DN230" i="10"/>
  <c r="DO230" i="10"/>
  <c r="Z88" i="14"/>
  <c r="AC88" i="14"/>
  <c r="DU230" i="10"/>
  <c r="EB230" i="10"/>
  <c r="DM230" i="10"/>
  <c r="AO88" i="14"/>
  <c r="AW88" i="14"/>
  <c r="AX88" i="14"/>
  <c r="EE230" i="10"/>
  <c r="DV230" i="10"/>
  <c r="AY88" i="14"/>
  <c r="AK88" i="14"/>
  <c r="AP88" i="14"/>
  <c r="EF231" i="10"/>
  <c r="DL231" i="10" s="1"/>
  <c r="BW231" i="10"/>
  <c r="C55" i="34"/>
  <c r="D56" i="34" s="1"/>
  <c r="BN232" i="10"/>
  <c r="AG60" i="23"/>
  <c r="B60" i="23"/>
  <c r="AT88" i="14"/>
  <c r="V59" i="23"/>
  <c r="E59" i="23"/>
  <c r="AD59" i="23"/>
  <c r="Y59" i="23"/>
  <c r="S59" i="23"/>
  <c r="Z59" i="23"/>
  <c r="O59" i="23"/>
  <c r="I59" i="23"/>
  <c r="M59" i="23"/>
  <c r="AB88" i="14"/>
  <c r="BJ88" i="14"/>
  <c r="AS88" i="14"/>
  <c r="BD88" i="14"/>
  <c r="BI88" i="14"/>
  <c r="AL88" i="14"/>
  <c r="T88" i="14"/>
  <c r="EG88" i="14"/>
  <c r="DG88" i="14"/>
  <c r="EJ88" i="14"/>
  <c r="DJ88" i="14"/>
  <c r="CX88" i="14"/>
  <c r="EL88" i="14"/>
  <c r="EA88" i="14"/>
  <c r="DM88" i="14"/>
  <c r="DO88" i="14"/>
  <c r="DX88" i="14"/>
  <c r="DY88" i="14"/>
  <c r="EF88" i="14"/>
  <c r="EN88" i="14"/>
  <c r="DV88" i="14"/>
  <c r="DK88" i="14"/>
  <c r="DT88" i="14"/>
  <c r="CV88" i="14"/>
  <c r="BO88" i="14"/>
  <c r="G88" i="14" s="1"/>
  <c r="DH88" i="14"/>
  <c r="EP88" i="14"/>
  <c r="DL88" i="14"/>
  <c r="ES88" i="14"/>
  <c r="ER88" i="14"/>
  <c r="EM88" i="14"/>
  <c r="EH88" i="14"/>
  <c r="DA88" i="14"/>
  <c r="DN88" i="14"/>
  <c r="EI88" i="14"/>
  <c r="DP88" i="14"/>
  <c r="DZ88" i="14"/>
  <c r="DE88" i="14"/>
  <c r="DS88" i="14"/>
  <c r="DI88" i="14"/>
  <c r="EO88" i="14"/>
  <c r="EK88" i="14"/>
  <c r="DF88" i="14"/>
  <c r="EB88" i="14"/>
  <c r="DD88" i="14"/>
  <c r="EQ88" i="14"/>
  <c r="EC88" i="14"/>
  <c r="CY88" i="14"/>
  <c r="CZ88" i="14"/>
  <c r="DC88" i="14"/>
  <c r="ED88" i="14"/>
  <c r="EE88" i="14"/>
  <c r="CW88" i="14"/>
  <c r="DW88" i="14"/>
  <c r="DU88" i="14"/>
  <c r="DQ88" i="14"/>
  <c r="DB88" i="14"/>
  <c r="BU89" i="14"/>
  <c r="B78" i="40"/>
  <c r="BT89" i="14"/>
  <c r="AD88" i="14"/>
  <c r="A90" i="14"/>
  <c r="CE90" i="14" s="1"/>
  <c r="BG88" i="14"/>
  <c r="AG88" i="14"/>
  <c r="AU88" i="14"/>
  <c r="Y88" i="14"/>
  <c r="AE88" i="14"/>
  <c r="BE88" i="14"/>
  <c r="BM88" i="14"/>
  <c r="AI88" i="14"/>
  <c r="W88" i="14"/>
  <c r="BL88" i="14"/>
  <c r="BK88" i="14"/>
  <c r="BN88" i="14"/>
  <c r="BC88" i="14"/>
  <c r="BB88" i="14"/>
  <c r="V88" i="14"/>
  <c r="S88" i="14"/>
  <c r="BA88" i="14"/>
  <c r="AF88" i="14"/>
  <c r="U88" i="14"/>
  <c r="AQ88" i="14"/>
  <c r="X88" i="14"/>
  <c r="AZ88" i="14"/>
  <c r="BH88" i="14"/>
  <c r="AR88" i="14"/>
  <c r="AJ88" i="14"/>
  <c r="AA88" i="14"/>
  <c r="K89" i="14"/>
  <c r="AT89" i="14" s="1"/>
  <c r="BY232" i="10"/>
  <c r="GW106" i="7"/>
  <c r="GV107" i="7"/>
  <c r="GU107" i="7"/>
  <c r="N67" i="24"/>
  <c r="G232" i="10"/>
  <c r="BX232" i="10"/>
  <c r="F232" i="10"/>
  <c r="C231" i="10"/>
  <c r="GX106" i="7" l="1"/>
  <c r="E36" i="38"/>
  <c r="F36" i="38"/>
  <c r="A35" i="38"/>
  <c r="B35" i="38" s="1"/>
  <c r="C35" i="38"/>
  <c r="E39" i="42"/>
  <c r="F39" i="42"/>
  <c r="C38" i="42"/>
  <c r="A38" i="42"/>
  <c r="B38" i="42" s="1"/>
  <c r="U230" i="10"/>
  <c r="F18" i="41"/>
  <c r="E19" i="41" s="1"/>
  <c r="A18" i="41"/>
  <c r="B18" i="41" s="1"/>
  <c r="C18" i="41"/>
  <c r="CO229" i="10"/>
  <c r="AD230" i="10"/>
  <c r="BJ230" i="10"/>
  <c r="AZ230" i="10"/>
  <c r="AV230" i="10"/>
  <c r="AS230" i="10"/>
  <c r="BK230" i="10"/>
  <c r="CN230" i="10"/>
  <c r="BI230" i="10"/>
  <c r="AU230" i="10"/>
  <c r="V230" i="10"/>
  <c r="AC230" i="10"/>
  <c r="P230" i="10"/>
  <c r="Z230" i="10"/>
  <c r="AF230" i="10"/>
  <c r="S230" i="10"/>
  <c r="AX230" i="10"/>
  <c r="BC230" i="10"/>
  <c r="BL230" i="10"/>
  <c r="AM230" i="10"/>
  <c r="BA230" i="10"/>
  <c r="AP230" i="10"/>
  <c r="BD230" i="10"/>
  <c r="Q230" i="10"/>
  <c r="AE230" i="10"/>
  <c r="AL230" i="10"/>
  <c r="X230" i="10"/>
  <c r="T230" i="10"/>
  <c r="AA230" i="10"/>
  <c r="BR230" i="10"/>
  <c r="BB230" i="10"/>
  <c r="AO230" i="10"/>
  <c r="BM230" i="10"/>
  <c r="AY230" i="10"/>
  <c r="BE230" i="10"/>
  <c r="AT230" i="10"/>
  <c r="O230" i="10"/>
  <c r="B193" i="39" s="1"/>
  <c r="AK230" i="10"/>
  <c r="R230" i="10"/>
  <c r="AB230" i="10"/>
  <c r="AH230" i="10"/>
  <c r="Y230" i="10"/>
  <c r="AG230" i="10"/>
  <c r="AW230" i="10"/>
  <c r="BG230" i="10"/>
  <c r="BF230" i="10"/>
  <c r="AR230" i="10"/>
  <c r="BH230" i="10"/>
  <c r="AQ230" i="10"/>
  <c r="G193" i="39"/>
  <c r="W230" i="10"/>
  <c r="AI230" i="10"/>
  <c r="AJ230" i="10"/>
  <c r="DN231" i="10"/>
  <c r="B231" i="10"/>
  <c r="R231" i="10" s="1"/>
  <c r="EA231" i="10"/>
  <c r="DZ231" i="10"/>
  <c r="EE231" i="10"/>
  <c r="DV231" i="10"/>
  <c r="EF232" i="10"/>
  <c r="DS232" i="10" s="1"/>
  <c r="BW232" i="10"/>
  <c r="C56" i="34"/>
  <c r="D57" i="34" s="1"/>
  <c r="DP231" i="10"/>
  <c r="DM231" i="10"/>
  <c r="DJ231" i="10"/>
  <c r="DU231" i="10"/>
  <c r="DW231" i="10"/>
  <c r="EC231" i="10"/>
  <c r="AG61" i="23"/>
  <c r="B61" i="23"/>
  <c r="DQ231" i="10"/>
  <c r="DX231" i="10"/>
  <c r="DT231" i="10"/>
  <c r="ED231" i="10"/>
  <c r="EB231" i="10"/>
  <c r="E60" i="23"/>
  <c r="Z60" i="23"/>
  <c r="AD60" i="23"/>
  <c r="I60" i="23"/>
  <c r="Y60" i="23"/>
  <c r="O60" i="23"/>
  <c r="M60" i="23"/>
  <c r="S60" i="23"/>
  <c r="V60" i="23"/>
  <c r="BN233" i="10"/>
  <c r="DS231" i="10"/>
  <c r="DO231" i="10"/>
  <c r="DY231" i="10"/>
  <c r="DR231" i="10"/>
  <c r="DK231" i="10"/>
  <c r="A91" i="14"/>
  <c r="CE91" i="14" s="1"/>
  <c r="DQ89" i="14"/>
  <c r="EO89" i="14"/>
  <c r="DS89" i="14"/>
  <c r="EK89" i="14"/>
  <c r="EF89" i="14"/>
  <c r="DA89" i="14"/>
  <c r="DE89" i="14"/>
  <c r="EC89" i="14"/>
  <c r="DI89" i="14"/>
  <c r="DG89" i="14"/>
  <c r="DM89" i="14"/>
  <c r="DV89" i="14"/>
  <c r="DW89" i="14"/>
  <c r="DZ89" i="14"/>
  <c r="BO89" i="14"/>
  <c r="G89" i="14" s="1"/>
  <c r="EL89" i="14"/>
  <c r="DC89" i="14"/>
  <c r="EA89" i="14"/>
  <c r="EH89" i="14"/>
  <c r="DP89" i="14"/>
  <c r="DH89" i="14"/>
  <c r="ED89" i="14"/>
  <c r="DT89" i="14"/>
  <c r="ES89" i="14"/>
  <c r="EM89" i="14"/>
  <c r="DK89" i="14"/>
  <c r="DN89" i="14"/>
  <c r="DU89" i="14"/>
  <c r="DL89" i="14"/>
  <c r="ER89" i="14"/>
  <c r="CZ89" i="14"/>
  <c r="EB89" i="14"/>
  <c r="DD89" i="14"/>
  <c r="EE89" i="14"/>
  <c r="EG89" i="14"/>
  <c r="CV89" i="14"/>
  <c r="DF89" i="14"/>
  <c r="EQ89" i="14"/>
  <c r="DO89" i="14"/>
  <c r="DB89" i="14"/>
  <c r="EI89" i="14"/>
  <c r="DY89" i="14"/>
  <c r="CX89" i="14"/>
  <c r="DJ89" i="14"/>
  <c r="EP89" i="14"/>
  <c r="CY89" i="14"/>
  <c r="EJ89" i="14"/>
  <c r="DX89" i="14"/>
  <c r="EN89" i="14"/>
  <c r="CW89" i="14"/>
  <c r="BE89" i="14"/>
  <c r="AR89" i="14"/>
  <c r="AV89" i="14"/>
  <c r="BG89" i="14"/>
  <c r="AX89" i="14"/>
  <c r="BN89" i="14"/>
  <c r="R89" i="14"/>
  <c r="AS89" i="14"/>
  <c r="BI89" i="14"/>
  <c r="AA89" i="14"/>
  <c r="T89" i="14"/>
  <c r="BM89" i="14"/>
  <c r="AW89" i="14"/>
  <c r="Y89" i="14"/>
  <c r="AL89" i="14"/>
  <c r="AP89" i="14"/>
  <c r="AU89" i="14"/>
  <c r="AH89" i="14"/>
  <c r="S89" i="14"/>
  <c r="BA89" i="14"/>
  <c r="AZ89" i="14"/>
  <c r="AJ89" i="14"/>
  <c r="BD89" i="14"/>
  <c r="CG90" i="14"/>
  <c r="B90" i="14"/>
  <c r="M90" i="14" s="1"/>
  <c r="C79" i="40" s="1"/>
  <c r="E79" i="40" s="1"/>
  <c r="BQ90" i="14"/>
  <c r="C90" i="14"/>
  <c r="P90" i="14"/>
  <c r="BX90" i="14"/>
  <c r="D90" i="14"/>
  <c r="CB90" i="14"/>
  <c r="BV90" i="14" s="1"/>
  <c r="A79" i="40"/>
  <c r="BP90" i="14"/>
  <c r="AD89" i="14"/>
  <c r="Z89" i="14"/>
  <c r="AO89" i="14"/>
  <c r="W89" i="14"/>
  <c r="BH89" i="14"/>
  <c r="BJ89" i="14"/>
  <c r="BB89" i="14"/>
  <c r="BL89" i="14"/>
  <c r="AY89" i="14"/>
  <c r="V89" i="14"/>
  <c r="AF89" i="14"/>
  <c r="AC89" i="14"/>
  <c r="AE89" i="14"/>
  <c r="BC89" i="14"/>
  <c r="AI89" i="14"/>
  <c r="AG89" i="14"/>
  <c r="AK89" i="14"/>
  <c r="BK89" i="14"/>
  <c r="AQ89" i="14"/>
  <c r="X89" i="14"/>
  <c r="BF89" i="14"/>
  <c r="U89" i="14"/>
  <c r="AB89" i="14"/>
  <c r="BY233" i="10"/>
  <c r="GW107" i="7"/>
  <c r="GV108" i="7"/>
  <c r="GU108" i="7"/>
  <c r="F233" i="10"/>
  <c r="BX233" i="10"/>
  <c r="C232" i="10"/>
  <c r="G233" i="10"/>
  <c r="GX107" i="7" l="1"/>
  <c r="F37" i="38"/>
  <c r="E37" i="38"/>
  <c r="C36" i="38"/>
  <c r="A36" i="38"/>
  <c r="B36" i="38" s="1"/>
  <c r="F40" i="42"/>
  <c r="E40" i="42"/>
  <c r="A39" i="42"/>
  <c r="B39" i="42" s="1"/>
  <c r="C39" i="42"/>
  <c r="O231" i="10"/>
  <c r="B194" i="39" s="1"/>
  <c r="CA90" i="14"/>
  <c r="CC90" i="14"/>
  <c r="BR90" i="14"/>
  <c r="F19" i="41"/>
  <c r="A19" i="41"/>
  <c r="B19" i="41" s="1"/>
  <c r="C19" i="41"/>
  <c r="AO231" i="10"/>
  <c r="U231" i="10"/>
  <c r="BB231" i="10"/>
  <c r="BL231" i="10"/>
  <c r="BR231" i="10"/>
  <c r="AJ231" i="10"/>
  <c r="AA231" i="10"/>
  <c r="BD231" i="10"/>
  <c r="BA231" i="10"/>
  <c r="AE231" i="10"/>
  <c r="AQ231" i="10"/>
  <c r="BF231" i="10"/>
  <c r="Q231" i="10"/>
  <c r="Y231" i="10"/>
  <c r="AD231" i="10"/>
  <c r="AI231" i="10"/>
  <c r="S231" i="10"/>
  <c r="AR231" i="10"/>
  <c r="AV231" i="10"/>
  <c r="BH231" i="10"/>
  <c r="BG231" i="10"/>
  <c r="AP231" i="10"/>
  <c r="BI231" i="10"/>
  <c r="G194" i="39"/>
  <c r="AB231" i="10"/>
  <c r="X231" i="10"/>
  <c r="AL231" i="10"/>
  <c r="AH231" i="10"/>
  <c r="W231" i="10"/>
  <c r="AC231" i="10"/>
  <c r="V231" i="10"/>
  <c r="AX231" i="10"/>
  <c r="AY231" i="10"/>
  <c r="BC231" i="10"/>
  <c r="AS231" i="10"/>
  <c r="AM231" i="10"/>
  <c r="AZ231" i="10"/>
  <c r="CN231" i="10"/>
  <c r="AG231" i="10"/>
  <c r="Z231" i="10"/>
  <c r="P231" i="10"/>
  <c r="BK231" i="10"/>
  <c r="BM231" i="10"/>
  <c r="AT231" i="10"/>
  <c r="BE231" i="10"/>
  <c r="AW231" i="10"/>
  <c r="BJ231" i="10"/>
  <c r="AU231" i="10"/>
  <c r="AK231" i="10"/>
  <c r="T231" i="10"/>
  <c r="CO230" i="10"/>
  <c r="AF231" i="10"/>
  <c r="EA232" i="10"/>
  <c r="DW232" i="10"/>
  <c r="K90" i="14"/>
  <c r="S90" i="14" s="1"/>
  <c r="B232" i="10"/>
  <c r="AY232" i="10" s="1"/>
  <c r="DU232" i="10"/>
  <c r="DZ232" i="10"/>
  <c r="DL232" i="10"/>
  <c r="EF233" i="10"/>
  <c r="DQ233" i="10" s="1"/>
  <c r="BW233" i="10"/>
  <c r="C57" i="34"/>
  <c r="D58" i="34" s="1"/>
  <c r="BN234" i="10"/>
  <c r="O61" i="23"/>
  <c r="S61" i="23"/>
  <c r="Y61" i="23"/>
  <c r="AD61" i="23"/>
  <c r="M61" i="23"/>
  <c r="E61" i="23"/>
  <c r="V61" i="23"/>
  <c r="Z61" i="23"/>
  <c r="I61" i="23"/>
  <c r="DX232" i="10"/>
  <c r="DV232" i="10"/>
  <c r="DY232" i="10"/>
  <c r="DR232" i="10"/>
  <c r="ED232" i="10"/>
  <c r="EB232" i="10"/>
  <c r="DP232" i="10"/>
  <c r="EC232" i="10"/>
  <c r="DK232" i="10"/>
  <c r="DO232" i="10"/>
  <c r="EE232" i="10"/>
  <c r="B62" i="23"/>
  <c r="AG62" i="23"/>
  <c r="DT232" i="10"/>
  <c r="DJ232" i="10"/>
  <c r="DN232" i="10"/>
  <c r="DM232" i="10"/>
  <c r="DQ232" i="10"/>
  <c r="BU90" i="14"/>
  <c r="BT90" i="14"/>
  <c r="B79" i="40"/>
  <c r="A92" i="14"/>
  <c r="CE92" i="14" s="1"/>
  <c r="B91" i="14"/>
  <c r="M91" i="14" s="1"/>
  <c r="C80" i="40" s="1"/>
  <c r="E80" i="40" s="1"/>
  <c r="C91" i="14"/>
  <c r="A80" i="40"/>
  <c r="BP91" i="14"/>
  <c r="D91" i="14"/>
  <c r="BQ91" i="14"/>
  <c r="CB91" i="14"/>
  <c r="BV91" i="14" s="1"/>
  <c r="P91" i="14"/>
  <c r="BX91" i="14"/>
  <c r="CG91" i="14"/>
  <c r="BY234" i="10"/>
  <c r="GW108" i="7"/>
  <c r="GU109" i="7"/>
  <c r="GV109" i="7"/>
  <c r="C233" i="10"/>
  <c r="F234" i="10"/>
  <c r="BX234" i="10"/>
  <c r="G234" i="10"/>
  <c r="GX108" i="7" l="1"/>
  <c r="C37" i="38"/>
  <c r="A37" i="38"/>
  <c r="B37" i="38" s="1"/>
  <c r="E38" i="38"/>
  <c r="F38" i="38"/>
  <c r="F41" i="42"/>
  <c r="E41" i="42"/>
  <c r="C40" i="42"/>
  <c r="A40" i="42"/>
  <c r="B40" i="42" s="1"/>
  <c r="CA91" i="14"/>
  <c r="BR91" i="14"/>
  <c r="CC91" i="14"/>
  <c r="E20" i="41"/>
  <c r="F20" i="41" s="1"/>
  <c r="R232" i="10"/>
  <c r="AP232" i="10"/>
  <c r="CO231" i="10"/>
  <c r="Y232" i="10"/>
  <c r="BA232" i="10"/>
  <c r="CN232" i="10"/>
  <c r="P232" i="10"/>
  <c r="BD232" i="10"/>
  <c r="R90" i="14"/>
  <c r="AO90" i="14"/>
  <c r="BD90" i="14"/>
  <c r="AW90" i="14"/>
  <c r="BI90" i="14"/>
  <c r="AH90" i="14"/>
  <c r="U90" i="14"/>
  <c r="AS90" i="14"/>
  <c r="AC90" i="14"/>
  <c r="AZ90" i="14"/>
  <c r="BA90" i="14"/>
  <c r="AF90" i="14"/>
  <c r="AM232" i="10"/>
  <c r="AU232" i="10"/>
  <c r="Q232" i="10"/>
  <c r="AJ232" i="10"/>
  <c r="AD232" i="10"/>
  <c r="BE232" i="10"/>
  <c r="BM90" i="14"/>
  <c r="Z90" i="14"/>
  <c r="AA90" i="14"/>
  <c r="AG90" i="14"/>
  <c r="AB90" i="14"/>
  <c r="AX90" i="14"/>
  <c r="AR90" i="14"/>
  <c r="W90" i="14"/>
  <c r="BC90" i="14"/>
  <c r="BE90" i="14"/>
  <c r="AU90" i="14"/>
  <c r="BK90" i="14"/>
  <c r="AT90" i="14"/>
  <c r="BF90" i="14"/>
  <c r="BH90" i="14"/>
  <c r="BG90" i="14"/>
  <c r="AI90" i="14"/>
  <c r="AD90" i="14"/>
  <c r="AY90" i="14"/>
  <c r="AK90" i="14"/>
  <c r="AL90" i="14"/>
  <c r="V90" i="14"/>
  <c r="BL90" i="14"/>
  <c r="Y90" i="14"/>
  <c r="AE90" i="14"/>
  <c r="AV90" i="14"/>
  <c r="BJ90" i="14"/>
  <c r="AQ90" i="14"/>
  <c r="AJ90" i="14"/>
  <c r="BN90" i="14"/>
  <c r="AP90" i="14"/>
  <c r="BB90" i="14"/>
  <c r="T90" i="14"/>
  <c r="X90" i="14"/>
  <c r="W232" i="10"/>
  <c r="Z232" i="10"/>
  <c r="AI232" i="10"/>
  <c r="X232" i="10"/>
  <c r="BR232" i="10"/>
  <c r="BG232" i="10"/>
  <c r="BI232" i="10"/>
  <c r="BC232" i="10"/>
  <c r="AZ232" i="10"/>
  <c r="BJ232" i="10"/>
  <c r="BH232" i="10"/>
  <c r="O232" i="10"/>
  <c r="B195" i="39" s="1"/>
  <c r="S232" i="10"/>
  <c r="AL232" i="10"/>
  <c r="AK232" i="10"/>
  <c r="V232" i="10"/>
  <c r="AE232" i="10"/>
  <c r="AQ232" i="10"/>
  <c r="BM232" i="10"/>
  <c r="AX232" i="10"/>
  <c r="AS232" i="10"/>
  <c r="AW232" i="10"/>
  <c r="AT232" i="10"/>
  <c r="BB232" i="10"/>
  <c r="G195" i="39"/>
  <c r="AC232" i="10"/>
  <c r="T232" i="10"/>
  <c r="U232" i="10"/>
  <c r="AH232" i="10"/>
  <c r="AB232" i="10"/>
  <c r="BL232" i="10"/>
  <c r="BK232" i="10"/>
  <c r="AV232" i="10"/>
  <c r="AO232" i="10"/>
  <c r="BF232" i="10"/>
  <c r="AR232" i="10"/>
  <c r="AF232" i="10"/>
  <c r="AA232" i="10"/>
  <c r="AG232" i="10"/>
  <c r="DX233" i="10"/>
  <c r="EA233" i="10"/>
  <c r="EE233" i="10"/>
  <c r="DV233" i="10"/>
  <c r="DL233" i="10"/>
  <c r="DN233" i="10"/>
  <c r="ED233" i="10"/>
  <c r="DZ233" i="10"/>
  <c r="DP233" i="10"/>
  <c r="DR233" i="10"/>
  <c r="DU233" i="10"/>
  <c r="DM233" i="10"/>
  <c r="DW233" i="10"/>
  <c r="DT233" i="10"/>
  <c r="DK233" i="10"/>
  <c r="DS233" i="10"/>
  <c r="DY233" i="10"/>
  <c r="DO233" i="10"/>
  <c r="EC233" i="10"/>
  <c r="EB233" i="10"/>
  <c r="B233" i="10"/>
  <c r="EF234" i="10"/>
  <c r="DU234" i="10" s="1"/>
  <c r="BW234" i="10"/>
  <c r="I62" i="23"/>
  <c r="Z62" i="23"/>
  <c r="V62" i="23"/>
  <c r="AD62" i="23"/>
  <c r="M62" i="23"/>
  <c r="Y62" i="23"/>
  <c r="O62" i="23"/>
  <c r="S62" i="23"/>
  <c r="E62" i="23"/>
  <c r="C58" i="34"/>
  <c r="D59" i="34" s="1"/>
  <c r="AG63" i="23"/>
  <c r="B63" i="23"/>
  <c r="BN235" i="10"/>
  <c r="DJ233" i="10"/>
  <c r="EP90" i="14"/>
  <c r="DH90" i="14"/>
  <c r="CV90" i="14"/>
  <c r="BO90" i="14"/>
  <c r="G90" i="14" s="1"/>
  <c r="DG90" i="14"/>
  <c r="DO90" i="14"/>
  <c r="EB90" i="14"/>
  <c r="DU90" i="14"/>
  <c r="EJ90" i="14"/>
  <c r="EG90" i="14"/>
  <c r="DY90" i="14"/>
  <c r="DZ90" i="14"/>
  <c r="EA90" i="14"/>
  <c r="EN90" i="14"/>
  <c r="CW90" i="14"/>
  <c r="DV90" i="14"/>
  <c r="EK90" i="14"/>
  <c r="EM90" i="14"/>
  <c r="ES90" i="14"/>
  <c r="DJ90" i="14"/>
  <c r="DT90" i="14"/>
  <c r="CX90" i="14"/>
  <c r="DW90" i="14"/>
  <c r="DC90" i="14"/>
  <c r="EC90" i="14"/>
  <c r="DN90" i="14"/>
  <c r="DI90" i="14"/>
  <c r="CY90" i="14"/>
  <c r="DD90" i="14"/>
  <c r="EL90" i="14"/>
  <c r="EH90" i="14"/>
  <c r="EQ90" i="14"/>
  <c r="CZ90" i="14"/>
  <c r="EE90" i="14"/>
  <c r="DL90" i="14"/>
  <c r="DK90" i="14"/>
  <c r="DM90" i="14"/>
  <c r="EF90" i="14"/>
  <c r="DF90" i="14"/>
  <c r="EI90" i="14"/>
  <c r="DA90" i="14"/>
  <c r="EO90" i="14"/>
  <c r="ER90" i="14"/>
  <c r="DE90" i="14"/>
  <c r="DQ90" i="14"/>
  <c r="DP90" i="14"/>
  <c r="ED90" i="14"/>
  <c r="DB90" i="14"/>
  <c r="DS90" i="14"/>
  <c r="DX90" i="14"/>
  <c r="A93" i="14"/>
  <c r="CE93" i="14" s="1"/>
  <c r="BU91" i="14"/>
  <c r="BT91" i="14"/>
  <c r="B80" i="40"/>
  <c r="BP92" i="14"/>
  <c r="B92" i="14"/>
  <c r="M92" i="14" s="1"/>
  <c r="C81" i="40" s="1"/>
  <c r="E81" i="40" s="1"/>
  <c r="A81" i="40"/>
  <c r="P92" i="14"/>
  <c r="D92" i="14"/>
  <c r="BQ92" i="14"/>
  <c r="C92" i="14"/>
  <c r="CB92" i="14"/>
  <c r="BV92" i="14" s="1"/>
  <c r="BX92" i="14"/>
  <c r="CG92" i="14"/>
  <c r="K91" i="14"/>
  <c r="AY91" i="14" s="1"/>
  <c r="BY235" i="10"/>
  <c r="GW109" i="7"/>
  <c r="GV110" i="7"/>
  <c r="GU110" i="7"/>
  <c r="F235" i="10"/>
  <c r="C234" i="10"/>
  <c r="BX235" i="10"/>
  <c r="G235" i="10"/>
  <c r="GX109" i="7" l="1"/>
  <c r="E39" i="38"/>
  <c r="F39" i="38"/>
  <c r="C38" i="38"/>
  <c r="A38" i="38"/>
  <c r="B38" i="38" s="1"/>
  <c r="C41" i="42"/>
  <c r="A41" i="42"/>
  <c r="B41" i="42" s="1"/>
  <c r="F42" i="42"/>
  <c r="E42" i="42"/>
  <c r="R233" i="10"/>
  <c r="CA92" i="14"/>
  <c r="BR92" i="14"/>
  <c r="CC92" i="14"/>
  <c r="E21" i="41"/>
  <c r="F21" i="41" s="1"/>
  <c r="A20" i="41"/>
  <c r="B20" i="41" s="1"/>
  <c r="C20" i="41"/>
  <c r="DY234" i="10"/>
  <c r="AH233" i="10"/>
  <c r="S233" i="10"/>
  <c r="DR234" i="10"/>
  <c r="P233" i="10"/>
  <c r="BG233" i="10"/>
  <c r="AU233" i="10"/>
  <c r="BF233" i="10"/>
  <c r="AY233" i="10"/>
  <c r="BB233" i="10"/>
  <c r="AT233" i="10"/>
  <c r="BD233" i="10"/>
  <c r="BJ233" i="10"/>
  <c r="DN234" i="10"/>
  <c r="BK233" i="10"/>
  <c r="AP233" i="10"/>
  <c r="AV233" i="10"/>
  <c r="AM233" i="10"/>
  <c r="AO233" i="10"/>
  <c r="G196" i="39"/>
  <c r="Q233" i="10"/>
  <c r="AK233" i="10"/>
  <c r="CO232" i="10"/>
  <c r="AG233" i="10"/>
  <c r="BR233" i="10"/>
  <c r="DO234" i="10"/>
  <c r="DM234" i="10"/>
  <c r="DZ234" i="10"/>
  <c r="AA233" i="10"/>
  <c r="DJ234" i="10"/>
  <c r="DX234" i="10"/>
  <c r="EC234" i="10"/>
  <c r="DP234" i="10"/>
  <c r="AE233" i="10"/>
  <c r="V233" i="10"/>
  <c r="AD233" i="10"/>
  <c r="EA234" i="10"/>
  <c r="EE234" i="10"/>
  <c r="DT234" i="10"/>
  <c r="ED234" i="10"/>
  <c r="W233" i="10"/>
  <c r="U233" i="10"/>
  <c r="BH233" i="10"/>
  <c r="AR233" i="10"/>
  <c r="AS233" i="10"/>
  <c r="BI233" i="10"/>
  <c r="BE233" i="10"/>
  <c r="AX233" i="10"/>
  <c r="BA233" i="10"/>
  <c r="O233" i="10"/>
  <c r="B196" i="39" s="1"/>
  <c r="AL233" i="10"/>
  <c r="X233" i="10"/>
  <c r="BM233" i="10"/>
  <c r="AQ233" i="10"/>
  <c r="AZ233" i="10"/>
  <c r="BL233" i="10"/>
  <c r="BC233" i="10"/>
  <c r="AW233" i="10"/>
  <c r="CN233" i="10"/>
  <c r="EB234" i="10"/>
  <c r="DL234" i="10"/>
  <c r="DV234" i="10"/>
  <c r="DS234" i="10"/>
  <c r="Y233" i="10"/>
  <c r="AF233" i="10"/>
  <c r="AB233" i="10"/>
  <c r="DQ234" i="10"/>
  <c r="DK234" i="10"/>
  <c r="DW234" i="10"/>
  <c r="Z233" i="10"/>
  <c r="AC233" i="10"/>
  <c r="B234" i="10"/>
  <c r="AA234" i="10" s="1"/>
  <c r="AS91" i="14"/>
  <c r="BI91" i="14"/>
  <c r="S91" i="14"/>
  <c r="AK91" i="14"/>
  <c r="AD91" i="14"/>
  <c r="AI233" i="10"/>
  <c r="T233" i="10"/>
  <c r="AQ91" i="14"/>
  <c r="BK91" i="14"/>
  <c r="BC91" i="14"/>
  <c r="T91" i="14"/>
  <c r="AR91" i="14"/>
  <c r="AE91" i="14"/>
  <c r="AJ233" i="10"/>
  <c r="AI91" i="14"/>
  <c r="AC91" i="14"/>
  <c r="AX91" i="14"/>
  <c r="BW235" i="10"/>
  <c r="EF235" i="10"/>
  <c r="DL235" i="10" s="1"/>
  <c r="C59" i="34"/>
  <c r="D60" i="34" s="1"/>
  <c r="BN236" i="10"/>
  <c r="B64" i="23"/>
  <c r="AG64" i="23"/>
  <c r="BM91" i="14"/>
  <c r="AW91" i="14"/>
  <c r="AF91" i="14"/>
  <c r="V91" i="14"/>
  <c r="AB91" i="14"/>
  <c r="AH91" i="14"/>
  <c r="BA91" i="14"/>
  <c r="AO91" i="14"/>
  <c r="Z91" i="14"/>
  <c r="I63" i="23"/>
  <c r="M63" i="23"/>
  <c r="Y63" i="23"/>
  <c r="Z63" i="23"/>
  <c r="V63" i="23"/>
  <c r="AD63" i="23"/>
  <c r="O63" i="23"/>
  <c r="E63" i="23"/>
  <c r="S63" i="23"/>
  <c r="A94" i="14"/>
  <c r="CE94" i="14" s="1"/>
  <c r="C93" i="14"/>
  <c r="A82" i="40"/>
  <c r="P93" i="14"/>
  <c r="CB93" i="14"/>
  <c r="BV93" i="14" s="1"/>
  <c r="BQ93" i="14"/>
  <c r="BP93" i="14"/>
  <c r="B93" i="14"/>
  <c r="M93" i="14" s="1"/>
  <c r="C82" i="40" s="1"/>
  <c r="E82" i="40" s="1"/>
  <c r="D93" i="14"/>
  <c r="BX93" i="14"/>
  <c r="CG93" i="14"/>
  <c r="BT92" i="14"/>
  <c r="BU92" i="14"/>
  <c r="B81" i="40"/>
  <c r="X91" i="14"/>
  <c r="BN91" i="14"/>
  <c r="R91" i="14"/>
  <c r="BB91" i="14"/>
  <c r="AT91" i="14"/>
  <c r="K92" i="14"/>
  <c r="AO92" i="14" s="1"/>
  <c r="BL91" i="14"/>
  <c r="AV91" i="14"/>
  <c r="AU91" i="14"/>
  <c r="AZ91" i="14"/>
  <c r="BE91" i="14"/>
  <c r="BG91" i="14"/>
  <c r="AG91" i="14"/>
  <c r="AL91" i="14"/>
  <c r="AJ91" i="14"/>
  <c r="Y91" i="14"/>
  <c r="U91" i="14"/>
  <c r="BH91" i="14"/>
  <c r="W91" i="14"/>
  <c r="DX91" i="14"/>
  <c r="EM91" i="14"/>
  <c r="DB91" i="14"/>
  <c r="DT91" i="14"/>
  <c r="EK91" i="14"/>
  <c r="DM91" i="14"/>
  <c r="CX91" i="14"/>
  <c r="DZ91" i="14"/>
  <c r="EO91" i="14"/>
  <c r="ED91" i="14"/>
  <c r="DL91" i="14"/>
  <c r="EF91" i="14"/>
  <c r="EA91" i="14"/>
  <c r="EN91" i="14"/>
  <c r="DA91" i="14"/>
  <c r="DV91" i="14"/>
  <c r="DQ91" i="14"/>
  <c r="EQ91" i="14"/>
  <c r="EG91" i="14"/>
  <c r="DC91" i="14"/>
  <c r="CV91" i="14"/>
  <c r="EP91" i="14"/>
  <c r="EC91" i="14"/>
  <c r="DD91" i="14"/>
  <c r="EH91" i="14"/>
  <c r="ES91" i="14"/>
  <c r="CY91" i="14"/>
  <c r="DF91" i="14"/>
  <c r="BO91" i="14"/>
  <c r="G91" i="14" s="1"/>
  <c r="DN91" i="14"/>
  <c r="DK91" i="14"/>
  <c r="EI91" i="14"/>
  <c r="DE91" i="14"/>
  <c r="EJ91" i="14"/>
  <c r="CW91" i="14"/>
  <c r="DW91" i="14"/>
  <c r="DH91" i="14"/>
  <c r="DI91" i="14"/>
  <c r="DY91" i="14"/>
  <c r="DO91" i="14"/>
  <c r="EL91" i="14"/>
  <c r="ER91" i="14"/>
  <c r="DU91" i="14"/>
  <c r="CZ91" i="14"/>
  <c r="DG91" i="14"/>
  <c r="DS91" i="14"/>
  <c r="EE91" i="14"/>
  <c r="DP91" i="14"/>
  <c r="EB91" i="14"/>
  <c r="DJ91" i="14"/>
  <c r="BF91" i="14"/>
  <c r="BD91" i="14"/>
  <c r="AA91" i="14"/>
  <c r="BJ91" i="14"/>
  <c r="AP91" i="14"/>
  <c r="BY236" i="10"/>
  <c r="GW110" i="7"/>
  <c r="GV111" i="7"/>
  <c r="GU111" i="7"/>
  <c r="G236" i="10"/>
  <c r="C235" i="10"/>
  <c r="BX236" i="10"/>
  <c r="F236" i="10"/>
  <c r="GX110" i="7" l="1"/>
  <c r="E40" i="38"/>
  <c r="F40" i="38"/>
  <c r="A39" i="38"/>
  <c r="B39" i="38" s="1"/>
  <c r="C39" i="38"/>
  <c r="A42" i="42"/>
  <c r="B42" i="42" s="1"/>
  <c r="C42" i="42"/>
  <c r="F43" i="42"/>
  <c r="E43" i="42"/>
  <c r="CA93" i="14"/>
  <c r="CC93" i="14"/>
  <c r="BR93" i="14"/>
  <c r="AF234" i="10"/>
  <c r="C21" i="41"/>
  <c r="A21" i="41"/>
  <c r="B21" i="41" s="1"/>
  <c r="E22" i="41"/>
  <c r="F22" i="41" s="1"/>
  <c r="BM92" i="14"/>
  <c r="AS234" i="10"/>
  <c r="BK234" i="10"/>
  <c r="T234" i="10"/>
  <c r="Q234" i="10"/>
  <c r="CO233" i="10"/>
  <c r="V234" i="10"/>
  <c r="BA234" i="10"/>
  <c r="AQ234" i="10"/>
  <c r="AP234" i="10"/>
  <c r="BF234" i="10"/>
  <c r="BB234" i="10"/>
  <c r="AI234" i="10"/>
  <c r="Z234" i="10"/>
  <c r="BE234" i="10"/>
  <c r="AV234" i="10"/>
  <c r="AX234" i="10"/>
  <c r="AO234" i="10"/>
  <c r="BM234" i="10"/>
  <c r="BJ234" i="10"/>
  <c r="G197" i="39"/>
  <c r="X234" i="10"/>
  <c r="AK234" i="10"/>
  <c r="AL234" i="10"/>
  <c r="S234" i="10"/>
  <c r="AZ234" i="10"/>
  <c r="AM234" i="10"/>
  <c r="BG234" i="10"/>
  <c r="BI234" i="10"/>
  <c r="AU234" i="10"/>
  <c r="BC234" i="10"/>
  <c r="O234" i="10"/>
  <c r="B197" i="39" s="1"/>
  <c r="Y234" i="10"/>
  <c r="AD234" i="10"/>
  <c r="BR234" i="10"/>
  <c r="U234" i="10"/>
  <c r="AC234" i="10"/>
  <c r="AE234" i="10"/>
  <c r="AY234" i="10"/>
  <c r="AT234" i="10"/>
  <c r="AR234" i="10"/>
  <c r="BH234" i="10"/>
  <c r="BL234" i="10"/>
  <c r="BD234" i="10"/>
  <c r="AW234" i="10"/>
  <c r="CN234" i="10"/>
  <c r="AJ234" i="10"/>
  <c r="P234" i="10"/>
  <c r="W234" i="10"/>
  <c r="AB234" i="10"/>
  <c r="R234" i="10"/>
  <c r="AH234" i="10"/>
  <c r="AG234" i="10"/>
  <c r="DW235" i="10"/>
  <c r="DX235" i="10"/>
  <c r="DJ235" i="10"/>
  <c r="DR235" i="10"/>
  <c r="B235" i="10"/>
  <c r="O235" i="10" s="1"/>
  <c r="B198" i="39" s="1"/>
  <c r="DP235" i="10"/>
  <c r="DK235" i="10"/>
  <c r="EB235" i="10"/>
  <c r="DN235" i="10"/>
  <c r="DZ235" i="10"/>
  <c r="EA235" i="10"/>
  <c r="AB92" i="14"/>
  <c r="DY235" i="10"/>
  <c r="BW236" i="10"/>
  <c r="EF236" i="10"/>
  <c r="V92" i="14"/>
  <c r="AF92" i="14"/>
  <c r="DT235" i="10"/>
  <c r="ED235" i="10"/>
  <c r="EE235" i="10"/>
  <c r="DM235" i="10"/>
  <c r="EC235" i="10"/>
  <c r="B65" i="23"/>
  <c r="AG65" i="23"/>
  <c r="BL92" i="14"/>
  <c r="AV92" i="14"/>
  <c r="AU92" i="14"/>
  <c r="K93" i="14"/>
  <c r="AB93" i="14" s="1"/>
  <c r="DV235" i="10"/>
  <c r="DU235" i="10"/>
  <c r="DQ235" i="10"/>
  <c r="DO235" i="10"/>
  <c r="DS235" i="10"/>
  <c r="Y64" i="23"/>
  <c r="M64" i="23"/>
  <c r="V64" i="23"/>
  <c r="S64" i="23"/>
  <c r="Z64" i="23"/>
  <c r="O64" i="23"/>
  <c r="E64" i="23"/>
  <c r="I64" i="23"/>
  <c r="AD64" i="23"/>
  <c r="C60" i="34"/>
  <c r="D61" i="34" s="1"/>
  <c r="BN237" i="10"/>
  <c r="AK92" i="14"/>
  <c r="AX92" i="14"/>
  <c r="A95" i="14"/>
  <c r="CE95" i="14" s="1"/>
  <c r="AS92" i="14"/>
  <c r="AC92" i="14"/>
  <c r="AT92" i="14"/>
  <c r="BC92" i="14"/>
  <c r="AH92" i="14"/>
  <c r="BD92" i="14"/>
  <c r="Y92" i="14"/>
  <c r="AG92" i="14"/>
  <c r="AE92" i="14"/>
  <c r="S92" i="14"/>
  <c r="W92" i="14"/>
  <c r="AJ92" i="14"/>
  <c r="BG92" i="14"/>
  <c r="AD92" i="14"/>
  <c r="AI92" i="14"/>
  <c r="BN92" i="14"/>
  <c r="BK92" i="14"/>
  <c r="R92" i="14"/>
  <c r="AZ92" i="14"/>
  <c r="AL92" i="14"/>
  <c r="BH92" i="14"/>
  <c r="AQ92" i="14"/>
  <c r="BB92" i="14"/>
  <c r="AY92" i="14"/>
  <c r="BA92" i="14"/>
  <c r="AR92" i="14"/>
  <c r="U92" i="14"/>
  <c r="AA92" i="14"/>
  <c r="Z92" i="14"/>
  <c r="BF92" i="14"/>
  <c r="X92" i="14"/>
  <c r="BI92" i="14"/>
  <c r="BE92" i="14"/>
  <c r="T92" i="14"/>
  <c r="AW92" i="14"/>
  <c r="AP92" i="14"/>
  <c r="BJ92" i="14"/>
  <c r="B82" i="40"/>
  <c r="BT93" i="14"/>
  <c r="BU93" i="14"/>
  <c r="DT92" i="14"/>
  <c r="EG92" i="14"/>
  <c r="DN92" i="14"/>
  <c r="DX92" i="14"/>
  <c r="DI92" i="14"/>
  <c r="DZ92" i="14"/>
  <c r="DO92" i="14"/>
  <c r="ER92" i="14"/>
  <c r="CX92" i="14"/>
  <c r="DL92" i="14"/>
  <c r="BO92" i="14"/>
  <c r="G92" i="14" s="1"/>
  <c r="DB92" i="14"/>
  <c r="DQ92" i="14"/>
  <c r="EN92" i="14"/>
  <c r="DV92" i="14"/>
  <c r="DK92" i="14"/>
  <c r="EE92" i="14"/>
  <c r="DE92" i="14"/>
  <c r="CV92" i="14"/>
  <c r="DU92" i="14"/>
  <c r="DM92" i="14"/>
  <c r="DD92" i="14"/>
  <c r="EF92" i="14"/>
  <c r="EK92" i="14"/>
  <c r="EJ92" i="14"/>
  <c r="CW92" i="14"/>
  <c r="EA92" i="14"/>
  <c r="DA92" i="14"/>
  <c r="DW92" i="14"/>
  <c r="EC92" i="14"/>
  <c r="EQ92" i="14"/>
  <c r="EL92" i="14"/>
  <c r="DC92" i="14"/>
  <c r="DP92" i="14"/>
  <c r="DJ92" i="14"/>
  <c r="DF92" i="14"/>
  <c r="EO92" i="14"/>
  <c r="ES92" i="14"/>
  <c r="DS92" i="14"/>
  <c r="EI92" i="14"/>
  <c r="DY92" i="14"/>
  <c r="DH92" i="14"/>
  <c r="EM92" i="14"/>
  <c r="EH92" i="14"/>
  <c r="EB92" i="14"/>
  <c r="DG92" i="14"/>
  <c r="ED92" i="14"/>
  <c r="CZ92" i="14"/>
  <c r="CY92" i="14"/>
  <c r="EP92" i="14"/>
  <c r="BP94" i="14"/>
  <c r="P94" i="14"/>
  <c r="D94" i="14"/>
  <c r="B94" i="14"/>
  <c r="M94" i="14" s="1"/>
  <c r="C83" i="40" s="1"/>
  <c r="E83" i="40" s="1"/>
  <c r="BQ94" i="14"/>
  <c r="A83" i="40"/>
  <c r="C94" i="14"/>
  <c r="CB94" i="14"/>
  <c r="BV94" i="14" s="1"/>
  <c r="BX94" i="14"/>
  <c r="CG94" i="14"/>
  <c r="BY237" i="10"/>
  <c r="GW111" i="7"/>
  <c r="GU112" i="7"/>
  <c r="GV112" i="7"/>
  <c r="C236" i="10"/>
  <c r="BX237" i="10"/>
  <c r="F237" i="10"/>
  <c r="G237" i="10"/>
  <c r="GX111" i="7" l="1"/>
  <c r="E41" i="38"/>
  <c r="F41" i="38"/>
  <c r="C40" i="38"/>
  <c r="A40" i="38"/>
  <c r="B40" i="38" s="1"/>
  <c r="C43" i="42"/>
  <c r="A43" i="42"/>
  <c r="B43" i="42" s="1"/>
  <c r="F44" i="42"/>
  <c r="E44" i="42"/>
  <c r="CA94" i="14"/>
  <c r="CC94" i="14"/>
  <c r="BR94" i="14"/>
  <c r="AG235" i="10"/>
  <c r="Q235" i="10"/>
  <c r="F23" i="41"/>
  <c r="E23" i="41"/>
  <c r="A22" i="41"/>
  <c r="B22" i="41" s="1"/>
  <c r="C22" i="41"/>
  <c r="BC93" i="14"/>
  <c r="BG93" i="14"/>
  <c r="BK93" i="14"/>
  <c r="AH93" i="14"/>
  <c r="AT235" i="10"/>
  <c r="BG235" i="10"/>
  <c r="CN235" i="10"/>
  <c r="W235" i="10"/>
  <c r="AJ235" i="10"/>
  <c r="BL235" i="10"/>
  <c r="BF235" i="10"/>
  <c r="AZ235" i="10"/>
  <c r="U235" i="10"/>
  <c r="AK235" i="10"/>
  <c r="BC235" i="10"/>
  <c r="AS235" i="10"/>
  <c r="BK235" i="10"/>
  <c r="AZ93" i="14"/>
  <c r="BJ93" i="14"/>
  <c r="AR93" i="14"/>
  <c r="AA235" i="10"/>
  <c r="AI235" i="10"/>
  <c r="Z235" i="10"/>
  <c r="BE235" i="10"/>
  <c r="AU235" i="10"/>
  <c r="BA235" i="10"/>
  <c r="AO235" i="10"/>
  <c r="AM235" i="10"/>
  <c r="G198" i="39"/>
  <c r="BM235" i="10"/>
  <c r="AR235" i="10"/>
  <c r="BF93" i="14"/>
  <c r="Y235" i="10"/>
  <c r="AB235" i="10"/>
  <c r="S235" i="10"/>
  <c r="AX235" i="10"/>
  <c r="BD235" i="10"/>
  <c r="BI235" i="10"/>
  <c r="AW235" i="10"/>
  <c r="AP235" i="10"/>
  <c r="AJ93" i="14"/>
  <c r="BH93" i="14"/>
  <c r="V93" i="14"/>
  <c r="U93" i="14"/>
  <c r="AK93" i="14"/>
  <c r="AV93" i="14"/>
  <c r="Z93" i="14"/>
  <c r="AE93" i="14"/>
  <c r="AU93" i="14"/>
  <c r="AW93" i="14"/>
  <c r="AC93" i="14"/>
  <c r="BI93" i="14"/>
  <c r="BA93" i="14"/>
  <c r="AP93" i="14"/>
  <c r="R93" i="14"/>
  <c r="W93" i="14"/>
  <c r="AO93" i="14"/>
  <c r="AX93" i="14"/>
  <c r="AS93" i="14"/>
  <c r="AT93" i="14"/>
  <c r="AY93" i="14"/>
  <c r="BD93" i="14"/>
  <c r="AA93" i="14"/>
  <c r="AV235" i="10"/>
  <c r="AY235" i="10"/>
  <c r="BB235" i="10"/>
  <c r="AE235" i="10"/>
  <c r="T235" i="10"/>
  <c r="X93" i="14"/>
  <c r="AQ235" i="10"/>
  <c r="BJ235" i="10"/>
  <c r="BH235" i="10"/>
  <c r="AF235" i="10"/>
  <c r="BR235" i="10"/>
  <c r="AH235" i="10"/>
  <c r="V235" i="10"/>
  <c r="P235" i="10"/>
  <c r="CO234" i="10"/>
  <c r="BE93" i="14"/>
  <c r="AQ93" i="14"/>
  <c r="AD93" i="14"/>
  <c r="AF93" i="14"/>
  <c r="BM93" i="14"/>
  <c r="BB93" i="14"/>
  <c r="BL93" i="14"/>
  <c r="Y93" i="14"/>
  <c r="AG93" i="14"/>
  <c r="S93" i="14"/>
  <c r="BN93" i="14"/>
  <c r="AI93" i="14"/>
  <c r="T93" i="14"/>
  <c r="AL93" i="14"/>
  <c r="AL235" i="10"/>
  <c r="AD235" i="10"/>
  <c r="X235" i="10"/>
  <c r="B236" i="10"/>
  <c r="AL236" i="10" s="1"/>
  <c r="AC235" i="10"/>
  <c r="R235" i="10"/>
  <c r="BW237" i="10"/>
  <c r="EF237" i="10"/>
  <c r="C61" i="34"/>
  <c r="D62" i="34" s="1"/>
  <c r="M65" i="23"/>
  <c r="E65" i="23"/>
  <c r="Y65" i="23"/>
  <c r="S65" i="23"/>
  <c r="O65" i="23"/>
  <c r="V65" i="23"/>
  <c r="I65" i="23"/>
  <c r="AD65" i="23"/>
  <c r="Z65" i="23"/>
  <c r="ED236" i="10"/>
  <c r="DU236" i="10"/>
  <c r="EA236" i="10"/>
  <c r="DO236" i="10"/>
  <c r="DL236" i="10"/>
  <c r="DY236" i="10"/>
  <c r="AG66" i="23"/>
  <c r="B66" i="23"/>
  <c r="DW236" i="10"/>
  <c r="DM236" i="10"/>
  <c r="DQ236" i="10"/>
  <c r="DN236" i="10"/>
  <c r="DX236" i="10"/>
  <c r="EC236" i="10"/>
  <c r="BN238" i="10"/>
  <c r="DV236" i="10"/>
  <c r="DP236" i="10"/>
  <c r="DR236" i="10"/>
  <c r="DZ236" i="10"/>
  <c r="EE236" i="10"/>
  <c r="DK236" i="10"/>
  <c r="DJ236" i="10"/>
  <c r="DT236" i="10"/>
  <c r="EB236" i="10"/>
  <c r="DS236" i="10"/>
  <c r="B83" i="40"/>
  <c r="BT94" i="14"/>
  <c r="BU94" i="14"/>
  <c r="BQ95" i="14"/>
  <c r="A84" i="40"/>
  <c r="D95" i="14"/>
  <c r="B95" i="14"/>
  <c r="M95" i="14" s="1"/>
  <c r="C84" i="40" s="1"/>
  <c r="E84" i="40" s="1"/>
  <c r="CB95" i="14"/>
  <c r="BV95" i="14" s="1"/>
  <c r="C95" i="14"/>
  <c r="P95" i="14"/>
  <c r="BP95" i="14"/>
  <c r="CG95" i="14"/>
  <c r="BX95" i="14"/>
  <c r="DY93" i="14"/>
  <c r="EA93" i="14"/>
  <c r="CV93" i="14"/>
  <c r="DA93" i="14"/>
  <c r="DX93" i="14"/>
  <c r="DM93" i="14"/>
  <c r="DU93" i="14"/>
  <c r="EK93" i="14"/>
  <c r="EL93" i="14"/>
  <c r="DI93" i="14"/>
  <c r="EP93" i="14"/>
  <c r="DW93" i="14"/>
  <c r="DC93" i="14"/>
  <c r="EE93" i="14"/>
  <c r="EG93" i="14"/>
  <c r="EN93" i="14"/>
  <c r="DV93" i="14"/>
  <c r="DQ93" i="14"/>
  <c r="DN93" i="14"/>
  <c r="CW93" i="14"/>
  <c r="EM93" i="14"/>
  <c r="ER93" i="14"/>
  <c r="DB93" i="14"/>
  <c r="DE93" i="14"/>
  <c r="CZ93" i="14"/>
  <c r="DG93" i="14"/>
  <c r="BO93" i="14"/>
  <c r="G93" i="14" s="1"/>
  <c r="DO93" i="14"/>
  <c r="DF93" i="14"/>
  <c r="DT93" i="14"/>
  <c r="CY93" i="14"/>
  <c r="EQ93" i="14"/>
  <c r="EO93" i="14"/>
  <c r="ED93" i="14"/>
  <c r="DK93" i="14"/>
  <c r="EB93" i="14"/>
  <c r="DD93" i="14"/>
  <c r="DS93" i="14"/>
  <c r="DZ93" i="14"/>
  <c r="CX93" i="14"/>
  <c r="DP93" i="14"/>
  <c r="EH93" i="14"/>
  <c r="ES93" i="14"/>
  <c r="EI93" i="14"/>
  <c r="EC93" i="14"/>
  <c r="EJ93" i="14"/>
  <c r="DL93" i="14"/>
  <c r="EF93" i="14"/>
  <c r="DJ93" i="14"/>
  <c r="DH93" i="14"/>
  <c r="K94" i="14"/>
  <c r="BG94" i="14" s="1"/>
  <c r="A96" i="14"/>
  <c r="CE96" i="14" s="1"/>
  <c r="BY238" i="10"/>
  <c r="GW112" i="7"/>
  <c r="GV113" i="7"/>
  <c r="GU113" i="7"/>
  <c r="F238" i="10"/>
  <c r="G238" i="10"/>
  <c r="BX238" i="10"/>
  <c r="C237" i="10"/>
  <c r="GX112" i="7" l="1"/>
  <c r="GQ346" i="7" s="1"/>
  <c r="F42" i="38"/>
  <c r="E42" i="38"/>
  <c r="A41" i="38"/>
  <c r="B41" i="38" s="1"/>
  <c r="C41" i="38"/>
  <c r="C44" i="42"/>
  <c r="A44" i="42"/>
  <c r="B44" i="42" s="1"/>
  <c r="F45" i="42"/>
  <c r="E45" i="42"/>
  <c r="CA95" i="14"/>
  <c r="CC95" i="14"/>
  <c r="BR95" i="14"/>
  <c r="A23" i="41"/>
  <c r="B23" i="41" s="1"/>
  <c r="C23" i="41"/>
  <c r="E24" i="41"/>
  <c r="F24" i="41" s="1"/>
  <c r="AI236" i="10"/>
  <c r="S236" i="10"/>
  <c r="AE236" i="10"/>
  <c r="AA236" i="10"/>
  <c r="BI236" i="10"/>
  <c r="BC236" i="10"/>
  <c r="AS236" i="10"/>
  <c r="BD236" i="10"/>
  <c r="AU236" i="10"/>
  <c r="AH236" i="10"/>
  <c r="BR236" i="10"/>
  <c r="V236" i="10"/>
  <c r="AX236" i="10"/>
  <c r="O236" i="10"/>
  <c r="B199" i="39" s="1"/>
  <c r="CO235" i="10"/>
  <c r="BF94" i="14"/>
  <c r="AH94" i="14"/>
  <c r="Y236" i="10"/>
  <c r="Q236" i="10"/>
  <c r="X236" i="10"/>
  <c r="BA236" i="10"/>
  <c r="BH236" i="10"/>
  <c r="BK236" i="10"/>
  <c r="AP236" i="10"/>
  <c r="AY236" i="10"/>
  <c r="BE236" i="10"/>
  <c r="AT236" i="10"/>
  <c r="W236" i="10"/>
  <c r="Z236" i="10"/>
  <c r="AK236" i="10"/>
  <c r="AB236" i="10"/>
  <c r="AW236" i="10"/>
  <c r="BF236" i="10"/>
  <c r="AQ236" i="10"/>
  <c r="BB236" i="10"/>
  <c r="AO236" i="10"/>
  <c r="BL236" i="10"/>
  <c r="CN236" i="10"/>
  <c r="AD236" i="10"/>
  <c r="AC236" i="10"/>
  <c r="R236" i="10"/>
  <c r="P236" i="10"/>
  <c r="AF236" i="10"/>
  <c r="AM236" i="10"/>
  <c r="AR236" i="10"/>
  <c r="BM236" i="10"/>
  <c r="AZ236" i="10"/>
  <c r="BJ236" i="10"/>
  <c r="AV236" i="10"/>
  <c r="BG236" i="10"/>
  <c r="G199" i="39"/>
  <c r="T236" i="10"/>
  <c r="U236" i="10"/>
  <c r="AJ236" i="10"/>
  <c r="BC94" i="14"/>
  <c r="BN94" i="14"/>
  <c r="BI94" i="14"/>
  <c r="AR94" i="14"/>
  <c r="AU94" i="14"/>
  <c r="BB94" i="14"/>
  <c r="AA94" i="14"/>
  <c r="BM94" i="14"/>
  <c r="AQ94" i="14"/>
  <c r="AP94" i="14"/>
  <c r="AW94" i="14"/>
  <c r="AB94" i="14"/>
  <c r="W94" i="14"/>
  <c r="BA94" i="14"/>
  <c r="AE94" i="14"/>
  <c r="AG94" i="14"/>
  <c r="BD94" i="14"/>
  <c r="AI94" i="14"/>
  <c r="U94" i="14"/>
  <c r="AG236" i="10"/>
  <c r="B237" i="10"/>
  <c r="CN237" i="10" s="1"/>
  <c r="K95" i="14"/>
  <c r="AV95" i="14" s="1"/>
  <c r="EF238" i="10"/>
  <c r="DZ238" i="10" s="1"/>
  <c r="BW238" i="10"/>
  <c r="C62" i="34"/>
  <c r="D63" i="34" s="1"/>
  <c r="DJ237" i="10"/>
  <c r="DZ237" i="10"/>
  <c r="EE237" i="10"/>
  <c r="DR237" i="10"/>
  <c r="DL237" i="10"/>
  <c r="AD94" i="14"/>
  <c r="AV94" i="14"/>
  <c r="AK94" i="14"/>
  <c r="Y94" i="14"/>
  <c r="R94" i="14"/>
  <c r="DU237" i="10"/>
  <c r="DS237" i="10"/>
  <c r="DM237" i="10"/>
  <c r="DQ237" i="10"/>
  <c r="DT237" i="10"/>
  <c r="BN239" i="10"/>
  <c r="B67" i="23"/>
  <c r="AG67" i="23"/>
  <c r="ED237" i="10"/>
  <c r="EC237" i="10"/>
  <c r="DO237" i="10"/>
  <c r="DN237" i="10"/>
  <c r="EB237" i="10"/>
  <c r="DW237" i="10"/>
  <c r="M66" i="23"/>
  <c r="E66" i="23"/>
  <c r="I66" i="23"/>
  <c r="O66" i="23"/>
  <c r="V66" i="23"/>
  <c r="AD66" i="23"/>
  <c r="S66" i="23"/>
  <c r="Y66" i="23"/>
  <c r="Z66" i="23"/>
  <c r="DV237" i="10"/>
  <c r="DX237" i="10"/>
  <c r="EA237" i="10"/>
  <c r="DY237" i="10"/>
  <c r="DP237" i="10"/>
  <c r="DK237" i="10"/>
  <c r="A97" i="14"/>
  <c r="CE97" i="14" s="1"/>
  <c r="BT95" i="14"/>
  <c r="B84" i="40"/>
  <c r="BU95" i="14"/>
  <c r="P96" i="14"/>
  <c r="BP96" i="14"/>
  <c r="BQ96" i="14"/>
  <c r="C96" i="14"/>
  <c r="CB96" i="14"/>
  <c r="BV96" i="14" s="1"/>
  <c r="B96" i="14"/>
  <c r="M96" i="14" s="1"/>
  <c r="C85" i="40" s="1"/>
  <c r="E85" i="40" s="1"/>
  <c r="D96" i="14"/>
  <c r="A85" i="40"/>
  <c r="CG96" i="14"/>
  <c r="BX96" i="14"/>
  <c r="DY94" i="14"/>
  <c r="EH94" i="14"/>
  <c r="DB94" i="14"/>
  <c r="EM94" i="14"/>
  <c r="EJ94" i="14"/>
  <c r="DN94" i="14"/>
  <c r="DT94" i="14"/>
  <c r="EQ94" i="14"/>
  <c r="DV94" i="14"/>
  <c r="EK94" i="14"/>
  <c r="DD94" i="14"/>
  <c r="EN94" i="14"/>
  <c r="DE94" i="14"/>
  <c r="DC94" i="14"/>
  <c r="EF94" i="14"/>
  <c r="DX94" i="14"/>
  <c r="DF94" i="14"/>
  <c r="DZ94" i="14"/>
  <c r="DG94" i="14"/>
  <c r="CX94" i="14"/>
  <c r="DA94" i="14"/>
  <c r="DK94" i="14"/>
  <c r="DU94" i="14"/>
  <c r="CZ94" i="14"/>
  <c r="DW94" i="14"/>
  <c r="BO94" i="14"/>
  <c r="G94" i="14" s="1"/>
  <c r="EG94" i="14"/>
  <c r="ED94" i="14"/>
  <c r="EL94" i="14"/>
  <c r="CW94" i="14"/>
  <c r="DL94" i="14"/>
  <c r="EA94" i="14"/>
  <c r="DO94" i="14"/>
  <c r="EO94" i="14"/>
  <c r="DS94" i="14"/>
  <c r="DI94" i="14"/>
  <c r="DH94" i="14"/>
  <c r="EI94" i="14"/>
  <c r="EB94" i="14"/>
  <c r="EP94" i="14"/>
  <c r="CY94" i="14"/>
  <c r="ES94" i="14"/>
  <c r="ER94" i="14"/>
  <c r="DQ94" i="14"/>
  <c r="EE94" i="14"/>
  <c r="EC94" i="14"/>
  <c r="DJ94" i="14"/>
  <c r="DM94" i="14"/>
  <c r="CV94" i="14"/>
  <c r="DP94" i="14"/>
  <c r="AT94" i="14"/>
  <c r="T94" i="14"/>
  <c r="AX94" i="14"/>
  <c r="AL94" i="14"/>
  <c r="X94" i="14"/>
  <c r="AJ94" i="14"/>
  <c r="S94" i="14"/>
  <c r="V94" i="14"/>
  <c r="AO94" i="14"/>
  <c r="AY94" i="14"/>
  <c r="AS94" i="14"/>
  <c r="BJ94" i="14"/>
  <c r="Z94" i="14"/>
  <c r="BE94" i="14"/>
  <c r="BH94" i="14"/>
  <c r="BL94" i="14"/>
  <c r="AF94" i="14"/>
  <c r="AC94" i="14"/>
  <c r="AZ94" i="14"/>
  <c r="BK94" i="14"/>
  <c r="BY239" i="10"/>
  <c r="GW113" i="7"/>
  <c r="GV114" i="7"/>
  <c r="GU114" i="7"/>
  <c r="F239" i="10"/>
  <c r="G239" i="10"/>
  <c r="BX239" i="10"/>
  <c r="C238" i="10"/>
  <c r="GX113" i="7" l="1"/>
  <c r="A42" i="38"/>
  <c r="B42" i="38" s="1"/>
  <c r="C42" i="38"/>
  <c r="E43" i="38"/>
  <c r="F43" i="38"/>
  <c r="C45" i="42"/>
  <c r="A45" i="42"/>
  <c r="B45" i="42" s="1"/>
  <c r="F46" i="42"/>
  <c r="E46" i="42"/>
  <c r="CA96" i="14"/>
  <c r="CC96" i="14"/>
  <c r="BR96" i="14"/>
  <c r="E25" i="41"/>
  <c r="F25" i="41" s="1"/>
  <c r="C24" i="41"/>
  <c r="A24" i="41"/>
  <c r="B24" i="41" s="1"/>
  <c r="V237" i="10"/>
  <c r="AB237" i="10"/>
  <c r="AW95" i="14"/>
  <c r="T237" i="10"/>
  <c r="W237" i="10"/>
  <c r="BR237" i="10"/>
  <c r="AL237" i="10"/>
  <c r="AS95" i="14"/>
  <c r="BH95" i="14"/>
  <c r="Q237" i="10"/>
  <c r="AD237" i="10"/>
  <c r="AH237" i="10"/>
  <c r="AJ237" i="10"/>
  <c r="Z237" i="10"/>
  <c r="AA237" i="10"/>
  <c r="AE237" i="10"/>
  <c r="U237" i="10"/>
  <c r="S237" i="10"/>
  <c r="AF237" i="10"/>
  <c r="AG237" i="10"/>
  <c r="AC237" i="10"/>
  <c r="AI237" i="10"/>
  <c r="Y237" i="10"/>
  <c r="R237" i="10"/>
  <c r="AA95" i="14"/>
  <c r="AZ95" i="14"/>
  <c r="AI95" i="14"/>
  <c r="P237" i="10"/>
  <c r="AK95" i="14"/>
  <c r="BD95" i="14"/>
  <c r="V95" i="14"/>
  <c r="AY95" i="14"/>
  <c r="AL95" i="14"/>
  <c r="R95" i="14"/>
  <c r="CO236" i="10"/>
  <c r="X237" i="10"/>
  <c r="AU237" i="10"/>
  <c r="AK237" i="10"/>
  <c r="G200" i="39"/>
  <c r="AX95" i="14"/>
  <c r="AJ95" i="14"/>
  <c r="AB95" i="14"/>
  <c r="Y95" i="14"/>
  <c r="AD95" i="14"/>
  <c r="AR95" i="14"/>
  <c r="AO95" i="14"/>
  <c r="BL95" i="14"/>
  <c r="BK95" i="14"/>
  <c r="AH95" i="14"/>
  <c r="BM95" i="14"/>
  <c r="BA95" i="14"/>
  <c r="BC95" i="14"/>
  <c r="W95" i="14"/>
  <c r="BE95" i="14"/>
  <c r="AF95" i="14"/>
  <c r="BB95" i="14"/>
  <c r="BN95" i="14"/>
  <c r="AP95" i="14"/>
  <c r="DM238" i="10"/>
  <c r="BF95" i="14"/>
  <c r="BI95" i="14"/>
  <c r="AU95" i="14"/>
  <c r="AG95" i="14"/>
  <c r="BG95" i="14"/>
  <c r="S95" i="14"/>
  <c r="AE95" i="14"/>
  <c r="Z95" i="14"/>
  <c r="U95" i="14"/>
  <c r="AT95" i="14"/>
  <c r="AQ95" i="14"/>
  <c r="X95" i="14"/>
  <c r="BJ95" i="14"/>
  <c r="AC95" i="14"/>
  <c r="T95" i="14"/>
  <c r="BC237" i="10"/>
  <c r="AZ237" i="10"/>
  <c r="BE237" i="10"/>
  <c r="BB237" i="10"/>
  <c r="AS237" i="10"/>
  <c r="BJ237" i="10"/>
  <c r="AP237" i="10"/>
  <c r="AR237" i="10"/>
  <c r="BG237" i="10"/>
  <c r="AY237" i="10"/>
  <c r="BK237" i="10"/>
  <c r="AQ237" i="10"/>
  <c r="AV237" i="10"/>
  <c r="AW237" i="10"/>
  <c r="AM237" i="10"/>
  <c r="BM237" i="10"/>
  <c r="BH237" i="10"/>
  <c r="BI237" i="10"/>
  <c r="BF237" i="10"/>
  <c r="AX237" i="10"/>
  <c r="EC238" i="10"/>
  <c r="AT237" i="10"/>
  <c r="AO237" i="10"/>
  <c r="BL237" i="10"/>
  <c r="BA237" i="10"/>
  <c r="O237" i="10"/>
  <c r="B200" i="39" s="1"/>
  <c r="EA238" i="10"/>
  <c r="BD237" i="10"/>
  <c r="DL238" i="10"/>
  <c r="DJ238" i="10"/>
  <c r="ED238" i="10"/>
  <c r="DN238" i="10"/>
  <c r="DO238" i="10"/>
  <c r="DS238" i="10"/>
  <c r="DT238" i="10"/>
  <c r="DR238" i="10"/>
  <c r="DV238" i="10"/>
  <c r="DP238" i="10"/>
  <c r="DU238" i="10"/>
  <c r="EE238" i="10"/>
  <c r="B238" i="10"/>
  <c r="AU238" i="10" s="1"/>
  <c r="K96" i="14"/>
  <c r="U96" i="14" s="1"/>
  <c r="DK238" i="10"/>
  <c r="EB238" i="10"/>
  <c r="DY238" i="10"/>
  <c r="AE238" i="10" s="1"/>
  <c r="DQ238" i="10"/>
  <c r="DW238" i="10"/>
  <c r="DX238" i="10"/>
  <c r="EF239" i="10"/>
  <c r="DK239" i="10" s="1"/>
  <c r="BW239" i="10"/>
  <c r="C63" i="34"/>
  <c r="D64" i="34" s="1"/>
  <c r="BN240" i="10"/>
  <c r="I67" i="23"/>
  <c r="V67" i="23"/>
  <c r="S67" i="23"/>
  <c r="Z67" i="23"/>
  <c r="Y67" i="23"/>
  <c r="O67" i="23"/>
  <c r="E67" i="23"/>
  <c r="AD67" i="23"/>
  <c r="M67" i="23"/>
  <c r="B68" i="23"/>
  <c r="AG68" i="23"/>
  <c r="A98" i="14"/>
  <c r="CE98" i="14" s="1"/>
  <c r="EB95" i="14"/>
  <c r="DD95" i="14"/>
  <c r="EN95" i="14"/>
  <c r="EI95" i="14"/>
  <c r="DT95" i="14"/>
  <c r="CV95" i="14"/>
  <c r="DL95" i="14"/>
  <c r="CY95" i="14"/>
  <c r="DZ95" i="14"/>
  <c r="DQ95" i="14"/>
  <c r="DK95" i="14"/>
  <c r="EC95" i="14"/>
  <c r="EE95" i="14"/>
  <c r="EO95" i="14"/>
  <c r="DW95" i="14"/>
  <c r="BO95" i="14"/>
  <c r="G95" i="14" s="1"/>
  <c r="DX95" i="14"/>
  <c r="DH95" i="14"/>
  <c r="EH95" i="14"/>
  <c r="EM95" i="14"/>
  <c r="DF95" i="14"/>
  <c r="CX95" i="14"/>
  <c r="EP95" i="14"/>
  <c r="CW95" i="14"/>
  <c r="DY95" i="14"/>
  <c r="DN95" i="14"/>
  <c r="EJ95" i="14"/>
  <c r="DA95" i="14"/>
  <c r="EL95" i="14"/>
  <c r="ER95" i="14"/>
  <c r="DB95" i="14"/>
  <c r="DV95" i="14"/>
  <c r="EA95" i="14"/>
  <c r="CZ95" i="14"/>
  <c r="EK95" i="14"/>
  <c r="DO95" i="14"/>
  <c r="DM95" i="14"/>
  <c r="DC95" i="14"/>
  <c r="EG95" i="14"/>
  <c r="ED95" i="14"/>
  <c r="DU95" i="14"/>
  <c r="DE95" i="14"/>
  <c r="DI95" i="14"/>
  <c r="ES95" i="14"/>
  <c r="EQ95" i="14"/>
  <c r="EF95" i="14"/>
  <c r="DS95" i="14"/>
  <c r="DJ95" i="14"/>
  <c r="DP95" i="14"/>
  <c r="DG95" i="14"/>
  <c r="B85" i="40"/>
  <c r="BU96" i="14"/>
  <c r="BT96" i="14"/>
  <c r="P97" i="14"/>
  <c r="CB97" i="14"/>
  <c r="BV97" i="14" s="1"/>
  <c r="C97" i="14"/>
  <c r="BQ97" i="14"/>
  <c r="BP97" i="14"/>
  <c r="B97" i="14"/>
  <c r="M97" i="14" s="1"/>
  <c r="C86" i="40" s="1"/>
  <c r="E86" i="40" s="1"/>
  <c r="D97" i="14"/>
  <c r="A86" i="40"/>
  <c r="CG97" i="14"/>
  <c r="BX97" i="14"/>
  <c r="BY240" i="10"/>
  <c r="GW114" i="7"/>
  <c r="GV115" i="7"/>
  <c r="GU115" i="7"/>
  <c r="C239" i="10"/>
  <c r="BX240" i="10"/>
  <c r="F240" i="10"/>
  <c r="G240" i="10"/>
  <c r="GX114" i="7" l="1"/>
  <c r="F44" i="38"/>
  <c r="E44" i="38"/>
  <c r="A43" i="38"/>
  <c r="B43" i="38" s="1"/>
  <c r="C43" i="38"/>
  <c r="C46" i="42"/>
  <c r="A46" i="42"/>
  <c r="B46" i="42" s="1"/>
  <c r="E47" i="42"/>
  <c r="F47" i="42"/>
  <c r="R238" i="10"/>
  <c r="CA97" i="14"/>
  <c r="CC97" i="14"/>
  <c r="BR97" i="14"/>
  <c r="AC238" i="10"/>
  <c r="E26" i="41"/>
  <c r="F26" i="41" s="1"/>
  <c r="C25" i="41"/>
  <c r="A25" i="41"/>
  <c r="B25" i="41" s="1"/>
  <c r="AD96" i="14"/>
  <c r="BL96" i="14"/>
  <c r="AW96" i="14"/>
  <c r="BB238" i="10"/>
  <c r="BA238" i="10"/>
  <c r="AI238" i="10"/>
  <c r="S238" i="10"/>
  <c r="BR238" i="10"/>
  <c r="AW238" i="10"/>
  <c r="AY238" i="10"/>
  <c r="AX238" i="10"/>
  <c r="AL238" i="10"/>
  <c r="BJ238" i="10"/>
  <c r="W96" i="14"/>
  <c r="R96" i="14"/>
  <c r="AK96" i="14"/>
  <c r="Y96" i="14"/>
  <c r="AQ96" i="14"/>
  <c r="AZ96" i="14"/>
  <c r="AE96" i="14"/>
  <c r="AY96" i="14"/>
  <c r="AH238" i="10"/>
  <c r="P238" i="10"/>
  <c r="V96" i="14"/>
  <c r="BF96" i="14"/>
  <c r="BB96" i="14"/>
  <c r="BK96" i="14"/>
  <c r="AC96" i="14"/>
  <c r="AF96" i="14"/>
  <c r="AS96" i="14"/>
  <c r="Z96" i="14"/>
  <c r="X96" i="14"/>
  <c r="BE96" i="14"/>
  <c r="AV96" i="14"/>
  <c r="AA96" i="14"/>
  <c r="BG96" i="14"/>
  <c r="BD96" i="14"/>
  <c r="AT96" i="14"/>
  <c r="BC96" i="14"/>
  <c r="BJ96" i="14"/>
  <c r="BI96" i="14"/>
  <c r="AX96" i="14"/>
  <c r="S96" i="14"/>
  <c r="AI96" i="14"/>
  <c r="AU96" i="14"/>
  <c r="AG96" i="14"/>
  <c r="AL96" i="14"/>
  <c r="AP96" i="14"/>
  <c r="BN96" i="14"/>
  <c r="AR96" i="14"/>
  <c r="AO96" i="14"/>
  <c r="T96" i="14"/>
  <c r="AJ96" i="14"/>
  <c r="BM96" i="14"/>
  <c r="AB96" i="14"/>
  <c r="BH96" i="14"/>
  <c r="AH96" i="14"/>
  <c r="BA96" i="14"/>
  <c r="CO237" i="10"/>
  <c r="X238" i="10"/>
  <c r="AB238" i="10"/>
  <c r="U238" i="10"/>
  <c r="AD238" i="10"/>
  <c r="AJ238" i="10"/>
  <c r="AA238" i="10"/>
  <c r="AS238" i="10"/>
  <c r="BL238" i="10"/>
  <c r="BE238" i="10"/>
  <c r="BD238" i="10"/>
  <c r="BC238" i="10"/>
  <c r="AP238" i="10"/>
  <c r="AZ238" i="10"/>
  <c r="CN238" i="10"/>
  <c r="T238" i="10"/>
  <c r="Q238" i="10"/>
  <c r="W238" i="10"/>
  <c r="AK238" i="10"/>
  <c r="AG238" i="10"/>
  <c r="AV238" i="10"/>
  <c r="BM238" i="10"/>
  <c r="AQ238" i="10"/>
  <c r="BK238" i="10"/>
  <c r="BH238" i="10"/>
  <c r="AT238" i="10"/>
  <c r="G201" i="39"/>
  <c r="V238" i="10"/>
  <c r="Y238" i="10"/>
  <c r="AF238" i="10"/>
  <c r="Z238" i="10"/>
  <c r="BF238" i="10"/>
  <c r="AO238" i="10"/>
  <c r="BG238" i="10"/>
  <c r="AM238" i="10"/>
  <c r="BI238" i="10"/>
  <c r="AR238" i="10"/>
  <c r="O238" i="10"/>
  <c r="B201" i="39" s="1"/>
  <c r="DM239" i="10"/>
  <c r="EB239" i="10"/>
  <c r="DO239" i="10"/>
  <c r="EA239" i="10"/>
  <c r="DT239" i="10"/>
  <c r="DR239" i="10"/>
  <c r="ED239" i="10"/>
  <c r="DJ239" i="10"/>
  <c r="DV239" i="10"/>
  <c r="DS239" i="10"/>
  <c r="DW239" i="10"/>
  <c r="DX239" i="10"/>
  <c r="EC239" i="10"/>
  <c r="DY239" i="10"/>
  <c r="EE239" i="10"/>
  <c r="DN239" i="10"/>
  <c r="DZ239" i="10"/>
  <c r="DP239" i="10"/>
  <c r="DQ239" i="10"/>
  <c r="DL239" i="10"/>
  <c r="DU239" i="10"/>
  <c r="B239" i="10"/>
  <c r="BW240" i="10"/>
  <c r="EF240" i="10"/>
  <c r="EE240" i="10" s="1"/>
  <c r="C64" i="34"/>
  <c r="D65" i="34" s="1"/>
  <c r="M68" i="23"/>
  <c r="S68" i="23"/>
  <c r="E68" i="23"/>
  <c r="Z68" i="23"/>
  <c r="I68" i="23"/>
  <c r="Y68" i="23"/>
  <c r="O68" i="23"/>
  <c r="V68" i="23"/>
  <c r="AD68" i="23"/>
  <c r="B69" i="23"/>
  <c r="AG69" i="23"/>
  <c r="BN241" i="10"/>
  <c r="A99" i="14"/>
  <c r="CE99" i="14" s="1"/>
  <c r="BU97" i="14"/>
  <c r="BT97" i="14"/>
  <c r="B86" i="40"/>
  <c r="B98" i="14"/>
  <c r="M98" i="14" s="1"/>
  <c r="C87" i="40" s="1"/>
  <c r="E87" i="40" s="1"/>
  <c r="BQ98" i="14"/>
  <c r="CB98" i="14"/>
  <c r="BV98" i="14" s="1"/>
  <c r="D98" i="14"/>
  <c r="A87" i="40"/>
  <c r="BP98" i="14"/>
  <c r="C98" i="14"/>
  <c r="P98" i="14"/>
  <c r="BX98" i="14"/>
  <c r="CG98" i="14"/>
  <c r="BO96" i="14"/>
  <c r="G96" i="14" s="1"/>
  <c r="DW96" i="14"/>
  <c r="DJ96" i="14"/>
  <c r="DY96" i="14"/>
  <c r="DO96" i="14"/>
  <c r="DD96" i="14"/>
  <c r="EB96" i="14"/>
  <c r="EJ96" i="14"/>
  <c r="ES96" i="14"/>
  <c r="CX96" i="14"/>
  <c r="DN96" i="14"/>
  <c r="DQ96" i="14"/>
  <c r="DA96" i="14"/>
  <c r="DP96" i="14"/>
  <c r="EC96" i="14"/>
  <c r="EI96" i="14"/>
  <c r="DF96" i="14"/>
  <c r="EO96" i="14"/>
  <c r="EE96" i="14"/>
  <c r="ED96" i="14"/>
  <c r="EM96" i="14"/>
  <c r="CW96" i="14"/>
  <c r="EF96" i="14"/>
  <c r="DZ96" i="14"/>
  <c r="DH96" i="14"/>
  <c r="DU96" i="14"/>
  <c r="EH96" i="14"/>
  <c r="EA96" i="14"/>
  <c r="EN96" i="14"/>
  <c r="DE96" i="14"/>
  <c r="DL96" i="14"/>
  <c r="DV96" i="14"/>
  <c r="EQ96" i="14"/>
  <c r="EP96" i="14"/>
  <c r="DI96" i="14"/>
  <c r="CY96" i="14"/>
  <c r="EG96" i="14"/>
  <c r="DS96" i="14"/>
  <c r="DT96" i="14"/>
  <c r="CZ96" i="14"/>
  <c r="DC96" i="14"/>
  <c r="DK96" i="14"/>
  <c r="DG96" i="14"/>
  <c r="DX96" i="14"/>
  <c r="CV96" i="14"/>
  <c r="EL96" i="14"/>
  <c r="EK96" i="14"/>
  <c r="ER96" i="14"/>
  <c r="DB96" i="14"/>
  <c r="DM96" i="14"/>
  <c r="K97" i="14"/>
  <c r="AR97" i="14" s="1"/>
  <c r="BY241" i="10"/>
  <c r="GW115" i="7"/>
  <c r="GV116" i="7"/>
  <c r="GU116" i="7"/>
  <c r="BX241" i="10"/>
  <c r="F241" i="10"/>
  <c r="G241" i="10"/>
  <c r="C240" i="10"/>
  <c r="GX115" i="7" l="1"/>
  <c r="C44" i="38"/>
  <c r="A44" i="38"/>
  <c r="B44" i="38" s="1"/>
  <c r="F45" i="38"/>
  <c r="E45" i="38"/>
  <c r="A47" i="42"/>
  <c r="B47" i="42" s="1"/>
  <c r="C47" i="42"/>
  <c r="CA98" i="14"/>
  <c r="BR98" i="14"/>
  <c r="CC98" i="14"/>
  <c r="C26" i="41"/>
  <c r="A26" i="41"/>
  <c r="B26" i="41" s="1"/>
  <c r="E27" i="41"/>
  <c r="F27" i="41" s="1"/>
  <c r="EB240" i="10"/>
  <c r="U239" i="10"/>
  <c r="K98" i="14"/>
  <c r="BA98" i="14" s="1"/>
  <c r="AH239" i="10"/>
  <c r="CO238" i="10"/>
  <c r="Q239" i="10"/>
  <c r="AY239" i="10"/>
  <c r="AI239" i="10"/>
  <c r="AL239" i="10"/>
  <c r="BK239" i="10"/>
  <c r="AE239" i="10"/>
  <c r="X239" i="10"/>
  <c r="S239" i="10"/>
  <c r="W239" i="10"/>
  <c r="AK239" i="10"/>
  <c r="P239" i="10"/>
  <c r="BA239" i="10"/>
  <c r="R239" i="10"/>
  <c r="AG239" i="10"/>
  <c r="AB239" i="10"/>
  <c r="BH239" i="10"/>
  <c r="AX239" i="10"/>
  <c r="BR239" i="10"/>
  <c r="T239" i="10"/>
  <c r="AA239" i="10"/>
  <c r="AO239" i="10"/>
  <c r="BD239" i="10"/>
  <c r="Z239" i="10"/>
  <c r="AJ239" i="10"/>
  <c r="Y239" i="10"/>
  <c r="AT239" i="10"/>
  <c r="AP239" i="10"/>
  <c r="AW239" i="10"/>
  <c r="AS239" i="10"/>
  <c r="BC239" i="10"/>
  <c r="AM239" i="10"/>
  <c r="BE239" i="10"/>
  <c r="AR239" i="10"/>
  <c r="BG239" i="10"/>
  <c r="BM239" i="10"/>
  <c r="AU239" i="10"/>
  <c r="BJ239" i="10"/>
  <c r="BB239" i="10"/>
  <c r="CN239" i="10"/>
  <c r="BI239" i="10"/>
  <c r="BL239" i="10"/>
  <c r="AQ239" i="10"/>
  <c r="BF239" i="10"/>
  <c r="O239" i="10"/>
  <c r="B202" i="39" s="1"/>
  <c r="AZ239" i="10"/>
  <c r="AV239" i="10"/>
  <c r="V239" i="10"/>
  <c r="G202" i="39"/>
  <c r="DJ240" i="10"/>
  <c r="DO240" i="10"/>
  <c r="AC239" i="10"/>
  <c r="R97" i="14"/>
  <c r="DR240" i="10"/>
  <c r="DV240" i="10"/>
  <c r="AF97" i="14"/>
  <c r="DL240" i="10"/>
  <c r="DQ240" i="10"/>
  <c r="B240" i="10"/>
  <c r="O240" i="10" s="1"/>
  <c r="B203" i="39" s="1"/>
  <c r="DK240" i="10"/>
  <c r="DW240" i="10"/>
  <c r="DZ240" i="10"/>
  <c r="ED240" i="10"/>
  <c r="AF239" i="10"/>
  <c r="DU240" i="10"/>
  <c r="DT240" i="10"/>
  <c r="DS240" i="10"/>
  <c r="EA240" i="10"/>
  <c r="DX240" i="10"/>
  <c r="AD239" i="10"/>
  <c r="DP240" i="10"/>
  <c r="BW241" i="10"/>
  <c r="EF241" i="10"/>
  <c r="DU241" i="10" s="1"/>
  <c r="C65" i="34"/>
  <c r="D66" i="34" s="1"/>
  <c r="M69" i="23"/>
  <c r="S69" i="23"/>
  <c r="I69" i="23"/>
  <c r="Z69" i="23"/>
  <c r="E69" i="23"/>
  <c r="Y69" i="23"/>
  <c r="O69" i="23"/>
  <c r="V69" i="23"/>
  <c r="AD69" i="23"/>
  <c r="BF97" i="14"/>
  <c r="BN97" i="14"/>
  <c r="W97" i="14"/>
  <c r="BI97" i="14"/>
  <c r="DM240" i="10"/>
  <c r="DY240" i="10"/>
  <c r="DN240" i="10"/>
  <c r="EC240" i="10"/>
  <c r="BN242" i="10"/>
  <c r="AG70" i="23"/>
  <c r="B70" i="23"/>
  <c r="V97" i="14"/>
  <c r="BM97" i="14"/>
  <c r="Z97" i="14"/>
  <c r="BB97" i="14"/>
  <c r="A100" i="14"/>
  <c r="B87" i="40"/>
  <c r="BU98" i="14"/>
  <c r="BT98" i="14"/>
  <c r="P99" i="14"/>
  <c r="B99" i="14"/>
  <c r="M99" i="14" s="1"/>
  <c r="C88" i="40" s="1"/>
  <c r="E88" i="40" s="1"/>
  <c r="CB99" i="14"/>
  <c r="BV99" i="14" s="1"/>
  <c r="D99" i="14"/>
  <c r="C99" i="14"/>
  <c r="BP99" i="14"/>
  <c r="BQ99" i="14"/>
  <c r="A88" i="40"/>
  <c r="CG99" i="14"/>
  <c r="BX99" i="14"/>
  <c r="S97" i="14"/>
  <c r="AS97" i="14"/>
  <c r="AY97" i="14"/>
  <c r="T97" i="14"/>
  <c r="BG97" i="14"/>
  <c r="AI97" i="14"/>
  <c r="AZ97" i="14"/>
  <c r="AW97" i="14"/>
  <c r="BA97" i="14"/>
  <c r="Y97" i="14"/>
  <c r="AJ97" i="14"/>
  <c r="BK97" i="14"/>
  <c r="BL97" i="14"/>
  <c r="AG97" i="14"/>
  <c r="U97" i="14"/>
  <c r="AB97" i="14"/>
  <c r="AV97" i="14"/>
  <c r="AL97" i="14"/>
  <c r="BC97" i="14"/>
  <c r="BH97" i="14"/>
  <c r="BE97" i="14"/>
  <c r="AA97" i="14"/>
  <c r="BJ97" i="14"/>
  <c r="AQ97" i="14"/>
  <c r="AK97" i="14"/>
  <c r="AU97" i="14"/>
  <c r="AE97" i="14"/>
  <c r="AO97" i="14"/>
  <c r="AP97" i="14"/>
  <c r="AT97" i="14"/>
  <c r="AH97" i="14"/>
  <c r="AD97" i="14"/>
  <c r="AC97" i="14"/>
  <c r="X97" i="14"/>
  <c r="BD97" i="14"/>
  <c r="ES97" i="14"/>
  <c r="EC97" i="14"/>
  <c r="EA97" i="14"/>
  <c r="DW97" i="14"/>
  <c r="DC97" i="14"/>
  <c r="DS97" i="14"/>
  <c r="DB97" i="14"/>
  <c r="EI97" i="14"/>
  <c r="DU97" i="14"/>
  <c r="EJ97" i="14"/>
  <c r="CY97" i="14"/>
  <c r="EQ97" i="14"/>
  <c r="CX97" i="14"/>
  <c r="ED97" i="14"/>
  <c r="DA97" i="14"/>
  <c r="EB97" i="14"/>
  <c r="DH97" i="14"/>
  <c r="DJ97" i="14"/>
  <c r="DM97" i="14"/>
  <c r="EO97" i="14"/>
  <c r="DN97" i="14"/>
  <c r="DQ97" i="14"/>
  <c r="EM97" i="14"/>
  <c r="DD97" i="14"/>
  <c r="DI97" i="14"/>
  <c r="CZ97" i="14"/>
  <c r="CV97" i="14"/>
  <c r="BO97" i="14"/>
  <c r="G97" i="14" s="1"/>
  <c r="DE97" i="14"/>
  <c r="EN97" i="14"/>
  <c r="EK97" i="14"/>
  <c r="EF97" i="14"/>
  <c r="DT97" i="14"/>
  <c r="DZ97" i="14"/>
  <c r="EH97" i="14"/>
  <c r="DG97" i="14"/>
  <c r="DY97" i="14"/>
  <c r="EL97" i="14"/>
  <c r="DX97" i="14"/>
  <c r="DK97" i="14"/>
  <c r="EE97" i="14"/>
  <c r="EP97" i="14"/>
  <c r="ER97" i="14"/>
  <c r="DL97" i="14"/>
  <c r="EG97" i="14"/>
  <c r="DP97" i="14"/>
  <c r="DV97" i="14"/>
  <c r="CW97" i="14"/>
  <c r="DF97" i="14"/>
  <c r="DO97" i="14"/>
  <c r="AX97" i="14"/>
  <c r="BY242" i="10"/>
  <c r="GW116" i="7"/>
  <c r="GU117" i="7"/>
  <c r="GV117" i="7"/>
  <c r="F242" i="10"/>
  <c r="BX242" i="10"/>
  <c r="C241" i="10"/>
  <c r="GX116" i="7" l="1"/>
  <c r="C45" i="38"/>
  <c r="A45" i="38"/>
  <c r="B45" i="38" s="1"/>
  <c r="F46" i="38"/>
  <c r="E46" i="38"/>
  <c r="CA99" i="14"/>
  <c r="BR99" i="14"/>
  <c r="CC99" i="14"/>
  <c r="E28" i="41"/>
  <c r="F28" i="41" s="1"/>
  <c r="C27" i="41"/>
  <c r="A27" i="41"/>
  <c r="B27" i="41" s="1"/>
  <c r="BR240" i="10"/>
  <c r="AD240" i="10"/>
  <c r="AA240" i="10"/>
  <c r="AJ240" i="10"/>
  <c r="BF98" i="14"/>
  <c r="BL98" i="14"/>
  <c r="AJ98" i="14"/>
  <c r="AZ98" i="14"/>
  <c r="X98" i="14"/>
  <c r="AE98" i="14"/>
  <c r="AW240" i="10"/>
  <c r="AX98" i="14"/>
  <c r="AW98" i="14"/>
  <c r="BJ98" i="14"/>
  <c r="S240" i="10"/>
  <c r="AI98" i="14"/>
  <c r="Z98" i="14"/>
  <c r="AS98" i="14"/>
  <c r="AZ240" i="10"/>
  <c r="Z240" i="10"/>
  <c r="BL240" i="10"/>
  <c r="AB240" i="10"/>
  <c r="AT98" i="14"/>
  <c r="AF98" i="14"/>
  <c r="AB98" i="14"/>
  <c r="T98" i="14"/>
  <c r="BI98" i="14"/>
  <c r="U98" i="14"/>
  <c r="AQ98" i="14"/>
  <c r="AV98" i="14"/>
  <c r="BG98" i="14"/>
  <c r="AG98" i="14"/>
  <c r="AO98" i="14"/>
  <c r="AL98" i="14"/>
  <c r="AE240" i="10"/>
  <c r="AU240" i="10"/>
  <c r="BG240" i="10"/>
  <c r="BB240" i="10"/>
  <c r="AT240" i="10"/>
  <c r="AU98" i="14"/>
  <c r="AA98" i="14"/>
  <c r="V98" i="14"/>
  <c r="S98" i="14"/>
  <c r="BH98" i="14"/>
  <c r="AY98" i="14"/>
  <c r="AR98" i="14"/>
  <c r="BE98" i="14"/>
  <c r="AC98" i="14"/>
  <c r="Y98" i="14"/>
  <c r="BC98" i="14"/>
  <c r="BB98" i="14"/>
  <c r="AL240" i="10"/>
  <c r="AP240" i="10"/>
  <c r="BH240" i="10"/>
  <c r="AO240" i="10"/>
  <c r="AG240" i="10"/>
  <c r="AP98" i="14"/>
  <c r="BN98" i="14"/>
  <c r="W98" i="14"/>
  <c r="AK98" i="14"/>
  <c r="BK98" i="14"/>
  <c r="AD98" i="14"/>
  <c r="BD98" i="14"/>
  <c r="AH98" i="14"/>
  <c r="R98" i="14"/>
  <c r="BM98" i="14"/>
  <c r="T240" i="10"/>
  <c r="AQ240" i="10"/>
  <c r="BK240" i="10"/>
  <c r="BI240" i="10"/>
  <c r="BD240" i="10"/>
  <c r="Y240" i="10"/>
  <c r="G203" i="39"/>
  <c r="V240" i="10"/>
  <c r="AF240" i="10"/>
  <c r="AC240" i="10"/>
  <c r="R240" i="10"/>
  <c r="W240" i="10"/>
  <c r="AH240" i="10"/>
  <c r="X240" i="10"/>
  <c r="P240" i="10"/>
  <c r="U240" i="10"/>
  <c r="BA240" i="10"/>
  <c r="BJ240" i="10"/>
  <c r="AR240" i="10"/>
  <c r="AM240" i="10"/>
  <c r="BM240" i="10"/>
  <c r="AS240" i="10"/>
  <c r="CN240" i="10"/>
  <c r="AK240" i="10"/>
  <c r="AI240" i="10"/>
  <c r="BE240" i="10"/>
  <c r="BF240" i="10"/>
  <c r="BC240" i="10"/>
  <c r="AV240" i="10"/>
  <c r="AY240" i="10"/>
  <c r="AX240" i="10"/>
  <c r="CO239" i="10"/>
  <c r="Q240" i="10"/>
  <c r="B241" i="10"/>
  <c r="DT241" i="10"/>
  <c r="DW241" i="10"/>
  <c r="DY241" i="10"/>
  <c r="DX241" i="10"/>
  <c r="EE241" i="10"/>
  <c r="EA241" i="10"/>
  <c r="EC241" i="10"/>
  <c r="DS241" i="10"/>
  <c r="DM241" i="10"/>
  <c r="DQ241" i="10"/>
  <c r="DJ241" i="10"/>
  <c r="EF242" i="10"/>
  <c r="DW242" i="10" s="1"/>
  <c r="BW242" i="10"/>
  <c r="C66" i="34"/>
  <c r="D67" i="34" s="1"/>
  <c r="AG71" i="23"/>
  <c r="B71" i="23"/>
  <c r="DZ241" i="10"/>
  <c r="DN241" i="10"/>
  <c r="DP241" i="10"/>
  <c r="DV241" i="10"/>
  <c r="DK241" i="10"/>
  <c r="O70" i="23"/>
  <c r="S70" i="23"/>
  <c r="Y70" i="23"/>
  <c r="M70" i="23"/>
  <c r="Z70" i="23"/>
  <c r="E70" i="23"/>
  <c r="V70" i="23"/>
  <c r="I70" i="23"/>
  <c r="AD70" i="23"/>
  <c r="DO241" i="10"/>
  <c r="EB241" i="10"/>
  <c r="DL241" i="10"/>
  <c r="ED241" i="10"/>
  <c r="DR241" i="10"/>
  <c r="BN243" i="10"/>
  <c r="BQ100" i="14"/>
  <c r="C100" i="14"/>
  <c r="CB100" i="14"/>
  <c r="BV100" i="14" s="1"/>
  <c r="A89" i="40"/>
  <c r="B100" i="14"/>
  <c r="M100" i="14" s="1"/>
  <c r="C89" i="40" s="1"/>
  <c r="E89" i="40" s="1"/>
  <c r="BP100" i="14"/>
  <c r="P100" i="14"/>
  <c r="D100" i="14"/>
  <c r="BX100" i="14"/>
  <c r="CG100" i="14"/>
  <c r="B88" i="40"/>
  <c r="BT99" i="14"/>
  <c r="BU99" i="14"/>
  <c r="DY98" i="14"/>
  <c r="DB98" i="14"/>
  <c r="DX98" i="14"/>
  <c r="DI98" i="14"/>
  <c r="ER98" i="14"/>
  <c r="BO98" i="14"/>
  <c r="G98" i="14" s="1"/>
  <c r="EF98" i="14"/>
  <c r="DD98" i="14"/>
  <c r="EC98" i="14"/>
  <c r="EO98" i="14"/>
  <c r="DO98" i="14"/>
  <c r="EI98" i="14"/>
  <c r="DU98" i="14"/>
  <c r="EP98" i="14"/>
  <c r="DV98" i="14"/>
  <c r="CX98" i="14"/>
  <c r="ED98" i="14"/>
  <c r="EQ98" i="14"/>
  <c r="EM98" i="14"/>
  <c r="CV98" i="14"/>
  <c r="EJ98" i="14"/>
  <c r="DL98" i="14"/>
  <c r="DE98" i="14"/>
  <c r="DP98" i="14"/>
  <c r="DC98" i="14"/>
  <c r="EB98" i="14"/>
  <c r="DA98" i="14"/>
  <c r="DG98" i="14"/>
  <c r="DK98" i="14"/>
  <c r="ES98" i="14"/>
  <c r="EH98" i="14"/>
  <c r="EE98" i="14"/>
  <c r="EA98" i="14"/>
  <c r="DH98" i="14"/>
  <c r="EK98" i="14"/>
  <c r="DW98" i="14"/>
  <c r="EL98" i="14"/>
  <c r="CZ98" i="14"/>
  <c r="CW98" i="14"/>
  <c r="DS98" i="14"/>
  <c r="DM98" i="14"/>
  <c r="DN98" i="14"/>
  <c r="CY98" i="14"/>
  <c r="DJ98" i="14"/>
  <c r="DF98" i="14"/>
  <c r="EG98" i="14"/>
  <c r="DT98" i="14"/>
  <c r="EN98" i="14"/>
  <c r="DQ98" i="14"/>
  <c r="DZ98" i="14"/>
  <c r="K99" i="14"/>
  <c r="BN99" i="14" s="1"/>
  <c r="CE100" i="14"/>
  <c r="BY243" i="10"/>
  <c r="GW117" i="7"/>
  <c r="GU118" i="7"/>
  <c r="GV118" i="7"/>
  <c r="BX243" i="10"/>
  <c r="G243" i="10"/>
  <c r="G242" i="10"/>
  <c r="F243" i="10"/>
  <c r="GX117" i="7" l="1"/>
  <c r="C46" i="38"/>
  <c r="A46" i="38"/>
  <c r="B46" i="38" s="1"/>
  <c r="F47" i="38"/>
  <c r="E47" i="38"/>
  <c r="CA100" i="14"/>
  <c r="CC100" i="14"/>
  <c r="BR100" i="14"/>
  <c r="AG241" i="10"/>
  <c r="A28" i="41"/>
  <c r="B28" i="41" s="1"/>
  <c r="C28" i="41"/>
  <c r="E29" i="41"/>
  <c r="F29" i="41" s="1"/>
  <c r="BR241" i="10"/>
  <c r="R241" i="10"/>
  <c r="Q241" i="10"/>
  <c r="AF241" i="10"/>
  <c r="AY241" i="10"/>
  <c r="AP241" i="10"/>
  <c r="O241" i="10"/>
  <c r="B204" i="39" s="1"/>
  <c r="BH241" i="10"/>
  <c r="BM241" i="10"/>
  <c r="AU241" i="10"/>
  <c r="BI241" i="10"/>
  <c r="S241" i="10"/>
  <c r="CO240" i="10"/>
  <c r="AJ241" i="10"/>
  <c r="T241" i="10"/>
  <c r="BC241" i="10"/>
  <c r="AX241" i="10"/>
  <c r="BF241" i="10"/>
  <c r="BL241" i="10"/>
  <c r="BE241" i="10"/>
  <c r="BA241" i="10"/>
  <c r="AS241" i="10"/>
  <c r="W241" i="10"/>
  <c r="AI241" i="10"/>
  <c r="Z241" i="10"/>
  <c r="AH241" i="10"/>
  <c r="AB241" i="10"/>
  <c r="BJ241" i="10"/>
  <c r="AR241" i="10"/>
  <c r="AV241" i="10"/>
  <c r="BG241" i="10"/>
  <c r="AW241" i="10"/>
  <c r="AQ241" i="10"/>
  <c r="G204" i="39"/>
  <c r="AL241" i="10"/>
  <c r="AK241" i="10"/>
  <c r="AE241" i="10"/>
  <c r="X241" i="10"/>
  <c r="U241" i="10"/>
  <c r="V241" i="10"/>
  <c r="AM241" i="10"/>
  <c r="AT241" i="10"/>
  <c r="AO241" i="10"/>
  <c r="BK241" i="10"/>
  <c r="BB241" i="10"/>
  <c r="AZ241" i="10"/>
  <c r="BD241" i="10"/>
  <c r="CN241" i="10"/>
  <c r="P241" i="10"/>
  <c r="Y241" i="10"/>
  <c r="AD241" i="10"/>
  <c r="AC241" i="10"/>
  <c r="DU242" i="10"/>
  <c r="EE242" i="10"/>
  <c r="DO242" i="10"/>
  <c r="AA241" i="10"/>
  <c r="K100" i="14"/>
  <c r="AR100" i="14" s="1"/>
  <c r="EA242" i="10"/>
  <c r="EC242" i="10"/>
  <c r="BW243" i="10"/>
  <c r="EF243" i="10"/>
  <c r="DX243" i="10" s="1"/>
  <c r="C67" i="34"/>
  <c r="D68" i="34" s="1"/>
  <c r="Y71" i="23"/>
  <c r="S71" i="23"/>
  <c r="Z71" i="23"/>
  <c r="O71" i="23"/>
  <c r="I71" i="23"/>
  <c r="M71" i="23"/>
  <c r="AD71" i="23"/>
  <c r="E71" i="23"/>
  <c r="V71" i="23"/>
  <c r="BJ99" i="14"/>
  <c r="AL99" i="14"/>
  <c r="V99" i="14"/>
  <c r="AG99" i="14"/>
  <c r="X99" i="14"/>
  <c r="AE99" i="14"/>
  <c r="BA99" i="14"/>
  <c r="W99" i="14"/>
  <c r="DQ242" i="10"/>
  <c r="DV242" i="10"/>
  <c r="DT242" i="10"/>
  <c r="DK242" i="10"/>
  <c r="DN242" i="10"/>
  <c r="DJ242" i="10"/>
  <c r="AC99" i="14"/>
  <c r="AA99" i="14"/>
  <c r="EB242" i="10"/>
  <c r="DZ242" i="10"/>
  <c r="DR242" i="10"/>
  <c r="DY242" i="10"/>
  <c r="DP242" i="10"/>
  <c r="BN244" i="10"/>
  <c r="B72" i="23"/>
  <c r="AG72" i="23"/>
  <c r="BL99" i="14"/>
  <c r="AQ99" i="14"/>
  <c r="AK99" i="14"/>
  <c r="ED242" i="10"/>
  <c r="DX242" i="10"/>
  <c r="DS242" i="10"/>
  <c r="DM242" i="10"/>
  <c r="DL242" i="10"/>
  <c r="A101" i="14"/>
  <c r="BT100" i="14"/>
  <c r="BU100" i="14"/>
  <c r="B89" i="40"/>
  <c r="BB99" i="14"/>
  <c r="U99" i="14"/>
  <c r="T99" i="14"/>
  <c r="R99" i="14"/>
  <c r="S99" i="14"/>
  <c r="DL99" i="14"/>
  <c r="DW99" i="14"/>
  <c r="DH99" i="14"/>
  <c r="CY99" i="14"/>
  <c r="DS99" i="14"/>
  <c r="BO99" i="14"/>
  <c r="G99" i="14" s="1"/>
  <c r="ER99" i="14"/>
  <c r="DJ99" i="14"/>
  <c r="CZ99" i="14"/>
  <c r="EM99" i="14"/>
  <c r="EC99" i="14"/>
  <c r="EN99" i="14"/>
  <c r="DI99" i="14"/>
  <c r="DE99" i="14"/>
  <c r="DV99" i="14"/>
  <c r="DO99" i="14"/>
  <c r="DB99" i="14"/>
  <c r="EH99" i="14"/>
  <c r="DY99" i="14"/>
  <c r="EF99" i="14"/>
  <c r="DU99" i="14"/>
  <c r="DQ99" i="14"/>
  <c r="EA99" i="14"/>
  <c r="EJ99" i="14"/>
  <c r="DD99" i="14"/>
  <c r="EI99" i="14"/>
  <c r="DP99" i="14"/>
  <c r="DX99" i="14"/>
  <c r="DC99" i="14"/>
  <c r="DA99" i="14"/>
  <c r="DK99" i="14"/>
  <c r="EP99" i="14"/>
  <c r="CV99" i="14"/>
  <c r="DM99" i="14"/>
  <c r="EK99" i="14"/>
  <c r="EQ99" i="14"/>
  <c r="DN99" i="14"/>
  <c r="CX99" i="14"/>
  <c r="EB99" i="14"/>
  <c r="EE99" i="14"/>
  <c r="EL99" i="14"/>
  <c r="DG99" i="14"/>
  <c r="ED99" i="14"/>
  <c r="ES99" i="14"/>
  <c r="DT99" i="14"/>
  <c r="EG99" i="14"/>
  <c r="DF99" i="14"/>
  <c r="EO99" i="14"/>
  <c r="DZ99" i="14"/>
  <c r="CW99" i="14"/>
  <c r="BK99" i="14"/>
  <c r="AU99" i="14"/>
  <c r="AT99" i="14"/>
  <c r="BF99" i="14"/>
  <c r="AS99" i="14"/>
  <c r="AY99" i="14"/>
  <c r="AX99" i="14"/>
  <c r="AF99" i="14"/>
  <c r="AH99" i="14"/>
  <c r="AJ99" i="14"/>
  <c r="Y99" i="14"/>
  <c r="AR99" i="14"/>
  <c r="AZ99" i="14"/>
  <c r="AO99" i="14"/>
  <c r="AP99" i="14"/>
  <c r="AW99" i="14"/>
  <c r="Z99" i="14"/>
  <c r="BH99" i="14"/>
  <c r="BI99" i="14"/>
  <c r="BC99" i="14"/>
  <c r="AB99" i="14"/>
  <c r="BE99" i="14"/>
  <c r="BG99" i="14"/>
  <c r="BD99" i="14"/>
  <c r="BM99" i="14"/>
  <c r="AV99" i="14"/>
  <c r="AI99" i="14"/>
  <c r="AD99" i="14"/>
  <c r="BY244" i="10"/>
  <c r="GW118" i="7"/>
  <c r="GU119" i="7"/>
  <c r="GV119" i="7"/>
  <c r="F244" i="10"/>
  <c r="BX244" i="10"/>
  <c r="C243" i="10"/>
  <c r="C242" i="10"/>
  <c r="G244" i="10"/>
  <c r="GX118" i="7" l="1"/>
  <c r="C47" i="38"/>
  <c r="A47" i="38"/>
  <c r="B47" i="38" s="1"/>
  <c r="B242" i="10"/>
  <c r="O242" i="10" s="1"/>
  <c r="B205" i="39" s="1"/>
  <c r="E30" i="41"/>
  <c r="F30" i="41" s="1"/>
  <c r="A29" i="41"/>
  <c r="B29" i="41" s="1"/>
  <c r="C29" i="41"/>
  <c r="AC100" i="14"/>
  <c r="U100" i="14"/>
  <c r="BI100" i="14"/>
  <c r="AF100" i="14"/>
  <c r="DM243" i="10"/>
  <c r="DV243" i="10"/>
  <c r="DR243" i="10"/>
  <c r="AG100" i="14"/>
  <c r="Z100" i="14"/>
  <c r="X100" i="14"/>
  <c r="AI100" i="14"/>
  <c r="V100" i="14"/>
  <c r="S100" i="14"/>
  <c r="BK100" i="14"/>
  <c r="BN100" i="14"/>
  <c r="AY100" i="14"/>
  <c r="AU100" i="14"/>
  <c r="AZ100" i="14"/>
  <c r="BD100" i="14"/>
  <c r="AA100" i="14"/>
  <c r="BF100" i="14"/>
  <c r="AK100" i="14"/>
  <c r="AL242" i="10"/>
  <c r="CO241" i="10"/>
  <c r="DK243" i="10"/>
  <c r="BJ100" i="14"/>
  <c r="BA100" i="14"/>
  <c r="BL100" i="14"/>
  <c r="AT100" i="14"/>
  <c r="T100" i="14"/>
  <c r="AQ100" i="14"/>
  <c r="W100" i="14"/>
  <c r="AO100" i="14"/>
  <c r="BH100" i="14"/>
  <c r="AP100" i="14"/>
  <c r="AJ100" i="14"/>
  <c r="BC100" i="14"/>
  <c r="BG100" i="14"/>
  <c r="BM100" i="14"/>
  <c r="AS100" i="14"/>
  <c r="AV100" i="14"/>
  <c r="R100" i="14"/>
  <c r="Y100" i="14"/>
  <c r="AD100" i="14"/>
  <c r="AL100" i="14"/>
  <c r="AB100" i="14"/>
  <c r="AW100" i="14"/>
  <c r="BE100" i="14"/>
  <c r="AX100" i="14"/>
  <c r="AH100" i="14"/>
  <c r="BB100" i="14"/>
  <c r="AE100" i="14"/>
  <c r="DJ243" i="10"/>
  <c r="EE243" i="10"/>
  <c r="DS243" i="10"/>
  <c r="B243" i="10"/>
  <c r="CN243" i="10" s="1"/>
  <c r="EC243" i="10"/>
  <c r="DU243" i="10"/>
  <c r="DN243" i="10"/>
  <c r="DW243" i="10"/>
  <c r="DT243" i="10"/>
  <c r="EA243" i="10"/>
  <c r="DZ243" i="10"/>
  <c r="DO243" i="10"/>
  <c r="DP243" i="10"/>
  <c r="ED243" i="10"/>
  <c r="EF244" i="10"/>
  <c r="EE244" i="10" s="1"/>
  <c r="BW244" i="10"/>
  <c r="C68" i="34"/>
  <c r="D69" i="34" s="1"/>
  <c r="BN245" i="10"/>
  <c r="DL243" i="10"/>
  <c r="EB243" i="10"/>
  <c r="DY243" i="10"/>
  <c r="DQ243" i="10"/>
  <c r="E72" i="23"/>
  <c r="AD72" i="23"/>
  <c r="I72" i="23"/>
  <c r="O72" i="23"/>
  <c r="Y72" i="23"/>
  <c r="M72" i="23"/>
  <c r="Z72" i="23"/>
  <c r="V72" i="23"/>
  <c r="S72" i="23"/>
  <c r="B73" i="23"/>
  <c r="AG73" i="23"/>
  <c r="BP101" i="14"/>
  <c r="D101" i="14"/>
  <c r="P101" i="14"/>
  <c r="A90" i="40"/>
  <c r="B101" i="14"/>
  <c r="M101" i="14" s="1"/>
  <c r="C90" i="40" s="1"/>
  <c r="E90" i="40" s="1"/>
  <c r="BQ101" i="14"/>
  <c r="CB101" i="14"/>
  <c r="BV101" i="14" s="1"/>
  <c r="C101" i="14"/>
  <c r="BX101" i="14"/>
  <c r="CG101" i="14"/>
  <c r="DS100" i="14"/>
  <c r="DM100" i="14"/>
  <c r="DP100" i="14"/>
  <c r="EQ100" i="14"/>
  <c r="DI100" i="14"/>
  <c r="DE100" i="14"/>
  <c r="DO100" i="14"/>
  <c r="DG100" i="14"/>
  <c r="EC100" i="14"/>
  <c r="ED100" i="14"/>
  <c r="EO100" i="14"/>
  <c r="DT100" i="14"/>
  <c r="DC100" i="14"/>
  <c r="DY100" i="14"/>
  <c r="EH100" i="14"/>
  <c r="DV100" i="14"/>
  <c r="DW100" i="14"/>
  <c r="DQ100" i="14"/>
  <c r="EL100" i="14"/>
  <c r="EB100" i="14"/>
  <c r="CY100" i="14"/>
  <c r="EF100" i="14"/>
  <c r="DD100" i="14"/>
  <c r="EK100" i="14"/>
  <c r="CW100" i="14"/>
  <c r="DU100" i="14"/>
  <c r="DH100" i="14"/>
  <c r="EG100" i="14"/>
  <c r="DA100" i="14"/>
  <c r="ER100" i="14"/>
  <c r="DF100" i="14"/>
  <c r="DK100" i="14"/>
  <c r="DB100" i="14"/>
  <c r="ES100" i="14"/>
  <c r="DZ100" i="14"/>
  <c r="EI100" i="14"/>
  <c r="CV100" i="14"/>
  <c r="DN100" i="14"/>
  <c r="EE100" i="14"/>
  <c r="EN100" i="14"/>
  <c r="EA100" i="14"/>
  <c r="DJ100" i="14"/>
  <c r="EJ100" i="14"/>
  <c r="EP100" i="14"/>
  <c r="CX100" i="14"/>
  <c r="CZ100" i="14"/>
  <c r="BO100" i="14"/>
  <c r="G100" i="14" s="1"/>
  <c r="DX100" i="14"/>
  <c r="EM100" i="14"/>
  <c r="DL100" i="14"/>
  <c r="CE101" i="14"/>
  <c r="BY245" i="10"/>
  <c r="GW119" i="7"/>
  <c r="GV120" i="7"/>
  <c r="GU120" i="7"/>
  <c r="F245" i="10"/>
  <c r="BX245" i="10"/>
  <c r="G245" i="10"/>
  <c r="C244" i="10"/>
  <c r="GX119" i="7" l="1"/>
  <c r="AC243" i="10"/>
  <c r="CA101" i="14"/>
  <c r="CC101" i="14"/>
  <c r="BR101" i="14"/>
  <c r="AE242" i="10"/>
  <c r="AI242" i="10"/>
  <c r="T242" i="10"/>
  <c r="Q242" i="10"/>
  <c r="AY242" i="10"/>
  <c r="AW242" i="10"/>
  <c r="AF242" i="10"/>
  <c r="BC242" i="10"/>
  <c r="AH242" i="10"/>
  <c r="BI242" i="10"/>
  <c r="BA242" i="10"/>
  <c r="AM242" i="10"/>
  <c r="Y242" i="10"/>
  <c r="BB242" i="10"/>
  <c r="AV242" i="10"/>
  <c r="AD242" i="10"/>
  <c r="BE242" i="10"/>
  <c r="BJ242" i="10"/>
  <c r="AJ242" i="10"/>
  <c r="AG242" i="10"/>
  <c r="AZ242" i="10"/>
  <c r="G205" i="39"/>
  <c r="BD242" i="10"/>
  <c r="AC242" i="10"/>
  <c r="BK242" i="10"/>
  <c r="AT242" i="10"/>
  <c r="X242" i="10"/>
  <c r="AO242" i="10"/>
  <c r="BL242" i="10"/>
  <c r="W242" i="10"/>
  <c r="R242" i="10"/>
  <c r="AS242" i="10"/>
  <c r="P242" i="10"/>
  <c r="AQ242" i="10"/>
  <c r="AP242" i="10"/>
  <c r="AA242" i="10"/>
  <c r="AR242" i="10"/>
  <c r="S242" i="10"/>
  <c r="BH242" i="10"/>
  <c r="U242" i="10"/>
  <c r="V242" i="10"/>
  <c r="BM242" i="10"/>
  <c r="BF242" i="10"/>
  <c r="AB242" i="10"/>
  <c r="CN242" i="10"/>
  <c r="AX242" i="10"/>
  <c r="Z242" i="10"/>
  <c r="BR242" i="10"/>
  <c r="BR243" i="10" s="1"/>
  <c r="AK242" i="10"/>
  <c r="AU242" i="10"/>
  <c r="BG242" i="10"/>
  <c r="AG243" i="10"/>
  <c r="C30" i="41"/>
  <c r="A30" i="41"/>
  <c r="B30" i="41" s="1"/>
  <c r="E31" i="41"/>
  <c r="F31" i="41" s="1"/>
  <c r="BG243" i="10"/>
  <c r="S243" i="10"/>
  <c r="BK243" i="10"/>
  <c r="AE243" i="10"/>
  <c r="BE243" i="10"/>
  <c r="BA243" i="10"/>
  <c r="BI243" i="10"/>
  <c r="BD243" i="10"/>
  <c r="V243" i="10"/>
  <c r="AM243" i="10"/>
  <c r="O243" i="10"/>
  <c r="B206" i="39" s="1"/>
  <c r="AK243" i="10"/>
  <c r="Y243" i="10"/>
  <c r="AH243" i="10"/>
  <c r="BB243" i="10"/>
  <c r="AU243" i="10"/>
  <c r="BH243" i="10"/>
  <c r="AW243" i="10"/>
  <c r="BC243" i="10"/>
  <c r="AS243" i="10"/>
  <c r="AP243" i="10"/>
  <c r="AB243" i="10"/>
  <c r="Z243" i="10"/>
  <c r="T243" i="10"/>
  <c r="AL243" i="10"/>
  <c r="R243" i="10"/>
  <c r="AZ243" i="10"/>
  <c r="AO243" i="10"/>
  <c r="AY243" i="10"/>
  <c r="BJ243" i="10"/>
  <c r="BF243" i="10"/>
  <c r="BL243" i="10"/>
  <c r="G206" i="39"/>
  <c r="AD243" i="10"/>
  <c r="U243" i="10"/>
  <c r="X243" i="10"/>
  <c r="W243" i="10"/>
  <c r="AX243" i="10"/>
  <c r="AR243" i="10"/>
  <c r="AQ243" i="10"/>
  <c r="AT243" i="10"/>
  <c r="AV243" i="10"/>
  <c r="BM243" i="10"/>
  <c r="AJ243" i="10"/>
  <c r="AF243" i="10"/>
  <c r="AI243" i="10"/>
  <c r="P243" i="10"/>
  <c r="Q243" i="10"/>
  <c r="AA243" i="10"/>
  <c r="DW244" i="10"/>
  <c r="DJ244" i="10"/>
  <c r="EC244" i="10"/>
  <c r="DL244" i="10"/>
  <c r="DK244" i="10"/>
  <c r="DM244" i="10"/>
  <c r="DS244" i="10"/>
  <c r="EA244" i="10"/>
  <c r="DP244" i="10"/>
  <c r="DZ244" i="10"/>
  <c r="DN244" i="10"/>
  <c r="DY244" i="10"/>
  <c r="DX244" i="10"/>
  <c r="DU244" i="10"/>
  <c r="B244" i="10"/>
  <c r="ED244" i="10"/>
  <c r="DT244" i="10"/>
  <c r="DV244" i="10"/>
  <c r="DO244" i="10"/>
  <c r="EB244" i="10"/>
  <c r="DR244" i="10"/>
  <c r="DQ244" i="10"/>
  <c r="K101" i="14"/>
  <c r="AP101" i="14" s="1"/>
  <c r="BW245" i="10"/>
  <c r="EF245" i="10"/>
  <c r="O73" i="23"/>
  <c r="Z73" i="23"/>
  <c r="AD73" i="23"/>
  <c r="Y73" i="23"/>
  <c r="V73" i="23"/>
  <c r="M73" i="23"/>
  <c r="E73" i="23"/>
  <c r="I73" i="23"/>
  <c r="S73" i="23"/>
  <c r="C69" i="34"/>
  <c r="D70" i="34" s="1"/>
  <c r="AG74" i="23"/>
  <c r="B74" i="23"/>
  <c r="A102" i="14"/>
  <c r="CE102" i="14" s="1"/>
  <c r="BU101" i="14"/>
  <c r="BT101" i="14"/>
  <c r="B90" i="40"/>
  <c r="GW120" i="7"/>
  <c r="GV121" i="7"/>
  <c r="GU121" i="7"/>
  <c r="C245" i="10"/>
  <c r="GX120" i="7" l="1"/>
  <c r="CO242" i="10"/>
  <c r="E32" i="41"/>
  <c r="F32" i="41" s="1"/>
  <c r="A31" i="41"/>
  <c r="B31" i="41" s="1"/>
  <c r="C31" i="41"/>
  <c r="AI244" i="10"/>
  <c r="T244" i="10"/>
  <c r="AD244" i="10"/>
  <c r="AB244" i="10"/>
  <c r="CO243" i="10"/>
  <c r="O244" i="10"/>
  <c r="B207" i="39" s="1"/>
  <c r="BK244" i="10"/>
  <c r="BI244" i="10"/>
  <c r="AQ244" i="10"/>
  <c r="U244" i="10"/>
  <c r="BJ244" i="10"/>
  <c r="BF244" i="10"/>
  <c r="BG244" i="10"/>
  <c r="AG101" i="14"/>
  <c r="R101" i="14"/>
  <c r="AE101" i="14"/>
  <c r="AU101" i="14"/>
  <c r="AW101" i="14"/>
  <c r="BG101" i="14"/>
  <c r="AD101" i="14"/>
  <c r="BB101" i="14"/>
  <c r="BF101" i="14"/>
  <c r="AT101" i="14"/>
  <c r="AC101" i="14"/>
  <c r="AA101" i="14"/>
  <c r="AJ101" i="14"/>
  <c r="AO101" i="14"/>
  <c r="BH101" i="14"/>
  <c r="AS101" i="14"/>
  <c r="AX101" i="14"/>
  <c r="Z101" i="14"/>
  <c r="AQ101" i="14"/>
  <c r="BE101" i="14"/>
  <c r="AV101" i="14"/>
  <c r="BN101" i="14"/>
  <c r="W101" i="14"/>
  <c r="BD101" i="14"/>
  <c r="AB101" i="14"/>
  <c r="U101" i="14"/>
  <c r="BM101" i="14"/>
  <c r="BI101" i="14"/>
  <c r="AZ101" i="14"/>
  <c r="V101" i="14"/>
  <c r="Y101" i="14"/>
  <c r="BC101" i="14"/>
  <c r="AY101" i="14"/>
  <c r="BL101" i="14"/>
  <c r="BJ101" i="14"/>
  <c r="AL101" i="14"/>
  <c r="BA101" i="14"/>
  <c r="AH101" i="14"/>
  <c r="AK101" i="14"/>
  <c r="T101" i="14"/>
  <c r="AF101" i="14"/>
  <c r="X101" i="14"/>
  <c r="S101" i="14"/>
  <c r="Y244" i="10"/>
  <c r="BE244" i="10"/>
  <c r="AO244" i="10"/>
  <c r="AR244" i="10"/>
  <c r="AU244" i="10"/>
  <c r="BA244" i="10"/>
  <c r="AS244" i="10"/>
  <c r="CN244" i="10"/>
  <c r="AE244" i="10"/>
  <c r="AF244" i="10"/>
  <c r="BR244" i="10"/>
  <c r="Z244" i="10"/>
  <c r="X244" i="10"/>
  <c r="S244" i="10"/>
  <c r="AM244" i="10"/>
  <c r="AY244" i="10"/>
  <c r="AW244" i="10"/>
  <c r="BH244" i="10"/>
  <c r="AT244" i="10"/>
  <c r="AV244" i="10"/>
  <c r="AX244" i="10"/>
  <c r="G207" i="39"/>
  <c r="V244" i="10"/>
  <c r="P244" i="10"/>
  <c r="AJ244" i="10"/>
  <c r="AH244" i="10"/>
  <c r="Q244" i="10"/>
  <c r="BL244" i="10"/>
  <c r="AZ244" i="10"/>
  <c r="BB244" i="10"/>
  <c r="AP244" i="10"/>
  <c r="BD244" i="10"/>
  <c r="BC244" i="10"/>
  <c r="BM244" i="10"/>
  <c r="AK244" i="10"/>
  <c r="AG244" i="10"/>
  <c r="AL244" i="10"/>
  <c r="AC244" i="10"/>
  <c r="W244" i="10"/>
  <c r="AI101" i="14"/>
  <c r="AA244" i="10"/>
  <c r="AR101" i="14"/>
  <c r="R244" i="10"/>
  <c r="B245" i="10"/>
  <c r="BF245" i="10" s="1"/>
  <c r="BK101" i="14"/>
  <c r="C70" i="34"/>
  <c r="D71" i="34" s="1"/>
  <c r="AG75" i="23"/>
  <c r="B75" i="23"/>
  <c r="DS245" i="10"/>
  <c r="EC245" i="10"/>
  <c r="DU245" i="10"/>
  <c r="ED245" i="10"/>
  <c r="DZ245" i="10"/>
  <c r="DN245" i="10"/>
  <c r="DJ245" i="10"/>
  <c r="EA245" i="10"/>
  <c r="EE245" i="10"/>
  <c r="DQ245" i="10"/>
  <c r="Z74" i="23"/>
  <c r="Y74" i="23"/>
  <c r="M74" i="23"/>
  <c r="AD74" i="23"/>
  <c r="V74" i="23"/>
  <c r="E74" i="23"/>
  <c r="S74" i="23"/>
  <c r="I74" i="23"/>
  <c r="O74" i="23"/>
  <c r="DW245" i="10"/>
  <c r="DO245" i="10"/>
  <c r="DX245" i="10"/>
  <c r="EB245" i="10"/>
  <c r="DM245" i="10"/>
  <c r="DV245" i="10"/>
  <c r="DY245" i="10"/>
  <c r="DL245" i="10"/>
  <c r="DK245" i="10"/>
  <c r="DP245" i="10"/>
  <c r="DT245" i="10"/>
  <c r="DR245" i="10"/>
  <c r="A103" i="14"/>
  <c r="CE103" i="14" s="1"/>
  <c r="EJ101" i="14"/>
  <c r="DC101" i="14"/>
  <c r="DI101" i="14"/>
  <c r="BO101" i="14"/>
  <c r="G101" i="14" s="1"/>
  <c r="DA101" i="14"/>
  <c r="DS101" i="14"/>
  <c r="DE101" i="14"/>
  <c r="DJ101" i="14"/>
  <c r="EH101" i="14"/>
  <c r="DP101" i="14"/>
  <c r="DB101" i="14"/>
  <c r="EN101" i="14"/>
  <c r="DV101" i="14"/>
  <c r="EF101" i="14"/>
  <c r="DQ101" i="14"/>
  <c r="DY101" i="14"/>
  <c r="EM101" i="14"/>
  <c r="DG101" i="14"/>
  <c r="EA101" i="14"/>
  <c r="DN101" i="14"/>
  <c r="DM101" i="14"/>
  <c r="DX101" i="14"/>
  <c r="ES101" i="14"/>
  <c r="CY101" i="14"/>
  <c r="EO101" i="14"/>
  <c r="EG101" i="14"/>
  <c r="CW101" i="14"/>
  <c r="DL101" i="14"/>
  <c r="EP101" i="14"/>
  <c r="DK101" i="14"/>
  <c r="CX101" i="14"/>
  <c r="DT101" i="14"/>
  <c r="EQ101" i="14"/>
  <c r="ER101" i="14"/>
  <c r="DW101" i="14"/>
  <c r="DZ101" i="14"/>
  <c r="DF101" i="14"/>
  <c r="CZ101" i="14"/>
  <c r="EK101" i="14"/>
  <c r="DD101" i="14"/>
  <c r="EC101" i="14"/>
  <c r="EB101" i="14"/>
  <c r="DO101" i="14"/>
  <c r="EL101" i="14"/>
  <c r="EE101" i="14"/>
  <c r="CV101" i="14"/>
  <c r="DU101" i="14"/>
  <c r="EI101" i="14"/>
  <c r="DH101" i="14"/>
  <c r="ED101" i="14"/>
  <c r="A91" i="40"/>
  <c r="P102" i="14"/>
  <c r="D102" i="14"/>
  <c r="CB102" i="14"/>
  <c r="BV102" i="14" s="1"/>
  <c r="BP102" i="14"/>
  <c r="B102" i="14"/>
  <c r="M102" i="14" s="1"/>
  <c r="C91" i="40" s="1"/>
  <c r="E91" i="40" s="1"/>
  <c r="C102" i="14"/>
  <c r="BQ102" i="14"/>
  <c r="BX102" i="14"/>
  <c r="CG102" i="14"/>
  <c r="GW121" i="7"/>
  <c r="GV122" i="7"/>
  <c r="GU122" i="7"/>
  <c r="GX121" i="7" l="1"/>
  <c r="AL245" i="10"/>
  <c r="CA102" i="14"/>
  <c r="CC102" i="14"/>
  <c r="BR102" i="14"/>
  <c r="A32" i="41"/>
  <c r="B32" i="41" s="1"/>
  <c r="C32" i="41"/>
  <c r="E33" i="41"/>
  <c r="F33" i="41" s="1"/>
  <c r="AI245" i="10"/>
  <c r="O245" i="10"/>
  <c r="B208" i="39" s="1"/>
  <c r="V245" i="10"/>
  <c r="AB245" i="10"/>
  <c r="U245" i="10"/>
  <c r="AK245" i="10"/>
  <c r="BI245" i="10"/>
  <c r="CO244" i="10"/>
  <c r="BR245" i="10"/>
  <c r="R72" i="24" s="1"/>
  <c r="F72" i="24" s="1"/>
  <c r="BE245" i="10"/>
  <c r="AO245" i="10"/>
  <c r="BL245" i="10"/>
  <c r="AQ245" i="10"/>
  <c r="AW245" i="10"/>
  <c r="Q245" i="10"/>
  <c r="S245" i="10"/>
  <c r="AC245" i="10"/>
  <c r="AG245" i="10"/>
  <c r="AF245" i="10"/>
  <c r="Y245" i="10"/>
  <c r="BC245" i="10"/>
  <c r="AT245" i="10"/>
  <c r="AZ245" i="10"/>
  <c r="AU245" i="10"/>
  <c r="BH245" i="10"/>
  <c r="BA245" i="10"/>
  <c r="AY245" i="10"/>
  <c r="X245" i="10"/>
  <c r="R245" i="10"/>
  <c r="AH245" i="10"/>
  <c r="P245" i="10"/>
  <c r="AJ245" i="10"/>
  <c r="AS245" i="10"/>
  <c r="BJ245" i="10"/>
  <c r="BG245" i="10"/>
  <c r="BD245" i="10"/>
  <c r="AV245" i="10"/>
  <c r="AR245" i="10"/>
  <c r="G208" i="39"/>
  <c r="Z245" i="10"/>
  <c r="AE245" i="10"/>
  <c r="AD245" i="10"/>
  <c r="W245" i="10"/>
  <c r="T245" i="10"/>
  <c r="AA245" i="10"/>
  <c r="BB245" i="10"/>
  <c r="AM245" i="10"/>
  <c r="AP245" i="10"/>
  <c r="BK245" i="10"/>
  <c r="BM245" i="10"/>
  <c r="AX245" i="10"/>
  <c r="CN245" i="10"/>
  <c r="C71" i="34"/>
  <c r="D72" i="34" s="1"/>
  <c r="E75" i="23"/>
  <c r="O75" i="23"/>
  <c r="V75" i="23"/>
  <c r="I75" i="23"/>
  <c r="M75" i="23"/>
  <c r="Y75" i="23"/>
  <c r="Z75" i="23"/>
  <c r="S75" i="23"/>
  <c r="AD75" i="23"/>
  <c r="BT102" i="14"/>
  <c r="B91" i="40"/>
  <c r="BU102" i="14"/>
  <c r="K102" i="14"/>
  <c r="AF102" i="14" s="1"/>
  <c r="A104" i="14"/>
  <c r="B103" i="14"/>
  <c r="M103" i="14" s="1"/>
  <c r="C92" i="40" s="1"/>
  <c r="E92" i="40" s="1"/>
  <c r="CB103" i="14"/>
  <c r="BV103" i="14" s="1"/>
  <c r="D103" i="14"/>
  <c r="P103" i="14"/>
  <c r="A92" i="40"/>
  <c r="BP103" i="14"/>
  <c r="BQ103" i="14"/>
  <c r="C103" i="14"/>
  <c r="CG103" i="14"/>
  <c r="BX103" i="14"/>
  <c r="GV123" i="7"/>
  <c r="GU123" i="7"/>
  <c r="GW122" i="7"/>
  <c r="GX122" i="7" l="1"/>
  <c r="CA103" i="14"/>
  <c r="BR103" i="14"/>
  <c r="CC103" i="14"/>
  <c r="E34" i="41"/>
  <c r="F34" i="41" s="1"/>
  <c r="C33" i="41"/>
  <c r="A33" i="41"/>
  <c r="B33" i="41" s="1"/>
  <c r="O246" i="10"/>
  <c r="DB109" i="10" s="1"/>
  <c r="J109" i="10" s="1"/>
  <c r="O7" i="10"/>
  <c r="BD102" i="14"/>
  <c r="AK102" i="14"/>
  <c r="AD102" i="14"/>
  <c r="AH102" i="14"/>
  <c r="CO245" i="10"/>
  <c r="CO246" i="10" s="1"/>
  <c r="O5" i="14" s="1"/>
  <c r="H72" i="24"/>
  <c r="B72" i="24"/>
  <c r="S72" i="24"/>
  <c r="T102" i="14"/>
  <c r="BH102" i="14"/>
  <c r="BF102" i="14"/>
  <c r="BG102" i="14"/>
  <c r="BI102" i="14"/>
  <c r="K103" i="14"/>
  <c r="BD103" i="14" s="1"/>
  <c r="C72" i="34"/>
  <c r="D73" i="34" s="1"/>
  <c r="BN102" i="14"/>
  <c r="AV102" i="14"/>
  <c r="W102" i="14"/>
  <c r="BC102" i="14"/>
  <c r="Y102" i="14"/>
  <c r="BB102" i="14"/>
  <c r="AE102" i="14"/>
  <c r="AG102" i="14"/>
  <c r="AZ102" i="14"/>
  <c r="Z102" i="14"/>
  <c r="AA102" i="14"/>
  <c r="BJ102" i="14"/>
  <c r="BL102" i="14"/>
  <c r="R102" i="14"/>
  <c r="BM102" i="14"/>
  <c r="AB102" i="14"/>
  <c r="V102" i="14"/>
  <c r="BE102" i="14"/>
  <c r="AX102" i="14"/>
  <c r="X102" i="14"/>
  <c r="S102" i="14"/>
  <c r="AQ102" i="14"/>
  <c r="AL102" i="14"/>
  <c r="AT102" i="14"/>
  <c r="AI102" i="14"/>
  <c r="AW102" i="14"/>
  <c r="AC102" i="14"/>
  <c r="AJ102" i="14"/>
  <c r="AO102" i="14"/>
  <c r="AP102" i="14"/>
  <c r="AU102" i="14"/>
  <c r="BK102" i="14"/>
  <c r="AS102" i="14"/>
  <c r="AY102" i="14"/>
  <c r="AR102" i="14"/>
  <c r="BQ104" i="14"/>
  <c r="B104" i="14"/>
  <c r="M104" i="14" s="1"/>
  <c r="C93" i="40" s="1"/>
  <c r="E93" i="40" s="1"/>
  <c r="C104" i="14"/>
  <c r="BP104" i="14"/>
  <c r="P104" i="14"/>
  <c r="CB104" i="14"/>
  <c r="BV104" i="14" s="1"/>
  <c r="D104" i="14"/>
  <c r="A93" i="40"/>
  <c r="CG104" i="14"/>
  <c r="BX104" i="14"/>
  <c r="EL102" i="14"/>
  <c r="DJ102" i="14"/>
  <c r="EE102" i="14"/>
  <c r="DN102" i="14"/>
  <c r="EA102" i="14"/>
  <c r="EP102" i="14"/>
  <c r="ER102" i="14"/>
  <c r="DL102" i="14"/>
  <c r="DP102" i="14"/>
  <c r="EQ102" i="14"/>
  <c r="CY102" i="14"/>
  <c r="DI102" i="14"/>
  <c r="DH102" i="14"/>
  <c r="ES102" i="14"/>
  <c r="DB102" i="14"/>
  <c r="EK102" i="14"/>
  <c r="ED102" i="14"/>
  <c r="DM102" i="14"/>
  <c r="DO102" i="14"/>
  <c r="DX102" i="14"/>
  <c r="DA102" i="14"/>
  <c r="EC102" i="14"/>
  <c r="EI102" i="14"/>
  <c r="EN102" i="14"/>
  <c r="DT102" i="14"/>
  <c r="DK102" i="14"/>
  <c r="CZ102" i="14"/>
  <c r="CV102" i="14"/>
  <c r="DQ102" i="14"/>
  <c r="EM102" i="14"/>
  <c r="DY102" i="14"/>
  <c r="DG102" i="14"/>
  <c r="DF102" i="14"/>
  <c r="EB102" i="14"/>
  <c r="EF102" i="14"/>
  <c r="CX102" i="14"/>
  <c r="DD102" i="14"/>
  <c r="DE102" i="14"/>
  <c r="CW102" i="14"/>
  <c r="DS102" i="14"/>
  <c r="DV102" i="14"/>
  <c r="EJ102" i="14"/>
  <c r="BO102" i="14"/>
  <c r="G102" i="14" s="1"/>
  <c r="EH102" i="14"/>
  <c r="DC102" i="14"/>
  <c r="EG102" i="14"/>
  <c r="DU102" i="14"/>
  <c r="DW102" i="14"/>
  <c r="EO102" i="14"/>
  <c r="DZ102" i="14"/>
  <c r="BT103" i="14"/>
  <c r="B92" i="40"/>
  <c r="BU103" i="14"/>
  <c r="CE104" i="14"/>
  <c r="U102" i="14"/>
  <c r="BA102" i="14"/>
  <c r="GU124" i="7"/>
  <c r="GW123" i="7"/>
  <c r="GV124" i="7"/>
  <c r="GX123" i="7" l="1"/>
  <c r="W72" i="24"/>
  <c r="CA104" i="14"/>
  <c r="BR104" i="14"/>
  <c r="CC104" i="14"/>
  <c r="A34" i="41"/>
  <c r="B34" i="41" s="1"/>
  <c r="C34" i="41"/>
  <c r="E35" i="41"/>
  <c r="F35" i="41" s="1"/>
  <c r="BB103" i="14"/>
  <c r="DB104" i="10"/>
  <c r="J104" i="10" s="1"/>
  <c r="DB83" i="10"/>
  <c r="J83" i="10" s="1"/>
  <c r="DB92" i="10"/>
  <c r="J92" i="10" s="1"/>
  <c r="DB68" i="10"/>
  <c r="J68" i="10" s="1"/>
  <c r="DB133" i="10"/>
  <c r="J133" i="10" s="1"/>
  <c r="DB86" i="10"/>
  <c r="J86" i="10" s="1"/>
  <c r="DB114" i="10"/>
  <c r="J114" i="10" s="1"/>
  <c r="DB93" i="10"/>
  <c r="J93" i="10" s="1"/>
  <c r="DB94" i="10"/>
  <c r="J94" i="10" s="1"/>
  <c r="BM103" i="14"/>
  <c r="BJ103" i="14"/>
  <c r="BE103" i="14"/>
  <c r="AE103" i="14"/>
  <c r="R103" i="14"/>
  <c r="AP103" i="14"/>
  <c r="T103" i="14"/>
  <c r="X103" i="14"/>
  <c r="AC103" i="14"/>
  <c r="AY103" i="14"/>
  <c r="A72" i="24"/>
  <c r="S7" i="10"/>
  <c r="R73" i="24"/>
  <c r="S73" i="24" s="1"/>
  <c r="V103" i="14"/>
  <c r="AQ103" i="14"/>
  <c r="BK103" i="14"/>
  <c r="BA103" i="14"/>
  <c r="AG103" i="14"/>
  <c r="BH103" i="14"/>
  <c r="AJ103" i="14"/>
  <c r="BF103" i="14"/>
  <c r="AI103" i="14"/>
  <c r="AD103" i="14"/>
  <c r="AR103" i="14"/>
  <c r="AT103" i="14"/>
  <c r="AW103" i="14"/>
  <c r="BL103" i="14"/>
  <c r="AA103" i="14"/>
  <c r="AZ103" i="14"/>
  <c r="AS103" i="14"/>
  <c r="BC103" i="14"/>
  <c r="AB103" i="14"/>
  <c r="BG103" i="14"/>
  <c r="Z103" i="14"/>
  <c r="AO103" i="14"/>
  <c r="AH103" i="14"/>
  <c r="AK103" i="14"/>
  <c r="U103" i="14"/>
  <c r="Y103" i="14"/>
  <c r="S103" i="14"/>
  <c r="AF103" i="14"/>
  <c r="BN103" i="14"/>
  <c r="BI103" i="14"/>
  <c r="AX103" i="14"/>
  <c r="AL103" i="14"/>
  <c r="AV103" i="14"/>
  <c r="W103" i="14"/>
  <c r="AU103" i="14"/>
  <c r="C73" i="34"/>
  <c r="D74" i="34" s="1"/>
  <c r="A105" i="14"/>
  <c r="CE105" i="14" s="1"/>
  <c r="CX103" i="14"/>
  <c r="DN103" i="14"/>
  <c r="EH103" i="14"/>
  <c r="DD103" i="14"/>
  <c r="DY103" i="14"/>
  <c r="BO103" i="14"/>
  <c r="G103" i="14" s="1"/>
  <c r="DJ103" i="14"/>
  <c r="DS103" i="14"/>
  <c r="EQ103" i="14"/>
  <c r="EN103" i="14"/>
  <c r="DL103" i="14"/>
  <c r="DW103" i="14"/>
  <c r="ER103" i="14"/>
  <c r="DG103" i="14"/>
  <c r="DI103" i="14"/>
  <c r="ES103" i="14"/>
  <c r="DX103" i="14"/>
  <c r="EA103" i="14"/>
  <c r="CV103" i="14"/>
  <c r="EB103" i="14"/>
  <c r="DU103" i="14"/>
  <c r="DA103" i="14"/>
  <c r="DK103" i="14"/>
  <c r="DZ103" i="14"/>
  <c r="EL103" i="14"/>
  <c r="DM103" i="14"/>
  <c r="DC103" i="14"/>
  <c r="EC103" i="14"/>
  <c r="EO103" i="14"/>
  <c r="DP103" i="14"/>
  <c r="ED103" i="14"/>
  <c r="DF103" i="14"/>
  <c r="CZ103" i="14"/>
  <c r="DE103" i="14"/>
  <c r="DV103" i="14"/>
  <c r="EI103" i="14"/>
  <c r="EM103" i="14"/>
  <c r="EE103" i="14"/>
  <c r="DT103" i="14"/>
  <c r="DB103" i="14"/>
  <c r="EP103" i="14"/>
  <c r="EG103" i="14"/>
  <c r="CY103" i="14"/>
  <c r="EK103" i="14"/>
  <c r="DO103" i="14"/>
  <c r="DQ103" i="14"/>
  <c r="EJ103" i="14"/>
  <c r="CW103" i="14"/>
  <c r="DH103" i="14"/>
  <c r="EF103" i="14"/>
  <c r="BT104" i="14"/>
  <c r="BU104" i="14"/>
  <c r="B93" i="40"/>
  <c r="K104" i="14"/>
  <c r="AE104" i="14" s="1"/>
  <c r="GV125" i="7"/>
  <c r="GW124" i="7"/>
  <c r="GU125" i="7"/>
  <c r="GX124" i="7" l="1"/>
  <c r="C35" i="41"/>
  <c r="A35" i="41"/>
  <c r="B35" i="41" s="1"/>
  <c r="E36" i="41"/>
  <c r="F36" i="41" s="1"/>
  <c r="H73" i="24"/>
  <c r="F73" i="24"/>
  <c r="B73" i="24"/>
  <c r="R74" i="24"/>
  <c r="BD104" i="14"/>
  <c r="C74" i="34"/>
  <c r="D75" i="34" s="1"/>
  <c r="AK104" i="14"/>
  <c r="AC104" i="14"/>
  <c r="BK104" i="14"/>
  <c r="T104" i="14"/>
  <c r="AH104" i="14"/>
  <c r="Z104" i="14"/>
  <c r="AF104" i="14"/>
  <c r="A106" i="14"/>
  <c r="CE106" i="14" s="1"/>
  <c r="CB105" i="14"/>
  <c r="BV105" i="14" s="1"/>
  <c r="BQ105" i="14"/>
  <c r="A94" i="40"/>
  <c r="BP105" i="14"/>
  <c r="P105" i="14"/>
  <c r="C105" i="14"/>
  <c r="B105" i="14"/>
  <c r="M105" i="14" s="1"/>
  <c r="C94" i="40" s="1"/>
  <c r="E94" i="40" s="1"/>
  <c r="D105" i="14"/>
  <c r="CG105" i="14"/>
  <c r="BX105" i="14"/>
  <c r="BI104" i="14"/>
  <c r="BH104" i="14"/>
  <c r="BL104" i="14"/>
  <c r="S104" i="14"/>
  <c r="AL104" i="14"/>
  <c r="BE104" i="14"/>
  <c r="Y104" i="14"/>
  <c r="AS104" i="14"/>
  <c r="BM104" i="14"/>
  <c r="AW104" i="14"/>
  <c r="AG104" i="14"/>
  <c r="V104" i="14"/>
  <c r="AV104" i="14"/>
  <c r="AY104" i="14"/>
  <c r="AU104" i="14"/>
  <c r="X104" i="14"/>
  <c r="W104" i="14"/>
  <c r="BA104" i="14"/>
  <c r="BF104" i="14"/>
  <c r="BC104" i="14"/>
  <c r="AI104" i="14"/>
  <c r="AQ104" i="14"/>
  <c r="R104" i="14"/>
  <c r="AD104" i="14"/>
  <c r="AJ104" i="14"/>
  <c r="AP104" i="14"/>
  <c r="BN104" i="14"/>
  <c r="AX104" i="14"/>
  <c r="DY104" i="14"/>
  <c r="ER104" i="14"/>
  <c r="EJ104" i="14"/>
  <c r="EG104" i="14"/>
  <c r="EL104" i="14"/>
  <c r="EA104" i="14"/>
  <c r="DQ104" i="14"/>
  <c r="EC104" i="14"/>
  <c r="CX104" i="14"/>
  <c r="DM104" i="14"/>
  <c r="ES104" i="14"/>
  <c r="DG104" i="14"/>
  <c r="DK104" i="14"/>
  <c r="DB104" i="14"/>
  <c r="DD104" i="14"/>
  <c r="DH104" i="14"/>
  <c r="DP104" i="14"/>
  <c r="DU104" i="14"/>
  <c r="CW104" i="14"/>
  <c r="EI104" i="14"/>
  <c r="ED104" i="14"/>
  <c r="DI104" i="14"/>
  <c r="DC104" i="14"/>
  <c r="EN104" i="14"/>
  <c r="DF104" i="14"/>
  <c r="DA104" i="14"/>
  <c r="DO104" i="14"/>
  <c r="DE104" i="14"/>
  <c r="EB104" i="14"/>
  <c r="CZ104" i="14"/>
  <c r="EE104" i="14"/>
  <c r="DJ104" i="14"/>
  <c r="EQ104" i="14"/>
  <c r="DW104" i="14"/>
  <c r="BO104" i="14"/>
  <c r="G104" i="14" s="1"/>
  <c r="EK104" i="14"/>
  <c r="EH104" i="14"/>
  <c r="DS104" i="14"/>
  <c r="DZ104" i="14"/>
  <c r="CV104" i="14"/>
  <c r="EP104" i="14"/>
  <c r="DN104" i="14"/>
  <c r="EM104" i="14"/>
  <c r="CY104" i="14"/>
  <c r="DL104" i="14"/>
  <c r="EF104" i="14"/>
  <c r="DV104" i="14"/>
  <c r="EO104" i="14"/>
  <c r="DX104" i="14"/>
  <c r="DT104" i="14"/>
  <c r="BG104" i="14"/>
  <c r="AZ104" i="14"/>
  <c r="AA104" i="14"/>
  <c r="AT104" i="14"/>
  <c r="AB104" i="14"/>
  <c r="U104" i="14"/>
  <c r="AR104" i="14"/>
  <c r="AO104" i="14"/>
  <c r="BB104" i="14"/>
  <c r="BJ104" i="14"/>
  <c r="GU126" i="7"/>
  <c r="GW125" i="7"/>
  <c r="GV126" i="7"/>
  <c r="GX125" i="7" l="1"/>
  <c r="W73" i="24"/>
  <c r="CA105" i="14"/>
  <c r="BR105" i="14"/>
  <c r="CC105" i="14"/>
  <c r="E37" i="41"/>
  <c r="F37" i="41" s="1"/>
  <c r="A36" i="41"/>
  <c r="B36" i="41" s="1"/>
  <c r="C36" i="41"/>
  <c r="A73" i="24"/>
  <c r="B74" i="24"/>
  <c r="F74" i="24"/>
  <c r="H74" i="24"/>
  <c r="S74" i="24"/>
  <c r="R75" i="24" s="1"/>
  <c r="H75" i="24" s="1"/>
  <c r="C75" i="34"/>
  <c r="D76" i="34" s="1"/>
  <c r="A107" i="14"/>
  <c r="CE107" i="14" s="1"/>
  <c r="B94" i="40"/>
  <c r="BU105" i="14"/>
  <c r="BT105" i="14"/>
  <c r="K105" i="14"/>
  <c r="BL105" i="14" s="1"/>
  <c r="P106" i="14"/>
  <c r="BQ106" i="14"/>
  <c r="CB106" i="14"/>
  <c r="BV106" i="14" s="1"/>
  <c r="D106" i="14"/>
  <c r="A95" i="40"/>
  <c r="BP106" i="14"/>
  <c r="B106" i="14"/>
  <c r="M106" i="14" s="1"/>
  <c r="C95" i="40" s="1"/>
  <c r="E95" i="40" s="1"/>
  <c r="C106" i="14"/>
  <c r="CG106" i="14"/>
  <c r="BX106" i="14"/>
  <c r="GU127" i="7"/>
  <c r="GW126" i="7"/>
  <c r="GV127" i="7"/>
  <c r="GX126" i="7" l="1"/>
  <c r="W74" i="24"/>
  <c r="CA106" i="14"/>
  <c r="BR106" i="14"/>
  <c r="CC106" i="14"/>
  <c r="C37" i="41"/>
  <c r="A37" i="41"/>
  <c r="B37" i="41" s="1"/>
  <c r="E38" i="41"/>
  <c r="F38" i="41" s="1"/>
  <c r="F75" i="24"/>
  <c r="B75" i="24"/>
  <c r="S75" i="24"/>
  <c r="R76" i="24" s="1"/>
  <c r="A74" i="24"/>
  <c r="BI105" i="14"/>
  <c r="AH105" i="14"/>
  <c r="K106" i="14"/>
  <c r="AB106" i="14" s="1"/>
  <c r="AJ105" i="14"/>
  <c r="AV105" i="14"/>
  <c r="AX105" i="14"/>
  <c r="AC105" i="14"/>
  <c r="AZ105" i="14"/>
  <c r="BK105" i="14"/>
  <c r="X105" i="14"/>
  <c r="W105" i="14"/>
  <c r="AK105" i="14"/>
  <c r="BH105" i="14"/>
  <c r="U105" i="14"/>
  <c r="T105" i="14"/>
  <c r="AT105" i="14"/>
  <c r="BE105" i="14"/>
  <c r="AF105" i="14"/>
  <c r="BB105" i="14"/>
  <c r="C76" i="34"/>
  <c r="D77" i="34" s="1"/>
  <c r="AR105" i="14"/>
  <c r="AE105" i="14"/>
  <c r="BG105" i="14"/>
  <c r="Y105" i="14"/>
  <c r="AO105" i="14"/>
  <c r="BM105" i="14"/>
  <c r="EB105" i="14"/>
  <c r="DT105" i="14"/>
  <c r="DW105" i="14"/>
  <c r="DN105" i="14"/>
  <c r="DK105" i="14"/>
  <c r="DA105" i="14"/>
  <c r="EL105" i="14"/>
  <c r="DX105" i="14"/>
  <c r="EH105" i="14"/>
  <c r="DG105" i="14"/>
  <c r="ES105" i="14"/>
  <c r="EQ105" i="14"/>
  <c r="EO105" i="14"/>
  <c r="EK105" i="14"/>
  <c r="ED105" i="14"/>
  <c r="DI105" i="14"/>
  <c r="DL105" i="14"/>
  <c r="DM105" i="14"/>
  <c r="EC105" i="14"/>
  <c r="DJ105" i="14"/>
  <c r="CV105" i="14"/>
  <c r="EN105" i="14"/>
  <c r="EE105" i="14"/>
  <c r="EI105" i="14"/>
  <c r="DV105" i="14"/>
  <c r="DD105" i="14"/>
  <c r="DS105" i="14"/>
  <c r="BO105" i="14"/>
  <c r="G105" i="14" s="1"/>
  <c r="EG105" i="14"/>
  <c r="CX105" i="14"/>
  <c r="EJ105" i="14"/>
  <c r="DU105" i="14"/>
  <c r="DF105" i="14"/>
  <c r="DO105" i="14"/>
  <c r="DH105" i="14"/>
  <c r="DQ105" i="14"/>
  <c r="DE105" i="14"/>
  <c r="DC105" i="14"/>
  <c r="CZ105" i="14"/>
  <c r="CW105" i="14"/>
  <c r="EF105" i="14"/>
  <c r="CY105" i="14"/>
  <c r="DB105" i="14"/>
  <c r="DP105" i="14"/>
  <c r="DY105" i="14"/>
  <c r="EA105" i="14"/>
  <c r="ER105" i="14"/>
  <c r="DZ105" i="14"/>
  <c r="EP105" i="14"/>
  <c r="EM105" i="14"/>
  <c r="A108" i="14"/>
  <c r="CE108" i="14" s="1"/>
  <c r="BF105" i="14"/>
  <c r="AQ105" i="14"/>
  <c r="C107" i="14"/>
  <c r="CB107" i="14"/>
  <c r="BV107" i="14" s="1"/>
  <c r="D107" i="14"/>
  <c r="B107" i="14"/>
  <c r="M107" i="14" s="1"/>
  <c r="C96" i="40" s="1"/>
  <c r="E96" i="40" s="1"/>
  <c r="P107" i="14"/>
  <c r="BQ107" i="14"/>
  <c r="A96" i="40"/>
  <c r="BP107" i="14"/>
  <c r="BX107" i="14"/>
  <c r="CG107" i="14"/>
  <c r="BN106" i="14"/>
  <c r="BD105" i="14"/>
  <c r="AG105" i="14"/>
  <c r="AI105" i="14"/>
  <c r="R105" i="14"/>
  <c r="BT106" i="14"/>
  <c r="B95" i="40"/>
  <c r="BU106" i="14"/>
  <c r="AP105" i="14"/>
  <c r="AD105" i="14"/>
  <c r="AA105" i="14"/>
  <c r="AU105" i="14"/>
  <c r="BC105" i="14"/>
  <c r="AL105" i="14"/>
  <c r="BA105" i="14"/>
  <c r="BN105" i="14"/>
  <c r="AR106" i="14"/>
  <c r="AS105" i="14"/>
  <c r="AB105" i="14"/>
  <c r="Z105" i="14"/>
  <c r="AY105" i="14"/>
  <c r="BJ105" i="14"/>
  <c r="AW105" i="14"/>
  <c r="V105" i="14"/>
  <c r="S105" i="14"/>
  <c r="GU128" i="7"/>
  <c r="GW127" i="7"/>
  <c r="GV128" i="7"/>
  <c r="GX127" i="7" l="1"/>
  <c r="W75" i="24"/>
  <c r="A75" i="24"/>
  <c r="CA107" i="14"/>
  <c r="CC107" i="14"/>
  <c r="BR107" i="14"/>
  <c r="A38" i="41"/>
  <c r="B38" i="41" s="1"/>
  <c r="C38" i="41"/>
  <c r="E39" i="41"/>
  <c r="F39" i="41"/>
  <c r="AY106" i="14"/>
  <c r="R106" i="14"/>
  <c r="AX106" i="14"/>
  <c r="AI106" i="14"/>
  <c r="BD106" i="14"/>
  <c r="BB106" i="14"/>
  <c r="Y106" i="14"/>
  <c r="AU106" i="14"/>
  <c r="AP106" i="14"/>
  <c r="AW106" i="14"/>
  <c r="BL106" i="14"/>
  <c r="BE106" i="14"/>
  <c r="BC106" i="14"/>
  <c r="AQ106" i="14"/>
  <c r="AV106" i="14"/>
  <c r="AA106" i="14"/>
  <c r="AD106" i="14"/>
  <c r="BI106" i="14"/>
  <c r="AE106" i="14"/>
  <c r="W106" i="14"/>
  <c r="BK106" i="14"/>
  <c r="AG106" i="14"/>
  <c r="BH106" i="14"/>
  <c r="AT106" i="14"/>
  <c r="BA106" i="14"/>
  <c r="BM106" i="14"/>
  <c r="BJ106" i="14"/>
  <c r="S106" i="14"/>
  <c r="V106" i="14"/>
  <c r="AZ106" i="14"/>
  <c r="AH106" i="14"/>
  <c r="AC106" i="14"/>
  <c r="BG106" i="14"/>
  <c r="AL106" i="14"/>
  <c r="AF106" i="14"/>
  <c r="BF106" i="14"/>
  <c r="AJ106" i="14"/>
  <c r="AS106" i="14"/>
  <c r="U106" i="14"/>
  <c r="AK106" i="14"/>
  <c r="AO106" i="14"/>
  <c r="Z106" i="14"/>
  <c r="X106" i="14"/>
  <c r="T106" i="14"/>
  <c r="C77" i="34"/>
  <c r="D78" i="34" s="1"/>
  <c r="H76" i="24"/>
  <c r="B76" i="24"/>
  <c r="F76" i="24"/>
  <c r="S76" i="24"/>
  <c r="BU107" i="14"/>
  <c r="BT107" i="14"/>
  <c r="B96" i="40"/>
  <c r="DF106" i="14"/>
  <c r="DP106" i="14"/>
  <c r="CZ106" i="14"/>
  <c r="DT106" i="14"/>
  <c r="EE106" i="14"/>
  <c r="EK106" i="14"/>
  <c r="DY106" i="14"/>
  <c r="DD106" i="14"/>
  <c r="ED106" i="14"/>
  <c r="EQ106" i="14"/>
  <c r="DK106" i="14"/>
  <c r="DV106" i="14"/>
  <c r="DB106" i="14"/>
  <c r="EF106" i="14"/>
  <c r="EH106" i="14"/>
  <c r="EL106" i="14"/>
  <c r="EO106" i="14"/>
  <c r="DA106" i="14"/>
  <c r="BO106" i="14"/>
  <c r="G106" i="14" s="1"/>
  <c r="EI106" i="14"/>
  <c r="EA106" i="14"/>
  <c r="DE106" i="14"/>
  <c r="DS106" i="14"/>
  <c r="DC106" i="14"/>
  <c r="DL106" i="14"/>
  <c r="DQ106" i="14"/>
  <c r="DH106" i="14"/>
  <c r="DM106" i="14"/>
  <c r="ES106" i="14"/>
  <c r="EM106" i="14"/>
  <c r="DN106" i="14"/>
  <c r="EP106" i="14"/>
  <c r="EC106" i="14"/>
  <c r="DO106" i="14"/>
  <c r="DW106" i="14"/>
  <c r="EJ106" i="14"/>
  <c r="CW106" i="14"/>
  <c r="DJ106" i="14"/>
  <c r="DI106" i="14"/>
  <c r="CY106" i="14"/>
  <c r="DU106" i="14"/>
  <c r="CV106" i="14"/>
  <c r="DX106" i="14"/>
  <c r="EG106" i="14"/>
  <c r="CX106" i="14"/>
  <c r="DZ106" i="14"/>
  <c r="EB106" i="14"/>
  <c r="DG106" i="14"/>
  <c r="ER106" i="14"/>
  <c r="EN106" i="14"/>
  <c r="A109" i="14"/>
  <c r="CE109" i="14" s="1"/>
  <c r="K107" i="14"/>
  <c r="AL107" i="14" s="1"/>
  <c r="BQ108" i="14"/>
  <c r="C108" i="14"/>
  <c r="P108" i="14"/>
  <c r="B108" i="14"/>
  <c r="M108" i="14" s="1"/>
  <c r="C97" i="40" s="1"/>
  <c r="E97" i="40" s="1"/>
  <c r="BP108" i="14"/>
  <c r="CB108" i="14"/>
  <c r="BV108" i="14" s="1"/>
  <c r="D108" i="14"/>
  <c r="A97" i="40"/>
  <c r="BX108" i="14"/>
  <c r="CG108" i="14"/>
  <c r="GU129" i="7"/>
  <c r="GW128" i="7"/>
  <c r="GV129" i="7"/>
  <c r="GX128" i="7" l="1"/>
  <c r="W76" i="24"/>
  <c r="CA108" i="14"/>
  <c r="CC108" i="14"/>
  <c r="BR108" i="14"/>
  <c r="E40" i="41"/>
  <c r="F40" i="41" s="1"/>
  <c r="C39" i="41"/>
  <c r="A39" i="41"/>
  <c r="B39" i="41" s="1"/>
  <c r="BI107" i="14"/>
  <c r="C78" i="34"/>
  <c r="D79" i="34" s="1"/>
  <c r="R77" i="24"/>
  <c r="AB107" i="14"/>
  <c r="K108" i="14"/>
  <c r="AG108" i="14" s="1"/>
  <c r="BN107" i="14"/>
  <c r="A76" i="24"/>
  <c r="A110" i="14"/>
  <c r="BG107" i="14"/>
  <c r="BD107" i="14"/>
  <c r="AG107" i="14"/>
  <c r="BB107" i="14"/>
  <c r="AI107" i="14"/>
  <c r="AS107" i="14"/>
  <c r="AY107" i="14"/>
  <c r="BJ107" i="14"/>
  <c r="BC107" i="14"/>
  <c r="W107" i="14"/>
  <c r="BF107" i="14"/>
  <c r="AK107" i="14"/>
  <c r="AV107" i="14"/>
  <c r="BM107" i="14"/>
  <c r="Z107" i="14"/>
  <c r="T107" i="14"/>
  <c r="Y107" i="14"/>
  <c r="AC107" i="14"/>
  <c r="AR107" i="14"/>
  <c r="AT107" i="14"/>
  <c r="R107" i="14"/>
  <c r="V107" i="14"/>
  <c r="AF107" i="14"/>
  <c r="BH107" i="14"/>
  <c r="AE107" i="14"/>
  <c r="AH107" i="14"/>
  <c r="AJ107" i="14"/>
  <c r="S107" i="14"/>
  <c r="AO107" i="14"/>
  <c r="AA107" i="14"/>
  <c r="AU107" i="14"/>
  <c r="DD107" i="14"/>
  <c r="CX107" i="14"/>
  <c r="DL107" i="14"/>
  <c r="DP107" i="14"/>
  <c r="EL107" i="14"/>
  <c r="DZ107" i="14"/>
  <c r="DY107" i="14"/>
  <c r="ER107" i="14"/>
  <c r="DF107" i="14"/>
  <c r="EK107" i="14"/>
  <c r="DQ107" i="14"/>
  <c r="BO107" i="14"/>
  <c r="G107" i="14" s="1"/>
  <c r="DX107" i="14"/>
  <c r="DE107" i="14"/>
  <c r="EG107" i="14"/>
  <c r="DW107" i="14"/>
  <c r="DG107" i="14"/>
  <c r="DT107" i="14"/>
  <c r="CY107" i="14"/>
  <c r="EE107" i="14"/>
  <c r="DS107" i="14"/>
  <c r="ES107" i="14"/>
  <c r="DO107" i="14"/>
  <c r="DB107" i="14"/>
  <c r="EC107" i="14"/>
  <c r="EP107" i="14"/>
  <c r="DH107" i="14"/>
  <c r="EB107" i="14"/>
  <c r="EI107" i="14"/>
  <c r="DN107" i="14"/>
  <c r="DU107" i="14"/>
  <c r="EJ107" i="14"/>
  <c r="CV107" i="14"/>
  <c r="DC107" i="14"/>
  <c r="EA107" i="14"/>
  <c r="DK107" i="14"/>
  <c r="EO107" i="14"/>
  <c r="DV107" i="14"/>
  <c r="CZ107" i="14"/>
  <c r="DJ107" i="14"/>
  <c r="EM107" i="14"/>
  <c r="ED107" i="14"/>
  <c r="EH107" i="14"/>
  <c r="CW107" i="14"/>
  <c r="EN107" i="14"/>
  <c r="DA107" i="14"/>
  <c r="DI107" i="14"/>
  <c r="DM107" i="14"/>
  <c r="EQ107" i="14"/>
  <c r="EF107" i="14"/>
  <c r="BK107" i="14"/>
  <c r="AP107" i="14"/>
  <c r="AD107" i="14"/>
  <c r="AQ108" i="14"/>
  <c r="U107" i="14"/>
  <c r="AX107" i="14"/>
  <c r="X107" i="14"/>
  <c r="BT108" i="14"/>
  <c r="BU108" i="14"/>
  <c r="B97" i="40"/>
  <c r="AZ107" i="14"/>
  <c r="BA107" i="14"/>
  <c r="AQ107" i="14"/>
  <c r="B109" i="14"/>
  <c r="M109" i="14" s="1"/>
  <c r="C98" i="40" s="1"/>
  <c r="E98" i="40" s="1"/>
  <c r="BQ109" i="14"/>
  <c r="CB109" i="14"/>
  <c r="BV109" i="14" s="1"/>
  <c r="D109" i="14"/>
  <c r="P109" i="14"/>
  <c r="BP109" i="14"/>
  <c r="C109" i="14"/>
  <c r="A98" i="40"/>
  <c r="BX109" i="14"/>
  <c r="CG109" i="14"/>
  <c r="BE107" i="14"/>
  <c r="BL107" i="14"/>
  <c r="AW107" i="14"/>
  <c r="GW129" i="7"/>
  <c r="GU130" i="7"/>
  <c r="GV130" i="7"/>
  <c r="GX129" i="7" l="1"/>
  <c r="CA109" i="14"/>
  <c r="CC109" i="14"/>
  <c r="BR109" i="14"/>
  <c r="E41" i="41"/>
  <c r="F41" i="41" s="1"/>
  <c r="A40" i="41"/>
  <c r="B40" i="41" s="1"/>
  <c r="C40" i="41"/>
  <c r="Y108" i="14"/>
  <c r="AV108" i="14"/>
  <c r="AW108" i="14"/>
  <c r="BF108" i="14"/>
  <c r="BG108" i="14"/>
  <c r="W108" i="14"/>
  <c r="BI108" i="14"/>
  <c r="AD108" i="14"/>
  <c r="V108" i="14"/>
  <c r="BM108" i="14"/>
  <c r="AU108" i="14"/>
  <c r="BH108" i="14"/>
  <c r="U108" i="14"/>
  <c r="BC108" i="14"/>
  <c r="AB108" i="14"/>
  <c r="AC108" i="14"/>
  <c r="R108" i="14"/>
  <c r="S108" i="14"/>
  <c r="AR108" i="14"/>
  <c r="AX108" i="14"/>
  <c r="AO108" i="14"/>
  <c r="X108" i="14"/>
  <c r="AJ108" i="14"/>
  <c r="AZ108" i="14"/>
  <c r="BL108" i="14"/>
  <c r="BB108" i="14"/>
  <c r="AI108" i="14"/>
  <c r="AH108" i="14"/>
  <c r="Z108" i="14"/>
  <c r="AF108" i="14"/>
  <c r="AY108" i="14"/>
  <c r="AA108" i="14"/>
  <c r="AL108" i="14"/>
  <c r="BK108" i="14"/>
  <c r="BJ108" i="14"/>
  <c r="BE108" i="14"/>
  <c r="AS108" i="14"/>
  <c r="BA108" i="14"/>
  <c r="BN108" i="14"/>
  <c r="AP108" i="14"/>
  <c r="AK108" i="14"/>
  <c r="AE108" i="14"/>
  <c r="AT108" i="14"/>
  <c r="BD108" i="14"/>
  <c r="T108" i="14"/>
  <c r="C79" i="34"/>
  <c r="D80" i="34" s="1"/>
  <c r="B77" i="24"/>
  <c r="F77" i="24"/>
  <c r="H77" i="24"/>
  <c r="S77" i="24"/>
  <c r="B98" i="40"/>
  <c r="BU109" i="14"/>
  <c r="BT109" i="14"/>
  <c r="A99" i="40"/>
  <c r="D110" i="14"/>
  <c r="BP110" i="14"/>
  <c r="B110" i="14"/>
  <c r="M110" i="14" s="1"/>
  <c r="C99" i="40" s="1"/>
  <c r="E99" i="40" s="1"/>
  <c r="CG110" i="14"/>
  <c r="BX110" i="14"/>
  <c r="BQ110" i="14"/>
  <c r="C110" i="14"/>
  <c r="CB110" i="14"/>
  <c r="BV110" i="14" s="1"/>
  <c r="P110" i="14"/>
  <c r="DG108" i="14"/>
  <c r="ER108" i="14"/>
  <c r="DN108" i="14"/>
  <c r="DF108" i="14"/>
  <c r="DZ108" i="14"/>
  <c r="EN108" i="14"/>
  <c r="EM108" i="14"/>
  <c r="CX108" i="14"/>
  <c r="DC108" i="14"/>
  <c r="EG108" i="14"/>
  <c r="DJ108" i="14"/>
  <c r="EH108" i="14"/>
  <c r="EI108" i="14"/>
  <c r="CY108" i="14"/>
  <c r="EL108" i="14"/>
  <c r="EA108" i="14"/>
  <c r="EO108" i="14"/>
  <c r="DA108" i="14"/>
  <c r="EC108" i="14"/>
  <c r="ES108" i="14"/>
  <c r="DY108" i="14"/>
  <c r="DP108" i="14"/>
  <c r="DI108" i="14"/>
  <c r="DT108" i="14"/>
  <c r="DM108" i="14"/>
  <c r="DL108" i="14"/>
  <c r="DH108" i="14"/>
  <c r="CZ108" i="14"/>
  <c r="DX108" i="14"/>
  <c r="EK108" i="14"/>
  <c r="CW108" i="14"/>
  <c r="BO108" i="14"/>
  <c r="G108" i="14" s="1"/>
  <c r="ED108" i="14"/>
  <c r="DE108" i="14"/>
  <c r="EP108" i="14"/>
  <c r="DO108" i="14"/>
  <c r="CV108" i="14"/>
  <c r="DS108" i="14"/>
  <c r="EQ108" i="14"/>
  <c r="DQ108" i="14"/>
  <c r="DD108" i="14"/>
  <c r="EB108" i="14"/>
  <c r="DW108" i="14"/>
  <c r="EF108" i="14"/>
  <c r="DB108" i="14"/>
  <c r="EJ108" i="14"/>
  <c r="DV108" i="14"/>
  <c r="DK108" i="14"/>
  <c r="EE108" i="14"/>
  <c r="DU108" i="14"/>
  <c r="K109" i="14"/>
  <c r="CE110" i="14"/>
  <c r="GW130" i="7"/>
  <c r="GU131" i="7"/>
  <c r="GV131" i="7"/>
  <c r="GX130" i="7" l="1"/>
  <c r="W77" i="24"/>
  <c r="CA110" i="14"/>
  <c r="CC110" i="14"/>
  <c r="BR110" i="14"/>
  <c r="C41" i="41"/>
  <c r="A41" i="41"/>
  <c r="B41" i="41" s="1"/>
  <c r="E42" i="41"/>
  <c r="F42" i="41" s="1"/>
  <c r="K110" i="14"/>
  <c r="AR110" i="14" s="1"/>
  <c r="C80" i="34"/>
  <c r="D81" i="34" s="1"/>
  <c r="R78" i="24"/>
  <c r="A77" i="24"/>
  <c r="AV109" i="14"/>
  <c r="S109" i="14"/>
  <c r="AC109" i="14"/>
  <c r="BJ109" i="14"/>
  <c r="R109" i="14"/>
  <c r="AI109" i="14"/>
  <c r="AB109" i="14"/>
  <c r="AT109" i="14"/>
  <c r="AW109" i="14"/>
  <c r="U109" i="14"/>
  <c r="BI109" i="14"/>
  <c r="AK109" i="14"/>
  <c r="T109" i="14"/>
  <c r="AA109" i="14"/>
  <c r="BG109" i="14"/>
  <c r="AP109" i="14"/>
  <c r="AO109" i="14"/>
  <c r="AF109" i="14"/>
  <c r="BL109" i="14"/>
  <c r="BB109" i="14"/>
  <c r="AJ109" i="14"/>
  <c r="BK109" i="14"/>
  <c r="AZ109" i="14"/>
  <c r="AR109" i="14"/>
  <c r="Y109" i="14"/>
  <c r="AE109" i="14"/>
  <c r="BF109" i="14"/>
  <c r="W109" i="14"/>
  <c r="AL109" i="14"/>
  <c r="AD109" i="14"/>
  <c r="AY109" i="14"/>
  <c r="BC109" i="14"/>
  <c r="X109" i="14"/>
  <c r="V109" i="14"/>
  <c r="AH109" i="14"/>
  <c r="AU109" i="14"/>
  <c r="AS109" i="14"/>
  <c r="AX109" i="14"/>
  <c r="BE109" i="14"/>
  <c r="BH109" i="14"/>
  <c r="BA109" i="14"/>
  <c r="AG109" i="14"/>
  <c r="A111" i="14"/>
  <c r="CE111" i="14" s="1"/>
  <c r="AQ109" i="14"/>
  <c r="Z109" i="14"/>
  <c r="BM109" i="14"/>
  <c r="B99" i="40"/>
  <c r="BT110" i="14"/>
  <c r="BU110" i="14"/>
  <c r="DU109" i="14"/>
  <c r="DV109" i="14"/>
  <c r="DA109" i="14"/>
  <c r="DH109" i="14"/>
  <c r="DG109" i="14"/>
  <c r="EP109" i="14"/>
  <c r="EQ109" i="14"/>
  <c r="DF109" i="14"/>
  <c r="EA109" i="14"/>
  <c r="DW109" i="14"/>
  <c r="DN109" i="14"/>
  <c r="DI109" i="14"/>
  <c r="DM109" i="14"/>
  <c r="EI109" i="14"/>
  <c r="BO109" i="14"/>
  <c r="G109" i="14" s="1"/>
  <c r="DJ109" i="14"/>
  <c r="DL109" i="14"/>
  <c r="EC109" i="14"/>
  <c r="DZ109" i="14"/>
  <c r="DB109" i="14"/>
  <c r="CX109" i="14"/>
  <c r="EN109" i="14"/>
  <c r="EB109" i="14"/>
  <c r="DT109" i="14"/>
  <c r="DO109" i="14"/>
  <c r="EH109" i="14"/>
  <c r="EM109" i="14"/>
  <c r="EE109" i="14"/>
  <c r="DS109" i="14"/>
  <c r="ER109" i="14"/>
  <c r="EO109" i="14"/>
  <c r="DK109" i="14"/>
  <c r="DE109" i="14"/>
  <c r="ED109" i="14"/>
  <c r="DC109" i="14"/>
  <c r="CV109" i="14"/>
  <c r="DD109" i="14"/>
  <c r="DX109" i="14"/>
  <c r="ES109" i="14"/>
  <c r="EK109" i="14"/>
  <c r="DY109" i="14"/>
  <c r="DQ109" i="14"/>
  <c r="CW109" i="14"/>
  <c r="EJ109" i="14"/>
  <c r="EL109" i="14"/>
  <c r="EF109" i="14"/>
  <c r="CZ109" i="14"/>
  <c r="CY109" i="14"/>
  <c r="DP109" i="14"/>
  <c r="EG109" i="14"/>
  <c r="BD109" i="14"/>
  <c r="BN109" i="14"/>
  <c r="GW131" i="7"/>
  <c r="GU132" i="7"/>
  <c r="GV132" i="7"/>
  <c r="GX131" i="7" l="1"/>
  <c r="E43" i="41"/>
  <c r="F43" i="41" s="1"/>
  <c r="C42" i="41"/>
  <c r="A42" i="41"/>
  <c r="B42" i="41" s="1"/>
  <c r="W110" i="14"/>
  <c r="AE110" i="14"/>
  <c r="AK110" i="14"/>
  <c r="AZ110" i="14"/>
  <c r="Z110" i="14"/>
  <c r="BN110" i="14"/>
  <c r="AO110" i="14"/>
  <c r="AS110" i="14"/>
  <c r="AB110" i="14"/>
  <c r="AW110" i="14"/>
  <c r="BL110" i="14"/>
  <c r="BB110" i="14"/>
  <c r="AT110" i="14"/>
  <c r="BG110" i="14"/>
  <c r="BD110" i="14"/>
  <c r="BE110" i="14"/>
  <c r="BI110" i="14"/>
  <c r="BJ110" i="14"/>
  <c r="V110" i="14"/>
  <c r="AI110" i="14"/>
  <c r="X110" i="14"/>
  <c r="U110" i="14"/>
  <c r="BM110" i="14"/>
  <c r="AU110" i="14"/>
  <c r="BC110" i="14"/>
  <c r="AF110" i="14"/>
  <c r="AA110" i="14"/>
  <c r="T110" i="14"/>
  <c r="BF110" i="14"/>
  <c r="AJ110" i="14"/>
  <c r="AC110" i="14"/>
  <c r="AV110" i="14"/>
  <c r="AX110" i="14"/>
  <c r="BK110" i="14"/>
  <c r="BH110" i="14"/>
  <c r="AP110" i="14"/>
  <c r="AY110" i="14"/>
  <c r="AH110" i="14"/>
  <c r="R110" i="14"/>
  <c r="AD110" i="14"/>
  <c r="BA110" i="14"/>
  <c r="Y110" i="14"/>
  <c r="AL110" i="14"/>
  <c r="AG110" i="14"/>
  <c r="AQ110" i="14"/>
  <c r="S110" i="14"/>
  <c r="C81" i="34"/>
  <c r="D82" i="34" s="1"/>
  <c r="F78" i="24"/>
  <c r="B78" i="24"/>
  <c r="W78" i="24" s="1"/>
  <c r="H78" i="24"/>
  <c r="S78" i="24"/>
  <c r="R79" i="24" s="1"/>
  <c r="A112" i="14"/>
  <c r="CE112" i="14" s="1"/>
  <c r="BO110" i="14"/>
  <c r="G110" i="14" s="1"/>
  <c r="DT110" i="14"/>
  <c r="DH110" i="14"/>
  <c r="DP110" i="14"/>
  <c r="DY110" i="14"/>
  <c r="EE110" i="14"/>
  <c r="EB110" i="14"/>
  <c r="DW110" i="14"/>
  <c r="DA110" i="14"/>
  <c r="EJ110" i="14"/>
  <c r="CW110" i="14"/>
  <c r="EG110" i="14"/>
  <c r="DX110" i="14"/>
  <c r="DE110" i="14"/>
  <c r="EQ110" i="14"/>
  <c r="DG110" i="14"/>
  <c r="DZ110" i="14"/>
  <c r="EI110" i="14"/>
  <c r="DF110" i="14"/>
  <c r="DD110" i="14"/>
  <c r="EL110" i="14"/>
  <c r="DQ110" i="14"/>
  <c r="DN110" i="14"/>
  <c r="DV110" i="14"/>
  <c r="DI110" i="14"/>
  <c r="EK110" i="14"/>
  <c r="EA110" i="14"/>
  <c r="DK110" i="14"/>
  <c r="CY110" i="14"/>
  <c r="EH110" i="14"/>
  <c r="EM110" i="14"/>
  <c r="DC110" i="14"/>
  <c r="DO110" i="14"/>
  <c r="ED110" i="14"/>
  <c r="DM110" i="14"/>
  <c r="DB110" i="14"/>
  <c r="EC110" i="14"/>
  <c r="ES110" i="14"/>
  <c r="EP110" i="14"/>
  <c r="CV110" i="14"/>
  <c r="EO110" i="14"/>
  <c r="DL110" i="14"/>
  <c r="EN110" i="14"/>
  <c r="EF110" i="14"/>
  <c r="ER110" i="14"/>
  <c r="CZ110" i="14"/>
  <c r="CX110" i="14"/>
  <c r="DU110" i="14"/>
  <c r="DJ110" i="14"/>
  <c r="DS110" i="14"/>
  <c r="A100" i="40"/>
  <c r="P111" i="14"/>
  <c r="BP111" i="14"/>
  <c r="B111" i="14"/>
  <c r="M111" i="14" s="1"/>
  <c r="C100" i="40" s="1"/>
  <c r="E100" i="40" s="1"/>
  <c r="CB111" i="14"/>
  <c r="BV111" i="14" s="1"/>
  <c r="BQ111" i="14"/>
  <c r="D111" i="14"/>
  <c r="C111" i="14"/>
  <c r="BX111" i="14"/>
  <c r="CG111" i="14"/>
  <c r="GW132" i="7"/>
  <c r="GV133" i="7"/>
  <c r="GU133" i="7"/>
  <c r="GX132" i="7" l="1"/>
  <c r="CA111" i="14"/>
  <c r="BR111" i="14"/>
  <c r="CC111" i="14"/>
  <c r="A43" i="41"/>
  <c r="B43" i="41" s="1"/>
  <c r="C43" i="41"/>
  <c r="E44" i="41"/>
  <c r="F44" i="41" s="1"/>
  <c r="K111" i="14"/>
  <c r="AY111" i="14" s="1"/>
  <c r="F79" i="24"/>
  <c r="H79" i="24"/>
  <c r="B79" i="24"/>
  <c r="W79" i="24" s="1"/>
  <c r="C82" i="34"/>
  <c r="D83" i="34" s="1"/>
  <c r="S79" i="24"/>
  <c r="R80" i="24" s="1"/>
  <c r="A78" i="24"/>
  <c r="A113" i="14"/>
  <c r="CE113" i="14" s="1"/>
  <c r="BQ112" i="14"/>
  <c r="P112" i="14"/>
  <c r="C112" i="14"/>
  <c r="B112" i="14"/>
  <c r="M112" i="14" s="1"/>
  <c r="C101" i="40" s="1"/>
  <c r="E101" i="40" s="1"/>
  <c r="BP112" i="14"/>
  <c r="D112" i="14"/>
  <c r="A101" i="40"/>
  <c r="CB112" i="14"/>
  <c r="BV112" i="14" s="1"/>
  <c r="CG112" i="14"/>
  <c r="BX112" i="14"/>
  <c r="B100" i="40"/>
  <c r="BT111" i="14"/>
  <c r="BU111" i="14"/>
  <c r="GW133" i="7"/>
  <c r="GU134" i="7"/>
  <c r="GV134" i="7"/>
  <c r="GX133" i="7" l="1"/>
  <c r="CA112" i="14"/>
  <c r="CC112" i="14"/>
  <c r="BR112" i="14"/>
  <c r="E45" i="41"/>
  <c r="F45" i="41" s="1"/>
  <c r="C44" i="41"/>
  <c r="A44" i="41"/>
  <c r="B44" i="41" s="1"/>
  <c r="AU111" i="14"/>
  <c r="Z111" i="14"/>
  <c r="AC111" i="14"/>
  <c r="W111" i="14"/>
  <c r="X111" i="14"/>
  <c r="AI111" i="14"/>
  <c r="V111" i="14"/>
  <c r="T111" i="14"/>
  <c r="AT111" i="14"/>
  <c r="AF111" i="14"/>
  <c r="AZ111" i="14"/>
  <c r="AG111" i="14"/>
  <c r="AP111" i="14"/>
  <c r="AW111" i="14"/>
  <c r="BJ111" i="14"/>
  <c r="BB111" i="14"/>
  <c r="BC111" i="14"/>
  <c r="AB111" i="14"/>
  <c r="AS111" i="14"/>
  <c r="AR111" i="14"/>
  <c r="AE111" i="14"/>
  <c r="BA111" i="14"/>
  <c r="U111" i="14"/>
  <c r="BF111" i="14"/>
  <c r="BD111" i="14"/>
  <c r="AO111" i="14"/>
  <c r="BG111" i="14"/>
  <c r="AH111" i="14"/>
  <c r="BM111" i="14"/>
  <c r="AL111" i="14"/>
  <c r="AJ111" i="14"/>
  <c r="AV111" i="14"/>
  <c r="BN111" i="14"/>
  <c r="AD111" i="14"/>
  <c r="BH111" i="14"/>
  <c r="S111" i="14"/>
  <c r="AX111" i="14"/>
  <c r="AK111" i="14"/>
  <c r="AQ111" i="14"/>
  <c r="BK111" i="14"/>
  <c r="AA111" i="14"/>
  <c r="Y111" i="14"/>
  <c r="BE111" i="14"/>
  <c r="BL111" i="14"/>
  <c r="R111" i="14"/>
  <c r="BI111" i="14"/>
  <c r="K112" i="14"/>
  <c r="AU112" i="14" s="1"/>
  <c r="S80" i="24"/>
  <c r="F80" i="24"/>
  <c r="B80" i="24"/>
  <c r="W80" i="24" s="1"/>
  <c r="H80" i="24"/>
  <c r="C83" i="34"/>
  <c r="D84" i="34" s="1"/>
  <c r="A79" i="24"/>
  <c r="A114" i="14"/>
  <c r="CE114" i="14" s="1"/>
  <c r="DH111" i="14"/>
  <c r="EP111" i="14"/>
  <c r="DE111" i="14"/>
  <c r="DW111" i="14"/>
  <c r="DJ111" i="14"/>
  <c r="ED111" i="14"/>
  <c r="EN111" i="14"/>
  <c r="BO111" i="14"/>
  <c r="G111" i="14" s="1"/>
  <c r="DN111" i="14"/>
  <c r="EH111" i="14"/>
  <c r="EK111" i="14"/>
  <c r="DC111" i="14"/>
  <c r="DS111" i="14"/>
  <c r="EQ111" i="14"/>
  <c r="ES111" i="14"/>
  <c r="CX111" i="14"/>
  <c r="DA111" i="14"/>
  <c r="DZ111" i="14"/>
  <c r="DX111" i="14"/>
  <c r="CY111" i="14"/>
  <c r="DM111" i="14"/>
  <c r="DL111" i="14"/>
  <c r="DP111" i="14"/>
  <c r="DB111" i="14"/>
  <c r="EC111" i="14"/>
  <c r="EG111" i="14"/>
  <c r="EL111" i="14"/>
  <c r="EI111" i="14"/>
  <c r="CW111" i="14"/>
  <c r="DY111" i="14"/>
  <c r="CV111" i="14"/>
  <c r="DG111" i="14"/>
  <c r="EJ111" i="14"/>
  <c r="EB111" i="14"/>
  <c r="DV111" i="14"/>
  <c r="EA111" i="14"/>
  <c r="DT111" i="14"/>
  <c r="DU111" i="14"/>
  <c r="DK111" i="14"/>
  <c r="EO111" i="14"/>
  <c r="DI111" i="14"/>
  <c r="EM111" i="14"/>
  <c r="DF111" i="14"/>
  <c r="DQ111" i="14"/>
  <c r="EF111" i="14"/>
  <c r="CZ111" i="14"/>
  <c r="DO111" i="14"/>
  <c r="ER111" i="14"/>
  <c r="DD111" i="14"/>
  <c r="EE111" i="14"/>
  <c r="A102" i="40"/>
  <c r="P113" i="14"/>
  <c r="D113" i="14"/>
  <c r="BP113" i="14"/>
  <c r="B113" i="14"/>
  <c r="M113" i="14" s="1"/>
  <c r="C102" i="40" s="1"/>
  <c r="E102" i="40" s="1"/>
  <c r="CB113" i="14"/>
  <c r="BV113" i="14" s="1"/>
  <c r="BQ113" i="14"/>
  <c r="C113" i="14"/>
  <c r="CG113" i="14"/>
  <c r="BX113" i="14"/>
  <c r="BT112" i="14"/>
  <c r="B101" i="40"/>
  <c r="BU112" i="14"/>
  <c r="GW134" i="7"/>
  <c r="GV135" i="7"/>
  <c r="GU135" i="7"/>
  <c r="GX134" i="7" l="1"/>
  <c r="CA113" i="14"/>
  <c r="CC113" i="14"/>
  <c r="BR113" i="14"/>
  <c r="C45" i="41"/>
  <c r="A45" i="41"/>
  <c r="B45" i="41" s="1"/>
  <c r="E46" i="41"/>
  <c r="F46" i="41" s="1"/>
  <c r="AK112" i="14"/>
  <c r="Y112" i="14"/>
  <c r="AP112" i="14"/>
  <c r="AC112" i="14"/>
  <c r="BG112" i="14"/>
  <c r="BH112" i="14"/>
  <c r="BN112" i="14"/>
  <c r="AG112" i="14"/>
  <c r="AT112" i="14"/>
  <c r="AJ112" i="14"/>
  <c r="AB112" i="14"/>
  <c r="BE112" i="14"/>
  <c r="BM112" i="14"/>
  <c r="AS112" i="14"/>
  <c r="AI112" i="14"/>
  <c r="T112" i="14"/>
  <c r="BD112" i="14"/>
  <c r="AZ112" i="14"/>
  <c r="W112" i="14"/>
  <c r="BF112" i="14"/>
  <c r="AX112" i="14"/>
  <c r="BJ112" i="14"/>
  <c r="V112" i="14"/>
  <c r="BL112" i="14"/>
  <c r="AV112" i="14"/>
  <c r="AO112" i="14"/>
  <c r="AR112" i="14"/>
  <c r="BA112" i="14"/>
  <c r="BI112" i="14"/>
  <c r="AW112" i="14"/>
  <c r="AL112" i="14"/>
  <c r="AE112" i="14"/>
  <c r="R112" i="14"/>
  <c r="Z112" i="14"/>
  <c r="AF112" i="14"/>
  <c r="S112" i="14"/>
  <c r="X112" i="14"/>
  <c r="AH112" i="14"/>
  <c r="AD112" i="14"/>
  <c r="U112" i="14"/>
  <c r="BK112" i="14"/>
  <c r="AY112" i="14"/>
  <c r="BC112" i="14"/>
  <c r="AA112" i="14"/>
  <c r="BB112" i="14"/>
  <c r="AQ112" i="14"/>
  <c r="C84" i="34"/>
  <c r="D85" i="34" s="1"/>
  <c r="R81" i="24"/>
  <c r="S81" i="24" s="1"/>
  <c r="A80" i="24"/>
  <c r="DY112" i="14"/>
  <c r="EO112" i="14"/>
  <c r="DV112" i="14"/>
  <c r="DJ112" i="14"/>
  <c r="EC112" i="14"/>
  <c r="EK112" i="14"/>
  <c r="BO112" i="14"/>
  <c r="G112" i="14" s="1"/>
  <c r="CY112" i="14"/>
  <c r="DP112" i="14"/>
  <c r="DW112" i="14"/>
  <c r="DB112" i="14"/>
  <c r="ES112" i="14"/>
  <c r="EG112" i="14"/>
  <c r="DT112" i="14"/>
  <c r="EM112" i="14"/>
  <c r="DX112" i="14"/>
  <c r="DM112" i="14"/>
  <c r="CV112" i="14"/>
  <c r="DZ112" i="14"/>
  <c r="DU112" i="14"/>
  <c r="DI112" i="14"/>
  <c r="CZ112" i="14"/>
  <c r="DA112" i="14"/>
  <c r="DO112" i="14"/>
  <c r="CX112" i="14"/>
  <c r="DS112" i="14"/>
  <c r="DG112" i="14"/>
  <c r="EB112" i="14"/>
  <c r="ER112" i="14"/>
  <c r="EQ112" i="14"/>
  <c r="DF112" i="14"/>
  <c r="EJ112" i="14"/>
  <c r="EF112" i="14"/>
  <c r="EE112" i="14"/>
  <c r="DC112" i="14"/>
  <c r="DD112" i="14"/>
  <c r="EP112" i="14"/>
  <c r="EH112" i="14"/>
  <c r="EN112" i="14"/>
  <c r="DQ112" i="14"/>
  <c r="DE112" i="14"/>
  <c r="CW112" i="14"/>
  <c r="ED112" i="14"/>
  <c r="EA112" i="14"/>
  <c r="EL112" i="14"/>
  <c r="DK112" i="14"/>
  <c r="EI112" i="14"/>
  <c r="DH112" i="14"/>
  <c r="DL112" i="14"/>
  <c r="DN112" i="14"/>
  <c r="B102" i="40"/>
  <c r="BT113" i="14"/>
  <c r="BU113" i="14"/>
  <c r="A115" i="14"/>
  <c r="CE115" i="14" s="1"/>
  <c r="B114" i="14"/>
  <c r="M114" i="14" s="1"/>
  <c r="C103" i="40" s="1"/>
  <c r="E103" i="40" s="1"/>
  <c r="CB114" i="14"/>
  <c r="BV114" i="14" s="1"/>
  <c r="BP114" i="14"/>
  <c r="A103" i="40"/>
  <c r="C114" i="14"/>
  <c r="CG114" i="14"/>
  <c r="P114" i="14"/>
  <c r="D114" i="14"/>
  <c r="BQ114" i="14"/>
  <c r="BX114" i="14"/>
  <c r="K113" i="14"/>
  <c r="AW113" i="14" s="1"/>
  <c r="GW135" i="7"/>
  <c r="GU136" i="7"/>
  <c r="GV136" i="7"/>
  <c r="GX135" i="7" l="1"/>
  <c r="CA114" i="14"/>
  <c r="CC114" i="14"/>
  <c r="BR114" i="14"/>
  <c r="E47" i="41"/>
  <c r="F47" i="41"/>
  <c r="A46" i="41"/>
  <c r="B46" i="41" s="1"/>
  <c r="C46" i="41"/>
  <c r="BB113" i="14"/>
  <c r="AJ113" i="14"/>
  <c r="AU113" i="14"/>
  <c r="AS113" i="14"/>
  <c r="AB113" i="14"/>
  <c r="C85" i="34"/>
  <c r="D86" i="34" s="1"/>
  <c r="R82" i="24"/>
  <c r="X113" i="14"/>
  <c r="Y113" i="14"/>
  <c r="BG113" i="14"/>
  <c r="AI113" i="14"/>
  <c r="AG113" i="14"/>
  <c r="B81" i="24"/>
  <c r="W81" i="24" s="1"/>
  <c r="F81" i="24"/>
  <c r="H81" i="24"/>
  <c r="AY113" i="14"/>
  <c r="A116" i="14"/>
  <c r="CE116" i="14" s="1"/>
  <c r="BT114" i="14"/>
  <c r="BU114" i="14"/>
  <c r="B103" i="40"/>
  <c r="AA113" i="14"/>
  <c r="W113" i="14"/>
  <c r="AH113" i="14"/>
  <c r="AR113" i="14"/>
  <c r="T113" i="14"/>
  <c r="AC113" i="14"/>
  <c r="AT113" i="14"/>
  <c r="BA113" i="14"/>
  <c r="BC113" i="14"/>
  <c r="BJ113" i="14"/>
  <c r="AD113" i="14"/>
  <c r="BE113" i="14"/>
  <c r="BK113" i="14"/>
  <c r="AQ113" i="14"/>
  <c r="S113" i="14"/>
  <c r="Z113" i="14"/>
  <c r="R113" i="14"/>
  <c r="BL113" i="14"/>
  <c r="BM113" i="14"/>
  <c r="BF113" i="14"/>
  <c r="BI113" i="14"/>
  <c r="AV113" i="14"/>
  <c r="AK113" i="14"/>
  <c r="AX113" i="14"/>
  <c r="V113" i="14"/>
  <c r="AL113" i="14"/>
  <c r="U113" i="14"/>
  <c r="BH113" i="14"/>
  <c r="AO113" i="14"/>
  <c r="BD113" i="14"/>
  <c r="BQ115" i="14"/>
  <c r="P115" i="14"/>
  <c r="B115" i="14"/>
  <c r="M115" i="14" s="1"/>
  <c r="C104" i="40" s="1"/>
  <c r="E104" i="40" s="1"/>
  <c r="BP115" i="14"/>
  <c r="C115" i="14"/>
  <c r="CB115" i="14"/>
  <c r="BV115" i="14" s="1"/>
  <c r="D115" i="14"/>
  <c r="A104" i="40"/>
  <c r="CG115" i="14"/>
  <c r="BX115" i="14"/>
  <c r="AP113" i="14"/>
  <c r="AZ113" i="14"/>
  <c r="AF113" i="14"/>
  <c r="AE113" i="14"/>
  <c r="BN113" i="14"/>
  <c r="K114" i="14"/>
  <c r="BK114" i="14" s="1"/>
  <c r="ER113" i="14"/>
  <c r="DT113" i="14"/>
  <c r="CV113" i="14"/>
  <c r="DF113" i="14"/>
  <c r="DH113" i="14"/>
  <c r="EP113" i="14"/>
  <c r="DP113" i="14"/>
  <c r="DL113" i="14"/>
  <c r="DV113" i="14"/>
  <c r="DU113" i="14"/>
  <c r="EL113" i="14"/>
  <c r="EK113" i="14"/>
  <c r="EA113" i="14"/>
  <c r="EJ113" i="14"/>
  <c r="EO113" i="14"/>
  <c r="DA113" i="14"/>
  <c r="DE113" i="14"/>
  <c r="DZ113" i="14"/>
  <c r="DX113" i="14"/>
  <c r="ES113" i="14"/>
  <c r="DK113" i="14"/>
  <c r="DM113" i="14"/>
  <c r="DD113" i="14"/>
  <c r="DY113" i="14"/>
  <c r="EN113" i="14"/>
  <c r="DI113" i="14"/>
  <c r="CX113" i="14"/>
  <c r="EG113" i="14"/>
  <c r="CZ113" i="14"/>
  <c r="CW113" i="14"/>
  <c r="EM113" i="14"/>
  <c r="DG113" i="14"/>
  <c r="DN113" i="14"/>
  <c r="DS113" i="14"/>
  <c r="EC113" i="14"/>
  <c r="BO113" i="14"/>
  <c r="G113" i="14" s="1"/>
  <c r="DC113" i="14"/>
  <c r="EI113" i="14"/>
  <c r="EE113" i="14"/>
  <c r="CY113" i="14"/>
  <c r="EF113" i="14"/>
  <c r="DB113" i="14"/>
  <c r="EH113" i="14"/>
  <c r="EB113" i="14"/>
  <c r="DJ113" i="14"/>
  <c r="DQ113" i="14"/>
  <c r="DO113" i="14"/>
  <c r="DW113" i="14"/>
  <c r="EQ113" i="14"/>
  <c r="ED113" i="14"/>
  <c r="GW136" i="7"/>
  <c r="GU137" i="7"/>
  <c r="GV137" i="7"/>
  <c r="GX136" i="7" l="1"/>
  <c r="CA115" i="14"/>
  <c r="CC115" i="14"/>
  <c r="BR115" i="14"/>
  <c r="E48" i="41"/>
  <c r="F48" i="41"/>
  <c r="A47" i="41"/>
  <c r="B47" i="41" s="1"/>
  <c r="C47" i="41"/>
  <c r="C86" i="34"/>
  <c r="D87" i="34" s="1"/>
  <c r="A81" i="24"/>
  <c r="F82" i="24"/>
  <c r="R83" i="24"/>
  <c r="B82" i="24"/>
  <c r="W82" i="24" s="1"/>
  <c r="H82" i="24"/>
  <c r="S82" i="24"/>
  <c r="A117" i="14"/>
  <c r="CE117" i="14" s="1"/>
  <c r="BC114" i="14"/>
  <c r="AC114" i="14"/>
  <c r="AB114" i="14"/>
  <c r="AJ114" i="14"/>
  <c r="AP114" i="14"/>
  <c r="AR114" i="14"/>
  <c r="BB114" i="14"/>
  <c r="AE114" i="14"/>
  <c r="AX114" i="14"/>
  <c r="AQ114" i="14"/>
  <c r="AH114" i="14"/>
  <c r="BG114" i="14"/>
  <c r="AT114" i="14"/>
  <c r="Y114" i="14"/>
  <c r="X114" i="14"/>
  <c r="AZ114" i="14"/>
  <c r="BF114" i="14"/>
  <c r="V114" i="14"/>
  <c r="U114" i="14"/>
  <c r="W114" i="14"/>
  <c r="R114" i="14"/>
  <c r="T114" i="14"/>
  <c r="AI114" i="14"/>
  <c r="Z114" i="14"/>
  <c r="AA114" i="14"/>
  <c r="BM114" i="14"/>
  <c r="AL114" i="14"/>
  <c r="AF114" i="14"/>
  <c r="S114" i="14"/>
  <c r="AU114" i="14"/>
  <c r="AS114" i="14"/>
  <c r="BE114" i="14"/>
  <c r="BH114" i="14"/>
  <c r="AW114" i="14"/>
  <c r="BA114" i="14"/>
  <c r="BN114" i="14"/>
  <c r="AK114" i="14"/>
  <c r="BU115" i="14"/>
  <c r="B104" i="40"/>
  <c r="BT115" i="14"/>
  <c r="DP114" i="14"/>
  <c r="EJ114" i="14"/>
  <c r="DK114" i="14"/>
  <c r="EC114" i="14"/>
  <c r="DN114" i="14"/>
  <c r="CY114" i="14"/>
  <c r="DW114" i="14"/>
  <c r="EN114" i="14"/>
  <c r="DQ114" i="14"/>
  <c r="EH114" i="14"/>
  <c r="EO114" i="14"/>
  <c r="EQ114" i="14"/>
  <c r="DH114" i="14"/>
  <c r="ER114" i="14"/>
  <c r="DC114" i="14"/>
  <c r="DB114" i="14"/>
  <c r="DY114" i="14"/>
  <c r="DO114" i="14"/>
  <c r="EG114" i="14"/>
  <c r="DA114" i="14"/>
  <c r="DF114" i="14"/>
  <c r="DJ114" i="14"/>
  <c r="DX114" i="14"/>
  <c r="DS114" i="14"/>
  <c r="EM114" i="14"/>
  <c r="CX114" i="14"/>
  <c r="ES114" i="14"/>
  <c r="EI114" i="14"/>
  <c r="EP114" i="14"/>
  <c r="EK114" i="14"/>
  <c r="EF114" i="14"/>
  <c r="DM114" i="14"/>
  <c r="EL114" i="14"/>
  <c r="CV114" i="14"/>
  <c r="CZ114" i="14"/>
  <c r="CW114" i="14"/>
  <c r="DU114" i="14"/>
  <c r="ED114" i="14"/>
  <c r="DI114" i="14"/>
  <c r="DE114" i="14"/>
  <c r="DD114" i="14"/>
  <c r="BO114" i="14"/>
  <c r="G114" i="14" s="1"/>
  <c r="DT114" i="14"/>
  <c r="EA114" i="14"/>
  <c r="DZ114" i="14"/>
  <c r="DL114" i="14"/>
  <c r="EE114" i="14"/>
  <c r="DV114" i="14"/>
  <c r="DG114" i="14"/>
  <c r="EB114" i="14"/>
  <c r="AY114" i="14"/>
  <c r="BJ114" i="14"/>
  <c r="AV114" i="14"/>
  <c r="P116" i="14"/>
  <c r="BP116" i="14"/>
  <c r="B116" i="14"/>
  <c r="M116" i="14" s="1"/>
  <c r="C105" i="40" s="1"/>
  <c r="E105" i="40" s="1"/>
  <c r="C116" i="14"/>
  <c r="BQ116" i="14"/>
  <c r="CB116" i="14"/>
  <c r="BV116" i="14" s="1"/>
  <c r="A105" i="40"/>
  <c r="D116" i="14"/>
  <c r="CG116" i="14"/>
  <c r="BX116" i="14"/>
  <c r="BL114" i="14"/>
  <c r="AD114" i="14"/>
  <c r="AO114" i="14"/>
  <c r="K115" i="14"/>
  <c r="AC115" i="14" s="1"/>
  <c r="AG114" i="14"/>
  <c r="BI114" i="14"/>
  <c r="BD114" i="14"/>
  <c r="GW137" i="7"/>
  <c r="GU138" i="7"/>
  <c r="GV138" i="7"/>
  <c r="GX137" i="7" l="1"/>
  <c r="A82" i="24"/>
  <c r="CA116" i="14"/>
  <c r="BR116" i="14"/>
  <c r="CC116" i="14"/>
  <c r="E49" i="41"/>
  <c r="F49" i="41" s="1"/>
  <c r="C48" i="41"/>
  <c r="A48" i="41"/>
  <c r="B48" i="41" s="1"/>
  <c r="K116" i="14"/>
  <c r="BM116" i="14" s="1"/>
  <c r="B83" i="24"/>
  <c r="W83" i="24" s="1"/>
  <c r="H83" i="24"/>
  <c r="F83" i="24"/>
  <c r="R84" i="24"/>
  <c r="C87" i="34"/>
  <c r="D88" i="34" s="1"/>
  <c r="AI115" i="14"/>
  <c r="S115" i="14"/>
  <c r="AT115" i="14"/>
  <c r="BB115" i="14"/>
  <c r="BM115" i="14"/>
  <c r="S83" i="24"/>
  <c r="B105" i="40"/>
  <c r="BU116" i="14"/>
  <c r="BT116" i="14"/>
  <c r="A118" i="14"/>
  <c r="DQ115" i="14"/>
  <c r="ES115" i="14"/>
  <c r="EC115" i="14"/>
  <c r="EE115" i="14"/>
  <c r="CV115" i="14"/>
  <c r="EL115" i="14"/>
  <c r="DL115" i="14"/>
  <c r="DZ115" i="14"/>
  <c r="DI115" i="14"/>
  <c r="DB115" i="14"/>
  <c r="DX115" i="14"/>
  <c r="DC115" i="14"/>
  <c r="DJ115" i="14"/>
  <c r="DM115" i="14"/>
  <c r="DP115" i="14"/>
  <c r="DN115" i="14"/>
  <c r="EG115" i="14"/>
  <c r="EJ115" i="14"/>
  <c r="DG115" i="14"/>
  <c r="DY115" i="14"/>
  <c r="DK115" i="14"/>
  <c r="EF115" i="14"/>
  <c r="ER115" i="14"/>
  <c r="CZ115" i="14"/>
  <c r="EQ115" i="14"/>
  <c r="DW115" i="14"/>
  <c r="CY115" i="14"/>
  <c r="ED115" i="14"/>
  <c r="EK115" i="14"/>
  <c r="DF115" i="14"/>
  <c r="EI115" i="14"/>
  <c r="EH115" i="14"/>
  <c r="EM115" i="14"/>
  <c r="CW115" i="14"/>
  <c r="DO115" i="14"/>
  <c r="EO115" i="14"/>
  <c r="EA115" i="14"/>
  <c r="DH115" i="14"/>
  <c r="CX115" i="14"/>
  <c r="DE115" i="14"/>
  <c r="DU115" i="14"/>
  <c r="DA115" i="14"/>
  <c r="DV115" i="14"/>
  <c r="DD115" i="14"/>
  <c r="DS115" i="14"/>
  <c r="DT115" i="14"/>
  <c r="EN115" i="14"/>
  <c r="EP115" i="14"/>
  <c r="BO115" i="14"/>
  <c r="G115" i="14" s="1"/>
  <c r="EB115" i="14"/>
  <c r="BP117" i="14"/>
  <c r="C117" i="14"/>
  <c r="CB117" i="14"/>
  <c r="BV117" i="14" s="1"/>
  <c r="BQ117" i="14"/>
  <c r="P117" i="14"/>
  <c r="B117" i="14"/>
  <c r="M117" i="14" s="1"/>
  <c r="C106" i="40" s="1"/>
  <c r="E106" i="40" s="1"/>
  <c r="D117" i="14"/>
  <c r="A106" i="40"/>
  <c r="BX117" i="14"/>
  <c r="CG117" i="14"/>
  <c r="BK115" i="14"/>
  <c r="BC115" i="14"/>
  <c r="X115" i="14"/>
  <c r="BH115" i="14"/>
  <c r="AA115" i="14"/>
  <c r="AK115" i="14"/>
  <c r="AW115" i="14"/>
  <c r="AU115" i="14"/>
  <c r="U115" i="14"/>
  <c r="AL115" i="14"/>
  <c r="Y115" i="14"/>
  <c r="AQ115" i="14"/>
  <c r="BA115" i="14"/>
  <c r="AJ115" i="14"/>
  <c r="AO115" i="14"/>
  <c r="BE115" i="14"/>
  <c r="AR115" i="14"/>
  <c r="AE115" i="14"/>
  <c r="R115" i="14"/>
  <c r="AF115" i="14"/>
  <c r="BN115" i="14"/>
  <c r="BL115" i="14"/>
  <c r="AH115" i="14"/>
  <c r="AX115" i="14"/>
  <c r="Z115" i="14"/>
  <c r="BJ115" i="14"/>
  <c r="BG115" i="14"/>
  <c r="AY115" i="14"/>
  <c r="AP115" i="14"/>
  <c r="W115" i="14"/>
  <c r="BD115" i="14"/>
  <c r="T115" i="14"/>
  <c r="AV115" i="14"/>
  <c r="AG115" i="14"/>
  <c r="AD115" i="14"/>
  <c r="BI115" i="14"/>
  <c r="AB115" i="14"/>
  <c r="AS115" i="14"/>
  <c r="AZ115" i="14"/>
  <c r="BF115" i="14"/>
  <c r="V115" i="14"/>
  <c r="GW138" i="7"/>
  <c r="GU139" i="7"/>
  <c r="GV140" i="7"/>
  <c r="GU140" i="7"/>
  <c r="GV139" i="7"/>
  <c r="GX138" i="7" l="1"/>
  <c r="A83" i="24"/>
  <c r="CA117" i="14"/>
  <c r="BR117" i="14"/>
  <c r="CC117" i="14"/>
  <c r="C49" i="41"/>
  <c r="A49" i="41"/>
  <c r="B49" i="41" s="1"/>
  <c r="E50" i="41"/>
  <c r="F50" i="41" s="1"/>
  <c r="BD116" i="14"/>
  <c r="AU116" i="14"/>
  <c r="AD116" i="14"/>
  <c r="AZ116" i="14"/>
  <c r="BA116" i="14"/>
  <c r="AW116" i="14"/>
  <c r="AE116" i="14"/>
  <c r="BI116" i="14"/>
  <c r="AP116" i="14"/>
  <c r="AV116" i="14"/>
  <c r="X116" i="14"/>
  <c r="AS116" i="14"/>
  <c r="W116" i="14"/>
  <c r="BJ116" i="14"/>
  <c r="AA116" i="14"/>
  <c r="BB116" i="14"/>
  <c r="AO116" i="14"/>
  <c r="AF116" i="14"/>
  <c r="AK116" i="14"/>
  <c r="U116" i="14"/>
  <c r="BK116" i="14"/>
  <c r="AC116" i="14"/>
  <c r="BC116" i="14"/>
  <c r="AY116" i="14"/>
  <c r="AX116" i="14"/>
  <c r="BF116" i="14"/>
  <c r="BL116" i="14"/>
  <c r="AL116" i="14"/>
  <c r="Z116" i="14"/>
  <c r="S116" i="14"/>
  <c r="BN116" i="14"/>
  <c r="R116" i="14"/>
  <c r="AQ116" i="14"/>
  <c r="T116" i="14"/>
  <c r="AG116" i="14"/>
  <c r="AH116" i="14"/>
  <c r="V116" i="14"/>
  <c r="AJ116" i="14"/>
  <c r="BG116" i="14"/>
  <c r="Y116" i="14"/>
  <c r="AI116" i="14"/>
  <c r="AB116" i="14"/>
  <c r="AR116" i="14"/>
  <c r="BE116" i="14"/>
  <c r="BH116" i="14"/>
  <c r="AT116" i="14"/>
  <c r="S84" i="24"/>
  <c r="K117" i="14"/>
  <c r="BE117" i="14" s="1"/>
  <c r="C88" i="34"/>
  <c r="D89" i="34" s="1"/>
  <c r="F84" i="24"/>
  <c r="R85" i="24"/>
  <c r="H84" i="24"/>
  <c r="B84" i="24"/>
  <c r="W84" i="24" s="1"/>
  <c r="BT117" i="14"/>
  <c r="BU117" i="14"/>
  <c r="B106" i="40"/>
  <c r="BP118" i="14"/>
  <c r="P118" i="14"/>
  <c r="BQ118" i="14"/>
  <c r="CB118" i="14"/>
  <c r="BV118" i="14" s="1"/>
  <c r="B118" i="14"/>
  <c r="M118" i="14" s="1"/>
  <c r="C107" i="40" s="1"/>
  <c r="E107" i="40" s="1"/>
  <c r="A107" i="40"/>
  <c r="D118" i="14"/>
  <c r="C118" i="14"/>
  <c r="CG118" i="14"/>
  <c r="BX118" i="14"/>
  <c r="DS116" i="14"/>
  <c r="DL116" i="14"/>
  <c r="EM116" i="14"/>
  <c r="DO116" i="14"/>
  <c r="DW116" i="14"/>
  <c r="EP116" i="14"/>
  <c r="DJ116" i="14"/>
  <c r="EB116" i="14"/>
  <c r="CW116" i="14"/>
  <c r="DE116" i="14"/>
  <c r="ES116" i="14"/>
  <c r="DB116" i="14"/>
  <c r="EJ116" i="14"/>
  <c r="DX116" i="14"/>
  <c r="ER116" i="14"/>
  <c r="DK116" i="14"/>
  <c r="EF116" i="14"/>
  <c r="EI116" i="14"/>
  <c r="EG116" i="14"/>
  <c r="EA116" i="14"/>
  <c r="EN116" i="14"/>
  <c r="EQ116" i="14"/>
  <c r="CV116" i="14"/>
  <c r="EE116" i="14"/>
  <c r="CZ116" i="14"/>
  <c r="DH116" i="14"/>
  <c r="CY116" i="14"/>
  <c r="DC116" i="14"/>
  <c r="DV116" i="14"/>
  <c r="DA116" i="14"/>
  <c r="DM116" i="14"/>
  <c r="DN116" i="14"/>
  <c r="DF116" i="14"/>
  <c r="DZ116" i="14"/>
  <c r="ED116" i="14"/>
  <c r="EO116" i="14"/>
  <c r="DY116" i="14"/>
  <c r="CX116" i="14"/>
  <c r="DI116" i="14"/>
  <c r="EH116" i="14"/>
  <c r="DG116" i="14"/>
  <c r="EK116" i="14"/>
  <c r="DQ116" i="14"/>
  <c r="BO116" i="14"/>
  <c r="G116" i="14" s="1"/>
  <c r="DU116" i="14"/>
  <c r="DP116" i="14"/>
  <c r="DD116" i="14"/>
  <c r="EL116" i="14"/>
  <c r="EC116" i="14"/>
  <c r="DT116" i="14"/>
  <c r="CE118" i="14"/>
  <c r="GW140" i="7"/>
  <c r="GV142" i="7"/>
  <c r="GW139" i="7"/>
  <c r="GU141" i="7"/>
  <c r="GV141" i="7"/>
  <c r="GU142" i="7"/>
  <c r="GX139" i="7" l="1"/>
  <c r="GX140" i="7"/>
  <c r="A84" i="24"/>
  <c r="CA118" i="14"/>
  <c r="BR118" i="14"/>
  <c r="CC118" i="14"/>
  <c r="C50" i="41"/>
  <c r="A50" i="41"/>
  <c r="B50" i="41" s="1"/>
  <c r="E51" i="41"/>
  <c r="F51" i="41" s="1"/>
  <c r="BN117" i="14"/>
  <c r="AH117" i="14"/>
  <c r="AC117" i="14"/>
  <c r="AT117" i="14"/>
  <c r="U117" i="14"/>
  <c r="BI117" i="14"/>
  <c r="AF117" i="14"/>
  <c r="AX117" i="14"/>
  <c r="BK117" i="14"/>
  <c r="AW117" i="14"/>
  <c r="V117" i="14"/>
  <c r="AI117" i="14"/>
  <c r="BJ117" i="14"/>
  <c r="AO117" i="14"/>
  <c r="W117" i="14"/>
  <c r="AK117" i="14"/>
  <c r="T117" i="14"/>
  <c r="S117" i="14"/>
  <c r="AU117" i="14"/>
  <c r="AA117" i="14"/>
  <c r="AQ117" i="14"/>
  <c r="Y117" i="14"/>
  <c r="BH117" i="14"/>
  <c r="AD117" i="14"/>
  <c r="AB117" i="14"/>
  <c r="BF117" i="14"/>
  <c r="AY117" i="14"/>
  <c r="BB117" i="14"/>
  <c r="BM117" i="14"/>
  <c r="BL117" i="14"/>
  <c r="BG117" i="14"/>
  <c r="Z117" i="14"/>
  <c r="X117" i="14"/>
  <c r="R117" i="14"/>
  <c r="AS117" i="14"/>
  <c r="BD117" i="14"/>
  <c r="AE117" i="14"/>
  <c r="AL117" i="14"/>
  <c r="AJ117" i="14"/>
  <c r="BC117" i="14"/>
  <c r="AR117" i="14"/>
  <c r="AZ117" i="14"/>
  <c r="AP117" i="14"/>
  <c r="AV117" i="14"/>
  <c r="AG117" i="14"/>
  <c r="BA117" i="14"/>
  <c r="H85" i="24"/>
  <c r="F85" i="24"/>
  <c r="R86" i="24"/>
  <c r="B85" i="24"/>
  <c r="W85" i="24" s="1"/>
  <c r="C89" i="34"/>
  <c r="D90" i="34" s="1"/>
  <c r="K118" i="14"/>
  <c r="AQ118" i="14" s="1"/>
  <c r="S85" i="24"/>
  <c r="A119" i="14"/>
  <c r="CE119" i="14" s="1"/>
  <c r="DV117" i="14"/>
  <c r="DJ117" i="14"/>
  <c r="DF117" i="14"/>
  <c r="DD117" i="14"/>
  <c r="DL117" i="14"/>
  <c r="EE117" i="14"/>
  <c r="EN117" i="14"/>
  <c r="EI117" i="14"/>
  <c r="EF117" i="14"/>
  <c r="CX117" i="14"/>
  <c r="DN117" i="14"/>
  <c r="CZ117" i="14"/>
  <c r="EG117" i="14"/>
  <c r="BO117" i="14"/>
  <c r="G117" i="14" s="1"/>
  <c r="EB117" i="14"/>
  <c r="DC117" i="14"/>
  <c r="DO117" i="14"/>
  <c r="EC117" i="14"/>
  <c r="CW117" i="14"/>
  <c r="DE117" i="14"/>
  <c r="EP117" i="14"/>
  <c r="DM117" i="14"/>
  <c r="EK117" i="14"/>
  <c r="CV117" i="14"/>
  <c r="DP117" i="14"/>
  <c r="DX117" i="14"/>
  <c r="DU117" i="14"/>
  <c r="EA117" i="14"/>
  <c r="DT117" i="14"/>
  <c r="ER117" i="14"/>
  <c r="DW117" i="14"/>
  <c r="CY117" i="14"/>
  <c r="DY117" i="14"/>
  <c r="DQ117" i="14"/>
  <c r="DH117" i="14"/>
  <c r="EO117" i="14"/>
  <c r="DA117" i="14"/>
  <c r="ES117" i="14"/>
  <c r="EQ117" i="14"/>
  <c r="EJ117" i="14"/>
  <c r="DB117" i="14"/>
  <c r="ED117" i="14"/>
  <c r="DI117" i="14"/>
  <c r="DS117" i="14"/>
  <c r="EM117" i="14"/>
  <c r="EL117" i="14"/>
  <c r="DG117" i="14"/>
  <c r="DK117" i="14"/>
  <c r="EH117" i="14"/>
  <c r="DZ117" i="14"/>
  <c r="BU118" i="14"/>
  <c r="B107" i="40"/>
  <c r="BT118" i="14"/>
  <c r="BG118" i="14"/>
  <c r="GW141" i="7"/>
  <c r="GU143" i="7"/>
  <c r="GV143" i="7"/>
  <c r="GW142" i="7"/>
  <c r="GX142" i="7" l="1"/>
  <c r="GX141" i="7"/>
  <c r="GR346" i="7" s="1"/>
  <c r="GO346" i="7" s="1"/>
  <c r="A64" i="28" s="1"/>
  <c r="A85" i="24"/>
  <c r="A51" i="41"/>
  <c r="B51" i="41" s="1"/>
  <c r="C51" i="41"/>
  <c r="E52" i="41"/>
  <c r="F52" i="41" s="1"/>
  <c r="BM118" i="14"/>
  <c r="AA118" i="14"/>
  <c r="AV118" i="14"/>
  <c r="BB118" i="14"/>
  <c r="BC118" i="14"/>
  <c r="AH118" i="14"/>
  <c r="AC118" i="14"/>
  <c r="W118" i="14"/>
  <c r="BL118" i="14"/>
  <c r="BE118" i="14"/>
  <c r="AS118" i="14"/>
  <c r="AJ118" i="14"/>
  <c r="AR118" i="14"/>
  <c r="AE118" i="14"/>
  <c r="AF118" i="14"/>
  <c r="AO118" i="14"/>
  <c r="BA118" i="14"/>
  <c r="AT118" i="14"/>
  <c r="BD118" i="14"/>
  <c r="AL118" i="14"/>
  <c r="X118" i="14"/>
  <c r="AW118" i="14"/>
  <c r="Z118" i="14"/>
  <c r="BK118" i="14"/>
  <c r="BN118" i="14"/>
  <c r="Y118" i="14"/>
  <c r="S118" i="14"/>
  <c r="T118" i="14"/>
  <c r="S86" i="24"/>
  <c r="U118" i="14"/>
  <c r="AY118" i="14"/>
  <c r="AG118" i="14"/>
  <c r="AP118" i="14"/>
  <c r="V118" i="14"/>
  <c r="AZ118" i="14"/>
  <c r="AU118" i="14"/>
  <c r="BH118" i="14"/>
  <c r="BJ118" i="14"/>
  <c r="BI118" i="14"/>
  <c r="AK118" i="14"/>
  <c r="AB118" i="14"/>
  <c r="R118" i="14"/>
  <c r="BF118" i="14"/>
  <c r="AI118" i="14"/>
  <c r="AX118" i="14"/>
  <c r="C90" i="34"/>
  <c r="D91" i="34" s="1"/>
  <c r="AD118" i="14"/>
  <c r="B86" i="24"/>
  <c r="W86" i="24" s="1"/>
  <c r="F86" i="24"/>
  <c r="H86" i="24"/>
  <c r="R87" i="24"/>
  <c r="A120" i="14"/>
  <c r="CE120" i="14" s="1"/>
  <c r="EP118" i="14"/>
  <c r="DC118" i="14"/>
  <c r="EC118" i="14"/>
  <c r="CZ118" i="14"/>
  <c r="EE118" i="14"/>
  <c r="DT118" i="14"/>
  <c r="DV118" i="14"/>
  <c r="EN118" i="14"/>
  <c r="DY118" i="14"/>
  <c r="DF118" i="14"/>
  <c r="DW118" i="14"/>
  <c r="EQ118" i="14"/>
  <c r="DX118" i="14"/>
  <c r="ER118" i="14"/>
  <c r="CY118" i="14"/>
  <c r="EL118" i="14"/>
  <c r="EJ118" i="14"/>
  <c r="DN118" i="14"/>
  <c r="CV118" i="14"/>
  <c r="CX118" i="14"/>
  <c r="EA118" i="14"/>
  <c r="DI118" i="14"/>
  <c r="DL118" i="14"/>
  <c r="DE118" i="14"/>
  <c r="EG118" i="14"/>
  <c r="DZ118" i="14"/>
  <c r="DB118" i="14"/>
  <c r="EB118" i="14"/>
  <c r="DM118" i="14"/>
  <c r="EK118" i="14"/>
  <c r="EO118" i="14"/>
  <c r="DU118" i="14"/>
  <c r="DH118" i="14"/>
  <c r="DJ118" i="14"/>
  <c r="DQ118" i="14"/>
  <c r="ES118" i="14"/>
  <c r="DP118" i="14"/>
  <c r="EH118" i="14"/>
  <c r="EI118" i="14"/>
  <c r="DD118" i="14"/>
  <c r="CW118" i="14"/>
  <c r="EM118" i="14"/>
  <c r="EF118" i="14"/>
  <c r="ED118" i="14"/>
  <c r="BO118" i="14"/>
  <c r="G118" i="14" s="1"/>
  <c r="DS118" i="14"/>
  <c r="DO118" i="14"/>
  <c r="DA118" i="14"/>
  <c r="DK118" i="14"/>
  <c r="DG118" i="14"/>
  <c r="B119" i="14"/>
  <c r="M119" i="14" s="1"/>
  <c r="C108" i="40" s="1"/>
  <c r="E108" i="40" s="1"/>
  <c r="BQ119" i="14"/>
  <c r="A108" i="40"/>
  <c r="BP119" i="14"/>
  <c r="D119" i="14"/>
  <c r="P119" i="14"/>
  <c r="CB119" i="14"/>
  <c r="BV119" i="14" s="1"/>
  <c r="C119" i="14"/>
  <c r="CG119" i="14"/>
  <c r="BX119" i="14"/>
  <c r="GV144" i="7"/>
  <c r="GW143" i="7"/>
  <c r="GU144" i="7"/>
  <c r="GX143" i="7" l="1"/>
  <c r="Z64" i="28"/>
  <c r="A65" i="28" s="1"/>
  <c r="AC64" i="28"/>
  <c r="B64" i="28"/>
  <c r="C64" i="28"/>
  <c r="AB64" i="28" s="1"/>
  <c r="T64" i="28"/>
  <c r="S64" i="28" s="1"/>
  <c r="O64" i="28"/>
  <c r="Q64" i="28"/>
  <c r="R64" i="28" s="1"/>
  <c r="AD64" i="28"/>
  <c r="AG64" i="28"/>
  <c r="P64" i="28"/>
  <c r="H64" i="28"/>
  <c r="A86" i="24"/>
  <c r="CA119" i="14"/>
  <c r="CC119" i="14"/>
  <c r="BR119" i="14"/>
  <c r="A52" i="41"/>
  <c r="B52" i="41" s="1"/>
  <c r="C52" i="41"/>
  <c r="E53" i="41"/>
  <c r="F53" i="41" s="1"/>
  <c r="S87" i="24"/>
  <c r="R88" i="24"/>
  <c r="F87" i="24"/>
  <c r="B87" i="24"/>
  <c r="W87" i="24" s="1"/>
  <c r="H87" i="24"/>
  <c r="C91" i="34"/>
  <c r="D92" i="34" s="1"/>
  <c r="A121" i="14"/>
  <c r="CE121" i="14" s="1"/>
  <c r="BT119" i="14"/>
  <c r="B108" i="40"/>
  <c r="BU119" i="14"/>
  <c r="BP120" i="14"/>
  <c r="B120" i="14"/>
  <c r="M120" i="14" s="1"/>
  <c r="C109" i="40" s="1"/>
  <c r="E109" i="40" s="1"/>
  <c r="P120" i="14"/>
  <c r="CB120" i="14"/>
  <c r="BV120" i="14" s="1"/>
  <c r="A109" i="40"/>
  <c r="BQ120" i="14"/>
  <c r="C120" i="14"/>
  <c r="D120" i="14"/>
  <c r="CG120" i="14"/>
  <c r="BX120" i="14"/>
  <c r="K119" i="14"/>
  <c r="AK119" i="14" s="1"/>
  <c r="GW144" i="7"/>
  <c r="GU145" i="7"/>
  <c r="GV145" i="7"/>
  <c r="GX144" i="7" l="1"/>
  <c r="Z65" i="28"/>
  <c r="A66" i="28" s="1"/>
  <c r="AE64" i="28"/>
  <c r="X64" i="28"/>
  <c r="AH64" i="28"/>
  <c r="C65" i="28"/>
  <c r="AB65" i="28" s="1"/>
  <c r="AD65" i="28"/>
  <c r="Q65" i="28"/>
  <c r="R65" i="28" s="1"/>
  <c r="AC65" i="28"/>
  <c r="B65" i="28"/>
  <c r="AG65" i="28"/>
  <c r="P65" i="28"/>
  <c r="T65" i="28"/>
  <c r="S65" i="28" s="1"/>
  <c r="O65" i="28"/>
  <c r="H65" i="28"/>
  <c r="A87" i="24"/>
  <c r="CA120" i="14"/>
  <c r="CC120" i="14"/>
  <c r="BR120" i="14"/>
  <c r="A53" i="41"/>
  <c r="B53" i="41" s="1"/>
  <c r="C53" i="41"/>
  <c r="E54" i="41"/>
  <c r="F54" i="41" s="1"/>
  <c r="AX119" i="14"/>
  <c r="BG119" i="14"/>
  <c r="AE119" i="14"/>
  <c r="AH119" i="14"/>
  <c r="AG119" i="14"/>
  <c r="X119" i="14"/>
  <c r="BI119" i="14"/>
  <c r="C92" i="34"/>
  <c r="D93" i="34" s="1"/>
  <c r="B88" i="24"/>
  <c r="W88" i="24" s="1"/>
  <c r="R89" i="24"/>
  <c r="F88" i="24"/>
  <c r="H88" i="24"/>
  <c r="S88" i="24"/>
  <c r="BA119" i="14"/>
  <c r="BF119" i="14"/>
  <c r="Y119" i="14"/>
  <c r="T119" i="14"/>
  <c r="AR119" i="14"/>
  <c r="AL119" i="14"/>
  <c r="AQ119" i="14"/>
  <c r="AJ119" i="14"/>
  <c r="AO119" i="14"/>
  <c r="BL119" i="14"/>
  <c r="AV119" i="14"/>
  <c r="AZ119" i="14"/>
  <c r="BK119" i="14"/>
  <c r="AF119" i="14"/>
  <c r="AU119" i="14"/>
  <c r="BC119" i="14"/>
  <c r="U119" i="14"/>
  <c r="V119" i="14"/>
  <c r="BE119" i="14"/>
  <c r="BB119" i="14"/>
  <c r="AA119" i="14"/>
  <c r="AD119" i="14"/>
  <c r="AC119" i="14"/>
  <c r="BT120" i="14"/>
  <c r="B109" i="40"/>
  <c r="BU120" i="14"/>
  <c r="A122" i="14"/>
  <c r="CE122" i="14" s="1"/>
  <c r="P121" i="14"/>
  <c r="D121" i="14"/>
  <c r="BQ121" i="14"/>
  <c r="A110" i="40"/>
  <c r="B121" i="14"/>
  <c r="M121" i="14" s="1"/>
  <c r="C110" i="40" s="1"/>
  <c r="E110" i="40" s="1"/>
  <c r="C121" i="14"/>
  <c r="BP121" i="14"/>
  <c r="CB121" i="14"/>
  <c r="BV121" i="14" s="1"/>
  <c r="CG121" i="14"/>
  <c r="BX121" i="14"/>
  <c r="BM119" i="14"/>
  <c r="AT119" i="14"/>
  <c r="AY119" i="14"/>
  <c r="AP119" i="14"/>
  <c r="AS119" i="14"/>
  <c r="R119" i="14"/>
  <c r="BJ119" i="14"/>
  <c r="BD119" i="14"/>
  <c r="W119" i="14"/>
  <c r="EP119" i="14"/>
  <c r="DE119" i="14"/>
  <c r="DK119" i="14"/>
  <c r="EH119" i="14"/>
  <c r="ED119" i="14"/>
  <c r="EQ119" i="14"/>
  <c r="DC119" i="14"/>
  <c r="CZ119" i="14"/>
  <c r="DF119" i="14"/>
  <c r="DI119" i="14"/>
  <c r="DY119" i="14"/>
  <c r="DM119" i="14"/>
  <c r="CY119" i="14"/>
  <c r="DQ119" i="14"/>
  <c r="ER119" i="14"/>
  <c r="DH119" i="14"/>
  <c r="EG119" i="14"/>
  <c r="DJ119" i="14"/>
  <c r="DU119" i="14"/>
  <c r="DV119" i="14"/>
  <c r="EM119" i="14"/>
  <c r="BO119" i="14"/>
  <c r="G119" i="14" s="1"/>
  <c r="EK119" i="14"/>
  <c r="EI119" i="14"/>
  <c r="DP119" i="14"/>
  <c r="DD119" i="14"/>
  <c r="DL119" i="14"/>
  <c r="ES119" i="14"/>
  <c r="EO119" i="14"/>
  <c r="EJ119" i="14"/>
  <c r="EL119" i="14"/>
  <c r="DZ119" i="14"/>
  <c r="DO119" i="14"/>
  <c r="DX119" i="14"/>
  <c r="DN119" i="14"/>
  <c r="EC119" i="14"/>
  <c r="DB119" i="14"/>
  <c r="CW119" i="14"/>
  <c r="EF119" i="14"/>
  <c r="DS119" i="14"/>
  <c r="DA119" i="14"/>
  <c r="EB119" i="14"/>
  <c r="CX119" i="14"/>
  <c r="DW119" i="14"/>
  <c r="CV119" i="14"/>
  <c r="DT119" i="14"/>
  <c r="DG119" i="14"/>
  <c r="EA119" i="14"/>
  <c r="EN119" i="14"/>
  <c r="EE119" i="14"/>
  <c r="BH119" i="14"/>
  <c r="AW119" i="14"/>
  <c r="S119" i="14"/>
  <c r="AI119" i="14"/>
  <c r="Z119" i="14"/>
  <c r="BN119" i="14"/>
  <c r="AB119" i="14"/>
  <c r="K120" i="14"/>
  <c r="AG120" i="14" s="1"/>
  <c r="GW145" i="7"/>
  <c r="GV146" i="7"/>
  <c r="GU146" i="7"/>
  <c r="GX145" i="7" l="1"/>
  <c r="Z66" i="28"/>
  <c r="A67" i="28" s="1"/>
  <c r="AE65" i="28"/>
  <c r="AH65" i="28"/>
  <c r="X65" i="28"/>
  <c r="O66" i="28"/>
  <c r="B66" i="28"/>
  <c r="Q66" i="28"/>
  <c r="R66" i="28" s="1"/>
  <c r="T66" i="28"/>
  <c r="S66" i="28" s="1"/>
  <c r="AC66" i="28"/>
  <c r="AD66" i="28"/>
  <c r="P66" i="28"/>
  <c r="AG66" i="28"/>
  <c r="C66" i="28"/>
  <c r="H66" i="28"/>
  <c r="A88" i="24"/>
  <c r="CA121" i="14"/>
  <c r="CC121" i="14"/>
  <c r="BR121" i="14"/>
  <c r="E55" i="41"/>
  <c r="F55" i="41"/>
  <c r="A54" i="41"/>
  <c r="B54" i="41" s="1"/>
  <c r="C54" i="41"/>
  <c r="BM120" i="14"/>
  <c r="K121" i="14"/>
  <c r="Z121" i="14" s="1"/>
  <c r="AS120" i="14"/>
  <c r="S89" i="24"/>
  <c r="C93" i="34"/>
  <c r="D94" i="34" s="1"/>
  <c r="R90" i="24"/>
  <c r="H89" i="24"/>
  <c r="B89" i="24"/>
  <c r="W89" i="24" s="1"/>
  <c r="F89" i="24"/>
  <c r="BN120" i="14"/>
  <c r="T120" i="14"/>
  <c r="A123" i="14"/>
  <c r="CE123" i="14" s="1"/>
  <c r="AD120" i="14"/>
  <c r="BJ121" i="14"/>
  <c r="BI120" i="14"/>
  <c r="AB120" i="14"/>
  <c r="AE120" i="14"/>
  <c r="AJ120" i="14"/>
  <c r="W120" i="14"/>
  <c r="BH120" i="14"/>
  <c r="AT120" i="14"/>
  <c r="X120" i="14"/>
  <c r="Z120" i="14"/>
  <c r="BC120" i="14"/>
  <c r="U120" i="14"/>
  <c r="BF120" i="14"/>
  <c r="BB120" i="14"/>
  <c r="AO120" i="14"/>
  <c r="AW120" i="14"/>
  <c r="AL120" i="14"/>
  <c r="BD120" i="14"/>
  <c r="AI120" i="14"/>
  <c r="R120" i="14"/>
  <c r="AY120" i="14"/>
  <c r="AQ120" i="14"/>
  <c r="AX120" i="14"/>
  <c r="AR120" i="14"/>
  <c r="BK120" i="14"/>
  <c r="AZ120" i="14"/>
  <c r="Y120" i="14"/>
  <c r="BJ120" i="14"/>
  <c r="BG120" i="14"/>
  <c r="S120" i="14"/>
  <c r="AA120" i="14"/>
  <c r="AC120" i="14"/>
  <c r="AU120" i="14"/>
  <c r="BE120" i="14"/>
  <c r="AK120" i="14"/>
  <c r="BL120" i="14"/>
  <c r="AF120" i="14"/>
  <c r="V120" i="14"/>
  <c r="AV120" i="14"/>
  <c r="AP120" i="14"/>
  <c r="B110" i="40"/>
  <c r="BT121" i="14"/>
  <c r="BU121" i="14"/>
  <c r="AH120" i="14"/>
  <c r="T121" i="14"/>
  <c r="BQ122" i="14"/>
  <c r="A111" i="40"/>
  <c r="C122" i="14"/>
  <c r="P122" i="14"/>
  <c r="B122" i="14"/>
  <c r="M122" i="14" s="1"/>
  <c r="C111" i="40" s="1"/>
  <c r="E111" i="40" s="1"/>
  <c r="CB122" i="14"/>
  <c r="BV122" i="14" s="1"/>
  <c r="D122" i="14"/>
  <c r="BP122" i="14"/>
  <c r="BX122" i="14"/>
  <c r="CG122" i="14"/>
  <c r="DN120" i="14"/>
  <c r="EP120" i="14"/>
  <c r="DW120" i="14"/>
  <c r="ES120" i="14"/>
  <c r="EO120" i="14"/>
  <c r="DC120" i="14"/>
  <c r="CX120" i="14"/>
  <c r="DO120" i="14"/>
  <c r="DU120" i="14"/>
  <c r="EK120" i="14"/>
  <c r="ER120" i="14"/>
  <c r="EN120" i="14"/>
  <c r="DD120" i="14"/>
  <c r="EF120" i="14"/>
  <c r="DG120" i="14"/>
  <c r="CV120" i="14"/>
  <c r="DE120" i="14"/>
  <c r="CY120" i="14"/>
  <c r="DL120" i="14"/>
  <c r="EJ120" i="14"/>
  <c r="DK120" i="14"/>
  <c r="EH120" i="14"/>
  <c r="DS120" i="14"/>
  <c r="DQ120" i="14"/>
  <c r="DP120" i="14"/>
  <c r="EL120" i="14"/>
  <c r="DH120" i="14"/>
  <c r="DF120" i="14"/>
  <c r="CW120" i="14"/>
  <c r="DZ120" i="14"/>
  <c r="EM120" i="14"/>
  <c r="ED120" i="14"/>
  <c r="DI120" i="14"/>
  <c r="DV120" i="14"/>
  <c r="DY120" i="14"/>
  <c r="EA120" i="14"/>
  <c r="DX120" i="14"/>
  <c r="EI120" i="14"/>
  <c r="EB120" i="14"/>
  <c r="DB120" i="14"/>
  <c r="DM120" i="14"/>
  <c r="EQ120" i="14"/>
  <c r="BO120" i="14"/>
  <c r="G120" i="14" s="1"/>
  <c r="CZ120" i="14"/>
  <c r="EE120" i="14"/>
  <c r="EG120" i="14"/>
  <c r="DJ120" i="14"/>
  <c r="DT120" i="14"/>
  <c r="DA120" i="14"/>
  <c r="EC120" i="14"/>
  <c r="BA120" i="14"/>
  <c r="GW146" i="7"/>
  <c r="GV147" i="7"/>
  <c r="GU147" i="7"/>
  <c r="GX146" i="7" l="1"/>
  <c r="AE66" i="28"/>
  <c r="AB66" i="28"/>
  <c r="C67" i="28"/>
  <c r="AB67" i="28" s="1"/>
  <c r="T67" i="28"/>
  <c r="S67" i="28" s="1"/>
  <c r="H67" i="28"/>
  <c r="O67" i="28"/>
  <c r="AD67" i="28"/>
  <c r="AC67" i="28"/>
  <c r="AG67" i="28"/>
  <c r="P67" i="28"/>
  <c r="Q67" i="28"/>
  <c r="R67" i="28" s="1"/>
  <c r="B67" i="28"/>
  <c r="AH66" i="28"/>
  <c r="X66" i="28"/>
  <c r="Z67" i="28"/>
  <c r="A89" i="24"/>
  <c r="CA122" i="14"/>
  <c r="CC122" i="14"/>
  <c r="BR122" i="14"/>
  <c r="E56" i="41"/>
  <c r="F56" i="41"/>
  <c r="A55" i="41"/>
  <c r="B55" i="41" s="1"/>
  <c r="C55" i="41"/>
  <c r="AF121" i="14"/>
  <c r="AU121" i="14"/>
  <c r="AY121" i="14"/>
  <c r="AX121" i="14"/>
  <c r="BC121" i="14"/>
  <c r="AJ121" i="14"/>
  <c r="BH121" i="14"/>
  <c r="AR121" i="14"/>
  <c r="BK121" i="14"/>
  <c r="AK121" i="14"/>
  <c r="AT121" i="14"/>
  <c r="BG121" i="14"/>
  <c r="BE121" i="14"/>
  <c r="AS121" i="14"/>
  <c r="AV121" i="14"/>
  <c r="K122" i="14"/>
  <c r="BI122" i="14" s="1"/>
  <c r="AG121" i="14"/>
  <c r="V121" i="14"/>
  <c r="AC121" i="14"/>
  <c r="AQ121" i="14"/>
  <c r="AB121" i="14"/>
  <c r="BM121" i="14"/>
  <c r="X121" i="14"/>
  <c r="AL121" i="14"/>
  <c r="AZ121" i="14"/>
  <c r="AE121" i="14"/>
  <c r="AW121" i="14"/>
  <c r="BF121" i="14"/>
  <c r="S121" i="14"/>
  <c r="W121" i="14"/>
  <c r="U121" i="14"/>
  <c r="BD121" i="14"/>
  <c r="BL121" i="14"/>
  <c r="BB121" i="14"/>
  <c r="BA121" i="14"/>
  <c r="BN121" i="14"/>
  <c r="AO121" i="14"/>
  <c r="AA121" i="14"/>
  <c r="R121" i="14"/>
  <c r="BI121" i="14"/>
  <c r="AP121" i="14"/>
  <c r="AH121" i="14"/>
  <c r="AI121" i="14"/>
  <c r="AD121" i="14"/>
  <c r="Y121" i="14"/>
  <c r="B90" i="24"/>
  <c r="W90" i="24" s="1"/>
  <c r="F90" i="24"/>
  <c r="H90" i="24"/>
  <c r="R91" i="24"/>
  <c r="C94" i="34"/>
  <c r="D95" i="34" s="1"/>
  <c r="S90" i="24"/>
  <c r="A124" i="14"/>
  <c r="B111" i="40"/>
  <c r="BU122" i="14"/>
  <c r="BT122" i="14"/>
  <c r="BQ123" i="14"/>
  <c r="B123" i="14"/>
  <c r="M123" i="14" s="1"/>
  <c r="C112" i="40" s="1"/>
  <c r="E112" i="40" s="1"/>
  <c r="C123" i="14"/>
  <c r="BP123" i="14"/>
  <c r="D123" i="14"/>
  <c r="P123" i="14"/>
  <c r="CB123" i="14"/>
  <c r="BV123" i="14" s="1"/>
  <c r="A112" i="40"/>
  <c r="BX123" i="14"/>
  <c r="CG123" i="14"/>
  <c r="EL121" i="14"/>
  <c r="EC121" i="14"/>
  <c r="EI121" i="14"/>
  <c r="EH121" i="14"/>
  <c r="ED121" i="14"/>
  <c r="EJ121" i="14"/>
  <c r="EO121" i="14"/>
  <c r="DZ121" i="14"/>
  <c r="DQ121" i="14"/>
  <c r="DJ121" i="14"/>
  <c r="EA121" i="14"/>
  <c r="CV121" i="14"/>
  <c r="DI121" i="14"/>
  <c r="EE121" i="14"/>
  <c r="DM121" i="14"/>
  <c r="DF121" i="14"/>
  <c r="EB121" i="14"/>
  <c r="EG121" i="14"/>
  <c r="CW121" i="14"/>
  <c r="DD121" i="14"/>
  <c r="DU121" i="14"/>
  <c r="DC121" i="14"/>
  <c r="EP121" i="14"/>
  <c r="EF121" i="14"/>
  <c r="DA121" i="14"/>
  <c r="EK121" i="14"/>
  <c r="DG121" i="14"/>
  <c r="DP121" i="14"/>
  <c r="BO121" i="14"/>
  <c r="G121" i="14" s="1"/>
  <c r="DB121" i="14"/>
  <c r="CZ121" i="14"/>
  <c r="DL121" i="14"/>
  <c r="DS121" i="14"/>
  <c r="CY121" i="14"/>
  <c r="DT121" i="14"/>
  <c r="DK121" i="14"/>
  <c r="DV121" i="14"/>
  <c r="CX121" i="14"/>
  <c r="ES121" i="14"/>
  <c r="DN121" i="14"/>
  <c r="DO121" i="14"/>
  <c r="DY121" i="14"/>
  <c r="DE121" i="14"/>
  <c r="EQ121" i="14"/>
  <c r="EN121" i="14"/>
  <c r="DH121" i="14"/>
  <c r="DW121" i="14"/>
  <c r="EM121" i="14"/>
  <c r="ER121" i="14"/>
  <c r="DX121" i="14"/>
  <c r="GW147" i="7"/>
  <c r="GV148" i="7"/>
  <c r="GU148" i="7"/>
  <c r="GX147" i="7" l="1"/>
  <c r="AE67" i="28"/>
  <c r="AH67" i="28"/>
  <c r="X67" i="28"/>
  <c r="A68" i="28"/>
  <c r="A90" i="24"/>
  <c r="CA123" i="14"/>
  <c r="CC123" i="14"/>
  <c r="BR123" i="14"/>
  <c r="E57" i="41"/>
  <c r="F57" i="41"/>
  <c r="A56" i="41"/>
  <c r="B56" i="41" s="1"/>
  <c r="C56" i="41"/>
  <c r="AH122" i="14"/>
  <c r="AY122" i="14"/>
  <c r="BH122" i="14"/>
  <c r="U122" i="14"/>
  <c r="V122" i="14"/>
  <c r="AI122" i="14"/>
  <c r="BC122" i="14"/>
  <c r="BN122" i="14"/>
  <c r="K123" i="14"/>
  <c r="AC123" i="14" s="1"/>
  <c r="X122" i="14"/>
  <c r="AB122" i="14"/>
  <c r="AP122" i="14"/>
  <c r="AO122" i="14"/>
  <c r="BA122" i="14"/>
  <c r="AE122" i="14"/>
  <c r="AW122" i="14"/>
  <c r="AT122" i="14"/>
  <c r="AG122" i="14"/>
  <c r="AA122" i="14"/>
  <c r="AD122" i="14"/>
  <c r="AC122" i="14"/>
  <c r="BE122" i="14"/>
  <c r="R122" i="14"/>
  <c r="Y122" i="14"/>
  <c r="AS122" i="14"/>
  <c r="BB122" i="14"/>
  <c r="BL122" i="14"/>
  <c r="BF122" i="14"/>
  <c r="AQ122" i="14"/>
  <c r="BD122" i="14"/>
  <c r="AF122" i="14"/>
  <c r="W122" i="14"/>
  <c r="AK122" i="14"/>
  <c r="BJ122" i="14"/>
  <c r="BM122" i="14"/>
  <c r="AR122" i="14"/>
  <c r="S122" i="14"/>
  <c r="Z122" i="14"/>
  <c r="T122" i="14"/>
  <c r="BK122" i="14"/>
  <c r="AL122" i="14"/>
  <c r="AU122" i="14"/>
  <c r="AJ122" i="14"/>
  <c r="AV122" i="14"/>
  <c r="AX122" i="14"/>
  <c r="BG122" i="14"/>
  <c r="AZ122" i="14"/>
  <c r="S91" i="24"/>
  <c r="C95" i="34"/>
  <c r="D96" i="34" s="1"/>
  <c r="B91" i="24"/>
  <c r="W91" i="24" s="1"/>
  <c r="F91" i="24"/>
  <c r="H91" i="24"/>
  <c r="R92" i="24"/>
  <c r="A113" i="40"/>
  <c r="C124" i="14"/>
  <c r="D124" i="14"/>
  <c r="BP124" i="14"/>
  <c r="BQ124" i="14"/>
  <c r="CB124" i="14"/>
  <c r="BV124" i="14" s="1"/>
  <c r="P124" i="14"/>
  <c r="B124" i="14"/>
  <c r="M124" i="14" s="1"/>
  <c r="C113" i="40" s="1"/>
  <c r="E113" i="40" s="1"/>
  <c r="CG124" i="14"/>
  <c r="BX124" i="14"/>
  <c r="BT123" i="14"/>
  <c r="BU123" i="14"/>
  <c r="B112" i="40"/>
  <c r="CZ122" i="14"/>
  <c r="DJ122" i="14"/>
  <c r="DE122" i="14"/>
  <c r="DM122" i="14"/>
  <c r="EM122" i="14"/>
  <c r="DY122" i="14"/>
  <c r="DA122" i="14"/>
  <c r="DZ122" i="14"/>
  <c r="CW122" i="14"/>
  <c r="DU122" i="14"/>
  <c r="EH122" i="14"/>
  <c r="BO122" i="14"/>
  <c r="G122" i="14" s="1"/>
  <c r="EK122" i="14"/>
  <c r="DV122" i="14"/>
  <c r="EG122" i="14"/>
  <c r="EI122" i="14"/>
  <c r="DX122" i="14"/>
  <c r="EA122" i="14"/>
  <c r="DD122" i="14"/>
  <c r="DO122" i="14"/>
  <c r="DW122" i="14"/>
  <c r="EN122" i="14"/>
  <c r="ER122" i="14"/>
  <c r="DS122" i="14"/>
  <c r="DH122" i="14"/>
  <c r="ED122" i="14"/>
  <c r="EP122" i="14"/>
  <c r="DQ122" i="14"/>
  <c r="EF122" i="14"/>
  <c r="EJ122" i="14"/>
  <c r="CX122" i="14"/>
  <c r="DP122" i="14"/>
  <c r="ES122" i="14"/>
  <c r="DN122" i="14"/>
  <c r="EQ122" i="14"/>
  <c r="EO122" i="14"/>
  <c r="EE122" i="14"/>
  <c r="CV122" i="14"/>
  <c r="EB122" i="14"/>
  <c r="DF122" i="14"/>
  <c r="DK122" i="14"/>
  <c r="EC122" i="14"/>
  <c r="DG122" i="14"/>
  <c r="DC122" i="14"/>
  <c r="DT122" i="14"/>
  <c r="DB122" i="14"/>
  <c r="CY122" i="14"/>
  <c r="DL122" i="14"/>
  <c r="EL122" i="14"/>
  <c r="DI122" i="14"/>
  <c r="CE124" i="14"/>
  <c r="GW148" i="7"/>
  <c r="GV149" i="7"/>
  <c r="GU149" i="7"/>
  <c r="GX148" i="7" l="1"/>
  <c r="Z68" i="28"/>
  <c r="A69" i="28" s="1"/>
  <c r="Q68" i="28"/>
  <c r="R68" i="28" s="1"/>
  <c r="AD68" i="28"/>
  <c r="T68" i="28"/>
  <c r="S68" i="28" s="1"/>
  <c r="AC68" i="28"/>
  <c r="P68" i="28"/>
  <c r="B68" i="28"/>
  <c r="C68" i="28"/>
  <c r="AB68" i="28" s="1"/>
  <c r="H68" i="28"/>
  <c r="AG68" i="28"/>
  <c r="A91" i="24"/>
  <c r="CA124" i="14"/>
  <c r="CC124" i="14"/>
  <c r="BR124" i="14"/>
  <c r="E58" i="41"/>
  <c r="F58" i="41"/>
  <c r="A57" i="41"/>
  <c r="B57" i="41" s="1"/>
  <c r="C57" i="41"/>
  <c r="AA123" i="14"/>
  <c r="AK123" i="14"/>
  <c r="AH123" i="14"/>
  <c r="AT123" i="14"/>
  <c r="AO123" i="14"/>
  <c r="BH123" i="14"/>
  <c r="AJ123" i="14"/>
  <c r="AE123" i="14"/>
  <c r="BN123" i="14"/>
  <c r="BM123" i="14"/>
  <c r="BE123" i="14"/>
  <c r="X123" i="14"/>
  <c r="AR123" i="14"/>
  <c r="AL123" i="14"/>
  <c r="BF123" i="14"/>
  <c r="V123" i="14"/>
  <c r="Z123" i="14"/>
  <c r="AF123" i="14"/>
  <c r="BA123" i="14"/>
  <c r="AY123" i="14"/>
  <c r="U123" i="14"/>
  <c r="BK123" i="14"/>
  <c r="BL123" i="14"/>
  <c r="BD123" i="14"/>
  <c r="S123" i="14"/>
  <c r="AQ123" i="14"/>
  <c r="BG123" i="14"/>
  <c r="AG123" i="14"/>
  <c r="AS123" i="14"/>
  <c r="T123" i="14"/>
  <c r="AZ123" i="14"/>
  <c r="BJ123" i="14"/>
  <c r="W123" i="14"/>
  <c r="AP123" i="14"/>
  <c r="BB123" i="14"/>
  <c r="AD123" i="14"/>
  <c r="AI123" i="14"/>
  <c r="AU123" i="14"/>
  <c r="BI123" i="14"/>
  <c r="Y123" i="14"/>
  <c r="AV123" i="14"/>
  <c r="AX123" i="14"/>
  <c r="AW123" i="14"/>
  <c r="R123" i="14"/>
  <c r="BC123" i="14"/>
  <c r="AB123" i="14"/>
  <c r="C96" i="34"/>
  <c r="D97" i="34" s="1"/>
  <c r="B92" i="24"/>
  <c r="W92" i="24" s="1"/>
  <c r="R93" i="24"/>
  <c r="H92" i="24"/>
  <c r="F92" i="24"/>
  <c r="K124" i="14"/>
  <c r="AT124" i="14" s="1"/>
  <c r="S92" i="24"/>
  <c r="A125" i="14"/>
  <c r="CE125" i="14" s="1"/>
  <c r="BU124" i="14"/>
  <c r="BT124" i="14"/>
  <c r="B113" i="40"/>
  <c r="DN123" i="14"/>
  <c r="DM123" i="14"/>
  <c r="DW123" i="14"/>
  <c r="DZ123" i="14"/>
  <c r="DF123" i="14"/>
  <c r="EG123" i="14"/>
  <c r="DT123" i="14"/>
  <c r="EB123" i="14"/>
  <c r="ED123" i="14"/>
  <c r="DG123" i="14"/>
  <c r="EC123" i="14"/>
  <c r="DS123" i="14"/>
  <c r="ES123" i="14"/>
  <c r="ER123" i="14"/>
  <c r="EJ123" i="14"/>
  <c r="DL123" i="14"/>
  <c r="EO123" i="14"/>
  <c r="DC123" i="14"/>
  <c r="DP123" i="14"/>
  <c r="CX123" i="14"/>
  <c r="DQ123" i="14"/>
  <c r="DH123" i="14"/>
  <c r="DE123" i="14"/>
  <c r="DB123" i="14"/>
  <c r="EA123" i="14"/>
  <c r="DK123" i="14"/>
  <c r="EE123" i="14"/>
  <c r="EK123" i="14"/>
  <c r="DA123" i="14"/>
  <c r="CW123" i="14"/>
  <c r="BO123" i="14"/>
  <c r="G123" i="14" s="1"/>
  <c r="EF123" i="14"/>
  <c r="EI123" i="14"/>
  <c r="CV123" i="14"/>
  <c r="EL123" i="14"/>
  <c r="DI123" i="14"/>
  <c r="EM123" i="14"/>
  <c r="CZ123" i="14"/>
  <c r="DJ123" i="14"/>
  <c r="EN123" i="14"/>
  <c r="DD123" i="14"/>
  <c r="DV123" i="14"/>
  <c r="DU123" i="14"/>
  <c r="EQ123" i="14"/>
  <c r="DX123" i="14"/>
  <c r="EP123" i="14"/>
  <c r="CY123" i="14"/>
  <c r="EH123" i="14"/>
  <c r="DY123" i="14"/>
  <c r="DO123" i="14"/>
  <c r="AQ124" i="14"/>
  <c r="GW149" i="7"/>
  <c r="GU150" i="7"/>
  <c r="GV150" i="7"/>
  <c r="GX149" i="7" l="1"/>
  <c r="Z69" i="28"/>
  <c r="A70" i="28" s="1"/>
  <c r="AE68" i="28"/>
  <c r="X68" i="28"/>
  <c r="AH68" i="28"/>
  <c r="P69" i="28"/>
  <c r="H69" i="28"/>
  <c r="AD69" i="28"/>
  <c r="B69" i="28"/>
  <c r="O69" i="28"/>
  <c r="C69" i="28"/>
  <c r="AB69" i="28" s="1"/>
  <c r="Q69" i="28"/>
  <c r="R69" i="28" s="1"/>
  <c r="AG69" i="28"/>
  <c r="T69" i="28"/>
  <c r="S69" i="28" s="1"/>
  <c r="AC69" i="28"/>
  <c r="A92" i="24"/>
  <c r="E59" i="41"/>
  <c r="F59" i="41" s="1"/>
  <c r="C58" i="41"/>
  <c r="A58" i="41"/>
  <c r="B58" i="41" s="1"/>
  <c r="S93" i="24"/>
  <c r="AR124" i="14"/>
  <c r="AO124" i="14"/>
  <c r="Y124" i="14"/>
  <c r="BF124" i="14"/>
  <c r="Z124" i="14"/>
  <c r="AY124" i="14"/>
  <c r="BH124" i="14"/>
  <c r="BG124" i="14"/>
  <c r="AD124" i="14"/>
  <c r="BD124" i="14"/>
  <c r="R124" i="14"/>
  <c r="BA124" i="14"/>
  <c r="AS124" i="14"/>
  <c r="BC124" i="14"/>
  <c r="AI124" i="14"/>
  <c r="BJ124" i="14"/>
  <c r="AC124" i="14"/>
  <c r="BI124" i="14"/>
  <c r="AU124" i="14"/>
  <c r="X124" i="14"/>
  <c r="BN124" i="14"/>
  <c r="AW124" i="14"/>
  <c r="BK124" i="14"/>
  <c r="U124" i="14"/>
  <c r="T124" i="14"/>
  <c r="AL124" i="14"/>
  <c r="AH124" i="14"/>
  <c r="AV124" i="14"/>
  <c r="AB124" i="14"/>
  <c r="AE124" i="14"/>
  <c r="BB124" i="14"/>
  <c r="AJ124" i="14"/>
  <c r="S124" i="14"/>
  <c r="C97" i="34"/>
  <c r="D98" i="34" s="1"/>
  <c r="AZ124" i="14"/>
  <c r="BM124" i="14"/>
  <c r="AG124" i="14"/>
  <c r="AX124" i="14"/>
  <c r="W124" i="14"/>
  <c r="AF124" i="14"/>
  <c r="AP124" i="14"/>
  <c r="BE124" i="14"/>
  <c r="AA124" i="14"/>
  <c r="R94" i="24"/>
  <c r="F93" i="24"/>
  <c r="B93" i="24"/>
  <c r="W93" i="24" s="1"/>
  <c r="H93" i="24"/>
  <c r="V124" i="14"/>
  <c r="BL124" i="14"/>
  <c r="AK124" i="14"/>
  <c r="A126" i="14"/>
  <c r="CE126" i="14" s="1"/>
  <c r="DB124" i="14"/>
  <c r="DP124" i="14"/>
  <c r="DJ124" i="14"/>
  <c r="EK124" i="14"/>
  <c r="DG124" i="14"/>
  <c r="EE124" i="14"/>
  <c r="DU124" i="14"/>
  <c r="EL124" i="14"/>
  <c r="DL124" i="14"/>
  <c r="CV124" i="14"/>
  <c r="EM124" i="14"/>
  <c r="DS124" i="14"/>
  <c r="DF124" i="14"/>
  <c r="DT124" i="14"/>
  <c r="DI124" i="14"/>
  <c r="EQ124" i="14"/>
  <c r="DC124" i="14"/>
  <c r="ES124" i="14"/>
  <c r="DQ124" i="14"/>
  <c r="DZ124" i="14"/>
  <c r="EI124" i="14"/>
  <c r="CX124" i="14"/>
  <c r="DO124" i="14"/>
  <c r="DV124" i="14"/>
  <c r="EG124" i="14"/>
  <c r="ED124" i="14"/>
  <c r="DH124" i="14"/>
  <c r="ER124" i="14"/>
  <c r="DY124" i="14"/>
  <c r="CY124" i="14"/>
  <c r="BO124" i="14"/>
  <c r="G124" i="14" s="1"/>
  <c r="EF124" i="14"/>
  <c r="EA124" i="14"/>
  <c r="EB124" i="14"/>
  <c r="EO124" i="14"/>
  <c r="EJ124" i="14"/>
  <c r="CW124" i="14"/>
  <c r="EN124" i="14"/>
  <c r="EH124" i="14"/>
  <c r="DW124" i="14"/>
  <c r="CZ124" i="14"/>
  <c r="DE124" i="14"/>
  <c r="DA124" i="14"/>
  <c r="DN124" i="14"/>
  <c r="EC124" i="14"/>
  <c r="DD124" i="14"/>
  <c r="DK124" i="14"/>
  <c r="DX124" i="14"/>
  <c r="DM124" i="14"/>
  <c r="EP124" i="14"/>
  <c r="P125" i="14"/>
  <c r="BP125" i="14"/>
  <c r="C125" i="14"/>
  <c r="A114" i="40"/>
  <c r="B125" i="14"/>
  <c r="M125" i="14" s="1"/>
  <c r="C114" i="40" s="1"/>
  <c r="E114" i="40" s="1"/>
  <c r="CB125" i="14"/>
  <c r="BV125" i="14" s="1"/>
  <c r="D125" i="14"/>
  <c r="BQ125" i="14"/>
  <c r="CG125" i="14"/>
  <c r="BX125" i="14"/>
  <c r="GW150" i="7"/>
  <c r="GU151" i="7"/>
  <c r="GV151" i="7"/>
  <c r="GX150" i="7" l="1"/>
  <c r="Z70" i="28"/>
  <c r="A71" i="28" s="1"/>
  <c r="AE69" i="28"/>
  <c r="X69" i="28"/>
  <c r="AH69" i="28"/>
  <c r="H70" i="28"/>
  <c r="AD70" i="28"/>
  <c r="AG70" i="28"/>
  <c r="AC70" i="28"/>
  <c r="B70" i="28"/>
  <c r="P70" i="28"/>
  <c r="T70" i="28"/>
  <c r="S70" i="28" s="1"/>
  <c r="O70" i="28"/>
  <c r="C70" i="28"/>
  <c r="Q70" i="28"/>
  <c r="R70" i="28" s="1"/>
  <c r="A93" i="24"/>
  <c r="CA125" i="14"/>
  <c r="CC125" i="14"/>
  <c r="BR125" i="14"/>
  <c r="E60" i="41"/>
  <c r="F60" i="41" s="1"/>
  <c r="A59" i="41"/>
  <c r="B59" i="41" s="1"/>
  <c r="C59" i="41"/>
  <c r="C98" i="34"/>
  <c r="D99" i="34" s="1"/>
  <c r="R95" i="24"/>
  <c r="H94" i="24"/>
  <c r="F94" i="24"/>
  <c r="B94" i="24"/>
  <c r="W94" i="24" s="1"/>
  <c r="S94" i="24"/>
  <c r="A127" i="14"/>
  <c r="CE127" i="14" s="1"/>
  <c r="B126" i="14"/>
  <c r="M126" i="14" s="1"/>
  <c r="C115" i="40" s="1"/>
  <c r="E115" i="40" s="1"/>
  <c r="CB126" i="14"/>
  <c r="BV126" i="14" s="1"/>
  <c r="BP126" i="14"/>
  <c r="A115" i="40"/>
  <c r="C126" i="14"/>
  <c r="P126" i="14"/>
  <c r="D126" i="14"/>
  <c r="BQ126" i="14"/>
  <c r="CG126" i="14"/>
  <c r="BX126" i="14"/>
  <c r="K125" i="14"/>
  <c r="BJ125" i="14" s="1"/>
  <c r="BT125" i="14"/>
  <c r="BU125" i="14"/>
  <c r="B114" i="40"/>
  <c r="GW151" i="7"/>
  <c r="GU152" i="7"/>
  <c r="GV152" i="7"/>
  <c r="GX151" i="7" l="1"/>
  <c r="X70" i="28"/>
  <c r="AE70" i="28"/>
  <c r="Z71" i="28"/>
  <c r="A72" i="28" s="1"/>
  <c r="AB70" i="28"/>
  <c r="P71" i="28"/>
  <c r="O71" i="28"/>
  <c r="Q71" i="28"/>
  <c r="R71" i="28" s="1"/>
  <c r="T71" i="28"/>
  <c r="S71" i="28" s="1"/>
  <c r="B71" i="28"/>
  <c r="AD71" i="28"/>
  <c r="AC71" i="28"/>
  <c r="C71" i="28"/>
  <c r="AB71" i="28" s="1"/>
  <c r="AG71" i="28"/>
  <c r="H71" i="28"/>
  <c r="AH70" i="28"/>
  <c r="A94" i="24"/>
  <c r="CA126" i="14"/>
  <c r="CC126" i="14"/>
  <c r="BR126" i="14"/>
  <c r="C60" i="41"/>
  <c r="A60" i="41"/>
  <c r="B60" i="41" s="1"/>
  <c r="S95" i="24"/>
  <c r="AE125" i="14"/>
  <c r="AV125" i="14"/>
  <c r="AL125" i="14"/>
  <c r="BM125" i="14"/>
  <c r="K126" i="14"/>
  <c r="Z126" i="14" s="1"/>
  <c r="BA125" i="14"/>
  <c r="AX125" i="14"/>
  <c r="BN125" i="14"/>
  <c r="AC125" i="14"/>
  <c r="AT125" i="14"/>
  <c r="AK125" i="14"/>
  <c r="X125" i="14"/>
  <c r="BF125" i="14"/>
  <c r="AF125" i="14"/>
  <c r="AZ125" i="14"/>
  <c r="AR125" i="14"/>
  <c r="S125" i="14"/>
  <c r="AD125" i="14"/>
  <c r="AH125" i="14"/>
  <c r="AP125" i="14"/>
  <c r="C99" i="34"/>
  <c r="D100" i="34" s="1"/>
  <c r="W125" i="14"/>
  <c r="AY125" i="14"/>
  <c r="AS125" i="14"/>
  <c r="BH125" i="14"/>
  <c r="AA125" i="14"/>
  <c r="BK125" i="14"/>
  <c r="BI125" i="14"/>
  <c r="BE125" i="14"/>
  <c r="BG125" i="14"/>
  <c r="BB125" i="14"/>
  <c r="F95" i="24"/>
  <c r="B95" i="24"/>
  <c r="W95" i="24" s="1"/>
  <c r="H95" i="24"/>
  <c r="R96" i="24"/>
  <c r="AI125" i="14"/>
  <c r="AJ125" i="14"/>
  <c r="Y125" i="14"/>
  <c r="AU125" i="14"/>
  <c r="V125" i="14"/>
  <c r="BC125" i="14"/>
  <c r="U125" i="14"/>
  <c r="AG125" i="14"/>
  <c r="AO125" i="14"/>
  <c r="AB125" i="14"/>
  <c r="T125" i="14"/>
  <c r="DS125" i="14"/>
  <c r="BO125" i="14"/>
  <c r="G125" i="14" s="1"/>
  <c r="DH125" i="14"/>
  <c r="EA125" i="14"/>
  <c r="DQ125" i="14"/>
  <c r="DP125" i="14"/>
  <c r="DV125" i="14"/>
  <c r="EH125" i="14"/>
  <c r="DZ125" i="14"/>
  <c r="DB125" i="14"/>
  <c r="EI125" i="14"/>
  <c r="DU125" i="14"/>
  <c r="CZ125" i="14"/>
  <c r="DA125" i="14"/>
  <c r="ER125" i="14"/>
  <c r="DY125" i="14"/>
  <c r="EO125" i="14"/>
  <c r="DN125" i="14"/>
  <c r="ES125" i="14"/>
  <c r="EN125" i="14"/>
  <c r="EF125" i="14"/>
  <c r="EK125" i="14"/>
  <c r="EB125" i="14"/>
  <c r="DM125" i="14"/>
  <c r="EL125" i="14"/>
  <c r="DD125" i="14"/>
  <c r="EG125" i="14"/>
  <c r="EP125" i="14"/>
  <c r="DK125" i="14"/>
  <c r="DF125" i="14"/>
  <c r="DL125" i="14"/>
  <c r="EM125" i="14"/>
  <c r="CY125" i="14"/>
  <c r="EJ125" i="14"/>
  <c r="DX125" i="14"/>
  <c r="DO125" i="14"/>
  <c r="DJ125" i="14"/>
  <c r="DG125" i="14"/>
  <c r="DT125" i="14"/>
  <c r="EE125" i="14"/>
  <c r="DW125" i="14"/>
  <c r="EC125" i="14"/>
  <c r="CV125" i="14"/>
  <c r="ED125" i="14"/>
  <c r="DC125" i="14"/>
  <c r="EQ125" i="14"/>
  <c r="CX125" i="14"/>
  <c r="DE125" i="14"/>
  <c r="CW125" i="14"/>
  <c r="DI125" i="14"/>
  <c r="A128" i="14"/>
  <c r="CE128" i="14" s="1"/>
  <c r="R125" i="14"/>
  <c r="Z125" i="14"/>
  <c r="AQ125" i="14"/>
  <c r="AW125" i="14"/>
  <c r="BD125" i="14"/>
  <c r="BT126" i="14"/>
  <c r="B115" i="40"/>
  <c r="BU126" i="14"/>
  <c r="BQ127" i="14"/>
  <c r="B127" i="14"/>
  <c r="M127" i="14" s="1"/>
  <c r="C116" i="40" s="1"/>
  <c r="E116" i="40" s="1"/>
  <c r="C127" i="14"/>
  <c r="BP127" i="14"/>
  <c r="P127" i="14"/>
  <c r="D127" i="14"/>
  <c r="CB127" i="14"/>
  <c r="BV127" i="14" s="1"/>
  <c r="A116" i="40"/>
  <c r="CG127" i="14"/>
  <c r="BX127" i="14"/>
  <c r="BL125" i="14"/>
  <c r="GW152" i="7"/>
  <c r="GV153" i="7"/>
  <c r="GU153" i="7"/>
  <c r="GX152" i="7" l="1"/>
  <c r="Z72" i="28"/>
  <c r="A73" i="28" s="1"/>
  <c r="AE71" i="28"/>
  <c r="X71" i="28"/>
  <c r="AH71" i="28"/>
  <c r="B72" i="28"/>
  <c r="AC72" i="28"/>
  <c r="AD72" i="28"/>
  <c r="AG72" i="28"/>
  <c r="H72" i="28"/>
  <c r="C72" i="28"/>
  <c r="AB72" i="28" s="1"/>
  <c r="P72" i="28"/>
  <c r="O72" i="28"/>
  <c r="T72" i="28"/>
  <c r="S72" i="28" s="1"/>
  <c r="Q72" i="28"/>
  <c r="R72" i="28" s="1"/>
  <c r="A95" i="24"/>
  <c r="CA127" i="14"/>
  <c r="CC127" i="14"/>
  <c r="BR127" i="14"/>
  <c r="S96" i="24"/>
  <c r="AL126" i="14"/>
  <c r="AI126" i="14"/>
  <c r="BD126" i="14"/>
  <c r="AG126" i="14"/>
  <c r="AT126" i="14"/>
  <c r="W126" i="14"/>
  <c r="S126" i="14"/>
  <c r="AR126" i="14"/>
  <c r="BA126" i="14"/>
  <c r="BM126" i="14"/>
  <c r="BB126" i="14"/>
  <c r="AO126" i="14"/>
  <c r="AU126" i="14"/>
  <c r="AW126" i="14"/>
  <c r="BC126" i="14"/>
  <c r="T126" i="14"/>
  <c r="BI126" i="14"/>
  <c r="AC126" i="14"/>
  <c r="V126" i="14"/>
  <c r="AS126" i="14"/>
  <c r="AZ126" i="14"/>
  <c r="R126" i="14"/>
  <c r="AX126" i="14"/>
  <c r="BH126" i="14"/>
  <c r="BF126" i="14"/>
  <c r="BE126" i="14"/>
  <c r="AP126" i="14"/>
  <c r="AK126" i="14"/>
  <c r="Y126" i="14"/>
  <c r="AF126" i="14"/>
  <c r="BG126" i="14"/>
  <c r="AY126" i="14"/>
  <c r="AH126" i="14"/>
  <c r="BN126" i="14"/>
  <c r="AB126" i="14"/>
  <c r="AE126" i="14"/>
  <c r="X126" i="14"/>
  <c r="BL126" i="14"/>
  <c r="U126" i="14"/>
  <c r="BJ126" i="14"/>
  <c r="AQ126" i="14"/>
  <c r="BK126" i="14"/>
  <c r="AA126" i="14"/>
  <c r="AD126" i="14"/>
  <c r="AV126" i="14"/>
  <c r="AJ126" i="14"/>
  <c r="C100" i="34"/>
  <c r="D101" i="34" s="1"/>
  <c r="K127" i="14"/>
  <c r="BJ127" i="14" s="1"/>
  <c r="F96" i="24"/>
  <c r="H96" i="24"/>
  <c r="R97" i="24"/>
  <c r="B96" i="24"/>
  <c r="W96" i="24" s="1"/>
  <c r="A129" i="14"/>
  <c r="CE129" i="14" s="1"/>
  <c r="DD126" i="14"/>
  <c r="EL126" i="14"/>
  <c r="EG126" i="14"/>
  <c r="CY126" i="14"/>
  <c r="EP126" i="14"/>
  <c r="DM126" i="14"/>
  <c r="DB126" i="14"/>
  <c r="DG126" i="14"/>
  <c r="DE126" i="14"/>
  <c r="EQ126" i="14"/>
  <c r="CX126" i="14"/>
  <c r="DZ126" i="14"/>
  <c r="EC126" i="14"/>
  <c r="DI126" i="14"/>
  <c r="DS126" i="14"/>
  <c r="DQ126" i="14"/>
  <c r="DU126" i="14"/>
  <c r="DJ126" i="14"/>
  <c r="EF126" i="14"/>
  <c r="DK126" i="14"/>
  <c r="DW126" i="14"/>
  <c r="EJ126" i="14"/>
  <c r="DN126" i="14"/>
  <c r="ES126" i="14"/>
  <c r="EI126" i="14"/>
  <c r="DP126" i="14"/>
  <c r="DL126" i="14"/>
  <c r="EK126" i="14"/>
  <c r="ER126" i="14"/>
  <c r="EN126" i="14"/>
  <c r="DO126" i="14"/>
  <c r="DY126" i="14"/>
  <c r="DA126" i="14"/>
  <c r="ED126" i="14"/>
  <c r="EM126" i="14"/>
  <c r="CV126" i="14"/>
  <c r="EE126" i="14"/>
  <c r="EH126" i="14"/>
  <c r="DX126" i="14"/>
  <c r="BO126" i="14"/>
  <c r="G126" i="14" s="1"/>
  <c r="CZ126" i="14"/>
  <c r="CW126" i="14"/>
  <c r="EB126" i="14"/>
  <c r="DH126" i="14"/>
  <c r="DT126" i="14"/>
  <c r="DF126" i="14"/>
  <c r="EO126" i="14"/>
  <c r="EA126" i="14"/>
  <c r="DV126" i="14"/>
  <c r="DC126" i="14"/>
  <c r="BU127" i="14"/>
  <c r="BT127" i="14"/>
  <c r="B116" i="40"/>
  <c r="AZ127" i="14"/>
  <c r="BM127" i="14"/>
  <c r="BB127" i="14"/>
  <c r="CB128" i="14"/>
  <c r="BV128" i="14" s="1"/>
  <c r="B128" i="14"/>
  <c r="M128" i="14" s="1"/>
  <c r="C117" i="40" s="1"/>
  <c r="E117" i="40" s="1"/>
  <c r="A117" i="40"/>
  <c r="D128" i="14"/>
  <c r="C128" i="14"/>
  <c r="P128" i="14"/>
  <c r="BP128" i="14"/>
  <c r="BQ128" i="14"/>
  <c r="CG128" i="14"/>
  <c r="BX128" i="14"/>
  <c r="AW127" i="14"/>
  <c r="AS127" i="14"/>
  <c r="BA127" i="14"/>
  <c r="GW153" i="7"/>
  <c r="GU154" i="7"/>
  <c r="GV154" i="7"/>
  <c r="GX153" i="7" l="1"/>
  <c r="AE72" i="28"/>
  <c r="Z73" i="28"/>
  <c r="A74" i="28" s="1"/>
  <c r="AH72" i="28"/>
  <c r="C73" i="28"/>
  <c r="AB73" i="28" s="1"/>
  <c r="AG73" i="28"/>
  <c r="AC73" i="28"/>
  <c r="P73" i="28"/>
  <c r="Q73" i="28"/>
  <c r="R73" i="28" s="1"/>
  <c r="B73" i="28"/>
  <c r="H73" i="28"/>
  <c r="T73" i="28"/>
  <c r="S73" i="28" s="1"/>
  <c r="O73" i="28"/>
  <c r="AD73" i="28"/>
  <c r="X72" i="28"/>
  <c r="A96" i="24"/>
  <c r="CA128" i="14"/>
  <c r="CC128" i="14"/>
  <c r="BR128" i="14"/>
  <c r="AH127" i="14"/>
  <c r="S97" i="24"/>
  <c r="Y127" i="14"/>
  <c r="V127" i="14"/>
  <c r="AI127" i="14"/>
  <c r="S127" i="14"/>
  <c r="BF127" i="14"/>
  <c r="Z127" i="14"/>
  <c r="W127" i="14"/>
  <c r="AA127" i="14"/>
  <c r="X127" i="14"/>
  <c r="AX127" i="14"/>
  <c r="AU127" i="14"/>
  <c r="BC127" i="14"/>
  <c r="AD127" i="14"/>
  <c r="AB127" i="14"/>
  <c r="AP127" i="14"/>
  <c r="BD127" i="14"/>
  <c r="AY127" i="14"/>
  <c r="BI127" i="14"/>
  <c r="AQ127" i="14"/>
  <c r="AO127" i="14"/>
  <c r="T127" i="14"/>
  <c r="AC127" i="14"/>
  <c r="BH127" i="14"/>
  <c r="K128" i="14"/>
  <c r="AR128" i="14" s="1"/>
  <c r="U127" i="14"/>
  <c r="AF127" i="14"/>
  <c r="AE127" i="14"/>
  <c r="AV127" i="14"/>
  <c r="BG127" i="14"/>
  <c r="R127" i="14"/>
  <c r="AG127" i="14"/>
  <c r="AJ127" i="14"/>
  <c r="BL127" i="14"/>
  <c r="BE127" i="14"/>
  <c r="AT127" i="14"/>
  <c r="AR127" i="14"/>
  <c r="BN127" i="14"/>
  <c r="AL127" i="14"/>
  <c r="AK127" i="14"/>
  <c r="BK127" i="14"/>
  <c r="C101" i="34"/>
  <c r="D102" i="34" s="1"/>
  <c r="H97" i="24"/>
  <c r="F97" i="24"/>
  <c r="R98" i="24"/>
  <c r="B97" i="24"/>
  <c r="W97" i="24" s="1"/>
  <c r="A130" i="14"/>
  <c r="CE130" i="14" s="1"/>
  <c r="BT128" i="14"/>
  <c r="BU128" i="14"/>
  <c r="B117" i="40"/>
  <c r="CY127" i="14"/>
  <c r="DX127" i="14"/>
  <c r="DJ127" i="14"/>
  <c r="EB127" i="14"/>
  <c r="DZ127" i="14"/>
  <c r="DI127" i="14"/>
  <c r="ED127" i="14"/>
  <c r="EH127" i="14"/>
  <c r="CX127" i="14"/>
  <c r="EJ127" i="14"/>
  <c r="EP127" i="14"/>
  <c r="DU127" i="14"/>
  <c r="DP127" i="14"/>
  <c r="EE127" i="14"/>
  <c r="DT127" i="14"/>
  <c r="DO127" i="14"/>
  <c r="EK127" i="14"/>
  <c r="EG127" i="14"/>
  <c r="DD127" i="14"/>
  <c r="CZ127" i="14"/>
  <c r="EC127" i="14"/>
  <c r="EA127" i="14"/>
  <c r="EM127" i="14"/>
  <c r="EL127" i="14"/>
  <c r="DA127" i="14"/>
  <c r="CV127" i="14"/>
  <c r="EO127" i="14"/>
  <c r="EI127" i="14"/>
  <c r="DE127" i="14"/>
  <c r="DY127" i="14"/>
  <c r="DV127" i="14"/>
  <c r="DS127" i="14"/>
  <c r="DW127" i="14"/>
  <c r="DM127" i="14"/>
  <c r="EF127" i="14"/>
  <c r="BO127" i="14"/>
  <c r="G127" i="14" s="1"/>
  <c r="EN127" i="14"/>
  <c r="DN127" i="14"/>
  <c r="DH127" i="14"/>
  <c r="DB127" i="14"/>
  <c r="DF127" i="14"/>
  <c r="DQ127" i="14"/>
  <c r="DG127" i="14"/>
  <c r="ES127" i="14"/>
  <c r="DC127" i="14"/>
  <c r="ER127" i="14"/>
  <c r="EQ127" i="14"/>
  <c r="DK127" i="14"/>
  <c r="DL127" i="14"/>
  <c r="CW127" i="14"/>
  <c r="BQ129" i="14"/>
  <c r="BP129" i="14"/>
  <c r="P129" i="14"/>
  <c r="B129" i="14"/>
  <c r="M129" i="14" s="1"/>
  <c r="C118" i="40" s="1"/>
  <c r="E118" i="40" s="1"/>
  <c r="CB129" i="14"/>
  <c r="BV129" i="14" s="1"/>
  <c r="D129" i="14"/>
  <c r="A118" i="40"/>
  <c r="C129" i="14"/>
  <c r="BX129" i="14"/>
  <c r="CG129" i="14"/>
  <c r="GW154" i="7"/>
  <c r="GU155" i="7"/>
  <c r="GV155" i="7"/>
  <c r="GX154" i="7" l="1"/>
  <c r="Z74" i="28"/>
  <c r="A75" i="28" s="1"/>
  <c r="AE73" i="28"/>
  <c r="X73" i="28"/>
  <c r="AH73" i="28"/>
  <c r="C74" i="28"/>
  <c r="AB74" i="28" s="1"/>
  <c r="T74" i="28"/>
  <c r="S74" i="28" s="1"/>
  <c r="AD74" i="28"/>
  <c r="P74" i="28"/>
  <c r="H74" i="28"/>
  <c r="O74" i="28"/>
  <c r="B74" i="28"/>
  <c r="AC74" i="28"/>
  <c r="AG74" i="28"/>
  <c r="Q74" i="28"/>
  <c r="R74" i="28" s="1"/>
  <c r="A97" i="24"/>
  <c r="CA129" i="14"/>
  <c r="CC129" i="14"/>
  <c r="BR129" i="14"/>
  <c r="X128" i="14"/>
  <c r="BH128" i="14"/>
  <c r="BI128" i="14"/>
  <c r="BJ128" i="14"/>
  <c r="BL128" i="14"/>
  <c r="BB128" i="14"/>
  <c r="BG128" i="14"/>
  <c r="T128" i="14"/>
  <c r="AG128" i="14"/>
  <c r="AS128" i="14"/>
  <c r="AW128" i="14"/>
  <c r="AH128" i="14"/>
  <c r="BF128" i="14"/>
  <c r="R128" i="14"/>
  <c r="AZ128" i="14"/>
  <c r="V128" i="14"/>
  <c r="AA128" i="14"/>
  <c r="AJ128" i="14"/>
  <c r="AC128" i="14"/>
  <c r="AO128" i="14"/>
  <c r="AX128" i="14"/>
  <c r="S128" i="14"/>
  <c r="BE128" i="14"/>
  <c r="AU128" i="14"/>
  <c r="AP128" i="14"/>
  <c r="U128" i="14"/>
  <c r="BM128" i="14"/>
  <c r="AK128" i="14"/>
  <c r="AD128" i="14"/>
  <c r="BD128" i="14"/>
  <c r="AQ128" i="14"/>
  <c r="AT128" i="14"/>
  <c r="BN128" i="14"/>
  <c r="AE128" i="14"/>
  <c r="Z128" i="14"/>
  <c r="W128" i="14"/>
  <c r="AI128" i="14"/>
  <c r="AB128" i="14"/>
  <c r="AF128" i="14"/>
  <c r="AV128" i="14"/>
  <c r="AY128" i="14"/>
  <c r="BC128" i="14"/>
  <c r="BK128" i="14"/>
  <c r="BA128" i="14"/>
  <c r="AL128" i="14"/>
  <c r="Y128" i="14"/>
  <c r="C102" i="34"/>
  <c r="D103" i="34" s="1"/>
  <c r="B98" i="24"/>
  <c r="W98" i="24" s="1"/>
  <c r="R99" i="24"/>
  <c r="H98" i="24"/>
  <c r="F98" i="24"/>
  <c r="S98" i="24"/>
  <c r="A131" i="14"/>
  <c r="CE131" i="14" s="1"/>
  <c r="B118" i="40"/>
  <c r="BU129" i="14"/>
  <c r="BT129" i="14"/>
  <c r="K129" i="14"/>
  <c r="Y129" i="14" s="1"/>
  <c r="A119" i="40"/>
  <c r="P130" i="14"/>
  <c r="CB130" i="14"/>
  <c r="BV130" i="14" s="1"/>
  <c r="B130" i="14"/>
  <c r="M130" i="14" s="1"/>
  <c r="C119" i="40" s="1"/>
  <c r="E119" i="40" s="1"/>
  <c r="C130" i="14"/>
  <c r="D130" i="14"/>
  <c r="BQ130" i="14"/>
  <c r="BP130" i="14"/>
  <c r="CG130" i="14"/>
  <c r="BX130" i="14"/>
  <c r="DW128" i="14"/>
  <c r="DA128" i="14"/>
  <c r="EE128" i="14"/>
  <c r="EQ128" i="14"/>
  <c r="DB128" i="14"/>
  <c r="DJ128" i="14"/>
  <c r="DS128" i="14"/>
  <c r="CY128" i="14"/>
  <c r="DV128" i="14"/>
  <c r="EO128" i="14"/>
  <c r="EI128" i="14"/>
  <c r="EG128" i="14"/>
  <c r="DK128" i="14"/>
  <c r="EH128" i="14"/>
  <c r="EJ128" i="14"/>
  <c r="EP128" i="14"/>
  <c r="DF128" i="14"/>
  <c r="EF128" i="14"/>
  <c r="DH128" i="14"/>
  <c r="CW128" i="14"/>
  <c r="ER128" i="14"/>
  <c r="DQ128" i="14"/>
  <c r="EK128" i="14"/>
  <c r="DD128" i="14"/>
  <c r="EA128" i="14"/>
  <c r="DE128" i="14"/>
  <c r="EN128" i="14"/>
  <c r="DM128" i="14"/>
  <c r="DU128" i="14"/>
  <c r="EL128" i="14"/>
  <c r="DX128" i="14"/>
  <c r="DY128" i="14"/>
  <c r="DZ128" i="14"/>
  <c r="EC128" i="14"/>
  <c r="ED128" i="14"/>
  <c r="DT128" i="14"/>
  <c r="EM128" i="14"/>
  <c r="DN128" i="14"/>
  <c r="CZ128" i="14"/>
  <c r="DG128" i="14"/>
  <c r="CX128" i="14"/>
  <c r="DC128" i="14"/>
  <c r="DL128" i="14"/>
  <c r="ES128" i="14"/>
  <c r="DP128" i="14"/>
  <c r="CV128" i="14"/>
  <c r="EB128" i="14"/>
  <c r="DO128" i="14"/>
  <c r="BO128" i="14"/>
  <c r="G128" i="14" s="1"/>
  <c r="DI128" i="14"/>
  <c r="GW155" i="7"/>
  <c r="GU156" i="7"/>
  <c r="GV156" i="7"/>
  <c r="Z75" i="28" l="1"/>
  <c r="A76" i="28" s="1"/>
  <c r="Z76" i="28" s="1"/>
  <c r="GX155" i="7"/>
  <c r="AE74" i="28"/>
  <c r="AH74" i="28"/>
  <c r="X74" i="28"/>
  <c r="C75" i="28"/>
  <c r="AB75" i="28" s="1"/>
  <c r="H75" i="28"/>
  <c r="O75" i="28"/>
  <c r="AC75" i="28"/>
  <c r="AD75" i="28"/>
  <c r="AG75" i="28"/>
  <c r="T75" i="28"/>
  <c r="S75" i="28" s="1"/>
  <c r="P75" i="28"/>
  <c r="B75" i="28"/>
  <c r="Q75" i="28"/>
  <c r="R75" i="28" s="1"/>
  <c r="A98" i="24"/>
  <c r="CA130" i="14"/>
  <c r="BR130" i="14"/>
  <c r="CC130" i="14"/>
  <c r="R129" i="14"/>
  <c r="BH129" i="14"/>
  <c r="AE129" i="14"/>
  <c r="AF129" i="14"/>
  <c r="W129" i="14"/>
  <c r="BB129" i="14"/>
  <c r="AO129" i="14"/>
  <c r="U129" i="14"/>
  <c r="T129" i="14"/>
  <c r="BA129" i="14"/>
  <c r="AG129" i="14"/>
  <c r="AQ129" i="14"/>
  <c r="AA129" i="14"/>
  <c r="AR129" i="14"/>
  <c r="S99" i="24"/>
  <c r="BF129" i="14"/>
  <c r="AU129" i="14"/>
  <c r="AV129" i="14"/>
  <c r="AL129" i="14"/>
  <c r="C103" i="34"/>
  <c r="D104" i="34" s="1"/>
  <c r="H99" i="24"/>
  <c r="R100" i="24"/>
  <c r="F99" i="24"/>
  <c r="B99" i="24"/>
  <c r="W99" i="24" s="1"/>
  <c r="BU130" i="14"/>
  <c r="B119" i="40"/>
  <c r="BT130" i="14"/>
  <c r="CW129" i="14"/>
  <c r="DI129" i="14"/>
  <c r="DO129" i="14"/>
  <c r="DJ129" i="14"/>
  <c r="DD129" i="14"/>
  <c r="EQ129" i="14"/>
  <c r="DN129" i="14"/>
  <c r="DY129" i="14"/>
  <c r="EA129" i="14"/>
  <c r="DZ129" i="14"/>
  <c r="DF129" i="14"/>
  <c r="DC129" i="14"/>
  <c r="DE129" i="14"/>
  <c r="EK129" i="14"/>
  <c r="DB129" i="14"/>
  <c r="EI129" i="14"/>
  <c r="BO129" i="14"/>
  <c r="G129" i="14" s="1"/>
  <c r="DA129" i="14"/>
  <c r="DU129" i="14"/>
  <c r="EJ129" i="14"/>
  <c r="EO129" i="14"/>
  <c r="EM129" i="14"/>
  <c r="DG129" i="14"/>
  <c r="CZ129" i="14"/>
  <c r="EE129" i="14"/>
  <c r="EB129" i="14"/>
  <c r="DH129" i="14"/>
  <c r="DQ129" i="14"/>
  <c r="DK129" i="14"/>
  <c r="CX129" i="14"/>
  <c r="EC129" i="14"/>
  <c r="EL129" i="14"/>
  <c r="ER129" i="14"/>
  <c r="CV129" i="14"/>
  <c r="ED129" i="14"/>
  <c r="DM129" i="14"/>
  <c r="DT129" i="14"/>
  <c r="EG129" i="14"/>
  <c r="DX129" i="14"/>
  <c r="EN129" i="14"/>
  <c r="DP129" i="14"/>
  <c r="DL129" i="14"/>
  <c r="EH129" i="14"/>
  <c r="EF129" i="14"/>
  <c r="CY129" i="14"/>
  <c r="ES129" i="14"/>
  <c r="DV129" i="14"/>
  <c r="DS129" i="14"/>
  <c r="EP129" i="14"/>
  <c r="DW129" i="14"/>
  <c r="A132" i="14"/>
  <c r="CB131" i="14"/>
  <c r="BV131" i="14" s="1"/>
  <c r="BQ131" i="14"/>
  <c r="B131" i="14"/>
  <c r="M131" i="14" s="1"/>
  <c r="C120" i="40" s="1"/>
  <c r="E120" i="40" s="1"/>
  <c r="BP131" i="14"/>
  <c r="P131" i="14"/>
  <c r="D131" i="14"/>
  <c r="C131" i="14"/>
  <c r="A120" i="40"/>
  <c r="BX131" i="14"/>
  <c r="CG131" i="14"/>
  <c r="K130" i="14"/>
  <c r="AG130" i="14" s="1"/>
  <c r="AY129" i="14"/>
  <c r="AW129" i="14"/>
  <c r="BG129" i="14"/>
  <c r="AZ129" i="14"/>
  <c r="BJ129" i="14"/>
  <c r="AK129" i="14"/>
  <c r="AS129" i="14"/>
  <c r="S129" i="14"/>
  <c r="X129" i="14"/>
  <c r="V129" i="14"/>
  <c r="AC129" i="14"/>
  <c r="AB129" i="14"/>
  <c r="AJ129" i="14"/>
  <c r="BC129" i="14"/>
  <c r="AT129" i="14"/>
  <c r="AI129" i="14"/>
  <c r="BL129" i="14"/>
  <c r="Z129" i="14"/>
  <c r="BI129" i="14"/>
  <c r="BK129" i="14"/>
  <c r="AP129" i="14"/>
  <c r="AD129" i="14"/>
  <c r="AX129" i="14"/>
  <c r="AH129" i="14"/>
  <c r="BD129" i="14"/>
  <c r="BE129" i="14"/>
  <c r="BN129" i="14"/>
  <c r="BM129" i="14"/>
  <c r="GW156" i="7"/>
  <c r="GV157" i="7"/>
  <c r="GU157" i="7"/>
  <c r="GX156" i="7" l="1"/>
  <c r="AE75" i="28"/>
  <c r="AH75" i="28"/>
  <c r="X75" i="28"/>
  <c r="C76" i="28"/>
  <c r="AB76" i="28" s="1"/>
  <c r="O76" i="28"/>
  <c r="P76" i="28"/>
  <c r="Q76" i="28"/>
  <c r="R76" i="28" s="1"/>
  <c r="B76" i="28"/>
  <c r="AD76" i="28"/>
  <c r="AG76" i="28"/>
  <c r="T76" i="28"/>
  <c r="S76" i="28" s="1"/>
  <c r="H76" i="28"/>
  <c r="AC76" i="28"/>
  <c r="A77" i="28"/>
  <c r="Z77" i="28" s="1"/>
  <c r="A99" i="24"/>
  <c r="CA131" i="14"/>
  <c r="CC131" i="14"/>
  <c r="BR131" i="14"/>
  <c r="K131" i="14"/>
  <c r="AA131" i="14" s="1"/>
  <c r="AT130" i="14"/>
  <c r="C104" i="34"/>
  <c r="D105" i="34" s="1"/>
  <c r="H100" i="24"/>
  <c r="F100" i="24"/>
  <c r="R101" i="24"/>
  <c r="B100" i="24"/>
  <c r="W100" i="24" s="1"/>
  <c r="AU130" i="14"/>
  <c r="Z130" i="14"/>
  <c r="T130" i="14"/>
  <c r="BH130" i="14"/>
  <c r="AR130" i="14"/>
  <c r="V130" i="14"/>
  <c r="BI130" i="14"/>
  <c r="S100" i="24"/>
  <c r="B132" i="14"/>
  <c r="M132" i="14" s="1"/>
  <c r="C121" i="40" s="1"/>
  <c r="E121" i="40" s="1"/>
  <c r="CB132" i="14"/>
  <c r="BV132" i="14" s="1"/>
  <c r="BP132" i="14"/>
  <c r="A121" i="40"/>
  <c r="BQ132" i="14"/>
  <c r="P132" i="14"/>
  <c r="C132" i="14"/>
  <c r="D132" i="14"/>
  <c r="BX132" i="14"/>
  <c r="CG132" i="14"/>
  <c r="DH130" i="14"/>
  <c r="DK130" i="14"/>
  <c r="DF130" i="14"/>
  <c r="DG130" i="14"/>
  <c r="EN130" i="14"/>
  <c r="DQ130" i="14"/>
  <c r="EH130" i="14"/>
  <c r="DE130" i="14"/>
  <c r="CV130" i="14"/>
  <c r="ER130" i="14"/>
  <c r="EA130" i="14"/>
  <c r="EK130" i="14"/>
  <c r="CY130" i="14"/>
  <c r="CX130" i="14"/>
  <c r="EB130" i="14"/>
  <c r="EM130" i="14"/>
  <c r="EF130" i="14"/>
  <c r="DI130" i="14"/>
  <c r="DP130" i="14"/>
  <c r="DT130" i="14"/>
  <c r="DV130" i="14"/>
  <c r="EC130" i="14"/>
  <c r="ES130" i="14"/>
  <c r="BO130" i="14"/>
  <c r="G130" i="14" s="1"/>
  <c r="EE130" i="14"/>
  <c r="DJ130" i="14"/>
  <c r="ED130" i="14"/>
  <c r="EJ130" i="14"/>
  <c r="DC130" i="14"/>
  <c r="CZ130" i="14"/>
  <c r="DB130" i="14"/>
  <c r="CW130" i="14"/>
  <c r="EG130" i="14"/>
  <c r="DN130" i="14"/>
  <c r="DM130" i="14"/>
  <c r="DA130" i="14"/>
  <c r="DS130" i="14"/>
  <c r="DW130" i="14"/>
  <c r="EL130" i="14"/>
  <c r="DD130" i="14"/>
  <c r="DL130" i="14"/>
  <c r="DX130" i="14"/>
  <c r="EP130" i="14"/>
  <c r="DU130" i="14"/>
  <c r="EI130" i="14"/>
  <c r="DO130" i="14"/>
  <c r="DY130" i="14"/>
  <c r="EO130" i="14"/>
  <c r="EQ130" i="14"/>
  <c r="DZ130" i="14"/>
  <c r="AQ130" i="14"/>
  <c r="AJ130" i="14"/>
  <c r="BJ130" i="14"/>
  <c r="BC130" i="14"/>
  <c r="BA130" i="14"/>
  <c r="AO130" i="14"/>
  <c r="R130" i="14"/>
  <c r="AF130" i="14"/>
  <c r="AI130" i="14"/>
  <c r="X130" i="14"/>
  <c r="BN130" i="14"/>
  <c r="AA130" i="14"/>
  <c r="AS130" i="14"/>
  <c r="BL130" i="14"/>
  <c r="AE130" i="14"/>
  <c r="S130" i="14"/>
  <c r="BE130" i="14"/>
  <c r="BB130" i="14"/>
  <c r="AZ130" i="14"/>
  <c r="AV130" i="14"/>
  <c r="AX130" i="14"/>
  <c r="AB130" i="14"/>
  <c r="AP130" i="14"/>
  <c r="AL130" i="14"/>
  <c r="BG130" i="14"/>
  <c r="BM130" i="14"/>
  <c r="U130" i="14"/>
  <c r="BK130" i="14"/>
  <c r="AK130" i="14"/>
  <c r="W130" i="14"/>
  <c r="AH130" i="14"/>
  <c r="AD130" i="14"/>
  <c r="BD130" i="14"/>
  <c r="AY130" i="14"/>
  <c r="AC130" i="14"/>
  <c r="Y130" i="14"/>
  <c r="BF130" i="14"/>
  <c r="AW130" i="14"/>
  <c r="CE132" i="14"/>
  <c r="BU131" i="14"/>
  <c r="B120" i="40"/>
  <c r="BT131" i="14"/>
  <c r="BL131" i="14"/>
  <c r="GW157" i="7"/>
  <c r="GV158" i="7"/>
  <c r="GU158" i="7"/>
  <c r="GX157" i="7" l="1"/>
  <c r="AE76" i="28"/>
  <c r="A78" i="28"/>
  <c r="Z78" i="28"/>
  <c r="O77" i="28"/>
  <c r="T77" i="28"/>
  <c r="S77" i="28" s="1"/>
  <c r="B77" i="28"/>
  <c r="H77" i="28"/>
  <c r="AD77" i="28"/>
  <c r="AG77" i="28"/>
  <c r="C77" i="28"/>
  <c r="AB77" i="28" s="1"/>
  <c r="Q77" i="28"/>
  <c r="R77" i="28" s="1"/>
  <c r="P77" i="28"/>
  <c r="AC77" i="28"/>
  <c r="X76" i="28"/>
  <c r="AH76" i="28"/>
  <c r="A100" i="24"/>
  <c r="CA132" i="14"/>
  <c r="CC132" i="14"/>
  <c r="BR132" i="14"/>
  <c r="BF131" i="14"/>
  <c r="BN131" i="14"/>
  <c r="BB131" i="14"/>
  <c r="AB131" i="14"/>
  <c r="BM131" i="14"/>
  <c r="BD131" i="14"/>
  <c r="AJ131" i="14"/>
  <c r="AK131" i="14"/>
  <c r="BH131" i="14"/>
  <c r="BC131" i="14"/>
  <c r="AO131" i="14"/>
  <c r="BI131" i="14"/>
  <c r="AZ131" i="14"/>
  <c r="S131" i="14"/>
  <c r="AW131" i="14"/>
  <c r="W131" i="14"/>
  <c r="U131" i="14"/>
  <c r="AS131" i="14"/>
  <c r="AU131" i="14"/>
  <c r="AV131" i="14"/>
  <c r="AE131" i="14"/>
  <c r="BG131" i="14"/>
  <c r="AI131" i="14"/>
  <c r="AH131" i="14"/>
  <c r="AX131" i="14"/>
  <c r="AQ131" i="14"/>
  <c r="AG131" i="14"/>
  <c r="R131" i="14"/>
  <c r="Z131" i="14"/>
  <c r="Y131" i="14"/>
  <c r="AF131" i="14"/>
  <c r="BE131" i="14"/>
  <c r="AR131" i="14"/>
  <c r="V131" i="14"/>
  <c r="AL131" i="14"/>
  <c r="BA131" i="14"/>
  <c r="AT131" i="14"/>
  <c r="AD131" i="14"/>
  <c r="T131" i="14"/>
  <c r="X131" i="14"/>
  <c r="AC131" i="14"/>
  <c r="AY131" i="14"/>
  <c r="BK131" i="14"/>
  <c r="BJ131" i="14"/>
  <c r="AP131" i="14"/>
  <c r="S101" i="24"/>
  <c r="K132" i="14"/>
  <c r="BI132" i="14" s="1"/>
  <c r="F101" i="24"/>
  <c r="B101" i="24"/>
  <c r="W101" i="24" s="1"/>
  <c r="H101" i="24"/>
  <c r="R102" i="24"/>
  <c r="C105" i="34"/>
  <c r="D106" i="34" s="1"/>
  <c r="DV131" i="14"/>
  <c r="DS131" i="14"/>
  <c r="EM131" i="14"/>
  <c r="ES131" i="14"/>
  <c r="DC131" i="14"/>
  <c r="CV131" i="14"/>
  <c r="CW131" i="14"/>
  <c r="EE131" i="14"/>
  <c r="EA131" i="14"/>
  <c r="EO131" i="14"/>
  <c r="EJ131" i="14"/>
  <c r="EL131" i="14"/>
  <c r="EI131" i="14"/>
  <c r="DD131" i="14"/>
  <c r="EQ131" i="14"/>
  <c r="EF131" i="14"/>
  <c r="DF131" i="14"/>
  <c r="DT131" i="14"/>
  <c r="EN131" i="14"/>
  <c r="CX131" i="14"/>
  <c r="DI131" i="14"/>
  <c r="ED131" i="14"/>
  <c r="DN131" i="14"/>
  <c r="DQ131" i="14"/>
  <c r="DE131" i="14"/>
  <c r="EC131" i="14"/>
  <c r="DP131" i="14"/>
  <c r="EP131" i="14"/>
  <c r="DU131" i="14"/>
  <c r="DZ131" i="14"/>
  <c r="EB131" i="14"/>
  <c r="DB131" i="14"/>
  <c r="CY131" i="14"/>
  <c r="DA131" i="14"/>
  <c r="CZ131" i="14"/>
  <c r="ER131" i="14"/>
  <c r="EG131" i="14"/>
  <c r="BO131" i="14"/>
  <c r="G131" i="14" s="1"/>
  <c r="DG131" i="14"/>
  <c r="DY131" i="14"/>
  <c r="EH131" i="14"/>
  <c r="DL131" i="14"/>
  <c r="DX131" i="14"/>
  <c r="DM131" i="14"/>
  <c r="DK131" i="14"/>
  <c r="EK131" i="14"/>
  <c r="DO131" i="14"/>
  <c r="DJ131" i="14"/>
  <c r="DW131" i="14"/>
  <c r="DH131" i="14"/>
  <c r="BM132" i="14"/>
  <c r="A133" i="14"/>
  <c r="CE133" i="14" s="1"/>
  <c r="BU132" i="14"/>
  <c r="B121" i="40"/>
  <c r="BT132" i="14"/>
  <c r="BK132" i="14"/>
  <c r="AV132" i="14"/>
  <c r="GW158" i="7"/>
  <c r="GV159" i="7"/>
  <c r="GU159" i="7"/>
  <c r="GX158" i="7" l="1"/>
  <c r="AE77" i="28"/>
  <c r="AH77" i="28"/>
  <c r="X77" i="28"/>
  <c r="A79" i="28"/>
  <c r="Z79" i="28"/>
  <c r="Q78" i="28"/>
  <c r="R78" i="28" s="1"/>
  <c r="B78" i="28"/>
  <c r="P78" i="28"/>
  <c r="C78" i="28"/>
  <c r="AB78" i="28" s="1"/>
  <c r="AD78" i="28"/>
  <c r="AG78" i="28"/>
  <c r="AC78" i="28"/>
  <c r="O78" i="28"/>
  <c r="T78" i="28"/>
  <c r="S78" i="28" s="1"/>
  <c r="H78" i="28"/>
  <c r="A101" i="24"/>
  <c r="AJ132" i="14"/>
  <c r="R132" i="14"/>
  <c r="AO132" i="14"/>
  <c r="Y132" i="14"/>
  <c r="BG132" i="14"/>
  <c r="AT132" i="14"/>
  <c r="T132" i="14"/>
  <c r="AZ132" i="14"/>
  <c r="AR132" i="14"/>
  <c r="U132" i="14"/>
  <c r="AK132" i="14"/>
  <c r="BJ132" i="14"/>
  <c r="AU132" i="14"/>
  <c r="AX132" i="14"/>
  <c r="BE132" i="14"/>
  <c r="X132" i="14"/>
  <c r="AQ132" i="14"/>
  <c r="AI132" i="14"/>
  <c r="BH132" i="14"/>
  <c r="W132" i="14"/>
  <c r="AS132" i="14"/>
  <c r="AA132" i="14"/>
  <c r="BD132" i="14"/>
  <c r="BN132" i="14"/>
  <c r="AL132" i="14"/>
  <c r="AH132" i="14"/>
  <c r="AP132" i="14"/>
  <c r="BA132" i="14"/>
  <c r="S132" i="14"/>
  <c r="AF132" i="14"/>
  <c r="BL132" i="14"/>
  <c r="AC132" i="14"/>
  <c r="AY132" i="14"/>
  <c r="AW132" i="14"/>
  <c r="V132" i="14"/>
  <c r="AG132" i="14"/>
  <c r="BB132" i="14"/>
  <c r="AD132" i="14"/>
  <c r="Z132" i="14"/>
  <c r="AE132" i="14"/>
  <c r="AB132" i="14"/>
  <c r="S102" i="24"/>
  <c r="R103" i="24"/>
  <c r="B102" i="24"/>
  <c r="W102" i="24" s="1"/>
  <c r="F102" i="24"/>
  <c r="H102" i="24"/>
  <c r="BF132" i="14"/>
  <c r="BC132" i="14"/>
  <c r="C106" i="34"/>
  <c r="D107" i="34" s="1"/>
  <c r="A134" i="14"/>
  <c r="CE134" i="14" s="1"/>
  <c r="DW132" i="14"/>
  <c r="DA132" i="14"/>
  <c r="EO132" i="14"/>
  <c r="CY132" i="14"/>
  <c r="ER132" i="14"/>
  <c r="DG132" i="14"/>
  <c r="BO132" i="14"/>
  <c r="G132" i="14" s="1"/>
  <c r="DD132" i="14"/>
  <c r="EB132" i="14"/>
  <c r="ED132" i="14"/>
  <c r="DH132" i="14"/>
  <c r="DU132" i="14"/>
  <c r="DN132" i="14"/>
  <c r="DP132" i="14"/>
  <c r="DJ132" i="14"/>
  <c r="CV132" i="14"/>
  <c r="DM132" i="14"/>
  <c r="DX132" i="14"/>
  <c r="DI132" i="14"/>
  <c r="DB132" i="14"/>
  <c r="DK132" i="14"/>
  <c r="EE132" i="14"/>
  <c r="DF132" i="14"/>
  <c r="EG132" i="14"/>
  <c r="DE132" i="14"/>
  <c r="CX132" i="14"/>
  <c r="EP132" i="14"/>
  <c r="DQ132" i="14"/>
  <c r="CZ132" i="14"/>
  <c r="EJ132" i="14"/>
  <c r="EN132" i="14"/>
  <c r="DC132" i="14"/>
  <c r="EM132" i="14"/>
  <c r="EL132" i="14"/>
  <c r="DY132" i="14"/>
  <c r="DS132" i="14"/>
  <c r="DO132" i="14"/>
  <c r="EK132" i="14"/>
  <c r="DV132" i="14"/>
  <c r="DT132" i="14"/>
  <c r="EQ132" i="14"/>
  <c r="ES132" i="14"/>
  <c r="EC132" i="14"/>
  <c r="EI132" i="14"/>
  <c r="DL132" i="14"/>
  <c r="DZ132" i="14"/>
  <c r="EA132" i="14"/>
  <c r="CW132" i="14"/>
  <c r="EH132" i="14"/>
  <c r="EF132" i="14"/>
  <c r="P133" i="14"/>
  <c r="CB133" i="14"/>
  <c r="BV133" i="14" s="1"/>
  <c r="C133" i="14"/>
  <c r="BP133" i="14"/>
  <c r="D133" i="14"/>
  <c r="BQ133" i="14"/>
  <c r="B133" i="14"/>
  <c r="M133" i="14" s="1"/>
  <c r="C122" i="40" s="1"/>
  <c r="E122" i="40" s="1"/>
  <c r="A122" i="40"/>
  <c r="BX133" i="14"/>
  <c r="CG133" i="14"/>
  <c r="GW159" i="7"/>
  <c r="GU160" i="7"/>
  <c r="GV160" i="7"/>
  <c r="GX159" i="7" l="1"/>
  <c r="AE78" i="28"/>
  <c r="A80" i="28"/>
  <c r="Z80" i="28"/>
  <c r="T79" i="28"/>
  <c r="S79" i="28" s="1"/>
  <c r="AD79" i="28"/>
  <c r="C79" i="28"/>
  <c r="AB79" i="28" s="1"/>
  <c r="O79" i="28"/>
  <c r="AG79" i="28"/>
  <c r="Q79" i="28"/>
  <c r="R79" i="28" s="1"/>
  <c r="AC79" i="28"/>
  <c r="H79" i="28"/>
  <c r="B79" i="28"/>
  <c r="P79" i="28"/>
  <c r="X78" i="28"/>
  <c r="AH78" i="28"/>
  <c r="A102" i="24"/>
  <c r="CA133" i="14"/>
  <c r="CC133" i="14"/>
  <c r="BR133" i="14"/>
  <c r="C107" i="34"/>
  <c r="D108" i="34" s="1"/>
  <c r="S103" i="24"/>
  <c r="F103" i="24"/>
  <c r="H103" i="24"/>
  <c r="R104" i="24"/>
  <c r="B103" i="24"/>
  <c r="W103" i="24" s="1"/>
  <c r="BT133" i="14"/>
  <c r="B122" i="40"/>
  <c r="BU133" i="14"/>
  <c r="A135" i="14"/>
  <c r="CB134" i="14"/>
  <c r="BV134" i="14" s="1"/>
  <c r="BP134" i="14"/>
  <c r="B134" i="14"/>
  <c r="M134" i="14" s="1"/>
  <c r="C123" i="40" s="1"/>
  <c r="E123" i="40" s="1"/>
  <c r="BQ134" i="14"/>
  <c r="P134" i="14"/>
  <c r="C134" i="14"/>
  <c r="D134" i="14"/>
  <c r="A123" i="40"/>
  <c r="BX134" i="14"/>
  <c r="CG134" i="14"/>
  <c r="K133" i="14"/>
  <c r="AK133" i="14" s="1"/>
  <c r="GW160" i="7"/>
  <c r="GV161" i="7"/>
  <c r="GU161" i="7"/>
  <c r="GX160" i="7" l="1"/>
  <c r="AE79" i="28"/>
  <c r="AH79" i="28"/>
  <c r="X79" i="28"/>
  <c r="Z81" i="28"/>
  <c r="A81" i="28"/>
  <c r="Q80" i="28"/>
  <c r="R80" i="28" s="1"/>
  <c r="B80" i="28"/>
  <c r="P80" i="28"/>
  <c r="O80" i="28"/>
  <c r="AD80" i="28"/>
  <c r="C80" i="28"/>
  <c r="AB80" i="28" s="1"/>
  <c r="H80" i="28"/>
  <c r="T80" i="28"/>
  <c r="S80" i="28" s="1"/>
  <c r="AC80" i="28"/>
  <c r="AG80" i="28"/>
  <c r="A103" i="24"/>
  <c r="CA134" i="14"/>
  <c r="BR134" i="14"/>
  <c r="CC134" i="14"/>
  <c r="R133" i="14"/>
  <c r="AJ133" i="14"/>
  <c r="AQ133" i="14"/>
  <c r="U133" i="14"/>
  <c r="K134" i="14"/>
  <c r="AA134" i="14" s="1"/>
  <c r="C108" i="34"/>
  <c r="D109" i="34" s="1"/>
  <c r="F104" i="24"/>
  <c r="R105" i="24"/>
  <c r="H104" i="24"/>
  <c r="B104" i="24"/>
  <c r="W104" i="24" s="1"/>
  <c r="BL133" i="14"/>
  <c r="AA133" i="14"/>
  <c r="BG133" i="14"/>
  <c r="AD133" i="14"/>
  <c r="V133" i="14"/>
  <c r="BA133" i="14"/>
  <c r="AL133" i="14"/>
  <c r="BN133" i="14"/>
  <c r="AZ133" i="14"/>
  <c r="W133" i="14"/>
  <c r="AC133" i="14"/>
  <c r="BJ133" i="14"/>
  <c r="AG133" i="14"/>
  <c r="T133" i="14"/>
  <c r="BE133" i="14"/>
  <c r="AH133" i="14"/>
  <c r="BM133" i="14"/>
  <c r="AW133" i="14"/>
  <c r="S133" i="14"/>
  <c r="AR133" i="14"/>
  <c r="AT133" i="14"/>
  <c r="BI133" i="14"/>
  <c r="S104" i="24"/>
  <c r="Y133" i="14"/>
  <c r="AI133" i="14"/>
  <c r="AV133" i="14"/>
  <c r="BD133" i="14"/>
  <c r="AO133" i="14"/>
  <c r="X133" i="14"/>
  <c r="AE133" i="14"/>
  <c r="BK133" i="14"/>
  <c r="AX133" i="14"/>
  <c r="AF133" i="14"/>
  <c r="BQ135" i="14"/>
  <c r="BP135" i="14"/>
  <c r="P135" i="14"/>
  <c r="A124" i="40"/>
  <c r="CB135" i="14"/>
  <c r="BV135" i="14" s="1"/>
  <c r="C135" i="14"/>
  <c r="B135" i="14"/>
  <c r="M135" i="14" s="1"/>
  <c r="C124" i="40" s="1"/>
  <c r="E124" i="40" s="1"/>
  <c r="D135" i="14"/>
  <c r="CG135" i="14"/>
  <c r="BX135" i="14"/>
  <c r="DG133" i="14"/>
  <c r="EH133" i="14"/>
  <c r="EI133" i="14"/>
  <c r="DM133" i="14"/>
  <c r="CV133" i="14"/>
  <c r="EM133" i="14"/>
  <c r="DD133" i="14"/>
  <c r="ER133" i="14"/>
  <c r="ES133" i="14"/>
  <c r="EO133" i="14"/>
  <c r="DF133" i="14"/>
  <c r="DO133" i="14"/>
  <c r="DY133" i="14"/>
  <c r="EN133" i="14"/>
  <c r="EF133" i="14"/>
  <c r="CY133" i="14"/>
  <c r="DI133" i="14"/>
  <c r="EL133" i="14"/>
  <c r="DV133" i="14"/>
  <c r="CW133" i="14"/>
  <c r="DC133" i="14"/>
  <c r="EQ133" i="14"/>
  <c r="DQ133" i="14"/>
  <c r="EP133" i="14"/>
  <c r="DB133" i="14"/>
  <c r="BO133" i="14"/>
  <c r="G133" i="14" s="1"/>
  <c r="EK133" i="14"/>
  <c r="DH133" i="14"/>
  <c r="DX133" i="14"/>
  <c r="EA133" i="14"/>
  <c r="EE133" i="14"/>
  <c r="DJ133" i="14"/>
  <c r="DA133" i="14"/>
  <c r="EC133" i="14"/>
  <c r="DS133" i="14"/>
  <c r="ED133" i="14"/>
  <c r="CZ133" i="14"/>
  <c r="DT133" i="14"/>
  <c r="EJ133" i="14"/>
  <c r="DN133" i="14"/>
  <c r="DP133" i="14"/>
  <c r="DW133" i="14"/>
  <c r="DL133" i="14"/>
  <c r="EG133" i="14"/>
  <c r="CX133" i="14"/>
  <c r="DZ133" i="14"/>
  <c r="EB133" i="14"/>
  <c r="DU133" i="14"/>
  <c r="DE133" i="14"/>
  <c r="DK133" i="14"/>
  <c r="BC133" i="14"/>
  <c r="BF133" i="14"/>
  <c r="AP133" i="14"/>
  <c r="Z133" i="14"/>
  <c r="BB133" i="14"/>
  <c r="AB133" i="14"/>
  <c r="AU133" i="14"/>
  <c r="BB134" i="14"/>
  <c r="AY133" i="14"/>
  <c r="BH133" i="14"/>
  <c r="AS133" i="14"/>
  <c r="BJ134" i="14"/>
  <c r="BU134" i="14"/>
  <c r="BT134" i="14"/>
  <c r="B123" i="40"/>
  <c r="AR134" i="14"/>
  <c r="CE135" i="14"/>
  <c r="GW161" i="7"/>
  <c r="GV162" i="7"/>
  <c r="GU162" i="7"/>
  <c r="GX161" i="7" l="1"/>
  <c r="AE80" i="28"/>
  <c r="X80" i="28"/>
  <c r="AH80" i="28"/>
  <c r="AD81" i="28"/>
  <c r="Q81" i="28"/>
  <c r="R81" i="28" s="1"/>
  <c r="B81" i="28"/>
  <c r="O81" i="28"/>
  <c r="AC81" i="28"/>
  <c r="C81" i="28"/>
  <c r="AB81" i="28" s="1"/>
  <c r="P81" i="28"/>
  <c r="AG81" i="28"/>
  <c r="T81" i="28"/>
  <c r="S81" i="28" s="1"/>
  <c r="H81" i="28"/>
  <c r="Z82" i="28"/>
  <c r="A82" i="28"/>
  <c r="A104" i="24"/>
  <c r="CA135" i="14"/>
  <c r="CC135" i="14"/>
  <c r="BR135" i="14"/>
  <c r="AL134" i="14"/>
  <c r="AK134" i="14"/>
  <c r="Y134" i="14"/>
  <c r="BK134" i="14"/>
  <c r="U134" i="14"/>
  <c r="AZ134" i="14"/>
  <c r="AQ134" i="14"/>
  <c r="R134" i="14"/>
  <c r="AD134" i="14"/>
  <c r="AS134" i="14"/>
  <c r="AU134" i="14"/>
  <c r="AB134" i="14"/>
  <c r="T134" i="14"/>
  <c r="BM134" i="14"/>
  <c r="AF134" i="14"/>
  <c r="AT134" i="14"/>
  <c r="AY134" i="14"/>
  <c r="W134" i="14"/>
  <c r="BH134" i="14"/>
  <c r="BG134" i="14"/>
  <c r="Z134" i="14"/>
  <c r="AC134" i="14"/>
  <c r="BA134" i="14"/>
  <c r="AO134" i="14"/>
  <c r="X134" i="14"/>
  <c r="V134" i="14"/>
  <c r="S134" i="14"/>
  <c r="AP134" i="14"/>
  <c r="BF134" i="14"/>
  <c r="BI134" i="14"/>
  <c r="AX134" i="14"/>
  <c r="AI134" i="14"/>
  <c r="AH134" i="14"/>
  <c r="BL134" i="14"/>
  <c r="AJ134" i="14"/>
  <c r="S105" i="24"/>
  <c r="K135" i="14"/>
  <c r="AC135" i="14" s="1"/>
  <c r="AV134" i="14"/>
  <c r="BD134" i="14"/>
  <c r="BC134" i="14"/>
  <c r="AE134" i="14"/>
  <c r="AW134" i="14"/>
  <c r="AG134" i="14"/>
  <c r="BN134" i="14"/>
  <c r="BE134" i="14"/>
  <c r="C109" i="34"/>
  <c r="D110" i="34" s="1"/>
  <c r="R106" i="24"/>
  <c r="F105" i="24"/>
  <c r="H105" i="24"/>
  <c r="B105" i="24"/>
  <c r="W105" i="24" s="1"/>
  <c r="DP134" i="14"/>
  <c r="DE134" i="14"/>
  <c r="DD134" i="14"/>
  <c r="DQ134" i="14"/>
  <c r="DV134" i="14"/>
  <c r="DJ134" i="14"/>
  <c r="CZ134" i="14"/>
  <c r="EM134" i="14"/>
  <c r="ED134" i="14"/>
  <c r="CY134" i="14"/>
  <c r="EB134" i="14"/>
  <c r="DG134" i="14"/>
  <c r="CV134" i="14"/>
  <c r="BO134" i="14"/>
  <c r="G134" i="14" s="1"/>
  <c r="DN134" i="14"/>
  <c r="EE134" i="14"/>
  <c r="EA134" i="14"/>
  <c r="DB134" i="14"/>
  <c r="EL134" i="14"/>
  <c r="EF134" i="14"/>
  <c r="DX134" i="14"/>
  <c r="DS134" i="14"/>
  <c r="EO134" i="14"/>
  <c r="DK134" i="14"/>
  <c r="EN134" i="14"/>
  <c r="DZ134" i="14"/>
  <c r="DH134" i="14"/>
  <c r="DC134" i="14"/>
  <c r="CX134" i="14"/>
  <c r="DL134" i="14"/>
  <c r="EH134" i="14"/>
  <c r="EP134" i="14"/>
  <c r="DA134" i="14"/>
  <c r="DU134" i="14"/>
  <c r="EJ134" i="14"/>
  <c r="EI134" i="14"/>
  <c r="ER134" i="14"/>
  <c r="DW134" i="14"/>
  <c r="DF134" i="14"/>
  <c r="DO134" i="14"/>
  <c r="EC134" i="14"/>
  <c r="ES134" i="14"/>
  <c r="DI134" i="14"/>
  <c r="DY134" i="14"/>
  <c r="CW134" i="14"/>
  <c r="EK134" i="14"/>
  <c r="EG134" i="14"/>
  <c r="DM134" i="14"/>
  <c r="DT134" i="14"/>
  <c r="EQ134" i="14"/>
  <c r="B124" i="40"/>
  <c r="BU135" i="14"/>
  <c r="BT135" i="14"/>
  <c r="BJ135" i="14"/>
  <c r="A136" i="14"/>
  <c r="CE136" i="14" s="1"/>
  <c r="AP135" i="14"/>
  <c r="BL135" i="14"/>
  <c r="GW162" i="7"/>
  <c r="GU163" i="7"/>
  <c r="GV163" i="7"/>
  <c r="GX162" i="7" l="1"/>
  <c r="AE81" i="28"/>
  <c r="O82" i="28"/>
  <c r="H82" i="28"/>
  <c r="T82" i="28"/>
  <c r="S82" i="28" s="1"/>
  <c r="AG82" i="28"/>
  <c r="C82" i="28"/>
  <c r="AB82" i="28" s="1"/>
  <c r="B82" i="28"/>
  <c r="X82" i="28" s="1"/>
  <c r="AC82" i="28"/>
  <c r="AD82" i="28"/>
  <c r="P82" i="28"/>
  <c r="Q82" i="28"/>
  <c r="R82" i="28" s="1"/>
  <c r="X81" i="28"/>
  <c r="AH81" i="28"/>
  <c r="A105" i="24"/>
  <c r="Z135" i="14"/>
  <c r="R135" i="14"/>
  <c r="S106" i="24"/>
  <c r="AL135" i="14"/>
  <c r="BN135" i="14"/>
  <c r="AT135" i="14"/>
  <c r="BA135" i="14"/>
  <c r="BF135" i="14"/>
  <c r="AS135" i="14"/>
  <c r="S135" i="14"/>
  <c r="U135" i="14"/>
  <c r="BM135" i="14"/>
  <c r="BG135" i="14"/>
  <c r="BC135" i="14"/>
  <c r="BE135" i="14"/>
  <c r="W135" i="14"/>
  <c r="AV135" i="14"/>
  <c r="AX135" i="14"/>
  <c r="AK135" i="14"/>
  <c r="BD135" i="14"/>
  <c r="AR135" i="14"/>
  <c r="AG135" i="14"/>
  <c r="AY135" i="14"/>
  <c r="BK135" i="14"/>
  <c r="AD135" i="14"/>
  <c r="AI135" i="14"/>
  <c r="AE135" i="14"/>
  <c r="AJ135" i="14"/>
  <c r="AW135" i="14"/>
  <c r="Y135" i="14"/>
  <c r="V135" i="14"/>
  <c r="AF135" i="14"/>
  <c r="BI135" i="14"/>
  <c r="X135" i="14"/>
  <c r="AO135" i="14"/>
  <c r="AZ135" i="14"/>
  <c r="AH135" i="14"/>
  <c r="BH135" i="14"/>
  <c r="BB135" i="14"/>
  <c r="AQ135" i="14"/>
  <c r="AA135" i="14"/>
  <c r="AB135" i="14"/>
  <c r="AU135" i="14"/>
  <c r="T135" i="14"/>
  <c r="C110" i="34"/>
  <c r="D111" i="34" s="1"/>
  <c r="R107" i="24"/>
  <c r="F106" i="24"/>
  <c r="B106" i="24"/>
  <c r="W106" i="24" s="1"/>
  <c r="H106" i="24"/>
  <c r="DH135" i="14"/>
  <c r="DM135" i="14"/>
  <c r="DE135" i="14"/>
  <c r="DI135" i="14"/>
  <c r="DY135" i="14"/>
  <c r="DZ135" i="14"/>
  <c r="DD135" i="14"/>
  <c r="EK135" i="14"/>
  <c r="EB135" i="14"/>
  <c r="DO135" i="14"/>
  <c r="EO135" i="14"/>
  <c r="DK135" i="14"/>
  <c r="BO135" i="14"/>
  <c r="G135" i="14" s="1"/>
  <c r="EH135" i="14"/>
  <c r="EC135" i="14"/>
  <c r="CX135" i="14"/>
  <c r="CZ135" i="14"/>
  <c r="DF135" i="14"/>
  <c r="EP135" i="14"/>
  <c r="DT135" i="14"/>
  <c r="EL135" i="14"/>
  <c r="DV135" i="14"/>
  <c r="ED135" i="14"/>
  <c r="EA135" i="14"/>
  <c r="EF135" i="14"/>
  <c r="ES135" i="14"/>
  <c r="EJ135" i="14"/>
  <c r="CW135" i="14"/>
  <c r="DP135" i="14"/>
  <c r="EE135" i="14"/>
  <c r="DQ135" i="14"/>
  <c r="DB135" i="14"/>
  <c r="DX135" i="14"/>
  <c r="CV135" i="14"/>
  <c r="DU135" i="14"/>
  <c r="DG135" i="14"/>
  <c r="DW135" i="14"/>
  <c r="ER135" i="14"/>
  <c r="DC135" i="14"/>
  <c r="EM135" i="14"/>
  <c r="EI135" i="14"/>
  <c r="DS135" i="14"/>
  <c r="DN135" i="14"/>
  <c r="EN135" i="14"/>
  <c r="DL135" i="14"/>
  <c r="DJ135" i="14"/>
  <c r="EG135" i="14"/>
  <c r="DA135" i="14"/>
  <c r="CY135" i="14"/>
  <c r="EQ135" i="14"/>
  <c r="A137" i="14"/>
  <c r="CE137" i="14" s="1"/>
  <c r="P136" i="14"/>
  <c r="C136" i="14"/>
  <c r="D136" i="14"/>
  <c r="CB136" i="14"/>
  <c r="BV136" i="14" s="1"/>
  <c r="A125" i="40"/>
  <c r="BP136" i="14"/>
  <c r="BQ136" i="14"/>
  <c r="B136" i="14"/>
  <c r="M136" i="14" s="1"/>
  <c r="C125" i="40" s="1"/>
  <c r="E125" i="40" s="1"/>
  <c r="CG136" i="14"/>
  <c r="BX136" i="14"/>
  <c r="GW163" i="7"/>
  <c r="GV164" i="7"/>
  <c r="GU164" i="7"/>
  <c r="GX163" i="7" l="1"/>
  <c r="AE82" i="28"/>
  <c r="AH82" i="28"/>
  <c r="Y65" i="28"/>
  <c r="Y64" i="28" s="1"/>
  <c r="A106" i="24"/>
  <c r="CA136" i="14"/>
  <c r="CC136" i="14"/>
  <c r="BR136" i="14"/>
  <c r="S107" i="24"/>
  <c r="C111" i="34"/>
  <c r="D112" i="34" s="1"/>
  <c r="F107" i="24"/>
  <c r="H107" i="24"/>
  <c r="B107" i="24"/>
  <c r="BU136" i="14"/>
  <c r="B125" i="40"/>
  <c r="BT136" i="14"/>
  <c r="A138" i="14"/>
  <c r="CE138" i="14" s="1"/>
  <c r="K136" i="14"/>
  <c r="V136" i="14" s="1"/>
  <c r="BF137" i="14"/>
  <c r="BE137" i="14"/>
  <c r="G137" i="14"/>
  <c r="EK137" i="14"/>
  <c r="EA137" i="14"/>
  <c r="BQ137" i="14"/>
  <c r="P137" i="14"/>
  <c r="AP137" i="14"/>
  <c r="AX137" i="14"/>
  <c r="DI137" i="14"/>
  <c r="BB137" i="14"/>
  <c r="EO137" i="14"/>
  <c r="CZ137" i="14"/>
  <c r="CV137" i="14"/>
  <c r="DG137" i="14"/>
  <c r="BG137" i="14"/>
  <c r="BI137" i="14"/>
  <c r="EM137" i="14"/>
  <c r="DN137" i="14"/>
  <c r="DC137" i="14"/>
  <c r="DL137" i="14"/>
  <c r="AO137" i="14"/>
  <c r="ER137" i="14"/>
  <c r="DF137" i="14"/>
  <c r="EF137" i="14"/>
  <c r="EI137" i="14"/>
  <c r="DY137" i="14"/>
  <c r="AW137" i="14"/>
  <c r="EP137" i="14"/>
  <c r="BN137" i="14"/>
  <c r="AT137" i="14"/>
  <c r="AR137" i="14"/>
  <c r="CW137" i="14"/>
  <c r="DW137" i="14"/>
  <c r="EC137" i="14"/>
  <c r="BJ137" i="14"/>
  <c r="ED137" i="14"/>
  <c r="BL137" i="14"/>
  <c r="DA137" i="14"/>
  <c r="DP137" i="14"/>
  <c r="EB137" i="14"/>
  <c r="BP137" i="14"/>
  <c r="DB137" i="14"/>
  <c r="AZ137" i="14"/>
  <c r="C137" i="14"/>
  <c r="BA137" i="14"/>
  <c r="BD137" i="14"/>
  <c r="AS137" i="14"/>
  <c r="CB137" i="14"/>
  <c r="BV137" i="14" s="1"/>
  <c r="AY137" i="14"/>
  <c r="EE137" i="14"/>
  <c r="EN137" i="14"/>
  <c r="EG137" i="14"/>
  <c r="BH137" i="14"/>
  <c r="DU137" i="14"/>
  <c r="EJ137" i="14"/>
  <c r="DE137" i="14"/>
  <c r="A126" i="40"/>
  <c r="EQ137" i="14"/>
  <c r="DS137" i="14"/>
  <c r="DJ137" i="14"/>
  <c r="BC137" i="14"/>
  <c r="CG137" i="14"/>
  <c r="BO137" i="14"/>
  <c r="AQ137" i="14"/>
  <c r="DZ137" i="14"/>
  <c r="DT137" i="14"/>
  <c r="AV137" i="14"/>
  <c r="D137" i="14"/>
  <c r="DM137" i="14"/>
  <c r="DX137" i="14"/>
  <c r="CX137" i="14"/>
  <c r="BK137" i="14"/>
  <c r="EH137" i="14"/>
  <c r="DK137" i="14"/>
  <c r="EL137" i="14"/>
  <c r="B137" i="14"/>
  <c r="M137" i="14" s="1"/>
  <c r="C126" i="40" s="1"/>
  <c r="E126" i="40" s="1"/>
  <c r="AU137" i="14"/>
  <c r="DH137" i="14"/>
  <c r="DO137" i="14"/>
  <c r="DQ137" i="14"/>
  <c r="DV137" i="14"/>
  <c r="ES137" i="14"/>
  <c r="BM137" i="14"/>
  <c r="DD137" i="14"/>
  <c r="CY137" i="14"/>
  <c r="BX137" i="14"/>
  <c r="BB136" i="14"/>
  <c r="GW164" i="7"/>
  <c r="GU165" i="7"/>
  <c r="GV165" i="7"/>
  <c r="GX164" i="7" l="1"/>
  <c r="W107" i="24"/>
  <c r="W71" i="24" s="1"/>
  <c r="CA137" i="14"/>
  <c r="BR137" i="14"/>
  <c r="CC137" i="14"/>
  <c r="BJ136" i="14"/>
  <c r="R136" i="14"/>
  <c r="BD136" i="14"/>
  <c r="AO136" i="14"/>
  <c r="AA136" i="14"/>
  <c r="BF136" i="14"/>
  <c r="AE136" i="14"/>
  <c r="AY136" i="14"/>
  <c r="AZ136" i="14"/>
  <c r="C112" i="34"/>
  <c r="D113" i="34" s="1"/>
  <c r="AX136" i="14"/>
  <c r="U136" i="14"/>
  <c r="AQ136" i="14"/>
  <c r="Y136" i="14"/>
  <c r="AR136" i="14"/>
  <c r="A139" i="14"/>
  <c r="CE139" i="14" s="1"/>
  <c r="BH136" i="14"/>
  <c r="AC136" i="14"/>
  <c r="AU136" i="14"/>
  <c r="AJ136" i="14"/>
  <c r="BA136" i="14"/>
  <c r="BG136" i="14"/>
  <c r="DM136" i="14"/>
  <c r="DW136" i="14"/>
  <c r="CW136" i="14"/>
  <c r="EN136" i="14"/>
  <c r="DX136" i="14"/>
  <c r="ES136" i="14"/>
  <c r="EE136" i="14"/>
  <c r="EI136" i="14"/>
  <c r="DO136" i="14"/>
  <c r="DS136" i="14"/>
  <c r="ER136" i="14"/>
  <c r="DD136" i="14"/>
  <c r="DJ136" i="14"/>
  <c r="DA136" i="14"/>
  <c r="DZ136" i="14"/>
  <c r="DC136" i="14"/>
  <c r="DI136" i="14"/>
  <c r="EP136" i="14"/>
  <c r="DL136" i="14"/>
  <c r="EM136" i="14"/>
  <c r="DK136" i="14"/>
  <c r="DG136" i="14"/>
  <c r="DQ136" i="14"/>
  <c r="EA136" i="14"/>
  <c r="DH136" i="14"/>
  <c r="DY136" i="14"/>
  <c r="EJ136" i="14"/>
  <c r="DF136" i="14"/>
  <c r="DE136" i="14"/>
  <c r="EK136" i="14"/>
  <c r="EQ136" i="14"/>
  <c r="EG136" i="14"/>
  <c r="CY136" i="14"/>
  <c r="DV136" i="14"/>
  <c r="CZ136" i="14"/>
  <c r="DT136" i="14"/>
  <c r="DP136" i="14"/>
  <c r="EL136" i="14"/>
  <c r="BO136" i="14"/>
  <c r="G136" i="14" s="1"/>
  <c r="EO136" i="14"/>
  <c r="EB136" i="14"/>
  <c r="DN136" i="14"/>
  <c r="EC136" i="14"/>
  <c r="ED136" i="14"/>
  <c r="DU136" i="14"/>
  <c r="EF136" i="14"/>
  <c r="CV136" i="14"/>
  <c r="EH136" i="14"/>
  <c r="CX136" i="14"/>
  <c r="DB136" i="14"/>
  <c r="AS138" i="14"/>
  <c r="EH138" i="14"/>
  <c r="DK138" i="14"/>
  <c r="AR138" i="14"/>
  <c r="EC138" i="14"/>
  <c r="DA138" i="14"/>
  <c r="EK138" i="14"/>
  <c r="DS138" i="14"/>
  <c r="DG138" i="14"/>
  <c r="BI138" i="14"/>
  <c r="AV138" i="14"/>
  <c r="EF138" i="14"/>
  <c r="DP138" i="14"/>
  <c r="BC138" i="14"/>
  <c r="EP138" i="14"/>
  <c r="BF138" i="14"/>
  <c r="B138" i="14"/>
  <c r="M138" i="14" s="1"/>
  <c r="C127" i="40" s="1"/>
  <c r="E127" i="40" s="1"/>
  <c r="AO138" i="14"/>
  <c r="BG138" i="14"/>
  <c r="EM138" i="14"/>
  <c r="EE138" i="14"/>
  <c r="BQ138" i="14"/>
  <c r="BO138" i="14"/>
  <c r="ER138" i="14"/>
  <c r="EO138" i="14"/>
  <c r="AT138" i="14"/>
  <c r="CX138" i="14"/>
  <c r="DQ138" i="14"/>
  <c r="G138" i="14"/>
  <c r="BA138" i="14"/>
  <c r="DZ138" i="14"/>
  <c r="DE138" i="14"/>
  <c r="BP138" i="14"/>
  <c r="CZ138" i="14"/>
  <c r="EI138" i="14"/>
  <c r="DD138" i="14"/>
  <c r="EN138" i="14"/>
  <c r="ED138" i="14"/>
  <c r="BJ138" i="14"/>
  <c r="EQ138" i="14"/>
  <c r="BB138" i="14"/>
  <c r="CW138" i="14"/>
  <c r="DI138" i="14"/>
  <c r="DY138" i="14"/>
  <c r="DU138" i="14"/>
  <c r="AQ138" i="14"/>
  <c r="BK138" i="14"/>
  <c r="A127" i="40"/>
  <c r="BH138" i="14"/>
  <c r="DW138" i="14"/>
  <c r="BE138" i="14"/>
  <c r="BD138" i="14"/>
  <c r="BM138" i="14"/>
  <c r="DB138" i="14"/>
  <c r="C138" i="14"/>
  <c r="DT138" i="14"/>
  <c r="DC138" i="14"/>
  <c r="DF138" i="14"/>
  <c r="ES138" i="14"/>
  <c r="CV138" i="14"/>
  <c r="EJ138" i="14"/>
  <c r="D138" i="14"/>
  <c r="AZ138" i="14"/>
  <c r="BN138" i="14"/>
  <c r="BL138" i="14"/>
  <c r="EB138" i="14"/>
  <c r="EG138" i="14"/>
  <c r="EL138" i="14"/>
  <c r="CY138" i="14"/>
  <c r="DV138" i="14"/>
  <c r="AU138" i="14"/>
  <c r="DL138" i="14"/>
  <c r="EA138" i="14"/>
  <c r="DJ138" i="14"/>
  <c r="DN138" i="14"/>
  <c r="P138" i="14"/>
  <c r="AY138" i="14"/>
  <c r="DM138" i="14"/>
  <c r="DH138" i="14"/>
  <c r="CB138" i="14"/>
  <c r="BV138" i="14" s="1"/>
  <c r="DX138" i="14"/>
  <c r="AX138" i="14"/>
  <c r="DO138" i="14"/>
  <c r="AP138" i="14"/>
  <c r="AW138" i="14"/>
  <c r="BX138" i="14"/>
  <c r="CG138" i="14"/>
  <c r="AI136" i="14"/>
  <c r="AB136" i="14"/>
  <c r="AL136" i="14"/>
  <c r="BI136" i="14"/>
  <c r="B126" i="40"/>
  <c r="BU137" i="14"/>
  <c r="BT137" i="14"/>
  <c r="AK136" i="14"/>
  <c r="AW136" i="14"/>
  <c r="BC136" i="14"/>
  <c r="AH136" i="14"/>
  <c r="BE136" i="14"/>
  <c r="BL136" i="14"/>
  <c r="AS136" i="14"/>
  <c r="AF136" i="14"/>
  <c r="Z136" i="14"/>
  <c r="AG136" i="14"/>
  <c r="AT136" i="14"/>
  <c r="AD136" i="14"/>
  <c r="S136" i="14"/>
  <c r="BN136" i="14"/>
  <c r="K137" i="14"/>
  <c r="AC137" i="14" s="1"/>
  <c r="BM136" i="14"/>
  <c r="W136" i="14"/>
  <c r="T136" i="14"/>
  <c r="BK136" i="14"/>
  <c r="X136" i="14"/>
  <c r="AP136" i="14"/>
  <c r="AV136" i="14"/>
  <c r="GW165" i="7"/>
  <c r="GV166" i="7"/>
  <c r="GU166" i="7"/>
  <c r="GX165" i="7" l="1"/>
  <c r="CA138" i="14"/>
  <c r="CC138" i="14"/>
  <c r="BR138" i="14"/>
  <c r="C113" i="34"/>
  <c r="D114" i="34" s="1"/>
  <c r="A140" i="14"/>
  <c r="CE140" i="14" s="1"/>
  <c r="V137" i="14"/>
  <c r="AL137" i="14"/>
  <c r="T137" i="14"/>
  <c r="AI137" i="14"/>
  <c r="U137" i="14"/>
  <c r="AG137" i="14"/>
  <c r="R137" i="14"/>
  <c r="Y137" i="14"/>
  <c r="X137" i="14"/>
  <c r="AD137" i="14"/>
  <c r="BC139" i="14"/>
  <c r="DX139" i="14"/>
  <c r="BN139" i="14"/>
  <c r="DJ139" i="14"/>
  <c r="EC139" i="14"/>
  <c r="DU139" i="14"/>
  <c r="DO139" i="14"/>
  <c r="BL139" i="14"/>
  <c r="EF139" i="14"/>
  <c r="AR139" i="14"/>
  <c r="DF139" i="14"/>
  <c r="AP139" i="14"/>
  <c r="DC139" i="14"/>
  <c r="CW139" i="14"/>
  <c r="EI139" i="14"/>
  <c r="EM139" i="14"/>
  <c r="ER139" i="14"/>
  <c r="BA139" i="14"/>
  <c r="AV139" i="14"/>
  <c r="BG139" i="14"/>
  <c r="C139" i="14"/>
  <c r="BD139" i="14"/>
  <c r="EN139" i="14"/>
  <c r="EE139" i="14"/>
  <c r="CV139" i="14"/>
  <c r="DM139" i="14"/>
  <c r="P139" i="14"/>
  <c r="BB139" i="14"/>
  <c r="EG139" i="14"/>
  <c r="AZ139" i="14"/>
  <c r="DY139" i="14"/>
  <c r="EJ139" i="14"/>
  <c r="G139" i="14"/>
  <c r="EL139" i="14"/>
  <c r="DI139" i="14"/>
  <c r="DN139" i="14"/>
  <c r="BH139" i="14"/>
  <c r="DV139" i="14"/>
  <c r="CY139" i="14"/>
  <c r="BP139" i="14"/>
  <c r="DZ139" i="14"/>
  <c r="DW139" i="14"/>
  <c r="EQ139" i="14"/>
  <c r="BE139" i="14"/>
  <c r="CZ139" i="14"/>
  <c r="AY139" i="14"/>
  <c r="DK139" i="14"/>
  <c r="ED139" i="14"/>
  <c r="DB139" i="14"/>
  <c r="EP139" i="14"/>
  <c r="BK139" i="14"/>
  <c r="BI139" i="14"/>
  <c r="DQ139" i="14"/>
  <c r="DL139" i="14"/>
  <c r="BM139" i="14"/>
  <c r="EA139" i="14"/>
  <c r="D139" i="14"/>
  <c r="DE139" i="14"/>
  <c r="AT139" i="14"/>
  <c r="CX139" i="14"/>
  <c r="DT139" i="14"/>
  <c r="AW139" i="14"/>
  <c r="AO139" i="14"/>
  <c r="A128" i="40"/>
  <c r="EO139" i="14"/>
  <c r="BJ139" i="14"/>
  <c r="AX139" i="14"/>
  <c r="BF139" i="14"/>
  <c r="BQ139" i="14"/>
  <c r="EB139" i="14"/>
  <c r="DG139" i="14"/>
  <c r="DP139" i="14"/>
  <c r="EK139" i="14"/>
  <c r="BO139" i="14"/>
  <c r="DH139" i="14"/>
  <c r="AQ139" i="14"/>
  <c r="CB139" i="14"/>
  <c r="BV139" i="14" s="1"/>
  <c r="DA139" i="14"/>
  <c r="AU139" i="14"/>
  <c r="AS139" i="14"/>
  <c r="EH139" i="14"/>
  <c r="ES139" i="14"/>
  <c r="DS139" i="14"/>
  <c r="B139" i="14"/>
  <c r="M139" i="14" s="1"/>
  <c r="C128" i="40" s="1"/>
  <c r="E128" i="40" s="1"/>
  <c r="DD139" i="14"/>
  <c r="CG139" i="14"/>
  <c r="BX139" i="14"/>
  <c r="BU138" i="14"/>
  <c r="B127" i="40"/>
  <c r="BT138" i="14"/>
  <c r="AE137" i="14"/>
  <c r="AH137" i="14"/>
  <c r="S137" i="14"/>
  <c r="AK137" i="14"/>
  <c r="AA137" i="14"/>
  <c r="K138" i="14"/>
  <c r="AJ137" i="14"/>
  <c r="W137" i="14"/>
  <c r="AF137" i="14"/>
  <c r="Z137" i="14"/>
  <c r="AB137" i="14"/>
  <c r="GW166" i="7"/>
  <c r="GV167" i="7"/>
  <c r="GU167" i="7"/>
  <c r="GX166" i="7" l="1"/>
  <c r="CA139" i="14"/>
  <c r="BR139" i="14"/>
  <c r="CC139" i="14"/>
  <c r="C114" i="34"/>
  <c r="D115" i="34" s="1"/>
  <c r="A141" i="14"/>
  <c r="CE141" i="14" s="1"/>
  <c r="Z138" i="14"/>
  <c r="U138" i="14"/>
  <c r="AI138" i="14"/>
  <c r="AJ138" i="14"/>
  <c r="Y138" i="14"/>
  <c r="AH138" i="14"/>
  <c r="AF138" i="14"/>
  <c r="T138" i="14"/>
  <c r="X138" i="14"/>
  <c r="AL138" i="14"/>
  <c r="R138" i="14"/>
  <c r="AA138" i="14"/>
  <c r="AC138" i="14"/>
  <c r="W138" i="14"/>
  <c r="AB138" i="14"/>
  <c r="A129" i="40"/>
  <c r="BC140" i="14"/>
  <c r="EF140" i="14"/>
  <c r="DK140" i="14"/>
  <c r="ED140" i="14"/>
  <c r="BK140" i="14"/>
  <c r="DQ140" i="14"/>
  <c r="DM140" i="14"/>
  <c r="DG140" i="14"/>
  <c r="DI140" i="14"/>
  <c r="DA140" i="14"/>
  <c r="DC140" i="14"/>
  <c r="BF140" i="14"/>
  <c r="AZ140" i="14"/>
  <c r="EA140" i="14"/>
  <c r="BA140" i="14"/>
  <c r="BL140" i="14"/>
  <c r="BD140" i="14"/>
  <c r="EO140" i="14"/>
  <c r="EG140" i="14"/>
  <c r="AU140" i="14"/>
  <c r="EM140" i="14"/>
  <c r="AW140" i="14"/>
  <c r="DE140" i="14"/>
  <c r="EK140" i="14"/>
  <c r="DB140" i="14"/>
  <c r="BN140" i="14"/>
  <c r="DN140" i="14"/>
  <c r="CB140" i="14"/>
  <c r="BV140" i="14" s="1"/>
  <c r="BM140" i="14"/>
  <c r="EJ140" i="14"/>
  <c r="AY140" i="14"/>
  <c r="EI140" i="14"/>
  <c r="EQ140" i="14"/>
  <c r="EH140" i="14"/>
  <c r="AV140" i="14"/>
  <c r="AQ140" i="14"/>
  <c r="CW140" i="14"/>
  <c r="P140" i="14"/>
  <c r="C140" i="14"/>
  <c r="AO140" i="14"/>
  <c r="BH140" i="14"/>
  <c r="DD140" i="14"/>
  <c r="ES140" i="14"/>
  <c r="AT140" i="14"/>
  <c r="BI140" i="14"/>
  <c r="DH140" i="14"/>
  <c r="DF140" i="14"/>
  <c r="DW140" i="14"/>
  <c r="DJ140" i="14"/>
  <c r="AR140" i="14"/>
  <c r="BE140" i="14"/>
  <c r="G140" i="14"/>
  <c r="DL140" i="14"/>
  <c r="BJ140" i="14"/>
  <c r="ER140" i="14"/>
  <c r="DY140" i="14"/>
  <c r="DX140" i="14"/>
  <c r="AS140" i="14"/>
  <c r="EP140" i="14"/>
  <c r="DV140" i="14"/>
  <c r="EL140" i="14"/>
  <c r="CZ140" i="14"/>
  <c r="CX140" i="14"/>
  <c r="D140" i="14"/>
  <c r="EC140" i="14"/>
  <c r="BQ140" i="14"/>
  <c r="EE140" i="14"/>
  <c r="DS140" i="14"/>
  <c r="AX140" i="14"/>
  <c r="DP140" i="14"/>
  <c r="BP140" i="14"/>
  <c r="BO140" i="14"/>
  <c r="BB140" i="14"/>
  <c r="B140" i="14"/>
  <c r="M140" i="14" s="1"/>
  <c r="C129" i="40" s="1"/>
  <c r="E129" i="40" s="1"/>
  <c r="DU140" i="14"/>
  <c r="DT140" i="14"/>
  <c r="CY140" i="14"/>
  <c r="EN140" i="14"/>
  <c r="AP140" i="14"/>
  <c r="EB140" i="14"/>
  <c r="DO140" i="14"/>
  <c r="CV140" i="14"/>
  <c r="BG140" i="14"/>
  <c r="DZ140" i="14"/>
  <c r="BX140" i="14"/>
  <c r="CG140" i="14"/>
  <c r="BT139" i="14"/>
  <c r="B128" i="40"/>
  <c r="BU139" i="14"/>
  <c r="S138" i="14"/>
  <c r="AE138" i="14"/>
  <c r="AG138" i="14"/>
  <c r="AK138" i="14"/>
  <c r="V138" i="14"/>
  <c r="AD138" i="14"/>
  <c r="K139" i="14"/>
  <c r="V139" i="14" s="1"/>
  <c r="GW167" i="7"/>
  <c r="GU168" i="7"/>
  <c r="GV168" i="7"/>
  <c r="GX167" i="7" l="1"/>
  <c r="CA140" i="14"/>
  <c r="BR140" i="14"/>
  <c r="CC140" i="14"/>
  <c r="AK139" i="14"/>
  <c r="C115" i="34"/>
  <c r="D116" i="34" s="1"/>
  <c r="K140" i="14"/>
  <c r="AL140" i="14" s="1"/>
  <c r="S139" i="14"/>
  <c r="A142" i="14"/>
  <c r="CE142" i="14" s="1"/>
  <c r="AH139" i="14"/>
  <c r="AL139" i="14"/>
  <c r="DY141" i="14"/>
  <c r="ED141" i="14"/>
  <c r="ER141" i="14"/>
  <c r="EI141" i="14"/>
  <c r="AV141" i="14"/>
  <c r="AP141" i="14"/>
  <c r="DQ141" i="14"/>
  <c r="BP141" i="14"/>
  <c r="EM141" i="14"/>
  <c r="AY141" i="14"/>
  <c r="DO141" i="14"/>
  <c r="DP141" i="14"/>
  <c r="BG141" i="14"/>
  <c r="DC141" i="14"/>
  <c r="EQ141" i="14"/>
  <c r="EP141" i="14"/>
  <c r="EL141" i="14"/>
  <c r="BA141" i="14"/>
  <c r="DJ141" i="14"/>
  <c r="BB141" i="14"/>
  <c r="CX141" i="14"/>
  <c r="EK141" i="14"/>
  <c r="CZ141" i="14"/>
  <c r="EH141" i="14"/>
  <c r="DE141" i="14"/>
  <c r="A130" i="40"/>
  <c r="C141" i="14"/>
  <c r="DL141" i="14"/>
  <c r="DS141" i="14"/>
  <c r="EG141" i="14"/>
  <c r="D141" i="14"/>
  <c r="EA141" i="14"/>
  <c r="AQ141" i="14"/>
  <c r="EE141" i="14"/>
  <c r="DK141" i="14"/>
  <c r="DW141" i="14"/>
  <c r="BL141" i="14"/>
  <c r="AW141" i="14"/>
  <c r="DN141" i="14"/>
  <c r="DA141" i="14"/>
  <c r="DH141" i="14"/>
  <c r="DG141" i="14"/>
  <c r="AR141" i="14"/>
  <c r="CB141" i="14"/>
  <c r="BV141" i="14" s="1"/>
  <c r="DF141" i="14"/>
  <c r="EB141" i="14"/>
  <c r="CV141" i="14"/>
  <c r="ES141" i="14"/>
  <c r="BM141" i="14"/>
  <c r="BE141" i="14"/>
  <c r="BI141" i="14"/>
  <c r="B141" i="14"/>
  <c r="M141" i="14" s="1"/>
  <c r="C130" i="40" s="1"/>
  <c r="E130" i="40" s="1"/>
  <c r="AO141" i="14"/>
  <c r="DX141" i="14"/>
  <c r="AX141" i="14"/>
  <c r="BJ141" i="14"/>
  <c r="AU141" i="14"/>
  <c r="CW141" i="14"/>
  <c r="EJ141" i="14"/>
  <c r="G141" i="14"/>
  <c r="EO141" i="14"/>
  <c r="DV141" i="14"/>
  <c r="DT141" i="14"/>
  <c r="EC141" i="14"/>
  <c r="DM141" i="14"/>
  <c r="DU141" i="14"/>
  <c r="P141" i="14"/>
  <c r="AT141" i="14"/>
  <c r="AZ141" i="14"/>
  <c r="AS141" i="14"/>
  <c r="BC141" i="14"/>
  <c r="BN141" i="14"/>
  <c r="BK141" i="14"/>
  <c r="DI141" i="14"/>
  <c r="BH141" i="14"/>
  <c r="DD141" i="14"/>
  <c r="DZ141" i="14"/>
  <c r="BD141" i="14"/>
  <c r="BO141" i="14"/>
  <c r="DB141" i="14"/>
  <c r="EF141" i="14"/>
  <c r="BF141" i="14"/>
  <c r="EN141" i="14"/>
  <c r="BQ141" i="14"/>
  <c r="CY141" i="14"/>
  <c r="CG141" i="14"/>
  <c r="BX141" i="14"/>
  <c r="AJ139" i="14"/>
  <c r="T139" i="14"/>
  <c r="AC139" i="14"/>
  <c r="U139" i="14"/>
  <c r="R139" i="14"/>
  <c r="AA139" i="14"/>
  <c r="AD139" i="14"/>
  <c r="AF139" i="14"/>
  <c r="B129" i="40"/>
  <c r="BT140" i="14"/>
  <c r="BU140" i="14"/>
  <c r="Z139" i="14"/>
  <c r="AI139" i="14"/>
  <c r="W139" i="14"/>
  <c r="AB139" i="14"/>
  <c r="Y139" i="14"/>
  <c r="AG139" i="14"/>
  <c r="X139" i="14"/>
  <c r="AE139" i="14"/>
  <c r="GW168" i="7"/>
  <c r="GU169" i="7"/>
  <c r="GV169" i="7"/>
  <c r="GX168" i="7" l="1"/>
  <c r="CA141" i="14"/>
  <c r="CC141" i="14"/>
  <c r="BR141" i="14"/>
  <c r="AC140" i="14"/>
  <c r="W140" i="14"/>
  <c r="AG140" i="14"/>
  <c r="AB140" i="14"/>
  <c r="AA140" i="14"/>
  <c r="V140" i="14"/>
  <c r="AJ140" i="14"/>
  <c r="R140" i="14"/>
  <c r="AI140" i="14"/>
  <c r="AK140" i="14"/>
  <c r="AD140" i="14"/>
  <c r="AH140" i="14"/>
  <c r="U140" i="14"/>
  <c r="T140" i="14"/>
  <c r="K141" i="14"/>
  <c r="U141" i="14" s="1"/>
  <c r="AF140" i="14"/>
  <c r="Y140" i="14"/>
  <c r="AE140" i="14"/>
  <c r="Z140" i="14"/>
  <c r="C116" i="34"/>
  <c r="D117" i="34" s="1"/>
  <c r="S140" i="14"/>
  <c r="X140" i="14"/>
  <c r="A143" i="14"/>
  <c r="CE143" i="14" s="1"/>
  <c r="EO142" i="14"/>
  <c r="DN142" i="14"/>
  <c r="EM142" i="14"/>
  <c r="DM142" i="14"/>
  <c r="BF142" i="14"/>
  <c r="EL142" i="14"/>
  <c r="CW142" i="14"/>
  <c r="BJ142" i="14"/>
  <c r="CX142" i="14"/>
  <c r="AY142" i="14"/>
  <c r="DU142" i="14"/>
  <c r="CZ142" i="14"/>
  <c r="AO142" i="14"/>
  <c r="DV142" i="14"/>
  <c r="ER142" i="14"/>
  <c r="EJ142" i="14"/>
  <c r="DO142" i="14"/>
  <c r="EB142" i="14"/>
  <c r="EH142" i="14"/>
  <c r="BE142" i="14"/>
  <c r="EQ142" i="14"/>
  <c r="BO142" i="14"/>
  <c r="BP142" i="14"/>
  <c r="AW142" i="14"/>
  <c r="DK142" i="14"/>
  <c r="CV142" i="14"/>
  <c r="AQ142" i="14"/>
  <c r="DL142" i="14"/>
  <c r="DG142" i="14"/>
  <c r="AU142" i="14"/>
  <c r="B142" i="14"/>
  <c r="M142" i="14" s="1"/>
  <c r="C131" i="40" s="1"/>
  <c r="E131" i="40" s="1"/>
  <c r="BL142" i="14"/>
  <c r="CY142" i="14"/>
  <c r="AP142" i="14"/>
  <c r="CB142" i="14"/>
  <c r="BV142" i="14" s="1"/>
  <c r="BD142" i="14"/>
  <c r="BG142" i="14"/>
  <c r="DT142" i="14"/>
  <c r="DZ142" i="14"/>
  <c r="EE142" i="14"/>
  <c r="BK142" i="14"/>
  <c r="AV142" i="14"/>
  <c r="DY142" i="14"/>
  <c r="DS142" i="14"/>
  <c r="BC142" i="14"/>
  <c r="DD142" i="14"/>
  <c r="P142" i="14"/>
  <c r="BQ142" i="14"/>
  <c r="DH142" i="14"/>
  <c r="BI142" i="14"/>
  <c r="D142" i="14"/>
  <c r="BN142" i="14"/>
  <c r="DJ142" i="14"/>
  <c r="AX142" i="14"/>
  <c r="DC142" i="14"/>
  <c r="DQ142" i="14"/>
  <c r="EK142" i="14"/>
  <c r="DE142" i="14"/>
  <c r="AZ142" i="14"/>
  <c r="EC142" i="14"/>
  <c r="DB142" i="14"/>
  <c r="C142" i="14"/>
  <c r="G142" i="14"/>
  <c r="EI142" i="14"/>
  <c r="DI142" i="14"/>
  <c r="DF142" i="14"/>
  <c r="BB142" i="14"/>
  <c r="EF142" i="14"/>
  <c r="A131" i="40"/>
  <c r="ED142" i="14"/>
  <c r="AT142" i="14"/>
  <c r="DX142" i="14"/>
  <c r="ES142" i="14"/>
  <c r="BA142" i="14"/>
  <c r="DP142" i="14"/>
  <c r="DA142" i="14"/>
  <c r="DW142" i="14"/>
  <c r="BM142" i="14"/>
  <c r="EP142" i="14"/>
  <c r="AR142" i="14"/>
  <c r="EN142" i="14"/>
  <c r="AS142" i="14"/>
  <c r="EA142" i="14"/>
  <c r="EG142" i="14"/>
  <c r="BH142" i="14"/>
  <c r="BX142" i="14"/>
  <c r="CG142" i="14"/>
  <c r="B130" i="40"/>
  <c r="BU141" i="14"/>
  <c r="BT141" i="14"/>
  <c r="GW169" i="7"/>
  <c r="GV170" i="7"/>
  <c r="GU170" i="7"/>
  <c r="GX169" i="7" l="1"/>
  <c r="W141" i="14"/>
  <c r="CA142" i="14"/>
  <c r="BR142" i="14"/>
  <c r="CC142" i="14"/>
  <c r="AJ141" i="14"/>
  <c r="AE141" i="14"/>
  <c r="S141" i="14"/>
  <c r="AD141" i="14"/>
  <c r="AI141" i="14"/>
  <c r="AB141" i="14"/>
  <c r="X141" i="14"/>
  <c r="R141" i="14"/>
  <c r="T141" i="14"/>
  <c r="Y141" i="14"/>
  <c r="AH141" i="14"/>
  <c r="K142" i="14"/>
  <c r="T142" i="14" s="1"/>
  <c r="AL141" i="14"/>
  <c r="AK141" i="14"/>
  <c r="V141" i="14"/>
  <c r="AA141" i="14"/>
  <c r="AF141" i="14"/>
  <c r="AG141" i="14"/>
  <c r="Z141" i="14"/>
  <c r="AC141" i="14"/>
  <c r="C117" i="34"/>
  <c r="D118" i="34" s="1"/>
  <c r="A144" i="14"/>
  <c r="CE144" i="14" s="1"/>
  <c r="B131" i="40"/>
  <c r="BU142" i="14"/>
  <c r="BT142" i="14"/>
  <c r="DK143" i="14"/>
  <c r="DZ143" i="14"/>
  <c r="EF143" i="14"/>
  <c r="BD143" i="14"/>
  <c r="BQ143" i="14"/>
  <c r="EM143" i="14"/>
  <c r="DF143" i="14"/>
  <c r="EQ143" i="14"/>
  <c r="CX143" i="14"/>
  <c r="BH143" i="14"/>
  <c r="EG143" i="14"/>
  <c r="BN143" i="14"/>
  <c r="BF143" i="14"/>
  <c r="AW143" i="14"/>
  <c r="DU143" i="14"/>
  <c r="AY143" i="14"/>
  <c r="DC143" i="14"/>
  <c r="AR143" i="14"/>
  <c r="AQ143" i="14"/>
  <c r="A132" i="40"/>
  <c r="CB143" i="14"/>
  <c r="BV143" i="14" s="1"/>
  <c r="DO143" i="14"/>
  <c r="EH143" i="14"/>
  <c r="DS143" i="14"/>
  <c r="EB143" i="14"/>
  <c r="EL143" i="14"/>
  <c r="BA143" i="14"/>
  <c r="EJ143" i="14"/>
  <c r="CW143" i="14"/>
  <c r="BE143" i="14"/>
  <c r="CY143" i="14"/>
  <c r="BO143" i="14"/>
  <c r="DQ143" i="14"/>
  <c r="BL143" i="14"/>
  <c r="AT143" i="14"/>
  <c r="DL143" i="14"/>
  <c r="BB143" i="14"/>
  <c r="AV143" i="14"/>
  <c r="BK143" i="14"/>
  <c r="EK143" i="14"/>
  <c r="AS143" i="14"/>
  <c r="EN143" i="14"/>
  <c r="DB143" i="14"/>
  <c r="DV143" i="14"/>
  <c r="G143" i="14"/>
  <c r="DI143" i="14"/>
  <c r="BJ143" i="14"/>
  <c r="BG143" i="14"/>
  <c r="ER143" i="14"/>
  <c r="DW143" i="14"/>
  <c r="AX143" i="14"/>
  <c r="EA143" i="14"/>
  <c r="DP143" i="14"/>
  <c r="CZ143" i="14"/>
  <c r="DH143" i="14"/>
  <c r="DM143" i="14"/>
  <c r="BM143" i="14"/>
  <c r="DN143" i="14"/>
  <c r="DX143" i="14"/>
  <c r="DD143" i="14"/>
  <c r="DA143" i="14"/>
  <c r="EE143" i="14"/>
  <c r="ES143" i="14"/>
  <c r="EP143" i="14"/>
  <c r="DJ143" i="14"/>
  <c r="D143" i="14"/>
  <c r="EO143" i="14"/>
  <c r="BC143" i="14"/>
  <c r="DE143" i="14"/>
  <c r="B143" i="14"/>
  <c r="M143" i="14" s="1"/>
  <c r="C132" i="40" s="1"/>
  <c r="E132" i="40" s="1"/>
  <c r="AP143" i="14"/>
  <c r="AZ143" i="14"/>
  <c r="C143" i="14"/>
  <c r="DG143" i="14"/>
  <c r="CV143" i="14"/>
  <c r="DY143" i="14"/>
  <c r="EI143" i="14"/>
  <c r="BI143" i="14"/>
  <c r="EC143" i="14"/>
  <c r="P143" i="14"/>
  <c r="AU143" i="14"/>
  <c r="AO143" i="14"/>
  <c r="ED143" i="14"/>
  <c r="BP143" i="14"/>
  <c r="DT143" i="14"/>
  <c r="BX143" i="14"/>
  <c r="CG143" i="14"/>
  <c r="GW170" i="7"/>
  <c r="GV171" i="7"/>
  <c r="GU171" i="7"/>
  <c r="GX170" i="7" l="1"/>
  <c r="CA143" i="14"/>
  <c r="BR143" i="14"/>
  <c r="CC143" i="14"/>
  <c r="Y142" i="14"/>
  <c r="AK142" i="14"/>
  <c r="AF142" i="14"/>
  <c r="AI142" i="14"/>
  <c r="AC142" i="14"/>
  <c r="R142" i="14"/>
  <c r="V142" i="14"/>
  <c r="W142" i="14"/>
  <c r="AG142" i="14"/>
  <c r="AL142" i="14"/>
  <c r="S142" i="14"/>
  <c r="AA142" i="14"/>
  <c r="X142" i="14"/>
  <c r="AE142" i="14"/>
  <c r="AH142" i="14"/>
  <c r="AJ142" i="14"/>
  <c r="U142" i="14"/>
  <c r="Z142" i="14"/>
  <c r="AD142" i="14"/>
  <c r="AB142" i="14"/>
  <c r="C118" i="34"/>
  <c r="D119" i="34" s="1"/>
  <c r="A145" i="14"/>
  <c r="CE145" i="14" s="1"/>
  <c r="B132" i="40"/>
  <c r="BU143" i="14"/>
  <c r="BT143" i="14"/>
  <c r="BO144" i="14"/>
  <c r="EL144" i="14"/>
  <c r="DN144" i="14"/>
  <c r="AY144" i="14"/>
  <c r="DM144" i="14"/>
  <c r="EE144" i="14"/>
  <c r="DG144" i="14"/>
  <c r="DC144" i="14"/>
  <c r="AO144" i="14"/>
  <c r="DS144" i="14"/>
  <c r="EF144" i="14"/>
  <c r="P144" i="14"/>
  <c r="AS144" i="14"/>
  <c r="BB144" i="14"/>
  <c r="EB144" i="14"/>
  <c r="DA144" i="14"/>
  <c r="EP144" i="14"/>
  <c r="AZ144" i="14"/>
  <c r="A133" i="40"/>
  <c r="BE144" i="14"/>
  <c r="DZ144" i="14"/>
  <c r="BL144" i="14"/>
  <c r="BH144" i="14"/>
  <c r="CX144" i="14"/>
  <c r="EQ144" i="14"/>
  <c r="BA144" i="14"/>
  <c r="DT144" i="14"/>
  <c r="ES144" i="14"/>
  <c r="EG144" i="14"/>
  <c r="AR144" i="14"/>
  <c r="CB144" i="14"/>
  <c r="BV144" i="14" s="1"/>
  <c r="B144" i="14"/>
  <c r="M144" i="14" s="1"/>
  <c r="C133" i="40" s="1"/>
  <c r="E133" i="40" s="1"/>
  <c r="ER144" i="14"/>
  <c r="EK144" i="14"/>
  <c r="DL144" i="14"/>
  <c r="BP144" i="14"/>
  <c r="DK144" i="14"/>
  <c r="BC144" i="14"/>
  <c r="DV144" i="14"/>
  <c r="EA144" i="14"/>
  <c r="EH144" i="14"/>
  <c r="DO144" i="14"/>
  <c r="AT144" i="14"/>
  <c r="BI144" i="14"/>
  <c r="BG144" i="14"/>
  <c r="DW144" i="14"/>
  <c r="AP144" i="14"/>
  <c r="EN144" i="14"/>
  <c r="EI144" i="14"/>
  <c r="EM144" i="14"/>
  <c r="G144" i="14"/>
  <c r="DH144" i="14"/>
  <c r="DJ144" i="14"/>
  <c r="EO144" i="14"/>
  <c r="DI144" i="14"/>
  <c r="AQ144" i="14"/>
  <c r="CV144" i="14"/>
  <c r="AX144" i="14"/>
  <c r="DX144" i="14"/>
  <c r="DE144" i="14"/>
  <c r="DU144" i="14"/>
  <c r="C144" i="14"/>
  <c r="DF144" i="14"/>
  <c r="ED144" i="14"/>
  <c r="DP144" i="14"/>
  <c r="BM144" i="14"/>
  <c r="DD144" i="14"/>
  <c r="CZ144" i="14"/>
  <c r="CY144" i="14"/>
  <c r="AU144" i="14"/>
  <c r="DQ144" i="14"/>
  <c r="BD144" i="14"/>
  <c r="BQ144" i="14"/>
  <c r="DY144" i="14"/>
  <c r="BK144" i="14"/>
  <c r="BN144" i="14"/>
  <c r="EJ144" i="14"/>
  <c r="AW144" i="14"/>
  <c r="D144" i="14"/>
  <c r="BJ144" i="14"/>
  <c r="DB144" i="14"/>
  <c r="CW144" i="14"/>
  <c r="BF144" i="14"/>
  <c r="AV144" i="14"/>
  <c r="EC144" i="14"/>
  <c r="BX144" i="14"/>
  <c r="CG144" i="14"/>
  <c r="K143" i="14"/>
  <c r="V143" i="14" s="1"/>
  <c r="GW171" i="7"/>
  <c r="GU172" i="7"/>
  <c r="GV172" i="7"/>
  <c r="GX171" i="7" l="1"/>
  <c r="CA144" i="14"/>
  <c r="BR144" i="14"/>
  <c r="CC144" i="14"/>
  <c r="C119" i="34"/>
  <c r="D120" i="34" s="1"/>
  <c r="A146" i="14"/>
  <c r="CE146" i="14" s="1"/>
  <c r="U143" i="14"/>
  <c r="AG143" i="14"/>
  <c r="AJ143" i="14"/>
  <c r="AE143" i="14"/>
  <c r="EN145" i="14"/>
  <c r="AP145" i="14"/>
  <c r="AR145" i="14"/>
  <c r="AU145" i="14"/>
  <c r="BJ145" i="14"/>
  <c r="BK145" i="14"/>
  <c r="DK145" i="14"/>
  <c r="EP145" i="14"/>
  <c r="DA145" i="14"/>
  <c r="AS145" i="14"/>
  <c r="DC145" i="14"/>
  <c r="DF145" i="14"/>
  <c r="AZ145" i="14"/>
  <c r="CB145" i="14"/>
  <c r="BV145" i="14" s="1"/>
  <c r="DM145" i="14"/>
  <c r="A134" i="40"/>
  <c r="AX145" i="14"/>
  <c r="DD145" i="14"/>
  <c r="BB145" i="14"/>
  <c r="DT145" i="14"/>
  <c r="DI145" i="14"/>
  <c r="EM145" i="14"/>
  <c r="EO145" i="14"/>
  <c r="BE145" i="14"/>
  <c r="DY145" i="14"/>
  <c r="CW145" i="14"/>
  <c r="BM145" i="14"/>
  <c r="EH145" i="14"/>
  <c r="ES145" i="14"/>
  <c r="BD145" i="14"/>
  <c r="EC145" i="14"/>
  <c r="BA145" i="14"/>
  <c r="DW145" i="14"/>
  <c r="BN145" i="14"/>
  <c r="BI145" i="14"/>
  <c r="B145" i="14"/>
  <c r="M145" i="14" s="1"/>
  <c r="C134" i="40" s="1"/>
  <c r="E134" i="40" s="1"/>
  <c r="ER145" i="14"/>
  <c r="BH145" i="14"/>
  <c r="BC145" i="14"/>
  <c r="DZ145" i="14"/>
  <c r="DN145" i="14"/>
  <c r="EJ145" i="14"/>
  <c r="AW145" i="14"/>
  <c r="DP145" i="14"/>
  <c r="ED145" i="14"/>
  <c r="DX145" i="14"/>
  <c r="DH145" i="14"/>
  <c r="EA145" i="14"/>
  <c r="BP145" i="14"/>
  <c r="EQ145" i="14"/>
  <c r="DV145" i="14"/>
  <c r="BF145" i="14"/>
  <c r="DS145" i="14"/>
  <c r="EI145" i="14"/>
  <c r="EB145" i="14"/>
  <c r="EL145" i="14"/>
  <c r="DU145" i="14"/>
  <c r="CZ145" i="14"/>
  <c r="DO145" i="14"/>
  <c r="DB145" i="14"/>
  <c r="DQ145" i="14"/>
  <c r="EG145" i="14"/>
  <c r="BO145" i="14"/>
  <c r="P145" i="14"/>
  <c r="CY145" i="14"/>
  <c r="DJ145" i="14"/>
  <c r="EK145" i="14"/>
  <c r="CX145" i="14"/>
  <c r="DG145" i="14"/>
  <c r="DL145" i="14"/>
  <c r="C145" i="14"/>
  <c r="AY145" i="14"/>
  <c r="CV145" i="14"/>
  <c r="EF145" i="14"/>
  <c r="BQ145" i="14"/>
  <c r="AV145" i="14"/>
  <c r="G145" i="14"/>
  <c r="AQ145" i="14"/>
  <c r="BL145" i="14"/>
  <c r="DE145" i="14"/>
  <c r="BG145" i="14"/>
  <c r="EE145" i="14"/>
  <c r="D145" i="14"/>
  <c r="AT145" i="14"/>
  <c r="AO145" i="14"/>
  <c r="BX145" i="14"/>
  <c r="CG145" i="14"/>
  <c r="AI143" i="14"/>
  <c r="W143" i="14"/>
  <c r="AA143" i="14"/>
  <c r="BT144" i="14"/>
  <c r="B133" i="40"/>
  <c r="BU144" i="14"/>
  <c r="Z143" i="14"/>
  <c r="AK143" i="14"/>
  <c r="AF143" i="14"/>
  <c r="AC143" i="14"/>
  <c r="AD143" i="14"/>
  <c r="AL143" i="14"/>
  <c r="T143" i="14"/>
  <c r="Y143" i="14"/>
  <c r="AB143" i="14"/>
  <c r="X143" i="14"/>
  <c r="R143" i="14"/>
  <c r="S143" i="14"/>
  <c r="AH143" i="14"/>
  <c r="K144" i="14"/>
  <c r="U144" i="14" s="1"/>
  <c r="GW172" i="7"/>
  <c r="GU173" i="7"/>
  <c r="GV173" i="7"/>
  <c r="GX172" i="7" l="1"/>
  <c r="CA145" i="14"/>
  <c r="CC145" i="14"/>
  <c r="BR145" i="14"/>
  <c r="K145" i="14"/>
  <c r="AC145" i="14" s="1"/>
  <c r="C120" i="34"/>
  <c r="D121" i="34" s="1"/>
  <c r="A147" i="14"/>
  <c r="CE147" i="14" s="1"/>
  <c r="AE144" i="14"/>
  <c r="AD144" i="14"/>
  <c r="AH144" i="14"/>
  <c r="AL144" i="14"/>
  <c r="T144" i="14"/>
  <c r="Z144" i="14"/>
  <c r="AK144" i="14"/>
  <c r="S144" i="14"/>
  <c r="W144" i="14"/>
  <c r="AG144" i="14"/>
  <c r="R144" i="14"/>
  <c r="Y144" i="14"/>
  <c r="AI144" i="14"/>
  <c r="AA144" i="14"/>
  <c r="AB144" i="14"/>
  <c r="V144" i="14"/>
  <c r="AC144" i="14"/>
  <c r="BO146" i="14"/>
  <c r="BD146" i="14"/>
  <c r="EL146" i="14"/>
  <c r="CB146" i="14"/>
  <c r="BV146" i="14" s="1"/>
  <c r="EH146" i="14"/>
  <c r="ED146" i="14"/>
  <c r="DJ146" i="14"/>
  <c r="BQ146" i="14"/>
  <c r="BL146" i="14"/>
  <c r="EP146" i="14"/>
  <c r="BK146" i="14"/>
  <c r="AV146" i="14"/>
  <c r="EB146" i="14"/>
  <c r="AT146" i="14"/>
  <c r="AZ146" i="14"/>
  <c r="DC146" i="14"/>
  <c r="AX146" i="14"/>
  <c r="CY146" i="14"/>
  <c r="DU146" i="14"/>
  <c r="DZ146" i="14"/>
  <c r="DT146" i="14"/>
  <c r="DP146" i="14"/>
  <c r="CV146" i="14"/>
  <c r="DL146" i="14"/>
  <c r="DE146" i="14"/>
  <c r="AO146" i="14"/>
  <c r="G146" i="14"/>
  <c r="EA146" i="14"/>
  <c r="EQ146" i="14"/>
  <c r="BH146" i="14"/>
  <c r="BJ146" i="14"/>
  <c r="AU146" i="14"/>
  <c r="DY146" i="14"/>
  <c r="DB146" i="14"/>
  <c r="DV146" i="14"/>
  <c r="DM146" i="14"/>
  <c r="AR146" i="14"/>
  <c r="AQ146" i="14"/>
  <c r="EO146" i="14"/>
  <c r="BA146" i="14"/>
  <c r="AY146" i="14"/>
  <c r="EG146" i="14"/>
  <c r="B146" i="14"/>
  <c r="M146" i="14" s="1"/>
  <c r="C135" i="40" s="1"/>
  <c r="E135" i="40" s="1"/>
  <c r="D146" i="14"/>
  <c r="EJ146" i="14"/>
  <c r="EI146" i="14"/>
  <c r="P146" i="14"/>
  <c r="BE146" i="14"/>
  <c r="EK146" i="14"/>
  <c r="DF146" i="14"/>
  <c r="BN146" i="14"/>
  <c r="AS146" i="14"/>
  <c r="DS146" i="14"/>
  <c r="EN146" i="14"/>
  <c r="BI146" i="14"/>
  <c r="DW146" i="14"/>
  <c r="BC146" i="14"/>
  <c r="BP146" i="14"/>
  <c r="C146" i="14"/>
  <c r="ES146" i="14"/>
  <c r="BF146" i="14"/>
  <c r="DI146" i="14"/>
  <c r="A135" i="40"/>
  <c r="BG146" i="14"/>
  <c r="CX146" i="14"/>
  <c r="DA146" i="14"/>
  <c r="BM146" i="14"/>
  <c r="EE146" i="14"/>
  <c r="DK146" i="14"/>
  <c r="DN146" i="14"/>
  <c r="DQ146" i="14"/>
  <c r="EM146" i="14"/>
  <c r="DH146" i="14"/>
  <c r="EC146" i="14"/>
  <c r="DD146" i="14"/>
  <c r="EF146" i="14"/>
  <c r="DG146" i="14"/>
  <c r="BB146" i="14"/>
  <c r="AP146" i="14"/>
  <c r="DO146" i="14"/>
  <c r="DX146" i="14"/>
  <c r="CW146" i="14"/>
  <c r="AW146" i="14"/>
  <c r="ER146" i="14"/>
  <c r="CZ146" i="14"/>
  <c r="CG146" i="14"/>
  <c r="BX146" i="14"/>
  <c r="AF144" i="14"/>
  <c r="BT145" i="14"/>
  <c r="B134" i="40"/>
  <c r="BU145" i="14"/>
  <c r="AJ144" i="14"/>
  <c r="X144" i="14"/>
  <c r="GW173" i="7"/>
  <c r="GV174" i="7"/>
  <c r="GU174" i="7"/>
  <c r="GV175" i="7"/>
  <c r="GU175" i="7"/>
  <c r="GX173" i="7" l="1"/>
  <c r="CA146" i="14"/>
  <c r="BR146" i="14"/>
  <c r="CC146" i="14"/>
  <c r="AF145" i="14"/>
  <c r="X145" i="14"/>
  <c r="AI145" i="14"/>
  <c r="AE145" i="14"/>
  <c r="K146" i="14"/>
  <c r="R146" i="14" s="1"/>
  <c r="S145" i="14"/>
  <c r="T145" i="14"/>
  <c r="AA145" i="14"/>
  <c r="AJ145" i="14"/>
  <c r="U145" i="14"/>
  <c r="R145" i="14"/>
  <c r="Z145" i="14"/>
  <c r="AG145" i="14"/>
  <c r="W145" i="14"/>
  <c r="AH145" i="14"/>
  <c r="AL145" i="14"/>
  <c r="AK145" i="14"/>
  <c r="AB145" i="14"/>
  <c r="V145" i="14"/>
  <c r="Y145" i="14"/>
  <c r="AD145" i="14"/>
  <c r="C121" i="34"/>
  <c r="D122" i="34" s="1"/>
  <c r="A148" i="14"/>
  <c r="CE148" i="14" s="1"/>
  <c r="B135" i="40"/>
  <c r="BT146" i="14"/>
  <c r="BU146" i="14"/>
  <c r="B147" i="14"/>
  <c r="M147" i="14" s="1"/>
  <c r="C136" i="40" s="1"/>
  <c r="E136" i="40" s="1"/>
  <c r="D147" i="14"/>
  <c r="EB147" i="14"/>
  <c r="CV147" i="14"/>
  <c r="BB147" i="14"/>
  <c r="DC147" i="14"/>
  <c r="BA147" i="14"/>
  <c r="DU147" i="14"/>
  <c r="ED147" i="14"/>
  <c r="BI147" i="14"/>
  <c r="AQ147" i="14"/>
  <c r="EK147" i="14"/>
  <c r="AT147" i="14"/>
  <c r="DE147" i="14"/>
  <c r="BJ147" i="14"/>
  <c r="DX147" i="14"/>
  <c r="CX147" i="14"/>
  <c r="EH147" i="14"/>
  <c r="AY147" i="14"/>
  <c r="AP147" i="14"/>
  <c r="AW147" i="14"/>
  <c r="DA147" i="14"/>
  <c r="EO147" i="14"/>
  <c r="EE147" i="14"/>
  <c r="G147" i="14"/>
  <c r="DG147" i="14"/>
  <c r="DY147" i="14"/>
  <c r="EJ147" i="14"/>
  <c r="AU147" i="14"/>
  <c r="DJ147" i="14"/>
  <c r="BK147" i="14"/>
  <c r="DB147" i="14"/>
  <c r="EQ147" i="14"/>
  <c r="DK147" i="14"/>
  <c r="BO147" i="14"/>
  <c r="DW147" i="14"/>
  <c r="EG147" i="14"/>
  <c r="DF147" i="14"/>
  <c r="ER147" i="14"/>
  <c r="AR147" i="14"/>
  <c r="DM147" i="14"/>
  <c r="P147" i="14"/>
  <c r="AZ147" i="14"/>
  <c r="DH147" i="14"/>
  <c r="EF147" i="14"/>
  <c r="EC147" i="14"/>
  <c r="EM147" i="14"/>
  <c r="EP147" i="14"/>
  <c r="BQ147" i="14"/>
  <c r="AV147" i="14"/>
  <c r="CB147" i="14"/>
  <c r="BV147" i="14" s="1"/>
  <c r="BP147" i="14"/>
  <c r="C147" i="14"/>
  <c r="DI147" i="14"/>
  <c r="BG147" i="14"/>
  <c r="BC147" i="14"/>
  <c r="EN147" i="14"/>
  <c r="DL147" i="14"/>
  <c r="DO147" i="14"/>
  <c r="DZ147" i="14"/>
  <c r="ES147" i="14"/>
  <c r="BL147" i="14"/>
  <c r="EA147" i="14"/>
  <c r="BM147" i="14"/>
  <c r="DT147" i="14"/>
  <c r="DV147" i="14"/>
  <c r="AO147" i="14"/>
  <c r="BH147" i="14"/>
  <c r="EL147" i="14"/>
  <c r="EI147" i="14"/>
  <c r="CY147" i="14"/>
  <c r="A136" i="40"/>
  <c r="BD147" i="14"/>
  <c r="CW147" i="14"/>
  <c r="BF147" i="14"/>
  <c r="AS147" i="14"/>
  <c r="DS147" i="14"/>
  <c r="AX147" i="14"/>
  <c r="DP147" i="14"/>
  <c r="CZ147" i="14"/>
  <c r="BE147" i="14"/>
  <c r="BN147" i="14"/>
  <c r="DN147" i="14"/>
  <c r="DD147" i="14"/>
  <c r="DQ147" i="14"/>
  <c r="CG147" i="14"/>
  <c r="BX147" i="14"/>
  <c r="GW175" i="7"/>
  <c r="GW174" i="7"/>
  <c r="GV176" i="7"/>
  <c r="GU176" i="7"/>
  <c r="GX174" i="7" l="1"/>
  <c r="GX175" i="7"/>
  <c r="CA147" i="14"/>
  <c r="BR147" i="14"/>
  <c r="CC147" i="14"/>
  <c r="Z146" i="14"/>
  <c r="AB146" i="14"/>
  <c r="AF146" i="14"/>
  <c r="AJ146" i="14"/>
  <c r="U146" i="14"/>
  <c r="AA146" i="14"/>
  <c r="AK146" i="14"/>
  <c r="S146" i="14"/>
  <c r="X146" i="14"/>
  <c r="AL146" i="14"/>
  <c r="Y146" i="14"/>
  <c r="AH146" i="14"/>
  <c r="AC146" i="14"/>
  <c r="AD146" i="14"/>
  <c r="T146" i="14"/>
  <c r="AI146" i="14"/>
  <c r="W146" i="14"/>
  <c r="AG146" i="14"/>
  <c r="V146" i="14"/>
  <c r="AE146" i="14"/>
  <c r="C122" i="34"/>
  <c r="D123" i="34" s="1"/>
  <c r="A149" i="14"/>
  <c r="CE149" i="14" s="1"/>
  <c r="B136" i="40"/>
  <c r="BU147" i="14"/>
  <c r="BT147" i="14"/>
  <c r="BO148" i="14"/>
  <c r="P148" i="14"/>
  <c r="EA148" i="14"/>
  <c r="AZ148" i="14"/>
  <c r="AX148" i="14"/>
  <c r="AP148" i="14"/>
  <c r="CB148" i="14"/>
  <c r="BV148" i="14" s="1"/>
  <c r="EL148" i="14"/>
  <c r="ED148" i="14"/>
  <c r="DG148" i="14"/>
  <c r="BD148" i="14"/>
  <c r="DA148" i="14"/>
  <c r="EB148" i="14"/>
  <c r="AR148" i="14"/>
  <c r="AS148" i="14"/>
  <c r="DM148" i="14"/>
  <c r="DQ148" i="14"/>
  <c r="DF148" i="14"/>
  <c r="EF148" i="14"/>
  <c r="BG148" i="14"/>
  <c r="EC148" i="14"/>
  <c r="BM148" i="14"/>
  <c r="BB148" i="14"/>
  <c r="DJ148" i="14"/>
  <c r="DW148" i="14"/>
  <c r="EQ148" i="14"/>
  <c r="AU148" i="14"/>
  <c r="EN148" i="14"/>
  <c r="EP148" i="14"/>
  <c r="BC148" i="14"/>
  <c r="DT148" i="14"/>
  <c r="DE148" i="14"/>
  <c r="DK148" i="14"/>
  <c r="BF148" i="14"/>
  <c r="EK148" i="14"/>
  <c r="AW148" i="14"/>
  <c r="BJ148" i="14"/>
  <c r="DS148" i="14"/>
  <c r="C148" i="14"/>
  <c r="DI148" i="14"/>
  <c r="EI148" i="14"/>
  <c r="DN148" i="14"/>
  <c r="DY148" i="14"/>
  <c r="DD148" i="14"/>
  <c r="DB148" i="14"/>
  <c r="EO148" i="14"/>
  <c r="CV148" i="14"/>
  <c r="BA148" i="14"/>
  <c r="EG148" i="14"/>
  <c r="CZ148" i="14"/>
  <c r="B148" i="14"/>
  <c r="M148" i="14" s="1"/>
  <c r="C137" i="40" s="1"/>
  <c r="E137" i="40" s="1"/>
  <c r="A137" i="40"/>
  <c r="CW148" i="14"/>
  <c r="DX148" i="14"/>
  <c r="DZ148" i="14"/>
  <c r="AT148" i="14"/>
  <c r="BP148" i="14"/>
  <c r="BI148" i="14"/>
  <c r="DV148" i="14"/>
  <c r="EH148" i="14"/>
  <c r="BQ148" i="14"/>
  <c r="ES148" i="14"/>
  <c r="AO148" i="14"/>
  <c r="BE148" i="14"/>
  <c r="DL148" i="14"/>
  <c r="AY148" i="14"/>
  <c r="EJ148" i="14"/>
  <c r="CX148" i="14"/>
  <c r="EM148" i="14"/>
  <c r="G148" i="14"/>
  <c r="EE148" i="14"/>
  <c r="D148" i="14"/>
  <c r="CY148" i="14"/>
  <c r="DP148" i="14"/>
  <c r="DH148" i="14"/>
  <c r="DC148" i="14"/>
  <c r="AQ148" i="14"/>
  <c r="BK148" i="14"/>
  <c r="BL148" i="14"/>
  <c r="AV148" i="14"/>
  <c r="DO148" i="14"/>
  <c r="BN148" i="14"/>
  <c r="BH148" i="14"/>
  <c r="ER148" i="14"/>
  <c r="DU148" i="14"/>
  <c r="BX148" i="14"/>
  <c r="CG148" i="14"/>
  <c r="K147" i="14"/>
  <c r="GW176" i="7"/>
  <c r="GV177" i="7"/>
  <c r="GU177" i="7"/>
  <c r="GX176" i="7" l="1"/>
  <c r="CA148" i="14"/>
  <c r="CC148" i="14"/>
  <c r="BR148" i="14"/>
  <c r="C123" i="34"/>
  <c r="D124" i="34" s="1"/>
  <c r="A150" i="14"/>
  <c r="CE150" i="14" s="1"/>
  <c r="BT148" i="14"/>
  <c r="B137" i="40"/>
  <c r="BU148" i="14"/>
  <c r="BO149" i="14"/>
  <c r="DQ149" i="14"/>
  <c r="CX149" i="14"/>
  <c r="BH149" i="14"/>
  <c r="EI149" i="14"/>
  <c r="CV149" i="14"/>
  <c r="AX149" i="14"/>
  <c r="EL149" i="14"/>
  <c r="BC149" i="14"/>
  <c r="DG149" i="14"/>
  <c r="DI149" i="14"/>
  <c r="AT149" i="14"/>
  <c r="EP149" i="14"/>
  <c r="EC149" i="14"/>
  <c r="EJ149" i="14"/>
  <c r="AS149" i="14"/>
  <c r="BL149" i="14"/>
  <c r="BA149" i="14"/>
  <c r="DU149" i="14"/>
  <c r="ER149" i="14"/>
  <c r="ED149" i="14"/>
  <c r="BP149" i="14"/>
  <c r="DV149" i="14"/>
  <c r="DX149" i="14"/>
  <c r="DB149" i="14"/>
  <c r="EK149" i="14"/>
  <c r="BQ149" i="14"/>
  <c r="DE149" i="14"/>
  <c r="DM149" i="14"/>
  <c r="DT149" i="14"/>
  <c r="AZ149" i="14"/>
  <c r="DY149" i="14"/>
  <c r="AV149" i="14"/>
  <c r="AO149" i="14"/>
  <c r="EB149" i="14"/>
  <c r="CB149" i="14"/>
  <c r="BV149" i="14" s="1"/>
  <c r="DS149" i="14"/>
  <c r="DK149" i="14"/>
  <c r="G149" i="14"/>
  <c r="EH149" i="14"/>
  <c r="EN149" i="14"/>
  <c r="C149" i="14"/>
  <c r="BM149" i="14"/>
  <c r="DC149" i="14"/>
  <c r="BJ149" i="14"/>
  <c r="DD149" i="14"/>
  <c r="DZ149" i="14"/>
  <c r="EO149" i="14"/>
  <c r="DP149" i="14"/>
  <c r="AR149" i="14"/>
  <c r="EM149" i="14"/>
  <c r="CY149" i="14"/>
  <c r="BB149" i="14"/>
  <c r="D149" i="14"/>
  <c r="BE149" i="14"/>
  <c r="DN149" i="14"/>
  <c r="BD149" i="14"/>
  <c r="AP149" i="14"/>
  <c r="BN149" i="14"/>
  <c r="CW149" i="14"/>
  <c r="EE149" i="14"/>
  <c r="CZ149" i="14"/>
  <c r="DF149" i="14"/>
  <c r="AU149" i="14"/>
  <c r="EF149" i="14"/>
  <c r="DO149" i="14"/>
  <c r="BF149" i="14"/>
  <c r="DJ149" i="14"/>
  <c r="EG149" i="14"/>
  <c r="EA149" i="14"/>
  <c r="BI149" i="14"/>
  <c r="A138" i="40"/>
  <c r="DL149" i="14"/>
  <c r="AW149" i="14"/>
  <c r="AQ149" i="14"/>
  <c r="BK149" i="14"/>
  <c r="BG149" i="14"/>
  <c r="DA149" i="14"/>
  <c r="ES149" i="14"/>
  <c r="DH149" i="14"/>
  <c r="B149" i="14"/>
  <c r="M149" i="14" s="1"/>
  <c r="C138" i="40" s="1"/>
  <c r="E138" i="40" s="1"/>
  <c r="P149" i="14"/>
  <c r="AY149" i="14"/>
  <c r="EQ149" i="14"/>
  <c r="DW149" i="14"/>
  <c r="BX149" i="14"/>
  <c r="CG149" i="14"/>
  <c r="K148" i="14"/>
  <c r="AB148" i="14" s="1"/>
  <c r="X147" i="14"/>
  <c r="Y147" i="14"/>
  <c r="S147" i="14"/>
  <c r="AB147" i="14"/>
  <c r="U147" i="14"/>
  <c r="AD147" i="14"/>
  <c r="R147" i="14"/>
  <c r="AI147" i="14"/>
  <c r="Z147" i="14"/>
  <c r="AJ147" i="14"/>
  <c r="AC147" i="14"/>
  <c r="AH147" i="14"/>
  <c r="AG147" i="14"/>
  <c r="W147" i="14"/>
  <c r="T147" i="14"/>
  <c r="AE147" i="14"/>
  <c r="AK147" i="14"/>
  <c r="AL147" i="14"/>
  <c r="AF147" i="14"/>
  <c r="AA147" i="14"/>
  <c r="V147" i="14"/>
  <c r="GW177" i="7"/>
  <c r="GV178" i="7"/>
  <c r="GU178" i="7"/>
  <c r="GX177" i="7" l="1"/>
  <c r="CA149" i="14"/>
  <c r="BR149" i="14"/>
  <c r="CC149" i="14"/>
  <c r="Z148" i="14"/>
  <c r="AD148" i="14"/>
  <c r="C124" i="34"/>
  <c r="D125" i="34" s="1"/>
  <c r="AE148" i="14"/>
  <c r="K149" i="14"/>
  <c r="AL149" i="14" s="1"/>
  <c r="A151" i="14"/>
  <c r="CE151" i="14" s="1"/>
  <c r="U148" i="14"/>
  <c r="V148" i="14"/>
  <c r="AI148" i="14"/>
  <c r="W148" i="14"/>
  <c r="AC148" i="14"/>
  <c r="AA148" i="14"/>
  <c r="R148" i="14"/>
  <c r="AF148" i="14"/>
  <c r="AK148" i="14"/>
  <c r="AJ148" i="14"/>
  <c r="X148" i="14"/>
  <c r="AH148" i="14"/>
  <c r="BU149" i="14"/>
  <c r="BT149" i="14"/>
  <c r="B138" i="40"/>
  <c r="DY150" i="14"/>
  <c r="G150" i="14"/>
  <c r="AO150" i="14"/>
  <c r="DZ150" i="14"/>
  <c r="A139" i="40"/>
  <c r="DG150" i="14"/>
  <c r="BN150" i="14"/>
  <c r="EC150" i="14"/>
  <c r="EP150" i="14"/>
  <c r="BA150" i="14"/>
  <c r="DE150" i="14"/>
  <c r="BD150" i="14"/>
  <c r="BK150" i="14"/>
  <c r="ED150" i="14"/>
  <c r="CB150" i="14"/>
  <c r="BV150" i="14" s="1"/>
  <c r="BB150" i="14"/>
  <c r="BG150" i="14"/>
  <c r="EA150" i="14"/>
  <c r="DP150" i="14"/>
  <c r="EG150" i="14"/>
  <c r="EL150" i="14"/>
  <c r="DA150" i="14"/>
  <c r="DK150" i="14"/>
  <c r="CV150" i="14"/>
  <c r="EK150" i="14"/>
  <c r="DC150" i="14"/>
  <c r="EJ150" i="14"/>
  <c r="AQ150" i="14"/>
  <c r="P150" i="14"/>
  <c r="ER150" i="14"/>
  <c r="EN150" i="14"/>
  <c r="DJ150" i="14"/>
  <c r="AV150" i="14"/>
  <c r="DT150" i="14"/>
  <c r="BM150" i="14"/>
  <c r="DH150" i="14"/>
  <c r="C150" i="14"/>
  <c r="BQ150" i="14"/>
  <c r="DQ150" i="14"/>
  <c r="DS150" i="14"/>
  <c r="AY150" i="14"/>
  <c r="EH150" i="14"/>
  <c r="B150" i="14"/>
  <c r="M150" i="14" s="1"/>
  <c r="C139" i="40" s="1"/>
  <c r="E139" i="40" s="1"/>
  <c r="BJ150" i="14"/>
  <c r="ES150" i="14"/>
  <c r="BC150" i="14"/>
  <c r="EM150" i="14"/>
  <c r="AT150" i="14"/>
  <c r="DX150" i="14"/>
  <c r="BE150" i="14"/>
  <c r="DV150" i="14"/>
  <c r="DW150" i="14"/>
  <c r="AZ150" i="14"/>
  <c r="EF150" i="14"/>
  <c r="AS150" i="14"/>
  <c r="CZ150" i="14"/>
  <c r="AX150" i="14"/>
  <c r="BH150" i="14"/>
  <c r="DU150" i="14"/>
  <c r="DB150" i="14"/>
  <c r="CX150" i="14"/>
  <c r="EI150" i="14"/>
  <c r="BF150" i="14"/>
  <c r="BL150" i="14"/>
  <c r="DO150" i="14"/>
  <c r="AP150" i="14"/>
  <c r="DD150" i="14"/>
  <c r="EQ150" i="14"/>
  <c r="DM150" i="14"/>
  <c r="CW150" i="14"/>
  <c r="AU150" i="14"/>
  <c r="BI150" i="14"/>
  <c r="EE150" i="14"/>
  <c r="BO150" i="14"/>
  <c r="D150" i="14"/>
  <c r="DF150" i="14"/>
  <c r="CY150" i="14"/>
  <c r="DN150" i="14"/>
  <c r="EB150" i="14"/>
  <c r="DI150" i="14"/>
  <c r="BP150" i="14"/>
  <c r="EO150" i="14"/>
  <c r="DL150" i="14"/>
  <c r="AW150" i="14"/>
  <c r="AR150" i="14"/>
  <c r="CG150" i="14"/>
  <c r="BX150" i="14"/>
  <c r="AK149" i="14"/>
  <c r="S148" i="14"/>
  <c r="Y148" i="14"/>
  <c r="AL148" i="14"/>
  <c r="AF149" i="14"/>
  <c r="T148" i="14"/>
  <c r="AG148" i="14"/>
  <c r="GW178" i="7"/>
  <c r="GV179" i="7"/>
  <c r="GU179" i="7"/>
  <c r="GX178" i="7" l="1"/>
  <c r="CA150" i="14"/>
  <c r="BR150" i="14"/>
  <c r="CC150" i="14"/>
  <c r="S149" i="14"/>
  <c r="AB149" i="14"/>
  <c r="AE149" i="14"/>
  <c r="Y149" i="14"/>
  <c r="W149" i="14"/>
  <c r="AD149" i="14"/>
  <c r="AG149" i="14"/>
  <c r="U149" i="14"/>
  <c r="AA149" i="14"/>
  <c r="T149" i="14"/>
  <c r="AH149" i="14"/>
  <c r="AJ149" i="14"/>
  <c r="X149" i="14"/>
  <c r="AC149" i="14"/>
  <c r="R149" i="14"/>
  <c r="Z149" i="14"/>
  <c r="C125" i="34"/>
  <c r="D126" i="34" s="1"/>
  <c r="K150" i="14"/>
  <c r="AD150" i="14" s="1"/>
  <c r="V149" i="14"/>
  <c r="AI149" i="14"/>
  <c r="A152" i="14"/>
  <c r="CE152" i="14" s="1"/>
  <c r="BP151" i="14"/>
  <c r="DS151" i="14"/>
  <c r="AS151" i="14"/>
  <c r="DX151" i="14"/>
  <c r="BI151" i="14"/>
  <c r="CX151" i="14"/>
  <c r="DB151" i="14"/>
  <c r="DI151" i="14"/>
  <c r="EO151" i="14"/>
  <c r="DT151" i="14"/>
  <c r="DN151" i="14"/>
  <c r="EF151" i="14"/>
  <c r="G151" i="14"/>
  <c r="BL151" i="14"/>
  <c r="EI151" i="14"/>
  <c r="DO151" i="14"/>
  <c r="EP151" i="14"/>
  <c r="DK151" i="14"/>
  <c r="DD151" i="14"/>
  <c r="BD151" i="14"/>
  <c r="AR151" i="14"/>
  <c r="DQ151" i="14"/>
  <c r="AU151" i="14"/>
  <c r="DV151" i="14"/>
  <c r="EH151" i="14"/>
  <c r="EM151" i="14"/>
  <c r="EJ151" i="14"/>
  <c r="CZ151" i="14"/>
  <c r="ER151" i="14"/>
  <c r="AX151" i="14"/>
  <c r="BJ151" i="14"/>
  <c r="AQ151" i="14"/>
  <c r="DC151" i="14"/>
  <c r="DF151" i="14"/>
  <c r="AZ151" i="14"/>
  <c r="BG151" i="14"/>
  <c r="BH151" i="14"/>
  <c r="CW151" i="14"/>
  <c r="EB151" i="14"/>
  <c r="EC151" i="14"/>
  <c r="DP151" i="14"/>
  <c r="ES151" i="14"/>
  <c r="C151" i="14"/>
  <c r="BF151" i="14"/>
  <c r="BK151" i="14"/>
  <c r="DE151" i="14"/>
  <c r="CY151" i="14"/>
  <c r="BQ151" i="14"/>
  <c r="DJ151" i="14"/>
  <c r="BN151" i="14"/>
  <c r="EN151" i="14"/>
  <c r="BB151" i="14"/>
  <c r="AW151" i="14"/>
  <c r="BO151" i="14"/>
  <c r="DH151" i="14"/>
  <c r="EQ151" i="14"/>
  <c r="BM151" i="14"/>
  <c r="AY151" i="14"/>
  <c r="AP151" i="14"/>
  <c r="AO151" i="14"/>
  <c r="ED151" i="14"/>
  <c r="EE151" i="14"/>
  <c r="AV151" i="14"/>
  <c r="DG151" i="14"/>
  <c r="B151" i="14"/>
  <c r="M151" i="14" s="1"/>
  <c r="C140" i="40" s="1"/>
  <c r="E140" i="40" s="1"/>
  <c r="DZ151" i="14"/>
  <c r="DY151" i="14"/>
  <c r="DM151" i="14"/>
  <c r="A140" i="40"/>
  <c r="EA151" i="14"/>
  <c r="BA151" i="14"/>
  <c r="DU151" i="14"/>
  <c r="DA151" i="14"/>
  <c r="P151" i="14"/>
  <c r="EG151" i="14"/>
  <c r="EL151" i="14"/>
  <c r="DL151" i="14"/>
  <c r="CV151" i="14"/>
  <c r="CB151" i="14"/>
  <c r="BV151" i="14" s="1"/>
  <c r="DW151" i="14"/>
  <c r="EK151" i="14"/>
  <c r="D151" i="14"/>
  <c r="BE151" i="14"/>
  <c r="BC151" i="14"/>
  <c r="AT151" i="14"/>
  <c r="BX151" i="14"/>
  <c r="CG151" i="14"/>
  <c r="BT150" i="14"/>
  <c r="B139" i="40"/>
  <c r="BU150" i="14"/>
  <c r="GW179" i="7"/>
  <c r="GV180" i="7"/>
  <c r="GU180" i="7"/>
  <c r="GX179" i="7" l="1"/>
  <c r="CA151" i="14"/>
  <c r="CC151" i="14"/>
  <c r="BR151" i="14"/>
  <c r="W150" i="14"/>
  <c r="AC150" i="14"/>
  <c r="AK150" i="14"/>
  <c r="AH150" i="14"/>
  <c r="V150" i="14"/>
  <c r="AJ150" i="14"/>
  <c r="AF150" i="14"/>
  <c r="AG150" i="14"/>
  <c r="AE150" i="14"/>
  <c r="AA150" i="14"/>
  <c r="AI150" i="14"/>
  <c r="X150" i="14"/>
  <c r="S150" i="14"/>
  <c r="R150" i="14"/>
  <c r="AL150" i="14"/>
  <c r="AB150" i="14"/>
  <c r="U150" i="14"/>
  <c r="Y150" i="14"/>
  <c r="C126" i="34"/>
  <c r="D127" i="34" s="1"/>
  <c r="T150" i="14"/>
  <c r="Z150" i="14"/>
  <c r="A153" i="14"/>
  <c r="CE153" i="14" s="1"/>
  <c r="BT151" i="14"/>
  <c r="BU151" i="14"/>
  <c r="B140" i="40"/>
  <c r="C152" i="14"/>
  <c r="BB152" i="14"/>
  <c r="BL152" i="14"/>
  <c r="EL152" i="14"/>
  <c r="BM152" i="14"/>
  <c r="DL152" i="14"/>
  <c r="BG152" i="14"/>
  <c r="EF152" i="14"/>
  <c r="ES152" i="14"/>
  <c r="DK152" i="14"/>
  <c r="AR152" i="14"/>
  <c r="EO152" i="14"/>
  <c r="ER152" i="14"/>
  <c r="BK152" i="14"/>
  <c r="AV152" i="14"/>
  <c r="AW152" i="14"/>
  <c r="DC152" i="14"/>
  <c r="DP152" i="14"/>
  <c r="DV152" i="14"/>
  <c r="CY152" i="14"/>
  <c r="DB152" i="14"/>
  <c r="CB152" i="14"/>
  <c r="BV152" i="14" s="1"/>
  <c r="AO152" i="14"/>
  <c r="AP152" i="14"/>
  <c r="DI152" i="14"/>
  <c r="DX152" i="14"/>
  <c r="BH152" i="14"/>
  <c r="EC152" i="14"/>
  <c r="BQ152" i="14"/>
  <c r="DT152" i="14"/>
  <c r="DA152" i="14"/>
  <c r="EJ152" i="14"/>
  <c r="BP152" i="14"/>
  <c r="AQ152" i="14"/>
  <c r="A141" i="40"/>
  <c r="ED152" i="14"/>
  <c r="EE152" i="14"/>
  <c r="AZ152" i="14"/>
  <c r="DN152" i="14"/>
  <c r="AS152" i="14"/>
  <c r="BF152" i="14"/>
  <c r="DO152" i="14"/>
  <c r="CZ152" i="14"/>
  <c r="AX152" i="14"/>
  <c r="DU152" i="14"/>
  <c r="DG152" i="14"/>
  <c r="EG152" i="14"/>
  <c r="EH152" i="14"/>
  <c r="G152" i="14"/>
  <c r="EP152" i="14"/>
  <c r="BO152" i="14"/>
  <c r="EB152" i="14"/>
  <c r="DE152" i="14"/>
  <c r="DF152" i="14"/>
  <c r="BJ152" i="14"/>
  <c r="CV152" i="14"/>
  <c r="BI152" i="14"/>
  <c r="B152" i="14"/>
  <c r="M152" i="14" s="1"/>
  <c r="C141" i="40" s="1"/>
  <c r="E141" i="40" s="1"/>
  <c r="DY152" i="14"/>
  <c r="BA152" i="14"/>
  <c r="DQ152" i="14"/>
  <c r="EN152" i="14"/>
  <c r="EA152" i="14"/>
  <c r="DS152" i="14"/>
  <c r="DD152" i="14"/>
  <c r="P152" i="14"/>
  <c r="BC152" i="14"/>
  <c r="DJ152" i="14"/>
  <c r="DH152" i="14"/>
  <c r="BE152" i="14"/>
  <c r="AU152" i="14"/>
  <c r="EQ152" i="14"/>
  <c r="AT152" i="14"/>
  <c r="BN152" i="14"/>
  <c r="EM152" i="14"/>
  <c r="DW152" i="14"/>
  <c r="DZ152" i="14"/>
  <c r="CW152" i="14"/>
  <c r="EI152" i="14"/>
  <c r="EK152" i="14"/>
  <c r="CX152" i="14"/>
  <c r="D152" i="14"/>
  <c r="BD152" i="14"/>
  <c r="DM152" i="14"/>
  <c r="AY152" i="14"/>
  <c r="CG152" i="14"/>
  <c r="BX152" i="14"/>
  <c r="K151" i="14"/>
  <c r="Z151" i="14" s="1"/>
  <c r="GW180" i="7"/>
  <c r="GV181" i="7"/>
  <c r="GU181" i="7"/>
  <c r="GX180" i="7" l="1"/>
  <c r="GP347" i="7" s="1"/>
  <c r="CA152" i="14"/>
  <c r="CC152" i="14"/>
  <c r="BR152" i="14"/>
  <c r="K152" i="14"/>
  <c r="V152" i="14" s="1"/>
  <c r="AE151" i="14"/>
  <c r="AD151" i="14"/>
  <c r="AB151" i="14"/>
  <c r="AJ151" i="14"/>
  <c r="C127" i="34"/>
  <c r="D128" i="34" s="1"/>
  <c r="A154" i="14"/>
  <c r="CE154" i="14" s="1"/>
  <c r="AC151" i="14"/>
  <c r="T151" i="14"/>
  <c r="AL151" i="14"/>
  <c r="AF151" i="14"/>
  <c r="AK151" i="14"/>
  <c r="B141" i="40"/>
  <c r="BU152" i="14"/>
  <c r="BT152" i="14"/>
  <c r="BO153" i="14"/>
  <c r="AO153" i="14"/>
  <c r="BE153" i="14"/>
  <c r="DS153" i="14"/>
  <c r="AZ153" i="14"/>
  <c r="DN153" i="14"/>
  <c r="DI153" i="14"/>
  <c r="DD153" i="14"/>
  <c r="DH153" i="14"/>
  <c r="DX153" i="14"/>
  <c r="BM153" i="14"/>
  <c r="BB153" i="14"/>
  <c r="EE153" i="14"/>
  <c r="BF153" i="14"/>
  <c r="BP153" i="14"/>
  <c r="EG153" i="14"/>
  <c r="BJ153" i="14"/>
  <c r="EF153" i="14"/>
  <c r="CB153" i="14"/>
  <c r="BV153" i="14" s="1"/>
  <c r="C153" i="14"/>
  <c r="EN153" i="14"/>
  <c r="DZ153" i="14"/>
  <c r="BL153" i="14"/>
  <c r="BI153" i="14"/>
  <c r="AY153" i="14"/>
  <c r="BH153" i="14"/>
  <c r="P153" i="14"/>
  <c r="EO153" i="14"/>
  <c r="DK153" i="14"/>
  <c r="DT153" i="14"/>
  <c r="EM153" i="14"/>
  <c r="DP153" i="14"/>
  <c r="A142" i="40"/>
  <c r="AP153" i="14"/>
  <c r="G153" i="14"/>
  <c r="ED153" i="14"/>
  <c r="EJ153" i="14"/>
  <c r="CW153" i="14"/>
  <c r="EI153" i="14"/>
  <c r="DL153" i="14"/>
  <c r="EL153" i="14"/>
  <c r="EC153" i="14"/>
  <c r="ER153" i="14"/>
  <c r="BG153" i="14"/>
  <c r="DM153" i="14"/>
  <c r="DW153" i="14"/>
  <c r="AX153" i="14"/>
  <c r="DA153" i="14"/>
  <c r="BQ153" i="14"/>
  <c r="BC153" i="14"/>
  <c r="DO153" i="14"/>
  <c r="DJ153" i="14"/>
  <c r="CV153" i="14"/>
  <c r="BA153" i="14"/>
  <c r="AW153" i="14"/>
  <c r="DC153" i="14"/>
  <c r="CZ153" i="14"/>
  <c r="CY153" i="14"/>
  <c r="DY153" i="14"/>
  <c r="EP153" i="14"/>
  <c r="D153" i="14"/>
  <c r="CX153" i="14"/>
  <c r="AU153" i="14"/>
  <c r="DU153" i="14"/>
  <c r="EQ153" i="14"/>
  <c r="AS153" i="14"/>
  <c r="AV153" i="14"/>
  <c r="EK153" i="14"/>
  <c r="DF153" i="14"/>
  <c r="B153" i="14"/>
  <c r="M153" i="14" s="1"/>
  <c r="C142" i="40" s="1"/>
  <c r="E142" i="40" s="1"/>
  <c r="AT153" i="14"/>
  <c r="DE153" i="14"/>
  <c r="DG153" i="14"/>
  <c r="BK153" i="14"/>
  <c r="DV153" i="14"/>
  <c r="EA153" i="14"/>
  <c r="BN153" i="14"/>
  <c r="EH153" i="14"/>
  <c r="BD153" i="14"/>
  <c r="ES153" i="14"/>
  <c r="AQ153" i="14"/>
  <c r="AR153" i="14"/>
  <c r="DB153" i="14"/>
  <c r="EB153" i="14"/>
  <c r="DQ153" i="14"/>
  <c r="CG153" i="14"/>
  <c r="BX153" i="14"/>
  <c r="AG151" i="14"/>
  <c r="U151" i="14"/>
  <c r="AA151" i="14"/>
  <c r="S151" i="14"/>
  <c r="Y151" i="14"/>
  <c r="AH151" i="14"/>
  <c r="AI151" i="14"/>
  <c r="V151" i="14"/>
  <c r="R151" i="14"/>
  <c r="X151" i="14"/>
  <c r="W151" i="14"/>
  <c r="GW181" i="7"/>
  <c r="GV182" i="7"/>
  <c r="GU182" i="7"/>
  <c r="GX181" i="7" l="1"/>
  <c r="CA153" i="14"/>
  <c r="CC153" i="14"/>
  <c r="BR153" i="14"/>
  <c r="AJ152" i="14"/>
  <c r="T152" i="14"/>
  <c r="AH152" i="14"/>
  <c r="AB152" i="14"/>
  <c r="AG152" i="14"/>
  <c r="S152" i="14"/>
  <c r="U152" i="14"/>
  <c r="Y152" i="14"/>
  <c r="AD152" i="14"/>
  <c r="AE152" i="14"/>
  <c r="AF152" i="14"/>
  <c r="AK152" i="14"/>
  <c r="AC152" i="14"/>
  <c r="Z152" i="14"/>
  <c r="R152" i="14"/>
  <c r="AL152" i="14"/>
  <c r="AA152" i="14"/>
  <c r="W152" i="14"/>
  <c r="X152" i="14"/>
  <c r="AI152" i="14"/>
  <c r="C128" i="34"/>
  <c r="D129" i="34" s="1"/>
  <c r="A155" i="14"/>
  <c r="CE155" i="14" s="1"/>
  <c r="EL154" i="14"/>
  <c r="DS154" i="14"/>
  <c r="ER154" i="14"/>
  <c r="EP154" i="14"/>
  <c r="DZ154" i="14"/>
  <c r="BE154" i="14"/>
  <c r="AT154" i="14"/>
  <c r="DC154" i="14"/>
  <c r="P154" i="14"/>
  <c r="C154" i="14"/>
  <c r="BG154" i="14"/>
  <c r="BJ154" i="14"/>
  <c r="AP154" i="14"/>
  <c r="EB154" i="14"/>
  <c r="EO154" i="14"/>
  <c r="AV154" i="14"/>
  <c r="G154" i="14"/>
  <c r="DV154" i="14"/>
  <c r="BN154" i="14"/>
  <c r="AR154" i="14"/>
  <c r="DA154" i="14"/>
  <c r="BA154" i="14"/>
  <c r="DL154" i="14"/>
  <c r="BC154" i="14"/>
  <c r="DW154" i="14"/>
  <c r="EM154" i="14"/>
  <c r="EA154" i="14"/>
  <c r="DK154" i="14"/>
  <c r="EI154" i="14"/>
  <c r="DU154" i="14"/>
  <c r="AZ154" i="14"/>
  <c r="CV154" i="14"/>
  <c r="A143" i="40"/>
  <c r="EQ154" i="14"/>
  <c r="CY154" i="14"/>
  <c r="CW154" i="14"/>
  <c r="EJ154" i="14"/>
  <c r="BL154" i="14"/>
  <c r="BI154" i="14"/>
  <c r="EK154" i="14"/>
  <c r="BP154" i="14"/>
  <c r="EC154" i="14"/>
  <c r="AU154" i="14"/>
  <c r="ES154" i="14"/>
  <c r="EF154" i="14"/>
  <c r="DF154" i="14"/>
  <c r="DO154" i="14"/>
  <c r="BD154" i="14"/>
  <c r="BH154" i="14"/>
  <c r="BF154" i="14"/>
  <c r="EN154" i="14"/>
  <c r="B154" i="14"/>
  <c r="M154" i="14" s="1"/>
  <c r="C143" i="40" s="1"/>
  <c r="E143" i="40" s="1"/>
  <c r="DG154" i="14"/>
  <c r="BO154" i="14"/>
  <c r="EH154" i="14"/>
  <c r="DI154" i="14"/>
  <c r="AS154" i="14"/>
  <c r="CZ154" i="14"/>
  <c r="BM154" i="14"/>
  <c r="EG154" i="14"/>
  <c r="DH154" i="14"/>
  <c r="D154" i="14"/>
  <c r="ED154" i="14"/>
  <c r="DB154" i="14"/>
  <c r="BK154" i="14"/>
  <c r="DD154" i="14"/>
  <c r="CB154" i="14"/>
  <c r="BV154" i="14" s="1"/>
  <c r="AQ154" i="14"/>
  <c r="AY154" i="14"/>
  <c r="CX154" i="14"/>
  <c r="DQ154" i="14"/>
  <c r="DP154" i="14"/>
  <c r="EE154" i="14"/>
  <c r="DE154" i="14"/>
  <c r="DT154" i="14"/>
  <c r="BB154" i="14"/>
  <c r="AX154" i="14"/>
  <c r="AW154" i="14"/>
  <c r="DY154" i="14"/>
  <c r="DJ154" i="14"/>
  <c r="AO154" i="14"/>
  <c r="DX154" i="14"/>
  <c r="BQ154" i="14"/>
  <c r="DN154" i="14"/>
  <c r="DM154" i="14"/>
  <c r="BX154" i="14"/>
  <c r="CG154" i="14"/>
  <c r="B142" i="40"/>
  <c r="BT153" i="14"/>
  <c r="BU153" i="14"/>
  <c r="K153" i="14"/>
  <c r="S153" i="14" s="1"/>
  <c r="GW182" i="7"/>
  <c r="GU183" i="7"/>
  <c r="GV183" i="7"/>
  <c r="GX182" i="7" l="1"/>
  <c r="CA154" i="14"/>
  <c r="CC154" i="14"/>
  <c r="BR154" i="14"/>
  <c r="AD153" i="14"/>
  <c r="C129" i="34"/>
  <c r="D130" i="34" s="1"/>
  <c r="A156" i="14"/>
  <c r="CE156" i="14" s="1"/>
  <c r="W153" i="14"/>
  <c r="Z153" i="14"/>
  <c r="AB153" i="14"/>
  <c r="BO155" i="14"/>
  <c r="BC155" i="14"/>
  <c r="CY155" i="14"/>
  <c r="BN155" i="14"/>
  <c r="BK155" i="14"/>
  <c r="EL155" i="14"/>
  <c r="BD155" i="14"/>
  <c r="CV155" i="14"/>
  <c r="BL155" i="14"/>
  <c r="DL155" i="14"/>
  <c r="DQ155" i="14"/>
  <c r="DO155" i="14"/>
  <c r="EO155" i="14"/>
  <c r="DP155" i="14"/>
  <c r="BB155" i="14"/>
  <c r="EK155" i="14"/>
  <c r="AS155" i="14"/>
  <c r="BJ155" i="14"/>
  <c r="DY155" i="14"/>
  <c r="DU155" i="14"/>
  <c r="EG155" i="14"/>
  <c r="DK155" i="14"/>
  <c r="CX155" i="14"/>
  <c r="AT155" i="14"/>
  <c r="AV155" i="14"/>
  <c r="EJ155" i="14"/>
  <c r="EN155" i="14"/>
  <c r="P155" i="14"/>
  <c r="C155" i="14"/>
  <c r="DJ155" i="14"/>
  <c r="DG155" i="14"/>
  <c r="DN155" i="14"/>
  <c r="EA155" i="14"/>
  <c r="EC155" i="14"/>
  <c r="DB155" i="14"/>
  <c r="AX155" i="14"/>
  <c r="AZ155" i="14"/>
  <c r="DE155" i="14"/>
  <c r="DA155" i="14"/>
  <c r="EI155" i="14"/>
  <c r="CW155" i="14"/>
  <c r="AR155" i="14"/>
  <c r="BF155" i="14"/>
  <c r="A144" i="40"/>
  <c r="CZ155" i="14"/>
  <c r="ED155" i="14"/>
  <c r="DF155" i="14"/>
  <c r="DI155" i="14"/>
  <c r="EM155" i="14"/>
  <c r="BG155" i="14"/>
  <c r="AQ155" i="14"/>
  <c r="DZ155" i="14"/>
  <c r="DX155" i="14"/>
  <c r="AP155" i="14"/>
  <c r="BE155" i="14"/>
  <c r="EB155" i="14"/>
  <c r="EQ155" i="14"/>
  <c r="AO155" i="14"/>
  <c r="EH155" i="14"/>
  <c r="G155" i="14"/>
  <c r="BM155" i="14"/>
  <c r="DS155" i="14"/>
  <c r="DW155" i="14"/>
  <c r="DH155" i="14"/>
  <c r="DM155" i="14"/>
  <c r="AW155" i="14"/>
  <c r="DC155" i="14"/>
  <c r="BP155" i="14"/>
  <c r="D155" i="14"/>
  <c r="EF155" i="14"/>
  <c r="AU155" i="14"/>
  <c r="BH155" i="14"/>
  <c r="CB155" i="14"/>
  <c r="BV155" i="14" s="1"/>
  <c r="ES155" i="14"/>
  <c r="EE155" i="14"/>
  <c r="ER155" i="14"/>
  <c r="BQ155" i="14"/>
  <c r="B155" i="14"/>
  <c r="M155" i="14" s="1"/>
  <c r="C144" i="40" s="1"/>
  <c r="E144" i="40" s="1"/>
  <c r="BI155" i="14"/>
  <c r="EP155" i="14"/>
  <c r="BA155" i="14"/>
  <c r="DD155" i="14"/>
  <c r="DT155" i="14"/>
  <c r="AY155" i="14"/>
  <c r="DV155" i="14"/>
  <c r="BX155" i="14"/>
  <c r="CG155" i="14"/>
  <c r="AK153" i="14"/>
  <c r="AL153" i="14"/>
  <c r="AH153" i="14"/>
  <c r="V153" i="14"/>
  <c r="AG153" i="14"/>
  <c r="B143" i="40"/>
  <c r="BU154" i="14"/>
  <c r="BT154" i="14"/>
  <c r="AJ153" i="14"/>
  <c r="U153" i="14"/>
  <c r="K154" i="14"/>
  <c r="AK154" i="14" s="1"/>
  <c r="AF153" i="14"/>
  <c r="Y153" i="14"/>
  <c r="AA153" i="14"/>
  <c r="T153" i="14"/>
  <c r="X153" i="14"/>
  <c r="AC153" i="14"/>
  <c r="AI153" i="14"/>
  <c r="R153" i="14"/>
  <c r="AE153" i="14"/>
  <c r="GW183" i="7"/>
  <c r="GV184" i="7"/>
  <c r="GU184" i="7"/>
  <c r="GX183" i="7" l="1"/>
  <c r="CA155" i="14"/>
  <c r="CC155" i="14"/>
  <c r="BR155" i="14"/>
  <c r="AA154" i="14"/>
  <c r="K155" i="14"/>
  <c r="Y155" i="14" s="1"/>
  <c r="U154" i="14"/>
  <c r="C130" i="34"/>
  <c r="D131" i="34" s="1"/>
  <c r="A157" i="14"/>
  <c r="CE157" i="14" s="1"/>
  <c r="Z154" i="14"/>
  <c r="EB156" i="14"/>
  <c r="DL156" i="14"/>
  <c r="EF156" i="14"/>
  <c r="DK156" i="14"/>
  <c r="DN156" i="14"/>
  <c r="DC156" i="14"/>
  <c r="EJ156" i="14"/>
  <c r="DM156" i="14"/>
  <c r="EP156" i="14"/>
  <c r="BH156" i="14"/>
  <c r="CV156" i="14"/>
  <c r="EA156" i="14"/>
  <c r="DB156" i="14"/>
  <c r="AV156" i="14"/>
  <c r="BQ156" i="14"/>
  <c r="BE156" i="14"/>
  <c r="CX156" i="14"/>
  <c r="DJ156" i="14"/>
  <c r="AP156" i="14"/>
  <c r="DO156" i="14"/>
  <c r="G156" i="14"/>
  <c r="BO156" i="14"/>
  <c r="BB156" i="14"/>
  <c r="AO156" i="14"/>
  <c r="EH156" i="14"/>
  <c r="ES156" i="14"/>
  <c r="C156" i="14"/>
  <c r="AR156" i="14"/>
  <c r="DU156" i="14"/>
  <c r="EK156" i="14"/>
  <c r="DG156" i="14"/>
  <c r="AT156" i="14"/>
  <c r="CZ156" i="14"/>
  <c r="DQ156" i="14"/>
  <c r="DF156" i="14"/>
  <c r="BA156" i="14"/>
  <c r="B156" i="14"/>
  <c r="M156" i="14" s="1"/>
  <c r="C145" i="40" s="1"/>
  <c r="E145" i="40" s="1"/>
  <c r="BI156" i="14"/>
  <c r="EE156" i="14"/>
  <c r="P156" i="14"/>
  <c r="CW156" i="14"/>
  <c r="DE156" i="14"/>
  <c r="BC156" i="14"/>
  <c r="D156" i="14"/>
  <c r="BK156" i="14"/>
  <c r="EM156" i="14"/>
  <c r="BF156" i="14"/>
  <c r="AU156" i="14"/>
  <c r="BD156" i="14"/>
  <c r="DI156" i="14"/>
  <c r="BJ156" i="14"/>
  <c r="BL156" i="14"/>
  <c r="EN156" i="14"/>
  <c r="CY156" i="14"/>
  <c r="AX156" i="14"/>
  <c r="DT156" i="14"/>
  <c r="EO156" i="14"/>
  <c r="DH156" i="14"/>
  <c r="AY156" i="14"/>
  <c r="EG156" i="14"/>
  <c r="A145" i="40"/>
  <c r="AZ156" i="14"/>
  <c r="ER156" i="14"/>
  <c r="BG156" i="14"/>
  <c r="DW156" i="14"/>
  <c r="DS156" i="14"/>
  <c r="AQ156" i="14"/>
  <c r="DP156" i="14"/>
  <c r="DX156" i="14"/>
  <c r="ED156" i="14"/>
  <c r="AS156" i="14"/>
  <c r="BP156" i="14"/>
  <c r="EI156" i="14"/>
  <c r="DV156" i="14"/>
  <c r="CB156" i="14"/>
  <c r="BV156" i="14" s="1"/>
  <c r="EC156" i="14"/>
  <c r="BM156" i="14"/>
  <c r="DY156" i="14"/>
  <c r="DD156" i="14"/>
  <c r="EL156" i="14"/>
  <c r="BN156" i="14"/>
  <c r="EQ156" i="14"/>
  <c r="DA156" i="14"/>
  <c r="DZ156" i="14"/>
  <c r="AW156" i="14"/>
  <c r="BX156" i="14"/>
  <c r="CG156" i="14"/>
  <c r="AC154" i="14"/>
  <c r="AJ154" i="14"/>
  <c r="AG154" i="14"/>
  <c r="W154" i="14"/>
  <c r="AH154" i="14"/>
  <c r="X154" i="14"/>
  <c r="R154" i="14"/>
  <c r="Y154" i="14"/>
  <c r="AE154" i="14"/>
  <c r="AB154" i="14"/>
  <c r="AI154" i="14"/>
  <c r="AD154" i="14"/>
  <c r="V154" i="14"/>
  <c r="BT155" i="14"/>
  <c r="BU155" i="14"/>
  <c r="B144" i="40"/>
  <c r="T154" i="14"/>
  <c r="S154" i="14"/>
  <c r="AF154" i="14"/>
  <c r="AL154" i="14"/>
  <c r="GW184" i="7"/>
  <c r="GU185" i="7"/>
  <c r="GV185" i="7"/>
  <c r="GX184" i="7" l="1"/>
  <c r="CA156" i="14"/>
  <c r="BR156" i="14"/>
  <c r="CC156" i="14"/>
  <c r="X155" i="14"/>
  <c r="AE155" i="14"/>
  <c r="V155" i="14"/>
  <c r="AB155" i="14"/>
  <c r="AA155" i="14"/>
  <c r="AI155" i="14"/>
  <c r="AG155" i="14"/>
  <c r="AF155" i="14"/>
  <c r="T155" i="14"/>
  <c r="AC155" i="14"/>
  <c r="R155" i="14"/>
  <c r="Z155" i="14"/>
  <c r="AJ155" i="14"/>
  <c r="AK155" i="14"/>
  <c r="U155" i="14"/>
  <c r="AD155" i="14"/>
  <c r="W155" i="14"/>
  <c r="AL155" i="14"/>
  <c r="AH155" i="14"/>
  <c r="S155" i="14"/>
  <c r="C131" i="34"/>
  <c r="D132" i="34" s="1"/>
  <c r="K156" i="14"/>
  <c r="AE156" i="14" s="1"/>
  <c r="A158" i="14"/>
  <c r="CE158" i="14" s="1"/>
  <c r="BT156" i="14"/>
  <c r="B145" i="40"/>
  <c r="BU156" i="14"/>
  <c r="BO157" i="14"/>
  <c r="BE157" i="14"/>
  <c r="DE157" i="14"/>
  <c r="CV157" i="14"/>
  <c r="DF157" i="14"/>
  <c r="ED157" i="14"/>
  <c r="DH157" i="14"/>
  <c r="DA157" i="14"/>
  <c r="EL157" i="14"/>
  <c r="EB157" i="14"/>
  <c r="DP157" i="14"/>
  <c r="DO157" i="14"/>
  <c r="EN157" i="14"/>
  <c r="CX157" i="14"/>
  <c r="AY157" i="14"/>
  <c r="EQ157" i="14"/>
  <c r="DB157" i="14"/>
  <c r="DZ157" i="14"/>
  <c r="BP157" i="14"/>
  <c r="AS157" i="14"/>
  <c r="DX157" i="14"/>
  <c r="CW157" i="14"/>
  <c r="P157" i="14"/>
  <c r="AR157" i="14"/>
  <c r="DL157" i="14"/>
  <c r="D157" i="14"/>
  <c r="EI157" i="14"/>
  <c r="DK157" i="14"/>
  <c r="DU157" i="14"/>
  <c r="EJ157" i="14"/>
  <c r="DS157" i="14"/>
  <c r="AQ157" i="14"/>
  <c r="EP157" i="14"/>
  <c r="BD157" i="14"/>
  <c r="EG157" i="14"/>
  <c r="CB157" i="14"/>
  <c r="BV157" i="14" s="1"/>
  <c r="EK157" i="14"/>
  <c r="AU157" i="14"/>
  <c r="BK157" i="14"/>
  <c r="EA157" i="14"/>
  <c r="DY157" i="14"/>
  <c r="BH157" i="14"/>
  <c r="BA157" i="14"/>
  <c r="BM157" i="14"/>
  <c r="ES157" i="14"/>
  <c r="BI157" i="14"/>
  <c r="DD157" i="14"/>
  <c r="AV157" i="14"/>
  <c r="DJ157" i="14"/>
  <c r="BC157" i="14"/>
  <c r="DG157" i="14"/>
  <c r="AW157" i="14"/>
  <c r="EH157" i="14"/>
  <c r="BB157" i="14"/>
  <c r="AP157" i="14"/>
  <c r="AT157" i="14"/>
  <c r="BQ157" i="14"/>
  <c r="EM157" i="14"/>
  <c r="BG157" i="14"/>
  <c r="ER157" i="14"/>
  <c r="EO157" i="14"/>
  <c r="DM157" i="14"/>
  <c r="A146" i="40"/>
  <c r="CY157" i="14"/>
  <c r="DQ157" i="14"/>
  <c r="DW157" i="14"/>
  <c r="B157" i="14"/>
  <c r="M157" i="14" s="1"/>
  <c r="C146" i="40" s="1"/>
  <c r="E146" i="40" s="1"/>
  <c r="EE157" i="14"/>
  <c r="AX157" i="14"/>
  <c r="C157" i="14"/>
  <c r="BJ157" i="14"/>
  <c r="DT157" i="14"/>
  <c r="DC157" i="14"/>
  <c r="BF157" i="14"/>
  <c r="DV157" i="14"/>
  <c r="AO157" i="14"/>
  <c r="EC157" i="14"/>
  <c r="AZ157" i="14"/>
  <c r="G157" i="14"/>
  <c r="DN157" i="14"/>
  <c r="BN157" i="14"/>
  <c r="CZ157" i="14"/>
  <c r="EF157" i="14"/>
  <c r="DI157" i="14"/>
  <c r="BL157" i="14"/>
  <c r="CG157" i="14"/>
  <c r="BX157" i="14"/>
  <c r="GW185" i="7"/>
  <c r="GU186" i="7"/>
  <c r="GV186" i="7"/>
  <c r="GX185" i="7" l="1"/>
  <c r="CA157" i="14"/>
  <c r="BR157" i="14"/>
  <c r="CC157" i="14"/>
  <c r="S156" i="14"/>
  <c r="T156" i="14"/>
  <c r="AJ156" i="14"/>
  <c r="U156" i="14"/>
  <c r="Y156" i="14"/>
  <c r="V156" i="14"/>
  <c r="AB156" i="14"/>
  <c r="AC156" i="14"/>
  <c r="AF156" i="14"/>
  <c r="AL156" i="14"/>
  <c r="AH156" i="14"/>
  <c r="AI156" i="14"/>
  <c r="R156" i="14"/>
  <c r="AG156" i="14"/>
  <c r="X156" i="14"/>
  <c r="AD156" i="14"/>
  <c r="Z156" i="14"/>
  <c r="AA156" i="14"/>
  <c r="AK156" i="14"/>
  <c r="C132" i="34"/>
  <c r="D133" i="34" s="1"/>
  <c r="W156" i="14"/>
  <c r="A159" i="14"/>
  <c r="CE159" i="14" s="1"/>
  <c r="EC158" i="14"/>
  <c r="DO158" i="14"/>
  <c r="BN158" i="14"/>
  <c r="EM158" i="14"/>
  <c r="AT158" i="14"/>
  <c r="DN158" i="14"/>
  <c r="EJ158" i="14"/>
  <c r="BG158" i="14"/>
  <c r="DQ158" i="14"/>
  <c r="DU158" i="14"/>
  <c r="EQ158" i="14"/>
  <c r="BA158" i="14"/>
  <c r="EF158" i="14"/>
  <c r="EB158" i="14"/>
  <c r="DJ158" i="14"/>
  <c r="BJ158" i="14"/>
  <c r="DV158" i="14"/>
  <c r="ED158" i="14"/>
  <c r="P158" i="14"/>
  <c r="EK158" i="14"/>
  <c r="BL158" i="14"/>
  <c r="DC158" i="14"/>
  <c r="BQ158" i="14"/>
  <c r="BE158" i="14"/>
  <c r="CB158" i="14"/>
  <c r="BV158" i="14" s="1"/>
  <c r="G158" i="14"/>
  <c r="DY158" i="14"/>
  <c r="A147" i="40"/>
  <c r="DL158" i="14"/>
  <c r="BK158" i="14"/>
  <c r="DW158" i="14"/>
  <c r="AQ158" i="14"/>
  <c r="DA158" i="14"/>
  <c r="CY158" i="14"/>
  <c r="BC158" i="14"/>
  <c r="BH158" i="14"/>
  <c r="AX158" i="14"/>
  <c r="AU158" i="14"/>
  <c r="EA158" i="14"/>
  <c r="DF158" i="14"/>
  <c r="AY158" i="14"/>
  <c r="C158" i="14"/>
  <c r="DH158" i="14"/>
  <c r="CV158" i="14"/>
  <c r="B158" i="14"/>
  <c r="M158" i="14" s="1"/>
  <c r="C147" i="40" s="1"/>
  <c r="E147" i="40" s="1"/>
  <c r="DK158" i="14"/>
  <c r="EI158" i="14"/>
  <c r="BI158" i="14"/>
  <c r="DD158" i="14"/>
  <c r="DI158" i="14"/>
  <c r="AS158" i="14"/>
  <c r="BB158" i="14"/>
  <c r="EG158" i="14"/>
  <c r="DM158" i="14"/>
  <c r="BO158" i="14"/>
  <c r="AW158" i="14"/>
  <c r="DE158" i="14"/>
  <c r="EO158" i="14"/>
  <c r="CX158" i="14"/>
  <c r="BD158" i="14"/>
  <c r="BM158" i="14"/>
  <c r="CW158" i="14"/>
  <c r="EE158" i="14"/>
  <c r="CZ158" i="14"/>
  <c r="DB158" i="14"/>
  <c r="DT158" i="14"/>
  <c r="EP158" i="14"/>
  <c r="ER158" i="14"/>
  <c r="EN158" i="14"/>
  <c r="AO158" i="14"/>
  <c r="DP158" i="14"/>
  <c r="DS158" i="14"/>
  <c r="AP158" i="14"/>
  <c r="EL158" i="14"/>
  <c r="D158" i="14"/>
  <c r="BF158" i="14"/>
  <c r="AV158" i="14"/>
  <c r="DZ158" i="14"/>
  <c r="ES158" i="14"/>
  <c r="AZ158" i="14"/>
  <c r="AR158" i="14"/>
  <c r="BP158" i="14"/>
  <c r="DG158" i="14"/>
  <c r="EH158" i="14"/>
  <c r="DX158" i="14"/>
  <c r="BX158" i="14"/>
  <c r="CG158" i="14"/>
  <c r="B146" i="40"/>
  <c r="BT157" i="14"/>
  <c r="BU157" i="14"/>
  <c r="K157" i="14"/>
  <c r="AC157" i="14" s="1"/>
  <c r="GW186" i="7"/>
  <c r="GU187" i="7"/>
  <c r="GV187" i="7"/>
  <c r="GX186" i="7" l="1"/>
  <c r="CA158" i="14"/>
  <c r="BR158" i="14"/>
  <c r="CC158" i="14"/>
  <c r="C133" i="34"/>
  <c r="D134" i="34" s="1"/>
  <c r="A160" i="14"/>
  <c r="CE160" i="14" s="1"/>
  <c r="AJ157" i="14"/>
  <c r="R157" i="14"/>
  <c r="Y157" i="14"/>
  <c r="U157" i="14"/>
  <c r="Z157" i="14"/>
  <c r="X157" i="14"/>
  <c r="BK159" i="14"/>
  <c r="AT159" i="14"/>
  <c r="DZ159" i="14"/>
  <c r="DL159" i="14"/>
  <c r="AX159" i="14"/>
  <c r="EJ159" i="14"/>
  <c r="DE159" i="14"/>
  <c r="BA159" i="14"/>
  <c r="AQ159" i="14"/>
  <c r="DJ159" i="14"/>
  <c r="EC159" i="14"/>
  <c r="DQ159" i="14"/>
  <c r="BM159" i="14"/>
  <c r="DB159" i="14"/>
  <c r="DG159" i="14"/>
  <c r="AP159" i="14"/>
  <c r="EN159" i="14"/>
  <c r="DM159" i="14"/>
  <c r="BC159" i="14"/>
  <c r="EF159" i="14"/>
  <c r="BD159" i="14"/>
  <c r="DX159" i="14"/>
  <c r="C159" i="14"/>
  <c r="AV159" i="14"/>
  <c r="DN159" i="14"/>
  <c r="EB159" i="14"/>
  <c r="CB159" i="14"/>
  <c r="BV159" i="14" s="1"/>
  <c r="BF159" i="14"/>
  <c r="AW159" i="14"/>
  <c r="DC159" i="14"/>
  <c r="A148" i="40"/>
  <c r="BI159" i="14"/>
  <c r="EM159" i="14"/>
  <c r="DI159" i="14"/>
  <c r="BJ159" i="14"/>
  <c r="ES159" i="14"/>
  <c r="EL159" i="14"/>
  <c r="DW159" i="14"/>
  <c r="BN159" i="14"/>
  <c r="CW159" i="14"/>
  <c r="ER159" i="14"/>
  <c r="EQ159" i="14"/>
  <c r="DT159" i="14"/>
  <c r="BQ159" i="14"/>
  <c r="EK159" i="14"/>
  <c r="DV159" i="14"/>
  <c r="ED159" i="14"/>
  <c r="CY159" i="14"/>
  <c r="DO159" i="14"/>
  <c r="BG159" i="14"/>
  <c r="D159" i="14"/>
  <c r="EI159" i="14"/>
  <c r="BE159" i="14"/>
  <c r="AO159" i="14"/>
  <c r="DK159" i="14"/>
  <c r="CZ159" i="14"/>
  <c r="DF159" i="14"/>
  <c r="G159" i="14"/>
  <c r="AU159" i="14"/>
  <c r="EA159" i="14"/>
  <c r="BP159" i="14"/>
  <c r="DY159" i="14"/>
  <c r="EP159" i="14"/>
  <c r="DU159" i="14"/>
  <c r="BO159" i="14"/>
  <c r="AS159" i="14"/>
  <c r="DA159" i="14"/>
  <c r="CV159" i="14"/>
  <c r="DH159" i="14"/>
  <c r="EE159" i="14"/>
  <c r="AY159" i="14"/>
  <c r="EH159" i="14"/>
  <c r="EO159" i="14"/>
  <c r="DP159" i="14"/>
  <c r="DS159" i="14"/>
  <c r="BL159" i="14"/>
  <c r="BB159" i="14"/>
  <c r="AZ159" i="14"/>
  <c r="AR159" i="14"/>
  <c r="BH159" i="14"/>
  <c r="DD159" i="14"/>
  <c r="B159" i="14"/>
  <c r="M159" i="14" s="1"/>
  <c r="C148" i="40" s="1"/>
  <c r="E148" i="40" s="1"/>
  <c r="CX159" i="14"/>
  <c r="EG159" i="14"/>
  <c r="P159" i="14"/>
  <c r="CG159" i="14"/>
  <c r="BX159" i="14"/>
  <c r="AK157" i="14"/>
  <c r="AH157" i="14"/>
  <c r="AD157" i="14"/>
  <c r="AF157" i="14"/>
  <c r="V157" i="14"/>
  <c r="AA157" i="14"/>
  <c r="BT158" i="14"/>
  <c r="BU158" i="14"/>
  <c r="B147" i="40"/>
  <c r="AG157" i="14"/>
  <c r="AB157" i="14"/>
  <c r="AL157" i="14"/>
  <c r="W157" i="14"/>
  <c r="T157" i="14"/>
  <c r="AI157" i="14"/>
  <c r="S157" i="14"/>
  <c r="K158" i="14"/>
  <c r="AI158" i="14" s="1"/>
  <c r="AE157" i="14"/>
  <c r="GW187" i="7"/>
  <c r="GV188" i="7"/>
  <c r="GU188" i="7"/>
  <c r="GX187" i="7" l="1"/>
  <c r="CA159" i="14"/>
  <c r="CC159" i="14"/>
  <c r="BR159" i="14"/>
  <c r="K159" i="14"/>
  <c r="AB159" i="14" s="1"/>
  <c r="C134" i="34"/>
  <c r="D135" i="34" s="1"/>
  <c r="T158" i="14"/>
  <c r="AE158" i="14"/>
  <c r="AF158" i="14"/>
  <c r="AC158" i="14"/>
  <c r="AJ158" i="14"/>
  <c r="R158" i="14"/>
  <c r="AK158" i="14"/>
  <c r="AB158" i="14"/>
  <c r="U158" i="14"/>
  <c r="AG158" i="14"/>
  <c r="AD158" i="14"/>
  <c r="V158" i="14"/>
  <c r="BO160" i="14"/>
  <c r="BB160" i="14"/>
  <c r="CZ160" i="14"/>
  <c r="BQ160" i="14"/>
  <c r="AZ160" i="14"/>
  <c r="BL160" i="14"/>
  <c r="EQ160" i="14"/>
  <c r="DS160" i="14"/>
  <c r="D160" i="14"/>
  <c r="AT160" i="14"/>
  <c r="DN160" i="14"/>
  <c r="EJ160" i="14"/>
  <c r="ED160" i="14"/>
  <c r="CW160" i="14"/>
  <c r="BC160" i="14"/>
  <c r="DB160" i="14"/>
  <c r="AW160" i="14"/>
  <c r="DZ160" i="14"/>
  <c r="BN160" i="14"/>
  <c r="CX160" i="14"/>
  <c r="AS160" i="14"/>
  <c r="ER160" i="14"/>
  <c r="DE160" i="14"/>
  <c r="DP160" i="14"/>
  <c r="ES160" i="14"/>
  <c r="DD160" i="14"/>
  <c r="DF160" i="14"/>
  <c r="EG160" i="14"/>
  <c r="DT160" i="14"/>
  <c r="DI160" i="14"/>
  <c r="DA160" i="14"/>
  <c r="EL160" i="14"/>
  <c r="CY160" i="14"/>
  <c r="BE160" i="14"/>
  <c r="BH160" i="14"/>
  <c r="DY160" i="14"/>
  <c r="DK160" i="14"/>
  <c r="DQ160" i="14"/>
  <c r="EB160" i="14"/>
  <c r="DC160" i="14"/>
  <c r="AQ160" i="14"/>
  <c r="BK160" i="14"/>
  <c r="EH160" i="14"/>
  <c r="G160" i="14"/>
  <c r="EM160" i="14"/>
  <c r="AX160" i="14"/>
  <c r="EE160" i="14"/>
  <c r="BP160" i="14"/>
  <c r="C160" i="14"/>
  <c r="BJ160" i="14"/>
  <c r="DL160" i="14"/>
  <c r="DW160" i="14"/>
  <c r="A149" i="40"/>
  <c r="DJ160" i="14"/>
  <c r="CV160" i="14"/>
  <c r="EC160" i="14"/>
  <c r="DU160" i="14"/>
  <c r="DH160" i="14"/>
  <c r="BG160" i="14"/>
  <c r="DV160" i="14"/>
  <c r="DX160" i="14"/>
  <c r="BM160" i="14"/>
  <c r="B160" i="14"/>
  <c r="M160" i="14" s="1"/>
  <c r="C149" i="40" s="1"/>
  <c r="E149" i="40" s="1"/>
  <c r="EN160" i="14"/>
  <c r="BA160" i="14"/>
  <c r="EI160" i="14"/>
  <c r="EA160" i="14"/>
  <c r="AR160" i="14"/>
  <c r="DM160" i="14"/>
  <c r="EP160" i="14"/>
  <c r="BF160" i="14"/>
  <c r="P160" i="14"/>
  <c r="AO160" i="14"/>
  <c r="EK160" i="14"/>
  <c r="EF160" i="14"/>
  <c r="AV160" i="14"/>
  <c r="AY160" i="14"/>
  <c r="EO160" i="14"/>
  <c r="AP160" i="14"/>
  <c r="CB160" i="14"/>
  <c r="BV160" i="14" s="1"/>
  <c r="AU160" i="14"/>
  <c r="BI160" i="14"/>
  <c r="DG160" i="14"/>
  <c r="DO160" i="14"/>
  <c r="BD160" i="14"/>
  <c r="CG160" i="14"/>
  <c r="BX160" i="14"/>
  <c r="AL158" i="14"/>
  <c r="Z158" i="14"/>
  <c r="AA158" i="14"/>
  <c r="BT159" i="14"/>
  <c r="B148" i="40"/>
  <c r="BU159" i="14"/>
  <c r="W158" i="14"/>
  <c r="Y158" i="14"/>
  <c r="S158" i="14"/>
  <c r="AH158" i="14"/>
  <c r="X158" i="14"/>
  <c r="GW188" i="7"/>
  <c r="GV189" i="7"/>
  <c r="GU189" i="7"/>
  <c r="GX188" i="7" l="1"/>
  <c r="CA160" i="14"/>
  <c r="BR160" i="14"/>
  <c r="CC160" i="14"/>
  <c r="M5" i="14"/>
  <c r="V159" i="14"/>
  <c r="AD159" i="14"/>
  <c r="T159" i="14"/>
  <c r="AJ159" i="14"/>
  <c r="AG159" i="14"/>
  <c r="W159" i="14"/>
  <c r="Z159" i="14"/>
  <c r="AF159" i="14"/>
  <c r="AK159" i="14"/>
  <c r="AA159" i="14"/>
  <c r="AI159" i="14"/>
  <c r="AC159" i="14"/>
  <c r="X159" i="14"/>
  <c r="R159" i="14"/>
  <c r="AE159" i="14"/>
  <c r="AL159" i="14"/>
  <c r="U159" i="14"/>
  <c r="S159" i="14"/>
  <c r="Y159" i="14"/>
  <c r="AH159" i="14"/>
  <c r="C135" i="34"/>
  <c r="D136" i="34" s="1"/>
  <c r="BT160" i="14"/>
  <c r="B149" i="40"/>
  <c r="BU160" i="14"/>
  <c r="K160" i="14"/>
  <c r="Z160" i="14" s="1"/>
  <c r="GW189" i="7"/>
  <c r="GU190" i="7"/>
  <c r="GV190" i="7"/>
  <c r="GX189" i="7" l="1"/>
  <c r="AB160" i="14"/>
  <c r="V160" i="14"/>
  <c r="AD160" i="14"/>
  <c r="C136" i="34"/>
  <c r="D137" i="34" s="1"/>
  <c r="AA160" i="14"/>
  <c r="U160" i="14"/>
  <c r="AC160" i="14"/>
  <c r="W160" i="14"/>
  <c r="S160" i="14"/>
  <c r="T160" i="14"/>
  <c r="Y160" i="14"/>
  <c r="CV2" i="14"/>
  <c r="AY3" i="14"/>
  <c r="G176" i="7" s="1"/>
  <c r="F176" i="7" s="1"/>
  <c r="BC3" i="14"/>
  <c r="G180" i="7" s="1"/>
  <c r="BA3" i="14"/>
  <c r="G178" i="7" s="1"/>
  <c r="F178" i="7" s="1"/>
  <c r="BB3" i="14"/>
  <c r="G179" i="7" s="1"/>
  <c r="F179" i="7" s="1"/>
  <c r="BD3" i="14"/>
  <c r="G181" i="7" s="1"/>
  <c r="F181" i="7" s="1"/>
  <c r="AX3" i="14"/>
  <c r="G175" i="7" s="1"/>
  <c r="F175" i="7" s="1"/>
  <c r="AZ3" i="14"/>
  <c r="G182" i="7" s="1"/>
  <c r="F182" i="7" s="1"/>
  <c r="AV3" i="14"/>
  <c r="AD33" i="22"/>
  <c r="AD35" i="22"/>
  <c r="AD39" i="22"/>
  <c r="AD34" i="22"/>
  <c r="AD37" i="22"/>
  <c r="AD36" i="22"/>
  <c r="AD38" i="22"/>
  <c r="AD40" i="22"/>
  <c r="AD41" i="22"/>
  <c r="AD43" i="22"/>
  <c r="AD42" i="22"/>
  <c r="AD45" i="22"/>
  <c r="AD44" i="22"/>
  <c r="AD46" i="22"/>
  <c r="AD47" i="22"/>
  <c r="AF160" i="14"/>
  <c r="AE160" i="14"/>
  <c r="AJ160" i="14"/>
  <c r="AI160" i="14"/>
  <c r="AK160" i="14"/>
  <c r="X160" i="14"/>
  <c r="R160" i="14"/>
  <c r="AH160" i="14"/>
  <c r="AG160" i="14"/>
  <c r="AL160" i="14"/>
  <c r="GW190" i="7"/>
  <c r="GV191" i="7"/>
  <c r="GU191" i="7"/>
  <c r="GX190" i="7" l="1"/>
  <c r="C137" i="34"/>
  <c r="D138" i="34" s="1"/>
  <c r="N8" i="14"/>
  <c r="AS3" i="14"/>
  <c r="B164" i="10"/>
  <c r="F180" i="7"/>
  <c r="GW191" i="7"/>
  <c r="GV192" i="7"/>
  <c r="GU192" i="7"/>
  <c r="GX191" i="7" l="1"/>
  <c r="C138" i="34"/>
  <c r="D139" i="34" s="1"/>
  <c r="S8" i="10"/>
  <c r="O6" i="14"/>
  <c r="O164" i="10"/>
  <c r="G147" i="39"/>
  <c r="P106" i="24"/>
  <c r="I106" i="24" s="1"/>
  <c r="GW192" i="7"/>
  <c r="GU193" i="7"/>
  <c r="GV193" i="7"/>
  <c r="GX192" i="7" l="1"/>
  <c r="C139" i="34"/>
  <c r="D140" i="34" s="1"/>
  <c r="GW193" i="7"/>
  <c r="GV194" i="7"/>
  <c r="GU194" i="7"/>
  <c r="GX193" i="7" l="1"/>
  <c r="C140" i="34"/>
  <c r="D141" i="34" s="1"/>
  <c r="GW194" i="7"/>
  <c r="GU195" i="7"/>
  <c r="GV195" i="7"/>
  <c r="GX194" i="7" l="1"/>
  <c r="C141" i="34"/>
  <c r="D142" i="34" s="1"/>
  <c r="GW195" i="7"/>
  <c r="GU196" i="7"/>
  <c r="GV196" i="7"/>
  <c r="GX195" i="7" l="1"/>
  <c r="C142" i="34"/>
  <c r="D143" i="34" s="1"/>
  <c r="GW196" i="7"/>
  <c r="GU197" i="7"/>
  <c r="GV197" i="7"/>
  <c r="GX196" i="7" l="1"/>
  <c r="C143" i="34"/>
  <c r="D144" i="34" s="1"/>
  <c r="GW197" i="7"/>
  <c r="GV198" i="7"/>
  <c r="GU198" i="7"/>
  <c r="GX197" i="7" l="1"/>
  <c r="C144" i="34"/>
  <c r="D145" i="34" s="1"/>
  <c r="GW198" i="7"/>
  <c r="GU199" i="7"/>
  <c r="GV199" i="7"/>
  <c r="GX198" i="7" l="1"/>
  <c r="C145" i="34"/>
  <c r="D146" i="34" s="1"/>
  <c r="C146" i="34" s="1"/>
  <c r="GW199" i="7"/>
  <c r="GV200" i="7"/>
  <c r="GU200" i="7"/>
  <c r="GX199" i="7" l="1"/>
  <c r="GW200" i="7"/>
  <c r="GV201" i="7"/>
  <c r="GU201" i="7"/>
  <c r="GX200" i="7" l="1"/>
  <c r="GW201" i="7"/>
  <c r="GV202" i="7"/>
  <c r="GU202" i="7"/>
  <c r="GX201" i="7" l="1"/>
  <c r="GW202" i="7"/>
  <c r="GU203" i="7"/>
  <c r="GV203" i="7"/>
  <c r="GX202" i="7" l="1"/>
  <c r="GW203" i="7"/>
  <c r="GV204" i="7"/>
  <c r="GU204" i="7"/>
  <c r="GX203" i="7" l="1"/>
  <c r="GW204" i="7"/>
  <c r="GV205" i="7"/>
  <c r="GU205" i="7"/>
  <c r="GX204" i="7" l="1"/>
  <c r="GW205" i="7"/>
  <c r="GV206" i="7"/>
  <c r="GU206" i="7"/>
  <c r="GX205" i="7" l="1"/>
  <c r="GW206" i="7"/>
  <c r="GV207" i="7"/>
  <c r="GU207" i="7"/>
  <c r="GX206" i="7" l="1"/>
  <c r="GW207" i="7"/>
  <c r="GV208" i="7"/>
  <c r="GU208" i="7"/>
  <c r="GX207" i="7" l="1"/>
  <c r="GW208" i="7"/>
  <c r="GU209" i="7"/>
  <c r="GV209" i="7"/>
  <c r="GX208" i="7" l="1"/>
  <c r="GW209" i="7"/>
  <c r="GU210" i="7"/>
  <c r="GV210" i="7"/>
  <c r="GX209" i="7" l="1"/>
  <c r="GW210" i="7"/>
  <c r="GU211" i="7"/>
  <c r="GV211" i="7"/>
  <c r="GX210" i="7" l="1"/>
  <c r="GW211" i="7"/>
  <c r="GU212" i="7"/>
  <c r="GV212" i="7"/>
  <c r="GX211" i="7" l="1"/>
  <c r="GW212" i="7"/>
  <c r="GU213" i="7"/>
  <c r="GV213" i="7"/>
  <c r="GX212" i="7" l="1"/>
  <c r="GW213" i="7"/>
  <c r="GV214" i="7"/>
  <c r="GU214" i="7"/>
  <c r="GX213" i="7" l="1"/>
  <c r="GW214" i="7"/>
  <c r="GV215" i="7"/>
  <c r="GU215" i="7"/>
  <c r="GX214" i="7" l="1"/>
  <c r="GW215" i="7"/>
  <c r="GV216" i="7"/>
  <c r="GU216" i="7"/>
  <c r="GX215" i="7" l="1"/>
  <c r="GW216" i="7"/>
  <c r="GV217" i="7"/>
  <c r="GU217" i="7"/>
  <c r="GX216" i="7" l="1"/>
  <c r="GQ347" i="7" s="1"/>
  <c r="GW217" i="7"/>
  <c r="GU218" i="7"/>
  <c r="GV218" i="7"/>
  <c r="GX217" i="7" l="1"/>
  <c r="GW218" i="7"/>
  <c r="GU219" i="7"/>
  <c r="GV219" i="7"/>
  <c r="GX218" i="7" l="1"/>
  <c r="GW219" i="7"/>
  <c r="GU220" i="7"/>
  <c r="GV220" i="7"/>
  <c r="GX219" i="7" l="1"/>
  <c r="GW220" i="7"/>
  <c r="GU221" i="7"/>
  <c r="GV221" i="7"/>
  <c r="GX220" i="7" l="1"/>
  <c r="GW221" i="7"/>
  <c r="GV222" i="7"/>
  <c r="GU222" i="7"/>
  <c r="GX221" i="7" l="1"/>
  <c r="GW222" i="7"/>
  <c r="GV223" i="7"/>
  <c r="GU223" i="7"/>
  <c r="GX222" i="7" l="1"/>
  <c r="GW223" i="7"/>
  <c r="GV224" i="7"/>
  <c r="GU224" i="7"/>
  <c r="GX223" i="7" l="1"/>
  <c r="GW224" i="7"/>
  <c r="GU225" i="7"/>
  <c r="GV225" i="7"/>
  <c r="GX224" i="7" l="1"/>
  <c r="GW225" i="7"/>
  <c r="GV226" i="7"/>
  <c r="GU226" i="7"/>
  <c r="GX225" i="7" l="1"/>
  <c r="GW226" i="7"/>
  <c r="GU227" i="7"/>
  <c r="GV227" i="7"/>
  <c r="GX226" i="7" l="1"/>
  <c r="GW227" i="7"/>
  <c r="GU228" i="7"/>
  <c r="GV228" i="7"/>
  <c r="GX227" i="7" l="1"/>
  <c r="GW228" i="7"/>
  <c r="GU229" i="7"/>
  <c r="GV229" i="7"/>
  <c r="GX228" i="7" l="1"/>
  <c r="GW229" i="7"/>
  <c r="GV230" i="7"/>
  <c r="GU230" i="7"/>
  <c r="GX229" i="7" l="1"/>
  <c r="GW230" i="7"/>
  <c r="GV231" i="7"/>
  <c r="GU231" i="7"/>
  <c r="GX230" i="7" l="1"/>
  <c r="GW231" i="7"/>
  <c r="GU232" i="7"/>
  <c r="GV232" i="7"/>
  <c r="GX231" i="7" l="1"/>
  <c r="GW232" i="7"/>
  <c r="GU233" i="7"/>
  <c r="GV233" i="7"/>
  <c r="GX232" i="7" l="1"/>
  <c r="GW233" i="7"/>
  <c r="GU234" i="7"/>
  <c r="GV234" i="7"/>
  <c r="GX233" i="7" l="1"/>
  <c r="GW234" i="7"/>
  <c r="GU235" i="7"/>
  <c r="GV235" i="7"/>
  <c r="GX234" i="7" l="1"/>
  <c r="GW235" i="7"/>
  <c r="GU236" i="7"/>
  <c r="GV236" i="7"/>
  <c r="GX235" i="7" l="1"/>
  <c r="GW236" i="7"/>
  <c r="GU237" i="7"/>
  <c r="GV237" i="7"/>
  <c r="GX236" i="7" l="1"/>
  <c r="GW237" i="7"/>
  <c r="GV238" i="7"/>
  <c r="GU238" i="7"/>
  <c r="GX237" i="7" l="1"/>
  <c r="GW238" i="7"/>
  <c r="GU239" i="7"/>
  <c r="GV239" i="7"/>
  <c r="GX238" i="7" l="1"/>
  <c r="GW239" i="7"/>
  <c r="GV240" i="7"/>
  <c r="GU240" i="7"/>
  <c r="GX239" i="7" l="1"/>
  <c r="GW240" i="7"/>
  <c r="GU241" i="7"/>
  <c r="GV241" i="7"/>
  <c r="GX240" i="7" l="1"/>
  <c r="GW241" i="7"/>
  <c r="GV242" i="7"/>
  <c r="GU242" i="7"/>
  <c r="GX241" i="7" l="1"/>
  <c r="GR347" i="7" s="1"/>
  <c r="GO347" i="7" s="1"/>
  <c r="A84" i="28" s="1"/>
  <c r="GW242" i="7"/>
  <c r="GV243" i="7"/>
  <c r="GU243" i="7"/>
  <c r="GX242" i="7" l="1"/>
  <c r="GS353" i="7"/>
  <c r="Z84" i="28"/>
  <c r="A85" i="28" s="1"/>
  <c r="C84" i="28"/>
  <c r="AD84" i="28"/>
  <c r="P84" i="28"/>
  <c r="AG84" i="28"/>
  <c r="T84" i="28"/>
  <c r="S84" i="28" s="1"/>
  <c r="Q84" i="28"/>
  <c r="R84" i="28" s="1"/>
  <c r="B84" i="28"/>
  <c r="O84" i="28"/>
  <c r="AC84" i="28"/>
  <c r="H84" i="28"/>
  <c r="GW243" i="7"/>
  <c r="GU244" i="7"/>
  <c r="GV244" i="7"/>
  <c r="GX243" i="7" l="1"/>
  <c r="AE84" i="28"/>
  <c r="Z85" i="28"/>
  <c r="A86" i="28" s="1"/>
  <c r="AB84" i="28"/>
  <c r="X84" i="28"/>
  <c r="AH84" i="28"/>
  <c r="C85" i="28"/>
  <c r="Q85" i="28"/>
  <c r="R85" i="28" s="1"/>
  <c r="AC85" i="28"/>
  <c r="P85" i="28"/>
  <c r="AD85" i="28"/>
  <c r="O85" i="28"/>
  <c r="AG85" i="28"/>
  <c r="B85" i="28"/>
  <c r="T85" i="28"/>
  <c r="S85" i="28" s="1"/>
  <c r="H85" i="28"/>
  <c r="GW244" i="7"/>
  <c r="GV245" i="7"/>
  <c r="GU245" i="7"/>
  <c r="GX244" i="7" l="1"/>
  <c r="AE85" i="28"/>
  <c r="Z86" i="28"/>
  <c r="A87" i="28" s="1"/>
  <c r="X85" i="28"/>
  <c r="AB85" i="28"/>
  <c r="AH85" i="28"/>
  <c r="AG86" i="28"/>
  <c r="AC86" i="28"/>
  <c r="AD86" i="28"/>
  <c r="P86" i="28"/>
  <c r="B86" i="28"/>
  <c r="Q86" i="28"/>
  <c r="R86" i="28" s="1"/>
  <c r="T86" i="28"/>
  <c r="S86" i="28" s="1"/>
  <c r="H86" i="28"/>
  <c r="C86" i="28"/>
  <c r="AB86" i="28" s="1"/>
  <c r="GW245" i="7"/>
  <c r="GU246" i="7"/>
  <c r="GV246" i="7"/>
  <c r="GX245" i="7" l="1"/>
  <c r="Z87" i="28"/>
  <c r="A88" i="28" s="1"/>
  <c r="AE86" i="28"/>
  <c r="AH86" i="28"/>
  <c r="X86" i="28"/>
  <c r="AC87" i="28"/>
  <c r="AD87" i="28"/>
  <c r="C87" i="28"/>
  <c r="AB87" i="28" s="1"/>
  <c r="AG87" i="28"/>
  <c r="Q87" i="28"/>
  <c r="R87" i="28" s="1"/>
  <c r="P87" i="28"/>
  <c r="T87" i="28"/>
  <c r="S87" i="28" s="1"/>
  <c r="H87" i="28"/>
  <c r="B87" i="28"/>
  <c r="GW246" i="7"/>
  <c r="GU247" i="7"/>
  <c r="GV247" i="7"/>
  <c r="GX246" i="7" l="1"/>
  <c r="X87" i="28"/>
  <c r="Z88" i="28"/>
  <c r="A89" i="28" s="1"/>
  <c r="AE87" i="28"/>
  <c r="AH87" i="28"/>
  <c r="AC88" i="28"/>
  <c r="C88" i="28"/>
  <c r="AB88" i="28" s="1"/>
  <c r="Q88" i="28"/>
  <c r="R88" i="28" s="1"/>
  <c r="P88" i="28"/>
  <c r="B88" i="28"/>
  <c r="T88" i="28"/>
  <c r="S88" i="28" s="1"/>
  <c r="AD88" i="28"/>
  <c r="AG88" i="28"/>
  <c r="H88" i="28"/>
  <c r="GW247" i="7"/>
  <c r="GU248" i="7"/>
  <c r="GV248" i="7"/>
  <c r="GX247" i="7" l="1"/>
  <c r="AE88" i="28"/>
  <c r="Z89" i="28"/>
  <c r="A90" i="28" s="1"/>
  <c r="X88" i="28"/>
  <c r="B89" i="28"/>
  <c r="T89" i="28"/>
  <c r="S89" i="28" s="1"/>
  <c r="Q89" i="28"/>
  <c r="R89" i="28" s="1"/>
  <c r="AD89" i="28"/>
  <c r="C89" i="28"/>
  <c r="AB89" i="28" s="1"/>
  <c r="AC89" i="28"/>
  <c r="P89" i="28"/>
  <c r="H89" i="28"/>
  <c r="AG89" i="28"/>
  <c r="AH88" i="28"/>
  <c r="GW248" i="7"/>
  <c r="GV249" i="7"/>
  <c r="GU249" i="7"/>
  <c r="GX248" i="7" l="1"/>
  <c r="Z90" i="28"/>
  <c r="A91" i="28" s="1"/>
  <c r="AE89" i="28"/>
  <c r="AH89" i="28"/>
  <c r="AC90" i="28"/>
  <c r="P90" i="28"/>
  <c r="T90" i="28"/>
  <c r="S90" i="28" s="1"/>
  <c r="H90" i="28"/>
  <c r="C90" i="28"/>
  <c r="AB90" i="28" s="1"/>
  <c r="AD90" i="28"/>
  <c r="Q90" i="28"/>
  <c r="R90" i="28" s="1"/>
  <c r="B90" i="28"/>
  <c r="X90" i="28" s="1"/>
  <c r="AG90" i="28"/>
  <c r="X89" i="28"/>
  <c r="GW249" i="7"/>
  <c r="GV250" i="7"/>
  <c r="GU250" i="7"/>
  <c r="GX249" i="7" l="1"/>
  <c r="AH90" i="28"/>
  <c r="AE90" i="28"/>
  <c r="Z91" i="28"/>
  <c r="A92" i="28" s="1"/>
  <c r="C91" i="28"/>
  <c r="P91" i="28"/>
  <c r="Q91" i="28"/>
  <c r="R91" i="28" s="1"/>
  <c r="AC91" i="28"/>
  <c r="AG91" i="28"/>
  <c r="B91" i="28"/>
  <c r="AD91" i="28"/>
  <c r="H91" i="28"/>
  <c r="O91" i="28"/>
  <c r="T91" i="28"/>
  <c r="S91" i="28" s="1"/>
  <c r="GW250" i="7"/>
  <c r="GV251" i="7"/>
  <c r="GU251" i="7"/>
  <c r="GX250" i="7" l="1"/>
  <c r="AE91" i="28"/>
  <c r="Z92" i="28"/>
  <c r="A93" i="28" s="1"/>
  <c r="AB91" i="28"/>
  <c r="X91" i="28"/>
  <c r="AH91" i="28"/>
  <c r="AD92" i="28"/>
  <c r="P92" i="28"/>
  <c r="Q92" i="28"/>
  <c r="R92" i="28" s="1"/>
  <c r="H92" i="28"/>
  <c r="C92" i="28"/>
  <c r="AB92" i="28" s="1"/>
  <c r="B92" i="28"/>
  <c r="AC92" i="28"/>
  <c r="O92" i="28"/>
  <c r="T92" i="28"/>
  <c r="S92" i="28" s="1"/>
  <c r="AG92" i="28"/>
  <c r="GW251" i="7"/>
  <c r="GV252" i="7"/>
  <c r="GU252" i="7"/>
  <c r="GX251" i="7" l="1"/>
  <c r="AE92" i="28"/>
  <c r="Z93" i="28"/>
  <c r="A94" i="28" s="1"/>
  <c r="X92" i="28"/>
  <c r="AH92" i="28"/>
  <c r="P93" i="28"/>
  <c r="B93" i="28"/>
  <c r="AC93" i="28"/>
  <c r="O93" i="28"/>
  <c r="AD93" i="28"/>
  <c r="C93" i="28"/>
  <c r="AG93" i="28"/>
  <c r="Q93" i="28"/>
  <c r="R93" i="28" s="1"/>
  <c r="H93" i="28"/>
  <c r="T93" i="28"/>
  <c r="S93" i="28" s="1"/>
  <c r="GW252" i="7"/>
  <c r="GV253" i="7"/>
  <c r="GU253" i="7"/>
  <c r="GX252" i="7" l="1"/>
  <c r="AE93" i="28"/>
  <c r="Z94" i="28"/>
  <c r="A95" i="28" s="1"/>
  <c r="P95" i="28" s="1"/>
  <c r="X93" i="28"/>
  <c r="AB93" i="28"/>
  <c r="AH93" i="28"/>
  <c r="AC94" i="28"/>
  <c r="O94" i="28"/>
  <c r="AG94" i="28"/>
  <c r="P94" i="28"/>
  <c r="B94" i="28"/>
  <c r="Q94" i="28"/>
  <c r="R94" i="28" s="1"/>
  <c r="C94" i="28"/>
  <c r="AB94" i="28" s="1"/>
  <c r="AD94" i="28"/>
  <c r="T94" i="28"/>
  <c r="S94" i="28" s="1"/>
  <c r="H94" i="28"/>
  <c r="GW253" i="7"/>
  <c r="GU254" i="7"/>
  <c r="GV254" i="7"/>
  <c r="GX253" i="7" l="1"/>
  <c r="B95" i="28"/>
  <c r="Q95" i="28"/>
  <c r="R95" i="28" s="1"/>
  <c r="O95" i="28"/>
  <c r="C95" i="28"/>
  <c r="AB95" i="28" s="1"/>
  <c r="AD95" i="28"/>
  <c r="T95" i="28"/>
  <c r="S95" i="28" s="1"/>
  <c r="Z95" i="28"/>
  <c r="A96" i="28" s="1"/>
  <c r="H96" i="28" s="1"/>
  <c r="AG95" i="28"/>
  <c r="AC95" i="28"/>
  <c r="H95" i="28"/>
  <c r="AE94" i="28"/>
  <c r="AH94" i="28"/>
  <c r="X94" i="28"/>
  <c r="GW254" i="7"/>
  <c r="GU255" i="7"/>
  <c r="GV255" i="7"/>
  <c r="GX254" i="7" l="1"/>
  <c r="Z96" i="28"/>
  <c r="A97" i="28" s="1"/>
  <c r="AD97" i="28" s="1"/>
  <c r="AC96" i="28"/>
  <c r="X95" i="28"/>
  <c r="AG96" i="28"/>
  <c r="C96" i="28"/>
  <c r="AB96" i="28" s="1"/>
  <c r="AD96" i="28"/>
  <c r="Q96" i="28"/>
  <c r="R96" i="28" s="1"/>
  <c r="P96" i="28"/>
  <c r="B96" i="28"/>
  <c r="X96" i="28" s="1"/>
  <c r="O96" i="28"/>
  <c r="T96" i="28"/>
  <c r="S96" i="28" s="1"/>
  <c r="AE95" i="28"/>
  <c r="AH95" i="28"/>
  <c r="GW255" i="7"/>
  <c r="GU256" i="7"/>
  <c r="GV256" i="7"/>
  <c r="GX255" i="7" l="1"/>
  <c r="AC97" i="28"/>
  <c r="C97" i="28"/>
  <c r="AB97" i="28" s="1"/>
  <c r="Z97" i="28"/>
  <c r="A98" i="28" s="1"/>
  <c r="T98" i="28" s="1"/>
  <c r="S98" i="28" s="1"/>
  <c r="B97" i="28"/>
  <c r="Q97" i="28"/>
  <c r="R97" i="28" s="1"/>
  <c r="AG97" i="28"/>
  <c r="T97" i="28"/>
  <c r="S97" i="28" s="1"/>
  <c r="P97" i="28"/>
  <c r="O97" i="28"/>
  <c r="H97" i="28"/>
  <c r="AE96" i="28"/>
  <c r="AH96" i="28"/>
  <c r="GW256" i="7"/>
  <c r="GU257" i="7"/>
  <c r="GV257" i="7"/>
  <c r="GX256" i="7" l="1"/>
  <c r="AG98" i="28"/>
  <c r="C98" i="28"/>
  <c r="AB98" i="28" s="1"/>
  <c r="P98" i="28"/>
  <c r="O98" i="28"/>
  <c r="AD98" i="28"/>
  <c r="Q98" i="28"/>
  <c r="R98" i="28" s="1"/>
  <c r="AH98" i="28" s="1"/>
  <c r="AC98" i="28"/>
  <c r="H98" i="28"/>
  <c r="Z98" i="28"/>
  <c r="Z99" i="28" s="1"/>
  <c r="X97" i="28"/>
  <c r="B98" i="28"/>
  <c r="AH97" i="28"/>
  <c r="AE97" i="28"/>
  <c r="GW257" i="7"/>
  <c r="GU258" i="7"/>
  <c r="GV258" i="7"/>
  <c r="GX257" i="7" l="1"/>
  <c r="AE98" i="28"/>
  <c r="A99" i="28"/>
  <c r="AG99" i="28" s="1"/>
  <c r="X98" i="28"/>
  <c r="A100" i="28"/>
  <c r="Z100" i="28"/>
  <c r="GW258" i="7"/>
  <c r="GU259" i="7"/>
  <c r="GV259" i="7"/>
  <c r="GX258" i="7" l="1"/>
  <c r="T99" i="28"/>
  <c r="S99" i="28" s="1"/>
  <c r="AD99" i="28"/>
  <c r="P99" i="28"/>
  <c r="AC99" i="28"/>
  <c r="Q99" i="28"/>
  <c r="R99" i="28" s="1"/>
  <c r="AH99" i="28" s="1"/>
  <c r="O99" i="28"/>
  <c r="C99" i="28"/>
  <c r="AB99" i="28" s="1"/>
  <c r="B99" i="28"/>
  <c r="H99" i="28"/>
  <c r="A101" i="28"/>
  <c r="Z101" i="28"/>
  <c r="A102" i="28" s="1"/>
  <c r="B100" i="28"/>
  <c r="Q100" i="28"/>
  <c r="R100" i="28" s="1"/>
  <c r="AC100" i="28"/>
  <c r="O100" i="28"/>
  <c r="AG100" i="28"/>
  <c r="AD100" i="28"/>
  <c r="P100" i="28"/>
  <c r="H100" i="28"/>
  <c r="C100" i="28"/>
  <c r="AB100" i="28" s="1"/>
  <c r="T100" i="28"/>
  <c r="S100" i="28" s="1"/>
  <c r="GW259" i="7"/>
  <c r="GU260" i="7"/>
  <c r="GV260" i="7"/>
  <c r="X99" i="28" l="1"/>
  <c r="GX259" i="7"/>
  <c r="AE99" i="28"/>
  <c r="AE100" i="28"/>
  <c r="X100" i="28"/>
  <c r="AD102" i="28"/>
  <c r="Q102" i="28"/>
  <c r="R102" i="28" s="1"/>
  <c r="H102" i="28"/>
  <c r="O102" i="28"/>
  <c r="B102" i="28"/>
  <c r="P102" i="28"/>
  <c r="C102" i="28"/>
  <c r="AB102" i="28" s="1"/>
  <c r="AC102" i="28"/>
  <c r="T102" i="28"/>
  <c r="S102" i="28" s="1"/>
  <c r="AG102" i="28"/>
  <c r="P101" i="28"/>
  <c r="C101" i="28"/>
  <c r="AB101" i="28" s="1"/>
  <c r="AC101" i="28"/>
  <c r="T101" i="28"/>
  <c r="S101" i="28" s="1"/>
  <c r="AD101" i="28"/>
  <c r="Q101" i="28"/>
  <c r="R101" i="28" s="1"/>
  <c r="AG101" i="28"/>
  <c r="O101" i="28"/>
  <c r="H101" i="28"/>
  <c r="B101" i="28"/>
  <c r="AH100" i="28"/>
  <c r="GW260" i="7"/>
  <c r="GU261" i="7"/>
  <c r="GV261" i="7"/>
  <c r="GX260" i="7" l="1"/>
  <c r="AE102" i="28"/>
  <c r="AE101" i="28"/>
  <c r="X101" i="28"/>
  <c r="AH101" i="28"/>
  <c r="X102" i="28"/>
  <c r="AH102" i="28"/>
  <c r="GW261" i="7"/>
  <c r="GU262" i="7"/>
  <c r="GV262" i="7"/>
  <c r="GX261" i="7" l="1"/>
  <c r="Y85" i="28"/>
  <c r="Y84" i="28" s="1"/>
  <c r="GW262" i="7"/>
  <c r="GU263" i="7"/>
  <c r="GV263" i="7"/>
  <c r="GX262" i="7" l="1"/>
  <c r="GW263" i="7"/>
  <c r="GU264" i="7"/>
  <c r="GV264" i="7"/>
  <c r="GX263" i="7" l="1"/>
  <c r="GW264" i="7"/>
  <c r="GU265" i="7"/>
  <c r="GV265" i="7"/>
  <c r="GX264" i="7" l="1"/>
  <c r="GW265" i="7"/>
  <c r="GV266" i="7"/>
  <c r="GU266" i="7"/>
  <c r="GX265" i="7" l="1"/>
  <c r="GW266" i="7"/>
  <c r="GU267" i="7"/>
  <c r="GV267" i="7"/>
  <c r="GX266" i="7" l="1"/>
  <c r="GW267" i="7"/>
  <c r="GV268" i="7"/>
  <c r="GU268" i="7"/>
  <c r="GX267" i="7" l="1"/>
  <c r="GW268" i="7"/>
  <c r="GU269" i="7"/>
  <c r="GV269" i="7"/>
  <c r="GX268" i="7" l="1"/>
  <c r="GW269" i="7"/>
  <c r="GV270" i="7"/>
  <c r="GU270" i="7"/>
  <c r="GX269" i="7" l="1"/>
  <c r="GW270" i="7"/>
  <c r="GU271" i="7"/>
  <c r="GV271" i="7"/>
  <c r="GX270" i="7" l="1"/>
  <c r="GW271" i="7"/>
  <c r="GV272" i="7"/>
  <c r="GU272" i="7"/>
  <c r="GX271" i="7" l="1"/>
  <c r="GW272" i="7"/>
  <c r="GU273" i="7"/>
  <c r="GV273" i="7"/>
  <c r="GX272" i="7" l="1"/>
  <c r="GW273" i="7"/>
  <c r="GV274" i="7"/>
  <c r="GU274" i="7"/>
  <c r="GX273" i="7" l="1"/>
  <c r="GW274" i="7"/>
  <c r="GU275" i="7"/>
  <c r="GU280" i="7"/>
  <c r="GV280" i="7"/>
  <c r="GV275" i="7"/>
  <c r="GX274" i="7" l="1"/>
  <c r="GP348" i="7" s="1"/>
  <c r="GW280" i="7"/>
  <c r="GV276" i="7"/>
  <c r="GW275" i="7"/>
  <c r="GU281" i="7"/>
  <c r="GU276" i="7"/>
  <c r="GV281" i="7"/>
  <c r="GX275" i="7" l="1"/>
  <c r="GX280" i="7"/>
  <c r="GW281" i="7"/>
  <c r="GV282" i="7"/>
  <c r="GU282" i="7"/>
  <c r="GW276" i="7"/>
  <c r="GU277" i="7"/>
  <c r="GV277" i="7"/>
  <c r="GX276" i="7" l="1"/>
  <c r="GX281" i="7"/>
  <c r="GW277" i="7"/>
  <c r="GU278" i="7"/>
  <c r="GV278" i="7"/>
  <c r="GW282" i="7"/>
  <c r="GV283" i="7"/>
  <c r="GU283" i="7"/>
  <c r="GX282" i="7" l="1"/>
  <c r="GX277" i="7"/>
  <c r="GW283" i="7"/>
  <c r="GU284" i="7"/>
  <c r="GV284" i="7"/>
  <c r="GW278" i="7"/>
  <c r="GV279" i="7"/>
  <c r="GU279" i="7"/>
  <c r="GX278" i="7" l="1"/>
  <c r="GX283" i="7"/>
  <c r="GW279" i="7"/>
  <c r="GU285" i="7"/>
  <c r="GW284" i="7"/>
  <c r="GV285" i="7"/>
  <c r="GX284" i="7" l="1"/>
  <c r="GX279" i="7"/>
  <c r="GW285" i="7"/>
  <c r="GV286" i="7"/>
  <c r="GU286" i="7"/>
  <c r="GX285" i="7" l="1"/>
  <c r="GW286" i="7"/>
  <c r="GV287" i="7"/>
  <c r="GU287" i="7"/>
  <c r="GX286" i="7" l="1"/>
  <c r="GW287" i="7"/>
  <c r="GV288" i="7"/>
  <c r="GU288" i="7"/>
  <c r="GX287" i="7" l="1"/>
  <c r="GW288" i="7"/>
  <c r="GU289" i="7"/>
  <c r="GV289" i="7"/>
  <c r="GX288" i="7" l="1"/>
  <c r="GW289" i="7"/>
  <c r="GU290" i="7"/>
  <c r="GV290" i="7"/>
  <c r="GX289" i="7" l="1"/>
  <c r="GW290" i="7"/>
  <c r="GU291" i="7"/>
  <c r="GU293" i="7"/>
  <c r="GV293" i="7"/>
  <c r="GV291" i="7"/>
  <c r="GX290" i="7" l="1"/>
  <c r="GW293" i="7"/>
  <c r="GU292" i="7"/>
  <c r="GW291" i="7"/>
  <c r="GV295" i="7"/>
  <c r="GU295" i="7"/>
  <c r="GV292" i="7"/>
  <c r="GX291" i="7" l="1"/>
  <c r="GX293" i="7"/>
  <c r="GW295" i="7"/>
  <c r="GU296" i="7"/>
  <c r="GV296" i="7"/>
  <c r="GW292" i="7"/>
  <c r="GU294" i="7"/>
  <c r="GV294" i="7"/>
  <c r="GX292" i="7" l="1"/>
  <c r="GX295" i="7"/>
  <c r="GW294" i="7"/>
  <c r="GV297" i="7"/>
  <c r="GW296" i="7"/>
  <c r="GU297" i="7"/>
  <c r="GX296" i="7" l="1"/>
  <c r="GX294" i="7"/>
  <c r="GQ348" i="7" s="1"/>
  <c r="GO348" i="7" s="1"/>
  <c r="A104" i="28" s="1"/>
  <c r="GW297" i="7"/>
  <c r="GV298" i="7"/>
  <c r="GU298" i="7"/>
  <c r="GX297" i="7" l="1"/>
  <c r="Z104" i="28"/>
  <c r="A105" i="28" s="1"/>
  <c r="AC104" i="28"/>
  <c r="AD104" i="28"/>
  <c r="Q104" i="28"/>
  <c r="R104" i="28" s="1"/>
  <c r="O104" i="28"/>
  <c r="AG104" i="28"/>
  <c r="P104" i="28"/>
  <c r="T104" i="28"/>
  <c r="S104" i="28" s="1"/>
  <c r="B104" i="28"/>
  <c r="C104" i="28"/>
  <c r="AB104" i="28" s="1"/>
  <c r="H104" i="28"/>
  <c r="GW298" i="7"/>
  <c r="GV299" i="7"/>
  <c r="GU299" i="7"/>
  <c r="GX298" i="7" l="1"/>
  <c r="Z105" i="28"/>
  <c r="A106" i="28" s="1"/>
  <c r="AE104" i="28"/>
  <c r="X104" i="28"/>
  <c r="AH104" i="28"/>
  <c r="P105" i="28"/>
  <c r="AG105" i="28"/>
  <c r="AC105" i="28"/>
  <c r="B105" i="28"/>
  <c r="AD105" i="28"/>
  <c r="C105" i="28"/>
  <c r="AB105" i="28" s="1"/>
  <c r="Q105" i="28"/>
  <c r="R105" i="28" s="1"/>
  <c r="T105" i="28"/>
  <c r="S105" i="28" s="1"/>
  <c r="O105" i="28"/>
  <c r="H105" i="28"/>
  <c r="GW299" i="7"/>
  <c r="GU300" i="7"/>
  <c r="GV300" i="7"/>
  <c r="GX299" i="7" l="1"/>
  <c r="AE105" i="28"/>
  <c r="Z106" i="28"/>
  <c r="A107" i="28" s="1"/>
  <c r="X105" i="28"/>
  <c r="AC106" i="28"/>
  <c r="AG106" i="28"/>
  <c r="H106" i="28"/>
  <c r="T106" i="28"/>
  <c r="S106" i="28" s="1"/>
  <c r="P106" i="28"/>
  <c r="O106" i="28"/>
  <c r="B106" i="28"/>
  <c r="X106" i="28" s="1"/>
  <c r="Q106" i="28"/>
  <c r="R106" i="28" s="1"/>
  <c r="AD106" i="28"/>
  <c r="C106" i="28"/>
  <c r="AB106" i="28" s="1"/>
  <c r="AH105" i="28"/>
  <c r="GW300" i="7"/>
  <c r="GV301" i="7"/>
  <c r="GU301" i="7"/>
  <c r="GX300" i="7" l="1"/>
  <c r="AE106" i="28"/>
  <c r="Z107" i="28"/>
  <c r="A108" i="28" s="1"/>
  <c r="AH106" i="28"/>
  <c r="C107" i="28"/>
  <c r="AB107" i="28" s="1"/>
  <c r="B107" i="28"/>
  <c r="AC107" i="28"/>
  <c r="AG107" i="28"/>
  <c r="O107" i="28"/>
  <c r="AD107" i="28"/>
  <c r="T107" i="28"/>
  <c r="S107" i="28" s="1"/>
  <c r="H107" i="28"/>
  <c r="Q107" i="28"/>
  <c r="R107" i="28" s="1"/>
  <c r="P107" i="28"/>
  <c r="GW301" i="7"/>
  <c r="GV302" i="7"/>
  <c r="GU302" i="7"/>
  <c r="GX301" i="7" l="1"/>
  <c r="AE107" i="28"/>
  <c r="Z108" i="28"/>
  <c r="A109" i="28" s="1"/>
  <c r="X107" i="28"/>
  <c r="B108" i="28"/>
  <c r="P108" i="28"/>
  <c r="H108" i="28"/>
  <c r="AC108" i="28"/>
  <c r="Q108" i="28"/>
  <c r="R108" i="28" s="1"/>
  <c r="C108" i="28"/>
  <c r="AB108" i="28" s="1"/>
  <c r="T108" i="28"/>
  <c r="S108" i="28" s="1"/>
  <c r="AD108" i="28"/>
  <c r="O108" i="28"/>
  <c r="AG108" i="28"/>
  <c r="AH107" i="28"/>
  <c r="GW302" i="7"/>
  <c r="GV303" i="7"/>
  <c r="GU303" i="7"/>
  <c r="GX302" i="7" l="1"/>
  <c r="Z109" i="28"/>
  <c r="Z110" i="28" s="1"/>
  <c r="AE108" i="28"/>
  <c r="AH108" i="28"/>
  <c r="X108" i="28"/>
  <c r="B109" i="28"/>
  <c r="AD109" i="28"/>
  <c r="AG109" i="28"/>
  <c r="AC109" i="28"/>
  <c r="O109" i="28"/>
  <c r="T109" i="28"/>
  <c r="S109" i="28" s="1"/>
  <c r="H109" i="28"/>
  <c r="C109" i="28"/>
  <c r="AB109" i="28" s="1"/>
  <c r="P109" i="28"/>
  <c r="Q109" i="28"/>
  <c r="R109" i="28" s="1"/>
  <c r="GW303" i="7"/>
  <c r="GU304" i="7"/>
  <c r="GV304" i="7"/>
  <c r="GX303" i="7" l="1"/>
  <c r="AH109" i="28"/>
  <c r="A110" i="28"/>
  <c r="Q110" i="28" s="1"/>
  <c r="R110" i="28" s="1"/>
  <c r="AE109" i="28"/>
  <c r="X109" i="28"/>
  <c r="Z111" i="28"/>
  <c r="A111" i="28"/>
  <c r="GW304" i="7"/>
  <c r="GV305" i="7"/>
  <c r="GU305" i="7"/>
  <c r="GX304" i="7" l="1"/>
  <c r="AC110" i="28"/>
  <c r="O110" i="28"/>
  <c r="AG110" i="28"/>
  <c r="B110" i="28"/>
  <c r="H110" i="28"/>
  <c r="C110" i="28"/>
  <c r="AB110" i="28" s="1"/>
  <c r="AD110" i="28"/>
  <c r="P110" i="28"/>
  <c r="T110" i="28"/>
  <c r="S110" i="28" s="1"/>
  <c r="A112" i="28"/>
  <c r="Z112" i="28"/>
  <c r="B111" i="28"/>
  <c r="O111" i="28"/>
  <c r="C111" i="28"/>
  <c r="AB111" i="28" s="1"/>
  <c r="AG111" i="28"/>
  <c r="AC111" i="28"/>
  <c r="T111" i="28"/>
  <c r="S111" i="28" s="1"/>
  <c r="H111" i="28"/>
  <c r="AD111" i="28"/>
  <c r="P111" i="28"/>
  <c r="Q111" i="28"/>
  <c r="R111" i="28" s="1"/>
  <c r="AH111" i="28" s="1"/>
  <c r="GW305" i="7"/>
  <c r="GU306" i="7"/>
  <c r="GV306" i="7"/>
  <c r="GX305" i="7" l="1"/>
  <c r="AE110" i="28"/>
  <c r="X110" i="28"/>
  <c r="AH110" i="28"/>
  <c r="AE111" i="28"/>
  <c r="X111" i="28"/>
  <c r="A113" i="28"/>
  <c r="Z113" i="28"/>
  <c r="Q112" i="28"/>
  <c r="R112" i="28" s="1"/>
  <c r="H112" i="28"/>
  <c r="B112" i="28"/>
  <c r="AC112" i="28"/>
  <c r="O112" i="28"/>
  <c r="C112" i="28"/>
  <c r="AB112" i="28" s="1"/>
  <c r="AD112" i="28"/>
  <c r="P112" i="28"/>
  <c r="T112" i="28"/>
  <c r="S112" i="28" s="1"/>
  <c r="AG112" i="28"/>
  <c r="GW306" i="7"/>
  <c r="GV307" i="7"/>
  <c r="GU307" i="7"/>
  <c r="GX306" i="7" l="1"/>
  <c r="AE112" i="28"/>
  <c r="X112" i="28"/>
  <c r="A114" i="28"/>
  <c r="Z114" i="28"/>
  <c r="B113" i="28"/>
  <c r="Q113" i="28"/>
  <c r="R113" i="28" s="1"/>
  <c r="AC113" i="28"/>
  <c r="O113" i="28"/>
  <c r="AG113" i="28"/>
  <c r="C113" i="28"/>
  <c r="AB113" i="28" s="1"/>
  <c r="AD113" i="28"/>
  <c r="P113" i="28"/>
  <c r="T113" i="28"/>
  <c r="S113" i="28" s="1"/>
  <c r="H113" i="28"/>
  <c r="AH112" i="28"/>
  <c r="GW307" i="7"/>
  <c r="GU308" i="7"/>
  <c r="GV308" i="7"/>
  <c r="GX307" i="7" l="1"/>
  <c r="AE113" i="28"/>
  <c r="X113" i="28"/>
  <c r="A115" i="28"/>
  <c r="Z115" i="28"/>
  <c r="B114" i="28"/>
  <c r="AC114" i="28"/>
  <c r="C114" i="28"/>
  <c r="AB114" i="28" s="1"/>
  <c r="AD114" i="28"/>
  <c r="AG114" i="28"/>
  <c r="O114" i="28"/>
  <c r="T114" i="28"/>
  <c r="S114" i="28" s="1"/>
  <c r="H114" i="28"/>
  <c r="P114" i="28"/>
  <c r="Q114" i="28"/>
  <c r="R114" i="28" s="1"/>
  <c r="AH113" i="28"/>
  <c r="GW308" i="7"/>
  <c r="GU309" i="7"/>
  <c r="GV309" i="7"/>
  <c r="GX308" i="7" l="1"/>
  <c r="AE114" i="28"/>
  <c r="AD115" i="28"/>
  <c r="P115" i="28"/>
  <c r="T115" i="28"/>
  <c r="S115" i="28" s="1"/>
  <c r="H115" i="28"/>
  <c r="Q115" i="28"/>
  <c r="R115" i="28" s="1"/>
  <c r="AG115" i="28"/>
  <c r="B115" i="28"/>
  <c r="C115" i="28"/>
  <c r="AB115" i="28" s="1"/>
  <c r="AC115" i="28"/>
  <c r="O115" i="28"/>
  <c r="AH114" i="28"/>
  <c r="X114" i="28"/>
  <c r="A116" i="28"/>
  <c r="Z116" i="28"/>
  <c r="GW309" i="7"/>
  <c r="GU310" i="7"/>
  <c r="GV310" i="7"/>
  <c r="GX309" i="7" l="1"/>
  <c r="AE115" i="28"/>
  <c r="AH115" i="28"/>
  <c r="X115" i="28"/>
  <c r="B116" i="28"/>
  <c r="T116" i="28"/>
  <c r="S116" i="28" s="1"/>
  <c r="C116" i="28"/>
  <c r="AB116" i="28" s="1"/>
  <c r="Q116" i="28"/>
  <c r="R116" i="28" s="1"/>
  <c r="AG116" i="28"/>
  <c r="AC116" i="28"/>
  <c r="O116" i="28"/>
  <c r="H116" i="28"/>
  <c r="AD116" i="28"/>
  <c r="P116" i="28"/>
  <c r="Z117" i="28"/>
  <c r="A117" i="28"/>
  <c r="GW310" i="7"/>
  <c r="GV311" i="7"/>
  <c r="GU311" i="7"/>
  <c r="GX310" i="7" l="1"/>
  <c r="AE116" i="28"/>
  <c r="AH116" i="28"/>
  <c r="C117" i="28"/>
  <c r="AB117" i="28" s="1"/>
  <c r="T117" i="28"/>
  <c r="S117" i="28" s="1"/>
  <c r="B117" i="28"/>
  <c r="Q117" i="28"/>
  <c r="R117" i="28" s="1"/>
  <c r="AC117" i="28"/>
  <c r="O117" i="28"/>
  <c r="AG117" i="28"/>
  <c r="AD117" i="28"/>
  <c r="P117" i="28"/>
  <c r="H117" i="28"/>
  <c r="X116" i="28"/>
  <c r="GW311" i="7"/>
  <c r="GU312" i="7"/>
  <c r="GV312" i="7"/>
  <c r="GX311" i="7" l="1"/>
  <c r="AE117" i="28"/>
  <c r="X117" i="28"/>
  <c r="Y105" i="28" s="1"/>
  <c r="Y104" i="28" s="1"/>
  <c r="AH117" i="28"/>
  <c r="GW312" i="7"/>
  <c r="GV313" i="7"/>
  <c r="GU313" i="7"/>
  <c r="GX312" i="7" l="1"/>
  <c r="GW313" i="7"/>
  <c r="GU314" i="7"/>
  <c r="GV314" i="7"/>
  <c r="GX313" i="7" l="1"/>
  <c r="GW314" i="7"/>
  <c r="GU315" i="7"/>
  <c r="GV315" i="7"/>
  <c r="GX314" i="7" l="1"/>
  <c r="GW315" i="7"/>
  <c r="GV316" i="7"/>
  <c r="GU316" i="7"/>
  <c r="GX315" i="7" l="1"/>
  <c r="GW316" i="7"/>
  <c r="GU317" i="7"/>
  <c r="GV317" i="7"/>
  <c r="GX316" i="7" l="1"/>
  <c r="GW317" i="7"/>
  <c r="GV318" i="7"/>
  <c r="GU318" i="7"/>
  <c r="GX317" i="7" l="1"/>
  <c r="GW318" i="7"/>
  <c r="GU319" i="7"/>
  <c r="GV319" i="7"/>
  <c r="GX318" i="7" l="1"/>
  <c r="GW319" i="7"/>
  <c r="GV320" i="7"/>
  <c r="GU320" i="7"/>
  <c r="GX319" i="7" l="1"/>
  <c r="GW320" i="7"/>
  <c r="GU321" i="7"/>
  <c r="GV321" i="7"/>
  <c r="GX320" i="7" l="1"/>
  <c r="GW321" i="7"/>
  <c r="GV322" i="7"/>
  <c r="GU322" i="7"/>
  <c r="GX321" i="7" l="1"/>
  <c r="GP349" i="7" s="1"/>
  <c r="GW322" i="7"/>
  <c r="GU323" i="7"/>
  <c r="GV323" i="7"/>
  <c r="GX322" i="7" l="1"/>
  <c r="GW323" i="7"/>
  <c r="GV324" i="7"/>
  <c r="GU324" i="7"/>
  <c r="GX323" i="7" l="1"/>
  <c r="GW324" i="7"/>
  <c r="GV325" i="7"/>
  <c r="GU325" i="7"/>
  <c r="GX324" i="7" l="1"/>
  <c r="GW325" i="7"/>
  <c r="GU326" i="7"/>
  <c r="GV326" i="7"/>
  <c r="GX325" i="7" l="1"/>
  <c r="GW326" i="7"/>
  <c r="GU327" i="7"/>
  <c r="GV327" i="7"/>
  <c r="GX326" i="7" l="1"/>
  <c r="GW327" i="7"/>
  <c r="GU328" i="7"/>
  <c r="GV328" i="7"/>
  <c r="GX327" i="7" l="1"/>
  <c r="GW328" i="7"/>
  <c r="GV329" i="7"/>
  <c r="GU329" i="7"/>
  <c r="GX328" i="7" l="1"/>
  <c r="GW329" i="7"/>
  <c r="GV330" i="7"/>
  <c r="GU330" i="7"/>
  <c r="GX329" i="7" l="1"/>
  <c r="GW330" i="7"/>
  <c r="GU331" i="7"/>
  <c r="GV331" i="7"/>
  <c r="GX330" i="7" l="1"/>
  <c r="GQ349" i="7" s="1"/>
  <c r="GO349" i="7" s="1"/>
  <c r="A119" i="28" s="1"/>
  <c r="GW331" i="7"/>
  <c r="GU332" i="7"/>
  <c r="GV332" i="7"/>
  <c r="GX331" i="7" l="1"/>
  <c r="Z119" i="28"/>
  <c r="A120" i="28" s="1"/>
  <c r="P119" i="28"/>
  <c r="O119" i="28"/>
  <c r="AC119" i="28"/>
  <c r="C119" i="28"/>
  <c r="AB119" i="28" s="1"/>
  <c r="AD119" i="28"/>
  <c r="T119" i="28"/>
  <c r="S119" i="28" s="1"/>
  <c r="B119" i="28"/>
  <c r="AG119" i="28"/>
  <c r="Q119" i="28"/>
  <c r="R119" i="28" s="1"/>
  <c r="H119" i="28"/>
  <c r="GW332" i="7"/>
  <c r="GU333" i="7"/>
  <c r="GV333" i="7"/>
  <c r="GX332" i="7" l="1"/>
  <c r="Z120" i="28"/>
  <c r="A121" i="28" s="1"/>
  <c r="AE119" i="28"/>
  <c r="X119" i="28"/>
  <c r="AH119" i="28"/>
  <c r="B120" i="28"/>
  <c r="Q120" i="28"/>
  <c r="R120" i="28" s="1"/>
  <c r="AG120" i="28"/>
  <c r="C120" i="28"/>
  <c r="T120" i="28"/>
  <c r="S120" i="28" s="1"/>
  <c r="O120" i="28"/>
  <c r="AC120" i="28"/>
  <c r="AD120" i="28"/>
  <c r="P120" i="28"/>
  <c r="H120" i="28"/>
  <c r="GW333" i="7"/>
  <c r="GV334" i="7"/>
  <c r="GU334" i="7"/>
  <c r="GX333" i="7" l="1"/>
  <c r="AE120" i="28"/>
  <c r="X120" i="28"/>
  <c r="Z121" i="28"/>
  <c r="A122" i="28" s="1"/>
  <c r="AH120" i="28"/>
  <c r="O121" i="28"/>
  <c r="AD121" i="28"/>
  <c r="C121" i="28"/>
  <c r="AB121" i="28" s="1"/>
  <c r="AC121" i="28"/>
  <c r="AG121" i="28"/>
  <c r="B121" i="28"/>
  <c r="T121" i="28"/>
  <c r="S121" i="28" s="1"/>
  <c r="Q121" i="28"/>
  <c r="R121" i="28" s="1"/>
  <c r="P121" i="28"/>
  <c r="H121" i="28"/>
  <c r="AB120" i="28"/>
  <c r="GW334" i="7"/>
  <c r="GV335" i="7"/>
  <c r="GU335" i="7"/>
  <c r="GX334" i="7" l="1"/>
  <c r="Z122" i="28"/>
  <c r="A123" i="28" s="1"/>
  <c r="AE121" i="28"/>
  <c r="X121" i="28"/>
  <c r="AH121" i="28"/>
  <c r="O122" i="28"/>
  <c r="AG122" i="28"/>
  <c r="B122" i="28"/>
  <c r="AC122" i="28"/>
  <c r="T122" i="28"/>
  <c r="S122" i="28" s="1"/>
  <c r="P122" i="28"/>
  <c r="H122" i="28"/>
  <c r="C122" i="28"/>
  <c r="AB122" i="28" s="1"/>
  <c r="AD122" i="28"/>
  <c r="Q122" i="28"/>
  <c r="R122" i="28" s="1"/>
  <c r="GW335" i="7"/>
  <c r="GU336" i="7"/>
  <c r="GV336" i="7"/>
  <c r="GX335" i="7" l="1"/>
  <c r="Z123" i="28"/>
  <c r="A124" i="28" s="1"/>
  <c r="AE122" i="28"/>
  <c r="O123" i="28"/>
  <c r="B123" i="28"/>
  <c r="H123" i="28"/>
  <c r="AC123" i="28"/>
  <c r="C123" i="28"/>
  <c r="AB123" i="28" s="1"/>
  <c r="AD123" i="28"/>
  <c r="P123" i="28"/>
  <c r="AG123" i="28"/>
  <c r="Q123" i="28"/>
  <c r="R123" i="28" s="1"/>
  <c r="T123" i="28"/>
  <c r="S123" i="28" s="1"/>
  <c r="AH122" i="28"/>
  <c r="X122" i="28"/>
  <c r="GW336" i="7"/>
  <c r="GV337" i="7"/>
  <c r="GU337" i="7"/>
  <c r="GX336" i="7" l="1"/>
  <c r="Z124" i="28"/>
  <c r="Z125" i="28" s="1"/>
  <c r="AE123" i="28"/>
  <c r="X123" i="28"/>
  <c r="AH123" i="28"/>
  <c r="Q124" i="28"/>
  <c r="R124" i="28" s="1"/>
  <c r="AC124" i="28"/>
  <c r="B124" i="28"/>
  <c r="AD124" i="28"/>
  <c r="H124" i="28"/>
  <c r="C124" i="28"/>
  <c r="AB124" i="28" s="1"/>
  <c r="P124" i="28"/>
  <c r="AG124" i="28"/>
  <c r="O124" i="28"/>
  <c r="T124" i="28"/>
  <c r="S124" i="28" s="1"/>
  <c r="GW337" i="7"/>
  <c r="GV338" i="7"/>
  <c r="GU338" i="7"/>
  <c r="GX337" i="7" l="1"/>
  <c r="A125" i="28"/>
  <c r="B125" i="28" s="1"/>
  <c r="AE124" i="28"/>
  <c r="AH124" i="28"/>
  <c r="X124" i="28"/>
  <c r="Z126" i="28"/>
  <c r="A126" i="28"/>
  <c r="GW338" i="7"/>
  <c r="GV339" i="7"/>
  <c r="GU339" i="7"/>
  <c r="GX338" i="7" l="1"/>
  <c r="AC125" i="28"/>
  <c r="C125" i="28"/>
  <c r="AB125" i="28" s="1"/>
  <c r="Q125" i="28"/>
  <c r="R125" i="28" s="1"/>
  <c r="H125" i="28"/>
  <c r="X125" i="28" s="1"/>
  <c r="T125" i="28"/>
  <c r="S125" i="28" s="1"/>
  <c r="AD125" i="28"/>
  <c r="O125" i="28"/>
  <c r="AG125" i="28"/>
  <c r="P125" i="28"/>
  <c r="Z127" i="28"/>
  <c r="A127" i="28"/>
  <c r="AD126" i="28"/>
  <c r="AC126" i="28"/>
  <c r="Q126" i="28"/>
  <c r="R126" i="28" s="1"/>
  <c r="H126" i="28"/>
  <c r="P126" i="28"/>
  <c r="C126" i="28"/>
  <c r="T126" i="28"/>
  <c r="S126" i="28" s="1"/>
  <c r="O126" i="28"/>
  <c r="B126" i="28"/>
  <c r="AG126" i="28"/>
  <c r="GW339" i="7"/>
  <c r="GU340" i="7"/>
  <c r="GV340" i="7"/>
  <c r="GX339" i="7" l="1"/>
  <c r="AE125" i="28"/>
  <c r="AH125" i="28"/>
  <c r="AE126" i="28"/>
  <c r="AB126" i="28"/>
  <c r="AH126" i="28"/>
  <c r="T127" i="28"/>
  <c r="S127" i="28" s="1"/>
  <c r="O127" i="28"/>
  <c r="Q127" i="28"/>
  <c r="R127" i="28" s="1"/>
  <c r="AD127" i="28"/>
  <c r="P127" i="28"/>
  <c r="AG127" i="28"/>
  <c r="AC127" i="28"/>
  <c r="H127" i="28"/>
  <c r="C127" i="28"/>
  <c r="AB127" i="28" s="1"/>
  <c r="B127" i="28"/>
  <c r="X126" i="28"/>
  <c r="GW340" i="7"/>
  <c r="GU341" i="7"/>
  <c r="GV341" i="7"/>
  <c r="GX340" i="7" l="1"/>
  <c r="AE127" i="28"/>
  <c r="AH127" i="28"/>
  <c r="X127" i="28"/>
  <c r="Y120" i="28" s="1"/>
  <c r="Y119" i="28" s="1"/>
  <c r="GW341" i="7"/>
  <c r="GV342" i="7"/>
  <c r="GU342" i="7"/>
  <c r="GX341" i="7" l="1"/>
  <c r="GW342" i="7"/>
  <c r="GX342" i="7" l="1"/>
  <c r="GO350" i="7" s="1"/>
  <c r="A129" i="28" s="1"/>
  <c r="GO351" i="7" l="1"/>
  <c r="Z129" i="28"/>
  <c r="A130" i="28" s="1"/>
  <c r="AG130" i="28" s="1"/>
  <c r="B129" i="28"/>
  <c r="O129" i="28"/>
  <c r="C129" i="28"/>
  <c r="AB129" i="28" s="1"/>
  <c r="AD129" i="28"/>
  <c r="AG129" i="28"/>
  <c r="P129" i="28"/>
  <c r="AC129" i="28"/>
  <c r="Q129" i="28"/>
  <c r="R129" i="28" s="1"/>
  <c r="T129" i="28"/>
  <c r="S129" i="28" s="1"/>
  <c r="H129" i="28"/>
  <c r="AE129" i="28" l="1"/>
  <c r="Z130" i="28"/>
  <c r="A131" i="28" s="1"/>
  <c r="AG131" i="28" s="1"/>
  <c r="AH129" i="28"/>
  <c r="X129" i="28"/>
  <c r="Q130" i="28"/>
  <c r="R130" i="28" s="1"/>
  <c r="P130" i="28"/>
  <c r="C130" i="28"/>
  <c r="AD130" i="28"/>
  <c r="T130" i="28"/>
  <c r="S130" i="28" s="1"/>
  <c r="B130" i="28"/>
  <c r="AC130" i="28"/>
  <c r="H130" i="28"/>
  <c r="Z131" i="28" l="1"/>
  <c r="Z132" i="28" s="1"/>
  <c r="AE130" i="28"/>
  <c r="AB130" i="28"/>
  <c r="X130" i="28"/>
  <c r="AH130" i="28"/>
  <c r="T131" i="28"/>
  <c r="S131" i="28" s="1"/>
  <c r="P131" i="28"/>
  <c r="B131" i="28"/>
  <c r="AD131" i="28"/>
  <c r="C131" i="28"/>
  <c r="AB131" i="28" s="1"/>
  <c r="Q131" i="28"/>
  <c r="R131" i="28" s="1"/>
  <c r="AC131" i="28"/>
  <c r="O131" i="28"/>
  <c r="H131" i="28"/>
  <c r="A132" i="28" l="1"/>
  <c r="AE131" i="28"/>
  <c r="AH131" i="28"/>
  <c r="X131" i="28"/>
  <c r="Z133" i="28"/>
  <c r="A133" i="28"/>
  <c r="AG133" i="28" s="1"/>
  <c r="B132" i="28" l="1"/>
  <c r="AG132" i="28"/>
  <c r="P132" i="28"/>
  <c r="AC132" i="28"/>
  <c r="H132" i="28"/>
  <c r="X132" i="28" s="1"/>
  <c r="C132" i="28"/>
  <c r="AB132" i="28" s="1"/>
  <c r="O132" i="28"/>
  <c r="T132" i="28"/>
  <c r="S132" i="28" s="1"/>
  <c r="Q132" i="28"/>
  <c r="R132" i="28" s="1"/>
  <c r="AD132" i="28"/>
  <c r="C133" i="28"/>
  <c r="AB133" i="28" s="1"/>
  <c r="B133" i="28"/>
  <c r="Q133" i="28"/>
  <c r="R133" i="28" s="1"/>
  <c r="P133" i="28"/>
  <c r="H133" i="28"/>
  <c r="AD133" i="28"/>
  <c r="O133" i="28"/>
  <c r="AC133" i="28"/>
  <c r="T133" i="28"/>
  <c r="S133" i="28" s="1"/>
  <c r="A134" i="28"/>
  <c r="AG134" i="28" s="1"/>
  <c r="Z134" i="28"/>
  <c r="AH132" i="28" l="1"/>
  <c r="AE132" i="28"/>
  <c r="AE133" i="28"/>
  <c r="X133" i="28"/>
  <c r="A135" i="28"/>
  <c r="AG135" i="28" s="1"/>
  <c r="Z135" i="28"/>
  <c r="O134" i="28"/>
  <c r="T134" i="28"/>
  <c r="S134" i="28" s="1"/>
  <c r="Q134" i="28"/>
  <c r="R134" i="28" s="1"/>
  <c r="AC134" i="28"/>
  <c r="B134" i="28"/>
  <c r="P134" i="28"/>
  <c r="H134" i="28"/>
  <c r="C134" i="28"/>
  <c r="AB134" i="28" s="1"/>
  <c r="AD134" i="28"/>
  <c r="AH133" i="28"/>
  <c r="AE134" i="28" l="1"/>
  <c r="AH134" i="28"/>
  <c r="X134" i="28"/>
  <c r="Z136" i="28"/>
  <c r="A136" i="28"/>
  <c r="AG136" i="28" s="1"/>
  <c r="T135" i="28"/>
  <c r="S135" i="28" s="1"/>
  <c r="B135" i="28"/>
  <c r="O135" i="28"/>
  <c r="AC135" i="28"/>
  <c r="Q135" i="28"/>
  <c r="R135" i="28" s="1"/>
  <c r="P135" i="28"/>
  <c r="C135" i="28"/>
  <c r="AD135" i="28"/>
  <c r="H135" i="28"/>
  <c r="AE135" i="28" l="1"/>
  <c r="AB135" i="28"/>
  <c r="AH135" i="28"/>
  <c r="X135" i="28"/>
  <c r="B136" i="28"/>
  <c r="AD136" i="28"/>
  <c r="C136" i="28"/>
  <c r="AB136" i="28" s="1"/>
  <c r="P136" i="28"/>
  <c r="O136" i="28"/>
  <c r="T136" i="28"/>
  <c r="S136" i="28" s="1"/>
  <c r="Q136" i="28"/>
  <c r="R136" i="28" s="1"/>
  <c r="AC136" i="28"/>
  <c r="H136" i="28"/>
  <c r="A137" i="28"/>
  <c r="AG137" i="28" s="1"/>
  <c r="Z137" i="28"/>
  <c r="AE136" i="28" l="1"/>
  <c r="AH136" i="28"/>
  <c r="B137" i="28"/>
  <c r="T137" i="28"/>
  <c r="S137" i="28" s="1"/>
  <c r="C137" i="28"/>
  <c r="AB137" i="28" s="1"/>
  <c r="M5" i="28" s="1"/>
  <c r="J39" i="6" s="1"/>
  <c r="AC137" i="28"/>
  <c r="L5" i="28" s="1"/>
  <c r="H137" i="28"/>
  <c r="O137" i="28"/>
  <c r="AD137" i="28"/>
  <c r="N5" i="28" s="1"/>
  <c r="L76" i="6" s="1"/>
  <c r="Q137" i="28"/>
  <c r="R137" i="28" s="1"/>
  <c r="AH137" i="28" s="1"/>
  <c r="P137" i="28"/>
  <c r="X136" i="28"/>
  <c r="AE137" i="28" l="1"/>
  <c r="O7" i="14"/>
  <c r="S9" i="10"/>
  <c r="J76" i="6"/>
  <c r="O9" i="10"/>
  <c r="N8" i="18"/>
  <c r="I6" i="28"/>
  <c r="L6" i="33"/>
  <c r="J40" i="6"/>
  <c r="J71" i="6" s="1"/>
  <c r="P72" i="6"/>
  <c r="X137" i="28"/>
  <c r="Y130" i="28" s="1"/>
  <c r="Y129" i="28" s="1"/>
  <c r="I266" i="28" s="1"/>
  <c r="O68" i="28" s="1"/>
  <c r="O87" i="28" l="1"/>
  <c r="O89" i="28"/>
  <c r="O88" i="28"/>
  <c r="O90" i="28"/>
  <c r="O130" i="28"/>
  <c r="O86" i="28"/>
  <c r="K71" i="6"/>
  <c r="K41" i="6"/>
  <c r="K54" i="6"/>
  <c r="K24" i="6"/>
  <c r="K38" i="6"/>
  <c r="M6" i="14"/>
  <c r="L5" i="33"/>
  <c r="I5" i="28"/>
  <c r="O8" i="10"/>
  <c r="N7" i="18"/>
  <c r="H4" i="29"/>
  <c r="N4" i="29" s="1"/>
  <c r="I4" i="28" l="1"/>
  <c r="N5" i="18" s="1"/>
  <c r="S4" i="29"/>
  <c r="I4" i="29"/>
  <c r="K4" i="29"/>
  <c r="M4" i="29"/>
  <c r="J4" i="29"/>
  <c r="L4" i="29"/>
  <c r="K236" i="14" l="1"/>
  <c r="J11" i="33"/>
  <c r="V34" i="33"/>
  <c r="V11" i="33"/>
  <c r="V100" i="33"/>
  <c r="J50" i="33"/>
  <c r="J124" i="33"/>
  <c r="J112" i="33"/>
  <c r="J134" i="33"/>
  <c r="L7" i="33"/>
  <c r="G41" i="1"/>
  <c r="L41" i="1" s="1"/>
  <c r="H174" i="28"/>
  <c r="H152" i="28"/>
  <c r="K223" i="10"/>
  <c r="K60" i="14"/>
  <c r="H11" i="18"/>
  <c r="H45" i="18"/>
  <c r="H103" i="28"/>
  <c r="H19" i="18"/>
  <c r="I7" i="28"/>
  <c r="N9" i="18"/>
  <c r="J81" i="10"/>
  <c r="K181" i="14"/>
  <c r="K176" i="10"/>
  <c r="L3" i="33"/>
  <c r="H138" i="28"/>
  <c r="K161" i="14"/>
  <c r="J41" i="10"/>
  <c r="K239" i="14"/>
  <c r="H118" i="28"/>
  <c r="K10" i="14"/>
  <c r="M7" i="14"/>
  <c r="L8" i="14" s="1"/>
  <c r="C41" i="1"/>
  <c r="H95" i="18"/>
  <c r="H83" i="28"/>
  <c r="J106" i="10"/>
  <c r="O6" i="10"/>
  <c r="H128" i="28"/>
  <c r="I3" i="28"/>
  <c r="K209" i="14"/>
  <c r="H267" i="28"/>
  <c r="K36" i="14"/>
  <c r="H34" i="28"/>
  <c r="M4" i="14"/>
  <c r="O10" i="10"/>
  <c r="AN2" i="43"/>
  <c r="J158" i="10"/>
  <c r="H63" i="28"/>
  <c r="J60" i="10"/>
  <c r="H31" i="18"/>
  <c r="J13" i="10"/>
  <c r="J72" i="10"/>
  <c r="V10" i="33"/>
  <c r="J10" i="33"/>
  <c r="H5" i="29"/>
  <c r="S5" i="29" s="1"/>
  <c r="H6" i="29" l="1"/>
  <c r="I5" i="29"/>
  <c r="K5" i="29"/>
  <c r="L5" i="29"/>
  <c r="N5" i="29"/>
  <c r="J5" i="29"/>
  <c r="M5" i="29"/>
  <c r="S6" i="29" l="1"/>
  <c r="H7" i="29" s="1"/>
  <c r="K7" i="29" s="1"/>
  <c r="N6" i="29"/>
  <c r="I6" i="29"/>
  <c r="M6" i="29"/>
  <c r="J6" i="29"/>
  <c r="K6" i="29"/>
  <c r="L6" i="29"/>
  <c r="S7" i="29" l="1"/>
  <c r="H8" i="29" s="1"/>
  <c r="K8" i="29" s="1"/>
  <c r="I7" i="29"/>
  <c r="J7" i="29"/>
  <c r="L7" i="29"/>
  <c r="N7" i="29"/>
  <c r="M7" i="29"/>
  <c r="M8" i="29" l="1"/>
  <c r="J8" i="29"/>
  <c r="L8" i="29"/>
  <c r="S8" i="29"/>
  <c r="H9" i="29" s="1"/>
  <c r="J9" i="29" s="1"/>
  <c r="I8" i="29"/>
  <c r="N8" i="29"/>
  <c r="S9" i="29" l="1"/>
  <c r="H10" i="29" s="1"/>
  <c r="J10" i="29" s="1"/>
  <c r="I9" i="29"/>
  <c r="K9" i="29"/>
  <c r="M9" i="29"/>
  <c r="N9" i="29"/>
  <c r="L9" i="29"/>
  <c r="L10" i="29" l="1"/>
  <c r="K10" i="29"/>
  <c r="M10" i="29"/>
  <c r="S10" i="29"/>
  <c r="H11" i="29" s="1"/>
  <c r="L11" i="29" s="1"/>
  <c r="I10" i="29"/>
  <c r="N10" i="29"/>
  <c r="S11" i="29" l="1"/>
  <c r="H12" i="29" s="1"/>
  <c r="L12" i="29" s="1"/>
  <c r="I11" i="29"/>
  <c r="K11" i="29"/>
  <c r="M11" i="29"/>
  <c r="N11" i="29"/>
  <c r="J11" i="29"/>
  <c r="K12" i="29" l="1"/>
  <c r="M12" i="29"/>
  <c r="J12" i="29"/>
  <c r="S12" i="29"/>
  <c r="H13" i="29" s="1"/>
  <c r="J13" i="29" s="1"/>
  <c r="I12" i="29"/>
  <c r="N12" i="29"/>
  <c r="S13" i="29" l="1"/>
  <c r="H14" i="29" s="1"/>
  <c r="M14" i="29" s="1"/>
  <c r="I13" i="29"/>
  <c r="K13" i="29"/>
  <c r="L13" i="29"/>
  <c r="N13" i="29"/>
  <c r="M13" i="29"/>
  <c r="K14" i="29" l="1"/>
  <c r="L14" i="29"/>
  <c r="J14" i="29"/>
  <c r="S14" i="29"/>
  <c r="H15" i="29" s="1"/>
  <c r="M15" i="29" s="1"/>
  <c r="I14" i="29"/>
  <c r="N14" i="29"/>
  <c r="S15" i="29" l="1"/>
  <c r="H16" i="29" s="1"/>
  <c r="K16" i="29" s="1"/>
  <c r="I15" i="29"/>
  <c r="J15" i="29"/>
  <c r="L15" i="29"/>
  <c r="N15" i="29"/>
  <c r="K15" i="29"/>
  <c r="L16" i="29" l="1"/>
  <c r="J16" i="29"/>
  <c r="M16" i="29"/>
  <c r="S16" i="29"/>
  <c r="H17" i="29" s="1"/>
  <c r="M17" i="29" s="1"/>
  <c r="I16" i="29"/>
  <c r="N16" i="29"/>
  <c r="S17" i="29" l="1"/>
  <c r="H18" i="29" s="1"/>
  <c r="J18" i="29" s="1"/>
  <c r="I17" i="29"/>
  <c r="L17" i="29"/>
  <c r="J17" i="29"/>
  <c r="N17" i="29"/>
  <c r="K17" i="29"/>
  <c r="M18" i="29" l="1"/>
  <c r="L18" i="29"/>
  <c r="K18" i="29"/>
  <c r="S18" i="29"/>
  <c r="H19" i="29" s="1"/>
  <c r="K19" i="29" s="1"/>
  <c r="I18" i="29"/>
  <c r="N18" i="29"/>
  <c r="S19" i="29" l="1"/>
  <c r="H20" i="29" s="1"/>
  <c r="I19" i="29"/>
  <c r="M19" i="29"/>
  <c r="N19" i="29"/>
  <c r="L19" i="29"/>
  <c r="J19" i="29"/>
  <c r="S20" i="29" l="1"/>
  <c r="H21" i="29" s="1"/>
  <c r="M21" i="29" s="1"/>
  <c r="I20" i="29"/>
  <c r="L20" i="29"/>
  <c r="K20" i="29"/>
  <c r="M20" i="29"/>
  <c r="N20" i="29"/>
  <c r="J20" i="29"/>
  <c r="J21" i="29" l="1"/>
  <c r="K21" i="29"/>
  <c r="L21" i="29"/>
  <c r="S21" i="29"/>
  <c r="H22" i="29" s="1"/>
  <c r="M22" i="29" s="1"/>
  <c r="I21" i="29"/>
  <c r="N21" i="29"/>
  <c r="S22" i="29" l="1"/>
  <c r="H23" i="29" s="1"/>
  <c r="M23" i="29" s="1"/>
  <c r="I22" i="29"/>
  <c r="L22" i="29"/>
  <c r="J22" i="29"/>
  <c r="N22" i="29"/>
  <c r="K22" i="29"/>
  <c r="K23" i="29" l="1"/>
  <c r="L23" i="29"/>
  <c r="J23" i="29"/>
  <c r="S23" i="29"/>
  <c r="H24" i="29" s="1"/>
  <c r="I23" i="29"/>
  <c r="N23" i="29"/>
  <c r="S24" i="29" l="1"/>
  <c r="H25" i="29" s="1"/>
  <c r="J25" i="29" s="1"/>
  <c r="I24" i="29"/>
  <c r="L24" i="29"/>
  <c r="N24" i="29"/>
  <c r="J24" i="29"/>
  <c r="K24" i="29"/>
  <c r="M24" i="29"/>
  <c r="L25" i="29" l="1"/>
  <c r="M25" i="29"/>
  <c r="K25" i="29"/>
  <c r="S25" i="29"/>
  <c r="H26" i="29" s="1"/>
  <c r="L26" i="29" s="1"/>
  <c r="I25" i="29"/>
  <c r="N25" i="29"/>
  <c r="J26" i="29" l="1"/>
  <c r="K26" i="29"/>
  <c r="M26" i="29"/>
  <c r="S26" i="29"/>
  <c r="S27" i="29" s="1"/>
  <c r="I26" i="29"/>
  <c r="N26" i="29"/>
  <c r="H27" i="29" l="1"/>
  <c r="N27" i="29" s="1"/>
  <c r="S28" i="29"/>
  <c r="H28" i="29"/>
  <c r="N28" i="29" s="1"/>
  <c r="K27" i="29" l="1"/>
  <c r="J27" i="29"/>
  <c r="I27" i="29"/>
  <c r="L27" i="29"/>
  <c r="M27" i="29"/>
  <c r="J28" i="29"/>
  <c r="M28" i="29"/>
  <c r="K28" i="29"/>
  <c r="I28" i="29"/>
  <c r="L28" i="29"/>
  <c r="H29" i="29"/>
  <c r="N29" i="29" s="1"/>
  <c r="S29" i="29"/>
  <c r="H30" i="29" l="1"/>
  <c r="N30" i="29" s="1"/>
  <c r="S30" i="29"/>
  <c r="J29" i="29"/>
  <c r="L29" i="29"/>
  <c r="K29" i="29"/>
  <c r="I29" i="29"/>
  <c r="M29" i="29"/>
  <c r="S31" i="29" l="1"/>
  <c r="H31" i="29"/>
  <c r="N31" i="29" s="1"/>
  <c r="J30" i="29"/>
  <c r="M30" i="29"/>
  <c r="L30" i="29"/>
  <c r="K30" i="29"/>
  <c r="I30" i="29"/>
  <c r="J31" i="29" l="1"/>
  <c r="L31" i="29"/>
  <c r="I31" i="29"/>
  <c r="M31" i="29"/>
  <c r="K31" i="29"/>
  <c r="S32" i="29"/>
  <c r="H32" i="29"/>
  <c r="N32" i="29" s="1"/>
  <c r="H33" i="29" l="1"/>
  <c r="N33" i="29" s="1"/>
  <c r="S33" i="29"/>
  <c r="J32" i="29"/>
  <c r="L32" i="29"/>
  <c r="K32" i="29"/>
  <c r="I32" i="29"/>
  <c r="M32" i="29"/>
  <c r="H34" i="29" l="1"/>
  <c r="N34" i="29" s="1"/>
  <c r="S34" i="29"/>
  <c r="J33" i="29"/>
  <c r="L33" i="29"/>
  <c r="K33" i="29"/>
  <c r="I33" i="29"/>
  <c r="M33" i="29"/>
  <c r="H35" i="29" l="1"/>
  <c r="N35" i="29" s="1"/>
  <c r="S35" i="29"/>
  <c r="J34" i="29"/>
  <c r="L34" i="29"/>
  <c r="K34" i="29"/>
  <c r="I34" i="29"/>
  <c r="M34" i="29"/>
  <c r="S36" i="29" l="1"/>
  <c r="H36" i="29"/>
  <c r="N36" i="29" s="1"/>
  <c r="J35" i="29"/>
  <c r="M35" i="29"/>
  <c r="L35" i="29"/>
  <c r="K35" i="29"/>
  <c r="I35" i="29"/>
  <c r="J36" i="29" l="1"/>
  <c r="M36" i="29"/>
  <c r="L36" i="29"/>
  <c r="K36" i="29"/>
  <c r="I36" i="29"/>
  <c r="S37" i="29"/>
  <c r="H37" i="29"/>
  <c r="N37" i="29" s="1"/>
  <c r="J37" i="29" l="1"/>
  <c r="M37" i="29"/>
  <c r="L37" i="29"/>
  <c r="K37" i="29"/>
  <c r="I37" i="29"/>
  <c r="S38" i="29"/>
  <c r="H38" i="29"/>
  <c r="N38" i="29" s="1"/>
  <c r="J38" i="29" l="1"/>
  <c r="K38" i="29"/>
  <c r="I38" i="29"/>
  <c r="M38" i="29"/>
  <c r="L38" i="29"/>
  <c r="S39" i="29"/>
  <c r="H39" i="29"/>
  <c r="N39" i="29" s="1"/>
  <c r="H40" i="29" l="1"/>
  <c r="N40" i="29" s="1"/>
  <c r="S40" i="29"/>
  <c r="J39" i="29"/>
  <c r="M39" i="29"/>
  <c r="K39" i="29"/>
  <c r="I39" i="29"/>
  <c r="L39" i="29"/>
  <c r="S41" i="29" l="1"/>
  <c r="H41" i="29"/>
  <c r="N41" i="29" s="1"/>
  <c r="J40" i="29"/>
  <c r="I40" i="29"/>
  <c r="M40" i="29"/>
  <c r="L40" i="29"/>
  <c r="K40" i="29"/>
  <c r="J41" i="29" l="1"/>
  <c r="M41" i="29"/>
  <c r="L41" i="29"/>
  <c r="K41" i="29"/>
  <c r="I41" i="29"/>
  <c r="S42" i="29"/>
  <c r="H42" i="29"/>
  <c r="N42" i="29" s="1"/>
  <c r="S43" i="29" l="1"/>
  <c r="H43" i="29"/>
  <c r="N43" i="29" s="1"/>
  <c r="J42" i="29"/>
  <c r="L42" i="29"/>
  <c r="K42" i="29"/>
  <c r="M42" i="29"/>
  <c r="I42" i="29"/>
  <c r="J43" i="29" l="1"/>
  <c r="L43" i="29"/>
  <c r="I43" i="29"/>
  <c r="M43" i="29"/>
  <c r="K43" i="29"/>
  <c r="H44" i="29"/>
  <c r="N44" i="29" s="1"/>
  <c r="S44" i="29"/>
  <c r="S45" i="29" l="1"/>
  <c r="H45" i="29"/>
  <c r="N45" i="29" s="1"/>
  <c r="J44" i="29"/>
  <c r="M44" i="29"/>
  <c r="L44" i="29"/>
  <c r="I44" i="29"/>
  <c r="K44" i="29"/>
  <c r="J45" i="29" l="1"/>
  <c r="I45" i="29"/>
  <c r="L45" i="29"/>
  <c r="M45" i="29"/>
  <c r="K45" i="29"/>
  <c r="S46" i="29"/>
  <c r="H46" i="29"/>
  <c r="N46" i="29" s="1"/>
  <c r="H47" i="29" l="1"/>
  <c r="N47" i="29" s="1"/>
  <c r="S47" i="29"/>
  <c r="J46" i="29"/>
  <c r="I46" i="29"/>
  <c r="M46" i="29"/>
  <c r="L46" i="29"/>
  <c r="K46" i="29"/>
  <c r="J47" i="29" l="1"/>
  <c r="I47" i="29"/>
  <c r="M47" i="29"/>
  <c r="K47" i="29"/>
  <c r="L47" i="29"/>
</calcChain>
</file>

<file path=xl/comments1.xml><?xml version="1.0" encoding="utf-8"?>
<comments xmlns="http://schemas.openxmlformats.org/spreadsheetml/2006/main">
  <authors>
    <author>Patrik Rüegge</author>
    <author>Patrik</author>
    <author>Patrik Rueegge</author>
  </authors>
  <commentList>
    <comment ref="S1" authorId="0" shapeId="0">
      <text>
        <r>
          <rPr>
            <sz val="8"/>
            <color indexed="81"/>
            <rFont val="Tahoma"/>
            <family val="2"/>
          </rPr>
          <t>Versions-Check für HBC</t>
        </r>
      </text>
    </comment>
    <comment ref="D4" authorId="1" shapeId="0">
      <text>
        <r>
          <rPr>
            <b/>
            <sz val="9"/>
            <color indexed="81"/>
            <rFont val="Tahoma"/>
            <family val="2"/>
          </rPr>
          <t xml:space="preserve">Ohne Limitationen: </t>
        </r>
        <r>
          <rPr>
            <sz val="9"/>
            <color indexed="81"/>
            <rFont val="Tahoma"/>
            <family val="2"/>
          </rPr>
          <t>Alles ist wählbar, ohne Berücksichtigung von Vorgaben (wie früher im Heldenblatt)</t>
        </r>
        <r>
          <rPr>
            <b/>
            <sz val="9"/>
            <color indexed="81"/>
            <rFont val="Tahoma"/>
            <family val="2"/>
          </rPr>
          <t xml:space="preserve">
Start mit Rasse: </t>
        </r>
        <r>
          <rPr>
            <sz val="9"/>
            <color indexed="81"/>
            <rFont val="Tahoma"/>
            <family val="2"/>
          </rPr>
          <t>Klassische Generierung mit Berücksichtigung der möglichen Kulturen und Professionen gemäss WdH</t>
        </r>
        <r>
          <rPr>
            <b/>
            <sz val="9"/>
            <color indexed="81"/>
            <rFont val="Tahoma"/>
            <family val="2"/>
          </rPr>
          <t xml:space="preserve">
Start mit Profession: </t>
        </r>
        <r>
          <rPr>
            <sz val="9"/>
            <color indexed="81"/>
            <rFont val="Tahoma"/>
            <family val="2"/>
          </rPr>
          <t xml:space="preserve">Start mit der Profession, daraus werden mögliche Kulturen und die Rasse abgeleitet. </t>
        </r>
      </text>
    </comment>
    <comment ref="H4" authorId="0" shapeId="0">
      <text>
        <r>
          <rPr>
            <sz val="8"/>
            <color indexed="81"/>
            <rFont val="Tahoma"/>
            <family val="2"/>
          </rPr>
          <t>Bei Werten ab 130 verschiebt sich der Maximalwert der Eigenschaften auf 15, entsprechend auch für Herausragende Eigenschaften auf 16-18. Siehe Zelle P4</t>
        </r>
      </text>
    </comment>
    <comment ref="R4" authorId="0" shapeId="0">
      <text>
        <r>
          <rPr>
            <sz val="8"/>
            <color indexed="81"/>
            <rFont val="Tahoma"/>
            <family val="2"/>
          </rPr>
          <t>Maximaler Eigenschaftswert. Bei Start-GP &gt;129 sollte dieser anstelle von 14 den Wert 15 aufweisen. Bei anderen Hausreglen hier einfach den Wert eintragen für den maximalen Eigenschafswert.</t>
        </r>
      </text>
    </comment>
    <comment ref="P5" authorId="1" shapeId="0">
      <text>
        <r>
          <rPr>
            <b/>
            <sz val="9"/>
            <color indexed="81"/>
            <rFont val="Tahoma"/>
            <family val="2"/>
          </rPr>
          <t>Rasse</t>
        </r>
      </text>
    </comment>
    <comment ref="U5" authorId="0" shapeId="0">
      <text>
        <r>
          <rPr>
            <b/>
            <sz val="9"/>
            <color indexed="81"/>
            <rFont val="Tahoma"/>
            <family val="2"/>
          </rPr>
          <t>Dropdownlist D5
=Indirekt (U5)</t>
        </r>
      </text>
    </comment>
    <comment ref="P6" authorId="1" shapeId="0">
      <text>
        <r>
          <rPr>
            <b/>
            <sz val="9"/>
            <color indexed="81"/>
            <rFont val="Tahoma"/>
            <family val="2"/>
          </rPr>
          <t>Kultur</t>
        </r>
        <r>
          <rPr>
            <sz val="9"/>
            <color indexed="81"/>
            <rFont val="Tahoma"/>
            <family val="2"/>
          </rPr>
          <t xml:space="preserve">
</t>
        </r>
      </text>
    </comment>
    <comment ref="U6" authorId="0" shapeId="0">
      <text>
        <r>
          <rPr>
            <b/>
            <sz val="9"/>
            <color indexed="81"/>
            <rFont val="Tahoma"/>
            <family val="2"/>
          </rPr>
          <t>Dropdownlist D6
=Indirekt (U6)</t>
        </r>
        <r>
          <rPr>
            <sz val="9"/>
            <color indexed="81"/>
            <rFont val="Tahoma"/>
            <family val="2"/>
          </rPr>
          <t xml:space="preserve">
</t>
        </r>
      </text>
    </comment>
    <comment ref="K7" authorId="1" shapeId="0">
      <text>
        <r>
          <rPr>
            <b/>
            <sz val="9"/>
            <color indexed="81"/>
            <rFont val="Tahoma"/>
            <family val="2"/>
          </rPr>
          <t>Hier werden durch den Benutzer zu beachtende Voraussetzungen angezeigt. Die Einhaltung wird nicht überprüft, der Text bleibt auch bei korrekter Auswahl stehen.</t>
        </r>
      </text>
    </comment>
    <comment ref="P7" authorId="1" shapeId="0">
      <text>
        <r>
          <rPr>
            <b/>
            <sz val="9"/>
            <color indexed="81"/>
            <rFont val="Tahoma"/>
            <family val="2"/>
          </rPr>
          <t>Gebiet</t>
        </r>
        <r>
          <rPr>
            <sz val="9"/>
            <color indexed="81"/>
            <rFont val="Tahoma"/>
            <family val="2"/>
          </rPr>
          <t xml:space="preserve">
</t>
        </r>
      </text>
    </comment>
    <comment ref="R7" authorId="0" shapeId="0">
      <text>
        <r>
          <rPr>
            <sz val="8"/>
            <color indexed="81"/>
            <rFont val="Tahoma"/>
            <family val="2"/>
          </rPr>
          <t>Wichtig: Bezeichnet Bezugfläche für Nachschlag nach gegebenen Werten durch Profession</t>
        </r>
      </text>
    </comment>
    <comment ref="U7" authorId="0" shapeId="0">
      <text>
        <r>
          <rPr>
            <b/>
            <sz val="9"/>
            <color indexed="81"/>
            <rFont val="Tahoma"/>
            <family val="2"/>
          </rPr>
          <t>Dropdownlist D7
=Indirekt (U7)</t>
        </r>
        <r>
          <rPr>
            <sz val="9"/>
            <color indexed="81"/>
            <rFont val="Tahoma"/>
            <family val="2"/>
          </rPr>
          <t xml:space="preserve">
</t>
        </r>
      </text>
    </comment>
    <comment ref="P8" authorId="1" shapeId="0">
      <text>
        <r>
          <rPr>
            <b/>
            <sz val="9"/>
            <color indexed="81"/>
            <rFont val="Tahoma"/>
            <family val="2"/>
          </rPr>
          <t>Gattung</t>
        </r>
        <r>
          <rPr>
            <sz val="9"/>
            <color indexed="81"/>
            <rFont val="Tahoma"/>
            <family val="2"/>
          </rPr>
          <t xml:space="preserve">
</t>
        </r>
      </text>
    </comment>
    <comment ref="U8" authorId="0" shapeId="0">
      <text>
        <r>
          <rPr>
            <b/>
            <sz val="9"/>
            <color indexed="81"/>
            <rFont val="Tahoma"/>
            <family val="2"/>
          </rPr>
          <t>Dropdownlist D8
=Indirekt (U8)</t>
        </r>
        <r>
          <rPr>
            <sz val="9"/>
            <color indexed="81"/>
            <rFont val="Tahoma"/>
            <family val="2"/>
          </rPr>
          <t xml:space="preserve">
</t>
        </r>
      </text>
    </comment>
    <comment ref="P9" authorId="1" shapeId="0">
      <text>
        <r>
          <rPr>
            <b/>
            <sz val="9"/>
            <color indexed="81"/>
            <rFont val="Tahoma"/>
            <family val="2"/>
          </rPr>
          <t>Variante</t>
        </r>
      </text>
    </comment>
    <comment ref="U9" authorId="0" shapeId="0">
      <text>
        <r>
          <rPr>
            <b/>
            <sz val="9"/>
            <color indexed="81"/>
            <rFont val="Tahoma"/>
            <family val="2"/>
          </rPr>
          <t>Dropdownlist D9
=Indirekt (U9)</t>
        </r>
        <r>
          <rPr>
            <sz val="9"/>
            <color indexed="81"/>
            <rFont val="Tahoma"/>
            <family val="2"/>
          </rPr>
          <t xml:space="preserve">
</t>
        </r>
      </text>
    </comment>
    <comment ref="R10" authorId="0" shapeId="0">
      <text>
        <r>
          <rPr>
            <sz val="8"/>
            <color indexed="81"/>
            <rFont val="Tahoma"/>
            <family val="2"/>
          </rPr>
          <t>Wichtig: Bezeichnet Bezugfläche für Nachschlag nach gegebenen Werten durch Zweit-Profession</t>
        </r>
      </text>
    </comment>
    <comment ref="J51" authorId="1" shapeId="0">
      <text>
        <r>
          <rPr>
            <b/>
            <sz val="9"/>
            <color indexed="81"/>
            <rFont val="Tahoma"/>
            <family val="2"/>
          </rPr>
          <t>Falls Blutrausch für Thorwaler wie bei DSA4.0 noch 18 GP geben soll hier eintragen</t>
        </r>
      </text>
    </comment>
    <comment ref="G62" authorId="0" shapeId="0">
      <text>
        <r>
          <rPr>
            <sz val="9"/>
            <color indexed="81"/>
            <rFont val="Tahoma"/>
            <family val="2"/>
          </rPr>
          <t>Formel für die normalen AP-Kosten nachträglich erworbener Vorteile. Kann überschrieben werden, falls ein weiterer kostenloser Vorteil eingetragen werden soll.</t>
        </r>
      </text>
    </comment>
    <comment ref="H62" authorId="0" shapeId="0">
      <text>
        <r>
          <rPr>
            <sz val="9"/>
            <color indexed="81"/>
            <rFont val="Tahoma"/>
            <family val="2"/>
          </rPr>
          <t>Zusätzliche Kompensations-AP. Der nachträglich gewählte Vorteil wirkt im Heldenblatt, als ob dieser von Anfang an gewählt wurde. Es können entsprechend  AP frei werden - diese hier zur Kompensation eintragen (APs vor und nach Auswahl vergleichen).</t>
        </r>
      </text>
    </comment>
    <comment ref="L73" authorId="0" shapeId="0">
      <text>
        <r>
          <rPr>
            <b/>
            <sz val="8"/>
            <color indexed="81"/>
            <rFont val="Tahoma"/>
            <family val="2"/>
          </rPr>
          <t>Kann genutzt werden, um zusätzlich ausgegeben GP einzutragen (z.B. um frei wählbaren Nachteil wie Stubenhocker wegzukaufen oder für Hausregeln).</t>
        </r>
      </text>
    </comment>
    <comment ref="P90" authorId="2" shapeId="0">
      <text>
        <r>
          <rPr>
            <b/>
            <sz val="8"/>
            <color indexed="81"/>
            <rFont val="Tahoma"/>
            <family val="2"/>
          </rPr>
          <t>Auch für den Kristallomant</t>
        </r>
      </text>
    </comment>
    <comment ref="C101" authorId="0" shapeId="0">
      <text>
        <r>
          <rPr>
            <b/>
            <sz val="8"/>
            <color indexed="81"/>
            <rFont val="Tahoma"/>
            <family val="2"/>
          </rPr>
          <t>Elfen: Aus der Liste der Hauszauber können auch noch Startzauber gewählt werden.</t>
        </r>
        <r>
          <rPr>
            <sz val="8"/>
            <color indexed="81"/>
            <rFont val="Tahoma"/>
            <family val="2"/>
          </rPr>
          <t xml:space="preserve">
</t>
        </r>
      </text>
    </comment>
    <comment ref="G103" authorId="2" shapeId="0">
      <text>
        <r>
          <rPr>
            <b/>
            <sz val="8"/>
            <color indexed="81"/>
            <rFont val="Tahoma"/>
            <family val="2"/>
          </rPr>
          <t xml:space="preserve">Nur für Elfen auswählen, sonst leer lassen.
</t>
        </r>
      </text>
    </comment>
  </commentList>
</comments>
</file>

<file path=xl/comments10.xml><?xml version="1.0" encoding="utf-8"?>
<comments xmlns="http://schemas.openxmlformats.org/spreadsheetml/2006/main">
  <authors>
    <author>Patrik Rüegge</author>
    <author>Patrik Rueegge</author>
  </authors>
  <commentList>
    <comment ref="Y5" authorId="0" shapeId="0">
      <text>
        <r>
          <rPr>
            <b/>
            <sz val="9"/>
            <color indexed="81"/>
            <rFont val="Tahoma"/>
            <family val="2"/>
          </rPr>
          <t>Seite im LCD</t>
        </r>
        <r>
          <rPr>
            <sz val="9"/>
            <color indexed="81"/>
            <rFont val="Tahoma"/>
            <family val="2"/>
          </rPr>
          <t xml:space="preserve">
</t>
        </r>
      </text>
    </comment>
    <comment ref="AK60" authorId="1" shapeId="0">
      <text>
        <r>
          <rPr>
            <b/>
            <sz val="8"/>
            <color indexed="81"/>
            <rFont val="Tahoma"/>
            <family val="2"/>
          </rPr>
          <t xml:space="preserve">Automatisch wird der KL/3 bzw. IN/3 bzw. falls Gefäss der Sterne vorhanden alternativ CH/3 eingerechnet (höchster Wert).
Hier können  Bonuspunkte eingetragen werden
Elfen:
</t>
        </r>
        <r>
          <rPr>
            <sz val="8"/>
            <color indexed="81"/>
            <rFont val="Tahoma"/>
            <family val="2"/>
          </rPr>
          <t xml:space="preserve">Bei Elfen die Bonuspunkte bei gelungener Probe (MU/Leiteigenschaft/CH) auf den halben Talentwert von Musizieren oder Singen hier eingetragen werden (TaW/2*).  </t>
        </r>
        <r>
          <rPr>
            <b/>
            <sz val="8"/>
            <color indexed="81"/>
            <rFont val="Tahoma"/>
            <family val="2"/>
          </rPr>
          <t xml:space="preserve">
Für restliche Professionen:
</t>
        </r>
        <r>
          <rPr>
            <sz val="8"/>
            <color indexed="81"/>
            <rFont val="Tahoma"/>
            <family val="2"/>
          </rPr>
          <t xml:space="preserve">Hier die Bonuspunkte aus gelungener Ritualkenntnisprobe (MU/Leiteigenschaft/CH) auf RkW eintragen (RkW*/10). </t>
        </r>
      </text>
    </comment>
    <comment ref="M65" authorId="0" shapeId="0">
      <text>
        <r>
          <rPr>
            <b/>
            <sz val="9"/>
            <color indexed="81"/>
            <rFont val="Segoe UI"/>
            <family val="2"/>
          </rPr>
          <t>(Konz.) = unter Konzentration</t>
        </r>
      </text>
    </comment>
  </commentList>
</comments>
</file>

<file path=xl/comments11.xml><?xml version="1.0" encoding="utf-8"?>
<comments xmlns="http://schemas.openxmlformats.org/spreadsheetml/2006/main">
  <authors>
    <author>Patrik Rüegge</author>
  </authors>
  <commentList>
    <comment ref="AG32" authorId="0" shapeId="0">
      <text>
        <r>
          <rPr>
            <b/>
            <sz val="8"/>
            <color indexed="81"/>
            <rFont val="Tahoma"/>
            <family val="2"/>
          </rPr>
          <t>Links lassen sich mit Click auf das Gruppierungssymbol weitere Zeilen einblenden. Für die korrekte Darstellung auf einer Seite dann einfach den Block Abkürzungen bzw. den Block Vertrautentier für nicht Geoden/Hexen ausblenden.</t>
        </r>
        <r>
          <rPr>
            <sz val="8"/>
            <color indexed="81"/>
            <rFont val="Tahoma"/>
            <family val="2"/>
          </rPr>
          <t xml:space="preserve">
</t>
        </r>
      </text>
    </comment>
  </commentList>
</comments>
</file>

<file path=xl/comments12.xml><?xml version="1.0" encoding="utf-8"?>
<comments xmlns="http://schemas.openxmlformats.org/spreadsheetml/2006/main">
  <authors>
    <author>Patrik Rüegge</author>
  </authors>
  <commentList>
    <comment ref="N3" authorId="0" shapeId="0">
      <text>
        <r>
          <rPr>
            <b/>
            <sz val="9"/>
            <color indexed="81"/>
            <rFont val="Tahoma"/>
            <family val="2"/>
          </rPr>
          <t>Seitenzahl im WdG</t>
        </r>
        <r>
          <rPr>
            <sz val="9"/>
            <color indexed="81"/>
            <rFont val="Tahoma"/>
            <family val="2"/>
          </rPr>
          <t xml:space="preserve">
</t>
        </r>
      </text>
    </comment>
    <comment ref="I5" authorId="0" shapeId="0">
      <text>
        <r>
          <rPr>
            <b/>
            <sz val="8"/>
            <color indexed="81"/>
            <rFont val="Tahoma"/>
            <family val="2"/>
          </rPr>
          <t>Hier steht Grad 0 Liturgie falls ausgewählt (für Schamanen ohne Bedeutung)</t>
        </r>
      </text>
    </comment>
  </commentList>
</comments>
</file>

<file path=xl/comments13.xml><?xml version="1.0" encoding="utf-8"?>
<comments xmlns="http://schemas.openxmlformats.org/spreadsheetml/2006/main">
  <authors>
    <author>Patrik Rüegge</author>
  </authors>
  <commentList>
    <comment ref="A14" authorId="0" shapeId="0">
      <text>
        <r>
          <rPr>
            <b/>
            <sz val="8"/>
            <color indexed="81"/>
            <rFont val="Tahoma"/>
            <family val="2"/>
          </rPr>
          <t>Bei Vollmagiern hier zwingend Magie auswählen und unter AsP den Wert 18 eintragen - sonst stimmen Berechnung für Asp_Mod im Heldenbogen nicht.</t>
        </r>
      </text>
    </comment>
  </commentList>
</comments>
</file>

<file path=xl/comments14.xml><?xml version="1.0" encoding="utf-8"?>
<comments xmlns="http://schemas.openxmlformats.org/spreadsheetml/2006/main">
  <authors>
    <author>Patrik</author>
    <author>Patrik Rüegge</author>
    <author>Patrik Rueegge</author>
  </authors>
  <commentList>
    <comment ref="DP2" authorId="0" shapeId="0">
      <text>
        <r>
          <rPr>
            <b/>
            <sz val="9"/>
            <color indexed="81"/>
            <rFont val="Tahoma"/>
            <family val="2"/>
          </rPr>
          <t>Falls Geweihte, darf bei Professionsdaten nicht nachgesehen werden, ansonsnte stehen hier falsche Zauber</t>
        </r>
        <r>
          <rPr>
            <sz val="9"/>
            <color indexed="81"/>
            <rFont val="Tahoma"/>
            <family val="2"/>
          </rPr>
          <t xml:space="preserve">
</t>
        </r>
      </text>
    </comment>
    <comment ref="FK2" authorId="1" shapeId="0">
      <text>
        <r>
          <rPr>
            <b/>
            <sz val="8"/>
            <color indexed="81"/>
            <rFont val="Tahoma"/>
            <family val="2"/>
          </rPr>
          <t xml:space="preserve">Grundwerte gemäss Regeln
</t>
        </r>
        <r>
          <rPr>
            <sz val="8"/>
            <color indexed="81"/>
            <rFont val="Tahoma"/>
            <family val="2"/>
          </rPr>
          <t xml:space="preserve">
</t>
        </r>
      </text>
    </comment>
    <comment ref="FL2" authorId="1" shapeId="0">
      <text>
        <r>
          <rPr>
            <b/>
            <sz val="8"/>
            <color indexed="81"/>
            <rFont val="Tahoma"/>
            <family val="2"/>
          </rPr>
          <t xml:space="preserve">Grundwert gem$ss Regeln
</t>
        </r>
        <r>
          <rPr>
            <sz val="8"/>
            <color indexed="81"/>
            <rFont val="Tahoma"/>
            <family val="2"/>
          </rPr>
          <t xml:space="preserve">
</t>
        </r>
      </text>
    </comment>
    <comment ref="GS2" authorId="1" shapeId="0">
      <text>
        <r>
          <rPr>
            <sz val="9"/>
            <color indexed="81"/>
            <rFont val="Segoe UI"/>
            <family val="2"/>
          </rPr>
          <t>Maximaler Grad einer Aufstufung gemäss WdG</t>
        </r>
      </text>
    </comment>
    <comment ref="GT2" authorId="1" shapeId="0">
      <text>
        <r>
          <rPr>
            <sz val="9"/>
            <color indexed="81"/>
            <rFont val="Segoe UI"/>
            <family val="2"/>
          </rPr>
          <t>Name der Liturgie, welche eine Aufstufung für 50 AP ermöglicht anstelle der vollen Kosten</t>
        </r>
      </text>
    </comment>
    <comment ref="FN3" authorId="1" shapeId="0">
      <text>
        <r>
          <rPr>
            <b/>
            <sz val="8"/>
            <color indexed="81"/>
            <rFont val="Tahoma"/>
            <family val="2"/>
          </rPr>
          <t xml:space="preserve">Vorgegebene Elfische Leit-S:
</t>
        </r>
        <r>
          <rPr>
            <sz val="8"/>
            <color indexed="81"/>
            <rFont val="Tahoma"/>
            <family val="2"/>
          </rPr>
          <t>Auf WdH Seite 76 und 263 (selber Text in beiden Passagen) steht:
"L-Sonderfertigkeiten sind Ausweichen I/II/III, Elfenlieder, Gefäß der Sterne, Geländekunde (Haupt-Gelände der eigenen Kultur), Große Meditation (Erlernen wie auch Steigerungen), Kulturkunde (eigene), Meisterliche Regeneration, Ortskenntnis (Territorium der eigenen Kultur), Regeneration I/II, Repräsentation Elfenmagie, Salasandra, Simultanzaubern, Tierischer Begleiter, Zauberkontrolle, Zauber unterbrechen und Zauber vereinigen. Dazu kommen alle durch Kultur und Profession erworbenen oder verbilligten Sonderfertigkeiten."</t>
        </r>
      </text>
    </comment>
    <comment ref="AS10" authorId="2" shapeId="0">
      <text>
        <r>
          <rPr>
            <b/>
            <sz val="8"/>
            <color indexed="81"/>
            <rFont val="Tahoma"/>
            <family val="2"/>
          </rPr>
          <t>Unfähigkeit: sprachen &amp; Schriften</t>
        </r>
      </text>
    </comment>
    <comment ref="AT14" authorId="1" shapeId="0">
      <text>
        <r>
          <rPr>
            <b/>
            <sz val="8"/>
            <color indexed="81"/>
            <rFont val="Tahoma"/>
            <family val="2"/>
          </rPr>
          <t>Kosten für Vorteil Begabung für Merkmal</t>
        </r>
      </text>
    </comment>
    <comment ref="AV14" authorId="1" shapeId="0">
      <text>
        <r>
          <rPr>
            <b/>
            <sz val="8"/>
            <color indexed="81"/>
            <rFont val="Tahoma"/>
            <family val="2"/>
          </rPr>
          <t>Kosten für SF Merkmalskenntnis</t>
        </r>
      </text>
    </comment>
    <comment ref="R17" authorId="1" shapeId="0">
      <text>
        <r>
          <rPr>
            <b/>
            <sz val="8"/>
            <color indexed="81"/>
            <rFont val="Tahoma"/>
            <family val="2"/>
          </rPr>
          <t>Leerschalg am Ende wichtig, sonst Probleme mit Ausdauernder Zauberer!</t>
        </r>
      </text>
    </comment>
    <comment ref="FL40" authorId="1" shapeId="0">
      <text>
        <r>
          <rPr>
            <b/>
            <sz val="8"/>
            <color indexed="81"/>
            <rFont val="Tahoma"/>
            <family val="2"/>
          </rPr>
          <t xml:space="preserve">Grundwert gem$ss Regeln
</t>
        </r>
        <r>
          <rPr>
            <sz val="8"/>
            <color indexed="81"/>
            <rFont val="Tahoma"/>
            <family val="2"/>
          </rPr>
          <t xml:space="preserve">
</t>
        </r>
      </text>
    </comment>
    <comment ref="HA53" authorId="1" shapeId="0">
      <text>
        <r>
          <rPr>
            <b/>
            <sz val="8"/>
            <color indexed="81"/>
            <rFont val="Tahoma"/>
            <family val="2"/>
          </rPr>
          <t>Patrik Rüegge:</t>
        </r>
        <r>
          <rPr>
            <sz val="8"/>
            <color indexed="81"/>
            <rFont val="Tahoma"/>
            <family val="2"/>
          </rPr>
          <t xml:space="preserve">
entspricht Blutsbund bei nivesen</t>
        </r>
      </text>
    </comment>
    <comment ref="HA91" authorId="1" shapeId="0">
      <text>
        <r>
          <rPr>
            <b/>
            <sz val="8"/>
            <color indexed="81"/>
            <rFont val="Tahoma"/>
            <family val="2"/>
          </rPr>
          <t>=Zorn des Berglöwen</t>
        </r>
        <r>
          <rPr>
            <sz val="8"/>
            <color indexed="81"/>
            <rFont val="Tahoma"/>
            <family val="2"/>
          </rPr>
          <t xml:space="preserve">
</t>
        </r>
      </text>
    </comment>
    <comment ref="FD94" authorId="1" shapeId="0">
      <text>
        <r>
          <rPr>
            <b/>
            <sz val="8"/>
            <color indexed="81"/>
            <rFont val="Tahoma"/>
            <family val="2"/>
          </rPr>
          <t>Unter Blatt Eigenschaften speziell abgehandelt</t>
        </r>
      </text>
    </comment>
    <comment ref="FL102" authorId="1" shapeId="0">
      <text>
        <r>
          <rPr>
            <b/>
            <sz val="8"/>
            <color indexed="81"/>
            <rFont val="Tahoma"/>
            <family val="2"/>
          </rPr>
          <t xml:space="preserve">Grundwert gem$ss Regeln
</t>
        </r>
        <r>
          <rPr>
            <sz val="8"/>
            <color indexed="81"/>
            <rFont val="Tahoma"/>
            <family val="2"/>
          </rPr>
          <t xml:space="preserve">
</t>
        </r>
      </text>
    </comment>
    <comment ref="R112" authorId="1" shapeId="0">
      <text>
        <r>
          <rPr>
            <b/>
            <sz val="8"/>
            <color indexed="81"/>
            <rFont val="Tahoma"/>
            <family val="2"/>
          </rPr>
          <t>1/3 SO bzw. 1/5 So mit Sozialer Anpassungsfähigkeit; So Max = 15; entsprechend sind werte von 1-5 bzw von 1-3 möglich.</t>
        </r>
      </text>
    </comment>
    <comment ref="FL124" authorId="1" shapeId="0">
      <text>
        <r>
          <rPr>
            <b/>
            <sz val="8"/>
            <color indexed="81"/>
            <rFont val="Tahoma"/>
            <family val="2"/>
          </rPr>
          <t xml:space="preserve">Grundwert gem$ss Regeln
</t>
        </r>
        <r>
          <rPr>
            <sz val="8"/>
            <color indexed="81"/>
            <rFont val="Tahoma"/>
            <family val="2"/>
          </rPr>
          <t xml:space="preserve">
</t>
        </r>
      </text>
    </comment>
    <comment ref="FE127" authorId="0" shapeId="0">
      <text>
        <r>
          <rPr>
            <b/>
            <sz val="9"/>
            <color indexed="81"/>
            <rFont val="Tahoma"/>
            <family val="2"/>
          </rPr>
          <t>NT Schwache Ausstrahlung</t>
        </r>
        <r>
          <rPr>
            <sz val="9"/>
            <color indexed="81"/>
            <rFont val="Tahoma"/>
            <family val="2"/>
          </rPr>
          <t xml:space="preserve">
</t>
        </r>
      </text>
    </comment>
    <comment ref="FE137" authorId="0" shapeId="0">
      <text>
        <r>
          <rPr>
            <b/>
            <sz val="9"/>
            <color indexed="81"/>
            <rFont val="Tahoma"/>
            <family val="2"/>
          </rPr>
          <t>VT Affinität zu Elementaren</t>
        </r>
      </text>
    </comment>
    <comment ref="FE138" authorId="0" shapeId="0">
      <text>
        <r>
          <rPr>
            <b/>
            <sz val="9"/>
            <color indexed="81"/>
            <rFont val="Tahoma"/>
            <family val="2"/>
          </rPr>
          <t>Eidetisches Gedächtnis</t>
        </r>
      </text>
    </comment>
    <comment ref="FE147" authorId="0" shapeId="0">
      <text>
        <r>
          <rPr>
            <b/>
            <sz val="9"/>
            <color indexed="81"/>
            <rFont val="Tahoma"/>
            <family val="2"/>
          </rPr>
          <t>Meta</t>
        </r>
      </text>
    </comment>
    <comment ref="FE148" authorId="0" shapeId="0">
      <text>
        <r>
          <rPr>
            <b/>
            <sz val="9"/>
            <color indexed="81"/>
            <rFont val="Tahoma"/>
            <family val="2"/>
          </rPr>
          <t>Eidetisches Gedächtnis, Merkmalskenntnis Beschwörung</t>
        </r>
      </text>
    </comment>
    <comment ref="FE150" authorId="0" shapeId="0">
      <text>
        <r>
          <rPr>
            <b/>
            <sz val="9"/>
            <color indexed="81"/>
            <rFont val="Tahoma"/>
            <family val="2"/>
          </rPr>
          <t>Kraft</t>
        </r>
      </text>
    </comment>
    <comment ref="FE151" authorId="0" shapeId="0">
      <text>
        <r>
          <rPr>
            <b/>
            <sz val="9"/>
            <color indexed="81"/>
            <rFont val="Tahoma"/>
            <family val="2"/>
          </rPr>
          <t>Eidetisches Ged.</t>
        </r>
      </text>
    </comment>
    <comment ref="FE152" authorId="0" shapeId="0">
      <text>
        <r>
          <rPr>
            <b/>
            <sz val="9"/>
            <color indexed="81"/>
            <rFont val="Tahoma"/>
            <family val="2"/>
          </rPr>
          <t>Hellsicht/Kraft/Metamagie</t>
        </r>
      </text>
    </comment>
    <comment ref="FE153" authorId="0" shapeId="0">
      <text>
        <r>
          <rPr>
            <b/>
            <sz val="9"/>
            <color indexed="81"/>
            <rFont val="Tahoma"/>
            <family val="2"/>
          </rPr>
          <t>Objekt</t>
        </r>
      </text>
    </comment>
    <comment ref="FE155" authorId="0" shapeId="0">
      <text>
        <r>
          <rPr>
            <b/>
            <sz val="9"/>
            <color indexed="81"/>
            <rFont val="Tahoma"/>
            <family val="2"/>
          </rPr>
          <t>Objekt/
Metamagie</t>
        </r>
      </text>
    </comment>
    <comment ref="FE158" authorId="0" shapeId="0">
      <text>
        <r>
          <rPr>
            <b/>
            <sz val="9"/>
            <color indexed="81"/>
            <rFont val="Tahoma"/>
            <family val="2"/>
          </rPr>
          <t>Kraft</t>
        </r>
      </text>
    </comment>
    <comment ref="FE159" authorId="0" shapeId="0">
      <text>
        <r>
          <rPr>
            <b/>
            <sz val="9"/>
            <color indexed="81"/>
            <rFont val="Tahoma"/>
            <family val="2"/>
          </rPr>
          <t>Meta</t>
        </r>
      </text>
    </comment>
    <comment ref="FK160" authorId="0" shapeId="0">
      <text>
        <r>
          <rPr>
            <b/>
            <sz val="9"/>
            <color indexed="81"/>
            <rFont val="Tahoma"/>
            <family val="2"/>
          </rPr>
          <t>Halbzauberer</t>
        </r>
      </text>
    </comment>
    <comment ref="CJ170" authorId="1" shapeId="0">
      <text>
        <r>
          <rPr>
            <b/>
            <sz val="8"/>
            <color indexed="81"/>
            <rFont val="Tahoma"/>
            <family val="2"/>
          </rPr>
          <t>Errata HdS S.4</t>
        </r>
      </text>
    </comment>
    <comment ref="FE170" authorId="0" shapeId="0">
      <text>
        <r>
          <rPr>
            <b/>
            <sz val="9"/>
            <color indexed="81"/>
            <rFont val="Tahoma"/>
            <family val="2"/>
          </rPr>
          <t>Temporal/
Metamagie</t>
        </r>
      </text>
    </comment>
    <comment ref="FE171" authorId="0" shapeId="0">
      <text>
        <r>
          <rPr>
            <b/>
            <sz val="9"/>
            <color indexed="81"/>
            <rFont val="Tahoma"/>
            <family val="2"/>
          </rPr>
          <t>Temporal/
Metamagie</t>
        </r>
      </text>
    </comment>
    <comment ref="FD176" authorId="1" shapeId="0">
      <text>
        <r>
          <rPr>
            <b/>
            <sz val="9"/>
            <color indexed="81"/>
            <rFont val="Tahoma"/>
            <family val="2"/>
          </rPr>
          <t>Patrik Rüegge:</t>
        </r>
        <r>
          <rPr>
            <sz val="9"/>
            <color indexed="81"/>
            <rFont val="Tahoma"/>
            <family val="2"/>
          </rPr>
          <t xml:space="preserve">
</t>
        </r>
      </text>
    </comment>
    <comment ref="FE176" authorId="0" shapeId="0">
      <text>
        <r>
          <rPr>
            <b/>
            <sz val="9"/>
            <color indexed="81"/>
            <rFont val="Tahoma"/>
            <family val="2"/>
          </rPr>
          <t>Metamagie oder ZfW Arconavi 14 (nicht umgesetzt)</t>
        </r>
      </text>
    </comment>
    <comment ref="F177" authorId="1" shapeId="0">
      <text>
        <r>
          <rPr>
            <b/>
            <sz val="8"/>
            <color indexed="81"/>
            <rFont val="Tahoma"/>
            <family val="2"/>
          </rPr>
          <t>SF Invocation Inttegra ermöglicht Ritual=&gt; Verwende RK für Berechnung</t>
        </r>
        <r>
          <rPr>
            <sz val="8"/>
            <color indexed="81"/>
            <rFont val="Tahoma"/>
            <family val="2"/>
          </rPr>
          <t xml:space="preserve">
</t>
        </r>
      </text>
    </comment>
    <comment ref="FK177" authorId="0" shapeId="0">
      <text>
        <r>
          <rPr>
            <b/>
            <sz val="9"/>
            <color indexed="81"/>
            <rFont val="Tahoma"/>
            <family val="2"/>
          </rPr>
          <t xml:space="preserve">NT Stubenhocker
</t>
        </r>
      </text>
    </comment>
    <comment ref="FE183" authorId="0" shapeId="0">
      <text>
        <r>
          <rPr>
            <b/>
            <sz val="9"/>
            <color indexed="81"/>
            <rFont val="Tahoma"/>
            <family val="2"/>
          </rPr>
          <t>Meta</t>
        </r>
      </text>
    </comment>
    <comment ref="FK186" authorId="0" shapeId="0">
      <text>
        <r>
          <rPr>
            <b/>
            <sz val="9"/>
            <color indexed="81"/>
            <rFont val="Tahoma"/>
            <family val="2"/>
          </rPr>
          <t>Elfen</t>
        </r>
      </text>
    </comment>
    <comment ref="FL189" authorId="1" shapeId="0">
      <text>
        <r>
          <rPr>
            <b/>
            <sz val="8"/>
            <color indexed="81"/>
            <rFont val="Tahoma"/>
            <family val="2"/>
          </rPr>
          <t xml:space="preserve">Grundwert gem$ss Regeln
</t>
        </r>
        <r>
          <rPr>
            <sz val="8"/>
            <color indexed="81"/>
            <rFont val="Tahoma"/>
            <family val="2"/>
          </rPr>
          <t xml:space="preserve">
</t>
        </r>
      </text>
    </comment>
    <comment ref="CX220" authorId="1" shapeId="0">
      <text>
        <r>
          <rPr>
            <b/>
            <sz val="8"/>
            <color indexed="81"/>
            <rFont val="Tahoma"/>
            <family val="2"/>
          </rPr>
          <t>Patrik Rüegge:</t>
        </r>
        <r>
          <rPr>
            <sz val="8"/>
            <color indexed="81"/>
            <rFont val="Tahoma"/>
            <family val="2"/>
          </rPr>
          <t xml:space="preserve">
Auch "Wand aus Luft"
</t>
        </r>
      </text>
    </comment>
  </commentList>
</comments>
</file>

<file path=xl/comments15.xml><?xml version="1.0" encoding="utf-8"?>
<comments xmlns="http://schemas.openxmlformats.org/spreadsheetml/2006/main">
  <authors>
    <author>Patrik Rüegge</author>
    <author>Patrik</author>
    <author>Patrik Rueegge</author>
  </authors>
  <commentList>
    <comment ref="P2" authorId="0" shapeId="0">
      <text>
        <r>
          <rPr>
            <sz val="8"/>
            <color indexed="81"/>
            <rFont val="Tahoma"/>
            <family val="2"/>
          </rPr>
          <t>Bei magischen Zwergen Schwer zu verzaubern entfernen</t>
        </r>
      </text>
    </comment>
    <comment ref="I7" authorId="0" shapeId="0">
      <text>
        <r>
          <rPr>
            <b/>
            <sz val="8"/>
            <color indexed="81"/>
            <rFont val="Tahoma"/>
            <family val="2"/>
          </rPr>
          <t>Patrik Rüegge:</t>
        </r>
        <r>
          <rPr>
            <sz val="8"/>
            <color indexed="81"/>
            <rFont val="Tahoma"/>
            <family val="2"/>
          </rPr>
          <t xml:space="preserve">
Nur noch Vergleichswert, ebenso wie Zeilen 2-6, welche eigentlich gelöscht werden könnten. Dann aber Abfrage umbiegen unter B51
</t>
        </r>
      </text>
    </comment>
    <comment ref="R9" authorId="0" shapeId="0">
      <text>
        <r>
          <rPr>
            <b/>
            <sz val="8"/>
            <color indexed="81"/>
            <rFont val="Tahoma"/>
            <family val="2"/>
          </rPr>
          <t xml:space="preserve">Rückerstattung bei doppelter Zauberfertigkeit
</t>
        </r>
        <r>
          <rPr>
            <sz val="8"/>
            <color indexed="81"/>
            <rFont val="Tahoma"/>
            <family val="2"/>
          </rPr>
          <t xml:space="preserve">Gemäss WdH S.31 
In menschlichen Kulturen ist es jedoch üblich, dass halbelfische Kinder gezielt zu
Zauberern ausgebildet werden, daher gilt, dass die magischen Professionen für
Halbelfen grundsätzlich 2 GP billiger zu erwerben sind.
Rückerstattung 2*Vollzauberer im BereichR18:R25 geregelt
Rückerstattung von 2*Viertelzauberer: </t>
        </r>
        <r>
          <rPr>
            <b/>
            <sz val="8"/>
            <color indexed="81"/>
            <rFont val="Tahoma"/>
            <family val="2"/>
          </rPr>
          <t xml:space="preserve">
</t>
        </r>
      </text>
    </comment>
    <comment ref="R18" authorId="0" shapeId="0">
      <text>
        <r>
          <rPr>
            <b/>
            <sz val="8"/>
            <color indexed="81"/>
            <rFont val="Tahoma"/>
            <family val="2"/>
          </rPr>
          <t>Gemäss WdH S.31 
In menschlichen Kulturen ist es jedoch üblich, dass halbelfische Kinder gezielt zu
Zauberern ausgebildet werden, daher gilt, dass die magischen Professionen für
Halbelfen grundsätzlich 2 GP billiger zu erwerben sind.
Gemäss WdH S.174
Elfen =&gt; Magierlaufbahn: 6 GP günstiger (Vollzauberer aus Rasse)</t>
        </r>
      </text>
    </comment>
    <comment ref="D34" authorId="0" shapeId="0">
      <text>
        <r>
          <rPr>
            <b/>
            <sz val="8"/>
            <color indexed="81"/>
            <rFont val="Tahoma"/>
            <family val="2"/>
          </rPr>
          <t>Da Ausdauernd bereits den Leerschlag enthält, kann nur die Länge des Textes verwendet werden</t>
        </r>
      </text>
    </comment>
    <comment ref="N51" authorId="1" shapeId="0">
      <text>
        <r>
          <rPr>
            <b/>
            <sz val="9"/>
            <color indexed="81"/>
            <rFont val="Tahoma"/>
            <family val="2"/>
          </rPr>
          <t>Enthält am Ende einen Leerschlag</t>
        </r>
      </text>
    </comment>
    <comment ref="Q51" authorId="0" shapeId="0">
      <text>
        <r>
          <rPr>
            <b/>
            <sz val="8"/>
            <color indexed="81"/>
            <rFont val="Tahoma"/>
            <family val="2"/>
          </rPr>
          <t>Um in Ausdauernd enthaltnen Leerschlag nicht eingeben zu müssen, LEN-1</t>
        </r>
      </text>
    </comment>
    <comment ref="U64" authorId="0" shapeId="0">
      <text>
        <r>
          <rPr>
            <b/>
            <sz val="8"/>
            <color indexed="81"/>
            <rFont val="Tahoma"/>
            <family val="2"/>
          </rPr>
          <t>Achtung: Es gibt hier für Hervorragende Balance &amp; Balance einen Eintrag wegen Namen. Entsprechend muss bei Vergleich immer &gt;1 sein, falls beide Vorteile gegeben sind</t>
        </r>
      </text>
    </comment>
    <comment ref="N65" authorId="0" shapeId="0">
      <text>
        <r>
          <rPr>
            <sz val="8"/>
            <color indexed="81"/>
            <rFont val="Tahoma"/>
            <family val="2"/>
          </rPr>
          <t xml:space="preserve">Viertelzauberer (Halbelfe) und Elfe 8Vollzauberer =&gt; Gutschrift aus allfälligen Zauberfertigkeit bei Profession von 2GP bzw. 6 GP)
Es werden nur verschiedenen Zauberfertigkeiten entfernt. Doppelte gleiche Zauberfertigkeiten werden durch Standarmechanismus berücksichtigt und hier nicht entfernt.
</t>
        </r>
      </text>
    </comment>
    <comment ref="O65" authorId="0" shapeId="0">
      <text>
        <r>
          <rPr>
            <b/>
            <sz val="8"/>
            <color indexed="81"/>
            <rFont val="Tahoma"/>
            <family val="2"/>
          </rPr>
          <t>Rasse:
Viertelzauberer (=1) oder Vollzauberer (=3)</t>
        </r>
      </text>
    </comment>
    <comment ref="Q65" authorId="0" shapeId="0">
      <text>
        <r>
          <rPr>
            <b/>
            <sz val="8"/>
            <color indexed="81"/>
            <rFont val="Tahoma"/>
            <family val="2"/>
          </rPr>
          <t>Zauberfertigkeit (1-3) aus Profession?</t>
        </r>
      </text>
    </comment>
    <comment ref="R65" authorId="0" shapeId="0">
      <text>
        <r>
          <rPr>
            <b/>
            <sz val="8"/>
            <color indexed="81"/>
            <rFont val="Tahoma"/>
            <family val="2"/>
          </rPr>
          <t>Gewählte Zauberfertigkeit (2-3) aus Generierung mit Vorteil?</t>
        </r>
      </text>
    </comment>
    <comment ref="S65" authorId="0" shapeId="0">
      <text>
        <r>
          <rPr>
            <b/>
            <sz val="8"/>
            <color indexed="81"/>
            <rFont val="Tahoma"/>
            <family val="2"/>
          </rPr>
          <t>Ermitteln, ob zwei verschiedene Zauberfertigkeiten vorhanden sind und welche zu eleminieren sind. Annahme: Es wird bei Generierung nur höhere als bereits vorhandene gewählt. 
Achtung: Doppelte ZF werden bereits im oberen Teil aussortiert 
und müssen im String nicht ersetzt werden!
Regeln:
Wenn Rasse=1 und Prof &gt;1 = 1
Wenn Rasse=3 und Prof &gt;0 = Prof 
Wenn oder(Rasse&gt;0, Prof&gt;0) und Vorteil=2 =&gt; 1  [Annahme, es wird kein kleinerer Vorteil gewählt als vorhanden]
Wenn oder(Rasse&gt;0, Prof&gt;0) und Vorteil=3 =&gt; Max (Prof;Rasse)
Ergebnis:
0=keine
1=Viertelzauberer
2=Halbzauberer
3=Vollzauberer =&gt; Ignorieren, do vorher ausgeschaltet
Vollzauberer kann nicht dopelt sein, dann wird er vorher eliminiert.</t>
        </r>
      </text>
    </comment>
    <comment ref="U65" authorId="0" shapeId="0">
      <text>
        <r>
          <rPr>
            <b/>
            <sz val="8"/>
            <color indexed="81"/>
            <rFont val="Tahoma"/>
            <family val="2"/>
          </rPr>
          <t xml:space="preserve">Für Halbelfen: Zeigt an, so dass die GP rückerstattet werden können; Zweimal Viertelzauberer wird in R9 zurückerstatt, Entfernung des doppelten Viertelauberer läuft mit Standardmittlen separat
</t>
        </r>
      </text>
    </comment>
    <comment ref="P83" authorId="2" shapeId="0">
      <text>
        <r>
          <rPr>
            <b/>
            <sz val="8"/>
            <color indexed="81"/>
            <rFont val="Tahoma"/>
            <family val="2"/>
          </rPr>
          <t xml:space="preserve">NT_Schwanzlos: Herausragende Balance oder Balance abstufen
</t>
        </r>
      </text>
    </comment>
    <comment ref="N84" authorId="0" shapeId="0">
      <text>
        <r>
          <rPr>
            <sz val="8"/>
            <color indexed="81"/>
            <rFont val="Tahoma"/>
            <family val="2"/>
          </rPr>
          <t xml:space="preserve">tieferwertige Zauberfertigkeit entfernen
</t>
        </r>
      </text>
    </comment>
    <comment ref="N86" authorId="0" shapeId="0">
      <text>
        <r>
          <rPr>
            <b/>
            <sz val="8"/>
            <color indexed="81"/>
            <rFont val="Tahoma"/>
            <family val="2"/>
          </rPr>
          <t xml:space="preserve">2* Gutes Gedächtnis gibt nur eine Rückerstattung der Kosten, eine Automatische Aufwertung gibt es jedoch nicht:  Lt. WdH. Seite 12 (grauer Kasten) zählt "Gutes Gedächtnis" nicht zu der Auswahl der gestuften Vorteile. </t>
        </r>
      </text>
    </comment>
    <comment ref="V90" authorId="0" shapeId="0">
      <text>
        <r>
          <rPr>
            <b/>
            <sz val="8"/>
            <color indexed="81"/>
            <rFont val="Tahoma"/>
            <family val="2"/>
          </rPr>
          <t>NT_Heimwehkrank: Anfügen von Krankheitsanfällig notwendig?</t>
        </r>
        <r>
          <rPr>
            <sz val="8"/>
            <color indexed="81"/>
            <rFont val="Tahoma"/>
            <family val="2"/>
          </rPr>
          <t xml:space="preserve">
</t>
        </r>
      </text>
    </comment>
    <comment ref="C92" authorId="0" shapeId="0">
      <text>
        <r>
          <rPr>
            <b/>
            <sz val="8"/>
            <color indexed="81"/>
            <rFont val="Tahoma"/>
            <family val="2"/>
          </rPr>
          <t xml:space="preserve">Alte Implementierung. Neu wird nur der Bereich VT_HEIGEN_B verwendet. _Wert und _PKT eigentlich überflüssig
</t>
        </r>
      </text>
    </comment>
    <comment ref="P92" authorId="2" shapeId="0">
      <text>
        <r>
          <rPr>
            <b/>
            <sz val="8"/>
            <color indexed="81"/>
            <rFont val="Tahoma"/>
            <family val="2"/>
          </rPr>
          <t xml:space="preserve">Check, ob Unansehlich vorhanden ist bei Rasse
</t>
        </r>
      </text>
    </comment>
    <comment ref="A118" authorId="0" shapeId="0">
      <text>
        <r>
          <rPr>
            <b/>
            <sz val="8"/>
            <color indexed="81"/>
            <rFont val="Tahoma"/>
            <family val="2"/>
          </rPr>
          <t>Patrik Rüegge:</t>
        </r>
        <r>
          <rPr>
            <sz val="8"/>
            <color indexed="81"/>
            <rFont val="Tahoma"/>
            <family val="2"/>
          </rPr>
          <t xml:space="preserve">
TP addiert, Steigerung erleichtert</t>
        </r>
      </text>
    </comment>
    <comment ref="A287" authorId="0" shapeId="0">
      <text>
        <r>
          <rPr>
            <b/>
            <sz val="8"/>
            <color indexed="81"/>
            <rFont val="Tahoma"/>
            <family val="2"/>
          </rPr>
          <t>Patrik Rüegge:</t>
        </r>
        <r>
          <rPr>
            <sz val="8"/>
            <color indexed="81"/>
            <rFont val="Tahoma"/>
            <family val="2"/>
          </rPr>
          <t xml:space="preserve">
Spalte für Kennzeichnung "Tanz der Madas"eingeführt; Berücksichtigung für erschwerte Steigerung vorhanden; Fehlermeldungen GE;KK;KO gemacht, ebenso bei Talenten bei Steigerung um mehr als 2
Die Anzahl der maximal zu steigernden Werte muss von Hand kontrolliert werden</t>
        </r>
      </text>
    </comment>
  </commentList>
</comments>
</file>

<file path=xl/comments16.xml><?xml version="1.0" encoding="utf-8"?>
<comments xmlns="http://schemas.openxmlformats.org/spreadsheetml/2006/main">
  <authors>
    <author>Patrik</author>
    <author>Patrik Rüegge</author>
  </authors>
  <commentList>
    <comment ref="AM1" authorId="0" shapeId="0">
      <text>
        <r>
          <rPr>
            <b/>
            <sz val="9"/>
            <color indexed="81"/>
            <rFont val="Tahoma"/>
            <family val="2"/>
          </rPr>
          <t>Eingefügt, damit keine #NV-Fehler auftreten, weil keine Rasse gewählt ist</t>
        </r>
        <r>
          <rPr>
            <sz val="9"/>
            <color indexed="81"/>
            <rFont val="Tahoma"/>
            <family val="2"/>
          </rPr>
          <t xml:space="preserve">
</t>
        </r>
      </text>
    </comment>
    <comment ref="R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S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T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U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V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W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X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Y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Z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AA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AB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AC4" authorId="1" shapeId="0">
      <text>
        <r>
          <rPr>
            <b/>
            <sz val="9"/>
            <color indexed="81"/>
            <rFont val="Tahoma"/>
            <family val="2"/>
          </rPr>
          <t>Nur Abweichung von Standardwert, die Modifikation aus dem Vorteil wird in ASPMod eingerechnet</t>
        </r>
        <r>
          <rPr>
            <sz val="9"/>
            <color indexed="81"/>
            <rFont val="Tahoma"/>
            <family val="2"/>
          </rPr>
          <t xml:space="preserve">
</t>
        </r>
      </text>
    </comment>
    <comment ref="AO16" authorId="0" shapeId="0">
      <text>
        <r>
          <rPr>
            <b/>
            <sz val="9"/>
            <color indexed="81"/>
            <rFont val="Tahoma"/>
            <family val="2"/>
          </rPr>
          <t>Wert 30 = keine obere Begrenzung: Für Formalabfrage wichtig, dass hier ein Wert steht, der grösser als ein möglicher Maximal-Wert ist, sonst ergibt Prüf-Formel einen Fehler</t>
        </r>
      </text>
    </comment>
    <comment ref="AG812" authorId="0" shapeId="0">
      <text>
        <r>
          <rPr>
            <b/>
            <sz val="9"/>
            <color indexed="81"/>
            <rFont val="Tahoma"/>
            <family val="2"/>
          </rPr>
          <t>Wird benötigt, damit die INI+2 im Heldenblatt gutgeschrieben werden können</t>
        </r>
        <r>
          <rPr>
            <sz val="9"/>
            <color indexed="81"/>
            <rFont val="Tahoma"/>
            <family val="2"/>
          </rPr>
          <t xml:space="preserve">
</t>
        </r>
      </text>
    </comment>
  </commentList>
</comments>
</file>

<file path=xl/comments17.xml><?xml version="1.0" encoding="utf-8"?>
<comments xmlns="http://schemas.openxmlformats.org/spreadsheetml/2006/main">
  <authors>
    <author>Patrik Rüegge</author>
  </authors>
  <commentList>
    <comment ref="BA1" authorId="0" shapeId="0">
      <text>
        <r>
          <rPr>
            <b/>
            <sz val="9"/>
            <color indexed="81"/>
            <rFont val="Segoe UI"/>
            <family val="2"/>
          </rPr>
          <t>Muss bestehen bleiben, damit kein Fehler auftritt, wenn nicht gewählt ist unter Generierung</t>
        </r>
        <r>
          <rPr>
            <sz val="9"/>
            <color indexed="81"/>
            <rFont val="Segoe UI"/>
            <family val="2"/>
          </rPr>
          <t xml:space="preserve">
</t>
        </r>
      </text>
    </comment>
  </commentList>
</comments>
</file>

<file path=xl/comments18.xml><?xml version="1.0" encoding="utf-8"?>
<comments xmlns="http://schemas.openxmlformats.org/spreadsheetml/2006/main">
  <authors>
    <author>Patrik Rüegge</author>
  </authors>
  <commentList>
    <comment ref="A4" authorId="0" shapeId="0">
      <text>
        <r>
          <rPr>
            <b/>
            <sz val="9"/>
            <color indexed="81"/>
            <rFont val="Tahoma"/>
            <family val="2"/>
          </rPr>
          <t xml:space="preserve">Standardwert, die Modifikation aus dem Vorteil wird in ASPMod eingerechnet
</t>
        </r>
        <r>
          <rPr>
            <sz val="9"/>
            <color indexed="81"/>
            <rFont val="Tahoma"/>
            <family val="2"/>
          </rPr>
          <t xml:space="preserve">
</t>
        </r>
      </text>
    </comment>
  </commentList>
</comments>
</file>

<file path=xl/comments19.xml><?xml version="1.0" encoding="utf-8"?>
<comments xmlns="http://schemas.openxmlformats.org/spreadsheetml/2006/main">
  <authors>
    <author>Patrik Rüegge</author>
  </authors>
  <commentList>
    <comment ref="ES1" authorId="0" shapeId="0">
      <text>
        <r>
          <rPr>
            <b/>
            <sz val="8"/>
            <color indexed="81"/>
            <rFont val="Tahoma"/>
            <family val="2"/>
          </rPr>
          <t xml:space="preserve">Akoluth mit Talent-Steigerung
</t>
        </r>
      </text>
    </comment>
    <comment ref="FD1" authorId="0" shapeId="0">
      <text>
        <r>
          <rPr>
            <b/>
            <sz val="8"/>
            <color indexed="81"/>
            <rFont val="Tahoma"/>
            <family val="2"/>
          </rPr>
          <t>Mirakel Plus: 11 aus Körperlich &amp; Natur</t>
        </r>
      </text>
    </comment>
    <comment ref="A352" authorId="0" shapeId="0">
      <text>
        <r>
          <rPr>
            <b/>
            <sz val="8"/>
            <color indexed="81"/>
            <rFont val="Tahoma"/>
            <family val="2"/>
          </rPr>
          <t xml:space="preserve">B=Bekannt
V=Verbilligt
X=Gegeben
</t>
        </r>
        <r>
          <rPr>
            <sz val="8"/>
            <color indexed="81"/>
            <rFont val="Tahoma"/>
            <family val="2"/>
          </rPr>
          <t xml:space="preserve">
</t>
        </r>
      </text>
    </comment>
  </commentList>
</comments>
</file>

<file path=xl/comments2.xml><?xml version="1.0" encoding="utf-8"?>
<comments xmlns="http://schemas.openxmlformats.org/spreadsheetml/2006/main">
  <authors>
    <author>Patrik Rüegge</author>
    <author>Patrik</author>
    <author>Patrik Rueegge</author>
  </authors>
  <commentList>
    <comment ref="D3" authorId="0" shapeId="0">
      <text>
        <r>
          <rPr>
            <b/>
            <sz val="8"/>
            <color indexed="81"/>
            <rFont val="Tahoma"/>
            <family val="2"/>
          </rPr>
          <t>Wenn der Held in Eigenschaft, Gabe oder Schl. Eigenschaft  über eine spezielle Erfahrung verfügt, hier eintragen, für welchem Wert diese gilt. Die Korrekte Syntax ist ";Wert;[Wert];" also für eine spezielle Erfahrung zur Anhebung von Gefahreninstinkt von 3 auf 4:   ;4; Strichpunkte am Anfang &amp; Ende der Eingabe erforderlich!</t>
        </r>
      </text>
    </comment>
    <comment ref="D11" authorId="1" shapeId="0">
      <text>
        <r>
          <rPr>
            <b/>
            <sz val="9"/>
            <color indexed="81"/>
            <rFont val="Tahoma"/>
            <family val="2"/>
          </rPr>
          <t xml:space="preserve">Folgende Syntax ist möglich 
(W=Wert der Eigenschaft, auf die angehoben wird):
;W;    </t>
        </r>
        <r>
          <rPr>
            <sz val="9"/>
            <color indexed="81"/>
            <rFont val="Tahoma"/>
            <family val="2"/>
          </rPr>
          <t>eine 50% Verbilligung</t>
        </r>
      </text>
    </comment>
    <comment ref="D14" authorId="0" shapeId="0">
      <text>
        <r>
          <rPr>
            <sz val="8"/>
            <color indexed="81"/>
            <rFont val="Tahoma"/>
            <family val="2"/>
          </rPr>
          <t>Verlorene ASP, z.B. durch Artefaktherstellung hier eintragen</t>
        </r>
      </text>
    </comment>
    <comment ref="G14" authorId="0" shapeId="0">
      <text>
        <r>
          <rPr>
            <sz val="8"/>
            <color indexed="81"/>
            <rFont val="Tahoma"/>
            <family val="2"/>
          </rPr>
          <t xml:space="preserve">Anzahl der zurück-gekauften pAsp hier eintragen
</t>
        </r>
      </text>
    </comment>
    <comment ref="AO14" authorId="0" shapeId="0">
      <text>
        <r>
          <rPr>
            <b/>
            <sz val="9"/>
            <color indexed="81"/>
            <rFont val="Tahoma"/>
            <family val="2"/>
          </rPr>
          <t>Bei SF Matrixregeneration werden alle Rückkäufe  vebilligt. Hier irrtümlich frei werdende APs zur Kompensation eintragen, falls die SF später erworben wurde.</t>
        </r>
      </text>
    </comment>
    <comment ref="G16" authorId="0" shapeId="0">
      <text>
        <r>
          <rPr>
            <b/>
            <sz val="8"/>
            <color indexed="81"/>
            <rFont val="Arial"/>
            <family val="2"/>
          </rPr>
          <t>Anzahl Punkte aus Karmalqueste eintragen:
  - KaP= IN/4+LkP*/10
bzw. für nicht alv. Götter</t>
        </r>
        <r>
          <rPr>
            <sz val="8"/>
            <color indexed="81"/>
            <rFont val="Arial"/>
            <family val="2"/>
          </rPr>
          <t xml:space="preserve">
</t>
        </r>
        <r>
          <rPr>
            <b/>
            <sz val="8"/>
            <color indexed="81"/>
            <rFont val="Arial"/>
            <family val="2"/>
          </rPr>
          <t xml:space="preserve"> - KaP= IN/5 +LkP*/10</t>
        </r>
      </text>
    </comment>
    <comment ref="B19" authorId="0" shapeId="0">
      <text>
        <r>
          <rPr>
            <b/>
            <sz val="8"/>
            <color indexed="81"/>
            <rFont val="Tahoma"/>
            <family val="2"/>
          </rPr>
          <t>Nach WdH S.165 werden nach DSA4.1 die Werte nach Generierung für Steigerung verwendet inkl. den Boni aus Rasse, Kultur und Vor-&amp; Nachteilen</t>
        </r>
      </text>
    </comment>
    <comment ref="D19" authorId="1" shapeId="0">
      <text>
        <r>
          <rPr>
            <b/>
            <sz val="9"/>
            <color indexed="81"/>
            <rFont val="Tahoma"/>
            <family val="2"/>
          </rPr>
          <t xml:space="preserve">Folgende Syntax ist möglich 
(W=Wert der Eigenschaft, auf die angehoben wird):
;W;    </t>
        </r>
        <r>
          <rPr>
            <sz val="9"/>
            <color indexed="81"/>
            <rFont val="Tahoma"/>
            <family val="2"/>
          </rPr>
          <t>eine 50% Verbilligung</t>
        </r>
        <r>
          <rPr>
            <b/>
            <sz val="9"/>
            <color indexed="81"/>
            <rFont val="Tahoma"/>
            <family val="2"/>
          </rPr>
          <t xml:space="preserve">
;W:0; </t>
        </r>
        <r>
          <rPr>
            <sz val="9"/>
            <color indexed="81"/>
            <rFont val="Tahoma"/>
            <family val="2"/>
          </rPr>
          <t xml:space="preserve">eine Gratis-Steigerung </t>
        </r>
      </text>
    </comment>
    <comment ref="E25" authorId="0" shapeId="0">
      <text>
        <r>
          <rPr>
            <b/>
            <sz val="8"/>
            <color indexed="81"/>
            <rFont val="Tahoma"/>
            <family val="2"/>
          </rPr>
          <t>Bei Nachteil Stubenhocker hier auswählen, falls der Nachteil abgebaut werden soll.</t>
        </r>
        <r>
          <rPr>
            <sz val="8"/>
            <color indexed="81"/>
            <rFont val="Tahoma"/>
            <family val="2"/>
          </rPr>
          <t xml:space="preserve">
</t>
        </r>
      </text>
    </comment>
    <comment ref="G29" authorId="2" shapeId="0">
      <text>
        <r>
          <rPr>
            <b/>
            <sz val="8"/>
            <color indexed="81"/>
            <rFont val="Tahoma"/>
            <family val="2"/>
          </rPr>
          <t>Veränderung des SO nach Meisterentscheid. Gemäss AH S.12/13 kein Kauf mittels AP möglich.</t>
        </r>
      </text>
    </comment>
    <comment ref="G30" authorId="0" shapeId="0">
      <text>
        <r>
          <rPr>
            <sz val="8"/>
            <color indexed="81"/>
            <rFont val="Tahoma"/>
            <family val="2"/>
          </rPr>
          <t xml:space="preserve">Ganze Zahl eingeben: Verbindungswert wird damit modifiziert
</t>
        </r>
      </text>
    </comment>
    <comment ref="D31" authorId="1" shapeId="0">
      <text>
        <r>
          <rPr>
            <b/>
            <sz val="9"/>
            <color indexed="81"/>
            <rFont val="Tahoma"/>
            <family val="2"/>
          </rPr>
          <t xml:space="preserve">Folgende Syntax möglich (W=Wert der Eigenschaft, auf die angehoben wird):
;W;    </t>
        </r>
        <r>
          <rPr>
            <sz val="9"/>
            <color indexed="81"/>
            <rFont val="Tahoma"/>
            <family val="2"/>
          </rPr>
          <t>eine 50% Verbilligung</t>
        </r>
        <r>
          <rPr>
            <b/>
            <sz val="9"/>
            <color indexed="81"/>
            <rFont val="Tahoma"/>
            <family val="2"/>
          </rPr>
          <t xml:space="preserve">
;W:0; </t>
        </r>
        <r>
          <rPr>
            <sz val="9"/>
            <color indexed="81"/>
            <rFont val="Tahoma"/>
            <family val="2"/>
          </rPr>
          <t xml:space="preserve">eine Gratis-Steigerung </t>
        </r>
      </text>
    </comment>
    <comment ref="E31" authorId="1" shapeId="0">
      <text>
        <r>
          <rPr>
            <sz val="9"/>
            <color indexed="81"/>
            <rFont val="Tahoma"/>
            <family val="2"/>
          </rPr>
          <t xml:space="preserve">Bei Veteran oder Breitgefächerter Bildung kann angegeben werden, wieviele TaW des Wertes durch Start-AP der 2.Prof bezahlt werden. Maximum ist drei. 
</t>
        </r>
      </text>
    </comment>
    <comment ref="D45" authorId="0" shapeId="0">
      <text>
        <r>
          <rPr>
            <sz val="8"/>
            <color indexed="81"/>
            <rFont val="Tahoma"/>
            <family val="2"/>
          </rPr>
          <t>Hier für die Senkung der Schlechten Eigenschaft eintragen, wieviele Mal der Abbau des Wertes um 50 % erleichtert ist. Bsp: 
Eingabe "1": Reduktion des Wertes um 1 ist um 50% erleichtert. 
Eingabe "2": Abbau des Wertes um 1 gratis</t>
        </r>
      </text>
    </comment>
    <comment ref="E45" authorId="0" shapeId="0">
      <text>
        <r>
          <rPr>
            <sz val="8"/>
            <color indexed="81"/>
            <rFont val="Tahoma"/>
            <family val="2"/>
          </rPr>
          <t>Die Kommentare ergänzen die SE und erscheinen auf dem Heldenblatt. Bitte</t>
        </r>
        <r>
          <rPr>
            <b/>
            <sz val="8"/>
            <color indexed="81"/>
            <rFont val="Tahoma"/>
            <family val="2"/>
          </rPr>
          <t xml:space="preserve"> keine Kommas</t>
        </r>
        <r>
          <rPr>
            <sz val="8"/>
            <color indexed="81"/>
            <rFont val="Tahoma"/>
            <family val="2"/>
          </rPr>
          <t xml:space="preserve"> als Separator verwenden, dass kann zu Fehler führen. Anstelle dessen z.B.  - / ; .</t>
        </r>
      </text>
    </comment>
    <comment ref="G96" authorId="0" shapeId="0">
      <text>
        <r>
          <rPr>
            <sz val="8"/>
            <color indexed="81"/>
            <rFont val="Tahoma"/>
            <family val="2"/>
          </rPr>
          <t xml:space="preserve">Ganze Zahl eingeben
</t>
        </r>
      </text>
    </comment>
    <comment ref="D98" authorId="0" shapeId="0">
      <text>
        <r>
          <rPr>
            <b/>
            <sz val="8"/>
            <color indexed="81"/>
            <rFont val="Tahoma"/>
            <family val="2"/>
          </rPr>
          <t>Rückkauf von 100D mit je einem GP hier möglich. Anzahl der GP eintragen (1-20)
.</t>
        </r>
      </text>
    </comment>
    <comment ref="G98" authorId="0" shapeId="0">
      <text>
        <r>
          <rPr>
            <b/>
            <sz val="8"/>
            <color indexed="81"/>
            <rFont val="Tahoma"/>
            <family val="2"/>
          </rPr>
          <t xml:space="preserve">Für den Abbau von Schulden sind hier die zurückbezahlten Dukaten einzutragen und (manuell) vom Vermögen des Helden abzuziehen. </t>
        </r>
      </text>
    </comment>
    <comment ref="E99" authorId="0" shapeId="0">
      <text>
        <r>
          <rPr>
            <b/>
            <sz val="8"/>
            <color indexed="81"/>
            <rFont val="Tahoma"/>
            <family val="2"/>
          </rPr>
          <t>Hier kann ein Text eingegeben werden, welche beim Nachteil Speisegebote angehängt wird. Eintrag ersetzt den allfälligen Wert aus Generierung</t>
        </r>
      </text>
    </comment>
    <comment ref="G100" authorId="0" shapeId="0">
      <text>
        <r>
          <rPr>
            <b/>
            <sz val="8"/>
            <color indexed="81"/>
            <rFont val="Tahoma"/>
            <family val="2"/>
          </rPr>
          <t>Hier ein x setzen, wenn der Held den seine Freiheit erhalten hat. Als Nachteil wird dann "Ehemals Unfrei" aufgeführt.</t>
        </r>
      </text>
    </comment>
    <comment ref="E101" authorId="0" shapeId="0">
      <text>
        <r>
          <rPr>
            <b/>
            <sz val="8"/>
            <color indexed="81"/>
            <rFont val="Tahoma"/>
            <family val="2"/>
          </rPr>
          <t>Hier kann ein Text eingegeben werden, welche beim Nachteil Verpflichtungen angehängt wird</t>
        </r>
      </text>
    </comment>
    <comment ref="A115" authorId="0" shapeId="0">
      <text>
        <r>
          <rPr>
            <b/>
            <sz val="8"/>
            <color indexed="81"/>
            <rFont val="Tahoma"/>
            <family val="2"/>
          </rPr>
          <t>Zuerst Art auswählen</t>
        </r>
      </text>
    </comment>
    <comment ref="A117" authorId="0" shapeId="0">
      <text>
        <r>
          <rPr>
            <b/>
            <sz val="8"/>
            <color indexed="81"/>
            <rFont val="Tahoma"/>
            <family val="2"/>
          </rPr>
          <t xml:space="preserve">Name des Vertrauten eingeben
</t>
        </r>
        <r>
          <rPr>
            <sz val="8"/>
            <color indexed="81"/>
            <rFont val="Tahoma"/>
            <family val="2"/>
          </rPr>
          <t xml:space="preserve">
</t>
        </r>
      </text>
    </comment>
    <comment ref="O117" authorId="1" shapeId="0">
      <text>
        <r>
          <rPr>
            <b/>
            <sz val="9"/>
            <color indexed="81"/>
            <rFont val="Tahoma"/>
            <family val="2"/>
          </rPr>
          <t>WdZ S.122-123</t>
        </r>
        <r>
          <rPr>
            <sz val="9"/>
            <color indexed="81"/>
            <rFont val="Tahoma"/>
            <family val="2"/>
          </rPr>
          <t xml:space="preserve">
</t>
        </r>
      </text>
    </comment>
    <comment ref="G127" authorId="0" shapeId="0">
      <text>
        <r>
          <rPr>
            <b/>
            <sz val="8"/>
            <color indexed="81"/>
            <rFont val="Tahoma"/>
            <family val="2"/>
          </rPr>
          <t>Nur Anhebung zu bezahlen (unabhängig Startwert)</t>
        </r>
      </text>
    </comment>
    <comment ref="G128" authorId="0" shapeId="0">
      <text>
        <r>
          <rPr>
            <b/>
            <sz val="8"/>
            <color indexed="81"/>
            <rFont val="Tahoma"/>
            <family val="2"/>
          </rPr>
          <t>Nur Anhebung zu bezahlen (unabhängig Startwert)</t>
        </r>
      </text>
    </comment>
    <comment ref="G133" authorId="0" shapeId="0">
      <text>
        <r>
          <rPr>
            <b/>
            <sz val="8"/>
            <color indexed="81"/>
            <rFont val="Tahoma"/>
            <family val="2"/>
          </rPr>
          <t>Nur Anhebung zu bezahlen (unabhängig Startwert)</t>
        </r>
      </text>
    </comment>
  </commentList>
</comments>
</file>

<file path=xl/comments20.xml><?xml version="1.0" encoding="utf-8"?>
<comments xmlns="http://schemas.openxmlformats.org/spreadsheetml/2006/main">
  <authors>
    <author>Stefan Schmitz</author>
    <author>Patrik Rüegge</author>
  </authors>
  <commentList>
    <comment ref="DG1" authorId="0" shapeId="0">
      <text>
        <r>
          <rPr>
            <b/>
            <sz val="8"/>
            <color indexed="81"/>
            <rFont val="Tahoma"/>
            <family val="2"/>
          </rPr>
          <t>Achtung: 4 Formeln hitnerlegt:</t>
        </r>
        <r>
          <rPr>
            <sz val="8"/>
            <color indexed="81"/>
            <rFont val="Tahoma"/>
            <family val="2"/>
          </rPr>
          <t xml:space="preserve">
sofern die RASSE = "Ork" oder "Orkfrau" ist, sind Anpassungen bei der Matrix Kultur-Professionsgattung in der Kultur "Thorwal" sowie deren Variante "Thorwal (Binnenland) vorzunehmen:
es entfallen
- Barde (BY/BZ 4)
- Händler (BY/BZ 9)
- Magier (BY/BZ 80)
- Schelme (BY/BZ 82)
es kommt hinzu
- Schamane (BY/BZ 88)
Quelle: WdH Seite 59 (Anmerkung zur Kultur Thorwal)</t>
        </r>
      </text>
    </comment>
    <comment ref="DH1" authorId="0" shapeId="0">
      <text>
        <r>
          <rPr>
            <b/>
            <sz val="8"/>
            <color indexed="81"/>
            <rFont val="Tahoma"/>
            <family val="2"/>
          </rPr>
          <t>Achtung: 5 Formeln hitnerlegt:</t>
        </r>
        <r>
          <rPr>
            <sz val="8"/>
            <color indexed="81"/>
            <rFont val="Tahoma"/>
            <family val="2"/>
          </rPr>
          <t xml:space="preserve">
sofern die RASSE = "Ork" oder "Orkfrau" ist, sind Anpassungen bei der Matrix Kultur-Professionsgattung in der Kultur "Thorwal" sowie deren Variante "Thorwal (Binnenland) vorzunehmen:
es entfallen
- Barde (BY/BZ 4)
- Händler (BY/BZ 9)
- Magier (BY/BZ 80)
- Schelme (BY/BZ 82)
es kommt hinzu
- Schamane (BY/BZ 88)
Quelle: WdH Seite 59 (Anmerkung zur Kultur Thorwal)</t>
        </r>
      </text>
    </comment>
    <comment ref="F94" authorId="1" shapeId="0">
      <text>
        <r>
          <rPr>
            <b/>
            <sz val="8"/>
            <color indexed="81"/>
            <rFont val="Tahoma"/>
            <family val="2"/>
          </rPr>
          <t>Dynamische Liste: Eintrag erfolgt nur, falls auch Profession vorhanden ist</t>
        </r>
      </text>
    </comment>
  </commentList>
</comments>
</file>

<file path=xl/comments21.xml><?xml version="1.0" encoding="utf-8"?>
<comments xmlns="http://schemas.openxmlformats.org/spreadsheetml/2006/main">
  <authors>
    <author>Patrik Rüegge</author>
  </authors>
  <commentList>
    <comment ref="M1" authorId="0" shapeId="0">
      <text>
        <r>
          <rPr>
            <b/>
            <sz val="9"/>
            <color indexed="81"/>
            <rFont val="Tahoma"/>
            <family val="2"/>
          </rPr>
          <t>Ohne Vor-Nachteile nur R-K-P mit Zukauf</t>
        </r>
        <r>
          <rPr>
            <sz val="9"/>
            <color indexed="81"/>
            <rFont val="Tahoma"/>
            <family val="2"/>
          </rPr>
          <t xml:space="preserve">
</t>
        </r>
      </text>
    </comment>
    <comment ref="O1" authorId="0" shapeId="0">
      <text>
        <r>
          <rPr>
            <b/>
            <sz val="9"/>
            <color indexed="81"/>
            <rFont val="Tahoma"/>
            <family val="2"/>
          </rPr>
          <t xml:space="preserve">Ohne Vor-Nachteile nur R-K-P mit Zukauf
</t>
        </r>
      </text>
    </comment>
  </commentList>
</comments>
</file>

<file path=xl/comments22.xml><?xml version="1.0" encoding="utf-8"?>
<comments xmlns="http://schemas.openxmlformats.org/spreadsheetml/2006/main">
  <authors>
    <author>Patrik Rüegge</author>
  </authors>
  <commentList>
    <comment ref="A49" authorId="0" shapeId="0">
      <text>
        <r>
          <rPr>
            <b/>
            <sz val="9"/>
            <color indexed="81"/>
            <rFont val="Tahoma"/>
            <family val="2"/>
          </rPr>
          <t>DAS V4.0 Talente, werden in DAS V4.1 nicht mehr benutzt</t>
        </r>
        <r>
          <rPr>
            <sz val="9"/>
            <color indexed="81"/>
            <rFont val="Tahoma"/>
            <family val="2"/>
          </rPr>
          <t xml:space="preserve">
</t>
        </r>
      </text>
    </comment>
    <comment ref="A121" authorId="0" shapeId="0">
      <text>
        <r>
          <rPr>
            <b/>
            <sz val="8"/>
            <color indexed="81"/>
            <rFont val="Tahoma"/>
            <family val="2"/>
          </rPr>
          <t xml:space="preserve">M/Z
</t>
        </r>
        <r>
          <rPr>
            <sz val="8"/>
            <color indexed="81"/>
            <rFont val="Tahoma"/>
            <family val="2"/>
          </rPr>
          <t>Abkürzung bei Fehlermeldungen</t>
        </r>
        <r>
          <rPr>
            <b/>
            <sz val="8"/>
            <color indexed="81"/>
            <rFont val="Tahoma"/>
            <family val="2"/>
          </rPr>
          <t xml:space="preserve">
</t>
        </r>
      </text>
    </comment>
  </commentList>
</comments>
</file>

<file path=xl/comments3.xml><?xml version="1.0" encoding="utf-8"?>
<comments xmlns="http://schemas.openxmlformats.org/spreadsheetml/2006/main">
  <authors>
    <author>Patrik Rüegge</author>
    <author>Patrik Rueegge</author>
    <author>Patrik</author>
  </authors>
  <commentList>
    <comment ref="AC9" authorId="0" shapeId="0">
      <text>
        <r>
          <rPr>
            <b/>
            <sz val="8"/>
            <color indexed="81"/>
            <rFont val="Tahoma"/>
            <family val="2"/>
          </rPr>
          <t>Hier wird der Faktor für die Vergünstigung bestimmt. Normelerweise ist er 2 - für doppelt verbilligte SF jedoch 4</t>
        </r>
      </text>
    </comment>
    <comment ref="AL9" authorId="0" shapeId="0">
      <text>
        <r>
          <rPr>
            <b/>
            <sz val="8"/>
            <color indexed="81"/>
            <rFont val="Tahoma"/>
            <family val="2"/>
          </rPr>
          <t>Gemäss WdH: 
Doppelte gegebene SF: GP werden frei. 
Gegeben &amp; Verbilligte SF: GP verbilligt werden frei</t>
        </r>
        <r>
          <rPr>
            <sz val="8"/>
            <color indexed="81"/>
            <rFont val="Tahoma"/>
            <family val="2"/>
          </rPr>
          <t xml:space="preserve">
Zweimal verbilligt: SF kann für 1/4 erworben werden (=&gt; muss in Formeln Berechnung noch angepasst werden)</t>
        </r>
      </text>
    </comment>
    <comment ref="BQ11" authorId="0" shapeId="0">
      <text>
        <r>
          <rPr>
            <b/>
            <sz val="8"/>
            <color indexed="81"/>
            <rFont val="Tahoma"/>
            <family val="2"/>
          </rPr>
          <t>Liste der Elfischen
 Leit-SF</t>
        </r>
      </text>
    </comment>
    <comment ref="U16" authorId="0" shapeId="0">
      <text>
        <r>
          <rPr>
            <b/>
            <sz val="9"/>
            <color indexed="81"/>
            <rFont val="Tahoma"/>
            <family val="2"/>
          </rPr>
          <t>Anzahl der erworbenenen Berufsgeheimnisse als Zahl eingeben.</t>
        </r>
        <r>
          <rPr>
            <sz val="9"/>
            <color indexed="81"/>
            <rFont val="Tahoma"/>
            <family val="2"/>
          </rPr>
          <t xml:space="preserve">
</t>
        </r>
      </text>
    </comment>
    <comment ref="V16" authorId="1" shapeId="0">
      <text>
        <r>
          <rPr>
            <b/>
            <sz val="8"/>
            <color indexed="81"/>
            <rFont val="Tahoma"/>
            <family val="2"/>
          </rPr>
          <t xml:space="preserve">Hier die verschiedenen Berufsgeheimnisse eingeben. Syntax beliebig, Geheimnisse z.B. durch ,  oder / trennen (kein Komma). </t>
        </r>
      </text>
    </comment>
    <comment ref="M17" authorId="0" shapeId="0">
      <text>
        <r>
          <rPr>
            <b/>
            <sz val="8"/>
            <color indexed="81"/>
            <rFont val="Tahoma"/>
            <family val="2"/>
          </rPr>
          <t>Bei der 1. Geländekunde eine 1 eintragen anstelle eines x, damit diese fix als erste erlernte gezählt wird. Werden alle mit x gewählt, so wird die oberste ausgewählte Geländekunde als erste gezählt.</t>
        </r>
      </text>
    </comment>
    <comment ref="AW17" authorId="1" shapeId="0">
      <text>
        <r>
          <rPr>
            <b/>
            <sz val="8"/>
            <color indexed="81"/>
            <rFont val="Tahoma"/>
            <family val="2"/>
          </rPr>
          <t xml:space="preserve">Überprüfung, ob es die erste Geländekunde ist. Falls ja, ist diese 50 AP teurer. Problem: Position wechselt, so dass allenfalls eine Verbiilligung auf diese 50 nicht übertragen wird.
</t>
        </r>
      </text>
    </comment>
    <comment ref="AY17" authorId="0" shapeId="0">
      <text>
        <r>
          <rPr>
            <b/>
            <sz val="8"/>
            <color indexed="81"/>
            <rFont val="Tahoma"/>
            <family val="2"/>
          </rPr>
          <t xml:space="preserve">Wurde explizit eine erste als Geländekunde gewählt oder nicht?
</t>
        </r>
      </text>
    </comment>
    <comment ref="AY18" authorId="0" shapeId="0">
      <text>
        <r>
          <rPr>
            <b/>
            <sz val="8"/>
            <color indexed="81"/>
            <rFont val="Tahoma"/>
            <family val="2"/>
          </rPr>
          <t>Schon eine Geländekunde aus deKultur/Professionen vorhanden?</t>
        </r>
        <r>
          <rPr>
            <sz val="8"/>
            <color indexed="81"/>
            <rFont val="Tahoma"/>
            <family val="2"/>
          </rPr>
          <t xml:space="preserve">
</t>
        </r>
      </text>
    </comment>
    <comment ref="N22" authorId="1" shapeId="0">
      <text>
        <r>
          <rPr>
            <b/>
            <sz val="8"/>
            <color indexed="81"/>
            <rFont val="Tahoma"/>
            <family val="2"/>
          </rPr>
          <t>Die Kultur-bezogene Kulturkunde hat der Held bereits zu Beginn</t>
        </r>
      </text>
    </comment>
    <comment ref="O22" authorId="0" shapeId="0">
      <text>
        <r>
          <rPr>
            <b/>
            <sz val="8"/>
            <color indexed="81"/>
            <rFont val="Tahoma"/>
            <family val="2"/>
          </rPr>
          <t>Vorteil Soz. Anpassungsfähigkeit &amp; SF Nandusgefälliges Wissen verbilligen den Erwerb dauerhaft, dies wird aber direkt bei den AP-Kosten berücksichtigt.</t>
        </r>
      </text>
    </comment>
    <comment ref="R22" authorId="0" shapeId="0">
      <text>
        <r>
          <rPr>
            <b/>
            <sz val="8"/>
            <color indexed="81"/>
            <rFont val="Tahoma"/>
            <family val="2"/>
          </rPr>
          <t>Anzahl der zusätzlich erworbenenen Kulturkunden als Zahl eingeben.</t>
        </r>
      </text>
    </comment>
    <comment ref="S22" authorId="0" shapeId="0">
      <text>
        <r>
          <rPr>
            <b/>
            <sz val="8"/>
            <color indexed="81"/>
            <rFont val="Tahoma"/>
            <family val="2"/>
          </rPr>
          <t>Anzahl der zusätzlich erworbenenen Kulturkunden als Zahl eingeben.</t>
        </r>
      </text>
    </comment>
    <comment ref="T22" authorId="0" shapeId="0">
      <text>
        <r>
          <rPr>
            <b/>
            <sz val="8"/>
            <color indexed="81"/>
            <rFont val="Tahoma"/>
            <family val="2"/>
          </rPr>
          <t>Anzahl der zusätzlich erworbenenen Kulturkunden als Zahl eingeben.</t>
        </r>
      </text>
    </comment>
    <comment ref="U22" authorId="1" shapeId="0">
      <text>
        <r>
          <rPr>
            <b/>
            <sz val="8"/>
            <color indexed="81"/>
            <rFont val="Tahoma"/>
            <family val="2"/>
          </rPr>
          <t>Anzahl der zusätzlich erworbenenen Kulturkunden als Zahl eingeben.</t>
        </r>
      </text>
    </comment>
    <comment ref="V22" authorId="1" shapeId="0">
      <text>
        <r>
          <rPr>
            <b/>
            <sz val="8"/>
            <color indexed="81"/>
            <rFont val="Tahoma"/>
            <family val="2"/>
          </rPr>
          <t xml:space="preserve">Hier die verschiedenen Kulturen eingeben. Syntax beliebig, Kulturen z.B. durch , - oder / trennen (kein komma). Die erste Kulturkunde aus der gewählten Kultur
 ist gegeben, muss aber manuell noch eingetragen werden.
</t>
        </r>
      </text>
    </comment>
    <comment ref="U27" authorId="1" shapeId="0">
      <text>
        <r>
          <rPr>
            <b/>
            <sz val="8"/>
            <color indexed="81"/>
            <rFont val="Tahoma"/>
            <family val="2"/>
          </rPr>
          <t xml:space="preserve">Anzahl der erworbenen Ortskenntnisse eingeben.
</t>
        </r>
      </text>
    </comment>
    <comment ref="V27" authorId="1" shapeId="0">
      <text>
        <r>
          <rPr>
            <b/>
            <sz val="8"/>
            <color indexed="81"/>
            <rFont val="Tahoma"/>
            <family val="2"/>
          </rPr>
          <t>Die verschiedenen Ortskenntnisse eingeben. Einzelne Ortskenntnisse Z.B. durch ; oder , oder / trennen</t>
        </r>
      </text>
    </comment>
    <comment ref="AY29" authorId="0" shapeId="0">
      <text>
        <r>
          <rPr>
            <b/>
            <sz val="8"/>
            <color indexed="81"/>
            <rFont val="Tahoma"/>
            <family val="2"/>
          </rPr>
          <t>Prüft, ob Standfest gegeben ist bei Generierung (ohne den Vorteil Balance)</t>
        </r>
      </text>
    </comment>
    <comment ref="AN45" authorId="2" shapeId="0">
      <text>
        <r>
          <rPr>
            <b/>
            <sz val="9"/>
            <color indexed="81"/>
            <rFont val="Tahoma"/>
            <family val="2"/>
          </rPr>
          <t>Verbotene Pforten</t>
        </r>
      </text>
    </comment>
    <comment ref="U56" authorId="0" shapeId="0">
      <text>
        <r>
          <rPr>
            <b/>
            <sz val="8"/>
            <color indexed="81"/>
            <rFont val="Tahoma"/>
            <family val="2"/>
          </rPr>
          <t xml:space="preserve">Wert Eintragen: Bei 0 nur Erlernen der SF, bei 1 einmalige Ausführung, bei 2 zweimalige usw.
</t>
        </r>
        <r>
          <rPr>
            <sz val="8"/>
            <color indexed="81"/>
            <rFont val="Tahoma"/>
            <family val="2"/>
          </rPr>
          <t xml:space="preserve">Die ASP-Punkte werden direkt eingerechnet im Blatt </t>
        </r>
        <r>
          <rPr>
            <b/>
            <sz val="8"/>
            <color indexed="81"/>
            <rFont val="Tahoma"/>
            <family val="2"/>
          </rPr>
          <t>Zauber 1</t>
        </r>
        <r>
          <rPr>
            <sz val="8"/>
            <color indexed="81"/>
            <rFont val="Tahoma"/>
            <family val="2"/>
          </rPr>
          <t xml:space="preserve">. Dort können in separatem Feld auch die </t>
        </r>
        <r>
          <rPr>
            <b/>
            <sz val="8"/>
            <color indexed="81"/>
            <rFont val="Tahoma"/>
            <family val="2"/>
          </rPr>
          <t xml:space="preserve">Extrapunkte manuell eingetragen </t>
        </r>
        <r>
          <rPr>
            <sz val="8"/>
            <color indexed="81"/>
            <rFont val="Tahoma"/>
            <family val="2"/>
          </rPr>
          <t xml:space="preserve">werden. Nachträglicher Anstieg der Eigenschaft ist nicht berücksichtigt (gibt momentan allenfalls einen Extra-ASP).
</t>
        </r>
      </text>
    </comment>
    <comment ref="O64" authorId="0" shapeId="0">
      <text>
        <r>
          <rPr>
            <b/>
            <sz val="8"/>
            <color indexed="81"/>
            <rFont val="Tahoma"/>
            <family val="2"/>
          </rPr>
          <t>Ausnahme: Kenntnis Objk verbilligt ebenfalls</t>
        </r>
      </text>
    </comment>
    <comment ref="O66" authorId="0" shapeId="0">
      <text>
        <r>
          <rPr>
            <b/>
            <sz val="8"/>
            <color indexed="81"/>
            <rFont val="Tahoma"/>
            <family val="2"/>
          </rPr>
          <t>Ausnahme: Kenntnis Meta &amp; Objk verbilligen ebenfalls</t>
        </r>
      </text>
    </comment>
    <comment ref="U68" authorId="0" shapeId="0">
      <text>
        <r>
          <rPr>
            <b/>
            <sz val="9"/>
            <color indexed="81"/>
            <rFont val="Tahoma"/>
            <family val="2"/>
          </rPr>
          <t xml:space="preserve">Achtung: </t>
        </r>
        <r>
          <rPr>
            <sz val="9"/>
            <color indexed="81"/>
            <rFont val="Tahoma"/>
            <family val="2"/>
          </rPr>
          <t xml:space="preserve">Hat Einfluss auf </t>
        </r>
        <r>
          <rPr>
            <b/>
            <sz val="9"/>
            <color indexed="81"/>
            <rFont val="Tahoma"/>
            <family val="2"/>
          </rPr>
          <t>pAsp Zukauf</t>
        </r>
        <r>
          <rPr>
            <sz val="9"/>
            <color indexed="81"/>
            <rFont val="Tahoma"/>
            <family val="2"/>
          </rPr>
          <t xml:space="preserve">, frei werdende AP müssen </t>
        </r>
        <r>
          <rPr>
            <b/>
            <sz val="9"/>
            <color indexed="81"/>
            <rFont val="Tahoma"/>
            <family val="2"/>
          </rPr>
          <t>manuell kompensiert</t>
        </r>
        <r>
          <rPr>
            <sz val="9"/>
            <color indexed="81"/>
            <rFont val="Tahoma"/>
            <family val="2"/>
          </rPr>
          <t xml:space="preserve"> werden</t>
        </r>
      </text>
    </comment>
    <comment ref="U69" authorId="2" shapeId="0">
      <text>
        <r>
          <rPr>
            <sz val="9"/>
            <color indexed="81"/>
            <rFont val="Tahoma"/>
            <family val="2"/>
          </rPr>
          <t xml:space="preserve">Eine Merkmalskenntnis Kraft verbilligt Matrixreg. II automatisch, sofern diese vor Abschluss der Generierung erlernt wurde. Falls die </t>
        </r>
        <r>
          <rPr>
            <b/>
            <sz val="9"/>
            <color indexed="81"/>
            <rFont val="Tahoma"/>
            <family val="2"/>
          </rPr>
          <t xml:space="preserve">MK Kraft mit AP erworben wurde, muss die Verbilligung manuell in Spalte P </t>
        </r>
        <r>
          <rPr>
            <sz val="9"/>
            <color indexed="81"/>
            <rFont val="Tahoma"/>
            <family val="2"/>
          </rPr>
          <t>ausgewählt werden.</t>
        </r>
      </text>
    </comment>
    <comment ref="U70" authorId="2" shapeId="0">
      <text>
        <r>
          <rPr>
            <sz val="9"/>
            <color indexed="81"/>
            <rFont val="Tahoma"/>
            <family val="2"/>
          </rPr>
          <t xml:space="preserve">Eine Merkmalskenntnis Metamagie verbilligt Matrixverständnis automatisch, sofern diese vor Abschluss der Generierung erlernt wurde. Falls die </t>
        </r>
        <r>
          <rPr>
            <b/>
            <sz val="9"/>
            <color indexed="81"/>
            <rFont val="Tahoma"/>
            <family val="2"/>
          </rPr>
          <t>MK Metamagie mit AP erworben</t>
        </r>
        <r>
          <rPr>
            <sz val="9"/>
            <color indexed="81"/>
            <rFont val="Tahoma"/>
            <family val="2"/>
          </rPr>
          <t xml:space="preserve"> wurde, oder </t>
        </r>
        <r>
          <rPr>
            <b/>
            <sz val="9"/>
            <color indexed="81"/>
            <rFont val="Tahoma"/>
            <family val="2"/>
          </rPr>
          <t>2 Repräsentationen</t>
        </r>
        <r>
          <rPr>
            <sz val="9"/>
            <color indexed="81"/>
            <rFont val="Tahoma"/>
            <family val="2"/>
          </rPr>
          <t xml:space="preserve"> oder </t>
        </r>
        <r>
          <rPr>
            <b/>
            <sz val="9"/>
            <color indexed="81"/>
            <rFont val="Tahoma"/>
            <family val="2"/>
          </rPr>
          <t xml:space="preserve">3 Merkmale </t>
        </r>
        <r>
          <rPr>
            <sz val="9"/>
            <color indexed="81"/>
            <rFont val="Tahoma"/>
            <family val="2"/>
          </rPr>
          <t xml:space="preserve">erlernt sind, muss die Verbilligung jedoch </t>
        </r>
        <r>
          <rPr>
            <b/>
            <sz val="9"/>
            <color indexed="81"/>
            <rFont val="Tahoma"/>
            <family val="2"/>
          </rPr>
          <t>manuell in Spalte P ausgewählt werden.</t>
        </r>
        <r>
          <rPr>
            <sz val="9"/>
            <color indexed="81"/>
            <rFont val="Tahoma"/>
            <family val="2"/>
          </rPr>
          <t xml:space="preserve">
</t>
        </r>
      </text>
    </comment>
    <comment ref="I75" authorId="0" shapeId="0">
      <text>
        <r>
          <rPr>
            <b/>
            <sz val="9"/>
            <color indexed="81"/>
            <rFont val="Tahoma"/>
            <family val="2"/>
          </rPr>
          <t>Wurfwaffe muss TaW &gt;10 haben, damit SF verwendet werden darf (erworben kann sie auch so werden)</t>
        </r>
      </text>
    </comment>
    <comment ref="O81" authorId="0" shapeId="0">
      <text>
        <r>
          <rPr>
            <b/>
            <sz val="8"/>
            <color indexed="81"/>
            <rFont val="Tahoma"/>
            <family val="2"/>
          </rPr>
          <t>Ausnahme:  Kenntnis Meta oder Temp verbilligen ebenfalls</t>
        </r>
      </text>
    </comment>
    <comment ref="O82" authorId="0" shapeId="0">
      <text>
        <r>
          <rPr>
            <b/>
            <sz val="8"/>
            <color indexed="81"/>
            <rFont val="Tahoma"/>
            <family val="2"/>
          </rPr>
          <t>Ausnahme: Kenntnis Meta oder Temp verbilligen ebenfalls</t>
        </r>
        <r>
          <rPr>
            <sz val="8"/>
            <color indexed="81"/>
            <rFont val="Tahoma"/>
            <family val="2"/>
          </rPr>
          <t xml:space="preserve">
</t>
        </r>
      </text>
    </comment>
    <comment ref="U89" authorId="1" shapeId="0">
      <text>
        <r>
          <rPr>
            <b/>
            <sz val="8"/>
            <color indexed="81"/>
            <rFont val="Tahoma"/>
            <family val="2"/>
          </rPr>
          <t>Anzahl der Tierischen Begleiter eintragen</t>
        </r>
      </text>
    </comment>
    <comment ref="A105" authorId="0" shapeId="0">
      <text>
        <r>
          <rPr>
            <b/>
            <sz val="8"/>
            <color indexed="81"/>
            <rFont val="Tahoma"/>
            <family val="2"/>
          </rPr>
          <t>Die erhaltenen Boni bzw. Auswirkungen der SF Waffenmeister werden nirgends eingerechnet!</t>
        </r>
      </text>
    </comment>
    <comment ref="V125" authorId="0" shapeId="0">
      <text>
        <r>
          <rPr>
            <b/>
            <sz val="9"/>
            <color indexed="81"/>
            <rFont val="Tahoma"/>
            <family val="2"/>
          </rPr>
          <t>Stein Wandle / Staub Wandle &gt;10 noch kontrollieren</t>
        </r>
        <r>
          <rPr>
            <sz val="9"/>
            <color indexed="81"/>
            <rFont val="Tahoma"/>
            <family val="2"/>
          </rPr>
          <t xml:space="preserve">
</t>
        </r>
      </text>
    </comment>
    <comment ref="I130" authorId="0" shapeId="0">
      <text>
        <r>
          <rPr>
            <b/>
            <sz val="8"/>
            <color indexed="81"/>
            <rFont val="Tahoma"/>
            <family val="2"/>
          </rPr>
          <t xml:space="preserve">Anzahl durchgeführte Karmalquesten eingeben: 0 wenn erst SF erworben wurde
</t>
        </r>
        <r>
          <rPr>
            <sz val="8"/>
            <color indexed="81"/>
            <rFont val="Tahoma"/>
            <family val="2"/>
          </rPr>
          <t xml:space="preserve">
</t>
        </r>
      </text>
    </comment>
    <comment ref="I132" authorId="0" shapeId="0">
      <text>
        <r>
          <rPr>
            <b/>
            <sz val="8"/>
            <color indexed="81"/>
            <rFont val="Tahoma"/>
            <family val="2"/>
          </rPr>
          <t>Pro Grad kostet Liturgie 5 VP. 
Insgesamt stehen
40 VP für Liturgien zur Verfügung:  entsprehcende "x" eintragen unter TabelleAndere!GM
Gegebene Formeln im Bereich TabelleAndere!GO durch kleines "x" überschreiben für bekannte Liturgien  der Hochschamenen entsprechender Tradition.
Für Hochschamanene muss  Blatt Liturgie leicht abgeändert werden, so dass Liturgien auch angezeigt werden (Kopieren erste Zeile rechts vom Strich und Anzeigen der Liturgeien)</t>
        </r>
      </text>
    </comment>
    <comment ref="AQ140" authorId="0" shapeId="0">
      <text>
        <r>
          <rPr>
            <b/>
            <sz val="9"/>
            <color indexed="81"/>
            <rFont val="Tahoma"/>
            <family val="2"/>
          </rPr>
          <t>Alle magischen SF zur Überprüfung</t>
        </r>
      </text>
    </comment>
    <comment ref="AV140" authorId="0" shapeId="0">
      <text>
        <r>
          <rPr>
            <b/>
            <sz val="9"/>
            <color indexed="81"/>
            <rFont val="Tahoma"/>
            <family val="2"/>
          </rPr>
          <t>Alle magischen zur Anzeige ohne Artefakte, Runnekunden, Zauberzeichen</t>
        </r>
        <r>
          <rPr>
            <sz val="9"/>
            <color indexed="81"/>
            <rFont val="Tahoma"/>
            <family val="2"/>
          </rPr>
          <t xml:space="preserve">
</t>
        </r>
      </text>
    </comment>
    <comment ref="AW140" authorId="1" shapeId="0">
      <text>
        <r>
          <rPr>
            <b/>
            <sz val="8"/>
            <color indexed="81"/>
            <rFont val="Tahoma"/>
            <family val="2"/>
          </rPr>
          <t>Zauberzeichen &amp; Runenkunde</t>
        </r>
      </text>
    </comment>
    <comment ref="AX140" authorId="1" shapeId="0">
      <text>
        <r>
          <rPr>
            <b/>
            <sz val="8"/>
            <color indexed="81"/>
            <rFont val="Tahoma"/>
            <family val="2"/>
          </rPr>
          <t xml:space="preserve">Artefaktherstellung
</t>
        </r>
      </text>
    </comment>
    <comment ref="AQ146" authorId="0" shapeId="0">
      <text>
        <r>
          <rPr>
            <b/>
            <sz val="8"/>
            <color indexed="81"/>
            <rFont val="Tahoma"/>
            <family val="2"/>
          </rPr>
          <t>Ausweichen 1-3 nicht aufnehmen</t>
        </r>
      </text>
    </comment>
    <comment ref="AQ147" authorId="0" shapeId="0">
      <text>
        <r>
          <rPr>
            <b/>
            <sz val="8"/>
            <color indexed="81"/>
            <rFont val="Tahoma"/>
            <family val="2"/>
          </rPr>
          <t>Linkhand, Parierwaffen 1+2, Schildkampf 1&amp;2, Rüstungsgewöhnung nicht aufnehmen</t>
        </r>
      </text>
    </comment>
  </commentList>
</comments>
</file>

<file path=xl/comments4.xml><?xml version="1.0" encoding="utf-8"?>
<comments xmlns="http://schemas.openxmlformats.org/spreadsheetml/2006/main">
  <authors>
    <author>Patrik Rüegge</author>
    <author>Patrik Rueegge</author>
    <author>Patrik</author>
  </authors>
  <commentList>
    <comment ref="E5" authorId="0" shapeId="0">
      <text>
        <r>
          <rPr>
            <sz val="8"/>
            <color indexed="81"/>
            <rFont val="Tahoma"/>
            <family val="2"/>
          </rPr>
          <t>Für Abbau NT-Stubenocker: Hier die TaW zum Abbau-Zeitpunkt eintragen (Werte aus Spalte O kopieren &amp; als Werte einfügen, alle leeren mit 0 füllen) - Bei nachfolgenden Steigerungen entfällt die Spaltenerschwerung. Sobald ein Wert eines Basistalentes bei  Kampftalent/ Körperl. Talent eingetragen wird, werden die 500 AP für den Stufenbabbau des NT Stubenhocker je Kategorie abgezogen.</t>
        </r>
      </text>
    </comment>
    <comment ref="H5" authorId="1" shapeId="0">
      <text>
        <r>
          <rPr>
            <b/>
            <sz val="8"/>
            <color indexed="81"/>
            <rFont val="Tahoma"/>
            <family val="2"/>
          </rPr>
          <t xml:space="preserve">Nur relevant bei Vorteil Breitgefächerte Bildung oder Veteran:
</t>
        </r>
        <r>
          <rPr>
            <sz val="8"/>
            <color indexed="81"/>
            <rFont val="Tahoma"/>
            <family val="2"/>
          </rPr>
          <t>Dann wird hier eingetragen, wieviele der TaW aus den Start-AP des Vorteils bezahlt werden. Bsp.: Steht in Spalte G der Wert 7 und in Spalte H der Wert 2, so werden 5 TaW-Punkte aus normalen Start-AP und 2 aus den 2.Prof-Start-AP verrechnet. Der TaW wird um 7 angehoben.
Bei der 2.Profession vorhandene Talente werden hellblau hinterlegt angezeigt. Ändern die Markierung auf rot, so ist der eingegebene Wert grösser als der der 2.Profession und nicht zulässig. Ebenfalls rot hinterlegt werden die maximal 8 neu aktivierten Talente.</t>
        </r>
      </text>
    </comment>
    <comment ref="CY12" authorId="1" shapeId="0">
      <text>
        <r>
          <rPr>
            <b/>
            <sz val="8"/>
            <color indexed="81"/>
            <rFont val="Tahoma"/>
            <family val="2"/>
          </rPr>
          <t>Grenzwert, bis zu dem mit Start-AP bezahlt wird</t>
        </r>
      </text>
    </comment>
    <comment ref="EH12" authorId="0" shapeId="0">
      <text>
        <r>
          <rPr>
            <sz val="8"/>
            <color indexed="81"/>
            <rFont val="Tahoma"/>
            <family val="2"/>
          </rPr>
          <t>Es wird nur der Code des Zeichens berechnet. Der Fall, falls Spalte &lt; A wird, wird nicht hier abgefangen, sondern beim Berechnen der AP-Kosten. A+ wird als @ eingetragen (entspricht dem Zeichen(64)).</t>
        </r>
        <r>
          <rPr>
            <sz val="8"/>
            <color indexed="81"/>
            <rFont val="Tahoma"/>
            <family val="2"/>
          </rPr>
          <t xml:space="preserve">
</t>
        </r>
      </text>
    </comment>
    <comment ref="T13" authorId="0" shapeId="0">
      <text>
        <r>
          <rPr>
            <b/>
            <sz val="8"/>
            <color indexed="81"/>
            <rFont val="Tahoma"/>
            <family val="2"/>
          </rPr>
          <t xml:space="preserve">Spez.1: Erwerb standardmässig mit AP (Feld leer), es kann aber auch mit GP oder Start-AP erworben werden. Falls die Spezialisierung bereits bei Generierung vorhanden ist, GEN auswählen.
</t>
        </r>
      </text>
    </comment>
    <comment ref="U13" authorId="2" shapeId="0">
      <text>
        <r>
          <rPr>
            <b/>
            <sz val="9"/>
            <color indexed="81"/>
            <rFont val="Tahoma"/>
            <family val="2"/>
          </rPr>
          <t xml:space="preserve">Hier können verbilligte Spezialisierungen eingetragen werden.
</t>
        </r>
      </text>
    </comment>
    <comment ref="CP14" authorId="0" shapeId="0">
      <text>
        <r>
          <rPr>
            <sz val="9"/>
            <color indexed="81"/>
            <rFont val="Tahoma"/>
            <family val="2"/>
          </rPr>
          <t>Alte Formel: Zweite Einshcränkung entfernt, Einschränkung nicht nachvollziehbar
=WENN(UND(NT_ELFWELT;PROFGRDGENE="Elfen");
WENN(ODER(
RECHTS(WVERWEIS(PROFGENE;INDIREKT(PROFGEBIET);$CD14;FALSCH);1)="L";
RECHTS(WVERWEIS(KULTURGENE;KULTUR;$CD14;FALSCH);1)="L";
RECHTS(D14)="L");WAHR;FALSCH);
WAHR)</t>
        </r>
      </text>
    </comment>
    <comment ref="CT14" authorId="0" shapeId="0">
      <text>
        <r>
          <rPr>
            <b/>
            <sz val="8"/>
            <color indexed="81"/>
            <rFont val="Tahoma"/>
            <family val="2"/>
          </rPr>
          <t>L=Leittalent Elf;
M=Mirakel Plus
N=Mirakel Negativ</t>
        </r>
        <r>
          <rPr>
            <sz val="8"/>
            <color indexed="81"/>
            <rFont val="Tahoma"/>
            <family val="2"/>
          </rPr>
          <t xml:space="preserve">
</t>
        </r>
      </text>
    </comment>
    <comment ref="T41" authorId="0" shapeId="0">
      <text>
        <r>
          <rPr>
            <b/>
            <sz val="8"/>
            <color indexed="81"/>
            <rFont val="Tahoma"/>
            <family val="2"/>
          </rPr>
          <t>Spez.1: Erwerb standardmässig mit AP (Feld leer), es kann aber auch mit GP oder TL-GP erworben werden.</t>
        </r>
      </text>
    </comment>
    <comment ref="CP43" authorId="0" shapeId="0">
      <text>
        <r>
          <rPr>
            <b/>
            <sz val="8"/>
            <color indexed="81"/>
            <rFont val="Tahoma"/>
            <family val="2"/>
          </rPr>
          <t>Leittalent aus Rasse, bei allen Elfen (Gemäss AZ S.36)</t>
        </r>
        <r>
          <rPr>
            <sz val="8"/>
            <color indexed="81"/>
            <rFont val="Tahoma"/>
            <family val="2"/>
          </rPr>
          <t xml:space="preserve">
</t>
        </r>
      </text>
    </comment>
    <comment ref="CP47" authorId="0" shapeId="0">
      <text>
        <r>
          <rPr>
            <b/>
            <sz val="8"/>
            <color indexed="81"/>
            <rFont val="Tahoma"/>
            <family val="2"/>
          </rPr>
          <t>Leittalent aus Rasse, bei allen Elfen (Gemäss AZ S.36)</t>
        </r>
        <r>
          <rPr>
            <sz val="8"/>
            <color indexed="81"/>
            <rFont val="Tahoma"/>
            <family val="2"/>
          </rPr>
          <t xml:space="preserve">
</t>
        </r>
      </text>
    </comment>
    <comment ref="CP49" authorId="0" shapeId="0">
      <text>
        <r>
          <rPr>
            <b/>
            <sz val="8"/>
            <color indexed="81"/>
            <rFont val="Tahoma"/>
            <family val="2"/>
          </rPr>
          <t>Leittalent aus Rasse, bei allen Elfen (Gemäss AZ S.36)</t>
        </r>
        <r>
          <rPr>
            <sz val="8"/>
            <color indexed="81"/>
            <rFont val="Tahoma"/>
            <family val="2"/>
          </rPr>
          <t xml:space="preserve">
</t>
        </r>
      </text>
    </comment>
    <comment ref="CP53" authorId="0" shapeId="0">
      <text>
        <r>
          <rPr>
            <b/>
            <sz val="8"/>
            <color indexed="81"/>
            <rFont val="Tahoma"/>
            <family val="2"/>
          </rPr>
          <t>Leittalent aus Rasse, bei allen Elfen (Gemäss AZ S.36)</t>
        </r>
        <r>
          <rPr>
            <sz val="8"/>
            <color indexed="81"/>
            <rFont val="Tahoma"/>
            <family val="2"/>
          </rPr>
          <t xml:space="preserve">
</t>
        </r>
      </text>
    </comment>
    <comment ref="CP54" authorId="0" shapeId="0">
      <text>
        <r>
          <rPr>
            <b/>
            <sz val="8"/>
            <color indexed="81"/>
            <rFont val="Tahoma"/>
            <family val="2"/>
          </rPr>
          <t>Leittalent aus Rasse, bei allen Elfen (Gemäss AZ S.36)</t>
        </r>
        <r>
          <rPr>
            <sz val="8"/>
            <color indexed="81"/>
            <rFont val="Tahoma"/>
            <family val="2"/>
          </rPr>
          <t xml:space="preserve">
</t>
        </r>
      </text>
    </comment>
    <comment ref="CP57" authorId="0" shapeId="0">
      <text>
        <r>
          <rPr>
            <b/>
            <sz val="8"/>
            <color indexed="81"/>
            <rFont val="Tahoma"/>
            <family val="2"/>
          </rPr>
          <t>Leittalent aus Rasse, bei allen Elfen (Gemäss AZ S.36)</t>
        </r>
        <r>
          <rPr>
            <sz val="8"/>
            <color indexed="81"/>
            <rFont val="Tahoma"/>
            <family val="2"/>
          </rPr>
          <t xml:space="preserve">
</t>
        </r>
      </text>
    </comment>
    <comment ref="A63" authorId="0" shapeId="0">
      <text>
        <r>
          <rPr>
            <b/>
            <sz val="9"/>
            <color indexed="81"/>
            <rFont val="Tahoma"/>
            <family val="2"/>
          </rPr>
          <t>DSA V4.0 Talente, werden in DSA V4.1 nicht mehr benutzt</t>
        </r>
        <r>
          <rPr>
            <sz val="9"/>
            <color indexed="81"/>
            <rFont val="Tahoma"/>
            <family val="2"/>
          </rPr>
          <t xml:space="preserve">
</t>
        </r>
      </text>
    </comment>
    <comment ref="CP77" authorId="0" shapeId="0">
      <text>
        <r>
          <rPr>
            <b/>
            <sz val="8"/>
            <color indexed="81"/>
            <rFont val="Tahoma"/>
            <family val="2"/>
          </rPr>
          <t>Leittalent aus Rasse, bei allen Elfen (Gemäss AZ S.36)</t>
        </r>
        <r>
          <rPr>
            <sz val="8"/>
            <color indexed="81"/>
            <rFont val="Tahoma"/>
            <family val="2"/>
          </rPr>
          <t xml:space="preserve">
</t>
        </r>
      </text>
    </comment>
    <comment ref="CP79" authorId="0" shapeId="0">
      <text>
        <r>
          <rPr>
            <b/>
            <sz val="8"/>
            <color indexed="81"/>
            <rFont val="Tahoma"/>
            <family val="2"/>
          </rPr>
          <t>Leittalent aus Rasse, bei allen Elfen (Gemäss AZ S.36)</t>
        </r>
        <r>
          <rPr>
            <sz val="8"/>
            <color indexed="81"/>
            <rFont val="Tahoma"/>
            <family val="2"/>
          </rPr>
          <t xml:space="preserve">
</t>
        </r>
      </text>
    </comment>
    <comment ref="A138" authorId="0" shapeId="0">
      <text>
        <r>
          <rPr>
            <b/>
            <sz val="8"/>
            <color indexed="81"/>
            <rFont val="Tahoma"/>
            <family val="2"/>
          </rPr>
          <t xml:space="preserve">M/Z
</t>
        </r>
        <r>
          <rPr>
            <sz val="8"/>
            <color indexed="81"/>
            <rFont val="Tahoma"/>
            <family val="2"/>
          </rPr>
          <t>Abkürzung bei Fehlermeldungen</t>
        </r>
        <r>
          <rPr>
            <b/>
            <sz val="8"/>
            <color indexed="81"/>
            <rFont val="Tahoma"/>
            <family val="2"/>
          </rPr>
          <t xml:space="preserve">
</t>
        </r>
      </text>
    </comment>
    <comment ref="CP138" authorId="0" shapeId="0">
      <text>
        <r>
          <rPr>
            <b/>
            <sz val="8"/>
            <color indexed="81"/>
            <rFont val="Tahoma"/>
            <family val="2"/>
          </rPr>
          <t>Leittalent aus Rasse, bei allen Elfen (Gemäss AZ S.36)</t>
        </r>
        <r>
          <rPr>
            <sz val="8"/>
            <color indexed="81"/>
            <rFont val="Tahoma"/>
            <family val="2"/>
          </rPr>
          <t xml:space="preserve">
</t>
        </r>
      </text>
    </comment>
    <comment ref="CP141" authorId="0" shapeId="0">
      <text>
        <r>
          <rPr>
            <b/>
            <sz val="8"/>
            <color indexed="81"/>
            <rFont val="Tahoma"/>
            <family val="2"/>
          </rPr>
          <t>Leittalent aus Rasse, bei allen Elfen (Gemäss AZ S.36)</t>
        </r>
        <r>
          <rPr>
            <sz val="8"/>
            <color indexed="81"/>
            <rFont val="Tahoma"/>
            <family val="2"/>
          </rPr>
          <t xml:space="preserve">
</t>
        </r>
      </text>
    </comment>
    <comment ref="CB176" authorId="0" shapeId="0">
      <text>
        <r>
          <rPr>
            <b/>
            <sz val="8"/>
            <color indexed="81"/>
            <rFont val="Tahoma"/>
            <family val="2"/>
          </rPr>
          <t>Sprachfamilie hat auf Steigerung Talent-AP keinen Einfluss, hier gelten Ursprungswerte</t>
        </r>
        <r>
          <rPr>
            <sz val="8"/>
            <color indexed="81"/>
            <rFont val="Tahoma"/>
            <family val="2"/>
          </rPr>
          <t xml:space="preserve">
</t>
        </r>
      </text>
    </comment>
    <comment ref="CF176" authorId="1" shapeId="0">
      <text>
        <r>
          <rPr>
            <sz val="8"/>
            <color indexed="81"/>
            <rFont val="Tahoma"/>
            <family val="2"/>
          </rPr>
          <t>Zweitsprache
Thorwal-Garethi
Gjalskisch-Alaani</t>
        </r>
      </text>
    </comment>
    <comment ref="DJ176" authorId="0" shapeId="0">
      <text>
        <r>
          <rPr>
            <b/>
            <sz val="8"/>
            <color indexed="81"/>
            <rFont val="Tahoma"/>
            <family val="2"/>
          </rPr>
          <t>Erleichterung nur für Sprachen Fremder Sprachfamilien!</t>
        </r>
      </text>
    </comment>
  </commentList>
</comments>
</file>

<file path=xl/comments5.xml><?xml version="1.0" encoding="utf-8"?>
<comments xmlns="http://schemas.openxmlformats.org/spreadsheetml/2006/main">
  <authors>
    <author>Patrik Rüegge</author>
    <author>Patrik</author>
    <author>Test Testinger</author>
  </authors>
  <commentList>
    <comment ref="C3" authorId="0" shapeId="0">
      <text>
        <r>
          <rPr>
            <b/>
            <sz val="8"/>
            <color indexed="81"/>
            <rFont val="Tahoma"/>
            <family val="2"/>
          </rPr>
          <t>Standardmässig wird die Repräsentation der Profession eingetragen. Mittels Auswahl aus der Dropdownliste kann dies übersteuert werden. Dabei wird die Formel überschrieben.</t>
        </r>
      </text>
    </comment>
    <comment ref="H3" authorId="0" shapeId="0">
      <text>
        <r>
          <rPr>
            <sz val="9"/>
            <color indexed="81"/>
            <rFont val="Tahoma"/>
            <family val="2"/>
          </rPr>
          <t>Vergünstigungen durch Hexalogien oder gelichen Spruch in anderer Repräsentation müssen als SE erfasst werden . Dies lässt sich nicht automatisieren.</t>
        </r>
      </text>
    </comment>
    <comment ref="AX3" authorId="0" shapeId="0">
      <text>
        <r>
          <rPr>
            <b/>
            <sz val="8"/>
            <color indexed="81"/>
            <rFont val="Tahoma"/>
            <family val="2"/>
          </rPr>
          <t xml:space="preserve">ZfW Invocatio minor
</t>
        </r>
      </text>
    </comment>
    <comment ref="AY3" authorId="0" shapeId="0">
      <text>
        <r>
          <rPr>
            <b/>
            <sz val="8"/>
            <color indexed="81"/>
            <rFont val="Tahoma"/>
            <family val="2"/>
          </rPr>
          <t>ZfW Invocatio maior</t>
        </r>
      </text>
    </comment>
    <comment ref="AZ3" authorId="0" shapeId="0">
      <text>
        <r>
          <rPr>
            <b/>
            <sz val="8"/>
            <color indexed="81"/>
            <rFont val="Tahoma"/>
            <family val="2"/>
          </rPr>
          <t>Zauberwesen der Natur</t>
        </r>
      </text>
    </comment>
    <comment ref="BA3" authorId="0" shapeId="0">
      <text>
        <r>
          <rPr>
            <b/>
            <sz val="8"/>
            <color indexed="81"/>
            <rFont val="Tahoma"/>
            <family val="2"/>
          </rPr>
          <t>ZfW Geisterruf</t>
        </r>
      </text>
    </comment>
    <comment ref="BB3" authorId="0" shapeId="0">
      <text>
        <r>
          <rPr>
            <b/>
            <sz val="8"/>
            <color indexed="81"/>
            <rFont val="Tahoma"/>
            <family val="2"/>
          </rPr>
          <t>ZfW Dschinnenruf</t>
        </r>
      </text>
    </comment>
    <comment ref="BC3" authorId="0" shapeId="0">
      <text>
        <r>
          <rPr>
            <b/>
            <sz val="8"/>
            <color indexed="81"/>
            <rFont val="Tahoma"/>
            <family val="2"/>
          </rPr>
          <t>ZfW Meister der Elemente</t>
        </r>
      </text>
    </comment>
    <comment ref="BD3" authorId="0" shapeId="0">
      <text>
        <r>
          <rPr>
            <b/>
            <sz val="8"/>
            <color indexed="81"/>
            <rFont val="Tahoma"/>
            <family val="2"/>
          </rPr>
          <t>ZfW Elementarer Diener</t>
        </r>
      </text>
    </comment>
    <comment ref="CO3" authorId="0" shapeId="0">
      <text>
        <r>
          <rPr>
            <sz val="9"/>
            <color indexed="81"/>
            <rFont val="Tahoma"/>
            <family val="2"/>
          </rPr>
          <t>MK Elementar (gesamt) &amp; Dämonisch (gesamt) werden genau einmal angerechnet. Auf alsch setzen für mehrmalige Anrechnung.
http://www.ulisses-forum.de/showthread.php?p=870211#post870211</t>
        </r>
      </text>
    </comment>
    <comment ref="BP4" authorId="0" shapeId="0">
      <text>
        <r>
          <rPr>
            <b/>
            <sz val="9"/>
            <color indexed="81"/>
            <rFont val="Tahoma"/>
            <family val="2"/>
          </rPr>
          <t>Als Halbzauberer oder Vollzauberer ohne hinterlegte Profession hier auswählen</t>
        </r>
        <r>
          <rPr>
            <sz val="9"/>
            <color indexed="81"/>
            <rFont val="Tahoma"/>
            <family val="2"/>
          </rPr>
          <t xml:space="preserve">
</t>
        </r>
      </text>
    </comment>
    <comment ref="CO4" authorId="0" shapeId="0">
      <text>
        <r>
          <rPr>
            <b/>
            <sz val="12"/>
            <color indexed="81"/>
            <rFont val="Tahoma"/>
            <family val="2"/>
          </rPr>
          <t>In dieser Kolonne immer die ZfW zum Zeitpunkt der Erlernung der Merkmalskenntnis eintragen: Spalte M10:M138 markieren - Copy - Paste Special - Values nach CJ10 (bzw. CK10, CL10, CM10). Nur notwendig, falls zum Lernzeitpunkt die ZfW bereits mit AP gesteigert wurde, sonst kann man auch leer lassen.</t>
        </r>
      </text>
    </comment>
    <comment ref="AV7" authorId="0" shapeId="0">
      <text>
        <r>
          <rPr>
            <sz val="8"/>
            <color indexed="81"/>
            <rFont val="Tahoma"/>
            <family val="2"/>
          </rPr>
          <t>Damit Bei Zaubern wie Attribute mit wählbaren Eigenschaftswerten in Berechnungen kein Fehler auftaucht, wird dies so definiert.</t>
        </r>
      </text>
    </comment>
    <comment ref="N9" authorId="0" shapeId="0">
      <text>
        <r>
          <rPr>
            <b/>
            <sz val="8"/>
            <color indexed="81"/>
            <rFont val="Tahoma"/>
            <family val="2"/>
          </rPr>
          <t>Beliebigen Freitext für die Modifikationen/Varianten der Zauberspezialisierung  eingeben. Die zweite Spezialisierung kann beliebig eingetragen werden, es gibt keine Syntax-Vorgaben wie der Eintrag aussehen soll.</t>
        </r>
      </text>
    </comment>
    <comment ref="O9" authorId="0" shapeId="0">
      <text>
        <r>
          <rPr>
            <b/>
            <sz val="8"/>
            <color indexed="81"/>
            <rFont val="Tahoma"/>
            <family val="2"/>
          </rPr>
          <t>Anzahl der Zauberspezialisierungen: Entweder keine, 1 oder 2</t>
        </r>
      </text>
    </comment>
    <comment ref="B174" authorId="0" shapeId="0">
      <text>
        <r>
          <rPr>
            <sz val="9"/>
            <color indexed="81"/>
            <rFont val="Tahoma"/>
            <family val="2"/>
          </rPr>
          <t xml:space="preserve">Als Startwert ist 0 eingetragen - dieser kann in der Formel einfach überschreiben werden.
</t>
        </r>
      </text>
    </comment>
    <comment ref="A176" authorId="1" shapeId="0">
      <text>
        <r>
          <rPr>
            <b/>
            <sz val="9"/>
            <color indexed="81"/>
            <rFont val="Tahoma"/>
            <family val="2"/>
          </rPr>
          <t>Achtung:</t>
        </r>
        <r>
          <rPr>
            <sz val="9"/>
            <color indexed="81"/>
            <rFont val="Tahoma"/>
            <family val="2"/>
          </rPr>
          <t xml:space="preserve"> Es sind keine Erleichterungen für  V2 und V3 hinterlegt. Die Vergünstigung bei höherem ZfW müssen jedesmal als SE eingegeben werden.
</t>
        </r>
      </text>
    </comment>
    <comment ref="B177" authorId="1" shapeId="0">
      <text>
        <r>
          <rPr>
            <b/>
            <sz val="9"/>
            <color indexed="81"/>
            <rFont val="Tahoma"/>
            <family val="2"/>
          </rPr>
          <t>Achtung: Kommas sind nicht erlaubt!</t>
        </r>
        <r>
          <rPr>
            <sz val="9"/>
            <color indexed="81"/>
            <rFont val="Tahoma"/>
            <family val="2"/>
          </rPr>
          <t xml:space="preserve">
</t>
        </r>
      </text>
    </comment>
    <comment ref="A181" authorId="0" shapeId="0">
      <text>
        <r>
          <rPr>
            <b/>
            <sz val="8"/>
            <color indexed="81"/>
            <rFont val="Tahoma"/>
            <family val="2"/>
          </rPr>
          <t>Durch Rasse, Kultur &amp; Profession gegebene Rituale müssen im Dropdown-Menu noch ausgewählt werden. Voraussetzungen wie Ritualkenntnis-Wert werden nicht überprüft.</t>
        </r>
      </text>
    </comment>
    <comment ref="B181" authorId="0" shapeId="0">
      <text>
        <r>
          <rPr>
            <sz val="8"/>
            <color indexed="81"/>
            <rFont val="Tahoma"/>
            <family val="2"/>
          </rPr>
          <t>Es kann hier die Kategorie ausgewählt werden, um nicht die ganze Liste durchscrollen zu müssen. Dies geht nur, sofern links in AJ nicht bereits ein gegebenes Ritual aus der Generierung eingetragen ist.</t>
        </r>
      </text>
    </comment>
    <comment ref="F203" authorId="0" shapeId="0">
      <text>
        <r>
          <rPr>
            <b/>
            <sz val="9"/>
            <color indexed="81"/>
            <rFont val="Tahoma"/>
            <family val="2"/>
          </rPr>
          <t>Mit gewähltem Vorteil Halbzauberer oder Vollzauberer ohne hinterlegte Profession hier die RK auswählen, ansonsten wird diese automatisch aus der Profession eingelesen oder aus der Repräsentations-Auswahl unter BP4 übernommen</t>
        </r>
        <r>
          <rPr>
            <sz val="9"/>
            <color indexed="81"/>
            <rFont val="Tahoma"/>
            <family val="2"/>
          </rPr>
          <t xml:space="preserve">
</t>
        </r>
      </text>
    </comment>
    <comment ref="H203" authorId="2" shapeId="0">
      <text>
        <r>
          <rPr>
            <b/>
            <sz val="8"/>
            <color indexed="81"/>
            <rFont val="Tahoma"/>
            <family val="2"/>
          </rPr>
          <t>Keine Steigerung mit GP möglich</t>
        </r>
      </text>
    </comment>
    <comment ref="F204" authorId="2" shapeId="0">
      <text>
        <r>
          <rPr>
            <b/>
            <sz val="8"/>
            <color indexed="81"/>
            <rFont val="Tahoma"/>
            <family val="2"/>
          </rPr>
          <t>Wenn der Held über eine spezielle Erfahrung verfügt, hier eintragen, für welchem RkW diese erworben wurde. Die Korrekte Syntax ist ";RkW;[RkW];" also für eine spezielle Erfahrung für RkW 7 und eine für RkW 9 folgendes Eintragen:   
;7;9; 
Achtung: Strichpunkte am Anfang &amp; Ende erforderlich.</t>
        </r>
      </text>
    </comment>
    <comment ref="H205" authorId="1" shapeId="0">
      <text>
        <r>
          <rPr>
            <b/>
            <sz val="9"/>
            <color indexed="81"/>
            <rFont val="Tahoma"/>
            <family val="2"/>
          </rPr>
          <t>Mit GP ist nur die Aktivierung auf Startwert 3 möglich im Wert von 5GP (250AP)</t>
        </r>
      </text>
    </comment>
    <comment ref="I205" authorId="1" shapeId="0">
      <text>
        <r>
          <rPr>
            <b/>
            <sz val="9"/>
            <color indexed="81"/>
            <rFont val="Tahoma"/>
            <family val="2"/>
          </rPr>
          <t>Eingabe von 0 aktiviert auf Startwert 3 - Eingabe von höherer Zahl X erhöht den Wert auf 3+X</t>
        </r>
      </text>
    </comment>
    <comment ref="F206" authorId="2" shapeId="0">
      <text>
        <r>
          <rPr>
            <b/>
            <sz val="8"/>
            <color indexed="81"/>
            <rFont val="Tahoma"/>
            <family val="2"/>
          </rPr>
          <t>Syntax analg der Ritualkenntnis. Bei Eingabe von ;0; wird zudem die Aktivierung um 50% verbilligt</t>
        </r>
      </text>
    </comment>
    <comment ref="A209" authorId="0" shapeId="0">
      <text>
        <r>
          <rPr>
            <b/>
            <sz val="8"/>
            <color indexed="81"/>
            <rFont val="Tahoma"/>
            <family val="2"/>
          </rPr>
          <t>Zur Aktivierung muss erst die entsprechende Sonderfertigkeit im Blatt Eigenschaften erlernt werden!</t>
        </r>
        <r>
          <rPr>
            <sz val="8"/>
            <color indexed="81"/>
            <rFont val="Tahoma"/>
            <family val="2"/>
          </rPr>
          <t xml:space="preserve">
</t>
        </r>
      </text>
    </comment>
    <comment ref="B210" authorId="1" shapeId="0">
      <text>
        <r>
          <rPr>
            <b/>
            <sz val="9"/>
            <color indexed="81"/>
            <rFont val="Tahoma"/>
            <family val="2"/>
          </rPr>
          <t>X= Bei Generierung vorhanden;
V=Verbilligt</t>
        </r>
      </text>
    </comment>
    <comment ref="B228" authorId="1" shapeId="0">
      <text>
        <r>
          <rPr>
            <b/>
            <sz val="9"/>
            <color indexed="81"/>
            <rFont val="Tahoma"/>
            <family val="2"/>
          </rPr>
          <t>X= Bei Generierung vorhanden;
V=Verbilligt</t>
        </r>
      </text>
    </comment>
    <comment ref="E239" authorId="0" shapeId="0">
      <text>
        <r>
          <rPr>
            <b/>
            <sz val="8"/>
            <color indexed="81"/>
            <rFont val="Tahoma"/>
            <family val="2"/>
          </rPr>
          <t xml:space="preserve">Hier können bei der Profession wählbare Merkmale sowie Merkmale, welche mit GP, Start-AP oder mit AP erlernt werden, eingetragen werden. 
Bei späterer Erlernung mit AP:
</t>
        </r>
        <r>
          <rPr>
            <sz val="8"/>
            <color indexed="81"/>
            <rFont val="Tahoma"/>
            <family val="2"/>
          </rPr>
          <t>Für eine korrekte Funktionsweise müssen die zum Lernzeitpunkt aktuellen ZfW von Hand kopiert werden in die zugehörige Spalte CO-CU. Nur damit kann erreich werden, dass die Merkmalskenntnis erst ab dem Erlernzeitpunkt eine Vergünstigung gibt. Dabei sind in CO die ZfW für das Merkmal der Zeile 224, in CP diejenigen für die Zeile 225, usw. zu kopieren.</t>
        </r>
      </text>
    </comment>
    <comment ref="B241" authorId="1" shapeId="0">
      <text>
        <r>
          <rPr>
            <b/>
            <sz val="9"/>
            <color indexed="81"/>
            <rFont val="Tahoma"/>
            <family val="2"/>
          </rPr>
          <t>X= Bei Generierung vorhanden;
V=Verbilligt</t>
        </r>
      </text>
    </comment>
    <comment ref="D241" authorId="0" shapeId="0">
      <text>
        <r>
          <rPr>
            <b/>
            <sz val="8"/>
            <color indexed="81"/>
            <rFont val="Tahoma"/>
            <family val="2"/>
          </rPr>
          <t>1. Merkmal in Profession enthalten</t>
        </r>
      </text>
    </comment>
    <comment ref="AH241" authorId="1" shapeId="0">
      <text>
        <r>
          <rPr>
            <b/>
            <sz val="9"/>
            <color indexed="81"/>
            <rFont val="Tahoma"/>
            <family val="2"/>
          </rPr>
          <t>Merkmale zum Zeitpunkt Generierung</t>
        </r>
        <r>
          <rPr>
            <sz val="9"/>
            <color indexed="81"/>
            <rFont val="Tahoma"/>
            <family val="2"/>
          </rPr>
          <t xml:space="preserve">
</t>
        </r>
      </text>
    </comment>
    <comment ref="A247" authorId="0" shapeId="0">
      <text>
        <r>
          <rPr>
            <b/>
            <sz val="8"/>
            <color indexed="81"/>
            <rFont val="Tahoma"/>
            <family val="2"/>
          </rPr>
          <t>Bei Zweitsudium muss allenfalls des Metatalent noch manuell überschreiben werden, falls z.B. in der Auswahlbox  "einmal Rufe/Besw;" angezeigt wird, den Eintrag manuell entweder mit Rufe oder Besw überschreiben eintragen</t>
        </r>
      </text>
    </comment>
    <comment ref="A249" authorId="0" shapeId="0">
      <text>
        <r>
          <rPr>
            <b/>
            <sz val="8"/>
            <color indexed="81"/>
            <rFont val="Tahoma"/>
            <family val="2"/>
          </rPr>
          <t xml:space="preserve">Vorgehen: 
</t>
        </r>
        <r>
          <rPr>
            <sz val="8"/>
            <color indexed="81"/>
            <rFont val="Tahoma"/>
            <family val="2"/>
          </rPr>
          <t>1.) Heldenblatt sichern
2.) Auswahl des Zweitstudiums
3.) Bestehende Steigerungswerte zu Hauszauber manuell zu zugehörigem Hauszauber verschieben, da Reihenfolge der Hauszauber verändert wird
4.) Bestehende Steigerungswerte der Bekannten Zauber manuell zur neuen Position des entsprechenden Zaubers verschieben, da Reihenfolge der Bekannten Zauber verändert wird.
5.) SE der Hauszauber manuell eintragen
6.) SE zu den Sonderfertigkeiten  manuell eintragen
7.) SE bei den Wissenstalenten eintragen
8.) SE Anzeigen ausschalten (Zelle B233)
9.) Merkmal Zweitstudium eintragen und allenfalls die Formel für die Merkmal-Nr (Bereich Z223-Z229) bei den noch nicht aktivierten Merkmalen um 1 erhöhen</t>
        </r>
      </text>
    </comment>
    <comment ref="A251" authorId="0" shapeId="0">
      <text>
        <r>
          <rPr>
            <b/>
            <sz val="8"/>
            <color indexed="81"/>
            <rFont val="Tahoma"/>
            <family val="2"/>
          </rPr>
          <t>Falls Magier bei Lehrmeister ausgebildet wurde oder die Gilde der hier gewählten Akademie nicht mit der Profession übereinstimmt, hier ein Nein auswählen.</t>
        </r>
      </text>
    </comment>
    <comment ref="A252" authorId="0" shapeId="0">
      <text>
        <r>
          <rPr>
            <b/>
            <sz val="8"/>
            <color indexed="81"/>
            <rFont val="Tahoma"/>
            <family val="2"/>
          </rPr>
          <t>Die SE für die folgenden Talente sind selber einzutragen:
Gesellschaft: Lehren, Überzeugen / 
Handwerk: Alchemie  /
Sprachen: Aureliani, Bosporano, Isdira, Ur-Tulamidya, Zhayad  /
Schriften: Arkanil, Imperiale Zeichen, Nanduria,  Ur-Tulamidya, Zhayad</t>
        </r>
      </text>
    </comment>
    <comment ref="D256" authorId="0" shapeId="0">
      <text>
        <r>
          <rPr>
            <sz val="8"/>
            <color indexed="81"/>
            <rFont val="Tahoma"/>
            <family val="2"/>
          </rPr>
          <t>Die bestehenden Zauber werden mit den neuen Zaubern alphabetisch geordnet. Die manuell eingetragenen Steigerungswerte bleiben jedoch an Ort und Stelle stehen. Diese müssen manuell an die neue Position der bisherigen Zauber verschoben (Copy -Paste, löschen) werden. Da die relative Reihenfolge der Zauber gleich bleibt, am Besten von unten anfangen!</t>
        </r>
      </text>
    </comment>
  </commentList>
</comments>
</file>

<file path=xl/comments6.xml><?xml version="1.0" encoding="utf-8"?>
<comments xmlns="http://schemas.openxmlformats.org/spreadsheetml/2006/main">
  <authors>
    <author>Patrik Rüegge</author>
  </authors>
  <commentList>
    <comment ref="A13" authorId="0" shapeId="0">
      <text>
        <r>
          <rPr>
            <sz val="8"/>
            <color indexed="81"/>
            <rFont val="Tahoma"/>
            <family val="2"/>
          </rPr>
          <t xml:space="preserve">Nur für Schamanene
</t>
        </r>
      </text>
    </comment>
    <comment ref="A25" authorId="0" shapeId="0">
      <text>
        <r>
          <rPr>
            <b/>
            <sz val="8"/>
            <color indexed="81"/>
            <rFont val="Tahoma"/>
            <family val="2"/>
          </rPr>
          <t xml:space="preserve">Achtung, nicht alles automatisiert!
Siehe separate Erläuterung unter Downloads. </t>
        </r>
      </text>
    </comment>
    <comment ref="G26" authorId="0" shapeId="0">
      <text>
        <r>
          <rPr>
            <b/>
            <sz val="8"/>
            <color indexed="81"/>
            <rFont val="Tahoma"/>
            <family val="2"/>
          </rPr>
          <t>Zur Aktivierung hier "x" setzen</t>
        </r>
        <r>
          <rPr>
            <sz val="8"/>
            <color indexed="81"/>
            <rFont val="Tahoma"/>
            <family val="2"/>
          </rPr>
          <t xml:space="preserve">
</t>
        </r>
      </text>
    </comment>
    <comment ref="G29" authorId="0" shapeId="0">
      <text>
        <r>
          <rPr>
            <b/>
            <sz val="8"/>
            <color indexed="81"/>
            <rFont val="Tahoma"/>
            <family val="2"/>
          </rPr>
          <t>Zur Aktivierung hier "x" setzen</t>
        </r>
        <r>
          <rPr>
            <sz val="8"/>
            <color indexed="81"/>
            <rFont val="Tahoma"/>
            <family val="2"/>
          </rPr>
          <t xml:space="preserve">
</t>
        </r>
      </text>
    </comment>
    <comment ref="F31" authorId="0" shapeId="0">
      <text>
        <r>
          <rPr>
            <b/>
            <sz val="8"/>
            <color indexed="81"/>
            <rFont val="Tahoma"/>
            <family val="2"/>
          </rPr>
          <t>Für das Bezahlen mit Start-AP ein "x" oder "X" eintragen.
Zum Bezahlen mit Start-AP2 aus der 2.Profession ein "2" eintragen.</t>
        </r>
      </text>
    </comment>
    <comment ref="I31" authorId="0" shapeId="0">
      <text>
        <r>
          <rPr>
            <sz val="9"/>
            <color indexed="81"/>
            <rFont val="Tahoma"/>
            <family val="2"/>
          </rPr>
          <t xml:space="preserve">Kann nur mit AP erworben werden und nicht mit GP/Start-AP
</t>
        </r>
      </text>
    </comment>
    <comment ref="N31" authorId="0" shapeId="0">
      <text>
        <r>
          <rPr>
            <b/>
            <sz val="9"/>
            <color indexed="81"/>
            <rFont val="Tahoma"/>
            <family val="2"/>
          </rPr>
          <t>Manuelle Vergünstigung der Kosten oder Verteuerung um Anzahl Grade</t>
        </r>
      </text>
    </comment>
    <comment ref="O31" authorId="0" shapeId="0">
      <text>
        <r>
          <rPr>
            <b/>
            <sz val="9"/>
            <color indexed="81"/>
            <rFont val="Tahoma"/>
            <family val="2"/>
          </rPr>
          <t>Veränderung durch manuelle Selektion oder wegen bekannter Vorgänger-Liturgie</t>
        </r>
        <r>
          <rPr>
            <sz val="9"/>
            <color indexed="81"/>
            <rFont val="Tahoma"/>
            <family val="2"/>
          </rPr>
          <t xml:space="preserve">
</t>
        </r>
      </text>
    </comment>
    <comment ref="AA32" authorId="0" shapeId="0">
      <text>
        <r>
          <rPr>
            <b/>
            <sz val="8"/>
            <color indexed="81"/>
            <rFont val="Tahoma"/>
            <family val="2"/>
          </rPr>
          <t xml:space="preserve">Wahr: </t>
        </r>
        <r>
          <rPr>
            <sz val="8"/>
            <color indexed="81"/>
            <rFont val="Tahoma"/>
            <family val="2"/>
          </rPr>
          <t xml:space="preserve">Optionale Regel zu primären Segnungen mit Grad 0 gemäss WdG S.243 aktivieren
</t>
        </r>
        <r>
          <rPr>
            <b/>
            <sz val="8"/>
            <color indexed="81"/>
            <rFont val="Tahoma"/>
            <family val="2"/>
          </rPr>
          <t>Falsch</t>
        </r>
        <r>
          <rPr>
            <sz val="8"/>
            <color indexed="81"/>
            <rFont val="Tahoma"/>
            <family val="2"/>
          </rPr>
          <t>: Keine Grad 0 Liturgie.</t>
        </r>
      </text>
    </comment>
  </commentList>
</comments>
</file>

<file path=xl/comments7.xml><?xml version="1.0" encoding="utf-8"?>
<comments xmlns="http://schemas.openxmlformats.org/spreadsheetml/2006/main">
  <authors>
    <author>Patrik Rüegge</author>
    <author>Patrik</author>
  </authors>
  <commentList>
    <comment ref="R2" authorId="0" shapeId="0">
      <text>
        <r>
          <rPr>
            <b/>
            <sz val="8"/>
            <color indexed="81"/>
            <rFont val="Tahoma"/>
            <family val="2"/>
          </rPr>
          <t xml:space="preserve">Eine Eingabe übersteuert Werte von der Generierungsseite. </t>
        </r>
        <r>
          <rPr>
            <sz val="8"/>
            <color indexed="81"/>
            <rFont val="Tahoma"/>
            <family val="2"/>
          </rPr>
          <t>Nützlich, wenn man die Hintergründe zu einem Helden den Mitspielern nicht so offensichtlich mitteilen möchte.</t>
        </r>
      </text>
    </comment>
    <comment ref="R5" authorId="0" shapeId="0">
      <text>
        <r>
          <rPr>
            <b/>
            <sz val="8"/>
            <color indexed="81"/>
            <rFont val="Tahoma"/>
            <family val="2"/>
          </rPr>
          <t xml:space="preserve">Eine Eingabe übersteuert Werte von der Generierungsseite. </t>
        </r>
        <r>
          <rPr>
            <sz val="8"/>
            <color indexed="81"/>
            <rFont val="Tahoma"/>
            <family val="2"/>
          </rPr>
          <t>Nützlich, wenn man die Hintergründe zu einem Helden den Mitspielern nicht so offensichtlich mitteilen möchte.</t>
        </r>
      </text>
    </comment>
    <comment ref="Q27" authorId="0" shapeId="0">
      <text>
        <r>
          <rPr>
            <b/>
            <sz val="8"/>
            <color indexed="81"/>
            <rFont val="Tahoma"/>
            <family val="2"/>
          </rPr>
          <t>Es kann sein, dass die Werte der LeP, AU,AsP, KE, MR oder Ini auf Grund nachträglicher Ereignisse ohne Kostenfolge verändert werden (z.B. Göttergeschenke, Verletzung). in der Spalte Wert die entsprechende Veränderung eintragen, der Bereich Bemerkungen ist für Freitext-Eingaben, damit noch klar ist, weshalb die Anpassung stattgefunden hat.</t>
        </r>
      </text>
    </comment>
    <comment ref="Q28" authorId="0" shapeId="0">
      <text>
        <r>
          <rPr>
            <b/>
            <sz val="8"/>
            <color indexed="81"/>
            <rFont val="Tahoma"/>
            <family val="2"/>
          </rPr>
          <t>Es sind nur Werte zwischen -20 und +20 möglich</t>
        </r>
      </text>
    </comment>
    <comment ref="G41" authorId="1" shapeId="0">
      <text>
        <r>
          <rPr>
            <b/>
            <sz val="9"/>
            <color indexed="81"/>
            <rFont val="Tahoma"/>
            <family val="2"/>
          </rPr>
          <t>Bemerkung: Seit DSA4.1 gehören die Start-AP und die Start-AP aus breitgefächerter Bildung auch zu den AP-Punkten</t>
        </r>
      </text>
    </comment>
    <comment ref="L41" authorId="1" shapeId="0">
      <text>
        <r>
          <rPr>
            <b/>
            <sz val="9"/>
            <color indexed="81"/>
            <rFont val="Tahoma"/>
            <family val="2"/>
          </rPr>
          <t>Seit DSA 4.1 ist die Stufenberechnung verändert wurden: AP/1000</t>
        </r>
      </text>
    </comment>
  </commentList>
</comments>
</file>

<file path=xl/comments8.xml><?xml version="1.0" encoding="utf-8"?>
<comments xmlns="http://schemas.openxmlformats.org/spreadsheetml/2006/main">
  <authors>
    <author>Patrik Rüegge</author>
  </authors>
  <commentList>
    <comment ref="S16" authorId="0" shapeId="0">
      <text>
        <r>
          <rPr>
            <b/>
            <sz val="8"/>
            <color indexed="81"/>
            <rFont val="Tahoma"/>
            <family val="2"/>
          </rPr>
          <t>Ein * am Ende bedeutet, dass bereits bei KO/2-2 eine Wunde generiert wird</t>
        </r>
        <r>
          <rPr>
            <sz val="8"/>
            <color indexed="81"/>
            <rFont val="Tahoma"/>
            <family val="2"/>
          </rPr>
          <t xml:space="preserve">
</t>
        </r>
      </text>
    </comment>
    <comment ref="AB16" authorId="0" shapeId="0">
      <text>
        <r>
          <rPr>
            <b/>
            <sz val="8"/>
            <color indexed="81"/>
            <rFont val="Tahoma"/>
            <family val="2"/>
          </rPr>
          <t>Namen eingeben für spezielle Waffe und unbedingt Fernkampfwaffe neu auswählen in Spalte AD</t>
        </r>
      </text>
    </comment>
    <comment ref="AD16" authorId="0" shapeId="0">
      <text>
        <r>
          <rPr>
            <b/>
            <sz val="8"/>
            <color indexed="81"/>
            <rFont val="Tahoma"/>
            <family val="2"/>
          </rPr>
          <t>Falls ein Eigennamen angegeben wird muss hier zwingend die Fernkampfwaffe gewählt werden!</t>
        </r>
      </text>
    </comment>
    <comment ref="AE16" authorId="0" shapeId="0">
      <text>
        <r>
          <rPr>
            <b/>
            <sz val="8"/>
            <color indexed="81"/>
            <rFont val="Tahoma"/>
            <family val="2"/>
          </rPr>
          <t>Neuen Wert eingeben in Form A/B/C/D/E, dies überschreibt den alten Standard-Wert</t>
        </r>
      </text>
    </comment>
    <comment ref="AF16" authorId="0" shapeId="0">
      <text>
        <r>
          <rPr>
            <b/>
            <sz val="8"/>
            <color indexed="81"/>
            <rFont val="Tahoma"/>
            <family val="2"/>
          </rPr>
          <t>Neuen Wert eingeben in Form (A/B/C/D/E), dies überschreibt den alten Standard-Wert</t>
        </r>
      </text>
    </comment>
    <comment ref="AG16" authorId="0" shapeId="0">
      <text>
        <r>
          <rPr>
            <b/>
            <sz val="8"/>
            <color indexed="81"/>
            <rFont val="Tahoma"/>
            <family val="2"/>
          </rPr>
          <t>+/-TP als Ganzzahl eingeben</t>
        </r>
      </text>
    </comment>
  </commentList>
</comments>
</file>

<file path=xl/comments9.xml><?xml version="1.0" encoding="utf-8"?>
<comments xmlns="http://schemas.openxmlformats.org/spreadsheetml/2006/main">
  <authors>
    <author>Patrik</author>
  </authors>
  <commentList>
    <comment ref="W51" authorId="0" shapeId="0">
      <text>
        <r>
          <rPr>
            <b/>
            <sz val="9"/>
            <color indexed="81"/>
            <rFont val="Tahoma"/>
            <family val="2"/>
          </rPr>
          <t>TK in Stein</t>
        </r>
      </text>
    </comment>
  </commentList>
</comments>
</file>

<file path=xl/sharedStrings.xml><?xml version="1.0" encoding="utf-8"?>
<sst xmlns="http://schemas.openxmlformats.org/spreadsheetml/2006/main" count="63115" uniqueCount="9373">
  <si>
    <t>Leibeigener</t>
  </si>
  <si>
    <t>Pflanzer</t>
  </si>
  <si>
    <t>Viehzüchter</t>
  </si>
  <si>
    <t>Lastenträger</t>
  </si>
  <si>
    <t>Palmschneider</t>
  </si>
  <si>
    <t>Harpunier</t>
  </si>
  <si>
    <r>
      <t xml:space="preserve">Karmaenergie </t>
    </r>
    <r>
      <rPr>
        <b/>
        <sz val="10"/>
        <rFont val="Arial"/>
        <family val="2"/>
      </rPr>
      <t>(KE)</t>
    </r>
  </si>
  <si>
    <t>Gegeben</t>
  </si>
  <si>
    <t>Liturgien Grad II</t>
  </si>
  <si>
    <t>Liturgien Grad III</t>
  </si>
  <si>
    <t>Liturgien Grad IV</t>
  </si>
  <si>
    <t>Fixe Werte (linke Spalte)</t>
  </si>
  <si>
    <t>Fixe Werte (rechte Spalte)</t>
  </si>
  <si>
    <t>Gja, Wdm, Utu, Fer, Tzk, Ork</t>
  </si>
  <si>
    <t>Tzk, Fer</t>
  </si>
  <si>
    <t>Gja, Fer, Tzk, Wdm, Niv</t>
  </si>
  <si>
    <t xml:space="preserve">Tzk </t>
  </si>
  <si>
    <t>Ork, Fer, Tzk</t>
  </si>
  <si>
    <t>Fer, Gja, Niv, Ork, Toc, Tzk, Utu, Wdm</t>
  </si>
  <si>
    <t>Fer, Tzk, Gob, Ork, Utu, Wdm</t>
  </si>
  <si>
    <t>CH - Leiteigenschaft</t>
  </si>
  <si>
    <t>MU - Leiteigenschaft</t>
  </si>
  <si>
    <t>Totenangst 5</t>
  </si>
  <si>
    <t>Unansehlich</t>
  </si>
  <si>
    <t>Nachteile Rasse</t>
  </si>
  <si>
    <t>Nachteile Kultur</t>
  </si>
  <si>
    <t>Nachteile Profession</t>
  </si>
  <si>
    <t>Traumgänger</t>
  </si>
  <si>
    <t>Verbotene Pforten</t>
  </si>
  <si>
    <t>Vertrautenbindung</t>
  </si>
  <si>
    <t>Zauber bereithalten</t>
  </si>
  <si>
    <t>Neugier 10</t>
  </si>
  <si>
    <t>Apport</t>
  </si>
  <si>
    <t>Tränke / Gifte</t>
  </si>
  <si>
    <t>Inhalt</t>
  </si>
  <si>
    <t>Portionen / Anwdgn.</t>
  </si>
  <si>
    <t>Kräuter &amp; Salben</t>
  </si>
  <si>
    <t>Bonus Kampfstil</t>
  </si>
  <si>
    <t>Gladiatorstil</t>
  </si>
  <si>
    <t>WM AT</t>
  </si>
  <si>
    <t>WM PA</t>
  </si>
  <si>
    <t>Ringen?</t>
  </si>
  <si>
    <t xml:space="preserve"> - Ziel ist Frevler/Verdammter</t>
  </si>
  <si>
    <t>-2 bis +7</t>
  </si>
  <si>
    <t>+7/+12</t>
  </si>
  <si>
    <t>nach Motivation/Seelenlaage:</t>
  </si>
  <si>
    <t xml:space="preserve"> - ohne Ritualplatz</t>
  </si>
  <si>
    <t>11 AsP+ X</t>
  </si>
  <si>
    <t>4 AsP+2/SR</t>
  </si>
  <si>
    <t>6 AsP+2/KR</t>
  </si>
  <si>
    <t>ca. 7 Stunden</t>
  </si>
  <si>
    <t>36 AsP</t>
  </si>
  <si>
    <t>RkP* KR/Opfer</t>
  </si>
  <si>
    <t>+1/3 Pers.</t>
  </si>
  <si>
    <t>Tanzdauer</t>
  </si>
  <si>
    <t>Vorratshaltung</t>
  </si>
  <si>
    <t>Atemgift</t>
  </si>
  <si>
    <t>Wofür:</t>
  </si>
  <si>
    <t>Feldname:</t>
  </si>
  <si>
    <t>VT_ADLIGABST</t>
  </si>
  <si>
    <t>VT_ADLIGERBE</t>
  </si>
  <si>
    <t>VT_AKADGEL</t>
  </si>
  <si>
    <t>VT_AKADKRI</t>
  </si>
  <si>
    <t>VT_AKADMAG</t>
  </si>
  <si>
    <t>Granit und Marmor</t>
  </si>
  <si>
    <t>Hartes schmelze!</t>
  </si>
  <si>
    <t>Haselbusch und Ginsterkraut</t>
  </si>
  <si>
    <t>Widerwärtiges Aussehen</t>
  </si>
  <si>
    <t>Suchtmittel</t>
  </si>
  <si>
    <t>Einbusse MR:</t>
  </si>
  <si>
    <t>Unfähigkeit für [Merkmal] Scha</t>
  </si>
  <si>
    <t>Zauberfertigkeit</t>
  </si>
  <si>
    <t>Erz- und Hügelzwerg</t>
  </si>
  <si>
    <t>Brilliantzwerg</t>
  </si>
  <si>
    <t>MU</t>
  </si>
  <si>
    <t>KL</t>
  </si>
  <si>
    <t>IN</t>
  </si>
  <si>
    <t>CH</t>
  </si>
  <si>
    <t>Reiten</t>
  </si>
  <si>
    <t>Beschreibung</t>
  </si>
  <si>
    <t>Geis, Rufe</t>
  </si>
  <si>
    <t>augenblicklich</t>
  </si>
  <si>
    <t>Peraine</t>
  </si>
  <si>
    <t>Ingerimm</t>
  </si>
  <si>
    <t>Rahja</t>
  </si>
  <si>
    <t>Vielfrass</t>
  </si>
  <si>
    <t>Koschfrettchen</t>
  </si>
  <si>
    <t>W3</t>
  </si>
  <si>
    <t>Eichelhäher</t>
  </si>
  <si>
    <t>Streifenmeister (abgerichtet)</t>
  </si>
  <si>
    <t>Waffenlos Unauer Schule</t>
  </si>
  <si>
    <t>Ausweichen II</t>
  </si>
  <si>
    <t>Ausweichen III</t>
  </si>
  <si>
    <t>Schildkampf II</t>
  </si>
  <si>
    <t>Segen des Heiligen Hlûthar</t>
  </si>
  <si>
    <t>Sicherer Weg durch Fels</t>
  </si>
  <si>
    <t>Sippenfluch</t>
  </si>
  <si>
    <t>Tsas Lebensschutz</t>
  </si>
  <si>
    <t>Tsas wundersame Fruchtbarkeit</t>
  </si>
  <si>
    <t>Unterpfand des Heiligen Rhÿs</t>
  </si>
  <si>
    <t>Reduktion SF beidhändiger Kampf I,II &amp; Linkhand um 1/4 der Kosten</t>
  </si>
  <si>
    <t>Talente Wissen, Sprachen, Zauber zu halben Kosten</t>
  </si>
  <si>
    <t>VT_EIDGED</t>
  </si>
  <si>
    <t>VT_GUTGED</t>
  </si>
  <si>
    <t>Ritualdauer Götterdiener:</t>
  </si>
  <si>
    <t>Ritualdauer Schamanen:</t>
  </si>
  <si>
    <t>Spontanritual</t>
  </si>
  <si>
    <t>Edelhandwerker</t>
  </si>
  <si>
    <t>H_EDELHWK</t>
  </si>
  <si>
    <t>Gelehrter</t>
  </si>
  <si>
    <t>H_GELEHRTER</t>
  </si>
  <si>
    <t>Handwerker</t>
  </si>
  <si>
    <t>H_HWK</t>
  </si>
  <si>
    <t>H_RATTENFNG</t>
  </si>
  <si>
    <t>H_SCHREIBER</t>
  </si>
  <si>
    <t>Malmkreis</t>
  </si>
  <si>
    <t>Akademische Ausbildung (Magier)</t>
  </si>
  <si>
    <t>Schamanistische Rituale</t>
  </si>
  <si>
    <t xml:space="preserve">Liturgien Grad I </t>
  </si>
  <si>
    <t>Grad</t>
  </si>
  <si>
    <t>Ziel</t>
  </si>
  <si>
    <t>Seite</t>
  </si>
  <si>
    <t>ZZ</t>
  </si>
  <si>
    <t>5-30 AsP</t>
  </si>
  <si>
    <t>9 AsP + X</t>
  </si>
  <si>
    <t>Boron-Geweihter:  (Al'Anfaner Ritus) (Diener Golgaris) (Militärbegleiter)</t>
  </si>
  <si>
    <t>Vorteile Spätweihe</t>
  </si>
  <si>
    <t>Spätweihe Nachteile</t>
  </si>
  <si>
    <t>Verpflichtungen (geg. Orden)</t>
  </si>
  <si>
    <t>- Wunden</t>
  </si>
  <si>
    <t xml:space="preserve">Ork </t>
  </si>
  <si>
    <t xml:space="preserve">Kraft des Thayas </t>
  </si>
  <si>
    <t xml:space="preserve">Kraft des Tieres </t>
  </si>
  <si>
    <t xml:space="preserve">Kristallkraft bündeln </t>
  </si>
  <si>
    <t>Wissenschaft</t>
  </si>
  <si>
    <t>Baugestein</t>
  </si>
  <si>
    <t>Edelmetalle</t>
  </si>
  <si>
    <t>Edelsteine</t>
  </si>
  <si>
    <t>Glaubensrichtung</t>
  </si>
  <si>
    <t>Staat</t>
  </si>
  <si>
    <t>Eisen</t>
  </si>
  <si>
    <t>Legierungen</t>
  </si>
  <si>
    <t>Zinn</t>
  </si>
  <si>
    <t>Logistik</t>
  </si>
  <si>
    <t>Militär</t>
  </si>
  <si>
    <t>Monster</t>
  </si>
  <si>
    <t>Strategie</t>
  </si>
  <si>
    <t>Taktik</t>
  </si>
  <si>
    <t>Seegefecht</t>
  </si>
  <si>
    <t>0/5/10/15/30</t>
  </si>
  <si>
    <t>1/2/4/8/12</t>
  </si>
  <si>
    <t>Begabung für [Talent]</t>
  </si>
  <si>
    <t>Begabung für [Merkmal]</t>
  </si>
  <si>
    <t>Begabung für [Ritual]</t>
  </si>
  <si>
    <t>Begabung für [Zauber]</t>
  </si>
  <si>
    <t>Unfähigkeit für [Talentgruppe]</t>
  </si>
  <si>
    <t>Unfähigkeit für [Talent]</t>
  </si>
  <si>
    <t>Unfähigkeit für [Merkmal]</t>
  </si>
  <si>
    <t>GP_V</t>
  </si>
  <si>
    <t>GP_N</t>
  </si>
  <si>
    <t>MERKMALE</t>
  </si>
  <si>
    <t>RITUALE</t>
  </si>
  <si>
    <t>Überreden</t>
  </si>
  <si>
    <t>3W ASP</t>
  </si>
  <si>
    <t>4W ASP</t>
  </si>
  <si>
    <t>5W ASP (1/10 perm.)</t>
  </si>
  <si>
    <t>Balladen</t>
  </si>
  <si>
    <t>Chor</t>
  </si>
  <si>
    <t>Opern</t>
  </si>
  <si>
    <t>Sehen</t>
  </si>
  <si>
    <t>Menschen</t>
  </si>
  <si>
    <t>Ausdruck</t>
  </si>
  <si>
    <t>Festgestaltung</t>
  </si>
  <si>
    <t>Garderobe</t>
  </si>
  <si>
    <t>Schminken</t>
  </si>
  <si>
    <t>Liebeskünste</t>
  </si>
  <si>
    <t>Beschatten</t>
  </si>
  <si>
    <t>Hehlerei</t>
  </si>
  <si>
    <t>Kontakte</t>
  </si>
  <si>
    <t>Ortseinschätzung</t>
  </si>
  <si>
    <t>Körper</t>
  </si>
  <si>
    <t>Natur</t>
  </si>
  <si>
    <t>Wissen</t>
  </si>
  <si>
    <t>Komödien</t>
  </si>
  <si>
    <t>Possen</t>
  </si>
  <si>
    <t>Tragödie</t>
  </si>
  <si>
    <t>Stand</t>
  </si>
  <si>
    <t>Geschlecht</t>
  </si>
  <si>
    <t>Aufwiegeln</t>
  </si>
  <si>
    <t>Betteln</t>
  </si>
  <si>
    <t>Einschüchtern</t>
  </si>
  <si>
    <t>Feilschen</t>
  </si>
  <si>
    <t>Lügen</t>
  </si>
  <si>
    <t>Plädoyer</t>
  </si>
  <si>
    <t>Verhör</t>
  </si>
  <si>
    <t>Diskussion</t>
  </si>
  <si>
    <t>Unterirdisch</t>
  </si>
  <si>
    <t>Gruben</t>
  </si>
  <si>
    <t>Schlingen</t>
  </si>
  <si>
    <t>Entfesseln</t>
  </si>
  <si>
    <t>Knoten</t>
  </si>
  <si>
    <t>Spleissen</t>
  </si>
  <si>
    <t>Netze</t>
  </si>
  <si>
    <t>Flüsse/Bäche</t>
  </si>
  <si>
    <t>Hochsee</t>
  </si>
  <si>
    <t>Seen/Sumpf</t>
  </si>
  <si>
    <t>Strand/Riff</t>
  </si>
  <si>
    <t>Dschungel/Wald</t>
  </si>
  <si>
    <t>Meer</t>
  </si>
  <si>
    <t>Zyklopensee</t>
  </si>
  <si>
    <t>Golf von Prem</t>
  </si>
  <si>
    <t>Seelengrund</t>
  </si>
  <si>
    <t>REGION</t>
  </si>
  <si>
    <t>Wald</t>
  </si>
  <si>
    <t xml:space="preserve"> Meer</t>
  </si>
  <si>
    <t>Steppe</t>
  </si>
  <si>
    <t>Sumpf</t>
  </si>
  <si>
    <t>Mensch</t>
  </si>
  <si>
    <t>Troll</t>
  </si>
  <si>
    <t>Zwerg</t>
  </si>
  <si>
    <t>Oger</t>
  </si>
  <si>
    <t>Goblin</t>
  </si>
  <si>
    <t>Hochbau</t>
  </si>
  <si>
    <t>Tiefbau</t>
  </si>
  <si>
    <t>Wehranlagen</t>
  </si>
  <si>
    <t>Botan</t>
  </si>
  <si>
    <t>W&amp;R Kamele</t>
  </si>
  <si>
    <t>Kunst</t>
  </si>
  <si>
    <t>Religion</t>
  </si>
  <si>
    <t>Verbindungen 30</t>
  </si>
  <si>
    <t>Verbindungen 15</t>
  </si>
  <si>
    <t>Bannschwert</t>
  </si>
  <si>
    <t>Vertrautentier und -Magie</t>
  </si>
  <si>
    <t>Fliegender Teppich</t>
  </si>
  <si>
    <t>Bauchreden</t>
  </si>
  <si>
    <t>Feuerkunst</t>
  </si>
  <si>
    <t>Jonglieren</t>
  </si>
  <si>
    <t>Possenreissen</t>
  </si>
  <si>
    <t>Taschenspielereien</t>
  </si>
  <si>
    <t>Pferd/Esel</t>
  </si>
  <si>
    <t>Strauss</t>
  </si>
  <si>
    <t>Haustiere</t>
  </si>
  <si>
    <t>Jagdwild</t>
  </si>
  <si>
    <t>Schlange</t>
  </si>
  <si>
    <t>Spinne</t>
  </si>
  <si>
    <t>Eule</t>
  </si>
  <si>
    <t>Falke</t>
  </si>
  <si>
    <t>Rondra-Geweihte Ordenskrieger Orden zur Wahrung Rhodenstein</t>
  </si>
  <si>
    <t>Autoritätsgläubig 6</t>
  </si>
  <si>
    <t>Infanteriewaffen (Korspieß)</t>
  </si>
  <si>
    <t>Ingerimm-Geweihte: Traditioneller Kult</t>
  </si>
  <si>
    <t>Eingeschränte Elementarnähe</t>
  </si>
  <si>
    <t>Autoritätsgläubig</t>
  </si>
  <si>
    <t>Madas Fluch</t>
  </si>
  <si>
    <t>Agrimothwahn</t>
  </si>
  <si>
    <t xml:space="preserve"> -</t>
  </si>
  <si>
    <t>1h</t>
  </si>
  <si>
    <t>Geodischer Wasserbann</t>
  </si>
  <si>
    <t>Herr der Flammen</t>
  </si>
  <si>
    <t>Macht des Lebens</t>
  </si>
  <si>
    <t>Kräfte der Natur</t>
  </si>
  <si>
    <t>Wirbelnder Luftschild</t>
  </si>
  <si>
    <t>Karmale/
Schamanistische SF</t>
  </si>
  <si>
    <t>Verbilligte Karmale /
Schamanistische SF</t>
  </si>
  <si>
    <t>Angrosch-Geweihte: Hüter der Esse</t>
  </si>
  <si>
    <t>Angrosch-Geweihte: Hüter der Tradition</t>
  </si>
  <si>
    <t>Angrosch-Geweihte: Hüter der Wacht</t>
  </si>
  <si>
    <t>Aves-Geweihte</t>
  </si>
  <si>
    <t>Boron-Geweihte: Marbiden</t>
  </si>
  <si>
    <t xml:space="preserve">Farben des Krieges </t>
  </si>
  <si>
    <t>Wdm, Utu, Tzk, Gob, Toc</t>
  </si>
  <si>
    <t>12/6</t>
  </si>
  <si>
    <t>14/4</t>
  </si>
  <si>
    <t>17/1</t>
  </si>
  <si>
    <t>10/4</t>
  </si>
  <si>
    <t>14/3</t>
  </si>
  <si>
    <t>-2/-2</t>
  </si>
  <si>
    <t>1/-1</t>
  </si>
  <si>
    <t>Bezeichnung</t>
  </si>
  <si>
    <t>Reichweite</t>
  </si>
  <si>
    <t>TP+</t>
  </si>
  <si>
    <t>Schuss- und Wurfwaffen</t>
  </si>
  <si>
    <t>Wurfscheibe/-ring</t>
  </si>
  <si>
    <t>Speerschleuder</t>
  </si>
  <si>
    <t>Stabschleuder</t>
  </si>
  <si>
    <t>Schneidzahn</t>
  </si>
  <si>
    <t>Arbalette</t>
  </si>
  <si>
    <t>Arbalone</t>
  </si>
  <si>
    <t>Balestra</t>
  </si>
  <si>
    <t>Balestrina</t>
  </si>
  <si>
    <t>Balläster</t>
  </si>
  <si>
    <t>Wand aus Flammen</t>
  </si>
  <si>
    <t>Schriftsteller</t>
  </si>
  <si>
    <t>Steigerung mit AP</t>
  </si>
  <si>
    <t>mit GP kaufen</t>
  </si>
  <si>
    <t>RkP*x30 Min.</t>
  </si>
  <si>
    <t>+MR(+)</t>
  </si>
  <si>
    <t>+2/Mittänzer</t>
  </si>
  <si>
    <t>1 h</t>
  </si>
  <si>
    <t>+2/RS(+)</t>
  </si>
  <si>
    <t>Ausdauernder Zauberer</t>
  </si>
  <si>
    <t>Abvenenum reine Speise</t>
  </si>
  <si>
    <t>Accuratum Zaubernadel</t>
  </si>
  <si>
    <t>Adlerauge Luchsenohr</t>
  </si>
  <si>
    <t>Aerofugo Vakuum</t>
  </si>
  <si>
    <t>Z-Dauer</t>
  </si>
  <si>
    <t>ASP</t>
  </si>
  <si>
    <t>Waldelfische Sippe</t>
  </si>
  <si>
    <t>Firnelfische Sippe</t>
  </si>
  <si>
    <t>Auelf</t>
  </si>
  <si>
    <t>Waldelf</t>
  </si>
  <si>
    <t>Firnelf</t>
  </si>
  <si>
    <t>Halbelf</t>
  </si>
  <si>
    <t>AE</t>
  </si>
  <si>
    <t>Altersresistenz</t>
  </si>
  <si>
    <t>Vollzauberer</t>
  </si>
  <si>
    <t>Viertelzauberer</t>
  </si>
  <si>
    <t>Hitzeempfindlich</t>
  </si>
  <si>
    <t>Elfische Weltsicht</t>
  </si>
  <si>
    <t>Große Meditation</t>
  </si>
  <si>
    <t>Magische</t>
  </si>
  <si>
    <t>Repräsentationen</t>
  </si>
  <si>
    <t>Stuhlbein</t>
  </si>
  <si>
    <t>Sturmsense</t>
  </si>
  <si>
    <t>Turnierlanze</t>
  </si>
  <si>
    <t>Turnierschwert</t>
  </si>
  <si>
    <t>Tuzakmesser</t>
  </si>
  <si>
    <t>Vorschlaghammer</t>
  </si>
  <si>
    <t>Vulkanglasdolch</t>
  </si>
  <si>
    <t>Waqqif</t>
  </si>
  <si>
    <t>Warunker Hammer</t>
  </si>
  <si>
    <t>Wolfsmesser</t>
  </si>
  <si>
    <t>Wurfbeil</t>
  </si>
  <si>
    <t>Einnahmegift</t>
  </si>
  <si>
    <t>Bruch/Quetschung</t>
  </si>
  <si>
    <t>Schnitt</t>
  </si>
  <si>
    <t>Verbrennung</t>
  </si>
  <si>
    <t>Zähne</t>
  </si>
  <si>
    <t>Holzkunde</t>
  </si>
  <si>
    <t>M</t>
  </si>
  <si>
    <t>VT_LINKHD</t>
  </si>
  <si>
    <t>TaW  spez. Erfahrung</t>
  </si>
  <si>
    <t>Wüstenkundig</t>
  </si>
  <si>
    <t>Gebirgskundig</t>
  </si>
  <si>
    <t>NT_SCHWACHAUS</t>
  </si>
  <si>
    <t>A5</t>
  </si>
  <si>
    <t xml:space="preserve">Pfad der Blutrache </t>
  </si>
  <si>
    <t xml:space="preserve">Fer </t>
  </si>
  <si>
    <t xml:space="preserve">Rangild und Riskas Hochzeit </t>
  </si>
  <si>
    <t>Phexens Meisterschlüssel</t>
  </si>
  <si>
    <t>Phexens Schatten</t>
  </si>
  <si>
    <t>Rondras wundersame Rüstung</t>
  </si>
  <si>
    <t>Sankt Gilborns Bannfluch</t>
  </si>
  <si>
    <t>Schneesturm/Eissturm</t>
  </si>
  <si>
    <t>Schwitzhütte</t>
  </si>
  <si>
    <t>Artefakte</t>
  </si>
  <si>
    <t>Elementare</t>
  </si>
  <si>
    <t>Dämonen</t>
  </si>
  <si>
    <t>Analyse</t>
  </si>
  <si>
    <t>Sphärologie</t>
  </si>
  <si>
    <t>Theorie</t>
  </si>
  <si>
    <t>Belagerung</t>
  </si>
  <si>
    <t>Kräne</t>
  </si>
  <si>
    <t>Tele, Elem (Luft), Scha</t>
  </si>
  <si>
    <t>Elem (Eis), Objk</t>
  </si>
  <si>
    <t>Elem (Feuer), Objk</t>
  </si>
  <si>
    <t>Elem (Humus), Objk</t>
  </si>
  <si>
    <t>Faktor 3. Merkmal</t>
  </si>
  <si>
    <t>Zum Ausfüllen der Tabelle:</t>
  </si>
  <si>
    <t>Leib des Eises</t>
  </si>
  <si>
    <t>3 AsP/SR</t>
  </si>
  <si>
    <t>Traumgestalt</t>
  </si>
  <si>
    <t>Unberührt von Satinav</t>
  </si>
  <si>
    <t>3W+5</t>
  </si>
  <si>
    <t>1W</t>
  </si>
  <si>
    <t>1W-1</t>
  </si>
  <si>
    <t>2W+3</t>
  </si>
  <si>
    <t>20/1</t>
  </si>
  <si>
    <t>11/5</t>
  </si>
  <si>
    <t>13/5</t>
  </si>
  <si>
    <t>14/5</t>
  </si>
  <si>
    <t>Hirte</t>
  </si>
  <si>
    <t>Höfling</t>
  </si>
  <si>
    <t>Jäger</t>
  </si>
  <si>
    <t>Karawanenführer</t>
  </si>
  <si>
    <t>Knappe</t>
  </si>
  <si>
    <t>Krieger</t>
  </si>
  <si>
    <t>Kundschafter</t>
  </si>
  <si>
    <t>Privatlehrer</t>
  </si>
  <si>
    <t>Prospektor</t>
  </si>
  <si>
    <t>Repräs. &amp; Merkmale</t>
  </si>
  <si>
    <t>5/15/25/40/60</t>
  </si>
  <si>
    <t>5/15/30/60/100</t>
  </si>
  <si>
    <t>0/2/5/10/15</t>
  </si>
  <si>
    <t>0/0/0/5/5</t>
  </si>
  <si>
    <t>Prinzipientreue (Gehorsam, Disziplin, Wahrheitsliebe)</t>
  </si>
  <si>
    <t>Spätweihe Travia</t>
  </si>
  <si>
    <t>Spätweihe Boron</t>
  </si>
  <si>
    <t>AT-1/PA-2; GE-2, GS-1</t>
  </si>
  <si>
    <t>spez. Erfahrung</t>
  </si>
  <si>
    <t>Karmale SF:</t>
  </si>
  <si>
    <t>Waffenloser Kampf</t>
  </si>
  <si>
    <t>TP (A)</t>
  </si>
  <si>
    <t>Name</t>
  </si>
  <si>
    <t>Typ</t>
  </si>
  <si>
    <t>Rüstungsstück</t>
  </si>
  <si>
    <t>RS</t>
  </si>
  <si>
    <t>je Wunde AT, PA, GE, INI -2; GS -1</t>
  </si>
  <si>
    <t>max.</t>
  </si>
  <si>
    <t>Ackerbau (Zwergische Pilzzucht)</t>
  </si>
  <si>
    <t>Haussklave in Al´Anfa</t>
  </si>
  <si>
    <t>Erzieher der Achaz</t>
  </si>
  <si>
    <t>Verbindungen 15 (nur zu Achatz)</t>
  </si>
  <si>
    <t>Fähigkeiten / Besonderes</t>
  </si>
  <si>
    <t>Vertrautentier</t>
  </si>
  <si>
    <t>Beinschienen, Stahl</t>
  </si>
  <si>
    <t>Panzerschuh</t>
  </si>
  <si>
    <t>Zauberschule des Kalifen zu Mherwed</t>
  </si>
  <si>
    <t>Orbitarium</t>
  </si>
  <si>
    <t>Bilderspiel</t>
  </si>
  <si>
    <t>Fernbild</t>
  </si>
  <si>
    <t>Bildergalerie</t>
  </si>
  <si>
    <t>H'szints Auge</t>
  </si>
  <si>
    <t>Farben des Geistes</t>
  </si>
  <si>
    <t>Wachendes Auge</t>
  </si>
  <si>
    <t>Weihe der Schale</t>
  </si>
  <si>
    <t>Allegorische Analyse</t>
  </si>
  <si>
    <t>Chymische Hochzeit</t>
  </si>
  <si>
    <t>Mandricons Bindung</t>
  </si>
  <si>
    <t>Feuer und Eis</t>
  </si>
  <si>
    <t>Nachteile wählen:</t>
  </si>
  <si>
    <t>Zwergenskraja</t>
  </si>
  <si>
    <t>3W+3</t>
  </si>
  <si>
    <t>3W+4</t>
  </si>
  <si>
    <t>Sagen/Legenden</t>
  </si>
  <si>
    <t>Malen/Zeichnen</t>
  </si>
  <si>
    <t>Eign, Vers</t>
  </si>
  <si>
    <t>Praios-Geweihte: Ordenskrieger Bannstrahl-Orden, ungeweiht</t>
  </si>
  <si>
    <t>Praios-Geweihte: Hüter-Orden</t>
  </si>
  <si>
    <t>Rahja-Geweihte</t>
  </si>
  <si>
    <t>Rahja-Geweihte: Orden der Rose</t>
  </si>
  <si>
    <t>Rondra-Geweihte</t>
  </si>
  <si>
    <t>Magische SF</t>
  </si>
  <si>
    <t>9+2W6</t>
  </si>
  <si>
    <t>W6</t>
  </si>
  <si>
    <t>4 SP</t>
  </si>
  <si>
    <t>4+2W6</t>
  </si>
  <si>
    <t>W3+1</t>
  </si>
  <si>
    <t>1W6+1</t>
  </si>
  <si>
    <t>siehe Geisterruf: Vermutet, reine Spekulation</t>
  </si>
  <si>
    <t>Kombi Ausrüstungsvorteil, bes. Besitz</t>
  </si>
  <si>
    <t>Kosten Sonderfertigkeiten</t>
  </si>
  <si>
    <t>GP Besonderer Besitz</t>
  </si>
  <si>
    <t>TaGP-Kosten Wissenstalente, Sprachen</t>
  </si>
  <si>
    <t>Fähnrich zur See aus Grangor</t>
  </si>
  <si>
    <t>Kavallerie-Fähnrich aus Barburin</t>
  </si>
  <si>
    <t>Karnifilo Raserei</t>
  </si>
  <si>
    <t>Kulminatio Kugelblitz</t>
  </si>
  <si>
    <t>Kusch!</t>
  </si>
  <si>
    <t>Lach dich gesund!</t>
  </si>
  <si>
    <t>Lockruf und Feenfüße</t>
  </si>
  <si>
    <t>Lunge des Leviatan</t>
  </si>
  <si>
    <t>Manifesto Element</t>
  </si>
  <si>
    <t>Memorabia Falsifir</t>
  </si>
  <si>
    <t>Memorans Gedächtniskraft</t>
  </si>
  <si>
    <t>Menetekel Flammenschrift</t>
  </si>
  <si>
    <t>Metamorpho Gletscherform</t>
  </si>
  <si>
    <t>Movimento Dauerlauf</t>
  </si>
  <si>
    <t>Murks und Patz!</t>
  </si>
  <si>
    <t>Nebelwand und Morgendunst</t>
  </si>
  <si>
    <t>Nekropathia Seelenreise</t>
  </si>
  <si>
    <t>Nihilgravo Schwerelos</t>
  </si>
  <si>
    <t>Antiquitäten</t>
  </si>
  <si>
    <t>Materialwert</t>
  </si>
  <si>
    <t>Schmuck</t>
  </si>
  <si>
    <t>Menge</t>
  </si>
  <si>
    <t>Barke</t>
  </si>
  <si>
    <t>Steinernes Beil</t>
  </si>
  <si>
    <t>Steinmesser</t>
  </si>
  <si>
    <t>(0/+1/0/0/-1)</t>
  </si>
  <si>
    <t>0/15/30/60/100</t>
  </si>
  <si>
    <t>Talente / Talentgruppen</t>
  </si>
  <si>
    <t>Meister der Elemente</t>
  </si>
  <si>
    <t>Meister minderer Geister</t>
  </si>
  <si>
    <t>max. RkP* SR</t>
  </si>
  <si>
    <t>Bindung</t>
  </si>
  <si>
    <t xml:space="preserve">Reißgrams Fährte </t>
  </si>
  <si>
    <t xml:space="preserve">Reitender Geist </t>
  </si>
  <si>
    <t>P/P+P</t>
  </si>
  <si>
    <t xml:space="preserve">Rikais Verderben </t>
  </si>
  <si>
    <t xml:space="preserve">Rinderruf </t>
  </si>
  <si>
    <t>Fer</t>
  </si>
  <si>
    <t xml:space="preserve">Ruf der Schamanen </t>
  </si>
  <si>
    <t xml:space="preserve">Sanftmut </t>
  </si>
  <si>
    <t>Gob, Niv</t>
  </si>
  <si>
    <t xml:space="preserve">Schlangenfluch </t>
  </si>
  <si>
    <t>Wdm, Utu, Fer, Ach</t>
  </si>
  <si>
    <t xml:space="preserve">Schlangengeist </t>
  </si>
  <si>
    <t>Zeilennummer in den Charaktertabellen</t>
  </si>
  <si>
    <t>Panzerhandschuhe, Paar</t>
  </si>
  <si>
    <t>-2/+5</t>
  </si>
  <si>
    <t>-5/+7</t>
  </si>
  <si>
    <t>0/+2</t>
  </si>
  <si>
    <t>-1/+1</t>
  </si>
  <si>
    <t>Rüstungen</t>
  </si>
  <si>
    <t>Bronzeharnisch</t>
  </si>
  <si>
    <t>Brustplatte</t>
  </si>
  <si>
    <t>Brustschalen</t>
  </si>
  <si>
    <t>Dicke Kleidung</t>
  </si>
  <si>
    <t>ZfW KR / 1 Pfeil</t>
  </si>
  <si>
    <t>3 AsP</t>
  </si>
  <si>
    <t>ZfP* x 10 KR</t>
  </si>
  <si>
    <t>Dämo (TGN)</t>
  </si>
  <si>
    <t>8H</t>
  </si>
  <si>
    <t>Grobschmied</t>
  </si>
  <si>
    <t>Arroganz 7</t>
  </si>
  <si>
    <t>NT_ELFWELT</t>
  </si>
  <si>
    <t>Steigerungspalte</t>
  </si>
  <si>
    <t>Aktiviert</t>
  </si>
  <si>
    <t>Unfähig</t>
  </si>
  <si>
    <t>VT_SCHLANGENMENSCH</t>
  </si>
  <si>
    <t>Leittalent Elf</t>
  </si>
  <si>
    <t>Rssahh</t>
  </si>
  <si>
    <t>Grolmisch</t>
  </si>
  <si>
    <t>Koboldisch</t>
  </si>
  <si>
    <t>Begabung Merkmal - Vorteile (max. 3)</t>
  </si>
  <si>
    <t>Schneider</t>
  </si>
  <si>
    <t>Niv, Gja, Tzk, Fer, Ork</t>
  </si>
  <si>
    <t>Fer, Tzk, Wdm, Utu</t>
  </si>
  <si>
    <t>Ach, Fer, Gja, Ork, Toc, Tzk, Utu, Wdm</t>
  </si>
  <si>
    <t>Humofaxius</t>
  </si>
  <si>
    <t>Humusbann</t>
  </si>
  <si>
    <t>Böser Blick</t>
  </si>
  <si>
    <t>Chamaelioni</t>
  </si>
  <si>
    <t>Basis (MU+IN+CH)/2</t>
  </si>
  <si>
    <t>Flusspirat</t>
  </si>
  <si>
    <t xml:space="preserve"> - Einstimmung auf Ritualplatz</t>
  </si>
  <si>
    <t xml:space="preserve"> - in Gegenwart von Zweiflern</t>
  </si>
  <si>
    <t xml:space="preserve"> - anderer Welt/Globule</t>
  </si>
  <si>
    <t>-4 bis -7</t>
  </si>
  <si>
    <t>bis zu -3</t>
  </si>
  <si>
    <t>+1 bis +3</t>
  </si>
  <si>
    <t>Fähnrich zur See aus Al'Anfa</t>
  </si>
  <si>
    <t>Charakter Magisch:</t>
  </si>
  <si>
    <t>1 SR</t>
  </si>
  <si>
    <t>Anti, Geis</t>
  </si>
  <si>
    <t>Schule der variablen Form zu Mirham</t>
  </si>
  <si>
    <t>davon übrig:</t>
  </si>
  <si>
    <t>Schule der Beherrschung zu Neersand</t>
  </si>
  <si>
    <t>Halle des Lebens zu Norburg</t>
  </si>
  <si>
    <t>Eign, Meta</t>
  </si>
  <si>
    <t>Elem (Erz), Objk</t>
  </si>
  <si>
    <t>Objk, Meta, Elem (Feuer)</t>
  </si>
  <si>
    <t>NT_ALBINO</t>
  </si>
  <si>
    <t>SO über 7 je 2 GP</t>
  </si>
  <si>
    <t>NT_LAHM</t>
  </si>
  <si>
    <t>NT_RAUBTGER</t>
  </si>
  <si>
    <t>SO &gt; 7</t>
  </si>
  <si>
    <t>TP/Entfrng.</t>
  </si>
  <si>
    <t>verbleibende Generierungspunkte:</t>
  </si>
  <si>
    <t>siehe Granit und Marmor</t>
  </si>
  <si>
    <t>Festnageln</t>
  </si>
  <si>
    <t>Bindung des Stabes</t>
  </si>
  <si>
    <t>Druiden</t>
  </si>
  <si>
    <t>AsP</t>
  </si>
  <si>
    <t>Beseelte Knochenkeule (Totengeist)</t>
  </si>
  <si>
    <t>Weite</t>
  </si>
  <si>
    <t>Gebet</t>
  </si>
  <si>
    <t>GP Sum</t>
  </si>
  <si>
    <t>Nuanaä-Lie</t>
  </si>
  <si>
    <t>Unfähigkeit für [Talentgruppe] Gesellschftl. Talente</t>
  </si>
  <si>
    <t>NT_UNF_TGR</t>
  </si>
  <si>
    <t>NT_UNF_TGR_WERT</t>
  </si>
  <si>
    <t>Streifenschurz</t>
  </si>
  <si>
    <t>Sturmhaube</t>
  </si>
  <si>
    <t>Tellerhelm</t>
  </si>
  <si>
    <t>Topfhelm</t>
  </si>
  <si>
    <t>3H</t>
  </si>
  <si>
    <t>Lesen / Schreiben</t>
  </si>
  <si>
    <t>Wand aus Wogen</t>
  </si>
  <si>
    <t>Wand aus Erz</t>
  </si>
  <si>
    <t>Orkanwand</t>
  </si>
  <si>
    <t>Form, Elem (Erz)</t>
  </si>
  <si>
    <t>Eign, Elem (Humus), Form</t>
  </si>
  <si>
    <t>Form, Elem (Humus)</t>
  </si>
  <si>
    <t>Form, Elem (Wasser)</t>
  </si>
  <si>
    <t>Form, Elem (Eis)</t>
  </si>
  <si>
    <t>Form, Elem (Feuer)</t>
  </si>
  <si>
    <t xml:space="preserve">Elem </t>
  </si>
  <si>
    <t>Aura verhüllen</t>
  </si>
  <si>
    <t>Aurapanzer</t>
  </si>
  <si>
    <t>Blutmagie</t>
  </si>
  <si>
    <t>Eiserner Wille I</t>
  </si>
  <si>
    <t>Steppenkundig</t>
  </si>
  <si>
    <t>Je nach AsP (A)</t>
  </si>
  <si>
    <t>Signaturkenntnis</t>
  </si>
  <si>
    <t>Stapeleffekt</t>
  </si>
  <si>
    <t>Tanz der Mada</t>
  </si>
  <si>
    <t>A3</t>
  </si>
  <si>
    <t>A1</t>
  </si>
  <si>
    <t>A2</t>
  </si>
  <si>
    <t>A4</t>
  </si>
  <si>
    <t>Geisterruf</t>
  </si>
  <si>
    <t>Gletscherwand</t>
  </si>
  <si>
    <t>Große Gier</t>
  </si>
  <si>
    <t>Große Verwirrung</t>
  </si>
  <si>
    <t>Halluzination</t>
  </si>
  <si>
    <t>Harmlose Gestalt</t>
  </si>
  <si>
    <t>Heilkraft bannen</t>
  </si>
  <si>
    <t>Hellsicht trüben</t>
  </si>
  <si>
    <t>Herbeirufung vereiteln</t>
  </si>
  <si>
    <t>Herr über das Tierreich</t>
  </si>
  <si>
    <t>Hexenblick</t>
  </si>
  <si>
    <t>Hexengalle</t>
  </si>
  <si>
    <t>Göttliche Verständigung</t>
  </si>
  <si>
    <t>Händlersegen</t>
  </si>
  <si>
    <t>Handwerkssegen</t>
  </si>
  <si>
    <t>Hashnabiths Flehen</t>
  </si>
  <si>
    <t>Heiliger Befehl</t>
  </si>
  <si>
    <t>Heiliger Lehnseid</t>
  </si>
  <si>
    <t>Heiliges Liebesspiel</t>
  </si>
  <si>
    <t>Hilfe in der Not</t>
  </si>
  <si>
    <t>Initiation</t>
  </si>
  <si>
    <t>Kirschblütenregen</t>
  </si>
  <si>
    <t>Kleine Liturgie des Heiligen Nemekath</t>
  </si>
  <si>
    <t>Kleine Segnung des Heimsteins</t>
  </si>
  <si>
    <t>Total</t>
  </si>
  <si>
    <t>Blutdurst</t>
  </si>
  <si>
    <t>Brünstigkeit</t>
  </si>
  <si>
    <r>
      <t>Ziel</t>
    </r>
    <r>
      <rPr>
        <sz val="10"/>
        <rFont val="Times New Roman"/>
        <family val="1"/>
      </rPr>
      <t xml:space="preserve">: </t>
    </r>
    <r>
      <rPr>
        <b/>
        <sz val="10"/>
        <rFont val="Times New Roman"/>
        <family val="1"/>
      </rPr>
      <t>G</t>
    </r>
    <r>
      <rPr>
        <sz val="10"/>
        <rFont val="Times New Roman"/>
        <family val="1"/>
      </rPr>
      <t xml:space="preserve">=Geweihte, </t>
    </r>
    <r>
      <rPr>
        <b/>
        <sz val="10"/>
        <rFont val="Times New Roman"/>
        <family val="1"/>
      </rPr>
      <t>P</t>
    </r>
    <r>
      <rPr>
        <sz val="10"/>
        <rFont val="Times New Roman"/>
        <family val="1"/>
      </rPr>
      <t xml:space="preserve">=Person/Objekt, </t>
    </r>
    <r>
      <rPr>
        <b/>
        <sz val="10"/>
        <rFont val="Times New Roman"/>
        <family val="1"/>
      </rPr>
      <t>PP</t>
    </r>
    <r>
      <rPr>
        <sz val="10"/>
        <rFont val="Times New Roman"/>
        <family val="1"/>
      </rPr>
      <t xml:space="preserve">= &lt;10 Pers./Objekte, </t>
    </r>
    <r>
      <rPr>
        <b/>
        <sz val="10"/>
        <rFont val="Times New Roman"/>
        <family val="1"/>
      </rPr>
      <t>PPP</t>
    </r>
    <r>
      <rPr>
        <sz val="10"/>
        <rFont val="Times New Roman"/>
        <family val="1"/>
      </rPr>
      <t xml:space="preserve">= &lt;100Pers./Objekte, </t>
    </r>
    <r>
      <rPr>
        <b/>
        <sz val="10"/>
        <rFont val="Times New Roman"/>
        <family val="1"/>
      </rPr>
      <t>PPPP</t>
    </r>
    <r>
      <rPr>
        <sz val="10"/>
        <rFont val="Times New Roman"/>
        <family val="1"/>
      </rPr>
      <t>= &lt;1000 Pers./Objekte</t>
    </r>
  </si>
  <si>
    <r>
      <t>Z</t>
    </r>
    <r>
      <rPr>
        <sz val="10"/>
        <rFont val="Times New Roman"/>
        <family val="1"/>
      </rPr>
      <t xml:space="preserve">=10 Schritt, </t>
    </r>
    <r>
      <rPr>
        <b/>
        <sz val="10"/>
        <rFont val="Times New Roman"/>
        <family val="1"/>
      </rPr>
      <t>ZZ</t>
    </r>
    <r>
      <rPr>
        <sz val="10"/>
        <rFont val="Times New Roman"/>
        <family val="1"/>
      </rPr>
      <t xml:space="preserve">=30 Schritt, </t>
    </r>
    <r>
      <rPr>
        <b/>
        <sz val="10"/>
        <rFont val="Times New Roman"/>
        <family val="1"/>
      </rPr>
      <t>ZZZ</t>
    </r>
    <r>
      <rPr>
        <sz val="10"/>
        <rFont val="Times New Roman"/>
        <family val="1"/>
      </rPr>
      <t xml:space="preserve">= 100 Schritt, </t>
    </r>
    <r>
      <rPr>
        <b/>
        <sz val="10"/>
        <rFont val="Times New Roman"/>
        <family val="1"/>
      </rPr>
      <t>ZZZZ</t>
    </r>
    <r>
      <rPr>
        <sz val="10"/>
        <rFont val="Times New Roman"/>
        <family val="1"/>
      </rPr>
      <t>=300 Schritt</t>
    </r>
  </si>
  <si>
    <t>───────────────────────────────────</t>
  </si>
  <si>
    <t>Botenreiter</t>
  </si>
  <si>
    <t>Dieb</t>
  </si>
  <si>
    <t>Einbrecher</t>
  </si>
  <si>
    <t>Entdecker</t>
  </si>
  <si>
    <t>Fähnrich</t>
  </si>
  <si>
    <t>Fernhändler</t>
  </si>
  <si>
    <t>Fischer</t>
  </si>
  <si>
    <t>Fuhrmann</t>
  </si>
  <si>
    <t>Gardist</t>
  </si>
  <si>
    <t>Gaukler</t>
  </si>
  <si>
    <t>Großwildjäger</t>
  </si>
  <si>
    <t>Herold</t>
  </si>
  <si>
    <t>ZfP*x100 S.</t>
  </si>
  <si>
    <t>ZfP*SR</t>
  </si>
  <si>
    <t>Wort der Wahrheit</t>
  </si>
  <si>
    <t>Wundsegen</t>
  </si>
  <si>
    <t>Zuflucht finden</t>
  </si>
  <si>
    <t>Alte Schuppen</t>
  </si>
  <si>
    <t>Angroschs Zorn</t>
  </si>
  <si>
    <t>Anrufung Nuiannas</t>
  </si>
  <si>
    <t>Argelions Mantel</t>
  </si>
  <si>
    <t>Brenchi-Dûn (Gjalsker-Schamanen)</t>
  </si>
  <si>
    <t>TP in AsP</t>
  </si>
  <si>
    <t>21 Schritt</t>
  </si>
  <si>
    <t>21AsPW6LP</t>
  </si>
  <si>
    <t>49 Schritt</t>
  </si>
  <si>
    <t>Mod.</t>
  </si>
  <si>
    <t>5.</t>
  </si>
  <si>
    <t>Eigenschaften wählen:</t>
  </si>
  <si>
    <t>Gesamt</t>
  </si>
  <si>
    <t>Krieger aus Elenvina</t>
  </si>
  <si>
    <t>Akademische Ausbildung (Krieger)</t>
  </si>
  <si>
    <t>Bücher</t>
  </si>
  <si>
    <t>max. ZfW SR</t>
  </si>
  <si>
    <t>2L</t>
  </si>
  <si>
    <t xml:space="preserve">Raufen [AT/PA]: </t>
  </si>
  <si>
    <t xml:space="preserve">    Ringen [AT/PA]: </t>
  </si>
  <si>
    <t>Kampftalent</t>
  </si>
  <si>
    <t xml:space="preserve">Hauch des Elements </t>
  </si>
  <si>
    <t>Rüstungsschutz erhöht sich um Anzahl Punkte, nur für ausgewählte Rassen (max 3Pkt)</t>
  </si>
  <si>
    <t>Senken einer durch Kultur, Profession gegebenen Eigenschaft Kosten analog GP-Einkommen bei Wahl</t>
  </si>
  <si>
    <t>Kosten Verbindungen betragen nur 3/4 der SO an GP</t>
  </si>
  <si>
    <t>GE-5, GS-3, AT/PA Basis:-1/-2</t>
  </si>
  <si>
    <t>Solidirid Weg aus Licht</t>
  </si>
  <si>
    <t>Somnigravis tiefer Schlaf</t>
  </si>
  <si>
    <t>Aerogelo Atemqual</t>
  </si>
  <si>
    <t>Analys Arcanstructur</t>
  </si>
  <si>
    <t>Animatio stummer Diener</t>
  </si>
  <si>
    <t>Richtungssinn (bevorzugtes Reisegebiet)</t>
  </si>
  <si>
    <t>Nivesischer Karenhirte</t>
  </si>
  <si>
    <t>Fallensteller</t>
  </si>
  <si>
    <t>Mondsilberzunge</t>
  </si>
  <si>
    <t>Nandus' Schriftkenntnis</t>
  </si>
  <si>
    <t>Nemekaths Bannfluch</t>
  </si>
  <si>
    <t>Noionas Zuspruch</t>
  </si>
  <si>
    <t>Parinors Vermächtnis</t>
  </si>
  <si>
    <t>Phexens Augenzwinkern</t>
  </si>
  <si>
    <t>Horas-Ritter</t>
  </si>
  <si>
    <t>H'Szint -Priester</t>
  </si>
  <si>
    <t>Ifirn-Geweihte</t>
  </si>
  <si>
    <t>AP Spalte links</t>
  </si>
  <si>
    <t>AP Spalte rechts</t>
  </si>
  <si>
    <t>SF vorhanden (linke Spalte)</t>
  </si>
  <si>
    <t>SF vorhanden (rechte Spalte)</t>
  </si>
  <si>
    <t>Index linke Spalte</t>
  </si>
  <si>
    <t>Index rechte Spalte</t>
  </si>
  <si>
    <t>Rasse</t>
  </si>
  <si>
    <t>Kultur</t>
  </si>
  <si>
    <t>Geweiht (H'Szint)</t>
  </si>
  <si>
    <t>Geweiht (Ifirn)</t>
  </si>
  <si>
    <t>Geweiht (Ingerimm)</t>
  </si>
  <si>
    <t>Geweiht (Kor)</t>
  </si>
  <si>
    <t>Geweiht (Nandus)</t>
  </si>
  <si>
    <t>Geweiht (Peraine)</t>
  </si>
  <si>
    <t>Geweiht (Phex)</t>
  </si>
  <si>
    <t>Geweiht (Praios)</t>
  </si>
  <si>
    <t>Informations-Institut zu Rommilys</t>
  </si>
  <si>
    <t>Schule der Vierfachen Verwandlung zu Sinoda</t>
  </si>
  <si>
    <t>Schule der Hellsicht zu Thorwal</t>
  </si>
  <si>
    <t>WM-PA</t>
  </si>
  <si>
    <t>WM-AT org.</t>
  </si>
  <si>
    <t>WM-PA org.</t>
  </si>
  <si>
    <t>Zugekauft</t>
  </si>
  <si>
    <t>BE</t>
  </si>
  <si>
    <t>AT</t>
  </si>
  <si>
    <t>PA</t>
  </si>
  <si>
    <t>TaW</t>
  </si>
  <si>
    <t>Große Weihe des Heimsteins</t>
  </si>
  <si>
    <t>Sich Verkleiden</t>
  </si>
  <si>
    <t>Elem (Luft), Objk</t>
  </si>
  <si>
    <t>Elem (Wasser), Objk</t>
  </si>
  <si>
    <t>Kraftfokus</t>
  </si>
  <si>
    <t>Modifikationsfokus</t>
  </si>
  <si>
    <t>7 AsP+2/SR</t>
  </si>
  <si>
    <t>ZfW/2 SR</t>
  </si>
  <si>
    <t>ZfP* SR (A)</t>
  </si>
  <si>
    <t>4 AsP + X</t>
  </si>
  <si>
    <t>VT_EIGEB</t>
  </si>
  <si>
    <t>Folgende Bannzauber fehlen:</t>
  </si>
  <si>
    <t>Asfaloth-Bann</t>
  </si>
  <si>
    <t>Charyptoroth-Bann</t>
  </si>
  <si>
    <t>Lolgramoth-Bann</t>
  </si>
  <si>
    <t>PROF2_ZTAUFW</t>
  </si>
  <si>
    <t>FK-Wert +2</t>
  </si>
  <si>
    <t>VT_ENTFERNG</t>
  </si>
  <si>
    <t>NACHTEIL:</t>
  </si>
  <si>
    <t>Freunde/Bekannte</t>
  </si>
  <si>
    <t>Rasse/Beruf</t>
  </si>
  <si>
    <t>Feinde</t>
  </si>
  <si>
    <t>NT_Unstet</t>
  </si>
  <si>
    <t>Blick an den klaren Himmel</t>
  </si>
  <si>
    <t>Blick der Weberin</t>
  </si>
  <si>
    <t>Verpflichtungen (Akademie)</t>
  </si>
  <si>
    <t>Verpflichtungen (Akademie, Gilde)</t>
  </si>
  <si>
    <t>Schwert und Stab zu Gareth</t>
  </si>
  <si>
    <t>Abfragen und Werte von Nachteilen, die Eigenschaften, Sonderfertigkeiten und Talente ändern:</t>
  </si>
  <si>
    <t>VORTEIL:</t>
  </si>
  <si>
    <t>KE</t>
  </si>
  <si>
    <t>FF</t>
  </si>
  <si>
    <t>GE</t>
  </si>
  <si>
    <t>KK</t>
  </si>
  <si>
    <t>Niedrige Lebenskraft</t>
  </si>
  <si>
    <t>Niedrige Magieresistenz</t>
  </si>
  <si>
    <t>Pechmagnet</t>
  </si>
  <si>
    <t>Platzangst</t>
  </si>
  <si>
    <t>Rachsucht</t>
  </si>
  <si>
    <t>Raumangst</t>
  </si>
  <si>
    <t>Schlechte Regeneration</t>
  </si>
  <si>
    <t>Schulden</t>
  </si>
  <si>
    <t>Sprachfehler</t>
  </si>
  <si>
    <t>Sucht</t>
  </si>
  <si>
    <t>6+2AsP/SR</t>
  </si>
  <si>
    <t>2 AsP + X</t>
  </si>
  <si>
    <t>3 AsP/Stunde</t>
  </si>
  <si>
    <t>10 AsP</t>
  </si>
  <si>
    <t>Vertrauten AP Gesamt</t>
  </si>
  <si>
    <t>Vertrauten AP Gesteigert</t>
  </si>
  <si>
    <t>Faktor 4. Merkmal</t>
  </si>
  <si>
    <t>Liturgien Grad VI</t>
  </si>
  <si>
    <t>AP Guthaben:</t>
  </si>
  <si>
    <t>Zukauf KE</t>
  </si>
  <si>
    <t>Zimmermann (Schiffe)</t>
  </si>
  <si>
    <t>Tresorbauer</t>
  </si>
  <si>
    <t>Gelehrter / Gelehrte</t>
  </si>
  <si>
    <t>Mathematicus</t>
  </si>
  <si>
    <t>nur rastullahgläubige Männer</t>
  </si>
  <si>
    <t>Götter/Kulte (Rastullah)</t>
  </si>
  <si>
    <t>2. Repr. Halbzauberer</t>
  </si>
  <si>
    <t>3. Repr. Vollzauberer</t>
  </si>
  <si>
    <t>2. Repr. Vollzauberer</t>
  </si>
  <si>
    <t>Merkmale</t>
  </si>
  <si>
    <t>Abkürzungen</t>
  </si>
  <si>
    <t xml:space="preserve"> </t>
  </si>
  <si>
    <r>
      <t>Allgemein</t>
    </r>
    <r>
      <rPr>
        <sz val="7"/>
        <rFont val="Times New Roman"/>
        <family val="1"/>
      </rPr>
      <t xml:space="preserve"> (A) Aufrechterhalten, A: Aktion, AsP Astralpunkte, </t>
    </r>
  </si>
  <si>
    <t>Bemerkungen</t>
  </si>
  <si>
    <t>Beinarbeit</t>
  </si>
  <si>
    <t>Biss</t>
  </si>
  <si>
    <t>Block</t>
  </si>
  <si>
    <t>Doppelschlag</t>
  </si>
  <si>
    <t>Eisenarm</t>
  </si>
  <si>
    <t>Fußfeger</t>
  </si>
  <si>
    <t>Gerade</t>
  </si>
  <si>
    <t>Griff</t>
  </si>
  <si>
    <t>Halten</t>
  </si>
  <si>
    <t>Handkante</t>
  </si>
  <si>
    <t>Hoher Tritt</t>
  </si>
  <si>
    <t>Klammer</t>
  </si>
  <si>
    <t>Knaufschlag</t>
  </si>
  <si>
    <t>Knie</t>
  </si>
  <si>
    <t>Kopfstoß</t>
  </si>
  <si>
    <t>Kreuzblock</t>
  </si>
  <si>
    <t>Niederringen</t>
  </si>
  <si>
    <t>Schmetterschlag</t>
  </si>
  <si>
    <t>Schmutzige Tricks</t>
  </si>
  <si>
    <t>Schwinger</t>
  </si>
  <si>
    <t>Schwitzkasten</t>
  </si>
  <si>
    <t>Sprung</t>
  </si>
  <si>
    <t>Sprungtritt</t>
  </si>
  <si>
    <t>Tritt</t>
  </si>
  <si>
    <t>Versteckte Klinge</t>
  </si>
  <si>
    <t>Anti, Dämo (BKZ)</t>
  </si>
  <si>
    <t>Anti, Dämo (LGM)</t>
  </si>
  <si>
    <t>Anti, Dämo (TGN)</t>
  </si>
  <si>
    <t>Schuppenhaut</t>
  </si>
  <si>
    <t>Ruf des Krieges</t>
  </si>
  <si>
    <t>Schutz Rastullahs</t>
  </si>
  <si>
    <t>Rastullahs Güte</t>
  </si>
  <si>
    <t>13 AsP+3/SR</t>
  </si>
  <si>
    <t>12 AsP+2/SR</t>
  </si>
  <si>
    <t>Hell, Meta</t>
  </si>
  <si>
    <t>WSW</t>
  </si>
  <si>
    <t>Wiesel</t>
  </si>
  <si>
    <t>Iltis</t>
  </si>
  <si>
    <t>Frettchen</t>
  </si>
  <si>
    <t>Baummarder</t>
  </si>
  <si>
    <t>Stinktier</t>
  </si>
  <si>
    <t>Kosten für HEXE/GEODE/SCHAMANE:</t>
  </si>
  <si>
    <t>Grad I</t>
  </si>
  <si>
    <t>Hexenholz</t>
  </si>
  <si>
    <t>Hexenknoten</t>
  </si>
  <si>
    <t>Rachsucht 5</t>
  </si>
  <si>
    <t>Wildnisläufer (Basis)</t>
  </si>
  <si>
    <t>&lt;=Allfällige Modifikationen an LO hier eintragen</t>
  </si>
  <si>
    <t>ZfP*x3 KR (A)</t>
  </si>
  <si>
    <t>9 AsP</t>
  </si>
  <si>
    <t>Steigerung bei Verbindung</t>
  </si>
  <si>
    <t>Aranischer Sippenkrieger</t>
  </si>
  <si>
    <t>Landangst</t>
  </si>
  <si>
    <t>Mondsüchtig</t>
  </si>
  <si>
    <t>Morbidität</t>
  </si>
  <si>
    <t>Nagrachwahn</t>
  </si>
  <si>
    <t>Neid</t>
  </si>
  <si>
    <t>Schöpferwahn</t>
  </si>
  <si>
    <t>Ruhelosigkeit</t>
  </si>
  <si>
    <t>Schlaflosigkeit</t>
  </si>
  <si>
    <t>Streitsucht</t>
  </si>
  <si>
    <t>Trägheit</t>
  </si>
  <si>
    <t>Treuelosigkeit</t>
  </si>
  <si>
    <t>1 AsP</t>
  </si>
  <si>
    <t>5 AsP+1/SR</t>
  </si>
  <si>
    <t>Kapellmeister</t>
  </si>
  <si>
    <t>Kartographie</t>
  </si>
  <si>
    <t>Kochen</t>
  </si>
  <si>
    <t>Lederarbeiten</t>
  </si>
  <si>
    <t xml:space="preserve"> - bes. Fetisch-Komponente</t>
  </si>
  <si>
    <t>Exorzismus</t>
  </si>
  <si>
    <t>Flagge des Regenbogens</t>
  </si>
  <si>
    <t>Freundliche Aufnahme</t>
  </si>
  <si>
    <t>Fürbitten des Heiligen Therbûn</t>
  </si>
  <si>
    <t>Geläutert sei Erz und Goldgestein</t>
  </si>
  <si>
    <t xml:space="preserve">Tauschplatz </t>
  </si>
  <si>
    <t>Toc, Wdm</t>
  </si>
  <si>
    <t xml:space="preserve">Tiere aus Farben </t>
  </si>
  <si>
    <t xml:space="preserve">Tiergedanken </t>
  </si>
  <si>
    <t xml:space="preserve">Tränke meine Herde </t>
  </si>
  <si>
    <t>+1 pro Mt ohne Regen</t>
  </si>
  <si>
    <t xml:space="preserve">Weckruf </t>
  </si>
  <si>
    <t>10.</t>
  </si>
  <si>
    <t>Talente steigern:</t>
  </si>
  <si>
    <t>11.</t>
  </si>
  <si>
    <t>12.</t>
  </si>
  <si>
    <t>Zauberfertigkeiten steigern:</t>
  </si>
  <si>
    <t>hinzugekauft (Vertrauten-AP)</t>
  </si>
  <si>
    <t>Vertrautenmagie I</t>
  </si>
  <si>
    <t>Fernzauberei</t>
  </si>
  <si>
    <t>Gedankenschutz</t>
  </si>
  <si>
    <t>Gefäß der Sterne</t>
  </si>
  <si>
    <t>Zeile des Bezugs für SF Spalte 1</t>
  </si>
  <si>
    <t>Mirbelrohr</t>
  </si>
  <si>
    <t>Boronwein</t>
  </si>
  <si>
    <t>Vers, Krft</t>
  </si>
  <si>
    <t>Anti, Vers</t>
  </si>
  <si>
    <t>Rufe, Vers</t>
  </si>
  <si>
    <t>Abenteuer</t>
  </si>
  <si>
    <t>Weisheit der Schrift</t>
  </si>
  <si>
    <t>Silberfalke</t>
  </si>
  <si>
    <r>
      <t xml:space="preserve">Merkmale </t>
    </r>
    <r>
      <rPr>
        <sz val="7"/>
        <rFont val="Times New Roman"/>
        <family val="1"/>
      </rPr>
      <t>Anti: Antimagie, Besw: Beschwörung, Dämo: Dämonisch, Eign: Eigenschaften, Einfl: Einfluss, Elem: Elementar, Form: Form, Geis: Geisterwesen, Heil: Heilung, Hell: Hellsicht, Herr: Herrschaft, Illu: Illusion, Krft: Kraft, Limb: Limbus, Meta: Metamagie, Objk: Objekt-verzauberung, Rufe: Herbeirufung, Scha: Schaden, Tele: Telekinese, Temp: Temporal, Umwt: Umweltveränderung, Vers: Verständigung</t>
    </r>
    <r>
      <rPr>
        <b/>
        <sz val="7"/>
        <rFont val="Times New Roman"/>
        <family val="1"/>
      </rPr>
      <t/>
    </r>
  </si>
  <si>
    <t>Karmale und klerikale</t>
  </si>
  <si>
    <t>Akoluth</t>
  </si>
  <si>
    <t>Klettern</t>
  </si>
  <si>
    <t>Körperbeherrschung</t>
  </si>
  <si>
    <t>2W+ZfP* AsP</t>
  </si>
  <si>
    <t xml:space="preserve">- </t>
  </si>
  <si>
    <t xml:space="preserve">  </t>
  </si>
  <si>
    <t>Amazonensäbel</t>
  </si>
  <si>
    <t>11/4</t>
  </si>
  <si>
    <t>0/0</t>
  </si>
  <si>
    <t>N</t>
  </si>
  <si>
    <t>Andergaster</t>
  </si>
  <si>
    <t>3W+2</t>
  </si>
  <si>
    <t>14/2</t>
  </si>
  <si>
    <t>0/-2</t>
  </si>
  <si>
    <t>1W+5</t>
  </si>
  <si>
    <t>NS</t>
  </si>
  <si>
    <t>Arbach</t>
  </si>
  <si>
    <t>12/3</t>
  </si>
  <si>
    <t>0/-1</t>
  </si>
  <si>
    <t>Barbarenschwert</t>
  </si>
  <si>
    <t>13/2</t>
  </si>
  <si>
    <t>Barbarenstreitaxt</t>
  </si>
  <si>
    <t>2W+4</t>
  </si>
  <si>
    <t>15/1</t>
  </si>
  <si>
    <t>-1/-4</t>
  </si>
  <si>
    <t>Basiliskenzunge</t>
  </si>
  <si>
    <t>1W+2</t>
  </si>
  <si>
    <t>12/4</t>
  </si>
  <si>
    <t>Bastardschwert</t>
  </si>
  <si>
    <t>11/3</t>
  </si>
  <si>
    <t>Beil</t>
  </si>
  <si>
    <t>W_BTREITER</t>
  </si>
  <si>
    <t>W_FERNHNDLER</t>
  </si>
  <si>
    <t>W_FISCHER</t>
  </si>
  <si>
    <t>W_FUHRMANN</t>
  </si>
  <si>
    <t>W_HIRTE</t>
  </si>
  <si>
    <t>W_JAEGER</t>
  </si>
  <si>
    <t>W_KRWNFUHRER</t>
  </si>
  <si>
    <t>W_KUNDSCHFTER</t>
  </si>
  <si>
    <t>W_PROSPEKTOR</t>
  </si>
  <si>
    <t>Schiffer</t>
  </si>
  <si>
    <t>W_SCHIFFER</t>
  </si>
  <si>
    <t>W_SCHMUGGLER</t>
  </si>
  <si>
    <t>W_SEHFRER</t>
  </si>
  <si>
    <t>W_STRRAEUBER</t>
  </si>
  <si>
    <t>GS_AUSRUFER</t>
  </si>
  <si>
    <t>GS_BARDE</t>
  </si>
  <si>
    <t>GS_BETTLER</t>
  </si>
  <si>
    <t>GS_DIEB</t>
  </si>
  <si>
    <t>GS_EINBRECHER</t>
  </si>
  <si>
    <t>GS_GAUKLER</t>
  </si>
  <si>
    <t>Händler</t>
  </si>
  <si>
    <t>GS_HAENDLER</t>
  </si>
  <si>
    <t>GS_HEROLD</t>
  </si>
  <si>
    <t>Hofkünstler</t>
  </si>
  <si>
    <t>GS_HOFKUNST</t>
  </si>
  <si>
    <t>GS_HOFLING</t>
  </si>
  <si>
    <t>GS_KURTISAN</t>
  </si>
  <si>
    <t>GS_SCHRIFTSTLR</t>
  </si>
  <si>
    <t>Spitzel</t>
  </si>
  <si>
    <t>GS_SPITZEL</t>
  </si>
  <si>
    <t>GS_STREUNER</t>
  </si>
  <si>
    <t>Bauer</t>
  </si>
  <si>
    <t>Papperlapapp</t>
  </si>
  <si>
    <t>Wo getragen?</t>
  </si>
  <si>
    <t>Vermögen</t>
  </si>
  <si>
    <t>Dukaten</t>
  </si>
  <si>
    <t>Kleiner Giftbann</t>
  </si>
  <si>
    <t>Kräutersegen des Heiligen Nemekath</t>
  </si>
  <si>
    <t>Licht des verborgenen Pfades</t>
  </si>
  <si>
    <t>Lohn des Unverzagten</t>
  </si>
  <si>
    <t>Dämo (AMZ)</t>
  </si>
  <si>
    <t>Dämo (NGR)</t>
  </si>
  <si>
    <t>Dämo (ASF)</t>
  </si>
  <si>
    <t>Dämo (TFL)</t>
  </si>
  <si>
    <t>Dämo (MKA)</t>
  </si>
  <si>
    <t>Dämo (BKL)</t>
  </si>
  <si>
    <t>Pamplethe</t>
  </si>
  <si>
    <t>Technologie</t>
  </si>
  <si>
    <t>Typographie</t>
  </si>
  <si>
    <t>Karren</t>
  </si>
  <si>
    <t>Streitwagen</t>
  </si>
  <si>
    <t>Gespann</t>
  </si>
  <si>
    <t>Würfel</t>
  </si>
  <si>
    <t>Karten</t>
  </si>
  <si>
    <t>Gold/Silber</t>
  </si>
  <si>
    <t>Gravieren</t>
  </si>
  <si>
    <t>Schlösser</t>
  </si>
  <si>
    <t>Siegel</t>
  </si>
  <si>
    <t>Trickwaffen</t>
  </si>
  <si>
    <t>Uhrwerk</t>
  </si>
  <si>
    <t>Fisch</t>
  </si>
  <si>
    <t>Geflügel</t>
  </si>
  <si>
    <t>Reptilien</t>
  </si>
  <si>
    <t>Säuger</t>
  </si>
  <si>
    <t>Gerber</t>
  </si>
  <si>
    <t>Kürschner</t>
  </si>
  <si>
    <t>Trophäen</t>
  </si>
  <si>
    <t>Fenster</t>
  </si>
  <si>
    <t>Linsen</t>
  </si>
  <si>
    <t>Spiegel</t>
  </si>
  <si>
    <t>Drahtzieher</t>
  </si>
  <si>
    <t>Hufschmied</t>
  </si>
  <si>
    <t>Plättner</t>
  </si>
  <si>
    <t>Schwarzschmied</t>
  </si>
  <si>
    <t>Geldwechseln</t>
  </si>
  <si>
    <t>Sklave</t>
  </si>
  <si>
    <t>L/S: Gjalskisch</t>
  </si>
  <si>
    <t xml:space="preserve">Geistheilung </t>
  </si>
  <si>
    <t xml:space="preserve">Geleit des Nipakau </t>
  </si>
  <si>
    <t xml:space="preserve">Gesang der Wölfe </t>
  </si>
  <si>
    <t>Niv</t>
  </si>
  <si>
    <t xml:space="preserve">Gharyak Maruki </t>
  </si>
  <si>
    <t xml:space="preserve">Hairuf </t>
  </si>
  <si>
    <t>Toc</t>
  </si>
  <si>
    <t xml:space="preserve">Halluzination </t>
  </si>
  <si>
    <t xml:space="preserve">Harmlose Gestalt </t>
  </si>
  <si>
    <t>Gob, Ach, Ork</t>
  </si>
  <si>
    <t>Koboldfreund</t>
  </si>
  <si>
    <t>Gilborns heilige Aura</t>
  </si>
  <si>
    <t>Goldener Blick</t>
  </si>
  <si>
    <t>Graues Siegel</t>
  </si>
  <si>
    <t>Grispelz' Ackersegen</t>
  </si>
  <si>
    <t>Große Seelenwaschung</t>
  </si>
  <si>
    <t>Großer Eidsegen</t>
  </si>
  <si>
    <t>Großer Giftbann</t>
  </si>
  <si>
    <t>GE - Leiteigenschaft</t>
  </si>
  <si>
    <t>KO - Leiteigenschaft</t>
  </si>
  <si>
    <t>KK - Leiteigenschaft</t>
  </si>
  <si>
    <t>KL - Leiteigenschaft</t>
  </si>
  <si>
    <t>IN - Leiteigenschaft</t>
  </si>
  <si>
    <t xml:space="preserve"> - Kapelle/Schrein</t>
  </si>
  <si>
    <t>Heilkunde Seele</t>
  </si>
  <si>
    <t>Heilkunde Wunden</t>
  </si>
  <si>
    <t>Holzbearbeitung</t>
  </si>
  <si>
    <t>Hundeschlitten Fahren</t>
  </si>
  <si>
    <t>4 AsP/P+SR</t>
  </si>
  <si>
    <t>max. 10 KR</t>
  </si>
  <si>
    <t>5+2A/Schritt</t>
  </si>
  <si>
    <t>Weisung des Dolches</t>
  </si>
  <si>
    <t>Klettern (Freiklettern)</t>
  </si>
  <si>
    <t>Sonderfertigkeit Spätweihe</t>
  </si>
  <si>
    <t>Sonderfertigkeit Hochschamane =&gt; Noch nicht implementiert</t>
  </si>
  <si>
    <t>Fehlermeldung SO</t>
  </si>
  <si>
    <t>Fehlermeldung Eigenschaften</t>
  </si>
  <si>
    <t>Lebenskraft des Dolches</t>
  </si>
  <si>
    <t>Opferdolch</t>
  </si>
  <si>
    <t>Schneide des Dolches</t>
  </si>
  <si>
    <t>2-12 AsP</t>
  </si>
  <si>
    <t>Großer Lederschild</t>
  </si>
  <si>
    <t>Großschild (Reiterschild)</t>
  </si>
  <si>
    <t>Turmschild</t>
  </si>
  <si>
    <t>Buckler</t>
  </si>
  <si>
    <t>-1/+3</t>
  </si>
  <si>
    <t>-2/+3</t>
  </si>
  <si>
    <t>-2/+4</t>
  </si>
  <si>
    <t>-1/+4</t>
  </si>
  <si>
    <t>L/S: Drakned-Glyphen</t>
  </si>
  <si>
    <t>Tasfarelel-Bann</t>
  </si>
  <si>
    <t>Anti, Dämo (BLH)</t>
  </si>
  <si>
    <t>Anti, Dämo (BKL)</t>
  </si>
  <si>
    <t>Rahjas Schoß</t>
  </si>
  <si>
    <t>Rondras Hochzeit</t>
  </si>
  <si>
    <t>Schiffssegen</t>
  </si>
  <si>
    <t>Gja</t>
  </si>
  <si>
    <t xml:space="preserve">Manifesto </t>
  </si>
  <si>
    <t xml:space="preserve">Ogerruf </t>
  </si>
  <si>
    <t>Berittener Schütze (Söldner)</t>
  </si>
  <si>
    <t>Sappeur (Söldner)</t>
  </si>
  <si>
    <t>Seesöldner</t>
  </si>
  <si>
    <t>Improvisierte Waffen</t>
  </si>
  <si>
    <t>Schnellziehen</t>
  </si>
  <si>
    <t>Begabung für [Talentgruppe]</t>
  </si>
  <si>
    <t>Körpergebundene Kraft</t>
  </si>
  <si>
    <t>Kristallgebunden</t>
  </si>
  <si>
    <t xml:space="preserve"> - Stammesgemeinschaft</t>
  </si>
  <si>
    <t>Seminar der Elfischen Verständigung zu Donnerbach</t>
  </si>
  <si>
    <t>Seminar der natürlichen Heilung zu Donnerbach</t>
  </si>
  <si>
    <t>Efferd -Geweihte: Küste</t>
  </si>
  <si>
    <t>Bewirtung/Fest</t>
  </si>
  <si>
    <t>Personal</t>
  </si>
  <si>
    <t>mit AP kaufen</t>
  </si>
  <si>
    <t>2W20 AsP</t>
  </si>
  <si>
    <t>ca. 10 Schritt</t>
  </si>
  <si>
    <t>AsP SR</t>
  </si>
  <si>
    <t xml:space="preserve">Form </t>
  </si>
  <si>
    <t>4 AsP+2</t>
  </si>
  <si>
    <t>min. 4 AsP</t>
  </si>
  <si>
    <t>ZfP*x2 SR</t>
  </si>
  <si>
    <t>9+7AsP/SR</t>
  </si>
  <si>
    <t>Weg des Dolches</t>
  </si>
  <si>
    <t>Ernte des Dolches</t>
  </si>
  <si>
    <t>Ruf des Bienenstocks</t>
  </si>
  <si>
    <t>Winterlager</t>
  </si>
  <si>
    <t>Bienenschwarm</t>
  </si>
  <si>
    <t>Wachshaut</t>
  </si>
  <si>
    <t>Bienenkönigin</t>
  </si>
  <si>
    <t>Bienentanz</t>
  </si>
  <si>
    <t>Hexe(-flüche)</t>
  </si>
  <si>
    <t>Kugelzauber</t>
  </si>
  <si>
    <t>Schalenzauber</t>
  </si>
  <si>
    <t>Schuppenbeutel</t>
  </si>
  <si>
    <t>Stabzauber</t>
  </si>
  <si>
    <t>Trommelzauber</t>
  </si>
  <si>
    <t>Hesinde</t>
  </si>
  <si>
    <t>Firun</t>
  </si>
  <si>
    <t>Tsa</t>
  </si>
  <si>
    <t>Phex</t>
  </si>
  <si>
    <r>
      <t xml:space="preserve">Spann + TaP* </t>
    </r>
    <r>
      <rPr>
        <i/>
        <sz val="9"/>
        <rFont val="Arial"/>
        <family val="2"/>
      </rPr>
      <t xml:space="preserve">Athletik </t>
    </r>
    <r>
      <rPr>
        <sz val="9"/>
        <rFont val="Arial"/>
        <family val="2"/>
      </rPr>
      <t>Finger</t>
    </r>
  </si>
  <si>
    <t>Amazerothbann</t>
  </si>
  <si>
    <t>Ängste lindern</t>
  </si>
  <si>
    <t>Aquafaxius</t>
  </si>
  <si>
    <t>VT_LEP_WERT</t>
  </si>
  <si>
    <t>NT_LEP</t>
  </si>
  <si>
    <t>NT_MR</t>
  </si>
  <si>
    <t>NT_LEP_WERT</t>
  </si>
  <si>
    <t>Dreifacher Saatsegen</t>
  </si>
  <si>
    <t>Efferdsegen</t>
  </si>
  <si>
    <t>Welche Charakterzüge bestimmen ihn?</t>
  </si>
  <si>
    <t>Wie steht der Held zu den verschiedenen Formen der Zauberei?</t>
  </si>
  <si>
    <t>Hat der Held Sinn für Schönheit?</t>
  </si>
  <si>
    <t>Rechtsgelehrter</t>
  </si>
  <si>
    <t>Historiker</t>
  </si>
  <si>
    <t>Sprachenkundler</t>
  </si>
  <si>
    <t>Sternkundiger</t>
  </si>
  <si>
    <t>Bogenbauer/Armbruster</t>
  </si>
  <si>
    <t>Brauer</t>
  </si>
  <si>
    <t>Nah-/Fernkampf</t>
  </si>
  <si>
    <t>4+1(2/3)/SR</t>
  </si>
  <si>
    <t>II</t>
  </si>
  <si>
    <t xml:space="preserve">    BE</t>
  </si>
  <si>
    <t>Nahkampf:</t>
  </si>
  <si>
    <t>Fernkampf:</t>
  </si>
  <si>
    <t>Dämonenbann</t>
  </si>
  <si>
    <t>Dschinnenruf</t>
  </si>
  <si>
    <t>Dunkelheit</t>
  </si>
  <si>
    <t>Wachs der Herrschaft</t>
  </si>
  <si>
    <t>Bekannte Orte</t>
  </si>
  <si>
    <t>Khablas makelloser Leib</t>
  </si>
  <si>
    <t>Konsekration</t>
  </si>
  <si>
    <t>Lagorax' Hammer rufen</t>
  </si>
  <si>
    <t>Marbos Geleit</t>
  </si>
  <si>
    <t>Meisterstück</t>
  </si>
  <si>
    <t>Obarans Bannstrahl</t>
  </si>
  <si>
    <t>Speziell</t>
  </si>
  <si>
    <t>Armschienen, Leder</t>
  </si>
  <si>
    <t>AP Talente &amp; Sprachen:</t>
  </si>
  <si>
    <t>AP Zauberfertigkeiten:</t>
  </si>
  <si>
    <t>AP Eigenschaften &amp; Co:</t>
  </si>
  <si>
    <t>│</t>
  </si>
  <si>
    <t xml:space="preserve">  │</t>
  </si>
  <si>
    <t>Tragkraft:</t>
  </si>
  <si>
    <t>Dauerlauf:</t>
  </si>
  <si>
    <t>Schwimmen:</t>
  </si>
  <si>
    <t>Weitsprung:</t>
  </si>
  <si>
    <t>ZfWx50Schritt</t>
  </si>
  <si>
    <t>Mirakel-</t>
  </si>
  <si>
    <t>6M</t>
  </si>
  <si>
    <t>4M</t>
  </si>
  <si>
    <t>3M</t>
  </si>
  <si>
    <t>2M</t>
  </si>
  <si>
    <t>1M</t>
  </si>
  <si>
    <t>7M</t>
  </si>
  <si>
    <t>Goblin, weiblich</t>
  </si>
  <si>
    <t>Goblin, männlich</t>
  </si>
  <si>
    <t>Echsensumpfachaz</t>
  </si>
  <si>
    <t>Orklandachaz</t>
  </si>
  <si>
    <t>Waldinselachaz</t>
  </si>
  <si>
    <t>NT_UNGEBILDET_WERT</t>
  </si>
  <si>
    <t>VT_GEBILDET_WERT</t>
  </si>
  <si>
    <t>+4</t>
  </si>
  <si>
    <t>Gen. Vorh</t>
  </si>
  <si>
    <t xml:space="preserve">GP
</t>
  </si>
  <si>
    <t>Töpfer</t>
  </si>
  <si>
    <t>Bekannte Zauber</t>
  </si>
  <si>
    <t>Merkmale Zauber</t>
  </si>
  <si>
    <t>Anti</t>
  </si>
  <si>
    <t>VT_MACHT_VTRT</t>
  </si>
  <si>
    <t>AP-Kosten für Bindung:</t>
  </si>
  <si>
    <t>AP-Kosten für Rituale:</t>
  </si>
  <si>
    <t>Auge des Limbus</t>
  </si>
  <si>
    <t>Spez1+2 AP</t>
  </si>
  <si>
    <t xml:space="preserve">Schlingerruf </t>
  </si>
  <si>
    <t xml:space="preserve">Schomas Kraft </t>
  </si>
  <si>
    <t>aufnehmen / binden</t>
  </si>
  <si>
    <t xml:space="preserve">Schutz der Jurte </t>
  </si>
  <si>
    <t>Niv, Gja, Ork, Gob</t>
  </si>
  <si>
    <t xml:space="preserve">Schützende Rotte </t>
  </si>
  <si>
    <t>Gob, Ork, Niv, Ach</t>
  </si>
  <si>
    <t xml:space="preserve">Seelenwanderung </t>
  </si>
  <si>
    <t>Sonderfertigkeit</t>
  </si>
  <si>
    <t>Summe</t>
  </si>
  <si>
    <t>Wand aus Dornen</t>
  </si>
  <si>
    <t>Warmes Blut</t>
  </si>
  <si>
    <t>Wasseratem</t>
  </si>
  <si>
    <t>Wasserbann</t>
  </si>
  <si>
    <t>Schelm (Schöpfer)</t>
  </si>
  <si>
    <t>Schelm (Visionär)</t>
  </si>
  <si>
    <t>Schelm (Possenreißer)</t>
  </si>
  <si>
    <t>Schelm (Vagabund)</t>
  </si>
  <si>
    <t>Schelm (Hofnarr)</t>
  </si>
  <si>
    <t>Schelm (Klabauterlehrling)</t>
  </si>
  <si>
    <t>Zaubertänzer</t>
  </si>
  <si>
    <t>beliebig</t>
  </si>
  <si>
    <t>Seil des Adepten</t>
  </si>
  <si>
    <t>Ewige Flamme</t>
  </si>
  <si>
    <t>RkP* KR</t>
  </si>
  <si>
    <t>RkP* h</t>
  </si>
  <si>
    <t>Blick aufs Wesen</t>
  </si>
  <si>
    <t>Blick durch fremde Augen</t>
  </si>
  <si>
    <t>Blick in die Gedanken</t>
  </si>
  <si>
    <t>5/10/15/20/30</t>
  </si>
  <si>
    <t>(0/0/-1/-2/-3)</t>
  </si>
  <si>
    <t>5/10/15/25/35</t>
  </si>
  <si>
    <t>(0/0/-1/-1/-2)</t>
  </si>
  <si>
    <t>Drei-Glieder-Stab</t>
  </si>
  <si>
    <t>+1/+1</t>
  </si>
  <si>
    <t>Großer Sklaventod</t>
  </si>
  <si>
    <t>Stein, Flasche</t>
  </si>
  <si>
    <t>1W+0</t>
  </si>
  <si>
    <t>2W+0</t>
  </si>
  <si>
    <t>Firun-Geweihter (spät)</t>
  </si>
  <si>
    <t>Hadjinim-Orden (spät)</t>
  </si>
  <si>
    <t>Hesinde-Geweihte (spät)</t>
  </si>
  <si>
    <t>Grad VI:</t>
  </si>
  <si>
    <t>Grad IV:</t>
  </si>
  <si>
    <t>Grad III:</t>
  </si>
  <si>
    <t>Kavallerie-Fähnrich aus Neetha</t>
  </si>
  <si>
    <t>Infanterie-Fähnrich aus Oberfels</t>
  </si>
  <si>
    <t>Kavallerie-Fähnrich aus Ragath</t>
  </si>
  <si>
    <t>Stabsfähnrich aus Vinsalt</t>
  </si>
  <si>
    <t>Eigene &amp; Meta-Talente</t>
  </si>
  <si>
    <t xml:space="preserve">  └──</t>
  </si>
  <si>
    <t>Verkettung für Talentbogen</t>
  </si>
  <si>
    <t>Stadtgardist</t>
  </si>
  <si>
    <t>Start:</t>
  </si>
  <si>
    <t>GP Wählen</t>
  </si>
  <si>
    <t>Wildnis</t>
  </si>
  <si>
    <t>Dorfbüttel</t>
  </si>
  <si>
    <t>Straßenwächter</t>
  </si>
  <si>
    <t>Schließer</t>
  </si>
  <si>
    <t>Akademiegardist</t>
  </si>
  <si>
    <t>Prinzipientreue</t>
  </si>
  <si>
    <t>Startwert Profession</t>
  </si>
  <si>
    <t>Belkelelbann</t>
  </si>
  <si>
    <t>Anti, Elem (Eis)</t>
  </si>
  <si>
    <t>VERTRAUTEGP</t>
  </si>
  <si>
    <t>SINNEGP</t>
  </si>
  <si>
    <t>SUCHTMGP</t>
  </si>
  <si>
    <t>EIGENSCHFTGP</t>
  </si>
  <si>
    <t>VT_GEBILDET</t>
  </si>
  <si>
    <t>NT_UNGEBILDET</t>
  </si>
  <si>
    <t>VII</t>
  </si>
  <si>
    <t>VIII</t>
  </si>
  <si>
    <t>Vertrauter_Kröte</t>
  </si>
  <si>
    <t>10+1/5m³</t>
  </si>
  <si>
    <t>ZfP* KR</t>
  </si>
  <si>
    <t>5+1/20m³</t>
  </si>
  <si>
    <t>Mag</t>
  </si>
  <si>
    <t>ZfP* x 5KR</t>
  </si>
  <si>
    <t>Dru</t>
  </si>
  <si>
    <t>5 AsP+1/St.</t>
  </si>
  <si>
    <t>2xZfW Stunden</t>
  </si>
  <si>
    <t>7+2AsP/SR</t>
  </si>
  <si>
    <t>1 AsP/Stein</t>
  </si>
  <si>
    <t>ZfP*x5 SR</t>
  </si>
  <si>
    <t xml:space="preserve"> Gewicht</t>
  </si>
  <si>
    <t xml:space="preserve"> Haarfarbe</t>
  </si>
  <si>
    <t>TALENTE</t>
  </si>
  <si>
    <t>BEGABUNFAEH</t>
  </si>
  <si>
    <t>ZAUBER</t>
  </si>
  <si>
    <t>VERTRAUTE</t>
  </si>
  <si>
    <t>EIGENSCHFT</t>
  </si>
  <si>
    <t>SINNE</t>
  </si>
  <si>
    <t>SUCHTM</t>
  </si>
  <si>
    <t>MERKMALE_AP</t>
  </si>
  <si>
    <t>RITUALEWERTE</t>
  </si>
  <si>
    <t>TALENTE_GP</t>
  </si>
  <si>
    <t>BEGABUNFAEHGP</t>
  </si>
  <si>
    <t>Finsterrune (Warteruna)</t>
  </si>
  <si>
    <t>Wogensturmrune (Vagarokruna)</t>
  </si>
  <si>
    <t>Ausschließen doppelter Vorteile</t>
  </si>
  <si>
    <t>Ausschließen doppelter Nachteile</t>
  </si>
  <si>
    <t>Verketten von Nachteilen:</t>
  </si>
  <si>
    <t>Waffenmeister</t>
  </si>
  <si>
    <t>Kraftspeicher</t>
  </si>
  <si>
    <t>Matrixgeber</t>
  </si>
  <si>
    <t>bis zur Linderung</t>
  </si>
  <si>
    <t>RkP* 2SR</t>
  </si>
  <si>
    <t>RkP* Wochen</t>
  </si>
  <si>
    <t>6</t>
  </si>
  <si>
    <t>+3</t>
  </si>
  <si>
    <t>+Stufe KH</t>
  </si>
  <si>
    <t>-2</t>
  </si>
  <si>
    <t>RkP* Stunden</t>
  </si>
  <si>
    <t>Travia-Geweihte (spät): Badilikaner</t>
  </si>
  <si>
    <t>Travia-Geweihte (spät): Dreischwesternorden</t>
  </si>
  <si>
    <t>Tsa-Geweihte (spät)</t>
  </si>
  <si>
    <t>Zzahh- Priester (spät)</t>
  </si>
  <si>
    <t>Anti, Dämo (AGR)</t>
  </si>
  <si>
    <t>Anti, Dämo (AMZ)</t>
  </si>
  <si>
    <t>Wie wirkt der Held auf einen Fremden?</t>
  </si>
  <si>
    <t>Wie ist der Held aufgewachsen?</t>
  </si>
  <si>
    <t>Niedrige schl. Eigenschaft:</t>
  </si>
  <si>
    <t>Lästige Mindergeister</t>
  </si>
  <si>
    <t>Medium</t>
  </si>
  <si>
    <t>Rückschlag</t>
  </si>
  <si>
    <t>Schneller Alternd</t>
  </si>
  <si>
    <t>Schwache Ausstrahlung</t>
  </si>
  <si>
    <r>
      <t>◄</t>
    </r>
    <r>
      <rPr>
        <i/>
        <sz val="10"/>
        <color indexed="55"/>
        <rFont val="Arial"/>
        <family val="2"/>
      </rPr>
      <t xml:space="preserve"> 1. Merkmal Charakter</t>
    </r>
  </si>
  <si>
    <r>
      <t>◄</t>
    </r>
    <r>
      <rPr>
        <i/>
        <sz val="10"/>
        <color indexed="55"/>
        <rFont val="Arial"/>
        <family val="2"/>
      </rPr>
      <t xml:space="preserve"> 2. Merkmal Charakter</t>
    </r>
  </si>
  <si>
    <t>----- Keulenrituale -----------------------</t>
  </si>
  <si>
    <t>Hochschamane Kamaluq</t>
  </si>
  <si>
    <t>Hochschamane Himmelswölfe</t>
  </si>
  <si>
    <t>Zimmermann</t>
  </si>
  <si>
    <t>Resistenz gegen Gift</t>
  </si>
  <si>
    <t>Amtsschreiber</t>
  </si>
  <si>
    <t>Kopist</t>
  </si>
  <si>
    <t>Kontorist</t>
  </si>
  <si>
    <t>Bauhelfer</t>
  </si>
  <si>
    <t>Holzfäller</t>
  </si>
  <si>
    <t xml:space="preserve"> Kultur</t>
  </si>
  <si>
    <t xml:space="preserve"> Profession</t>
  </si>
  <si>
    <t>Tanz des Ungehorsams</t>
  </si>
  <si>
    <t>Verketten aller Begabungen:</t>
  </si>
  <si>
    <t>Abfragen und Werte von Vorteilen, die Eigenschaften, Sonderfertigkeiten und Talente ändern:</t>
  </si>
  <si>
    <t>Wert:</t>
  </si>
  <si>
    <t>Lichtempfindlich</t>
  </si>
  <si>
    <t>Bew. Kampf; AT-Tech</t>
  </si>
  <si>
    <t>Waffenlos</t>
  </si>
  <si>
    <t>P</t>
  </si>
  <si>
    <t>B</t>
  </si>
  <si>
    <t>Körperl. Talente</t>
  </si>
  <si>
    <t>Akrobatik</t>
  </si>
  <si>
    <t>Hell, Krft</t>
  </si>
  <si>
    <t>Steigerung AP</t>
  </si>
  <si>
    <t>bekannt</t>
  </si>
  <si>
    <t>Ach, Fer, Gja, Gob, Niv, Ork, Toc, Tzk, Utu, Wdm</t>
  </si>
  <si>
    <t>Tzk</t>
  </si>
  <si>
    <t>Fer, Ork, Gob, Niv</t>
  </si>
  <si>
    <t>Schilde und Parierwaffen</t>
  </si>
  <si>
    <t>Profession magisch</t>
  </si>
  <si>
    <t>Einfacher Holzschild</t>
  </si>
  <si>
    <t>Verstärkter Holzschild</t>
  </si>
  <si>
    <t>Lederschild</t>
  </si>
  <si>
    <t>Matrose</t>
  </si>
  <si>
    <t>Pirat</t>
  </si>
  <si>
    <t>Walfänger/Haijäger</t>
  </si>
  <si>
    <t>Aal</t>
  </si>
  <si>
    <t>Arbala</t>
  </si>
  <si>
    <t>Ballista</t>
  </si>
  <si>
    <t>Rotze</t>
  </si>
  <si>
    <t>Drachenzunge</t>
  </si>
  <si>
    <t>Hornisse</t>
  </si>
  <si>
    <t>Kleiner Zyklop</t>
  </si>
  <si>
    <t>Leichte Ballista</t>
  </si>
  <si>
    <t>Leichte Rotze</t>
  </si>
  <si>
    <t>Leichter Skorpion</t>
  </si>
  <si>
    <t>Mittlere Rotze</t>
  </si>
  <si>
    <t>Onager</t>
  </si>
  <si>
    <t>Schwere Ballista</t>
  </si>
  <si>
    <t>Schwere Rotze</t>
  </si>
  <si>
    <t>Schwerer Onager</t>
  </si>
  <si>
    <t>Schwerer Skorpion</t>
  </si>
  <si>
    <t>Überschwere Rotze</t>
  </si>
  <si>
    <t xml:space="preserve">Zyklop </t>
  </si>
  <si>
    <t>WFN-Spez. 1</t>
  </si>
  <si>
    <t>WFN-Spez.2</t>
  </si>
  <si>
    <t>nach AsP (A)</t>
  </si>
  <si>
    <t>Kochen (Tränke)</t>
  </si>
  <si>
    <t>ZfP* Tage</t>
  </si>
  <si>
    <t>Summe(LEN)</t>
  </si>
  <si>
    <t>2 SR</t>
  </si>
  <si>
    <t>1+7 AsP</t>
  </si>
  <si>
    <t>ZfW x 10Meilen</t>
  </si>
  <si>
    <t xml:space="preserve"> Summe</t>
  </si>
  <si>
    <t>Scharfschütze</t>
  </si>
  <si>
    <t>Berittener Schütze</t>
  </si>
  <si>
    <t>Meisterschütze</t>
  </si>
  <si>
    <t>Augenblicklich</t>
  </si>
  <si>
    <r>
      <t>Wirkungsdauer</t>
    </r>
    <r>
      <rPr>
        <sz val="10"/>
        <rFont val="Times New Roman"/>
        <family val="1"/>
      </rPr>
      <t>: Augenblicklich, LkP* KR, LkP* x 10KR, LkP* SR, LkP* Stunden, LkP* Tage, LkP* Wochen, LkP*Monate, LkP*Jahre, Permanent</t>
    </r>
  </si>
  <si>
    <t>Weitere nicht bekannte Liturgien</t>
  </si>
  <si>
    <t>IX</t>
  </si>
  <si>
    <t>Entfernung/Reichweite:</t>
  </si>
  <si>
    <t>Auelfische Sippe</t>
  </si>
  <si>
    <t>Elfische Siedlung</t>
  </si>
  <si>
    <t>Steppenelfische Sippe</t>
  </si>
  <si>
    <t>3 AsP+GW</t>
  </si>
  <si>
    <t>Raumangst 5</t>
  </si>
  <si>
    <t>Arroganz 5</t>
  </si>
  <si>
    <t>Speisegebote</t>
  </si>
  <si>
    <t>Aberglaube 5</t>
  </si>
  <si>
    <t>Eitelkeit 5</t>
  </si>
  <si>
    <t>Neugier 5</t>
  </si>
  <si>
    <t>Soldat</t>
  </si>
  <si>
    <t>Söldner</t>
  </si>
  <si>
    <t>Swafnir-Geweihte (spät)</t>
  </si>
  <si>
    <t>Travia-Geweihte (spät)</t>
  </si>
  <si>
    <t>20 KR (A)</t>
  </si>
  <si>
    <t>Unverträglichkeit mit verarbeitetem Metall</t>
  </si>
  <si>
    <t>Wahrer Name</t>
  </si>
  <si>
    <t>Begabung Zauber</t>
  </si>
  <si>
    <t>Hermetisches Siegel</t>
  </si>
  <si>
    <t>Kampf im Wasser</t>
  </si>
  <si>
    <t>Entwaffnen</t>
  </si>
  <si>
    <t>Ausfall</t>
  </si>
  <si>
    <t>PP</t>
  </si>
  <si>
    <t>P(G)</t>
  </si>
  <si>
    <t xml:space="preserve">P </t>
  </si>
  <si>
    <t>Matrixverständnis</t>
  </si>
  <si>
    <t>bei Gen. vorhanden</t>
  </si>
  <si>
    <t>Boron-Geweihter:  (Al'Anfaner Ritus) (Diener Bishdariels) (Militärbegleiter)</t>
  </si>
  <si>
    <t>Boron-Geweihter:  (Al'Anfaner Ritus) (Diener Golgaris)</t>
  </si>
  <si>
    <t>Boron-Geweihter:  (Al'Anfaner Ritus) (Diener Golgaris) (Diplomat)</t>
  </si>
  <si>
    <t>VT_VRTLZBR</t>
  </si>
  <si>
    <t>VT_VOLLZBR</t>
  </si>
  <si>
    <t>VT_6TERSINN</t>
  </si>
  <si>
    <t>Tabelle</t>
  </si>
  <si>
    <t>Orkischer Stammeskrieger</t>
  </si>
  <si>
    <t>Achaz-Stammeskrieger</t>
  </si>
  <si>
    <t>Streitross</t>
  </si>
  <si>
    <t>Pony</t>
  </si>
  <si>
    <t>Kamel</t>
  </si>
  <si>
    <t>Frigifaxius</t>
  </si>
  <si>
    <t>Frigosphaero</t>
  </si>
  <si>
    <t>Gefäß der Jahre</t>
  </si>
  <si>
    <t>Gefunden</t>
  </si>
  <si>
    <t>Geister beschwören</t>
  </si>
  <si>
    <t>Geisterbann</t>
  </si>
  <si>
    <t>Tierart</t>
  </si>
  <si>
    <t>Held:</t>
  </si>
  <si>
    <t>Angezogen:</t>
  </si>
  <si>
    <t>Nackt:</t>
  </si>
  <si>
    <t>MR - Leiteigenschaft</t>
  </si>
  <si>
    <t>FF - Leiteigenschaft</t>
  </si>
  <si>
    <t>Steinschneider/Juwelier</t>
  </si>
  <si>
    <t xml:space="preserve"> - keine Verkleidung</t>
  </si>
  <si>
    <t>Gutes Gedächtnis</t>
  </si>
  <si>
    <t>Reihenfolge:</t>
  </si>
  <si>
    <t>Eisern</t>
  </si>
  <si>
    <t>Gladiator aus Al'Anfa</t>
  </si>
  <si>
    <t>Schaukämpfer</t>
  </si>
  <si>
    <t>Jahrmarktskämpfer</t>
  </si>
  <si>
    <t>A</t>
  </si>
  <si>
    <t>Stabsfähnrich aus Wehrheim</t>
  </si>
  <si>
    <t>Akademie der Verformungen zu Lowangen</t>
  </si>
  <si>
    <t>Pailos</t>
  </si>
  <si>
    <t>Partisane</t>
  </si>
  <si>
    <t>Pike</t>
  </si>
  <si>
    <t>Rabenschnabel</t>
  </si>
  <si>
    <t>Rapier</t>
  </si>
  <si>
    <t>Richtschwert</t>
  </si>
  <si>
    <t>Robbentöter</t>
  </si>
  <si>
    <t>10</t>
  </si>
  <si>
    <t>12</t>
  </si>
  <si>
    <t>13</t>
  </si>
  <si>
    <t>Zauber in Artefakten</t>
  </si>
  <si>
    <t>Waffenschmied</t>
  </si>
  <si>
    <t>Weber</t>
  </si>
  <si>
    <r>
      <t xml:space="preserve">GP durch schl. Eigenschaften: </t>
    </r>
    <r>
      <rPr>
        <sz val="10"/>
        <rFont val="Arial"/>
        <family val="2"/>
      </rPr>
      <t>└</t>
    </r>
  </si>
  <si>
    <t>GP Nachteile gesamt:</t>
  </si>
  <si>
    <t>GP Vorteile gesamt:</t>
  </si>
  <si>
    <t>▼ Fehlermeldungen ▼</t>
  </si>
  <si>
    <t>Tierische Begleiter</t>
  </si>
  <si>
    <t>Preis</t>
  </si>
  <si>
    <t>Reitpferd</t>
  </si>
  <si>
    <t>Rennpferd</t>
  </si>
  <si>
    <t>Boote Fahren</t>
  </si>
  <si>
    <t>Eissegler Fahren</t>
  </si>
  <si>
    <t>Fahrzeug Lenken</t>
  </si>
  <si>
    <t>Falschspiel</t>
  </si>
  <si>
    <t>Feinmechanik</t>
  </si>
  <si>
    <t>Feuersteinbearbeitung</t>
  </si>
  <si>
    <t>Fleischer</t>
  </si>
  <si>
    <t>Glaskunst</t>
  </si>
  <si>
    <t>Handel</t>
  </si>
  <si>
    <t>Hauswirtschaft</t>
  </si>
  <si>
    <t>Heilkunde Gift</t>
  </si>
  <si>
    <t>Launen des Windes</t>
  </si>
  <si>
    <t>Die Gestalt aus Rauch</t>
  </si>
  <si>
    <t>Kristallkraft bündeln</t>
  </si>
  <si>
    <t>Kontaktgift</t>
  </si>
  <si>
    <t>Waffengift</t>
  </si>
  <si>
    <t>Amazonenrüstung</t>
  </si>
  <si>
    <t>Gestechrüstung</t>
  </si>
  <si>
    <t>Herzschlag ruhe</t>
  </si>
  <si>
    <t>Hilfreiche Tatze-rettende Schwinge</t>
  </si>
  <si>
    <t>VT_ASP</t>
  </si>
  <si>
    <t>Sich verstecken</t>
  </si>
  <si>
    <t>Waffenlos:</t>
  </si>
  <si>
    <t>VERKETTEN:</t>
  </si>
  <si>
    <t>3 + Erschöpfung</t>
  </si>
  <si>
    <t>Rondras Mut</t>
  </si>
  <si>
    <t>Hesindes Macht</t>
  </si>
  <si>
    <t>Fährmann</t>
  </si>
  <si>
    <t>Flussschiffer</t>
  </si>
  <si>
    <t>Lotse</t>
  </si>
  <si>
    <t>Flößer</t>
  </si>
  <si>
    <t>Zöllner</t>
  </si>
  <si>
    <t>Aktuell</t>
  </si>
  <si>
    <t>Meister der Improvisation</t>
  </si>
  <si>
    <t>Schweres Fußvolk (Söldner)</t>
  </si>
  <si>
    <t>Leichtes Fußvolk (Söldner)</t>
  </si>
  <si>
    <t>GLADIATOR</t>
  </si>
  <si>
    <t>FHNRICH</t>
  </si>
  <si>
    <t>GARDIST</t>
  </si>
  <si>
    <t>KNAPPE</t>
  </si>
  <si>
    <t>KRIEGER</t>
  </si>
  <si>
    <t>Schule der Austreibung zu Perricum</t>
  </si>
  <si>
    <t>Samthauch</t>
  </si>
  <si>
    <t>Marbos Odem</t>
  </si>
  <si>
    <t>Schule des Seienden Scheins zu Zorgan</t>
  </si>
  <si>
    <t>Schule des Wandelbaren zu Tuzak</t>
  </si>
  <si>
    <t>Verketten ALL</t>
  </si>
  <si>
    <t>Ignifaxius Flammenstrahl</t>
  </si>
  <si>
    <t>Ignisphaero Feuerball</t>
  </si>
  <si>
    <t>Ignorantia Ungesehn</t>
  </si>
  <si>
    <t>Immortalis Lebenszeit</t>
  </si>
  <si>
    <t>Imperavi Handlungszwang</t>
  </si>
  <si>
    <t>Impersona Maskenbild</t>
  </si>
  <si>
    <t>Infinitum immerdar</t>
  </si>
  <si>
    <t>Drachisch</t>
  </si>
  <si>
    <t>Zhayad</t>
  </si>
  <si>
    <t>Atak</t>
  </si>
  <si>
    <t>Füchsisch</t>
  </si>
  <si>
    <t>Sprachen</t>
  </si>
  <si>
    <t>Gladiator aus Fasar/Chorhop/Mengbilla/Brabak</t>
  </si>
  <si>
    <t>----- Tierkrieger  -----------------------</t>
  </si>
  <si>
    <t>Hauch des Odûn</t>
  </si>
  <si>
    <t xml:space="preserve"> Körperkraft</t>
  </si>
  <si>
    <t xml:space="preserve"> Geschwindigkeit</t>
  </si>
  <si>
    <t xml:space="preserve"> Karmaenergie</t>
  </si>
  <si>
    <t>Modifikator</t>
  </si>
  <si>
    <t>Start</t>
  </si>
  <si>
    <t>Kettenstäbe</t>
  </si>
  <si>
    <t>Kettenwaffen</t>
  </si>
  <si>
    <t>Lanzenreiten</t>
  </si>
  <si>
    <t>Peitsche</t>
  </si>
  <si>
    <t>Ringen</t>
  </si>
  <si>
    <t>Schleuder</t>
  </si>
  <si>
    <t>Speere</t>
  </si>
  <si>
    <t>Stäbe</t>
  </si>
  <si>
    <t>Wurfbeile</t>
  </si>
  <si>
    <t>Wurfspeere</t>
  </si>
  <si>
    <t>Zweihandflegel</t>
  </si>
  <si>
    <t>Spätweihe Tsa</t>
  </si>
  <si>
    <t>Spätweihe Phex</t>
  </si>
  <si>
    <t>Spätweihe Peraine</t>
  </si>
  <si>
    <t>GP [AP für Spätweie]</t>
  </si>
  <si>
    <t>Erlernte Zauber</t>
  </si>
  <si>
    <t>Kompl.</t>
  </si>
  <si>
    <t>Eign, Elem (Erz)</t>
  </si>
  <si>
    <t>1 Tag</t>
  </si>
  <si>
    <t>Eign</t>
  </si>
  <si>
    <t>Nähe zur Natur</t>
  </si>
  <si>
    <t>Zauber der Keule</t>
  </si>
  <si>
    <t>Bann der Keule</t>
  </si>
  <si>
    <t>Geist der Keule</t>
  </si>
  <si>
    <t>Apport der Keule</t>
  </si>
  <si>
    <t>P+P</t>
  </si>
  <si>
    <t>Schreiner/Tischler</t>
  </si>
  <si>
    <t>Segelmacher</t>
  </si>
  <si>
    <t>Seiler</t>
  </si>
  <si>
    <t>Spengler</t>
  </si>
  <si>
    <t>Steinmetz</t>
  </si>
  <si>
    <t>Stellmacher</t>
  </si>
  <si>
    <t>Zauberzeichen</t>
  </si>
  <si>
    <t>Lehrmeister</t>
  </si>
  <si>
    <t xml:space="preserve"> - Rauschmittel</t>
  </si>
  <si>
    <t xml:space="preserve"> - Ritualhelfer</t>
  </si>
  <si>
    <t>bei Gen. Vorhanden</t>
  </si>
  <si>
    <t>Vaês Tränen</t>
  </si>
  <si>
    <t>Vertreibung des Dunkelsinns</t>
  </si>
  <si>
    <t>Weihe der Ewigen Flamme</t>
  </si>
  <si>
    <t>Wille zur Wahrheit</t>
  </si>
  <si>
    <t>Winterschlaf</t>
  </si>
  <si>
    <t>Anathema</t>
  </si>
  <si>
    <t>Argelions bannende Hand</t>
  </si>
  <si>
    <t>Wilde Magie</t>
  </si>
  <si>
    <t>Zielschwierigkeiten</t>
  </si>
  <si>
    <t>Zögerlicher Zauberer</t>
  </si>
  <si>
    <t>ZH</t>
  </si>
  <si>
    <t>Achfawar</t>
  </si>
  <si>
    <t>-1/0</t>
  </si>
  <si>
    <t>ZfP* Minuten</t>
  </si>
  <si>
    <t>RkW/2 Tage</t>
  </si>
  <si>
    <t>mehrere Jahre</t>
  </si>
  <si>
    <t>untersch.</t>
  </si>
  <si>
    <t>RkP*/2Tage</t>
  </si>
  <si>
    <t>anschl. Ruhepause</t>
  </si>
  <si>
    <t>Verketten Talentspezialisierung:</t>
  </si>
  <si>
    <t>Schauerleute</t>
  </si>
  <si>
    <t>Phex-Geweihte:Nachrichtenagentur Nanduria</t>
  </si>
  <si>
    <t>Phex-Geweihte:Händlerorden der Mada Basari</t>
  </si>
  <si>
    <t>Phex-Geweihte:Diebesgilde der Beni Fessiri</t>
  </si>
  <si>
    <t>Praios-Geweihte</t>
  </si>
  <si>
    <t>Galanterie</t>
  </si>
  <si>
    <t>Kettenhaube</t>
  </si>
  <si>
    <t>Zauber</t>
  </si>
  <si>
    <t>Zauberdauer</t>
  </si>
  <si>
    <t>Wirkungsdauer</t>
  </si>
  <si>
    <t>Kettenzeug</t>
  </si>
  <si>
    <t>Lederhelm</t>
  </si>
  <si>
    <t>Lederzeug</t>
  </si>
  <si>
    <t>Morion</t>
  </si>
  <si>
    <r>
      <t xml:space="preserve"> INI-Basiswert</t>
    </r>
    <r>
      <rPr>
        <sz val="10"/>
        <rFont val="Georgia"/>
        <family val="1"/>
      </rPr>
      <t xml:space="preserve"> </t>
    </r>
    <r>
      <rPr>
        <sz val="10"/>
        <rFont val="Arial"/>
        <family val="2"/>
      </rPr>
      <t xml:space="preserve"> </t>
    </r>
    <r>
      <rPr>
        <sz val="6"/>
        <rFont val="Arial"/>
        <family val="2"/>
      </rPr>
      <t>(MU+MU+IN+GE)/5</t>
    </r>
  </si>
  <si>
    <t>Botenläufer</t>
  </si>
  <si>
    <t>Schädeleule</t>
  </si>
  <si>
    <t>Schattenrabe</t>
  </si>
  <si>
    <t>Geistereule</t>
  </si>
  <si>
    <t>Rabe (sprachbegabt)</t>
  </si>
  <si>
    <t>Greifkatze</t>
  </si>
  <si>
    <t>Skorpion</t>
  </si>
  <si>
    <t>Feuermolch</t>
  </si>
  <si>
    <t>Salamander</t>
  </si>
  <si>
    <t>Milan</t>
  </si>
  <si>
    <t>──┐</t>
  </si>
  <si>
    <t>GP Eigensch.:</t>
  </si>
  <si>
    <t>Kampftalente</t>
  </si>
  <si>
    <t>Eig. 1</t>
  </si>
  <si>
    <t>Eig. 2</t>
  </si>
  <si>
    <t>Eig. 3</t>
  </si>
  <si>
    <t>Fähnrich zur See aus Harben</t>
  </si>
  <si>
    <t>+Mod</t>
  </si>
  <si>
    <t>sofort</t>
  </si>
  <si>
    <t>Objk</t>
  </si>
  <si>
    <t>5 + 2/kg</t>
  </si>
  <si>
    <t>ZfP* SR</t>
  </si>
  <si>
    <t>Objk, Elem (Erz)</t>
  </si>
  <si>
    <t>1 SR (A)</t>
  </si>
  <si>
    <t>15/18</t>
  </si>
  <si>
    <t>Hell, Eign</t>
  </si>
  <si>
    <t>nach AsP</t>
  </si>
  <si>
    <t>L/S: Angram</t>
  </si>
  <si>
    <t>6 AsP/SR</t>
  </si>
  <si>
    <t>spz.</t>
  </si>
  <si>
    <t>1W+0+1WFeuer</t>
  </si>
  <si>
    <t xml:space="preserve">Wegzeichen </t>
  </si>
  <si>
    <t>Niv, Gja</t>
  </si>
  <si>
    <t>Besw</t>
  </si>
  <si>
    <t>Dämo</t>
  </si>
  <si>
    <t>Elem</t>
  </si>
  <si>
    <t>Elem (Wasser)</t>
  </si>
  <si>
    <t>Elem (Luft)</t>
  </si>
  <si>
    <t>Elem (Erz)</t>
  </si>
  <si>
    <t>2. Repräsentation</t>
  </si>
  <si>
    <t>3. Repräsentation</t>
  </si>
  <si>
    <t>6W ASP (1/10 perm.)</t>
  </si>
  <si>
    <t>nicht möglich</t>
  </si>
  <si>
    <t>Einäugig</t>
  </si>
  <si>
    <t>Einarmig</t>
  </si>
  <si>
    <t>Einbeinig</t>
  </si>
  <si>
    <t>Sprachen kennen</t>
  </si>
  <si>
    <t>Altes Alaani</t>
  </si>
  <si>
    <t>NT_STUBENHKR</t>
  </si>
  <si>
    <t>SF_TANZ_MADA</t>
  </si>
  <si>
    <t>Eigenschaften</t>
  </si>
  <si>
    <t>Form</t>
  </si>
  <si>
    <t>Affinität zu Geistern</t>
  </si>
  <si>
    <t>Affinität zu Elementaren</t>
  </si>
  <si>
    <t>Affinität zu Dämonen</t>
  </si>
  <si>
    <t>Affe</t>
  </si>
  <si>
    <t>Zauberspeicher</t>
  </si>
  <si>
    <t>Akademie der Herrschaft zu Elenvina</t>
  </si>
  <si>
    <t>RK</t>
  </si>
  <si>
    <t>0/5/10/15/25</t>
  </si>
  <si>
    <t>0/5/15/25/40</t>
  </si>
  <si>
    <t>10/20/30/60/100</t>
  </si>
  <si>
    <t>Kraftakt</t>
  </si>
  <si>
    <t>Langlauf</t>
  </si>
  <si>
    <t>Sprint</t>
  </si>
  <si>
    <t>Weitsprung</t>
  </si>
  <si>
    <t>je +1</t>
  </si>
  <si>
    <t>-1 bis -2</t>
  </si>
  <si>
    <t xml:space="preserve"> - unpassende Verkleidung</t>
  </si>
  <si>
    <t>Großer Reisesegen</t>
  </si>
  <si>
    <t>Großer Speisesegen</t>
  </si>
  <si>
    <t>Hauch Borons</t>
  </si>
  <si>
    <t>Hausfrieden</t>
  </si>
  <si>
    <t>Haut der Chamäleons</t>
  </si>
  <si>
    <t>Konzilsdruide (Wasser)</t>
  </si>
  <si>
    <t>Konzilsdruide (Luft)</t>
  </si>
  <si>
    <t>Konzilsdruide (Erz)</t>
  </si>
  <si>
    <t>Konzilsdruide (Eis)</t>
  </si>
  <si>
    <t>DRUIDEN</t>
  </si>
  <si>
    <t>Ritualkenntniswert</t>
  </si>
  <si>
    <t>a</t>
  </si>
  <si>
    <t>Halle des Windes zu Olport</t>
  </si>
  <si>
    <t>Pfeil des Eises</t>
  </si>
  <si>
    <t>Pfeil des Erzes</t>
  </si>
  <si>
    <t>Pfeil des Feuers</t>
  </si>
  <si>
    <t>Pfeil des Humus</t>
  </si>
  <si>
    <t>Pfeil der Luft</t>
  </si>
  <si>
    <t>Pfeil des Wassers</t>
  </si>
  <si>
    <t>LkP* Jahre</t>
  </si>
  <si>
    <t>LkP* Monate</t>
  </si>
  <si>
    <t>Liturgie wählen</t>
  </si>
  <si>
    <t>R.Weite</t>
  </si>
  <si>
    <t>Mechanikus</t>
  </si>
  <si>
    <t>Schiffbauer</t>
  </si>
  <si>
    <t>Sicht</t>
  </si>
  <si>
    <t>17 AsP</t>
  </si>
  <si>
    <t>ZfWx20 S. R.</t>
  </si>
  <si>
    <t>Wirkungsdauer Liturgie:</t>
  </si>
  <si>
    <t>Wirkungsdauer Ritual:</t>
  </si>
  <si>
    <t>Angehobene Rituale</t>
  </si>
  <si>
    <t>Ritual auswählen</t>
  </si>
  <si>
    <t xml:space="preserve">M´char Utrak Rikaii - Rikaiis Alchimie </t>
  </si>
  <si>
    <t>Ork, Gob</t>
  </si>
  <si>
    <t>+5 bei geworfen. Keule</t>
  </si>
  <si>
    <t xml:space="preserve">Macht der Elemente </t>
  </si>
  <si>
    <t>spez</t>
  </si>
  <si>
    <t xml:space="preserve">Macht des Blutes </t>
  </si>
  <si>
    <t xml:space="preserve">Magischer Raub </t>
  </si>
  <si>
    <t xml:space="preserve">Mailam Rekdais Segen </t>
  </si>
  <si>
    <t>Gob</t>
  </si>
  <si>
    <t xml:space="preserve">Mammutruf </t>
  </si>
  <si>
    <t>Geistermantel</t>
  </si>
  <si>
    <t>Traviabund</t>
  </si>
  <si>
    <t>Später</t>
  </si>
  <si>
    <t>VT_VRTLZBR_START</t>
  </si>
  <si>
    <t>siehe Reversalis von Fulminictus: Bisher noch nicht gelungen</t>
  </si>
  <si>
    <t>Waldkundig</t>
  </si>
  <si>
    <t>Talentspezialisierung</t>
  </si>
  <si>
    <t>Bosparano</t>
  </si>
  <si>
    <t>Zyklopäisch</t>
  </si>
  <si>
    <t>Tulamidya</t>
  </si>
  <si>
    <t>Zeilennummer</t>
  </si>
  <si>
    <t>Kristallzüchter</t>
  </si>
  <si>
    <t>4L</t>
  </si>
  <si>
    <t>5L</t>
  </si>
  <si>
    <t>3L</t>
  </si>
  <si>
    <t>1L</t>
  </si>
  <si>
    <t>Smaragdspinne</t>
  </si>
  <si>
    <t>Saguraspinne</t>
  </si>
  <si>
    <t>Adler</t>
  </si>
  <si>
    <t>Marder</t>
  </si>
  <si>
    <t>VT_ASTRREG1</t>
  </si>
  <si>
    <t>VT_ASTRREG2</t>
  </si>
  <si>
    <t>1 Std.</t>
  </si>
  <si>
    <t>ZfP*/2 SR</t>
  </si>
  <si>
    <t>Sch</t>
  </si>
  <si>
    <t>Beseelte Knochenkeule (Elementargeist)</t>
  </si>
  <si>
    <t>Beseelte Knochenkeule (Dschinn)</t>
  </si>
  <si>
    <t>Beseelte Knochenkeule (Dämon)</t>
  </si>
  <si>
    <t>nach dem Ort:</t>
  </si>
  <si>
    <t xml:space="preserve"> - an einem Heiligtum</t>
  </si>
  <si>
    <t>Eisenmantel</t>
  </si>
  <si>
    <t>Fünflagenharnisch</t>
  </si>
  <si>
    <t>Garether Platte</t>
  </si>
  <si>
    <t>Gladiatorenschulter</t>
  </si>
  <si>
    <t>Iryanrüstung</t>
  </si>
  <si>
    <t>Kettenhemd</t>
  </si>
  <si>
    <t>Kettenhemd, lang</t>
  </si>
  <si>
    <t>Kettenmantel</t>
  </si>
  <si>
    <t>Kettenweste</t>
  </si>
  <si>
    <t>Krötenhaut</t>
  </si>
  <si>
    <t>Kürass</t>
  </si>
  <si>
    <t>Anti, Meta, Krft</t>
  </si>
  <si>
    <t>Anti, Meta</t>
  </si>
  <si>
    <t>Anderthalbhd.</t>
  </si>
  <si>
    <t>Fechtwfn.</t>
  </si>
  <si>
    <t>X</t>
  </si>
  <si>
    <t>3+1 A/Spann</t>
  </si>
  <si>
    <t>Boron-Geweihte: Ordenskrieger des Schwarzen Raben, zur See</t>
  </si>
  <si>
    <t>Bund des Wahren Glaubens, Prediger vom</t>
  </si>
  <si>
    <t>Efferd -Geweihte: Binnenland</t>
  </si>
  <si>
    <t>Efferd -Geweihte: Rand der Khôm</t>
  </si>
  <si>
    <t>Ziegelei</t>
  </si>
  <si>
    <t>Rind</t>
  </si>
  <si>
    <t>Schaf/Ziege</t>
  </si>
  <si>
    <t>Schwein</t>
  </si>
  <si>
    <t>Pferd</t>
  </si>
  <si>
    <t>Häkeln</t>
  </si>
  <si>
    <t>Klöppeln</t>
  </si>
  <si>
    <t>Stricken</t>
  </si>
  <si>
    <t>Knüpfen</t>
  </si>
  <si>
    <t>Weben</t>
  </si>
  <si>
    <t>Wein</t>
  </si>
  <si>
    <t>Fruchtwein</t>
  </si>
  <si>
    <t>Schaumwein</t>
  </si>
  <si>
    <t>Weinkenner</t>
  </si>
  <si>
    <t>Holzkonstruktion</t>
  </si>
  <si>
    <t>Schiffe</t>
  </si>
  <si>
    <t>Magiekunde (Dämonologie)</t>
  </si>
  <si>
    <t>Magiekunde (Elementarismus)</t>
  </si>
  <si>
    <t>Sprachen &amp; Schriften</t>
  </si>
  <si>
    <t>Für Abfrage der Sprachen auf Druckbogen Talente</t>
  </si>
  <si>
    <t>TaGP-Kosten Kampftalente, Sonderfertigkeiten</t>
  </si>
  <si>
    <t>VT_AUSRSTG</t>
  </si>
  <si>
    <t>VT_BEIDHDG</t>
  </si>
  <si>
    <t>VT_BESBESITZ</t>
  </si>
  <si>
    <t>Utulu</t>
  </si>
  <si>
    <t>GP</t>
  </si>
  <si>
    <t>Ambosszwerg</t>
  </si>
  <si>
    <t>Infanterie-Fähnrich aus Al'Anfa</t>
  </si>
  <si>
    <t>Infanterie-Fähnrich aus Albenhus</t>
  </si>
  <si>
    <t>Krieger aus Hylailos</t>
  </si>
  <si>
    <t xml:space="preserve"> Familie/Herkunft/Hintergrund</t>
  </si>
  <si>
    <t xml:space="preserve"> Titel</t>
  </si>
  <si>
    <t xml:space="preserve"> Grösse</t>
  </si>
  <si>
    <t>Pirschjagd Wurfspeer</t>
  </si>
  <si>
    <t>Pirschjagd Armbrust</t>
  </si>
  <si>
    <t>Khunchomer</t>
  </si>
  <si>
    <t>Knüppel</t>
  </si>
  <si>
    <t>Korspieß</t>
  </si>
  <si>
    <t>Kriegsflegel</t>
  </si>
  <si>
    <t>Kriegshammer</t>
  </si>
  <si>
    <t>Kriegslanze</t>
  </si>
  <si>
    <t>Heilung des Tapams</t>
  </si>
  <si>
    <t>Hesindes Fingerzeig</t>
  </si>
  <si>
    <t>Jagdglück</t>
  </si>
  <si>
    <t>Kamaluqs unerbittlicher Speer</t>
  </si>
  <si>
    <t>Neugier 8</t>
  </si>
  <si>
    <t>Überreden (Betteln)</t>
  </si>
  <si>
    <t>Skizze</t>
  </si>
  <si>
    <t>Steinbau</t>
  </si>
  <si>
    <t>Steinguss</t>
  </si>
  <si>
    <t>Ziegelbau</t>
  </si>
  <si>
    <t>Klangkörper</t>
  </si>
  <si>
    <t>Rohre</t>
  </si>
  <si>
    <t>Statuen</t>
  </si>
  <si>
    <t>Blechblas</t>
  </si>
  <si>
    <t>Flöte</t>
  </si>
  <si>
    <t>Harfe</t>
  </si>
  <si>
    <t>Lauten</t>
  </si>
  <si>
    <t>Rhythmus</t>
  </si>
  <si>
    <t>Streichinstr.</t>
  </si>
  <si>
    <t>5 AsP + X</t>
  </si>
  <si>
    <t>6 AsP</t>
  </si>
  <si>
    <t>5 Asp +1/KR</t>
  </si>
  <si>
    <t>2x ZfW KR (A)</t>
  </si>
  <si>
    <t>12 AsP</t>
  </si>
  <si>
    <t>6 AsP+1/SR</t>
  </si>
  <si>
    <t>Verwandtes Talent</t>
  </si>
  <si>
    <t>Zweihandschwerter/-säbel</t>
  </si>
  <si>
    <t>Bewaffneter Nahkampf</t>
  </si>
  <si>
    <t>S</t>
  </si>
  <si>
    <t>E</t>
  </si>
  <si>
    <t>Anderthalbhänder</t>
  </si>
  <si>
    <t>siehe Mahlstrom: vermutet, nicht bekannt</t>
  </si>
  <si>
    <t>Sumpfstrudel</t>
  </si>
  <si>
    <t>min. 3:Stein*Schritt ASP</t>
  </si>
  <si>
    <t>siehe Mahlstrom: vermutet, aber nicht bekannt</t>
  </si>
  <si>
    <t>5 Asp+1/h</t>
  </si>
  <si>
    <t>selbst</t>
  </si>
  <si>
    <t>max. ZFP* h</t>
  </si>
  <si>
    <t>Kleidung</t>
  </si>
  <si>
    <t>Ausrüstung</t>
  </si>
  <si>
    <t>Gewicht</t>
  </si>
  <si>
    <t>Hat der Held noch eine enge Bindung zu Menschen aus der Jugend?</t>
  </si>
  <si>
    <t>Achmad'sunni</t>
  </si>
  <si>
    <t>ZfW</t>
  </si>
  <si>
    <t>VRTLZBR_START</t>
  </si>
  <si>
    <t>VRTLZBR_STARTGP</t>
  </si>
  <si>
    <t>Sofort</t>
  </si>
  <si>
    <t>Silbertaler</t>
  </si>
  <si>
    <t>Heller</t>
  </si>
  <si>
    <t>Kreuzer</t>
  </si>
  <si>
    <t>Sonstiger Besitz</t>
  </si>
  <si>
    <t>2. Profession zeitaufwendig</t>
  </si>
  <si>
    <t>ERSTPROF</t>
  </si>
  <si>
    <t>PROF1_ZTAUFW</t>
  </si>
  <si>
    <t>Nekromant</t>
  </si>
  <si>
    <t>Kleintierzüchter</t>
  </si>
  <si>
    <t>Wasserbüffelhirte</t>
  </si>
  <si>
    <t>Travia-Geweihte</t>
  </si>
  <si>
    <t>Travia-Geweihte: Badilakaner</t>
  </si>
  <si>
    <t>Travia-Geweihte: Ordenskrieger Gänseritter</t>
  </si>
  <si>
    <t>Tsa-Geweihte</t>
  </si>
  <si>
    <t>Hohe Lebenskraft</t>
  </si>
  <si>
    <t>Alpgestalt</t>
  </si>
  <si>
    <t>Saft Kraft Monstermacht</t>
  </si>
  <si>
    <t>Sanftmut</t>
  </si>
  <si>
    <t>Satuarias Herrlichkeit</t>
  </si>
  <si>
    <t>Schabernack</t>
  </si>
  <si>
    <t>Schadenszauber bannen</t>
  </si>
  <si>
    <t>Meeresangst 5</t>
  </si>
  <si>
    <t>Schelmenkleister</t>
  </si>
  <si>
    <t>Schelmenlaune</t>
  </si>
  <si>
    <t>Schelmenmaske</t>
  </si>
  <si>
    <t>Schelmenrausch</t>
  </si>
  <si>
    <t>Schlangenruf</t>
  </si>
  <si>
    <t>Schleier der Unwissenheit</t>
  </si>
  <si>
    <t>Schwarz und Rot</t>
  </si>
  <si>
    <t>H_TAGELNER</t>
  </si>
  <si>
    <t>H_WUNDARZT</t>
  </si>
  <si>
    <t>GS_PRVLEHRER</t>
  </si>
  <si>
    <t>GS_TAUGNCHT</t>
  </si>
  <si>
    <t>H_BADER</t>
  </si>
  <si>
    <t>H_TIERBNDGR</t>
  </si>
  <si>
    <t>Unterwasserjäger</t>
  </si>
  <si>
    <t>W_ENTDKR</t>
  </si>
  <si>
    <t>W_GRWDJAEGER</t>
  </si>
  <si>
    <t>◄ Anm. Patrik: Gemäss Regelwerk sind 110 GP  empfohlen. Wir verwenden als Hausregel 120 GP</t>
  </si>
  <si>
    <t xml:space="preserve">Fluch der Pestilenz </t>
  </si>
  <si>
    <t>Wdm, Utu, Toc</t>
  </si>
  <si>
    <t xml:space="preserve">Fluch der Verwirrung </t>
  </si>
  <si>
    <t>Utu</t>
  </si>
  <si>
    <t xml:space="preserve">Freie Seelenfahrt </t>
  </si>
  <si>
    <t xml:space="preserve">Gaben der Erde </t>
  </si>
  <si>
    <t xml:space="preserve">Gob </t>
  </si>
  <si>
    <t xml:space="preserve">Geisterbote </t>
  </si>
  <si>
    <t>Mod</t>
  </si>
  <si>
    <t xml:space="preserve">Geisterkerker </t>
  </si>
  <si>
    <t>ALCHIMIST</t>
  </si>
  <si>
    <t>Zorn der Elemente</t>
  </si>
  <si>
    <t>Zunge lähmen</t>
  </si>
  <si>
    <t>Zwang zur Wahrheit</t>
  </si>
  <si>
    <t>Zwingtanz</t>
  </si>
  <si>
    <t>SO min</t>
  </si>
  <si>
    <t>SO max</t>
  </si>
  <si>
    <t>Unfähigkeit</t>
  </si>
  <si>
    <t>ZfP*x3 Schritt</t>
  </si>
  <si>
    <t>ZfW/2 Schritt</t>
  </si>
  <si>
    <t>ZfP*x2 KR (A)</t>
  </si>
  <si>
    <t>Glyphe des verfluchten Goldes</t>
  </si>
  <si>
    <t>Tele, Elem (Luft), Elem (Wasser)</t>
  </si>
  <si>
    <t>Pestilenz erspüren</t>
  </si>
  <si>
    <t>Psychostabilis</t>
  </si>
  <si>
    <t>Radau</t>
  </si>
  <si>
    <t xml:space="preserve">Hesinde-Geweihte: Ordenskrieger, Draconiter, Sakraler Zweig </t>
  </si>
  <si>
    <t>Fliegen</t>
  </si>
  <si>
    <t>6 Schritt</t>
  </si>
  <si>
    <t>30 AsP</t>
  </si>
  <si>
    <t>Respondami Wahrheitszwang</t>
  </si>
  <si>
    <t>Reversalis Revidum</t>
  </si>
  <si>
    <t>Ruhe Körper - ruhe Geist</t>
  </si>
  <si>
    <t>Salander Mutander</t>
  </si>
  <si>
    <t>Sapefacta Zauberschwamm</t>
  </si>
  <si>
    <t>Seidenweich Schuppengleich</t>
  </si>
  <si>
    <t>Seidenzunge Elfenwort</t>
  </si>
  <si>
    <t>Sensattacco Meisterstreich</t>
  </si>
  <si>
    <t>Sensibar Empathicus</t>
  </si>
  <si>
    <t>Serpentialis Schlangenleib</t>
  </si>
  <si>
    <t>Silentium Silentille</t>
  </si>
  <si>
    <t>Sinesigil unerkannt</t>
  </si>
  <si>
    <t>Skelettarius Totenherr</t>
  </si>
  <si>
    <t>12 Segen</t>
  </si>
  <si>
    <t>-2/-1</t>
  </si>
  <si>
    <t>Parierwaffen</t>
  </si>
  <si>
    <t>0/1</t>
  </si>
  <si>
    <t>Mattenschild</t>
  </si>
  <si>
    <t>Gandrasch-Armbrust</t>
  </si>
  <si>
    <t>Jagddiskus</t>
  </si>
  <si>
    <t>2W+8</t>
  </si>
  <si>
    <t>10/25/50/100/150</t>
  </si>
  <si>
    <t>(+2/+1/0/0/0)</t>
  </si>
  <si>
    <t>Schwerter</t>
  </si>
  <si>
    <t>Armbrust</t>
  </si>
  <si>
    <t>Belagerungswaffen</t>
  </si>
  <si>
    <t>Warum ist der Held zum Abenteurer geworden?</t>
  </si>
  <si>
    <t>(Wirkungs-)Dauer</t>
  </si>
  <si>
    <t>Geweiht (Rahja)</t>
  </si>
  <si>
    <t>Geweiht (Rondra)</t>
  </si>
  <si>
    <t>Geweiht (Swafnir)</t>
  </si>
  <si>
    <t>Geweiht (Travia)</t>
  </si>
  <si>
    <t>Geweiht (Tsa)</t>
  </si>
  <si>
    <t>Geweiht (Zsahh)</t>
  </si>
  <si>
    <t>Ritualkenntnisse:</t>
  </si>
  <si>
    <t>Komp.</t>
  </si>
  <si>
    <t>BE-1</t>
  </si>
  <si>
    <t>BE-4</t>
  </si>
  <si>
    <t>BE-2</t>
  </si>
  <si>
    <t>BE-3</t>
  </si>
  <si>
    <t>D</t>
  </si>
  <si>
    <t>C</t>
  </si>
  <si>
    <t>Dolche</t>
  </si>
  <si>
    <t>Ach, Fer, Wdm</t>
  </si>
  <si>
    <t xml:space="preserve">Seeschlangenruf </t>
  </si>
  <si>
    <t>Einfl, Dämo (AMZ)</t>
  </si>
  <si>
    <t>Form, Elem (Luft), Elem (Wasser)</t>
  </si>
  <si>
    <t>VT_VETERAN</t>
  </si>
  <si>
    <t>Sozialstatus!</t>
  </si>
  <si>
    <t>Ungesehener Beobachter</t>
  </si>
  <si>
    <t>AP*</t>
  </si>
  <si>
    <t>Rur- und Gror-Priester:  Geheime Priester</t>
  </si>
  <si>
    <t xml:space="preserve">Stammeskrieger der Beni Dervez </t>
  </si>
  <si>
    <t>Swafnir-Geweihte</t>
  </si>
  <si>
    <t>Hesinde-Geweihte: Freidenker</t>
  </si>
  <si>
    <t>PPPP</t>
  </si>
  <si>
    <t>ZZZZ</t>
  </si>
  <si>
    <t>Ziel:</t>
  </si>
  <si>
    <t>Selbst</t>
  </si>
  <si>
    <t>Berührung</t>
  </si>
  <si>
    <t>Fern</t>
  </si>
  <si>
    <t>Stossgebet</t>
  </si>
  <si>
    <t>Andacht</t>
  </si>
  <si>
    <t>Zeremonie</t>
  </si>
  <si>
    <t>Zyklus</t>
  </si>
  <si>
    <t>LkP* KR</t>
  </si>
  <si>
    <t>LkP* x 10KR</t>
  </si>
  <si>
    <t>LkP* SR</t>
  </si>
  <si>
    <t>LkP* Stunden</t>
  </si>
  <si>
    <t>LkP* Tage</t>
  </si>
  <si>
    <t>LkP* Wochen</t>
  </si>
  <si>
    <t>Machtvoller Vertrauter:</t>
  </si>
  <si>
    <t>Feldscherer</t>
  </si>
  <si>
    <t>Hebamme</t>
  </si>
  <si>
    <t>6.</t>
  </si>
  <si>
    <t>Kopf</t>
  </si>
  <si>
    <t>Brust</t>
  </si>
  <si>
    <t>Rücken</t>
  </si>
  <si>
    <t>Bauch</t>
  </si>
  <si>
    <t>L Arm</t>
  </si>
  <si>
    <t>R Arm</t>
  </si>
  <si>
    <t>Beine</t>
  </si>
  <si>
    <t>Wattiertes Unterzeug</t>
  </si>
  <si>
    <t>Lederhose</t>
  </si>
  <si>
    <t>Hohe Stiefel</t>
  </si>
  <si>
    <t>Fellumhang</t>
  </si>
  <si>
    <t>Höllenpein zerreisse dich!</t>
  </si>
  <si>
    <t>Horriphobus Schreckgestalt</t>
  </si>
  <si>
    <t>Dompteur</t>
  </si>
  <si>
    <t>Musikus</t>
  </si>
  <si>
    <t>Possenreißer</t>
  </si>
  <si>
    <t>Schauspieler</t>
  </si>
  <si>
    <t>Vagant</t>
  </si>
  <si>
    <t>Krämer</t>
  </si>
  <si>
    <t>Kettenbeinlinge, Paar</t>
  </si>
  <si>
    <t>Kettenhandschuhe, Paar</t>
  </si>
  <si>
    <t>Beinschienen, Leder</t>
  </si>
  <si>
    <t>Run2</t>
  </si>
  <si>
    <t>--- Machtvolle Vertraute: ---</t>
  </si>
  <si>
    <t>Wolf</t>
  </si>
  <si>
    <t>Gepard</t>
  </si>
  <si>
    <t>Vogelspinne</t>
  </si>
  <si>
    <t>Luchs</t>
  </si>
  <si>
    <t>Bezug</t>
  </si>
  <si>
    <t>Vertrauter_Affe</t>
  </si>
  <si>
    <t>Vertrauter_Eule</t>
  </si>
  <si>
    <t>Vertrauter_Falke</t>
  </si>
  <si>
    <t>Vertrauter_Hund</t>
  </si>
  <si>
    <t>Vertrauter_Katze</t>
  </si>
  <si>
    <t>48 AsP</t>
  </si>
  <si>
    <t>Bei Konvertierung aus DSA 3 hier AP eintragen:</t>
  </si>
  <si>
    <t>Bei Generierung nun zur Verfügung stehende AP:</t>
  </si>
  <si>
    <t>Erntehelfer</t>
  </si>
  <si>
    <t>Feldsklave</t>
  </si>
  <si>
    <t>Freibauer</t>
  </si>
  <si>
    <t>Gärtner</t>
  </si>
  <si>
    <t>Gutsherr</t>
  </si>
  <si>
    <t>Knecht/Magd</t>
  </si>
  <si>
    <t>Agrimothbann</t>
  </si>
  <si>
    <t>Orkschlange</t>
  </si>
  <si>
    <t>-3/-4</t>
  </si>
  <si>
    <t>Schelme</t>
  </si>
  <si>
    <t>Schelm</t>
  </si>
  <si>
    <t>5M</t>
  </si>
  <si>
    <t>Meisterparade</t>
  </si>
  <si>
    <t>Schwertgeselle nach Uinin</t>
  </si>
  <si>
    <t>Miniatur der Herrschaft</t>
  </si>
  <si>
    <t>+MR</t>
  </si>
  <si>
    <t>RkP* Tage</t>
  </si>
  <si>
    <t>Kristall der Herrschaft</t>
  </si>
  <si>
    <t>Amulett der Herrschaft</t>
  </si>
  <si>
    <t>Wurzel des Blutes</t>
  </si>
  <si>
    <t>Weihe des Dolches</t>
  </si>
  <si>
    <t>Gespür des Dolches</t>
  </si>
  <si>
    <t>Licht des Dolches</t>
  </si>
  <si>
    <t>Bann des Dolches</t>
  </si>
  <si>
    <t>Leib des Dolches</t>
  </si>
  <si>
    <t>Schutz des Dolches</t>
  </si>
  <si>
    <t xml:space="preserve"> - Hilfsfertigkeiten</t>
  </si>
  <si>
    <t>-8 bis +2</t>
  </si>
  <si>
    <t>-(TaP*)/3</t>
  </si>
  <si>
    <t>bis zu -10</t>
  </si>
  <si>
    <t>Bader/Barbier</t>
  </si>
  <si>
    <t>Indexe</t>
  </si>
  <si>
    <t>Vertrautenmagie</t>
  </si>
  <si>
    <t>Zwiegespräch</t>
  </si>
  <si>
    <t>Stimmungssinn</t>
  </si>
  <si>
    <t>Tiersinne</t>
  </si>
  <si>
    <t>Thorwalsch</t>
  </si>
  <si>
    <t>Sumpfkundig</t>
  </si>
  <si>
    <t>Eiskundig</t>
  </si>
  <si>
    <t>Zauberkontrolle</t>
  </si>
  <si>
    <t>Grad V</t>
  </si>
  <si>
    <t>Grad VI</t>
  </si>
  <si>
    <t>Grad IV</t>
  </si>
  <si>
    <t>ZHV</t>
  </si>
  <si>
    <t>Personen</t>
  </si>
  <si>
    <t>bis zu -5</t>
  </si>
  <si>
    <t xml:space="preserve"> - Notlage</t>
  </si>
  <si>
    <t xml:space="preserve"> - Erfüllung kirchl/göttl. Auftrag</t>
  </si>
  <si>
    <t xml:space="preserve"> - eigensüchtiger Motivation</t>
  </si>
  <si>
    <t>Gifte</t>
  </si>
  <si>
    <t>Elixiere</t>
  </si>
  <si>
    <t>Farben/Lacke</t>
  </si>
  <si>
    <t>Veredlung</t>
  </si>
  <si>
    <t>Laborpraxis</t>
  </si>
  <si>
    <t>Brandmittel</t>
  </si>
  <si>
    <t>Bergwerke</t>
  </si>
  <si>
    <t>Kanalisation</t>
  </si>
  <si>
    <t>Höhlen</t>
  </si>
  <si>
    <t>Sappeur</t>
  </si>
  <si>
    <t>unterird. Städte</t>
  </si>
  <si>
    <t>Bolzen&amp;Pfeile</t>
  </si>
  <si>
    <t>Einmaster</t>
  </si>
  <si>
    <t>Kanu</t>
  </si>
  <si>
    <t>Floss</t>
  </si>
  <si>
    <t>Ruderboot</t>
  </si>
  <si>
    <t>Buch</t>
  </si>
  <si>
    <t>Seelentier erkennen</t>
  </si>
  <si>
    <t>Seelenwanderung</t>
  </si>
  <si>
    <t>1 TP und eine Spalte leichtere Steigerung von  akrobatik, gaukeleien, Körperbeherrschung, Schleichen, sich verstecken, Tanzen, Fesseln/Entfesseln, Ringen</t>
  </si>
  <si>
    <t>Blendstrahl aus Alveran</t>
  </si>
  <si>
    <t>Des Herren Goldener Mittag</t>
  </si>
  <si>
    <t>Eidsegen</t>
  </si>
  <si>
    <t>Erneuerung des Geborstenen</t>
  </si>
  <si>
    <t>Sonnenwechsel</t>
  </si>
  <si>
    <t>Ecliptifactus Schattenkraft</t>
  </si>
  <si>
    <t>Eigne Ängste quälen dich!</t>
  </si>
  <si>
    <t>Eisenrost und Patina</t>
  </si>
  <si>
    <t>Eiseskälte Kämpferherz</t>
  </si>
  <si>
    <t>Elfenstimme Flötenton</t>
  </si>
  <si>
    <t>Erinnerung verlasse dich!</t>
  </si>
  <si>
    <t>Exposami Lebenskraft</t>
  </si>
  <si>
    <t>Falkenauge Meisterschuss</t>
  </si>
  <si>
    <t>Favilludo Funkentanz</t>
  </si>
  <si>
    <t>Flim Flam Funkel</t>
  </si>
  <si>
    <t>Foramen Foraminor</t>
  </si>
  <si>
    <t>Fortifex arkane Wand</t>
  </si>
  <si>
    <t>Fulminictus Donnerkeil</t>
  </si>
  <si>
    <t>Gardianum Zauberschild</t>
  </si>
  <si>
    <t>Gedankenbilder Elfenruf</t>
  </si>
  <si>
    <t>automatische Vorteile</t>
  </si>
  <si>
    <t>Jähzorn 5</t>
  </si>
  <si>
    <t>Platzangst 5</t>
  </si>
  <si>
    <t>Hitzeresistenz</t>
  </si>
  <si>
    <t>Dämmerungssicht</t>
  </si>
  <si>
    <t>Resistenz gegen mineralische Gifte</t>
  </si>
  <si>
    <t>Resistenz gegen Krankheiten</t>
  </si>
  <si>
    <t>Schwer zu verzaubern</t>
  </si>
  <si>
    <t>Zwergennase</t>
  </si>
  <si>
    <t>Goldgier 5</t>
  </si>
  <si>
    <t>Kälteresistenz</t>
  </si>
  <si>
    <t>Richtungssinn</t>
  </si>
  <si>
    <t>Zäher Hund</t>
  </si>
  <si>
    <t>Talente &amp; Sprachen</t>
  </si>
  <si>
    <t>Phexens wunderb. Verst.</t>
  </si>
  <si>
    <t xml:space="preserve"> Tsatag</t>
  </si>
  <si>
    <t>Weihe der Keule</t>
  </si>
  <si>
    <t>Härte der Keule</t>
  </si>
  <si>
    <t>Opferkeule</t>
  </si>
  <si>
    <t>Gespür der Keule</t>
  </si>
  <si>
    <t>Kraft der Keule</t>
  </si>
  <si>
    <t>Hilfe der Keule</t>
  </si>
  <si>
    <t>LE</t>
  </si>
  <si>
    <t>SO</t>
  </si>
  <si>
    <t>automatische Nachteile</t>
  </si>
  <si>
    <t>Ortskenntnis</t>
  </si>
  <si>
    <t>Zyklopeninseln</t>
  </si>
  <si>
    <t>Amazonenburg</t>
  </si>
  <si>
    <t>Mhanadistan</t>
  </si>
  <si>
    <t>Ferkina</t>
  </si>
  <si>
    <t>Zahori</t>
  </si>
  <si>
    <t>Erzzwerge</t>
  </si>
  <si>
    <t>Hügelzwerge</t>
  </si>
  <si>
    <t>Leichte Reiterei (Söldner)</t>
  </si>
  <si>
    <t>Schütze (Söldner)</t>
  </si>
  <si>
    <t>Verwandlung beenden</t>
  </si>
  <si>
    <t>Vipernblick</t>
  </si>
  <si>
    <t xml:space="preserve">Khurkachai Tairachi -Tairachs Krieger </t>
  </si>
  <si>
    <t>Eigene Talente</t>
  </si>
  <si>
    <t>Meta-Talente</t>
  </si>
  <si>
    <t>Metatalente</t>
  </si>
  <si>
    <t>aktiv</t>
  </si>
  <si>
    <t>Nahrung sammeln</t>
  </si>
  <si>
    <t>Kräuter suchen</t>
  </si>
  <si>
    <t>Wache halten</t>
  </si>
  <si>
    <t>Ansitzjagd Armbrust</t>
  </si>
  <si>
    <t>3 AsP + X</t>
  </si>
  <si>
    <t>Sonnenwende</t>
  </si>
  <si>
    <t>1 Meile</t>
  </si>
  <si>
    <t>5 AsP/SR</t>
  </si>
  <si>
    <t>ZfWx200 Mei.</t>
  </si>
  <si>
    <t>15 AsP</t>
  </si>
  <si>
    <t>L/S: Unauer Glyphen</t>
  </si>
  <si>
    <t>L/S: Ur-Tulamidya</t>
  </si>
  <si>
    <t>L/S: Zhayad</t>
  </si>
  <si>
    <t>Erwerb</t>
  </si>
  <si>
    <t>Fackel</t>
  </si>
  <si>
    <t>Felsspalter</t>
  </si>
  <si>
    <t>Fleischerbeil</t>
  </si>
  <si>
    <t>Florett</t>
  </si>
  <si>
    <t>Geißel</t>
  </si>
  <si>
    <t>Glefe</t>
  </si>
  <si>
    <t>Merkmal-Nr.</t>
  </si>
  <si>
    <t>Multiplikator</t>
  </si>
  <si>
    <t>Nachteile Generierung</t>
  </si>
  <si>
    <t>Nachteile Frei</t>
  </si>
  <si>
    <t>Nachteile Zweitberuf</t>
  </si>
  <si>
    <t>Elem (Wasser), Eign</t>
  </si>
  <si>
    <t>Waffentalent</t>
  </si>
  <si>
    <t>WM-AT</t>
  </si>
  <si>
    <t>Segen der Heiligen Ardare</t>
  </si>
  <si>
    <t>Herrschsucht</t>
  </si>
  <si>
    <t>Eiserner Wille II</t>
  </si>
  <si>
    <t>Elementarharmonisierte Aura</t>
  </si>
  <si>
    <t>Hiebwaffen</t>
  </si>
  <si>
    <t>Raufen</t>
  </si>
  <si>
    <t>Säbel</t>
  </si>
  <si>
    <t>Wurfmesser</t>
  </si>
  <si>
    <t>--</t>
  </si>
  <si>
    <t>3 AsP/10A.</t>
  </si>
  <si>
    <t>7A+W6L/1A</t>
  </si>
  <si>
    <t>Objk, Umwt, Elem (Feuer), Elem (Eis)</t>
  </si>
  <si>
    <t>Kampf (Waffenlos)</t>
  </si>
  <si>
    <t>Astrale Meditation</t>
  </si>
  <si>
    <t>Schattenlarve</t>
  </si>
  <si>
    <t>Segen der Heiligen Theria</t>
  </si>
  <si>
    <t>Travias Gebet der verborgenen Halle</t>
  </si>
  <si>
    <t>Tsas ewige Jugend</t>
  </si>
  <si>
    <t>schl. Eig.</t>
  </si>
  <si>
    <t>NT_HEIMKRANK</t>
  </si>
  <si>
    <t>Krieger aus Eslamsgrund</t>
  </si>
  <si>
    <t>Krieger aus Winhall</t>
  </si>
  <si>
    <t>Schwertgeselle nach Adersin</t>
  </si>
  <si>
    <t>Adlige Abstammung</t>
  </si>
  <si>
    <t>Adliges Erbe</t>
  </si>
  <si>
    <t>Finte</t>
  </si>
  <si>
    <t>max. 20 KR</t>
  </si>
  <si>
    <t>Wegelagerer</t>
  </si>
  <si>
    <t>Goldgier 7</t>
  </si>
  <si>
    <t>Lug und Trug</t>
  </si>
  <si>
    <t>Mannschaftssegen</t>
  </si>
  <si>
    <t>Konzil der Elemente zu Drakonia (Wasser)</t>
  </si>
  <si>
    <t>Konzil der Elemente zu Drakonia (Luft)</t>
  </si>
  <si>
    <t>Für Sonderfertigkeiten auf den Link klicken. Die Auswahl erfolgt auf der Seite "Eigenschaften". ►</t>
  </si>
  <si>
    <t>Alc</t>
  </si>
  <si>
    <t>Weitere Repräsentationen</t>
  </si>
  <si>
    <t>Krötensprung</t>
  </si>
  <si>
    <t>Bund des Wahren Glaubens (spät), Prediger vom</t>
  </si>
  <si>
    <t>Efferd -Geweihter (spät)</t>
  </si>
  <si>
    <t>unbegrenzt</t>
  </si>
  <si>
    <t>Ruf zur Ruhe</t>
  </si>
  <si>
    <t>Schlaf des Gesegneten</t>
  </si>
  <si>
    <t>Schutzsegen</t>
  </si>
  <si>
    <t>Segnung der Stählernen Stirn</t>
  </si>
  <si>
    <t>Speisesegen</t>
  </si>
  <si>
    <t>─────</t>
  </si>
  <si>
    <t>Dauer</t>
  </si>
  <si>
    <t>Krötenkuss</t>
  </si>
  <si>
    <t>Mit Blindheit schlagen</t>
  </si>
  <si>
    <t>Pech an den Hals</t>
  </si>
  <si>
    <t>Pestilenz</t>
  </si>
  <si>
    <t>Schlaf rauben</t>
  </si>
  <si>
    <t>Todesfluch</t>
  </si>
  <si>
    <t>Unfruchtbarkeit</t>
  </si>
  <si>
    <t>Wipfelläufer (Wildnisläufer)</t>
  </si>
  <si>
    <t>Steppenreiter  (Wildnisläufer)</t>
  </si>
  <si>
    <t>Auenläufer  (Wildnisläufer)</t>
  </si>
  <si>
    <t>Dunkle Halle der Geister zu Brabak</t>
  </si>
  <si>
    <t>Konzil der Elemente zu Drakonia (Feuer)</t>
  </si>
  <si>
    <t>Konzil der Elemente zu Drakonia (Humus)</t>
  </si>
  <si>
    <t>+1</t>
  </si>
  <si>
    <t>Magierstab (Flamme)</t>
  </si>
  <si>
    <t>Balancieren</t>
  </si>
  <si>
    <t>Bodenakrobatik</t>
  </si>
  <si>
    <t>Schwingen</t>
  </si>
  <si>
    <t>Sprünge</t>
  </si>
  <si>
    <t>Winden</t>
  </si>
  <si>
    <t>Hochsprung</t>
  </si>
  <si>
    <t>ZfW Schritt</t>
  </si>
  <si>
    <t>Mag 2</t>
  </si>
  <si>
    <t>ZfWx3 Schritt</t>
  </si>
  <si>
    <t>ZfP*x5 KR</t>
  </si>
  <si>
    <t>6+3 AsP</t>
  </si>
  <si>
    <t>5 AsP</t>
  </si>
  <si>
    <t>Schild</t>
  </si>
  <si>
    <t>Parierwaffe</t>
  </si>
  <si>
    <t>Berechnung Steigerungsspalte</t>
  </si>
  <si>
    <t>Miniwatu</t>
  </si>
  <si>
    <t>Südaventurien</t>
  </si>
  <si>
    <t>Bukanier</t>
  </si>
  <si>
    <t>13 (1 perm.)</t>
  </si>
  <si>
    <t>1 pro 100 Karat</t>
  </si>
  <si>
    <t>11 (1 perm.)</t>
  </si>
  <si>
    <t>17</t>
  </si>
  <si>
    <t>Elfischer Jagdspieß</t>
  </si>
  <si>
    <t>Elfischer Jagdspieß Mensch</t>
  </si>
  <si>
    <t>Ordination</t>
  </si>
  <si>
    <t>Phexens Nebelleib</t>
  </si>
  <si>
    <t>Phexens Sternenwurf</t>
  </si>
  <si>
    <t>Praios' Magiebann</t>
  </si>
  <si>
    <t>Karren/Wagen</t>
  </si>
  <si>
    <t>Schlitten</t>
  </si>
  <si>
    <t>Segelschiff</t>
  </si>
  <si>
    <t>Mineralien</t>
  </si>
  <si>
    <t>Pflanzen</t>
  </si>
  <si>
    <t>Tiere</t>
  </si>
  <si>
    <t>Stoffdruck</t>
  </si>
  <si>
    <t>Abbildungen</t>
  </si>
  <si>
    <t>Ornamente</t>
  </si>
  <si>
    <t>-2/+1</t>
  </si>
  <si>
    <t>Windhaller Wolfsjäger</t>
  </si>
  <si>
    <t>Steppenhund</t>
  </si>
  <si>
    <t>Therengar-Terrier</t>
  </si>
  <si>
    <t>Bornländer</t>
  </si>
  <si>
    <t>Brüllaffe</t>
  </si>
  <si>
    <t>Otan-Otan</t>
  </si>
  <si>
    <t>Scheunenkatze</t>
  </si>
  <si>
    <t>Burgenkatze</t>
  </si>
  <si>
    <t>Aranier</t>
  </si>
  <si>
    <t>Al'Anfaner</t>
  </si>
  <si>
    <t>Ch ay Zhamorrah</t>
  </si>
  <si>
    <t>Rote Jungfern</t>
  </si>
  <si>
    <t>Pechnatter</t>
  </si>
  <si>
    <t>Smaragdnatter</t>
  </si>
  <si>
    <t>bis Gegenprobe</t>
  </si>
  <si>
    <t>27</t>
  </si>
  <si>
    <t>9</t>
  </si>
  <si>
    <t>15</t>
  </si>
  <si>
    <t>8</t>
  </si>
  <si>
    <t>KH-Verlauf</t>
  </si>
  <si>
    <t>Akademie der geistigen Kraft zu Fasar (gemäßigt)</t>
  </si>
  <si>
    <t>Akademie der geistigen Kraft zu Fasar (hart)</t>
  </si>
  <si>
    <t>Bannakademie Fasar</t>
  </si>
  <si>
    <t>Halle des Quecksilbers zu Festum</t>
  </si>
  <si>
    <t>Schule des direkten Weges zu Gerasim</t>
  </si>
  <si>
    <t>Akademie der Erscheinungen zu Grangor</t>
  </si>
  <si>
    <t>Drachenei-Akademie zu Khunchom</t>
  </si>
  <si>
    <t>Halle der Antimagie zu Kuslik</t>
  </si>
  <si>
    <t>Halle der Metamorphosen zu Kuslik</t>
  </si>
  <si>
    <t>Halle der Macht zu Lowangen</t>
  </si>
  <si>
    <t>Breitgefächerte Bildung</t>
  </si>
  <si>
    <t>Eidetisches Gedächtnis</t>
  </si>
  <si>
    <t>Feenfreund</t>
  </si>
  <si>
    <t>Gebildet</t>
  </si>
  <si>
    <t>Herausragende Balance</t>
  </si>
  <si>
    <t>Herausragender Sinn</t>
  </si>
  <si>
    <t>Herausragendes Aussehen</t>
  </si>
  <si>
    <t>für</t>
  </si>
  <si>
    <t>bzw.</t>
  </si>
  <si>
    <t>VT_HEILUNG</t>
  </si>
  <si>
    <t>0</t>
  </si>
  <si>
    <t>4</t>
  </si>
  <si>
    <t>alle AsP Kröte</t>
  </si>
  <si>
    <t>NT_AU</t>
  </si>
  <si>
    <t>NT_AU_WERT</t>
  </si>
  <si>
    <t>Einbusse AuP:</t>
  </si>
  <si>
    <t>Einbusse LeP:</t>
  </si>
  <si>
    <t>VT_AU</t>
  </si>
  <si>
    <t>0L</t>
  </si>
  <si>
    <t>Cereborns Handreichung</t>
  </si>
  <si>
    <t>Das Schwarze Fell durch das Rote Blut</t>
  </si>
  <si>
    <t>Der Gänsemutter warmes Nest</t>
  </si>
  <si>
    <t>LeP o. AsP</t>
  </si>
  <si>
    <t>3 LeP</t>
  </si>
  <si>
    <t>+7</t>
  </si>
  <si>
    <t>+5</t>
  </si>
  <si>
    <t>19</t>
  </si>
  <si>
    <t>21</t>
  </si>
  <si>
    <t>2</t>
  </si>
  <si>
    <t>RkP*/2 SR</t>
  </si>
  <si>
    <t>das Leben</t>
  </si>
  <si>
    <t>Druide</t>
  </si>
  <si>
    <t>Sorgenlied</t>
  </si>
  <si>
    <t>Zaubermelodie</t>
  </si>
  <si>
    <t>Flammenschwert</t>
  </si>
  <si>
    <t>VT_ASP_WERT</t>
  </si>
  <si>
    <t>VT_AU_WERT</t>
  </si>
  <si>
    <t>VT_MR_WERT</t>
  </si>
  <si>
    <t>---- ELF --------------------------</t>
  </si>
  <si>
    <t>Kristallomantische Rituale</t>
  </si>
  <si>
    <t>---- Kristallomantische Rituale ---</t>
  </si>
  <si>
    <t>---- Kugelzauber ---------------------</t>
  </si>
  <si>
    <t>---- Schalenzauber ------------------</t>
  </si>
  <si>
    <t>Glyphe der elementaren Bannung</t>
  </si>
  <si>
    <t>Zeichen der Zauberschmiede</t>
  </si>
  <si>
    <t>Zähne des Feuers</t>
  </si>
  <si>
    <t>Markierung des Todes</t>
  </si>
  <si>
    <t>Fanal der Herrschaft</t>
  </si>
  <si>
    <t>Besw, Dämo</t>
  </si>
  <si>
    <t>3 SR</t>
  </si>
  <si>
    <t>Geis, Vers</t>
  </si>
  <si>
    <t>▼</t>
  </si>
  <si>
    <t>ZfP*/2 Stunden</t>
  </si>
  <si>
    <t>Kurzritual</t>
  </si>
  <si>
    <t>Resistenz gegen Tiergifte</t>
  </si>
  <si>
    <t>Eingeschränkte Elementarnähe (Fels, Luft, Eis)</t>
  </si>
  <si>
    <t>Eingeschränkte Elementarnähe (Wind, Feuer, Eis)</t>
  </si>
  <si>
    <t>Eingeschränkte Elementarnähe (Fels, Wind, Wasser)</t>
  </si>
  <si>
    <t>Platzangst 6</t>
  </si>
  <si>
    <t>Trz</t>
  </si>
  <si>
    <t>Anrufung der Winde</t>
  </si>
  <si>
    <t>Kriegskunst</t>
  </si>
  <si>
    <t>Kryptographie</t>
  </si>
  <si>
    <t>Magiekunde</t>
  </si>
  <si>
    <t>Mechanik</t>
  </si>
  <si>
    <t>Pflanzenkunde</t>
  </si>
  <si>
    <t>Philosophie</t>
  </si>
  <si>
    <t>Rechnen</t>
  </si>
  <si>
    <t>Rechtskunde</t>
  </si>
  <si>
    <t>Schätzen</t>
  </si>
  <si>
    <t>Schiffbau</t>
  </si>
  <si>
    <t>Hesinde-Geweihte (spät): Ordenskrieger, Draconiter, Profaner Zweig</t>
  </si>
  <si>
    <t>Hesinde-Geweihte (spät): Ordenskrieger, Draconiter, Arkaner Zweig</t>
  </si>
  <si>
    <t>Hesinde-Geweihte (spät): Schwesternschaft der Mada</t>
  </si>
  <si>
    <t>Horas-Ritter (spät)</t>
  </si>
  <si>
    <t>H'Szint -Priester (spät)</t>
  </si>
  <si>
    <t>Ifirn-Geweihte (spät)</t>
  </si>
  <si>
    <t>Form, Elem (Luft)</t>
  </si>
  <si>
    <t>3W6+3/m</t>
  </si>
  <si>
    <t>Limb, Krft</t>
  </si>
  <si>
    <t>3/m²</t>
  </si>
  <si>
    <t>Z, B</t>
  </si>
  <si>
    <t>ZfP* x 6 Std.</t>
  </si>
  <si>
    <r>
      <t>Ritualdauer Sch</t>
    </r>
    <r>
      <rPr>
        <sz val="10"/>
        <rFont val="Times New Roman"/>
        <family val="1"/>
      </rPr>
      <t xml:space="preserve">: </t>
    </r>
    <r>
      <rPr>
        <b/>
        <sz val="10"/>
        <rFont val="Times New Roman"/>
        <family val="1"/>
      </rPr>
      <t>Spontanritual</t>
    </r>
    <r>
      <rPr>
        <sz val="10"/>
        <rFont val="Times New Roman"/>
        <family val="1"/>
      </rPr>
      <t xml:space="preserve">=5-15 Aktionen, </t>
    </r>
    <r>
      <rPr>
        <b/>
        <sz val="10"/>
        <rFont val="Times New Roman"/>
        <family val="1"/>
      </rPr>
      <t>Kurzritual</t>
    </r>
    <r>
      <rPr>
        <sz val="10"/>
        <rFont val="Times New Roman"/>
        <family val="1"/>
      </rPr>
      <t xml:space="preserve">=1 SR, </t>
    </r>
    <r>
      <rPr>
        <b/>
        <sz val="10"/>
        <rFont val="Times New Roman"/>
        <family val="1"/>
      </rPr>
      <t>Ritual</t>
    </r>
    <r>
      <rPr>
        <sz val="10"/>
        <rFont val="Times New Roman"/>
        <family val="1"/>
      </rPr>
      <t xml:space="preserve">=1/2 Stunde, </t>
    </r>
    <r>
      <rPr>
        <b/>
        <sz val="10"/>
        <rFont val="Times New Roman"/>
        <family val="1"/>
      </rPr>
      <t>Grossritual</t>
    </r>
    <r>
      <rPr>
        <sz val="10"/>
        <rFont val="Times New Roman"/>
        <family val="1"/>
      </rPr>
      <t xml:space="preserve">=mehrere Stunden, </t>
    </r>
    <r>
      <rPr>
        <b/>
        <sz val="10"/>
        <rFont val="Times New Roman"/>
        <family val="1"/>
      </rPr>
      <t>Zyklus</t>
    </r>
    <r>
      <rPr>
        <sz val="10"/>
        <rFont val="Times New Roman"/>
        <family val="1"/>
      </rPr>
      <t>=mehr. Tage</t>
    </r>
  </si>
  <si>
    <t>RkP* x 10KR</t>
  </si>
  <si>
    <t>RkP* Monate</t>
  </si>
  <si>
    <t>RkP* Jahre</t>
  </si>
  <si>
    <t>Nicht im LC!!</t>
  </si>
  <si>
    <t>Startwert</t>
  </si>
  <si>
    <t>AP Gesamt:</t>
  </si>
  <si>
    <t>GP Spalte links</t>
  </si>
  <si>
    <t>GP Spalte rechts</t>
  </si>
  <si>
    <t>Freie Vorteile</t>
  </si>
  <si>
    <t>Beschreibung/Alle</t>
  </si>
  <si>
    <t>Rass</t>
  </si>
  <si>
    <t>Kult</t>
  </si>
  <si>
    <t>Prof</t>
  </si>
  <si>
    <t>Vorteile: Addition von Werten</t>
  </si>
  <si>
    <t>Gen</t>
  </si>
  <si>
    <t>Frei</t>
  </si>
  <si>
    <t>2.Prof</t>
  </si>
  <si>
    <t>Gutschrift</t>
  </si>
  <si>
    <t>Wert?</t>
  </si>
  <si>
    <t>Übernahme Vorteilsliste</t>
  </si>
  <si>
    <t>Auge der ewigen Wacht</t>
  </si>
  <si>
    <t>Auge des Basilisken</t>
  </si>
  <si>
    <t>Satinavs Siegel</t>
  </si>
  <si>
    <t>Schutzsiegel</t>
  </si>
  <si>
    <t>------- Bann und Schutzkreise----------</t>
  </si>
  <si>
    <t>Ach 1, Mag 2</t>
  </si>
  <si>
    <t>Spätweihe Angrosch</t>
  </si>
  <si>
    <t>Dythlinds Wandeln im Feuer</t>
  </si>
  <si>
    <t>Ehrenhafter Zweikampf</t>
  </si>
  <si>
    <t>Ein Bild für die Ewigkeit</t>
  </si>
  <si>
    <t>Elementwandlung</t>
  </si>
  <si>
    <t>+3/Pers.</t>
  </si>
  <si>
    <t>2 je Pers. + AuP</t>
  </si>
  <si>
    <t>Ansitzjagd Bogen</t>
  </si>
  <si>
    <t>Ansitzjagd Blasrohr</t>
  </si>
  <si>
    <t>Ansitzjagd Schleuder</t>
  </si>
  <si>
    <t>Ansitzjagd Wurfspeer</t>
  </si>
  <si>
    <t>Ansitzjagd Wurfbeil</t>
  </si>
  <si>
    <t>Pirschjagd Bogen</t>
  </si>
  <si>
    <t>Pirschjagd Blasrohr</t>
  </si>
  <si>
    <t>Musizieren</t>
  </si>
  <si>
    <t>Schlösser Knacken</t>
  </si>
  <si>
    <t>Plumbumbarum schwerer Arm</t>
  </si>
  <si>
    <t>Projektimago Ebenbild</t>
  </si>
  <si>
    <t>Protectionis Kontrabann</t>
  </si>
  <si>
    <t>Reflectimago Spiegelschein</t>
  </si>
  <si>
    <t>Reptilea Natternnest</t>
  </si>
  <si>
    <t>Akademie des Magischen Wissens zu Methumis</t>
  </si>
  <si>
    <t>Hüttenkunde</t>
  </si>
  <si>
    <t>WaffenSpez 1</t>
  </si>
  <si>
    <t>WaffenSpez 2</t>
  </si>
  <si>
    <t>8 AsP + X</t>
  </si>
  <si>
    <t>7 AsP + X</t>
  </si>
  <si>
    <t>Boron-Geweihter:  (Puniner Ritus) (Diener Golgaris)</t>
  </si>
  <si>
    <t>Ist dein Held magiebegabt solltest du auch die Zauber steigern. Auch hier gilt: einfach klicken.  ►►►</t>
  </si>
  <si>
    <t>Sonderfertigktn.</t>
  </si>
  <si>
    <t>6 SR</t>
  </si>
  <si>
    <t>Maraskankundig</t>
  </si>
  <si>
    <t>11+3 AsP/SR</t>
  </si>
  <si>
    <t>ZfW. Schritt</t>
  </si>
  <si>
    <t>9+1A/10RS</t>
  </si>
  <si>
    <t>Zsahh</t>
  </si>
  <si>
    <t>Praios</t>
  </si>
  <si>
    <t>Efferd</t>
  </si>
  <si>
    <t>Travia</t>
  </si>
  <si>
    <t>Boron</t>
  </si>
  <si>
    <t>Speisung der Bedürftigen</t>
  </si>
  <si>
    <t>Brenne toter Stoff !</t>
  </si>
  <si>
    <t>Caldofrigo heiss und kalt</t>
  </si>
  <si>
    <t>Chimaeroform Hybridgestalt</t>
  </si>
  <si>
    <t>Chronoklassis Urfossil</t>
  </si>
  <si>
    <t>Chrononautus Zeitenfahrt</t>
  </si>
  <si>
    <t>Claudibus Clavistibor</t>
  </si>
  <si>
    <t>Corpofesso Gliederschmerz</t>
  </si>
  <si>
    <t>Corpofrigo Kälteschock</t>
  </si>
  <si>
    <t>Cryptographo Zauberschrift</t>
  </si>
  <si>
    <t>Custodosigil Diebesbann</t>
  </si>
  <si>
    <t>Deliciosi Gaumenschmaus</t>
  </si>
  <si>
    <t>Desintegratus Pulverstaub</t>
  </si>
  <si>
    <t>Destructibo Arcanitas</t>
  </si>
  <si>
    <t>Dichter und Denker</t>
  </si>
  <si>
    <t>Duplicatus Doppelbild</t>
  </si>
  <si>
    <t>Vertrauter_Rabe</t>
  </si>
  <si>
    <t>Vertrauter_Schlange</t>
  </si>
  <si>
    <t>Vertrauter_Spinne</t>
  </si>
  <si>
    <t>Vertrauter_Wildkatze</t>
  </si>
  <si>
    <t>Vertrautenmagie II</t>
  </si>
  <si>
    <t>Ritual:</t>
  </si>
  <si>
    <t>Nandusgefälliges Wissen</t>
  </si>
  <si>
    <t>Vertrautenarten :Startwerte</t>
  </si>
  <si>
    <t>Speikobra</t>
  </si>
  <si>
    <t xml:space="preserve">min. </t>
  </si>
  <si>
    <t>ZfW Schritt R.</t>
  </si>
  <si>
    <t>ZfP* Stunden</t>
  </si>
  <si>
    <t>Nahkampfwaffe</t>
  </si>
  <si>
    <t>Typ/eBE</t>
  </si>
  <si>
    <t>DK</t>
  </si>
  <si>
    <t>TP</t>
  </si>
  <si>
    <t>TP/KK</t>
  </si>
  <si>
    <t>INI</t>
  </si>
  <si>
    <t>WM</t>
  </si>
  <si>
    <t>Bruchfaktor</t>
  </si>
  <si>
    <t>Sonderfertigkeiten</t>
  </si>
  <si>
    <t>Fernkampfwaffe</t>
  </si>
  <si>
    <t>Rattenfänger</t>
  </si>
  <si>
    <t>Schmuggler</t>
  </si>
  <si>
    <t>Schreiber</t>
  </si>
  <si>
    <t>Archofaxius</t>
  </si>
  <si>
    <t>Armatrutz</t>
  </si>
  <si>
    <t>Atemnot</t>
  </si>
  <si>
    <t>RkP*x3 KR (A)</t>
  </si>
  <si>
    <t>Name:</t>
  </si>
  <si>
    <t>Art:</t>
  </si>
  <si>
    <t>verbilligt: Repräsentation</t>
  </si>
  <si>
    <t>7H</t>
  </si>
  <si>
    <t>6H</t>
  </si>
  <si>
    <t>5H</t>
  </si>
  <si>
    <t>Tsas Heiliges Lebensgeschenk</t>
  </si>
  <si>
    <t>Tsas wunderbare Erneuerung</t>
  </si>
  <si>
    <t>Über die Wolken</t>
  </si>
  <si>
    <t>Wandeln in Hesindes Hain</t>
  </si>
  <si>
    <t>Weihegesang der Heiligen Elida</t>
  </si>
  <si>
    <t>Achmad'ayan ankhrellah al'nurach Shaitanim</t>
  </si>
  <si>
    <t>Arcanum Interdictum</t>
  </si>
  <si>
    <t>Dorlens Verbrüderung</t>
  </si>
  <si>
    <t>VERKETTEN VT Gen:</t>
  </si>
  <si>
    <t>VT_RSTG</t>
  </si>
  <si>
    <t>VT_RSTG_WERT</t>
  </si>
  <si>
    <t>Muss aktiv unter Kampfwerte ausgewählt werden</t>
  </si>
  <si>
    <t>Rochshaz</t>
  </si>
  <si>
    <t>Bornland</t>
  </si>
  <si>
    <t>Metamagie neutralisieren</t>
  </si>
  <si>
    <t>Motoricus</t>
  </si>
  <si>
    <t>Nackedei</t>
  </si>
  <si>
    <t>Waffenrune (Aescruna)</t>
  </si>
  <si>
    <t>Drachenrune (Fylgjarruna)</t>
  </si>
  <si>
    <t>----- DRUIDE----------------</t>
  </si>
  <si>
    <t>Horasischer Reiterharnisch</t>
  </si>
  <si>
    <t>S/P</t>
  </si>
  <si>
    <t>Hausknecht/-magd</t>
  </si>
  <si>
    <t>---- Schuppenbeutel --------------</t>
  </si>
  <si>
    <t>Bannbaladin</t>
  </si>
  <si>
    <t>Belhalharbann</t>
  </si>
  <si>
    <t>Beschwörung vereiteln</t>
  </si>
  <si>
    <t>Bewegung stören</t>
  </si>
  <si>
    <t>Blakharaz-Bann</t>
  </si>
  <si>
    <t>Blendwerk</t>
  </si>
  <si>
    <t>2H-Schwerter</t>
  </si>
  <si>
    <t>Schneeläufer (Wildnisläufer)</t>
  </si>
  <si>
    <t>Geschütz-Fähnrich aus Albenhus</t>
  </si>
  <si>
    <t>Boron-Geweihte (spät): Golgarith geweiht [Punin]</t>
  </si>
  <si>
    <t>Boron (spät): Golgarith nicht geweiht [Punin]</t>
  </si>
  <si>
    <t>Auelfischer Kämpfer</t>
  </si>
  <si>
    <t>Steppenelfischer Kämpfer</t>
  </si>
  <si>
    <t>Waldelfischer Kämpfer</t>
  </si>
  <si>
    <t>Firnelfischer Kämpfer</t>
  </si>
  <si>
    <t>gegebene Unfähigkeit:</t>
  </si>
  <si>
    <t>Brot- und Zuckerbäcker</t>
  </si>
  <si>
    <t>Dachdecker</t>
  </si>
  <si>
    <t>Tanz der Gemeinschaft</t>
  </si>
  <si>
    <t>Tanz der Weisheit</t>
  </si>
  <si>
    <t>Tanz der Unantastbarkeit</t>
  </si>
  <si>
    <t>Selinata</t>
  </si>
  <si>
    <t>Madayana</t>
  </si>
  <si>
    <t>Friedenslied</t>
  </si>
  <si>
    <t>Windgeflüster</t>
  </si>
  <si>
    <t>Lied der Lieder</t>
  </si>
  <si>
    <t>Erinnerungsmelodie</t>
  </si>
  <si>
    <t>Melodie der Kunstfertigkeit</t>
  </si>
  <si>
    <t>Lied des Trostes</t>
  </si>
  <si>
    <t>Lied der Reinheit</t>
  </si>
  <si>
    <t>je +2</t>
  </si>
  <si>
    <t>+6</t>
  </si>
  <si>
    <t>5</t>
  </si>
  <si>
    <t>Höhenangst</t>
  </si>
  <si>
    <t>Jähzorn</t>
  </si>
  <si>
    <t>Kältestarre</t>
  </si>
  <si>
    <t>Krankhafte Reinlichkeit</t>
  </si>
  <si>
    <t>Elf mit Magierlaufbahn?</t>
  </si>
  <si>
    <t>Merkmal 1 - Profession</t>
  </si>
  <si>
    <t>Merkmal 2 - Profession</t>
  </si>
  <si>
    <t>Färber</t>
  </si>
  <si>
    <t>Gerber/Kürschner</t>
  </si>
  <si>
    <t>Glasbläser</t>
  </si>
  <si>
    <t>Neugier 7</t>
  </si>
  <si>
    <t>Instrumentenbauer</t>
  </si>
  <si>
    <t>Koch</t>
  </si>
  <si>
    <t>Maurer</t>
  </si>
  <si>
    <t>Müller</t>
  </si>
  <si>
    <t>Sattler/Schuster</t>
  </si>
  <si>
    <t>Schiffszimmermann</t>
  </si>
  <si>
    <t>Gleichklang des Geistes</t>
  </si>
  <si>
    <t>Glückssegen</t>
  </si>
  <si>
    <t>4 AsP/SR</t>
  </si>
  <si>
    <t>Feuersegen</t>
  </si>
  <si>
    <t>Frieden der Melodie</t>
  </si>
  <si>
    <t>Geburtssegen</t>
  </si>
  <si>
    <t>Meisterliche Regeneration</t>
  </si>
  <si>
    <t>Meisterliche Zauberkontrolle</t>
  </si>
  <si>
    <t>Ottagaldr</t>
  </si>
  <si>
    <t>Regeneration II</t>
  </si>
  <si>
    <t>Runenkunde</t>
  </si>
  <si>
    <t>Nachteile variable GP</t>
  </si>
  <si>
    <t>Talent:</t>
  </si>
  <si>
    <t>Talentgruppe:</t>
  </si>
  <si>
    <t>Stoerrebrandt-Kolleg zu Riva (Leibwächter)</t>
  </si>
  <si>
    <t>Phex-Geweihter</t>
  </si>
  <si>
    <t>Phex-Geweihter: Betrüger</t>
  </si>
  <si>
    <t>Phex-Geweihter: Beutelschneider</t>
  </si>
  <si>
    <t>Phex-Geweihter: Fassadenkletterer</t>
  </si>
  <si>
    <t>Phex-Geweihter: Händler</t>
  </si>
  <si>
    <t>Phex-Geweihter: Hehler</t>
  </si>
  <si>
    <t>Phex-Geweihter: Intrigant</t>
  </si>
  <si>
    <t xml:space="preserve">Heimführung der Herde </t>
  </si>
  <si>
    <t>Kurzschwert</t>
  </si>
  <si>
    <t>ZfW*7 Schritt</t>
  </si>
  <si>
    <t>Heilkunde Krankheiten</t>
  </si>
  <si>
    <t>Leib des Feuers</t>
  </si>
  <si>
    <t>Leib des Windes</t>
  </si>
  <si>
    <t>Leidensbote</t>
  </si>
  <si>
    <t>Leidensbund</t>
  </si>
  <si>
    <t>Levthans Feuer</t>
  </si>
  <si>
    <t>Limbus versiegeln</t>
  </si>
  <si>
    <t>Lolgramothbann</t>
  </si>
  <si>
    <t>Luftbann</t>
  </si>
  <si>
    <t>Madas Spiegel</t>
  </si>
  <si>
    <t>Magischer Raub</t>
  </si>
  <si>
    <t>Mahlstrom</t>
  </si>
  <si>
    <t>Spätweihe</t>
  </si>
  <si>
    <t>Karmalqueste alv. Götter</t>
  </si>
  <si>
    <t>Karmalqueste nicht alv. Götter</t>
  </si>
  <si>
    <t>Wurfdolch</t>
  </si>
  <si>
    <t>Wurfkeule</t>
  </si>
  <si>
    <t>Wurfspeer</t>
  </si>
  <si>
    <t>Wurmspieß</t>
  </si>
  <si>
    <t>Zweihänder</t>
  </si>
  <si>
    <t>Zweililien</t>
  </si>
  <si>
    <t>Zwergenschlägel</t>
  </si>
  <si>
    <t>Fehler</t>
  </si>
  <si>
    <t>doppelt?</t>
  </si>
  <si>
    <t>Vorteile Zweitprof</t>
  </si>
  <si>
    <t>Applicatus Zauberspeicher</t>
  </si>
  <si>
    <t>Arachnea Krabbeltier</t>
  </si>
  <si>
    <t>Arcanovi Artefakt</t>
  </si>
  <si>
    <t>Aureolus Güldenglanz</t>
  </si>
  <si>
    <t>Auris Nasus Oculus</t>
  </si>
  <si>
    <t>Axxeleratus Blitzgeschwind</t>
  </si>
  <si>
    <t>Balsam Salabunde</t>
  </si>
  <si>
    <t>Bärenruhe Winterschlaf</t>
  </si>
  <si>
    <t>Götter</t>
  </si>
  <si>
    <t>Liturgiekenntnis</t>
  </si>
  <si>
    <t>Liturgiekenntniswert</t>
  </si>
  <si>
    <t>Schwimmen (Tauchen)</t>
  </si>
  <si>
    <t>Hehler</t>
  </si>
  <si>
    <t>Tauschhändler</t>
  </si>
  <si>
    <t>Herausragende Eigenschaften</t>
  </si>
  <si>
    <t>2. EIGN /Steigerungspkt</t>
  </si>
  <si>
    <t>3. EIGN /Steigerungspkt</t>
  </si>
  <si>
    <t>4. EIGN /Steigerungspkt</t>
  </si>
  <si>
    <t>Schutzkreis gegen Ungeziefer</t>
  </si>
  <si>
    <t>Schutzkreis gegen Traumgänger</t>
  </si>
  <si>
    <t>Runen</t>
  </si>
  <si>
    <t>Arkanoglyphen</t>
  </si>
  <si>
    <t>Talente</t>
  </si>
  <si>
    <t>SF Waffenlos</t>
  </si>
  <si>
    <t>SF Fernkampf</t>
  </si>
  <si>
    <t>SF Magische</t>
  </si>
  <si>
    <t>SF Merkmale</t>
  </si>
  <si>
    <t>SF Schutzkreise</t>
  </si>
  <si>
    <t>Schlangenbeschwörer</t>
  </si>
  <si>
    <t>Thalusischer Wegelagerer</t>
  </si>
  <si>
    <t>Ascandears Hingabe</t>
  </si>
  <si>
    <t>Aura der Form</t>
  </si>
  <si>
    <t>Aura des Regenbogens</t>
  </si>
  <si>
    <t>6L</t>
  </si>
  <si>
    <t>Startwert Kultur</t>
  </si>
  <si>
    <t>Eintrag Kultur</t>
  </si>
  <si>
    <t>Eintrag Profession</t>
  </si>
  <si>
    <t>+1 /2 Pers.</t>
  </si>
  <si>
    <t>RkP*x2 h</t>
  </si>
  <si>
    <t>Tul</t>
  </si>
  <si>
    <t>Haz</t>
  </si>
  <si>
    <t>Nov</t>
  </si>
  <si>
    <t>Maj</t>
  </si>
  <si>
    <t>3 AsP+1/SR</t>
  </si>
  <si>
    <t>speziell</t>
  </si>
  <si>
    <t>Wolfskind (nicht willentlich)</t>
  </si>
  <si>
    <t>Praios-Geweihte (spät): Ordenskrieger Sonnenlegion</t>
  </si>
  <si>
    <t>Praios-Geweihte (spät): Ucuriaten</t>
  </si>
  <si>
    <t>Rahja-Geweihte (spät)</t>
  </si>
  <si>
    <t>Kreis der Einfühlung in den nördl. Salamandersteinen</t>
  </si>
  <si>
    <t>Holterdipolter</t>
  </si>
  <si>
    <t>Hornissenruf</t>
  </si>
  <si>
    <t>Weisung des Himmels</t>
  </si>
  <si>
    <t>Wundersame Blütenpracht</t>
  </si>
  <si>
    <t>Allmacht der Lohe</t>
  </si>
  <si>
    <t>Am Busen der Natur</t>
  </si>
  <si>
    <t>Angroschs Opfergabe</t>
  </si>
  <si>
    <t>Anrufung der Erdkraft</t>
  </si>
  <si>
    <t>Intuition</t>
  </si>
  <si>
    <t>Charisma</t>
  </si>
  <si>
    <t>Fingerfertigkeit</t>
  </si>
  <si>
    <t>Gewandheit</t>
  </si>
  <si>
    <t>Konstitution</t>
  </si>
  <si>
    <t>Körperkraft</t>
  </si>
  <si>
    <t>Gaben</t>
  </si>
  <si>
    <t>schlechte Eigensch.</t>
  </si>
  <si>
    <t>Ogerschelle</t>
  </si>
  <si>
    <t>Orknase</t>
  </si>
  <si>
    <t>Vorteile Generierung</t>
  </si>
  <si>
    <t>Vorteile Frei</t>
  </si>
  <si>
    <t>Vorteil Zweitprofession</t>
  </si>
  <si>
    <t>Vorteile mit Wert</t>
  </si>
  <si>
    <t>Vorhanden:</t>
  </si>
  <si>
    <t>Summe /doppelt</t>
  </si>
  <si>
    <t>All</t>
  </si>
  <si>
    <t>Verketten Vorteile</t>
  </si>
  <si>
    <t>Nebelleib</t>
  </si>
  <si>
    <t>Niederhöllen Eisgestalt</t>
  </si>
  <si>
    <t>Objecto Obscuro</t>
  </si>
  <si>
    <t>Objectofixo</t>
  </si>
  <si>
    <t>Objectovoco</t>
  </si>
  <si>
    <t>Objekt entzaubern</t>
  </si>
  <si>
    <t>Orcanofaxius</t>
  </si>
  <si>
    <t>Orcanosphaero</t>
  </si>
  <si>
    <t>Pandaemonium</t>
  </si>
  <si>
    <t xml:space="preserve">CH </t>
  </si>
  <si>
    <t>8 AsP</t>
  </si>
  <si>
    <t>Boron-Geweihte (spät): Noioniten [Punin]</t>
  </si>
  <si>
    <t>Boron-Geweihte (spät): Noioniten [Al'Anfa]</t>
  </si>
  <si>
    <t>NT_REGNRTN</t>
  </si>
  <si>
    <t>NT_ASTRBLOCK</t>
  </si>
  <si>
    <t>Götter/Kulte</t>
  </si>
  <si>
    <t>L/S: Tulamidya</t>
  </si>
  <si>
    <t>Tuchrüstung</t>
  </si>
  <si>
    <t>Wattierter Waffenrock</t>
  </si>
  <si>
    <t>Bart</t>
  </si>
  <si>
    <t>VT_TIERFRND</t>
  </si>
  <si>
    <t>Ingerimm-Geweihte: Bruderschaft des lodernden Feuers</t>
  </si>
  <si>
    <t>Nandus-Geweihte</t>
  </si>
  <si>
    <t>Nandus-Geweihte: Marktschreiber</t>
  </si>
  <si>
    <t>Nandus-Geweihte: Volkslehrer</t>
  </si>
  <si>
    <t>Nandus-Geweihte: Rechtshelfer</t>
  </si>
  <si>
    <t>Peraine-Geweihte: Noviziat in der Stadt</t>
  </si>
  <si>
    <t>Peraine-Geweihte: Noviziat auf dem Land</t>
  </si>
  <si>
    <t>Magierrapier</t>
  </si>
  <si>
    <t>10/20/40/80/150</t>
  </si>
  <si>
    <t>Eigeboren</t>
  </si>
  <si>
    <t>Eisenaffine Aura</t>
  </si>
  <si>
    <t>Feste Matrix</t>
  </si>
  <si>
    <r>
      <t xml:space="preserve">Achtung: </t>
    </r>
    <r>
      <rPr>
        <sz val="10"/>
        <rFont val="Arial"/>
        <family val="2"/>
      </rPr>
      <t>Manueller Anpassungsaufwand notwendig!</t>
    </r>
  </si>
  <si>
    <t>Die Verbilligung muss auch bei den SF manuell eingetragen werden durch das Setzen von "x" in Spalte C bzw. U</t>
  </si>
  <si>
    <t>SE anzeigen?</t>
  </si>
  <si>
    <t>Ritual-Kenntnis</t>
  </si>
  <si>
    <t>Ritualname</t>
  </si>
  <si>
    <t>Repräsentation</t>
  </si>
  <si>
    <t>Hexe finden</t>
  </si>
  <si>
    <t>Tarnung</t>
  </si>
  <si>
    <t>Krötengift</t>
  </si>
  <si>
    <t>Krötenschlag</t>
  </si>
  <si>
    <t>2/SR</t>
  </si>
  <si>
    <t>3+2/SR</t>
  </si>
  <si>
    <t>3</t>
  </si>
  <si>
    <t>Boron-Geweihte (spät): Marbiden  [Punin]</t>
  </si>
  <si>
    <t>Boron-Geweihte (spät): Etilianer  [Punin]</t>
  </si>
  <si>
    <t>Boron-Geweihte (spät): Ordenskrieger, Orden des HI. Laguan  [Punin]</t>
  </si>
  <si>
    <t>verbilligt: Merkmale</t>
  </si>
  <si>
    <t>verbilligt: Magische</t>
  </si>
  <si>
    <t>verbilligt: Waffenlos</t>
  </si>
  <si>
    <t>1/3/5/7/10</t>
  </si>
  <si>
    <t>2/4/8/12/20</t>
  </si>
  <si>
    <t>3/6/10/15/25</t>
  </si>
  <si>
    <t>0/5/10/15/20</t>
  </si>
  <si>
    <t>5/10/15/25/40</t>
  </si>
  <si>
    <t>0/5/20/40/60</t>
  </si>
  <si>
    <t>Segnung der Schlacht</t>
  </si>
  <si>
    <t>Swafnirs Fluke</t>
  </si>
  <si>
    <t>Travias Gebet der sicheren Zuflucht</t>
  </si>
  <si>
    <t>VT_HALBZBR</t>
  </si>
  <si>
    <t>Mohisch</t>
  </si>
  <si>
    <t>Einsatz:</t>
  </si>
  <si>
    <r>
      <t xml:space="preserve">Astralenergie-Punkte </t>
    </r>
    <r>
      <rPr>
        <b/>
        <sz val="10"/>
        <rFont val="Arial"/>
        <family val="2"/>
      </rPr>
      <t>(AsP)</t>
    </r>
  </si>
  <si>
    <r>
      <t xml:space="preserve">Permanente AsP </t>
    </r>
    <r>
      <rPr>
        <b/>
        <sz val="10"/>
        <rFont val="Arial"/>
        <family val="2"/>
      </rPr>
      <t>(pAsP)</t>
    </r>
  </si>
  <si>
    <t>Etilias Zeit der Meditation</t>
  </si>
  <si>
    <t>Faktor 2. Merkmal</t>
  </si>
  <si>
    <t>Viertelzauber</t>
  </si>
  <si>
    <t>Für HALBELFEN noch:</t>
  </si>
  <si>
    <t>VRTLZBR_ZAUBER</t>
  </si>
  <si>
    <t>Nagrach-Bann</t>
  </si>
  <si>
    <t>Kriegsbogen</t>
  </si>
  <si>
    <t>Kurzbogen</t>
  </si>
  <si>
    <t>Langbogen</t>
  </si>
  <si>
    <t>Orkischer Reiterbogen</t>
  </si>
  <si>
    <t>Illu</t>
  </si>
  <si>
    <t>FK</t>
  </si>
  <si>
    <t>L/S: Hjaldingsche Runen</t>
  </si>
  <si>
    <t>Trollisch</t>
  </si>
  <si>
    <t>Kartograph</t>
  </si>
  <si>
    <t>Kauffahrer</t>
  </si>
  <si>
    <t>Seefischer</t>
  </si>
  <si>
    <t>Meereskundig</t>
  </si>
  <si>
    <t>Perlenfischer</t>
  </si>
  <si>
    <t>Sklavenjäger</t>
  </si>
  <si>
    <t>Rinderhirte (Weidener Kuhbursche)</t>
  </si>
  <si>
    <t>Schäfer</t>
  </si>
  <si>
    <t>Viehdieb</t>
  </si>
  <si>
    <t>Kostenlose Vorteile</t>
  </si>
  <si>
    <t>1 AsP/5R+SR</t>
  </si>
  <si>
    <t>+1 pro Meile</t>
  </si>
  <si>
    <t xml:space="preserve">Herr über das Tierreich </t>
  </si>
  <si>
    <t xml:space="preserve">Herz des Tieres </t>
  </si>
  <si>
    <t xml:space="preserve">Hilferuf </t>
  </si>
  <si>
    <t xml:space="preserve">Invicatio Minor </t>
  </si>
  <si>
    <t>Utu, Ork, Ach</t>
  </si>
  <si>
    <t xml:space="preserve">Jagdfieber </t>
  </si>
  <si>
    <t>+5/h</t>
  </si>
  <si>
    <t>10 pro Stunde</t>
  </si>
  <si>
    <t>Rondra-Geweihte (spät)</t>
  </si>
  <si>
    <t>Thorwalerschild</t>
  </si>
  <si>
    <t>Leuchtendes Zeichen</t>
  </si>
  <si>
    <t>Singendes Zeichen</t>
  </si>
  <si>
    <t>Siegel der Seelenruhe</t>
  </si>
  <si>
    <t>Scha, Elem (Humus)</t>
  </si>
  <si>
    <t>Anti, Elem (Wasser)</t>
  </si>
  <si>
    <t>Anti, Elem (Luft)</t>
  </si>
  <si>
    <t>Anti, Elem (Humus)</t>
  </si>
  <si>
    <t>Schwarzer Schrecken</t>
  </si>
  <si>
    <t>Seelenfeuer lichterloh</t>
  </si>
  <si>
    <t>VT_MR</t>
  </si>
  <si>
    <t>VT_LEP</t>
  </si>
  <si>
    <t>Zus. Lebenspunkte:</t>
  </si>
  <si>
    <t>Erhöhte MR:</t>
  </si>
  <si>
    <t>zus. AsP:</t>
  </si>
  <si>
    <t>zus. AuP:</t>
  </si>
  <si>
    <t>Verpflichtungen (Kalif)</t>
  </si>
  <si>
    <t>2/4/8/15/25</t>
  </si>
  <si>
    <t>5/10/15/20/40</t>
  </si>
  <si>
    <t>10/15/25/40/60</t>
  </si>
  <si>
    <t>10/30/60/100/180</t>
  </si>
  <si>
    <t>10/25/50/100/200</t>
  </si>
  <si>
    <t>10/20/35/50/80</t>
  </si>
  <si>
    <t>max. 1 SR</t>
  </si>
  <si>
    <t>Anti, Krft, Meta</t>
  </si>
  <si>
    <t>..0</t>
  </si>
  <si>
    <t>Basistalente</t>
  </si>
  <si>
    <t>Phexens Kunstverstand</t>
  </si>
  <si>
    <t>Rahjas Rauschsegen</t>
  </si>
  <si>
    <t>Reisesegen</t>
  </si>
  <si>
    <t>Ruf der Gefährten</t>
  </si>
  <si>
    <t>Schlangenstab</t>
  </si>
  <si>
    <t>Schutz des Geleges</t>
  </si>
  <si>
    <t>Segen des Plättlings</t>
  </si>
  <si>
    <t>Sichere Wanderung im Schnee</t>
  </si>
  <si>
    <t>Sicht auf Madas Welt</t>
  </si>
  <si>
    <t>Simias Kelch</t>
  </si>
  <si>
    <t>Sternenglanz</t>
  </si>
  <si>
    <t>Sternenspur</t>
  </si>
  <si>
    <t>Sulvas Gnade</t>
  </si>
  <si>
    <t>Tierempathie</t>
  </si>
  <si>
    <t>Trophäe erhalten</t>
  </si>
  <si>
    <t>Tsas Segensreicher Neuanfang</t>
  </si>
  <si>
    <t>Ucuris Geleit</t>
  </si>
  <si>
    <t>Vertrauter der Flamme</t>
  </si>
  <si>
    <t>Methode</t>
  </si>
  <si>
    <t>Einfluss bannen</t>
  </si>
  <si>
    <t>Eins mit der Natur</t>
  </si>
  <si>
    <t>Eisbann</t>
  </si>
  <si>
    <t>Eiswirbel</t>
  </si>
  <si>
    <t>Elementarbann</t>
  </si>
  <si>
    <t>Elementarer Diener</t>
  </si>
  <si>
    <t>Elementarer Wirbel</t>
  </si>
  <si>
    <t>Erzbann</t>
  </si>
  <si>
    <t>Zwergenwuchs</t>
  </si>
  <si>
    <t>Zwergen</t>
  </si>
  <si>
    <t xml:space="preserve">Ausdauernd </t>
  </si>
  <si>
    <t>Meisterent</t>
  </si>
  <si>
    <t>Musizieren+1</t>
  </si>
  <si>
    <t>Macht über den Regen</t>
  </si>
  <si>
    <t>Magnetismus</t>
  </si>
  <si>
    <t>Randgruppe (Piratenfreunde, zweifelhafter rechtlicher Status)</t>
  </si>
  <si>
    <t>Krankheitsanfällig</t>
  </si>
  <si>
    <t>Kurzatmig</t>
  </si>
  <si>
    <t>Lahm</t>
  </si>
  <si>
    <t>Zweitprofessions-Gattung:</t>
  </si>
  <si>
    <t>B, Sichtw.</t>
  </si>
  <si>
    <t xml:space="preserve">Z </t>
  </si>
  <si>
    <t>Zaubertänze</t>
  </si>
  <si>
    <t>Verbilligte Rituale</t>
  </si>
  <si>
    <t>Jähzorn 6</t>
  </si>
  <si>
    <t>Feste Gewohnheit (Erdgebundenheit)</t>
  </si>
  <si>
    <t>Anti, Elem (Erz)</t>
  </si>
  <si>
    <t>Anti, Elem (Feuer)</t>
  </si>
  <si>
    <t>Scha, Elem (Eis)</t>
  </si>
  <si>
    <t>Tele, Elem (Eis), Scha</t>
  </si>
  <si>
    <t>Scha, Elem (Luft)</t>
  </si>
  <si>
    <t>Verketten Fehler Vorteile:</t>
  </si>
  <si>
    <t>Verketten Fehler Nachteile:</t>
  </si>
  <si>
    <t>Verketten gegebener Vorteile:</t>
  </si>
  <si>
    <t>Nivesenstämme</t>
  </si>
  <si>
    <t>Norbardensippe</t>
  </si>
  <si>
    <t>Trollzacken</t>
  </si>
  <si>
    <t>Brilliantzwerge</t>
  </si>
  <si>
    <t>Ambosszwerge</t>
  </si>
  <si>
    <t>ZK</t>
  </si>
  <si>
    <t>Trollzacker</t>
  </si>
  <si>
    <t>Ork</t>
  </si>
  <si>
    <t>Halbork</t>
  </si>
  <si>
    <t>Tulamide</t>
  </si>
  <si>
    <t>Nivese</t>
  </si>
  <si>
    <t>Norbarde</t>
  </si>
  <si>
    <t>Haut des Odûn</t>
  </si>
  <si>
    <t>Blut des Odûn</t>
  </si>
  <si>
    <t>Ruf des Odûn</t>
  </si>
  <si>
    <t>Seele des Odûn</t>
  </si>
  <si>
    <t>Tierkr.</t>
  </si>
  <si>
    <t>min. 1 SR</t>
  </si>
  <si>
    <t>Phexens Geschmeide</t>
  </si>
  <si>
    <t>Satinavs Gabe</t>
  </si>
  <si>
    <t>Der</t>
  </si>
  <si>
    <t>Dun</t>
  </si>
  <si>
    <t>Vertrauten AP Guthaben</t>
  </si>
  <si>
    <t>L/S: Kusliker Zeichen</t>
  </si>
  <si>
    <t>L/S: Nanduria</t>
  </si>
  <si>
    <t>L/S: Rogolan</t>
  </si>
  <si>
    <t>Geister bannen</t>
  </si>
  <si>
    <t>Geister rufen</t>
  </si>
  <si>
    <t>Geister binden</t>
  </si>
  <si>
    <t>Geister aufnehmen</t>
  </si>
  <si>
    <t>2 AsP/S. R.</t>
  </si>
  <si>
    <t>ZfWx20 Schritt</t>
  </si>
  <si>
    <t>1 Minute (A)</t>
  </si>
  <si>
    <t>GE,KK, KO max. 11 bei Generierung: Danach mittels Tanz der Madas weiter steigerbar ;Körperliche &amp; Kampftalente nur um eine Spalte schwerer, sofern Tanz der Mada nicht beherrscht wird (nur für körperliche Talente möglich)</t>
  </si>
  <si>
    <t>Hypervehemenz</t>
  </si>
  <si>
    <t>Konzentrationsstärke</t>
  </si>
  <si>
    <t>Kraftkontrolle</t>
  </si>
  <si>
    <t>Kraftlinienmagie I</t>
  </si>
  <si>
    <t>Kraftlinienmagie II</t>
  </si>
  <si>
    <t>Lockeres Zaubern</t>
  </si>
  <si>
    <t>Matrixkontrolle</t>
  </si>
  <si>
    <t>Matrixregeneration I</t>
  </si>
  <si>
    <t>Einfl</t>
  </si>
  <si>
    <t>ZfP* Monate</t>
  </si>
  <si>
    <t>Tele</t>
  </si>
  <si>
    <t>bis SA</t>
  </si>
  <si>
    <t>Objk, Meta</t>
  </si>
  <si>
    <t>11 (Bor W20)</t>
  </si>
  <si>
    <t>Wasserschlauch 3.75 Mass</t>
  </si>
  <si>
    <t>Kletterseil 10 Schritt</t>
  </si>
  <si>
    <t>Lachkranpf</t>
  </si>
  <si>
    <t>Langer Lulatsch</t>
  </si>
  <si>
    <t>Last des Alters</t>
  </si>
  <si>
    <t>Leib der Erde</t>
  </si>
  <si>
    <t>Leib der Wogen</t>
  </si>
  <si>
    <t>Ist er Fremdem gegenüber aufgeschlossen?</t>
  </si>
  <si>
    <t>Welcher Stellenwert hat Leben für den Helden?</t>
  </si>
  <si>
    <t>Wie steht der Held zu Tieren?</t>
  </si>
  <si>
    <t>Schlangenmensch</t>
  </si>
  <si>
    <t>Schnelle Heilung</t>
  </si>
  <si>
    <t>Wohlklang</t>
  </si>
  <si>
    <t>Zeitgefühl</t>
  </si>
  <si>
    <t>Goetterdiener</t>
  </si>
  <si>
    <t>Grad ursprünglich</t>
  </si>
  <si>
    <t>Grad neu</t>
  </si>
  <si>
    <t>Ziel neu</t>
  </si>
  <si>
    <t>Ritualdauer neu</t>
  </si>
  <si>
    <t>Wirkungsdauer neu</t>
  </si>
  <si>
    <t>Reichweite neu</t>
  </si>
  <si>
    <t># Grad angehoben</t>
  </si>
  <si>
    <t>AP Liturgien/Rituale:</t>
  </si>
  <si>
    <t>Rondra</t>
  </si>
  <si>
    <t>1.Profession Startwert</t>
  </si>
  <si>
    <t>1.Profession Endwert</t>
  </si>
  <si>
    <t>2.Profession Startwert</t>
  </si>
  <si>
    <t>Taugenichts</t>
  </si>
  <si>
    <t>Tierbändiger</t>
  </si>
  <si>
    <t>Wirt</t>
  </si>
  <si>
    <t>Wundarzt</t>
  </si>
  <si>
    <t>Tulamidische Stadtstaaten</t>
  </si>
  <si>
    <t>SF Artefaktherstellung:</t>
  </si>
  <si>
    <t>Perraine</t>
  </si>
  <si>
    <t>Horas</t>
  </si>
  <si>
    <t>Spätweihe Ingerimm</t>
  </si>
  <si>
    <t>Spätweihe Rahja</t>
  </si>
  <si>
    <t>Karmale und Klerikale</t>
  </si>
  <si>
    <t>Transmutation der Elemente</t>
  </si>
  <si>
    <t>Bindung des Schuppenbeutels</t>
  </si>
  <si>
    <t>Suchenden Finger</t>
  </si>
  <si>
    <t>Ewige Wegzehrung</t>
  </si>
  <si>
    <t>Druidenrache</t>
  </si>
  <si>
    <t>+2</t>
  </si>
  <si>
    <t>1</t>
  </si>
  <si>
    <t>RkP* SR</t>
  </si>
  <si>
    <t>1 LeP</t>
  </si>
  <si>
    <t>variabel</t>
  </si>
  <si>
    <t>Elem, Umwt</t>
  </si>
  <si>
    <t>Verbindungen 20</t>
  </si>
  <si>
    <t>Elem (Feuer)</t>
  </si>
  <si>
    <t>Infanterie-Fähnrich aus Honingen</t>
  </si>
  <si>
    <t>Ausrüstungsvorteil: 1GP pro 15 Dukaten; Acht Talente vor Spielbeginn aktivieren</t>
  </si>
  <si>
    <t>Dilettant</t>
  </si>
  <si>
    <t>Winzer</t>
  </si>
  <si>
    <t>Höhlenkundig</t>
  </si>
  <si>
    <t>Hausdiener</t>
  </si>
  <si>
    <t>Bindung der Kugel</t>
  </si>
  <si>
    <t>Brennglas und Prisma</t>
  </si>
  <si>
    <t>Schutz gegen Untote</t>
  </si>
  <si>
    <t>Warnendes Leuchten</t>
  </si>
  <si>
    <t>Kugel des Hellsehers</t>
  </si>
  <si>
    <t>Kugel des Illusionisten</t>
  </si>
  <si>
    <t>Exkommunikation</t>
  </si>
  <si>
    <t>Gaukeleien</t>
  </si>
  <si>
    <t>Wappen/Porträt</t>
  </si>
  <si>
    <t xml:space="preserve"> Stand</t>
  </si>
  <si>
    <t xml:space="preserve"> Sozialstatus</t>
  </si>
  <si>
    <t>Haindruide</t>
  </si>
  <si>
    <t>Wolfskind (willentlich)</t>
  </si>
  <si>
    <t>spez.</t>
  </si>
  <si>
    <t xml:space="preserve"> Geschlecht</t>
  </si>
  <si>
    <t>Gruufhai</t>
  </si>
  <si>
    <t>Hakendolch</t>
  </si>
  <si>
    <t>Hakenspieß</t>
  </si>
  <si>
    <t>Haumesser</t>
  </si>
  <si>
    <t>Hellebarde</t>
  </si>
  <si>
    <t>Holzfälleraxt</t>
  </si>
  <si>
    <t>Holzspeer</t>
  </si>
  <si>
    <t>Jagdmesser</t>
  </si>
  <si>
    <t>Jagdspieß</t>
  </si>
  <si>
    <t>Kampfstab</t>
  </si>
  <si>
    <t>Kettenstab</t>
  </si>
  <si>
    <t>Keule</t>
  </si>
  <si>
    <t>Kampfgespür (INI+2)</t>
  </si>
  <si>
    <t>Kampfreflexe (INI+4)</t>
  </si>
  <si>
    <t>AP hinzu nach Genrg.:</t>
  </si>
  <si>
    <t>weitere Zauber</t>
  </si>
  <si>
    <t>Anatomische Akademie zu Vinsalt</t>
  </si>
  <si>
    <t>Unfähigkeit für [Merkmal] Dämo</t>
  </si>
  <si>
    <t>Konzilsdruide (Feuer)</t>
  </si>
  <si>
    <t>Konzilsdruide (Humus)</t>
  </si>
  <si>
    <t>Göttliches Zeichen</t>
  </si>
  <si>
    <t>Grabsegen</t>
  </si>
  <si>
    <t>Blasrohr</t>
  </si>
  <si>
    <t>Bogen</t>
  </si>
  <si>
    <t>Diskus</t>
  </si>
  <si>
    <t>Fechtwaffen</t>
  </si>
  <si>
    <t>Infanteriewaffen</t>
  </si>
  <si>
    <t>Akademische Ausbildung (Gelehrter)</t>
  </si>
  <si>
    <t>Modifikationen</t>
  </si>
  <si>
    <t>Boron-Geweihter: (Al'Anfaner Ritus) (Diener Bishdariels)</t>
  </si>
  <si>
    <t>Boron-Geweihter:  (Al'Anfaner Ritus) (Diener Bishdariels) (Diplomat)</t>
  </si>
  <si>
    <t>Waldmensch</t>
  </si>
  <si>
    <t>Fjarninger</t>
  </si>
  <si>
    <t>Dschungelstämme</t>
  </si>
  <si>
    <t>Alle grade</t>
  </si>
  <si>
    <t>Grad I,</t>
  </si>
  <si>
    <t>Grad II,</t>
  </si>
  <si>
    <t>Grad III,</t>
  </si>
  <si>
    <t>Grad IV,</t>
  </si>
  <si>
    <t>Grad V,</t>
  </si>
  <si>
    <t>Grad VI,</t>
  </si>
  <si>
    <t>Athletik</t>
  </si>
  <si>
    <t>Phexens Elsterflug</t>
  </si>
  <si>
    <t>Praios' Mahnung</t>
  </si>
  <si>
    <t>Purgation</t>
  </si>
  <si>
    <t>Quellsegen</t>
  </si>
  <si>
    <t>Rahjalinas Weinranke</t>
  </si>
  <si>
    <t>Rahjas Fest der Freude</t>
  </si>
  <si>
    <t>Rastullah</t>
  </si>
  <si>
    <t>H'Ranga</t>
  </si>
  <si>
    <t>Mokoscha</t>
  </si>
  <si>
    <t>Rur &amp; Gror</t>
  </si>
  <si>
    <t>Ucuri</t>
  </si>
  <si>
    <t>Höhere Dämonenbindung</t>
  </si>
  <si>
    <t>Ritualkenntnis - FREMD</t>
  </si>
  <si>
    <t>Ritualkenntnis-Werte fremd:</t>
  </si>
  <si>
    <t>Ritualkenntnis-Werte:</t>
  </si>
  <si>
    <t>W-Dauer</t>
  </si>
  <si>
    <t>R-Dauer</t>
  </si>
  <si>
    <t xml:space="preserve">Tairachs Fluch </t>
  </si>
  <si>
    <t>Wattierte Kappe</t>
  </si>
  <si>
    <t>Gambeson</t>
  </si>
  <si>
    <t>Vorteile wählen:</t>
  </si>
  <si>
    <t>7.</t>
  </si>
  <si>
    <t>Attributo</t>
  </si>
  <si>
    <t>SF Auswahl verbilligt</t>
  </si>
  <si>
    <t>Begabung</t>
  </si>
  <si>
    <t>Sprachen, Schriften, Dialekte</t>
  </si>
  <si>
    <t>SKT</t>
  </si>
  <si>
    <t>Komplexität</t>
  </si>
  <si>
    <t>Holzwaffen</t>
  </si>
  <si>
    <t>Beinschnitzerei</t>
  </si>
  <si>
    <t>Küfer</t>
  </si>
  <si>
    <t>Möbel</t>
  </si>
  <si>
    <t>Schnitzen</t>
  </si>
  <si>
    <t>Saiteninstr.</t>
  </si>
  <si>
    <t>Tasteninstr.</t>
  </si>
  <si>
    <t>Trommel</t>
  </si>
  <si>
    <t>Dirigieren</t>
  </si>
  <si>
    <t>Komponieren</t>
  </si>
  <si>
    <t>Küsten</t>
  </si>
  <si>
    <t>Landschaft</t>
  </si>
  <si>
    <t>Backen/Braten</t>
  </si>
  <si>
    <t>Festmahl</t>
  </si>
  <si>
    <t>Konservieren</t>
  </si>
  <si>
    <t>Marschversg.</t>
  </si>
  <si>
    <t>Trank</t>
  </si>
  <si>
    <t>Vorkoster</t>
  </si>
  <si>
    <t>Gurte</t>
  </si>
  <si>
    <t>Sättel</t>
  </si>
  <si>
    <t>Schuhwerk</t>
  </si>
  <si>
    <t>Porträt</t>
  </si>
  <si>
    <t>Würgegriff</t>
  </si>
  <si>
    <t>Wurf</t>
  </si>
  <si>
    <t>Waffenlos Bornländisch</t>
  </si>
  <si>
    <t>Waffenlos Gladiatorenstil</t>
  </si>
  <si>
    <t>Waffenlos Hammerfaust</t>
  </si>
  <si>
    <t>Waffenlos Hruruzat</t>
  </si>
  <si>
    <t>Waffenlos Mercenario</t>
  </si>
  <si>
    <t>Eidechsenhaut</t>
  </si>
  <si>
    <t>Etilias Gnade</t>
  </si>
  <si>
    <t xml:space="preserve"> - unter mag. Beeinflussung</t>
  </si>
  <si>
    <t xml:space="preserve"> - frisch konvertierter Geweihte</t>
  </si>
  <si>
    <t xml:space="preserve"> - geweihter Boden 12-Gott</t>
  </si>
  <si>
    <t>Grad II</t>
  </si>
  <si>
    <t>Grad III</t>
  </si>
  <si>
    <t>VI</t>
  </si>
  <si>
    <t>J</t>
  </si>
  <si>
    <t>K</t>
  </si>
  <si>
    <t>Schamane</t>
  </si>
  <si>
    <t>GEWEIHTER</t>
  </si>
  <si>
    <t>SCHAMANE</t>
  </si>
  <si>
    <t>Mishkara-Bann</t>
  </si>
  <si>
    <t>Boron-Geweihter:  (Puniner Ritus) (Diener Bishdariels) (Diplomat)</t>
  </si>
  <si>
    <t>Boronsotter</t>
  </si>
  <si>
    <t>Uhu</t>
  </si>
  <si>
    <t>Blaufalke</t>
  </si>
  <si>
    <t>Hexenkatze</t>
  </si>
  <si>
    <t>Güldenschlange</t>
  </si>
  <si>
    <t>Sonnenaufgang</t>
  </si>
  <si>
    <t>11 AsP</t>
  </si>
  <si>
    <t>ZfP*x2 Stunden</t>
  </si>
  <si>
    <t>10 AsP + X</t>
  </si>
  <si>
    <t>7 AsP</t>
  </si>
  <si>
    <t>3 Schritt</t>
  </si>
  <si>
    <t>Rahja Geweihte: Orden der Säbeltänzer</t>
  </si>
  <si>
    <t>Ewiger Wächter</t>
  </si>
  <si>
    <t>Ewiges Wissen</t>
  </si>
  <si>
    <t>Fünfte Lobpreisung des Frühlings</t>
  </si>
  <si>
    <t>Garafans Gleißende Schwingen</t>
  </si>
  <si>
    <t>Gebieter der Lava</t>
  </si>
  <si>
    <t>Großes Tabu</t>
  </si>
  <si>
    <t>Heilige Salbung der Peraine</t>
  </si>
  <si>
    <t>Ingerimms Zorn verschone uns</t>
  </si>
  <si>
    <t>Rationen</t>
  </si>
  <si>
    <t>Artillerist (Soldat)</t>
  </si>
  <si>
    <t>Koboldgeschenk</t>
  </si>
  <si>
    <t>Komm Kobold komm</t>
  </si>
  <si>
    <t>Körperlose Reise</t>
  </si>
  <si>
    <t>Konzil der Elemente zu Drakonia (Erz)</t>
  </si>
  <si>
    <t>Konzil der Elemente zu Drakonia (Eis)</t>
  </si>
  <si>
    <t>Klingenwand</t>
  </si>
  <si>
    <t>Meisterliches Entwaffnen</t>
  </si>
  <si>
    <t>Rüstungsgewöhnung III</t>
  </si>
  <si>
    <t>Schnelladen</t>
  </si>
  <si>
    <t>Spießgespann</t>
  </si>
  <si>
    <r>
      <t xml:space="preserve"> Magieresistenz</t>
    </r>
    <r>
      <rPr>
        <sz val="10"/>
        <rFont val="Georgia"/>
        <family val="1"/>
      </rPr>
      <t xml:space="preserve"> </t>
    </r>
    <r>
      <rPr>
        <sz val="10"/>
        <rFont val="Arial"/>
        <family val="2"/>
      </rPr>
      <t xml:space="preserve"> </t>
    </r>
    <r>
      <rPr>
        <sz val="6"/>
        <rFont val="Arial"/>
        <family val="2"/>
      </rPr>
      <t>(MU+KL+KO)/5</t>
    </r>
  </si>
  <si>
    <t>Spez. 1</t>
  </si>
  <si>
    <t>Spez.2</t>
  </si>
  <si>
    <t>Referenz Taw-Spez. 1</t>
  </si>
  <si>
    <t>Referenz Taw-Spez. 2</t>
  </si>
  <si>
    <t>Gegebene Taw-Spez</t>
  </si>
  <si>
    <t>Spez</t>
  </si>
  <si>
    <t>Bergsteigen</t>
  </si>
  <si>
    <t>Eisklettern</t>
  </si>
  <si>
    <t>Freiklettern</t>
  </si>
  <si>
    <t>Seilklettern</t>
  </si>
  <si>
    <t>Fallen</t>
  </si>
  <si>
    <t>Standfestigkeit</t>
  </si>
  <si>
    <t>Flugechse</t>
  </si>
  <si>
    <t>Eis/Schnee</t>
  </si>
  <si>
    <t>Gebäude</t>
  </si>
  <si>
    <t>Geröll</t>
  </si>
  <si>
    <t>Strasse</t>
  </si>
  <si>
    <t>Wald/Dschungel</t>
  </si>
  <si>
    <t>Langstrecken</t>
  </si>
  <si>
    <t>Schnell</t>
  </si>
  <si>
    <t>Tauchen</t>
  </si>
  <si>
    <t>UW-Kampf</t>
  </si>
  <si>
    <t>Schmerz</t>
  </si>
  <si>
    <t>Störungen</t>
  </si>
  <si>
    <t>Wunden</t>
  </si>
  <si>
    <t>Erschöpfung</t>
  </si>
  <si>
    <t>Stadt</t>
  </si>
  <si>
    <t>Grasland</t>
  </si>
  <si>
    <t>Gebirge</t>
  </si>
  <si>
    <t>Wüste</t>
  </si>
  <si>
    <t>Viehverstümmelung</t>
  </si>
  <si>
    <t>Warzen spriessen</t>
  </si>
  <si>
    <t>Kristallbindung</t>
  </si>
  <si>
    <t>Kristallformung</t>
  </si>
  <si>
    <t>Thesiskristall</t>
  </si>
  <si>
    <t>Madakristall</t>
  </si>
  <si>
    <t>Matrixkristall</t>
  </si>
  <si>
    <t>12 AsP+1/SR</t>
  </si>
  <si>
    <t>Objk, Temp</t>
  </si>
  <si>
    <t>Besw, Form, Temp</t>
  </si>
  <si>
    <t>Form, Temp</t>
  </si>
  <si>
    <t>Meta, Temp</t>
  </si>
  <si>
    <t>Temp, Form</t>
  </si>
  <si>
    <t>Anti, Tele</t>
  </si>
  <si>
    <t>Hell, Tele</t>
  </si>
  <si>
    <t>Tele, Elem (Feuer), Scha</t>
  </si>
  <si>
    <t>Tele, Illu</t>
  </si>
  <si>
    <t>Objk, Tele</t>
  </si>
  <si>
    <t>Elem (Luft), Tele</t>
  </si>
  <si>
    <t>Umwt, Elem (Erz)</t>
  </si>
  <si>
    <t>x</t>
  </si>
  <si>
    <t>Boron-Geweihter:  (Puniner Ritus) (Diener Bishdariels) (Militärbegleiter)</t>
  </si>
  <si>
    <t>Hadjinim-Orden, Al'Drakhorim</t>
  </si>
  <si>
    <t xml:space="preserve">Hadjinim-Orden, Beni Uchakâni </t>
  </si>
  <si>
    <t>Siegel der Ewigen Ruhe</t>
  </si>
  <si>
    <t>Unsichtbare Chronik</t>
  </si>
  <si>
    <t>Zib</t>
  </si>
  <si>
    <t>Blutrune (Eljudnirruna)</t>
  </si>
  <si>
    <t>Run4</t>
  </si>
  <si>
    <t>Run3</t>
  </si>
  <si>
    <t>Run5</t>
  </si>
  <si>
    <t>Run6</t>
  </si>
  <si>
    <t>Run1</t>
  </si>
  <si>
    <t>ACHTUNG: Bestehende Zuordnung der Zauberwerte zu den bisherigen Zaubern geht verloren!</t>
  </si>
  <si>
    <t>Kämpfer (Basis)</t>
  </si>
  <si>
    <t>Sinnenschärfe (Tastsinn)</t>
  </si>
  <si>
    <t>13/4</t>
  </si>
  <si>
    <t>12/2</t>
  </si>
  <si>
    <t>-2/-4</t>
  </si>
  <si>
    <t>-2/-3</t>
  </si>
  <si>
    <t>0/-4</t>
  </si>
  <si>
    <t>-1/-3</t>
  </si>
  <si>
    <t>0/+1</t>
  </si>
  <si>
    <t>+1/-1</t>
  </si>
  <si>
    <t>Bogenbau</t>
  </si>
  <si>
    <t>Grausamkeit</t>
  </si>
  <si>
    <t>Jagdfieber</t>
  </si>
  <si>
    <t>Konstruktionswahn</t>
  </si>
  <si>
    <t>Krankhafte Nekromantie</t>
  </si>
  <si>
    <t>Boron-Geweihter:  (Al'Anfaner Ritus) (Diplomat)</t>
  </si>
  <si>
    <t>Derwisch, Rufer der Macht Rastullahs</t>
  </si>
  <si>
    <t>Krieger aus Prem</t>
  </si>
  <si>
    <t>Krieger aus Vinsalt</t>
  </si>
  <si>
    <t>Krieger aus Thorwal</t>
  </si>
  <si>
    <t>Ausweichen I</t>
  </si>
  <si>
    <t>Linkhand</t>
  </si>
  <si>
    <t>Reiterkampf</t>
  </si>
  <si>
    <t>Rüstungsgewöhnung I</t>
  </si>
  <si>
    <t>Schildkampf I</t>
  </si>
  <si>
    <t>Aufmerksamkeit</t>
  </si>
  <si>
    <t>Boron-Geweihter:  (Puniner Ritus) (Diener Golgaris) (Militärbegleiter)</t>
  </si>
  <si>
    <t>Boron-Geweihter:  (Puniner Ritus) (Diener Golgaris) (Reisender Geweihte)</t>
  </si>
  <si>
    <t>verbilligt: Nahkampf</t>
  </si>
  <si>
    <t>verbilligt: Fernkampf</t>
  </si>
  <si>
    <t>Muttersprache</t>
  </si>
  <si>
    <t>Zweitsprache</t>
  </si>
  <si>
    <t>Anfangssprache</t>
  </si>
  <si>
    <t>Schriften</t>
  </si>
  <si>
    <t>gegebene Begabung:</t>
  </si>
  <si>
    <t>Großer Weihesegen der Waffe</t>
  </si>
  <si>
    <t>Rahjas Sinnlichkeit</t>
  </si>
  <si>
    <t>Zeile des Bezugs für SF Spalte 2</t>
  </si>
  <si>
    <t>Zauber:</t>
  </si>
  <si>
    <t>Merkmal:</t>
  </si>
  <si>
    <t>Hesinde-Geweihte: Pastori</t>
  </si>
  <si>
    <t>Hesinde-Geweihte:  Satori</t>
  </si>
  <si>
    <t>Sprechende Symbole</t>
  </si>
  <si>
    <t>Sterne funkeln immerfort</t>
  </si>
  <si>
    <t>Swafnirs Ruhelied</t>
  </si>
  <si>
    <t>Therbûns Erkenntnis</t>
  </si>
  <si>
    <t>Tranksegen</t>
  </si>
  <si>
    <t>Weg des Fuchses</t>
  </si>
  <si>
    <t>Weisheitssegen</t>
  </si>
  <si>
    <t>(Modifikationen):</t>
  </si>
  <si>
    <t>Ach</t>
  </si>
  <si>
    <t>Bor</t>
  </si>
  <si>
    <t>Elf</t>
  </si>
  <si>
    <t>Geo</t>
  </si>
  <si>
    <t>Hex</t>
  </si>
  <si>
    <t>Srl</t>
  </si>
  <si>
    <r>
      <t>Allgemein</t>
    </r>
    <r>
      <rPr>
        <sz val="7"/>
        <rFont val="Times New Roman"/>
        <family val="1"/>
      </rPr>
      <t xml:space="preserve"> (A) Aufrechterhalten, A: Aktion, AsP Astralpunkte, KR: Kampfrunde, MR: Magieresistenz, SR: Spielrunde, ZfP*: bei der Probe übrig behaltene Zauberfertigkeitspunkte, ZfW: Zauberfertigkeitswert</t>
    </r>
  </si>
  <si>
    <t>(4.a)</t>
  </si>
  <si>
    <t>Gebildet 5</t>
  </si>
  <si>
    <t>Kampfrausch</t>
  </si>
  <si>
    <t xml:space="preserve">Adlerschwinge </t>
  </si>
  <si>
    <t>III</t>
  </si>
  <si>
    <t>aufnehmen</t>
  </si>
  <si>
    <t xml:space="preserve">Arngrims Höhle </t>
  </si>
  <si>
    <t>Niv, Ach, Gja, Gob</t>
  </si>
  <si>
    <t xml:space="preserve">Attributo </t>
  </si>
  <si>
    <t>binden</t>
  </si>
  <si>
    <t xml:space="preserve">Aufmerksamer Wächter </t>
  </si>
  <si>
    <t>Gob, Wdm, Utu</t>
  </si>
  <si>
    <t>HEIGENSCHFTGP</t>
  </si>
  <si>
    <t>HEIGENSCHFT</t>
  </si>
  <si>
    <t>VT_HEIGEN_PKT</t>
  </si>
  <si>
    <t>Steigerungspunkte</t>
  </si>
  <si>
    <t>VT_SOZANPFGK</t>
  </si>
  <si>
    <t>Drakned-Glyphen</t>
  </si>
  <si>
    <t>Unauer Glyphen</t>
  </si>
  <si>
    <t>Gjalskisch</t>
  </si>
  <si>
    <t>Hjaldingsche Runen</t>
  </si>
  <si>
    <t>Kusliker Zeichen</t>
  </si>
  <si>
    <t>Nanduria</t>
  </si>
  <si>
    <t>Handwerkliche Talente</t>
  </si>
  <si>
    <t>Gesellschaftliche Talente</t>
  </si>
  <si>
    <t>Körperliche Talente</t>
  </si>
  <si>
    <t>Einbildungen</t>
  </si>
  <si>
    <t>Fährtensuchen</t>
  </si>
  <si>
    <t>Fallenstellen</t>
  </si>
  <si>
    <t>Fesseln/Entfesseln</t>
  </si>
  <si>
    <t>Fischen/Angeln</t>
  </si>
  <si>
    <t>Orientierung</t>
  </si>
  <si>
    <t>Seefischerei</t>
  </si>
  <si>
    <t>Wettervorhersage</t>
  </si>
  <si>
    <t>Wildnisleben</t>
  </si>
  <si>
    <t>Wissenstalente</t>
  </si>
  <si>
    <t>Anatomie</t>
  </si>
  <si>
    <t>Baukunst</t>
  </si>
  <si>
    <t>Geographie</t>
  </si>
  <si>
    <t>Geschichtswissen</t>
  </si>
  <si>
    <t>Gesteinskunde</t>
  </si>
  <si>
    <t>Heraldik</t>
  </si>
  <si>
    <t>Spinnenlauf</t>
  </si>
  <si>
    <t>6/11</t>
  </si>
  <si>
    <t>Rondra-Geweihte: Ordenskriegerin Rondrageweihte Amazone</t>
  </si>
  <si>
    <t>G(ZZ)</t>
  </si>
  <si>
    <t xml:space="preserve">Licht des Herrn </t>
  </si>
  <si>
    <t>P+P/P</t>
  </si>
  <si>
    <t>Schuppenpanzer</t>
  </si>
  <si>
    <t>Spiegelpanzer</t>
  </si>
  <si>
    <t>7 AsP+3/SR</t>
  </si>
  <si>
    <t>10 AsP+1/SR</t>
  </si>
  <si>
    <t xml:space="preserve">max. ZfP* SR </t>
  </si>
  <si>
    <t>Feuersturm</t>
  </si>
  <si>
    <t>Firnlauf</t>
  </si>
  <si>
    <t>Fledermausruf</t>
  </si>
  <si>
    <t>Umwt, Elem (Luft), Elem (Wasser)</t>
  </si>
  <si>
    <t>Glasknochen</t>
  </si>
  <si>
    <t>Goldgier</t>
  </si>
  <si>
    <t>Dunkelangst 5</t>
  </si>
  <si>
    <t>Unsichtbarer Jäger</t>
  </si>
  <si>
    <t>Valetudo Lebenskraft</t>
  </si>
  <si>
    <t>Veränderung aufheben</t>
  </si>
  <si>
    <t>Verschwindibus</t>
  </si>
  <si>
    <t>Verständigung stören</t>
  </si>
  <si>
    <t>Anti, Objk</t>
  </si>
  <si>
    <t>Elem, Rufe</t>
  </si>
  <si>
    <t>Anti, Rufe</t>
  </si>
  <si>
    <t>Rufe, Dämo (MKA)</t>
  </si>
  <si>
    <t>Einfl, Rufe, Limb</t>
  </si>
  <si>
    <t>Objk, Scha</t>
  </si>
  <si>
    <t>Scha, Krft</t>
  </si>
  <si>
    <t>Anti, Scha</t>
  </si>
  <si>
    <t>Eign, Scha</t>
  </si>
  <si>
    <t>Herr, Scha</t>
  </si>
  <si>
    <t>Hell, Temp</t>
  </si>
  <si>
    <t>Rufe, Temp</t>
  </si>
  <si>
    <r>
      <t>Entfernung</t>
    </r>
    <r>
      <rPr>
        <sz val="10"/>
        <rFont val="Times New Roman"/>
        <family val="1"/>
      </rPr>
      <t xml:space="preserve">: </t>
    </r>
    <r>
      <rPr>
        <b/>
        <sz val="10"/>
        <rFont val="Times New Roman"/>
        <family val="1"/>
      </rPr>
      <t>Selbst</t>
    </r>
    <r>
      <rPr>
        <sz val="10"/>
        <rFont val="Times New Roman"/>
        <family val="1"/>
      </rPr>
      <t xml:space="preserve">=Geweihter, </t>
    </r>
    <r>
      <rPr>
        <b/>
        <sz val="10"/>
        <rFont val="Times New Roman"/>
        <family val="1"/>
      </rPr>
      <t>Berührung</t>
    </r>
    <r>
      <rPr>
        <sz val="10"/>
        <rFont val="Times New Roman"/>
        <family val="1"/>
      </rPr>
      <t xml:space="preserve">=Berührtes durch Geweihten, </t>
    </r>
    <r>
      <rPr>
        <b/>
        <sz val="10"/>
        <rFont val="Times New Roman"/>
        <family val="1"/>
      </rPr>
      <t>Sicht</t>
    </r>
    <r>
      <rPr>
        <sz val="10"/>
        <rFont val="Times New Roman"/>
        <family val="1"/>
      </rPr>
      <t xml:space="preserve">: Innerhalb Sichtfeld, </t>
    </r>
    <r>
      <rPr>
        <b/>
        <sz val="10"/>
        <rFont val="Times New Roman"/>
        <family val="1"/>
      </rPr>
      <t>Fern</t>
    </r>
    <r>
      <rPr>
        <sz val="10"/>
        <rFont val="Times New Roman"/>
        <family val="1"/>
      </rPr>
      <t>: frei wählbarer Ort</t>
    </r>
  </si>
  <si>
    <t>Stammeskrieger der Fjarninger</t>
  </si>
  <si>
    <t>5/10/20/30/60</t>
  </si>
  <si>
    <t>10/20/30/45/60</t>
  </si>
  <si>
    <t>(+1/0/0/0/-1)</t>
  </si>
  <si>
    <t>(0/0/0/0/-2)</t>
  </si>
  <si>
    <t>(0/0/0/-1/-1)</t>
  </si>
  <si>
    <t>(+1/0/0/0/0)</t>
  </si>
  <si>
    <t>Verpflichtungen (Akademie, Weisse Gilde, Mittelreich)</t>
  </si>
  <si>
    <t>8+1AsP/SR</t>
  </si>
  <si>
    <t>5+1AsP/KR</t>
  </si>
  <si>
    <t>3+1A/Objekt</t>
  </si>
  <si>
    <t>Erzähler</t>
  </si>
  <si>
    <t>Skalde</t>
  </si>
  <si>
    <t>Hexenbesen</t>
  </si>
  <si>
    <t>Balayan nach Marwan Sahib</t>
  </si>
  <si>
    <t>Verpflichtungen (Marwan Sahib)</t>
  </si>
  <si>
    <t>7 Schritt</t>
  </si>
  <si>
    <t>Materialkunde</t>
  </si>
  <si>
    <t>Pumpen</t>
  </si>
  <si>
    <t>Windkraft</t>
  </si>
  <si>
    <t>Arithmetik</t>
  </si>
  <si>
    <t>Buchführung</t>
  </si>
  <si>
    <t>Geometrie</t>
  </si>
  <si>
    <t>Gilden</t>
  </si>
  <si>
    <t>Kirche</t>
  </si>
  <si>
    <t>Strafrecht</t>
  </si>
  <si>
    <t>Merkmalskenntnisse</t>
  </si>
  <si>
    <t>tatsächliches 1. Merkmal Prof.</t>
  </si>
  <si>
    <t>tatsächliches 2. Merkmal Prof.</t>
  </si>
  <si>
    <t>Schnaps Brennen</t>
  </si>
  <si>
    <t>Schneidern</t>
  </si>
  <si>
    <t>Praios-Geweihte (spät)</t>
  </si>
  <si>
    <t>Grossritual</t>
  </si>
  <si>
    <t>Ritual</t>
  </si>
  <si>
    <t>Bewahrer</t>
  </si>
  <si>
    <t>Former</t>
  </si>
  <si>
    <t>Kämpfer</t>
  </si>
  <si>
    <t>Legendensänger</t>
  </si>
  <si>
    <t>Zauberweber</t>
  </si>
  <si>
    <t>Entfernungen</t>
  </si>
  <si>
    <t>Mittelländer</t>
  </si>
  <si>
    <t>Thorwaler</t>
  </si>
  <si>
    <t>Weitere Werte</t>
  </si>
  <si>
    <t>Ritualkenntniss (Vertrautenmagie)</t>
  </si>
  <si>
    <t>Ritualkenntnisse</t>
  </si>
  <si>
    <t>Harmoniesegen</t>
  </si>
  <si>
    <t>Hauch der Leidenschaft</t>
  </si>
  <si>
    <t>Heilige Schmiedeglut</t>
  </si>
  <si>
    <t>Heilungssegen</t>
  </si>
  <si>
    <t>Innere Ruhe</t>
  </si>
  <si>
    <t>Kälbchensegen</t>
  </si>
  <si>
    <t>Kleines Tabu</t>
  </si>
  <si>
    <t>Märtyrersegen</t>
  </si>
  <si>
    <t>Neun Streiche in Einem</t>
  </si>
  <si>
    <t>Objektsegen</t>
  </si>
  <si>
    <t>Prophezeiung</t>
  </si>
  <si>
    <t>Rahjas Erquickung</t>
  </si>
  <si>
    <t>Halbelf (Firnelf. Abstammung)</t>
  </si>
  <si>
    <t>Halbelf (Nivesische Abstammung)</t>
  </si>
  <si>
    <t>Halbelf (Thorwalsche Abstammung)</t>
  </si>
  <si>
    <t>Auelfische Sippe (Hoher Norden)</t>
  </si>
  <si>
    <r>
      <t>Traditionen und Repräsentationen</t>
    </r>
    <r>
      <rPr>
        <sz val="7"/>
        <rFont val="Times New Roman"/>
        <family val="1"/>
      </rPr>
      <t xml:space="preserve"> Ach: Achaz-Kristallomanten, Bor: Borbaradianer, Dru: Druiden, Elf: Elfen, Geo: Geoden, Hex: Hexen, Mag: Gildenmagier, Sch: Schelme, Srl: Scharlatane</t>
    </r>
  </si>
  <si>
    <t>erl.</t>
  </si>
  <si>
    <t>Fahrender Händler</t>
  </si>
  <si>
    <t>Hausierer</t>
  </si>
  <si>
    <t>Großhändler</t>
  </si>
  <si>
    <t>Maler</t>
  </si>
  <si>
    <t>Bildhauer</t>
  </si>
  <si>
    <t>Hofmusicus</t>
  </si>
  <si>
    <t>Darsteller</t>
  </si>
  <si>
    <t>Tanzlehrer</t>
  </si>
  <si>
    <t>Kurtisane/Gesellschafter</t>
  </si>
  <si>
    <t>Hure/Lustknabe</t>
  </si>
  <si>
    <t>Pamphletist</t>
  </si>
  <si>
    <t>Informant</t>
  </si>
  <si>
    <t>Geheimagent</t>
  </si>
  <si>
    <t>Nanduriat</t>
  </si>
  <si>
    <t>Schwarmseele</t>
  </si>
  <si>
    <t>Mackestopp</t>
  </si>
  <si>
    <t>Traumseherin</t>
  </si>
  <si>
    <t>Spätweihe Hesinde</t>
  </si>
  <si>
    <t>Spätweihe Firun</t>
  </si>
  <si>
    <t>5+1A/10KR</t>
  </si>
  <si>
    <t>2-4-6...AsP</t>
  </si>
  <si>
    <t>ZfP*x100 S. R.</t>
  </si>
  <si>
    <t>Hexenkrallen</t>
  </si>
  <si>
    <t>Blick in die Vergangenheit</t>
  </si>
  <si>
    <t>Rufe, Dämo (BLZ)</t>
  </si>
  <si>
    <t>1+ Std.</t>
  </si>
  <si>
    <t>Tod von Links</t>
  </si>
  <si>
    <t>Todesstoß</t>
  </si>
  <si>
    <t>Turniereiterei</t>
  </si>
  <si>
    <t>Umreißen</t>
  </si>
  <si>
    <t>Unterwasserkampf</t>
  </si>
  <si>
    <t>Waffe zerbrechen</t>
  </si>
  <si>
    <t>Waffenspezialisierung</t>
  </si>
  <si>
    <t>Windmühle</t>
  </si>
  <si>
    <t>Waffen</t>
  </si>
  <si>
    <t>Albino</t>
  </si>
  <si>
    <t>Rahjalinas Kuss</t>
  </si>
  <si>
    <t>Rahjas Freiheit</t>
  </si>
  <si>
    <t>Rahjas geheiligter Wein</t>
  </si>
  <si>
    <t>Khablas Jugend</t>
  </si>
  <si>
    <t>Levthans Fesseln</t>
  </si>
  <si>
    <t>9.a</t>
  </si>
  <si>
    <t>9.b</t>
  </si>
  <si>
    <t>Ur-Tulamidya</t>
  </si>
  <si>
    <t>Zelemja</t>
  </si>
  <si>
    <t>Rabensprache</t>
  </si>
  <si>
    <t>Isdira</t>
  </si>
  <si>
    <t>Asdharia</t>
  </si>
  <si>
    <t>Rogolan</t>
  </si>
  <si>
    <t>Angram</t>
  </si>
  <si>
    <t>Goblinisch</t>
  </si>
  <si>
    <t>Moosaffe</t>
  </si>
  <si>
    <t>Zirkusaffe</t>
  </si>
  <si>
    <t>Löwenäffchen</t>
  </si>
  <si>
    <t>Boronsäffchen</t>
  </si>
  <si>
    <t>Dämmereule</t>
  </si>
  <si>
    <t>Sichelohreule</t>
  </si>
  <si>
    <t>Boronsrabe</t>
  </si>
  <si>
    <t>Nebelkrähe</t>
  </si>
  <si>
    <t>Gespensterkrähe</t>
  </si>
  <si>
    <t>Galgenvogel</t>
  </si>
  <si>
    <t>Sturmfalken</t>
  </si>
  <si>
    <t>Berghund</t>
  </si>
  <si>
    <t>Streifenmeister (Elstern)</t>
  </si>
  <si>
    <t>Felsenrune (Björgruna)</t>
  </si>
  <si>
    <t>Schicksalsrune (Wyrdruna)</t>
  </si>
  <si>
    <t>Kusliker Säbel</t>
  </si>
  <si>
    <t>Langdolch</t>
  </si>
  <si>
    <t>Lindwurmschläger</t>
  </si>
  <si>
    <t>Elem (Wasser), Umwt</t>
  </si>
  <si>
    <t xml:space="preserve">Umwt </t>
  </si>
  <si>
    <t>Elem (Eis), Umwt</t>
  </si>
  <si>
    <t>Anti, Umwt</t>
  </si>
  <si>
    <t>Elem (Luft), Umwt</t>
  </si>
  <si>
    <t>Hell, Vers</t>
  </si>
  <si>
    <t>Objk, Vers</t>
  </si>
  <si>
    <t>Einfl, Vers</t>
  </si>
  <si>
    <t>Limb, Vers</t>
  </si>
  <si>
    <t>Heil, Vers</t>
  </si>
  <si>
    <t>Vers, Hell</t>
  </si>
  <si>
    <t>Illu, Vers</t>
  </si>
  <si>
    <t>Uhrmacher</t>
  </si>
  <si>
    <t>Anatom</t>
  </si>
  <si>
    <t>Mawdli</t>
  </si>
  <si>
    <t>Travinians Segen der Schwelle</t>
  </si>
  <si>
    <t>11 AsP/SR</t>
  </si>
  <si>
    <t>max. ZfP* SR (A)</t>
  </si>
  <si>
    <t>max. ZfW KR</t>
  </si>
  <si>
    <t>Alchimist</t>
  </si>
  <si>
    <t>Tairach- Priester (Ork)</t>
  </si>
  <si>
    <t>Rikai- Priester (Ork)</t>
  </si>
  <si>
    <t>10 KaP</t>
  </si>
  <si>
    <t>15 KaP</t>
  </si>
  <si>
    <t>+8</t>
  </si>
  <si>
    <t>+10</t>
  </si>
  <si>
    <t>20 KaP</t>
  </si>
  <si>
    <t>Rur- und Gror-Priester:  Geheime Wanderpriester</t>
  </si>
  <si>
    <t>Reichung des Amethyst</t>
  </si>
  <si>
    <t>Azilas Quellgesang</t>
  </si>
  <si>
    <t>Bannfluch des Heiligen Khalid</t>
  </si>
  <si>
    <t>Begehen der Heiligen Wasser</t>
  </si>
  <si>
    <t>Bishdariels Warnung</t>
  </si>
  <si>
    <t>Blick durch Tairachs Augen</t>
  </si>
  <si>
    <t>Blick in die Flammen</t>
  </si>
  <si>
    <t>Bootssegen</t>
  </si>
  <si>
    <t>Buchprüfung</t>
  </si>
  <si>
    <t>Daradors prüfender Blick</t>
  </si>
  <si>
    <t xml:space="preserve"> - Namenlose Tage</t>
  </si>
  <si>
    <t>nach Umständen:</t>
  </si>
  <si>
    <t xml:space="preserve"> - Harmonie</t>
  </si>
  <si>
    <t>▼ Modifikationen ±  ▼</t>
  </si>
  <si>
    <t>Schwertgeselle nach Fedorino</t>
  </si>
  <si>
    <t>Geldwechsler</t>
  </si>
  <si>
    <t>Haussklave</t>
  </si>
  <si>
    <t>Umwt, Elem (Luft)</t>
  </si>
  <si>
    <t>Proviant</t>
  </si>
  <si>
    <t>Wolldecke</t>
  </si>
  <si>
    <t>Firun-Geweihter: Waldläufer</t>
  </si>
  <si>
    <t>7+3AsP/SR</t>
  </si>
  <si>
    <t>Höhenangst 5</t>
  </si>
  <si>
    <t>1 St. + 3SR</t>
  </si>
  <si>
    <t>27 AsP</t>
  </si>
  <si>
    <t>quasi permanent</t>
  </si>
  <si>
    <t>Zweitstudium Haus</t>
  </si>
  <si>
    <t>Hüter der Macht</t>
  </si>
  <si>
    <t>Mehrer der Macht</t>
  </si>
  <si>
    <t>Dämo, Form</t>
  </si>
  <si>
    <t xml:space="preserve">Besw, Dämo </t>
  </si>
  <si>
    <t>Dämo (ASF), Form</t>
  </si>
  <si>
    <t>Besw, Dämo (LGM)</t>
  </si>
  <si>
    <t xml:space="preserve">Eign </t>
  </si>
  <si>
    <t>Anti, Eign</t>
  </si>
  <si>
    <t>Eign, Form</t>
  </si>
  <si>
    <t>Anti, Einfl</t>
  </si>
  <si>
    <t xml:space="preserve">Einfl </t>
  </si>
  <si>
    <t>Hier die Nachteile auswählen, die man neben des gegebenen haben möchte (Dropdown-Boxen). Das Feld Wertigkeit gibt analog den Vorteilen den Multiplikator in GP an. ►►►</t>
  </si>
  <si>
    <t>Nach der Generierung folgt die Talent-steigerung. Über den Link kommt ihr direkt dort hin. ►►►</t>
  </si>
  <si>
    <t>VT_ASTRREG3</t>
  </si>
  <si>
    <t>Ankhra ay'zudam</t>
  </si>
  <si>
    <t>Charr'ya Djunubi</t>
  </si>
  <si>
    <t>1/0</t>
  </si>
  <si>
    <t>Zeilennummer des Bezugs in der Matrix</t>
  </si>
  <si>
    <t>1W3</t>
  </si>
  <si>
    <t>1W3+1</t>
  </si>
  <si>
    <t>8 Schritt</t>
  </si>
  <si>
    <t>---- Stabzauber -----------------------</t>
  </si>
  <si>
    <t>---- Trommelzauber -------------------</t>
  </si>
  <si>
    <t>---- Zaubertänze -----------------------</t>
  </si>
  <si>
    <t>---- Zibilja --------------------------------</t>
  </si>
  <si>
    <t>Akademie von Licht und Dunkelheit zu Nostria</t>
  </si>
  <si>
    <t>Einfl, Herr</t>
  </si>
  <si>
    <t>min. 1SR</t>
  </si>
  <si>
    <t>Plattenschultern</t>
  </si>
  <si>
    <t>Plattenarme</t>
  </si>
  <si>
    <t>Kettenh. mit Gesichtsschutz</t>
  </si>
  <si>
    <t>Anzeige Waffen</t>
  </si>
  <si>
    <t>Belag.-Wfn.</t>
  </si>
  <si>
    <t>tatsächl. Talent</t>
  </si>
  <si>
    <t>Magierstab</t>
  </si>
  <si>
    <t>HN</t>
  </si>
  <si>
    <t>Magische:</t>
  </si>
  <si>
    <t xml:space="preserve">│    </t>
  </si>
  <si>
    <t>R</t>
  </si>
  <si>
    <t>▲</t>
  </si>
  <si>
    <t>1 Schritt</t>
  </si>
  <si>
    <t>Nahkampf</t>
  </si>
  <si>
    <t>Waffen-TL (inkl. Basis)</t>
  </si>
  <si>
    <t>Mengbilar</t>
  </si>
  <si>
    <t>Mirakel+</t>
  </si>
  <si>
    <t>Hauszauber</t>
  </si>
  <si>
    <t>Startzauber</t>
  </si>
  <si>
    <t>Mirakelprobe</t>
  </si>
  <si>
    <t>aktuell</t>
  </si>
  <si>
    <t>Was isst und trinkt er am Liebsten?</t>
  </si>
  <si>
    <t>Wie sieht es mit der Liebe aus?</t>
  </si>
  <si>
    <t>Gibt es ein dunkles Geheimnis aus seiner Vergangenheit?</t>
  </si>
  <si>
    <t>GS</t>
  </si>
  <si>
    <t>AU</t>
  </si>
  <si>
    <t>MR</t>
  </si>
  <si>
    <t>LO</t>
  </si>
  <si>
    <t>TK</t>
  </si>
  <si>
    <t>Spinnenruf</t>
  </si>
  <si>
    <t>Stillstand</t>
  </si>
  <si>
    <t>VN</t>
  </si>
  <si>
    <t>Sumus Elixiere</t>
  </si>
  <si>
    <t>Tauschrausch</t>
  </si>
  <si>
    <t>Targunitothbann</t>
  </si>
  <si>
    <t>Tiere besprechen</t>
  </si>
  <si>
    <t>Tiergedanken</t>
  </si>
  <si>
    <t xml:space="preserve"> Konstitution</t>
  </si>
  <si>
    <t>Gob, Ork, Fer, Tzk, Gja</t>
  </si>
  <si>
    <t>Wdm, Utu, Ach, Gja, Tzk, Fer</t>
  </si>
  <si>
    <t>Fer, Tzk, Gja</t>
  </si>
  <si>
    <t>Fer, Tzk</t>
  </si>
  <si>
    <t>Niv, Gja, Tzk</t>
  </si>
  <si>
    <t>Tzk, Gja, Niv</t>
  </si>
  <si>
    <t>Vorteile Kultur</t>
  </si>
  <si>
    <t>Vorteile Profession</t>
  </si>
  <si>
    <t>Generierung Vorteile</t>
  </si>
  <si>
    <t>Ferkina-Krieger</t>
  </si>
  <si>
    <t>Stammeskrieger der Trollzacker</t>
  </si>
  <si>
    <t>Novadischer Wüstenkrieger</t>
  </si>
  <si>
    <t>Zweihand-Hiebwaffen</t>
  </si>
  <si>
    <t>Fernkampf</t>
  </si>
  <si>
    <t>Firuns Jagd</t>
  </si>
  <si>
    <t>Rahjas Begehren</t>
  </si>
  <si>
    <t>Mod. AP</t>
  </si>
  <si>
    <t>Zauber-Spezialisierung
Freitext</t>
  </si>
  <si>
    <t>Anzahl Z-Spez.</t>
  </si>
  <si>
    <t>Anz.</t>
  </si>
  <si>
    <t>Empathie</t>
  </si>
  <si>
    <t>Flink</t>
  </si>
  <si>
    <t>Guter Ruf</t>
  </si>
  <si>
    <t>Natürliche Waffen</t>
  </si>
  <si>
    <t>Zusätzliche Gliedmassen</t>
  </si>
  <si>
    <t>Basis</t>
  </si>
  <si>
    <t>Stufe:</t>
  </si>
  <si>
    <t>Verschwendungssucht</t>
  </si>
  <si>
    <t>Verwöhnt</t>
  </si>
  <si>
    <t>Sonnensucht</t>
  </si>
  <si>
    <t>Spielsucht</t>
  </si>
  <si>
    <t>Behäbig</t>
  </si>
  <si>
    <t xml:space="preserve">Elfische Weltsicht -30 statt -35 GP (Wege der Helden S. 262f) • Elfische Weltsicht: Talente und Zauber werden statt um 50 % um eine Spalte verteuert. Die Verteuerung ist im Salasandra aufgehoben. Mehr Zauber sind als Leitfertigkeiten markiert, nämlich neben den Hauszaubern alle mit einer Verbreitung von mindestens Elf 5 und 6 frei wählbare aus den durch Kultur und Profession aktivierten Zaubern. Auch einige Sonderfer-tigkeiten sind ausgenommen, nämlich Ausweichen I/II/III, Elfenlieder, Gefäß der Sterne, Ge-ländekunde (Hauptgelände der Sippe), Große Meditation (Erlernen und Einsatz), Kulturkunde (eigene), Meisterliche Regeneration, Ortskenntnis (Gebiet der eigenen Sippe), Regeneration I/II, Repräsentation (Elfenmagie), Salasandra, Simultanzaubern, Tierischer Begleiter, Zauberkontrolle, Zauber unterbrechen und Zauber vereinigen. (Wege der Helden S. 262f) </t>
  </si>
  <si>
    <t>Feind</t>
  </si>
  <si>
    <t>Impulsiv</t>
  </si>
  <si>
    <t>Kälteempfindlichkeit</t>
  </si>
  <si>
    <t>Kleinwüchsig</t>
  </si>
  <si>
    <t>Nahrungsrestriktion</t>
  </si>
  <si>
    <t>Niedrige Astralkraft</t>
  </si>
  <si>
    <t>Schlafstörungen I</t>
  </si>
  <si>
    <t>Schlafstörungen II</t>
  </si>
  <si>
    <t>Schlafwandler</t>
  </si>
  <si>
    <t>Schlechter Ruf</t>
  </si>
  <si>
    <t>Schwanzlos</t>
  </si>
  <si>
    <t>Selbstgespräche</t>
  </si>
  <si>
    <t>Tollpatsch</t>
  </si>
  <si>
    <t>Unfrei</t>
  </si>
  <si>
    <t>Doppelte Steigerungskosten für AP-Punkte, Wert um eins vermindert: Kann mehrfach gewählt werden (nicht implementiert)</t>
  </si>
  <si>
    <t>Einbusse ASP</t>
  </si>
  <si>
    <t>Alkohol</t>
  </si>
  <si>
    <t>Moarana</t>
  </si>
  <si>
    <t>Schwarzer Wein</t>
  </si>
  <si>
    <t>Könnte mehrfach gewählt werden</t>
  </si>
  <si>
    <t>Allgemeine SF</t>
  </si>
  <si>
    <t>Akklimatisierung (Hitze)</t>
  </si>
  <si>
    <t>Akklimatisierung (Kälte)</t>
  </si>
  <si>
    <t>Berufsgeheimnis</t>
  </si>
  <si>
    <t>Fälscher</t>
  </si>
  <si>
    <t>Kulturkunde</t>
  </si>
  <si>
    <t>Standfest</t>
  </si>
  <si>
    <t>Chimärenmeister</t>
  </si>
  <si>
    <t>Golembauer</t>
  </si>
  <si>
    <t>Geschützmeister</t>
  </si>
  <si>
    <t>Halbschwert</t>
  </si>
  <si>
    <t>Klingentänzer</t>
  </si>
  <si>
    <t>Schwanzfeger</t>
  </si>
  <si>
    <t>Krankheit</t>
  </si>
  <si>
    <t>Aussatz</t>
  </si>
  <si>
    <t>Blaue Keuche</t>
  </si>
  <si>
    <t>Blutiger Rotz</t>
  </si>
  <si>
    <t>Brabaker Schweiss</t>
  </si>
  <si>
    <t>Dämonenfäule</t>
  </si>
  <si>
    <t>Duglumspest</t>
  </si>
  <si>
    <t>Sumpffieber</t>
  </si>
  <si>
    <t>Dumpfschädel</t>
  </si>
  <si>
    <t>Efferd- und Kerkersieche</t>
  </si>
  <si>
    <t>Gilbe</t>
  </si>
  <si>
    <t>Schachtelfieber</t>
  </si>
  <si>
    <t>Jahresfieber</t>
  </si>
  <si>
    <t>Lutanas</t>
  </si>
  <si>
    <t>Paralyse</t>
  </si>
  <si>
    <t xml:space="preserve">Rascher Wahn </t>
  </si>
  <si>
    <t>Rote Keuche</t>
  </si>
  <si>
    <t>Schalfkrankheit</t>
  </si>
  <si>
    <t>Schwarze Wut</t>
  </si>
  <si>
    <t>Tollwut</t>
  </si>
  <si>
    <t>Wundfieber</t>
  </si>
  <si>
    <t>Zorgan-Poken</t>
  </si>
  <si>
    <t>Waffengifte</t>
  </si>
  <si>
    <t>Einnahmegifte</t>
  </si>
  <si>
    <t>Kontaktgifte</t>
  </si>
  <si>
    <t>Atemgifte</t>
  </si>
  <si>
    <t>Tierische Gifte</t>
  </si>
  <si>
    <t>Pflanzliche Gifte</t>
  </si>
  <si>
    <t>Mineralische Gifte</t>
  </si>
  <si>
    <t>Alchimistische Gifte</t>
  </si>
  <si>
    <t>Angstgift</t>
  </si>
  <si>
    <t>Arachnae</t>
  </si>
  <si>
    <t>Arax</t>
  </si>
  <si>
    <t>Bannstaub</t>
  </si>
  <si>
    <t>Boabungaha</t>
  </si>
  <si>
    <t>Drachenspeichel</t>
  </si>
  <si>
    <t>Feuerzunge</t>
  </si>
  <si>
    <t>Goldleim</t>
  </si>
  <si>
    <t>Gonede</t>
  </si>
  <si>
    <t>Halbgift</t>
  </si>
  <si>
    <t>Kelmon</t>
  </si>
  <si>
    <t>Kukris</t>
  </si>
  <si>
    <t>Mandragora</t>
  </si>
  <si>
    <t>Omrais</t>
  </si>
  <si>
    <t>Purpurblitz</t>
  </si>
  <si>
    <t>Schlafgift</t>
  </si>
  <si>
    <t>Schwarzer Lotus</t>
  </si>
  <si>
    <t>Sunsura</t>
  </si>
  <si>
    <t>Tinzal</t>
  </si>
  <si>
    <t>Tulmadron</t>
  </si>
  <si>
    <t>Wurara</t>
  </si>
  <si>
    <t>Otter</t>
  </si>
  <si>
    <t>Viper</t>
  </si>
  <si>
    <t>Spinnen</t>
  </si>
  <si>
    <t>Maruskantarantel</t>
  </si>
  <si>
    <t>Klapperschlange</t>
  </si>
  <si>
    <t>Alle</t>
  </si>
  <si>
    <t>Schlangen</t>
  </si>
  <si>
    <t>Nagetiere</t>
  </si>
  <si>
    <t>Säugetiere</t>
  </si>
  <si>
    <t>Meerestiere</t>
  </si>
  <si>
    <t>TIEREMPATHIE</t>
  </si>
  <si>
    <t>TIEREMPATHIEGP</t>
  </si>
  <si>
    <t>Drachen</t>
  </si>
  <si>
    <t>Insekten</t>
  </si>
  <si>
    <t>Umwandlung von 40AP in 1GP</t>
  </si>
  <si>
    <t>GP Immu</t>
  </si>
  <si>
    <t>GP Resistenz</t>
  </si>
  <si>
    <t>Allgemein</t>
  </si>
  <si>
    <t>Immunität gegen Gift</t>
  </si>
  <si>
    <t>Immunität gegen Krankheiten</t>
  </si>
  <si>
    <t>KRANKHEIT</t>
  </si>
  <si>
    <t>KRANKHEITGP</t>
  </si>
  <si>
    <t>GIFT</t>
  </si>
  <si>
    <t>GIFTGP</t>
  </si>
  <si>
    <t>GP Immunität</t>
  </si>
  <si>
    <t>Resistenz=&gt;Immu</t>
  </si>
  <si>
    <t>GP_Talentschub</t>
  </si>
  <si>
    <t>Talentschub</t>
  </si>
  <si>
    <t>Kräfteschub</t>
  </si>
  <si>
    <t>Entfernung doppelter Vorteils-Einträge</t>
  </si>
  <si>
    <t>ALL - Heimwehkrank</t>
  </si>
  <si>
    <t>SCHULDEN</t>
  </si>
  <si>
    <t>SCHULDENGP</t>
  </si>
  <si>
    <t>Schulden 2000 D</t>
  </si>
  <si>
    <t>Schulden 1600 D</t>
  </si>
  <si>
    <t>Schulden 1500 D</t>
  </si>
  <si>
    <t>Schulden 1000 D</t>
  </si>
  <si>
    <t>1.Prof</t>
  </si>
  <si>
    <t>Startwert Professionen</t>
  </si>
  <si>
    <t>Rosstäuscher</t>
  </si>
  <si>
    <t>Tralloper Riese</t>
  </si>
  <si>
    <t>VT_EISERN</t>
  </si>
  <si>
    <t>Sprachfamilie</t>
  </si>
  <si>
    <t>Familie</t>
  </si>
  <si>
    <t>Tulamidya-Familie</t>
  </si>
  <si>
    <t>Garethi-Familie</t>
  </si>
  <si>
    <t>Zwergisch-Familie</t>
  </si>
  <si>
    <t>Elfisch-Familie</t>
  </si>
  <si>
    <t>Thorwalsch-Familie</t>
  </si>
  <si>
    <t>Waldmenschen-Sprachen ('Mohisch'; Tocamuyac, Puka-Puka)</t>
  </si>
  <si>
    <t>Nujuka ('Nivesisch')</t>
  </si>
  <si>
    <t>Orkisch-Familie</t>
  </si>
  <si>
    <t>Malus Sprachfamilie</t>
  </si>
  <si>
    <t>Ausnahmen</t>
  </si>
  <si>
    <t>Steigerung mit Start-AP</t>
  </si>
  <si>
    <t>Start-AP:</t>
  </si>
  <si>
    <t>Zur Verfügung stehende Start-AP:</t>
  </si>
  <si>
    <t>Bei Sonderfertigkeiten beachten, dass während Generierung mit GP oder mit Start-AP bezahlt werden kann (nachher AP). Bei "Gefäß der Sterne" und "Große Meditation" in der Spalte hinzugekauft die Anzahl der hinzugekommenen Punkte eintragen.</t>
  </si>
  <si>
    <t>mit Start-AP kaufen</t>
  </si>
  <si>
    <t>Start-AP</t>
  </si>
  <si>
    <t>Steigerung Start-AP</t>
  </si>
  <si>
    <t>Spez1 Start-AP</t>
  </si>
  <si>
    <t>Start-AP Spalte links</t>
  </si>
  <si>
    <t>Start-AP Spalte rechts</t>
  </si>
  <si>
    <t>Allgemeine</t>
  </si>
  <si>
    <t>Simultanzaubern</t>
  </si>
  <si>
    <r>
      <t xml:space="preserve">Magieresistenz </t>
    </r>
    <r>
      <rPr>
        <b/>
        <sz val="10"/>
        <rFont val="Arial"/>
        <family val="2"/>
      </rPr>
      <t>(MR)</t>
    </r>
  </si>
  <si>
    <t>Spez1 GP</t>
  </si>
  <si>
    <t>1SR</t>
  </si>
  <si>
    <t>Objk, Krft</t>
  </si>
  <si>
    <t>Zauberklinge Geisterspeer</t>
  </si>
  <si>
    <t>IDX_Z</t>
  </si>
  <si>
    <t>NR_Z</t>
  </si>
  <si>
    <t>verbilligt: Allgemeine</t>
  </si>
  <si>
    <t>Index</t>
  </si>
  <si>
    <t>Natürlicher Rüstungsschutz 1</t>
  </si>
  <si>
    <t>Natürlicher Rüstungsschutz 2</t>
  </si>
  <si>
    <t>Flammmenschwert</t>
  </si>
  <si>
    <t>Grenzjäger</t>
  </si>
  <si>
    <t>Kopfgeldjäger</t>
  </si>
  <si>
    <t>Verbindungen 12</t>
  </si>
  <si>
    <t>Prinzipientreue 10</t>
  </si>
  <si>
    <t>Prinzipientreue 8</t>
  </si>
  <si>
    <t>Ortskenntnis nach Wahl</t>
  </si>
  <si>
    <t>Fischen/Angeln (Seefischerei)</t>
  </si>
  <si>
    <t>Schleuder (Wurfnetz)</t>
  </si>
  <si>
    <t xml:space="preserve">Neugier 5/Goldgier 5; </t>
  </si>
  <si>
    <t xml:space="preserve">Armbrust/Bogen +1; Hiebwaffen/Säbel +1; Klettern/Boote Fahren +1; </t>
  </si>
  <si>
    <t xml:space="preserve">Klettern/Boote Fahren +1; </t>
  </si>
  <si>
    <t xml:space="preserve">Armbrust/Bogen +1; Hiebwaffen/Säbel +1; </t>
  </si>
  <si>
    <t xml:space="preserve">Hiebwaffen/Säbel/Speere/Stäbe +2/+1; </t>
  </si>
  <si>
    <t xml:space="preserve">Hiebwaffen/Säbel/Speere/Stäbe +2/+1; Schleuder/Wurfspeer +2; </t>
  </si>
  <si>
    <t xml:space="preserve">Hiebwaffen/Säbel +2; </t>
  </si>
  <si>
    <t xml:space="preserve">Bogen/Armbrust/Wurfspeer +3; Hiebwaffen/Schwerter/Stäbe +4/+2; Athletik/Reiten +4/+2; Boote Fahren/Fahrzeug Lenken +2; </t>
  </si>
  <si>
    <t xml:space="preserve">Armbrust/Blasrohr/Bogen/Wurfmesser +1; Hiebwaffen/Säbel +3; </t>
  </si>
  <si>
    <t xml:space="preserve">Armbrust/Bogen +4; Hiebwaffen/Säbel/Schwerter +2; Boote Fahren/Fahrzeug Lenken +1; </t>
  </si>
  <si>
    <t xml:space="preserve">Fremdsprache +4/+2; </t>
  </si>
  <si>
    <t xml:space="preserve">Fremdsprache +6; </t>
  </si>
  <si>
    <t>Dschungelkundig/Eiskundig/Gebirgskundig/Sumpfkundig;</t>
  </si>
  <si>
    <t xml:space="preserve">Kulturkunde; </t>
  </si>
  <si>
    <t xml:space="preserve">Geländekunde/Ortskenntnis; </t>
  </si>
  <si>
    <t>Schleuder (Wurfnetz/Lasso/Fledermaus)</t>
  </si>
  <si>
    <t>Alaani ('Norbardisch')</t>
  </si>
  <si>
    <t>Alberned (Dialekt)</t>
  </si>
  <si>
    <t>Andergastisch (Dialekt)</t>
  </si>
  <si>
    <t>Bornländisch  (Dialekt)</t>
  </si>
  <si>
    <t>Brabaci  (Dialekt)</t>
  </si>
  <si>
    <t>Charypto  (Dialekt)</t>
  </si>
  <si>
    <t>Fjarningsch</t>
  </si>
  <si>
    <t>Gatamo  (Dialekt)</t>
  </si>
  <si>
    <t>Hjaldingsch ('Saga-Thorwalsch')</t>
  </si>
  <si>
    <t>Horathi  (Dialekt)</t>
  </si>
  <si>
    <t>Mahrisch</t>
  </si>
  <si>
    <t>Rissoal-Familie</t>
  </si>
  <si>
    <t>Maraskani  (Dialekt)</t>
  </si>
  <si>
    <t>Molochisch</t>
  </si>
  <si>
    <t>Neckergesang</t>
  </si>
  <si>
    <t>Ologhaijan ('Hochorkisch')</t>
  </si>
  <si>
    <t>Rissoal</t>
  </si>
  <si>
    <t>Ruuz ('Ur-Maraskanisch' )</t>
  </si>
  <si>
    <t>Zhulchammaqra ('Trollzackisch')</t>
  </si>
  <si>
    <t>Z'Lit</t>
  </si>
  <si>
    <t>Aventurische Schriften</t>
  </si>
  <si>
    <t>Arkanil ('Rohalsschrift')</t>
  </si>
  <si>
    <t>Chrmk ('Zelemja')</t>
  </si>
  <si>
    <t>Drakhard-Zinken</t>
  </si>
  <si>
    <t>Gimaril</t>
  </si>
  <si>
    <t>Imperiale Zeichen ('Altgüldenländisch')</t>
  </si>
  <si>
    <t>Isdira / Asdharia</t>
  </si>
  <si>
    <t>Mahrische Glyphen</t>
  </si>
  <si>
    <t>Trollische Raumbilderschrift</t>
  </si>
  <si>
    <t>11/17</t>
  </si>
  <si>
    <t>18/24</t>
  </si>
  <si>
    <t>Füchsisch (inkl. 'Schrift')</t>
  </si>
  <si>
    <t>L/S: Arkanil ('Rohalsschrift')</t>
  </si>
  <si>
    <t>L/S: Chrmk ('Zelemja')</t>
  </si>
  <si>
    <t>L/S: Drakhard-Zinken</t>
  </si>
  <si>
    <t>L/S: Gimaril</t>
  </si>
  <si>
    <t>L/S: Imperiale Zeichen ('Altgüldenländisch')</t>
  </si>
  <si>
    <t>L/S: Isdira / Asdharia</t>
  </si>
  <si>
    <t>L/S: Mahrische Glyphen</t>
  </si>
  <si>
    <t>L/S: Trollische Raumbilderschrift</t>
  </si>
  <si>
    <t>Aureliani ('Altgüldenländisch')</t>
  </si>
  <si>
    <t>Amulashtra (mod./hist.)</t>
  </si>
  <si>
    <t>Chuchas ('Protozelemja')</t>
  </si>
  <si>
    <t>L/S: Amulashtra (mod./hist.)</t>
  </si>
  <si>
    <t>L/S: Chuchas ('Protozelemja')</t>
  </si>
  <si>
    <t>Atak (inkl.  Schrift)</t>
  </si>
  <si>
    <t>Version</t>
  </si>
  <si>
    <t>DSAv4.0</t>
  </si>
  <si>
    <t>DSAv4.1</t>
  </si>
  <si>
    <t>Bemerkungen?</t>
  </si>
  <si>
    <t>Vertrauter_Marder</t>
  </si>
  <si>
    <t>Visibili Vanitar</t>
  </si>
  <si>
    <t>Vocolimbo hohler Klang</t>
  </si>
  <si>
    <t>Vogelzwitschern Glockenspiel</t>
  </si>
  <si>
    <t>Weiches erstarre!</t>
  </si>
  <si>
    <t>Weihrauchwolke Wohlgeruch</t>
  </si>
  <si>
    <t>Weisse Mähn' und gold'ner Huf</t>
  </si>
  <si>
    <t>Widerwille Ungemach</t>
  </si>
  <si>
    <t>Xenographus Schriftenkunde</t>
  </si>
  <si>
    <t>Zagibu Ubigaz</t>
  </si>
  <si>
    <t>Zaubernahrung Hungerbann</t>
  </si>
  <si>
    <t>Zauberwesen der Natur</t>
  </si>
  <si>
    <t>3 AsP +1/St</t>
  </si>
  <si>
    <t>Spieler</t>
  </si>
  <si>
    <t>Zuhälter</t>
  </si>
  <si>
    <t>Stutzer</t>
  </si>
  <si>
    <t>Maraskanischer Hartholzharnisch</t>
  </si>
  <si>
    <t>Ringelpanzer</t>
  </si>
  <si>
    <t>Steigern</t>
  </si>
  <si>
    <t>eBE</t>
  </si>
  <si>
    <t>Erstprofession</t>
  </si>
  <si>
    <t>zeitaufwendig</t>
  </si>
  <si>
    <t>Seefahrt</t>
  </si>
  <si>
    <t>Steuermann</t>
  </si>
  <si>
    <t>Stoffe Färben</t>
  </si>
  <si>
    <t>Tätowieren</t>
  </si>
  <si>
    <t>Töpfern</t>
  </si>
  <si>
    <t>Viehzucht</t>
  </si>
  <si>
    <t>Webkunst</t>
  </si>
  <si>
    <t>Handwerkstalente</t>
  </si>
  <si>
    <t>F</t>
  </si>
  <si>
    <t>Text im Dokument</t>
  </si>
  <si>
    <t>Vorteile</t>
  </si>
  <si>
    <t>pro</t>
  </si>
  <si>
    <t>gesamt</t>
  </si>
  <si>
    <t>Bannschwert Zweihänder</t>
  </si>
  <si>
    <t>Bannschwert Knochen/Stein</t>
  </si>
  <si>
    <t>Bannschwert Anderthalbhänder</t>
  </si>
  <si>
    <t xml:space="preserve">Rat der Ahnen </t>
  </si>
  <si>
    <t xml:space="preserve">Regentanz </t>
  </si>
  <si>
    <t>Gefäss</t>
  </si>
  <si>
    <t>min. 11 AsP</t>
  </si>
  <si>
    <t>ZfWx3 Schritt R</t>
  </si>
  <si>
    <t>9 AsP/Geist</t>
  </si>
  <si>
    <t>ZfWx20 S. R</t>
  </si>
  <si>
    <t>Seelenfeuer</t>
  </si>
  <si>
    <t>Weg durch Sumus Leib</t>
  </si>
  <si>
    <t>Geode</t>
  </si>
  <si>
    <t>Weihe der Schlange</t>
  </si>
  <si>
    <t>MR, min. 6</t>
  </si>
  <si>
    <t>GW AsP (4)</t>
  </si>
  <si>
    <t xml:space="preserve">ZfP* SR  </t>
  </si>
  <si>
    <t>7 Schritt R.</t>
  </si>
  <si>
    <t>ZfW Minuten</t>
  </si>
  <si>
    <t xml:space="preserve">7 AsP </t>
  </si>
  <si>
    <t xml:space="preserve">Stimme des Nipakau </t>
  </si>
  <si>
    <t>Wdm, Toc, Utu</t>
  </si>
  <si>
    <t xml:space="preserve">Tabuzone </t>
  </si>
  <si>
    <t>Wdm, Utu, Ach, Fer</t>
  </si>
  <si>
    <t>Festgefügtes Denken</t>
  </si>
  <si>
    <t>Heimwehkrank</t>
  </si>
  <si>
    <t>Hitzeempfindlichkeit</t>
  </si>
  <si>
    <t>Kein Vertrauter</t>
  </si>
  <si>
    <t>5 AsP +1/KR</t>
  </si>
  <si>
    <t>7 Asp. + X</t>
  </si>
  <si>
    <t>Leibwächter (Söldner)</t>
  </si>
  <si>
    <t>Artillerist (Söldner)</t>
  </si>
  <si>
    <t>Bannschwert Schwert</t>
  </si>
  <si>
    <t>max. ZfP*SR (A)</t>
  </si>
  <si>
    <t>12 AsP + X</t>
  </si>
  <si>
    <t>15 Schritt</t>
  </si>
  <si>
    <t>MR AsP (5)</t>
  </si>
  <si>
    <t>7 AsP/SR</t>
  </si>
  <si>
    <t>7 Schritt Kegel</t>
  </si>
  <si>
    <t>8W6 AsP</t>
  </si>
  <si>
    <t>Permanent</t>
  </si>
  <si>
    <t>42 AsP</t>
  </si>
  <si>
    <t>ZfWx10 Meilen</t>
  </si>
  <si>
    <t>1AsP/5St. (3)</t>
  </si>
  <si>
    <t>Rahjas heitere Gelassenheit</t>
  </si>
  <si>
    <t>Salbung der Heiligen Noiona</t>
  </si>
  <si>
    <t>Schrifttum ferner Lande</t>
  </si>
  <si>
    <t>Seelenprüfung</t>
  </si>
  <si>
    <t>Segen der Gabetaj</t>
  </si>
  <si>
    <t>Segen der Heiligen Noiona</t>
  </si>
  <si>
    <t>Segen der Heiligen Velvenya</t>
  </si>
  <si>
    <t>Segen des Heiligen Badilak</t>
  </si>
  <si>
    <t>Segnung des Heimes</t>
  </si>
  <si>
    <t>Siegel Borons</t>
  </si>
  <si>
    <t>Tabu</t>
  </si>
  <si>
    <t>Thalionmels Schlachtgesang</t>
  </si>
  <si>
    <t>Tiergestalt</t>
  </si>
  <si>
    <t>Tiersprache</t>
  </si>
  <si>
    <t>Eigenschaft um 1 höher: 14-15:8GP, 15-16:10GP,16-17:12GP</t>
  </si>
  <si>
    <t>Lichtscheu</t>
  </si>
  <si>
    <t>Meeresangst</t>
  </si>
  <si>
    <t>Miserable Eigenschaft</t>
  </si>
  <si>
    <r>
      <t xml:space="preserve">Lebenspunkte </t>
    </r>
    <r>
      <rPr>
        <b/>
        <sz val="10"/>
        <rFont val="Arial"/>
        <family val="2"/>
      </rPr>
      <t>(LP)</t>
    </r>
  </si>
  <si>
    <t>Basiswerte</t>
  </si>
  <si>
    <t>Nachtblind</t>
  </si>
  <si>
    <t>Neugier</t>
  </si>
  <si>
    <t>Natürlicher Rüstungsschutz</t>
  </si>
  <si>
    <t>Niedrige Schlechte Eigenschaft</t>
  </si>
  <si>
    <t>Prophezeien</t>
  </si>
  <si>
    <t>Tierfreund</t>
  </si>
  <si>
    <t>Titularadel</t>
  </si>
  <si>
    <t>Veteran</t>
  </si>
  <si>
    <t>Vom Schicksal begünstigt</t>
  </si>
  <si>
    <t>Gabe</t>
  </si>
  <si>
    <t>ja</t>
  </si>
  <si>
    <t>Nachteile</t>
  </si>
  <si>
    <t>Naturtalente</t>
  </si>
  <si>
    <t>Steigerungskosten</t>
  </si>
  <si>
    <t>&lt;0</t>
  </si>
  <si>
    <t>Wert</t>
  </si>
  <si>
    <t>H</t>
  </si>
  <si>
    <t>Tasten</t>
  </si>
  <si>
    <t>5 AsP+2/SR</t>
  </si>
  <si>
    <t>8/6</t>
  </si>
  <si>
    <t>6/4</t>
  </si>
  <si>
    <t>AP</t>
  </si>
  <si>
    <t>Auspendeln</t>
  </si>
  <si>
    <t>(+2/+1/0/-1/-2)</t>
  </si>
  <si>
    <t>keine</t>
  </si>
  <si>
    <t>(+1/0/0/-1/-2)</t>
  </si>
  <si>
    <t>(+3/+1/0/-1/-1)</t>
  </si>
  <si>
    <t>(+2/+1/0/0/-1)</t>
  </si>
  <si>
    <t>(-/0/0/0/0)</t>
  </si>
  <si>
    <t>(-/+1/+1/0/-1)</t>
  </si>
  <si>
    <t>(-/+1/+1+1/0)</t>
  </si>
  <si>
    <t>(+4/+2/0/-1/-3)</t>
  </si>
  <si>
    <t>1/3</t>
  </si>
  <si>
    <t>1/4</t>
  </si>
  <si>
    <t>Initiative</t>
  </si>
  <si>
    <t>INI-Basis - BE =</t>
  </si>
  <si>
    <t>Fehlermeldung Talente</t>
  </si>
  <si>
    <t>ZfWx10 Akt. (A)</t>
  </si>
  <si>
    <t>6 AsP + X</t>
  </si>
  <si>
    <t>1 Monat</t>
  </si>
  <si>
    <t>49 AsP+3p.</t>
  </si>
  <si>
    <t>13 AsP</t>
  </si>
  <si>
    <t>9 AsP+3/St.</t>
  </si>
  <si>
    <t>je nach AsP (A)</t>
  </si>
  <si>
    <t>ZfP*x2 KR</t>
  </si>
  <si>
    <t>19 AsP + X</t>
  </si>
  <si>
    <t>Heptagramm</t>
  </si>
  <si>
    <t>11 AsP + X</t>
  </si>
  <si>
    <t>W20 AsP</t>
  </si>
  <si>
    <t>1 AsP / 3SR</t>
  </si>
  <si>
    <t>1 AsP/Stufe</t>
  </si>
  <si>
    <t>Handwerk</t>
  </si>
  <si>
    <t>Aranien (W)</t>
  </si>
  <si>
    <t>Aranien (M)</t>
  </si>
  <si>
    <t>Sich Verstecken</t>
  </si>
  <si>
    <t>Werte</t>
  </si>
  <si>
    <t>Akademie des Zweitstudiums wählen</t>
  </si>
  <si>
    <t>◄</t>
  </si>
  <si>
    <t>Zweitstudium</t>
  </si>
  <si>
    <t>Die SE muss zur Anrechnung in der Spalte H (Zauber) bzw. Spalte F (Wissenstalente) manuell eingetragen werden!</t>
  </si>
  <si>
    <t>Akademie, gleiche Gilde?</t>
  </si>
  <si>
    <t>Rauschrune (Hugibaniruna)</t>
  </si>
  <si>
    <t>Friedensrune (Fjötlundruna)</t>
  </si>
  <si>
    <t>Ottarune (Ottaruna)</t>
  </si>
  <si>
    <t>Wettermeisterschaft</t>
  </si>
  <si>
    <t>Windhose</t>
  </si>
  <si>
    <t>Windstille</t>
  </si>
  <si>
    <t xml:space="preserve">Ruf in Borons Arme </t>
  </si>
  <si>
    <t xml:space="preserve">Sternenstaub </t>
  </si>
  <si>
    <t>G o. P</t>
  </si>
  <si>
    <t xml:space="preserve">G+P </t>
  </si>
  <si>
    <t>Illusion auflösen</t>
  </si>
  <si>
    <t>Invocatio minor</t>
  </si>
  <si>
    <t>Invocatio maior</t>
  </si>
  <si>
    <t>Iribaars Hand</t>
  </si>
  <si>
    <t>Katzenaugen</t>
  </si>
  <si>
    <t>Klarum Purum</t>
  </si>
  <si>
    <t>Oloarkh</t>
  </si>
  <si>
    <t>Schwanzschlag</t>
  </si>
  <si>
    <t>bei Generierung vorh.</t>
  </si>
  <si>
    <t>Kusliker Lamelar</t>
  </si>
  <si>
    <t>VT_HEIGEN</t>
  </si>
  <si>
    <t>Totenangst</t>
  </si>
  <si>
    <t>Hatter er vor der ersten Reise jemals Gelegenheit, den Geburtsort zu verlassen?</t>
  </si>
  <si>
    <t>Ist der Held sehr Götterfürchtig?</t>
  </si>
  <si>
    <t>Für wen oder was riskiert der Held sein Leben?</t>
  </si>
  <si>
    <t>Was ist der grösste Wunsch des Helden?</t>
  </si>
  <si>
    <t>Geist entsch.</t>
  </si>
  <si>
    <t xml:space="preserve">3 Schritt  </t>
  </si>
  <si>
    <t>ZfP* Wochen</t>
  </si>
  <si>
    <t>Katze</t>
  </si>
  <si>
    <t>Kröte</t>
  </si>
  <si>
    <t>Eigenschaften wiederherst.</t>
  </si>
  <si>
    <t>Übler Geruch</t>
  </si>
  <si>
    <t>Unangenehme Stimme</t>
  </si>
  <si>
    <t>Ungebildet</t>
  </si>
  <si>
    <t>Vergesslichkeit</t>
  </si>
  <si>
    <t>Verpflichtungen</t>
  </si>
  <si>
    <t>Vorurteile</t>
  </si>
  <si>
    <t>Wahnvorstellungen</t>
  </si>
  <si>
    <t>Entfernungssinn</t>
  </si>
  <si>
    <t>Soziale Anpassungsfähigkeit</t>
  </si>
  <si>
    <t>Unansehnlich</t>
  </si>
  <si>
    <t>Generierung</t>
  </si>
  <si>
    <t>Ausrufer</t>
  </si>
  <si>
    <t>8.</t>
  </si>
  <si>
    <t>Sonderfertigkeiten wählen:</t>
  </si>
  <si>
    <t>GP Sonderfertigkeiten gesamt:</t>
  </si>
  <si>
    <t>HIER KLICKEN</t>
  </si>
  <si>
    <t>Amazone</t>
  </si>
  <si>
    <t>Barde</t>
  </si>
  <si>
    <t>Bergmann</t>
  </si>
  <si>
    <t>Bettler</t>
  </si>
  <si>
    <t>Waldkauz</t>
  </si>
  <si>
    <t>Steinkauz</t>
  </si>
  <si>
    <t>Schnee-Eule</t>
  </si>
  <si>
    <t>Schleiereule</t>
  </si>
  <si>
    <t>Sperrlingskauz</t>
  </si>
  <si>
    <t>Habicht</t>
  </si>
  <si>
    <t>Bussard</t>
  </si>
  <si>
    <t>Traumwissen</t>
  </si>
  <si>
    <t>Schleichen</t>
  </si>
  <si>
    <t>Schwimmen</t>
  </si>
  <si>
    <t>Selbstbeherrschung</t>
  </si>
  <si>
    <t>Singen</t>
  </si>
  <si>
    <t>Sinnenschärfe</t>
  </si>
  <si>
    <t>Skifahren</t>
  </si>
  <si>
    <t>Stimmen imitieren</t>
  </si>
  <si>
    <t>Tanzen</t>
  </si>
  <si>
    <t>Taschendiebstahl</t>
  </si>
  <si>
    <t>Zechen</t>
  </si>
  <si>
    <t>G</t>
  </si>
  <si>
    <t>x2</t>
  </si>
  <si>
    <t>Gesellschftl. Talente</t>
  </si>
  <si>
    <t>Betören</t>
  </si>
  <si>
    <t>Etikette</t>
  </si>
  <si>
    <t>IV</t>
  </si>
  <si>
    <t>P/ZZ</t>
  </si>
  <si>
    <t>rufen</t>
  </si>
  <si>
    <t>5+2 AsP</t>
  </si>
  <si>
    <t xml:space="preserve">4 AsP </t>
  </si>
  <si>
    <t>20 Akt.</t>
  </si>
  <si>
    <t>4 AsP</t>
  </si>
  <si>
    <t>Menschenfänger</t>
  </si>
  <si>
    <t>-4/-3</t>
  </si>
  <si>
    <t>Panzerstecher</t>
  </si>
  <si>
    <t>Runaskraja</t>
  </si>
  <si>
    <t>Magierstab (Kristallkugel)</t>
  </si>
  <si>
    <t>Magierstab (kurz)</t>
  </si>
  <si>
    <t>Baccanaq</t>
  </si>
  <si>
    <t>Klickeradomms</t>
  </si>
  <si>
    <t xml:space="preserve"> - Gegenwart viele Ungläubige</t>
  </si>
  <si>
    <t xml:space="preserve"> - andere Welt/Globule/Limbus</t>
  </si>
  <si>
    <t xml:space="preserve"> - däm. verzerrtem Grund</t>
  </si>
  <si>
    <t xml:space="preserve"> - Tempel der Gottheit</t>
  </si>
  <si>
    <t xml:space="preserve"> - tief unter Ungläubigen</t>
  </si>
  <si>
    <t>-3</t>
  </si>
  <si>
    <t>bis zu -7</t>
  </si>
  <si>
    <t>bis zu +7</t>
  </si>
  <si>
    <t>+12</t>
  </si>
  <si>
    <t>-1</t>
  </si>
  <si>
    <t>-4</t>
  </si>
  <si>
    <t xml:space="preserve"> - Monat des Zwölfgottes</t>
  </si>
  <si>
    <t xml:space="preserve"> - Feiertag der Gottheit</t>
  </si>
  <si>
    <t>NT_MR_WERT</t>
  </si>
  <si>
    <t>min. 3 AsP</t>
  </si>
  <si>
    <t>4 AsP/5KR</t>
  </si>
  <si>
    <t>GP kaufen</t>
  </si>
  <si>
    <t>Früher Vertrauter</t>
  </si>
  <si>
    <t>Geräuschhexerei</t>
  </si>
  <si>
    <t>Halbzauberer</t>
  </si>
  <si>
    <t>Beilunker Reiter</t>
  </si>
  <si>
    <t>1/2</t>
  </si>
  <si>
    <t>Sprachen &amp; Zauber für 3/4 der Kosten</t>
  </si>
  <si>
    <t xml:space="preserve"> Augenfarbe</t>
  </si>
  <si>
    <t xml:space="preserve"> Aussehen</t>
  </si>
  <si>
    <t xml:space="preserve"> Mut</t>
  </si>
  <si>
    <t xml:space="preserve"> Klugheit</t>
  </si>
  <si>
    <t xml:space="preserve"> Charisma</t>
  </si>
  <si>
    <t xml:space="preserve"> Fingerfertigkeit</t>
  </si>
  <si>
    <t xml:space="preserve"> Intuition</t>
  </si>
  <si>
    <t>Elfenbogen</t>
  </si>
  <si>
    <t>Kompositbogen</t>
  </si>
  <si>
    <t xml:space="preserve">Haselbusch </t>
  </si>
  <si>
    <t>Krieger aus Neersand</t>
  </si>
  <si>
    <t>XZ</t>
  </si>
  <si>
    <t>W</t>
  </si>
  <si>
    <t>U</t>
  </si>
  <si>
    <t>T</t>
  </si>
  <si>
    <t>O</t>
  </si>
  <si>
    <t>L</t>
  </si>
  <si>
    <t>JK</t>
  </si>
  <si>
    <t>Erschwerte Steigerung von SF</t>
  </si>
  <si>
    <t>Sumupriester</t>
  </si>
  <si>
    <t>Ungesehenes Zeichen</t>
  </si>
  <si>
    <t>Stammeskrieger - Waldmenschen</t>
  </si>
  <si>
    <t>Stammeskrieger - Goblin</t>
  </si>
  <si>
    <t>Schweres Fußvolk (Soldat)</t>
  </si>
  <si>
    <t>1 SR + X</t>
  </si>
  <si>
    <t xml:space="preserve"> 5 KaP</t>
  </si>
  <si>
    <t>Überzeugen</t>
  </si>
  <si>
    <t>Natur-Talente</t>
  </si>
  <si>
    <t>Zyklopeninseln (Landadel)</t>
  </si>
  <si>
    <t>Passende Geländekunde;</t>
  </si>
  <si>
    <t>Astrale Regeneration 1/Ausdauernder Zauberer;</t>
  </si>
  <si>
    <t>Steinmetz/Hüttenkunde +2;</t>
  </si>
  <si>
    <t>zwei nicht aktivierte künstlerische Gesellschafts-/Wissens-/Handwerkstalente +3;</t>
  </si>
  <si>
    <t>Finte/Meisterparade;</t>
  </si>
  <si>
    <t>Kulturkunde Auelfen/Waldelfen;</t>
  </si>
  <si>
    <t>SF Schutzkreise verbilligt</t>
  </si>
  <si>
    <t>Claudibus/Paralysis +4; Horriphobus/Sensattacco +2; Favilludo/Vogelzwitschern/Weihrauchwolke +3;</t>
  </si>
  <si>
    <t>Fulminictus/Paralysis +4; Applicatus/Dunkelheit +3;</t>
  </si>
  <si>
    <t>Höllenpein/Motoricus+3;</t>
  </si>
  <si>
    <t>Erinnerung/Schwarzer Schrecken +4;</t>
  </si>
  <si>
    <t>Adamantium/Verständigung Stören +3; Einfluss Bannen/Illusion Auflösen+2; Objekt entzaubern/Psychostabilis +3; Blick in die Gedanken/Desintegratus/Veränderung aufheben/Widerwille +3;</t>
  </si>
  <si>
    <t>Cryptographo/Custodosigil +2, Duplicatus/Eisenrost +3;</t>
  </si>
  <si>
    <t>gBE</t>
  </si>
  <si>
    <t>gRS</t>
  </si>
  <si>
    <t>Pelzweste</t>
  </si>
  <si>
    <t>Mattenrücken</t>
  </si>
  <si>
    <t>Unterzeug mit Kettenteil</t>
  </si>
  <si>
    <t>Lederhelm verstärkt</t>
  </si>
  <si>
    <t>Brabaker Ringmantel</t>
  </si>
  <si>
    <t>Brigantina</t>
  </si>
  <si>
    <t>Kettenkragen</t>
  </si>
  <si>
    <t>Löwenmähne</t>
  </si>
  <si>
    <t>Schuppenpanzer lang</t>
  </si>
  <si>
    <t>0,4</t>
  </si>
  <si>
    <t>Beintaschen</t>
  </si>
  <si>
    <t>Drachenhelm</t>
  </si>
  <si>
    <t>Stammesjäger</t>
  </si>
  <si>
    <t>Viehzucht (passende Tierart)</t>
  </si>
  <si>
    <t xml:space="preserve">Hiebwaffen/Säbel/Speere/Stäbe +3/+1; </t>
  </si>
  <si>
    <t xml:space="preserve">Fernkampftalent +1 (nach kulturellem Hintergrund); Hiebwaffen/Säbel +1; Speere/Stäbe +3; Athletik/Boote Fahren/Reiten/Skifahren +4/+3/+2; Heraldik/Pflanzenkunde +1; Kriegskunst/Tierkunde +2; </t>
  </si>
  <si>
    <t xml:space="preserve">Fremdsprache +4; </t>
  </si>
  <si>
    <t xml:space="preserve">Fremdsprache +3; </t>
  </si>
  <si>
    <t>Robbenjäger</t>
  </si>
  <si>
    <t>Utulus</t>
  </si>
  <si>
    <t>Tocomuyac</t>
  </si>
  <si>
    <t>Sensibler Geruchssinn 6</t>
  </si>
  <si>
    <t>Wilde Zwerge</t>
  </si>
  <si>
    <t>Maraskan-Achaz</t>
  </si>
  <si>
    <t>Orkfrau</t>
  </si>
  <si>
    <t>3 beliebige Nahkampftalente je +3;</t>
  </si>
  <si>
    <t>Anderthalbhänder/Zweihandschwerter/-säbel +2; Fechtwaffen/Schwerter +5; Hiebwaffen/Säbel +3;</t>
  </si>
  <si>
    <t>Waffenlose Kampftechnik nach Wahl;</t>
  </si>
  <si>
    <t>Waffenlos Gladiatorenstil/Hammerfaust/Unauer Schule;</t>
  </si>
  <si>
    <t>Waffenlos Gladiatorenstil/Hammerfaust;</t>
  </si>
  <si>
    <t>Kavallerie-Fähnrich aus Gareth</t>
  </si>
  <si>
    <t>Infanterie-Fähnrich aus Festum</t>
  </si>
  <si>
    <t>Infanterie-Fähnrich aus Gareth</t>
  </si>
  <si>
    <t>Wundschwelle</t>
  </si>
  <si>
    <t>Vertrauter_Wiesel</t>
  </si>
  <si>
    <t>Vertrauter_Iltis</t>
  </si>
  <si>
    <t>Verbilligte</t>
  </si>
  <si>
    <t>Gegebene SF Magie</t>
  </si>
  <si>
    <t>Gegebene SF Allgemeine</t>
  </si>
  <si>
    <t>Gegebene SF Wlos</t>
  </si>
  <si>
    <t>Gegebene SF Fernkampf</t>
  </si>
  <si>
    <t>Gegebene SF Nahkampf</t>
  </si>
  <si>
    <t>SF Nahkampf</t>
  </si>
  <si>
    <t>SF Allgemein</t>
  </si>
  <si>
    <t>Karmale SF</t>
  </si>
  <si>
    <t>Verbilligte Karmale SF</t>
  </si>
  <si>
    <t>Blaue Pfeile</t>
  </si>
  <si>
    <t>Silberne Falken</t>
  </si>
  <si>
    <t>Kaiserlicher Boten- und Kurierdienst</t>
  </si>
  <si>
    <t>Gemeinschaft der treuen Gefährten</t>
  </si>
  <si>
    <t>Gesang der Delphine</t>
  </si>
  <si>
    <t>Gesang der Wale</t>
  </si>
  <si>
    <t>Gesegneter Fang</t>
  </si>
  <si>
    <t>Geteiltes Leid</t>
  </si>
  <si>
    <t>Gift der Erkenntnis</t>
  </si>
  <si>
    <t>Goldene Rüstung</t>
  </si>
  <si>
    <t>Liturgien Grad I</t>
  </si>
  <si>
    <t>Bekannt</t>
  </si>
  <si>
    <t>Stammeskrieger der Gjalskerländer</t>
  </si>
  <si>
    <t>Maximum</t>
  </si>
  <si>
    <t>pAsP</t>
  </si>
  <si>
    <t>Magie-Resistenz</t>
  </si>
  <si>
    <t>Zaubername</t>
  </si>
  <si>
    <t>Probe</t>
  </si>
  <si>
    <t>Z.-dauer</t>
  </si>
  <si>
    <t>Kosten</t>
  </si>
  <si>
    <t>W.-dauer</t>
  </si>
  <si>
    <t>Knochenkeule (klein)</t>
  </si>
  <si>
    <t>Magierstab (sehr kurz)</t>
  </si>
  <si>
    <t>Kriegsfächer</t>
  </si>
  <si>
    <t>Drachenklaue</t>
  </si>
  <si>
    <t>Sturmangriff</t>
  </si>
  <si>
    <t>H_BAUER</t>
  </si>
  <si>
    <t>H_BERGMAN</t>
  </si>
  <si>
    <t>Domestik</t>
  </si>
  <si>
    <t>H_DOMESTIK</t>
  </si>
  <si>
    <t>Ritualkenntnis Schamanentradition fremd</t>
  </si>
  <si>
    <t>Sägefischschwert</t>
  </si>
  <si>
    <t>Echsisches Szepter</t>
  </si>
  <si>
    <t>-2/1</t>
  </si>
  <si>
    <t>Ererbte Knochenkeule</t>
  </si>
  <si>
    <t>Geweiht (Angrosch)</t>
  </si>
  <si>
    <t>Geweiht (Aves)</t>
  </si>
  <si>
    <t>Geweiht (Boron)</t>
  </si>
  <si>
    <t>Geweiht (Efferd)</t>
  </si>
  <si>
    <t>Geweiht (Firun)</t>
  </si>
  <si>
    <t>Geweiht (Gravesch)</t>
  </si>
  <si>
    <t>Geweiht (Hesinde)</t>
  </si>
  <si>
    <t>Randgruppe</t>
  </si>
  <si>
    <t>Raubtiergeruch</t>
  </si>
  <si>
    <t>Gefahreninstinkt</t>
  </si>
  <si>
    <t>Unstet</t>
  </si>
  <si>
    <t>Nachtsicht</t>
  </si>
  <si>
    <t>Balance</t>
  </si>
  <si>
    <t>Beidhändig</t>
  </si>
  <si>
    <t>Hochsprung:</t>
  </si>
  <si>
    <t>Rituale</t>
  </si>
  <si>
    <t>Salasandra</t>
  </si>
  <si>
    <t>Elfen</t>
  </si>
  <si>
    <t>Freundschaftslied</t>
  </si>
  <si>
    <t>Regeneration I</t>
  </si>
  <si>
    <t>Geoden</t>
  </si>
  <si>
    <t>Hexen</t>
  </si>
  <si>
    <t>Diener Sumus</t>
  </si>
  <si>
    <t>Herr der Erde</t>
  </si>
  <si>
    <t>Töchter der Erde</t>
  </si>
  <si>
    <t>Schöne der Nacht</t>
  </si>
  <si>
    <t>Verschwiegene Schwesternschaft</t>
  </si>
  <si>
    <t>Schwesternschaft des Wissens</t>
  </si>
  <si>
    <r>
      <t xml:space="preserve">Ausdauer </t>
    </r>
    <r>
      <rPr>
        <b/>
        <sz val="10"/>
        <rFont val="Arial"/>
        <family val="2"/>
      </rPr>
      <t>(AU)</t>
    </r>
  </si>
  <si>
    <t>Seherin von Heute und Morgen</t>
  </si>
  <si>
    <t>Fahrende Gemeinschaft</t>
  </si>
  <si>
    <t>Schwarze Witwe</t>
  </si>
  <si>
    <t>Kristallomanten</t>
  </si>
  <si>
    <t>Kristallomant</t>
  </si>
  <si>
    <t>Dilettanten</t>
  </si>
  <si>
    <t>SWRTGSL</t>
  </si>
  <si>
    <t>SOLDAT</t>
  </si>
  <si>
    <t>SLDNER</t>
  </si>
  <si>
    <t>Eherne Kraft - lodernder Zorn</t>
  </si>
  <si>
    <t>Steigerungskosten (Spalte in SKT)</t>
  </si>
  <si>
    <t>─┐</t>
  </si>
  <si>
    <t>◄: Wert zu klein 
►: Wert zu groß</t>
  </si>
  <si>
    <t>────────────────────────┘</t>
  </si>
  <si>
    <t>Wertigkeit (GP):</t>
  </si>
  <si>
    <t>Angrosch</t>
  </si>
  <si>
    <t>Gravesch</t>
  </si>
  <si>
    <t>Hexenspeichel</t>
  </si>
  <si>
    <t>Proviant u.ä.</t>
  </si>
  <si>
    <t>Hochstapler</t>
  </si>
  <si>
    <t>Schieber</t>
  </si>
  <si>
    <t>Schürze</t>
  </si>
  <si>
    <t>Panzerbein</t>
  </si>
  <si>
    <t>Beinschienen, Bronze</t>
  </si>
  <si>
    <t xml:space="preserve">   └──</t>
  </si>
  <si>
    <t>Elem (Humus)</t>
  </si>
  <si>
    <t>Elem (Eis)</t>
  </si>
  <si>
    <t>Geis</t>
  </si>
  <si>
    <t>Heil</t>
  </si>
  <si>
    <t>Hell</t>
  </si>
  <si>
    <t>Herr</t>
  </si>
  <si>
    <t>Krft</t>
  </si>
  <si>
    <t>Limb</t>
  </si>
  <si>
    <t>Meta</t>
  </si>
  <si>
    <t>Rufe</t>
  </si>
  <si>
    <t>Scha</t>
  </si>
  <si>
    <t>Temp</t>
  </si>
  <si>
    <t>Umwt</t>
  </si>
  <si>
    <t>Vers</t>
  </si>
  <si>
    <t>Dämo (AGR)</t>
  </si>
  <si>
    <t>Dämo (BKZ)</t>
  </si>
  <si>
    <t>Dämo (BLH)</t>
  </si>
  <si>
    <t>Dämo (CPT)</t>
  </si>
  <si>
    <t>Dämo (LGM)</t>
  </si>
  <si>
    <r>
      <t>Ritualdauer Gew</t>
    </r>
    <r>
      <rPr>
        <sz val="10"/>
        <rFont val="Times New Roman"/>
        <family val="1"/>
      </rPr>
      <t xml:space="preserve">: </t>
    </r>
    <r>
      <rPr>
        <b/>
        <sz val="10"/>
        <rFont val="Times New Roman"/>
        <family val="1"/>
      </rPr>
      <t>Stossgebe</t>
    </r>
    <r>
      <rPr>
        <sz val="10"/>
        <rFont val="Times New Roman"/>
        <family val="1"/>
      </rPr>
      <t xml:space="preserve">t=5-15 Aktionen, </t>
    </r>
    <r>
      <rPr>
        <b/>
        <sz val="10"/>
        <rFont val="Times New Roman"/>
        <family val="1"/>
      </rPr>
      <t>Gebet</t>
    </r>
    <r>
      <rPr>
        <sz val="10"/>
        <rFont val="Times New Roman"/>
        <family val="1"/>
      </rPr>
      <t xml:space="preserve">=1 SR, </t>
    </r>
    <r>
      <rPr>
        <b/>
        <sz val="10"/>
        <rFont val="Times New Roman"/>
        <family val="1"/>
      </rPr>
      <t>Andacht</t>
    </r>
    <r>
      <rPr>
        <sz val="10"/>
        <rFont val="Times New Roman"/>
        <family val="1"/>
      </rPr>
      <t xml:space="preserve">=1/2 Stunde, </t>
    </r>
    <r>
      <rPr>
        <b/>
        <sz val="10"/>
        <rFont val="Times New Roman"/>
        <family val="1"/>
      </rPr>
      <t>Zeremonie</t>
    </r>
    <r>
      <rPr>
        <sz val="10"/>
        <rFont val="Times New Roman"/>
        <family val="1"/>
      </rPr>
      <t xml:space="preserve">=mehrere Stunden, </t>
    </r>
    <r>
      <rPr>
        <b/>
        <sz val="10"/>
        <rFont val="Times New Roman"/>
        <family val="1"/>
      </rPr>
      <t>Zyklus</t>
    </r>
    <r>
      <rPr>
        <sz val="10"/>
        <rFont val="Times New Roman"/>
        <family val="1"/>
      </rPr>
      <t>=mehrere Tage</t>
    </r>
  </si>
  <si>
    <t>ZfW x 7 Schritt</t>
  </si>
  <si>
    <t>ZfW x 3 Schritt</t>
  </si>
  <si>
    <t xml:space="preserve">6 AsP  </t>
  </si>
  <si>
    <t xml:space="preserve">ZfW Schritt  </t>
  </si>
  <si>
    <r>
      <t xml:space="preserve"> AT-Basiswert</t>
    </r>
    <r>
      <rPr>
        <sz val="10"/>
        <rFont val="Georgia"/>
        <family val="1"/>
      </rPr>
      <t xml:space="preserve"> </t>
    </r>
    <r>
      <rPr>
        <sz val="10"/>
        <rFont val="Arial"/>
        <family val="2"/>
      </rPr>
      <t xml:space="preserve"> </t>
    </r>
    <r>
      <rPr>
        <sz val="6"/>
        <rFont val="Arial"/>
        <family val="2"/>
      </rPr>
      <t>(MU+GE+KK)/5</t>
    </r>
  </si>
  <si>
    <r>
      <t xml:space="preserve"> PA-Basiswert</t>
    </r>
    <r>
      <rPr>
        <sz val="10"/>
        <rFont val="Georgia"/>
        <family val="1"/>
      </rPr>
      <t xml:space="preserve">  </t>
    </r>
    <r>
      <rPr>
        <sz val="6"/>
        <rFont val="Arial"/>
        <family val="2"/>
      </rPr>
      <t>(IN+GE+KK)/5</t>
    </r>
  </si>
  <si>
    <r>
      <t xml:space="preserve"> </t>
    </r>
    <r>
      <rPr>
        <b/>
        <sz val="10"/>
        <rFont val="Mason"/>
      </rPr>
      <t>FK-Basiswert</t>
    </r>
    <r>
      <rPr>
        <sz val="10"/>
        <rFont val="Arial"/>
        <family val="2"/>
      </rPr>
      <t xml:space="preserve">  </t>
    </r>
    <r>
      <rPr>
        <sz val="6"/>
        <rFont val="Arial"/>
        <family val="2"/>
      </rPr>
      <t>(IN+FF+KK)/5</t>
    </r>
  </si>
  <si>
    <t>Hier die Vorteile auswählen, die man neben den gegebenen haben möchte (Dropdown-Auswahlfelder). Ist im Feld Wertigkeit etwas angegeben, so muß man zum gewählten Vorteil noch etwas angeben (z.B. "Hohe Lebenskraft" &amp; "3", "Herausragender Sinn" &amp; "Tasten"). ►►►</t>
  </si>
  <si>
    <t>Auge der wartenden Seelen</t>
  </si>
  <si>
    <t>Auge des Händlers</t>
  </si>
  <si>
    <t>Astrale Regeneration I</t>
  </si>
  <si>
    <t>Astrale Regeneration III</t>
  </si>
  <si>
    <t>Astrale Regeneration II</t>
  </si>
  <si>
    <t>Astralmacht</t>
  </si>
  <si>
    <t>Entzug des Wissens</t>
  </si>
  <si>
    <t>Begabg./Unfäh.</t>
  </si>
  <si>
    <t>VERKETTEN NT Rasse:</t>
  </si>
  <si>
    <t>VERKETTEN NT Kultur:</t>
  </si>
  <si>
    <t>VERKETTEN NT Profession:</t>
  </si>
  <si>
    <t>VERKETTEN NT Generierung:</t>
  </si>
  <si>
    <t>VERKETTEN NT Frei</t>
  </si>
  <si>
    <t>VERKETTEN NT Zweitprofession</t>
  </si>
  <si>
    <t>VERKETTEN VT Frei:</t>
  </si>
  <si>
    <t>VERKETTEN Rasse, Kult, Prof, Gen:</t>
  </si>
  <si>
    <t>Kosten Talente Wissen, Handwerk gemäss Spalte C, Zauber ab Spalte C um eins höher</t>
  </si>
  <si>
    <t>Vorteile verketten, Vor- und Nachteile gesamt:</t>
  </si>
  <si>
    <t>Ingerimm-Geweihte (spät)</t>
  </si>
  <si>
    <t>Kor-Geweihte (spät)</t>
  </si>
  <si>
    <t>Nandus-Geweihte (spät)</t>
  </si>
  <si>
    <t>Peraine-Geweihte (spät)</t>
  </si>
  <si>
    <t>Phex-Geweihte (spät)</t>
  </si>
  <si>
    <t>Beeren/Obst</t>
  </si>
  <si>
    <t>Korn</t>
  </si>
  <si>
    <t>Kräuter</t>
  </si>
  <si>
    <t>Lagerung</t>
  </si>
  <si>
    <t>Festgewand</t>
  </si>
  <si>
    <t>Ruderschiff</t>
  </si>
  <si>
    <t>Relief</t>
  </si>
  <si>
    <t>mind. +7</t>
  </si>
  <si>
    <t>nach der Zeit:</t>
  </si>
  <si>
    <t xml:space="preserve"> - Sonnen/Mondstand</t>
  </si>
  <si>
    <t>-4 bis +4</t>
  </si>
  <si>
    <t xml:space="preserve"> - Naturererignis gut/schlecht</t>
  </si>
  <si>
    <t>-2 bis +2</t>
  </si>
  <si>
    <t xml:space="preserve"> - Feiertag der Religion</t>
  </si>
  <si>
    <t>nach Ritualbedingungen:</t>
  </si>
  <si>
    <t xml:space="preserve"> - impr. Fetisch-Komponente</t>
  </si>
  <si>
    <t xml:space="preserve"> - fehlende Fetisch-Komp.</t>
  </si>
  <si>
    <t>Basis (MU+KL+KO)/5</t>
  </si>
  <si>
    <t>Mähnenwolf</t>
  </si>
  <si>
    <t>Nivesischer Steppenhund</t>
  </si>
  <si>
    <t>Schwarzer Olporter</t>
  </si>
  <si>
    <t>Waffenmeister (4. Waffe)</t>
  </si>
  <si>
    <t>4+2/Gegner</t>
  </si>
  <si>
    <t>5 KR</t>
  </si>
  <si>
    <t>ZfW Meilen</t>
  </si>
  <si>
    <t>8 AsP +X+Y</t>
  </si>
  <si>
    <t>Hochschamane Tairach</t>
  </si>
  <si>
    <t>Durro-Dûn (Bär)</t>
  </si>
  <si>
    <t>Durro-Dûn (Feuermolch)</t>
  </si>
  <si>
    <t>Durro-Dûn (Gebirgsbock)</t>
  </si>
  <si>
    <t>Durro-Dûn (Rabe)</t>
  </si>
  <si>
    <t>Ritualkenntnis</t>
  </si>
  <si>
    <t>Durro-Dûn (Wildschwein)</t>
  </si>
  <si>
    <t>Durro-Dûn (Wolf)</t>
  </si>
  <si>
    <t>Magier</t>
  </si>
  <si>
    <t>Kampfseminar Andergast</t>
  </si>
  <si>
    <t>Universität von Al'Anfa (Leibmagier)</t>
  </si>
  <si>
    <t>Universität von Al'Anfa (Seekrieg)</t>
  </si>
  <si>
    <t>Akademie der Geistreisen zu Belhanka</t>
  </si>
  <si>
    <t>Halle des vollendeten Kampfes zu Bethana</t>
  </si>
  <si>
    <t>Magierdegen (-florett)</t>
  </si>
  <si>
    <t>Wipfellauf</t>
  </si>
  <si>
    <t>Zappenduster</t>
  </si>
  <si>
    <t>Karmale:</t>
  </si>
  <si>
    <t>+MR +Mod</t>
  </si>
  <si>
    <t xml:space="preserve">Objk </t>
  </si>
  <si>
    <t>Form, Objk</t>
  </si>
  <si>
    <t>Objk, Form</t>
  </si>
  <si>
    <t>Anti, Form</t>
  </si>
  <si>
    <t>Anti, Besw</t>
  </si>
  <si>
    <t>Anti, Dämo</t>
  </si>
  <si>
    <t>Herausragender sechster Sinn</t>
  </si>
  <si>
    <t>Machtvoller Vertrauter</t>
  </si>
  <si>
    <t>Magiegespür</t>
  </si>
  <si>
    <t>Meisterhandwerk</t>
  </si>
  <si>
    <t>HEXEN</t>
  </si>
  <si>
    <t>GEODEN</t>
  </si>
  <si>
    <t>ELFEN</t>
  </si>
  <si>
    <t>KRSTMTEN</t>
  </si>
  <si>
    <t>DLTTNTEN</t>
  </si>
  <si>
    <t>LEHRMSTR</t>
  </si>
  <si>
    <t>SCHARL</t>
  </si>
  <si>
    <t>SCHELME</t>
  </si>
  <si>
    <t>ZBRTZR</t>
  </si>
  <si>
    <t>ZIBILJA</t>
  </si>
  <si>
    <t>AMAZONE</t>
  </si>
  <si>
    <t>Eign, Einfl</t>
  </si>
  <si>
    <t>Eign, Elem (Eis)</t>
  </si>
  <si>
    <t>Eign, Elem</t>
  </si>
  <si>
    <t>Anti, Elem</t>
  </si>
  <si>
    <t>Elem (Eis), Eign</t>
  </si>
  <si>
    <t>Arkanophobie</t>
  </si>
  <si>
    <t>Artefaktgebunden</t>
  </si>
  <si>
    <t>Feste Gewohnheit</t>
  </si>
  <si>
    <t>Gemüse</t>
  </si>
  <si>
    <t>Efferd -Geweihter (spät):Efferdbrüder</t>
  </si>
  <si>
    <t>1 AsP/SR</t>
  </si>
  <si>
    <t xml:space="preserve">nach AsP   </t>
  </si>
  <si>
    <t>Waffen-Kampftalent</t>
  </si>
  <si>
    <t>Spez 1</t>
  </si>
  <si>
    <t>Spez 2</t>
  </si>
  <si>
    <t>Waffenmeister (2. Waffe)</t>
  </si>
  <si>
    <t>Waffenmeister (3. Waffe)</t>
  </si>
  <si>
    <t>permanent</t>
  </si>
  <si>
    <t>max. ZfP* SR</t>
  </si>
  <si>
    <t>Besw, Dämo, Scha</t>
  </si>
  <si>
    <t>Besw, Dämo (TGN)</t>
  </si>
  <si>
    <t>Falkner</t>
  </si>
  <si>
    <t>Hundeführer</t>
  </si>
  <si>
    <t>Grabräuber</t>
  </si>
  <si>
    <t>ZfP*x10 KR</t>
  </si>
  <si>
    <t>Goblinbande</t>
  </si>
  <si>
    <t>Archaische Achaz</t>
  </si>
  <si>
    <t>Stammes-Achaz</t>
  </si>
  <si>
    <t>I</t>
  </si>
  <si>
    <t>Z</t>
  </si>
  <si>
    <t>Tätowierer</t>
  </si>
  <si>
    <t>VT_HEIGEN_WERT</t>
  </si>
  <si>
    <t>NT_MEIGEN</t>
  </si>
  <si>
    <t>NT_MEIGEN_WERT</t>
  </si>
  <si>
    <t>Band und Fessel</t>
  </si>
  <si>
    <t xml:space="preserve">Praios-Geweihte: Ordenskrieger Bannstrahl-Orden, geweiht </t>
  </si>
  <si>
    <t>max. ZfW Tage</t>
  </si>
  <si>
    <t>7 AsP (var.)</t>
  </si>
  <si>
    <t>3A/50 Zeich.</t>
  </si>
  <si>
    <t>3 AsP/RS</t>
  </si>
  <si>
    <t>Auge des Mondes</t>
  </si>
  <si>
    <t>Bindung der Schlange</t>
  </si>
  <si>
    <t>Bishdariels Angesicht</t>
  </si>
  <si>
    <t>Bishdariels Auge</t>
  </si>
  <si>
    <t>Blick auf das Geisterwirken</t>
  </si>
  <si>
    <t>Blick für das Handwerk</t>
  </si>
  <si>
    <t>Blick in die Erinnerung</t>
  </si>
  <si>
    <t>Hadjinim-Orden, Tarisharim</t>
  </si>
  <si>
    <t>Furchtrune (Vargruna)</t>
  </si>
  <si>
    <t>bei Generierung vorhanden</t>
  </si>
  <si>
    <t>Elem (Humus), Eign</t>
  </si>
  <si>
    <t>Heil, Form</t>
  </si>
  <si>
    <t>Anti, Heil</t>
  </si>
  <si>
    <t>Form, Heil</t>
  </si>
  <si>
    <t>Heil, Einfl</t>
  </si>
  <si>
    <t>Anti, Hell</t>
  </si>
  <si>
    <t xml:space="preserve">Hell </t>
  </si>
  <si>
    <t>Eign, Hell</t>
  </si>
  <si>
    <t>Eign, Hell, Elem (Feuer)</t>
  </si>
  <si>
    <t>Anti, Herr</t>
  </si>
  <si>
    <t xml:space="preserve">Herr </t>
  </si>
  <si>
    <t>Einfl, Illu</t>
  </si>
  <si>
    <t>Anti, Illu</t>
  </si>
  <si>
    <t>Eign, Illu</t>
  </si>
  <si>
    <t>Hell, Limb</t>
  </si>
  <si>
    <t>Anti, Limb</t>
  </si>
  <si>
    <t xml:space="preserve">Limb </t>
  </si>
  <si>
    <t>Musizieren (Rhythmusinstrument)</t>
  </si>
  <si>
    <t>Stufe</t>
  </si>
  <si>
    <t>Datum</t>
  </si>
  <si>
    <t>Alter</t>
  </si>
  <si>
    <t>Nr .</t>
  </si>
  <si>
    <t>Verbindungen</t>
  </si>
  <si>
    <t>Blitz dich find</t>
  </si>
  <si>
    <t>ZZZ</t>
  </si>
  <si>
    <t xml:space="preserve">PP </t>
  </si>
  <si>
    <t xml:space="preserve">Exorzismus </t>
  </si>
  <si>
    <t>Sprachenkunde</t>
  </si>
  <si>
    <t>Staatskunst</t>
  </si>
  <si>
    <t>Sternkunde</t>
  </si>
  <si>
    <t>Tierkunde</t>
  </si>
  <si>
    <t>Abrichten</t>
  </si>
  <si>
    <t>Ackerbau</t>
  </si>
  <si>
    <t>Bergbau</t>
  </si>
  <si>
    <t xml:space="preserve">Weg des Windes </t>
  </si>
  <si>
    <t>Astraler Block (ZH)</t>
  </si>
  <si>
    <t>Astraler Block (V)</t>
  </si>
  <si>
    <t xml:space="preserve">ZZ </t>
  </si>
  <si>
    <t xml:space="preserve">ZZZ </t>
  </si>
  <si>
    <t>Ritualdauer</t>
  </si>
  <si>
    <t>Herkunft</t>
  </si>
  <si>
    <t>Modifikation</t>
  </si>
  <si>
    <t xml:space="preserve">Abvenum </t>
  </si>
  <si>
    <t>bannen</t>
  </si>
  <si>
    <t>1W+3</t>
  </si>
  <si>
    <t>-1/-2</t>
  </si>
  <si>
    <t>Borndorn</t>
  </si>
  <si>
    <t>12/5</t>
  </si>
  <si>
    <t>Boronsichel</t>
  </si>
  <si>
    <t>13/3</t>
  </si>
  <si>
    <t>0/-3</t>
  </si>
  <si>
    <t>Brabakbengel</t>
  </si>
  <si>
    <t>Breitschwert</t>
  </si>
  <si>
    <t>1W+1</t>
  </si>
  <si>
    <t>Wunderbarer Geschlechterwandel</t>
  </si>
  <si>
    <t>Aller Welt Freund</t>
  </si>
  <si>
    <t>Zerschmetternder Bannstrahl</t>
  </si>
  <si>
    <t>Boron-Geweihter:  (Puniner Ritus) (Diener Bishdariels) (Reisender Geweihte)</t>
  </si>
  <si>
    <t>min. 3 SR</t>
  </si>
  <si>
    <t>min. 6 SR</t>
  </si>
  <si>
    <t>7</t>
  </si>
  <si>
    <t>Boron-Geweihter:  (Al'Anfaner Ritus) (Militärbegleiter)</t>
  </si>
  <si>
    <t>Boron-Geweihter:  (Puniner Ritus)</t>
  </si>
  <si>
    <t>Boron-Geweihter:  (Puniner Ritus) (Diener Bishdariels)</t>
  </si>
  <si>
    <t/>
  </si>
  <si>
    <t>2N</t>
  </si>
  <si>
    <t>1N</t>
  </si>
  <si>
    <t>Leib des Erzes</t>
  </si>
  <si>
    <t>Karmalqueste</t>
  </si>
  <si>
    <t>Verpflichtungen (Akademie, Gilde, Gönner)</t>
  </si>
  <si>
    <t>Verpflichtungen (Akademie, Kalifat)</t>
  </si>
  <si>
    <t>Verpflichtungen (Akademie, Spektabilität)</t>
  </si>
  <si>
    <t>Entrückung</t>
  </si>
  <si>
    <t>Vorteile:</t>
  </si>
  <si>
    <t>Nachteile:</t>
  </si>
  <si>
    <t>5 Schritt</t>
  </si>
  <si>
    <t>Dschungelkundig</t>
  </si>
  <si>
    <t>Rur- und Gror-Priester</t>
  </si>
  <si>
    <t>Rur- und Gror-Priester: Wanderpriester</t>
  </si>
  <si>
    <t>Fluch der Pestilenz</t>
  </si>
  <si>
    <t>Zauberroutine</t>
  </si>
  <si>
    <t>Zauber unterbrechen</t>
  </si>
  <si>
    <t>Zauber vereinigen</t>
  </si>
  <si>
    <t>V</t>
  </si>
  <si>
    <t>Kampfgruppen</t>
  </si>
  <si>
    <t>Hund</t>
  </si>
  <si>
    <t>Rabe</t>
  </si>
  <si>
    <t>Wildkatze</t>
  </si>
  <si>
    <t>HV</t>
  </si>
  <si>
    <t>Wesen der Nacht I</t>
  </si>
  <si>
    <t>-1/-1</t>
  </si>
  <si>
    <t>+1/0</t>
  </si>
  <si>
    <t>Byakka</t>
  </si>
  <si>
    <t>Degen</t>
  </si>
  <si>
    <t>Dolch</t>
  </si>
  <si>
    <t>Doppelkhunchomer</t>
  </si>
  <si>
    <t>Drachentöter</t>
  </si>
  <si>
    <t>Drachenzahn</t>
  </si>
  <si>
    <t>Dreizack</t>
  </si>
  <si>
    <t>Dreschflegel</t>
  </si>
  <si>
    <t>Dschadra</t>
  </si>
  <si>
    <t>Eberfänger</t>
  </si>
  <si>
    <t>Echsische Axt</t>
  </si>
  <si>
    <t>Efferdbart</t>
  </si>
  <si>
    <t>Entermesser</t>
  </si>
  <si>
    <t>Eingeschränkter Sinn</t>
  </si>
  <si>
    <t>Einhändig</t>
  </si>
  <si>
    <t>Eitelkeit</t>
  </si>
  <si>
    <t>Farbenblind</t>
  </si>
  <si>
    <t>Fettleibig</t>
  </si>
  <si>
    <t>Gesucht I</t>
  </si>
  <si>
    <t>Gesucht II</t>
  </si>
  <si>
    <t>Gesucht III</t>
  </si>
  <si>
    <t>Metalle</t>
  </si>
  <si>
    <t>Esswaren</t>
  </si>
  <si>
    <t>Machtvolle</t>
  </si>
  <si>
    <t>Goblin-Stammes-Schamanin</t>
  </si>
  <si>
    <t>Goblin-Festumer Ghetto</t>
  </si>
  <si>
    <t xml:space="preserve">Kaskjua (Nivesen-Schamanen) </t>
  </si>
  <si>
    <t>Shochzuli (Trollzacker-Schamanen)</t>
  </si>
  <si>
    <t>Messer</t>
  </si>
  <si>
    <t>Molokdeschnaja</t>
  </si>
  <si>
    <t>Morgenstern</t>
  </si>
  <si>
    <t>Nachtwind</t>
  </si>
  <si>
    <t>Neethaner Langaxt</t>
  </si>
  <si>
    <t>Neunschwänzige</t>
  </si>
  <si>
    <t>Ochsenherde</t>
  </si>
  <si>
    <t>Ogerfänger</t>
  </si>
  <si>
    <t>verbilligt</t>
  </si>
  <si>
    <t>Mut</t>
  </si>
  <si>
    <t>Klugheit</t>
  </si>
  <si>
    <t>Verpflichtungen (Akademie, jährliche Heimkehr)</t>
  </si>
  <si>
    <t>SO+</t>
  </si>
  <si>
    <t>Was fürchtet der Held mehr als alles andere auf der Welt?</t>
  </si>
  <si>
    <t>(4.b)</t>
  </si>
  <si>
    <t>(4.c)</t>
  </si>
  <si>
    <t>Rasse:</t>
  </si>
  <si>
    <t>Zweitprofessions-Gebiet:</t>
  </si>
  <si>
    <t>Punkte für Steigerung:</t>
  </si>
  <si>
    <t>Verbilligt</t>
  </si>
  <si>
    <t>Garethi</t>
  </si>
  <si>
    <t>Thorwal (Binnenland)</t>
  </si>
  <si>
    <t>1W+6</t>
  </si>
  <si>
    <t>Sensibler Geruchssinn</t>
  </si>
  <si>
    <t>Sippenlosigkeit</t>
  </si>
  <si>
    <t>Spruchhemmung</t>
  </si>
  <si>
    <t>Stigma</t>
  </si>
  <si>
    <t>Stubenhocker</t>
  </si>
  <si>
    <t>Thesisgebunden</t>
  </si>
  <si>
    <t>Lasso</t>
  </si>
  <si>
    <t>Wurfnetz</t>
  </si>
  <si>
    <t>Schweres Wurfnetz</t>
  </si>
  <si>
    <t>Kampfdiskus</t>
  </si>
  <si>
    <t>2W+5</t>
  </si>
  <si>
    <t>3W+6</t>
  </si>
  <si>
    <t>1W+7</t>
  </si>
  <si>
    <t>2/5/10/20/40</t>
  </si>
  <si>
    <t>2/4/6/8/15</t>
  </si>
  <si>
    <t>Boron-Geweihter:  (Puniner Ritus) (Diplomat)</t>
  </si>
  <si>
    <t>Boron-Geweihter:  (Puniner Ritus) (Militärbegleiter)</t>
  </si>
  <si>
    <t>Boron-Geweihter:  (Puniner Ritus) (Reisender Geweihte)</t>
  </si>
  <si>
    <t>Gesellschaft</t>
  </si>
  <si>
    <t>Kampf</t>
  </si>
  <si>
    <t>Leibdiener/Zofe</t>
  </si>
  <si>
    <t>Kutscher</t>
  </si>
  <si>
    <t>Apothekarius</t>
  </si>
  <si>
    <t>Drucker</t>
  </si>
  <si>
    <t>Dämonenbindung I</t>
  </si>
  <si>
    <t>Dämonenbindung II</t>
  </si>
  <si>
    <t>Exorzist</t>
  </si>
  <si>
    <t>Form der Formlosigkeit</t>
  </si>
  <si>
    <t>Geber der Gestalt</t>
  </si>
  <si>
    <t>Kontakt zum grossen Geist</t>
  </si>
  <si>
    <t>Stammeskrieger</t>
  </si>
  <si>
    <t>Streuner</t>
  </si>
  <si>
    <t>Tagelöhner</t>
  </si>
  <si>
    <t>Talente/Begabung</t>
  </si>
  <si>
    <t>Pirschjagd Schleuder</t>
  </si>
  <si>
    <t>Pirschjagd Wurfbeil</t>
  </si>
  <si>
    <t>Entzug von Nandus' Gaben</t>
  </si>
  <si>
    <r>
      <t xml:space="preserve"> Lebenspunkte</t>
    </r>
    <r>
      <rPr>
        <sz val="10"/>
        <rFont val="Georgia"/>
        <family val="1"/>
      </rPr>
      <t xml:space="preserve">  </t>
    </r>
    <r>
      <rPr>
        <sz val="6"/>
        <rFont val="Arial"/>
        <family val="2"/>
      </rPr>
      <t>(KO+KO+KK)/2</t>
    </r>
  </si>
  <si>
    <r>
      <t xml:space="preserve"> Ausdauer</t>
    </r>
    <r>
      <rPr>
        <sz val="10"/>
        <rFont val="Georgia"/>
        <family val="1"/>
      </rPr>
      <t xml:space="preserve">  </t>
    </r>
    <r>
      <rPr>
        <sz val="6"/>
        <rFont val="Arial"/>
        <family val="2"/>
      </rPr>
      <t>(MU+KO+GE)/2</t>
    </r>
  </si>
  <si>
    <t>Bannakademie Ysilia</t>
  </si>
  <si>
    <t>Scha, Elem (Feuer)</t>
  </si>
  <si>
    <t>Krft, Vers</t>
  </si>
  <si>
    <t>1 KR</t>
  </si>
  <si>
    <t>Wie sieht es mit der Moral und der Gesetzestreue aus?</t>
  </si>
  <si>
    <t>Spätweihe Gravesch</t>
  </si>
  <si>
    <t>Spätweihe Aves</t>
  </si>
  <si>
    <t>Spätweihe Ifirn</t>
  </si>
  <si>
    <t>Spätweihe Nandus</t>
  </si>
  <si>
    <t>Spätweihe Swafnir</t>
  </si>
  <si>
    <t>Spätweihe Kor</t>
  </si>
  <si>
    <t>Spätweihe H'Szint</t>
  </si>
  <si>
    <t>Spätweihe Zsahh</t>
  </si>
  <si>
    <t>Spätweihe Praios</t>
  </si>
  <si>
    <t>Spätweihe Rondra</t>
  </si>
  <si>
    <t>Spätweihe Efferd</t>
  </si>
  <si>
    <t>Akademie der Magischen Rüstung zu Gareth</t>
  </si>
  <si>
    <t>Unverstellter Blick</t>
  </si>
  <si>
    <t>Urischars ordnender Blick</t>
  </si>
  <si>
    <t>Verborgen wie der Neumond</t>
  </si>
  <si>
    <t>Versiegeltes Wissen</t>
  </si>
  <si>
    <t>Visionssuche</t>
  </si>
  <si>
    <t>Waliburias Wehr</t>
  </si>
  <si>
    <t>Argelions Spiegel</t>
  </si>
  <si>
    <t>Bann der Geisterkräfte</t>
  </si>
  <si>
    <t>Belemans Hochzeit</t>
  </si>
  <si>
    <t>Borons süße Gnade</t>
  </si>
  <si>
    <t>Daradors Bann der Schatten</t>
  </si>
  <si>
    <t>Eisenwalder</t>
  </si>
  <si>
    <t>Leichte Armbrust</t>
  </si>
  <si>
    <t>Windenarmbrust</t>
  </si>
  <si>
    <t>6+3 AsP/SR</t>
  </si>
  <si>
    <t>11+3A/Monat</t>
  </si>
  <si>
    <t>max. ZfW Monate</t>
  </si>
  <si>
    <t>Zibilja</t>
  </si>
  <si>
    <t>Wesen der Nacht II</t>
  </si>
  <si>
    <t>Wesen der Nacht III</t>
  </si>
  <si>
    <t>Invercano Spiegeltrick</t>
  </si>
  <si>
    <t>Juckreiz dämlicher!</t>
  </si>
  <si>
    <t>Liturgien Grad V</t>
  </si>
  <si>
    <t>Schwertgeselle</t>
  </si>
  <si>
    <t>Bek. Repräsentationen:</t>
  </si>
  <si>
    <t>Unfähigkeiten:</t>
  </si>
  <si>
    <t>Begabungen:</t>
  </si>
  <si>
    <t xml:space="preserve"> Name</t>
  </si>
  <si>
    <t xml:space="preserve"> Rasse</t>
  </si>
  <si>
    <t>ZfP* x 2 Std.</t>
  </si>
  <si>
    <t>Zorn des Gottgefälligen</t>
  </si>
  <si>
    <t>Tanz der Liebe</t>
  </si>
  <si>
    <t>Tanz der Freude</t>
  </si>
  <si>
    <t>Tanz der Ermutigung</t>
  </si>
  <si>
    <t>Tanz der Wahrheit</t>
  </si>
  <si>
    <t>Tanz der Erlösung</t>
  </si>
  <si>
    <t>Tanz der Bilder</t>
  </si>
  <si>
    <t>Angrosch-Geweihter (spät)</t>
  </si>
  <si>
    <t>Aves-Geweihter (spät)</t>
  </si>
  <si>
    <t>Matrixregeneration II</t>
  </si>
  <si>
    <t>10 o. 17 AsP</t>
  </si>
  <si>
    <t>1 AsP/ S. R.</t>
  </si>
  <si>
    <t>W6+1</t>
  </si>
  <si>
    <t>W6+3</t>
  </si>
  <si>
    <t>VT_EIGEB_VT</t>
  </si>
  <si>
    <t>Automatische Vorteile Gutaussehend, Altersresistenz, Machtvoller Vertrauter(DONE), CH um 1 Spalte leichter zu steigern(DONE), Flüche mit halben Kosten (DONE)</t>
  </si>
  <si>
    <t>Rondrakamm</t>
  </si>
  <si>
    <t>Scheibendolch</t>
  </si>
  <si>
    <t>Schmiedehammer</t>
  </si>
  <si>
    <t>Schnitter</t>
  </si>
  <si>
    <t>Schwerer Dolch</t>
  </si>
  <si>
    <t>Schwert</t>
  </si>
  <si>
    <t>Sense</t>
  </si>
  <si>
    <t>Sichel</t>
  </si>
  <si>
    <t>Sklaventod</t>
  </si>
  <si>
    <t>Skraja</t>
  </si>
  <si>
    <t>Sonnenszepter</t>
  </si>
  <si>
    <t>Speer</t>
  </si>
  <si>
    <t>Spitzhacke</t>
  </si>
  <si>
    <t>Stockdegen</t>
  </si>
  <si>
    <t>Stoßspeer</t>
  </si>
  <si>
    <t>Streitaxt</t>
  </si>
  <si>
    <t>Streitkolben</t>
  </si>
  <si>
    <t>Boron-Geweihte (spät): Al'Anfaner Ritus</t>
  </si>
  <si>
    <t>Ausrüstungsvorteil</t>
  </si>
  <si>
    <t>Besonderer Besitz</t>
  </si>
  <si>
    <t>Glück</t>
  </si>
  <si>
    <t>Glück im Spiel</t>
  </si>
  <si>
    <t>Gutaussehend</t>
  </si>
  <si>
    <t>Herausragende Eigenschaft</t>
  </si>
  <si>
    <t>Hohe Magieresistenz</t>
  </si>
  <si>
    <t>Innerer Kompass</t>
  </si>
  <si>
    <t>Linkshänder</t>
  </si>
  <si>
    <t>Tanz ohne Ende</t>
  </si>
  <si>
    <t>Liturgiekenntnis-Wert</t>
  </si>
  <si>
    <t>Offset</t>
  </si>
  <si>
    <t>String</t>
  </si>
  <si>
    <t>Grad I:</t>
  </si>
  <si>
    <t>Grad II:</t>
  </si>
  <si>
    <t>Grad V:</t>
  </si>
  <si>
    <t>1W ASP</t>
  </si>
  <si>
    <t>2W ASP</t>
  </si>
  <si>
    <t>25 KaP (1 perm.)</t>
  </si>
  <si>
    <t>30 KaP (3 perm.)</t>
  </si>
  <si>
    <t>Lederharnisch</t>
  </si>
  <si>
    <t>Leichte Platte</t>
  </si>
  <si>
    <t>Mammutonpanzer</t>
  </si>
  <si>
    <t>4/Komp.</t>
  </si>
  <si>
    <t>Endwert Arcanovi:</t>
  </si>
  <si>
    <t>Arcanovi (Semipermanenz)</t>
  </si>
  <si>
    <t>Arcanovi (Matrixgeber)</t>
  </si>
  <si>
    <t>Alc, Ach, Mag, Zib</t>
  </si>
  <si>
    <t>Gassenwissen</t>
  </si>
  <si>
    <t>Lehren</t>
  </si>
  <si>
    <t>Menschenkenntnis</t>
  </si>
  <si>
    <t>Schauspielerei</t>
  </si>
  <si>
    <t>Schriftl. Ausdruck</t>
  </si>
  <si>
    <t>Probe Abrichten, Reiten + 3</t>
  </si>
  <si>
    <t>ok</t>
  </si>
  <si>
    <t>VT_UEBERBEG</t>
  </si>
  <si>
    <t>Waffe</t>
  </si>
  <si>
    <t>Talent</t>
  </si>
  <si>
    <t>Zauberzwang</t>
  </si>
  <si>
    <t>Swafnir-Geweihte: Hirte der Walwütigen</t>
  </si>
  <si>
    <t>nur Achaz</t>
  </si>
  <si>
    <t>nur Erz-, Amboss-, und Brillantzwerge</t>
  </si>
  <si>
    <t>Kochen (Trank)</t>
  </si>
  <si>
    <t>Baumeister / Deichmeister</t>
  </si>
  <si>
    <t>Hüttenkundiger / Bronzegießer / Eisengießer</t>
  </si>
  <si>
    <t>Zweitprofessions-Variante:</t>
  </si>
  <si>
    <r>
      <t>Sprachen &amp; Schriften</t>
    </r>
    <r>
      <rPr>
        <sz val="12"/>
        <rFont val="Arial"/>
        <family val="2"/>
      </rPr>
      <t xml:space="preserve"> (A)</t>
    </r>
  </si>
  <si>
    <r>
      <t>Körperliche Talente</t>
    </r>
    <r>
      <rPr>
        <b/>
        <sz val="13"/>
        <rFont val="Arial"/>
        <family val="2"/>
      </rPr>
      <t xml:space="preserve"> </t>
    </r>
    <r>
      <rPr>
        <sz val="12"/>
        <rFont val="Arial"/>
        <family val="2"/>
      </rPr>
      <t>(D)</t>
    </r>
  </si>
  <si>
    <r>
      <t>Gaben</t>
    </r>
    <r>
      <rPr>
        <sz val="12"/>
        <rFont val="Arial"/>
        <family val="2"/>
      </rPr>
      <t xml:space="preserve"> (G)</t>
    </r>
  </si>
  <si>
    <r>
      <t>Gesellschaftliche Talente</t>
    </r>
    <r>
      <rPr>
        <sz val="13"/>
        <rFont val="Arial"/>
        <family val="2"/>
      </rPr>
      <t xml:space="preserve"> </t>
    </r>
    <r>
      <rPr>
        <sz val="12"/>
        <rFont val="Arial"/>
        <family val="2"/>
      </rPr>
      <t>(B)</t>
    </r>
  </si>
  <si>
    <r>
      <t>Natur-Talente</t>
    </r>
    <r>
      <rPr>
        <b/>
        <sz val="12"/>
        <rFont val="Arial"/>
        <family val="2"/>
      </rPr>
      <t xml:space="preserve"> </t>
    </r>
    <r>
      <rPr>
        <sz val="12"/>
        <rFont val="Arial"/>
        <family val="2"/>
      </rPr>
      <t>(B)</t>
    </r>
  </si>
  <si>
    <r>
      <t>Wissenstalente</t>
    </r>
    <r>
      <rPr>
        <b/>
        <sz val="12"/>
        <rFont val="Arial"/>
        <family val="2"/>
      </rPr>
      <t xml:space="preserve"> </t>
    </r>
    <r>
      <rPr>
        <sz val="12"/>
        <rFont val="Arial"/>
        <family val="2"/>
      </rPr>
      <t>(B)</t>
    </r>
  </si>
  <si>
    <r>
      <t>Handwerkliche Talente</t>
    </r>
    <r>
      <rPr>
        <sz val="13"/>
        <rFont val="Arial"/>
        <family val="2"/>
      </rPr>
      <t xml:space="preserve"> </t>
    </r>
    <r>
      <rPr>
        <sz val="12"/>
        <rFont val="Arial"/>
        <family val="2"/>
      </rPr>
      <t>(B)</t>
    </r>
  </si>
  <si>
    <r>
      <t>Eigene &amp; Meta-Talente</t>
    </r>
    <r>
      <rPr>
        <sz val="13"/>
        <rFont val="Arial"/>
        <family val="2"/>
      </rPr>
      <t xml:space="preserve"> </t>
    </r>
    <r>
      <rPr>
        <sz val="12"/>
        <rFont val="Arial"/>
        <family val="2"/>
      </rPr>
      <t>(var.)</t>
    </r>
  </si>
  <si>
    <t>Krieger aus Mengbilla</t>
  </si>
  <si>
    <t>Krieger aus Gareth</t>
  </si>
  <si>
    <t>Steigerungs-Spalte</t>
  </si>
  <si>
    <t>Astral-Energie</t>
  </si>
  <si>
    <t>+</t>
  </si>
  <si>
    <t>Vor-/Nachteil</t>
  </si>
  <si>
    <t>Meditation</t>
  </si>
  <si>
    <t>Zukauf</t>
  </si>
  <si>
    <t>=</t>
  </si>
  <si>
    <t>Marbos Geisterblick</t>
  </si>
  <si>
    <t>Nemekaths Geisterblick</t>
  </si>
  <si>
    <t>Nimmermüde Wanderschaft</t>
  </si>
  <si>
    <t>Objektweihe</t>
  </si>
  <si>
    <t>Peraines Pflanzengespür</t>
  </si>
  <si>
    <t>Swafnir</t>
  </si>
  <si>
    <t>Kor</t>
  </si>
  <si>
    <t>H'Szint</t>
  </si>
  <si>
    <t>Charyptophilie</t>
  </si>
  <si>
    <t>Geiz</t>
  </si>
  <si>
    <t>Gerechtigkeitswahn</t>
  </si>
  <si>
    <t>Grössenwahn</t>
  </si>
  <si>
    <t>Magische Zwerge &lt;&gt; Geode</t>
  </si>
  <si>
    <t>Zwerge_Geoden</t>
  </si>
  <si>
    <t>Zwerge_Magisch</t>
  </si>
  <si>
    <t>Elf?</t>
  </si>
  <si>
    <t>Zwerg?</t>
  </si>
  <si>
    <t xml:space="preserve">Reinigen des Wassers </t>
  </si>
  <si>
    <t>Toc, Gja</t>
  </si>
  <si>
    <t>+2/Mass Wasser</t>
  </si>
  <si>
    <t>Boron-Geweihter:  (Puniner Ritus) (Diener Golgaris) (Diplomat)</t>
  </si>
  <si>
    <t>Zauberfertigkeiten</t>
  </si>
  <si>
    <t>Tsa-Geweihte: Koboldfreund</t>
  </si>
  <si>
    <t>PPP</t>
  </si>
  <si>
    <t>Vorteile Rasse</t>
  </si>
  <si>
    <t>Tsa-Geweihte: Freiheitskämpfer</t>
  </si>
  <si>
    <t>Schamanen</t>
  </si>
  <si>
    <t>Achaz-Stammeschamane</t>
  </si>
  <si>
    <t>NT_EINBEINIG</t>
  </si>
  <si>
    <t>Gruppe</t>
  </si>
  <si>
    <t>Bereich</t>
  </si>
  <si>
    <t>Spalte</t>
  </si>
  <si>
    <t>Liste</t>
  </si>
  <si>
    <t>G+PP</t>
  </si>
  <si>
    <t>Weihe der letzten Ruhestatt</t>
  </si>
  <si>
    <t>Koschkröte</t>
  </si>
  <si>
    <t>Totenkopfäffchen</t>
  </si>
  <si>
    <t>Waldspinne</t>
  </si>
  <si>
    <t>Alanfanische Seidenspinne</t>
  </si>
  <si>
    <t>Trollkröte</t>
  </si>
  <si>
    <t xml:space="preserve">Boron-Geweihte: Ordenskrieger des Schwarzen Raben, zu Land </t>
  </si>
  <si>
    <t>1 Stunde</t>
  </si>
  <si>
    <t>STMSKRGR</t>
  </si>
  <si>
    <t>Schutzgeist</t>
  </si>
  <si>
    <t>Übernatürliche Begabung</t>
  </si>
  <si>
    <t>Unbeschwertes Zaubern</t>
  </si>
  <si>
    <t>Verhüllte Aura</t>
  </si>
  <si>
    <t>Zauberhaar</t>
  </si>
  <si>
    <t>Vertrauter des Felsens</t>
  </si>
  <si>
    <t>L/S max</t>
  </si>
  <si>
    <t>Peraine-Geweihte (spät): Orden der Therbüniten</t>
  </si>
  <si>
    <t>3N</t>
  </si>
  <si>
    <t>Überzeugen (Demagogie)</t>
  </si>
  <si>
    <t xml:space="preserve">Brazoragh Ghorkai - Brazoraghs Hieb </t>
  </si>
  <si>
    <t>P(S)</t>
  </si>
  <si>
    <t>Ork, Fer</t>
  </si>
  <si>
    <t xml:space="preserve">Ergochai Tairachi </t>
  </si>
  <si>
    <t>+ZfP*</t>
  </si>
  <si>
    <t>Singen+5, Ges. Talente+2</t>
  </si>
  <si>
    <t>VT_WOHLKLG</t>
  </si>
  <si>
    <t>Hören</t>
  </si>
  <si>
    <t>Sinne</t>
  </si>
  <si>
    <t>Unfähigkeit Merkmal</t>
  </si>
  <si>
    <t>A+</t>
  </si>
  <si>
    <t>für Gen. 6</t>
  </si>
  <si>
    <t>Sozialstatus SO</t>
  </si>
  <si>
    <t>Aberglaube</t>
  </si>
  <si>
    <t>Zweistimmiger Gesang</t>
  </si>
  <si>
    <t>Animalische Magie</t>
  </si>
  <si>
    <t>Weisheit der Bäume</t>
  </si>
  <si>
    <t>4H</t>
  </si>
  <si>
    <t>Boron-Geweihte (spät): Puniner Ritus</t>
  </si>
  <si>
    <t>ZfW  spez. Erfahrung</t>
  </si>
  <si>
    <t>ZAUBERWERTE</t>
  </si>
  <si>
    <t>Vorteile variable GP</t>
  </si>
  <si>
    <r>
      <t xml:space="preserve">KR: Kampfrunde, MR: Magieresistenz, SR: Spielrunde, ZfP*: bei der Probe übrig behaltene Zauberfertigkeitspunkte, ZfW: Zauberfertigkeitswert 
</t>
    </r>
    <r>
      <rPr>
        <b/>
        <sz val="7"/>
        <rFont val="Times New Roman"/>
        <family val="1"/>
      </rPr>
      <t xml:space="preserve">Merkmale </t>
    </r>
    <r>
      <rPr>
        <sz val="7"/>
        <rFont val="Times New Roman"/>
        <family val="1"/>
      </rPr>
      <t xml:space="preserve">Anti: Antimagie, Besw: Beschwörung, Dämo: Dämonisch, Eign: Eigenschaften, Einfl: Einfluss, Elem: Elementar, Form: Form, Geis: Geisterwesen, Heil: Heilung, Hell: Hellsicht, Herr: Herrschaft, Illu: Illusion, Krft: Kraft, Limb: Limbus, Meta: Metamagie, Objk: Objekt-verzauberung, Rufe: Herbeirufung, Scha: Schaden, Tele: Telekinese, Temp: Temporal, Umwt: Umweltveränderung, Vers: Verständigung </t>
    </r>
    <r>
      <rPr>
        <b/>
        <sz val="7"/>
        <rFont val="Times New Roman"/>
        <family val="1"/>
      </rPr>
      <t>Traditionen und Repräsentationen</t>
    </r>
    <r>
      <rPr>
        <sz val="7"/>
        <rFont val="Times New Roman"/>
        <family val="1"/>
      </rPr>
      <t xml:space="preserve"> Ach: Achaz-Kristallomanten, Bor: Borbaradianer, Dru: Druiden, Elf: Elfen, Geo: Geoden, Hex: Hexen, Mag: Gildenmagier, Sch: Schelme, Srl: Scharlatane</t>
    </r>
  </si>
  <si>
    <t>Inf.-Waffen</t>
  </si>
  <si>
    <t>2H-Flegel</t>
  </si>
  <si>
    <t>2H-Hiebwfn.</t>
  </si>
  <si>
    <t>Max. Zuk.</t>
  </si>
  <si>
    <t>L/S: Altes Alaani</t>
  </si>
  <si>
    <t>Verbreitung</t>
  </si>
  <si>
    <t>5. EIGN /Steigerungspkt</t>
  </si>
  <si>
    <t>1. EIGN /Steigerungspkt</t>
  </si>
  <si>
    <t>6. EIGN /Steigerungspkt</t>
  </si>
  <si>
    <t>7. EIGN /Steigerungspkt</t>
  </si>
  <si>
    <t>8. EIGN /Steigerungspkt</t>
  </si>
  <si>
    <t>Leichtes Fußvolk (Soldat)</t>
  </si>
  <si>
    <t>Leichte Reiterei (Soldat)</t>
  </si>
  <si>
    <t>Schwere Reiterei (Soldat)</t>
  </si>
  <si>
    <t>Streitwagenlenker (Soldat)</t>
  </si>
  <si>
    <t>Schütze (Soldat)</t>
  </si>
  <si>
    <t>Berittener Schütze (Soldat)</t>
  </si>
  <si>
    <t>Aufgesessener Schütze (Soldat)</t>
  </si>
  <si>
    <t>Sappeur (Soldat)</t>
  </si>
  <si>
    <t>Seesoldat (Soldat)</t>
  </si>
  <si>
    <t>Seeartillerist (Soldat)</t>
  </si>
  <si>
    <t>Plattenzeug</t>
  </si>
  <si>
    <t>Schaller (mit Bart)</t>
  </si>
  <si>
    <t>Ein Freund in Zeiten der Not</t>
  </si>
  <si>
    <t>Erlösung des Tapams</t>
  </si>
  <si>
    <t>Feuertaufe</t>
  </si>
  <si>
    <t>Firuns Einsicht</t>
  </si>
  <si>
    <t>Gorfangs Fluch</t>
  </si>
  <si>
    <t>Grispelz' Fruchtbarkeit</t>
  </si>
  <si>
    <t>Gruß des Versunkenen</t>
  </si>
  <si>
    <t>Herr über Feuer und Glut</t>
  </si>
  <si>
    <t>Hoftag der Sprachen</t>
  </si>
  <si>
    <t>Indoktrination</t>
  </si>
  <si>
    <t>Ingalfs Alchimie</t>
  </si>
  <si>
    <t>Kamaluqs Fluch</t>
  </si>
  <si>
    <t>Nemekaths Zwiesprache</t>
  </si>
  <si>
    <t>Scharlatane</t>
  </si>
  <si>
    <t>(Experte:</t>
  </si>
  <si>
    <t>Schule der Schmerzen zu Elburum</t>
  </si>
  <si>
    <t>Arroganz</t>
  </si>
  <si>
    <t>Blutrausch</t>
  </si>
  <si>
    <t>Dunkelangst</t>
  </si>
  <si>
    <t>Bandit</t>
  </si>
  <si>
    <t>Kutschenräuber</t>
  </si>
  <si>
    <t>Spurlos Trittlos</t>
  </si>
  <si>
    <t>Standfest Katzengleich</t>
  </si>
  <si>
    <t>Staub wandle!</t>
  </si>
  <si>
    <t>Stein wandle!</t>
  </si>
  <si>
    <t>Tempus Stasis</t>
  </si>
  <si>
    <t>Tlalucs Odem Pestgestank</t>
  </si>
  <si>
    <t>Totes handle!</t>
  </si>
  <si>
    <t>Transformatio Formgestalt</t>
  </si>
  <si>
    <t>Transmutare Körperform</t>
  </si>
  <si>
    <t>Transversalis Teleport</t>
  </si>
  <si>
    <t>Unitatio Geistesbund</t>
  </si>
  <si>
    <t>Resistenz gegen tierische Gifte</t>
  </si>
  <si>
    <t xml:space="preserve">Weidegründe finden </t>
  </si>
  <si>
    <t xml:space="preserve">Wettermeisterschaft </t>
  </si>
  <si>
    <t xml:space="preserve">Wild finden </t>
  </si>
  <si>
    <t>Gob, Ork, Gja</t>
  </si>
  <si>
    <t xml:space="preserve">Wildschweinruf </t>
  </si>
  <si>
    <t xml:space="preserve">Wolfsfluch </t>
  </si>
  <si>
    <t xml:space="preserve">Wolfsruf </t>
  </si>
  <si>
    <t xml:space="preserve">Zauberklinge </t>
  </si>
  <si>
    <t xml:space="preserve">Zeichen setzen </t>
  </si>
  <si>
    <t xml:space="preserve">Zorn des Berglöwen </t>
  </si>
  <si>
    <t xml:space="preserve">Zorn des Schneelaurers </t>
  </si>
  <si>
    <t xml:space="preserve">Zwingtanz </t>
  </si>
  <si>
    <t>Wdm</t>
  </si>
  <si>
    <t>Liturgien</t>
  </si>
  <si>
    <t>(+1/+1/0/0/-1)</t>
  </si>
  <si>
    <t>(+3/+2/+1/+1/0)</t>
  </si>
  <si>
    <t>(+2/+1/+1/0/0)</t>
  </si>
  <si>
    <t>(+3/+2/+1/0/0)</t>
  </si>
  <si>
    <t>(+3/+1/0/-1/-2)</t>
  </si>
  <si>
    <t>(-/0/0/0/-1)</t>
  </si>
  <si>
    <t>(-/0/0/-1/-2)</t>
  </si>
  <si>
    <t>BF</t>
  </si>
  <si>
    <t>-</t>
  </si>
  <si>
    <t>Handgemenge-Waffen</t>
  </si>
  <si>
    <t>Bock</t>
  </si>
  <si>
    <t>Orchidee</t>
  </si>
  <si>
    <t>Panzerarm</t>
  </si>
  <si>
    <t>Schlagring</t>
  </si>
  <si>
    <t>Veteranenhand</t>
  </si>
  <si>
    <t>10/5</t>
  </si>
  <si>
    <t>10/3</t>
  </si>
  <si>
    <t xml:space="preserve">Praios-Geweihter (spät): Bannstrahler </t>
  </si>
  <si>
    <t>Aves</t>
  </si>
  <si>
    <t>Ifirn</t>
  </si>
  <si>
    <t>Nandus</t>
  </si>
  <si>
    <t>Parierwaffen II</t>
  </si>
  <si>
    <t>Niederwerfen</t>
  </si>
  <si>
    <t>Hammerschlag</t>
  </si>
  <si>
    <t>Schildspalter</t>
  </si>
  <si>
    <t>Befreiungsschlag</t>
  </si>
  <si>
    <t>Betäubungsschlag</t>
  </si>
  <si>
    <t>Beidhändiger Kampf I</t>
  </si>
  <si>
    <t>Beidhändiger Kampf II</t>
  </si>
  <si>
    <t>Binden</t>
  </si>
  <si>
    <t>Blindkampf</t>
  </si>
  <si>
    <t>Defensiver Kampfstil</t>
  </si>
  <si>
    <t>Doppelangriff</t>
  </si>
  <si>
    <t>Eisenhagel</t>
  </si>
  <si>
    <t>Gegenhalten</t>
  </si>
  <si>
    <t>Gezielter Stich</t>
  </si>
  <si>
    <t>Kampfgespür</t>
  </si>
  <si>
    <t>Klingensturm</t>
  </si>
  <si>
    <t>Zureiter</t>
  </si>
  <si>
    <t>Wellenlauf</t>
  </si>
  <si>
    <t>Ängste mehren</t>
  </si>
  <si>
    <t>Beiss auf Granit</t>
  </si>
  <si>
    <t>Beute</t>
  </si>
  <si>
    <t>Hagelschlag</t>
  </si>
  <si>
    <t>Hexenschuss</t>
  </si>
  <si>
    <t>Kornfäule</t>
  </si>
  <si>
    <r>
      <t>◄</t>
    </r>
    <r>
      <rPr>
        <i/>
        <sz val="10"/>
        <color indexed="55"/>
        <rFont val="Arial"/>
        <family val="2"/>
      </rPr>
      <t xml:space="preserve"> 1. Repräsentation Charakter</t>
    </r>
  </si>
  <si>
    <r>
      <t>◄</t>
    </r>
    <r>
      <rPr>
        <i/>
        <sz val="10"/>
        <color indexed="55"/>
        <rFont val="Arial"/>
        <family val="2"/>
      </rPr>
      <t xml:space="preserve"> 2. Repräsentation Charakter</t>
    </r>
  </si>
  <si>
    <t>Wildhüter</t>
  </si>
  <si>
    <t>Kräutersammler</t>
  </si>
  <si>
    <t>Sammler</t>
  </si>
  <si>
    <t>Rur- und Gror-Priester (spät)</t>
  </si>
  <si>
    <t>Art</t>
  </si>
  <si>
    <t>KO</t>
  </si>
  <si>
    <t>Fledermaus</t>
  </si>
  <si>
    <t>MAGAKADMN</t>
  </si>
  <si>
    <t>Krabbelnder Schrecken</t>
  </si>
  <si>
    <t>Kraft des Erzes</t>
  </si>
  <si>
    <t>Krähenruf</t>
  </si>
  <si>
    <t>Lederweste</t>
  </si>
  <si>
    <t>Anaurak</t>
  </si>
  <si>
    <t>Liturgienkenntnis (Götterdiener)</t>
  </si>
  <si>
    <t>Ritualkenntnis (Schamane)</t>
  </si>
  <si>
    <t xml:space="preserve">Blick in Liskas Auge </t>
  </si>
  <si>
    <t xml:space="preserve">Blick ins Geisterreich </t>
  </si>
  <si>
    <t xml:space="preserve">Blutsbund </t>
  </si>
  <si>
    <t>Überreden (Feilschen)</t>
  </si>
  <si>
    <t>Schreiber (Sesh´shemet)</t>
  </si>
  <si>
    <t>Rattenfänger (Krokodillero)</t>
  </si>
  <si>
    <t>Zib 2</t>
  </si>
  <si>
    <t>Raubtiere</t>
  </si>
  <si>
    <t>Vögel</t>
  </si>
  <si>
    <t>Parierwaffen I</t>
  </si>
  <si>
    <t>Formation</t>
  </si>
  <si>
    <t>Wuchtschlag</t>
  </si>
  <si>
    <t>Kampfreflexe</t>
  </si>
  <si>
    <t>Rüstungsgewöhnung II</t>
  </si>
  <si>
    <t>Kriegsreiterei</t>
  </si>
  <si>
    <t>Krieger aus Rommilys</t>
  </si>
  <si>
    <t>Fähnrich zur See aus Festum</t>
  </si>
  <si>
    <t>ZfP*x5 KR (A)</t>
  </si>
  <si>
    <t>6 Stunden</t>
  </si>
  <si>
    <t>49+W6p AsP</t>
  </si>
  <si>
    <t>Schwacher Astralkörper</t>
  </si>
  <si>
    <t>Seffer Manich</t>
  </si>
  <si>
    <t>max. ZfP*/2 SR</t>
  </si>
  <si>
    <t>ZfP* x 3 KR (A)</t>
  </si>
  <si>
    <t>Nuntiovolo Botenvogel</t>
  </si>
  <si>
    <t>Oculus Astralis</t>
  </si>
  <si>
    <t>Odem Arcanum</t>
  </si>
  <si>
    <t>Panik überkomme euch</t>
  </si>
  <si>
    <t>Paralysis starr wie Stein</t>
  </si>
  <si>
    <t>Pectetondo Zauberhaar</t>
  </si>
  <si>
    <t>Penetrizzel Tiefenblick</t>
  </si>
  <si>
    <t>Pentagramma Sphärenbann</t>
  </si>
  <si>
    <t>Planastrale Anderwelt</t>
  </si>
  <si>
    <t>Zaubersprachen</t>
  </si>
  <si>
    <t>Geheimsprachen</t>
  </si>
  <si>
    <t>Diplomatie</t>
  </si>
  <si>
    <t>Intrige</t>
  </si>
  <si>
    <t>Verwaltung</t>
  </si>
  <si>
    <t>Horoskop</t>
  </si>
  <si>
    <t>Meeresgetier</t>
  </si>
  <si>
    <t>Schädlinge</t>
  </si>
  <si>
    <t>Pilzzucht</t>
  </si>
  <si>
    <t>Früchte</t>
  </si>
  <si>
    <t>Erdknollen</t>
  </si>
  <si>
    <t>Semipermanenz I</t>
  </si>
  <si>
    <t>Semipermanenz II</t>
  </si>
  <si>
    <t>Vielfache Ladungen</t>
  </si>
  <si>
    <t>Merkmale:</t>
  </si>
  <si>
    <t>Schl.E?</t>
  </si>
  <si>
    <t>Übernahme Nachteilsliste</t>
  </si>
  <si>
    <r>
      <t xml:space="preserve"> Astralenergie</t>
    </r>
    <r>
      <rPr>
        <sz val="10"/>
        <rFont val="Georgia"/>
        <family val="1"/>
      </rPr>
      <t xml:space="preserve"> </t>
    </r>
    <r>
      <rPr>
        <sz val="10"/>
        <rFont val="Arial"/>
        <family val="2"/>
      </rPr>
      <t xml:space="preserve"> </t>
    </r>
    <r>
      <rPr>
        <sz val="6"/>
        <rFont val="Arial"/>
        <family val="2"/>
      </rPr>
      <t>(MU+IN+CH)/2</t>
    </r>
  </si>
  <si>
    <t>1W+4</t>
  </si>
  <si>
    <t>11/14</t>
  </si>
  <si>
    <t>7/5</t>
  </si>
  <si>
    <t>2W+6</t>
  </si>
  <si>
    <t>2W+2</t>
  </si>
  <si>
    <t>13/17</t>
  </si>
  <si>
    <t>7/12</t>
  </si>
  <si>
    <t>Nandusgefälliges Wissen/Meister der Improvisation;</t>
  </si>
  <si>
    <t>Gaukeleien/Taschendiebstahl +1; Abrichten/Viehzucht +2; auf weitere passende bereits aktivierte Natur-, Handwerks-, und/oder Wissenstalente insgesamt +10 (max. je +3);</t>
  </si>
  <si>
    <t>Infanteriewaffen/Speere/Zweihand-Hiebwaffen +2; Kettenwaffen/Zweihandflegel +2;</t>
  </si>
  <si>
    <t>Infanteriewaffen/Speere/Zweihand-Hiebwaffen +4; Kettenwaffen/Zweihandflegel +2; Armbrust/Bogen +2;</t>
  </si>
  <si>
    <t>Infanteriewaffen/Speere/Zweihand-Hiebwaffen +2; Hauswirtschaft/Heilkunde Gift +1;</t>
  </si>
  <si>
    <t>Infanteriewaffen/Speere/Zweihand-Hiebwaffen +2;</t>
  </si>
  <si>
    <t>Infanteriewaffen/Speere/Zweihand-Hiebwaffen +2; Kettenwaffen/Zweihandflegel +2; Schwimmen/Sich Verstecken +1; Fallenstellen/Fischen/Angeln +1; Boote Fahren/Brauer/Webkunst +2;</t>
  </si>
  <si>
    <t>Baukunst/Hüttenkunde/Mechanik +1; Steinmetz/Zimmermann +2;</t>
  </si>
  <si>
    <t>Baukunst/Hüttenkunde/Mechanik +1;</t>
  </si>
  <si>
    <t>Gaukeleien/Taschendiebstahl +1; Boote Fahren/Fahrzeug Lenken +2; auf zwei weitere passende Handwerks- und/oder Wissenstalente insgesamt +4 (je nach im Haushalt bzw. auf der Domäne wichtigen Tätigkeiten);</t>
  </si>
  <si>
    <t>Fechtwaffen/Hiebwaffen/Stäbe +1; Raufen/Ringen +1;</t>
  </si>
  <si>
    <t>L/S Muttersprache +3;</t>
  </si>
  <si>
    <t>Fremdsprache +2;</t>
  </si>
  <si>
    <t>L/S Schrift des Haushalts +2;</t>
  </si>
  <si>
    <t>L/S Schrift des Haushalts +6;</t>
  </si>
  <si>
    <t>L/S Chrmk/Fremdsprache +6;</t>
  </si>
  <si>
    <t>Voraussetzung: Adlig</t>
  </si>
  <si>
    <t xml:space="preserve">L/S Muttersprache +3; </t>
  </si>
  <si>
    <t>Fremdsprache +4;</t>
  </si>
  <si>
    <t xml:space="preserve">Fremdsprache +6/+6/+2/+2; L/S Muttersprache +6; L/S Fremdsprache +4/+4; </t>
  </si>
  <si>
    <t xml:space="preserve">Fremdsprache +6/+3/+3; L/S Muttersprache +6; L/S Fremdsprache +3/+3; </t>
  </si>
  <si>
    <t xml:space="preserve">Fremdsprache +6/+6/+2/+2; L/S Muttersprache +6; L/S Fremdsprache +4; </t>
  </si>
  <si>
    <t xml:space="preserve">Fremdsprache +3; L/S Muttersprache +2; </t>
  </si>
  <si>
    <t xml:space="preserve">Fremdsprache +4/+4; L/S Muttersprache +2; </t>
  </si>
  <si>
    <r>
      <t>Biss</t>
    </r>
    <r>
      <rPr>
        <sz val="10"/>
        <rFont val="Mason"/>
      </rPr>
      <t xml:space="preserve"> TP </t>
    </r>
    <r>
      <rPr>
        <vertAlign val="subscript"/>
        <sz val="10"/>
        <rFont val="Mason"/>
      </rPr>
      <t>Tritt</t>
    </r>
  </si>
  <si>
    <t>FS</t>
  </si>
  <si>
    <t>Fertigkeiten</t>
  </si>
  <si>
    <t xml:space="preserve"> --- Esel &amp; Co:</t>
  </si>
  <si>
    <t>Esel, Quadan</t>
  </si>
  <si>
    <t xml:space="preserve"> 8 /8</t>
  </si>
  <si>
    <t>1W+1 / 1W+1</t>
  </si>
  <si>
    <t>1 / 5</t>
  </si>
  <si>
    <t>2 / 6 / -</t>
  </si>
  <si>
    <t>5 / -</t>
  </si>
  <si>
    <t>trittsicher, eigenwillig, ausdauernd (Trab), erhöhte Tragkraft, genügsam, guter Orientierungssinn, zäh, störrisch, gezielter Angriff / Niederwerfen (3, Tritt)</t>
  </si>
  <si>
    <t>25 / 50</t>
  </si>
  <si>
    <t>Esel, Mherwati</t>
  </si>
  <si>
    <t>1 / 4</t>
  </si>
  <si>
    <t>trittsicher, eigenwillig, ausdauernd (Trab), erhöhte Tragkraft, genügsam, guter Orientierungssinn, zäh, Einzelgänger, gezielter Angriff / Niederwerfen (5, Tritt)</t>
  </si>
  <si>
    <t>25 / 40</t>
  </si>
  <si>
    <t>Esel, Grautier</t>
  </si>
  <si>
    <t>trittsicher, eigenwillig, ausdauernd (Trab), erhöhte Tragkraft, genügsam, guter Orientierungssinn, zäh, gezielter Angriff / Niederwerfen (5, Tritt)</t>
  </si>
  <si>
    <t>Maultier (Werte von Pferdemutter)</t>
  </si>
  <si>
    <t>Maulesel (Werte von Eselmutter)</t>
  </si>
  <si>
    <t xml:space="preserve"> --- Ponnys:</t>
  </si>
  <si>
    <t>Beilunker Zwergenpony</t>
  </si>
  <si>
    <t>*10 / 10</t>
  </si>
  <si>
    <t>1W / 1W+1</t>
  </si>
  <si>
    <t>1 / 6</t>
  </si>
  <si>
    <t>1,5 / 6 / 11</t>
  </si>
  <si>
    <t>6 / 5</t>
  </si>
  <si>
    <t>trittsicher (Gebirge, Geröll), fliknheit, verringerte Tragkraft</t>
  </si>
  <si>
    <t xml:space="preserve"> - / 45</t>
  </si>
  <si>
    <t>Ferkina-Ponys</t>
  </si>
  <si>
    <t>11 / 11</t>
  </si>
  <si>
    <t>1W+1 / 1W+2</t>
  </si>
  <si>
    <t>6 / 6</t>
  </si>
  <si>
    <t xml:space="preserve"> - </t>
  </si>
  <si>
    <t>ausdauernd, genügsam, trittsicher, zäh</t>
  </si>
  <si>
    <t>15 / -</t>
  </si>
  <si>
    <t>Paavi-, Firnpony</t>
  </si>
  <si>
    <t xml:space="preserve"> 11 / 10</t>
  </si>
  <si>
    <t>1W / 1W</t>
  </si>
  <si>
    <t>2 / 6</t>
  </si>
  <si>
    <t>1 / 4 / 9</t>
  </si>
  <si>
    <t>eigenwillig, erhöhte Zugkraft, genügsam, selten Magiegespür, sehr guter Orientierungssinn, trittsicher, zäh</t>
  </si>
  <si>
    <t xml:space="preserve"> --- Pferde:</t>
  </si>
  <si>
    <t>Eleviner Vollblut</t>
  </si>
  <si>
    <t>1 / 8</t>
  </si>
  <si>
    <t>2 / 12 / 16</t>
  </si>
  <si>
    <t>5 / 4</t>
  </si>
  <si>
    <t>sprungsicher, nervös, schnell</t>
  </si>
  <si>
    <t xml:space="preserve"> - / 50</t>
  </si>
  <si>
    <t>Goldfelser</t>
  </si>
  <si>
    <t>2 / 12 / 15</t>
  </si>
  <si>
    <t>ausdauernd, eigenwillig, feurig, nervös, schnell</t>
  </si>
  <si>
    <t>50 / 75</t>
  </si>
  <si>
    <t>Langmähne</t>
  </si>
  <si>
    <t xml:space="preserve"> 10 / 11</t>
  </si>
  <si>
    <t>2 / 7</t>
  </si>
  <si>
    <t>1,5 / 7 / 10</t>
  </si>
  <si>
    <t>7 / 5</t>
  </si>
  <si>
    <t>ausdauernd, genügsam, Trendeln, zäh</t>
  </si>
  <si>
    <t>Shadif</t>
  </si>
  <si>
    <t>0 / 8</t>
  </si>
  <si>
    <t>ausdauernd, sehr lernfähig, nervös, schnell, zäh</t>
  </si>
  <si>
    <t xml:space="preserve"> - / 150</t>
  </si>
  <si>
    <t>Svellttaler Kaltblut</t>
  </si>
  <si>
    <t>1W+1 / 2W+2</t>
  </si>
  <si>
    <t>2 / 10</t>
  </si>
  <si>
    <t>1,5 / 7 / 12</t>
  </si>
  <si>
    <t>erhöhte Trag- und Zufgkraft, gutmütig</t>
  </si>
  <si>
    <t>40 / 60</t>
  </si>
  <si>
    <t>Teshkaler</t>
  </si>
  <si>
    <t>1W / 1W+2</t>
  </si>
  <si>
    <t>1 / 9</t>
  </si>
  <si>
    <t>1,5 / 11 / 13</t>
  </si>
  <si>
    <t>eigenwillig, elegante Erscheinung, erhöhte Trag- und Zugkraft, weiche Gänge</t>
  </si>
  <si>
    <t>35 / 55</t>
  </si>
  <si>
    <t>2 / 7 / 12</t>
  </si>
  <si>
    <t>ausdauernd (Schritt und Trab), erhöhte Trag- und Zugkraft, gutmütig, stark</t>
  </si>
  <si>
    <t>60 / 100</t>
  </si>
  <si>
    <t>2 / 11 / 14</t>
  </si>
  <si>
    <t>ausdauernd, feurig (mit ruhigem Temperament), Magiegespür (selten), schnell, zäh</t>
  </si>
  <si>
    <t>40 / 80</t>
  </si>
  <si>
    <t>Warunker</t>
  </si>
  <si>
    <t>17+W3</t>
  </si>
  <si>
    <t>55+W6</t>
  </si>
  <si>
    <t>2 / 11 / 13</t>
  </si>
  <si>
    <t>6+W3</t>
  </si>
  <si>
    <t>ausdauernd, ruhiges Temperament, sprungsicher</t>
  </si>
  <si>
    <t>Yaquirtaler</t>
  </si>
  <si>
    <t xml:space="preserve"> elegante Erscheinung, feurig (mit ruhigem Temperament), lernfähig, weiche Gänge</t>
  </si>
  <si>
    <t xml:space="preserve"> - / 120</t>
  </si>
  <si>
    <t xml:space="preserve"> ---  --- Pferdeausbildung:</t>
  </si>
  <si>
    <t>Adelsross</t>
  </si>
  <si>
    <t>Almadaner Schritt, Capriola*, Corbetto, Galoppwechsel, Kreisel, Passage, Piaffe, Seitengänge, Steigen, weiches Gangwerk</t>
  </si>
  <si>
    <t>Botenpferd</t>
  </si>
  <si>
    <t xml:space="preserve"> +2 / +1</t>
  </si>
  <si>
    <t xml:space="preserve"> +3 / +2</t>
  </si>
  <si>
    <t>schrecksicher, Geländehindernisse, sprungsicher</t>
  </si>
  <si>
    <t>Hütepferd</t>
  </si>
  <si>
    <t xml:space="preserve"> 0 / +1</t>
  </si>
  <si>
    <t>Separieren, Stopp, Galoppwechsel, Steigen, Stillstand, Kehrtwende</t>
  </si>
  <si>
    <t>Lasttragtier</t>
  </si>
  <si>
    <t xml:space="preserve"> +1*(KK+1)</t>
  </si>
  <si>
    <t>Geländehindernisse, schrecksicher, kommt auf Signal; trittsicher</t>
  </si>
  <si>
    <t>Wanderreitpferd</t>
  </si>
  <si>
    <t xml:space="preserve"> +0 / +1</t>
  </si>
  <si>
    <t>Geländehindernisse, schrecksicher, sprungsicher, eingefahren</t>
  </si>
  <si>
    <t>Leichtes Streitross</t>
  </si>
  <si>
    <t xml:space="preserve"> +1 / +1</t>
  </si>
  <si>
    <t>Tritt: +1</t>
  </si>
  <si>
    <t xml:space="preserve"> +1</t>
  </si>
  <si>
    <t>Lanzengang, Kreisel, Steigen, Corbetto, Stopp, Kehrtwende, Capriola, gezielter Biss, gezielter Tritt, sprungsicher</t>
  </si>
  <si>
    <t>Mittelschweres Streitross</t>
  </si>
  <si>
    <t>Tritt: +2</t>
  </si>
  <si>
    <t>Lanzengang, Kreisel, Steigen, Corbetto, Stopp, Kehrtwende, Capriola, gezielter Biss, gezielter Tritt</t>
  </si>
  <si>
    <t>Schweres Streitross</t>
  </si>
  <si>
    <t>Tritt: +3</t>
  </si>
  <si>
    <t xml:space="preserve"> +2</t>
  </si>
  <si>
    <t>kommt auf Signal, Lanzengang, Kreisel, Steigen, Corbetto, gezielter Biss, gezielter Tritt, Wacht, Trampeln, Reitertreue</t>
  </si>
  <si>
    <t>Novadisches Kriegspferd</t>
  </si>
  <si>
    <t xml:space="preserve"> +2 / +2</t>
  </si>
  <si>
    <t xml:space="preserve"> +3</t>
  </si>
  <si>
    <t>kommt auf Signal, Lanzengang, Stopp, Kehrtwende, Kreisel, Steigen, Hinlegen,  gezielter Biss, gezielter Tritt, Reitertreue, Wacht, stille Wacht, Rastullahs Schwingen</t>
  </si>
  <si>
    <t>Tulamidisches Kriegspferd</t>
  </si>
  <si>
    <t>kommt auf Signal, Lanzengang, Stopp, Kehrtwende, Kreisel, Steigen, Hinlegen,  gezielter Biss, gezielter Tritt, Wacht, Reitertreue</t>
  </si>
  <si>
    <t>Schützenpferd</t>
  </si>
  <si>
    <t>weiches Gangwerk, Stopp, Kehrtwende, Lenken ohne Zügel, Seitengänge, Stillstand</t>
  </si>
  <si>
    <t>Magierpferd</t>
  </si>
  <si>
    <t>weiches Gangwerk, Stopp, Kehrtwende, Lenken ohne Zügel, Seitengänge, Stillstand, schrecksicher</t>
  </si>
  <si>
    <t>Zirkuspferd</t>
  </si>
  <si>
    <t>schrecksicher, Hinlegen, Kniefall, sprungsicher, Steigen, Zählen, eingefahren</t>
  </si>
  <si>
    <t>Rennpferd, Steher</t>
  </si>
  <si>
    <t xml:space="preserve"> +1 / +2</t>
  </si>
  <si>
    <t xml:space="preserve"> +4 / +4</t>
  </si>
  <si>
    <t>Rennpferd, Renner</t>
  </si>
  <si>
    <t xml:space="preserve"> +3 / +4</t>
  </si>
  <si>
    <t>Linienkutschenpferd</t>
  </si>
  <si>
    <t>eingefahren, mehrspännig, schrecksicher, Geländehindernisse</t>
  </si>
  <si>
    <t>Rennkutschenpferd</t>
  </si>
  <si>
    <t xml:space="preserve"> +0 / +3</t>
  </si>
  <si>
    <t>eingefahren, Gespanngewöhnung, mehrspännig</t>
  </si>
  <si>
    <t>Trosskutschenpferd</t>
  </si>
  <si>
    <t xml:space="preserve"> +2*(KK+2)</t>
  </si>
  <si>
    <t>Vor-/Nachteile</t>
  </si>
  <si>
    <t>eingefahren, mehrspännig, schrecksicher</t>
  </si>
  <si>
    <t>Prunkkutschenpferd</t>
  </si>
  <si>
    <t>eingefahren, Gespanngewöhnung, mehrspännig, Passage, Almadaner Schritt</t>
  </si>
  <si>
    <t>Streitwagenpferd</t>
  </si>
  <si>
    <t xml:space="preserve"> --- Kamele &amp; Co:</t>
  </si>
  <si>
    <t>Kamel, Qaimuyan</t>
  </si>
  <si>
    <t>9 / 9</t>
  </si>
  <si>
    <t>1W+2 / 1W+2</t>
  </si>
  <si>
    <t>2 / 12 / 14</t>
  </si>
  <si>
    <t>8 / 5</t>
  </si>
  <si>
    <t>trittsicher, eigenwillig, ausdauernd (Trab), erhöhter Tragkraft, genügsam, guter Orientierungssinn, zäh, Niederwerfen (4, Tritt), Großer Gegner</t>
  </si>
  <si>
    <t>Kamel, Qaimuyan/Qai'Chelar</t>
  </si>
  <si>
    <t>Kamel, Qai'Ahjan</t>
  </si>
  <si>
    <t>2 / 13 / 16</t>
  </si>
  <si>
    <t>Dromedar</t>
  </si>
  <si>
    <t>Kamah</t>
  </si>
  <si>
    <t>8 / 8</t>
  </si>
  <si>
    <t>2 / 6 / 11</t>
  </si>
  <si>
    <t>7 / 2</t>
  </si>
  <si>
    <t>trittsicher, eigenwillig, ausdauernd (Trab), erhöhter Tragkraft, genügsam, guter Orientierungssinn, zäh, gezielter Angriff / Niederwerfen (10, Tritt), Spucken (AT 10, kein Schaden)</t>
  </si>
  <si>
    <t xml:space="preserve"> ---  --- Kamelausbildung:</t>
  </si>
  <si>
    <t>Kriegskamel</t>
  </si>
  <si>
    <t>Lanzengang, Kreisel, Steigen,  gezielter Biss, gezielter Tritt</t>
  </si>
  <si>
    <t>Rennkamel</t>
  </si>
  <si>
    <t xml:space="preserve"> +2 / +3</t>
  </si>
  <si>
    <t xml:space="preserve"> --- Hunde:</t>
  </si>
  <si>
    <t>1W+3 / -</t>
  </si>
  <si>
    <t>0 / 0</t>
  </si>
  <si>
    <t>55</t>
  </si>
  <si>
    <t>friedliebend, gezielter Angriff / Verbeißen / Niederwerfen (0)</t>
  </si>
  <si>
    <t>Firnläufer</t>
  </si>
  <si>
    <t>1W+2 / -</t>
  </si>
  <si>
    <t>1 / 1</t>
  </si>
  <si>
    <t>90</t>
  </si>
  <si>
    <t>kälteresistent, gezielter Angriff / Verbeißen / Niederwerfen (0)</t>
  </si>
  <si>
    <t>2 / 1</t>
  </si>
  <si>
    <t>65</t>
  </si>
  <si>
    <t>halbwild, gezielter Angriff / Verbeißen / Niederwerfen (0)</t>
  </si>
  <si>
    <t>Nivesischer Steppenwolf</t>
  </si>
  <si>
    <t>75</t>
  </si>
  <si>
    <t>Abneigung gegen Orks, gezielter Angriff / Verbeißen / Niederwerfen (0)</t>
  </si>
  <si>
    <t>Onjaro-Bracke</t>
  </si>
  <si>
    <t>70</t>
  </si>
  <si>
    <t>zäh, gezielter Angriff / Verbeißen / Niederwerfen (0)</t>
  </si>
  <si>
    <t>Orkischer Kampfhund</t>
  </si>
  <si>
    <t>halbwild, Jähzorn (10), gezielter Angriff / Verbeißen / Niederwerfen (2), Raserei (3, bei Verletzung)</t>
  </si>
  <si>
    <t>Rahjatänzer</t>
  </si>
  <si>
    <t>1W / -</t>
  </si>
  <si>
    <t>30</t>
  </si>
  <si>
    <t>intelligent, gezielter Angriff / Verbeißen / Niederwerfen (0), sehr kleiner Gegner (AT+2/PA+5)</t>
  </si>
  <si>
    <t>wasserliebend, gezielter Angriff / Verbeißen / Niederwerfen (0)</t>
  </si>
  <si>
    <t>Schwarzer Olporter-Weißer Berghund</t>
  </si>
  <si>
    <t>Angst vor Wasser, LO + 2 bei Zwergen, gezielter Angriff / Verbeißen / Niederwerfen (0)</t>
  </si>
  <si>
    <t>Siebenwindläufer</t>
  </si>
  <si>
    <t>1W+1 / -</t>
  </si>
  <si>
    <t>20*</t>
  </si>
  <si>
    <t>35</t>
  </si>
  <si>
    <t>Schnelligkeit</t>
  </si>
  <si>
    <t>gezielter Angriff / Verbeißen / Niederwerfen (0), sehr kleiner Gegner (AT+2/PA+5)</t>
  </si>
  <si>
    <t>Tuzaker</t>
  </si>
  <si>
    <t>60</t>
  </si>
  <si>
    <t>Immunität gegen Gift der Maraskegezielter Angriff / Verbeißen / Niederwerfen (6)</t>
  </si>
  <si>
    <t>Winhaller Wolfsjäger</t>
  </si>
  <si>
    <t>11</t>
  </si>
  <si>
    <t>Kläffer, gezielter Angriff / Verbeißen / Niederwerfen (0)</t>
  </si>
  <si>
    <t>Zornbrechter Bludhund</t>
  </si>
  <si>
    <t>80</t>
  </si>
  <si>
    <t>zäh, gezielter Angriff / Verbeißen / Niederwerfen (2), Raserei (1, bei Verletzung)</t>
  </si>
  <si>
    <t>Werheimer Bludhund</t>
  </si>
  <si>
    <t>zäh, gezielter Angriff / Verbeißen / Niederwerfen (2)</t>
  </si>
  <si>
    <t>*Steppenhund*</t>
  </si>
  <si>
    <t>gezielter Angriff / Verbeißen / Niederwerfen (4), Niederwerfen (0)</t>
  </si>
  <si>
    <t>*Gris, Grimmwolf</t>
  </si>
  <si>
    <t>1W+3* / -</t>
  </si>
  <si>
    <t>100</t>
  </si>
  <si>
    <t>*Waldwolf</t>
  </si>
  <si>
    <t>*Rauwolf</t>
  </si>
  <si>
    <t>*Silberwolf</t>
  </si>
  <si>
    <t>1W+4* / -</t>
  </si>
  <si>
    <t>*Silberwolf*</t>
  </si>
  <si>
    <t>1W+4 / -</t>
  </si>
  <si>
    <t>*Sandwolf*</t>
  </si>
  <si>
    <t>1W+2* / -</t>
  </si>
  <si>
    <t>120</t>
  </si>
  <si>
    <t>gezielter Angriff / Verbeißen / Niederwerfen ()</t>
  </si>
  <si>
    <t xml:space="preserve"> ---  --- Hundeausbildung:</t>
  </si>
  <si>
    <t>Hütetier</t>
  </si>
  <si>
    <t>IN +1, GE+2, Ablegen, Komm, Laut, Sitz, Treiben</t>
  </si>
  <si>
    <t>Tragetier</t>
  </si>
  <si>
    <t xml:space="preserve"> +10</t>
  </si>
  <si>
    <t>5*(KK+2)</t>
  </si>
  <si>
    <t>KK+2, Ablegen, Komm, Laut, Sitz, Treiben</t>
  </si>
  <si>
    <t>Zugtier</t>
  </si>
  <si>
    <t xml:space="preserve"> +15</t>
  </si>
  <si>
    <t>10*(KK+2)</t>
  </si>
  <si>
    <t>Reittier</t>
  </si>
  <si>
    <t>GE+1, KK+2, Ablegen, Komm, Laut, Sitz, Treiben</t>
  </si>
  <si>
    <t>Renntier</t>
  </si>
  <si>
    <t>INI+2</t>
  </si>
  <si>
    <t>Wachtier</t>
  </si>
  <si>
    <t>IN +1, INI+1, Ablegen, Komm, Laut, Sitz, Wache</t>
  </si>
  <si>
    <t>Kampftier (Bluthund)</t>
  </si>
  <si>
    <t>Biss: +1</t>
  </si>
  <si>
    <t xml:space="preserve"> +7</t>
  </si>
  <si>
    <t>KK +1, INI+1, Fass I+II</t>
  </si>
  <si>
    <t>Suchtier</t>
  </si>
  <si>
    <t>IN +1, GE+1, Such</t>
  </si>
  <si>
    <t>Jagdtier</t>
  </si>
  <si>
    <t xml:space="preserve"> +5</t>
  </si>
  <si>
    <t>GE+2, INI+2, Apport, Fass I, Laut, Still, Such</t>
  </si>
  <si>
    <t>Jagdtier-Apportierhund</t>
  </si>
  <si>
    <t>GE+2, INI+3, Apport</t>
  </si>
  <si>
    <t>Jagdtier-Hetzhund</t>
  </si>
  <si>
    <t>GE+1, INI+1, Laut, Zusammenarbeit</t>
  </si>
  <si>
    <t>Jagdtier-Schweißhund</t>
  </si>
  <si>
    <t>GE+1, INI+1, Zuswammenarbeit</t>
  </si>
  <si>
    <t>Jagdtier-Vorsteherhund</t>
  </si>
  <si>
    <t xml:space="preserve"> +8</t>
  </si>
  <si>
    <t>GE+2, INI+2, Anzeige</t>
  </si>
  <si>
    <t>Zirkustier</t>
  </si>
  <si>
    <t>GE oder FF +2, IN +1, Trick (Wahl), KL-Proben für Befehle um 4 erleichtert, …</t>
  </si>
  <si>
    <t xml:space="preserve"> --- Elefanten:</t>
  </si>
  <si>
    <t>Brabaker Waldelefant</t>
  </si>
  <si>
    <t>12 / 6</t>
  </si>
  <si>
    <t>2W / 3W20</t>
  </si>
  <si>
    <t>0 / 9</t>
  </si>
  <si>
    <t>Niederwerfen (Stoßzähne, 10), Überrennen (15, 5W), Trampeln, sehr großer Gegner, Gelände (Wald)</t>
  </si>
  <si>
    <t>Mastodon</t>
  </si>
  <si>
    <t>11 / 6</t>
  </si>
  <si>
    <t>2W+1 / 3W20</t>
  </si>
  <si>
    <t>0 / 10</t>
  </si>
  <si>
    <t>Niederwerfen (Stoßzähne, 11), Überrennen (12, 5W), Trampeln, sehr großer Gegner</t>
  </si>
  <si>
    <t>Mammut</t>
  </si>
  <si>
    <t>3W / 3W20</t>
  </si>
  <si>
    <t>0 / 12</t>
  </si>
  <si>
    <t>Niederwerfen (Stoßzähne, 12), Überrennen (13, 5W), Trampeln, sehr großer Gegner</t>
  </si>
  <si>
    <t>Zwergelefant</t>
  </si>
  <si>
    <t>2W / 2W20</t>
  </si>
  <si>
    <t>0 / 7</t>
  </si>
  <si>
    <t>Niederwerfen (Stoßzähne, 12), Überrennen (15, 4W), Trampeln, großer Gegner</t>
  </si>
  <si>
    <t xml:space="preserve"> ---  --- Elefantenausbildung:</t>
  </si>
  <si>
    <t>Tragelefant</t>
  </si>
  <si>
    <t>+10%</t>
  </si>
  <si>
    <t>Zugelefant</t>
  </si>
  <si>
    <t>Kriegselefant</t>
  </si>
  <si>
    <t>+3 / +6</t>
  </si>
  <si>
    <t>Niederwerfen (Stoßzähne, 14), Überrennen (17, 6W), gezielter Tritt</t>
  </si>
  <si>
    <t xml:space="preserve"> --- Geweihträger:</t>
  </si>
  <si>
    <t>Elch</t>
  </si>
  <si>
    <t>10 Stoß / -</t>
  </si>
  <si>
    <t>Überrennen(8, 3W), Niederwerfen (3), großer Gegner</t>
  </si>
  <si>
    <t>Karen</t>
  </si>
  <si>
    <t>8 Stoß / -</t>
  </si>
  <si>
    <t>0 / 3</t>
  </si>
  <si>
    <t>gezielter Angriff / Niederwerfen (3)</t>
  </si>
  <si>
    <t xml:space="preserve"> --- Vögel:</t>
  </si>
  <si>
    <t>Bergadler</t>
  </si>
  <si>
    <t xml:space="preserve"> 6 / 14</t>
  </si>
  <si>
    <t>3 / 6</t>
  </si>
  <si>
    <t xml:space="preserve"> 2 / 3</t>
  </si>
  <si>
    <t xml:space="preserve"> 1 / 25</t>
  </si>
  <si>
    <t>Flugangriff, Sturzflug, gezielter Angriff, Verkrallen, Gelände (Gebirge)</t>
  </si>
  <si>
    <t>Seeadler</t>
  </si>
  <si>
    <t>Königsadler</t>
  </si>
  <si>
    <t xml:space="preserve"> 8 / 13</t>
  </si>
  <si>
    <t xml:space="preserve"> 1 / 20</t>
  </si>
  <si>
    <t>1 / 12</t>
  </si>
  <si>
    <t>2 / 5</t>
  </si>
  <si>
    <t>3 / 2</t>
  </si>
  <si>
    <t>Flugangriff, sehr kleiner Gegner (AT+2/PA+2)</t>
  </si>
  <si>
    <t>5 / 11</t>
  </si>
  <si>
    <t>3 / 5</t>
  </si>
  <si>
    <t>1W+2 (SP bei Hinterhalt)</t>
  </si>
  <si>
    <t>3 / 4</t>
  </si>
  <si>
    <t>1 / 15</t>
  </si>
  <si>
    <t>Flugangriff, Hinterhalt(9; auf schlafende Gegner, nicht parierbar)</t>
  </si>
  <si>
    <t>Käutzchen</t>
  </si>
  <si>
    <t>Schneeeule</t>
  </si>
  <si>
    <t>5 / 15</t>
  </si>
  <si>
    <t>4 / 7</t>
  </si>
  <si>
    <t>1 / 30</t>
  </si>
  <si>
    <t>Flugangriff, sehr kleiner Gegner (AT+2/PA+2), Sturzflug, gezielter Angriff / Verkrallen, Gelände (Gebirge)</t>
  </si>
  <si>
    <t>Sturmfalke</t>
  </si>
  <si>
    <t>4 / 16</t>
  </si>
  <si>
    <t>3 / 7</t>
  </si>
  <si>
    <t>1 / 35</t>
  </si>
  <si>
    <t>Gorischer Schwarzgeier</t>
  </si>
  <si>
    <t>9 / 11</t>
  </si>
  <si>
    <t>2 / 3</t>
  </si>
  <si>
    <t>1 / 18</t>
  </si>
  <si>
    <t>Flugangriff, Sturzflug, gezielter Angriff / Verkrallen, Gelände (Gebirge)</t>
  </si>
  <si>
    <t>Riesenschwarzgeier</t>
  </si>
  <si>
    <t>Khômgeier</t>
  </si>
  <si>
    <t>7 / 12</t>
  </si>
  <si>
    <t>1 / 20</t>
  </si>
  <si>
    <t>Lämmergeier</t>
  </si>
  <si>
    <t>2 / 14</t>
  </si>
  <si>
    <t>Flugangriff, sehr kleiner Gegner (AT+2/PA+4)</t>
  </si>
  <si>
    <t>Gabelschwanz / Gabelweihe</t>
  </si>
  <si>
    <t>Schlangenhabicht / Gaukelweihe</t>
  </si>
  <si>
    <t>8 / 13</t>
  </si>
  <si>
    <t>6 / 7</t>
  </si>
  <si>
    <t>1 / 16</t>
  </si>
  <si>
    <t>Flugangriff, sehr kleiner Gegner (AT+2/PA+4), Sturzflug</t>
  </si>
  <si>
    <t>Roter Maran</t>
  </si>
  <si>
    <t xml:space="preserve"> 1 / 23</t>
  </si>
  <si>
    <t>1 / 13</t>
  </si>
  <si>
    <t>Amsel</t>
  </si>
  <si>
    <t>Elster</t>
  </si>
  <si>
    <t>Papagei</t>
  </si>
  <si>
    <t>Sprache</t>
  </si>
  <si>
    <t>*Nachtwind</t>
  </si>
  <si>
    <t>6 / 13</t>
  </si>
  <si>
    <t>1 / 25</t>
  </si>
  <si>
    <t>Flugangriff, Hinterhalt (10), sehr kleiner Gegner (AT+2/PA+4), Magiegespür</t>
  </si>
  <si>
    <t xml:space="preserve"> --- *Exoten:</t>
  </si>
  <si>
    <t>*Greifkatze</t>
  </si>
  <si>
    <t>12 / 12</t>
  </si>
  <si>
    <t>1W / 1W3</t>
  </si>
  <si>
    <t>10 / 3</t>
  </si>
  <si>
    <t>14 / 9</t>
  </si>
  <si>
    <t>Flugangriff, Sturzflug, am Boden gezielter Angriff / Doppelangriff (Prankenhieb und Biss), sehr kleiner Gegner (AT+3/PA+5)</t>
  </si>
  <si>
    <t>*Hippogriff</t>
  </si>
  <si>
    <t>1W+3 / 2W</t>
  </si>
  <si>
    <t>8 / 10</t>
  </si>
  <si>
    <t>15*_2 / 11 / 9</t>
  </si>
  <si>
    <t>Flugangriff, Sturzflug</t>
  </si>
  <si>
    <t>**Einhorn</t>
  </si>
  <si>
    <t>14+</t>
  </si>
  <si>
    <t>14 / 12 / 14 Horn</t>
  </si>
  <si>
    <t>1W+1 / 2W / 1W+3</t>
  </si>
  <si>
    <t>Magie: 60 AsP, Niederwerfen (0, Tritt), großer Gegner</t>
  </si>
  <si>
    <t xml:space="preserve"> --- *Drachen:</t>
  </si>
  <si>
    <t>*Taschen- Meckerdrachen, 15 Jahre</t>
  </si>
  <si>
    <t>8 - 14</t>
  </si>
  <si>
    <t>9 - 16</t>
  </si>
  <si>
    <t>6 / 8</t>
  </si>
  <si>
    <t>2 / 13</t>
  </si>
  <si>
    <t>Flugangriff, gezielter Flammenstrahl (AT:15, TP:1W, alle 3 KR), flugfähig, feuerresistent; Magie: erfahren in Illusion, unerfahren in Hellsicht, Gedankensprache, Telekinese, Schuppentarnung (chamäleonartige Illusion)</t>
  </si>
  <si>
    <t>*Taschen- Meckerdrachen, 40 Jahre</t>
  </si>
  <si>
    <t>13 / 12</t>
  </si>
  <si>
    <t>1W+3 / 1W+3</t>
  </si>
  <si>
    <t>*Taschen- Meckerdrachen, 70 Jahre</t>
  </si>
  <si>
    <t>14 / 12</t>
  </si>
  <si>
    <t>1W+4 / 1W+4</t>
  </si>
  <si>
    <t xml:space="preserve"> --- Affen:</t>
  </si>
  <si>
    <t>Kleinaffe</t>
  </si>
  <si>
    <t>8 (15 Wurf)</t>
  </si>
  <si>
    <t>3 / 3</t>
  </si>
  <si>
    <t>gezielter Biss (SP!), Gelände (Baum/Wald), sehr kleiner Gegner (AT+4 / PA +8)</t>
  </si>
  <si>
    <t>Zirkus- / Putzelaleinaffe</t>
  </si>
  <si>
    <t>m35 / w 28</t>
  </si>
  <si>
    <t>Gelände (Baum/Wald)</t>
  </si>
  <si>
    <t>Riesenaffe</t>
  </si>
  <si>
    <t>3W</t>
  </si>
  <si>
    <t>0 / 5</t>
  </si>
  <si>
    <t>Niederwerfen (4), großer Gegner, Raserei (3, bei16-20 bei W20), Gelände (Wald)</t>
  </si>
  <si>
    <t xml:space="preserve"> --- *Bären:</t>
  </si>
  <si>
    <t>*Baumbär</t>
  </si>
  <si>
    <t>Gelände (Baum)</t>
  </si>
  <si>
    <t>*Baumwürger</t>
  </si>
  <si>
    <t>4 / 3</t>
  </si>
  <si>
    <t>Hinterhalt (8) / Anspringen (4) / Umklammern (10), Gelände (Baum)</t>
  </si>
  <si>
    <t>*Borkenbär</t>
  </si>
  <si>
    <t>12 / 11</t>
  </si>
  <si>
    <t>2W+2 / 1W+3</t>
  </si>
  <si>
    <t>Doppelangriff (Tatzen), Niederwerfen (Tatze, 2), Raserei (2, während Brunft)</t>
  </si>
  <si>
    <t>*Firnusbär</t>
  </si>
  <si>
    <t>2W+6 / 2W+2</t>
  </si>
  <si>
    <t>3 / 8</t>
  </si>
  <si>
    <t>Doppelangriff (Tatzen), Niederwerfen (Tatze, 6), großer Gegner</t>
  </si>
  <si>
    <t>*Höhlenbär</t>
  </si>
  <si>
    <t>2W+4 / 2W</t>
  </si>
  <si>
    <t>4 / 6</t>
  </si>
  <si>
    <t>Doppelangriff (Tatzen), Niederwerfen (Tatze, 4), großer Gegner, Gelände (Höhle)</t>
  </si>
  <si>
    <t>*Orklandbär</t>
  </si>
  <si>
    <t>12 / 13</t>
  </si>
  <si>
    <t>1W+6 / 1W+3</t>
  </si>
  <si>
    <t>Doppelangriff (Tatzen), Niederwerfen (Tatze, 2)</t>
  </si>
  <si>
    <t>*Schwarz-, Grimmbär</t>
  </si>
  <si>
    <t>13 / 11</t>
  </si>
  <si>
    <t>2W+4 / 2W+1</t>
  </si>
  <si>
    <t>Doppelangriff (Tatzen), Niederwerfen (Tatze, 5), großer Gegner</t>
  </si>
  <si>
    <t xml:space="preserve"> --- Dachse:</t>
  </si>
  <si>
    <t>Streifendachs</t>
  </si>
  <si>
    <t>sehr kleiner Gegner (AT+2 / PA+4)</t>
  </si>
  <si>
    <t>Schneedachs</t>
  </si>
  <si>
    <t>Süßmaul</t>
  </si>
  <si>
    <t xml:space="preserve"> --- Füchse:</t>
  </si>
  <si>
    <t>Rotfuchs</t>
  </si>
  <si>
    <t>13 - 16</t>
  </si>
  <si>
    <t>Raserei (1, bei Tollwut)sehr kleiner Gegner (AT+2 / PA+4)</t>
  </si>
  <si>
    <t>Gelbfuchs</t>
  </si>
  <si>
    <t>Steppenfuchs</t>
  </si>
  <si>
    <t>Silberfuchs</t>
  </si>
  <si>
    <t>Blaufuchs</t>
  </si>
  <si>
    <t xml:space="preserve"> --- Käfer:</t>
  </si>
  <si>
    <t>Großer Schröter</t>
  </si>
  <si>
    <t>16* / 12</t>
  </si>
  <si>
    <t>1W+2, RS-1 / 1W+2*, RS-1</t>
  </si>
  <si>
    <t>`15 / 12</t>
  </si>
  <si>
    <t>Zangenangriff erfolgreich hölt fest -&gt; 1W-2 /KR, RS-1</t>
  </si>
  <si>
    <t>Riesenhirschkäfer</t>
  </si>
  <si>
    <t xml:space="preserve"> --- Katzen:</t>
  </si>
  <si>
    <t>Al´Anfaner</t>
  </si>
  <si>
    <t>1W-1 / 1W-1</t>
  </si>
  <si>
    <t>Hinterhalt (12)/Anspringen (0)/Verbeißen, sehr kleiner Gegner (AT+2/PA+4), gezielter Angriff / Doppelangriff (Prankenhieb und Biss)</t>
  </si>
  <si>
    <t>Cha ay Zhamorrah</t>
  </si>
  <si>
    <t>Firnusbärchen</t>
  </si>
  <si>
    <t>Burgenkatz</t>
  </si>
  <si>
    <t>Hexenkatz</t>
  </si>
  <si>
    <t>Scheunenkatz</t>
  </si>
  <si>
    <t>*Wildkatze</t>
  </si>
  <si>
    <t>1W+1 / 1W</t>
  </si>
  <si>
    <t xml:space="preserve"> --- *Löwen:</t>
  </si>
  <si>
    <t>*Berglöwe</t>
  </si>
  <si>
    <t>15 / 15</t>
  </si>
  <si>
    <t>2W+1 / 1W+4</t>
  </si>
  <si>
    <t>1 / 7</t>
  </si>
  <si>
    <t>Hinterhalt (6), Anspringen (8)/Verbeißen , gezielter Angrif/Doppelangriff (Prankenhieb und Biss), Gelände (Gebirge)</t>
  </si>
  <si>
    <t>*Sandlöwe</t>
  </si>
  <si>
    <t>14* / 14*</t>
  </si>
  <si>
    <t>2W+5 / 1W+5</t>
  </si>
  <si>
    <t>Hinterhalt (4), Anspringen (10)/Verbeißen , gezielter Angrif/Doppelangriff (Prankenhieb und Biss)</t>
  </si>
  <si>
    <t>*Schattenlöwe oder Lioma</t>
  </si>
  <si>
    <t>14 / 14</t>
  </si>
  <si>
    <t>2W+2 / 1W+5</t>
  </si>
  <si>
    <t>2 / 8</t>
  </si>
  <si>
    <t>Hinterhalt (8), Anspringen (9)/Verbeißen , gezielter Angrif/Doppelangriff (Prankenhieb und Biss), Gelände (Dschungel)</t>
  </si>
  <si>
    <t>*Waldlöwe</t>
  </si>
  <si>
    <t>Hinterhalt (4), Anspringen (7)/Verbeißen , gezielter Angrif/Doppelangriff (Prankenhieb und Biss), Gelände (Wald)</t>
  </si>
  <si>
    <t xml:space="preserve"> --- *Luchse:</t>
  </si>
  <si>
    <t>*Rotluchs</t>
  </si>
  <si>
    <t>1W+2 / 1W+1</t>
  </si>
  <si>
    <t>Hinterhalt (12)/Anspringen (2)/Verbeißen, gezielter Angriff / Doppelangriff (Prankenhieb und Biss)</t>
  </si>
  <si>
    <t>*Raschtulsluchs</t>
  </si>
  <si>
    <t>*Sonnenluchs</t>
  </si>
  <si>
    <t>*Firnluchs</t>
  </si>
  <si>
    <t>*Gänseluchs</t>
  </si>
  <si>
    <t>Hinterhalt (12)/Anspringen (0)/Verbeißen, sehr kleiner Gegner (AT+2/PA+5), gezielter Angriff / Doppelangriff (Prankenhieb und Biss)</t>
  </si>
  <si>
    <t xml:space="preserve"> --- *Geparden:</t>
  </si>
  <si>
    <t>*Khômgepard, Jagdpardel</t>
  </si>
  <si>
    <t>13 / 13</t>
  </si>
  <si>
    <t>1W+3 / 1W+1</t>
  </si>
  <si>
    <t>Gelände (Baum), Hinterhalt (6)/Anspringen (4)/Verbeißen, gezielter Angriff / Doppelangriff (Prankenhieb und Biss)</t>
  </si>
  <si>
    <t xml:space="preserve"> --- *Säbelzahntierger:</t>
  </si>
  <si>
    <t>*Steppentieger</t>
  </si>
  <si>
    <t>16 / 16</t>
  </si>
  <si>
    <t>2W+3 / 1W+5</t>
  </si>
  <si>
    <t>14 / 4*</t>
  </si>
  <si>
    <t>Anspringen (11)/Verbeißen , gezielter Angrif/Doppelangriff (Prankenhieb und Biss), Niederwerfen (2, Prankenhieb)</t>
  </si>
  <si>
    <t>*Dschungeltieger</t>
  </si>
  <si>
    <t>Anspringen (10)/Verbeißen , gezielter Angrif/Doppelangriff (Prankenhieb und Biss), Niederwerfen (2, Prankenhieb), Hinterhalt (12), Gelände (Dschungel)</t>
  </si>
  <si>
    <t>*Silberlöwe</t>
  </si>
  <si>
    <t>Anspringen (8)/Verbeißen , gezielter Angrif/Doppelangriff (Prankenhieb und Biss), Niederwerfen (2, Prankenhieb), Gelände (Wald)</t>
  </si>
  <si>
    <t xml:space="preserve"> --- *Rinder</t>
  </si>
  <si>
    <t>Milch-, Fleischrind</t>
  </si>
  <si>
    <t>1W+2 / 3W</t>
  </si>
  <si>
    <t>2 / 8-10</t>
  </si>
  <si>
    <t>2 / 5 / 8</t>
  </si>
  <si>
    <t>Zugochse</t>
  </si>
  <si>
    <t>5 / 7</t>
  </si>
  <si>
    <t>1W+3 / 3W</t>
  </si>
  <si>
    <t>2 / 6 / 10</t>
  </si>
  <si>
    <t>Gebirgsrind</t>
  </si>
  <si>
    <t>7 / 8</t>
  </si>
  <si>
    <t>1W+3 / 2W+4</t>
  </si>
  <si>
    <t>2 / 7-9</t>
  </si>
  <si>
    <t>Auerochs</t>
  </si>
  <si>
    <t>8 / 9</t>
  </si>
  <si>
    <t>1W+3 / 3W+3</t>
  </si>
  <si>
    <t>Überrennen (9, 3W), Niederwerfen (5, Stoß), Trampeln, großer Gegner, Raserei (5, Einhörner)</t>
  </si>
  <si>
    <t>Firnyak</t>
  </si>
  <si>
    <t>Überrennen (5, 2W+1), Niederwerfen (0, Stoß), Trampeln, großer Gegner</t>
  </si>
  <si>
    <t>Ongalobullen</t>
  </si>
  <si>
    <t>Überrennen (7, 2W+2), Niederwerfen (6, Stoß), Trampeln, großer Gegner</t>
  </si>
  <si>
    <t>Steppenrind</t>
  </si>
  <si>
    <t>9 / 12</t>
  </si>
  <si>
    <t>1W+2 / 3W+5</t>
  </si>
  <si>
    <t>Überrennen (10, 3W), Niederwerfen (6, Stoß), Trampeln, großer Gegner</t>
  </si>
  <si>
    <t xml:space="preserve"> --- *Schweine</t>
  </si>
  <si>
    <t>Hausschwein</t>
  </si>
  <si>
    <t>2 / 5 / 10</t>
  </si>
  <si>
    <t>Überrennen(8, 2W) / Verbeißen, Niederwerfen (4, Stoß)</t>
  </si>
  <si>
    <t>Selemferkel</t>
  </si>
  <si>
    <t>1 / 3 / 6</t>
  </si>
  <si>
    <t>Wühlschwein</t>
  </si>
  <si>
    <t>*Marasanisches Stachelschwein</t>
  </si>
  <si>
    <t>*Wildschwein</t>
  </si>
  <si>
    <t>0 / 6</t>
  </si>
  <si>
    <t>*Aranisches Warzenschwein</t>
  </si>
  <si>
    <t xml:space="preserve"> --- Schlangen:</t>
  </si>
  <si>
    <t>*Blattkopfotter</t>
  </si>
  <si>
    <t>1W3 (+Gift, St8)*</t>
  </si>
  <si>
    <t>6 / 2</t>
  </si>
  <si>
    <t>Hinterhalt (14), gezielter Angriff (SP statt TP), winziger Gegner (AT+8/PA+8)</t>
  </si>
  <si>
    <t>*Boronsotter</t>
  </si>
  <si>
    <t>14 / 16 (Würgen)</t>
  </si>
  <si>
    <t>1W+2 (+Gift, St10)* / 1W3+1 TP(A)</t>
  </si>
  <si>
    <t>6 / 4</t>
  </si>
  <si>
    <t>Hinterhalt (10), gezielter Angriff (SP statt TP), Würgen (6), Gelände (Sumpf)</t>
  </si>
  <si>
    <t>*Klapperschlange</t>
  </si>
  <si>
    <t>14 / -</t>
  </si>
  <si>
    <t>1W (+Gift, St1)*</t>
  </si>
  <si>
    <t>6 / 3</t>
  </si>
  <si>
    <t>gezielter Angriff (SP statt TP), sehr kleiner Gegner (AT+3/PA+5)</t>
  </si>
  <si>
    <t>*Kvillotter</t>
  </si>
  <si>
    <t>125 / -</t>
  </si>
  <si>
    <t>1W+1 (+Gift, St4)*</t>
  </si>
  <si>
    <t>Hinterhalt (9), gezielter Angriff (SP statt TP), sehr kleiner Gegner (AT+3/PA+6)</t>
  </si>
  <si>
    <t>*Mysobviper</t>
  </si>
  <si>
    <t>10 / -</t>
  </si>
  <si>
    <t>1W+2 (+Gift, St5)*</t>
  </si>
  <si>
    <t>Hinterhalt (8), gezielter Angriff (SP statt TP), sehr kleiner Gegner (AT+3/PA+6)</t>
  </si>
  <si>
    <t>*Nesslviper</t>
  </si>
  <si>
    <t>1W3 (+Gift, St2)*</t>
  </si>
  <si>
    <t>Hinterhalt (10), gezielter Angriff (SP statt TP), sehr kleiner Gegner (AT+3/PA+7)</t>
  </si>
  <si>
    <t>*Noralec-Otter</t>
  </si>
  <si>
    <t>13 / -</t>
  </si>
  <si>
    <t>1W3 (+Gift, St20)*</t>
  </si>
  <si>
    <t>gezielter Angriff (SP statt TP), sehr kleiner Gegner (AT+4/PA+7)</t>
  </si>
  <si>
    <t>*Palmviper</t>
  </si>
  <si>
    <t>156 / -</t>
  </si>
  <si>
    <t>1W3+1 (+Gift, St3)*</t>
  </si>
  <si>
    <t>Hinterhalt (13), gezielter Angriff (SP statt TP), sehr kleiner Gegner (AT+4/PA+7)</t>
  </si>
  <si>
    <t>*Scheinbaselisk</t>
  </si>
  <si>
    <t>Sekret*</t>
  </si>
  <si>
    <t>*Speiotter, Speikobra</t>
  </si>
  <si>
    <t>12 / 17 (speiangriff)</t>
  </si>
  <si>
    <t>1W+1 (+Gift, St8)* / Gift</t>
  </si>
  <si>
    <t>Hinterhalt (8), gezielter Angriff (SP statt TP, Gesicht od Augen: doppelter Schaden), sehr kleiner Gegner (AT+2/PA+5)</t>
  </si>
  <si>
    <t>*Würgeschlange</t>
  </si>
  <si>
    <t>10 / 15 (Würgen)</t>
  </si>
  <si>
    <t>1W+2/ KRx1w TP(A)</t>
  </si>
  <si>
    <t>Würgen (20), Hinterhalt (9)</t>
  </si>
  <si>
    <t>5 / 3</t>
  </si>
  <si>
    <t>Blutotter</t>
  </si>
  <si>
    <t>1W3 / 1W-1</t>
  </si>
  <si>
    <t>Bodirwurm</t>
  </si>
  <si>
    <t>1W3 / 1W+1</t>
  </si>
  <si>
    <t>1W3+1 / 2W</t>
  </si>
  <si>
    <t xml:space="preserve"> --- *Skorpione &amp; Spinnen:</t>
  </si>
  <si>
    <t>*Feuerskorpion, Roter Skorpion</t>
  </si>
  <si>
    <t>1W3 (+Gift, St8)</t>
  </si>
  <si>
    <t>8 / 3</t>
  </si>
  <si>
    <t>gezielter Angriff (SP statt TP), Hinterhalt (8), winziger Gegner (AT+8)</t>
  </si>
  <si>
    <t>*Gelbschwanzskorpion</t>
  </si>
  <si>
    <t>1W3+1 (+Gift, St3)</t>
  </si>
  <si>
    <t>*8 / 3</t>
  </si>
  <si>
    <t>gezielter Angriff (SP statt TP), Hinterhalt (10), winziger Gegner (AT+6)</t>
  </si>
  <si>
    <t>*Maraske, Maraskanterantel</t>
  </si>
  <si>
    <t>LA+10</t>
  </si>
  <si>
    <t>LA/2+6</t>
  </si>
  <si>
    <t>LA/4+3</t>
  </si>
  <si>
    <t>LA/2+1W (+Gift, LA/2St)</t>
  </si>
  <si>
    <t>LA/2</t>
  </si>
  <si>
    <t>(LA*3)+20</t>
  </si>
  <si>
    <t>LA*2</t>
  </si>
  <si>
    <t>LA = Lebensalter (1-12 Jahre), gezielter Angriff (SP statt TP)</t>
  </si>
  <si>
    <t>*Wüstenskorpion</t>
  </si>
  <si>
    <t>1W3+2 +(+Gift, St4)</t>
  </si>
  <si>
    <t>gezielter Angriff (SP statt TP), Hinterhalt (12), winziger Gegner (AT+4)</t>
  </si>
  <si>
    <t>*Baumspinne</t>
  </si>
  <si>
    <t>1W+2 (+Gift, St4)</t>
  </si>
  <si>
    <t xml:space="preserve"> 9 / 8</t>
  </si>
  <si>
    <t>Hinterhlt (6), Netz (4), Gelände (Baum)</t>
  </si>
  <si>
    <t>*Höhlenspinne</t>
  </si>
  <si>
    <t>Hinterhlt (6), Netz (4), Gelände (Höhle)</t>
  </si>
  <si>
    <t>*Saguaraspinne</t>
  </si>
  <si>
    <t>1W3-1 (+Gift, St9)</t>
  </si>
  <si>
    <t>gezielter Angriff (SP statt TP), winziger Gegner (AT+8)</t>
  </si>
  <si>
    <t>*Smaragdspinne m / w</t>
  </si>
  <si>
    <t>20 / 15</t>
  </si>
  <si>
    <t>13 / 14</t>
  </si>
  <si>
    <t>7 / 9</t>
  </si>
  <si>
    <t>1W+2 (+Gift) / 1W+3</t>
  </si>
  <si>
    <t>20 / 25</t>
  </si>
  <si>
    <t>12 / 10</t>
  </si>
  <si>
    <t>9 / 6*</t>
  </si>
  <si>
    <t>*Speispinne</t>
  </si>
  <si>
    <t>9 / 18*</t>
  </si>
  <si>
    <t>9 / 8</t>
  </si>
  <si>
    <t>Netz (2)</t>
  </si>
  <si>
    <t>*Vogelspinne</t>
  </si>
  <si>
    <t>1W3+3 (+Gift, St1)</t>
  </si>
  <si>
    <t>gezieler Angriff (SP statt TP), winziger Gegner (AT+5)</t>
  </si>
  <si>
    <t>*Waldspinne</t>
  </si>
  <si>
    <t>10 / 8</t>
  </si>
  <si>
    <t>Hinterhalt (9), Netz (5)</t>
  </si>
  <si>
    <t xml:space="preserve"> --- Marder:</t>
  </si>
  <si>
    <t>1W3 / -</t>
  </si>
  <si>
    <t>gezielter Angriff / Verbeißen (SP stattTP), sehr kleiner Gegner (AT+2 / PA+5)</t>
  </si>
  <si>
    <t>7 / 15 (sekret)</t>
  </si>
  <si>
    <t>1W3+1 / Nachteil: Übler Geruch</t>
  </si>
  <si>
    <t>Stinkfrettchen</t>
  </si>
  <si>
    <t>Vielfraß, Bärenmarder</t>
  </si>
  <si>
    <t>0 / 2</t>
  </si>
  <si>
    <t>Verbeißen, Raserei (3, von Boron bis Phex), sehr kleiner Gegner (AT+2 / PA+4)</t>
  </si>
  <si>
    <t xml:space="preserve"> --- Wiesel:</t>
  </si>
  <si>
    <t>Wiesel, Hermeline</t>
  </si>
  <si>
    <t>gezielter Angriff (SP stattTP), sehr kleiner Gegner (AT+3 / PA+6)</t>
  </si>
  <si>
    <t>Mungos</t>
  </si>
  <si>
    <t>Hausfretchen</t>
  </si>
  <si>
    <t>Ulmenmarder</t>
  </si>
  <si>
    <t>Fischotter</t>
  </si>
  <si>
    <t>Nerz</t>
  </si>
  <si>
    <t>Zobel</t>
  </si>
  <si>
    <t>Wählbar:</t>
  </si>
  <si>
    <t xml:space="preserve">Hiebwaffen/Säbel/Stäbe +2; </t>
  </si>
  <si>
    <t>Wählbare Talentstartwerte</t>
  </si>
  <si>
    <t>wählbar:</t>
  </si>
  <si>
    <t>Navigator</t>
  </si>
  <si>
    <t>Freischärler</t>
  </si>
  <si>
    <t xml:space="preserve">Orientierung (Gewässer); Seefahrt (Steuermann); </t>
  </si>
  <si>
    <t>Seefahrt (nach Wahl)</t>
  </si>
  <si>
    <t>Seefahrt (Steuermann)</t>
  </si>
  <si>
    <t xml:space="preserve">Aberglaube/Goldgier +5; </t>
  </si>
  <si>
    <t xml:space="preserve">Aberglaube/Goldgier/Arroganz/Neugier +5; </t>
  </si>
  <si>
    <t>Hiebwaffen/Säbel +2;</t>
  </si>
  <si>
    <t>Hiebwaffen/Säbel +3;</t>
  </si>
  <si>
    <t xml:space="preserve">Hiebwaffen/Säbel +2; Kochen/Mechanik/Schneidern/Seiler/Sternkunde/Zimmermann +2; </t>
  </si>
  <si>
    <t xml:space="preserve">Hiebwaffen/Säbel +2; Wurfbeile/Wurfmesser/Wurfspeere/Schleuder +3/+2; Kochen/Mechanik/Schneidern/Seiler/Sternkunde/Zimmermann +2; </t>
  </si>
  <si>
    <t xml:space="preserve">Hiebwaffen/Säbel +2; Kochen/Mechanik/Schneidern/Seiler/Sternkunde/Zimmermann +2; Belagerungswaffen/Fleischer/Gerber/Kürschner +1; </t>
  </si>
  <si>
    <t xml:space="preserve">Hiebwaffen/Säbel +4; Kochen/Mechanik/Schneidern/Seiler/Sternkunde/Zimmermann +2; Fleischer/Gerber/Kürschner +4/+2; </t>
  </si>
  <si>
    <t xml:space="preserve">Hiebwaffen/Säbel +2; Feinmechanik/Handel/Hauswirtschaft/Zimmermann +2; </t>
  </si>
  <si>
    <t xml:space="preserve">Armbrust/Blasrohr/Bogen/Wurfspeer +3; Säbel/Schwerter/Speere +3; Bogenbau/Grobschmied +2; Boote Fahren/Fahrzeug Lenken +1; </t>
  </si>
  <si>
    <t xml:space="preserve">Armbrust/Blasrohr/Bogen/Wurfspeer +5; Säbel/Schwerter/Speere +2; Akrobatik/Athletik +1; Kriegskunst/Mechanik +1; Bogenbau/Grobschmied +2; Boote Fahren/Fahrzeug Lenken +1; </t>
  </si>
  <si>
    <t xml:space="preserve">Raufen/Ringen +1; Armbrust/Blasrohr/Bogen/Wurfspeer +3; Säbel/Schwerter/Speere +2; Reiten/Fahrzeug Lenken +1; Bogenbau/Grobschmied +2; Boote Fahren/Fahrzeug Lenken +1; </t>
  </si>
  <si>
    <t xml:space="preserve">Armbrust/Blasrohr/Bogen/Wurfspeer +4; Infanteriewaffen/Säbel/Schwerter/Speere/Stäbe +2; Bogenbau/Grobschmied +2; Boote Fahren/Fahrzeug Lenken +1; </t>
  </si>
  <si>
    <t xml:space="preserve">Fremdsprache +4; L/S Muttersprache +6; </t>
  </si>
  <si>
    <t>W_GRNZJAEGER</t>
  </si>
  <si>
    <t>GS_WIRT</t>
  </si>
  <si>
    <t>Erzähler, sesshaft</t>
  </si>
  <si>
    <t>Höfling / Hofdame</t>
  </si>
  <si>
    <t>Ortskenntnis (Stadtteil / Kleinstadt)</t>
  </si>
  <si>
    <t>Ortskenntnis (Stadtteil / Stadt)</t>
  </si>
  <si>
    <t>Ortskenntnis (Arbeitsgebiet / zwielichtige Gegend)</t>
  </si>
  <si>
    <t>Ortskenntnis (Stadt)</t>
  </si>
  <si>
    <t>Philosoph / Metaphysiker</t>
  </si>
  <si>
    <t>Völkerkundler / Sagenkundler</t>
  </si>
  <si>
    <t>Zahlenmystiker</t>
  </si>
  <si>
    <t>nur Kultur: Erzzwerge</t>
  </si>
  <si>
    <t>Haupttalent-Handwerk</t>
  </si>
  <si>
    <t>Edelsteinschleifer / Steinschneider / Juwelier</t>
  </si>
  <si>
    <t>Fleischer / Metzger / Schlachter</t>
  </si>
  <si>
    <t>Goldschmied / Feinschmied / Graveur</t>
  </si>
  <si>
    <t>Gussmaurer</t>
  </si>
  <si>
    <t>Harnischmacher / Plättner</t>
  </si>
  <si>
    <t>Stellmacher / Wagner / Küfer</t>
  </si>
  <si>
    <t>Archaische Handwerker des Nordens, der Fjarninger; Gjalsker; Goblinstämme und Nivesen</t>
  </si>
  <si>
    <t>Archaische Bogenbauer des Nordens, der Fjarninger; Gjalsker; Goblinstämme und Nivesen</t>
  </si>
  <si>
    <t>Archaische Brauer des Nordens, der Fjarninger; Gjalsker; Goblinstämme und Nivesen</t>
  </si>
  <si>
    <t>Archaische Färber des Nordens, der Fjarninger; Gjalsker; Goblinstämme und Nivesen</t>
  </si>
  <si>
    <t>Archaische Fleischer des Nordens, der Fjarninger; Gjalsker; Goblinstämme und Nivesen</t>
  </si>
  <si>
    <t>Archaische Gerber/Kürschner des Nordens, der Fjarninger; Gjalsker; Goblinstämme und Nivesen</t>
  </si>
  <si>
    <t>Archaische Sattler/Schuster des Nordens, der Fjarninger; Gjalsker; Goblinstämme und Nivesen</t>
  </si>
  <si>
    <t>Archaischer Speermacher des Nordens, der Fjarninger; Gjalsker; Goblinstämme und Nivesen</t>
  </si>
  <si>
    <t>Archaische Töpfer des Nordens, der Fjarninger; Gjalsker; Goblinstämme und Nivesen</t>
  </si>
  <si>
    <t>Archaische Handwerker der Orks</t>
  </si>
  <si>
    <t>Archaische Bogenbauer der Orks</t>
  </si>
  <si>
    <t>Archaische Brauer der Orks</t>
  </si>
  <si>
    <t>Archaische Färber der Orks</t>
  </si>
  <si>
    <t>Archaische Fleischer der Orks</t>
  </si>
  <si>
    <t>Archaische Gerber/Kürschner der Orks</t>
  </si>
  <si>
    <t>Archaischer Grobschmied der Orks</t>
  </si>
  <si>
    <t>Archaische Sattler/Schuster der Orks</t>
  </si>
  <si>
    <t>Archaische Seiler der Orks</t>
  </si>
  <si>
    <t>Archaische Töpfer der Orks</t>
  </si>
  <si>
    <t>Archaische Weber der Orks</t>
  </si>
  <si>
    <t>Archaische Handwerker der Ferkinas</t>
  </si>
  <si>
    <t>Archaische Bogenbauer der Ferkinas</t>
  </si>
  <si>
    <t>Archaische Brauer der Ferkinas</t>
  </si>
  <si>
    <t>Archaische Färber der Ferkinas</t>
  </si>
  <si>
    <t>Archaische Fleischer der Ferkinas</t>
  </si>
  <si>
    <t>Archaische Gerber/Kürschner der Ferkinas</t>
  </si>
  <si>
    <t>Archaische Sattler/Schuster der Ferkinas</t>
  </si>
  <si>
    <t>Archaische Seiler der Ferkinas</t>
  </si>
  <si>
    <t>Archaische Töpfer der Ferkinas</t>
  </si>
  <si>
    <t>Archaische Weber der Ferkinas</t>
  </si>
  <si>
    <t>Archaische Handwerker Südaventuriens und der Achaz</t>
  </si>
  <si>
    <t>Archaische Bogenbauer Südaventuriens und der Achaz</t>
  </si>
  <si>
    <t>Archaischer Bootsbauer Südaventuriens und der Achaz</t>
  </si>
  <si>
    <t>Archaische Hüttenbauer Südaventuriens und der Achaz</t>
  </si>
  <si>
    <t>Archaische Luloa-Maler Südaventuriens und der Achaz</t>
  </si>
  <si>
    <t>Archaische Werkzeugmacher Südaventuriens und der Achaz</t>
  </si>
  <si>
    <t>Archaische Holz- u . Beinschnitzer Südaventuriens und der Achaz</t>
  </si>
  <si>
    <t>Schreiber / Schreiberin</t>
  </si>
  <si>
    <t>Köhler</t>
  </si>
  <si>
    <t>Brutpfleger der Achaz</t>
  </si>
  <si>
    <t>Quacksalber / Zahnreißer</t>
  </si>
  <si>
    <t>Ortskenntnis: (nach Wahl)</t>
  </si>
  <si>
    <t>Bogenbau (Armbrust/Bogen/Bolzen&amp;Pfeile/Torsionswff.)</t>
  </si>
  <si>
    <t>Brauer (je nach Biersorte?)</t>
  </si>
  <si>
    <t>Kochen (Backen/Braten)</t>
  </si>
  <si>
    <t>Zimmermann (Dachdecker)</t>
  </si>
  <si>
    <t>Steinschneider/Juwelier (je nach Edelstein ?)</t>
  </si>
  <si>
    <t>Stoffe Färben (alch. Farben/Mineralien/Pflanzen/Tiere/Stoffdruck/Art)</t>
  </si>
  <si>
    <t>Fleischer (Fisch/Geflügel/Reptilien/Säuger)</t>
  </si>
  <si>
    <t>Gerber/Kürschner (Gerber/Kürschner/Trophäen)</t>
  </si>
  <si>
    <t>Glaskunst (Fenster/Linsen/Spiegel/Glasbläser)</t>
  </si>
  <si>
    <t>Feinmechanik (Gold/Silber/Gravieren/Schlösser/Siegel/Trickwaffen/Uhrwerk)</t>
  </si>
  <si>
    <t>Grobschmied (Drahtzieher/Hufschmied/Plättner/Spengler/Schwarzschmied/Waffenschmied)</t>
  </si>
  <si>
    <t>Maurer (Steinguss)</t>
  </si>
  <si>
    <t>Grobschmied (Drahtzieher/Plättner)</t>
  </si>
  <si>
    <t>Instrumentenbauer (Blasninstr./Saiteninstr./Tasteninstr./Trommel)</t>
  </si>
  <si>
    <t>Kochen (Braten/Festmahl/Konservieren/Marschversg.)</t>
  </si>
  <si>
    <t>Kristallzüchter (je nach Kristallart?)</t>
  </si>
  <si>
    <t>Maurer (Steinbau/Ziegelbau)</t>
  </si>
  <si>
    <t>Töpfern (Porzellan Gefäss?/Porzellan Statuen?)</t>
  </si>
  <si>
    <t>Lederarbeiten (Gurte/Kleidung/Rüstungen/Sättel/Schuhwerk)</t>
  </si>
  <si>
    <t>Schneidern (Festgewand/Flickschn./Tuchrüstungen)</t>
  </si>
  <si>
    <t>Holzbearbeitung (Beinschnitzerei/Holzkunde/Holzwaffen/Küfer/Möbel/Schnitzen)</t>
  </si>
  <si>
    <t>Schneidern (Segel ?)</t>
  </si>
  <si>
    <t>Seiler (Schiffstaue/Lederseile ?)</t>
  </si>
  <si>
    <t>Grobschmied (Spengler)</t>
  </si>
  <si>
    <t>Steinmetz (Baugestein/Relief/Statuen)</t>
  </si>
  <si>
    <t>Stellmacher (Karren/Wagen/Schlitten/Streitwagen)</t>
  </si>
  <si>
    <t>Tätowieren (Abbildungen/Ornamente/Zaubertätowrng.)</t>
  </si>
  <si>
    <t>Töpfern (Gefäss/Statuen/Ziegelei)</t>
  </si>
  <si>
    <t>Grobschmied (Waffenschmied)</t>
  </si>
  <si>
    <t>Webkunst (Häkeln/Klöppeln/Stricken/Knüpfen/Weben/Art)</t>
  </si>
  <si>
    <t>Zimmermann (Holzkonstruktion)</t>
  </si>
  <si>
    <t>Bogenbau (Bogen/Pfeile)</t>
  </si>
  <si>
    <t>Stoffe Färben (Mineralien/Pflanzen/Tiere/Stoffdruck/Art/Leder)</t>
  </si>
  <si>
    <t>Grobschmied(Waffenschmied)/Holzbearbeitung (Holzwaffen)/Feuersteinbearbeitung (Speerspitzen)</t>
  </si>
  <si>
    <t>Töpfern (Gefäss/Statuen)</t>
  </si>
  <si>
    <t>Zimmermann (Einbäume/Schilfboote)</t>
  </si>
  <si>
    <t>Zimmermann (Wehranlagen/Gemeinschaftshütten)</t>
  </si>
  <si>
    <t>Holzbearbeitung (Beinschnitzerei/Holzkunde/Holzwaffen)/Feuersteinbearbeitung (Klingenabschläge/Pfeilspitzen/Axtköpfe?)</t>
  </si>
  <si>
    <t>Holzbearbeitung (Beinschnitzerei/Holzkunde/Schnitzen)</t>
  </si>
  <si>
    <t>Abrichten (Dompteur/Falkner/Hundeführer/Zureiter)</t>
  </si>
  <si>
    <t>Abrichten (Falkner)</t>
  </si>
  <si>
    <t>Abrichten (Hundeführer)</t>
  </si>
  <si>
    <t>Abrichten (Zureiter)</t>
  </si>
  <si>
    <t>Hiebwaffen/Säbel +2</t>
  </si>
  <si>
    <t>nur Kultur: Fjarninger/Gjalsker/Goblinstämme/Nivesenstämme/Nuanaä-Lie</t>
  </si>
  <si>
    <t>nur Kultur: Orkland(Drasdech)/Svelltal-Okkupanten(Drasdech) (hinter Svelltal-Okkupanten steht +/- 0 GP, gibt aber keinen Unterschied in den Werten für Svelltal-Okkupanten !)</t>
  </si>
  <si>
    <t>nur Kultur: Ferkina</t>
  </si>
  <si>
    <t>nur Kultur: südlich der Khomwüste</t>
  </si>
  <si>
    <t>Unklare Ausdrucksweise: Bei der Kontoristin ist angegeben "Wissen: kein Geschichtswissen -1". Richtig ist wohl "Wissen: Geschichtswissen -1", wie es auch in Aventurische Helden steht.</t>
  </si>
  <si>
    <t>nur Kultur: Südaventurien (Khefu)</t>
  </si>
  <si>
    <t>nur Kultur: Südaventurien/Bukanier/südliche Stammeskulturen</t>
  </si>
  <si>
    <t>nur Rasse: Achaz</t>
  </si>
  <si>
    <t>H_ACHAZ</t>
  </si>
  <si>
    <t>H_NORDEN</t>
  </si>
  <si>
    <t>H_ORK</t>
  </si>
  <si>
    <t>H_FERKINA</t>
  </si>
  <si>
    <t>Mittelländische Städte (Kleinstädte)</t>
  </si>
  <si>
    <t>Mittelländische Städte (Hafenstädte und Städte an großen Flüssen (z.B. Elenvina, Ferdok, Festum, Harben, Havena, Perricum))</t>
  </si>
  <si>
    <t>Mittelländische Städte (Städte mit wichtigem Tempel / Pilgerstätte (z.B. Angbar, Gareth/Neu-Gareth, Rommilys))</t>
  </si>
  <si>
    <t>Mittelländische Städte (Siedlerstädte des Nordens (z.B. Uhdenberg, Donnerbach, Riva, Lowangen, Norburg))</t>
  </si>
  <si>
    <t>Mittelländische Städte (Städtischer Adel)</t>
  </si>
  <si>
    <t>Mittelländische Städte (Kannemünde / Mhanerhaven)</t>
  </si>
  <si>
    <t>Mittelländische Städte (Flüchtlinge aus borbaradianisch besetzten Städten (z.B. Ysilia, Mendena, Ilsur, Warunk, Beilunk))</t>
  </si>
  <si>
    <t>Mittelländische Landbevölkerung</t>
  </si>
  <si>
    <t>Mittelländische Landbevölkerung (Küstengebiete oder an großen Flüssen)</t>
  </si>
  <si>
    <t>Mittelländische Landbevölkerung (An einer wichtigen Handelsroute / Reichsstraße)</t>
  </si>
  <si>
    <t>Mittelländische Landbevölkerung (Regionen Weiden und Greifenfurt)</t>
  </si>
  <si>
    <t>Mittelländische Landbevölkerung (Gebirge)</t>
  </si>
  <si>
    <t>Mittelländische Landbevölkerung (Fern der Zivilisation)</t>
  </si>
  <si>
    <t>Mittelländische Landbevölkerung (Landadel)</t>
  </si>
  <si>
    <t>Mittelländische Landbevölkerung (Jilaskan)</t>
  </si>
  <si>
    <t>Mittelländische Landbevölkerung (Borbaradianisch besetzte Gebiete (Tobrien, Ost-Darpatien, Warunk, Beilunk))</t>
  </si>
  <si>
    <t>Andergast und Nostria</t>
  </si>
  <si>
    <t>Andergast und Nostria (Stadt (nur Andergast, Nostria, Salza, Joborn))</t>
  </si>
  <si>
    <t>Andergast und Nostria (Landadel)</t>
  </si>
  <si>
    <t>Andergast und Nostria (Gebirge)</t>
  </si>
  <si>
    <t>Andergast und Nostria (Küstengebiete)</t>
  </si>
  <si>
    <t>Andergast und Nostria (Teshkalien, nordöstliches Andergast)</t>
  </si>
  <si>
    <t>Bornland (Landstädte (Firunen, Norburg, Notmark, Ouvenmas, Rodebrannt))</t>
  </si>
  <si>
    <t>Bornland (Küstengebiete)</t>
  </si>
  <si>
    <t>Bornland (Landadel, Bronnjar)</t>
  </si>
  <si>
    <t>Svellttal und Nordlande</t>
  </si>
  <si>
    <t>Svellttal und Nordlande (Stadt (nur Gashok, Tiefhusen, Tjolmar))</t>
  </si>
  <si>
    <t>Svellttal und Nordlande (Kleinstädte)</t>
  </si>
  <si>
    <t>Svellttal und Nordlande (Küstengebiete oder an großen Flüssen)</t>
  </si>
  <si>
    <t>Svellttal und Nordlande (Fern der Zivilisation)</t>
  </si>
  <si>
    <t>Svellttal und Nordlande (Flüchtlinge aus Glorania)</t>
  </si>
  <si>
    <t>Almada</t>
  </si>
  <si>
    <t>Almada (Städte am Yaquir (z.B. Punin, Ragath))</t>
  </si>
  <si>
    <t>Almada (Städte mit wichtigem Tempel / Pilgerstätte (z.B. Punin, Brig-Lo))</t>
  </si>
  <si>
    <t>Almada (Städtischer Adel)</t>
  </si>
  <si>
    <t>Almada (An einer wichtigen Handelsroute)</t>
  </si>
  <si>
    <t>Almada (Gebirge)</t>
  </si>
  <si>
    <t>Almada (Landadel)</t>
  </si>
  <si>
    <t>Horasreich</t>
  </si>
  <si>
    <t>Horasreich (Hafenstädte / Städte an großen Flüssen (z.B. Kuslik, Grangor, Vinsalt))</t>
  </si>
  <si>
    <t>Horasreich (Städte mit wichtigem Tempel / Pilgerstätte (z.B. Kuslik, Bethana, Arivor, Neetha))</t>
  </si>
  <si>
    <t>Horasreich (Städtischer Adel)</t>
  </si>
  <si>
    <t>Horasreich (Dörfer an der Küste oder an großen Flüssen)</t>
  </si>
  <si>
    <t>Horasreich (An einer wichtigen Handelsroute)</t>
  </si>
  <si>
    <t>Horasreich (Gebirge)</t>
  </si>
  <si>
    <t>Horasreich (Fernab der Zivilisation, Chababien)</t>
  </si>
  <si>
    <t>Horasreich (Landadel)</t>
  </si>
  <si>
    <t>Aranien (M) (Stadt z.B. Anchopal, Baburin, Zorgan, Elburum, Llanka)</t>
  </si>
  <si>
    <t>Aranien (W) (Stadt z.B. Anchopal, Baburin, Zorgan, Elburum, Llanka)</t>
  </si>
  <si>
    <t>Aranien (M) (Küstengebiete oder am Barun-Ulah)</t>
  </si>
  <si>
    <t>Aranien (W) (Küstengebiete oder am Barun-Ulah)</t>
  </si>
  <si>
    <t>Aranien (M) (Adel)</t>
  </si>
  <si>
    <t>Aranien (W) (Adel)</t>
  </si>
  <si>
    <t>Mhanadistan (An wichtigen Handelsrouten)</t>
  </si>
  <si>
    <t>Mhanadistan (Fern der Zivilisation)</t>
  </si>
  <si>
    <t>Mhanadistan (Küstengebiete oder an großen Flüssen)</t>
  </si>
  <si>
    <t>Mhanadistan (Tulamidische Nomadenstämme)</t>
  </si>
  <si>
    <t>Mhanadistan (Kasimiten)</t>
  </si>
  <si>
    <t>Tulamidische Stadtstaaten (See- oder Mhanadihafen)</t>
  </si>
  <si>
    <t>Tulamidische Stadtstaaten (Kasimiten)</t>
  </si>
  <si>
    <t>Novadis (M) oder Achmad´Sunni</t>
  </si>
  <si>
    <t>Novadis (M) oder Achmad´Sunni (Wüstenoase)</t>
  </si>
  <si>
    <t>Novadis (W)</t>
  </si>
  <si>
    <t>Novadis (W) (Wüstenoase)</t>
  </si>
  <si>
    <t>Thorwal</t>
  </si>
  <si>
    <t>Gjalskerland</t>
  </si>
  <si>
    <t>Dschungelstämme (Tschopukikuha)</t>
  </si>
  <si>
    <t>Dschungelstämme (Bergstämme)</t>
  </si>
  <si>
    <t>Dschungelstämme (Haipu)</t>
  </si>
  <si>
    <t>Darna</t>
  </si>
  <si>
    <t>Verlorene Stämme</t>
  </si>
  <si>
    <t>Verlorene Stämme (Shokubunga)</t>
  </si>
  <si>
    <t>Verlorene Stämme (Chirakah)</t>
  </si>
  <si>
    <t>Waldinsel-Utulus</t>
  </si>
  <si>
    <t>Tocamuyak</t>
  </si>
  <si>
    <t>Maraskaner</t>
  </si>
  <si>
    <t>Maraskaner (Dschungel)</t>
  </si>
  <si>
    <t>Maraskaner (Küstengebiete)</t>
  </si>
  <si>
    <t>Maraskaner (Maraskanische Städte)</t>
  </si>
  <si>
    <t>Maraskanische Exilanten aus Khunchom/Tulamidischen Stadtstaaten</t>
  </si>
  <si>
    <t>Maraskanische Exilanten aus Festum/Mittelländischen Städten</t>
  </si>
  <si>
    <t>Maraskanische Exilanten aus Al´anfa/Südaventurien</t>
  </si>
  <si>
    <t>Südaventurien (Südliche Stadtstaaten)</t>
  </si>
  <si>
    <t>Südaventurien (Südliche Stadtstaaten (Al´anfa))</t>
  </si>
  <si>
    <t>Südaventurien (Südliche Stadtstaaten (Brabak))</t>
  </si>
  <si>
    <t>Südaventurien (Südliche Stadtstaaten (Charypso, Sylla))</t>
  </si>
  <si>
    <t>Südaventurien (Südliche Stadtstaaten (Mengbilla))</t>
  </si>
  <si>
    <t>Südaventurien (Südliche Stadtstaaten (Khefu))</t>
  </si>
  <si>
    <t>Südaventurien (Südliche Stadtstaaten (Mirham))</t>
  </si>
  <si>
    <t>Südaventurien (Südliche Stadtstaaten (Hót-Alem))</t>
  </si>
  <si>
    <t>Südaventurien (Südliche Stadtstaaten (Chorhop))</t>
  </si>
  <si>
    <t>Südaventurien (Kolonialhäfen (Waldinsel-Kolonien des Bornlandes, des Horasreichs und Al´anfa))</t>
  </si>
  <si>
    <t>Südaventurien (Dschungeldorf/Plantage)</t>
  </si>
  <si>
    <t>Südaventurien (Selem)</t>
  </si>
  <si>
    <t>Nivesenstämme (Halbsesshafte Küstenstämme)</t>
  </si>
  <si>
    <t>Nuanaä-Lie (Nauoke)</t>
  </si>
  <si>
    <t>Elfische Siedlung (Südliche Mittellande (Almada, Garetien))</t>
  </si>
  <si>
    <t>Elfische Siedlung (Großstadt (Lowangen, Punin))</t>
  </si>
  <si>
    <t>Elfische Siedlung (Firnelfisch beeinflusste Siedlung (Olport, Keamonmund))</t>
  </si>
  <si>
    <t>Elfische Siedlung (Firnelfisch beeinflusste Siedlung (Olport, Keamonmund) mit Auswahl aus Firnelfischer Sippe )</t>
  </si>
  <si>
    <t>Elfische Siedlung (Waldelfisch beeinflusste Siedlung (Donnerbach, Gerasim, Kwirasim))</t>
  </si>
  <si>
    <t>Elfische Siedlung (Elfen mit menschlicher Profession (keine elfische Profession, keine magische menschliche Profession))</t>
  </si>
  <si>
    <t>Firnelfische Sippe (Küsten und Inseln)</t>
  </si>
  <si>
    <t>Brobim</t>
  </si>
  <si>
    <t>Orkland-Orks (allgemein, nur zur Erstellung der Kasten)</t>
  </si>
  <si>
    <t>Orkland-Orks/Kaste Ergoch (Sklaven)</t>
  </si>
  <si>
    <t>Orkland-Stämme-Varianten Korogai</t>
  </si>
  <si>
    <t>Orkland-Stämme-Varianten Mokolash</t>
  </si>
  <si>
    <t>Orkland-Stämme-Varianten Olochtai</t>
  </si>
  <si>
    <t>Orkland-Stämme-Varianten Orichai</t>
  </si>
  <si>
    <t>Orkland-Stämme-Varianten Trunzhai</t>
  </si>
  <si>
    <t>Orkland-Stämme-Varianten Tscharshai</t>
  </si>
  <si>
    <t>Orkland-Stämme-Varianten Zholochai</t>
  </si>
  <si>
    <t>Orkland-Orks (Stamm Korogai Kaste Ergoch (Sklaven))</t>
  </si>
  <si>
    <t>Orkland-Orks (Stamm Korogai Kaste Grishik (Bauern))</t>
  </si>
  <si>
    <t>Orkland-Orks (Stamm Korogai Kaste Drasdech (Handwerker))</t>
  </si>
  <si>
    <t>Orkland-Orks (Stamm Korogai Kaste Khurkach (Krieger und Jäger))</t>
  </si>
  <si>
    <t>Orkland-Orks (Stamm Korogai Kaste Okwach (Elite-Krieger, Priester, Schamanen))</t>
  </si>
  <si>
    <t>Orkland-Orks (Stamm Mokolash Kaste Ergoch (Sklaven))</t>
  </si>
  <si>
    <t>Orkland-Orks (Stamm Mokolash Kaste Grishik (Bauern))</t>
  </si>
  <si>
    <t>Orkland-Orks (Stamm Mokolash Kaste Drasdech (Handwerker))</t>
  </si>
  <si>
    <t>Orkland-Orks (Stamm Mokolash Kaste Khurkach (Krieger und Jäger))</t>
  </si>
  <si>
    <t>Orkland-Orks (Stamm Mokolash Kaste Okwach (Elite-Krieger, Priester, Schamanen))</t>
  </si>
  <si>
    <t>Orkland-Orks (Stamm Olochtai Kaste Ergoch (Sklaven))</t>
  </si>
  <si>
    <t>Orkland-Orks (Stamm Olochtai Kaste Grishik (Bauern))</t>
  </si>
  <si>
    <t>Orkland-Orks (Stamm Olochtai Kaste Drasdech (Handwerker))</t>
  </si>
  <si>
    <t>Orkland-Orks (Stamm Olochtai Kaste Khurkach (Krieger und Jäger))</t>
  </si>
  <si>
    <t>Orkland-Orks (Stamm Olochtai Kaste Okwach (Elite-Krieger, Priester, Schamanen))</t>
  </si>
  <si>
    <t>Orkland-Orks (Stamm Orichai Kaste Ergoch (Sklaven))</t>
  </si>
  <si>
    <t>Orkland-Orks (Stamm Orichai Kaste Grishik (Bauern))</t>
  </si>
  <si>
    <t>Orkland-Orks (Stamm Orichai Kaste Drasdech (Handwerker))</t>
  </si>
  <si>
    <t>Orkland-Orks (Stamm Orichai Kaste Khurkach (Krieger und Jäger))</t>
  </si>
  <si>
    <t>Orkland-Orks (Stamm Orichai Kaste Okwach (Elite-Krieger, Priester, Schamanen))</t>
  </si>
  <si>
    <t>Orkland-Orks (Stamm Trunzhai Kaste Ergoch (Sklaven))</t>
  </si>
  <si>
    <t>Orkland-Orks (Stamm Trunzhai Kaste Grishik (Bauern))</t>
  </si>
  <si>
    <t>Orkland-Orks (Stamm Trunzhai Kaste Drasdech (Handwerker))</t>
  </si>
  <si>
    <t>Orkland-Orks (Stamm Trunzhai Kaste Khurkach (Krieger und Jäger))</t>
  </si>
  <si>
    <t>Orkland-Orks (Stamm Trunzhai Kaste Okwach (Elite-Krieger, Priester, Schamanen))</t>
  </si>
  <si>
    <t>Orkland-Orks (Stamm Tscharshai Kaste Ergoch (Sklaven))</t>
  </si>
  <si>
    <t>Orkland-Orks (Stamm Tscharshai Kaste Grishik (Bauern))</t>
  </si>
  <si>
    <t>Orkland-Orks (Stamm Tscharshai Kaste Drasdech (Handwerker))</t>
  </si>
  <si>
    <t>Orkland-Orks (Stamm Tscharshai Kaste Khurkach (Krieger und Jäger))</t>
  </si>
  <si>
    <t>Orkland-Orks (Stamm Tscharshai Kaste Okwach (Elite-Krieger, Priester, Schamanen))</t>
  </si>
  <si>
    <t>Orkland-Orks (Stamm Zholochai Kaste Ergoch (Sklaven))</t>
  </si>
  <si>
    <t>Orkland-Orks (Stamm Zholochai Kaste Grishik (Bauern))</t>
  </si>
  <si>
    <t>Orkland-Orks (Stamm Zholochai Kaste Drasdech (Handwerker))</t>
  </si>
  <si>
    <t>Orkland-Orks (Stamm Zholochai Kaste Khurkach (Krieger und Jäger))</t>
  </si>
  <si>
    <t>Orkland-Orks (Stamm Zholochai Kaste Okwach (Elite-Krieger, Priester, Schamanen))</t>
  </si>
  <si>
    <t>Yurach-Orks (Ausgestoßene)</t>
  </si>
  <si>
    <t>Svellttal-Besatzer Orks</t>
  </si>
  <si>
    <t>Svellttal-Besatzer Orks (Kaste Ergoch (Sklaven, häufig Menschen))</t>
  </si>
  <si>
    <t>Svellttal-Besatzer Orks (Kaste Grishik (Bauern))</t>
  </si>
  <si>
    <t>Svellttal-Besatzer Orks (Kaste Drasdech (Handwerker))</t>
  </si>
  <si>
    <t>Svellttal-Besatzer Orks (Kaste Khurkach (Krieger und Jäger))</t>
  </si>
  <si>
    <t>Svellttal-Besatzer Orks (Kaste Okwach (Elite-Krieger, Priester, Schamanen))</t>
  </si>
  <si>
    <t>Goblinstamm (Männer)</t>
  </si>
  <si>
    <t>Goblinstamm (Frauen)</t>
  </si>
  <si>
    <t>Goblinstamm (Männer, Ebene)</t>
  </si>
  <si>
    <t>Goblinstamm (Frauen, Ebene)</t>
  </si>
  <si>
    <t>Goblinstamm (Männer, Gebirge)</t>
  </si>
  <si>
    <t>Goblinstamm (Frauen, Gebirge)</t>
  </si>
  <si>
    <t>Goblinstamm (Männer, Schneegoblins)</t>
  </si>
  <si>
    <t>Goblinstamm (Frauen, Schneegoblins)</t>
  </si>
  <si>
    <t>Goblins aus dem Festumer Ghetto</t>
  </si>
  <si>
    <t>Stammes-Achaz (Maraskan)</t>
  </si>
  <si>
    <t>Stammes-Achaz (Orkland)</t>
  </si>
  <si>
    <t>Stammes-Achaz (Echsensümpfe)</t>
  </si>
  <si>
    <t>Stammes-Achaz (Loch Harodrol)</t>
  </si>
  <si>
    <t>Stammes-Achaz (Waldinseln/Südaventurien)</t>
  </si>
  <si>
    <t>Höhenangst 6</t>
  </si>
  <si>
    <t>Raumangst 10</t>
  </si>
  <si>
    <t>Raumangst 6</t>
  </si>
  <si>
    <t>Kulturkunde (Mittelreich oder entsprechende Region)</t>
  </si>
  <si>
    <t>Kulturkunde (Andergast/Nostria)</t>
  </si>
  <si>
    <t>Kulturkunde (Bornland)</t>
  </si>
  <si>
    <t>Kulturkunde (Svellttal oder Nordlande)</t>
  </si>
  <si>
    <t>Kulturkunde (Almada)</t>
  </si>
  <si>
    <t>Kulturkunde (Zyklopeninseln)</t>
  </si>
  <si>
    <t>Kulturkunde (Amazonen)</t>
  </si>
  <si>
    <t>Kulturkunde (Aranien)</t>
  </si>
  <si>
    <t>Kulturkunde (Tulamidenlande)</t>
  </si>
  <si>
    <t>Kulturkunde (Novadi)</t>
  </si>
  <si>
    <t>Kulturkunde (Ferkina)</t>
  </si>
  <si>
    <t>Kulturkunde (Zahori)</t>
  </si>
  <si>
    <t>Kulturkunde (Thorwal)</t>
  </si>
  <si>
    <t>Kulturkunde (Gjalskerländer)</t>
  </si>
  <si>
    <t>Kulturkunde (Fjarninger)</t>
  </si>
  <si>
    <t>Kulturkunde (Waldmenschen)</t>
  </si>
  <si>
    <t>Kulturkunde (Tocamuyac)</t>
  </si>
  <si>
    <t>Kulturkunde (Maraskan)</t>
  </si>
  <si>
    <t>Kulturkunde (Südaventurien)</t>
  </si>
  <si>
    <t>Kulturkunde (Bukanier)</t>
  </si>
  <si>
    <t>Kulturkunde (Nivesen)</t>
  </si>
  <si>
    <t>Kulturkunde (Norbarden)</t>
  </si>
  <si>
    <t>Kulturkunde (Trollzacker)</t>
  </si>
  <si>
    <t>Kulturkunde (Auelfen)</t>
  </si>
  <si>
    <t>Kulturkunde (Steppenelfen)</t>
  </si>
  <si>
    <t>Kulturkunde (Waldelfen)</t>
  </si>
  <si>
    <t>Kulturkunde (Firnelfen)</t>
  </si>
  <si>
    <t>Kulturkunde (Ambosszwerge)</t>
  </si>
  <si>
    <t>Kulturkunde (Erzzwerge)</t>
  </si>
  <si>
    <t>Kulturkunde (Hügelzwerge)</t>
  </si>
  <si>
    <t>Kulturkunde (Brilliantzwerge)</t>
  </si>
  <si>
    <t>Kulturkunde (Brobim)</t>
  </si>
  <si>
    <t>Kulturkunde (Orks)</t>
  </si>
  <si>
    <t>Kulturkunde (Goblins)</t>
  </si>
  <si>
    <t>Kulturkunde (Archaische Achaz)</t>
  </si>
  <si>
    <t>Kulturkunde (Stammesachaz)</t>
  </si>
  <si>
    <t>Ortskenntnis (Stadtteil der heimischen Stadt, bei Kleinstädten die ganze Stadt)</t>
  </si>
  <si>
    <t>Ortskenntnis (Jagdrevier)</t>
  </si>
  <si>
    <t>Kulturkunde (Stammes-Achaz)</t>
  </si>
  <si>
    <t>Talentspezialisierung Fahrzeug Lenken (Hundeschlitten)</t>
  </si>
  <si>
    <t>Kulturkunde (Trolle)</t>
  </si>
  <si>
    <t>Hiebwaffen/Speere +1;</t>
  </si>
  <si>
    <t>einmal Fremdsprache (Tulamidya/Rogolan/Thorwalsch) +3</t>
  </si>
  <si>
    <t>einmal Fremdsprache (Tulamidya/Rogolan/Thorwalsch) +3; einmal zusätzlich Fremdsprache +4</t>
  </si>
  <si>
    <t xml:space="preserve">einmal Fremdsprache (Nujuka ('Nivesisch')/Alaani ('Norbardisch')/Oloarkh) +3 </t>
  </si>
  <si>
    <t>einmal Fremdsprache (Tulamidya/Rogolan/Thorwalsch/Zhayad/Zhulchammaqra ('Trollzackisch')) +3</t>
  </si>
  <si>
    <t>einmal Fremdsprache (Tulamidya/Rogolan/Isdira/Thorwalsch) +3</t>
  </si>
  <si>
    <t>einmal Fremdsprache (Tulamidya/Rogolan/Isdira/Thorwalsch) +3; eine weitere Fremdsprachen nach Wahl +2</t>
  </si>
  <si>
    <t>verteilen auf Fremdsprache (Oloarkh/Ologhaijan ('Hochorkisch')/Thorwalsch) +4</t>
  </si>
  <si>
    <t>Je einmal +6 und +2 auf Alaani ('Norbardisch')/Nujuka ('Nivesisch')</t>
  </si>
  <si>
    <t>Muttersprache (auf KL-2) (Garethi/Alaani ('Norbardisch')/Nujuka ('Nivesisch')/Thorwalsch); Fremdsprache einmal zusätzlich (Garethi/Alaani ('Norbardisch')/Nujuka ('Nivesisch')/Ologhaijan ('Hochorkisch')/Oloarkh/Isdira/Thorwalsch) +4</t>
  </si>
  <si>
    <t>Muttersprache (auf KL-2) (Garethi/Alaani ('Norbardisch')/Nujuka ('Nivesisch')/Thorwalsch); Fremdsprache einmal zusätzlich (Garethi/Alaani ('Norbardisch')/Nujuka ('Nivesisch')/Ologhaijan ('Hochorkisch')/Oloarkh/Isdira/Thorwalsch) +4; Fremdsprache einmal zusätzlich (Garethi/Alaani ('Norbardisch')/Nujuka ('Nivesisch')/Ologhaijan ('Hochorkisch')/Oloarkh/Isdira/Thorwalsch/Goblinisch) +2</t>
  </si>
  <si>
    <t>Fremdsprache (Tulamidya/Rogolan) +5</t>
  </si>
  <si>
    <t xml:space="preserve">Fremdsprache (Tulamidya/Rogolan) +5; eine weitere Fremdsprache +4 </t>
  </si>
  <si>
    <t>Fremdsprache (Tulamidya/Rogolan) +5; eine weitere Fremdsprache +4</t>
  </si>
  <si>
    <t>Fremdsprache (Tulamidya/Rogolan) +5; Fremdsprache +2</t>
  </si>
  <si>
    <t>Fremdsprache (Tulamidya/Mohisch) +5</t>
  </si>
  <si>
    <t>Muttersprache (auf KL-2) (Tulamidya/Garethi); Zweitsprache (auf KL-4) (Tulamidya/Garethi); L/S Muttersprache (Kusliker Zeichen/Tulamidya) +3</t>
  </si>
  <si>
    <t>Muttersprache (auf KL-2) (Tulamidya/Garethi); Zweitsprache (auf KL-4) (Tulamidya/Garethi); L/S Muttersprache (Kusliker Zeichen/Tulamidya) +5</t>
  </si>
  <si>
    <t>Zweitsprache (auf KL-4) (Garethi/Ferkina)</t>
  </si>
  <si>
    <t>einmal zusätzlich Fremdsprache (Nujuka ('Nivesisch')/Alaani ('Norbardisch')/Ologhaijan ('Hochorkisch')) +4</t>
  </si>
  <si>
    <t>einmal zusätzlich Fremdsprache (Garethi/Tulamidya) +3</t>
  </si>
  <si>
    <t>einmal zusätzlich Fremdsprache (Garethi/Tulamidya) +4</t>
  </si>
  <si>
    <t>Fremdsprache einmal zusätzlich (Alaani ('Norbardisch')/Garethi) +5</t>
  </si>
  <si>
    <t>einmal zusätzlich Fremdsprache +4</t>
  </si>
  <si>
    <t>Zweitsprache (L) (auf KL-4) (je nach Wohnort); einmal zusätzlich Fremdsprache +3</t>
  </si>
  <si>
    <t>Zweitsprache (L) (auf KL-4) (je nach Wohnort); einmal zusätzlich Fremdsprache +3; Fremdsprache (Asdharia L) / L/S Muttersprache (Isdira L) +4</t>
  </si>
  <si>
    <t>Fremdsprache einmal zusätzlich (Alaani ('Norbardisch')/Garethi/Nujuka ('Nivesisch')) +4</t>
  </si>
  <si>
    <t>Fremdsprache einmal zusätzlich +2</t>
  </si>
  <si>
    <t>einmal zusätzlich Fremdsprache (Alaani ('Norbardisch')/Asdharia/Nujuka ('Nivesisch')/Thorwalsch) +4</t>
  </si>
  <si>
    <t>Zweitsprache (auf KL-4) (Garethi/Tulamidya)</t>
  </si>
  <si>
    <t>L/S Muttersprache (Rogolan)/L/S Fremdsprache (Kusliker Zeichen) +6</t>
  </si>
  <si>
    <t>Fremdsprache einmal zusätzlich (Alaani ('Norbardisch')/Angram/Isdira/Nujuka ('Nivesisch')) +3</t>
  </si>
  <si>
    <t>Fremdsprache einmal zusätzlich (Garethi/Thorwalsch) +2</t>
  </si>
  <si>
    <t>Gebirgskundig/Waldkundig</t>
  </si>
  <si>
    <t>Mögliche Übernatürliche Begabungen: Adlerauge Luchsenohr, Ängste lindern, Armatrutz, Attributo, Axxeleratus Blitzgeschwind, Balsam Salabunde, Bannbaladin, Blick aufs Wesen, Blick in die Gedanken, Blitz dich find, Böser Blick, Chamaelioni, Eiseskälte Kämpferherz, Exposami Lebenskraft, Falkenauge Meisterschuss, Gefunden, Große Verwirrung, Harmlose Gestalt, Hexenspeichel, Höllenpein zerreisse dich!, Katzenaugen, Klarum Purum, Krötensprung, Kusch!, Lunge des Leviatan, Memorans Gedächtniskraft, Movimento Dauerlauf, Odem Arcanum, Penetrizzel Tiefenblick, Pestilenz erspüren, Psychostabilis, Ruhe Körper - ruhe Geist, Sanftmut, Seidenzunge Elfenwort, Sensattacco Meisterstreich, Sensibar Empathicus, Spinnenlauf, Spurlos Trittlos, Standfest Katzengleich, Sumus Elixiere, Tiere besprechen, Unitatio Geistesbund, Vipernblick, Visibili Vanitar, Wipfellauf</t>
  </si>
  <si>
    <t>Die meisten Wolfskinder der Nuanaä-Lie können sich nicht bewusst verwandeln, für sie kostet der Vorteil Wolfskind nur 5GP.</t>
  </si>
  <si>
    <t>Es gibt die Auswahlmöglichkeit Bogenbau oder Boote Fahren +2L. Wenn ich mich für ein Talent entscheide, ist das nicht gewählte dann trotzdem ein Leittalent oder nicht? Nur Auelfische Sippe erhält Nachteil Randgruppe. Wieso? Müsste auf alle Elfen zutreffen.</t>
  </si>
  <si>
    <t>Elfische Siedlung (Südliche Mittellande (Almada, Garetien)) verliert das Leittalent bei Wildnissleben, Elfische Siedlung (Großstadt (Lowangen, Punin)) jedoch nicht, obwohl der Wert noch niedriger ist! Denke hier wurde einfach das Löschen des Leittalentes bei Wildnisleben vergessen.</t>
  </si>
  <si>
    <t>Warum bekommt Elfische Siedlung (Waldelfisch beeinflusste Siedlung) weitere mögliche Zauber aus der waldelfischen Sippe, jedoch Elfische Siedlung (Firnelfisch beeinflusste Siedlung) keine aus der firnelfischen Sippe ?</t>
  </si>
  <si>
    <t>Nicht offizielle Kultur, habe sie mal erstellt,da es mir unlogisch erscheint, eine Elfische Siedlung-Waldelfisch beeinflusst mit Zaubern zu haben, jedoch nicht das entsprechende bei der Firnelfisch beeinflussten Elfen-Siedlung</t>
  </si>
  <si>
    <t>Orks sind immer Kombination aus Stamm, und Kaste, diese Daten nur für die Erstellung (siehe Tabelle Professionen Kombinierer)</t>
  </si>
  <si>
    <t>nur Goblin-Frauen können magiebegabt sein</t>
  </si>
  <si>
    <t>Druide (Grundwerte)</t>
  </si>
  <si>
    <t>Konzilsdruide (Grundwerte)</t>
  </si>
  <si>
    <t>Brobim-Geode</t>
  </si>
  <si>
    <t>Eingeschränte Elementarnähe (Erz, Feuer, Luft)</t>
  </si>
  <si>
    <t>Geode (Grunddaten)</t>
  </si>
  <si>
    <t>Kristallomant (mit beispielhaftem Zauberprofil)</t>
  </si>
  <si>
    <t>Vorurteile 6 (gegen Zwerge)</t>
  </si>
  <si>
    <t>Gesteinskunde (Edelsteine)</t>
  </si>
  <si>
    <t>Hexen (Grunddaten)</t>
  </si>
  <si>
    <t>Durro-Dûn (allgemein)</t>
  </si>
  <si>
    <t>Durro-Dûn (Fischotter)</t>
  </si>
  <si>
    <t>Durro-Dûn (Schneeeule)</t>
  </si>
  <si>
    <t>Durro-Dûn (Vielfraß)</t>
  </si>
  <si>
    <t>Meisterhandwerk (KO, Athletik, Körperbeherrschung, Raufen)</t>
  </si>
  <si>
    <t>Meisterhandwerk (MU, Klettern, Raufen, Schleichen)</t>
  </si>
  <si>
    <t>Meisterhandwerk (IN, Schleichen, Sich Verstecken, Sinnenschärfe)</t>
  </si>
  <si>
    <t>Meisterhandwerk (GE, Klettern, Raufen, Betören)</t>
  </si>
  <si>
    <t>Meisterhandwerk (drei Talente und eine Eigenschaft je nach Odûn, abhängig vom gewählten Tier)</t>
  </si>
  <si>
    <t>Meisterhandwerk (KK, Raufen, Ringen, Zechen)</t>
  </si>
  <si>
    <t>Meisterhandwerk (GE, Klettern, Sich verstecken, Schleichen)</t>
  </si>
  <si>
    <t>Meisterhandwerk (GE, Schwimmen, Fischen/Angeln, Körperbeherrschung)</t>
  </si>
  <si>
    <t>Meisterhandwerk (GS, Athletik, Klettern, Raufen)</t>
  </si>
  <si>
    <t>Meisterhandwerk (IN, Fährtensuche, Orientierung, Sinnesschärfe)</t>
  </si>
  <si>
    <t>Meisterhandwerk (IN, Orientierung, Klettern, Sinnesschärfe)</t>
  </si>
  <si>
    <t>Meisterhandwerk (KO, Raufen, Selbstbeherrschung, Sinnesschärfe)</t>
  </si>
  <si>
    <t>Meisterhandwerk (MU, Raufen, Klettern, Betören)</t>
  </si>
  <si>
    <t>Meisterhandwerk (GE, Athletik, Raufen, Schleichen)</t>
  </si>
  <si>
    <t>Meisterhandwerk (Musizieren, Orientierung, Selbstbeherrschung)</t>
  </si>
  <si>
    <t>Übernatürliche Begabung (Adlerauge Luchsenohr, Sensattacco Meisterstreich)</t>
  </si>
  <si>
    <t>Übernatürliche Begabung (Armatrutz, Levthans Pracht (entspr. Satuarias Herrlichkeit))</t>
  </si>
  <si>
    <t>Übernatürliche Begabung (drei Zauber aus Liste)</t>
  </si>
  <si>
    <t>Übernatürliche Begabung (fünf Zauber je nach Odûn (Tier), davon zu Spielbeginn nur drei verfügbar)</t>
  </si>
  <si>
    <t>Prinzipientreue 5 (Odûn-Verhalten, Gjalskerländer Religion)</t>
  </si>
  <si>
    <t>Prinzipientreue 12 (99 Gesetze Rastullahs)</t>
  </si>
  <si>
    <t>Speisegebote (Vegetarier)</t>
  </si>
  <si>
    <t>Verpflichtungen (Beni Dervez, Rastullahglauben, Kalifat)</t>
  </si>
  <si>
    <t>Speisegebote (nur tierische Nahrung)</t>
  </si>
  <si>
    <t>zu Beginn 3 von max. 5 Zaubern als Übernatürliche Begabung aus Liste aussuchen (Zauber die mit * markiert sind nicht zu Beginn)</t>
  </si>
  <si>
    <t>Scharlatan (allgemein)</t>
  </si>
  <si>
    <t>Feste Gewohnheit (nur aus Spaß zaubern)</t>
  </si>
  <si>
    <t>Alchimist unmagisch (allgemein)</t>
  </si>
  <si>
    <t>Alchimist magiebegabt (allgemein)</t>
  </si>
  <si>
    <t>Alchimist (Bund des Roten Salamanders, allgemein, unmagisch)</t>
  </si>
  <si>
    <t>Alchimist (Bund des Roten Salamanders, allgemein, magiebegabt)</t>
  </si>
  <si>
    <t>Alchimist (Bund des Roten Salamanders, Festum, unmagisch)</t>
  </si>
  <si>
    <t>Alchimist (Bund des Roten Salamanders, Festum, magiebegabt)</t>
  </si>
  <si>
    <t>Alchimist (Bund des Roten Salamanders, Fasar, unmagisch)</t>
  </si>
  <si>
    <t>Alchimist (Bund des Roten Salamanders, Fasar, magiebegabt)</t>
  </si>
  <si>
    <t>Alchimist (Bund des Roten Salamanders, Andergast, unmagisch)</t>
  </si>
  <si>
    <t>Alchimist (Bund des Roten Salamanders, Andergast, magiebegabt)</t>
  </si>
  <si>
    <t>Alchimist (Bund des Roten Salamanders, Brabak, unmagisch)</t>
  </si>
  <si>
    <t>Alchimist (Bund des Roten Salamanders, Brabak, magiebegabt)</t>
  </si>
  <si>
    <t>Alchimist Gilde der Alchimisten zu Mengbilla unmagisch</t>
  </si>
  <si>
    <t>Alchimist Gilde der Alchimisten zu Mengbilla magiebegabt</t>
  </si>
  <si>
    <t>Alchimist Alchimistische Fakultät der Universität von Al´Anfa unmagisch</t>
  </si>
  <si>
    <t>Alchimist Alchimistische Fakultät der Universität von Al´Anfa magiebegabt</t>
  </si>
  <si>
    <t>Alchimist Chamib al'Chimie der Drachenei-akademie zu Khunchom magiebegabt</t>
  </si>
  <si>
    <t>Alchimist Herzog-Eolan-Universität zu Methumis unmagisch (allgemein)</t>
  </si>
  <si>
    <t>Alchimist Herzog-Eolan-Universität zu Methumis magiebegabt (allgemein)</t>
  </si>
  <si>
    <t>Alchimist Herzog-Eolan-Universität zu Methumis unmagisch (Quadrivium Arithmetik)</t>
  </si>
  <si>
    <t>Alchimist Herzog-Eolan-Universität zu Methumis magiebegabt (Quadrivium Arithmetik)</t>
  </si>
  <si>
    <t>Alchimist Herzog-Eolan-Universität zu Methumis unmagisch (Quadrivium Geometrie)</t>
  </si>
  <si>
    <t>Alchimist Herzog-Eolan-Universität zu Methumis magiebegabt (Quadrivium Geometrie)</t>
  </si>
  <si>
    <t>Alchimist Herzog-Eolan-Universität zu Methumis unmagisch (Quadrivium Musiklehre)</t>
  </si>
  <si>
    <t>Alchimist Herzog-Eolan-Universität zu Methumis magiebegabt (Quadrivium Musiklehre)</t>
  </si>
  <si>
    <t>Alchimist Herzog-Eolan-Universität zu Methumis unmagisch (Quadrivium Astronomie)</t>
  </si>
  <si>
    <t>Alchimist Herzog-Eolan-Universität zu Methumis magiebegabt (Quadrivium Astronomie)</t>
  </si>
  <si>
    <t>Alchimist Spagyrischer Zweig der Halle des Lebens zu Norburg unmagisch</t>
  </si>
  <si>
    <t>Alchimist Spagyrischer Zweig der Halle des Lebens zu Norburg magiebegabt</t>
  </si>
  <si>
    <t>Alchimist Zinnober-Laboratorium der Halle des Quecksilbers zu Festum magiebegabt</t>
  </si>
  <si>
    <t>Gebildet 2</t>
  </si>
  <si>
    <t>Gebildet 1</t>
  </si>
  <si>
    <t>Verpflichtungen (gegenüber dem Bund)</t>
  </si>
  <si>
    <t>Prinzipientreue 6 (Schweigepflicht über Interna, Gehorsam gegenüber der Gilde, Verteidigung der absoluten Forschungsfreiheit)</t>
  </si>
  <si>
    <t>Prinzipientreue 8 (Vermeidung von Krieg und Förderung des Friedens, Schutz des Lebens, Hilfe für Kranke und Sieche)</t>
  </si>
  <si>
    <t>Vorurteile 6 (gegen echsische Wesen)</t>
  </si>
  <si>
    <t>Schlafstörungen I (Alpträume)</t>
  </si>
  <si>
    <t>Vertrautenbindung (nur Schlangen)</t>
  </si>
  <si>
    <t>Tänzer (unmagisch, allgemein)</t>
  </si>
  <si>
    <t>Gaukler-Tänzerin (unmagisch)</t>
  </si>
  <si>
    <t>Tulamidische Sharisad (unmagisch)</t>
  </si>
  <si>
    <t>Novadische Sharisad (unmagisch)</t>
  </si>
  <si>
    <t>Zahorische(r) Hazaqi (unmagisch)</t>
  </si>
  <si>
    <t>Aranischer Majuna (unmagisch)</t>
  </si>
  <si>
    <t>Tulamidische Sharisad (magisch, Zaubertänzer)</t>
  </si>
  <si>
    <t>Novadische Sharisad (magisch, Zaubertänzer)</t>
  </si>
  <si>
    <t>Zahorische(r) Hazaqi (magisch, Zaubertänzer)</t>
  </si>
  <si>
    <t>Prinzipientreue 6 (Rastullah-Glaube)</t>
  </si>
  <si>
    <t>Verpflichtungen (meist gegenüber aranischem Adelshaus)</t>
  </si>
  <si>
    <t>Fechtwaffen/Hiebwaffen/Säbel/Stäbe +2;</t>
  </si>
  <si>
    <t>L/S Muttersprache/Fremdsprache +8; L/S Fremdsprache +6; Muttersprache +2; Fremdsprache +6;</t>
  </si>
  <si>
    <t>L/S Muttersprache/Fremdsprache +10; L/S Fremdsprache +7; L/S Fremdsprache +4; Muttersprache +2; Fremdsprache +6; Fremdsprache +2;</t>
  </si>
  <si>
    <t>Je +4 auf 2 weitere Fremdsprachen;</t>
  </si>
  <si>
    <t xml:space="preserve">Fremdsprache +4; L/S Muttersprache +4; </t>
  </si>
  <si>
    <t>Wohlklang/Zweistimmiger Gesang;</t>
  </si>
  <si>
    <t>einmal Fremdsprache (Tulamidya/Rogolan/Isdira/Thorwalsch/Nujuka ('Nivesisch')/Oloarkh/Goblinisch) +3;</t>
  </si>
  <si>
    <t>Schnelle Heilung 2</t>
  </si>
  <si>
    <t>Zusätzliche Gliedmassen Schwanz</t>
  </si>
  <si>
    <t>Sinnenschärfe (Geruch)</t>
  </si>
  <si>
    <t>Resistenz gegen Giftart (Kategorie wählbar);</t>
  </si>
  <si>
    <t>Fechtwaffen/Säbel/Stäbe +2;</t>
  </si>
  <si>
    <t>Hofscharlatan</t>
  </si>
  <si>
    <t>Jahrmarktszauber</t>
  </si>
  <si>
    <t>Scharlatanischer Seher</t>
  </si>
  <si>
    <t>Magischer Quacksalber</t>
  </si>
  <si>
    <t>Theaterzauberer</t>
  </si>
  <si>
    <t>Trickbetrüger</t>
  </si>
  <si>
    <t>Ignorantia Ungesehn/Impersona Maskenbild +6;</t>
  </si>
  <si>
    <t xml:space="preserve">Ignorantia Ungesehn/Impersona Maskenbild +3 (der, der nicht Hauszauber ist); </t>
  </si>
  <si>
    <t>Invocatio Integra</t>
  </si>
  <si>
    <t>Tierischer Begleiter</t>
  </si>
  <si>
    <t>VERKETTEN WLOS I:</t>
  </si>
  <si>
    <t>VERKETTEN Magie I:</t>
  </si>
  <si>
    <t>VERKETTEN Nahkampf I:</t>
  </si>
  <si>
    <t>VERKETTEN Nahkampf II:</t>
  </si>
  <si>
    <t>VERKETTEN Nahkampf III:</t>
  </si>
  <si>
    <t>Verketten Fernkampf:</t>
  </si>
  <si>
    <t>Nah &amp; Fern-Kampf:</t>
  </si>
  <si>
    <t>Verketten Allgemeine:</t>
  </si>
  <si>
    <t>Allgemeine:</t>
  </si>
  <si>
    <t>Ritter</t>
  </si>
  <si>
    <t>Ritter alten Schlags</t>
  </si>
  <si>
    <t>Knappe des traditionellen Ritters</t>
  </si>
  <si>
    <t>Standard-Krieger</t>
  </si>
  <si>
    <t>Krieger aus Arivor</t>
  </si>
  <si>
    <t>Krieger aus Baburin</t>
  </si>
  <si>
    <t>Krieger aus Baliho</t>
  </si>
  <si>
    <t>Krieger aus Havena</t>
  </si>
  <si>
    <t>Krieger aus Punin</t>
  </si>
  <si>
    <t>Krieger aus Xorlosch</t>
  </si>
  <si>
    <t>Brillantzwergischer Schwertgeselle</t>
  </si>
  <si>
    <t>Khunchomer Säbelfechter</t>
  </si>
  <si>
    <t>Rashduler Säbelfechter</t>
  </si>
  <si>
    <t>Alamdanischer Caballero</t>
  </si>
  <si>
    <t>Einbildungen (zumindest leichter Verfolgungswahn gegenüber 'Drachengezücht')</t>
  </si>
  <si>
    <t>Vorurteile 6 (alle geschuppten Wesen)</t>
  </si>
  <si>
    <t>Kampf im wasser</t>
  </si>
  <si>
    <t>Kriegskunst (Kampf gegen Drachen); Magiekunde (Drachenmagie); Tierkunde (Drachen);</t>
  </si>
  <si>
    <t>Armbrust/Bogen +3; Fechtwaffen/Hiebwaffen/Säbel/Schwerter +4; Infanteriewaffen/Stäbe +5; Reiten/Schwimmen +2; Boote Fahren/Fahrzeug lenken +2;</t>
  </si>
  <si>
    <t>Übernatürliche Begabung (Analys Arcanstructur (nur für Trankanalyse), Odem Arcanum)</t>
  </si>
  <si>
    <t>Schulden 500 D</t>
  </si>
  <si>
    <t>Verpflichtungen (Sippe) / Schulden 1200 D;</t>
  </si>
  <si>
    <t>Riechen&amp;Schmecken</t>
  </si>
  <si>
    <t>Eingeschränkter Sinn (Hören)</t>
  </si>
  <si>
    <t>Eingeschränkter Sinn (Tasten)</t>
  </si>
  <si>
    <t>Wählbare Talent-Startwerte</t>
  </si>
  <si>
    <t>Muttersprache-Familie</t>
  </si>
  <si>
    <t>Prinzipientreue 5 (handelt nie gegen die Interessen des eigenen Landes / Auftraggebers)</t>
  </si>
  <si>
    <t>L/S Muttersprache:+5; alte Form der Muttersprache +4; verbreitete Fremdsprache +6;</t>
  </si>
  <si>
    <t>Nandusgefälliges Wissen/Meister der Improvisation/Aufmerksamkeit;</t>
  </si>
  <si>
    <t>Gaukelein/Taschendiebstahl +2; Falschsspiel/Schlösser knacken +1;</t>
  </si>
  <si>
    <t>Bergbau/Baukunst +2;</t>
  </si>
  <si>
    <t>Fechtwaffen/Stäbe +2; Handel/Hauswirtschaft +2;</t>
  </si>
  <si>
    <t xml:space="preserve">Fechtwaffen/Hiebwaffen/Säbel/Schwerter +2;
</t>
  </si>
  <si>
    <t>Fechtwaffen/Hiebwaffen/Säbel/Schwerter +2;</t>
  </si>
  <si>
    <t>Fechtwaffen/Hiebwaffen/Säbel/Schwerter +3;</t>
  </si>
  <si>
    <t>L/S Muttersprache +8; zwei verbreitete Fremdsprachen je +5;</t>
  </si>
  <si>
    <t>L/S Schrift des Hofes +6; Bosparano/Ur-Tulamidia +8; weitere Fremdsprache +6;</t>
  </si>
  <si>
    <t>L/S Schrift des Hofes +6; Bosparano/Ur-Tulamidia +6; eine weitere Fremdsprache +4;</t>
  </si>
  <si>
    <t>Bosparano/Ur-Tulamidia +8; Fremdsprache +7; L/S Schrift der Muttersprache +10; L/S Schrift nach Wahl +7;</t>
  </si>
  <si>
    <t>L/S am häufigsten benutzte Schrift +6; L/S passende andere Schrift +5; Muttersprache +2; zwei Fremdsprachen je +5;</t>
  </si>
  <si>
    <t>L/S am häufigsten benutzte Schrift +6; L/S passende andere Schrift +4; Muttersprache +2; Fremdsprache +5;</t>
  </si>
  <si>
    <t>L/S Muttersprache +5; Fremdsprache +5;</t>
  </si>
  <si>
    <t>L/S Muttersprache +6; Fremdsprache +5;</t>
  </si>
  <si>
    <t>L/S Schrift der Muttersprache +3; verbreitete Fremdsprache +4; zwei weitere Fremdsprachen je +3;</t>
  </si>
  <si>
    <t>L/S Schrift der Muttersprache +4; Fremdsprache +3;</t>
  </si>
  <si>
    <t>Betören (beliebiges Spezialgebiet)</t>
  </si>
  <si>
    <t>Überreden (Betteln); Gassenwissen (Ortseinschätzung);</t>
  </si>
  <si>
    <t>Armbrust/Bogen/Wurfmesser +1; Ackerbau/Hauswirtschaft +1;</t>
  </si>
  <si>
    <t xml:space="preserve">Armbrust/Bogen/Wurfmesser +1; Ackerbau/Hauswirtschaft +1; </t>
  </si>
  <si>
    <t xml:space="preserve">Fechtwaffen/Schwerter +1; Armbrust/Bogen/Wurfmesser +1; Ackerbau/Hauswirtschaft +1; </t>
  </si>
  <si>
    <t xml:space="preserve">Armbrust/Bogen/Wurfmesser +1; Ackerbau/Hauswirtschaft +1; Boote Fahren/Fischen/Angeln/Kochen +1; </t>
  </si>
  <si>
    <t xml:space="preserve">Infanteriewaffen/Zweihand-Hiebwaffen +1; Je einmal +2 und +1 auf Abrichten/Brauer/Fleischer/Gerber/Kürschner/Grobschmied/Kochen/Seiler/Stoffe Färben/Töpfern/Viehzucht/Webkunst/Winzer/Zimmermann; </t>
  </si>
  <si>
    <t xml:space="preserve">Je einmal +2 und +1 auf Abrichten/Brauer/Fleischer/Gerber/Kürschner/Grobschmied/Kochen/Seiler/Stoffe Färben/Töpfern/Viehzucht/Webkunst/Winzer/Zimmermann; </t>
  </si>
  <si>
    <t xml:space="preserve">Abrichten/Brauer/Fleischer/Gerber/Kürschner/Grobschmied/Kochen/Seiler/Stoffe Färben/Töpfern/Viehzucht/Webkunst/Winzer/Zimmermann +1; </t>
  </si>
  <si>
    <t xml:space="preserve">Armbrust/Bogen +1; Abrichten/Brauer/Fleischer/Gerber/Kürschner/Grobschmied/Kochen/Seiler/Stoffe Färben/Töpfern/Viehzucht/Webkunst/Winzer/Zimmermann +1; </t>
  </si>
  <si>
    <t xml:space="preserve">Schwerter/Hiebwaffen +1; Abrichten/Brauer/Fleischer/Gerber/Kürschner/Grobschmied/Kochen/Seiler/Stoffe Färben/Töpfern/Viehzucht/Webkunst/Winzer/Zimmermann +1; </t>
  </si>
  <si>
    <t xml:space="preserve">Seefahrt/Boote Fahren +2; Abrichten/Brauer/Fleischer/Gerber/Kürschner/Grobschmied/Kochen/Seiler/Stoffe Färben/Töpfern/Viehzucht/Webkunst/Winzer/Zimmermann +1; </t>
  </si>
  <si>
    <t xml:space="preserve">Abrichten/Brauer/Fleischer/Gerber/Kürschner/Grobschmied/Kochen/Seiler/Stoffe Färben/Töpfern/Viehzucht/Webkunst/Winzer/Zimmermann +2; </t>
  </si>
  <si>
    <t xml:space="preserve">Schwerter/Hiebwaffen +1; </t>
  </si>
  <si>
    <t xml:space="preserve">Ackerbau/Hauswirtschaft/Winzer +1; </t>
  </si>
  <si>
    <t xml:space="preserve">Fechtwaffen/Schwerter +1; Ackerbau/Hauswirtschaft/Winzer +1; </t>
  </si>
  <si>
    <t xml:space="preserve">Ackerbau/Hauswirtschaft +1; </t>
  </si>
  <si>
    <t xml:space="preserve">Fechtwaffen/Schwerter +1; Ackerbau/Hauswirtschaft +1; </t>
  </si>
  <si>
    <t xml:space="preserve">Armbrust/Bogen +1; Ackerbau/Hauswirtschaft/Viehzucht +1; </t>
  </si>
  <si>
    <t xml:space="preserve">Bogen/Wurfspeere +4; Säbel/Schwerter +2; </t>
  </si>
  <si>
    <t xml:space="preserve">Magiekunde/Philosophie +1; Abrichten/Musizieren/Webkunst +1; Ackerbau/Viehzucht +1; </t>
  </si>
  <si>
    <t xml:space="preserve">Magiekunde/Philosophie +1; Abrichten/Musizieren/Webkunst +1; </t>
  </si>
  <si>
    <t xml:space="preserve">Reiten/Fahrzeug Lenken +1; Magiekunde/Philosophie +1; Abrichten/Musizieren/Webkunst +1; Ackerbau/Viehzucht +1; </t>
  </si>
  <si>
    <t xml:space="preserve">Reiten/Fahrzeug Lenken +1; Magiekunde/Philosophie +1; Abrichten/Musizieren/Webkunst +1; </t>
  </si>
  <si>
    <t xml:space="preserve">Taschendiebstahl/Gaukeleien +1; </t>
  </si>
  <si>
    <t xml:space="preserve">Taschendiebstahl/Gaukeleien +1; Boote Fahren/Seefahrt +1; </t>
  </si>
  <si>
    <t xml:space="preserve">Bogen/Schleuder/Wurfbeile/Wurfspeere +1; Abrichten/Fleischer/Gerber/Kürschner/Heilkunde Gift +2; </t>
  </si>
  <si>
    <t xml:space="preserve">Arroganz/Rachsucht 5; </t>
  </si>
  <si>
    <t xml:space="preserve">Akrobatik/Gaukeleien/Taschendiebstahl +2; </t>
  </si>
  <si>
    <t xml:space="preserve">Fleischer/Gerber/Kürschner/Grobschmied/Stoffe Färben/Viehzucht +2; </t>
  </si>
  <si>
    <t xml:space="preserve">Blasrohr/Bogen/Wurfspeere +2; </t>
  </si>
  <si>
    <t xml:space="preserve">Ackerbau/Steinschneider/Juwelier +2; </t>
  </si>
  <si>
    <t xml:space="preserve">Blasrohr/Bogen/Wurfspeere +3; </t>
  </si>
  <si>
    <t xml:space="preserve">Hiebwaffen/Säbel/Schwerter +1; Infanteriewaffen/Speere +1; Malen/Zeichnen/Musizieren +2; </t>
  </si>
  <si>
    <t xml:space="preserve">Armbrust/Bogen +1; </t>
  </si>
  <si>
    <t xml:space="preserve">Armbrust/Bogen +1; Ackerbau/Fallenstellen +1; </t>
  </si>
  <si>
    <t xml:space="preserve">Armbrust/Bogen +1; Heilkunde Seele/Philosophie +1; </t>
  </si>
  <si>
    <t xml:space="preserve">Hiebwaffen/Säbel +1; </t>
  </si>
  <si>
    <t xml:space="preserve">Bogen/Wurfspeere +2; Bogenbau/Gerber/Kürschner/Feuersteinbearbeitung/Fleischer +2; </t>
  </si>
  <si>
    <t xml:space="preserve">Armbrust/Bogen/Wurfbeile +1; Speere/Stäbe +1; </t>
  </si>
  <si>
    <t xml:space="preserve">Je einmal +3 und +1 auf Speere/Zweihand-Hiebwaffen; </t>
  </si>
  <si>
    <t xml:space="preserve">Bogenbau/Boote Fahren +2L; </t>
  </si>
  <si>
    <t xml:space="preserve">Speere/Wurfspeere +2; </t>
  </si>
  <si>
    <t xml:space="preserve">Hüttenkunde/Rechtskunde/Tierkunde +2; Grobschmied/Kristallzüchter/Steinmetz +3; </t>
  </si>
  <si>
    <t xml:space="preserve">Ackerbau/Viehzucht +1; Brauer/Grobschmied +1; Boote Fahren/Fahrzeug Lenken +1; </t>
  </si>
  <si>
    <t xml:space="preserve">Schwerter/Speere +1; Glaskunst/Kristallzüchter/Steinschneider/Juwelier +3; </t>
  </si>
  <si>
    <t xml:space="preserve">Schleuder/Wurfbeile +1; Speere/Zweihand-Hiebwaffen +1; Lederarbeiten/Schneidern +1; Je einmal +3 und +2 auf Ackerbau/Baukunst/Fleischer/Gerber/Kürschner/Grobschmied/Hauswirtschaft/Kristallzüchter/Mechanik/Steinmetz/Töpfern/Zimmermann; </t>
  </si>
  <si>
    <t xml:space="preserve">Je einmal +2 und +1 auf Hiebwaffen/Säbel; </t>
  </si>
  <si>
    <t xml:space="preserve">Je einmal +2 und +1 auf Hiebwaffen/Säbel; Hiebwaffen/Säbel +1; </t>
  </si>
  <si>
    <t xml:space="preserve">Hiebwaffen/Säbel/Speere +2; </t>
  </si>
  <si>
    <t xml:space="preserve">Hiebwaffen/Säbel +2; Ackerbau/Viehzucht/Bergbau +2; </t>
  </si>
  <si>
    <t xml:space="preserve">Hiebwaffen/Säbel +2; Ackerbau/Viehzucht/Bergbau +2; Hiebwaffen/Säbel +1; </t>
  </si>
  <si>
    <t xml:space="preserve">Hiebwaffen/Speere +1; Bogen/Schleuder/Wurfspeere +1; </t>
  </si>
  <si>
    <t xml:space="preserve">Hiebwaffen/Speere +1; </t>
  </si>
  <si>
    <t xml:space="preserve">Hiebwaffen/Zweihand-Hiebwaffen/Speere +3; Blasrohr/Wurfspeere/Schleuder +2; </t>
  </si>
  <si>
    <t xml:space="preserve">Blasrohr/Wurfspeere +2; Hiebwaffen/Zweihand-Hiebwaffen +2; </t>
  </si>
  <si>
    <t xml:space="preserve">Hiebwaffen/Zweihand-Hiebwaffen +2; </t>
  </si>
  <si>
    <t xml:space="preserve">Dschungelkundig/Sumpfkundig; </t>
  </si>
  <si>
    <t xml:space="preserve">einmal zusätzlich Fremdsprache (Tulamidya/Garethi) +2; </t>
  </si>
  <si>
    <t xml:space="preserve">einmal zusätzlich Fremdsprache (Ologhaijan ('Hochorkisch')/Oloarkh) +2; </t>
  </si>
  <si>
    <t xml:space="preserve">Gebirgskundig/Eiskundig; </t>
  </si>
  <si>
    <t>Gebirgskundig/Eiskundig;</t>
  </si>
  <si>
    <t>Kulturkunde (Bornland); Kulturkunde (Nivesen); Steppenkundig/Waldkundig;</t>
  </si>
  <si>
    <t>Gebirgskundig/Waldkundig;</t>
  </si>
  <si>
    <t>Meereskundig/Waldkundig;</t>
  </si>
  <si>
    <t>Magier der Sulman Al-Nassori</t>
  </si>
  <si>
    <t>Verpflichtungen (gegenüber Akademie, gegenüber Akademieleiter persönlich, gegenüber der Stadt Lowangen)</t>
  </si>
  <si>
    <t>Verpflichtungen (gegenüber Akademie, gegenüber der Stadt Lowangen)</t>
  </si>
  <si>
    <t>Verpflichtungen (gegenüber der Akademie, gegenüber dem Herzog von Methumis)</t>
  </si>
  <si>
    <t>Verpflichtungen (Akademie, Schiff Sulman Al-Nassori)</t>
  </si>
  <si>
    <t xml:space="preserve">Baukunst/Brauer/Drucker/Feinmechanik/Fleischer/Glaskunst/Handel/Hauswirtschaft/Instrumentenbauer/Maurer/Seiler/Steinschneider/Juwelier/Stellmacher/Webkunst/Zimmermann +5; </t>
  </si>
  <si>
    <t xml:space="preserve">Ackerbau/Viehzucht +2; </t>
  </si>
  <si>
    <t xml:space="preserve">einmal zusätzlich beliebige Fremdsprache +4; </t>
  </si>
  <si>
    <t xml:space="preserve">Form/Eign; </t>
  </si>
  <si>
    <t xml:space="preserve">einmal Elem (Eis)/Elem (Erz)/Elem (Feuer)/Elem (Humus)/Elem (Luft)/Elem (Wasser); </t>
  </si>
  <si>
    <t xml:space="preserve">einmal Tele/Umwt/Elem; </t>
  </si>
  <si>
    <t>Nihilgravo Schwerelos/Objecto Obscuro +3;</t>
  </si>
  <si>
    <t>Brenne toter Stoff !/Caldofrigo heiss und kalt/Desintegratus Pulverstaub/Gardianum Zauberschild/Hartes schmelze!/Ignisphaero Feuerball/Nihilgravo Schwerelos/Objecto Obscuro/Pentagramma Sphärenbann/Veränderung aufheben +4;</t>
  </si>
  <si>
    <t>Eigenschaften wiederherst./Einfluss bannen +2;</t>
  </si>
  <si>
    <t xml:space="preserve">Fulminictus Donnerkeil/Objekt entzaubern +3; Gardianum Zauberschild/Pentagramma Sphärenbann +3; </t>
  </si>
  <si>
    <t xml:space="preserve">Analys Arcanstructur/Gardianum Zauberschild +3; </t>
  </si>
  <si>
    <t xml:space="preserve">Analys Arcanstructur/Schleier der Unwissenheit +3; Caldofrigo heiss und kalt/Objecto Obscuro +4; </t>
  </si>
  <si>
    <t>Voraussetzungen: zwölfgöttergläubig, strenge Auswahlkriterien: kein Stubenhocker, Weltfremd, unansehnliches oder widerwärtiges Äußeres</t>
  </si>
  <si>
    <t>Voraussetzungen: zwölfgöttergläubig</t>
  </si>
  <si>
    <t>Voraussetzungen: Übliche Kultur: Horasreich, Nicht-Horasier nur in Ausnahmefällen nach Gesinnungsprüfung</t>
  </si>
  <si>
    <t>Voraussetzungen: nur rastullahgläubige Männer</t>
  </si>
  <si>
    <t>Thinskari (Thorwaler Soldaten)</t>
  </si>
  <si>
    <t>Schlachtreiter (Söldner)</t>
  </si>
  <si>
    <t>Sklaven-Aufseher (Söldner)</t>
  </si>
  <si>
    <t>Brobim-Stammeskrieger</t>
  </si>
  <si>
    <t>Aufmerksamkeit/Reiterkampf</t>
  </si>
  <si>
    <t>Eiskundig/Gebirgskundig/Steppenkundig/Sumpfkundig</t>
  </si>
  <si>
    <t>Eiskundig/Gebirgskundig</t>
  </si>
  <si>
    <t>Voraussetzungen: Kultur: Almada, Adlig</t>
  </si>
  <si>
    <t>Voraussetzungen: Kultur: Maraskan</t>
  </si>
  <si>
    <t>Voraussetzungen: Kultur: Darna/Djungelstämme/Miniwatu/Tocamuyac/Verlorene Stämme oder Waldinsel-Utulus</t>
  </si>
  <si>
    <t>Voraussetzungen: Kultur: Fjarninger</t>
  </si>
  <si>
    <t>Voraussetzungen: Kultur: Gjalskerländer</t>
  </si>
  <si>
    <t>Voraussetzungen: Kultur: Ferkina, fast ausschließlich Männer</t>
  </si>
  <si>
    <t>Voraussetzungen: Kultur: Trollzacker</t>
  </si>
  <si>
    <t>Voraussetzungen: Kultur: Novadi, nur Männer</t>
  </si>
  <si>
    <t>Voraussetzungen: Kultur: Novadi, nur Frauen</t>
  </si>
  <si>
    <t>Voraussetzungen: Kultur: Goblinstamm, nur Männer; Initiative INI +1</t>
  </si>
  <si>
    <t>Voraussetzungen: Kultur: Orkland oder Svellttal-Okkupanten, nur Männer</t>
  </si>
  <si>
    <t>Voraussetzungen: Kultur: Stammes-Achat oder Archaische Achaz</t>
  </si>
  <si>
    <t>Voraussetzungen: Kultur: Wilde Zwerge</t>
  </si>
  <si>
    <t>Söldner allgemein</t>
  </si>
  <si>
    <t>Schwertgeselle allgemein</t>
  </si>
  <si>
    <t>Akademie der Hohen Magie &amp; Arcanes Institut zu Punin  I (Metamagie, Beschwörungen, Herbeirufungen)</t>
  </si>
  <si>
    <t>Akademie der Hohen Magie &amp; Arcanes Institut zu Punin II (Metamagie, magische Hellsicht, Kraftlinien)</t>
  </si>
  <si>
    <t>Pentagramm-Akademie zu Rashdul (Zweig Dämonologie)</t>
  </si>
  <si>
    <t>Pentagramm-Akademie zu Rashdul (Zweig Elementar)</t>
  </si>
  <si>
    <t>Stoerrebrandt-Kolleg zu Riva (Magischer Berater)</t>
  </si>
  <si>
    <t>Prinzipientreue 10 (Vermeidung von Krieg und Förderung des Friedens, Schutz des Lebens, Hilfe für Kranke)</t>
  </si>
  <si>
    <t>Verpflichtungen (gegenüber der Akademie und dem Reich, gegenüber der Gilde, gegenüber dem Orden der Noioniten)</t>
  </si>
  <si>
    <t>Verpflichtungen (Shîkanydad bzw. Benisabayad)</t>
  </si>
  <si>
    <t>Prinzipientreue 8 (unbedingte Verteidigung der Lehrfreiheit und Unabhängigkeit der Magiergilden, absolute Neutralität in staatlichen Angelegenheiten, Schutz der wegen ihrer Meinung Verfolgten)</t>
  </si>
  <si>
    <t>Verpflichtungen (gegenüber der Akademie oder (aktuell) gegenüber dem Shikanydad)</t>
  </si>
  <si>
    <t>Prinzipientreue 10 (Wahrheitsliebe, strenge Befolgung des Codex Albyricus, Verteidigung Ysilia)</t>
  </si>
  <si>
    <t>Verpflichtungen (gegenüber der Akademie, gegenüber der Grauen Gilde)</t>
  </si>
  <si>
    <t>Verpflichtungen (gegenüber Hasrabal ben Yakuban, gegenüber der Akademie)</t>
  </si>
  <si>
    <t>Verpflichtungen (gegenüber Stoerrebrandt-Imperium, gegenüber Akademie)</t>
  </si>
  <si>
    <t>Prinzipientreue 10 (Schutz des Mittelreichs, Verteidigung des Zwölfgötterglaubens, Wahrheitsliebe)</t>
  </si>
  <si>
    <t>Verpflichtungen (gegenüber der Akademie, gegenüber dem HerzogtumTobrien)</t>
  </si>
  <si>
    <t>Verpflichtungen (gegenüber der Akademie)</t>
  </si>
  <si>
    <t>Verpflichtungen (gegenüber der Akademie, gegenüber der Weißen Gilde oder einem örtlichen Machthaber)</t>
  </si>
  <si>
    <t>Prinzipientreue 8 (Bekämpfung aller Krankheiten und Seuchen, Bekämpfung aller Beherrschungen, Schutz von Leben)</t>
  </si>
  <si>
    <t>Verpflichtungen (gegenüber der Akademie, gegenüber der Gilde)</t>
  </si>
  <si>
    <t>Corpofesso Gliederschmerz/Corpofrigo Kälteschock/Eisenrost und Patina/Fulminictus Donnerkeil/Ignifaxius Flammenstrahl +2</t>
  </si>
  <si>
    <t>Stein wandle!/Totes handle! +2</t>
  </si>
  <si>
    <t>Voraussetzungen: kein Jähzorn;</t>
  </si>
  <si>
    <t>Bei Sprüchen mit den Merkmalen Besw, Dämo Aktivierung und Steigerung um eine Spalte teurer. Betrifft den Invocatio maior, Invocatio minor, Stein wandle!, Pandaemonium. Der Staub wandle! wird nur von Hasrabal ben Yakuban persönlich (bei Auswärtigen gegen einen persönlichen Dienst) gelehrt. Abgänger der Akademie erhalen ein bereits verzaubertes Bannschwert mit kurzer Klinge, die aufgewendeten 2 pAsP gelten als bereits zurückgekauft.</t>
  </si>
  <si>
    <t>Verpflichtungen (gegenüber Rafim Bay, gegenüber der eigenen Familie)</t>
  </si>
  <si>
    <t>Prinzipientreue 6 (verantwortungsbewusstes Handeln, Verständigung zwischen den Völkern und Rassen fördern, Natur&amp;Leben schützen)</t>
  </si>
  <si>
    <t>Vorurteile 5 (gegen Horasier)</t>
  </si>
  <si>
    <t>Vorurteile 5 (gegen Elfen)</t>
  </si>
  <si>
    <t>Kulturkunde (anders Elfenvolk nach Wahl)</t>
  </si>
  <si>
    <t>Verbindungen 25</t>
  </si>
  <si>
    <t>Verbindungen 25 (Bes. Hehler und Informanten)</t>
  </si>
  <si>
    <t>Verbindungen 9 (meist Großhändler)</t>
  </si>
  <si>
    <t>Verbindungen 20 (max. 3 Personen)</t>
  </si>
  <si>
    <t>Verbindungen 18</t>
  </si>
  <si>
    <t>Auswahl</t>
  </si>
  <si>
    <t>Fehlermeldung</t>
  </si>
  <si>
    <t>Gebraucht</t>
  </si>
  <si>
    <t>Max:</t>
  </si>
  <si>
    <t>Zauber-Verrechnungspunkte</t>
  </si>
  <si>
    <t xml:space="preserve">Attributo/Psychostabilis +2; Beherrschung Brechen/Einfluss bannen/Veränderung aufheben +2; Caldofrigo heiss und kalt/Kraft des Erzes +2; </t>
  </si>
  <si>
    <t xml:space="preserve">Balsam Salabunde/Ruhe Körper - ruhe Geist +2; Blick aufs Wesen/Sensibar Empathicus +2; </t>
  </si>
  <si>
    <t>Startwerte Haus &amp; Startzauber von Generierungsseite</t>
  </si>
  <si>
    <t>Anzeige in Auswahlliste:</t>
  </si>
  <si>
    <t>Elfischer Leitzauber?</t>
  </si>
  <si>
    <t>Elfische Leitzauber:</t>
  </si>
  <si>
    <t>Elf5</t>
  </si>
  <si>
    <t>L neu</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</si>
  <si>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Exposami Lebenskraft* (B), Falkenauge Meisterschuss* (B), Flim Flam Funkel** (A), Fulminictus Donnerkeil** (C), Gedankenbilder Elfenruf** (B), Haselbusch und Ginsterkraut* (D), Hellsicht trüben (C), Hilfreiche Tatze-rettende Schwinge (D), Klarum Purum (D), Krötensprung (B), Leib der Erde (D), Motoricus (C), Movimento Dauerlauf** (A), Nebelwand und Morgendunst* (C), Objectovoco (C), Odem Arcanum* (A), Penetrizzel Tiefenblick (C), Pestilenz erspüren (C), Pfeil der Luft* (C), Pfeil des Humus (C), Plumbumbarum schwerer Arm (B), Respondami Wahrheitszwang (B), Ruhe Körper - ruhe Geist* (B), Sanftmut (B), Seidenzunge Elfenwort (B), Sensibar Empathicus** (C), Silentium Silentille** (B), Solidirid Weg aus Licht (D), Somnigravis tiefer Schlaf* (B), Spurlos Trittlos* (C), Tiergedanken* (C), Unitatio Geistesbund** (B), Verständigung stören* (C), Visibili Vanitar* (C), Wasseratem* (C), Weisse Mähn' und gold'ner Huf (D), Wellenlauf (D), Windstille* (C), Zaubernahrung Hungerbann (C)</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</si>
  <si>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Exposami Lebenskraft* (B), Falkenauge Meisterschuss* (B), Flim Flam Funkel** (A), Fulminictus Donnerkeil** (C), Gedankenbilder Elfenruf** (B), Haselbusch und Ginsterkraut* (D), Hellsicht trüben (C), Hilfreiche Tatze-rettende Schwinge (D), Klarum Purum (D), Krötensprung (B), Motoricus (C), Movimento Dauerlauf* (A), Nebelwand und Morgendunst* (C), Objectovoco (C), Odem Arcanum** (A), Penetrizzel Tiefenblick (C), Pestilenz erspüren (C), Pfeil der Luft* (C), Pfeil des Humus (C), Plumbumbarum schwerer Arm (B), Respondami Wahrheitszwang (B), Ruhe Körper - ruhe Geist* (B), Sanftmut (B), Sensibar Empathicus** (C), Silentium Silentille* (B), Solidirid Weg aus Licht (D), Somnigravis tiefer Schlaf* (B), Spurlos Trittlos* (C), Tiergedanken* (C), Traumgestalt (D), Unitatio Geistesbund** (B), Verständigung stören* (C), Visibili Vanitar** (C), Wasseratem* (C), Wellenlauf (D), Windstille* (C)</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</si>
  <si>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Eiseskälte Kämpferherz (C), Exposami Lebenskraft* (B), Falkenauge Meisterschuss* (B), Firnlauf (D), Flim Flam Funkel** (A), Fulminictus Donnerkeil** (C), Gedankenbilder Elfenruf** (B), Haselbusch und Ginsterkraut* (D), Hellsicht trüben (C), Hilfreiche Tatze-rettende Schwinge (D), Klarum Purum (D), Krötensprung (B), Leib des Eises (E), Leib des Windes (E), Metamorpho Gletscherform (C), Motoricus (C), Movimento Dauerlauf* (A), Nebelwand und Morgendunst* (C), Objectovoco (C), Odem Arcanum** (A), Penetrizzel Tiefenblick (C), Pestilenz erspüren (C), Pfeil der Luft* (C), Pfeil des Eises (C), Pfeil des Humus (C), Plumbumbarum schwerer Arm (B), Respondami Wahrheitszwang (B), Ruhe Körper - ruhe Geist* (B), Sanftmut (B), Sensibar Empathicus** (C), Silentium Silentille* (B), Solidirid Weg aus Licht (D), Somnigravis tiefer Schlaf* (B), Spurlos Trittlos* (C), Tiergedanken* (C), Traumgestalt (D), Unitatio Geistesbund** (B), Verständigung stören* (C), Visibili Vanitar** (C), Wasseratem* (C), Wellenlauf (D), Windstille* (C), Zaubernahrung Hungerbann (C)</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</si>
  <si>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Exposami Lebenskraft* (B), Falkenauge Meisterschuss* (B), Flim Flam Funkel** (A), Fulminictus Donnerkeil** (C), Gedankenbilder Elfenruf** (B), Haselbusch und Ginsterkraut* (D), Hellsicht trüben (C), Herr über das Tierreich (D), Hilfreiche Tatze-rettende Schwinge (D), Katzenaugen (C), Klarum Purum (D), Krötensprung (B), Leib der Erde (D), Memorabia Falsifir (E), Motoricus (C), Movimento Dauerlauf* (A), Nebelwand und Morgendunst* (C), Objectovoco (C), Odem Arcanum** (A), Penetrizzel Tiefenblick (C), Pestilenz erspüren (C), Pfeil der Luft* (C), Pfeil des Humus (C), Plumbumbarum schwerer Arm (B), Respondami Wahrheitszwang (B), Ruhe Körper - ruhe Geist* (B), Sanftmut (B), Seidenzunge Elfenwort (B), Sensibar Empathicus** (C), Silentium Silentille* (B), Solidirid Weg aus Licht (D), Somnigravis tiefer Schlaf* (B), Spurlos Trittlos* (C), Tiergedanken* (C), Traumgestalt (D), Unitatio Geistesbund** (B), Verständigung stören* (C), Visibili Vanitar** (C), Wasseratem* (C), Weisse Mähn' und gold'ner Huf (D), Wellenlauf (D), Windstille* (C), Wipfellauf (D)</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</si>
  <si>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Exposami Lebenskraft* (B), Falkenauge Meisterschuss** (B), Flim Flam Funkel* (A), Fulminictus Donnerkeil** (C), Gedankenbilder Elfenruf** (B), Haselbusch und Ginsterkraut* (D), Hellsicht trüben (C), Herr über das Tierreich (D), Hilfreiche Tatze-rettende Schwinge (D), Katzenaugen (C), Krötensprung (B), Leib der Erde (D), Leib des Windes (E), Motoricus (C), Movimento Dauerlauf** (A), Nebelwand und Morgendunst** (C), Objectovoco (C), Odem Arcanum* (A), Penetrizzel Tiefenblick (C), Pestilenz erspüren (C), Pfeil der Luft* (C), Pfeil des Humus (C), Plumbumbarum schwerer Arm (B), Respondami Wahrheitszwang (B), Ruhe Körper - ruhe Geist* (B), Sanftmut (B), Seidenzunge Elfenwort (B), Sensibar Empathicus* (C), Silentium Silentille* (B), Solidirid Weg aus Licht (D), Somnigravis tiefer Schlaf* (B), Spurlos Trittlos** (C), Tiergedanken** (C), Traumgestalt (D), Unitatio Geistesbund** (B), Verständigung stören* (C), Visibili Vanitar* (C), Wasseratem* (C), Weisse Mähn' und gold'ner Huf** (D), Wellenlauf (D), Windstille* (C), Zaubernahrung Hungerbann (C)</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</si>
  <si>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Eiseskälte Kämpferherz (C), Exposami Lebenskraft** (B), Falkenauge Meisterschuss* (B), Firnlauf** (D), Flim Flam Funkel** (A), Fulminictus Donnerkeil** (C), Gedankenbilder Elfenruf** (B), Haselbusch und Ginsterkraut* (D), Hellsicht trüben (C), Hilfreiche Tatze-rettende Schwinge (D), Klarum Purum (D), Leib des Eises (E), Leib des Windes (E), Metamorpho Gletscherform** (C), Motoricus (C), Movimento Dauerlauf** (A), Nebelwand und Morgendunst* (C), Objectovoco (C), Odem Arcanum* (A), Penetrizzel Tiefenblick (C), Pestilenz erspüren (C), Pfeil der Luft* (C), Pfeil des Eises (C), Pfeil des Humus (C), Plumbumbarum schwerer Arm (B), Respondami Wahrheitszwang (B), Ruhe Körper - ruhe Geist** (B), Sanftmut (B), Sensibar Empathicus* (C), Silentium Silentille* (B), Solidirid Weg aus Licht** (D), Somnigravis tiefer Schlaf* (B), Spurlos Trittlos** (C), Tiergedanken* (C), Traumgestalt (D), Unitatio Geistesbund** (B), Verständigung stören* (C), Visibili Vanitar* (C), Wasseratem* (C), Windstille* (C), Zaubernahrung Hungerbann (C)</t>
  </si>
  <si>
    <t>Leitzauber bei Elfen</t>
  </si>
  <si>
    <t>2* Meisterhandwerk aus Liste: Bogenbau, Feuersteinbearbeitung, Gerber/Kürschner, Gesteinskunde, Glaskunst, Holzbearbeitung, Instrumentenbauer, Kochen, Lederbearbeiten, Schneidern, Seiler, Steinmetz,  Steinschneider/Juwelier, Stoffe färben, Töpfern, Webkunst, oder andere passende Handwerks- oder Wissenstalente;</t>
  </si>
  <si>
    <t xml:space="preserve">Gaukeleien/Stimmen Immitieren +2; </t>
  </si>
  <si>
    <t>Wandernder Bewahrer</t>
  </si>
  <si>
    <t>Wandernder Former</t>
  </si>
  <si>
    <t>Wandernder auelf. Kämpfer</t>
  </si>
  <si>
    <t>Wandernder waldelf. Kämpfer</t>
  </si>
  <si>
    <t>Wandernder firnelf. Kämpfer</t>
  </si>
  <si>
    <t>Wandernder steppenelf. Kämpfer</t>
  </si>
  <si>
    <t>Wandernder Legendensänger</t>
  </si>
  <si>
    <t>Wandernder Auenläufer</t>
  </si>
  <si>
    <t>Wandernder Steppenreiter</t>
  </si>
  <si>
    <t>Wandernder Wipfelläufer</t>
  </si>
  <si>
    <t>Wandernder Schneeläufer</t>
  </si>
  <si>
    <t>Wandernder Zauberweber</t>
  </si>
  <si>
    <t>Elf-Leitzauber</t>
  </si>
  <si>
    <t>Gegebene SF Karmal</t>
  </si>
  <si>
    <t>Ausweichen I, Ausweichen II, Ausweichen III, Elfenlieder, Gefäß der Sterne, Große Meditation (Erlernen und Einsatz), Meisterliche Regeneration, Regeneration I, Regeneration II, Salasandra, Simultanzaubern, Tierischer Begleiter, Zauberkontrolle, Zauber unterbrechen, Zauber vereinigen, Geländekunde (Hauptgelände der Sippe), Kulturkunde (eigene), Ortskenntnis (Gebiet der eigenen Sippe).</t>
  </si>
  <si>
    <t>einmal Elem (Eis)/Elem (Erz)/Elem (Feuer)/Elem (Humus)/Elem (Luft)/Elem (Wasser);</t>
  </si>
  <si>
    <t>Eiskundig/Gebirgskundig/Höhlenkundig;</t>
  </si>
  <si>
    <t>7L</t>
  </si>
  <si>
    <t xml:space="preserve">Fremdsprache +6L; L/S Schrift der Fremdsprache +3; </t>
  </si>
  <si>
    <t xml:space="preserve">Fremdsprache +6; Fremdsprache +6L; L/S Schrift der Fremdsprache +3; </t>
  </si>
  <si>
    <t xml:space="preserve">Fremdsprache +4; Fremdsprache +6L; L/S Schrift der Fremdsprache +3; </t>
  </si>
  <si>
    <t>Echsensumpf- &amp; Regenwald-Achaz</t>
  </si>
  <si>
    <t>Insgesamt 25 TaP (jeweils +3 bis +7 pro einzelnem Talent) auf maximal 6 der folgenden Talente: Bogenbau, Feuersteinbearbeitung, Gerber/Kürschner, Gesteinskunde, Glaskunst, Holzbearbeitung, Instrumentenbauer, Kochen, Lederbearbeiten, Schneidern, Seiler, Steinmetz,  Steinschneider/Juwelier, Stoffe färben, Töpfern, Webkunst, oder andere passende Handwerks- oder Wissenstalente;  Vier der gewählten Talente können zu Leittalenten gewählt werden; zu diesen Vieren gehören auf jeden Fall die beiden magischen Meisterhandwerke;</t>
  </si>
  <si>
    <t xml:space="preserve">Bogen/Wurfspeere +3L; </t>
  </si>
  <si>
    <t xml:space="preserve">Bogen/Wurfspeere +4L; Hiebwaffen/Säbel/Speere +3; Feuersteinbearbeitung/Gerber/Kürschner +3; zwei der Handwerkstalente nach Wahl als L -Talent; </t>
  </si>
  <si>
    <t>mit 2.Prof Start-AP kaufen</t>
  </si>
  <si>
    <t>mit 2.Prof. Start-AP kaufen</t>
  </si>
  <si>
    <t>2.Prof-AP-links</t>
  </si>
  <si>
    <t>2.Prof-AP rechts</t>
  </si>
  <si>
    <t>Grenze Start-AP-Wert</t>
  </si>
  <si>
    <t>2-Professions-Start-AP</t>
  </si>
  <si>
    <t>Zusätzliche Start-AP aus 2. Profession:</t>
  </si>
  <si>
    <t>Total Steigerung mit Start-AP</t>
  </si>
  <si>
    <t>Start-AP 2.Prof</t>
  </si>
  <si>
    <t>Grenzwert</t>
  </si>
  <si>
    <t>Summe Start-AP:</t>
  </si>
  <si>
    <t>Summe Start-AP 2.Prof</t>
  </si>
  <si>
    <t>SummeStart-AP 2.Prof</t>
  </si>
  <si>
    <t>Wählbare aktive &amp; verbilligte SF</t>
  </si>
  <si>
    <t>2.Professions-Start-AP:</t>
  </si>
  <si>
    <t xml:space="preserve">davon übrig:   </t>
  </si>
  <si>
    <t xml:space="preserve">Kulturkunde (Mittelreich); </t>
  </si>
  <si>
    <t xml:space="preserve">Kulturkunde (Mittelreich); Ortskenntnis (Stadtteil bzw. Kleinstadt); </t>
  </si>
  <si>
    <t xml:space="preserve">Kulturkunde (Mittelreich); Geländekunde nach Wahl; </t>
  </si>
  <si>
    <t xml:space="preserve">Kulturkunde (Andergast/Nostria); </t>
  </si>
  <si>
    <t xml:space="preserve">Kulturkunde (Bornland); </t>
  </si>
  <si>
    <t xml:space="preserve">Kulturkunde (Svelltal&amp;Nordlande); </t>
  </si>
  <si>
    <t xml:space="preserve">Kulturkunde (Almada); </t>
  </si>
  <si>
    <t xml:space="preserve">Kulturkunde (Horasreich); </t>
  </si>
  <si>
    <t xml:space="preserve">Kulturkunde (Zyklopeninsel); </t>
  </si>
  <si>
    <t xml:space="preserve">Kulturkunde (Amazonen); </t>
  </si>
  <si>
    <t xml:space="preserve">Kulturkunde (Aranien); </t>
  </si>
  <si>
    <t xml:space="preserve">Kulturkunde (Tulamidenlande); </t>
  </si>
  <si>
    <t xml:space="preserve">Kulturkunde (Novadi); </t>
  </si>
  <si>
    <t xml:space="preserve">Kulturkunde (Ferkina); </t>
  </si>
  <si>
    <t xml:space="preserve">Kulturkunde (Zahori); </t>
  </si>
  <si>
    <t xml:space="preserve">Kulturkunde (Thorwal); </t>
  </si>
  <si>
    <t xml:space="preserve">Kulturkunde (Gjalskerländer); </t>
  </si>
  <si>
    <t xml:space="preserve">Kulturkunde (Südliche Stadtstaaten); </t>
  </si>
  <si>
    <t xml:space="preserve">Kulturkunde (Fjarninger); </t>
  </si>
  <si>
    <t xml:space="preserve">Kulturkunde (Waldmenschen); </t>
  </si>
  <si>
    <t xml:space="preserve">Kulturkunde (Tocamuyac); </t>
  </si>
  <si>
    <t xml:space="preserve">Kulturkunde (Maraskan); </t>
  </si>
  <si>
    <t>Kulturkunde (Südaventurien);</t>
  </si>
  <si>
    <t>Kulturkunde (Bukanier);</t>
  </si>
  <si>
    <t>Kulturkunde (Nivesen);</t>
  </si>
  <si>
    <t xml:space="preserve">Kulturkunde (Trollzacker); </t>
  </si>
  <si>
    <t xml:space="preserve">Kulturkunde (Auelfen); </t>
  </si>
  <si>
    <t>Kulturkunde (Waldelfen);</t>
  </si>
  <si>
    <t>Kulturkunde (Steppenelfen);</t>
  </si>
  <si>
    <t xml:space="preserve">Kulturkunde (Firnelfen); </t>
  </si>
  <si>
    <t xml:space="preserve">Kulturkunde (Ambosszwerge); </t>
  </si>
  <si>
    <t xml:space="preserve">Kulturkunde (Erzzwerge); </t>
  </si>
  <si>
    <t xml:space="preserve">Kulturkunde (Hügelzwerge); </t>
  </si>
  <si>
    <t xml:space="preserve">Kulturkunde (Brilliantzwerge); </t>
  </si>
  <si>
    <t xml:space="preserve">Kulturkunde (Brobim); </t>
  </si>
  <si>
    <t xml:space="preserve">Kulturkunde (Orks); </t>
  </si>
  <si>
    <t>Kulturkunde (Orks); Gebirgskundig/Eiskundig;</t>
  </si>
  <si>
    <t xml:space="preserve">Kulturkunde (Goblins); </t>
  </si>
  <si>
    <t xml:space="preserve">Kulturkunde (Goblins);  Ortskenntnis (Jagdrevier); </t>
  </si>
  <si>
    <t xml:space="preserve">Kulturkunde (Stammes-Achaz); Dschungelkundig/Sumpfkundig; </t>
  </si>
  <si>
    <t xml:space="preserve">Kulturkunde (Archaische Achaz); Dschungelkundig/Sumpfkundig; </t>
  </si>
  <si>
    <t xml:space="preserve">Kulturkunde (Stammes-Achaz); </t>
  </si>
  <si>
    <t xml:space="preserve">Kulturkunde (Aranien);  Ortskenntnis (Stadtteil bzw. Kleinstadt); </t>
  </si>
  <si>
    <t xml:space="preserve">Kulturkunde (Trolle); </t>
  </si>
  <si>
    <t>Verbilligte Talentspezialisierung Fahrzeug Lenken (Hundeschlitten);</t>
  </si>
  <si>
    <t xml:space="preserve">Kulturkunde (Waldelfen); </t>
  </si>
  <si>
    <t xml:space="preserve">Ortskenntnis (Ort); </t>
  </si>
  <si>
    <t xml:space="preserve">Ortskenntnis (Stadtteil / Kleinstadt); </t>
  </si>
  <si>
    <t xml:space="preserve">Ortskenntnis (Stadtteil / Stadt); </t>
  </si>
  <si>
    <t xml:space="preserve">Ortskenntnis (Arbeitsgebiet / zwielichtige Gegend); </t>
  </si>
  <si>
    <t xml:space="preserve">Passende Geländekunde; </t>
  </si>
  <si>
    <t xml:space="preserve">Passende Geländekunde; Ortskenntnis (Strecke); </t>
  </si>
  <si>
    <t>Zwergischer Staffetenläufer</t>
  </si>
  <si>
    <t xml:space="preserve">Ortskenntnis (Fischgrund); </t>
  </si>
  <si>
    <t xml:space="preserve">Passende Geländekunde; Ortskenntnis (Strecke/Ort); </t>
  </si>
  <si>
    <t xml:space="preserve">Ortskenntnis (Jagdrevier); </t>
  </si>
  <si>
    <t>Salzgänger</t>
  </si>
  <si>
    <t>Ortskenntnis; Passende Geländekunde;</t>
  </si>
  <si>
    <t xml:space="preserve">Ortskenntnis; </t>
  </si>
  <si>
    <t>Ortskenntnis (Suchgebiet); Passende Geländekunde;</t>
  </si>
  <si>
    <t>Ortskenntnis (Suchgebiet); Zwei passende Geländekunden;</t>
  </si>
  <si>
    <t xml:space="preserve">Ortskenntnis (Flussstrecke); </t>
  </si>
  <si>
    <t>Ortskenntnis (Grenzregion/Wegstrecke); Passende Geländekunde;</t>
  </si>
  <si>
    <t xml:space="preserve">Ortskenntnis (Küste/Hafen); </t>
  </si>
  <si>
    <t xml:space="preserve">Ortskenntnis (Revier); </t>
  </si>
  <si>
    <t xml:space="preserve">Ortskenntnis (Revier);  Passende Geländekunde; </t>
  </si>
  <si>
    <t xml:space="preserve">Ortskenntnis (Revier); Passende Geländekunde; </t>
  </si>
  <si>
    <t xml:space="preserve">Ortskenntnis (Stadt); </t>
  </si>
  <si>
    <t xml:space="preserve">Ortskenntnis (Umgebung der Schänke); </t>
  </si>
  <si>
    <t xml:space="preserve">Passende Ortskenntnis; </t>
  </si>
  <si>
    <t>Ortskenntnis (Stadtviertel/Stadt);</t>
  </si>
  <si>
    <t>Ortskenntnis (Stadt);</t>
  </si>
  <si>
    <t xml:space="preserve">Zwei passende Ortskenntnisse; </t>
  </si>
  <si>
    <t>Ortskenntnis: (Stadtviertel/Stadt)</t>
  </si>
  <si>
    <t>Ortskenntnis: (Stadtviertel/Stadt/Kanalisation)</t>
  </si>
  <si>
    <t>Punkte</t>
  </si>
  <si>
    <t>verbilligte SF Waffenlos</t>
  </si>
  <si>
    <t>verbilligte SF Nahkampf</t>
  </si>
  <si>
    <t>verbilligte SF Fernkampf</t>
  </si>
  <si>
    <t>verbilligte SF Allgemein</t>
  </si>
  <si>
    <t>verbilligte SF Magische</t>
  </si>
  <si>
    <t>verbilligte SF Merkmale</t>
  </si>
  <si>
    <t>verbilligte SF Repräsentation</t>
  </si>
  <si>
    <t xml:space="preserve">Schulden 1500 D; </t>
  </si>
  <si>
    <t xml:space="preserve">Jähzorn 6/Rachsucht 9; </t>
  </si>
  <si>
    <t xml:space="preserve">Neugier/Spielsucht/Verschwendungssucht 5; </t>
  </si>
  <si>
    <t xml:space="preserve">Jähzorn 5 statt Platzangst 5; </t>
  </si>
  <si>
    <t>Bezug Vorurteile: Horasier &amp; Elfen;</t>
  </si>
  <si>
    <t xml:space="preserve">Bezug Vorurteile: andere Zwergenvölker; </t>
  </si>
  <si>
    <t>Vorurteile 6 (gegen jegliche Obrigkeit)</t>
  </si>
  <si>
    <t>Vorurteile 5 (andere Zwergenvölker)</t>
  </si>
  <si>
    <t xml:space="preserve">Bezug Vorurteile: gegen jeden der nicht aus der Khom stammt; </t>
  </si>
  <si>
    <t>Bezug Vorurteile: Jegliche Obrigkeit;</t>
  </si>
  <si>
    <t xml:space="preserve">Bezug Vorurteile: Männer; </t>
  </si>
  <si>
    <t>Hier kann gewählt werden, ob nur die Bekannten Zauber angezeigt werden oder alle. Bei Viertelzauberern hat dies keinen Einfluss.  ►►►</t>
  </si>
  <si>
    <t>Goblin-Schamanin allgemein</t>
  </si>
  <si>
    <t>Nuranshârim (Ferkina-Schamanen) allgemein</t>
  </si>
  <si>
    <t>Nuranshârim (Ferkina-Schamanen) der Mherech (Khoramgebirge)</t>
  </si>
  <si>
    <t>Nuranshârim (Ferkina-Schamanen) der Shai' Aian (Raschtulswall)</t>
  </si>
  <si>
    <t>Nuranshârim (Ferkina-Schamanen) aus Thalusien</t>
  </si>
  <si>
    <t>Skuldrun (Fjarningsche Priester) unmagisch</t>
  </si>
  <si>
    <t>Gravesh-Priester (Ork) nicht geweiht</t>
  </si>
  <si>
    <t>Geweihter Gravesh-Priester (Ork)</t>
  </si>
  <si>
    <t>Waldmenschen-Schamanen (Medizinmann) allgemein</t>
  </si>
  <si>
    <t>Waldmenschen-Schamanen (Medizinmann) der Darna</t>
  </si>
  <si>
    <t>Waldmenschen-Schamanen (Medizinmann) der Dschungelstämme</t>
  </si>
  <si>
    <t>Waldmenschen-Schamanen (Medizinmann) der Miniwatu</t>
  </si>
  <si>
    <t>Waldmenschen-Schamanen (Medizinmann) Tocamuyac</t>
  </si>
  <si>
    <t>Waldmenschen-Schamanen (Medizinmann) der Verlorenen Stämme</t>
  </si>
  <si>
    <t>Waldmenschen-Schamanen (Medizinmann) der Waldinsel-Utulus</t>
  </si>
  <si>
    <t>Meisterhandwerk (Grobschmied)</t>
  </si>
  <si>
    <t>Eingeschränkte Elementarnähe (Wasser, Feuer, Erde)</t>
  </si>
  <si>
    <t>Eingeschränkte Elementarnähe (Erde, Wind, Wasser)</t>
  </si>
  <si>
    <t>Eingeschränkte Elementarnähe (Erde, Wind, Fels)</t>
  </si>
  <si>
    <t>Eingeschränkte Elementarnähe (Fels, Feuer, Wind)</t>
  </si>
  <si>
    <t>Speisegebote (Vegetarismus)</t>
  </si>
  <si>
    <t>Eingeschränte Elementarnähe (Erde, Wasser, Wind)</t>
  </si>
  <si>
    <t>Verpflichtungen (Sippe, Stamm, Rasse)</t>
  </si>
  <si>
    <t>Speisegebote (keine Pflanzen außer Rauschmitteln)</t>
  </si>
  <si>
    <t>Verpflichtungen (Sippe)</t>
  </si>
  <si>
    <t>Schlafstörungen I (zu Zeiten des Vollmonds)</t>
  </si>
  <si>
    <t>Vorurteile 5 (gegenüber Nicht-Ferkinas, 1 GP pro Punkt)</t>
  </si>
  <si>
    <t>Madas Fluch 1</t>
  </si>
  <si>
    <t>Voraussetzung: Kultur Goblinstamm oder Festumer Ghetto; nur Frauen;</t>
  </si>
  <si>
    <t>Voraussetzung: Kultur Festumer Ghetto; nur Frauen;</t>
  </si>
  <si>
    <t xml:space="preserve">Bezug Vorurteile: Nicht-Ferkinas (1 GP pro Punkt); </t>
  </si>
  <si>
    <t>Angrosch-Geweihte (Grundwerte)</t>
  </si>
  <si>
    <t>Boron-Geweihter (Grundwerte)</t>
  </si>
  <si>
    <t>Boron-Geweihter Al'Anfaner Ritus (Grundwerte)</t>
  </si>
  <si>
    <t>Boron-Geweihter Puniner Ritus (Grundwerte)</t>
  </si>
  <si>
    <t>Boron-Geweihter: (Al'Anfaner Ritus)</t>
  </si>
  <si>
    <t>Boron-Geweihter: Ordenskrieger, Golgarit (Grundwerte)</t>
  </si>
  <si>
    <t xml:space="preserve">Boron-Geweihter: Ordenskrieger, Golgarit, geweiht </t>
  </si>
  <si>
    <t xml:space="preserve">Boron-Geweihter: Ordenskrieger Golgarit, nicht geweiht </t>
  </si>
  <si>
    <t>Boron-Geweihte: Ordenskrieger des Schwarzen Raben (Grundwerte)</t>
  </si>
  <si>
    <t>Boron-Geweihte: Ordenskrieger, Tempelgarde der Stadt des Schweigens</t>
  </si>
  <si>
    <t xml:space="preserve">Magiekunde/Philosophie/Sternenkunde +2; </t>
  </si>
  <si>
    <t xml:space="preserve">Fremdsprache +6/+4/+4; L/S Muttersprache +6; L/S Fremdsprache +4; </t>
  </si>
  <si>
    <t xml:space="preserve">Ur-Tulamidya/Zelemja +4; L/S Ur-Tulamidya/Zelemja +4; </t>
  </si>
  <si>
    <t xml:space="preserve">Mirakel+: Ausweichen, die Gabe Gefahreninstinkt; Mirakel-: Alle bewaffneten Kampftechniken; </t>
  </si>
  <si>
    <t xml:space="preserve">Mirakel+: Die Gabe Prophezeien; </t>
  </si>
  <si>
    <t>Vollmetallbuckler</t>
  </si>
  <si>
    <t>Ausrüstungsvorteil 5</t>
  </si>
  <si>
    <t>Herausragender Sinn Tasten</t>
  </si>
  <si>
    <t>Herausragender Sinn Sehen</t>
  </si>
  <si>
    <t>Herausragender Sinn Riechen&amp;Schmecken</t>
  </si>
  <si>
    <t>Herausragender Sinn (Hören/Riechen&amp;Schmecken/Sehen);</t>
  </si>
  <si>
    <t>Herausragender Sinn (Hören/Riechen&amp;Schmecken);</t>
  </si>
  <si>
    <t>Herausragender Sinn (Hören/Sehen/Tasten);</t>
  </si>
  <si>
    <t>Gladiator/Schau-/Jahrmarkts-Kämpfer</t>
  </si>
  <si>
    <t xml:space="preserve">Bonuspunkte Grosse Meditation: </t>
  </si>
  <si>
    <t>Leiteigenschaft</t>
  </si>
  <si>
    <t>AP-Wert</t>
  </si>
  <si>
    <t>AP-Mod</t>
  </si>
  <si>
    <t>Apport der Schale</t>
  </si>
  <si>
    <t>Apport der Kristallkugel</t>
  </si>
  <si>
    <t>Apport des Schuppenbeutels</t>
  </si>
  <si>
    <t>Apport des Stabes</t>
  </si>
  <si>
    <t>Apport Bannschwert</t>
  </si>
  <si>
    <t>------- Apport weiterer Gegenstände -------</t>
  </si>
  <si>
    <t>Apport der Geodensichel</t>
  </si>
  <si>
    <t>Apport des Hexenkessels</t>
  </si>
  <si>
    <t>Apport Vulkanglasdolch</t>
  </si>
  <si>
    <t>Apport iama</t>
  </si>
  <si>
    <t>---- HEXENFLÜCHE ----------------------------</t>
  </si>
  <si>
    <t>---- Schlangenring-Zauber (Geode) ------------------------------</t>
  </si>
  <si>
    <t>------- Bannschwert -------</t>
  </si>
  <si>
    <t xml:space="preserve">Weitere Checks: </t>
  </si>
  <si>
    <t>Geweiht?</t>
  </si>
  <si>
    <t>Meisterhandwerk (zwei Handwerke nach Wahl);</t>
  </si>
  <si>
    <t>Astralmacht/Gebildet 1; Meisterhandwerk (zwei Handwerke nach Wahl);</t>
  </si>
  <si>
    <t>Astralmacht 2 /Gebildet 2; Resistenz gegen Giftart (Kategorie wählbar); Meisterhandwerk (zwei Handwerke nach Wahl);</t>
  </si>
  <si>
    <t>Eingeschränkter Sinn Hören</t>
  </si>
  <si>
    <t>Anzahl Übernat. Begabungen</t>
  </si>
  <si>
    <t>VT_ADLIG</t>
  </si>
  <si>
    <t xml:space="preserve">Adlig </t>
  </si>
  <si>
    <t>BESBESITZ</t>
  </si>
  <si>
    <t>BESBESITZ_GP</t>
  </si>
  <si>
    <t>Hier Zeilen Einfügen, falls am String der Nachteile etwas geändert werden soll (ohne schlechte Eign)</t>
  </si>
  <si>
    <t>ALL - Check Widerwärtiges Aussehen-Unansehnlich</t>
  </si>
  <si>
    <t>AP-0</t>
  </si>
  <si>
    <t>Hier kann eine eigene Profession eingegeben werden.</t>
  </si>
  <si>
    <t>Im Moment werden die GP noch nicht automatisch berechnet.</t>
  </si>
  <si>
    <t>Syntax &amp; Bemerkung</t>
  </si>
  <si>
    <t>Eigene</t>
  </si>
  <si>
    <t>Profession</t>
  </si>
  <si>
    <t>Kosten in GP</t>
  </si>
  <si>
    <t>Zusätzliche LE</t>
  </si>
  <si>
    <t>Zusätzliche AsP</t>
  </si>
  <si>
    <t>Zusätzliche Ausdauer</t>
  </si>
  <si>
    <t>Zusätzliche MR</t>
  </si>
  <si>
    <t>Minimale SO (gleichzeitig Bonus)</t>
  </si>
  <si>
    <t>Maximale SO</t>
  </si>
  <si>
    <t>Bonus-Punkte für die EIGN</t>
  </si>
  <si>
    <t>Überschreiben der Formel möglich</t>
  </si>
  <si>
    <t>Generierungshilfe in Spalte A verwenden</t>
  </si>
  <si>
    <t>Als Zahl eintragen</t>
  </si>
  <si>
    <t>Bei Elfen für Leittalente ein L anhängen</t>
  </si>
  <si>
    <t>Eigene Profession</t>
  </si>
  <si>
    <t>Professionsname eingeben</t>
  </si>
  <si>
    <t>Auswahlhilfe für Vor- &amp; Nachteile</t>
  </si>
  <si>
    <t>Begabung  für [Talent]</t>
  </si>
  <si>
    <t>Zauber - Fremde Repräsentation</t>
  </si>
  <si>
    <t xml:space="preserve">Impersona/Projektimago +2; </t>
  </si>
  <si>
    <t>Eins mit der Natur (Geo);</t>
  </si>
  <si>
    <t>Pectetondo Zauberhaar (Mag);</t>
  </si>
  <si>
    <t>Movimento Dauerlauf (Elf);</t>
  </si>
  <si>
    <t>Falkenauge (Elf);</t>
  </si>
  <si>
    <t>Flim Flam (Mag);</t>
  </si>
  <si>
    <t>Blendwerk (Sch), Flim Flam (Mag), Menetekel (Mag);</t>
  </si>
  <si>
    <t>Fremde Repräsentation:</t>
  </si>
  <si>
    <t>Orkanwand/Wand aus Dornen/Wand aus Erz/Wand aus Flammen/Wand aus Wogen +5 (passend zu elementarem Merkmal);</t>
  </si>
  <si>
    <t>Gletscherwand/Orkanwand/Wand aus Dornen/Wand aus Erz/Wand aus Flammen/Wand aus Wogen +5 (passend zu elementarem Merkmal);</t>
  </si>
  <si>
    <t>Balsam Salabunde/Hexenspeichel +4; Orkanwand/Wand aus Erz/Wand aus Flammen +4;</t>
  </si>
  <si>
    <t xml:space="preserve">Alle Zauber mit dem Merkmal Dämo sind um eins schwieriger zu steigern; </t>
  </si>
  <si>
    <t xml:space="preserve">Bei Sprüchen mit den Merkmalen Besw/Dämo/Elem/Herr, die zu Spielbeginn aktiviert werden sollen, ist bei der Generierung die nächst höhere Komplexität anzunehmen; </t>
  </si>
  <si>
    <t>Zagibu Ubigaz (Sch);</t>
  </si>
  <si>
    <t>Bei Sprüchen mit dem Merkmal Schaden Aktivierung und Steigerung um eine Spalte teurer.</t>
  </si>
  <si>
    <t>Bärenruhe Winterschlaf (Elf); Movimento Dauerlauf (Elf); Leib des Windes (Elf); Wellenlauf (Dru); Mahlstrom (Dru); Eins mit der Natur (Dru); Böser Blick (Dru);</t>
  </si>
  <si>
    <t xml:space="preserve">Blick durch fremde Augen (Dru); </t>
  </si>
  <si>
    <t>Hartes schmelze! (Bor);</t>
  </si>
  <si>
    <t>Da hin und wieder Druiden und Hexen den Kreis besuchen, kann man dort auch Sprüche aus deren Wissensschatz erlernen, zu Beginn darf maximal ein solcher Spruch aktiviert werden, jedoch mindestens Verbreitung Mag(Dru)2 oder Mag(Hex)2</t>
  </si>
  <si>
    <t>Minimalvoraussetzung der EIGN</t>
  </si>
  <si>
    <t>Begabung &amp; Unfähigkeiten für Talente</t>
  </si>
  <si>
    <t>Bonus auf TaW</t>
  </si>
  <si>
    <r>
      <t xml:space="preserve">Notation: </t>
    </r>
    <r>
      <rPr>
        <i/>
        <sz val="10"/>
        <rFont val="Arial"/>
        <family val="2"/>
      </rPr>
      <t>xL</t>
    </r>
  </si>
  <si>
    <t>L =Leittalent (x =Bonus-Wert)</t>
  </si>
  <si>
    <t xml:space="preserve">Für Mirakel- und Mirakel+ ein </t>
  </si>
  <si>
    <t>N bzw. M ohne Abstand anhängen</t>
  </si>
  <si>
    <t>In Textform angeben</t>
  </si>
  <si>
    <t>x auswählen falls zeitaufwendig</t>
  </si>
  <si>
    <t xml:space="preserve">Der Wert wird dann automatisch </t>
  </si>
  <si>
    <t>im Heldenblatt berechnet.</t>
  </si>
  <si>
    <r>
      <rPr>
        <i/>
        <sz val="10"/>
        <rFont val="Arial"/>
        <family val="2"/>
      </rPr>
      <t>Z</t>
    </r>
    <r>
      <rPr>
        <sz val="10"/>
        <rFont val="Arial"/>
        <family val="2"/>
      </rPr>
      <t xml:space="preserve">     = Zweitsprache</t>
    </r>
  </si>
  <si>
    <r>
      <rPr>
        <i/>
        <sz val="10"/>
        <rFont val="Arial"/>
        <family val="2"/>
      </rPr>
      <t>M</t>
    </r>
    <r>
      <rPr>
        <sz val="10"/>
        <rFont val="Arial"/>
        <family val="2"/>
      </rPr>
      <t xml:space="preserve">    = Muttersprache</t>
    </r>
  </si>
  <si>
    <r>
      <t xml:space="preserve">Startwert oder </t>
    </r>
    <r>
      <rPr>
        <i/>
        <sz val="10"/>
        <rFont val="Arial"/>
        <family val="2"/>
      </rPr>
      <t xml:space="preserve">M </t>
    </r>
    <r>
      <rPr>
        <sz val="10"/>
        <rFont val="Arial"/>
        <family val="2"/>
      </rPr>
      <t xml:space="preserve">oder </t>
    </r>
    <r>
      <rPr>
        <i/>
        <sz val="10"/>
        <rFont val="Arial"/>
        <family val="2"/>
      </rPr>
      <t>Z</t>
    </r>
    <r>
      <rPr>
        <sz val="10"/>
        <rFont val="Arial"/>
        <family val="2"/>
      </rPr>
      <t xml:space="preserve"> eintragen</t>
    </r>
  </si>
  <si>
    <t>Startwert als Zahl eintragen</t>
  </si>
  <si>
    <t>Falls ein Talent nur ein Leittalent ohne</t>
  </si>
  <si>
    <r>
      <t>Startwert ist, folgendes eintragen:</t>
    </r>
    <r>
      <rPr>
        <i/>
        <sz val="10"/>
        <rFont val="Arial"/>
        <family val="2"/>
      </rPr>
      <t xml:space="preserve"> 0L</t>
    </r>
  </si>
  <si>
    <t>Aus Dropdown-Liste auswählen</t>
  </si>
  <si>
    <t>Verbilligte SF</t>
  </si>
  <si>
    <t>Hier eingetragene Texte werden an den entsprechenden Stellen im Heldenblatt angezeigt.</t>
  </si>
  <si>
    <t>VPs, welche für zusätzliche Haus- &amp; Erlernte Zauber eingesetzt werden können</t>
  </si>
  <si>
    <t>Anzahl frei wählbarer Übernatürlicher Begabungen</t>
  </si>
  <si>
    <t>Wird im Normalfall für eigene Helden ja nicht gebraucht, da direkt die definitiven Werte eingetragen werden können.</t>
  </si>
  <si>
    <t>Überschreiben der Formeln auch möglich</t>
  </si>
  <si>
    <t>einmal Einfl/Hell/Herr/Objkt/Scha;</t>
  </si>
  <si>
    <t>einmal Eign/Form;</t>
  </si>
  <si>
    <t>einmal Besw/Rufe;</t>
  </si>
  <si>
    <t>einmal Dämo (AGR)/Dämo (AMZ)/Dämo (ASF)/Dämo (BKL)/Dämo (BKZ)/Dämo (BLH)/Dämo (CPT)/Dämo (LGM)/Dämo (MKA)/Dämo (NGR)/Dämo (TFL)/Dämo (TGN);</t>
  </si>
  <si>
    <t>einmal Scha/Eign;</t>
  </si>
  <si>
    <t>einmal Hell/Eign;</t>
  </si>
  <si>
    <t>Hier Professionsgattung auswählen (für Magie &amp; Götter-Professionen zwingend):</t>
  </si>
  <si>
    <t>Elem, Scha</t>
  </si>
  <si>
    <t>Einfl, Scha, Dämo (AMZ)</t>
  </si>
  <si>
    <t>TP in AsP&amp;Spez.</t>
  </si>
  <si>
    <t>Scha, Elem (Wasser)</t>
  </si>
  <si>
    <t>Scha, Elem (Erz)</t>
  </si>
  <si>
    <r>
      <t>Biss</t>
    </r>
    <r>
      <rPr>
        <b/>
        <sz val="10"/>
        <rFont val="Arial"/>
        <family val="2"/>
      </rPr>
      <t xml:space="preserve"> TP </t>
    </r>
    <r>
      <rPr>
        <b/>
        <vertAlign val="subscript"/>
        <sz val="10"/>
        <rFont val="Arial"/>
        <family val="2"/>
      </rPr>
      <t>Tritt</t>
    </r>
  </si>
  <si>
    <t>Seefahrer</t>
  </si>
  <si>
    <t>Zsahh- Priester</t>
  </si>
  <si>
    <t>Akademische Ausbildung (Kriegerin)</t>
  </si>
  <si>
    <t>Arroganz 7 (Andersgläubige)</t>
  </si>
  <si>
    <t>Prinzipientreue 10 (Loyalität, Ehre, strikte Einhaltung der 99 Gesetze)</t>
  </si>
  <si>
    <t>Verpflichtungen (Orden)</t>
  </si>
  <si>
    <t>Verpflichtungen (Kirche)</t>
  </si>
  <si>
    <t>Verpflichtungen (Amazonen)</t>
  </si>
  <si>
    <t>Verpflichtungen (Kirche, Gläubige)</t>
  </si>
  <si>
    <t>Speisegebote (streng nach 99 Gesetzen)</t>
  </si>
  <si>
    <t>Verpflichtungen 9 (thorwalsche Autoritäten, eigene Otta)</t>
  </si>
  <si>
    <t>Vorurteile 7 (Andersgläubige)</t>
  </si>
  <si>
    <t>Verpflichtungen (Stamm, Heimattempel)</t>
  </si>
  <si>
    <t>Schwerter/Speere/Zweihand-Hiebwaffen +2; Kartographie/Tätowieren/Zimmermann +2;</t>
  </si>
  <si>
    <t>Muttersprache +2; Tulamidya/Garethi +8;</t>
  </si>
  <si>
    <t>Muttersprache +2; Tulamidya/Garethi +6;</t>
  </si>
  <si>
    <t>Muttersprache +1;</t>
  </si>
  <si>
    <t>Gebirgskundig/Wüstenkundig;</t>
  </si>
  <si>
    <t>Rahja-Geweihte: Güldenländischer Ritus</t>
  </si>
  <si>
    <t>Rahja-Geweihte: Mhanadistanischer Ritus</t>
  </si>
  <si>
    <t>Rahja-Geweihte: Tempel des Nordens</t>
  </si>
  <si>
    <t>Verpflichtungen (gegenüber der Kirche)</t>
  </si>
  <si>
    <t>Sich Verkleiden (ein anderer Stand nach Wahl)</t>
  </si>
  <si>
    <t>Betören (nach Wahl)</t>
  </si>
  <si>
    <t>Fechtwaffen/Hiebwaffen/Säbel/Schwerter +2; Brettspiel/Heraldik/Philosophie +2; Abrichten/Falschspiel/Hauswirtschaft/Musizieren +3;</t>
  </si>
  <si>
    <t>Geographie/Geschichtswissen +2;</t>
  </si>
  <si>
    <t>Reiten/Singen/Tanzen +6/+5/+3;  Abrichten/Hauswirtschaft/Malen_Zeichnen/Schneidern/Tätowieren/Viehzucht/Winzer +5/+3;</t>
  </si>
  <si>
    <t>Reiten/Singen/Tanzen +6/+5/+3; Abrichten/Hauswirtschaft/Malen_Zeichnen/Schneidern/Tätowieren/Viehzucht/Winzer +5/+3; Viehzucht/Winzer +2;</t>
  </si>
  <si>
    <t>L/S: Muttersprache +5;</t>
  </si>
  <si>
    <t>Muttersprache +2; Bosparano/Ur-Tulamidya +7/+5; 2 Fremdsprachen +7,+5;  L/S: Kusliker Zeichen/Tulamidya +8/+5; L/S +5;</t>
  </si>
  <si>
    <t>Muttersprache +2; Bosparano/Ur-Tulamidya +7/+5; 3 Fremdsprachen +7,+5,+3;  L/S: Kusliker Zeichen/Tulamidya +8/+5; L/S: +5;</t>
  </si>
  <si>
    <t>2 Fremdsprachen +6,+3; L/S Muttersprache +6;</t>
  </si>
  <si>
    <t>Fremdsprache +6; L/S Muttersprache +6;</t>
  </si>
  <si>
    <t>Fremdsprache +5; L/S: Muttersprache +6;</t>
  </si>
  <si>
    <t>Fremdsprache +3; L/S +3;</t>
  </si>
  <si>
    <t>2 Fremdsprachen +3,+4; L/S: 3 Fremdsprachen +3,+4,+4;</t>
  </si>
  <si>
    <t>Verpflichtungen (Bund)</t>
  </si>
  <si>
    <t>Efferd -Geweihte: BASIS</t>
  </si>
  <si>
    <t>Firun-Geweihte: BASIS</t>
  </si>
  <si>
    <t>Hesinde-Geweihte: BASIS</t>
  </si>
  <si>
    <t>Hesinde-Geweihte: Ordenskrieger, Draconiter, Profaner Zweig: BASIS</t>
  </si>
  <si>
    <t>Verpflichtungen (Draconiter)</t>
  </si>
  <si>
    <t>Dru 6, Elf 6, Hex 6, Mag 6, Geo 5, Ach 4, Sch 4,</t>
  </si>
  <si>
    <t>Mag 4, Srl 4, Hex 2,</t>
  </si>
  <si>
    <t>Elf 7, Ach 3, Dru 3, Geo 3, Hex 3, Mag 3,</t>
  </si>
  <si>
    <t>Elf 7, Ach 5, Dru 5, Mag 5, Geo 4, Sch 3, Srl 3,</t>
  </si>
  <si>
    <t>Ach 2, Mag 2,</t>
  </si>
  <si>
    <t>Mag 2,</t>
  </si>
  <si>
    <t>Dru 3,</t>
  </si>
  <si>
    <t>Hex 7,Geo 5, Dru 4, Mag 4,</t>
  </si>
  <si>
    <t>Mag 3,</t>
  </si>
  <si>
    <t>Ach 3, Mag 3, Srl 3,</t>
  </si>
  <si>
    <t>Mag 2, Bor 1, Hex 1,</t>
  </si>
  <si>
    <t>Elf 1, Ach 4, Mag 4, Dru 1, Geo 2, Hex 2,</t>
  </si>
  <si>
    <t>Elf 6, Mag 6, Hex 3, Dru 2,</t>
  </si>
  <si>
    <t>Dru 5, Ach 3,</t>
  </si>
  <si>
    <t>Dru 5, Elf 5, Hex 5, Mag 5, Geo 5, Ach 3, Sch 3, Srl 3,</t>
  </si>
  <si>
    <t>Sch 5,</t>
  </si>
  <si>
    <t>Mag 2, Ach 1,</t>
  </si>
  <si>
    <t>Srl 6, Mag 4,</t>
  </si>
  <si>
    <t>Srl 5, Mag 5,</t>
  </si>
  <si>
    <t>Elf 6, Ach 5, Sch 5, Mag 3,</t>
  </si>
  <si>
    <t>Elf 7, Mag 7, Ach 5, Geo 5, Dru 4, Hex 3,</t>
  </si>
  <si>
    <t>Elf 5, Hex 4, Dru 3, Mag 3, Ach 2, Bor 2, Geo 2,</t>
  </si>
  <si>
    <t>Elf 7, Mag 6, Dru 3, Hex 3, Srl 3(Mag),</t>
  </si>
  <si>
    <t>Elf 4, Ach 3, Mag 3(Elf),</t>
  </si>
  <si>
    <t>Dru 7, Geo 6, Mag 6, Hex 5, Ach 4, Elf 4,</t>
  </si>
  <si>
    <t>Mag 5, Elf 4, Sch 4, Hex 3,</t>
  </si>
  <si>
    <t>Elf 6, Geo 5, Mag 5, Ach 4, Dru 4, Hex 4,</t>
  </si>
  <si>
    <t>Dru 3, Mag 2(Dru),</t>
  </si>
  <si>
    <t>Elf 5, Mag 5, Ach 4, Dru 4, Hex 4, Geo 3,</t>
  </si>
  <si>
    <t>Dru 3, Geo 3, Mag 2(Dru),</t>
  </si>
  <si>
    <t>Elf 7, Mag 6, Dru 5, Hex 5, Ach 4, Geo 4, Sch 4, Srl 4,</t>
  </si>
  <si>
    <t>Bor 6, Ach 3, Mag 3,</t>
  </si>
  <si>
    <t>Ach 4, Mag 4, Geo 3, Dru 2,</t>
  </si>
  <si>
    <t>Mag 2, Hex 1,</t>
  </si>
  <si>
    <t>Ach 2, Mag 1(Ach),</t>
  </si>
  <si>
    <t>Ach 2, Elf 1, Mag 1,</t>
  </si>
  <si>
    <t>Mag 4, Sch 3, Srl 3,</t>
  </si>
  <si>
    <t>Mag 3, Ach 2, Elf 2, Dru 2(Mag),</t>
  </si>
  <si>
    <t>Sch 2,</t>
  </si>
  <si>
    <t>Mag 4, Dru 3, Geo 3,</t>
  </si>
  <si>
    <t>Dru 7, Geo 4, Mag 4, Sch 4, Ach 3, Hex 3, Srl 3(Mag), Elf 2,</t>
  </si>
  <si>
    <t>Mag 6, Srl 6,</t>
  </si>
  <si>
    <t>Ach 3, Elf 3, Geo 2, Dru 2(Geo),</t>
  </si>
  <si>
    <t>Mag 3, Bor 2,</t>
  </si>
  <si>
    <t>Hex 6, Ach 5, Dru 5, Geo 5, Mag 5, Elf 5,</t>
  </si>
  <si>
    <t>Bor 6, Mag 2,</t>
  </si>
  <si>
    <t>Dru 6, Geo 6, Hex 6, Ach 5, Elf 5, Mag 4, Sch 4, Srl 3,</t>
  </si>
  <si>
    <t>Geo 7, Dru 5, Elf 2, Hex 2(Geo), Mag 2 (Dru),</t>
  </si>
  <si>
    <t>Geo 2, Mag 2,</t>
  </si>
  <si>
    <t>Mag 6, Ach 5, Dru 5, Sch 4,</t>
  </si>
  <si>
    <t>Ach 3, Elf 3,</t>
  </si>
  <si>
    <t>Geo 6, Dru 5, Ach 4, Mag 4,</t>
  </si>
  <si>
    <t>Dru 3, Mag 2, Mag 2(Dru),</t>
  </si>
  <si>
    <t>Elf 2,</t>
  </si>
  <si>
    <t>Bor 4, Mag 3,</t>
  </si>
  <si>
    <t>Geo 2, Mag 2</t>
  </si>
  <si>
    <t>Elf 6, Ach 4, Dru 4, Geo 4, Hex 3, Mag 3,</t>
  </si>
  <si>
    <t>Elf 6, Mag 2(Elf),</t>
  </si>
  <si>
    <t>Srl 6, Mag 5, Sch 3(Mag),</t>
  </si>
  <si>
    <t>Firnelf 6, andere Elf 2, Mag 2,</t>
  </si>
  <si>
    <t>Hex 6,</t>
  </si>
  <si>
    <t>Ach 7, Elf 7, Mag 7, Dru 6, Hex 6, Geo 5, Sch 4, Srl 4(Mag),</t>
  </si>
  <si>
    <t>Dru 5, Bor 2, Hex 2, Mag 2(Dru),</t>
  </si>
  <si>
    <t>Mag 6, Srl 5, Sch 4,</t>
  </si>
  <si>
    <t>Mag 4, Ach 3,</t>
  </si>
  <si>
    <t>Elf 7, Mag 5, Hex 2(Mag)</t>
  </si>
  <si>
    <t>Mag 6, Ach 2, Geo 2(Mag),</t>
  </si>
  <si>
    <t>Elf 7, Mag 3,</t>
  </si>
  <si>
    <t>Mag 1,</t>
  </si>
  <si>
    <t>Sch 5, Ach 3, Hex 3, Mag 3, Srl 3(Sch),</t>
  </si>
  <si>
    <t>Dru 7, Mag 5, Geo 4, Hex 4,</t>
  </si>
  <si>
    <t>Dru 6, Geo 3, Hex 3, Mag 3,</t>
  </si>
  <si>
    <t>Dru 2, Mag 3,</t>
  </si>
  <si>
    <t>Bor 2, Mag 2,</t>
  </si>
  <si>
    <t>Hex 7, Geo 3,</t>
  </si>
  <si>
    <t>Dru 7, Geo 7, Sch 3,</t>
  </si>
  <si>
    <t>Hex 7, Ach 3, Dru 3, Mag 3, Sch 3, Srl 3, Elf 2,</t>
  </si>
  <si>
    <t>Bor 5, Ach 4, Mag 3,</t>
  </si>
  <si>
    <t>Bor 2, Mag 2, Hex 2(Mag),</t>
  </si>
  <si>
    <t>Dru 6, Geo 6, Mag 5, Sch 5, Ach 4, Elf 4, Hex 4, Srl 3,</t>
  </si>
  <si>
    <t>Dru 3, Mag 3, Hex 2,</t>
  </si>
  <si>
    <t>Dru 7, Geo 6, Elf 3, Hex 3, Ach 2, Mag 2,</t>
  </si>
  <si>
    <t>Bor 3,</t>
  </si>
  <si>
    <t>Hex 7, Bor 3,</t>
  </si>
  <si>
    <t>Ach 3, Hex 3,</t>
  </si>
  <si>
    <t>Hex 7,</t>
  </si>
  <si>
    <t>Hex 3(bei Katzen, Raben, Eulen),</t>
  </si>
  <si>
    <t>Hex 7, Geo 5, Mag 2(Hex),</t>
  </si>
  <si>
    <t>Elf 4, Ach 3, Geo 3, Dru 3(Geo),</t>
  </si>
  <si>
    <t>Bor 7, Ach 3, Mag 3,</t>
  </si>
  <si>
    <t>Mag 6, Bor 4, Dru 3, Hex 2(Dru), Srl 1,</t>
  </si>
  <si>
    <t>Mag 3, Srl 3,</t>
  </si>
  <si>
    <t>Mag 5, Srl 4, Hex 3, Sch 3,</t>
  </si>
  <si>
    <t>Ach 1, Mag 1,</t>
  </si>
  <si>
    <t>Mag 4, Dru 2(Mag),</t>
  </si>
  <si>
    <t>Mag 4, Srl 3,</t>
  </si>
  <si>
    <t>Ach 1, Elf 1, Geo 1, Mag 1,</t>
  </si>
  <si>
    <t>Bor 5, Mag 5, Hex 3, Dru 2,</t>
  </si>
  <si>
    <t>Mag 5, Ach 4, Bor 4, Hex 4, Dru 2,</t>
  </si>
  <si>
    <t>Bor 2, Mag 1(Bor),</t>
  </si>
  <si>
    <t>Sch 3,</t>
  </si>
  <si>
    <t>Mag 4, Ach 3, Bor 3,</t>
  </si>
  <si>
    <t>Hex 4, Elf 3,</t>
  </si>
  <si>
    <t>Mag 6, Ach 3, Dru 3, Elf 3, Geo 3, Hex 3,</t>
  </si>
  <si>
    <t>Sch 7, Hex 3, Mag 3, Srl 3,</t>
  </si>
  <si>
    <t>Sch 7,</t>
  </si>
  <si>
    <t>Dru 3, Ach 2, Geo 2, Hex 2, Mag 2,</t>
  </si>
  <si>
    <t>Hex 3, Bor 2, Mag 2,</t>
  </si>
  <si>
    <t>Geo 5, Ach 3, Dru 3, Mag 2(Dru),</t>
  </si>
  <si>
    <t>Hex 4, Ach 3, Elf 3,</t>
  </si>
  <si>
    <t>Sch 4,</t>
  </si>
  <si>
    <t>Sch 6,</t>
  </si>
  <si>
    <t>Bor 2, Mag 1,</t>
  </si>
  <si>
    <t>Dru 3, Elf 3, Ach 2, Geo 2,</t>
  </si>
  <si>
    <t>Elf 3, Sch 3, Dru 2, Geo 2,</t>
  </si>
  <si>
    <t>Elf 3, Ach 2, Dru 2, Geo 2, Mag 2(Elf),</t>
  </si>
  <si>
    <t>siehe Leidensbund: Reversalis vom Leidensbund,</t>
  </si>
  <si>
    <t>Ach 3, Hex 2, Bor 2, Mag 2(Ach),</t>
  </si>
  <si>
    <t>Hex 4, Mag 2(Hex),</t>
  </si>
  <si>
    <t>Ach 5, Mag 2, Hex 2(Ach),</t>
  </si>
  <si>
    <t>Dru 6, Geo 4, Mag 3, Ach 2, Bor 2, Hex 2,</t>
  </si>
  <si>
    <t>Ach 7, Dru 5, Geo 5, Mag 5, Hex 3, Srl 3, Elf 2,</t>
  </si>
  <si>
    <t>Dru 4, Geo 4, Ach 3, Mag 3,</t>
  </si>
  <si>
    <t>Sch 7, Geo 5,</t>
  </si>
  <si>
    <t>Elf 3, Mag 3, Ach 2, Dru 2, Hex 2,</t>
  </si>
  <si>
    <t>Mag 5, Srl 3(Mag),</t>
  </si>
  <si>
    <t>Elf 4, Mag 2,</t>
  </si>
  <si>
    <t>Mag 6, Sch 5, Ach 4, Elf 4, Hex 4, Srl 4,</t>
  </si>
  <si>
    <t>Elf 6, Ach 4, Dru 3, Geo 3, Mag 2, Hex 2(Elf), Srl 2(Mag),</t>
  </si>
  <si>
    <t>Mag 3, Ach 2,</t>
  </si>
  <si>
    <t>Ach 5, Mag 4,</t>
  </si>
  <si>
    <t>Mag 5, Dru 4, Elf 4, Geo 3, Hex 2, Srl 2(Mag),</t>
  </si>
  <si>
    <t>Mag 5, Ach 4, Hex 3, Srl 2(Mag),</t>
  </si>
  <si>
    <t>Ach 7, Elf 7, Mag 7, Geo 6, Dru 5, Hex 5, Sch 4, Srl 4,</t>
  </si>
  <si>
    <t>Geo 4, Dru 3, Mag 3(Besonderheiten! S.176 LC),</t>
  </si>
  <si>
    <t>Bor 4, Hex 3, Mag 2,</t>
  </si>
  <si>
    <t>Bor 3, Mag 1(Bor),</t>
  </si>
  <si>
    <t>Mag 7, Dru 3(Mag),</t>
  </si>
  <si>
    <t>Mag 5, Srl 5, Hex 3(Mag), Sch 2(Mag),</t>
  </si>
  <si>
    <t>Mag 5, Elf 4, Sch 4, Srl 3,</t>
  </si>
  <si>
    <t>Dru 6, Hex 5, Elf 3,</t>
  </si>
  <si>
    <t>Elf 5, Mag 3,</t>
  </si>
  <si>
    <t>Elf 3,</t>
  </si>
  <si>
    <t>Elf 4, Ach 3,</t>
  </si>
  <si>
    <t>Ach 3, Elf 1,</t>
  </si>
  <si>
    <t>Mag 1(Rituell S. 135 LC),</t>
  </si>
  <si>
    <t>Mag 7, Dru 5, Geo 5, Hex 5, Ach 4, Elf 4, Sch 4, Srl 3,</t>
  </si>
  <si>
    <t>Mag 6, Dru 5, Geo 5, Hex 5, Ach 3, Srl 3, Elf 3(Mag),</t>
  </si>
  <si>
    <t>Mag 5, Srl 4,</t>
  </si>
  <si>
    <t>Ach 4, Bor 3, Mag 2,</t>
  </si>
  <si>
    <t>Mag 7, Dru 5, Geo 5, Elf 4, Hex 4,</t>
  </si>
  <si>
    <t>Elf 5, Ach 4, Mag 4, Dru 3, Hex 3,</t>
  </si>
  <si>
    <t>siehe Karnofilo: alte Form,</t>
  </si>
  <si>
    <t>Mag 5, Ach 3, Hex 3, Dru 2,</t>
  </si>
  <si>
    <t>Geo 6, Hex 6, Dru 4, Elf 4, Ach 2,</t>
  </si>
  <si>
    <t>Mag 5, Srl 4, Hex 2(Mag),</t>
  </si>
  <si>
    <t>Hex 5,</t>
  </si>
  <si>
    <t>Mag 3, Elf 2,</t>
  </si>
  <si>
    <t>Hex 6, Mag 4, Bor 2, Dru 2,</t>
  </si>
  <si>
    <t>Bor 6, Mag 3,</t>
  </si>
  <si>
    <t>siehe Granit und Marmor,</t>
  </si>
  <si>
    <t>Hex 3, Elf 1,</t>
  </si>
  <si>
    <t>Ach 2, Dru 2, Geo 2, Hex 2, Mag 1,</t>
  </si>
  <si>
    <t>Sch 6, Srl 2,</t>
  </si>
  <si>
    <t>Elf 3, Sch 2,</t>
  </si>
  <si>
    <t>Elf 7, Mag 6, Dru 5, Hex 5, Geo 5, Ach 4, Sch 4, Srl 4,</t>
  </si>
  <si>
    <t>Ach 4, Hex 2, Mag 2(Ach),</t>
  </si>
  <si>
    <t>Elf 7, Mag 5, Sch 5, Geo 4, Srl 4, Dru 2, Hex 2,</t>
  </si>
  <si>
    <t>Mag 4, Bor 2,</t>
  </si>
  <si>
    <t>Elf 4, Mag 2, Mag 2(Elf),</t>
  </si>
  <si>
    <t>Elf 6, Mag 5, Ach 3, Dru 3, Geo 3, Hex 3, Sch 3, Srl 3,</t>
  </si>
  <si>
    <t>Hex 4, Ach 3, Elf 2,</t>
  </si>
  <si>
    <t>Elf 6, Dru 3, Geo 3, Hex 2,</t>
  </si>
  <si>
    <t>Ach 3, Geo 2,</t>
  </si>
  <si>
    <t>Geo 5, Dru 4, Hex 3, Mag 2(Dru),</t>
  </si>
  <si>
    <t>Hex 6, Dru 2, Geo 2, Elf 2(Hex),</t>
  </si>
  <si>
    <t>Elf 5, Geo 5, Ach 4, Dru 4, Hex 4, Mag 3,</t>
  </si>
  <si>
    <t>Mag 3, Bor 2, Dru 2, Hex 2,</t>
  </si>
  <si>
    <t>Ach 3, Geo 1, Mag 1,</t>
  </si>
  <si>
    <t>Hex 5, Dru 3, Elf 3, Mag 2,</t>
  </si>
  <si>
    <t>Ach 6, Mag 4, Elf 1</t>
  </si>
  <si>
    <t>Elf 7, Hex 6, Mag 6, Ach 4, Dru 4, Geo 4,</t>
  </si>
  <si>
    <t>Elf 2, Hex 1(Elf),</t>
  </si>
  <si>
    <t>Ach 5, Geo 5, Mag 5, Dru 4,</t>
  </si>
  <si>
    <t>Elf 6, Ach 5, Dru 5, Mag 5, Geo 4, Hex 3,</t>
  </si>
  <si>
    <t>Dru 5, Hex 5, Mag 5, Geo 4,</t>
  </si>
  <si>
    <t>Elf 6, Mag 5, Sch 5, Srl 3,</t>
  </si>
  <si>
    <t>Mag 5, Srl 5, Sch 3,</t>
  </si>
  <si>
    <t>Ach 7,</t>
  </si>
  <si>
    <t>Elf 6, Dru 2, Geo 2, Mag 2,</t>
  </si>
  <si>
    <t>Bor 5, Ach 3, Mag 3,</t>
  </si>
  <si>
    <t>Mag 5, Srl 5, Sch 2,</t>
  </si>
  <si>
    <t>Geo 4, Dru 4, Elf 2, Mag 2(Dru), Hex 1(Geo),</t>
  </si>
  <si>
    <t>Elf 5,</t>
  </si>
  <si>
    <t>Auelf 5, andere Elf 3, Ach 2, Dru 2, Geo 2, Mag 2(Dru),</t>
  </si>
  <si>
    <t>Dru 5, Geo 4, Ach 3, Hex 2, Mag 2,</t>
  </si>
  <si>
    <t>Dru 5, Geo 4, Mag 2,</t>
  </si>
  <si>
    <t>Waldelf 4, andere Elf 2, Ach 2, Geo 2, Dru 2(Geo),</t>
  </si>
  <si>
    <t>Dru 3, Hex 3, Sch 3, Elf 2,</t>
  </si>
  <si>
    <t>Hex 5, Dru 3, Geo 3, Ach 1, Mag 1,</t>
  </si>
  <si>
    <t>Ach 5, Dru 5, Geo 5,</t>
  </si>
  <si>
    <t>Dru 5, Geo 4, Hex 3, Sch 3,</t>
  </si>
  <si>
    <t>Dru 7, Geo 6,</t>
  </si>
  <si>
    <t>Stiefel, hoch</t>
  </si>
  <si>
    <t>Schuhe</t>
  </si>
  <si>
    <t>Fremd-Ritualkenntnis</t>
  </si>
  <si>
    <t>Begabung Zauber: Sartwert +1</t>
  </si>
  <si>
    <t>Begabung Zauber: Startwert +1</t>
  </si>
  <si>
    <t>Eitelkeit/Neugier 5;</t>
  </si>
  <si>
    <t>Eigenschaften (nach Generierung)</t>
  </si>
  <si>
    <t>Verbilligte Waffenspezialisierung Säbel (Amazonensäbel);</t>
  </si>
  <si>
    <t>Infanteriewaffen/Speere +3; Verbilligte Waffenspezialisierung Säbel (Khunchomer); Verbilligte Waffenspezialisierung Zweihandsäbel (Doppelkhunchomer);</t>
  </si>
  <si>
    <t>Bogen/Wurfspeere +4/+2; Brettspiel/Philosophie +2; Verbilligte Waffenspezialisierung Dolch (nach Wahl); Verbilligte Waffenspezialisierung Zweihandsäbel (Doppelkhunchomer);</t>
  </si>
  <si>
    <t>Schwerter/Zweihandschwerter/-säbel +2; Verbilligte Waffenspezialisierung Anderthalbhänder (Nachtwind/Tuzakmesser);</t>
  </si>
  <si>
    <t>Armbrust/Bogen +5; Dolche/Hiebwaffen/Säbel +4;</t>
  </si>
  <si>
    <t>Hiebwaffen/Kettenwaffen/Säbel/Schwerter +5;</t>
  </si>
  <si>
    <t>Dolche/Säbel +4; Maurer/Zimmermann +3;</t>
  </si>
  <si>
    <t>Infanteriewaffen/Speere/Zweihand-Hiebwaffen +5; Dolche/Hiebwaffen/Säbel +3;</t>
  </si>
  <si>
    <t>Armbrust/Bogen/Wurfbeile/Wurfspeere +4; Hiebwaffen/Säbel/Schwerter +5;</t>
  </si>
  <si>
    <t>Armbrust/Bogen/Wurfspeere +3; Infanteriewaffen/Speere/Zweihand-Hiebwaffen/Zweihandschwerter/-säbel +5; Hiebwaffen/Säbel/Schwerter +3;</t>
  </si>
  <si>
    <t>Armbrust/Bogen/Wurfspeere +3; Hiebwaffen/Kettenwaffen/Säbel/Schwerter +5; Lanzenreiten/Speere +3;</t>
  </si>
  <si>
    <t>Armbrust/Bogen +5; Fechtwaffen/Hiebwaffen/Säbel/Schwerter +3;</t>
  </si>
  <si>
    <t>Hiebwaffen/Säbel/Schwerter +3; Speere/Zweihand-Hiebwaffen +1; Grobschmied/Seiler/Zimmermann +2;</t>
  </si>
  <si>
    <t>Armbrust/Bogen/Wurfbeile/Wurfmesser +4; Hiebwaffen/Säbel/Schwerter +5;</t>
  </si>
  <si>
    <t>Anderthalbhänder/Fechtwaffen/Hiebwaffen/Kettenstäbe/Säbel/Schwerter/Stäbe/Zweihand-Hiebwaffen/Zweihandschwerter/-säbel +5; Reiten +1/Fahrzeug Lenken +3;</t>
  </si>
  <si>
    <t>Spezialisierungen</t>
  </si>
  <si>
    <t>Verbiligt</t>
  </si>
  <si>
    <t>AA Grenze</t>
  </si>
  <si>
    <t>Ingerimm-Geweihte: Ingra-Kult des Nordens</t>
  </si>
  <si>
    <t>Bitte eine der vorgeschlagenen Grundprofessionen wählen und darauf gemäss WdH S.229 modifizieren! Verwenden Sie für die niederen Ränge, die durch den Orden selbst ausgebildet wurden, als Basis die Professionen des Akademiegardisten (Seite 102), Botenreiters (Seite 123), Ausrufers (Seite 134), Domestiken (Seite 146) oder Schreibers (Seite 152) und benutzen Sie die verfügbaren Start-AP zur Anpassung der Spielwerte an den Horas-Kult.</t>
  </si>
  <si>
    <t>WdH 229 sagt dazu: Verwenden Sie für die niederen Ränge, die durch den Orden selbst ausgebildet wurden, als Basis die Professionen des Akademiegardisten (Seite 102), Botenreiters (Seite 123), Ausrufers (Seite 134), Domestiken (Seite 146) oder Schreibers (Seite 152) und benutzen Sie die verfügbaren Start-AP zur Anpassung der Spielwerte an den Horas-Kult.</t>
  </si>
  <si>
    <t>Göttliche Verständigung/Sicht auf Madas Welt;</t>
  </si>
  <si>
    <t xml:space="preserve">Anrufung der Winde/Gesegneter Fang; VERBILLIGT: Bootssegen/Mannschaftssegen; </t>
  </si>
  <si>
    <t xml:space="preserve">Erneuerung des Geborstenen/Kälbchensegen; Verbilligt: Flagge des Regenbogens/Haut des Chamäleons; </t>
  </si>
  <si>
    <t>Mirakel +/-</t>
  </si>
  <si>
    <t xml:space="preserve">Voraussetzung: Kultur Thorwal, kein Nachteil Blutrausch; </t>
  </si>
  <si>
    <t>Liste ÜB</t>
  </si>
  <si>
    <t>Mirakel+: Zwei Nahkampftalente, 5 Talente aus Liste: Brettspiel/Fahrzeug Lenken/Grobschmied/Heilkunde Wunden/Heraldik/Rechtskunde/Sinnenschärfe/Staatskunst/Überzeugen;</t>
  </si>
  <si>
    <t>Mirakel+: Ausweichen;</t>
  </si>
  <si>
    <t>Mirakel+: 2 Talente aus: Betören/Falschspiel/Gaukeleien/Klettern/Schlösser knacken/Sich verkleiden/Taschendiebstahl;</t>
  </si>
  <si>
    <t>Mirakel+: 4 Talente aus: Baukunst/Bergbau/Feinmechanik/Feuersteinbearbeitung/Glaskunst/Grobschmied/Holzbearbeitung/Kristallzucht/Metallguss/Steinmetz/Steinschneider/Zimmermann;</t>
  </si>
  <si>
    <t>Mirakel+: 4 Talente aus: Abrichten/Baukunst/Brettspiel/Hauswirschaft/Heilkunde Seele/Heraldik/Magiekunde;</t>
  </si>
  <si>
    <t>Voraussetzung: Beliebige Zwergen-Kulturkunde;</t>
  </si>
  <si>
    <t xml:space="preserve">Bezug Vorurteile: Geschuppte; </t>
  </si>
  <si>
    <t xml:space="preserve">Voraussetzung: Beliebige Zwergen-Kulturkunde; </t>
  </si>
  <si>
    <t>Anderthalbhänder/Zweihandschwerter/-säbel +6;</t>
  </si>
  <si>
    <t>Armbrust/Wurfmesser +1; 3 Wissenstalente +4,+3,+2; 3 Handwerkstalente +3,+2,+2 (außer Boote und Feuerstein);</t>
  </si>
  <si>
    <t>Armbrust/Wurfmesser +1; 3 Wissenstalente +4,+3,+2; 2 Handwerkstalente +3,+2 (außer Boote und Feuerstein);</t>
  </si>
  <si>
    <t>Eigene Rüstung</t>
  </si>
  <si>
    <t>RS Kopf</t>
  </si>
  <si>
    <t>RS Brust</t>
  </si>
  <si>
    <t>RS Rücken</t>
  </si>
  <si>
    <t>RS Bauch</t>
  </si>
  <si>
    <t>RS Arm links</t>
  </si>
  <si>
    <t>RS Arm rechts</t>
  </si>
  <si>
    <t>RS Beine</t>
  </si>
  <si>
    <t>EIGENE RÜSTUNGEN</t>
  </si>
  <si>
    <t>Zusätzliche Mirakel+ Talente:</t>
  </si>
  <si>
    <t>Zusätzliche Mirakel- Talente:</t>
  </si>
  <si>
    <t>Halbelf?</t>
  </si>
  <si>
    <t>Spruchzauberer?</t>
  </si>
  <si>
    <t>Übernatürliche Begabung Bärenruhe Winterschlaf</t>
  </si>
  <si>
    <t xml:space="preserve">Magiegespür/Prophezeien; </t>
  </si>
  <si>
    <t>Übernatürliche Begabung Firnlauf</t>
  </si>
  <si>
    <t>Aranischer Majuna (magisch, Zaubertänzer)</t>
  </si>
  <si>
    <t>Angst vor A</t>
  </si>
  <si>
    <t>Angst vor B</t>
  </si>
  <si>
    <t>Angst vor C</t>
  </si>
  <si>
    <t>Weltfremd A</t>
  </si>
  <si>
    <t>Weltfremd B</t>
  </si>
  <si>
    <t>Weltfremd C</t>
  </si>
  <si>
    <t>Weltfremd A 6 (Götter/Religion)</t>
  </si>
  <si>
    <t>Weltfremd A 6 (Besitz)</t>
  </si>
  <si>
    <t>Weltfremd B 6 (Götterverehrung)</t>
  </si>
  <si>
    <t>Weltfremd B 6 (Geld/Besitz)</t>
  </si>
  <si>
    <t>Weltfremd C 6 (Adelsherrschaft/Hierarchien)</t>
  </si>
  <si>
    <t xml:space="preserve">Bezug Weltfremd A: Besitz; Bezug Weltfremd B: Götterverehrung; </t>
  </si>
  <si>
    <t xml:space="preserve">Bezug Weltfremd A: Geld/Besitz; Bezug Weltfremd B: Götter/Religion; Bezug Weltfremd C: (Adelsherrschaft/Hierarchien); </t>
  </si>
  <si>
    <t xml:space="preserve"> Bezug Weltfremd A: Geld/Besitz; Bezug Weltfremd B: Götter/Religion; Bezug Weltfremd C (Adelsherrschaft/Hierarchien);</t>
  </si>
  <si>
    <t>Weltfremd A 5 (menschliche Ansiedlungen und Gewohnheiten)</t>
  </si>
  <si>
    <t>Weltfremd A 6 (Adelsherrschaft)</t>
  </si>
  <si>
    <t>Weltfremd B 6 (Währung und Geld)</t>
  </si>
  <si>
    <t>Weltfremd A 5</t>
  </si>
  <si>
    <t>Weltfremd A 6 (Zeitgefühl)</t>
  </si>
  <si>
    <t>Weltfremd B 6 (Geselligkeit)</t>
  </si>
  <si>
    <t>Weltfremd A 6 (gesellschaftliches Leben)</t>
  </si>
  <si>
    <t>Weltfremd A 5 (Geld und Besitz oder Götter und Religion oder Adel und Hierarchien)</t>
  </si>
  <si>
    <t xml:space="preserve">Bezug Weltfremd A: Adelsherrschaft; Bezug Weltfremd B: Währung und Geld; </t>
  </si>
  <si>
    <t>Bezug Weltfremd A: Geld / weltliche Autoritäten;</t>
  </si>
  <si>
    <t xml:space="preserve">Bezug Weltfremd A: Feudalsystem; Bezug Weltfremd B: Städtisches Leben; </t>
  </si>
  <si>
    <t xml:space="preserve">Bezug Weltfremd A: Gesellschaftliches Leben; </t>
  </si>
  <si>
    <t xml:space="preserve">Bezug Weltfremd A: Geld und Besitz / Götter und Religion / Adel und Hierarchien; </t>
  </si>
  <si>
    <t>Weltfremd A 5 (gesellschaftliches Leben)</t>
  </si>
  <si>
    <t>Weltfremd A 5 (menschliches Humorverständnis)</t>
  </si>
  <si>
    <t>Weltfremd A 8 (Religion, Geld, Adelsherrschaft)</t>
  </si>
  <si>
    <t>Weltfremd A 6 (Religion, städtisches Treiben)</t>
  </si>
  <si>
    <t xml:space="preserve">Bezug Weltfremd A: Religion, Geld, Adelsherrschaft; </t>
  </si>
  <si>
    <t>Weltfremd B 5</t>
  </si>
  <si>
    <t>Weltfremd C 5</t>
  </si>
  <si>
    <t>Alchimisten</t>
  </si>
  <si>
    <t xml:space="preserve">               │</t>
  </si>
  <si>
    <t xml:space="preserve">  Parierwaffen I</t>
  </si>
  <si>
    <t>Fechtwaffen/Schwerter +2; Handel/Hauswirtschaft +2; Geschichtswissen/Geographie/Heradlik +3;</t>
  </si>
  <si>
    <t>SF Scharfschütze (Wurfmesser);</t>
  </si>
  <si>
    <t>Unitatio</t>
  </si>
  <si>
    <t>Kontrollwerte</t>
  </si>
  <si>
    <t>Kontrollwert Invocatio Integra</t>
  </si>
  <si>
    <t>Kontrollwert Dschinnenruf</t>
  </si>
  <si>
    <t>Kontrollwert Elementarer Diener</t>
  </si>
  <si>
    <t>Kontrollwert Invocatio minor</t>
  </si>
  <si>
    <t>Kontrollwert Invocatio maior</t>
  </si>
  <si>
    <t>Kontrollwert Geisterruf</t>
  </si>
  <si>
    <t>Barbarenstreitaxt (einhändig)</t>
  </si>
  <si>
    <t>16/2</t>
  </si>
  <si>
    <t>Bastardschwert (einhändig)</t>
  </si>
  <si>
    <t>Dreizack (einhändig)</t>
  </si>
  <si>
    <t>Dschadra (einhändig)</t>
  </si>
  <si>
    <t>0/-5</t>
  </si>
  <si>
    <t>Echsische Axt (einhändig)</t>
  </si>
  <si>
    <t>Efferdbart (einhändig)</t>
  </si>
  <si>
    <t>Elfischer Jagdspieß (einhändig)</t>
  </si>
  <si>
    <t>15/3</t>
  </si>
  <si>
    <t>Gruufhai (einhändig)</t>
  </si>
  <si>
    <t>Holzfälleraxt (einhändig)</t>
  </si>
  <si>
    <t>Holzspeer (einhändig)</t>
  </si>
  <si>
    <t>Jagdspieß (einhändig)</t>
  </si>
  <si>
    <t>Kriegshammer (einhändig)</t>
  </si>
  <si>
    <t>Neethaner Langaxt (einhändig)</t>
  </si>
  <si>
    <t>Orknase (einhändig)</t>
  </si>
  <si>
    <t>Pailos (einhändig)</t>
  </si>
  <si>
    <t>Reisser-Axt (einhändig)</t>
  </si>
  <si>
    <t>Richtschwert (einhändig)</t>
  </si>
  <si>
    <t>Schnitter (einhändig)</t>
  </si>
  <si>
    <t>15/5</t>
  </si>
  <si>
    <t>Speer (einhändig)</t>
  </si>
  <si>
    <t>Spitzhacke (einhändig)</t>
  </si>
  <si>
    <t>Vorschlaghammer (einhändig)</t>
  </si>
  <si>
    <t>Warunker Hammer (einhändig)</t>
  </si>
  <si>
    <t>15/4</t>
  </si>
  <si>
    <t>Zwergenschlägel (einhändig)</t>
  </si>
  <si>
    <t>Felsspalter (einhändig)</t>
  </si>
  <si>
    <t>Rüstungsgewöhnung I für Kettenhemd;</t>
  </si>
  <si>
    <t>Weitere Zauber</t>
  </si>
  <si>
    <t>Spez. Erfahrung</t>
  </si>
  <si>
    <t>Zweitstudium Zauberfertigkeiten</t>
  </si>
  <si>
    <t>Zweitstudium Bekannt</t>
  </si>
  <si>
    <t>Hauszauber Erst- &amp; Zweit-Studium</t>
  </si>
  <si>
    <t>Startzauber Erststudium</t>
  </si>
  <si>
    <t>Bekannte Zauber (1.-2.Studium)</t>
  </si>
  <si>
    <t>Blendet in der Spalte Fehlermeldung eine Anzeige ein, ob eine Spez. Erfahrung erworben wurde.</t>
  </si>
  <si>
    <t>Drittstudium</t>
  </si>
  <si>
    <t>Institut für Arkane Analysen Kuslik</t>
  </si>
  <si>
    <t>1H</t>
  </si>
  <si>
    <t>Nein</t>
  </si>
  <si>
    <t>SE Zweitstudium/Drittstudium</t>
  </si>
  <si>
    <t>Drittstudium Hauszauber</t>
  </si>
  <si>
    <t>Drittstudium Zauberfertigkeiten</t>
  </si>
  <si>
    <t xml:space="preserve">Adlerauge/Armatrutz +2; Bannbaladin/Blitz +3; </t>
  </si>
  <si>
    <t xml:space="preserve">Armbrust/Bogen +3; Geographie/Magiekunde/Mechanik/Pflanzenkunde/Staatskunst/Tierkunde +2; Verbilligte Waffenspezialisierung (Anderthalbhänder); </t>
  </si>
  <si>
    <t>Blick aufs Wesen/Hellsicht trüben +3;</t>
  </si>
  <si>
    <t>Zu konvertierende AP:</t>
  </si>
  <si>
    <t xml:space="preserve">────────────────────────┘    </t>
  </si>
  <si>
    <t>Ausblenden</t>
  </si>
  <si>
    <t>Rahja Geweihte: Rahja-Kavalier</t>
  </si>
  <si>
    <t>Achaz-Kristallomantisch</t>
  </si>
  <si>
    <t>Borbaradianisch</t>
  </si>
  <si>
    <t>Druidisch</t>
  </si>
  <si>
    <t>Elfisch</t>
  </si>
  <si>
    <t>Geodisch</t>
  </si>
  <si>
    <t>Hexisch</t>
  </si>
  <si>
    <t>Gildenmagisch</t>
  </si>
  <si>
    <t>Schelmisch</t>
  </si>
  <si>
    <t>Scharlatanisch</t>
  </si>
  <si>
    <t>Kristallomant (Achaz), Achaz Schamane</t>
  </si>
  <si>
    <t>Borbaradianer</t>
  </si>
  <si>
    <t>Derwisch</t>
  </si>
  <si>
    <t>Durro-Dun</t>
  </si>
  <si>
    <t>Zahorische Hazaqi</t>
  </si>
  <si>
    <t>Hexe</t>
  </si>
  <si>
    <t>Gildenmagier</t>
  </si>
  <si>
    <t>Aranische Majuna</t>
  </si>
  <si>
    <t>Novadische Sharisad</t>
  </si>
  <si>
    <t>Scharlatan</t>
  </si>
  <si>
    <t>Tulamidische Sharisad</t>
  </si>
  <si>
    <t>Zibelja</t>
  </si>
  <si>
    <t>Ferkina-Schamane</t>
  </si>
  <si>
    <t>Gjalskerländer-Schamane</t>
  </si>
  <si>
    <t>Goblin-Schamae</t>
  </si>
  <si>
    <t>Nivesischer Schamane</t>
  </si>
  <si>
    <t>Orkischer Schamane</t>
  </si>
  <si>
    <t>Waldmenschen-Schamanen Tocamuyac</t>
  </si>
  <si>
    <t>Trollzacker-Schamane</t>
  </si>
  <si>
    <t>Waldmenschen-Schamanen Utulus</t>
  </si>
  <si>
    <t>Waldmenschen-Schamanen</t>
  </si>
  <si>
    <t>SHAMAN</t>
  </si>
  <si>
    <t>Alle Schamenen (für Rituale)</t>
  </si>
  <si>
    <t>RK-Tradition:</t>
  </si>
  <si>
    <t>Grad0-Liturgie</t>
  </si>
  <si>
    <t>Grad 0,</t>
  </si>
  <si>
    <t>Liturgien Grad 0</t>
  </si>
  <si>
    <t>Option: Primären Segnungen mit Grad 0 berücksichtigen</t>
  </si>
  <si>
    <t>TP/Entferng.</t>
  </si>
  <si>
    <t>Für BE das Zonenmodell nutzen</t>
  </si>
  <si>
    <t>Typ (eBE)</t>
  </si>
  <si>
    <t>Fernk.-Waffe</t>
  </si>
  <si>
    <t>4W+0</t>
  </si>
  <si>
    <t>(A) 2W+4</t>
  </si>
  <si>
    <t xml:space="preserve"> (A) 2W+4</t>
  </si>
  <si>
    <t>Anpassung von Fernkampfwaffen-Werte</t>
  </si>
  <si>
    <t>Anpassung der Handgemenge-Waffen</t>
  </si>
  <si>
    <t>Anpassung von Schild/Parierwaffe</t>
  </si>
  <si>
    <t>Erfassung eigene Rüstungen</t>
  </si>
  <si>
    <t>HG-Waffe</t>
  </si>
  <si>
    <t>Schild/P-Waffe</t>
  </si>
  <si>
    <t>Firnelfische Sippe (Verweltlicht)</t>
  </si>
  <si>
    <t>Auelfische Sippe (Verweltlicht)</t>
  </si>
  <si>
    <t>Elfische Siedlung (Verweltlicht)</t>
  </si>
  <si>
    <t xml:space="preserve">Auswahl der Zauber. Falls noch wählbare Haus- oder Startzauber ausgewählt werden können, müssen diese hier vor der ersten Steigerung gewählt werden. </t>
  </si>
  <si>
    <t>Wenn Helden aus der 3. Edition konvertiert wer-den, hier die alten Aben-teuerpunkte eintragen, die neuen werden automat-isch berechnet und übernommen. ►►►</t>
  </si>
  <si>
    <t xml:space="preserve">Fechtwaffen/Säbel/Schwerter/Speere/Stäbe +2; Total +6 auf zwei weitere Leittalente nach Wahl Abrichten/Bogenbau/Boote Fahren/Heilkunde Gift/Heilkunde Wunden/Malen/Zeichnen; </t>
  </si>
  <si>
    <t xml:space="preserve">Achtung: Ausschliessen von Verwechslung mit Übernatürliche Begabung "Pectetondo Zauberhaar" </t>
  </si>
  <si>
    <t>B/S-Kreis gegen Niedere Dämonen oder Geister;</t>
  </si>
  <si>
    <t>B/S-Kreise gegen Gehörnte Dämonen;</t>
  </si>
  <si>
    <t>B/S-Kreis gegen Elementare;</t>
  </si>
  <si>
    <t xml:space="preserve"> B/S-Kreis gegen Niedere Dämonen; B/S-Kreis gegen Gehörnte Dämonen;</t>
  </si>
  <si>
    <t>Dinge aufspüren</t>
  </si>
  <si>
    <t>Erster unter Gleichen</t>
  </si>
  <si>
    <t>RkW in Schritt</t>
  </si>
  <si>
    <t>Wachsame Augen</t>
  </si>
  <si>
    <t>Elf. Weltsicht</t>
  </si>
  <si>
    <t>Ausweichen I, Ausweichen II, Ausweichen III, Elfenlieder, Gefäß der Sterne, Große Meditation (Erlernen und Einsatz), Meisterliche Regeneration, Regeneration I, Regeneration II, Salasandra, Simultanzaubern, Tierischer Begleiter, Zauberkontrolle, Zauber unterbrechen, Zauber vereinigen</t>
  </si>
  <si>
    <t>Balayan nach Ishannah al'Kira</t>
  </si>
  <si>
    <t xml:space="preserve">Weltfremd A 6 </t>
  </si>
  <si>
    <t>Bezug Weltfremd A:  (Götter/Religion) oder (Adel/Hierarchien) oder (Geld und Besitz)</t>
  </si>
  <si>
    <t>Achtung: zusätzlich Weltfremd C 6 (Adelsherrschaft/Hierarchien) eintragen;</t>
  </si>
  <si>
    <t>Halbelf mit elfischer Ausbildung</t>
  </si>
  <si>
    <t>Halbelf mit elfischer Ausbildung (firnelfisch)</t>
  </si>
  <si>
    <t>Halbelf mit elfischer Ausbildung (nivesisch)</t>
  </si>
  <si>
    <t>Halbelf mit elfischer Ausbildung (thorwalsch)</t>
  </si>
  <si>
    <t>Armbrust/Blasrohr/Bogen/Wurfmesser +2; Säbel/Speere/Stäbe +2; Schleichen/Schwimmen +1;</t>
  </si>
  <si>
    <t xml:space="preserve">Armbrust/Bogen +2; Hiebwaffen/Säbel/Speere +3; Boote Fahren/Fahrzeug Lenken +4; </t>
  </si>
  <si>
    <t>Gelernte Merkmale</t>
  </si>
  <si>
    <t>Wählbar</t>
  </si>
  <si>
    <t>Prof Zibilja</t>
  </si>
  <si>
    <t>Pirschjagd Diskus</t>
  </si>
  <si>
    <t>Ansitzjagd Diskus</t>
  </si>
  <si>
    <t>Pirschjagd Wurfmesser</t>
  </si>
  <si>
    <t>Ach 4, Mag 5, Zib 3, SHAMAN 3</t>
  </si>
  <si>
    <t>15 Akt</t>
  </si>
  <si>
    <t>40 Akt</t>
  </si>
  <si>
    <t>5 Akt</t>
  </si>
  <si>
    <t>20 Akt</t>
  </si>
  <si>
    <t>3 Akt</t>
  </si>
  <si>
    <t>10 Akt</t>
  </si>
  <si>
    <t>28+ Akt</t>
  </si>
  <si>
    <t>4 Akt</t>
  </si>
  <si>
    <t>6 Akt</t>
  </si>
  <si>
    <t>30 Akt</t>
  </si>
  <si>
    <t>7 Akt</t>
  </si>
  <si>
    <t>5 Akt/Komp.</t>
  </si>
  <si>
    <t>2 Akt</t>
  </si>
  <si>
    <t>3+6 Akt</t>
  </si>
  <si>
    <t xml:space="preserve">5 Akt </t>
  </si>
  <si>
    <t>1 Akt</t>
  </si>
  <si>
    <t>8 Akt</t>
  </si>
  <si>
    <t>12 Akt</t>
  </si>
  <si>
    <t>20 Akt (3 Ber.)</t>
  </si>
  <si>
    <t xml:space="preserve">20 Akt  </t>
  </si>
  <si>
    <t xml:space="preserve">2 Akt </t>
  </si>
  <si>
    <t>25 Akt</t>
  </si>
  <si>
    <t>50 Akt</t>
  </si>
  <si>
    <t>5 Akt +1/Spann</t>
  </si>
  <si>
    <t>8 + X Akt</t>
  </si>
  <si>
    <t>8 Akt + X</t>
  </si>
  <si>
    <t>3 Akt/Person</t>
  </si>
  <si>
    <t>29 Akt</t>
  </si>
  <si>
    <t>28 Akt</t>
  </si>
  <si>
    <t>31 Akt</t>
  </si>
  <si>
    <t>4/kg (min. 7)</t>
  </si>
  <si>
    <t>max. ZfW Schritt</t>
  </si>
  <si>
    <t>ZfP* x 2 Schritt</t>
  </si>
  <si>
    <t>MR (min. 6)</t>
  </si>
  <si>
    <t>6 + 3/(6 SR)</t>
  </si>
  <si>
    <t>12+</t>
  </si>
  <si>
    <t>2W6</t>
  </si>
  <si>
    <t>ZfW x 50Schritt</t>
  </si>
  <si>
    <t>RS²-ZfP*/2 (min. 4)</t>
  </si>
  <si>
    <t>ZfW * 2 Std.</t>
  </si>
  <si>
    <t>Z, 7 Schritt</t>
  </si>
  <si>
    <t>1 pro LP (min. 5)</t>
  </si>
  <si>
    <t>ZfP* Std</t>
  </si>
  <si>
    <t>2 AsP/Tag</t>
  </si>
  <si>
    <t>ZfW x 5 Tage</t>
  </si>
  <si>
    <t>9 AsP pro SR</t>
  </si>
  <si>
    <t>6 AsP / 5KR</t>
  </si>
  <si>
    <t>21 + 3 AsP/Std</t>
  </si>
  <si>
    <t>ZfW/2 Akt</t>
  </si>
  <si>
    <t>7 / 2W6 AsP</t>
  </si>
  <si>
    <t>min. 30 AsP</t>
  </si>
  <si>
    <t>Stunden</t>
  </si>
  <si>
    <t>1/2 Tag</t>
  </si>
  <si>
    <t>max ZfW AsP (min 3)</t>
  </si>
  <si>
    <t>Winternsonnenw.</t>
  </si>
  <si>
    <t>3 AsP/Stein</t>
  </si>
  <si>
    <t>ZfP* x 2 SR</t>
  </si>
  <si>
    <t>1 + Min.</t>
  </si>
  <si>
    <t>ZfP* x 0.5 SR</t>
  </si>
  <si>
    <t>2+2 AsP/Stein</t>
  </si>
  <si>
    <t>2W6+ZfP*</t>
  </si>
  <si>
    <t>ZfWx 500 Schritt</t>
  </si>
  <si>
    <t>6+ZfP* SR</t>
  </si>
  <si>
    <t>ZfW/2 x SR</t>
  </si>
  <si>
    <t>min.7, 2 pro 100cm³</t>
  </si>
  <si>
    <t>ZfP*/2 x SR</t>
  </si>
  <si>
    <t>1 SR / AsP</t>
  </si>
  <si>
    <t>W20 pro 10KR</t>
  </si>
  <si>
    <t>je 1 AsP</t>
  </si>
  <si>
    <t>ZfP*x3 KR</t>
  </si>
  <si>
    <t>LeP</t>
  </si>
  <si>
    <t>10 AsP+5/SR</t>
  </si>
  <si>
    <t>2 AsP x Gefährlichkeitsstufe</t>
  </si>
  <si>
    <t>11 AsP+2/SR</t>
  </si>
  <si>
    <t>3 AsP/Geist</t>
  </si>
  <si>
    <t>7 Akt + X</t>
  </si>
  <si>
    <t>20 + Akt</t>
  </si>
  <si>
    <t>min. 17, 1 pro Beteiligtem</t>
  </si>
  <si>
    <t>21 Schritt Radius</t>
  </si>
  <si>
    <t>9+RSx1.5 AsP</t>
  </si>
  <si>
    <t>5 AsP/Schritt</t>
  </si>
  <si>
    <t>3SR</t>
  </si>
  <si>
    <t>min. 13</t>
  </si>
  <si>
    <t>GW/2, min. 3 AsP</t>
  </si>
  <si>
    <t>3 AsP/Schritt</t>
  </si>
  <si>
    <t>6+2AsP/Opf.</t>
  </si>
  <si>
    <t>9 AsP/SR</t>
  </si>
  <si>
    <t>+2*MR</t>
  </si>
  <si>
    <t>2AsP/Meile+4AsP/SR</t>
  </si>
  <si>
    <t>ZfP*x2 Std. (A)</t>
  </si>
  <si>
    <t>11 Akt + X</t>
  </si>
  <si>
    <t>3+1AsP/Schritt</t>
  </si>
  <si>
    <t>min. 8W6</t>
  </si>
  <si>
    <t>Sommersonnenw.</t>
  </si>
  <si>
    <t>10+1AsP/Meile</t>
  </si>
  <si>
    <t>min. 7 AsP</t>
  </si>
  <si>
    <t>min. 5 AsP</t>
  </si>
  <si>
    <t>min. 6</t>
  </si>
  <si>
    <t>3AsP/10Unzen</t>
  </si>
  <si>
    <t>4+1 AsP/ TP</t>
  </si>
  <si>
    <t>je 4 AsP/Mahlz.</t>
  </si>
  <si>
    <t>Eigenschaften, Gaben &amp; Vertrautentier</t>
  </si>
  <si>
    <t>AP SF:</t>
  </si>
  <si>
    <t>Die Werte für "bei Gen. Vorhanden" und "verbilligt" werden automatisch ermittelt. In den Spalten "mit GP kaufen", "mit Start-AP kaufen" und "mit AP kaufen" ein "x" einsetzen, falls diese Sonderfertigkeit gewünscht wird. Ausnahme sind "Gefäß der Sterne" und "Große Meditation", hier bitte bei "mit AP kaufen" die entsprechende Anzahl einsetzen (also dass der Held z.B. 2 Meditationen bereits durchgeführt hat).</t>
  </si>
  <si>
    <t>Großer Geisterbann</t>
  </si>
  <si>
    <t>Fer, Gja, Gob, Niv, Ork, Toc, Tzk, Utu, Wdm</t>
  </si>
  <si>
    <t>Goetter</t>
  </si>
  <si>
    <t>(1 D = 10 S = 100 H = 1000 K)</t>
  </si>
  <si>
    <t>Regeneration</t>
  </si>
  <si>
    <t>Karmaenergie (KaP)</t>
  </si>
  <si>
    <t>Astralenergie (AsP)</t>
  </si>
  <si>
    <t>Ausdauer (AuP)</t>
  </si>
  <si>
    <t>Lebensenergie (LeP)</t>
  </si>
  <si>
    <t>3W6+ 6(bei KO-Probe) / SR</t>
  </si>
  <si>
    <t xml:space="preserve"> Linkhand (PA+1)</t>
  </si>
  <si>
    <t>Schildkampf I (PA+2)</t>
  </si>
  <si>
    <t xml:space="preserve">     II (PA+2)</t>
  </si>
  <si>
    <t xml:space="preserve"> Rüstungsgewöhnung </t>
  </si>
  <si>
    <t>Überanstrengung</t>
  </si>
  <si>
    <t>Pro h Rast: 1; Pro h Schlaf: 2 Punkte</t>
  </si>
  <si>
    <t>Pro h Rast: 2; Pro h Schlaf: 4 Punkte</t>
  </si>
  <si>
    <t>ALL - Check Verpflichtungen</t>
  </si>
  <si>
    <t>Anpassung weiterer Nachteile</t>
  </si>
  <si>
    <t>Sprint:</t>
  </si>
  <si>
    <t>Tauchen:</t>
  </si>
  <si>
    <t>Luft für:</t>
  </si>
  <si>
    <t>2.Hand</t>
  </si>
  <si>
    <t>Waffenmeister (Schild)</t>
  </si>
  <si>
    <t>Schild / Parierwaffe</t>
  </si>
  <si>
    <t>Nichtmagische Magier</t>
  </si>
  <si>
    <t>ZBRTZR_UNM</t>
  </si>
  <si>
    <t>Unmagische Alchimisten</t>
  </si>
  <si>
    <t>ALCHIMIST_UNM</t>
  </si>
  <si>
    <t>Kontrollwert Zauberwesen</t>
  </si>
  <si>
    <t>Kontrollwert Meister der Elemente</t>
  </si>
  <si>
    <t>Hier die Eigenschafts-werte angeben. Modifika-tionen aus Profession, Rasse und Kultur werden unter Mod. eingerechnet. Werden falsche Werte (zu hoch/niedrig) angegeben, erscheint rechts ein entsprechender Hinweis. ►►►</t>
  </si>
  <si>
    <t>(ohne Anlauf nur 50%)</t>
  </si>
  <si>
    <t>Spann + TaP* Athletik mal 2 Finger (ohne Anlauf nur 50%)</t>
  </si>
  <si>
    <t>Kategorie</t>
  </si>
  <si>
    <t>Kategorien Rituale</t>
  </si>
  <si>
    <t>Hexenfluch</t>
  </si>
  <si>
    <t>Keulenritual</t>
  </si>
  <si>
    <t>Zibilja-Ritual</t>
  </si>
  <si>
    <t>Tierkrieger-Ritual</t>
  </si>
  <si>
    <t>Kristallomantisches-Ritual</t>
  </si>
  <si>
    <t>Apport spezieller Gegenstand</t>
  </si>
  <si>
    <t>Zaubertanz</t>
  </si>
  <si>
    <t>RIT_DRUIDE</t>
  </si>
  <si>
    <t>RIT_APPORT</t>
  </si>
  <si>
    <t>RIT_ELF</t>
  </si>
  <si>
    <t>RIT_BANN</t>
  </si>
  <si>
    <t>RIT_HEXE</t>
  </si>
  <si>
    <t>RIT_KEULE</t>
  </si>
  <si>
    <t>RIT_KRISTALL</t>
  </si>
  <si>
    <t>RIT_KUGEL</t>
  </si>
  <si>
    <t>RIT_SCHALE</t>
  </si>
  <si>
    <t>RIT_GEODE</t>
  </si>
  <si>
    <t>RIT_SCHUPPEN</t>
  </si>
  <si>
    <t>RIT_STAB</t>
  </si>
  <si>
    <t>RIT_TROMMEL</t>
  </si>
  <si>
    <t>RIT_TANZ</t>
  </si>
  <si>
    <t>RIT_ZIB</t>
  </si>
  <si>
    <t>RIT_ODUN</t>
  </si>
  <si>
    <t>Merkmalsfokus (Anti)</t>
  </si>
  <si>
    <t>Merkmalsfokus (Besw)</t>
  </si>
  <si>
    <t>Merkmalsfokus (Dämo)</t>
  </si>
  <si>
    <t>Merkmalsfokus (Eign)</t>
  </si>
  <si>
    <t>Merkmalsfokus (Einfl)</t>
  </si>
  <si>
    <t>Merkmalsfokus (Elem)</t>
  </si>
  <si>
    <t>Merkmalsfokus (Form)</t>
  </si>
  <si>
    <t>Merkmalsfokus (Geis)</t>
  </si>
  <si>
    <t>Merkmalsfokus (Heil)</t>
  </si>
  <si>
    <t>Merkmalsfokus (Hell)</t>
  </si>
  <si>
    <t>Merkmalsfokus (Herr)</t>
  </si>
  <si>
    <t>Merkmalsfokus (Illu)</t>
  </si>
  <si>
    <t>Merkmalsfokus (Krft)</t>
  </si>
  <si>
    <t>Merkmalsfokus (Limb)</t>
  </si>
  <si>
    <t>Merkmalsfokus (Meta)</t>
  </si>
  <si>
    <t>Merkmalsfokus (Objk)</t>
  </si>
  <si>
    <t>Merkmalsfokus (Rufe)</t>
  </si>
  <si>
    <t>Merkmalsfokus (Scha)</t>
  </si>
  <si>
    <t>Merkmalsfokus (Tele)</t>
  </si>
  <si>
    <t>Merkmalsfokus (Temp)</t>
  </si>
  <si>
    <t>Merkmalsfokus (Umwt)</t>
  </si>
  <si>
    <t>Merkmalsfokus (Vers)</t>
  </si>
  <si>
    <t>Druidische Rituale</t>
  </si>
  <si>
    <t>Elfenlied</t>
  </si>
  <si>
    <t>Geodische Rituale (Ring des Lebens)</t>
  </si>
  <si>
    <t xml:space="preserve"> Bezug Vorurteile: Gegen echsische Wesen;</t>
  </si>
  <si>
    <t>Bezug Vorurteile: Gegen Nostria;</t>
  </si>
  <si>
    <t>Vorurteile 6 (gegen Nostria)</t>
  </si>
  <si>
    <t>Dolche/Hiebwaffen/Säbel +2; Raufen/Ringen +2; Handel/Hauswirtschaft +2;</t>
  </si>
  <si>
    <t xml:space="preserve">Dolche/Hiebwaffen/Säbel +2; Raufen/Ringen +2; Handel/Hauswirtschaft +2; </t>
  </si>
  <si>
    <t xml:space="preserve">Bogen/Wurfspeere +3; Ackerbau/Viehzucht +1; </t>
  </si>
  <si>
    <t>Mittelreich</t>
  </si>
  <si>
    <t>Aranien</t>
  </si>
  <si>
    <t>Amazonen</t>
  </si>
  <si>
    <t>Tulamidenlande</t>
  </si>
  <si>
    <t>Novadi</t>
  </si>
  <si>
    <t>Waldmenschen</t>
  </si>
  <si>
    <t>Nivesen</t>
  </si>
  <si>
    <t>Norbarden</t>
  </si>
  <si>
    <t>Waldelfen</t>
  </si>
  <si>
    <t>Steppenelfen</t>
  </si>
  <si>
    <t>Firnelfen</t>
  </si>
  <si>
    <t>Auelfen</t>
  </si>
  <si>
    <t>Orks</t>
  </si>
  <si>
    <t>Goblins</t>
  </si>
  <si>
    <t>Steigerungsspalte AP</t>
  </si>
  <si>
    <t>Code Steigerung AP</t>
  </si>
  <si>
    <t>Code Steigerung Start-AP</t>
  </si>
  <si>
    <t>Gegebene Rituale</t>
  </si>
  <si>
    <t>Objektrituale
(inkl. Stabzauber, Weihe der Schale usw.)</t>
  </si>
  <si>
    <t>Objektrituale im Blatt Zauber</t>
  </si>
  <si>
    <t>Merkmalskenntnisse im Blatt Zauber</t>
  </si>
  <si>
    <t>Repräsentationen im Blatt Zauber</t>
  </si>
  <si>
    <t>Weltfremd A 6 (zivilisierte Umgangsformen, höfisches Leben)</t>
  </si>
  <si>
    <t>Verpflichtungen (Orden &amp; Schutzbefohlene)</t>
  </si>
  <si>
    <t>Kor-Geweihte (nur mittels BGB wählbar)</t>
  </si>
  <si>
    <t>Archetypen-Klassen Magie - Nichtmagische Magier</t>
  </si>
  <si>
    <t>Archetypen-Klassen Goetter - BGB Goetter-Professionen</t>
  </si>
  <si>
    <t>Orden</t>
  </si>
  <si>
    <t>BGB Geweihte</t>
  </si>
  <si>
    <t>BGB Orden</t>
  </si>
  <si>
    <t>Geweihte (nicht zeitaufwendig)</t>
  </si>
  <si>
    <t>BGB_ORDEN</t>
  </si>
  <si>
    <t>BGB_GEWEIHT</t>
  </si>
  <si>
    <t>Goetter (BGB)</t>
  </si>
  <si>
    <t>Vorurteile 5 (gegen Männer)</t>
  </si>
  <si>
    <t>Vorurteile 5  (gegen jeden der nicht aus der Khom stammt)</t>
  </si>
  <si>
    <t>Vorurteile 8 (Geschuppte)</t>
  </si>
  <si>
    <t>Vorurteile 7 (Echsen)</t>
  </si>
  <si>
    <t>Vorurteile 8 (Ungläubige)</t>
  </si>
  <si>
    <t>Weltfremd A 6 (städtisches Leben, Geselligkeit)</t>
  </si>
  <si>
    <t>Weltfremd A 6 (Feudalsystem)</t>
  </si>
  <si>
    <t>Weltfremd B 6 (Städtisches Leben)</t>
  </si>
  <si>
    <t>BGB</t>
  </si>
  <si>
    <t>Start-AP 2Prof</t>
  </si>
  <si>
    <t>Start-AP Sum</t>
  </si>
  <si>
    <t>Start-AP2-Sum</t>
  </si>
  <si>
    <t xml:space="preserve"> Gutschrift aus doppelten Vorteilen</t>
  </si>
  <si>
    <t xml:space="preserve"> Freie Ausgabe von GP-Punkten</t>
  </si>
  <si>
    <t>Spezielles</t>
  </si>
  <si>
    <t>Start-AP Eigenschaften</t>
  </si>
  <si>
    <t>Start-AP-Spaltenberechnung</t>
  </si>
  <si>
    <t>Akademische Ausbildung</t>
  </si>
  <si>
    <t>AP-Steigerungsspalte</t>
  </si>
  <si>
    <t>Code-Werte Steigerungsspalte Start-AP</t>
  </si>
  <si>
    <t>Code-Werte Steigerungsspalte AP</t>
  </si>
  <si>
    <t>Komplexität Grundwert (ohne SE)</t>
  </si>
  <si>
    <t>Doppelt vergebene SF - links</t>
  </si>
  <si>
    <t>Doppelt vergebene SF - recht</t>
  </si>
  <si>
    <t xml:space="preserve"> Gutschrift aus doppelten Sonderfertigkeiten</t>
  </si>
  <si>
    <t>Vergünstigung verbilligte SF</t>
  </si>
  <si>
    <t>SF Merkmalskenntnis</t>
  </si>
  <si>
    <t>Laden</t>
  </si>
  <si>
    <t>JA</t>
  </si>
  <si>
    <t>15/30/60/120/250</t>
  </si>
  <si>
    <t>10/20/30/50/60</t>
  </si>
  <si>
    <t>3 (20)</t>
  </si>
  <si>
    <t>Kettenkugel</t>
  </si>
  <si>
    <t>0/2/5/8/15</t>
  </si>
  <si>
    <t>(-/+1/0/0/0)</t>
  </si>
  <si>
    <t>(+3/+2/+1/0/-1)</t>
  </si>
  <si>
    <t>KO/2-2</t>
  </si>
  <si>
    <t>Granatapfel (Wurfspeere)</t>
  </si>
  <si>
    <t>Granatapfel (Schleuder)</t>
  </si>
  <si>
    <t>Geschosse</t>
  </si>
  <si>
    <t>Fehlermeldung1</t>
  </si>
  <si>
    <t>Fehlermeldung EIGN</t>
  </si>
  <si>
    <t>EIGN</t>
  </si>
  <si>
    <t>Eigene Professionsbezeichnung:</t>
  </si>
  <si>
    <t>Start-AP SF:</t>
  </si>
  <si>
    <t>Start-AP Talente:</t>
  </si>
  <si>
    <t>Start-AP Zauber:</t>
  </si>
  <si>
    <t xml:space="preserve">Start-AP Goetter: </t>
  </si>
  <si>
    <t>Start-AP Eigenschaften:</t>
  </si>
  <si>
    <t>Start-AP Eign:</t>
  </si>
  <si>
    <t>Start-AP übrig:</t>
  </si>
  <si>
    <t>2.Prof.-Start-AP übrig:</t>
  </si>
  <si>
    <t>VT_Fehler</t>
  </si>
  <si>
    <t>Bakka</t>
  </si>
  <si>
    <t>0/-6</t>
  </si>
  <si>
    <t>Dschadra (Reiterkampf)</t>
  </si>
  <si>
    <t>Elfisches Jagdmesser</t>
  </si>
  <si>
    <t>-1/-6</t>
  </si>
  <si>
    <t>3W+0</t>
  </si>
  <si>
    <t>Knochenkeule (groß)</t>
  </si>
  <si>
    <t>Knochenkeule (mittelgroß)</t>
  </si>
  <si>
    <t>Knochenkeule groß (einhändig)</t>
  </si>
  <si>
    <t>Kriegslanze (Reiterkampf)</t>
  </si>
  <si>
    <t>Nachtwind (einhändig)</t>
  </si>
  <si>
    <t>Reißer-Axt</t>
  </si>
  <si>
    <t>Turnierlanze (Reiterkampf)</t>
  </si>
  <si>
    <t>Turnierschwert (Holz)</t>
  </si>
  <si>
    <t>Fausthieb</t>
  </si>
  <si>
    <t>Tritt/Kopfstoß</t>
  </si>
  <si>
    <t>Stoß mit Schild</t>
  </si>
  <si>
    <t>-2/0</t>
  </si>
  <si>
    <t>Waffenalle</t>
  </si>
  <si>
    <t>1W+1 (A)</t>
  </si>
  <si>
    <t>1W+3 (A)</t>
  </si>
  <si>
    <t>1W+2 (A)</t>
  </si>
  <si>
    <t>1W+4  (A)</t>
  </si>
  <si>
    <t>1W+1 A)</t>
  </si>
  <si>
    <t>1W+0 (A)</t>
  </si>
  <si>
    <t>Natürliche Waffen (Biss 1W+1)</t>
  </si>
  <si>
    <t>Natürliche Waffen (Biss 1W)</t>
  </si>
  <si>
    <t>Natürliche Waffen (Biss 1W, Schwanz 1W)</t>
  </si>
  <si>
    <t>Tierempathie (Reptilien);</t>
  </si>
  <si>
    <t>Abrichten/Ackerbau/Brauer/Fischen/Angeln/Fleischer/Gerber/Kürschner/Grobschmied/Kochen/Seiler/Stoffe Färben/Töpfern/Viehzucht/Webkunst/Zimmermann +1; Boote Fahren/Fahrzeug Lenken +1</t>
  </si>
  <si>
    <t>Abrichten/Ackerbau/Brauer/Fischen/Angeln/Fleischer/Gerber/Kürschner/Grobschmied/Kochen/Seiler/Stoffe Färben/Töpfern/Viehzucht/Webkunst/Zimmermann +1; Armbrust/Bogen/Wurfmesser +1; Infanteriewaffen/Speere +1; Boote Fahren/Fahrzeug Lenken +1</t>
  </si>
  <si>
    <t>Bogen/Wurfbeile/Wurfspeere +1; Abrichten/Ackerbau/Brauer/Fischen/Angeln/Fleischer/Gerber/Kürschner/Grobschmied/Kochen/Seiler/Stoffe Färben/Töpfern/Viehzucht/Webkunst/Zimmermann +1; Boote Fahren/Fahrzeug Lenken +1</t>
  </si>
  <si>
    <t>einmal Fremdsprache (Tulamidya/Rogolan/Isdira/Thorwalsch/Zhayad/Zhulchammaqra ('Trollzackisch')) +3</t>
  </si>
  <si>
    <t>Sumpfkundig/Waldkundig;</t>
  </si>
  <si>
    <t>Vorurteile 5 (gegen jeden der nicht aus der Khom stammt)</t>
  </si>
  <si>
    <t>Kulturkunde (Horasreich)</t>
  </si>
  <si>
    <t xml:space="preserve">Hiebwaffen/Säbel/Speere +1; Abrichten/Fleischer/Gerber/Kürschner/Grobschmied/Hauswirtschaft/Stoffe Färben/Töpfern/Webkunst/Winzer +1; </t>
  </si>
  <si>
    <t xml:space="preserve">Hiebwaffen/Säbel/Speere +1; Bogen/Schleuder/Zweihandflegel +1; Athletik/Klettern +1; Abrichten/Fleischer/Gerber/Kürschner/Grobschmied/Hauswirtschaft/Stoffe Färben/Töpfern/Webkunst/Winzer +1; </t>
  </si>
  <si>
    <t xml:space="preserve">Hiebwaffen/Säbel/Speere +1; Boote Fahren/Seefahrt +1; Abrichten/Fleischer/Gerber/Kürschner/Grobschmied/Hauswirtschaft/Stoffe Färben/Töpfern/Webkunst/Winzer +1; </t>
  </si>
  <si>
    <t xml:space="preserve">Hiebwaffen/Säbel/Speere +1; Bogen/Schleuder +1; Abrichten/Fleischer/Gerber/Kürschner/Grobschmied/Hauswirtschaft/Stoffe Färben/Töpfern/Webkunst/Winzer +1; </t>
  </si>
  <si>
    <t xml:space="preserve">Je einmal +1 und +1 auf Ackerbau/Brauer/Grobschmied/Holzbearbeitung/Lederarbeiten/Schneidern/Stoffe Färben/Viehzucht/Webkunst; </t>
  </si>
  <si>
    <t>Muttersprache (auf KL-2) (Horathi/Zyklopäisch); Zweitsprache (auf KL-4) (Horathi/Zyklopäisch)</t>
  </si>
  <si>
    <t>Kulturkunde (Südliche Stadtstaaten)</t>
  </si>
  <si>
    <t xml:space="preserve">Bezug Weltfremd: Auswahl aus Religion/Adelsherrschaft/Währung und Geld/Rechtsprechung und Gesetze); </t>
  </si>
  <si>
    <t>einmal zusätzlich Fremdsprache (Garethi/Tulamidya) +5</t>
  </si>
  <si>
    <t>Zweitsprache (auf KL-4) (Garethi/Nujuka ('Nivesisch')); Fremdsprache einmal zusätzlich -das nicht als Zweitsprache gewählte- (Garethi/Nujuka ('Nivesisch')) +4</t>
  </si>
  <si>
    <t xml:space="preserve">Kulturkunde (Mittelreich);  Ortskenntnis (Stadtteil bzw. Kleinstadt); </t>
  </si>
  <si>
    <t>Kulturkunde (Norbarden); Steppenkundig/Waldkundig;</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</si>
  <si>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Exposami Lebenskraft* (B), Falkenauge Meisterschuss* (B), Flim Flam Funkel** (A), Fulminictus Donnerkeil** (C), Gedankenbilder Elfenruf** (B), Haselbusch und Ginsterkraut* (D), Hellsicht trüben (C), Hilfreiche Tatze-rettende Schwinge (D), Klarum Purum (D), Krötensprung (B), Leib der Erde (D), Motoricus (C), Movimento Dauerlauf** (A), Nebelwand und Morgendunst* (C), Objectovoco (C), Odem Arcanum* (A), Penetrizzel Tiefenblick (C), Pestilenz erspüren (C), Pfeil der Luft* (C), Pfeil des Humus (C), Plumbumbarum schwerer Arm (B), Respondami Wahrheitszwang (B), Ruhe Körper - ruhe Geist* (B), Sanftmut (B), Seidenzunge Elfenwort (B), Sensibar Empathicus** (C), Silentium Silentille** (B), Solidirid Weg aus Licht (D), Somnigravis tiefer Schlaf* (B), Spurlos Trittlos* (C), Tiergedanken* (C), Traumgestalt (D), Unitatio Geistesbund** (B), Verständigung stören* (C), Visibili Vanitar* (C), Wasseratem* (C), Weisse Mähn' und gold'ner Huf (D), Wellenlauf (D), Windstille* (C), Zaubernahrung Hungerbann (C)</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</si>
  <si>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Exposami Lebenskraft* (B), Falkenauge Meisterschuss* (B), Firnlauf (D), Flim Flam Funkel** (A), Fulminictus Donnerkeil** (C), Gedankenbilder Elfenruf** (B), Haselbusch und Ginsterkraut* (D), Hellsicht trüben (C), Hilfreiche Tatze-rettende Schwinge (D), Klarum Purum (D), Krötensprung (B), Leib der Erde (D), Metamorpho Gletscherform (C), Motoricus (C), Movimento Dauerlauf** (A), Nebelwand und Morgendunst* (C), Objectovoco (C), Odem Arcanum* (A), Penetrizzel Tiefenblick (C), Pestilenz erspüren (C), Pfeil der Luft* (C), Pfeil des Humus (C), Plumbumbarum schwerer Arm (B), Respondami Wahrheitszwang (B), Ruhe Körper - ruhe Geist* (B), Sanftmut (B), Seidenzunge Elfenwort (B), Sensibar Empathicus** (C), Silentium Silentille** (B), Solidirid Weg aus Licht (D), Somnigravis tiefer Schlaf* (B), Spurlos Trittlos* (C), Tiergedanken* (C), Traumgestalt (D), Unitatio Geistesbund** (B), Verständigung stören* (C), Visibili Vanitar* (C), Wasseratem* (C), Weisse Mähn' und gold'ner Huf (D), Wellenlauf (D), Windstille* (C), Zaubernahrung Hungerbann (C)</t>
  </si>
  <si>
    <t xml:space="preserve">Je einmal +2 und +1 auf Hiebwaffen/Säbel; zur Profession passendes Handwerks-Talent +2; </t>
  </si>
  <si>
    <t xml:space="preserve">Kulturkunde (üblicherweise Auelfen); </t>
  </si>
  <si>
    <t xml:space="preserve">Kulturkunde (Firnelfen); Eiskundig/Meereskundig; </t>
  </si>
  <si>
    <t>Zauber mit Elf 5 sind mit * markiert, besonders für Elfen-Kultur empfohlene Sprüche sind mit ** markiert: Abvenenum reine Speise* (C), Adlerauge Luchsenohr* (B), Adlerschwinge Wolfsgestalt** (D), Aeolitus  Windgebraus* (B), Armatrutz* (B), Attributo* (B), Axxeleratus Blitzgeschwind* (C), Balsam Salabunde** (C), Band und Fessel* (C), Bannbaladin** (B), Bärenruhe Winterschlaf (D), Beherrschung Brechen (C), Bewegung stören (C), Blick aufs Wesen* (C), Blick in die Gedanken* (D), Blitz dich find** (B), Chamaelioni** (C), Eigenschaften wiederherst.* (C), Einfluss bannen (B), Exposami Lebenskraft** (B), Falkenauge Meisterschuss* (B), Flim Flam Funkel** (A), Fulminictus Donnerkeil* (C), Gedankenbilder Elfenruf** (B), Haselbusch und Ginsterkraut* (D), Hellsicht trüben (C), Herr über das Tierreich (D), Hilfreiche Tatze-rettende Schwinge (D), Katzenaugen (C), Krötensprung (B), Leib der Erde (D), Memorabia Falsifir (E), Motoricus (C), Movimento Dauerlauf* (A), Nebelwand und Morgendunst* (C), Objectovoco (C), Odem Arcanum* (A), Penetrizzel Tiefenblick (C), Pestilenz erspüren (C), Pfeil der Luft* (C), Pfeil des Humus (C), Plumbumbarum schwerer Arm (B), Respondami Wahrheitszwang (B), Ruhe Körper - ruhe Geist* (B), Sanftmut (B), Seidenzunge Elfenwort (B), Sensibar Empathicus* (C), Silentium Silentille* (B), Solidirid Weg aus Licht (D), Somnigravis tiefer Schlaf* (B), Spurlos Trittlos* (C), Tiergedanken* (C), Traumgestalt (D), Unitatio Geistesbund** (B), Verständigung stören* (C), Visibili Vanitar* (C), Wasseratem* (C), Weisse Mähn' und gold'ner Huf (D), Wellenlauf (D), Windstille* (C), Wipfellauf (D)</t>
  </si>
  <si>
    <t>Kulturkunde (Svelltal&amp;Nordlande)</t>
  </si>
  <si>
    <t xml:space="preserve">Hiebwaffen/Säbel +2; Ackerbau/Viehzucht/Bergbau +2; zur Profession passendes Handwerks-Talent +2; </t>
  </si>
  <si>
    <t>Orkland-Orks/Kaste Grishik (Bauern)</t>
  </si>
  <si>
    <t>Orkland-Orks/Kaste Drasdech (Handwerker)</t>
  </si>
  <si>
    <t>Orkland-Orks/Kaste Khurkach (Krieger und Jäger)</t>
  </si>
  <si>
    <t>Orkland-Orks/Kaste Okwach (Elite-Krieger, Priester, Schamanen)</t>
  </si>
  <si>
    <t>einmal zusätzlich Fremdsprache (Brabaci/Charypto/Tulamidya) +3</t>
  </si>
  <si>
    <t>einmal zusätzlich Fremdsprache (Brabaci/Charypto/Tulamidya) +4</t>
  </si>
  <si>
    <t>Muttersprache (auf KL-2) (Tulamidya/Maraskani); Zweitsprache (auf KL-4) (Tulamidya/Maraskani)</t>
  </si>
  <si>
    <t>Muttersprache (auf KL-2) Brabaci/Gatamo;</t>
  </si>
  <si>
    <t>Muttersprache (auf KL-2) Brabaci/Gatamo</t>
  </si>
  <si>
    <t>Muttersprache (auf KL-2) (Brabaci/Rssahh/Tulamidya/Zelemja); Zweitsprache (auf KL-4) (Brabaci/Rssahh/Tulamidya/Zelemja); einmal zusätzlich Fremdsprache (Brabaci/Rssahh/Tulamidya/Zelemja/Mohisch) +4</t>
  </si>
  <si>
    <t xml:space="preserve">einmal zusätzlich Fremdsprache +4; </t>
  </si>
  <si>
    <t>Arcanovi -Varianten</t>
  </si>
  <si>
    <t>Torsionswaffen</t>
  </si>
  <si>
    <t>Fesseln</t>
  </si>
  <si>
    <t>Alch. Gift</t>
  </si>
  <si>
    <t>Blasinstr.</t>
  </si>
  <si>
    <t>Architektur</t>
  </si>
  <si>
    <t>Schliessmechanismen</t>
  </si>
  <si>
    <t>Gobl. Wildschwein</t>
  </si>
  <si>
    <t>KULTUR</t>
  </si>
  <si>
    <t>Anderer Typ</t>
  </si>
  <si>
    <t>Alch. Destillation</t>
  </si>
  <si>
    <t>Flickschneiderei</t>
  </si>
  <si>
    <t>Tuchrüstungen</t>
  </si>
  <si>
    <t>Mehrstimmig</t>
  </si>
  <si>
    <t>Riechen/Schmecken</t>
  </si>
  <si>
    <t>SPRACHFAMILIE</t>
  </si>
  <si>
    <t>Navigation</t>
  </si>
  <si>
    <t>Zeitbestimmung</t>
  </si>
  <si>
    <t>Alch. Farben</t>
  </si>
  <si>
    <t>Höfisch</t>
  </si>
  <si>
    <t>Zaubertätowierung.</t>
  </si>
  <si>
    <t>Schriftl. Rhetorik</t>
  </si>
  <si>
    <t>Goldgier 5 / Neugier 5;</t>
  </si>
  <si>
    <t>DSAv4.2</t>
  </si>
  <si>
    <t>Generierungsvorgehen:</t>
  </si>
  <si>
    <r>
      <t xml:space="preserve">Hier Rasse, Kultur, Gebiet, Gattung und Professionsvariante auswählen. Beim Klicken auf das Feld erscheinen Dropdown-Listen. Bei Änderung von vorangehenden Nummern die nachfolgenden Nummern mittels DEL löschen. GP werden automatisch berechnet. </t>
    </r>
    <r>
      <rPr>
        <sz val="7"/>
        <color indexed="10"/>
        <rFont val="Arial"/>
        <family val="2"/>
      </rPr>
      <t xml:space="preserve"> </t>
    </r>
    <r>
      <rPr>
        <sz val="7"/>
        <color indexed="23"/>
        <rFont val="Arial"/>
        <family val="2"/>
      </rPr>
      <t xml:space="preserve">
</t>
    </r>
    <r>
      <rPr>
        <sz val="7"/>
        <color indexed="55"/>
        <rFont val="Arial"/>
        <family val="2"/>
      </rPr>
      <t>Auswahl der Zweit-Profession (4.) ist optional. ►►►</t>
    </r>
  </si>
  <si>
    <t>Syntax: eine 1 für zugelassene Professionsgattung</t>
  </si>
  <si>
    <t>Straßenräuber</t>
  </si>
  <si>
    <t>Effektiv</t>
  </si>
  <si>
    <t>Magie</t>
  </si>
  <si>
    <t>Archetypname (Gebietsbezeichnung)</t>
  </si>
  <si>
    <t>Kriegerische Professionen - KAMPF</t>
  </si>
  <si>
    <t>Magische Professionen - MAGIE</t>
  </si>
  <si>
    <t>Priesterliche Professionen - GOETTER</t>
  </si>
  <si>
    <t>Handwerkliche Professionen - HANDWERK</t>
  </si>
  <si>
    <t>Reisende &amp; Wildnis Professionen - WILDNIS</t>
  </si>
  <si>
    <t>Gesellschaftliche Professionen - GESELLSCHAFT</t>
  </si>
  <si>
    <t>Zweit-Professionsgebiete PROF2GEB_LIST</t>
  </si>
  <si>
    <t>Professionsgebiete - PROFGEB_LIST</t>
  </si>
  <si>
    <t>LEER</t>
  </si>
  <si>
    <t>Abhängige Profession
(Startpunkt Rasse)</t>
  </si>
  <si>
    <t>Konstanten</t>
  </si>
  <si>
    <t>Profession ==&gt; Kultur</t>
  </si>
  <si>
    <t>Bereich für Sortierung Rassen (Profstart)</t>
  </si>
  <si>
    <t>Händler: nur Tauschhändler;</t>
  </si>
  <si>
    <t>Männer: Händler: nur Tauschhändler; Frauen: keine gesellschaftl. Professionen;</t>
  </si>
  <si>
    <t>Frauen: keine gesellschaftl. Professionen;</t>
  </si>
  <si>
    <t>Barde: nur Erzähler;</t>
  </si>
  <si>
    <t>Händler: nur Fahrender Händler/Hausierer;</t>
  </si>
  <si>
    <t>Barde: nur Skalde;</t>
  </si>
  <si>
    <t>Barde: nur Skalde; Händler: nur Tauschhändler;</t>
  </si>
  <si>
    <t>Einbrecher: nicht Grabräuber; Händler: nur Krämer;</t>
  </si>
  <si>
    <t>Barde: nur Erzähler; Einbrecher: nur Grabräuber;</t>
  </si>
  <si>
    <t>Barde: nur Erzähler; Gaukler: nicht Akrobat/Tänzer;</t>
  </si>
  <si>
    <t>Barde: nur Erzähler; Händler: nur Tauschhändler;</t>
  </si>
  <si>
    <t>Gaukler: nur Dompteur; Streuner: nur Schieber; Händler: nur Tauschhändler;</t>
  </si>
  <si>
    <t>Frauen: nicht Großwildjäger/Seefahrer;</t>
  </si>
  <si>
    <t>Frauen: nur Hirtin/Prospektorin: nur Sammlerin;</t>
  </si>
  <si>
    <t>Straßenräuber: nur Bandit;</t>
  </si>
  <si>
    <t>Straßenräuberin: nur Banditin;</t>
  </si>
  <si>
    <t>Prospektor: nur Kräutersammler;</t>
  </si>
  <si>
    <t>Prospektor: nur Sammler;</t>
  </si>
  <si>
    <t>Jäger: nicht Wildhüter; Prospektor: nur Sammler;</t>
  </si>
  <si>
    <t>Jäger: nicht Wildhüter; Prospektor: nur Sammler; Seefahrer: nur Robbenjäger;</t>
  </si>
  <si>
    <t>Prospektor: nur Kräutersammler; Schiffer: nur Lotse;</t>
  </si>
  <si>
    <t>Prospektor: nur Kräutersammler; Schiffer: nur Lotse; Seefahrer: nur Walfänger/Haijäger;</t>
  </si>
  <si>
    <t>Großwildjäger: nur Sklavenjäger;</t>
  </si>
  <si>
    <t>Prospektor: nur Prospektor/Sammler;</t>
  </si>
  <si>
    <t>Jäger: nicht Wildhüter;</t>
  </si>
  <si>
    <t>Prospektor: nur Sammler; Seefahrer: nur Robbenjäger;</t>
  </si>
  <si>
    <t>Prospektor: nur Kräutersammler/Sammler;</t>
  </si>
  <si>
    <t>Handwerkerin: nur Harnischmacherin/Plättnerin/Sattlerin/Schusterin/Schreinerin/Tischlerin/Waffenschmiedin; Tierbändigerin: nur Zureiterin;</t>
  </si>
  <si>
    <t>Frauen: nur Bäuerin/Wundärztin/Handwerkerin: nur Brot-und Zuckerbäckerin/Köchin/Schneiderin/Töpferin/Weberin;</t>
  </si>
  <si>
    <t>Gelehrter: nicht Rechtsgelehrter;</t>
  </si>
  <si>
    <t>Bauer: nur Viehzüchter;</t>
  </si>
  <si>
    <t>Handwerker: nur Goldschmied/Feinschmied/Graveur/Grobschmied/Instrumentenbauer/Schneider/Sattler/Schuster/Stellmacher/Wagner/Küfer/Tätowierer;</t>
  </si>
  <si>
    <t>Bauer: nur Viehzüchter; archaischer Handwerker des Nordens: nur Brauer/Färber/Fleischer/Gerber/Kürschner/Sattler/Schuster;</t>
  </si>
  <si>
    <t>Handwerker: nur Gerber/Kürschner/Grobschmied/Sattler/Schuster;</t>
  </si>
  <si>
    <t>archaischer Handwerker des Nordens: nur Gerber/Kürschner;</t>
  </si>
  <si>
    <t>Gelehrter: nur Sprachenkundler/Völkerkundler/Sagenkundler; Handwerker: nur Goldschmied/Feinschmied/Graveur/Sattler/Schuster/Stellmacher/Wagner/Küfer/Tätowierer;</t>
  </si>
  <si>
    <t>Handwerker: nur Bogenbauer/Armbruster/Edelsteinschleifer/Steinschneider/Juwelier/Glasbläser/Goldschmied/Feinschmied/Graveur/Instrumentenbauer/Sattler/Schuster/Schneider/Schreiner/Tischler/Steinmetz/Töpfer/Weber;</t>
  </si>
  <si>
    <t>Handwerker: nur Bogenbauer/Armbruster/Edelsteinschleifer/Steinschneider/Juwelier/Glasbläser/Goldschmied/Feinschmied/Graveur/Instrumentenbauer/Sattler/Schuster/Schneider/Schreiner/Tischler/Steinmetz/Töpfer/Weber; Edelhandwerker: nur Apothekarius;</t>
  </si>
  <si>
    <t>Bauer: nur Freibauer/Viehzüchter; Edelhandwerker: nicht Drucker oder Schiffbauer; Gelehrter: nur Historiker;</t>
  </si>
  <si>
    <t>Bauer: nur Freibauer/Viehzüchter; Edelhandwerker: nicht Drucker oder Schiffbauer; Gelehrter: nicht Mawdli oder Sternkundiger;</t>
  </si>
  <si>
    <t>Gelehrter: nicht Mawdli;</t>
  </si>
  <si>
    <t xml:space="preserve">Bauer: nur Erntehelfer/Feldsklave/Knecht/Magd/Leibeigener; Tagelöhner: nur Bauhelfer/Holzfäller; </t>
  </si>
  <si>
    <t xml:space="preserve">Bauer: nur Freibauer/Viehzüchter; </t>
  </si>
  <si>
    <t>archaischer Handwerker der Orks: nur Bogenbauer/Brauer/Färber/Fleischer/Gerber/Kürschner/Grobschmied/Sattler/Schuster/Seiler/Weber;</t>
  </si>
  <si>
    <t>Bauer: nur Feldsklave;</t>
  </si>
  <si>
    <t>Bauer: nur Erntehelfer/Feldsklave/Knecht/Magd/Leibeigener; Tagelöhner: nur Bauhelfer/Holzfäller;</t>
  </si>
  <si>
    <t>Bauer: nur Freibauer/Viehzüchter;</t>
  </si>
  <si>
    <t>Domestik: nur Haussklave/Hausknecht/-magd; Wundarzt: nur Frauen;</t>
  </si>
  <si>
    <t>Edelhandwerker: nicht Drucker; Gelehrter: nicht Mawdli oder Rechtsgelehrter; Tierbändiger: nur Tierbändiger (Reptilien);</t>
  </si>
  <si>
    <t>Tierbändiger: nur Tierbändiger (Echsen);</t>
  </si>
  <si>
    <t>Frauen: nur Amazone/Kriegerin;</t>
  </si>
  <si>
    <t>Männer: Stammeskrieger: nur Novadischer Wüstenkrieger; Frauen: nur Stammeskrieger: nur Achmad'Sunni;</t>
  </si>
  <si>
    <t>Frauen: nur Amazone/Kriegerin/Schwertgesellin;</t>
  </si>
  <si>
    <t>Stammeskrieger: nur Novadischer Wüstenkrieger/Achmad'Sunni;</t>
  </si>
  <si>
    <t>Stammeskrieger: nur Ferkina-Krieger;</t>
  </si>
  <si>
    <t>Gladiator: nur Schaukämpfer;</t>
  </si>
  <si>
    <t>Gladiator: nur Schaukämpfer; Stammeskrieger: nur Stammeskrieger der Gjalskerländer;</t>
  </si>
  <si>
    <t>Söldner: nur Fußtruppen; Stammeskrieger: nur Stammeskrieger der Fjarninger;</t>
  </si>
  <si>
    <t>Stammeskrieger: nur Stammeskrieger der Waldmenschen;</t>
  </si>
  <si>
    <t>Söldner: nur Sklavenaufseher; Stammeskrieger: nur Stammeskrieger der Waldmenschen;</t>
  </si>
  <si>
    <t>Stammeskrieger: nur Stammeskrieger der Trollzacker;</t>
  </si>
  <si>
    <t>Krieger: nur Xorlosch;</t>
  </si>
  <si>
    <t>Stammeskrieger: nur Brobim-Stammeskrieger;</t>
  </si>
  <si>
    <t>Söldner: nur Sklavenaufseher; Stammeskrieger: nur Orkischer Stammeskrieger;</t>
  </si>
  <si>
    <t>Stammeskrieger: nur Orkischer Stammeskrieger;</t>
  </si>
  <si>
    <t>Gladiator: nur Gladiator aus Al'Anfa;</t>
  </si>
  <si>
    <t>Stammeskrieger: nur Stammeskrieger-Goblin;</t>
  </si>
  <si>
    <t>Stammeskrieger: nur Achaz-Stammeskrieger;</t>
  </si>
  <si>
    <t>Druide: nur Mehrer; Hexe: nur Katze/Schlange/Rabe;</t>
  </si>
  <si>
    <t>Druide: nicht Sumupriester;</t>
  </si>
  <si>
    <t>Druide: nicht Konzil;</t>
  </si>
  <si>
    <t>Druide: nur Hain/Hüter;</t>
  </si>
  <si>
    <t>Druide: nicht Hüter oder Sumupriester; Hexe: nur Rabe/Eule/Kröte;</t>
  </si>
  <si>
    <t>Druide: nicht Konzil oder Sumupriester; Hexe: nicht Kröte;</t>
  </si>
  <si>
    <t>Druide: nur Hain;</t>
  </si>
  <si>
    <t>Zaubertänzer: nur Majuna;</t>
  </si>
  <si>
    <t>Zaubertänzer: nur tulamidische Sharisad;</t>
  </si>
  <si>
    <t>Männer: nur Alchimist: nur Alchimist in Unau/Dilettanten: nur Derwisch; Frauen: nur Zaubertänzerin: nur tulamidische Sharisad;</t>
  </si>
  <si>
    <t>Hexe: nur Katze/Rabe; Zaubertänzer: nur tulamidische Sharisad;</t>
  </si>
  <si>
    <t>Dilettanten: nur Derwisch; Magier: nur Mherwed;</t>
  </si>
  <si>
    <t>Zaubertänzerin: nur novadische Sharisad;</t>
  </si>
  <si>
    <t>Dilettanten: nur Besessener;</t>
  </si>
  <si>
    <t>Zaubertänzer: nur Hazaqi;</t>
  </si>
  <si>
    <t>Druide: nicht Hüter oder Konzil;</t>
  </si>
  <si>
    <t>Dilettanten: nur Durro-Dûn;</t>
  </si>
  <si>
    <t>Hexe: nicht Kröte; Zaubertänzer: nur tulamidische Sharisad;</t>
  </si>
  <si>
    <t>Hexe: nur Affe;</t>
  </si>
  <si>
    <t>Druide: nur Hüter;</t>
  </si>
  <si>
    <t>Elfen: nur Bewahrer/Former/Kämpfer/Legendensänger/Wildnisläufer/Zauberweber;</t>
  </si>
  <si>
    <t>Alchimist: nur zwergischer Alchimist;</t>
  </si>
  <si>
    <t>Geoden: nur Brobim-Geode;</t>
  </si>
  <si>
    <t>Götterdiener: nur Geweihter Zwölfgötterkult/nicht-alveranische Gottheit;</t>
  </si>
  <si>
    <t>Götterdiener: nur Geweihter Zwölfgötterkult;</t>
  </si>
  <si>
    <t>Götterdiener: nur Geweihter Zwölfgötterkult/Ordenskrieger;</t>
  </si>
  <si>
    <t>Götterdiener: nur Geweihter Zwölfgötterkult/Ifirn;</t>
  </si>
  <si>
    <t>Götterdiener: nur Geweihter Zwölfgötterkult/Hadjinim-Orden;</t>
  </si>
  <si>
    <t>Götterdiener: nur Geweihter Zwölfgötterkult/Nandus/Aves;</t>
  </si>
  <si>
    <t>Götterdiener: nur Geweihter Zwölfgötterkult (nicht Firun)/Aves;</t>
  </si>
  <si>
    <t>Götterdiener: nur Geweihte Rondra;</t>
  </si>
  <si>
    <t>Götterdiener: nur Geweihter Zwölfgötterkult (nicht Firun)/Stammeskrieger der Beni Dervez/Hadjinim-Orden;</t>
  </si>
  <si>
    <t>Männer: Götterdiener: nur Stammeskrieger der Beni Dervez; Frauen: keine priesterl. Professionen;</t>
  </si>
  <si>
    <t>Götterdiener: nur Geweihter Zwölfgötterkult/Stammeskrieger der Beni Dervez/Hadjinim-Orden;</t>
  </si>
  <si>
    <t>Götterdiener: nur Hadjinim-Orden/Stammeskrieger der Beni Dervez;</t>
  </si>
  <si>
    <t>Schamane: nur Nuranshârim;</t>
  </si>
  <si>
    <t>Götterdiener: nur Geweihter Aves/Phex/Rahja/Tsa;</t>
  </si>
  <si>
    <t>Götterdiener: nur Geweihter Swafnir/Efferd/Firun/Ifirn/Travia;</t>
  </si>
  <si>
    <t>Schamane: nur Brenchi-Dûn;</t>
  </si>
  <si>
    <t>Schamane: nur Skuldrun;</t>
  </si>
  <si>
    <t>Schamane: nur Medizinmann;</t>
  </si>
  <si>
    <t>Götterdiener: nur Geweihter Zwölfgötterkult/Priester der Zwillingsgötter;</t>
  </si>
  <si>
    <t>Götterdiener: nur Geweihter Zwölfgötterkult/Stammeskrieger der Beni Dervez/Hadjinim-Orden/Priester der Zwillingsgötter: nicht geheim;</t>
  </si>
  <si>
    <t>Götterdiener: nur Geweihter Zwölfgötterkult/nicht-alveranische Gottheit/Priester der Zwillingsgötter: nicht geheim;</t>
  </si>
  <si>
    <t>Götterdiener: nur Geweihter Zwölfgötterkult (nicht Firun)/Geweihter Halbgötter (nicht Swafnir/Ifirn)/Priester der Zwillingsgötter: nicht geheim/nicht Angrosch- oder Ingra-Kult;</t>
  </si>
  <si>
    <t>Götterdiener: nur Geweihter Zwölfgötterkult (nicht Firun)/Geweihter Halbgötter (nicht Swafnir/Ifirn)/nicht Angrosch- oder Ingra-Kult;</t>
  </si>
  <si>
    <t>Götterdiener: nur Geweihter Phex/Efferd/Swafnir;</t>
  </si>
  <si>
    <t>Schamane: nur Kaskjua;</t>
  </si>
  <si>
    <t>Götterdiener: nur Geweihter Aves/Firun/Hesinde/Nandus/Phex;</t>
  </si>
  <si>
    <t>Schamane: nur Shochzuli;</t>
  </si>
  <si>
    <t>Götterdiener: nur Geweihter Angrosch/Ingerimm/Kor/Rondra;</t>
  </si>
  <si>
    <t>Götterdiener: nur Geweihter Angrosch;</t>
  </si>
  <si>
    <t>Götterdiener: nur Geweihter Angrosch/Ingerimm/Travia/Peraine;</t>
  </si>
  <si>
    <t>Götterdiener: nur Ordenskrieger/Geweihter Angrosch/Ingerimm/Phex/Rondra/Kor/Hesinde/Rahja;</t>
  </si>
  <si>
    <t>Schamane: nur Gravesh-Priester/Rikai-Priester/Tairach-Priester;</t>
  </si>
  <si>
    <t>Schamane: nur Gravesh-Priester/Rikai-Priester/Tairach-Priester; Götterdiener: nur Geweihter Firun/Ingerimm;</t>
  </si>
  <si>
    <t>Schamane: nur Goblin-Stammes-Schamanin;</t>
  </si>
  <si>
    <t>Götterdiener: nur Geweihter Firun/Peraine; Schamane: nur Goblin-Festumer Ghetto (nur Frauen);</t>
  </si>
  <si>
    <t>Götterdiener: nur H'Szint-Priester/Zsahh-Priester;</t>
  </si>
  <si>
    <t>Schamane: nur Achaz-Stammesschamane;</t>
  </si>
  <si>
    <t>Fertigkeiten von Götterdienern und Schamanen</t>
  </si>
  <si>
    <t>Alchimist (Unau, unmagisch)</t>
  </si>
  <si>
    <t>Dolche/Hiebwaffen/Säbel +2; Raufen/Ringen +2; Brauer/Gerber/Kürschner/Schnaps Brennen +2; Handel/Hauswirtschaft +2; Total +8 auf bereits aktivierte Wissens- und Handwerkstalente  max.+2 pro Talent, max. auf +8; Glaskunst/Töpfern +3;</t>
  </si>
  <si>
    <t>Alchimist (Unau, magiebegabt)</t>
  </si>
  <si>
    <t>Alchimist Zwergischer</t>
  </si>
  <si>
    <t>Goldgier/Neugier 5;</t>
  </si>
  <si>
    <t>Alchemist - Kammerjäger magiebegabt</t>
  </si>
  <si>
    <t>Alchemist - Kammerjäger unmagisch</t>
  </si>
  <si>
    <t>Krankhafte Reinlichkeit 5</t>
  </si>
  <si>
    <t>Professionsgebiete - PROFGEB_DLIST</t>
  </si>
  <si>
    <t xml:space="preserve"> - Heiligen Ort der Gottheit</t>
  </si>
  <si>
    <t>Baburiner Hut</t>
  </si>
  <si>
    <t>Armschienen, Bronze</t>
  </si>
  <si>
    <t>Armschienen, Stahl</t>
  </si>
  <si>
    <t>Fuhrmannsmantel</t>
  </si>
  <si>
    <t>Stechhelm</t>
  </si>
  <si>
    <t>Visierhelm</t>
  </si>
  <si>
    <t>Akrobat</t>
  </si>
  <si>
    <t>Ortskenntnis (eigene Stadt/eigenes Stadtviertel)</t>
  </si>
  <si>
    <t>Ortskenntnis (Umgebung der Schänke)</t>
  </si>
  <si>
    <t>Musizieren (spezielles Instrument/Kapellmeister)</t>
  </si>
  <si>
    <t>INI+1 (manuell in INI Mod eintragen im Heldenbogen);</t>
  </si>
  <si>
    <t>FF oder GE mind. 13;</t>
  </si>
  <si>
    <t>Fecht-/Hiebwaffen/Schwerter/Stäbe +2;</t>
  </si>
  <si>
    <t>Hiebwaffen/Stäbe +1; Akrobatik/Athletik/Gaukeleien +5/+3; Singen/Tanzen +3; Klettern/Reiten +2/+1; Abrichen/Falschspiel/Malen/Zeichnen/Musizieren +4/+2;</t>
  </si>
  <si>
    <t>Hiebwaffen/Stäbe +1; Akrobatik/Athletik/Gaukeleien +5/+3; Singen/Tanzen +3; Klettern/Reiten +2/+1;</t>
  </si>
  <si>
    <t>Hiebwaffen/Stäbe +1; Akrobatik/Athletik/Gaukeleien +5/+3; Singen/Tanzen +3; Klettern/Reiten +2/+1; Abrichen/Falschspiel/Malen/Zeichnen/Musizieren +4/+2; beliebiges Wissenstalent +4;</t>
  </si>
  <si>
    <t>Ackerbau/Bergbau/Brauer/Brettspiel/Feinmechanik/Fischen/Angeln/Fleischer/Gerber/Kürschner/Gesteinskunde/Glaskunst/Grobschmied/Hüttenkunde/Kochen/Mechanik/Pflanzenkunde/Schnaps Brennen/Seefahrt/Steinschneider/Juwelier/Stoffe Färben/Tierkunde/Viehzucht/Webkunst/Winzer +3;</t>
  </si>
  <si>
    <t>Klettern/Schwimmen +1; Ackerbau/Bergbau/Brauer/Brettspiel/Feinmechanik/Fischen/Angeln/Fleischer/Gerber/Kürschner/Gesteinskunde/Glaskunst/Grobschmied/Hüttenkunde/Kochen/Mechanik/Pflanzenkunde/Schnaps Brennen/Seefahrt/Steinschneider/Juwelier/Stoffe Färben/Tierkunde/Viehzucht/Webkunst/Winzer +3/+1/+1;</t>
  </si>
  <si>
    <t>Hiebwaffen/Schwerter/Stäbe +4/+2;</t>
  </si>
  <si>
    <t>Fechtwaffen/Hiebwaffen/Säbel/Stäbe +2; Singen/Schauspielerei +2;</t>
  </si>
  <si>
    <t>Fechtwaffen/Hiebwaffen/Säbel/Stäbe +2; Talentspezialisierung Magiekunde (Zauberzeichen) verbilligt;</t>
  </si>
  <si>
    <t xml:space="preserve">Armbrust/Bogen +1; Fechtwaffen/Hiebwaffen/Schwerter +3; Betören/Schriftl. Ausdruck/Brettspiel/Kriegskunst/Magiekunde/Sprachenkunde/Abrichten/Handel/Hauswirtschaft/Heilkunde Gift/Malen/Zeichnen/Musizieren +4/+3/+2;
</t>
  </si>
  <si>
    <t xml:space="preserve">Fechtwaffen/Hiebwaffen +1; Gaukeleien/Singen +1; Brettspiel/Malen/Zeichnen/Musizieren +3;
</t>
  </si>
  <si>
    <t>Geographie/Geschichtswissen/Pflanzenkunde/Philosophie/Rechtskunde/Staatskunst/Sternkunde +7/+5/+4;</t>
  </si>
  <si>
    <t>Fechtwaffen/Hiebwaffen/Säbel +2; Gaukeleien/Stimmen Imitieren +2; Brettspiel/Philosophie +3;</t>
  </si>
  <si>
    <t>Hiebwaffen/Säbel +2; Gaukeleien/Stimmen Imitieren +3; Reiten +1/Fahrzeuge Lenken +3; Brettspiel/Philosophie +3;</t>
  </si>
  <si>
    <t>Handel/Hauswirtschaft +2;</t>
  </si>
  <si>
    <t>Fechtwaffen/Hiebwaffen/Säbel/Schwerter +5/+2; Raufen/Ringen +1;</t>
  </si>
  <si>
    <t xml:space="preserve">Fechtwaffen/Hiebwaffen/Säbel/Schwerter +3; beliebige Wissenstalente +3/+2/+2; passende Handwerkstalente +3/+1/+1;
</t>
  </si>
  <si>
    <t>passendes Wissenstalent +1 (nach Kundschaft); Boote Fahren/Fahrzeug Lenken +1; Fleischer/Schnaps Brennen/Viehzucht/Winzer +2;</t>
  </si>
  <si>
    <t>L/S Muttersprache oder Verkehrssprache +5; 3 Fremdsprachen +6/+6/+4;</t>
  </si>
  <si>
    <t>je nach Region Atak (Tulamide)/Füchsisch (Mittelländer) +5/+2;</t>
  </si>
  <si>
    <t>je nach Herkunft Atak (Tulamide)/Füchsisch (Mittelländer] +4/+2;</t>
  </si>
  <si>
    <t>L/S verbreitete Schrift +5; Fremdsprache +4;</t>
  </si>
  <si>
    <t>L/S verbreitete Schrift +5; drei Fremdsprachen je +4; L/S zwei weitere Schriften je +2;</t>
  </si>
  <si>
    <t>L/S verbreitete Schrift +7; Fremdsprache +4;</t>
  </si>
  <si>
    <t>L/S verbreitete Schrift +5; Fremdsprache +4; Füchsisch/Atak +5;</t>
  </si>
  <si>
    <t>L/S Kusliker Zeichen/Zelemja +6; Sprache Garethi/Zelemja +6;</t>
  </si>
  <si>
    <t>weitere Kulturkunde;</t>
  </si>
  <si>
    <t>Ortskenntnis (eigene Stadt/eigenes Stadtviertel);</t>
  </si>
  <si>
    <t>Ortskenntnis (eigene Stadt/eigenes Stadtviertel); weitere Kulturkunde;</t>
  </si>
  <si>
    <t>Ortskenntnis (eigene Stadt/eigenes Stadtviertel); weitere Ortskenntnis;</t>
  </si>
  <si>
    <t>Pilzzüchter</t>
  </si>
  <si>
    <t>Schachtfeger</t>
  </si>
  <si>
    <t>Medicus</t>
  </si>
  <si>
    <t>Archaische Handwerker</t>
  </si>
  <si>
    <t>Bastler</t>
  </si>
  <si>
    <t>Porzellanbrenner</t>
  </si>
  <si>
    <t>passende Ortskenntnis</t>
  </si>
  <si>
    <t>Ortskenntnis (Ackerland/Dorf)</t>
  </si>
  <si>
    <t>Ortskenntnis (Stadviertel/Plantage/etc)</t>
  </si>
  <si>
    <t>Ortskenntnis: (Stadt)</t>
  </si>
  <si>
    <t>Ackerbau (Blumen/Obstpflanzen/nach eigener Wahl)</t>
  </si>
  <si>
    <t>Bezug Vorurteile: Ungläubige;</t>
  </si>
  <si>
    <t>Gaukeleien/Taschendiebstahl +1; Boote Fahren/Fahrzeug Lenken +2; auf zwei weitere passende Handwerks- und/oder Wissenstalente insgesamt +4 (je nach im Haushalt bzw. auf der Domäne wichtigen Tätigkeiten); auf weitere passende, bereits aktivierte Handwerks- und/oder Wissenstalente je nach Haushalt insgesamt +4 (max. je +2);</t>
  </si>
  <si>
    <t>Gaukeleien/Taschendiebstahl +1; Boote Fahren/Fahrzeug Lenken +2; auf zwei weitere passende Handwerks- und/oder Wissenstalente insgesamt +4 (je nach im Haushalt bzw. auf der Domäne wichtigen Tätigkeiten); auf weitere passende Handwerks- und/oder Wissenstalente je nach Haushalt insgesamt +4 (max. je +2);</t>
  </si>
  <si>
    <t>Gaukeleien/Taschendiebstahl +1; Boote Fahren/Fahrzeug Lenken +2; auf zwei weitere passende Handwerks- und/oder Wissenstalente insgesamt +4 (je nach im Haushalt bzw. auf der Domäne wichtigen Tätigkeiten); auf weitere passende Handwerks- und/oder Wissenstalente insgesamt +3;</t>
  </si>
  <si>
    <t>Armbrust/kulturtypische Wurfwaffe+2; weitere passende bewaffnete Kampffertigkeit +2;</t>
  </si>
  <si>
    <t>Armbrust/kulturtypische Wurfwaffe+2; weitere passende bewaffnete Kampffertigkeit +2; auf passende Handwerks-Talente insgesamt +7 (je max.+2);</t>
  </si>
  <si>
    <t>Armbrust/kulturtypische Wurfwaffe+2; weitere passende bewaffnete Kampffertigkeit +2; auf passende Talente insgesamt +10 (je max.+2);</t>
  </si>
  <si>
    <t>Armbrust/kulturtypische Wurfwaffe+2; weitere passende bewaffnete Kampffertigkeit +2; auf passende Talente insgesamt +7 (je max.+2);</t>
  </si>
  <si>
    <t>Armbrust/kulturtypische Wurfwaffe+2; weitere passende bewaffnete Kampffertigkeit +2; Gesteinskunde/Alchemie +3/+2; Hüttenkunde/Metallguss +7/+5; auf passende Talente insgesamt+7 (je max.+2);</t>
  </si>
  <si>
    <t>Armbrust/kulturtypische Wurfwaffe+2; weitere passende bewaffnete Kampffertigkeit +2; auf passende Wissens- und Handwerks-Talente insgesamt +7 (je max.+2);</t>
  </si>
  <si>
    <t>Fechtwaffen/Hiebwaffen/Stäbe +1; Raufen/Ringen +1; auf weitere passende Wissens-/Handwerks-Talente insgesamt +6 (je max.+2);</t>
  </si>
  <si>
    <t>Fechtwaffen/Hiebwaffen/Stäbe +1; Raufen/Ringen +1; auf weitere passende Wissens-/Handwerks-Talente insgesamt +5 (je max.+2);</t>
  </si>
  <si>
    <t>Fechtwaffen/Hiebwaffen/Stäbe +1; Raufen/Ringen +1; Heilkunde Gift/Heilkunde Krankheiten/Heilkunde Seele/Heilkunde Wunden +7/+5/+3; auf weitere passende Wissens-/Handwerks-Talente insgesamt +4 (je max.+2);</t>
  </si>
  <si>
    <t>Fechtwaffen/Hiebwaffen/Stäbe +1; Raufen/Ringen +1; auf weitere passende Wissens-/Handwerks-Talente insgesamt +8 (je max.+2);</t>
  </si>
  <si>
    <t>Fechtwaffen/Hiebwaffen/Stäbe +1; Raufen/Ringen +1; auf weitere passende Wissens-/Handwerks-Talente insgesamt +4 (je max.+2); auf zwei Talente insgesamt +6 (je min. +2);</t>
  </si>
  <si>
    <t>Armbrust/Bogen/Diskus/kulturtypische Wurfwaffe +2; je nach Herkunft Infanteriewaffen/Speere/Zweihandflegel/Zweihand-Hiebwaffen +2; je nach Herkunft Etikette +1 und Gassenwissen +1 (Stadt) oder Orientierung +1 und Wettervorhersage +1 und Wildnisleben +1 (Dorf); Fahrzeug Lenken/Boote Fahren +1; Handel/Hauswirtschaft +2; Haupt-Handwerkstalent +7 (max. auf +8); zwei Hilfs- oder verwandte Talente (Wissens-Talente oder Handwerks-Talente) je +4; vier Hilfs- oder verwandte Talente je +2;</t>
  </si>
  <si>
    <t>Armbrust/Bogen/Diskus/kulturtypische Wurfwaffe +2; je nach Herkunft Infanteriewaffen/Speere/Zweihandflegel/Zweihand-Hiebwaffen +2; je nach Herkunft Etikette +1 und Gassenwissen +1 (Stadt) oder Orientierung +1 und Wettervorhersage +1 und Wildnisleben +1 (Dorf); Fahrzeug Lenken/Boote Fahren +1; Handel/Hauswirtschaft +2; zwei Haupt-Handwerkstalente je +5 (max. auf +8); zwei Hilfs- oder verwandte Talente (Wissens-Talente oder Handwerks-Talente) je +4; drei Hilfs- oder verwandte Talente je +2;</t>
  </si>
  <si>
    <t>Armbrust/Bogen/Diskus/kulturtypische Wurfwaffe +2; je nach Herkunft Infanteriewaffen/Speere/Zweihandflegel/Zweihand-Hiebwaffen +2; je nach Herkunft Etikette +1 und Gassenwissen +1 (Stadt) oder Orientierung +1 und Wettervorhersage +1 und Wildnisleben +1 (Dorf); Handel/Hauswirtschaft +2; Haupt-Handwerkstalent +7 (max. auf +8); zwei Hilfs- oder verwandte Talente (Wissens-Talente oder Handwerks-Talente) je +4; vier Hilfs- oder verwandte Talente je +2; auf passende Wissens- und Handwerkstalente insgesamt +6 (je max.+2);</t>
  </si>
  <si>
    <t>Bogen/Wurfbeile/Wurfspeere +2; Speere/Zweihand-Hiebwaffen +2; Fahrzeug Lenken/Boote Fahren +1; Handel/Hauswirtschaft +2; zwei Haupt-Handwerkstalente je +5 (max. auf +8); zwei Hilfs- oder verwandte Talente (Wissens-Talente oder Handwerks-Talente) je +4; drei Hilfs- oder verwandte Talente je +2;</t>
  </si>
  <si>
    <t>Armbrust/Bogen/Diskus/kulturtypische Wurfwaffe +2; Infanteriewaffen/Speere/Zweihand-Hiebwaffen +2; Abrichten/Fesseln/Entfesseln +1; Fahrzeug Lenken/Boote Fahren +1; Handel/Hauswirtschaft +2; zwei Haupt-Handwerkstalente je +5 (max. auf +8); zwei Hilfs- oder verwandte Talente (Wissens-Talente oder Handwerks-Talente) je +4; drei Hilfs- oder verwandte Talente je +2;</t>
  </si>
  <si>
    <t>Bogen/Schleuder/Wurfbeile/Wurfspeere +2; Speere/Stäbe +2; Handel/Hauswirtschaft +2; zwei Haupt-Handwerkstalente je +5 (max. auf +8); zwei Hilfs- oder verwandte Talente (Wissens-Talente oder Handwerks-Talente) je +4; drei Hilfs- oder verwandte Talente je +2;</t>
  </si>
  <si>
    <t>Blasrohr/Bogen/Schleuder/Wurfspeere +2; Handel/Hauswirtschaft +2; zwei Haupt-Handwerkstalente je +5 (max. auf +8); zwei Hilfs- oder verwandte Talente (Wissens-Talente oder Handwerks-Talente) je +4; drei Hilfs- oder verwandte Talente je +2;</t>
  </si>
  <si>
    <t>Hiebwaffen/Säbel +2; Speere/Wurfspeere +3/+1;</t>
  </si>
  <si>
    <t>Dolche/Hiebwaffen/Stäbe +2;</t>
  </si>
  <si>
    <t>Dolche/Hiebwaffen/Stäbe +2; ein weiteres passendes Wissenstalent +2;</t>
  </si>
  <si>
    <t>Dolche/Hiebwaffen/Stäbe +2; Ackerbau/Hauswirtschaft/Kartographie +2;</t>
  </si>
  <si>
    <t>Total +20 Punkte auf weitere passende Handwerks-Talente (je max.+3);</t>
  </si>
  <si>
    <t>Total +20 Punkte auf weitere passende Handwerks-Talente (je max.+3); Maurer/Steinmetz/Zimmermann +3/+1;</t>
  </si>
  <si>
    <t>Total +20 Punkte auf weitere passende Handwerks-Talente (je max.+3); Boote Fahren/Fahrzeug Lenken +1;</t>
  </si>
  <si>
    <t>Total +20 Punkte auf weitere passende Handwerks-Talente (je max.+3); Menschenkenntnis/Wildnisleben +1; Gassenwissen/ein anderes passendes Natur- oder Handwerkstalent +2;</t>
  </si>
  <si>
    <t>Klettern/Schwimmen +1;</t>
  </si>
  <si>
    <t>Hiebwaffen/Säbel +1;</t>
  </si>
  <si>
    <t>Hiebwaffen/Säbel +1; Mechanik/Viehzucht +1;</t>
  </si>
  <si>
    <t>Hiebwaffen/Säbel +1; Reiten+1/Fahrzeug Lenken+3;</t>
  </si>
  <si>
    <t>Sprache Muttersprache +1; Fremdsprache/Alte Sprache +6; L/S Muttersprache +6; L/S Fremdsprache/Alte Schrift +4; auf weitere passende Sprachen oder Schriften insgesamt +4;</t>
  </si>
  <si>
    <t>Sprache Muttersprache +1; Fremdsprache/Alte Sprache +6; L/S Muttersprache +8; L/S Fremdsprache/Alte Schrift +4; auf weitere passende Sprachen oder Schriften insgesamt +4; auf weitere Schriften insgesamt +10 (je max.+5);</t>
  </si>
  <si>
    <t>Muttersprache +2; Alte Form/verwandte Sprache der Muttersprache +8; Fremdsprache/Alte Sprache +6; L/S Muttersprache +6; L/S Fremde/Alte Schrift +4; auf weitere passende Sprachen und Schriften insgesamt +6 (je max.+4);</t>
  </si>
  <si>
    <t>Muttersprache +2; Alte Form/verwandte Sprache der Muttersprache +10; Fremdsprache/Alte Sprache +6; L/S Muttersprache +6; L/S Fremde/Alte Schrift +4; auf weitere passende Sprachen und Schriften insgesamt +6 (je max.+4); auf aktivierte Schriften insgesamt +6;</t>
  </si>
  <si>
    <t>Muttersprache +2; Alte Form/verwandte Sprache der Muttersprache +8; Fremdsprache/Alte Sprache +6; L/S Muttersprache +6; L/S Fremde/Alte Schrift +4; auf weitere passende Sprachen und Schriften insgesamt +6 (je max.+4); auf weitere Sprachen insgesamt +6 (je max.+2);</t>
  </si>
  <si>
    <t>Muttersprache +2; Alte Form/verwandte Sprache der Muttersprache +8; Fremdsprache/Alte Sprache +6; L/S Muttersprache +6; L/S Fremde/Alte Schrift +4; auf weitere passende Sprachen und Schriften insgesamt +6 (je max.+4); auf Unauer Glyphen/Tulamidya/Ur-Tulamidya/Chrmk ('Zelemja') insgesamt +12 (je max.+4);</t>
  </si>
  <si>
    <t>Muttersprache +4; Alte Form/verwandte Sprache der Muttersprache +8; Fremdsprache/Alte Sprache +6; L/S Muttersprache +6; L/S Fremde/Alte Schrift +4; auf weitere passende Sprachen und Schriften insgesamt +6 (je max.+4);</t>
  </si>
  <si>
    <t>Muttersprache +4; Alte Form/verwandte Sprache der Muttersprache +8; Fremdsprache/Alte Sprache +6; L/S Muttersprache +6; L/S Fremde/Alte Schrift +4; auf weitere passende Sprachen und Schriften insgesamt +6 (je max.+4); auf weitere Schriften insgesamt +7 (je max.+4); auf weitere Fremdsprachen insgesamt +14 (je max. +8);</t>
  </si>
  <si>
    <t>Muttersprache +2; Alte Form/verwandte Sprache der Muttersprache +8; Fremdsprache +4; Fremdsprache/Alte Sprache +6; L/S Muttersprache +6; L/S Fremde/Alte Schrift +4; auf weitere passende Sprachen und Schriften insgesamt +6 (je max.+4);</t>
  </si>
  <si>
    <t>Ortskenntnis (Ackerland/Dorf); Passende Geländekunde;</t>
  </si>
  <si>
    <t>Ortskenntnis (Ackerland/Dorf); Passende Geländekunde; Akklimatisierung (Kälte)/Akklimatisierung (Hitze);</t>
  </si>
  <si>
    <t>Ortskenntnis (Stadviertel/Plantage/etc);</t>
  </si>
  <si>
    <t>Ortskenntnis (Stadtviertel/Stadt/Kanalisation);</t>
  </si>
  <si>
    <t>nur zwergische Kulturen</t>
  </si>
  <si>
    <t>nur Angroschim</t>
  </si>
  <si>
    <t>Bergungs-, Schwamm- oder Korallentaucher</t>
  </si>
  <si>
    <t>Ortskenntnis (Fischgrund)</t>
  </si>
  <si>
    <t>Ortskenntnis (Strecke/Ort)</t>
  </si>
  <si>
    <t>Ortskenntnis (Weidegrund)</t>
  </si>
  <si>
    <t>Kulturkunde nach Wahl</t>
  </si>
  <si>
    <t xml:space="preserve">Hiebwaffen/Säbel +1; Klettern/Boote Fahren +4; </t>
  </si>
  <si>
    <t xml:space="preserve">Hiebwaffen/Säbel/Stäbe +2; Feinmechanik/Schlösser Knacken +1; Anatomie/Alchimie/Bergbau/Feinmechanik/Geographie/Geschichtswissen/Gesteinskunde/Götter/Kulte/Heraldik/Kartographie/Magiekunde/Mechanik/Pflanzenkunde/Rechtskunde/Sprachenkunde/Sternkunde/Tierkunde +5/+4/+2[die Boni auf diesen Talenten dürfen +5/+4/+2 nicht übersteigen, gegebenfalls einzelne Punkte Umverteilen]; </t>
  </si>
  <si>
    <t xml:space="preserve">Hiebwaffen/Säbel/Stäbe +2; Raufen/Ringen +2; Boote Fahren/Fahrzeug Lenken +2; Ackerbau/Bergbau/Brauer/Brettspiel/Feinmechanik/Fischen/Angeln/Fleischer/Gerber/Kürschner/Gesteinskunde/Glaskunst/Grobschmied/Hauswirtschaft/Hüttenkunde/Kochen/Mechanik/Pflanzenkunde/Schnaps Brennen/Seefahrt/Staatskunst/Steinschneider/Juwelier/Stoffe Färben/Tierkunde/Viehzucht/Webkunst/Winzer +4/+2/+1/+1 [die Boni auf diesen Talenten dürfen +5/+4/+2 nicht übersteigen, gegebenfalls einzelne Punkte Umverteilen]; </t>
  </si>
  <si>
    <t xml:space="preserve">Armbrust/Blasrohr/Bogen +3; Infanteriewaffen/Speere +3; Schleuder/Wurfspeere +5; Fleischer/Gerber/Kürschner +3; </t>
  </si>
  <si>
    <t>Hiebwaffen/Speere/Stäbe +3; Schleuder/Wurfbeile/Wurfspeere +3;</t>
  </si>
  <si>
    <t xml:space="preserve">Hiebwaffen/Speere/Stäbe +3; Schleuder/Wurfbeile/Wurfspeere +3; Ackerbau/Fahrzeug Lenken/Fleischer/Gerber/Kürschner +3; </t>
  </si>
  <si>
    <t xml:space="preserve">Armbrust/Bogen/Wurfspeer +5 (Nach Kulturellem Hintergrund); Hiebwaffen/Säbel +1; Athletik/Reiten/Boote Fahren +2; Abrichten/Bogenbau +2; Fleischer/Gerber/Kürschner +3; </t>
  </si>
  <si>
    <t xml:space="preserve">Blasrohr/Bogen/Schleuder/Wurfspeer +5 (Nach Kulturellem Hintergrund); Hiebwaffen/Säbel +1; Athletik/Reiten/Boote Fahren/Skifahren +2; Abrichten/Bogenbau +2; Fleischer/Gerber/Kürschner +3; </t>
  </si>
  <si>
    <t xml:space="preserve">Armbrust/Bogen/Wurfspeer +3 (Nach Kulturellem Hintergrund); Hiebwaffen/Säbel +1; Athletik/Reiten/Boote Fahren +2; Abrichten/Bogenbau +2; Fleischer/Gerber/Kürschner +3; </t>
  </si>
  <si>
    <t xml:space="preserve">Armbrust/Bogen +3; Hiebwaffen/Säbel/Speere +3; Boote Fahren/Fahrzeug Lenken +4; </t>
  </si>
  <si>
    <t xml:space="preserve">Raufen/Ringen +1; Speere/Stäbe/Zweihandflegel +2; Reiten +1/Fahrzeug Lenken +3; Ackerbau/Viehzucht +2; Boote Fahren/Fahrzeug Lenken +1; Töpfern/Webkunst +2; </t>
  </si>
  <si>
    <t xml:space="preserve">L/S Fremdsprache/Muttersprache +3; Fremdsprache +4/+4; </t>
  </si>
  <si>
    <t xml:space="preserve">Fremdsprache +4/+4; L/S Muttersprache +4; </t>
  </si>
  <si>
    <t xml:space="preserve">Fremdsprache +6/+4; </t>
  </si>
  <si>
    <t xml:space="preserve">Ortskenntnis (Strecke/Ort); </t>
  </si>
  <si>
    <t xml:space="preserve">Zwei Ortskenntnisse; Passende Geländekunde; </t>
  </si>
  <si>
    <t xml:space="preserve">Passende Ortskenntnis (Weidegrund); </t>
  </si>
  <si>
    <t xml:space="preserve">Zwei Ortskenntnisse (Flussstrecken); </t>
  </si>
  <si>
    <t>Fähnrich zur See aus Methumis</t>
  </si>
  <si>
    <t>Fähnrich zur See aus Perricum/Havena</t>
  </si>
  <si>
    <t>Kavallerie-Fähnrich aus Arivor/Neetha</t>
  </si>
  <si>
    <t>Schwertgeselle nach al-Halan</t>
  </si>
  <si>
    <t>Stammeskrieger Waldmenschen (Kanutepeku)</t>
  </si>
  <si>
    <t>Achaz-Stammeskrieger (Tempelwache)</t>
  </si>
  <si>
    <t>Soldat allgemein</t>
  </si>
  <si>
    <t>Prinzipientreue 10 (Gehorsam, Loyalität, Ehrenhaftigkeit)</t>
  </si>
  <si>
    <t>Prinzipientreue 6 (Loyalität gegenüber dem Arbeitgeber und seinen Prinzipien)</t>
  </si>
  <si>
    <t>Prinzipientreue 10 (Ritterkodex: Loyalität, Schutz der Schwachen und des Glaubens, Ehrenhaftigkeit)</t>
  </si>
  <si>
    <t>Prinzipientreue 10 (Loyalität, Ehrenhaftigkeit, Schutz der Schwachen)</t>
  </si>
  <si>
    <t>Verpflichtungen (Lehnsherr/Schutzbefohlenen)</t>
  </si>
  <si>
    <t>Prinzipientreue 10 (Loyalität zum Auftraggeber bis in den Tod, Kampf gegen echsische Umtriebe, Askese)</t>
  </si>
  <si>
    <t>Prinzipientreue 10 (Wahrung von Stil und Ästhetik in allen Handlungen, Ehrenhafter Kampf, Loyalität zur Auftraggeberin)</t>
  </si>
  <si>
    <t>Prinzipientreue 12 (Gehorsam, Loyalität, Ehrenhaftigkeit/Moralkodex (Rondra-Kirche));</t>
  </si>
  <si>
    <t xml:space="preserve">Bezug Weltfremd A: Menschliche Ansiedlungen und Gewohnheiten; Bezug Vorurteile: alle geschuppten Wesen; </t>
  </si>
  <si>
    <t>Bezug Vorurteile: Echsen</t>
  </si>
  <si>
    <t>Schwerter/Säbel +6;</t>
  </si>
  <si>
    <t>Dolche/Hiebwaffen/Kettenstäbe/Kettenwaffen/Säbel/Schwerter/Speere/Zweihandflegel/Zweihandhiebwaffen/Zweihandschwerter/-säbel +4/+3;</t>
  </si>
  <si>
    <t>Dolche/Hiebwaffen/Kettenstäbe/Kettenwaffen/Säbel/Schwerter/Speere/Zweihandflegel/Zweihandhiebwaffen/Zweihandschwerter/-säbel +5/+5; Schleuder/Wurfbeile/Wurfmesser/Wurfspeere +3; Akrobatik/Reiten +3;</t>
  </si>
  <si>
    <t>Hiebwaffen/Säbel +5/+3;</t>
  </si>
  <si>
    <t>Fechtwaffen/Schwerter +5; Hiebwaffen/Säbel +5; Talentspezialisierung Seefahrt (Steuermann) verbilligt;</t>
  </si>
  <si>
    <t>Fechtwaffen/Schwerter +5; Hiebwaffen/Säbel +5; Infanteriewaffen/Speere +3;</t>
  </si>
  <si>
    <t>Fechtwaffen/Schwerter +5; Hiebwaffen/Säbel +5; Infanteriewaffen/Speere +3; Anderthalbhänder/Zweihandschwerter/-säbel +3;</t>
  </si>
  <si>
    <t>Armbrust/Bogen +3; Fechtwaffen/Hiebwaffen/Säbel/Schwerter +4; Boote Fahren/Fahrzeug lenken +2;</t>
  </si>
  <si>
    <t>Armbrust/Bogen +3; Fechtwaffen/Hiebwaffen/Säbel/Schwerter +4;</t>
  </si>
  <si>
    <t>Fechtwaffen/Hiebwaffen/Säbel/Schwerter +4; Kettenwaffen/Peitsche +4;</t>
  </si>
  <si>
    <t>Armbrust/Bogen +3; Fechtwaffen/Hiebwaffen/Säbel/Schwerter +5; Infanteriewaffen/Stäbe +6; ein weiteres Wissenstalent je nach bewachter Institution +2;</t>
  </si>
  <si>
    <t>Bogen/Lanzenreiten +3; Säbel/Schwerter/Zweihandschwerter/-säbel +4/+2; Singen/Tanzen +2; Betören/Gassenwissen/Lehren +2; Brettspiel/Geographie/Geschichtswissen +3; Philosophie/Rechtskunde/Staatskunst +2; Abrichten/Handel/Hauswirtschaft/Musizieren +2/+2; Ackerbau/Winzer/Viehzucht +1;</t>
  </si>
  <si>
    <t>Anderthalbhänder/Hiebwaffen/Schwerter/Zweihandschwerter/-säbel +7/+4; Armbrust/Bogen/Wurfspeere +3;</t>
  </si>
  <si>
    <t>Anderthalbhänder/Hiebwaffen/Schwerter/Zweihandschwerter/-säbel/Kettenwaffen +7/+4; Armbrust/Bogen/Wurfspeere +1; Staatskunst/Tierkunde/Ackerbau/Hauswirtschaft +3;</t>
  </si>
  <si>
    <t>Anderthalbhänder/Hiebwaffen/Schwerter/Zweihandschwerter/-säbel +6/+3; Armbrust/Bogen/Wurfspeere +1;</t>
  </si>
  <si>
    <t>Anderthalbhänder/Hiebwaffen/Schwerter/Zweihandschwerter/-säbel/Kettenwaffen +6/+3; Armbrust/Bogen/Wurfspeere +1; Staatskunst/Tierkunde/Ackerbau/Hauswirtschaft +3;</t>
  </si>
  <si>
    <t>Anderthalbhänder/Zweihandschwerter/-säbel +4; Armbrust/Bogen/Wurfspeere +4; Infanteriewaffen/Speere +2;</t>
  </si>
  <si>
    <t>Bogen/Wurfspeere +3; Lanzenreiten/Peitsche +3; Brettspiel/Philosophie +2;</t>
  </si>
  <si>
    <t>Schwerter/Säbel +2; Singen/Musizieren +1; Brettspiel/Malen/Zeichnen +2;</t>
  </si>
  <si>
    <t>Säbel/Schwerter +4;</t>
  </si>
  <si>
    <t>Hiebwaffen/Säbel +5; Schwerter/Zweihandhiebwaffen +6/+3;</t>
  </si>
  <si>
    <t>Infanteriewaffen/Speere +5/+2; Kettenwaffen/Zweihandflegel +3;</t>
  </si>
  <si>
    <t>Säbel/Schwerter +7/+4; Wurspeere/Wurfmesser +4; Geographie/Mechanik/Sprachenkunde/Sternkunde +2; Verbilligte Waffenspezialisierung Schwerter (Kusliker Säbel oder Kurzschwert); Verbilligte Waffenspezialisierung Säbel (Säbel);</t>
  </si>
  <si>
    <t xml:space="preserve">Säbel/Schwerter +3; Brettspiel/Geographie/Magiekunde/Philosophie/Sprachenkunde/Staatskunst +2; Verbilligte Waffenspezialisierung Fechtwaffen (Rapier); </t>
  </si>
  <si>
    <t>Brettspiel/Geographie/Magiekunde/Mechanik/Pflanzenkunde/Philosophie/Sprachenkunde/Staatskunst/Sternkunde/Tierkunde +3/+1; Verbilligte Waffenspezialisierung Säbel (Khunchomer oder Amazonensäbel);</t>
  </si>
  <si>
    <t>Baukunst/Brettspiel/Gesteinskunde/Schätzen/Tierkunde +2; zwergentypisches Handwerk +1;</t>
  </si>
  <si>
    <t xml:space="preserve">Gassenwissen/Brettspiel/Magiekunde/Sternkunde +3/+2/+1; </t>
  </si>
  <si>
    <t>Pflanzenkunde/Staatskunst/Tierkunde +2; Verbilligte Waffenspezialisierung Schwerter (Amazonensäbel/Rapier);</t>
  </si>
  <si>
    <t>Dolche/Hiebwaffen/Säbel +4; Speere/Zweihand-Hiebwaffen +1; Grobschmied/Seiler/Zimmermann +2; verbilligte Waffenspezialisierung Belagerungswaffen (spezieller Geschütztyp);</t>
  </si>
  <si>
    <t>Dolche/Hiebwaffen/Säbel +4; Seiler/Zimmermann +2; verbilligte Waffenspezialisierung Belagerungswaffen (spezieller Geschütztyp);</t>
  </si>
  <si>
    <t>Hiebwaffen/Säbel/Schwerter/Zweihand-Hiebwaffen +4; Reiten/Skifahren +1; Boote Fahren/Fahrzeug Lenken +3; Abrichten/Ackerbau/Brauer/Hauswirtschaft/Viehzucht/Webkunst +2/+2;</t>
  </si>
  <si>
    <t>Anderthalbhänder/Hiebwaffen/Kettenwaffen/Säbel/Schwerter/Speere +5/+3; Infanteriewaffen/Zweihand-Hiebwaffen +3; Armbrust/Bogen/Schleuder/Wurfspeere/Wurfbeile/Wurfmesser +2;</t>
  </si>
  <si>
    <t>Hiebwaffen/Säbel/Schwerter/Speere +3; Maurer/Zimmermann +3;</t>
  </si>
  <si>
    <t>Armbrust/Schleuder +2; Hiebwaffen/Infanteriewaffen/Säbel +3; Abrichten/Ackerbau/Bergbau/Boote Fahren/Grobschmied/Handel/Maurer/Webkunst +3;</t>
  </si>
  <si>
    <t>Blasrohr/Bogen/Wurfspeere +4; Hiebwaffen/Speere +4/+2,</t>
  </si>
  <si>
    <t>Hiebwaffen/Schwerter/Speere/Zweihand-Hiebwaffen/Zweihandschwerter/-säbel +5/+3/+3; Wurfbeile/Wurfspeere +3;</t>
  </si>
  <si>
    <t>Speere/Zweihandflegel/Zweihand-Hiebwaffen +4; Wurfbeile/Wurfspeere +4;</t>
  </si>
  <si>
    <t>Bogen/Lanzenreiten/Wurfbeile/Wurfmesser/Wurfspeere +3/+3; Hiebwaffen/Speere +4/+2; Klettern/Reiten +5/+3;</t>
  </si>
  <si>
    <t>Bogen/Wurfspeere +3; Hiebwaffen/Säbel/Speere +5;</t>
  </si>
  <si>
    <t>Bogen/Wurfbeile/Wurfmesser/Wurfspeere +5; Hiebwaffen/Säbel/Speere/Zweihand-Hiebwaffen +4/+2;</t>
  </si>
  <si>
    <t>Blasrohr/Schleuder/Wurfspeere +3; Hiebwaffen/Säbel/Speere/Zweihand-Hiebwaffen +3/+2; Reiten +2/Boote Fahren +5;</t>
  </si>
  <si>
    <t>Blasrohr/Schleuder/Wurfspeere +1; Hiebwaffen/Säbel/Speere/Zweihand-Hiebwaffen +3/+2;</t>
  </si>
  <si>
    <t>Hiebwaffen/Speere/Zweihand-Hiebwaffen +5/+2; Schleuder/Wurfbeile/Wurfspeere +5;</t>
  </si>
  <si>
    <t>L/S Muttersprache +4;</t>
  </si>
  <si>
    <t>L/S Kusliker Zeichen/Tulamidya +4;</t>
  </si>
  <si>
    <t>Muttersprache +2; Fremdsprache +5; L/S Muttersprache +4;</t>
  </si>
  <si>
    <t>Wenn Muttersprache Tulamidya: Sprachen Kennen [Tulamidya] +2, Sprachen Kennen [Garethi] +5; sonst Sprachen Kennen [Tulamidya] +7;</t>
  </si>
  <si>
    <t>Fremdsprache +4; L/S Muttersprache +4;</t>
  </si>
  <si>
    <t>Waffenlos Mercenario/Waffenlos Unauer Schule/Waffenlos Hruruzat;</t>
  </si>
  <si>
    <t>Linkhand+Schildkampf I / bei Wahl des Talents Anderthalbhänder als Hauptwaffe stattdessen: Defensiver Kampfstil+Finte+Meisterparade;</t>
  </si>
  <si>
    <t>Bogen/Wurfspeere +3;</t>
  </si>
  <si>
    <t>Schildkampf II / bei Wahl des Talents Anderthalbhänder als Hauptwaffe stattdessen: Ausfall;</t>
  </si>
  <si>
    <t>Kriegsreiterei/Scharfschütze;</t>
  </si>
  <si>
    <t xml:space="preserve">Klettern/Schwimmen +2; </t>
  </si>
  <si>
    <t xml:space="preserve">Speere/Stäbe +2; Fallenstellen/Fischen/Angeln +1; </t>
  </si>
  <si>
    <t xml:space="preserve">Tarnberuf: Abrichten/Brauer/Falschspiel/Gerber/Kürschner/Handel/Heilkunde Seele/Malen/Zeichnen/Schriftl. Ausdruck/Sternkunde/Stoffe Färben/Tätowieren/Töpfern/Webkunst/Winzer +5 (Voraussetzungen müssen durch Talentsteigerung erreicht werden); </t>
  </si>
  <si>
    <t xml:space="preserve">Heilkunde Gift/Heilkunde Seele +2; </t>
  </si>
  <si>
    <t xml:space="preserve">L/S Muttersprache +4; </t>
  </si>
  <si>
    <t xml:space="preserve">eine Geländekunde nach Wahl; </t>
  </si>
  <si>
    <t xml:space="preserve">Gebirgskundig/Waldkundig; </t>
  </si>
  <si>
    <t xml:space="preserve">Eiskundig/Gebirgskundig/Höhlenkundig; </t>
  </si>
  <si>
    <t xml:space="preserve">einmal (Elem (Eis)/Elem (Erz)/Elem (Feuer)/Elem (Humus)/Elem (Luft)/Elem (Wasser)) / (Umwt); </t>
  </si>
  <si>
    <t xml:space="preserve">einmal Hell/Krft/Temp; </t>
  </si>
  <si>
    <t xml:space="preserve">einmal Einfl/Herr; </t>
  </si>
  <si>
    <t xml:space="preserve">einmal Geis/Heil/Rufe/Vers; </t>
  </si>
  <si>
    <t xml:space="preserve">einmal je nach Ausrichtung Elem (Eis)/Elem (Erz)/Elem (Feuer)/Elem (Humus)/Elem (Luft)/Elem (Wasser); </t>
  </si>
  <si>
    <t xml:space="preserve">einmal zusätzlich (Elem (Eis)/Elem (Erz)/Elem (Feuer)/Elem (Humus)/Elem (Luft)/Elem (Wasser)) / (Umwt); </t>
  </si>
  <si>
    <t xml:space="preserve">zweimal zusätzlich Hell/Krft/Temp; </t>
  </si>
  <si>
    <t xml:space="preserve">einmal zusätzlich Einfl/Herr; </t>
  </si>
  <si>
    <t xml:space="preserve">einmal zusätzlich Geis/Heil/Rufe/Vers; </t>
  </si>
  <si>
    <t xml:space="preserve">einmal Hell/Temp; </t>
  </si>
  <si>
    <t xml:space="preserve">Wand aus Dornen/Wettermeisterschaft +4; </t>
  </si>
  <si>
    <t xml:space="preserve">Zorn der Elemente/Zwingtanz +6; </t>
  </si>
  <si>
    <t xml:space="preserve">Beherrschung Brechen/Einfluss bannen +4; </t>
  </si>
  <si>
    <t xml:space="preserve">Wand aus Dornen/Wettermeisterschaft +1; </t>
  </si>
  <si>
    <t xml:space="preserve">Ignifaxius (Mag); </t>
  </si>
  <si>
    <t xml:space="preserve">Adamantium (Erz); </t>
  </si>
  <si>
    <t xml:space="preserve">Voraussetzung: nur Kultur Mittelländische Landbevölkerung (Gebirge) / Mhanadistan (Fern der Zivilisation); </t>
  </si>
  <si>
    <t xml:space="preserve">Pflanzenkunde/Tierkunde +2L; Abrichten/Ackerbau/Anatomie/Viehzucht +3/+2; Zwei Handwerkstalente nach Wahl als Leittalente; </t>
  </si>
  <si>
    <t xml:space="preserve">Bogen/Wurfspeere +4; Fechtwaffen/Hiebwaffen/Säbel/Schwerter/Speere/Stäbe +6L; Raufen/Ringen +2; Waffenspezialisierung Bogen (Kurzbogen/Elfenbogen) / Wurfspeer (Wurfspeer/Speerschleuder); </t>
  </si>
  <si>
    <t xml:space="preserve">Bogen/Wurfspeere +2; Fechtwaffen/Hiebwaffen/Säbel/Schwerter/Speere/Stäbe +3; Fallen Stellen / Fischen/Angeln +3; </t>
  </si>
  <si>
    <t xml:space="preserve">Eine aus folgenden: Anti, Eign, Einfl, Form, Heil, Hell, Rufe, Herr, Illu, Krft, Objk, Scha, Umwt, Vers; </t>
  </si>
  <si>
    <t xml:space="preserve">Voraussetzung: nur Kultur Elfenvolk; </t>
  </si>
  <si>
    <t xml:space="preserve">Voraussetzung: nur Kultur Elfenvolk, jedoch nicht Elfische Siedlung; </t>
  </si>
  <si>
    <t xml:space="preserve">Voraussetzung: nur Kultur Auelfische Sippe; </t>
  </si>
  <si>
    <t xml:space="preserve">Voraussetzung: nur Kultur Steppenelfische Sippe; </t>
  </si>
  <si>
    <t xml:space="preserve">Voraussetzung: nur Kultur Waldelfische Sippe; </t>
  </si>
  <si>
    <t xml:space="preserve">Voraussetzung: nur Kultur Firnelfische Sippe; </t>
  </si>
  <si>
    <t xml:space="preserve">Voraussetzung: nur elfische Kultur; </t>
  </si>
  <si>
    <t xml:space="preserve">einmal Elem (Erz)/Elem (Feuer)/Elem (Humus)/Elem (Luft)/Elem (Wasser); </t>
  </si>
  <si>
    <t xml:space="preserve">einmal Merkmalskenntnis Elementar (Einzelelement); </t>
  </si>
  <si>
    <t xml:space="preserve">Voraussetzung: nur Kultur Brobim; </t>
  </si>
  <si>
    <t xml:space="preserve">Dolche/Fechtwaffen/Säbel +2; </t>
  </si>
  <si>
    <t xml:space="preserve">Dolche/Speere/Stäbe +4/+2; </t>
  </si>
  <si>
    <t xml:space="preserve">Fremdsprache +5; L/S Muttersprache +4/weitere Fremdsprache nach Wahl +3; </t>
  </si>
  <si>
    <t xml:space="preserve">Fremdsprache +4 [meist Nujuka/Alaani/Elfisch]; </t>
  </si>
  <si>
    <t xml:space="preserve">Fremdsprache +5; weitere Fremdsprachen nach Wahl +3; L/S Muttersprache +6; L/S weitere Schrift nach Wahl +4; </t>
  </si>
  <si>
    <t xml:space="preserve">Fremdsprache +4; weitere Fremdsprache nach Wahl +3; </t>
  </si>
  <si>
    <t xml:space="preserve">einmal Herr/Einfl; </t>
  </si>
  <si>
    <t xml:space="preserve">einmal Eign/Einfl; </t>
  </si>
  <si>
    <t xml:space="preserve">einmal Anti/Besw; </t>
  </si>
  <si>
    <t xml:space="preserve">einmal Hell/Vers; </t>
  </si>
  <si>
    <t xml:space="preserve">einmal Einfl/Geis; </t>
  </si>
  <si>
    <t xml:space="preserve">einmal zusätzlich Herr/Einfl; </t>
  </si>
  <si>
    <t xml:space="preserve">einmal zusätzlich Eign/Einfl; </t>
  </si>
  <si>
    <t xml:space="preserve">einmal zusätzlich Anti/Besw; </t>
  </si>
  <si>
    <t xml:space="preserve">einmal zusätzlich Hell/Vers; </t>
  </si>
  <si>
    <t xml:space="preserve">einmal zusätzlich Einfl/Geis; </t>
  </si>
  <si>
    <t>Bezug Weltfremd A: Zeitgefühl; Bezug Weltfremd B: Geselligkeit; Bezug Vorurteile: Zwerge;</t>
  </si>
  <si>
    <t xml:space="preserve">Muttersprache +2; </t>
  </si>
  <si>
    <t>Sieben Hauszauber aus Liste auswählen, die um eine Steigerungskategorie leichter gesteigert werden können, empfohlene Sprüche sind mit * markiert, empfohlene Hauszauber sind mit ** markiert, Zauber mit dem Merkmal Objekt sind mit einem o markiert; Liste mögliche Zauber: Profession: Kristallomant: Abvenenum reine Speise o (C), Adamatium Erzstruktur o ** (C), Aeolitus  Windgebraus* (B), Analys Arcanstructur** (D), Applicatus Zauberspeicher o ** (C), Arcanovi Artefakt o ** (E), Axxeleratus Blitzgeschwind* (C), Balsam Salabunde (C), Beherrschung Brechen (C), Blick aufs Wesen* (C), Blick in die Gedanken** (D), Blitz dich find (B), Böser Blick (C), Caldofrigo heiss und kalt o ** (E), Corpofrigo Kälteschock** (C), Custodosigil Diebesbann o  (C), Eigenschaften wiederherst. (C), Einfluss bannen (B), Eisenrost und Patina o ** (C), Elementarer Diener** (D), Exposami Lebenskraft (B), Flim Flam Funkel* (A), Hartes schmelze! o * (C), Hellsicht trüben* (C), Invocatio minor (D), Lunge des Leviatan* (B), Manifesto Element* (A), Motoricus (C), Nebelwand und Morgendunst (C), Objectofixo o * (D), Objekt entzaubern o * (C), Odem Arcanum* (A), Plumbumbarum schwerer Arm (B), Reptilea Natternnest** (D), Ruhe Körper - ruhe Geist (B), Sensibar Empathicus (C), Serpentialis Schlangenleib (D), Tiergedanken (C), Unberührt von Satinav o ** (C), Unitatio Geistesbund (B), Veränderung aufheben (D), Verständigung stören (C), Warmes Blut** (B), Zorn der Elemente** (C)</t>
  </si>
  <si>
    <t>Liste mögliche Zauber: Profession: Kristallomant: Abvenenum reine Speise o (C), Adamatium Erzstruktur o ** (C), Aeolitus  Windgebraus* (B), Analys Arcanstructur** (D), Applicatus Zauberspeicher o ** (C), Arcanovi Artefakt o ** (E), Axxeleratus Blitzgeschwind* (C), Balsam Salabunde (C), Beherrschung Brechen (C), Blick aufs Wesen* (C), Blick in die Gedanken** (D), Blitz dich find (B), Böser Blick (C), Caldofrigo heiss und kalt o ** (E), Corpofrigo Kälteschock** (C), Custodosigil Diebesbann o  (C), Eigenschaften wiederherst. (C), Einfluss bannen (B), Eisenrost und Patina o ** (C), Elementarer Diener** (D), Exposami Lebenskraft (B), Flim Flam Funkel* (A), Hartes schmelze! o * (C), Hellsicht trüben* (C), Invocatio minor (D), Lunge des Leviatan* (B), Manifesto Element* (A), Motoricus (C), Nebelwand und Morgendunst (C), Objectofixo o * (D), Objekt entzaubern o * (C), Odem Arcanum* (A), Plumbumbarum schwerer Arm (B), Reptilea Natternnest** (D), Ruhe Körper - ruhe Geist (B), Sensibar Empathicus (C), Serpentialis Schlangenleib (D), Tiergedanken (C), Unberührt von Satinav o ** (C), Unitatio Geistesbund (B), Veränderung aufheben (D), Verständigung stören (C), Warmes Blut** (B), Zorn der Elemente** (C)</t>
  </si>
  <si>
    <t xml:space="preserve">insgesamt (inkl. Hauszauber) max. 20 Zauber aus Liste aussuchen; unter den ausgewählten Zaubern muss sich der ARCANOVI oder APPLICATUS (oder beide) befinden; mindestens die Hälfte der Zauber sollte das Merkmal Objekt haben; </t>
  </si>
  <si>
    <t>Meisterhandwerk (KK, Athletik, Körperbeherrschung, Raufen)</t>
  </si>
  <si>
    <t>Übernatürliche Begabung (Horriphobus Schreckgestalt, Lunge des Leviatan)</t>
  </si>
  <si>
    <t>Übernatürliche Begabung (Movimento Dauerlauf, Zaubernahrung Hungerbann)</t>
  </si>
  <si>
    <t>Übernatürliche Begabung (Axxeleratus Blitzgeschwind, Standfest Katzengleich)</t>
  </si>
  <si>
    <t>Fluch der Finsternis II</t>
  </si>
  <si>
    <t xml:space="preserve">Eisern/Resistenz gegen Gift (Pflanzengifte); </t>
  </si>
  <si>
    <t xml:space="preserve">Bogen/Wurfspeere +5; </t>
  </si>
  <si>
    <t xml:space="preserve">Speere/Zweihand-Hiebwaffen +4; Wurfbeile/Wurfspeere +3; </t>
  </si>
  <si>
    <t xml:space="preserve">Speere/Zweihand-Hiebwaffen +2; </t>
  </si>
  <si>
    <t xml:space="preserve">Hiebwaffen/Speere +4/+2; </t>
  </si>
  <si>
    <t xml:space="preserve">Lanzenreiten/Wurfspeere +1; Brett-Kartenspiel/Sternkunde +4/+1; </t>
  </si>
  <si>
    <t xml:space="preserve">Steppenkundig/Sumpfkundig/Waldkundig; </t>
  </si>
  <si>
    <t xml:space="preserve">Gebirgskundig/Steppenkundig/Waldkundig; </t>
  </si>
  <si>
    <t xml:space="preserve">können folgende magische SF erwerben:  Aura verhüllen, Aurapanzer, Eiserner Wille I, Eiserner Wille II, Gedankenschutz, Kraftlinienmagie I, Tanz der Mada, Verbotene Pforten; </t>
  </si>
  <si>
    <t xml:space="preserve">Steppenkundig/Waldkundig; </t>
  </si>
  <si>
    <t xml:space="preserve">Eiskundig/Waldkundig; </t>
  </si>
  <si>
    <t>Übernatürliche Begabung (fünf Zauber aus Liste bekannter Zauber, davon zu Spielbeginn nur drei verfügbar)</t>
  </si>
  <si>
    <t xml:space="preserve">zu Beginn 3 Zauber als Übernatürliche Begabung aus Liste aussuchen: Armatrutz , Attributo , Bärenruhe Winterschlaf , Böser Blick , Eins mit der Natur , Eiseskälte Kämpferherz , Exposami Lebenskraft , Firnlauf , Große Verwirrung , Herr über das Tierreich , Höllenpein zerreisse dich! , Karnifilo Raserei , Kusch! , Lunge des Leviatan , Movimento Dauerlauf , Pestilenz erspüren , Psychostabilis , Ruhe Körper - ruhe Geist , Sanftmut , Sensibar Empathicus , Spurlos Trittlos , Standfest Katzengleich , Zaubernahrung Hungerbann </t>
  </si>
  <si>
    <t xml:space="preserve">zu Beginn 3 Zauber als Übernatürliche Begabung aus Liste aussuchen: Adlerauge Luchsenohr , Attributo , Bärenruhe Winterschlaf , Böser Blick , Chamaelioni , Eins mit der Natur , Eiseskälte Kämpferherz , Exposami Lebenskraft , Falkenauge Meisterschuss , Hexengalle , Höllenpein zerreisse dich! , Katzenaugen , Krötensprung , Lunge des Leviatan , Pestilenz erspüren , Psychostabilis , Ruhe Körper - ruhe Geist , Sensattacco Meisterstreich , Sensibar Empathicus , Spinnenlauf , Spurlos Trittlos , Standfest Katzengleich , Warmes Blut </t>
  </si>
  <si>
    <t xml:space="preserve">zu Beginn 3 Zauber als Übernatürliche Begabung aus Liste aussuchen: Adlerauge Luchsenohr , Attributo , Axxeleratus Blitzgeschwind , Chamaelioni , Eins mit der Natur , Exposami Lebenskraft , Gedankenbilder Elfenruf , Hexenspeichel , Höllenpein zerreisse dich! , Ignorantia Ungesehn , Kusch! , Lachkranpf , Lunge des Leviatan , Movimento Dauerlauf , Pectetondo Zauberhaar , Penetrizzel Tiefenblick , Seidenzunge Elfenwort , Sensibar Empathicus , Spurlos Trittlos , Wasseratem , Wellenlauf </t>
  </si>
  <si>
    <t>zu Beginn 3 Zauber als Übernatürliche Begabung aus Liste bekannter Zauber aussuchen</t>
  </si>
  <si>
    <t xml:space="preserve">zu Beginn 3 Zauber als Übernatürliche Begabung aus Liste aussuchen: Adlerauge Luchsenohr , Attributo , Axxeleratus Blitzgeschwind , Böser Blick , Chamaelioni , Eins mit der Natur , Eiseskälte Kämpferherz , Exposami Lebenskraft , Gefunden , Große Verwirrung , Höllenpein zerreisse dich! , Horriphobus Schreckgestalt , Karnifilo Raserei , Katzenaugen , Krötensprung , Kusch! , Lunge des Leviatan , Movimento Dauerlauf , Sensibar Empathicus , Spurlos Trittlos , Standfest Katzengleich , Zaubernahrung Hungerbann </t>
  </si>
  <si>
    <t xml:space="preserve">zu Beginn 3 Zauber als Übernatürliche Begabung aus Liste aussuchen: Adlerauge Luchsenohr , Attributo , Axxeleratus Blitzgeschwind , Blick aufs Wesen , Böser Blick , Chamaelioni , Eins mit der Natur , Eiseskälte Kämpferherz , Exposami Lebenskraft , Gefunden , Große Verwirrung , Herr über das Tierreich , Horriphobus Schreckgestalt , Katzenaugen , Krötensprung , Kusch! , Lunge des Leviatan , Movimento Dauerlauf , Sensibar Empathicus , Spurlos Trittlos , Standfest Katzengleich , Zaubernahrung Hungerbann </t>
  </si>
  <si>
    <t xml:space="preserve">zu Beginn 3 Zauber als Übernatürliche Begabung aus Liste aussuchen: Adlerauge Luchsenohr , Attributo , Axxeleratus Blitzgeschwind , Böser Blick , Chamaelioni , Eins mit der Natur , Eiseskälte Kämpferherz , Exposami Lebenskraft , Falkenauge Meisterschuss , Große Verwirrung , Höllenpein zerreisse dich! , Karnifilo Raserei , Kusch!, Pestilenz erspüren , Psychostabilis , Sensibar Empathicus , Standfest Katzengleich , Zaubernahrung Hungerbann </t>
  </si>
  <si>
    <t xml:space="preserve">zu Beginn 3 Zauber als Übernatürliche Begabung aus Liste aussuchen: Adlerauge Luchsenohr , Armatrutz , Attributo , Balsam Salabunde , Bärenruhe Winterschlaf , Eins mit der Natur , Eiseskälte Kämpferherz , Exposami Lebenskraft , Firnlauf , Gefunden , Große Verwirrung , Hexenkrallen , Karnifilo Raserei , Katzenaugen , Kusch! , Movimento Dauerlauf , Pectetondo Zauberhaar , Satuarias Herrlichkeit , Seidenzunge Elfenwort , Sensibar Empathicus , Spurlos Trittlos , Zaubernahrung Hungerbann </t>
  </si>
  <si>
    <t xml:space="preserve">Armatrutz , Attributo , Bärenruhe Winterschlaf , Böser Blick , Eins mit der Natur , Eiseskälte Kämpferherz , Exposami Lebenskraft , Firnlauf , Große Verwirrung , Herr über das Tierreich , Höllenpein zerreisse dich! , Karnifilo Raserei , Kusch! , Lunge des Leviatan , Movimento Dauerlauf , Pestilenz erspüren , Psychostabilis , Ruhe Körper - ruhe Geist , Sanftmut , Sensibar Empathicus , Spurlos Trittlos , Standfest Katzengleich , Zaubernahrung Hungerbann </t>
  </si>
  <si>
    <t xml:space="preserve">Adlerauge Luchsenohr , Attributo , Bärenruhe Winterschlaf , Böser Blick , Chamaelioni , Eins mit der Natur , Eiseskälte Kämpferherz , Exposami Lebenskraft , Falkenauge Meisterschuss , Hexengalle , Höllenpein zerreisse dich! , Katzenaugen , Krötensprung , Lunge des Leviatan , Pestilenz erspüren , Psychostabilis , Ruhe Körper - ruhe Geist , Sensattacco Meisterstreich , Sensibar Empathicus , Spinnenlauf , Spurlos Trittlos , Standfest Katzengleich , Warmes Blut </t>
  </si>
  <si>
    <t xml:space="preserve">Adlerauge Luchsenohr , Attributo , Axxeleratus Blitzgeschwind , Chamaelioni , Eins mit der Natur , Exposami Lebenskraft , Gedankenbilder Elfenruf , Hexenspeichel , Höllenpein zerreisse dich! , Ignorantia Ungesehn , Kusch! , Lachkranpf , Lunge des Leviatan , Movimento Dauerlauf , Pectetondo Zauberhaar , Penetrizzel Tiefenblick , Seidenzunge Elfenwort , Sensibar Empathicus , Spurlos Trittlos , Wasseratem , Wellenlauf </t>
  </si>
  <si>
    <t xml:space="preserve">Adlerauge Luchsenohr , Attributo , Axxeleratus Blitzgeschwind , Böser Blick , Chamaelioni , Eins mit der Natur , Eiseskälte Kämpferherz , Exposami Lebenskraft , Gefunden , Große Verwirrung , Höllenpein zerreisse dich! , Horriphobus Schreckgestalt , Karnifilo Raserei , Katzenaugen , Krötensprung , Kusch! , Lunge des Leviatan , Movimento Dauerlauf , Sensibar Empathicus , Spurlos Trittlos , Standfest Katzengleich , Zaubernahrung Hungerbann </t>
  </si>
  <si>
    <t xml:space="preserve">Adlerauge Luchsenohr , Attributo , Axxeleratus Blitzgeschwind , Blick aufs Wesen , Böser Blick , Chamaelioni , Eins mit der Natur , Eiseskälte Kämpferherz , Exposami Lebenskraft , Gefunden , Große Verwirrung , Herr über das Tierreich , Horriphobus Schreckgestalt , Katzenaugen , Krötensprung , Kusch! , Lunge des Leviatan , Movimento Dauerlauf , Sensibar Empathicus , Spurlos Trittlos , Standfest Katzengleich , Zaubernahrung Hungerbann </t>
  </si>
  <si>
    <t xml:space="preserve">Adlerauge Luchsenohr , Attributo , Axxeleratus Blitzgeschwind , Böser Blick , Chamaelioni , Eins mit der Natur , Eiseskälte Kämpferherz , Exposami Lebenskraft , Falkenauge Meisterschuss , Große Verwirrung , Höllenpein zerreisse dich! , Karnifilo Raserei , Kusch!, Pestilenz erspüren , Psychostabilis , Sensibar Empathicus , Standfest Katzengleich , Zaubernahrung Hungerbann </t>
  </si>
  <si>
    <t xml:space="preserve">Adlerauge Luchsenohr , Armatrutz , Attributo , Balsam Salabunde , Bärenruhe Winterschlaf , Eins mit der Natur , Eiseskälte Kämpferherz , Exposami Lebenskraft , Firnlauf , Gefunden , Große Verwirrung , Hexenkrallen , Karnifilo Raserei , Katzenaugen , Kusch! , Movimento Dauerlauf , Pectetondo Zauberhaar , Satuarias Herrlichkeit , Seidenzunge Elfenwort , Sensibar Empathicus , Spurlos Trittlos , Zaubernahrung Hungerbann </t>
  </si>
  <si>
    <t xml:space="preserve">Voraussetzung: nur Männer; </t>
  </si>
  <si>
    <t>Schwert und Stab zu Beilunk</t>
  </si>
  <si>
    <t>Prinzipientreue 8 (Vernichtung däm. Wesenheiten, Bekämpfung der Dämonologie, Schutz der reinen Elemente u. ihrer Wesenheiten)</t>
  </si>
  <si>
    <t>Randgruppe (Nekromanten u. Dämonologen)</t>
  </si>
  <si>
    <t>Prinzipientreue 4 (Förderung der Völkerverständigung zw. Menschen und Elfen)</t>
  </si>
  <si>
    <t>Prinzipientreue 6 (Friede bewahren, Konflikte vermeiden, Verständigung Völker+Rassen)</t>
  </si>
  <si>
    <t>Prinzipientreue 10 (strenger Hesinde-Glauben, Gehorsam, Wissen in die richtigen Hände, Bewahrung der praiosgewollten Macht und Ordnung)</t>
  </si>
  <si>
    <t>Prinzipientreue 8 (Gesetzestreue, Schutz des Horasreiches, Gehorsam gegenüber Adel &amp; Geweihte)</t>
  </si>
  <si>
    <t>Prinzipientreue 8 (mäßig strenge Auslegung der 99 Gesetze)</t>
  </si>
  <si>
    <t>Verpflichtungen (wahlweise gegenüber der Weißen Gilde, dem Königreich Nostria, dem Orden der Schlange der Erkenntnis)</t>
  </si>
  <si>
    <t>Prinzipientreue 10 (Schutz Mittelreich u. Adel, extr. Zwölfgötterglaube, Wahrheitsliebe)</t>
  </si>
  <si>
    <t>Prinzipientreue 10 (Aufrichtigkeit+unbedingte Wahrheitsliebe, Schutz des Guten und Rechtschaffenen, Treue zu den Zwölfgöttern und ihren Dienern)</t>
  </si>
  <si>
    <t>Prinzipientreue 10 (Schutz Mittelreich, Verteidigung Zwölfgötterglaube, Wahrheitsliebe)</t>
  </si>
  <si>
    <t>Verpflichtungen (Akademie, Mäzene, Familie)</t>
  </si>
  <si>
    <t>Verpflichtungen (Akademie und graue Gilde)</t>
  </si>
  <si>
    <t>Verpflichtungen (Akademie, Kaiserin, Horasreich)</t>
  </si>
  <si>
    <t xml:space="preserve">zusätzlich auswählen: Stubenhocker; </t>
  </si>
  <si>
    <t xml:space="preserve">Vorurteile 8 (gegen Mittelreicher) / Weltfremd A 5 (Geselligkeit und städtisches Treiben); </t>
  </si>
  <si>
    <t>Bezug Vorurteile: Gegen echsische Wesen;</t>
  </si>
  <si>
    <t xml:space="preserve">Bezug Verpflichtungen: Weiße Gilde/Königreich Nostria/Orden der Schlange der Erkenntnis; </t>
  </si>
  <si>
    <t xml:space="preserve">Lederarbeiten/Schneidern +3/+1; </t>
  </si>
  <si>
    <t xml:space="preserve">Baukunst/Gesteinskunde/Hüttenkunde/Kryptographie +3; Feinmechanik/Glaskunst/Grobschmied/Metallguss/Steinmetz/Steinschneider/Juwelier/Webkunst +3; </t>
  </si>
  <si>
    <t xml:space="preserve">drei beliebige Wissenstalente je +2; </t>
  </si>
  <si>
    <t xml:space="preserve">Baukunst/Brauer/Gerber/Kürschner/Heilkunde Krankheiten/Instrumentenbauer/Kochen/Maurer/Schnaps Brennen/Schneidern/Seefahrt/Seiler/Steinmetz/Steinschneider/Juwelier/Stellmacher/Stoffe Färben/Tätowieren/Töpfern/Viehzucht/Webkunst/Zimmermann +4/+3; </t>
  </si>
  <si>
    <t xml:space="preserve">Hiebwaffen/Säbel/Schwerter/Stäbe +2; </t>
  </si>
  <si>
    <t xml:space="preserve">Abrichten/Brauer/Feinmechanik/Glaskunst/Handel/Hauswirtschaft/Heilkunde Gift/Kartographie/Musizieren/Schnaps Brennen/Tätowieren +3; </t>
  </si>
  <si>
    <t xml:space="preserve">Singen +2/Musizieren +3; </t>
  </si>
  <si>
    <t xml:space="preserve">Ackerbau/Boote Fahren/Holzbearbeitung/Kochen/Maurer/Seiler/Töpfern/Zimmermann +2/+2/+2; </t>
  </si>
  <si>
    <t xml:space="preserve">Fremdsprache +4; L/S Fremdsprache +4; </t>
  </si>
  <si>
    <t xml:space="preserve">Isdira/Rogolan/Ologhaijan ('Hochorkisch') +5/+3; </t>
  </si>
  <si>
    <t xml:space="preserve">eine weitere Fremdsprache +4; </t>
  </si>
  <si>
    <t xml:space="preserve">Fremdsprache +5; </t>
  </si>
  <si>
    <t xml:space="preserve">Fremdsprache +5; dazu passend L/S Fremdsprache +5; </t>
  </si>
  <si>
    <t xml:space="preserve">Fremdsprache +5; dazu passend L/S Fremdsprache +4; </t>
  </si>
  <si>
    <t xml:space="preserve">Fremdsprache Alaani ('Norbardisch')/Garethi/Isdira/Thorwalsch/Tulamidya +6/+4 (wenn nicht Mutter- oder Zweitsprache); Fremdsprache Hjaldingsch ('Saga-Thorwalsch')/Ur-Tulamidya +6; L/S Fremdsprache +6; </t>
  </si>
  <si>
    <t xml:space="preserve">Lehrsprache (auf KL-4) Garethi/Tulamidya; Fremdsprache Garethi/Tulamidya (das nicht gewählte) +4; </t>
  </si>
  <si>
    <t xml:space="preserve">einmal Dämo (beliebig, meist TGT) /Besw; </t>
  </si>
  <si>
    <t>einmal Objk/Elem(1 Element)/Umwt;</t>
  </si>
  <si>
    <t xml:space="preserve">Waffenlos Mercenario/Unauer Schule; </t>
  </si>
  <si>
    <t>einmal Objk/Elem (1 Element)/Umwt;</t>
  </si>
  <si>
    <t xml:space="preserve">Elem (Eis)/Elem (Wasser); </t>
  </si>
  <si>
    <t xml:space="preserve">Gletscherwand/Orkanwand/Wand aus Dornen/Wand aus Erz/Wand aus Flammen/Wand aus Wogen +6; </t>
  </si>
  <si>
    <t>Fulminictus/Ignifaxius +2; Pandaemonium/Stein Wandle +2; Pentagramma/Reversalis +4;</t>
  </si>
  <si>
    <t>Nach Meisterentscheid auch Mag3 und Mag4 erlernbar (dazu auf Alle Zauber umstellen Anzeige in Auswahlliste - Zelle C117)</t>
  </si>
  <si>
    <t xml:space="preserve">Blick aufs Wesen/Sensibar Empathicus +3; </t>
  </si>
  <si>
    <t xml:space="preserve">Blick aufs Wesen/Sensibar Empathicus +4/+2; </t>
  </si>
  <si>
    <t xml:space="preserve">Einfluss bannen/Illusion auflösen +4; Ignifaxius Flammenstrahl/Paralysis starr wie Stein +3; </t>
  </si>
  <si>
    <t xml:space="preserve">Horriphobus Schreckgestalt/Paralysis starr wie Stein +3; </t>
  </si>
  <si>
    <t xml:space="preserve">Deliciosi Gaumenschmaus/Ignorantia Ungesehn +5/+3; </t>
  </si>
  <si>
    <t xml:space="preserve">Adlerschwinge Wolfsgestalt +3 (zweites Tier), Adlerschwinge Wolfsgestalt +2 (drittes Tier); </t>
  </si>
  <si>
    <t xml:space="preserve">Claudibus Clavistibor/Motoricus/Penetrizzel Tiefenblick +3; Plumbumbarum schwerer Arm/Unitatio Geistesbund +2; </t>
  </si>
  <si>
    <t xml:space="preserve">Zagibu (Sch); </t>
  </si>
  <si>
    <t xml:space="preserve">Movimento (Elf); Leib des Windes (Elf); Adlerauge (Elf); Exposami (Elf); Falkenauge (Elf); Nebelwand (Elf); Solidirid (Elf); Wasseratem (Elf); Windstille (Elf); Geisterruf (Dru); Herr über das Tierreich (Dru); </t>
  </si>
  <si>
    <t>Bärenruhe (Elf); Traumgestalt (Elf);</t>
  </si>
  <si>
    <t xml:space="preserve">Blick in die Vergangenheit (Dru); Böser Blick (Dru); Eins mit der Natur (Dru); Geisterruf (Dru); Halluzination (Dru); Kraft des Erzes (Dru); Magischer Raub (Dru); Mahlstrom (Dru); Nebelwand (Dru); Sumus Elixiere (Dru); Weisheit der Bäume (Dru); Wellenlauf (Dru); </t>
  </si>
  <si>
    <t xml:space="preserve">Halluzination (Dru); </t>
  </si>
  <si>
    <t xml:space="preserve">Leib des Windes (Elf); Metamorpho Gletscherform (Elf); Weiches erstarre (Bor); </t>
  </si>
  <si>
    <t xml:space="preserve">Adlerauge (Elf); Adlerschwinge (Elf); Einfluss bannen (Elf); Falkenauge (Elf); Movimento (Elf); Pfeil der Luft (Elf); Solidirid (Elf); Wasseratem (Elf); Weisse Mähn (Elf); </t>
  </si>
  <si>
    <t xml:space="preserve">Blendwerk (Sch); Schelmenmaske (Sch); </t>
  </si>
  <si>
    <t xml:space="preserve">Falkenauge (Elf); Firnlauf (Elf); Haselbusch (Elf); Movimento (Elf); </t>
  </si>
  <si>
    <t xml:space="preserve">Movimento Dauerlauf (Elf); </t>
  </si>
  <si>
    <t xml:space="preserve">Hexenspeichel (Hex); </t>
  </si>
  <si>
    <t xml:space="preserve">Brenne (Bor); Höllenpein (Bor); Schwarzer Schrecken (Bor); </t>
  </si>
  <si>
    <t xml:space="preserve">Blendwerk (Sch); Schelmenmaske (Sch); Chamaelioni (Elf); </t>
  </si>
  <si>
    <t xml:space="preserve">Haselbusch (Elf); Wasseratem (Elf); </t>
  </si>
  <si>
    <t xml:space="preserve">B/S-Kreis gegen Niedere Dämonen; </t>
  </si>
  <si>
    <t xml:space="preserve">B/S-Kreis gegen Gehörnte Dämonen; </t>
  </si>
  <si>
    <t xml:space="preserve">Voraussetzung: zwölfgöttergläubig; wählbar bis 1021 BF; </t>
  </si>
  <si>
    <t xml:space="preserve">Voraussetzung: keine Vorurteile; </t>
  </si>
  <si>
    <t xml:space="preserve">Voraussetzung: zwölfgöttergläubig, Treue/Sympathie Horasreich; </t>
  </si>
  <si>
    <t xml:space="preserve">Voraussetzung: keine Totenangst; </t>
  </si>
  <si>
    <t xml:space="preserve">Voraussetzung: aufgeschlossen ggü Belkelel-Kult, äußerste Skrupellosigkeit; </t>
  </si>
  <si>
    <t xml:space="preserve">Voraussetzung: zwölfgöttergläubig; </t>
  </si>
  <si>
    <t xml:space="preserve">Voraussetzung: zwölfgöttergläubig, Vorteil Verbindungen min 10 (Abgänger/Geweihter) oder Adlig; </t>
  </si>
  <si>
    <t xml:space="preserve">Vorausetzungen: eine der Eigenschaften kann um einen Punkt unter dem Minimum liegen; </t>
  </si>
  <si>
    <t xml:space="preserve">Alle Zauber mit den Merkmalen Scha, Besw, Dämo, Geis mit Ausnahme der antimagischen Formeln sind bei der Generierung mit der nächst höheren Spalte zu aktivieren und zu steigern. </t>
  </si>
  <si>
    <t xml:space="preserve">Voraussetzungen: keine Meeres- oder Platzangst; </t>
  </si>
  <si>
    <t xml:space="preserve">Voraussetzungen: keine Ängste, keine Rachsucht; </t>
  </si>
  <si>
    <t xml:space="preserve">Voraussetzung: Kultur Thorwal/Norbardensippe; nach Meisterentscheid auch Hellsicht-Zauber von den Hellsehern aus Thorwal möglich; </t>
  </si>
  <si>
    <t xml:space="preserve">Voraussetzungen: zwölfgöttergläubig, keine Totenangst; </t>
  </si>
  <si>
    <t>Voraussetzungen: zwölfgöttergläubig; strenge Auswahlkriterien (keine Einbildungen/Eingeschränkter Sinn/Farbenblind/Fluch der Finsternis/Gesucht/Goldgier/Medium/Rachsucht/Schulden/Spruchhemmung/Stigma/Sucht/Unstet/Vergesslichkeit, keine Ängste);</t>
  </si>
  <si>
    <t xml:space="preserve">Voraussetzungen: Ablehnung der mittelreichischen Besatzung, keine Rastullahgläubigen, keine Feinde des Ruhr und Gror-Glaubens, nur bis 1020 BF wählbar; Ecliptifactus Schattenkraft, Transmutare Körperform nur an Magier mit (MU 13) u. (IN 13); </t>
  </si>
  <si>
    <t xml:space="preserve">Voraussetzungen: wählbar bis 1020 BF; </t>
  </si>
  <si>
    <t xml:space="preserve">Bezug Weltfremd A: gesellschaftliches Leben; </t>
  </si>
  <si>
    <t xml:space="preserve">Lehrsprache (auf KL-4) Isdira/Garethi; nicht als Lehrsprache gewählt Isdira/Garethi +4; </t>
  </si>
  <si>
    <t xml:space="preserve">Hartes schmelze!/Salander Mutander +4H; </t>
  </si>
  <si>
    <t xml:space="preserve">Bannbaladin/Exposami Lebenskraft +5H; Blick aufs Wesen/Memorans Gedächtniskraft +5H; </t>
  </si>
  <si>
    <t xml:space="preserve">Bannbaladin/Blick in die Gedanken +1; Hartes schmelze!/Salander Mutander +1 (der, der kein Hauszauber ist); </t>
  </si>
  <si>
    <t xml:space="preserve">Adlerauge Luchsenohr/Armatrutz/Attributo +4; Adlerschwinge Wolfsgestalt/Traumgestalt +4; Aeolitus  Windgebraus/Blitz dich find/Ruhe Körper - ruhe Geist +4; Axxeleratus Blitzgeschwind/Corpofesso Gliederschmerz +4; Objectovoco/Verständigung stören +3; </t>
  </si>
  <si>
    <t xml:space="preserve">Bannbaladin/Blitz dich find +4; </t>
  </si>
  <si>
    <t xml:space="preserve">Folgende Zauber in Repräsentation ELF: Bärenruhe Winterschlaf, Chamaelioni, Falkenauge Meisterschuss, Haselbusch und Ginsterkraut, Movimento Dauerlauf; </t>
  </si>
  <si>
    <t xml:space="preserve">Voraussetzung: nur Kultur Mhanadistan oder Tulamidische Stadtstaaten; </t>
  </si>
  <si>
    <t xml:space="preserve">Voraussetzung: keine Meeresangst; </t>
  </si>
  <si>
    <t xml:space="preserve">Fechtwaffen/Säbel +2; </t>
  </si>
  <si>
    <t xml:space="preserve">Hiebwaffen/Stäbe +2; Peitsche/Schleuder/Wurfmesser +1; </t>
  </si>
  <si>
    <t xml:space="preserve">Hiebwaffen/Stäbe +2; </t>
  </si>
  <si>
    <t xml:space="preserve">Bosparano/Ur-Tulamidya +2; Fremdsprache +4; L/S passende Schrift +3; </t>
  </si>
  <si>
    <t xml:space="preserve">Bosparano/Ur-Tulamidya +2; Fremdsprache +4; L/S passende Schrift +6; </t>
  </si>
  <si>
    <t xml:space="preserve">Bosparano/Ur-Tulamidya +2; Fremdsprache +4; L/S passende Schrift +3; Muttersprache/Zweitsprache +2; Atak (inkl.  Schrift)/Füchsisch (inkl. 'Schrift') +4; </t>
  </si>
  <si>
    <t xml:space="preserve">Fremdsprache +4; L/S passende Schrift +3; </t>
  </si>
  <si>
    <t xml:space="preserve">Bosparano/Ur-Tulamidya +2; Fremdsprache +4; L/S passende Schrift +4; </t>
  </si>
  <si>
    <t xml:space="preserve">Flim Flam (Mag), Menetekel (Mag); </t>
  </si>
  <si>
    <t xml:space="preserve">Blendwerk (Sch), Gefunden (Sch), Menetekel (Mag); </t>
  </si>
  <si>
    <t xml:space="preserve">Bannbaladin (Mag); </t>
  </si>
  <si>
    <t xml:space="preserve">Voraussetzungen: KL od. IN 13, die andere Eigenschaft 11; </t>
  </si>
  <si>
    <t>Weltfremd B 5 (Obrigkeit und Autoritäten)</t>
  </si>
  <si>
    <t xml:space="preserve">Bezug Weltfremd A: Menschliches Humorverständnis; Bezug Weltfremd B: Obrigkeit und Autoritäten; </t>
  </si>
  <si>
    <t xml:space="preserve">Bezug Weltfremd A: Menschliches Humorverständnis; Bezug Weltfremd B: Obrigkeit und Autoritäten; Startwert Gabe Geräuschhexerei manuell auf 6 ändern; </t>
  </si>
  <si>
    <t xml:space="preserve">Bezug Weltfremd A: Menschliches Humorverständnis; zusätzlicher automatischer Nachteil Weltfremd B 5 (Obrigkeit und Autoritäten); </t>
  </si>
  <si>
    <t xml:space="preserve">passendes Handwerktalent +3/+2; </t>
  </si>
  <si>
    <t xml:space="preserve">zwei weitere beliebige Wissenstalente je +1; </t>
  </si>
  <si>
    <t xml:space="preserve">Zweitsprache (auf KL-4) (Landessprache der ursprünglichen Eltern); </t>
  </si>
  <si>
    <t xml:space="preserve">Langer Lulatsch/Nackedei/Schelmenmaske +6/+3; </t>
  </si>
  <si>
    <t xml:space="preserve">Voraussetzung: passende menschliche Kultur; </t>
  </si>
  <si>
    <t xml:space="preserve">Abrichten/Falschspiel +2; </t>
  </si>
  <si>
    <t xml:space="preserve">beliebige Fremdsprache +4; </t>
  </si>
  <si>
    <t xml:space="preserve">beliebige Fremdsprache +6; </t>
  </si>
  <si>
    <t xml:space="preserve">Voraussetzungen: nur Frauen; nur Kultur Mhanadistan/Tulamidische Stadtstaaten/Aranien/Südaventurien; </t>
  </si>
  <si>
    <t xml:space="preserve">Voraussetzungen: nur Frauen; nur Kultur Novadi; </t>
  </si>
  <si>
    <t xml:space="preserve">Voraussetzung: nur Kultur Zahori; </t>
  </si>
  <si>
    <t xml:space="preserve">Voraussetzungen: nur Männer; nur Kultur Aranien; </t>
  </si>
  <si>
    <t>zwei beliebige Fremdsprachen je +5</t>
  </si>
  <si>
    <t xml:space="preserve">Voraussetzung: nur Kultur Norbardensippe; </t>
  </si>
  <si>
    <t>Meisterhandwerk (Alchimie)</t>
  </si>
  <si>
    <t>Verpflichtungen (gegenüber der Universität und dem Herzog)</t>
  </si>
  <si>
    <t>Alchimie (nach Wahl)</t>
  </si>
  <si>
    <t>Alchimie (nach Wahl);  Kochen (Tränke)</t>
  </si>
  <si>
    <t>Alchimie (nach Wahl); Rechnen (Arithmetik)</t>
  </si>
  <si>
    <t>Alchimie (nach Wahl); Rechnen (Geometrie)</t>
  </si>
  <si>
    <t xml:space="preserve">Bezug Verpflichtungen: gegenüber der Fakultät, den Mäzenen oder der Familie; </t>
  </si>
  <si>
    <t xml:space="preserve">Bezug Vorurteile: Gegen echsische Wesen; </t>
  </si>
  <si>
    <t xml:space="preserve">Dolche/Hiebwaffen/Säbel +2; Raufen/Ringen +2; Brauer/Gerber/Kürschner/Schnaps Brennen +2; Handel/Hauswirtschaft +2; Total +8 auf bereits aktivierte Wissens- und Handwerkstalente  max.+2 pro Talent, max. auf +8; </t>
  </si>
  <si>
    <t xml:space="preserve">Dolche/Hiebwaffen/Säbel +2; Raufen/Ringen +2; Brauer/Gerber/Kürschner/Schnaps Brennen +2; Handel/Hauswirtschaft +2; </t>
  </si>
  <si>
    <t xml:space="preserve">Dolche/Hiebwaffen/Säbel +2; Raufen/Ringen +2; Brauer/Gerber/Kürschner/Schnaps Brennen +2/+2; Handel/Hauswirtschaft +2; </t>
  </si>
  <si>
    <t xml:space="preserve">Dolche/Hiebwaffen/Säbel +2; Raufen/Ringen +3; Brauer/Gerber/Kürschner/Schnaps Brennen +2; Handel/Hauswirtschaft +2; Total +12 auf bereits aktivierte Wissens- und Handwerkstalente  max.+3 pro Talent, max. auf +8; </t>
  </si>
  <si>
    <t xml:space="preserve">Raufen/Ringen +2; Brauer/Gerber/Kürschner/Schnaps Brennen +2; Handel/Hauswirtschaft +2; Gesteinskunde/Hüttenkunde/Kryptographie/Glaskunst/Metallguss +3; </t>
  </si>
  <si>
    <t xml:space="preserve">Brauer/Gerber/Kürschner/Schnaps Brennen +2; Handel/Hauswirtschaft +2; </t>
  </si>
  <si>
    <t xml:space="preserve">Dolche/Hiebwaffen/Säbel +2; Raufen/Ringen +2; Brauer/Gerber/Kürschner/Schnaps Brennen +2; Handel/Hauswirtschaft +2; zwei weitere künstlerische Wissenstalente oder Handwerkstalente je +2; </t>
  </si>
  <si>
    <t xml:space="preserve">Dolche/Hiebwaffen/Säbel +2; Raufen/Ringen +2; Handel/Hauswirtschaft +2; Total +8 auf bereits aktivierte Wissens- und Handwerkstalente  max.+2 pro Talent, max. auf +8; </t>
  </si>
  <si>
    <t xml:space="preserve">Muttersprache / Lehrsprache +1; alte Form oder verwandte Form der Muttersprache / Lehrsprache +6; L/S Muttersprache / Lehrsprache +6; </t>
  </si>
  <si>
    <t xml:space="preserve">Muttersprache / Lehrsprache +1; alte Form oder verwandte Form der Muttersprache / Lehrsprache +6; L/S Muttersprache / Lehrsprache +6; beliebige passende Fremdsprachen oder Schriften +4; </t>
  </si>
  <si>
    <t xml:space="preserve">Ur-Tulamidya/Alaani ('Norbardisch') +2; </t>
  </si>
  <si>
    <t xml:space="preserve">noch mögliche magische SF: Aura verhüllen, Aurapanzer, Blutmagie, Eiserner Wille I, Eiserner Wille II, Gedankenschutz, Konzentrationsstärke, Kraftlinienmagie I, Ottagaldr, Tanz der Mada, Regeneration I, Verbotene Pforten, Zauberzeichen, noch mögliche magische Rituale: Allegorische Analyse, Chymische Hochzeit, Mandricons Bindung, Feuer und Eis, Transmutation der Elemente; </t>
  </si>
  <si>
    <t xml:space="preserve">Talentspezialisierung: Kochen (Konservieren/Trank); </t>
  </si>
  <si>
    <t xml:space="preserve">Übernatürliche Begabung (3 weitere aus Liste); </t>
  </si>
  <si>
    <t xml:space="preserve">Voraussetzung: nicht Nachteil Unfrei (Sklave); </t>
  </si>
  <si>
    <t xml:space="preserve">Voraussetzung: nur zwergische Kultur; </t>
  </si>
  <si>
    <t xml:space="preserve">Voraussetzung: nur Kultur Tulamidische Stadtstaaten, rastullahgläubig, Männer; </t>
  </si>
  <si>
    <t>Firun-Geweihter: Hüter der Jagd</t>
  </si>
  <si>
    <t>Peraine-Geweihte: Orden der Therbûniten</t>
  </si>
  <si>
    <t>Prinzipientreue 10 (Ordensregeln)</t>
  </si>
  <si>
    <t>Verpflichtungen (Kor-Kirche)</t>
  </si>
  <si>
    <t>Verpflichtungen (Kirche und Orden)</t>
  </si>
  <si>
    <t>Prinzipientreue 10 (Loyalität, Ehre, Schutz der Schwachen)</t>
  </si>
  <si>
    <t>Verpflichtungen (Beni Dervez, Kalifat)</t>
  </si>
  <si>
    <t>Vorurteile 6 (Echsenwesen)</t>
  </si>
  <si>
    <t>Vorurteile 6 (Adelsherrschaft, Sklaverei)</t>
  </si>
  <si>
    <t xml:space="preserve">Bezug Weltfremd A: städtisches Leben, Geselligkeit; </t>
  </si>
  <si>
    <t xml:space="preserve">Bezug Weltfremd A: zivilisierte Umgangsformen, höfisches Leben; </t>
  </si>
  <si>
    <t xml:space="preserve">Bezug Vorurteile: Andersgläubige; </t>
  </si>
  <si>
    <t xml:space="preserve">Bezug Vorurteile: Adelsherrschaft, Sklaverei; </t>
  </si>
  <si>
    <t xml:space="preserve">Baukunst/Bergbau/Feinmechanik/Kristallzucht/Steinmetz/Steinschneider/Juwelier/Zimmermann +5/+3; </t>
  </si>
  <si>
    <t xml:space="preserve">Grobschmied/Metallguss +3, Talentspezialiserung Grobschmied/Metallguss; Baukunst/Bergbau/Feinmechanik/Kristallzucht/Steinmetz/Steinschneider/Juwelier/Zimmermann +5/+3; </t>
  </si>
  <si>
    <t xml:space="preserve">Baukunst/Bergbau/Feinmechanik/Kristallzucht/Steinmetz/Steinschneider/Juwelier/Zimmermann +5/+3; Gesteinskunde/Hüttenkunde +2; </t>
  </si>
  <si>
    <t xml:space="preserve">Dolche/Schleuder +2; Boote Fahren/Fahrzeug Lenken/Reiten +2; </t>
  </si>
  <si>
    <t xml:space="preserve">Magiekunde/Philosophie/Sternenkunde +2/+1/+1; </t>
  </si>
  <si>
    <t xml:space="preserve">Anderthalbhänder/Lanzenreiten/Zweihand-Hiebwaffen/Zweihandschwerter/-säbel +4/+4; </t>
  </si>
  <si>
    <t xml:space="preserve">Hiebwaffen/Säbel +6/+4; </t>
  </si>
  <si>
    <t xml:space="preserve">Fechtwaffen/Hiebwaffen/Säbel/Schwerter +5; Wissenstalent nach bewachter Institution +2; </t>
  </si>
  <si>
    <t xml:space="preserve">Bogen/Fechtwaffen/Hiebwaffen/Säbel/Schwerter/Speere +2; Bergbau/Grobschmied/Maurer/Steinmetz/Töpfern/Zimmermann +4; Handel/Hauswirtschaft/Schätzen +4; Ackerbau/Brauer/Schnaps Brennen/Viehzucht/Winzer +3; Bogenbau/Drucker/Glaskunst/Steinschneider-Juwelier/Stoffe Färben/Webkunst +3; </t>
  </si>
  <si>
    <t xml:space="preserve">Seiler/Zimmermann +5/+2; </t>
  </si>
  <si>
    <t xml:space="preserve">Dolche/Speere +1; Raufen/Ringen +2; Klettern/Schwimmen +2; Abrichten/Gerber-Kürschner +3; Bogenbau/Holzbearbeitung +1; Kochen/Schneidern +1; </t>
  </si>
  <si>
    <t xml:space="preserve">Dolche/Speere +1; Raufen/Ringen +2; Klettern/Schwimmen +2; Abrichten/Gerber-Kürschner +3; Bogenbau/Holzbearbeitung +1; Kochen/Schneidern +1; Klettern/Schwimmen +2; Skifahren +1/Fahrzeuge lenken +3; </t>
  </si>
  <si>
    <t xml:space="preserve">passende Wissens- oder Handwerkstalente +5/+4/+3/+3/+3/+3; </t>
  </si>
  <si>
    <t>passende Wissens- oder Handwerkstalente +5/+4/+3/+3/+3/+3;</t>
  </si>
  <si>
    <t xml:space="preserve">passende Wissens- oder Handwerkstalente +5/+4/+3/+3/+3/+3/+2; </t>
  </si>
  <si>
    <t xml:space="preserve">Hiebwaffen/Zweihand-Hiebwaffen +1; Alchimie/Baukunst/Gesteinskunde/Kristallzucht/Pflanzenkunde/Philosophie/Sagen/Legenden/Sternkunde/Tierkunde +4/ +2; Holzbearbeitung/Kochen/Steinmetz +2; Feuersteinbearbeitung/Töpfern +2; </t>
  </si>
  <si>
    <t xml:space="preserve">Dolche/Speere +4/+3; Raufen/Ringen +3; Klettern/Schwimmen +2; Bogenbau/Holzbearbeitung +5/+3; Kochen/Schneidern +3/+2; </t>
  </si>
  <si>
    <t xml:space="preserve">Baukunst/Gesteinskunde/Hüttenkunde/Mechanik +6/+4/+2/+2; Alchimie/Bergbau/Bogenbau/Feinmechanik/Glaskunst/Grobschmied/Kristallzucht/Maurer/Metallguss/Seiler/Steinmetz/Steinschneider/Juwelier/Stellmacher/Töpfern/Zimmermann +7/+4/+2/+2; Talentspezialisierung passend zu gewähltem Handwerkstalent; </t>
  </si>
  <si>
    <t>Grobschmied/Metallguss +7/+6; Talentspezialisierung Grobschmied/Metallguss;</t>
  </si>
  <si>
    <t>Armbrust/Wurfmesser +1; 2 Wissenstalente +4,+3; 2 Handwerkstalente +3,+2 (außer Boote und Feuerstein);</t>
  </si>
  <si>
    <t xml:space="preserve">Viehzucht/Winzer +2; Fahrzeug Lenken/Lederarbeiten/Schneidern/Töpfern +2; </t>
  </si>
  <si>
    <t xml:space="preserve">Fahrzeug Lenken/Lederarbeiten/Schneidern/Töpfern +2; </t>
  </si>
  <si>
    <t xml:space="preserve">Hiebwaffen/Stäbe +2; Ackerbau/Bergbau/Brauer/Brett-/Kartenspiel/Fischen/Angeln/Fleischer/Gerber/Kürschner/Gesteinskunde/Glaskunst/Grobschmied/Hüttenkunde/Kochen/Mechanik/Pflanzenkunde/Schnaps Brennen/Schneidern/Seefahrt/Steinschneider/Juwelier/Stoffe Färben/Tierkunde/Viehzucht/Webkunst/Winzer +3; </t>
  </si>
  <si>
    <t xml:space="preserve">Singen/Tanzen +6/+5; Abrichten/Hauswirtschaft/Malen_Zeichnen/Schneidern/Tätowieren/Viehzucht/Winzer +5/+3; verbilligte Talentspezialisierung Kochen (Tränke); </t>
  </si>
  <si>
    <t xml:space="preserve">Singen/Tanzen +5/+3; Abrichten/Hauswirtschaft/Malen_Zeichnen/Schneidern/Tätowieren/Viehzucht/Winzer +5/+3; verbilligte Talentspezialisierung Abrichten (Zureiter); </t>
  </si>
  <si>
    <t xml:space="preserve">Speere/Stäbe +2; Abrichten/Tätowieren +3; </t>
  </si>
  <si>
    <t xml:space="preserve">Fechtwaffen/Säbel/Schwerter +5; Schriftlicher Ausdruck/Sich Verkleiden +2; Brettspiel/Philosophie +3; Malen_Zeichnen/Musizieren +3/+1; </t>
  </si>
  <si>
    <t xml:space="preserve">Dolche/Fechtwaffen/Hiebwaffen/Kettenwaffen/Säbel/Schwerter/Stäbe/Zweihand-Hiebwaffen/Zweihandschwerter/-säbel +4/+3/+3; Lanzenreiten/Fahrzeug Lenken +3; </t>
  </si>
  <si>
    <t xml:space="preserve">Säbel/Schwerter +6; </t>
  </si>
  <si>
    <t xml:space="preserve">Dolche/Fechtwaffen/Hiebwaffen/Kettenwaffen/Säbel/Schwerter/Stäbe/Zweihand-Hiebwaffen/Zweihandschwerter/-säbel +2/+2; Geographie/Geschichtswissen/Kriegskunst/Rechtskunde +2; </t>
  </si>
  <si>
    <t xml:space="preserve">Klettern/Schwimmen +2; Geographie/Geschichtswissen +5/+3; Pflanzenkunde/Tierkunde +4/+3; Heilkunde Gift/Heilkunde Wunden/Holzbearbeitung/Lederarbeiten/Malen/Zeichnen/Stoffe Färben/Musizieren +3; </t>
  </si>
  <si>
    <t xml:space="preserve">Hiebwaffen/Infanteriewaffen +4; Klettern/Schwimmen +2; Pflanzenkunde/Tierkunde +4/+3; Philosophie/Rechnen +5/+4; Abrichten/Ackerbau/Baukunst/Bergbau/Drucker/Feinmechanik/Glaskunst/Grobschmied/Heilkunde Gift/Heilkunde Krankheiten/Heilkunde Wunden/Holzbearbeitung/Musizieren/Schneidern/Stoffe Färben/Viehzucht/Webkunst/ Zimmermann +6/+4/+2/+2; </t>
  </si>
  <si>
    <t xml:space="preserve">Brett-/Kartenspiel/Sternkunde +2/+1; </t>
  </si>
  <si>
    <t xml:space="preserve">Dolche/Hiebwaffen +2; Heilkunde Gift/Heilkunde Krankheiten/Malen/Zeichnen/Musizieren/Webkunst +2/+1/+1; </t>
  </si>
  <si>
    <t xml:space="preserve">Akrobatik/Gaukeleien +3; Singen/Tanzen +4/+3; Etikette/Gassenwissen +2; Götter/Kulte/Sagen/Legenden +5/+4; Heilkunde Gift/Heilkunde Seele +3; Ackerbau/Drucker/Feinmechanik/Glaskunst/Holzbearbeitung/Instrumentenbauer/in/Kochen/Lederarbeiten/Malen/Zeichnen/Metallguss/Musizieren/Schneidern/Steinmetz/Steinschneider/Stoffe Färben/Töpfern/Viehzucht/Webkunst +4/+2/+2; </t>
  </si>
  <si>
    <t xml:space="preserve">Akrobatik/Gaukeleien +4/+3; Singen/Tanzen +4/+3; Etikette/Gassenwissen +2; Götter/Kulte/Sagen/Legenden +5/+4; Heilkunde Gift/Heilkunde Seele +3; Ackerbau/Drucker/Feinmechanik/Glaskunst/Holzbearbeitung/Instrumentenbauer/in/Kochen/Lederarbeiten/Malen/Zeichnen/Metallguss/Musizieren/Schneidern/Steinmetz/Steinschneider/Stoffe Färben/Töpfern/Viehzucht/Webkunst +4/+2/+2; </t>
  </si>
  <si>
    <t xml:space="preserve">Hiebwaffen/Speere +3; Feuersteinbearbeitung/Glaskunst/Holzbearbeitung/Kochen/Töpfern +2; Heilkunde Gift/Heilkunde Krankheiten/Heilkunde Wunden +5/+4/+2; Stoffe Färben/Webkunst +2; </t>
  </si>
  <si>
    <t xml:space="preserve">Fremdsprache +6, L/S zur Fremdsprache passende Schrift +4; </t>
  </si>
  <si>
    <t xml:space="preserve">Garethi/Tulamidya +6; </t>
  </si>
  <si>
    <t xml:space="preserve">L/S Muttersprache +5; </t>
  </si>
  <si>
    <t xml:space="preserve">Muttersprache +2, Bosparano/Ur-Tulamidya +2, Garethi/andere Fremdsprache nach Wahl +8, Fremdsprache +5, L/S Kusliker Zeichen/Tulamidya +2, L/S passende Schriften +5/+5; </t>
  </si>
  <si>
    <t xml:space="preserve">Muttersprache +2, Bosparano/Ur-Tulamidya +2, Garethi/andere Fremdsprache nach Wahl +8, Fremdsprache +5, L/S Kusliker Zeichen/Tulamidya +2, L/S passende Schriften +5/+5/+5; </t>
  </si>
  <si>
    <t xml:space="preserve">L/S Fremdsprache +2; </t>
  </si>
  <si>
    <t xml:space="preserve">Muttersprache +2; Fremdsprache +3; </t>
  </si>
  <si>
    <t xml:space="preserve">Fremdsprache +5; L/S Muttersprache +5; </t>
  </si>
  <si>
    <t xml:space="preserve">Rogolan/Alaani/Nujuka +4; Fremdsprache +2; </t>
  </si>
  <si>
    <t xml:space="preserve">Fremdsprache +6; L/S Muttersprache +4; </t>
  </si>
  <si>
    <t xml:space="preserve">2 Fremdsprachen: +6,+4; L/S Muttersprache +8; L/S Fremdsprache +4; </t>
  </si>
  <si>
    <t xml:space="preserve">Garethi/Tulamidya/Nujuka/Alaani +6; L/S Muttersprache +6; </t>
  </si>
  <si>
    <t xml:space="preserve">Garethi/Tulamidya +4; L/S Muttersprache +4; </t>
  </si>
  <si>
    <t xml:space="preserve">Garethi/Bosparano/Tulamidya +4; </t>
  </si>
  <si>
    <t xml:space="preserve">Garethi/Tulamidya +2; </t>
  </si>
  <si>
    <t xml:space="preserve">Garethi/Bosparano/Tulamidya +4; weitere Fremdsprache +4; weitere Schrift +4; </t>
  </si>
  <si>
    <t xml:space="preserve">L/S Muttersprache +6; Fremdsprache +4; </t>
  </si>
  <si>
    <t xml:space="preserve">Muttersprache +1; </t>
  </si>
  <si>
    <t xml:space="preserve">Geländekunde; </t>
  </si>
  <si>
    <t xml:space="preserve">Gebirgskundig/Steppenkundig/Wüstenkundig; </t>
  </si>
  <si>
    <t xml:space="preserve">verbilligt: Argelions Mantel/Schrifttum ferner Lande/Universeller Blick; </t>
  </si>
  <si>
    <t xml:space="preserve">Gift der Erkenntnis/Schlangenstab; verbilligt: Argelions Mantel/Unverstellter Blick/Wunderbarer Geschlechterwandel; </t>
  </si>
  <si>
    <t xml:space="preserve">Hilfe in der Not/Zuflucht finden; </t>
  </si>
  <si>
    <t xml:space="preserve">VERBILLIGT: Bootssegen/Mannschaftssegen; </t>
  </si>
  <si>
    <t xml:space="preserve">Mirakel-: alle Tätigkeiten, die irgendwie mit Feuer zu tun haben; </t>
  </si>
  <si>
    <t>Mirakel+: Gabe Gefahreninstinkt; 1 Fernkampftechnik nach Wahl; 1 Talent aus: Fischen-Angeln/Pflanzenkunde/Tierkunde/Abrichten/Bogenbau/Boote Fahren/Fahrzeuge lenken/Feuersteinbearbeitung/Gerber-Kürschner/Heilkunde Wunden/Holzbearbeitung/Lederarbeiten/Seefahrt/Zimmermann;</t>
  </si>
  <si>
    <t>Mirakel+: Beliebiges Wissenstalent; Mirakel-: Überreden (Lügen);</t>
  </si>
  <si>
    <t xml:space="preserve">Mirakel +: drei Talente aus der folgenden Liste: Geschichtswissen, Gesteinskunde, Kryptographie, Alchimie, Heilkunde Gift, Heilkunde Krankheiten, Heilkunde Wunden, Holzbearbeitung, Lederarbeiten, Steinschneider/Juwelier, Töpfern; </t>
  </si>
  <si>
    <t xml:space="preserve">Mirakel+: 11 beliebige Talente aus Körper und Natur, Gabe Gefahreninstinkt; </t>
  </si>
  <si>
    <t xml:space="preserve">Mirakel+: zwei Talente aus Alchimie/Baukunst/Bogenbau/Feinmechanik/Glaskunst/Grobschmied/Holzbearbeitung/Instrumentenbauer/Maurer/Metallguss/Steinschneider/Juwelier/Zimmermann; </t>
  </si>
  <si>
    <t xml:space="preserve">Mirakel+: Ausweichen, 1 bewaffnetes Nahkampftalent; Mirakel-: Gefahreninstinkt; </t>
  </si>
  <si>
    <t xml:space="preserve">Mirakel+: 4 Talente aus Alchimie/Brett-/Kartenspiel/Gassenwissen/Geschichtswissen/Götter-Kulte/Kartographie/Schriftlicher Ausdruck/Sprachenkunde; </t>
  </si>
  <si>
    <t xml:space="preserve">Mirakel +: Ausweichen, 2 Talente aus Abrichten/Akrobatik/Brauer/Etikette/Gaukeleien/Heilkunde Seele/Musizieren/Schnaps Brennen/Singen/Steinmetz/Steinschneider/Juwelier/Stoffe Färben/Tanzen/Tätowieren/Winzer; </t>
  </si>
  <si>
    <t xml:space="preserve">Mirakel+: 1 unbewaffnete Nahkampftechnik, 3 Talente aus Liste: Athletik/Boote Fahren/Fesseln-Entfesseln/Fischen-Angeln/Rechtskunde/Sagen-Legenden/Tierkunde/Zimmermann; Mirakel-: alle Proben, die mit Lügen, Schmeichelei, Überreden o.ä. zu tun haben, alles, was der Lebenswirklichkeit eines Swafnir-Geweihten fremd und besonders wissenschaftlich ist; </t>
  </si>
  <si>
    <t xml:space="preserve">Mirakel+: 4 Talente aus: Abrichten/Brauerei/Feinmechanik/Glaskunst/Grobschmied/Holzbearbeitung/Instrumentenbauer/Lehren/Malen-Zeichnen/Maurer/Metallguss/Pflanzenkunde/Schätzen/Schnaps Brennen/Schneidern/ Seiler/Steinmetz/Steinschneider-Juwelier/Stellmacher/Stoffe Färben/Tätowieren/Tierkunde/Töpfern/Webkunst/Winzer/Zimmermann; </t>
  </si>
  <si>
    <t xml:space="preserve">Mirakel+: Ausweichen; </t>
  </si>
  <si>
    <t xml:space="preserve">Voraussetzung: Beliebige Zwergen-Kulturkunde, jedoch keine Hügelzwerge; </t>
  </si>
  <si>
    <t xml:space="preserve">Voraussetzungen: keine Totenangst, Kultur Tulamidische Stadtstaaten oder Südaventurien; </t>
  </si>
  <si>
    <t>Voraussetzungen: keine Totenangst, Kultur Tulamidische Stadtstaaten oder Südaventurien;</t>
  </si>
  <si>
    <t xml:space="preserve">Voraussetzung: keine Totenangst, SO min 7; </t>
  </si>
  <si>
    <t xml:space="preserve">Voraussetzung: Kultur Mittelländische Städte/Landbevölkerung, Yaquirien, Zyklopeninseln, Aranien, Bornland, tulamidische Stadtstaaten; </t>
  </si>
  <si>
    <t xml:space="preserve">Voraussetzung: Kultur Svelltal und Nordlande, Andergast und Nostria, Bornland, Thorwal, Norbardensippe, Svelltal-Okkupanten, Festumer Ghetto; </t>
  </si>
  <si>
    <t xml:space="preserve">Voraussetzung: nur Männer, Kultur Mhanadistan/Tulamidische Stadtstaaten/Almada/Aranien; </t>
  </si>
  <si>
    <t xml:space="preserve">Voraussetzung: kein Stubenhocker; </t>
  </si>
  <si>
    <t xml:space="preserve">Voraussetzung: Kultur Archaische Achaz; </t>
  </si>
  <si>
    <t xml:space="preserve">Voraussetzung: SO min 5; Spezielle Voraussetzungen: WdH auf S.227; </t>
  </si>
  <si>
    <t xml:space="preserve">Voraussetzung: Kultur Almada/Aranien/Horasreich/Mittelländische Städte/Südaventurien/Tulamidische Stadtstaaten/Zyklopeninseln; </t>
  </si>
  <si>
    <t xml:space="preserve">Voraussetzung: SO min 7; </t>
  </si>
  <si>
    <t xml:space="preserve">Voraussetzung: Kultur Amazonenburg; </t>
  </si>
  <si>
    <t xml:space="preserve">Voraussetzung: Kultur (Exil-)Maraskan; </t>
  </si>
  <si>
    <t xml:space="preserve">Voraussetzung: Kultur Maraskan (aber keine Exilanten); </t>
  </si>
  <si>
    <t xml:space="preserve">Voraussetzung: Kultur Novadi/Mhanadistan/Tul. Stadtstaaten, rastullahgläubig, Männer; </t>
  </si>
  <si>
    <t>Skuldrun (Fjarningsche Priester) magiebegabt</t>
  </si>
  <si>
    <t>Skuldrun Heiler (Fjarningsche Priester) magiebegabt</t>
  </si>
  <si>
    <t>Skuldrun Mammut-Seher (Fjarningsche Priester) magiebegabt</t>
  </si>
  <si>
    <t>Skuldrun Zauberschmied (Fjarningsche Priester) magiebegabt</t>
  </si>
  <si>
    <t>Magiegespür/Prophezeien; Magiebegabte Skuldrun sind Magiedilettanten mit allen ihren Möglichkeiten;</t>
  </si>
  <si>
    <t>Magiegespür/Prophezeien; Übernatürliche Begabung Balsam Salabunde/Ruhe Körper - ruhe Geist; Magiebegabte Skuldrun sind Magiedilettanten mit allen ihren Möglichkeiten;</t>
  </si>
  <si>
    <t>Magiegespür/Prophezeien; Übernatürliche Begabung Sensibar Empathicus/Tiergedanken; Magiebegabte Skuldrun sind Magiedilettanten mit allen ihren Möglichkeiten;</t>
  </si>
  <si>
    <t xml:space="preserve">Magiegespür/Prophezeien; Meisterhandwerk (Feuersteinbearbeitung/Holzbearbeitung); Magiebegabte Skuldrun sind Magiedilettanten mit allen ihren Möglichkeiten; </t>
  </si>
  <si>
    <t xml:space="preserve">kein automatischer Vorteil Richtungssinn; </t>
  </si>
  <si>
    <t>kein automatischer Nachteil Unstet der Rasse Goblin;</t>
  </si>
  <si>
    <t>kein automatischer Nachteil Totenangst;</t>
  </si>
  <si>
    <t xml:space="preserve">kein automatischer Nachteil Totenangst; </t>
  </si>
  <si>
    <t xml:space="preserve">Bezug Weltfremd A: Religion, städtisches Treiben; </t>
  </si>
  <si>
    <t>Heilkunde Gift/Heilkunde Krankheiten +4/+2;</t>
  </si>
  <si>
    <t>Heilkunde Gift/Heilkunde Krankheiten +2/+1;</t>
  </si>
  <si>
    <t>Brauer/Winzer +2;</t>
  </si>
  <si>
    <t>Hiebwaffen/Speere +3/+1;</t>
  </si>
  <si>
    <t xml:space="preserve">Hiebwaffen/Säbel +3/+1; Bergbau/Bogenbau/Metallguss/Steinmetz +5/+3/+3; Grobschmied/Holzbearbeitung +6/+3; </t>
  </si>
  <si>
    <t xml:space="preserve">Hiebwaffen/Zweihand-Hiebwaffen +3; zwei beliebige Wissens-Talente je +2, Heilkunde Gift/Heilkunde Krankheiten/Heilkunde Wunden +2; </t>
  </si>
  <si>
    <t xml:space="preserve">Dolche/Hiebwaffen +3; </t>
  </si>
  <si>
    <t>Garethi +5/Trollisch +3;</t>
  </si>
  <si>
    <t xml:space="preserve">Fremdsprache Alaani ('Norbardisch')/Garethi/Thorwalsch/Rssahh +5/+3; </t>
  </si>
  <si>
    <t xml:space="preserve">Verbotene Pforten/Blutmagie/Bannschwert; </t>
  </si>
  <si>
    <t xml:space="preserve">Voraussetzung: Kultur Stammes-Achaz;  </t>
  </si>
  <si>
    <t xml:space="preserve">Voraussetzung: Kultur Gjalskerland; </t>
  </si>
  <si>
    <t>Voraussetzung: Kultur Goblinstamm; nur Frauen;</t>
  </si>
  <si>
    <t xml:space="preserve">Voraussetzung: Kultur Nivesenstämme; </t>
  </si>
  <si>
    <t xml:space="preserve">Voraussetzung: Kultur Ferkina, nur Männer; </t>
  </si>
  <si>
    <t xml:space="preserve">Voraussetzung: Kultur Trollzacken; </t>
  </si>
  <si>
    <t xml:space="preserve">Voraussetzung: Kultur Fjarninger; </t>
  </si>
  <si>
    <t xml:space="preserve">Voraussetzung: Kultur Orkland oder Svellttal-Besatzer; </t>
  </si>
  <si>
    <t xml:space="preserve">Voraussetzung: Kultur Waldmenschen-Stamm; </t>
  </si>
  <si>
    <t xml:space="preserve">Voraussetzung: Kultur Waldmenschen-Stamm Darna; </t>
  </si>
  <si>
    <t xml:space="preserve">Voraussetzung: Kultur Waldmenschen-Stamm für Dschungelstämme; </t>
  </si>
  <si>
    <t xml:space="preserve">Voraussetzung: Kultur Waldmenschen-Stamm Miniwatu; </t>
  </si>
  <si>
    <t xml:space="preserve">Voraussetzung: Kultur Waldmenschen-Stamm der Verlorenen Stämme; </t>
  </si>
  <si>
    <t xml:space="preserve">Voraussetzung: Kultur Waldmenschen-Stamm Waldinsel-Utulus; </t>
  </si>
  <si>
    <t xml:space="preserve">Blick in die Vergangenheit </t>
  </si>
  <si>
    <t>Metallguss</t>
  </si>
  <si>
    <t>Alchimie</t>
  </si>
  <si>
    <t>Brett-/Kartenspiel</t>
  </si>
  <si>
    <t>ÜBLICHE KULTUREN:</t>
  </si>
  <si>
    <t>MÖGLICHE KULTUREN</t>
  </si>
  <si>
    <t>Aquasphaero</t>
  </si>
  <si>
    <t>Archosphaero</t>
  </si>
  <si>
    <t>Humosphaero</t>
  </si>
  <si>
    <t>Metamorpho Felsenform</t>
  </si>
  <si>
    <t>Adamantium Erzstruktur</t>
  </si>
  <si>
    <t>Durch Marmorstein und Eisenwand</t>
  </si>
  <si>
    <t>Feuerbann (I) (=Elementarbann)</t>
  </si>
  <si>
    <t>Feuerbann (II) (=Leib d. Feuers)</t>
  </si>
  <si>
    <t>Koboldovision</t>
  </si>
  <si>
    <t>Lachkrampf</t>
  </si>
  <si>
    <t xml:space="preserve">Ach 6, Mag 5, Dru 2(Mag), </t>
  </si>
  <si>
    <t>Elf 6, Ach 3, Mag 3, Dru 2(Elf), Hex 2(Elf),</t>
  </si>
  <si>
    <t>Mag 6, Ach 3, Dru 2(Mag), Geo 2(Mag), Hex 2(Mag),</t>
  </si>
  <si>
    <t xml:space="preserve">Mag 2, Ach 2, Dru 2(Mag), Geo 2, </t>
  </si>
  <si>
    <t>Mag 2, Ach 2, Geo 1,</t>
  </si>
  <si>
    <t>Mag 3, Dru 2, Hex 2, Elf 2(Mag), Geo 2(Mag),</t>
  </si>
  <si>
    <t>Sch 7, Mag 3(Sch), Srl 3(Sch),</t>
  </si>
  <si>
    <t xml:space="preserve">Dru 7, Geo 6, Ach 5, Bor 2, Hex 2(Dru), Mag 2(Dru), Mag2, </t>
  </si>
  <si>
    <t>Elf 5, Hex 3(Elf), Mag 3(Elf),</t>
  </si>
  <si>
    <t>Mag 6, Hex 5, Srl 5, Dru 2(Hex), Elf 2(Mag), Sch 2(Mag),</t>
  </si>
  <si>
    <t>Mag 4, Elf 2(Mag), Hex 2(Mag),</t>
  </si>
  <si>
    <t xml:space="preserve">Ach 6, Mag 4, Dru 2(Mag), </t>
  </si>
  <si>
    <t>Mag 6, Ach 2, Hex 2(Mag),Srl 2(Mag),</t>
  </si>
  <si>
    <t>Ach 6, Mag 6, Srl 3(Mag),</t>
  </si>
  <si>
    <t>Hex 4, Elf 2, Dru 2(Hex), Mag 2,</t>
  </si>
  <si>
    <t xml:space="preserve">Bor 2, Mag 2, Dru 2(Mag), </t>
  </si>
  <si>
    <t>Dru 5, Geo 4, Hex 2(Dru), Mag 2(Dru), Srl 2(Geo),</t>
  </si>
  <si>
    <t>Elf 5, Geo 3, Dru 2(Elf), Hex 2(Elf), Mag 2(Elf),</t>
  </si>
  <si>
    <t>Hex 7, Dru 2(Hex), Mag 2(Hex), Srl 2(Hex),</t>
  </si>
  <si>
    <t xml:space="preserve">Mag 5, Ach 3, Dru 2(Mag), Geo 2, </t>
  </si>
  <si>
    <t xml:space="preserve">Mag 3, Ach 2, Geo 2, Dru 2(Mag), </t>
  </si>
  <si>
    <t>Sch 5, Ach 2, Elf 1(Sch), Hex 1(Sch),</t>
  </si>
  <si>
    <t>Ach 3, Elf 2, Dru 1(Elf), Geo 1(Elf),</t>
  </si>
  <si>
    <t>Hex 3, Dru 2(Hex), Srl 2(Hex),</t>
  </si>
  <si>
    <t>Mag 4, Dru 2,</t>
  </si>
  <si>
    <t xml:space="preserve">Mag 2, Elf 2, </t>
  </si>
  <si>
    <t>Elf 7, Dru 3(Elf), Hex 3(Elf), Mag 3(Elf),</t>
  </si>
  <si>
    <t>Mag 3, Dru 2, Hex 2(Mag),</t>
  </si>
  <si>
    <t>Mag 3, Ach 2, Bor 2, Hex 3,</t>
  </si>
  <si>
    <t>Mag 5, Dru 2, Geo 2, Hex 3,</t>
  </si>
  <si>
    <t>Elf 1, Mag 2,</t>
  </si>
  <si>
    <t xml:space="preserve">Mag 2, Srl 2, Ach 2, </t>
  </si>
  <si>
    <t>Ach 3, Mag 3, Dru 2(Mag), Hex 2(Mag),</t>
  </si>
  <si>
    <t>Sch 6, Mag 2(Sch), Srl 2(Sch),</t>
  </si>
  <si>
    <t>Bor 4, Mag 3, Hex 2(Mag),</t>
  </si>
  <si>
    <t>Ach 2, Elf 2,</t>
  </si>
  <si>
    <t>Mag 5, Srl 5, Sch 2(Mag),</t>
  </si>
  <si>
    <t>Geo 4, Dru 4, Mag 4(Besonderheiten! S.176 LC),</t>
  </si>
  <si>
    <t xml:space="preserve">Elf 6, Mag 2, Dru 2(Mag), </t>
  </si>
  <si>
    <t xml:space="preserve">Sch 7, Mag 2(Sch), Mag 2, </t>
  </si>
  <si>
    <t>Mag 3, Elf 2, Hex 2, Geo 2, Dru 2(Mag/Geo/Hex), Ach 1,</t>
  </si>
  <si>
    <t>Tele, Elem (Wasser), Scha</t>
  </si>
  <si>
    <t>Tele, Elem (Erz), Scha</t>
  </si>
  <si>
    <t>Objk, Elem (Feuer), Dämo (AGR)</t>
  </si>
  <si>
    <t>Einfl, Eign, Dämo (AMZ)</t>
  </si>
  <si>
    <t>Herr, Dämo (AMZ)</t>
  </si>
  <si>
    <t>Form, Elem (Erz), Dämo (AGR)</t>
  </si>
  <si>
    <t>Objk, Elem (Wasser), Dämo (AGR)</t>
  </si>
  <si>
    <t>Dämo (BKZ), Einfl, Eign</t>
  </si>
  <si>
    <t>Einfl, Dämo (BLH)</t>
  </si>
  <si>
    <t>Tele, Elem (Humus), Scha</t>
  </si>
  <si>
    <t>Einfl, Eign, Dämo (BLH)</t>
  </si>
  <si>
    <t>Hell, Krft, Meta, Limb</t>
  </si>
  <si>
    <t>Anti, Besw, Dämo, Geis</t>
  </si>
  <si>
    <t>Anti, Meta, Krft, Dämo (IRI)</t>
  </si>
  <si>
    <t>Elem (Erz), Umwt, Dämo (AGR)</t>
  </si>
  <si>
    <t>Unterhändler</t>
  </si>
  <si>
    <t>Wandernder Unterhändler</t>
  </si>
  <si>
    <t>Beschützer</t>
  </si>
  <si>
    <t>Wandernder Beschützer</t>
  </si>
  <si>
    <t>Kulturen - Start Rasse</t>
  </si>
  <si>
    <t>Kulturen - Start Prof</t>
  </si>
  <si>
    <t>IDX</t>
  </si>
  <si>
    <t>Handwerker archaisch Süden &amp; Achaz</t>
  </si>
  <si>
    <t>Handwerker archaisch Ferkinas</t>
  </si>
  <si>
    <t>Handwerker archaisch Orks</t>
  </si>
  <si>
    <t>Handwerker archaisch Norden</t>
  </si>
  <si>
    <t>Ork?</t>
  </si>
  <si>
    <t>Voraussetzungen</t>
  </si>
  <si>
    <t xml:space="preserve">Voraussetzungen: Kultur Thorwal; </t>
  </si>
  <si>
    <t>12 SEgnungen</t>
  </si>
  <si>
    <t xml:space="preserve">Hiebwaffen/Speere/Stäbe +3; Schleuder/Wurfbeile/Wurfspeere +3; / </t>
  </si>
  <si>
    <t xml:space="preserve">Passende Ortskenntnis (Weidegrund);  / </t>
  </si>
  <si>
    <t xml:space="preserve">Passende Geländekunde; / </t>
  </si>
  <si>
    <t xml:space="preserve">Hiebwaffen/Speere/Stäbe +3; Schleuder/Wurfbeile/Wurfspeere +3; </t>
  </si>
  <si>
    <t xml:space="preserve">DSAv4.1 </t>
  </si>
  <si>
    <t xml:space="preserve">Bogen/Lanzenreiten/Wurfbeile/Wurfmesser/Wurfspeere +3/+3; Hiebwaffen/Speere +4/+2; Klettern/Reiten +5/+3; / </t>
  </si>
  <si>
    <t xml:space="preserve">Aufmerksamkeit/Reiterkampf / </t>
  </si>
  <si>
    <t xml:space="preserve">Kriegsreiterei/Scharfschütze; / </t>
  </si>
  <si>
    <t xml:space="preserve">Blasrohr/Bogen/Schleuder/Wurfspeer +5 (Nach Kulturellem Hintergrund); Hiebwaffen/Säbel +1; Athletik/Reiten/Boote Fahren/Skifahren +2; Abrichten/Bogenbau +2; Fleischer/Gerber/Kürschner +3;  / </t>
  </si>
  <si>
    <t xml:space="preserve">Passende Geländekunde;  / </t>
  </si>
  <si>
    <t xml:space="preserve">Ortskenntnis (Jagdrevier);  / </t>
  </si>
  <si>
    <t xml:space="preserve">Armbrust/Bogen/Wurfspeer +3 (Nach Kulturellem Hintergrund); Hiebwaffen/Säbel +1; Athletik/Reiten/Boote Fahren +2; Abrichten/Bogenbau +2; Fleischer/Gerber/Kürschner +3;  / </t>
  </si>
  <si>
    <t xml:space="preserve">Armbrust/Bogen/Wurfspeer +5 (Nach Kulturellem Hintergrund); Hiebwaffen/Säbel +1; Athletik/Reiten/Boote Fahren +2; Abrichten/Bogenbau +2; Fleischer/Gerber/Kürschner +3;  / </t>
  </si>
  <si>
    <t xml:space="preserve">Armbrust/Blasrohr/Bogen/Wurfspeer +3; Säbel/Schwerter/Speere +3; Bogenbau/Grobschmied +2; Boote Fahren/Fahrzeug Lenken +1;  / </t>
  </si>
  <si>
    <t xml:space="preserve">Fremdsprache +4; / </t>
  </si>
  <si>
    <t xml:space="preserve">Ortskenntnis (Revier);  Passende Geländekunde;  / </t>
  </si>
  <si>
    <t xml:space="preserve">Raufen/Ringen +1; Armbrust/Blasrohr/Bogen/Wurfspeer +3; Säbel/Schwerter/Speere +2; Reiten/Fahrzeug Lenken +1; Bogenbau/Grobschmied +2; Boote Fahren/Fahrzeug Lenken +1;  / </t>
  </si>
  <si>
    <t xml:space="preserve">Ortskenntnis (Revier); Passende Geländekunde;  / </t>
  </si>
  <si>
    <t>Anach-Nûr (Raschtulsluchs - Stammeskrieger)</t>
  </si>
  <si>
    <t>Anach-Nûr (Khoramsbestie - Wegelagerer)</t>
  </si>
  <si>
    <t>Anach-Nûr (Khoramsbestie - Viehdieb)</t>
  </si>
  <si>
    <t>Anach-Nûr (Khoramsbestie - Bandit)</t>
  </si>
  <si>
    <t>Anach-Nûr (Khoramsbestie - Stammeskrieger)</t>
  </si>
  <si>
    <t>Anach-Nûr (Raschtulsluchs - Fallensteller)</t>
  </si>
  <si>
    <t>Anach-Nûr (Raschtulsluchs - Viehdieb)</t>
  </si>
  <si>
    <t>Anach-Nûr (Stier - Schäfer)</t>
  </si>
  <si>
    <t>Anach-Nûr (Stier - Stammesjäger)</t>
  </si>
  <si>
    <t>Anach-Nûr (Widder - Stammeskrieger)</t>
  </si>
  <si>
    <t>Anach-Nûr (Widder - Hirte)</t>
  </si>
  <si>
    <t>Anach-Nûr (Widder - Schäfer)</t>
  </si>
  <si>
    <t>Anach-Nûr (Berglöwe - Stammeskrieger)</t>
  </si>
  <si>
    <t>Anach-Nûr (Berglöwe - Hirte)</t>
  </si>
  <si>
    <t>Anach-Nûr (Berglöwe - Jäger)</t>
  </si>
  <si>
    <t>Anach-Nûr (Stier - Stammeskrieger)</t>
  </si>
  <si>
    <t>DSAv4.14</t>
  </si>
  <si>
    <t>DSAv4.13</t>
  </si>
  <si>
    <t>DSAv4.12</t>
  </si>
  <si>
    <t>DSAv4.11</t>
  </si>
  <si>
    <t>DSAv4.10</t>
  </si>
  <si>
    <t>DSAv4.9</t>
  </si>
  <si>
    <t>DSAv4.8</t>
  </si>
  <si>
    <t>DSAv4.7</t>
  </si>
  <si>
    <t>DSAv4.6</t>
  </si>
  <si>
    <t>DSAv4.5</t>
  </si>
  <si>
    <t>DSAv4.4</t>
  </si>
  <si>
    <t>DSAv4.3</t>
  </si>
  <si>
    <t>üblicherweise nur Ferkina-Männer, körperliche Verwandlungsmerkmale (Mähne, Krallen), Selbstbeherrschung +5 um Verwandlung zu unterdrücken);</t>
  </si>
  <si>
    <t>Voraussetzungen: Kultur: Ferkina, fast ausschließlich Männer / üblicherweise nur Ferkina-Männer, körperliche Verwandlungsmerkmale (Mähne, Krallen), Selbstbeherrschung +5 um Verwandlung zu unterdrücken);</t>
  </si>
  <si>
    <t>Voraussetzungen: Kultur: Ferkina, fast ausschließlich Männer / üblicherweise nur Ferkina-Männer, körperliche Verwandlungsmerkmale (Ohren, Krallen), Selbstbeherrschung +5 um Verwandlung zu unterdrücken);</t>
  </si>
  <si>
    <t xml:space="preserve">Voraussetzungen: Kultur: Ferkina, fast ausschließlich Männer / üblicherweise nur Ferkina-Männer, körperliche Verwandlungsmerkmale (Hörner, Fell, Phallus), Selbstbeherrschung +4 um Verwandlung zu unterdrücken); </t>
  </si>
  <si>
    <t xml:space="preserve">Voraussetzungen: Kultur: Ferkina, fast ausschließlich Männer / üblicherweise nur Ferkina-Männer, körperliche Verwandlungsmerkmale (Hörner, Fell, Phallus), Selbstbeherrschung +7 um Verwandlung zu unterdrücken); </t>
  </si>
  <si>
    <t>Variante V1:</t>
  </si>
  <si>
    <t>Variante V2:</t>
  </si>
  <si>
    <t>Variante V3:</t>
  </si>
  <si>
    <t>Bezeichnungen für Adlerschwinge, Wolfsgestalt</t>
  </si>
  <si>
    <t>Text1 eingeben</t>
  </si>
  <si>
    <t>Text2 eingeben</t>
  </si>
  <si>
    <t>Text3 eingeben</t>
  </si>
  <si>
    <t xml:space="preserve">Abvenenum reine Speise, Adlerauge Luchsenohr, </t>
  </si>
  <si>
    <t>Aeolitus  Windgebraus, Armatrutz, Attributo, Axxeleratus Blitzgeschwind, Balsam Salabunde, Band und Fessel, Bannbaladin, Blick aufs Wesen, Blick in die Gedanken, Blitz dich find, Chamaelioni, Eigenschaften wiederherst., Einfluss bannen, Exposami Lebenskraft, Falkenauge Meisterschuss, Flim Flam Funkel, Fulminictus Donnerkeil, Gedankenbilder Elfenruf, Haselbusch und Ginsterkraut, Movimento Dauerlauf, Nebelwand und Morgendunst, Odem Arcanum, Pfeil der Luft, Ruhe Körper - ruhe Geist, Sensibar Empathicus, Silentium Silentille, Somnigravis tiefer Schlaf, Spurlos Trittlos, Tiergedanken, Unitatio Geistesbund, Verständigung stören, Visibili Vanitar, Wasseratem, Weisse Mähn' und gold'ner Huf, Windstille,</t>
  </si>
  <si>
    <t>Alle Zauber</t>
  </si>
  <si>
    <t>Manuelle Modifikation für Veränderungen im Heldenleben</t>
  </si>
  <si>
    <t>Getragen:</t>
  </si>
  <si>
    <t>Jäger: nicht Wildhüter; Prospektor: nur Prospektor; Seefahrer: nicht Walfänger/Haijäger;</t>
  </si>
  <si>
    <t>Maraskanischer Schwertgeselle im Buskur-Stil</t>
  </si>
  <si>
    <t>NT: Animalische Magie, Festgefügtes Denken, 
Schwache Ausstrahlung, Zögerlicher Zauberer</t>
  </si>
  <si>
    <t>Dropdownlist</t>
  </si>
  <si>
    <t>KAMPF</t>
  </si>
  <si>
    <t>MAGIE</t>
  </si>
  <si>
    <t>WILDNIS</t>
  </si>
  <si>
    <t>HANDW</t>
  </si>
  <si>
    <t>GESELL</t>
  </si>
  <si>
    <t>EIGEN</t>
  </si>
  <si>
    <t>GOETTER</t>
  </si>
  <si>
    <t>Dynamisch</t>
  </si>
  <si>
    <t>STATISCH</t>
  </si>
  <si>
    <t>GESELL_ALL</t>
  </si>
  <si>
    <t>GOETTER_ALL</t>
  </si>
  <si>
    <t>HANDW_ALL</t>
  </si>
  <si>
    <t>KAMPF_ALL</t>
  </si>
  <si>
    <t>MAGIE_ALL</t>
  </si>
  <si>
    <t>WILDNIS_ALL</t>
  </si>
  <si>
    <t>ALL - Check NT Unfrei</t>
  </si>
  <si>
    <t>ALL - Check Speisegebote</t>
  </si>
  <si>
    <t>+MR+1/10 M</t>
  </si>
  <si>
    <t>13 +1 /Std.</t>
  </si>
  <si>
    <t>LeP Std o. AsP Min</t>
  </si>
  <si>
    <t xml:space="preserve"> +1 /SR</t>
  </si>
  <si>
    <t>5 /SR</t>
  </si>
  <si>
    <t>3x 5 (2 perm.)</t>
  </si>
  <si>
    <t>- / +2</t>
  </si>
  <si>
    <t>1 /2SR</t>
  </si>
  <si>
    <t>min. 1/2 h</t>
  </si>
  <si>
    <t>3 /Probe</t>
  </si>
  <si>
    <t>2 + Verlust</t>
  </si>
  <si>
    <t>+2 /h</t>
  </si>
  <si>
    <t>5 /h</t>
  </si>
  <si>
    <t>+2 /SR</t>
  </si>
  <si>
    <t>3 /SR</t>
  </si>
  <si>
    <t>RkP* 2x SR</t>
  </si>
  <si>
    <t>Stufe KH</t>
  </si>
  <si>
    <t>RkP* Wo.</t>
  </si>
  <si>
    <t>RkP* Std.</t>
  </si>
  <si>
    <t>1SR/100 Karat (min. 5)</t>
  </si>
  <si>
    <t xml:space="preserve">(Qualität)W6 </t>
  </si>
  <si>
    <t>bis Rückkehr</t>
  </si>
  <si>
    <t>RkP* Min. (A)</t>
  </si>
  <si>
    <t>1  +1 /min.</t>
  </si>
  <si>
    <t xml:space="preserve">V1: 3   V2: 5 </t>
  </si>
  <si>
    <t>5 +5 /Meile</t>
  </si>
  <si>
    <t>2  +1 /SR</t>
  </si>
  <si>
    <t>RkP* h (A)</t>
  </si>
  <si>
    <t>RkP* Min.</t>
  </si>
  <si>
    <t>RkP*x5 Min.</t>
  </si>
  <si>
    <t>22 (1 perm.)</t>
  </si>
  <si>
    <t>Doppeltes Mass</t>
  </si>
  <si>
    <t>3 +spez.</t>
  </si>
  <si>
    <t>Hammer des Magus</t>
  </si>
  <si>
    <t>+mod</t>
  </si>
  <si>
    <t>+3 &amp; Mus.+7</t>
  </si>
  <si>
    <t>Mus.+3</t>
  </si>
  <si>
    <t>nächst. Kampf / Sonnenwechsel</t>
  </si>
  <si>
    <t>+5 &amp; Mus.+5</t>
  </si>
  <si>
    <t>13 h</t>
  </si>
  <si>
    <t>Sturm der Wüste</t>
  </si>
  <si>
    <t>+2 &amp; Mus.+4</t>
  </si>
  <si>
    <t>+7 &amp; Mus.+9</t>
  </si>
  <si>
    <t>Bienenfleiß</t>
  </si>
  <si>
    <t>20</t>
  </si>
  <si>
    <t>Sonnwechsel</t>
  </si>
  <si>
    <t>RkP*Wo., Mo., Ja.</t>
  </si>
  <si>
    <t>5 / 10 / 15</t>
  </si>
  <si>
    <t>+akt. Mackestoppe</t>
  </si>
  <si>
    <t>1 Mon. o.Topf zerbricht</t>
  </si>
  <si>
    <t>+2/abwes. Mitglied</t>
  </si>
  <si>
    <t>8AsP, Träum 3W6 LeP (1 perm.)</t>
  </si>
  <si>
    <t xml:space="preserve">+ 1/2MR </t>
  </si>
  <si>
    <t>5 +2/ Min</t>
  </si>
  <si>
    <t>RkP*Wo.</t>
  </si>
  <si>
    <t>3 / 5 / 7</t>
  </si>
  <si>
    <t>- 1 je 5 TaP* Sin./Mus.</t>
  </si>
  <si>
    <t>10 (S E -), 7 (Überzeugen)</t>
  </si>
  <si>
    <t>1 Jahr</t>
  </si>
  <si>
    <t>38 &amp; 3LeP (je 1 perm.)</t>
  </si>
  <si>
    <t>7/SR</t>
  </si>
  <si>
    <t>RkP* 2xKR</t>
  </si>
  <si>
    <t>3 /KR</t>
  </si>
  <si>
    <t xml:space="preserve">7 </t>
  </si>
  <si>
    <t>12 +3/ SR</t>
  </si>
  <si>
    <t>RkW Min. (A)</t>
  </si>
  <si>
    <t>8 + 1/ 5KR</t>
  </si>
  <si>
    <t>Rkp* 2xKR (A)</t>
  </si>
  <si>
    <t>1/ KR &amp; 5qm</t>
  </si>
  <si>
    <t xml:space="preserve">14 </t>
  </si>
  <si>
    <t>RkW* 5KR (A)</t>
  </si>
  <si>
    <t>Geist.</t>
  </si>
  <si>
    <t xml:space="preserve"> bin.</t>
  </si>
  <si>
    <t>+3 +mod</t>
  </si>
  <si>
    <t>3w6 (1 perm.)</t>
  </si>
  <si>
    <t>4w6</t>
  </si>
  <si>
    <t>RkP* x5KR</t>
  </si>
  <si>
    <t>Verst: RkP*/2 SR, Ruf: augenbl.</t>
  </si>
  <si>
    <t xml:space="preserve"> 4 Verst., 7 Ruf</t>
  </si>
  <si>
    <t>RkW SR</t>
  </si>
  <si>
    <t>4 +1 /SR</t>
  </si>
  <si>
    <t>El Vanidad</t>
  </si>
  <si>
    <t>+1 /3 Pers.</t>
  </si>
  <si>
    <t>5 + 1 /SR</t>
  </si>
  <si>
    <t>Heschinjas Blick</t>
  </si>
  <si>
    <t>+2 /Pers.</t>
  </si>
  <si>
    <t>5 /Pers.</t>
  </si>
  <si>
    <t>Khablas Verlockung</t>
  </si>
  <si>
    <t>Marhibos Hand</t>
  </si>
  <si>
    <t>Nahemas Traum</t>
  </si>
  <si>
    <t>Pavonearse</t>
  </si>
  <si>
    <t>Peraines Liebe</t>
  </si>
  <si>
    <t>+ St GI/KH</t>
  </si>
  <si>
    <t>Perjinas Segen</t>
  </si>
  <si>
    <t>Rhjarra</t>
  </si>
  <si>
    <t>Rhonadaras Forderung</t>
  </si>
  <si>
    <t>RkW/5 h</t>
  </si>
  <si>
    <t>Shimijas Rausch</t>
  </si>
  <si>
    <t>Suenyo</t>
  </si>
  <si>
    <t>3 + 1 /Mittänzer</t>
  </si>
  <si>
    <t>2 /RS</t>
  </si>
  <si>
    <t>+3 /2 Pers.</t>
  </si>
  <si>
    <t>MR x 3</t>
  </si>
  <si>
    <t>Zarpada</t>
  </si>
  <si>
    <t>49 (2 perm.)</t>
  </si>
  <si>
    <t>49 (5 perm.)</t>
  </si>
  <si>
    <t>bin.</t>
  </si>
  <si>
    <t>60 (7 perm.)</t>
  </si>
  <si>
    <t>72 (9 perm.)</t>
  </si>
  <si>
    <t>Sonnenwechsel (A)</t>
  </si>
  <si>
    <t>(+mod)</t>
  </si>
  <si>
    <t>(+MR)</t>
  </si>
  <si>
    <t>-7 +1/M</t>
  </si>
  <si>
    <t>Alfenbannrune</t>
  </si>
  <si>
    <t>WdA</t>
  </si>
  <si>
    <t>Bärenrune</t>
  </si>
  <si>
    <t>Entgifterrune</t>
  </si>
  <si>
    <t>Geisterbannrune</t>
  </si>
  <si>
    <t>Geisterw</t>
  </si>
  <si>
    <t>Lebensrune</t>
  </si>
  <si>
    <t>Nebelrune</t>
  </si>
  <si>
    <t>Orkanstimmenrune</t>
  </si>
  <si>
    <t>Pfeilrune (Boltruna)</t>
  </si>
  <si>
    <t>Salzwasserrune</t>
  </si>
  <si>
    <t>Waberlohenrune</t>
  </si>
  <si>
    <t>Zukunftsrune</t>
  </si>
  <si>
    <t>Mag 3, Ach 2, Wdm 1</t>
  </si>
  <si>
    <t>Ach 5, Alc 4, Mag 3, Utu 2, Wdm 2</t>
  </si>
  <si>
    <t>Mag 5, Alc 2, Wdm 2</t>
  </si>
  <si>
    <t>Mag 7, Alc 5, Wdm 4, Zib 3, Utu 2</t>
  </si>
  <si>
    <t>Schutzkreis gegen Reptilien</t>
  </si>
  <si>
    <t>Herb</t>
  </si>
  <si>
    <t>Mag 3, Alc 2, Utu 2</t>
  </si>
  <si>
    <t xml:space="preserve">Zib 6, Mag 2 </t>
  </si>
  <si>
    <t>Ach 6, Utu 5, Wdm 5, Mag 4, Alc 3</t>
  </si>
  <si>
    <t>Schutzkreis gegen Untote</t>
  </si>
  <si>
    <t>Dämo (TGT)</t>
  </si>
  <si>
    <t>Mag 2,  Wdm 1</t>
  </si>
  <si>
    <t>Ach 2, Mag 2, Wdm 4</t>
  </si>
  <si>
    <t>Fallensiegel</t>
  </si>
  <si>
    <t xml:space="preserve">Ach 3,Mag 3, Zib 3, Alc 1, Wdm 1 </t>
  </si>
  <si>
    <t>Ach 2, Mag 1</t>
  </si>
  <si>
    <t>Fixierungszeichen</t>
  </si>
  <si>
    <t>Ach 3, Alc 2, Wdm 2, Zib 2</t>
  </si>
  <si>
    <t>Gezücht des Meisters</t>
  </si>
  <si>
    <t>Ach 2, Mag 2</t>
  </si>
  <si>
    <t>Ach 6, Alc 5, Mag 5, Utu 5, Wdm 5</t>
  </si>
  <si>
    <t>Alc 6, Ach 4, Mag 4, Utu 3, Zib 3</t>
  </si>
  <si>
    <t xml:space="preserve">Ach 4, Zib 4, Utu 3, Mag 2, </t>
  </si>
  <si>
    <t xml:space="preserve">Zib 6, Utu 5, Ach 4, Alc 4, Wdm 4, Mag 2,  </t>
  </si>
  <si>
    <t>Hypnotisches Zeichen</t>
  </si>
  <si>
    <t>Ach 4, Mag 3, Wdm 3, Zib 3</t>
  </si>
  <si>
    <t>Alc 6, Mag 6, Ach 3, Wdm 3, Zib 3</t>
  </si>
  <si>
    <t xml:space="preserve">Zib 5, Mag 4, Ach 4 </t>
  </si>
  <si>
    <t>Siegel der Stille</t>
  </si>
  <si>
    <t>Wdm 5, Zib 5, Ach 3, Alc 3, Mag 3, Utu 3</t>
  </si>
  <si>
    <t>Siegel der zweiten Haut</t>
  </si>
  <si>
    <t>Ach 5, Wdm 4, Mag 3</t>
  </si>
  <si>
    <t>Sigille der Schatten</t>
  </si>
  <si>
    <t>Ach 4, Alc 3, Mag 3, Wdm 3</t>
  </si>
  <si>
    <t>Sigille des unsichtbaren Trägers</t>
  </si>
  <si>
    <t>Elem (Luf.)</t>
  </si>
  <si>
    <t>Alc 5, Mag 4, Utu 4, Wdm 4, Ach2</t>
  </si>
  <si>
    <t>Sigille des unsichtbaren Weges</t>
  </si>
  <si>
    <t>Mag 3, Zib 3</t>
  </si>
  <si>
    <t>Ach 5, Mag 5, Alc 3</t>
  </si>
  <si>
    <t>Alc 3, Mag 3, Zib 5, Wdm 4</t>
  </si>
  <si>
    <t>Verderben des Magiers</t>
  </si>
  <si>
    <t>Kraft</t>
  </si>
  <si>
    <t>Mag 2, Zib 2</t>
  </si>
  <si>
    <t>Verständigungszeichen</t>
  </si>
  <si>
    <t>Zib 5, Wdm 2</t>
  </si>
  <si>
    <t>Wimmelndes Zeichen</t>
  </si>
  <si>
    <t>Dämo (BLZ)</t>
  </si>
  <si>
    <t>Ach 3, Wdm 2, Zib 2</t>
  </si>
  <si>
    <t>Wunschglyphe</t>
  </si>
  <si>
    <t>Ach 3, Zib 2, Mag 1</t>
  </si>
  <si>
    <t>Ach 4, Mag 3, Alc 2</t>
  </si>
  <si>
    <t>Mag 4, Ach 1, Wdm 1, Zib 1</t>
  </si>
  <si>
    <t>Zeichen des Handwerks</t>
  </si>
  <si>
    <t>Alc 5, Utu 5, Wdm 5, Mag 2</t>
  </si>
  <si>
    <t>Zeichen des Stillstands</t>
  </si>
  <si>
    <t>Ach 4, Mag 3</t>
  </si>
  <si>
    <t>Zeichen des versperrten Blicks</t>
  </si>
  <si>
    <t>Mag 2, Zib 1</t>
  </si>
  <si>
    <t>Zeichen gegen Magie</t>
  </si>
  <si>
    <t xml:space="preserve">Meta </t>
  </si>
  <si>
    <t>Ach 3, Mag 3</t>
  </si>
  <si>
    <t>Kraftquellenspeisung</t>
  </si>
  <si>
    <t>Zusatzzeichen</t>
  </si>
  <si>
    <t>Ach 1, Mag 1, Zib 1</t>
  </si>
  <si>
    <t>Magiewiderstand</t>
  </si>
  <si>
    <t>Potenzierung</t>
  </si>
  <si>
    <t>+2 (je)</t>
  </si>
  <si>
    <t>+1 (je Zeitkat.)</t>
  </si>
  <si>
    <t>Ach 3, Alc 3, Mag 3, Zib 3, Wdm 3, Utu 3</t>
  </si>
  <si>
    <t>Ach 5, Alc 4, Mag 4, Utu 4, Wdm 4, Zib 4</t>
  </si>
  <si>
    <t>Zib 4, Alc 2, Mag 2, Utu 2</t>
  </si>
  <si>
    <t>Verkleinerung</t>
  </si>
  <si>
    <t>+1 (je Verkl.)</t>
  </si>
  <si>
    <t>Mag 6, Alc 5, Zib 5, Ach 4</t>
  </si>
  <si>
    <t>Zielbeschränkung</t>
  </si>
  <si>
    <t>Zib 5, Mag 3</t>
  </si>
  <si>
    <t>2.Prof aktiv</t>
  </si>
  <si>
    <t>Grenze Start AP</t>
  </si>
  <si>
    <t>Start AP</t>
  </si>
  <si>
    <t>Start-AP 2.Prof Eigenschaften</t>
  </si>
  <si>
    <t xml:space="preserve"> 2 KaP</t>
  </si>
  <si>
    <t>Eigene Liturgien (WdG S.247)</t>
  </si>
  <si>
    <t>Spezialisierung/Mod.</t>
  </si>
  <si>
    <t>Gemäss WdH S.227 - manuell eintragen über Spalte SE (siehe Anleitung);</t>
  </si>
  <si>
    <t>Gemäss WdH S.227 -  Talentspezialisierung Infanteriewaffen (Korspiess);</t>
  </si>
  <si>
    <t>Stimme immitieren und Gaukeleien wegen 3. auflage getauscht</t>
  </si>
  <si>
    <t>Gaukeleien (Bauchreden)</t>
  </si>
  <si>
    <t>Kalligraph</t>
  </si>
  <si>
    <t>ZfP*x10 KR (A)</t>
  </si>
  <si>
    <t>Moralkodex (6; Angrosch-Kult)</t>
  </si>
  <si>
    <t>Moralkodex (6; Aves-Kirche)</t>
  </si>
  <si>
    <t>Moralkodex (12; Badilakaner)</t>
  </si>
  <si>
    <t>Moralkodex (6; Boron-Kirche)</t>
  </si>
  <si>
    <t>Moralkodex (6; Bund des wahren Glaubens)</t>
  </si>
  <si>
    <t>Moralkodex (6; Dreischwesternorden)</t>
  </si>
  <si>
    <t>Moralkodex (9; Efferd-Kirche)</t>
  </si>
  <si>
    <t>Moralkodex (9; Firun-Kirche)</t>
  </si>
  <si>
    <t>Moralkodex (3; Hesinde-Kirche)</t>
  </si>
  <si>
    <t>Moralkodex (3; H'Szint-Kult)</t>
  </si>
  <si>
    <t>Moralkodex (3; Ifirn-Kirche)</t>
  </si>
  <si>
    <t>Moralkodex (6; Ingerimm-Kirche)</t>
  </si>
  <si>
    <t>Moralkodex (3; Kor-Kirche)</t>
  </si>
  <si>
    <t>Moralkodex (3; Nandus-Kirche)</t>
  </si>
  <si>
    <t>Moralkodex (6; Peraine-Kirche)</t>
  </si>
  <si>
    <t>Moralkodex (6; Phex-Kirche)</t>
  </si>
  <si>
    <t>Moralkodex (12; Praios-Kirche)</t>
  </si>
  <si>
    <t>Moralkodex (6; Rahja-Kirche)</t>
  </si>
  <si>
    <t>Moralkodex (12; Rondra-Kirche)</t>
  </si>
  <si>
    <t>Moralkodex (9; Swafnir-Kult)</t>
  </si>
  <si>
    <t>Moralkodex (9; Therbûniten)</t>
  </si>
  <si>
    <t>Moralkodex (6; Travia-Kirche)</t>
  </si>
  <si>
    <t>Moralkodex (12; Tsa-Kirche)</t>
  </si>
  <si>
    <t>Moralkodex (6; Zsaah-Kult)</t>
  </si>
  <si>
    <t>Arkanoglyphen und Bannkreise</t>
  </si>
  <si>
    <t>SF Zauberzeichen</t>
  </si>
  <si>
    <t>RK Runenzauberei</t>
  </si>
  <si>
    <t>Arkanoglyphen &amp; Bannkreise im Blatt Zauber</t>
  </si>
  <si>
    <t>Flammenschwert (Hand)</t>
  </si>
  <si>
    <t>Flammenschwert (Dirigiert)</t>
  </si>
  <si>
    <t>Seite WdG</t>
  </si>
  <si>
    <t>S.</t>
  </si>
  <si>
    <t>Auxilator</t>
  </si>
  <si>
    <t>Reaktivierungsgespür (Arkanoglyphen)</t>
  </si>
  <si>
    <t>Reaktivierungsgespür (Runenkunde)</t>
  </si>
  <si>
    <t>Spontanzeichen (Arkanoglyphen)</t>
  </si>
  <si>
    <t>Spontanzeichen (Runenkunde)</t>
  </si>
  <si>
    <t>------- Zusatzzeichen----------</t>
  </si>
  <si>
    <t>Prinzipientreue 8 (Loyalität, Ehre, Gehorsam)</t>
  </si>
  <si>
    <t>Bezug Prinzipientreue: Loyalität, Ehre, Gehorsam</t>
  </si>
  <si>
    <r>
      <t>◄</t>
    </r>
    <r>
      <rPr>
        <i/>
        <sz val="10"/>
        <color indexed="55"/>
        <rFont val="Arial"/>
        <family val="2"/>
      </rPr>
      <t xml:space="preserve"> 1. Unfähigkeit(Merkmal) aus Prof.</t>
    </r>
  </si>
  <si>
    <t>Aus Generierung</t>
  </si>
  <si>
    <t>Aus Prof.</t>
  </si>
  <si>
    <t>Unfähigkeiten (gewählt):</t>
  </si>
  <si>
    <t>Kostenlose Nachteile:</t>
  </si>
  <si>
    <t xml:space="preserve">               ┌───────────────</t>
  </si>
  <si>
    <t>Für Elfen &amp; Kristallomanten ist eine Berechnungshilfe für die Verrechnungspunkte (VP) eingebaut. 
Übernatürliche Begabungen können ebenfalls hier ausgewählt werden, dann spart man oben Platz für andere Vorteile.</t>
  </si>
  <si>
    <t>Aura der Heiligkeit</t>
  </si>
  <si>
    <t>Erbe der Gräber</t>
  </si>
  <si>
    <t>Illarist</t>
  </si>
  <si>
    <t>Inspirator - Akademie für Beschwörung &amp; Magie Mendena</t>
  </si>
  <si>
    <t>Instrukteur - Akademie für Beschwörung &amp; Magie Mendena</t>
  </si>
  <si>
    <t>Initiator - Akademie für Beschwörung &amp; Magie Mendena</t>
  </si>
  <si>
    <t>Invokator - Akademie für Beschwörung &amp; Magie Mendena</t>
  </si>
  <si>
    <t>Tochter Nioboras</t>
  </si>
  <si>
    <t>Jünger des Unmetalls - Heptagonakademie zu Yol-Ghurmak</t>
  </si>
  <si>
    <t>Jünger der Flammensäule - Heptagonakademie zu Yol-Ghurmak</t>
  </si>
  <si>
    <t>Jünger der Wucherung - Heptagonakademie zu Yol-Ghurmak</t>
  </si>
  <si>
    <t>Jünger des Höllenwinds - Heptagonakademie zu Yol-Ghurmak</t>
  </si>
  <si>
    <t>Mystiker der Obskuromantie</t>
  </si>
  <si>
    <t>;Keine Dunkelangst;</t>
  </si>
  <si>
    <t>; Garethi/Tulamidya (was nicht Muttersprache) +4;</t>
  </si>
  <si>
    <t>Magiekunde (Obskuromantie)</t>
  </si>
  <si>
    <t xml:space="preserve">;Keine Dunkelangst; / </t>
  </si>
  <si>
    <t xml:space="preserve">; Garethi/Tulamidya (was nicht Muttersprache) +4; / </t>
  </si>
  <si>
    <t>Elementaristen (Elementare Gewalten)</t>
  </si>
  <si>
    <t>Nekromantie (Tote und Untote)</t>
  </si>
  <si>
    <t>Wählbare links &amp; rechts</t>
  </si>
  <si>
    <t>Elementarist</t>
  </si>
  <si>
    <t>Binder der Hexessenz</t>
  </si>
  <si>
    <t>Edelsteinmagie</t>
  </si>
  <si>
    <t>Elementares Gleichgewicht</t>
  </si>
  <si>
    <t>Flüsterer der 1000 Namen</t>
  </si>
  <si>
    <t>Golemidenbauer</t>
  </si>
  <si>
    <t>Meister der Wünsche</t>
  </si>
  <si>
    <t>Harmonisierte Eis-Humus-Aura</t>
  </si>
  <si>
    <t>Harmonisierte Feuer-Wasser-Aura</t>
  </si>
  <si>
    <t>Harmonisierte Luft-Fels-Aura</t>
  </si>
  <si>
    <t>Bewahrer der Ahnenmacht</t>
  </si>
  <si>
    <t>Former der Leiber</t>
  </si>
  <si>
    <t>Geber des Funkens</t>
  </si>
  <si>
    <t>Gebieter der Rotte</t>
  </si>
  <si>
    <t>Herr über die Gebeine</t>
  </si>
  <si>
    <t>Elementaristen</t>
  </si>
  <si>
    <t>Mag 4, Alc 3, Ach 1, Zib 1</t>
  </si>
  <si>
    <t>Nekromatische:</t>
  </si>
  <si>
    <t>Elementare:</t>
  </si>
  <si>
    <t>SF Elementarist</t>
  </si>
  <si>
    <t>SF Nekromant</t>
  </si>
  <si>
    <t>Merkmalskenntnis Elementar neu</t>
  </si>
  <si>
    <t>Gesucht II (in allen zwölfgöttlichen Landen)</t>
  </si>
  <si>
    <t>Arroganz 6</t>
  </si>
  <si>
    <t>Randgruppe (potenzielle Dämonenverehrer)</t>
  </si>
  <si>
    <t>Philosophie (Magierphilosophie)</t>
  </si>
  <si>
    <t>Kochen (nach Wahl)</t>
  </si>
  <si>
    <t>Schnaps brennen/Winzer +2</t>
  </si>
  <si>
    <t>einmal Illu/Meta;</t>
  </si>
  <si>
    <t>einmal Bews/Dämo (TGN)/Geis;</t>
  </si>
  <si>
    <t>einmal Form/Eign/Vers;</t>
  </si>
  <si>
    <t>einmal Besw/Hell;</t>
  </si>
  <si>
    <t>Bews/Dämo (TGN)/Geis (die beiden noch nicht gewählten Merkmale);</t>
  </si>
  <si>
    <t>einmal Einfl/Hell;</t>
  </si>
  <si>
    <t>Form/Eign/Vers (die beiden noch nicht gewählten Merkmale);</t>
  </si>
  <si>
    <t>auswählen: zwei Zauber aus A-Liste (+4/+2): Flim Flam, Manifesto, Odem; drei Zauber aus B-Liste (+4/+3/+3): Aeolitus, Armatrutz, Blitz dich find, Illusion auflösen, Menetekel, Plumbumbarum, Ruhe Körper, Silentium, Somnigravis; zwei Zauber aus C-Liste (+3/+2): Balsam, Band und Fessel, Claudibus, Cryptographo, Custodosigil, Dunkelheit, Duplicatus, Foramen, Geisterbann, Ignifaxius, Motoricus, Objectovoco, Penetrizzel, Skelettarius, Unberührt von Satinav; ein Zauber aus D-Liste (+2): Aerofugo, Aerogelo, Analys, Auris Nasus, Blick in die Vergangenheit, Desintegratus, Gardianum, Geisterruf, Invocatio minor, Totes Handle, Widerwille (Einige Zauber sind sowohl unter den Hauszaubern als auch den Zauberfertigkeiten aufgelistet. Sobald ein Zauber in einer der beiden Kategorien gewählt wurde, darf er selbstverständlich nicht auch in der anderen ausgesucht werden.);</t>
  </si>
  <si>
    <t>auswählen: zwei Zauber aus A-Liste: (+4/+2): Aureolus, Flim Flam, Manifesto, Odem; drei Zauber aus B-Liste (+3/+3/+3): Armatrutz, Blitz dich, Illusion auflösen, Menetekel, Plumbumbarum, Reflectimago, Silentium, Unitatio, Weihrauchwolke; zwei Zauber aus C-Liste (+3/+2): Applicatus, Balsam, Band und Fessel, Claudibus, Cryptographo, Custodosigil, Dunkelheit, Duplicatus, Foramen, Ignifaxius, Motoricus, Objectovoco, Penetrizzel, Unberührt von Satinav; einZauber aus  D-Liste (+2): Analys, Auris Nasus, Blick in die Gedanken, Gardianum, Ignorantia, Widerwille  (Einige Zauber sind sowohl unter den Hauszaubern als auch den Zauberfertigkeiten aufgelistet. Sobald ein Zauber in einer der beiden Kategorien gewählt wurde, darf er selbstverständlich nicht auch in der anderen ausgesucht werden.);</t>
  </si>
  <si>
    <t>auswählen: ein Zauber aus A-Liste (+4): Flim Flam, Manifesto, Odem; drei Zauber aus B-Liste (+3/+3/+3): Armatrutz, Blitz dich find, Exposami, Menetekel, Plumbumbarum, Silentium, Somnigravis; drei Zauber aus C-Liste (+3/+2/+2): Band und Fessel, Bewegung stören, Claudibus, Cryptographo, Custodosigil, Dunkelheit, Foramen, Fulminictus, Geisterbann, Motoricus, Nuntiovolo, Paralysis, Skelettarius, Tlalucs Odem; ein Zauber aus D-Liste (+2): Analys, Gardianum, Geisterruf, Invocatio minor, Pentagramma, Schwarzer Schrecken, Totes Handle; ein Zauber aus E-Liste (+3): Invocatio maior, Nekropathia, Transversalis   (Einige Zauber sind sowohl unter den Hauszaubern als auch den Zauberfertigkeiten aufgelistet. Sobald ein Zauber in einer der beiden Kategorien gewählt wurde, darf er selbstverständlich nicht auch in der anderen ausgesucht werden.);</t>
  </si>
  <si>
    <t>Alpgestalt (Dru), Panik überkomme euch (Bor);</t>
  </si>
  <si>
    <t>Leidensbund (Bor);</t>
  </si>
  <si>
    <t>Metamorpho Gletscherform (Elf);</t>
  </si>
  <si>
    <t>Brenne toter Stoff! (Bor), Eigene Ängste (Bor), Erinnerung verlasse dich! (Bor), Hartes schmelze (Bor), Höllenpein zerreisse dich! (Bor), Pandaemonium (Bor), Schwarzer Schrecken (Bor), Schwarz und rot (Bor), Weiches erstarre (Bor);</t>
  </si>
  <si>
    <t>B/S-Kreis gegen Niedere Dämonen, S-Kreis gegen Untote;</t>
  </si>
  <si>
    <t>B/S-Kreis gegen Niedere Dämonen, B/S-Kreis gegen Gehörnte Dämonen;</t>
  </si>
  <si>
    <t>Voraussetzung: keine Totenangst;</t>
  </si>
  <si>
    <t>Randgruppe (bekennender Chimärologe)</t>
  </si>
  <si>
    <t>Verwöhnt 5</t>
  </si>
  <si>
    <t>Randgruppe (Dämonenverehrer)</t>
  </si>
  <si>
    <t>Sternkunde (Himmelskartographie/Horoskope)</t>
  </si>
  <si>
    <t>Brennglas &amp; Prisma</t>
  </si>
  <si>
    <t>Goldgier 5/ Geiz 10;</t>
  </si>
  <si>
    <t>Lehrsprache (auf KL-4) Tulamidya;</t>
  </si>
  <si>
    <t>Lehrsprache (auf KL-4) Bosparano;</t>
  </si>
  <si>
    <t>Lehrsprache (auf KL-4) Zhayad;</t>
  </si>
  <si>
    <t>Anti/Scha;</t>
  </si>
  <si>
    <t>Einfl/Hell;</t>
  </si>
  <si>
    <t>Warnendes Leuchten;</t>
  </si>
  <si>
    <t>Aureolus/Flim Flam/ Manifesto/Odem +4/+3; Adlerauge/Armatrutz/Attributo/Bannbaladin/Blitz dich Find/Illusio auflösen/Menetekel/Plumbumbarum/Ruhe Körper/ Silenzium/Somnigravis/Unitatio +4/+3/+3; Ängste lindern/Axxeleratus/Balsam/Blick aufs Wesen/Cryptographo/Custodosigil/Dämonenbann (frei wählbaer Domäne)/hellsicht trüben/Memorans/Motoricus/Penetrizzel/Sensibar/Unberührt von Satinav/Visibili +3/+2; Analys/Ausris Nasus/Blick in die Gedanken/Gardium/Ignorantia/Widerwille +2;</t>
  </si>
  <si>
    <t>Chimären;</t>
  </si>
  <si>
    <t>Voraussetzungen: nur Frauen;</t>
  </si>
  <si>
    <t>Bei Zaubern: Elementar (Einzelelement) wird durch Dämonisch (Agrimoth) ersetzt;</t>
  </si>
  <si>
    <t>Schüler der Khelbara</t>
  </si>
  <si>
    <t>Zum Eintragen von wählbaren Vor-Nachteilen aus der Profession und im weiteren Heldenleben. Im Leben eines Helden kann es zu den einen und anderen Missgeschicken oder aber Glücksfällen kommen. Da dies in der Regel nach der Generierung geschieht, kosten diese Vor- und Nachteile natürlich keine GP und können deshalb hier gesondert einge-tragen werden. Ebenso können mit AP erwerbbare Vorteile in den letzten beiden Zeilen eingetragen werden (u.a. Wiedererlernen von Salassandra) ►►►</t>
  </si>
  <si>
    <t xml:space="preserve">Meisterliche Zauberkontrolle I, Meisterliche Zauberkontrolle II;  </t>
  </si>
  <si>
    <t>(Sind als Magische SF bei den Professionsdaten erfasst)</t>
  </si>
  <si>
    <t>Schülerin der Sefiras</t>
  </si>
  <si>
    <t>Nachteile Wertkombination schlechte Eigenschaften &amp; andere:</t>
  </si>
  <si>
    <t>Verketten von Nachteilen mit Wertangaben:</t>
  </si>
  <si>
    <t>Schlechte Eigensch.</t>
  </si>
  <si>
    <t>Aktuelle Werte von Nachteilen mit Werten:</t>
  </si>
  <si>
    <t>Schlechte Eigen./Nachteile mit Wert:</t>
  </si>
  <si>
    <t>VERKETTEN(V126;V127;V128;V131;V132;V133;V134;V135;V136;V137;V138;V139;V140;V141;V142;V143;V144;V145;V146;V147;V148;V149;V150;V151;V152;V153;V154;V155;V156;P182)</t>
  </si>
  <si>
    <t>VERKETTEN(V157;V158;V159;V160;V161;V162;V163;V164;V165;V166;V168;V169;V170;V171;V172;V173;V174;V175;V176;V177;V180)</t>
  </si>
  <si>
    <t>Aeropulvis sanfter Fall</t>
  </si>
  <si>
    <t>ZfP* x 2 KR</t>
  </si>
  <si>
    <t>Elf 3, Mag 2, Dru 1, Hex 1</t>
  </si>
  <si>
    <t>Elem (Luft), Bew</t>
  </si>
  <si>
    <t>Aquaqueris Wasserfluch</t>
  </si>
  <si>
    <t>10+3AsP/KR</t>
  </si>
  <si>
    <t>Dru 1; Mag 1</t>
  </si>
  <si>
    <t>Elem (Wasser), Schaden</t>
  </si>
  <si>
    <t>Fesselranken</t>
  </si>
  <si>
    <t>Dru 3, Hex 2, Mag 1, Elf 1</t>
  </si>
  <si>
    <t>Elem (Humus), Umwt</t>
  </si>
  <si>
    <t>Feuermähne Flammenhuf</t>
  </si>
  <si>
    <t>ZfP* /2 Stunden</t>
  </si>
  <si>
    <t>Elf 1</t>
  </si>
  <si>
    <t>Besw, Elem (Feuer)</t>
  </si>
  <si>
    <t>Glacoflumen Fluss aus Eis</t>
  </si>
  <si>
    <t>3+1A/Schritt</t>
  </si>
  <si>
    <t>Sch 3, Elf 2, Dru 1, Mag 1</t>
  </si>
  <si>
    <t>Ignifugo Feuerbann</t>
  </si>
  <si>
    <t>8+1A/3Schritt</t>
  </si>
  <si>
    <t>Sch 4, Srl 4, Mag 2, Dru 1, Geo 1</t>
  </si>
  <si>
    <t>Elem (Feuer), Umwt</t>
  </si>
  <si>
    <t>Ignimorpho Feuerform</t>
  </si>
  <si>
    <t>5 AsP / SR</t>
  </si>
  <si>
    <t>Elf 3, Geo 1, Dru 1, Mag (Elf) 1</t>
  </si>
  <si>
    <t>Igniplano Flächenbrand</t>
  </si>
  <si>
    <t>25AsPW6+2LP</t>
  </si>
  <si>
    <t>Mag 1</t>
  </si>
  <si>
    <t>Elem (Feuer), Scha, Umwt</t>
  </si>
  <si>
    <t>Kraft des Humus</t>
  </si>
  <si>
    <t>Geo 4, Dru 3, Hex 3, Ach 2, Elf 2, Mag (Dru) 2</t>
  </si>
  <si>
    <t>Elem (Humus), Heil</t>
  </si>
  <si>
    <t>Steinmauer</t>
  </si>
  <si>
    <t>Geo 4, Dru 3, Mag 3, Elf 1</t>
  </si>
  <si>
    <t>Stimme des Windes</t>
  </si>
  <si>
    <t>6+3A/Stunde</t>
  </si>
  <si>
    <t>Elf 4, Geo 3, Dru 3, Mag (Dru) 2, Hex (Geo) 1</t>
  </si>
  <si>
    <t>Unbraporta Schattentür</t>
  </si>
  <si>
    <t>Dämo (gesamt), Limb</t>
  </si>
  <si>
    <t>Warmes Gefriere</t>
  </si>
  <si>
    <t>3AsP/Kubikm</t>
  </si>
  <si>
    <t>ZfP* /2 SR</t>
  </si>
  <si>
    <t>Mag 3</t>
  </si>
  <si>
    <t>Objk, Elem (Eis)</t>
  </si>
  <si>
    <t>Wasserwall</t>
  </si>
  <si>
    <t>16 Akt</t>
  </si>
  <si>
    <t>ZfWx20Schritt</t>
  </si>
  <si>
    <t>30 KR (A)</t>
  </si>
  <si>
    <t>Geo 3, Dru 2, Mag 2, Elf 1</t>
  </si>
  <si>
    <t>Windbarriere</t>
  </si>
  <si>
    <t>Elem (Wind)</t>
  </si>
  <si>
    <t>Dru 1, Elf 1, Mag 1</t>
  </si>
  <si>
    <t>Vers, Elem (Luft)</t>
  </si>
  <si>
    <t>Frostruna</t>
  </si>
  <si>
    <t>Windruna</t>
  </si>
  <si>
    <t>Bann- &amp; Schutzkreis gegen Luft</t>
  </si>
  <si>
    <t>Bann- &amp; Schutzkreis gegen Humus</t>
  </si>
  <si>
    <t>Bann- &amp; Schutzkreis gegen Erz</t>
  </si>
  <si>
    <t>Bann- &amp; Schutzkreis gegen Eis</t>
  </si>
  <si>
    <t>Bann- &amp; Schutzkreis gegen Wasser</t>
  </si>
  <si>
    <t>Bann- &amp; Schutzkreis gegen Feuer</t>
  </si>
  <si>
    <t>EG</t>
  </si>
  <si>
    <t>Ach 2, Alc 2, Mag 2, Utu 1, Wdm 1, Zib 1</t>
  </si>
  <si>
    <t>Ach 2, Alc 2, Mag 2, Utu 1, Wdm 1, Zib 2</t>
  </si>
  <si>
    <t>Ach 2, Alc 2, Mag 2, Utu 1, Wdm 1, Zib 3</t>
  </si>
  <si>
    <t>Ach 2, Alc 2, Mag 2, Utu 1, Wdm 1, Zib 4</t>
  </si>
  <si>
    <t>Ach 2, Alc 2, Mag 2, Utu 1, Wdm 1, Zib 5</t>
  </si>
  <si>
    <t>Ach 2, Alc 2, Mag 2, Utu 1, Wdm 1, Zib 6</t>
  </si>
  <si>
    <t>Bann- &amp; Schutzkreis gegen Chimären</t>
  </si>
  <si>
    <t>Bann- &amp; Schutzkreis gegen Gehörnte Dämonen</t>
  </si>
  <si>
    <t>Bann- &amp; Schutzkreis gegen Elementare</t>
  </si>
  <si>
    <t>Bann- &amp; Schutzkreis gegen Geisterwesen</t>
  </si>
  <si>
    <t>Bann- &amp; Schutzkreis gegen Niedere Dämonen</t>
  </si>
  <si>
    <t>Glyphe der elementaren Reinheit</t>
  </si>
  <si>
    <t>Glyphe der elementaren Wandlung</t>
  </si>
  <si>
    <t>Glyphe des elementaren Willens</t>
  </si>
  <si>
    <t>Glyphe der elementaren Attraktion</t>
  </si>
  <si>
    <t>Alc 3, Mag 3, Ach 3, Wdm 2, Utu 2, Zib 2</t>
  </si>
  <si>
    <t>Alc 4, Ach 3, Mag 3, Utu 1, Wdm 1</t>
  </si>
  <si>
    <t>Alc 3, Mag 2, Ach 2</t>
  </si>
  <si>
    <t>Elementarquellenspeisung</t>
  </si>
  <si>
    <t>Mag 2, Ach 1, Alc 1, Utu 1</t>
  </si>
  <si>
    <t>Überraschung</t>
  </si>
  <si>
    <t>+IN-Basis</t>
  </si>
  <si>
    <t>+Parierwaffe</t>
  </si>
  <si>
    <t>)   ±Mod</t>
  </si>
  <si>
    <t>Gefahrenins.</t>
  </si>
  <si>
    <t>+Aufmerks.</t>
  </si>
  <si>
    <t>±Kriegsk.</t>
  </si>
  <si>
    <t>+Kampfgespür</t>
  </si>
  <si>
    <r>
      <t xml:space="preserve">+ </t>
    </r>
    <r>
      <rPr>
        <b/>
        <sz val="11"/>
        <rFont val="Arial"/>
        <family val="2"/>
      </rPr>
      <t>W6</t>
    </r>
    <r>
      <rPr>
        <b/>
        <sz val="10"/>
        <rFont val="Arial"/>
        <family val="2"/>
      </rPr>
      <t xml:space="preserve"> </t>
    </r>
    <r>
      <rPr>
        <sz val="10"/>
        <rFont val="Arial"/>
        <family val="2"/>
      </rPr>
      <t>=</t>
    </r>
  </si>
  <si>
    <t>Artefaktkontrolle:</t>
  </si>
  <si>
    <t>pASP</t>
  </si>
  <si>
    <t>Fluch der Finsternis I</t>
  </si>
  <si>
    <t>Fluch der Finsternis III</t>
  </si>
  <si>
    <t>Verketten der Nachteile aus Rasse, Kultur und Profession (ausser selbstgewählte bei Generierung)</t>
  </si>
  <si>
    <t>INI_Mod</t>
  </si>
  <si>
    <t>LE_Mod</t>
  </si>
  <si>
    <t>LE_Aktuell</t>
  </si>
  <si>
    <t>AU_Mod</t>
  </si>
  <si>
    <t>AU_Aktuell</t>
  </si>
  <si>
    <t>AE_Mod</t>
  </si>
  <si>
    <t>AE_Aktuell</t>
  </si>
  <si>
    <t>KE_Mod</t>
  </si>
  <si>
    <t>KE_Aktuell</t>
  </si>
  <si>
    <t>MR_Mod</t>
  </si>
  <si>
    <t>RSKopf</t>
  </si>
  <si>
    <t>RSBrust</t>
  </si>
  <si>
    <t>RSRücken</t>
  </si>
  <si>
    <t>RSArmL</t>
  </si>
  <si>
    <t>RSArmR</t>
  </si>
  <si>
    <t>RSBauch</t>
  </si>
  <si>
    <t>RSBeinL</t>
  </si>
  <si>
    <t>RSBeinR</t>
  </si>
  <si>
    <t>APGesamt</t>
  </si>
  <si>
    <t>APEingesetzt</t>
  </si>
  <si>
    <t>ZuteilungAT</t>
  </si>
  <si>
    <t>ZuteilungPA</t>
  </si>
  <si>
    <t>Rep</t>
  </si>
  <si>
    <t>Hilfe String aktuell</t>
  </si>
  <si>
    <t>Spielername des Helden</t>
  </si>
  <si>
    <t>AT_Basis</t>
  </si>
  <si>
    <t>PA_Basis</t>
  </si>
  <si>
    <t>FK_Basis</t>
  </si>
  <si>
    <t>Nah</t>
  </si>
  <si>
    <t>Rüstung</t>
  </si>
  <si>
    <t>Aktiviert_Waffe</t>
  </si>
  <si>
    <t>Hilfe Alle SF</t>
  </si>
  <si>
    <t>Hilfe Rest-String</t>
  </si>
  <si>
    <t>Bei Zaubern: Elementar (Einzelelement) wird durch Dämonisch (Agrimoth) ersetzt; Dies muss manuell in Spalte Zauber!BQ vorgenommen werden</t>
  </si>
  <si>
    <t>/ Elementar (Einzelelement) wird durch Dämonisch (Agrimoth) ersetzt; Dies muss manuell in Spalte Zauber!BQ vorgenommen werden</t>
  </si>
  <si>
    <t>Aktiviert_Rüstung</t>
  </si>
  <si>
    <t>Spezialisierung 1</t>
  </si>
  <si>
    <t>Spezialisierung 2</t>
  </si>
  <si>
    <t>Sprache kennen: Alaani ('Norbardisch')</t>
  </si>
  <si>
    <t>Sprache kennen: Alberned (Dialekt)</t>
  </si>
  <si>
    <t>Sprache kennen: Andergastisch (Dialekt)</t>
  </si>
  <si>
    <t>Sprache kennen: Angram</t>
  </si>
  <si>
    <t>Sprache kennen: Asdharia</t>
  </si>
  <si>
    <t>Sprache kennen: Atak (inkl.  Schrift)</t>
  </si>
  <si>
    <t>Sprache kennen: Aureliani ('Altgüldenländisch')</t>
  </si>
  <si>
    <t>Sprache kennen: Bornländisch  (Dialekt)</t>
  </si>
  <si>
    <t>Sprache kennen: Bosparano</t>
  </si>
  <si>
    <t>Sprache kennen: Brabaci  (Dialekt)</t>
  </si>
  <si>
    <t>Sprache kennen: Charypto  (Dialekt)</t>
  </si>
  <si>
    <t>Sprache kennen: Drachisch</t>
  </si>
  <si>
    <t>Sprache kennen: Ferkina</t>
  </si>
  <si>
    <t>Sprache kennen: Fjarningsch</t>
  </si>
  <si>
    <t>Sprache kennen: Füchsisch (inkl. 'Schrift')</t>
  </si>
  <si>
    <t>Sprache kennen: Garethi</t>
  </si>
  <si>
    <t>Sprache kennen: Gatamo  (Dialekt)</t>
  </si>
  <si>
    <t>Sprache kennen: Gjalskisch</t>
  </si>
  <si>
    <t>Sprache kennen: Goblinisch</t>
  </si>
  <si>
    <t>Sprache kennen: Grolmisch</t>
  </si>
  <si>
    <t>Sprache kennen: Hjaldingsch ('Saga-Thorwalsch')</t>
  </si>
  <si>
    <t>Sprache kennen: Horathi  (Dialekt)</t>
  </si>
  <si>
    <t>Sprache kennen: Isdira</t>
  </si>
  <si>
    <t>Sprache kennen: Koboldisch</t>
  </si>
  <si>
    <t>Sprache kennen: Mahrisch</t>
  </si>
  <si>
    <t>Sprache kennen: Maraskani  (Dialekt)</t>
  </si>
  <si>
    <t>Sprache kennen: Mohisch</t>
  </si>
  <si>
    <t>Sprache kennen: Molochisch</t>
  </si>
  <si>
    <t>Sprache kennen: Neckergesang</t>
  </si>
  <si>
    <t>Sprache kennen: Nujuka ('Nivesisch')</t>
  </si>
  <si>
    <t>Sprache kennen: Oloarkh</t>
  </si>
  <si>
    <t>Sprache kennen: Ologhaijan ('Hochorkisch')</t>
  </si>
  <si>
    <t>Sprache kennen: Rabensprache</t>
  </si>
  <si>
    <t>Sprache kennen: Rissoal</t>
  </si>
  <si>
    <t>Sprache kennen: Rogolan</t>
  </si>
  <si>
    <t>Sprache kennen: Rssahh</t>
  </si>
  <si>
    <t>Sprache kennen: Ruuz ('Ur-Maraskanisch' )</t>
  </si>
  <si>
    <t>Sprache kennen: Thorwalsch</t>
  </si>
  <si>
    <t>Sprache kennen: Trollisch</t>
  </si>
  <si>
    <t>Sprache kennen: Tulamidya</t>
  </si>
  <si>
    <t>Sprache kennen: Ur-Tulamidya</t>
  </si>
  <si>
    <t>Sprache kennen: Zelemja</t>
  </si>
  <si>
    <t>Sprache kennen: Zhayad</t>
  </si>
  <si>
    <t>Sprache kennen: Zhulchammaqra ('Trollzackisch')</t>
  </si>
  <si>
    <t>Sprache kennen: Z'Lit</t>
  </si>
  <si>
    <t>Sprache kennen: Zyklopäisch</t>
  </si>
  <si>
    <t xml:space="preserve">Mit tatkräftiger Unterstützung von Thorsten Amstutz, Corinna Beyer-Thomas, Joachim Heindler, Maja Knobel, Wolfgang Lange, Edgar Miersch, Benjamin Reschke, Stefan Schmitz. 
</t>
  </si>
  <si>
    <t>Schüler des Rafim Bay</t>
  </si>
  <si>
    <t>Schüler von Luminoff und Morcalino</t>
  </si>
  <si>
    <t>Schüler von Xaviera Karsidian</t>
  </si>
  <si>
    <t>Schüler von Kiranya von Kutaki</t>
  </si>
  <si>
    <t>Schüler von Sevastana Gevendar</t>
  </si>
  <si>
    <t>Schüler des Deveron Elgarstyn - Anwärter der Schatten</t>
  </si>
  <si>
    <t>Schüler des Beschwörerkreis des Karasuk</t>
  </si>
  <si>
    <t>Schüler des Septimo Sargentillian</t>
  </si>
  <si>
    <t>Verpflichtungen (gegenüber Khelbara)</t>
  </si>
  <si>
    <t>Verpflichtungen (gegenüber Deveron Elgarstyn &amp; Bund der Schatten)</t>
  </si>
  <si>
    <t>Verpflichtungen (gegenüber Qabalya)</t>
  </si>
  <si>
    <t>Verpflichtungen (gegenüber Xaviera Karsidian)</t>
  </si>
  <si>
    <t>Verplichtungen (gegenüber Qabalya)</t>
  </si>
  <si>
    <t>Vorurteile 6 (gegen Tulamiden)</t>
  </si>
  <si>
    <t>Balsam/Blick aufs Wesen/Cryptographo/Custodosigil/Dämonenbann (frei wählbare Domäne)/ Hellsicht trüben/Memorans/Motoricus/Objektovoco/Penetrizzel/Sensibar/Visibili +7H/+6H/+6H; Analys/Auris Nasis/Blick in die Gedanken/Gardianum/Ignorantia/Wiederwille +6H/+5H/+5H; Destruktibo/Oculus/Xenographus +5H;</t>
  </si>
  <si>
    <t>Drei Zauber aus C-Liste (+7/+6/+6): Bewegung stören, Fulminictus, Geisterbann, Motoricus, Nuntiovolo, Paralysis, Skelettarius, Tlalucs Odem; drei Zauber aus D-Liste: (+6/+5/+5): Gardianum, Geisterruf, Invocatio minor, Pentagramma, Schwarzer Schrecken, Totes Handle; ein Zauber aus E-Liste (+5): Invocatio maior, Nekropathia, Transversalis;</t>
  </si>
  <si>
    <t>Drei Zauber aus C-Liste (+7/+6/+6): Applicatus, Balsam, Band und Fessel, Claudibus, Cryptographo, Corpofesso, Custodosigil, Duplicatus, Foramen, Ignifaxius, Motoricus, Objectovoco, Paralysis, Penetrizzel, Skelettarius, Unberührt von Satinav; drei Zauber aus D-Liste (+6/+5/+5): Analys, Auris Nasus, Blick in die Gedanken, Ignorantia, Widerwille; ein Zauber aus E-Liste (+5): Oculus, Reversalis;</t>
  </si>
  <si>
    <t>Drei Zauber aus C-Liste (+7/+6/+6): Applicatus, Balsam, Band und Fessel, Claudibus, Cryptographo, Custodosigil, Dämonenbann (frei wählbare Domäne), Dunkelheit, Duplicatus, Foramen, Geisterbann, Ignifaxius, Memorans, Motoricus, Objectovoco, Penetrizzel, Unberührt von Satinav; drei Zauber D-Liste (+6/+5/+5): Aerofugo, Analys, Auris Nasus, Blick in die Vergangenheit, Desintegratus, Gardianum, Geisterruf, Invocatio minor, Totes Handle, Widerwille, Zauberklinge; ein Zauber aus E-Liste (+5): Arcanovi, Caldofrigo, Invocatio maior, Nekropathia, Stein wandle, Xenographus;</t>
  </si>
  <si>
    <t>B/S-Kreis gegen Niedere Dämonen;</t>
  </si>
  <si>
    <t>B/S-Kreis gegen Gehörnte Dämonen;</t>
  </si>
  <si>
    <t xml:space="preserve">Kulturkunde (anderes Elfenvolk nach Wahl); </t>
  </si>
  <si>
    <t>TP_Entfernung</t>
  </si>
  <si>
    <t>Aeolitus Windgebraus</t>
  </si>
  <si>
    <t>Beherrschung brechen</t>
  </si>
  <si>
    <t>Aufgeblasen abgehoben</t>
  </si>
  <si>
    <t>Sozialstatus &amp; Verbindungen</t>
  </si>
  <si>
    <t>Verketten aller Nachteile bei Generierung (auch doppelte und solche, welche entfernt werden)</t>
  </si>
  <si>
    <t>Verketten aller Vorteile bei Generierung (auch doppelte und solche, welche entfernt werden wie solche mit Wert)</t>
  </si>
  <si>
    <t>Vorteile mit aktueller Verbindung</t>
  </si>
  <si>
    <t>Verbindungen 60</t>
  </si>
  <si>
    <t>Verbindungen 35</t>
  </si>
  <si>
    <t>Verbindungen 50</t>
  </si>
  <si>
    <t>Vorteile mit Abstand</t>
  </si>
  <si>
    <t>Waffen_Name</t>
  </si>
  <si>
    <t>Talent/eBE</t>
  </si>
  <si>
    <t>Turnierreiterei</t>
  </si>
  <si>
    <t>Auxiliator</t>
  </si>
  <si>
    <t>Bannschwert Degen/Dolch/Kurzschwert</t>
  </si>
  <si>
    <t>Bannschwert Schwert[Geist]</t>
  </si>
  <si>
    <t>Bannschwert Dolch/Kurzschwert[Geist]</t>
  </si>
  <si>
    <t>Max. Grad</t>
  </si>
  <si>
    <t>Vorgänger</t>
  </si>
  <si>
    <t>Speisung der hungernden Seelen</t>
  </si>
  <si>
    <t>Aufstufung Grad</t>
  </si>
  <si>
    <t>Eigene Liturgien: 
Ziel neu</t>
  </si>
  <si>
    <t>Eigene Liturgien: 
Ritualdauer neu</t>
  </si>
  <si>
    <t>Grad+ Ritualdauer</t>
  </si>
  <si>
    <t>Grad+ Ziel</t>
  </si>
  <si>
    <t>Grad+ Wirkungsdauer</t>
  </si>
  <si>
    <t>Grad+ Reichweite</t>
  </si>
  <si>
    <t>Eigene Liturgien: 
Wirkungsdauer neu</t>
  </si>
  <si>
    <t>Eigene Liturgien: 
Reichweite neu</t>
  </si>
  <si>
    <t>Summe Grad+</t>
  </si>
  <si>
    <t>Aufstufung Max-Grad</t>
  </si>
  <si>
    <t>Mod. &amp; Zukauf</t>
  </si>
  <si>
    <t>Verkettten</t>
  </si>
  <si>
    <t>Grad Aufstufung</t>
  </si>
  <si>
    <t>Liturgie</t>
  </si>
  <si>
    <t>Veränderung Kosten:
Anzahl Grade</t>
  </si>
  <si>
    <t>Kosten: Spaltenredukion</t>
  </si>
  <si>
    <t>Kosten-Grad Liturgie</t>
  </si>
  <si>
    <t xml:space="preserve"> Gewandtheit</t>
  </si>
  <si>
    <t>Applicatus/Axxeleratus/Band und Fessel/Bewegung stören/Custodosigil/Dämonenbann (frei wählbare Domäne)/Fulminictus/Hellsicht trüben/Ignifaxius/Motoricus/Objekt entzaubern/Paralysis/Penetrizzel/Psychostabilis +7H/+6H/+6H; Ecliptifactus/Gardianum/Kulminatio/Veränderung aufheben/Verwandlung beenden/Widerwille/Zauberklinge +6H/+5H/+5H; Caldofrigo/Destructibo/Transversalis/Xenographus +5H;</t>
  </si>
  <si>
    <t>Flim Flam/Manifesto/Odem +4/+2; Armatrutz/Blitz dich find/Illusion auflösen/Menetekel/Plumbumbarum/Silentium/Somnigravis +4/+3/+3; Applicatus/Axxeleratus/Balsam/Bewegung stören/Claudibus/Custodosigil/Dämonenbann (frei wählbare Domäne)/Dunkelheit/Duplicatus/Fulminictus/Foramen/Hellsicht trüben/Ignifaxius/Motoricus/Objekt entzaubern/Paralysis/Penetrizzel/Psychostabilis +3/+2; Analys/Auris Nasus/Ecliptifactus/Gardianum/Kulminatio/Magischer Raub/Widerwille/Zauberklinge +2;</t>
  </si>
  <si>
    <t>Seit Auflage WdH V3 ist Vorteil Gefahreninstinkt nicht mehr Bestandteil von Taugenichts, GP Kostenwurden reduziert. Gefahreninstinkt muss mnauell gewählt werden.</t>
  </si>
  <si>
    <t>Hunde- und Dachsschlitten</t>
  </si>
  <si>
    <t>Wüstenelf</t>
  </si>
  <si>
    <t>Wüstenelfische Sippe</t>
  </si>
  <si>
    <t>Segensreiches Wasser</t>
  </si>
  <si>
    <t>Tocamuyac</t>
  </si>
  <si>
    <t>Thorwal (Ottajasko) [UdW]</t>
  </si>
  <si>
    <t>Thorwal (Sippe - Binnenland) [UdW]</t>
  </si>
  <si>
    <t>Thorwal (Söldnerottajasko Hammerfaust in Vinay/Brabak) [UdW]</t>
  </si>
  <si>
    <t>Thorwal (Söldnerottajasko Hammerfaust in Askja/Regenwald) [UdW]</t>
  </si>
  <si>
    <t>Thorwal (Söldnerottajasko Bannerträger bei Drôlsash/Drôl) [UdW]</t>
  </si>
  <si>
    <t>Thorwal (Söldnerottajasko Drachen von Llanka, heimatlos) [UdW]</t>
  </si>
  <si>
    <t>Verpflichtungen (Ottajasko)</t>
  </si>
  <si>
    <t>Verpflichtungen (Ottajasko Hammerfaust)</t>
  </si>
  <si>
    <t>Verpflichtungen (Ottajasko Drachen von Llanka und ggü. den Toten)</t>
  </si>
  <si>
    <t>Zwei aus Ackerbau/Grobschmied/Lederarbeiten/Seiler/Zimmermann +1</t>
  </si>
  <si>
    <t>Je einmal +1 und +1 auf Ackerbau/Brauer/Grobschmied/Holzbearbeitung/Lederarbeiten/Schneidern/Stoffe Färben/Viehzucht/Webkunst; Reiten/Ski fahren +1; drei aus: Ackerbau/Grobschmied/Lederarbeiten/Schneidern/Seiler/Viehzucht/Webkunst/Zimmermann +1;</t>
  </si>
  <si>
    <t>Zweitsprache Garethi (Dialekt Brabaci oder Gatamo), Tulamidya/Mohisch +4;</t>
  </si>
  <si>
    <t>Zweitsprache Garethi (Dialekt Brabaci oder Gatamo);</t>
  </si>
  <si>
    <t>L/S [Kusliker Zeichen oder Tulamidya] +3;</t>
  </si>
  <si>
    <t>Gardist: nur Rekkerskola Enqui;</t>
  </si>
  <si>
    <t>Skalde aus der Runajasko [UdW]</t>
  </si>
  <si>
    <t>Singen (Balladen)</t>
  </si>
  <si>
    <t>Hiebwaffen/Schwerter +4; ein Handwerk aus der folgenden Liste +5 (Malen/Zeichnen, Kartographie, Holzbearbeitung, Tätowieren, Steinmetz);</t>
  </si>
  <si>
    <t>Traditioneller thorwalscher Schiffbauer [UdW]</t>
  </si>
  <si>
    <t>Pflanzenkunde (Wald); Zimmermann (Schiffbau - Otta, Knorr und Snekkar)</t>
  </si>
  <si>
    <t>insgesamt +7 auf Seiler, Webkunst, Lederarbeiten und andere dem Schiffbau verwandte Talente verteilen</t>
  </si>
  <si>
    <t>Beinschnitzer [UdW]</t>
  </si>
  <si>
    <t>Holzbearbeitung (Beinschnitzerei)</t>
  </si>
  <si>
    <t>je nach Herkunft Gassenwissen +1 (Stadt) oder Orientierung +1 und Wettervorhersage +1 und Wildnisleben +1 (Dorf); Fahrzeug Lenken/Boote Fahren +1; Handel/Hauswirtschaft +2; Haupt-Handwerkstalent (Holzbearbeitung mit der Spezialisierung Beinschnitzerei) +7 (max. auf +8); zwei Hilfs- oder verwandte Talente (Wissens-Talente oder Handwerks-Talente: Malen/Zeichnen, Tierkunde, Dolche) je +4; vier Hilfs- oder verwandte Talente je +2;</t>
  </si>
  <si>
    <t>Runenschnitzer [UdW]</t>
  </si>
  <si>
    <t>Holzbearbeitung (Beinschnitzerei) oder Steinmetz (Baugestein/Relief/Statuen) oder Tätowieren (Abbildungen/Ornamente/Zaubertätowrng.)</t>
  </si>
  <si>
    <t>Der Runenschnitzer baut auf dem Beinschnitzer, Steinmetz oder Tätowierer auf - Talentauswahl entsprechend wählen;
je nach Herkunft Gassenwissen +1 (Stadt) oder Orientierung +1 und Wettervorhersage +1 und Wildnisleben +1 (Dorf); Fahrzeug Lenken/Boote Fahren +1; Handel/Hauswirtschaft +2; Haupt-Handwerkstalent (Holzbearbeitung mit der Spezialisierung Beinschnitzerei) +7 (max. auf +8); zwei Hilfs- oder verwandte Talente (Wissens-Talente oder Handwerks-Talente: Malen/Zeichnen, Tierkunde, Dolche) je +4; vier Hilfs- oder verwandte Talente je +2;</t>
  </si>
  <si>
    <t>Robbenjäger [UdW]</t>
  </si>
  <si>
    <t xml:space="preserve">Hiebwaffen/Säbel +1; Abrichten/Bogenbau +2; </t>
  </si>
  <si>
    <t>Gardist der Rekkerskola Enqui [UdW]</t>
  </si>
  <si>
    <t>Städtischer Bogenschütze (Streitende Königreiche - UdW]</t>
  </si>
  <si>
    <t>Verpflichtungen (Ingibjara-Ottajasko)</t>
  </si>
  <si>
    <t>Ortskenntnis (Enqui)</t>
  </si>
  <si>
    <t>Armbrust/Bogen +3; Fechtwaffen/Hiebwaffen/Säbel/Schwerter +2; Infanteriewaffen/Stäbe +3; Reiten/Schwimmen +2; zwei Talente aus der folgenden Liste +3: Bogenbau, Holzbearbeitung, Kochen, Lederarbeiten, Schneidern, Stellmacher;</t>
  </si>
  <si>
    <t>Für Rüstungsgewöhnung I Krötenhaut auswählen</t>
  </si>
  <si>
    <t>Knappe aus den Streitenden Königreichen [UdW]</t>
  </si>
  <si>
    <t>Hiebwaffen/Schwerter/Zweihandschwerter/-säbel/Kettenwaffen +7/+4; Armbrust/Bogen/Wurfspeere +1; Tanzen/Zechen +1; Pflanzenkunde/Tierkunde +2; Staatskunst/Tierkunde/Ackerbau/Hauswirtschaft +3; Hauswirtschaft/Holzbearbeitung/Musizieren +2;</t>
  </si>
  <si>
    <t>Krieger aus Thorwal - Fotskari (Infanteristen) [UdW]</t>
  </si>
  <si>
    <t>Krieger aus Thorwal - Riddari (Reiter) [UdW]</t>
  </si>
  <si>
    <t>Krieger aus Thorwal - Mangskari (Artilleristen) [UdW]</t>
  </si>
  <si>
    <t>Krieger aus Thorwal - Herverkmader (Sappeure) [UdW]</t>
  </si>
  <si>
    <t>Krieger aus Thorwal - Bogskari (Bogenschützen) [UdW]</t>
  </si>
  <si>
    <t>Krieger aus Thorwal - Sjahskari (Seekrieger) [UdW]</t>
  </si>
  <si>
    <t>Schnellladen</t>
  </si>
  <si>
    <t>Hiebwaffen/Säbel +5;</t>
  </si>
  <si>
    <t>Hiebwaffen/Säbel +5; Seiler/Zimmermann +2;</t>
  </si>
  <si>
    <t>Hiebwaffen/Säbel +5; Säbel/Schwerter +4;</t>
  </si>
  <si>
    <t>Sprache einer Küstenkultur +4;</t>
  </si>
  <si>
    <t>Hjalskari - Fotrekker (Infanterist) einer Ottajasko [UdW]</t>
  </si>
  <si>
    <t>Hjalskari - Fotrekker (Infanterist) einer Sippe [UdW]</t>
  </si>
  <si>
    <t>Hjalskari - Herverkmader (Sappeur) einer Ottajasko [UdW]</t>
  </si>
  <si>
    <t>Hjalskari - Herverkmader (Sappeur) einer Sippe [UdW]</t>
  </si>
  <si>
    <t>Hjalskari - Riddarer einer Ottajasko [UdW]</t>
  </si>
  <si>
    <t>Hjalskari - Riddarer einer Sippe [UdW]</t>
  </si>
  <si>
    <t>Hjalskari- Mangrekker (Artillerist) einer Ottajasko [UdW]</t>
  </si>
  <si>
    <t>Hjalskari - Mangrekker (Artillerist) einer Sippe [UdW]</t>
  </si>
  <si>
    <t>Hjalskari - Bogrekker (Bogenschütze) einer Ottajasko [UdW]</t>
  </si>
  <si>
    <t>Hjalskari - Bogrekker (Bogenschütze) einer Sippe [UdW]</t>
  </si>
  <si>
    <t>Hjalskari - Sjahskarer (Seekrieger) einer Ottajasko [UdW]</t>
  </si>
  <si>
    <t>Hjalskari - Sjahskarer (Seekrieger) einer Sippe [UdW]</t>
  </si>
  <si>
    <t xml:space="preserve">Säbel/Schwerter/Zweihandhiebwaffen +5; </t>
  </si>
  <si>
    <t>Säbel/Schwerter/Zweihandhiebwaffen +4;</t>
  </si>
  <si>
    <t>Säbel/Schwerter/Zweihandhiebwaffen +4; Seiler/Zimmermann +2;</t>
  </si>
  <si>
    <t>Thinskari - Kämpfer einer Ottajasko [UdW]</t>
  </si>
  <si>
    <t>Thinskari - Kämpfer einer Sippe [UdW]</t>
  </si>
  <si>
    <t>Thinskari - Kämpfer/Seefahrer einer Ottajasko [UdW]</t>
  </si>
  <si>
    <t>Thinskari - Kämpfer/Seefahrer einer Sippe [UdW]</t>
  </si>
  <si>
    <t>Thinskari - Kämpfer/Robbenjäger einer Ottajasko [UdW]</t>
  </si>
  <si>
    <t>Thinskari - Kämpfer/Robbenjäger einer Sippe [UdW]</t>
  </si>
  <si>
    <t>Premer Seesöldner [UdW]</t>
  </si>
  <si>
    <t>Säbel/Schwerter +5;</t>
  </si>
  <si>
    <t>Bei Rüstungsgewöhnung I Krötenhaut auswählen</t>
  </si>
  <si>
    <t>Halle des Windes zu Olport - Runenzauberer [UdW]</t>
  </si>
  <si>
    <t>Ritualkenntnis Runenzauberei +3; Runenkenntnis: Es können zwei Runen der Verbreitung Run5 und 6 ausgesucht werden;</t>
  </si>
  <si>
    <t>Godi (thorwalscher Seher) [UdW]</t>
  </si>
  <si>
    <t>Heilari (thorwalscher Heiler) [UdW]</t>
  </si>
  <si>
    <t>Runenzauberer/Beinschnitzer [UdW]</t>
  </si>
  <si>
    <t>Runenzauberer/Runenschnitzer [UdW]</t>
  </si>
  <si>
    <t>Runenzauberer/traditioneller thorwalscher Schiffsbauer [UdW]</t>
  </si>
  <si>
    <t>Runenzauberer/Steinmetz [UdW]</t>
  </si>
  <si>
    <t>Runenzauberer/Tätowierer [UdW]</t>
  </si>
  <si>
    <t>Thorwalscher Bordzauberer (Viertelzauberer) [UdW]</t>
  </si>
  <si>
    <t>Thorwalscher Bordzauberer (Halbzauberer) [UdW]</t>
  </si>
  <si>
    <t>Artefaktgebunden (Fokus)</t>
  </si>
  <si>
    <t>Verpflichtungen (Runajasko)</t>
  </si>
  <si>
    <t>Runenbindung [UdW]</t>
  </si>
  <si>
    <t>Traumseher [UdW]</t>
  </si>
  <si>
    <t>Runen der Weissagung [UdW]</t>
  </si>
  <si>
    <t>ENTWEDER Übernatürliche Begabungen unter Hauszauber: Balsam Salabunde, Pestilenz erspüren, Tiere besprechen und zwei weitere aus der Liste: Ängste Lindern, Blick aufs Wesen, Blick in die Gedanken, Klarum Purum, Ruhe Körper, Sanftmut, Zaubernahrung ODER Meisterhandwerke unter Vorteile: Heilkunde Wunden, Heilkunde Krankheiten, Pflanzenkunde und zwei weitere Talente aus der Liste: Wildnisleben, Anatomie, Alchimie, Heilkunde Gift, Heilkunde Seele, Kochen AUSWÄHLEN</t>
  </si>
  <si>
    <t>Unter Eigene Talente eintragen: "Deuten der Zeichen", (KL/IN/FF), SKT "B", Wert 6;</t>
  </si>
  <si>
    <t>Armbrust/Bogen/Diskus/kulturtypische Wurfwaffe +2; je nach Herkunft Infanteriewaffen/Speere/Zweihandflegel/Zweihand-Hiebwaffen +2; je nach Herkunft Etikette +1 und Gassenwissen +1 (Stadt) oder Orientierung +1 und Wettervorhersage +1 und Wildnisleben +1 (Dorf); Fahrzeug Lenken/Boote Fahren +1; Handel/Hauswirtschaft +2; Haupt-Handwerkstalent +7 (max. auf +8); zwei Hilfs- oder verwandte Talente (Wissens-Talente oder Handwerks-Talente) je +4; vier Hilfs- oder verwandte Talente je +2;
Handwerker aus Thorwal [UdW]: Dolche +2, Hiebwaffen +2, Raufen +2, ersetze Armbrust oder Bogen oder kulturtypische Wurfwaffe +2 durch Wurfbeile +3, Infanteriewaffen (bzw. Speere, Zweihandflegel oder Zweihand-Hiebwaffen) und Ringen entfallen, ersetze Tanzen +1 durch Ski fahren +2, Etikette entfällt;</t>
  </si>
  <si>
    <t>Alchimie / Malen/Zeichnen / Kartographie / Holzbearbeitung / Zimmermann / Tätowieren +5;</t>
  </si>
  <si>
    <t>Mögliche magische Sonderfertigkeiten: Aura verhüllen, Blutmagie (zu den normalen Kosten), Gedankenschutz, Matrixregeneration I, Ottagaldr (nur bei Ausbildung in der Runajasko), Runenkunde, Verbotene Pforten;</t>
  </si>
  <si>
    <t>Übernatürliche Begabungen: Aeolitus, Nebelwand, Windstille und zwei weitere aus der Liste: Adlerauge, Attributo, Bärenruhe, Balsam, Blitz dich find, Flim Flam, Pfeil der Luft, Silentium, Unitatio, Wasseratem, Wellenlauf, Windhose;</t>
  </si>
  <si>
    <t>siehe Hinweis unter Vorteile;</t>
  </si>
  <si>
    <t>Drei Zauber aus der Liste mit jeweils +3: Adlerauge, Armatrutz, Attributo, Axxeleratus, Balsam, Blitz dich find, Flim Flam, Leib des Windes (Elf), Odem, Orcanofaxius, Pfeil der Luft, Veränderung aufheben, Windhose;</t>
  </si>
  <si>
    <t>Ängste Lindern, Balsam Salabunde, Blick aufs Wesen, Blick in die Gedanken, Klarum Purum, Pestilenz erspüren, Ruhe Körper, Sanftmut, Tiere besprechen, Zaubernahrung Hungerbann;</t>
  </si>
  <si>
    <t>Aeolitus, Adlerauge, Attributo, Bärenruhe, Balsam, Blitz dich find, Flim Flam, Nebelwand, Pfeil der Luft, Silentium, Unitatio, Wasseratem, Wellenlauf, Windhose, Windstille;</t>
  </si>
  <si>
    <t>Es können zwei Runen der Verbreitung Run5 und 6 ausgesucht werden.</t>
  </si>
  <si>
    <t>Firun-Geweihter: Thorwal [UdW]</t>
  </si>
  <si>
    <t>Abrichten/Gerber-Kürschner +3; Bogenbau/Holzbearbeitung +1; Kochen/Schneidern +1; Klettern/Schwimmen +2; Skifahren +1/Fahrzeuge lenken +3; Talentspezialisierung Fahrzeug lenken (Hunde- und Dachsschlitten);</t>
  </si>
  <si>
    <t xml:space="preserve">2 verschiedene Geländekunden; </t>
  </si>
  <si>
    <t>Voraussetzung: Kultur Thorwal;</t>
  </si>
  <si>
    <t>Ifirn-Geweihte: Thorwal [UdW]</t>
  </si>
  <si>
    <t>Dolche/Speere +4/+3; Klettern/Schwimmen +2; Bogenbau/Holzbearbeitung +5/+3; Kochen/Schneidern +3/+2; zwei Talente aus der Liste +2, eines +1: Abrichten, Ackerbau, Boote fahren, Feuersteinbearbeitung, Gerber/Kürschner, Heilkunde Seele, Fahrzeug lenken, Viehzucht;</t>
  </si>
  <si>
    <t>Rahja-Geweihte aus den Streitenden Königreichen [UdW]</t>
  </si>
  <si>
    <t>Teschkaler Rahjani [UdW]</t>
  </si>
  <si>
    <t>Hiebwaffen/Stäbe +2; Reiten/Singen/Tanzen +6/+5/+3;  Abrichten/Hauswirtschaft/Malen_Zeichnen/Schneidern/Tätowieren/Viehzucht/Winzer +5/+3;</t>
  </si>
  <si>
    <t>Traumdeutung</t>
  </si>
  <si>
    <t>Tätowieren (Abbildungen/Ornamente/Zaubertätowierung)</t>
  </si>
  <si>
    <t>Holzbearbeitung (Beinschnitzerei) oder Steinmetz (Baugestein/Relief/Statuen) oder Tätowieren (Abbildungen/Ornamente/Zaubertätowierung)</t>
  </si>
  <si>
    <t>Seher / Godi (Thorwaler</t>
  </si>
  <si>
    <t>Seh</t>
  </si>
  <si>
    <t>Seher - Godi</t>
  </si>
  <si>
    <t>RIT_SEHER</t>
  </si>
  <si>
    <t>------- Seher [UdW] -------</t>
  </si>
  <si>
    <t>Rat der Ahnen [UdW]</t>
  </si>
  <si>
    <t>Ruf der Runjas [UdW]</t>
  </si>
  <si>
    <t>nach Willen Runja</t>
  </si>
  <si>
    <t>14</t>
  </si>
  <si>
    <r>
      <t xml:space="preserve">DSA4.1 Excel Heldenblatt </t>
    </r>
    <r>
      <rPr>
        <b/>
        <sz val="11"/>
        <rFont val="Arial"/>
        <family val="2"/>
      </rPr>
      <t xml:space="preserve"> © 2003-2014</t>
    </r>
    <r>
      <rPr>
        <sz val="11"/>
        <rFont val="Arial"/>
        <family val="2"/>
      </rPr>
      <t xml:space="preserve"> Patrik Rüegge, Yantur (</t>
    </r>
    <r>
      <rPr>
        <sz val="11"/>
        <color indexed="12"/>
        <rFont val="Arial"/>
        <family val="2"/>
      </rPr>
      <t>yantur@heldenblatt.ch</t>
    </r>
    <r>
      <rPr>
        <sz val="11"/>
        <rFont val="Arial"/>
        <family val="2"/>
      </rPr>
      <t>)</t>
    </r>
  </si>
  <si>
    <t>Krieger aus Birkholt</t>
  </si>
  <si>
    <t>Krieger aus Methumis</t>
  </si>
  <si>
    <t xml:space="preserve">Schildkampf I/Parierwaffen I; </t>
  </si>
  <si>
    <t>Krieger aus Festumer Kavalliersschule</t>
  </si>
  <si>
    <t>Abrichten (Zureiter);</t>
  </si>
  <si>
    <t>Kriegskunst (Seegefechte);</t>
  </si>
  <si>
    <t>Staatskunst (Diplomatie);</t>
  </si>
  <si>
    <t>Krieger allgemein</t>
  </si>
  <si>
    <t>Schwerter/Hiebwaffen +7/+5; Anderthalbhänder/Zweihandschwerter/Säbel/Lanzenreiten +2/+1;Hauswirtschaft/Holzbearbeitung +2/+1; Tierkunde/Pflanzenkunde/Wettervorhersage/Lederarbeiten/Kochen/Heilkunde Wunden +3/+2/+1/+1;</t>
  </si>
  <si>
    <t>Schwerter/Säbel/Hiebwaffen +6/+4;</t>
  </si>
  <si>
    <t>Anderthalbhänder/Zweihandschwerter/Schwerter/Säbel/Fechtwaffen/Infanteriewaffen +6/+4/+3/+3; Rechnen/Sternkunde/Heilkunde Wunden/-Seele/-Gift/-Krankheiten/Staatskunst/Rechtskunde/Seefahrt/Anatomie/Muiszieren/Singen/Malen/Zeichnen/Tierkunde/Pflanzenkunde/Alchimie/Hauswirtschaft/Handel/Philosophie/Mechanik/Sprachenkunde/Magiekunde +12 verteilt auf 4-8Talente max +4;</t>
  </si>
  <si>
    <t>Krieger aus Neethan</t>
  </si>
  <si>
    <t>Besonderer Besitz I (Pferd)</t>
  </si>
  <si>
    <t>Mohisch/Tulamidya +3;</t>
  </si>
  <si>
    <t>Säbel/Hiebwaffen +6/+3; Lanzenreiten/Zweihandschwerter +3;</t>
  </si>
  <si>
    <t>Norbardensippe in Thorwal [UdW]</t>
  </si>
  <si>
    <t>Fremdsprache zweimal zusätzlich (Garethi/Nujuka ('Nivesisch')/Ologhaijan) +4</t>
  </si>
  <si>
    <t>Kulturkunde (Bornland); Kulturkunde (Nivesen); Waldkundig/Gebirgskundig;</t>
  </si>
  <si>
    <t>Verknüpfung Sprachen für Meisterbrief:</t>
  </si>
  <si>
    <t>P,Z,G</t>
  </si>
  <si>
    <t>Der über das Schlachtfeld schreitet</t>
  </si>
  <si>
    <t>LkP* x 10 KR</t>
  </si>
  <si>
    <t>LL</t>
  </si>
  <si>
    <t>S. LL</t>
  </si>
  <si>
    <t>Die goldene Hand</t>
  </si>
  <si>
    <t>Namenloses Vergessen</t>
  </si>
  <si>
    <t>Rahjalinas Farbenspiel</t>
  </si>
  <si>
    <t>Wegzehrung der Heiligen Selma</t>
  </si>
  <si>
    <t>Birkenzweig</t>
  </si>
  <si>
    <t>Golgaris Zwielicht</t>
  </si>
  <si>
    <t>Herbeirufung der Diener des Herrn</t>
  </si>
  <si>
    <t>Namenlose Kälte</t>
  </si>
  <si>
    <t>Namenlose Raserei</t>
  </si>
  <si>
    <t>sicht</t>
  </si>
  <si>
    <t>Pech und Schwefel</t>
  </si>
  <si>
    <t>Phexens Verteidigung</t>
  </si>
  <si>
    <t>Ruf der Ferne</t>
  </si>
  <si>
    <t>Runjensweisung</t>
  </si>
  <si>
    <t>Schnell wie eine Eidechse</t>
  </si>
  <si>
    <t>Sechs Leben des Mungos</t>
  </si>
  <si>
    <t>Seelengefährte</t>
  </si>
  <si>
    <t>Teilung der Wasser</t>
  </si>
  <si>
    <t>Wachsamkeit der Gänse</t>
  </si>
  <si>
    <t xml:space="preserve">Gott der Götter </t>
  </si>
  <si>
    <t>Blutschwur</t>
  </si>
  <si>
    <t>Bund von Feuer und Erz</t>
  </si>
  <si>
    <t>Conagas Ruf</t>
  </si>
  <si>
    <t>Des Einen bezaubernder Sphärenklang</t>
  </si>
  <si>
    <t>Erzieherische Massnahme der Heiligen Yalsicena</t>
  </si>
  <si>
    <t>LkP* Std</t>
  </si>
  <si>
    <t>Firuns Zorn</t>
  </si>
  <si>
    <t>Herbeirufung der Heerscharen des Rattenkindes</t>
  </si>
  <si>
    <t>Lindaris Herz</t>
  </si>
  <si>
    <t>Marbos Gnade</t>
  </si>
  <si>
    <t>Mikailspfeil</t>
  </si>
  <si>
    <t>Rahjabund</t>
  </si>
  <si>
    <t>Revolution der Gedanken</t>
  </si>
  <si>
    <t>Waffenfluch</t>
  </si>
  <si>
    <t>Canyzeths Weisheit</t>
  </si>
  <si>
    <t>Eisherz</t>
  </si>
  <si>
    <t>Göttliche Strafe</t>
  </si>
  <si>
    <t>Lidaris Herz</t>
  </si>
  <si>
    <t>Namenloser Zweifel, Namenlose Erleuchtung</t>
  </si>
  <si>
    <t>Schleichende Fäulnis</t>
  </si>
  <si>
    <t>Schwindende Zauberkraft</t>
  </si>
  <si>
    <t>Seelenrudel</t>
  </si>
  <si>
    <t>Seelenschatten</t>
  </si>
  <si>
    <t>Wundersames Teilen des Martyriums</t>
  </si>
  <si>
    <t>Seelenbannung</t>
  </si>
  <si>
    <t xml:space="preserve">IV </t>
  </si>
  <si>
    <t>Auge Xeledons, Xeledons Helles Licht</t>
  </si>
  <si>
    <t>Ewige Jugend</t>
  </si>
  <si>
    <t>Fluch wider die Ungläubigen</t>
  </si>
  <si>
    <t>Kräftigung der Schwachen und Versehrten</t>
  </si>
  <si>
    <t>Ritus der Schlachthilfe</t>
  </si>
  <si>
    <t>Ruf Zum Bund wider die Mächte der Finsternis</t>
  </si>
  <si>
    <t>Gebet des kristallklaren Blicks</t>
  </si>
  <si>
    <t>History Versionen: V1.60-V2.X DSA4.0 gemäss Boxen und Erratas
Ab V3.00 Umstellung auf die WdX-Bände nach DSA4.1</t>
  </si>
  <si>
    <t>Exorzismus-Zeremonie</t>
  </si>
  <si>
    <t>Ohne Limitationen</t>
  </si>
  <si>
    <r>
      <t>Version 3.70</t>
    </r>
    <r>
      <rPr>
        <sz val="10"/>
        <rFont val="Arial"/>
        <family val="2"/>
      </rPr>
      <t xml:space="preserve">
Aktuelle Version und Anleitung unter </t>
    </r>
    <r>
      <rPr>
        <sz val="10"/>
        <color indexed="12"/>
        <rFont val="Arial"/>
        <family val="2"/>
      </rPr>
      <t>http://www.heldenblatt.ch/</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</si>
</sst>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quot;Gesamt:   &quot;0"/>
    <numFmt numFmtId="165" formatCode="&quot;Guthaben: &quot;0"/>
    <numFmt numFmtId="166" formatCode="&quot;Stufe: &quot;0"/>
    <numFmt numFmtId="167" formatCode="0\+"/>
    <numFmt numFmtId="168" formatCode="&quot;Start: &quot;0"/>
    <numFmt numFmtId="169" formatCode="\+\ 0"/>
    <numFmt numFmtId="170" formatCode="&quot;Eingesetzte AP: &quot;0"/>
    <numFmt numFmtId="171" formatCode="&quot;BE:  &quot;0"/>
    <numFmt numFmtId="172" formatCode="d/m/yy;@"/>
  </numFmts>
  <fonts count="124" x14ac:knownFonts="1">
    <font>
      <sz val="10"/>
      <name val="Arial"/>
    </font>
    <font>
      <sz val="10"/>
      <name val="Arial"/>
      <family val="2"/>
    </font>
    <font>
      <sz val="10"/>
      <name val="Georgia"/>
      <family val="1"/>
    </font>
    <font>
      <sz val="8"/>
      <name val="Arial"/>
      <family val="2"/>
    </font>
    <font>
      <sz val="10"/>
      <name val="Arial"/>
      <family val="2"/>
    </font>
    <font>
      <u/>
      <sz val="10"/>
      <color indexed="12"/>
      <name val="Arial"/>
      <family val="2"/>
    </font>
    <font>
      <sz val="11"/>
      <name val="Mason"/>
    </font>
    <font>
      <sz val="10"/>
      <name val="Mason"/>
    </font>
    <font>
      <b/>
      <sz val="10"/>
      <name val="Mason"/>
    </font>
    <font>
      <b/>
      <sz val="9"/>
      <name val="Mason"/>
    </font>
    <font>
      <b/>
      <sz val="12"/>
      <name val="Mason"/>
    </font>
    <font>
      <b/>
      <sz val="13"/>
      <name val="Mason"/>
    </font>
    <font>
      <sz val="10"/>
      <name val="Times New Roman"/>
      <family val="1"/>
    </font>
    <font>
      <sz val="9"/>
      <name val="Times New Roman"/>
      <family val="1"/>
    </font>
    <font>
      <b/>
      <sz val="10"/>
      <name val="Times New Roman"/>
      <family val="1"/>
    </font>
    <font>
      <b/>
      <sz val="9"/>
      <name val="Times New Roman"/>
      <family val="1"/>
    </font>
    <font>
      <b/>
      <sz val="19"/>
      <name val="Mason"/>
    </font>
    <font>
      <sz val="6"/>
      <name val="Times New Roman"/>
      <family val="1"/>
    </font>
    <font>
      <b/>
      <sz val="15"/>
      <name val="Mason"/>
    </font>
    <font>
      <sz val="10"/>
      <name val="Arial"/>
      <family val="2"/>
    </font>
    <font>
      <sz val="11"/>
      <name val="Arial"/>
      <family val="2"/>
    </font>
    <font>
      <b/>
      <sz val="11"/>
      <name val="Mason"/>
    </font>
    <font>
      <b/>
      <sz val="12"/>
      <name val="Arial"/>
      <family val="2"/>
    </font>
    <font>
      <i/>
      <sz val="10"/>
      <name val="Arial"/>
      <family val="2"/>
    </font>
    <font>
      <b/>
      <i/>
      <sz val="10"/>
      <name val="Arial"/>
      <family val="2"/>
    </font>
    <font>
      <b/>
      <sz val="9"/>
      <name val="Arial"/>
      <family val="2"/>
    </font>
    <font>
      <b/>
      <sz val="28"/>
      <name val="Arial"/>
      <family val="2"/>
    </font>
    <font>
      <b/>
      <i/>
      <sz val="10"/>
      <name val="Arial"/>
      <family val="2"/>
    </font>
    <font>
      <u/>
      <sz val="10"/>
      <name val="Arial"/>
      <family val="2"/>
    </font>
    <font>
      <b/>
      <sz val="10"/>
      <name val="Arial"/>
      <family val="2"/>
    </font>
    <font>
      <sz val="10"/>
      <color indexed="57"/>
      <name val="Arial"/>
      <family val="2"/>
    </font>
    <font>
      <b/>
      <sz val="10"/>
      <color indexed="9"/>
      <name val="Arial"/>
      <family val="2"/>
    </font>
    <font>
      <sz val="10"/>
      <color indexed="22"/>
      <name val="Arial"/>
      <family val="2"/>
    </font>
    <font>
      <sz val="10"/>
      <color indexed="10"/>
      <name val="Arial"/>
      <family val="2"/>
    </font>
    <font>
      <b/>
      <sz val="10"/>
      <color indexed="10"/>
      <name val="Arial"/>
      <family val="2"/>
    </font>
    <font>
      <sz val="10"/>
      <color indexed="9"/>
      <name val="Arial"/>
      <family val="2"/>
    </font>
    <font>
      <i/>
      <sz val="10"/>
      <color indexed="48"/>
      <name val="Arial"/>
      <family val="2"/>
    </font>
    <font>
      <i/>
      <sz val="8"/>
      <color indexed="10"/>
      <name val="Arial"/>
      <family val="2"/>
    </font>
    <font>
      <b/>
      <sz val="12"/>
      <name val="Arial"/>
      <family val="2"/>
    </font>
    <font>
      <sz val="12"/>
      <name val="Arial"/>
      <family val="2"/>
    </font>
    <font>
      <sz val="6"/>
      <color indexed="23"/>
      <name val="Arial"/>
      <family val="2"/>
    </font>
    <font>
      <b/>
      <sz val="12"/>
      <color indexed="9"/>
      <name val="Arial"/>
      <family val="2"/>
    </font>
    <font>
      <sz val="10"/>
      <color indexed="23"/>
      <name val="Arial"/>
      <family val="2"/>
    </font>
    <font>
      <sz val="10"/>
      <color indexed="23"/>
      <name val="Arial"/>
      <family val="2"/>
    </font>
    <font>
      <b/>
      <sz val="10"/>
      <color indexed="10"/>
      <name val="Arial"/>
      <family val="2"/>
    </font>
    <font>
      <b/>
      <sz val="11"/>
      <name val="Arial"/>
      <family val="2"/>
    </font>
    <font>
      <b/>
      <sz val="10"/>
      <name val="Arial"/>
      <family val="2"/>
    </font>
    <font>
      <sz val="10"/>
      <name val="Arial"/>
      <family val="2"/>
    </font>
    <font>
      <b/>
      <sz val="7"/>
      <name val="Times New Roman"/>
      <family val="1"/>
    </font>
    <font>
      <sz val="7"/>
      <name val="Times New Roman"/>
      <family val="1"/>
    </font>
    <font>
      <sz val="11"/>
      <name val="Arial"/>
      <family val="2"/>
    </font>
    <font>
      <b/>
      <sz val="14"/>
      <name val="Arial"/>
      <family val="2"/>
    </font>
    <font>
      <i/>
      <sz val="10"/>
      <color indexed="23"/>
      <name val="Arial"/>
      <family val="2"/>
    </font>
    <font>
      <i/>
      <sz val="10"/>
      <color indexed="23"/>
      <name val="Arial"/>
      <family val="2"/>
    </font>
    <font>
      <sz val="9"/>
      <name val="Arial"/>
      <family val="2"/>
    </font>
    <font>
      <sz val="9"/>
      <name val="Arial"/>
      <family val="2"/>
    </font>
    <font>
      <sz val="9"/>
      <color indexed="10"/>
      <name val="Arial"/>
      <family val="2"/>
    </font>
    <font>
      <sz val="10"/>
      <color indexed="10"/>
      <name val="Arial"/>
      <family val="2"/>
    </font>
    <font>
      <b/>
      <sz val="6"/>
      <name val="Times New Roman"/>
      <family val="1"/>
    </font>
    <font>
      <b/>
      <sz val="8"/>
      <name val="Arial"/>
      <family val="2"/>
    </font>
    <font>
      <sz val="10"/>
      <color indexed="47"/>
      <name val="Arial"/>
      <family val="2"/>
    </font>
    <font>
      <sz val="8"/>
      <name val="Arial"/>
      <family val="2"/>
    </font>
    <font>
      <b/>
      <i/>
      <sz val="11"/>
      <name val="Arial"/>
      <family val="2"/>
    </font>
    <font>
      <i/>
      <sz val="9"/>
      <name val="Arial"/>
      <family val="2"/>
    </font>
    <font>
      <sz val="10"/>
      <color indexed="23"/>
      <name val="Times New Roman"/>
      <family val="1"/>
    </font>
    <font>
      <sz val="7"/>
      <color indexed="23"/>
      <name val="Arial"/>
      <family val="2"/>
    </font>
    <font>
      <sz val="7"/>
      <color indexed="23"/>
      <name val="Arial"/>
      <family val="2"/>
    </font>
    <font>
      <b/>
      <sz val="10"/>
      <color indexed="10"/>
      <name val="Times New Roman"/>
      <family val="1"/>
    </font>
    <font>
      <sz val="10"/>
      <color indexed="55"/>
      <name val="Arial"/>
      <family val="2"/>
    </font>
    <font>
      <b/>
      <sz val="16"/>
      <name val="Arial"/>
      <family val="2"/>
    </font>
    <font>
      <sz val="10"/>
      <name val="Arial"/>
      <family val="2"/>
    </font>
    <font>
      <sz val="5"/>
      <name val="Arial"/>
      <family val="2"/>
    </font>
    <font>
      <sz val="9"/>
      <name val="Mason"/>
    </font>
    <font>
      <sz val="8"/>
      <color indexed="81"/>
      <name val="Tahoma"/>
      <family val="2"/>
    </font>
    <font>
      <b/>
      <sz val="8"/>
      <color indexed="81"/>
      <name val="Tahoma"/>
      <family val="2"/>
    </font>
    <font>
      <sz val="10"/>
      <color indexed="12"/>
      <name val="Arial"/>
      <family val="2"/>
    </font>
    <font>
      <sz val="10"/>
      <color indexed="55"/>
      <name val="Arial"/>
      <family val="2"/>
    </font>
    <font>
      <b/>
      <sz val="18"/>
      <name val="Arial"/>
      <family val="2"/>
    </font>
    <font>
      <sz val="12"/>
      <name val="Arial"/>
      <family val="2"/>
    </font>
    <font>
      <sz val="6"/>
      <name val="Arial"/>
      <family val="2"/>
    </font>
    <font>
      <sz val="9"/>
      <color indexed="12"/>
      <name val="Arial"/>
      <family val="2"/>
    </font>
    <font>
      <sz val="8"/>
      <color indexed="10"/>
      <name val="Arial"/>
      <family val="2"/>
    </font>
    <font>
      <b/>
      <sz val="13"/>
      <name val="Arial"/>
      <family val="2"/>
    </font>
    <font>
      <sz val="13"/>
      <name val="Arial"/>
      <family val="2"/>
    </font>
    <font>
      <sz val="10"/>
      <color indexed="22"/>
      <name val="Arial"/>
      <family val="2"/>
    </font>
    <font>
      <i/>
      <sz val="10"/>
      <color indexed="55"/>
      <name val="Arial"/>
      <family val="2"/>
    </font>
    <font>
      <i/>
      <sz val="10"/>
      <color indexed="55"/>
      <name val="Arial"/>
      <family val="2"/>
    </font>
    <font>
      <sz val="10"/>
      <color indexed="55"/>
      <name val="Times New Roman"/>
      <family val="1"/>
    </font>
    <font>
      <b/>
      <sz val="10"/>
      <color indexed="55"/>
      <name val="Arial"/>
      <family val="2"/>
    </font>
    <font>
      <b/>
      <sz val="8"/>
      <color indexed="81"/>
      <name val="Arial"/>
      <family val="2"/>
    </font>
    <font>
      <sz val="8"/>
      <color indexed="81"/>
      <name val="Arial"/>
      <family val="2"/>
    </font>
    <font>
      <sz val="7"/>
      <color indexed="10"/>
      <name val="Arial"/>
      <family val="2"/>
    </font>
    <font>
      <sz val="7"/>
      <name val="Arial"/>
      <family val="2"/>
    </font>
    <font>
      <sz val="15"/>
      <name val="Arial"/>
      <family val="2"/>
    </font>
    <font>
      <u/>
      <sz val="9"/>
      <color indexed="12"/>
      <name val="Arial"/>
      <family val="2"/>
    </font>
    <font>
      <sz val="11"/>
      <color indexed="12"/>
      <name val="Arial"/>
      <family val="2"/>
    </font>
    <font>
      <b/>
      <sz val="12"/>
      <color indexed="8"/>
      <name val="Arial"/>
      <family val="2"/>
    </font>
    <font>
      <b/>
      <sz val="10"/>
      <color indexed="63"/>
      <name val="Arial"/>
      <family val="2"/>
    </font>
    <font>
      <b/>
      <sz val="12"/>
      <color indexed="81"/>
      <name val="Tahoma"/>
      <family val="2"/>
    </font>
    <font>
      <sz val="8"/>
      <color indexed="55"/>
      <name val="Arial"/>
      <family val="2"/>
    </font>
    <font>
      <sz val="9"/>
      <color indexed="55"/>
      <name val="Arial"/>
      <family val="2"/>
    </font>
    <font>
      <sz val="7"/>
      <color indexed="55"/>
      <name val="Arial"/>
      <family val="2"/>
    </font>
    <font>
      <b/>
      <sz val="10"/>
      <color indexed="23"/>
      <name val="Arial"/>
      <family val="2"/>
    </font>
    <font>
      <i/>
      <sz val="9"/>
      <color indexed="12"/>
      <name val="Arial"/>
      <family val="2"/>
    </font>
    <font>
      <sz val="8"/>
      <color indexed="9"/>
      <name val="Arial"/>
      <family val="2"/>
    </font>
    <font>
      <b/>
      <sz val="7"/>
      <name val="Arial"/>
      <family val="2"/>
    </font>
    <font>
      <sz val="10"/>
      <color indexed="10"/>
      <name val="Arial"/>
      <family val="2"/>
    </font>
    <font>
      <vertAlign val="subscript"/>
      <sz val="10"/>
      <name val="Mason"/>
    </font>
    <font>
      <b/>
      <sz val="9"/>
      <color indexed="81"/>
      <name val="Tahoma"/>
      <family val="2"/>
    </font>
    <font>
      <b/>
      <vertAlign val="subscript"/>
      <sz val="10"/>
      <name val="Arial"/>
      <family val="2"/>
    </font>
    <font>
      <sz val="9"/>
      <color indexed="81"/>
      <name val="Tahoma"/>
      <family val="2"/>
    </font>
    <font>
      <sz val="20"/>
      <name val="Arial"/>
      <family val="2"/>
    </font>
    <font>
      <sz val="10"/>
      <color theme="1"/>
      <name val="Arial"/>
      <family val="2"/>
    </font>
    <font>
      <sz val="10"/>
      <color theme="0"/>
      <name val="Arial"/>
      <family val="2"/>
    </font>
    <font>
      <b/>
      <sz val="10"/>
      <color rgb="FF808080"/>
      <name val="Arial"/>
      <family val="2"/>
    </font>
    <font>
      <sz val="10"/>
      <color rgb="FF808080"/>
      <name val="Arial"/>
      <family val="2"/>
    </font>
    <font>
      <sz val="10"/>
      <color theme="0"/>
      <name val="Mason"/>
    </font>
    <font>
      <b/>
      <i/>
      <sz val="9"/>
      <color rgb="FFFF0000"/>
      <name val="Arial"/>
      <family val="2"/>
    </font>
    <font>
      <b/>
      <sz val="10"/>
      <color rgb="FFFF0000"/>
      <name val="Arial"/>
      <family val="2"/>
    </font>
    <font>
      <sz val="20"/>
      <color theme="1"/>
      <name val="Arial"/>
      <family val="2"/>
    </font>
    <font>
      <sz val="8"/>
      <color rgb="FF000000"/>
      <name val="Tahoma"/>
      <family val="2"/>
    </font>
    <font>
      <sz val="9"/>
      <color indexed="81"/>
      <name val="Segoe UI"/>
      <family val="2"/>
    </font>
    <font>
      <b/>
      <sz val="9"/>
      <color indexed="81"/>
      <name val="Segoe UI"/>
      <family val="2"/>
    </font>
    <font>
      <sz val="8"/>
      <color rgb="FF000000"/>
      <name val="Segoe UI"/>
      <family val="2"/>
    </font>
  </fonts>
  <fills count="50">
    <fill>
      <patternFill patternType="none"/>
    </fill>
    <fill>
      <patternFill patternType="gray125"/>
    </fill>
    <fill>
      <patternFill patternType="solid">
        <fgColor indexed="22"/>
        <bgColor indexed="64"/>
      </patternFill>
    </fill>
    <fill>
      <patternFill patternType="solid">
        <fgColor indexed="40"/>
        <bgColor indexed="64"/>
      </patternFill>
    </fill>
    <fill>
      <patternFill patternType="solid">
        <fgColor indexed="48"/>
        <bgColor indexed="64"/>
      </patternFill>
    </fill>
    <fill>
      <patternFill patternType="solid">
        <fgColor indexed="22"/>
        <bgColor indexed="9"/>
      </patternFill>
    </fill>
    <fill>
      <patternFill patternType="solid">
        <fgColor indexed="50"/>
        <bgColor indexed="64"/>
      </patternFill>
    </fill>
    <fill>
      <patternFill patternType="solid">
        <fgColor indexed="47"/>
        <bgColor indexed="64"/>
      </patternFill>
    </fill>
    <fill>
      <patternFill patternType="solid">
        <fgColor indexed="43"/>
        <bgColor indexed="64"/>
      </patternFill>
    </fill>
    <fill>
      <patternFill patternType="solid">
        <fgColor indexed="51"/>
        <bgColor indexed="64"/>
      </patternFill>
    </fill>
    <fill>
      <patternFill patternType="solid">
        <fgColor indexed="52"/>
        <bgColor indexed="64"/>
      </patternFill>
    </fill>
    <fill>
      <patternFill patternType="solid">
        <fgColor indexed="55"/>
        <bgColor indexed="64"/>
      </patternFill>
    </fill>
    <fill>
      <patternFill patternType="solid">
        <fgColor indexed="46"/>
        <bgColor indexed="64"/>
      </patternFill>
    </fill>
    <fill>
      <patternFill patternType="solid">
        <fgColor indexed="65"/>
        <bgColor indexed="64"/>
      </patternFill>
    </fill>
    <fill>
      <patternFill patternType="solid">
        <fgColor indexed="44"/>
        <bgColor indexed="64"/>
      </patternFill>
    </fill>
    <fill>
      <patternFill patternType="solid">
        <fgColor indexed="41"/>
        <bgColor indexed="64"/>
      </patternFill>
    </fill>
    <fill>
      <patternFill patternType="solid">
        <fgColor indexed="43"/>
        <bgColor indexed="9"/>
      </patternFill>
    </fill>
    <fill>
      <patternFill patternType="solid">
        <fgColor indexed="13"/>
        <bgColor indexed="64"/>
      </patternFill>
    </fill>
    <fill>
      <patternFill patternType="solid">
        <fgColor indexed="46"/>
        <bgColor indexed="9"/>
      </patternFill>
    </fill>
    <fill>
      <patternFill patternType="solid">
        <fgColor indexed="44"/>
        <bgColor indexed="9"/>
      </patternFill>
    </fill>
    <fill>
      <patternFill patternType="solid">
        <fgColor indexed="41"/>
        <bgColor indexed="9"/>
      </patternFill>
    </fill>
    <fill>
      <patternFill patternType="solid">
        <fgColor indexed="50"/>
        <bgColor indexed="9"/>
      </patternFill>
    </fill>
    <fill>
      <patternFill patternType="solid">
        <fgColor indexed="42"/>
        <bgColor indexed="64"/>
      </patternFill>
    </fill>
    <fill>
      <patternFill patternType="solid">
        <fgColor indexed="53"/>
        <bgColor indexed="64"/>
      </patternFill>
    </fill>
    <fill>
      <patternFill patternType="solid">
        <fgColor indexed="9"/>
        <bgColor indexed="64"/>
      </patternFill>
    </fill>
    <fill>
      <patternFill patternType="solid">
        <fgColor indexed="45"/>
        <bgColor indexed="64"/>
      </patternFill>
    </fill>
    <fill>
      <patternFill patternType="solid">
        <fgColor indexed="63"/>
        <bgColor indexed="64"/>
      </patternFill>
    </fill>
    <fill>
      <patternFill patternType="solid">
        <fgColor indexed="15"/>
        <bgColor indexed="64"/>
      </patternFill>
    </fill>
    <fill>
      <patternFill patternType="solid">
        <fgColor indexed="54"/>
        <bgColor indexed="64"/>
      </patternFill>
    </fill>
    <fill>
      <patternFill patternType="solid">
        <fgColor indexed="17"/>
        <bgColor indexed="64"/>
      </patternFill>
    </fill>
    <fill>
      <patternFill patternType="solid">
        <fgColor indexed="47"/>
        <bgColor indexed="9"/>
      </patternFill>
    </fill>
    <fill>
      <patternFill patternType="solid">
        <fgColor indexed="51"/>
        <bgColor indexed="9"/>
      </patternFill>
    </fill>
    <fill>
      <patternFill patternType="solid">
        <fgColor indexed="52"/>
        <bgColor indexed="9"/>
      </patternFill>
    </fill>
    <fill>
      <patternFill patternType="solid">
        <fgColor indexed="55"/>
        <bgColor indexed="9"/>
      </patternFill>
    </fill>
    <fill>
      <patternFill patternType="solid">
        <fgColor indexed="17"/>
        <bgColor indexed="57"/>
      </patternFill>
    </fill>
    <fill>
      <patternFill patternType="solid">
        <fgColor indexed="44"/>
        <bgColor indexed="57"/>
      </patternFill>
    </fill>
    <fill>
      <patternFill patternType="solid">
        <fgColor indexed="41"/>
        <bgColor indexed="57"/>
      </patternFill>
    </fill>
    <fill>
      <patternFill patternType="solid">
        <fgColor rgb="FFFFCC00"/>
        <bgColor indexed="64"/>
      </patternFill>
    </fill>
    <fill>
      <patternFill patternType="solid">
        <fgColor rgb="FFFFCC00"/>
        <bgColor indexed="9"/>
      </patternFill>
    </fill>
    <fill>
      <patternFill patternType="solid">
        <fgColor rgb="FFFFFFCC"/>
        <bgColor indexed="64"/>
      </patternFill>
    </fill>
    <fill>
      <patternFill patternType="solid">
        <fgColor rgb="FFCC99FF"/>
        <bgColor indexed="64"/>
      </patternFill>
    </fill>
    <fill>
      <patternFill patternType="solid">
        <fgColor rgb="FF99CC00"/>
        <bgColor indexed="64"/>
      </patternFill>
    </fill>
    <fill>
      <patternFill patternType="solid">
        <fgColor rgb="FFCC99FF"/>
        <bgColor indexed="9"/>
      </patternFill>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F9900"/>
        <bgColor indexed="64"/>
      </patternFill>
    </fill>
    <fill>
      <patternFill patternType="solid">
        <fgColor rgb="FFFFCC99"/>
        <bgColor indexed="64"/>
      </patternFill>
    </fill>
    <fill>
      <patternFill patternType="solid">
        <fgColor rgb="FFC0C0C0"/>
        <bgColor indexed="64"/>
      </patternFill>
    </fill>
    <fill>
      <patternFill patternType="solid">
        <fgColor rgb="FF99CCFF"/>
        <bgColor indexed="64"/>
      </patternFill>
    </fill>
  </fills>
  <borders count="203">
    <border>
      <left/>
      <right/>
      <top/>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thick">
        <color indexed="23"/>
      </top>
      <bottom/>
      <diagonal/>
    </border>
    <border>
      <left style="thick">
        <color indexed="23"/>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ck">
        <color indexed="23"/>
      </left>
      <right/>
      <top style="thick">
        <color indexed="23"/>
      </top>
      <bottom/>
      <diagonal/>
    </border>
    <border>
      <left style="thin">
        <color indexed="64"/>
      </left>
      <right/>
      <top/>
      <bottom style="thin">
        <color indexed="64"/>
      </bottom>
      <diagonal/>
    </border>
    <border>
      <left style="thick">
        <color indexed="23"/>
      </left>
      <right style="thick">
        <color indexed="23"/>
      </right>
      <top/>
      <bottom/>
      <diagonal/>
    </border>
    <border>
      <left style="medium">
        <color indexed="64"/>
      </left>
      <right style="medium">
        <color indexed="64"/>
      </right>
      <top style="thick">
        <color indexed="23"/>
      </top>
      <bottom style="thin">
        <color indexed="64"/>
      </bottom>
      <diagonal/>
    </border>
    <border>
      <left style="medium">
        <color indexed="64"/>
      </left>
      <right style="thick">
        <color indexed="23"/>
      </right>
      <top style="thick">
        <color indexed="23"/>
      </top>
      <bottom style="thin">
        <color indexed="64"/>
      </bottom>
      <diagonal/>
    </border>
    <border>
      <left/>
      <right/>
      <top style="thick">
        <color indexed="23"/>
      </top>
      <bottom style="medium">
        <color indexed="64"/>
      </bottom>
      <diagonal/>
    </border>
    <border>
      <left/>
      <right style="medium">
        <color indexed="64"/>
      </right>
      <top style="thick">
        <color indexed="23"/>
      </top>
      <bottom style="medium">
        <color indexed="64"/>
      </bottom>
      <diagonal/>
    </border>
    <border>
      <left/>
      <right/>
      <top style="thick">
        <color indexed="23"/>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ck">
        <color indexed="23"/>
      </left>
      <right/>
      <top style="medium">
        <color indexed="64"/>
      </top>
      <bottom style="thick">
        <color indexed="23"/>
      </bottom>
      <diagonal/>
    </border>
    <border>
      <left/>
      <right style="medium">
        <color indexed="64"/>
      </right>
      <top style="medium">
        <color indexed="64"/>
      </top>
      <bottom style="thick">
        <color indexed="23"/>
      </bottom>
      <diagonal/>
    </border>
    <border>
      <left/>
      <right style="thick">
        <color indexed="23"/>
      </right>
      <top style="thick">
        <color indexed="23"/>
      </top>
      <bottom/>
      <diagonal/>
    </border>
    <border>
      <left/>
      <right style="thick">
        <color indexed="23"/>
      </right>
      <top/>
      <bottom/>
      <diagonal/>
    </border>
    <border>
      <left style="thick">
        <color indexed="23"/>
      </left>
      <right/>
      <top/>
      <bottom style="thick">
        <color indexed="23"/>
      </bottom>
      <diagonal/>
    </border>
    <border>
      <left/>
      <right/>
      <top/>
      <bottom style="thick">
        <color indexed="23"/>
      </bottom>
      <diagonal/>
    </border>
    <border>
      <left/>
      <right style="thick">
        <color indexed="23"/>
      </right>
      <top/>
      <bottom style="thick">
        <color indexed="2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ck">
        <color indexed="23"/>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23"/>
      </right>
      <top style="thin">
        <color indexed="64"/>
      </top>
      <bottom style="thin">
        <color indexed="64"/>
      </bottom>
      <diagonal/>
    </border>
    <border>
      <left style="medium">
        <color indexed="64"/>
      </left>
      <right style="thin">
        <color indexed="64"/>
      </right>
      <top/>
      <bottom style="thick">
        <color indexed="23"/>
      </bottom>
      <diagonal/>
    </border>
    <border>
      <left/>
      <right style="thin">
        <color indexed="64"/>
      </right>
      <top/>
      <bottom style="thick">
        <color indexed="23"/>
      </bottom>
      <diagonal/>
    </border>
    <border>
      <left style="thin">
        <color indexed="64"/>
      </left>
      <right style="thin">
        <color indexed="64"/>
      </right>
      <top/>
      <bottom style="thick">
        <color indexed="23"/>
      </bottom>
      <diagonal/>
    </border>
    <border>
      <left style="thin">
        <color indexed="64"/>
      </left>
      <right style="thick">
        <color indexed="23"/>
      </right>
      <top/>
      <bottom style="thick">
        <color indexed="23"/>
      </bottom>
      <diagonal/>
    </border>
    <border>
      <left/>
      <right style="thin">
        <color indexed="64"/>
      </right>
      <top style="thin">
        <color indexed="64"/>
      </top>
      <bottom style="thick">
        <color indexed="23"/>
      </bottom>
      <diagonal/>
    </border>
    <border>
      <left style="thin">
        <color indexed="64"/>
      </left>
      <right style="thin">
        <color indexed="64"/>
      </right>
      <top style="thin">
        <color indexed="64"/>
      </top>
      <bottom style="thick">
        <color indexed="23"/>
      </bottom>
      <diagonal/>
    </border>
    <border>
      <left style="thin">
        <color indexed="64"/>
      </left>
      <right style="thick">
        <color indexed="23"/>
      </right>
      <top style="thin">
        <color indexed="64"/>
      </top>
      <bottom style="thick">
        <color indexed="23"/>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ck">
        <color indexed="23"/>
      </bottom>
      <diagonal/>
    </border>
    <border>
      <left/>
      <right/>
      <top style="thick">
        <color indexed="55"/>
      </top>
      <bottom/>
      <diagonal/>
    </border>
    <border>
      <left/>
      <right/>
      <top/>
      <bottom style="thick">
        <color indexed="55"/>
      </bottom>
      <diagonal/>
    </border>
    <border>
      <left style="thick">
        <color indexed="23"/>
      </left>
      <right style="medium">
        <color indexed="64"/>
      </right>
      <top style="thin">
        <color indexed="64"/>
      </top>
      <bottom style="thin">
        <color indexed="64"/>
      </bottom>
      <diagonal/>
    </border>
    <border>
      <left style="medium">
        <color indexed="64"/>
      </left>
      <right style="thick">
        <color indexed="23"/>
      </right>
      <top style="thin">
        <color indexed="64"/>
      </top>
      <bottom style="thin">
        <color indexed="64"/>
      </bottom>
      <diagonal/>
    </border>
    <border>
      <left style="thick">
        <color indexed="23"/>
      </left>
      <right style="medium">
        <color indexed="64"/>
      </right>
      <top style="thin">
        <color indexed="64"/>
      </top>
      <bottom style="thick">
        <color indexed="23"/>
      </bottom>
      <diagonal/>
    </border>
    <border>
      <left style="medium">
        <color indexed="64"/>
      </left>
      <right style="thick">
        <color indexed="23"/>
      </right>
      <top style="thin">
        <color indexed="64"/>
      </top>
      <bottom style="thick">
        <color indexed="23"/>
      </bottom>
      <diagonal/>
    </border>
    <border>
      <left/>
      <right/>
      <top style="thick">
        <color indexed="55"/>
      </top>
      <bottom style="thick">
        <color indexed="23"/>
      </bottom>
      <diagonal/>
    </border>
    <border>
      <left/>
      <right style="thick">
        <color indexed="23"/>
      </right>
      <top style="thick">
        <color indexed="23"/>
      </top>
      <bottom style="thick">
        <color indexed="23"/>
      </bottom>
      <diagonal/>
    </border>
    <border>
      <left style="thin">
        <color indexed="64"/>
      </left>
      <right style="thick">
        <color indexed="23"/>
      </right>
      <top/>
      <bottom/>
      <diagonal/>
    </border>
    <border>
      <left/>
      <right/>
      <top style="thin">
        <color indexed="64"/>
      </top>
      <bottom style="thick">
        <color indexed="23"/>
      </bottom>
      <diagonal/>
    </border>
    <border>
      <left/>
      <right/>
      <top style="thick">
        <color indexed="23"/>
      </top>
      <bottom style="thick">
        <color indexed="23"/>
      </bottom>
      <diagonal/>
    </border>
    <border>
      <left style="thick">
        <color indexed="23"/>
      </left>
      <right/>
      <top style="thick">
        <color indexed="23"/>
      </top>
      <bottom style="thick">
        <color indexed="23"/>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ck">
        <color indexed="23"/>
      </left>
      <right/>
      <top style="thick">
        <color indexed="23"/>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ck">
        <color indexed="23"/>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23"/>
      </right>
      <top style="medium">
        <color indexed="64"/>
      </top>
      <bottom style="thin">
        <color indexed="64"/>
      </bottom>
      <diagonal/>
    </border>
    <border>
      <left style="medium">
        <color indexed="64"/>
      </left>
      <right style="medium">
        <color indexed="64"/>
      </right>
      <top style="thick">
        <color indexed="23"/>
      </top>
      <bottom/>
      <diagonal/>
    </border>
    <border>
      <left style="medium">
        <color indexed="64"/>
      </left>
      <right style="thick">
        <color indexed="23"/>
      </right>
      <top style="thin">
        <color indexed="64"/>
      </top>
      <bottom style="medium">
        <color indexed="64"/>
      </bottom>
      <diagonal/>
    </border>
    <border>
      <left style="medium">
        <color indexed="64"/>
      </left>
      <right style="medium">
        <color indexed="64"/>
      </right>
      <top style="thick">
        <color indexed="23"/>
      </top>
      <bottom style="medium">
        <color indexed="64"/>
      </bottom>
      <diagonal/>
    </border>
    <border>
      <left style="thin">
        <color indexed="64"/>
      </left>
      <right style="thick">
        <color indexed="23"/>
      </right>
      <top style="thick">
        <color indexed="23"/>
      </top>
      <bottom style="medium">
        <color indexed="64"/>
      </bottom>
      <diagonal/>
    </border>
    <border>
      <left style="medium">
        <color indexed="64"/>
      </left>
      <right style="thick">
        <color indexed="23"/>
      </right>
      <top style="thick">
        <color indexed="23"/>
      </top>
      <bottom style="medium">
        <color indexed="64"/>
      </bottom>
      <diagonal/>
    </border>
    <border>
      <left style="thin">
        <color indexed="64"/>
      </left>
      <right/>
      <top style="thick">
        <color indexed="23"/>
      </top>
      <bottom style="medium">
        <color indexed="64"/>
      </bottom>
      <diagonal/>
    </border>
    <border>
      <left style="thin">
        <color indexed="64"/>
      </left>
      <right style="thin">
        <color indexed="64"/>
      </right>
      <top style="thick">
        <color indexed="23"/>
      </top>
      <bottom style="medium">
        <color indexed="64"/>
      </bottom>
      <diagonal/>
    </border>
    <border>
      <left style="thick">
        <color indexed="23"/>
      </left>
      <right style="thin">
        <color indexed="64"/>
      </right>
      <top style="thick">
        <color indexed="23"/>
      </top>
      <bottom style="medium">
        <color indexed="64"/>
      </bottom>
      <diagonal/>
    </border>
    <border>
      <left style="thick">
        <color indexed="23"/>
      </left>
      <right/>
      <top style="thin">
        <color indexed="64"/>
      </top>
      <bottom style="thick">
        <color indexed="23"/>
      </bottom>
      <diagonal/>
    </border>
    <border>
      <left style="thick">
        <color indexed="23"/>
      </left>
      <right/>
      <top/>
      <bottom style="thin">
        <color indexed="64"/>
      </bottom>
      <diagonal/>
    </border>
    <border>
      <left style="thick">
        <color indexed="23"/>
      </left>
      <right/>
      <top style="thin">
        <color indexed="64"/>
      </top>
      <bottom style="thin">
        <color indexed="64"/>
      </bottom>
      <diagonal/>
    </border>
    <border>
      <left style="thick">
        <color indexed="23"/>
      </left>
      <right/>
      <top style="thick">
        <color indexed="23"/>
      </top>
      <bottom style="thin">
        <color indexed="64"/>
      </bottom>
      <diagonal/>
    </border>
    <border>
      <left style="thin">
        <color indexed="64"/>
      </left>
      <right style="medium">
        <color indexed="64"/>
      </right>
      <top style="thin">
        <color indexed="64"/>
      </top>
      <bottom style="thick">
        <color indexed="23"/>
      </bottom>
      <diagonal/>
    </border>
    <border>
      <left style="medium">
        <color indexed="64"/>
      </left>
      <right style="thick">
        <color indexed="23"/>
      </right>
      <top style="medium">
        <color indexed="64"/>
      </top>
      <bottom style="thick">
        <color indexed="23"/>
      </bottom>
      <diagonal/>
    </border>
    <border>
      <left style="thin">
        <color indexed="64"/>
      </left>
      <right/>
      <top style="medium">
        <color indexed="64"/>
      </top>
      <bottom style="thick">
        <color indexed="23"/>
      </bottom>
      <diagonal/>
    </border>
    <border>
      <left style="thin">
        <color indexed="64"/>
      </left>
      <right style="thin">
        <color indexed="64"/>
      </right>
      <top style="medium">
        <color indexed="64"/>
      </top>
      <bottom style="thick">
        <color indexed="23"/>
      </bottom>
      <diagonal/>
    </border>
    <border>
      <left style="thick">
        <color indexed="23"/>
      </left>
      <right style="thin">
        <color indexed="64"/>
      </right>
      <top style="medium">
        <color indexed="64"/>
      </top>
      <bottom style="thick">
        <color indexed="23"/>
      </bottom>
      <diagonal/>
    </border>
    <border>
      <left style="thick">
        <color indexed="23"/>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ck">
        <color indexed="23"/>
      </right>
      <top/>
      <bottom style="thin">
        <color indexed="64"/>
      </bottom>
      <diagonal/>
    </border>
    <border>
      <left style="thick">
        <color indexed="23"/>
      </left>
      <right style="thin">
        <color indexed="64"/>
      </right>
      <top style="thin">
        <color indexed="64"/>
      </top>
      <bottom style="thin">
        <color indexed="64"/>
      </bottom>
      <diagonal/>
    </border>
    <border>
      <left style="thick">
        <color indexed="23"/>
      </left>
      <right style="thin">
        <color indexed="64"/>
      </right>
      <top/>
      <bottom style="thin">
        <color indexed="64"/>
      </bottom>
      <diagonal/>
    </border>
    <border>
      <left style="medium">
        <color indexed="64"/>
      </left>
      <right style="thick">
        <color indexed="23"/>
      </right>
      <top style="medium">
        <color indexed="64"/>
      </top>
      <bottom style="medium">
        <color indexed="64"/>
      </bottom>
      <diagonal/>
    </border>
    <border>
      <left style="medium">
        <color indexed="64"/>
      </left>
      <right style="thick">
        <color indexed="23"/>
      </right>
      <top/>
      <bottom style="thick">
        <color indexed="23"/>
      </bottom>
      <diagonal/>
    </border>
    <border>
      <left style="medium">
        <color indexed="64"/>
      </left>
      <right style="thick">
        <color indexed="23"/>
      </right>
      <top style="thick">
        <color indexed="23"/>
      </top>
      <bottom/>
      <diagonal/>
    </border>
    <border>
      <left style="medium">
        <color indexed="64"/>
      </left>
      <right/>
      <top style="thin">
        <color indexed="64"/>
      </top>
      <bottom style="thick">
        <color indexed="23"/>
      </bottom>
      <diagonal/>
    </border>
    <border>
      <left/>
      <right/>
      <top style="medium">
        <color indexed="64"/>
      </top>
      <bottom style="thick">
        <color indexed="23"/>
      </bottom>
      <diagonal/>
    </border>
    <border>
      <left/>
      <right style="thick">
        <color indexed="23"/>
      </right>
      <top style="medium">
        <color indexed="64"/>
      </top>
      <bottom style="thick">
        <color indexed="23"/>
      </bottom>
      <diagonal/>
    </border>
    <border>
      <left style="thick">
        <color indexed="23"/>
      </left>
      <right style="thin">
        <color indexed="64"/>
      </right>
      <top style="thin">
        <color indexed="64"/>
      </top>
      <bottom style="thick">
        <color indexed="23"/>
      </bottom>
      <diagonal/>
    </border>
    <border>
      <left style="thin">
        <color indexed="64"/>
      </left>
      <right/>
      <top style="thin">
        <color indexed="64"/>
      </top>
      <bottom style="thick">
        <color indexed="23"/>
      </bottom>
      <diagonal/>
    </border>
    <border>
      <left style="thick">
        <color indexed="23"/>
      </left>
      <right style="medium">
        <color indexed="64"/>
      </right>
      <top/>
      <bottom style="thin">
        <color indexed="64"/>
      </bottom>
      <diagonal/>
    </border>
    <border>
      <left/>
      <right style="thick">
        <color indexed="23"/>
      </right>
      <top style="thick">
        <color indexed="23"/>
      </top>
      <bottom style="thin">
        <color indexed="64"/>
      </bottom>
      <diagonal/>
    </border>
    <border>
      <left style="medium">
        <color indexed="64"/>
      </left>
      <right/>
      <top style="thick">
        <color indexed="23"/>
      </top>
      <bottom style="medium">
        <color indexed="64"/>
      </bottom>
      <diagonal/>
    </border>
    <border>
      <left style="thick">
        <color indexed="23"/>
      </left>
      <right style="medium">
        <color indexed="64"/>
      </right>
      <top style="thick">
        <color indexed="23"/>
      </top>
      <bottom style="thin">
        <color indexed="64"/>
      </bottom>
      <diagonal/>
    </border>
    <border>
      <left style="medium">
        <color indexed="64"/>
      </left>
      <right style="medium">
        <color indexed="64"/>
      </right>
      <top style="medium">
        <color indexed="64"/>
      </top>
      <bottom style="medium">
        <color indexed="64"/>
      </bottom>
      <diagonal/>
    </border>
    <border>
      <left style="thin">
        <color indexed="55"/>
      </left>
      <right/>
      <top style="thin">
        <color indexed="64"/>
      </top>
      <bottom style="thin">
        <color indexed="64"/>
      </bottom>
      <diagonal/>
    </border>
    <border>
      <left style="medium">
        <color indexed="64"/>
      </left>
      <right/>
      <top/>
      <bottom style="thick">
        <color indexed="23"/>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double">
        <color indexed="64"/>
      </bottom>
      <diagonal/>
    </border>
    <border>
      <left/>
      <right style="thick">
        <color indexed="23"/>
      </right>
      <top style="thick">
        <color indexed="23"/>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ck">
        <color indexed="23"/>
      </right>
      <top style="medium">
        <color indexed="64"/>
      </top>
      <bottom style="medium">
        <color indexed="64"/>
      </bottom>
      <diagonal/>
    </border>
    <border>
      <left/>
      <right style="thick">
        <color indexed="23"/>
      </right>
      <top style="medium">
        <color indexed="64"/>
      </top>
      <bottom style="thin">
        <color indexed="64"/>
      </bottom>
      <diagonal/>
    </border>
    <border>
      <left/>
      <right style="thick">
        <color indexed="23"/>
      </right>
      <top style="thin">
        <color indexed="64"/>
      </top>
      <bottom style="thin">
        <color indexed="64"/>
      </bottom>
      <diagonal/>
    </border>
    <border>
      <left/>
      <right style="thick">
        <color indexed="23"/>
      </right>
      <top style="thin">
        <color indexed="64"/>
      </top>
      <bottom style="thick">
        <color indexed="23"/>
      </bottom>
      <diagonal/>
    </border>
    <border>
      <left style="thick">
        <color indexed="23"/>
      </left>
      <right/>
      <top style="medium">
        <color indexed="64"/>
      </top>
      <bottom style="thin">
        <color indexed="23"/>
      </bottom>
      <diagonal/>
    </border>
    <border>
      <left/>
      <right style="medium">
        <color indexed="64"/>
      </right>
      <top style="medium">
        <color indexed="64"/>
      </top>
      <bottom style="thin">
        <color indexed="23"/>
      </bottom>
      <diagonal/>
    </border>
    <border>
      <left style="medium">
        <color indexed="64"/>
      </left>
      <right/>
      <top style="medium">
        <color indexed="64"/>
      </top>
      <bottom style="thin">
        <color indexed="23"/>
      </bottom>
      <diagonal/>
    </border>
    <border>
      <left/>
      <right/>
      <top style="medium">
        <color indexed="64"/>
      </top>
      <bottom style="thin">
        <color indexed="23"/>
      </bottom>
      <diagonal/>
    </border>
    <border>
      <left style="medium">
        <color indexed="64"/>
      </left>
      <right/>
      <top style="thin">
        <color indexed="23"/>
      </top>
      <bottom style="medium">
        <color indexed="64"/>
      </bottom>
      <diagonal/>
    </border>
    <border>
      <left/>
      <right style="medium">
        <color indexed="64"/>
      </right>
      <top style="thin">
        <color indexed="23"/>
      </top>
      <bottom style="medium">
        <color indexed="64"/>
      </bottom>
      <diagonal/>
    </border>
    <border>
      <left/>
      <right/>
      <top style="thin">
        <color indexed="23"/>
      </top>
      <bottom style="medium">
        <color indexed="64"/>
      </bottom>
      <diagonal/>
    </border>
    <border>
      <left style="medium">
        <color indexed="64"/>
      </left>
      <right/>
      <top style="thick">
        <color indexed="23"/>
      </top>
      <bottom/>
      <diagonal/>
    </border>
    <border>
      <left style="thin">
        <color indexed="64"/>
      </left>
      <right style="medium">
        <color indexed="64"/>
      </right>
      <top style="thick">
        <color indexed="23"/>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double">
        <color indexed="64"/>
      </bottom>
      <diagonal/>
    </border>
    <border>
      <left/>
      <right style="medium">
        <color indexed="64"/>
      </right>
      <top style="double">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ck">
        <color indexed="23"/>
      </left>
      <right/>
      <top style="thick">
        <color indexed="23"/>
      </top>
      <bottom style="thin">
        <color indexed="23"/>
      </bottom>
      <diagonal/>
    </border>
    <border>
      <left/>
      <right style="medium">
        <color indexed="64"/>
      </right>
      <top style="thick">
        <color indexed="23"/>
      </top>
      <bottom style="thin">
        <color indexed="23"/>
      </bottom>
      <diagonal/>
    </border>
    <border>
      <left/>
      <right/>
      <top style="thick">
        <color indexed="23"/>
      </top>
      <bottom style="thin">
        <color indexed="23"/>
      </bottom>
      <diagonal/>
    </border>
    <border>
      <left/>
      <right style="thick">
        <color indexed="23"/>
      </right>
      <top style="thick">
        <color indexed="23"/>
      </top>
      <bottom style="thin">
        <color indexed="23"/>
      </bottom>
      <diagonal/>
    </border>
    <border>
      <left style="thick">
        <color indexed="23"/>
      </left>
      <right/>
      <top style="thin">
        <color indexed="23"/>
      </top>
      <bottom style="thick">
        <color indexed="23"/>
      </bottom>
      <diagonal/>
    </border>
    <border>
      <left/>
      <right style="medium">
        <color indexed="64"/>
      </right>
      <top style="thin">
        <color indexed="23"/>
      </top>
      <bottom style="thick">
        <color indexed="23"/>
      </bottom>
      <diagonal/>
    </border>
    <border>
      <left/>
      <right/>
      <top style="thin">
        <color indexed="23"/>
      </top>
      <bottom style="thick">
        <color indexed="23"/>
      </bottom>
      <diagonal/>
    </border>
    <border>
      <left/>
      <right style="thick">
        <color indexed="23"/>
      </right>
      <top style="thin">
        <color indexed="23"/>
      </top>
      <bottom style="thick">
        <color indexed="23"/>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thick">
        <color indexed="23"/>
      </right>
      <top/>
      <bottom style="thin">
        <color indexed="64"/>
      </bottom>
      <diagonal/>
    </border>
    <border>
      <left style="thin">
        <color indexed="64"/>
      </left>
      <right style="medium">
        <color indexed="64"/>
      </right>
      <top/>
      <bottom style="thin">
        <color indexed="64"/>
      </bottom>
      <diagonal/>
    </border>
    <border>
      <left style="thick">
        <color indexed="23"/>
      </left>
      <right/>
      <top style="thin">
        <color indexed="64"/>
      </top>
      <bottom/>
      <diagonal/>
    </border>
    <border>
      <left/>
      <right style="thin">
        <color indexed="64"/>
      </right>
      <top style="thick">
        <color indexed="23"/>
      </top>
      <bottom style="medium">
        <color indexed="64"/>
      </bottom>
      <diagonal/>
    </border>
    <border>
      <left/>
      <right style="thick">
        <color indexed="23"/>
      </right>
      <top style="thin">
        <color indexed="64"/>
      </top>
      <bottom/>
      <diagonal/>
    </border>
    <border>
      <left style="thick">
        <color indexed="23"/>
      </left>
      <right/>
      <top style="medium">
        <color indexed="64"/>
      </top>
      <bottom style="thin">
        <color indexed="64"/>
      </bottom>
      <diagonal/>
    </border>
    <border>
      <left style="medium">
        <color indexed="64"/>
      </left>
      <right/>
      <top style="thin">
        <color indexed="23"/>
      </top>
      <bottom style="thick">
        <color indexed="23"/>
      </bottom>
      <diagonal/>
    </border>
    <border>
      <left style="medium">
        <color indexed="64"/>
      </left>
      <right/>
      <top style="thick">
        <color indexed="23"/>
      </top>
      <bottom style="thin">
        <color indexed="23"/>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ck">
        <color indexed="23"/>
      </right>
      <top style="medium">
        <color indexed="64"/>
      </top>
      <bottom style="thin">
        <color indexed="23"/>
      </bottom>
      <diagonal/>
    </border>
    <border>
      <left style="thick">
        <color indexed="23"/>
      </left>
      <right/>
      <top style="thin">
        <color indexed="23"/>
      </top>
      <bottom style="medium">
        <color indexed="64"/>
      </bottom>
      <diagonal/>
    </border>
    <border>
      <left/>
      <right style="thick">
        <color indexed="23"/>
      </right>
      <top style="thin">
        <color indexed="23"/>
      </top>
      <bottom style="medium">
        <color indexed="64"/>
      </bottom>
      <diagonal/>
    </border>
    <border>
      <left style="thick">
        <color indexed="23"/>
      </left>
      <right/>
      <top style="medium">
        <color indexed="64"/>
      </top>
      <bottom style="medium">
        <color indexed="64"/>
      </bottom>
      <diagonal/>
    </border>
    <border>
      <left style="thick">
        <color indexed="23"/>
      </left>
      <right/>
      <top style="thin">
        <color indexed="64"/>
      </top>
      <bottom style="medium">
        <color indexed="64"/>
      </bottom>
      <diagonal/>
    </border>
    <border>
      <left/>
      <right style="medium">
        <color indexed="64"/>
      </right>
      <top style="thin">
        <color indexed="64"/>
      </top>
      <bottom style="thick">
        <color indexed="23"/>
      </bottom>
      <diagonal/>
    </border>
    <border>
      <left/>
      <right style="medium">
        <color indexed="64"/>
      </right>
      <top style="thick">
        <color indexed="23"/>
      </top>
      <bottom/>
      <diagonal/>
    </border>
    <border>
      <left style="thick">
        <color indexed="23"/>
      </left>
      <right/>
      <top style="medium">
        <color indexed="64"/>
      </top>
      <bottom/>
      <diagonal/>
    </border>
    <border>
      <left/>
      <right style="thick">
        <color indexed="23"/>
      </right>
      <top style="medium">
        <color indexed="64"/>
      </top>
      <bottom/>
      <diagonal/>
    </border>
    <border>
      <left style="medium">
        <color indexed="64"/>
      </left>
      <right/>
      <top style="medium">
        <color indexed="64"/>
      </top>
      <bottom style="thick">
        <color indexed="23"/>
      </bottom>
      <diagonal/>
    </border>
    <border>
      <left style="medium">
        <color indexed="8"/>
      </left>
      <right/>
      <top style="thick">
        <color indexed="23"/>
      </top>
      <bottom/>
      <diagonal/>
    </border>
    <border>
      <left/>
      <right style="medium">
        <color indexed="8"/>
      </right>
      <top style="thick">
        <color indexed="23"/>
      </top>
      <bottom/>
      <diagonal/>
    </border>
    <border>
      <left/>
      <right style="medium">
        <color indexed="64"/>
      </right>
      <top/>
      <bottom style="thin">
        <color indexed="64"/>
      </bottom>
      <diagonal/>
    </border>
    <border>
      <left style="medium">
        <color indexed="64"/>
      </left>
      <right/>
      <top style="thick">
        <color indexed="23"/>
      </top>
      <bottom style="thin">
        <color indexed="64"/>
      </bottom>
      <diagonal/>
    </border>
    <border>
      <left/>
      <right style="medium">
        <color indexed="64"/>
      </right>
      <top style="thick">
        <color indexed="23"/>
      </top>
      <bottom style="thin">
        <color indexed="64"/>
      </bottom>
      <diagonal/>
    </border>
    <border>
      <left style="thick">
        <color indexed="23"/>
      </left>
      <right style="thin">
        <color theme="1"/>
      </right>
      <top style="thick">
        <color indexed="23"/>
      </top>
      <bottom style="thin">
        <color indexed="64"/>
      </bottom>
      <diagonal/>
    </border>
    <border>
      <left style="thin">
        <color theme="1"/>
      </left>
      <right style="thin">
        <color theme="1"/>
      </right>
      <top style="thick">
        <color indexed="23"/>
      </top>
      <bottom style="thin">
        <color indexed="64"/>
      </bottom>
      <diagonal/>
    </border>
    <border>
      <left style="thick">
        <color indexed="23"/>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ck">
        <color indexed="23"/>
      </left>
      <right style="thin">
        <color theme="1"/>
      </right>
      <top style="thin">
        <color indexed="64"/>
      </top>
      <bottom style="thick">
        <color indexed="23"/>
      </bottom>
      <diagonal/>
    </border>
    <border>
      <left style="thin">
        <color theme="1"/>
      </left>
      <right style="thin">
        <color theme="1"/>
      </right>
      <top style="thin">
        <color indexed="64"/>
      </top>
      <bottom style="thick">
        <color indexed="23"/>
      </bottom>
      <diagonal/>
    </border>
    <border>
      <left style="thin">
        <color theme="1"/>
      </left>
      <right style="thick">
        <color indexed="23"/>
      </right>
      <top style="thin">
        <color indexed="64"/>
      </top>
      <bottom style="thin">
        <color indexed="64"/>
      </bottom>
      <diagonal/>
    </border>
    <border>
      <left style="thin">
        <color theme="1"/>
      </left>
      <right style="thick">
        <color indexed="23"/>
      </right>
      <top style="thick">
        <color indexed="23"/>
      </top>
      <bottom style="thin">
        <color indexed="64"/>
      </bottom>
      <diagonal/>
    </border>
    <border>
      <left style="thin">
        <color theme="1"/>
      </left>
      <right style="thick">
        <color indexed="23"/>
      </right>
      <top style="thin">
        <color indexed="64"/>
      </top>
      <bottom style="thick">
        <color indexed="23"/>
      </bottom>
      <diagonal/>
    </border>
  </borders>
  <cellStyleXfs count="4">
    <xf numFmtId="0" fontId="0" fillId="0" borderId="0"/>
    <xf numFmtId="0" fontId="5" fillId="0" borderId="0" applyNumberFormat="0" applyFill="0" applyBorder="0" applyAlignment="0" applyProtection="0">
      <alignment vertical="top"/>
      <protection locked="0"/>
    </xf>
    <xf numFmtId="0" fontId="112" fillId="0" borderId="0"/>
    <xf numFmtId="0" fontId="1" fillId="0" borderId="0"/>
  </cellStyleXfs>
  <cellXfs count="2577">
    <xf numFmtId="0" fontId="0" fillId="0" borderId="0" xfId="0"/>
    <xf numFmtId="0" fontId="4" fillId="0" borderId="0" xfId="0" applyFont="1"/>
    <xf numFmtId="0" fontId="6" fillId="0" borderId="0" xfId="0" applyFont="1"/>
    <xf numFmtId="0" fontId="7" fillId="0" borderId="0" xfId="0" applyFont="1"/>
    <xf numFmtId="0" fontId="0" fillId="0" borderId="0" xfId="0" applyAlignment="1">
      <alignment horizontal="center"/>
    </xf>
    <xf numFmtId="0" fontId="12" fillId="0" borderId="0" xfId="0" applyFont="1"/>
    <xf numFmtId="0" fontId="0" fillId="2" borderId="2" xfId="0" applyFill="1" applyBorder="1"/>
    <xf numFmtId="0" fontId="26" fillId="0" borderId="0" xfId="0" applyFont="1"/>
    <xf numFmtId="0" fontId="20" fillId="0" borderId="0" xfId="0" applyFont="1" applyAlignment="1">
      <alignment horizontal="right"/>
    </xf>
    <xf numFmtId="0" fontId="30" fillId="2" borderId="0" xfId="0" applyFont="1" applyFill="1" applyAlignment="1">
      <alignment vertical="top"/>
    </xf>
    <xf numFmtId="0" fontId="0" fillId="0" borderId="0" xfId="0" applyNumberFormat="1" applyAlignment="1">
      <alignment horizontal="center"/>
    </xf>
    <xf numFmtId="0" fontId="29" fillId="0" borderId="0" xfId="0" applyFont="1" applyAlignment="1">
      <alignment horizontal="right"/>
    </xf>
    <xf numFmtId="0" fontId="29" fillId="0" borderId="0" xfId="0" applyNumberFormat="1" applyFont="1" applyAlignment="1">
      <alignment horizontal="center"/>
    </xf>
    <xf numFmtId="0" fontId="29" fillId="0" borderId="0" xfId="0" applyNumberFormat="1" applyFont="1" applyFill="1" applyAlignment="1">
      <alignment horizontal="center"/>
    </xf>
    <xf numFmtId="0" fontId="31" fillId="0" borderId="0" xfId="0" applyNumberFormat="1" applyFont="1" applyFill="1" applyAlignment="1">
      <alignment horizontal="center"/>
    </xf>
    <xf numFmtId="0" fontId="23" fillId="0" borderId="0" xfId="0" applyNumberFormat="1" applyFont="1" applyFill="1" applyAlignment="1">
      <alignment horizontal="center"/>
    </xf>
    <xf numFmtId="0" fontId="33" fillId="2" borderId="0" xfId="0" applyFont="1" applyFill="1"/>
    <xf numFmtId="0" fontId="34" fillId="2" borderId="0" xfId="0" applyFont="1" applyFill="1"/>
    <xf numFmtId="0" fontId="0" fillId="0" borderId="0" xfId="0" applyBorder="1"/>
    <xf numFmtId="0" fontId="0" fillId="0" borderId="0" xfId="0" applyFill="1" applyBorder="1"/>
    <xf numFmtId="0" fontId="4" fillId="0" borderId="0" xfId="0" applyFont="1" applyFill="1" applyBorder="1"/>
    <xf numFmtId="0" fontId="36" fillId="0" borderId="0" xfId="0" applyFont="1" applyAlignment="1">
      <alignment horizontal="right"/>
    </xf>
    <xf numFmtId="168" fontId="23" fillId="0" borderId="0" xfId="0" applyNumberFormat="1" applyFont="1" applyAlignment="1">
      <alignment horizontal="right"/>
    </xf>
    <xf numFmtId="0" fontId="29" fillId="3" borderId="3" xfId="0" applyNumberFormat="1" applyFont="1" applyFill="1" applyBorder="1" applyAlignment="1">
      <alignment horizontal="center"/>
    </xf>
    <xf numFmtId="0" fontId="0" fillId="0" borderId="4" xfId="0" applyBorder="1"/>
    <xf numFmtId="0" fontId="0" fillId="2" borderId="0" xfId="0" applyFill="1"/>
    <xf numFmtId="0" fontId="4" fillId="2" borderId="0" xfId="0" applyFont="1" applyFill="1"/>
    <xf numFmtId="0" fontId="1" fillId="0" borderId="0" xfId="0" applyFont="1" applyFill="1" applyBorder="1"/>
    <xf numFmtId="0" fontId="24" fillId="0" borderId="0" xfId="0" applyFont="1" applyFill="1" applyBorder="1" applyAlignment="1"/>
    <xf numFmtId="0" fontId="4" fillId="0" borderId="0" xfId="0" applyFont="1" applyFill="1" applyBorder="1" applyAlignment="1"/>
    <xf numFmtId="0" fontId="29" fillId="0" borderId="0" xfId="0" applyFont="1"/>
    <xf numFmtId="0" fontId="0" fillId="0" borderId="0" xfId="0" applyBorder="1" applyAlignment="1">
      <alignment horizontal="left"/>
    </xf>
    <xf numFmtId="0" fontId="29" fillId="2" borderId="0" xfId="0" applyNumberFormat="1" applyFont="1" applyFill="1" applyAlignment="1">
      <alignment horizontal="center"/>
    </xf>
    <xf numFmtId="0" fontId="23" fillId="2" borderId="0" xfId="0" applyNumberFormat="1" applyFont="1" applyFill="1" applyAlignment="1">
      <alignment horizontal="center"/>
    </xf>
    <xf numFmtId="0" fontId="23" fillId="0" borderId="0" xfId="0" applyNumberFormat="1" applyFont="1" applyFill="1" applyBorder="1" applyAlignment="1">
      <alignment horizontal="center"/>
    </xf>
    <xf numFmtId="0" fontId="29" fillId="0" borderId="0" xfId="0" applyNumberFormat="1" applyFont="1" applyFill="1" applyBorder="1" applyAlignment="1">
      <alignment horizontal="center"/>
    </xf>
    <xf numFmtId="0" fontId="36" fillId="0" borderId="3" xfId="0" applyFont="1" applyBorder="1" applyAlignment="1">
      <alignment horizontal="right"/>
    </xf>
    <xf numFmtId="0" fontId="0" fillId="0" borderId="3" xfId="0" applyBorder="1" applyAlignment="1"/>
    <xf numFmtId="0" fontId="0" fillId="0" borderId="5" xfId="0" applyBorder="1"/>
    <xf numFmtId="0" fontId="31" fillId="4" borderId="4" xfId="0" applyNumberFormat="1" applyFont="1" applyFill="1" applyBorder="1" applyAlignment="1">
      <alignment horizontal="center"/>
    </xf>
    <xf numFmtId="0" fontId="4" fillId="0" borderId="4" xfId="0" applyFont="1" applyBorder="1" applyAlignment="1"/>
    <xf numFmtId="0" fontId="23" fillId="5" borderId="0" xfId="0" applyNumberFormat="1" applyFont="1" applyFill="1" applyBorder="1" applyAlignment="1">
      <alignment horizontal="right"/>
    </xf>
    <xf numFmtId="0" fontId="0" fillId="2" borderId="6" xfId="0" applyFill="1" applyBorder="1" applyAlignment="1"/>
    <xf numFmtId="0" fontId="23" fillId="2" borderId="0" xfId="0" applyNumberFormat="1" applyFont="1" applyFill="1" applyAlignment="1">
      <alignment horizontal="right"/>
    </xf>
    <xf numFmtId="0" fontId="29" fillId="0" borderId="0" xfId="0" applyNumberFormat="1" applyFont="1" applyAlignment="1">
      <alignment horizontal="right"/>
    </xf>
    <xf numFmtId="0" fontId="23" fillId="2" borderId="0" xfId="0" applyNumberFormat="1" applyFont="1" applyFill="1" applyBorder="1" applyAlignment="1">
      <alignment horizontal="center"/>
    </xf>
    <xf numFmtId="0" fontId="29" fillId="2" borderId="0" xfId="0" applyNumberFormat="1" applyFont="1" applyFill="1" applyBorder="1" applyAlignment="1">
      <alignment horizontal="center"/>
    </xf>
    <xf numFmtId="0" fontId="0" fillId="0" borderId="0" xfId="0" applyFill="1"/>
    <xf numFmtId="0" fontId="0" fillId="0" borderId="0" xfId="0" applyAlignment="1">
      <alignment vertical="center"/>
    </xf>
    <xf numFmtId="0" fontId="0" fillId="2" borderId="0" xfId="0" applyFill="1" applyBorder="1" applyAlignment="1"/>
    <xf numFmtId="0" fontId="23" fillId="2" borderId="0" xfId="0" applyNumberFormat="1" applyFont="1" applyFill="1" applyBorder="1" applyAlignment="1">
      <alignment horizontal="right" vertical="center"/>
    </xf>
    <xf numFmtId="0" fontId="23" fillId="2" borderId="0" xfId="0" applyNumberFormat="1" applyFont="1" applyFill="1" applyAlignment="1">
      <alignment horizontal="right" vertical="center"/>
    </xf>
    <xf numFmtId="0" fontId="39" fillId="0" borderId="0" xfId="0" applyFont="1"/>
    <xf numFmtId="0" fontId="4" fillId="0" borderId="4" xfId="0" applyFont="1" applyBorder="1" applyProtection="1">
      <protection locked="0"/>
    </xf>
    <xf numFmtId="0" fontId="0" fillId="0" borderId="7" xfId="0" applyBorder="1" applyProtection="1">
      <protection locked="0"/>
    </xf>
    <xf numFmtId="0" fontId="0" fillId="0" borderId="4" xfId="0" applyBorder="1" applyProtection="1">
      <protection locked="0"/>
    </xf>
    <xf numFmtId="0" fontId="40" fillId="2" borderId="0" xfId="0" applyNumberFormat="1" applyFont="1" applyFill="1" applyAlignment="1">
      <alignment horizontal="center" vertical="center"/>
    </xf>
    <xf numFmtId="0" fontId="0" fillId="6" borderId="0" xfId="0" applyFill="1"/>
    <xf numFmtId="0" fontId="4" fillId="6" borderId="0" xfId="0" applyFont="1" applyFill="1"/>
    <xf numFmtId="0" fontId="29" fillId="6" borderId="0" xfId="0" applyNumberFormat="1" applyFont="1" applyFill="1" applyAlignment="1">
      <alignment horizontal="center"/>
    </xf>
    <xf numFmtId="0" fontId="29" fillId="6" borderId="0" xfId="0" applyNumberFormat="1" applyFont="1" applyFill="1" applyAlignment="1">
      <alignment horizontal="right" vertical="center"/>
    </xf>
    <xf numFmtId="0" fontId="0" fillId="0" borderId="4" xfId="0" applyFill="1" applyBorder="1"/>
    <xf numFmtId="0" fontId="1" fillId="0" borderId="4" xfId="0" applyFont="1" applyFill="1" applyBorder="1"/>
    <xf numFmtId="0" fontId="4" fillId="0" borderId="0" xfId="0" applyFont="1" applyAlignment="1">
      <alignment horizontal="center"/>
    </xf>
    <xf numFmtId="0" fontId="42" fillId="0" borderId="0" xfId="0" applyNumberFormat="1" applyFont="1" applyAlignment="1">
      <alignment horizontal="right"/>
    </xf>
    <xf numFmtId="0" fontId="42" fillId="0" borderId="0" xfId="0" applyNumberFormat="1" applyFont="1" applyAlignment="1">
      <alignment horizontal="right" vertical="center"/>
    </xf>
    <xf numFmtId="0" fontId="13" fillId="0" borderId="8" xfId="0" applyFont="1" applyBorder="1"/>
    <xf numFmtId="0" fontId="13" fillId="0" borderId="9" xfId="0" applyFont="1" applyBorder="1"/>
    <xf numFmtId="0" fontId="0" fillId="0" borderId="0" xfId="0" applyFill="1" applyAlignment="1">
      <alignment horizontal="center"/>
    </xf>
    <xf numFmtId="0" fontId="24" fillId="0" borderId="0" xfId="0" applyFont="1" applyFill="1" applyBorder="1"/>
    <xf numFmtId="0" fontId="4" fillId="0" borderId="4" xfId="0" applyFont="1" applyFill="1" applyBorder="1"/>
    <xf numFmtId="0" fontId="0" fillId="0" borderId="0" xfId="0" applyAlignment="1"/>
    <xf numFmtId="0" fontId="0" fillId="2" borderId="10" xfId="0" applyFill="1" applyBorder="1"/>
    <xf numFmtId="0" fontId="29" fillId="0" borderId="3" xfId="0" applyFont="1" applyFill="1" applyBorder="1" applyAlignment="1">
      <alignment horizontal="center" textRotation="90"/>
    </xf>
    <xf numFmtId="0" fontId="33" fillId="0" borderId="0" xfId="0" applyFont="1"/>
    <xf numFmtId="0" fontId="29" fillId="0" borderId="11" xfId="0" applyFont="1" applyFill="1" applyBorder="1" applyAlignment="1">
      <alignment horizontal="center" textRotation="90"/>
    </xf>
    <xf numFmtId="0" fontId="29" fillId="0" borderId="0" xfId="0" applyFont="1" applyFill="1" applyBorder="1" applyAlignment="1">
      <alignment textRotation="90"/>
    </xf>
    <xf numFmtId="0" fontId="29" fillId="0" borderId="12" xfId="0" applyFont="1" applyFill="1" applyBorder="1" applyAlignment="1">
      <alignment horizontal="center" textRotation="90"/>
    </xf>
    <xf numFmtId="0" fontId="1" fillId="0" borderId="0" xfId="0" applyFont="1"/>
    <xf numFmtId="0" fontId="27" fillId="0" borderId="0" xfId="0" applyFont="1" applyFill="1" applyBorder="1" applyAlignment="1"/>
    <xf numFmtId="0" fontId="46" fillId="0" borderId="0" xfId="0" applyFont="1" applyBorder="1" applyAlignment="1">
      <alignment textRotation="90"/>
    </xf>
    <xf numFmtId="0" fontId="47" fillId="0" borderId="0" xfId="0" applyFont="1"/>
    <xf numFmtId="0" fontId="29" fillId="0" borderId="0" xfId="0" applyFont="1" applyFill="1" applyBorder="1" applyAlignment="1"/>
    <xf numFmtId="0" fontId="0" fillId="0" borderId="0" xfId="0" applyFill="1" applyBorder="1" applyAlignment="1"/>
    <xf numFmtId="0" fontId="22" fillId="2" borderId="5" xfId="0" applyFont="1" applyFill="1" applyBorder="1"/>
    <xf numFmtId="0" fontId="13" fillId="0" borderId="13" xfId="0" applyFont="1" applyBorder="1"/>
    <xf numFmtId="0" fontId="0" fillId="8" borderId="7" xfId="0" applyFill="1" applyBorder="1"/>
    <xf numFmtId="0" fontId="13" fillId="0" borderId="0" xfId="0" applyFont="1" applyBorder="1"/>
    <xf numFmtId="0" fontId="0" fillId="0" borderId="11" xfId="0" applyBorder="1"/>
    <xf numFmtId="0" fontId="0" fillId="0" borderId="4" xfId="0" applyFill="1" applyBorder="1" applyAlignment="1">
      <alignment horizontal="left"/>
    </xf>
    <xf numFmtId="0" fontId="0" fillId="2" borderId="0" xfId="0" applyFill="1" applyBorder="1"/>
    <xf numFmtId="0" fontId="4" fillId="0" borderId="0" xfId="0" applyFont="1" applyFill="1" applyBorder="1" applyAlignment="1">
      <alignment horizontal="left"/>
    </xf>
    <xf numFmtId="0" fontId="4" fillId="0" borderId="0" xfId="0" applyFont="1" applyBorder="1" applyAlignment="1">
      <alignment horizontal="center"/>
    </xf>
    <xf numFmtId="0" fontId="29" fillId="0" borderId="0" xfId="0" applyFont="1" applyAlignment="1">
      <alignment horizontal="left"/>
    </xf>
    <xf numFmtId="0" fontId="4" fillId="0" borderId="0" xfId="0" applyFont="1" applyAlignment="1">
      <alignment horizontal="left"/>
    </xf>
    <xf numFmtId="0" fontId="4" fillId="0" borderId="4" xfId="0" applyFont="1" applyBorder="1" applyAlignment="1">
      <alignment horizontal="left"/>
    </xf>
    <xf numFmtId="0" fontId="0" fillId="0" borderId="0" xfId="0" applyAlignment="1">
      <alignment vertical="top" wrapText="1"/>
    </xf>
    <xf numFmtId="0" fontId="52" fillId="0" borderId="0" xfId="0" applyFont="1"/>
    <xf numFmtId="0" fontId="52" fillId="0" borderId="0" xfId="0" applyFont="1" applyAlignment="1">
      <alignment horizontal="center"/>
    </xf>
    <xf numFmtId="0" fontId="52" fillId="0" borderId="0" xfId="0" applyFont="1" applyAlignment="1">
      <alignment horizontal="right"/>
    </xf>
    <xf numFmtId="0" fontId="53" fillId="0" borderId="0" xfId="0" applyFont="1"/>
    <xf numFmtId="0" fontId="24" fillId="0" borderId="0" xfId="0" applyFont="1" applyBorder="1" applyAlignment="1">
      <alignment horizontal="center"/>
    </xf>
    <xf numFmtId="1" fontId="29" fillId="8" borderId="2" xfId="0" applyNumberFormat="1" applyFont="1" applyFill="1" applyBorder="1" applyAlignment="1" applyProtection="1">
      <alignment horizontal="center" vertical="center"/>
    </xf>
    <xf numFmtId="0" fontId="3" fillId="0" borderId="0" xfId="0" applyFont="1" applyBorder="1" applyAlignment="1">
      <alignment vertical="top" wrapText="1"/>
    </xf>
    <xf numFmtId="0" fontId="26" fillId="0" borderId="0" xfId="0" applyFont="1" applyProtection="1"/>
    <xf numFmtId="0" fontId="0" fillId="0" borderId="0" xfId="0" applyProtection="1"/>
    <xf numFmtId="0" fontId="0" fillId="0" borderId="0" xfId="0" applyFill="1" applyProtection="1"/>
    <xf numFmtId="0" fontId="0" fillId="0" borderId="0" xfId="0" applyAlignment="1" applyProtection="1">
      <alignment horizontal="center"/>
    </xf>
    <xf numFmtId="0" fontId="0" fillId="2" borderId="2" xfId="0" applyFill="1" applyBorder="1" applyProtection="1"/>
    <xf numFmtId="0" fontId="44" fillId="0" borderId="12" xfId="0" applyFont="1" applyFill="1" applyBorder="1" applyAlignment="1" applyProtection="1">
      <alignment horizontal="center" vertical="center"/>
    </xf>
    <xf numFmtId="0" fontId="46" fillId="7" borderId="2" xfId="0" applyFont="1" applyFill="1" applyBorder="1" applyAlignment="1" applyProtection="1">
      <alignment horizontal="center" vertical="center"/>
    </xf>
    <xf numFmtId="0" fontId="33" fillId="0" borderId="0" xfId="0" applyFont="1" applyProtection="1"/>
    <xf numFmtId="0" fontId="0" fillId="0" borderId="4" xfId="0" applyBorder="1" applyProtection="1"/>
    <xf numFmtId="0" fontId="0" fillId="0" borderId="0" xfId="0" applyFill="1" applyBorder="1" applyProtection="1"/>
    <xf numFmtId="0" fontId="44" fillId="0" borderId="12" xfId="0" applyFont="1" applyFill="1" applyBorder="1" applyAlignment="1" applyProtection="1">
      <alignment horizontal="center" textRotation="90"/>
    </xf>
    <xf numFmtId="0" fontId="0" fillId="2" borderId="2" xfId="0" applyFill="1" applyBorder="1" applyAlignment="1" applyProtection="1">
      <alignment horizontal="right"/>
    </xf>
    <xf numFmtId="0" fontId="52" fillId="0" borderId="0" xfId="0" applyFont="1" applyProtection="1"/>
    <xf numFmtId="1" fontId="4" fillId="0" borderId="0" xfId="0" applyNumberFormat="1" applyFont="1" applyFill="1" applyBorder="1" applyProtection="1"/>
    <xf numFmtId="0" fontId="47" fillId="0" borderId="0" xfId="0" applyFont="1" applyProtection="1"/>
    <xf numFmtId="0" fontId="0" fillId="0" borderId="0" xfId="0" applyAlignment="1" applyProtection="1">
      <alignment horizontal="center" vertical="center"/>
    </xf>
    <xf numFmtId="0" fontId="5" fillId="0" borderId="0" xfId="1" applyBorder="1" applyAlignment="1" applyProtection="1">
      <alignment horizontal="left" vertical="top"/>
    </xf>
    <xf numFmtId="0" fontId="5" fillId="0" borderId="0" xfId="1" applyAlignment="1" applyProtection="1">
      <alignment horizontal="left" vertical="top"/>
    </xf>
    <xf numFmtId="0" fontId="29" fillId="0" borderId="0" xfId="1" applyFont="1" applyFill="1" applyBorder="1" applyAlignment="1" applyProtection="1">
      <alignment vertical="center"/>
    </xf>
    <xf numFmtId="0" fontId="29" fillId="0" borderId="0" xfId="0" applyFont="1" applyFill="1" applyBorder="1" applyAlignment="1">
      <alignment horizontal="center"/>
    </xf>
    <xf numFmtId="0" fontId="52" fillId="0" borderId="0" xfId="0" applyFont="1" applyFill="1" applyAlignment="1">
      <alignment horizontal="right"/>
    </xf>
    <xf numFmtId="0" fontId="56" fillId="0" borderId="0" xfId="0" applyFont="1" applyAlignment="1"/>
    <xf numFmtId="0" fontId="29" fillId="0" borderId="0" xfId="0" applyFont="1" applyFill="1" applyBorder="1" applyAlignment="1" applyProtection="1">
      <alignment horizontal="center" vertical="center"/>
    </xf>
    <xf numFmtId="0" fontId="29" fillId="2" borderId="2" xfId="0" applyFont="1" applyFill="1" applyBorder="1" applyAlignment="1">
      <alignment horizontal="left"/>
    </xf>
    <xf numFmtId="0" fontId="13" fillId="0" borderId="0" xfId="0" applyFont="1" applyProtection="1"/>
    <xf numFmtId="0" fontId="15" fillId="0" borderId="14" xfId="0" applyFont="1" applyBorder="1" applyAlignment="1" applyProtection="1">
      <alignment horizontal="center"/>
    </xf>
    <xf numFmtId="0" fontId="13" fillId="0" borderId="9" xfId="0" applyFont="1" applyBorder="1" applyProtection="1"/>
    <xf numFmtId="0" fontId="29" fillId="2" borderId="2" xfId="0" applyFont="1" applyFill="1" applyBorder="1" applyAlignment="1">
      <alignment horizontal="center"/>
    </xf>
    <xf numFmtId="0" fontId="12" fillId="0" borderId="5" xfId="0" applyFont="1" applyBorder="1" applyAlignment="1" applyProtection="1">
      <alignment horizontal="center"/>
    </xf>
    <xf numFmtId="0" fontId="62" fillId="0" borderId="0" xfId="0" applyFont="1" applyAlignment="1">
      <alignment horizontal="left" vertical="center"/>
    </xf>
    <xf numFmtId="0" fontId="0" fillId="2" borderId="2" xfId="0" applyFill="1" applyBorder="1" applyAlignment="1">
      <alignment horizontal="right"/>
    </xf>
    <xf numFmtId="0" fontId="4" fillId="9" borderId="12" xfId="0" applyFont="1" applyFill="1" applyBorder="1" applyAlignment="1">
      <alignment horizontal="center"/>
    </xf>
    <xf numFmtId="0" fontId="4" fillId="10" borderId="12" xfId="0" applyFont="1" applyFill="1" applyBorder="1" applyAlignment="1">
      <alignment horizontal="center"/>
    </xf>
    <xf numFmtId="167" fontId="4" fillId="2" borderId="12" xfId="0" applyNumberFormat="1" applyFont="1" applyFill="1" applyBorder="1" applyAlignment="1">
      <alignment horizontal="center"/>
    </xf>
    <xf numFmtId="167" fontId="4" fillId="11" borderId="12" xfId="0" applyNumberFormat="1" applyFont="1" applyFill="1" applyBorder="1" applyAlignment="1">
      <alignment horizontal="center"/>
    </xf>
    <xf numFmtId="0" fontId="4" fillId="0" borderId="12" xfId="0" applyFont="1" applyBorder="1" applyAlignment="1">
      <alignment horizontal="center"/>
    </xf>
    <xf numFmtId="0" fontId="64" fillId="0" borderId="0" xfId="0" applyFont="1" applyAlignment="1">
      <alignment horizontal="center" vertical="center"/>
    </xf>
    <xf numFmtId="0" fontId="64" fillId="0" borderId="0" xfId="0" applyFont="1" applyAlignment="1">
      <alignment horizontal="left" vertical="center"/>
    </xf>
    <xf numFmtId="0" fontId="29" fillId="8" borderId="0" xfId="0" applyFont="1" applyFill="1" applyAlignment="1">
      <alignment horizontal="left"/>
    </xf>
    <xf numFmtId="0" fontId="29" fillId="8" borderId="0" xfId="0" applyFont="1" applyFill="1" applyAlignment="1">
      <alignment horizontal="left" vertical="top"/>
    </xf>
    <xf numFmtId="0" fontId="38" fillId="8" borderId="0" xfId="0" applyFont="1" applyFill="1" applyAlignment="1">
      <alignment horizontal="left"/>
    </xf>
    <xf numFmtId="0" fontId="67" fillId="2" borderId="0" xfId="0" applyFont="1" applyFill="1" applyAlignment="1">
      <alignment horizontal="right"/>
    </xf>
    <xf numFmtId="0" fontId="23" fillId="2" borderId="14" xfId="0" applyFont="1" applyFill="1" applyBorder="1" applyAlignment="1">
      <alignment horizontal="left" vertical="center"/>
    </xf>
    <xf numFmtId="0" fontId="23" fillId="2" borderId="3" xfId="0" applyFont="1" applyFill="1" applyBorder="1" applyAlignment="1">
      <alignment horizontal="left" vertical="center"/>
    </xf>
    <xf numFmtId="0" fontId="0" fillId="2" borderId="0" xfId="0" applyFill="1" applyAlignment="1">
      <alignment vertical="top" wrapText="1"/>
    </xf>
    <xf numFmtId="0" fontId="0" fillId="2" borderId="3" xfId="0" applyFill="1" applyBorder="1"/>
    <xf numFmtId="0" fontId="0" fillId="2" borderId="3" xfId="0" applyFill="1" applyBorder="1" applyAlignment="1">
      <alignment horizontal="right"/>
    </xf>
    <xf numFmtId="0" fontId="0" fillId="2" borderId="6" xfId="0" applyFill="1" applyBorder="1"/>
    <xf numFmtId="0" fontId="0" fillId="2" borderId="12" xfId="0" applyFill="1" applyBorder="1"/>
    <xf numFmtId="0" fontId="68" fillId="0" borderId="0" xfId="0" applyFont="1" applyProtection="1"/>
    <xf numFmtId="0" fontId="68" fillId="0" borderId="0" xfId="0" applyFont="1"/>
    <xf numFmtId="0" fontId="0" fillId="0" borderId="2" xfId="0" applyFill="1" applyBorder="1" applyAlignment="1">
      <alignment horizontal="left"/>
    </xf>
    <xf numFmtId="0" fontId="29" fillId="0" borderId="2" xfId="0" applyFont="1" applyFill="1" applyBorder="1" applyAlignment="1">
      <alignment horizontal="center"/>
    </xf>
    <xf numFmtId="0" fontId="46" fillId="0" borderId="2" xfId="0" applyFont="1" applyFill="1" applyBorder="1" applyAlignment="1" applyProtection="1">
      <alignment horizontal="left" vertical="center"/>
      <protection locked="0"/>
    </xf>
    <xf numFmtId="0" fontId="4" fillId="0" borderId="6" xfId="0" applyFont="1" applyFill="1" applyBorder="1" applyAlignment="1" applyProtection="1">
      <alignment horizontal="left" vertical="center"/>
      <protection locked="0"/>
    </xf>
    <xf numFmtId="0" fontId="31" fillId="0" borderId="0" xfId="0" applyFont="1" applyFill="1" applyBorder="1" applyAlignment="1">
      <alignment horizontal="center" vertical="center"/>
    </xf>
    <xf numFmtId="0" fontId="68" fillId="0" borderId="0" xfId="0" applyFont="1" applyFill="1" applyBorder="1"/>
    <xf numFmtId="0" fontId="53" fillId="0" borderId="0" xfId="0" applyFont="1" applyFill="1" applyBorder="1"/>
    <xf numFmtId="0" fontId="46" fillId="0" borderId="6"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68" fillId="0" borderId="0" xfId="0" applyFont="1" applyFill="1"/>
    <xf numFmtId="0" fontId="52" fillId="0" borderId="0" xfId="0" applyFont="1" applyFill="1" applyAlignment="1">
      <alignment horizontal="center"/>
    </xf>
    <xf numFmtId="0" fontId="52" fillId="0" borderId="0" xfId="0" applyFont="1" applyFill="1"/>
    <xf numFmtId="0" fontId="53" fillId="0" borderId="0" xfId="0" applyFont="1" applyFill="1"/>
    <xf numFmtId="0" fontId="22" fillId="2" borderId="5" xfId="1" applyFont="1" applyFill="1" applyBorder="1" applyAlignment="1" applyProtection="1">
      <alignment horizontal="left"/>
    </xf>
    <xf numFmtId="0" fontId="0" fillId="8" borderId="4" xfId="0" applyFill="1" applyBorder="1"/>
    <xf numFmtId="0" fontId="0" fillId="2" borderId="5" xfId="0" applyFill="1" applyBorder="1"/>
    <xf numFmtId="0" fontId="28" fillId="0" borderId="0" xfId="0" applyFont="1" applyBorder="1" applyAlignment="1"/>
    <xf numFmtId="0" fontId="26" fillId="0" borderId="0" xfId="0" applyFont="1" applyAlignment="1">
      <alignment vertical="top"/>
    </xf>
    <xf numFmtId="0" fontId="29" fillId="8" borderId="0" xfId="0" applyFont="1" applyFill="1" applyAlignment="1">
      <alignment horizontal="center" vertical="top"/>
    </xf>
    <xf numFmtId="0" fontId="66" fillId="0" borderId="0" xfId="0" applyFont="1" applyAlignment="1">
      <alignment horizontal="justify" vertical="top" wrapText="1"/>
    </xf>
    <xf numFmtId="0" fontId="5" fillId="0" borderId="0" xfId="1" applyBorder="1" applyAlignment="1" applyProtection="1">
      <alignment horizontal="left" vertical="center"/>
    </xf>
    <xf numFmtId="0" fontId="5" fillId="0" borderId="0" xfId="1" applyAlignment="1" applyProtection="1">
      <alignment horizontal="left" vertical="center"/>
    </xf>
    <xf numFmtId="0" fontId="60" fillId="7" borderId="0" xfId="0" applyFont="1" applyFill="1" applyBorder="1" applyAlignment="1">
      <alignment horizontal="center"/>
    </xf>
    <xf numFmtId="0" fontId="29" fillId="7" borderId="0" xfId="0" applyFont="1" applyFill="1" applyAlignment="1"/>
    <xf numFmtId="0" fontId="29" fillId="0" borderId="4" xfId="0" applyFont="1" applyBorder="1" applyAlignment="1" applyProtection="1">
      <alignment horizontal="center" vertical="center"/>
      <protection locked="0"/>
    </xf>
    <xf numFmtId="0" fontId="29" fillId="2" borderId="0" xfId="0" applyFont="1" applyFill="1"/>
    <xf numFmtId="0" fontId="6" fillId="0" borderId="15" xfId="0" applyFont="1" applyBorder="1"/>
    <xf numFmtId="0" fontId="7" fillId="0" borderId="16" xfId="0" applyFont="1" applyBorder="1"/>
    <xf numFmtId="0" fontId="7" fillId="0" borderId="17" xfId="0" applyFont="1" applyBorder="1"/>
    <xf numFmtId="0" fontId="60" fillId="0" borderId="0" xfId="0" applyFont="1" applyFill="1" applyBorder="1" applyAlignment="1">
      <alignment horizontal="center"/>
    </xf>
    <xf numFmtId="0" fontId="7" fillId="0" borderId="0" xfId="0" applyFont="1" applyFill="1"/>
    <xf numFmtId="0" fontId="12" fillId="0" borderId="0" xfId="0" applyFont="1" applyFill="1"/>
    <xf numFmtId="0" fontId="0" fillId="0" borderId="0" xfId="0" applyFill="1" applyAlignment="1">
      <alignment vertical="center"/>
    </xf>
    <xf numFmtId="0" fontId="60" fillId="0" borderId="0" xfId="0" applyFont="1" applyFill="1" applyAlignment="1"/>
    <xf numFmtId="0" fontId="50" fillId="0" borderId="0" xfId="0" applyFont="1" applyFill="1" applyBorder="1" applyAlignment="1" applyProtection="1">
      <alignment vertical="center" wrapText="1"/>
    </xf>
    <xf numFmtId="0" fontId="0" fillId="0" borderId="0" xfId="0" applyBorder="1" applyProtection="1"/>
    <xf numFmtId="0" fontId="0" fillId="2" borderId="11" xfId="0" applyFill="1" applyBorder="1"/>
    <xf numFmtId="0" fontId="0" fillId="2" borderId="3" xfId="0" applyFill="1" applyBorder="1" applyAlignment="1">
      <alignment horizontal="center"/>
    </xf>
    <xf numFmtId="0" fontId="29" fillId="2" borderId="0" xfId="0" applyFont="1" applyFill="1" applyAlignment="1">
      <alignment horizontal="center"/>
    </xf>
    <xf numFmtId="0" fontId="52" fillId="2" borderId="0" xfId="0" applyFont="1" applyFill="1" applyBorder="1" applyAlignment="1">
      <alignment horizontal="right"/>
    </xf>
    <xf numFmtId="0" fontId="52" fillId="2" borderId="12" xfId="0" applyFont="1" applyFill="1" applyBorder="1" applyAlignment="1">
      <alignment horizontal="right"/>
    </xf>
    <xf numFmtId="0" fontId="52" fillId="2" borderId="7" xfId="0" applyFont="1" applyFill="1" applyBorder="1" applyAlignment="1">
      <alignment horizontal="right"/>
    </xf>
    <xf numFmtId="0" fontId="0" fillId="2" borderId="0" xfId="0" applyFill="1" applyProtection="1"/>
    <xf numFmtId="0" fontId="0" fillId="2" borderId="3" xfId="0" applyFill="1" applyBorder="1" applyProtection="1"/>
    <xf numFmtId="0" fontId="0" fillId="2" borderId="0" xfId="0" applyFill="1" applyBorder="1" applyProtection="1"/>
    <xf numFmtId="0" fontId="0" fillId="2" borderId="12" xfId="0" applyFill="1" applyBorder="1" applyProtection="1"/>
    <xf numFmtId="0" fontId="0" fillId="2" borderId="6" xfId="0" applyFill="1" applyBorder="1" applyProtection="1"/>
    <xf numFmtId="0" fontId="68" fillId="0" borderId="3" xfId="0" applyFont="1" applyBorder="1" applyProtection="1"/>
    <xf numFmtId="0" fontId="0" fillId="0" borderId="3" xfId="0" applyBorder="1" applyProtection="1"/>
    <xf numFmtId="0" fontId="4" fillId="2" borderId="2" xfId="0" applyFont="1" applyFill="1" applyBorder="1" applyProtection="1"/>
    <xf numFmtId="0" fontId="68" fillId="2" borderId="12" xfId="0" applyFont="1" applyFill="1" applyBorder="1"/>
    <xf numFmtId="0" fontId="68" fillId="2" borderId="7" xfId="0" applyFont="1" applyFill="1" applyBorder="1"/>
    <xf numFmtId="0" fontId="52" fillId="2" borderId="0" xfId="0" applyFont="1" applyFill="1" applyBorder="1" applyAlignment="1">
      <alignment horizontal="center"/>
    </xf>
    <xf numFmtId="0" fontId="52" fillId="2" borderId="12" xfId="0" applyFont="1" applyFill="1" applyBorder="1" applyAlignment="1">
      <alignment horizontal="center"/>
    </xf>
    <xf numFmtId="0" fontId="52" fillId="2" borderId="6" xfId="0" applyFont="1" applyFill="1" applyBorder="1" applyAlignment="1">
      <alignment horizontal="center"/>
    </xf>
    <xf numFmtId="0" fontId="4" fillId="2" borderId="2" xfId="0" applyFont="1" applyFill="1" applyBorder="1" applyAlignment="1">
      <alignment horizontal="center"/>
    </xf>
    <xf numFmtId="0" fontId="68" fillId="0" borderId="11" xfId="0" applyFont="1" applyFill="1" applyBorder="1"/>
    <xf numFmtId="0" fontId="68" fillId="0" borderId="0" xfId="0" applyFont="1" applyFill="1" applyBorder="1" applyProtection="1"/>
    <xf numFmtId="0" fontId="20" fillId="0" borderId="18" xfId="0" applyFont="1" applyBorder="1" applyAlignment="1" applyProtection="1"/>
    <xf numFmtId="0" fontId="21" fillId="0" borderId="18" xfId="0" applyFont="1" applyBorder="1" applyAlignment="1" applyProtection="1"/>
    <xf numFmtId="0" fontId="21" fillId="0" borderId="19" xfId="0" applyFont="1" applyBorder="1" applyAlignment="1" applyProtection="1"/>
    <xf numFmtId="0" fontId="17" fillId="0" borderId="18" xfId="0" applyFont="1" applyBorder="1" applyAlignment="1" applyProtection="1">
      <alignment horizontal="center"/>
    </xf>
    <xf numFmtId="0" fontId="46" fillId="0" borderId="0" xfId="0" applyFont="1" applyBorder="1" applyAlignment="1"/>
    <xf numFmtId="0" fontId="29" fillId="0" borderId="0" xfId="0" applyFont="1" applyBorder="1" applyAlignment="1"/>
    <xf numFmtId="0" fontId="15" fillId="0" borderId="0" xfId="0" applyFont="1" applyBorder="1" applyAlignment="1" applyProtection="1">
      <alignment horizontal="center"/>
    </xf>
    <xf numFmtId="0" fontId="13" fillId="0" borderId="20" xfId="0" applyFont="1" applyBorder="1"/>
    <xf numFmtId="0" fontId="13" fillId="0" borderId="20" xfId="0" applyFont="1" applyBorder="1" applyProtection="1"/>
    <xf numFmtId="0" fontId="0" fillId="0" borderId="5" xfId="0" applyFill="1" applyBorder="1" applyAlignment="1" applyProtection="1">
      <alignment horizontal="left"/>
      <protection locked="0"/>
    </xf>
    <xf numFmtId="0" fontId="0" fillId="7" borderId="4" xfId="0" applyFill="1" applyBorder="1" applyAlignment="1" applyProtection="1">
      <alignment horizontal="center"/>
    </xf>
    <xf numFmtId="0" fontId="72" fillId="0" borderId="0" xfId="0" applyFont="1" applyProtection="1"/>
    <xf numFmtId="0" fontId="7" fillId="0" borderId="3" xfId="0" applyFont="1" applyBorder="1"/>
    <xf numFmtId="0" fontId="7" fillId="0" borderId="2" xfId="0" applyFont="1" applyBorder="1"/>
    <xf numFmtId="0" fontId="72" fillId="0" borderId="2" xfId="0" applyFont="1" applyBorder="1" applyProtection="1"/>
    <xf numFmtId="0" fontId="8" fillId="0" borderId="5" xfId="0" applyFont="1" applyBorder="1"/>
    <xf numFmtId="0" fontId="8" fillId="0" borderId="2" xfId="0" applyFont="1" applyBorder="1"/>
    <xf numFmtId="0" fontId="72" fillId="0" borderId="10" xfId="0" applyFont="1" applyBorder="1" applyProtection="1"/>
    <xf numFmtId="0" fontId="72" fillId="0" borderId="12" xfId="0" applyFont="1" applyBorder="1" applyProtection="1"/>
    <xf numFmtId="0" fontId="21" fillId="0" borderId="0" xfId="0" applyFont="1" applyBorder="1" applyAlignment="1">
      <alignment horizontal="left"/>
    </xf>
    <xf numFmtId="0" fontId="29" fillId="0" borderId="0" xfId="0" applyFont="1" applyProtection="1"/>
    <xf numFmtId="0" fontId="0" fillId="0" borderId="21" xfId="0" applyBorder="1" applyProtection="1"/>
    <xf numFmtId="1" fontId="29" fillId="0" borderId="0" xfId="0" applyNumberFormat="1" applyFont="1" applyFill="1" applyBorder="1" applyAlignment="1" applyProtection="1">
      <alignment horizontal="center" vertical="center"/>
    </xf>
    <xf numFmtId="0" fontId="29" fillId="6" borderId="7" xfId="0" applyFont="1" applyFill="1" applyBorder="1" applyAlignment="1" applyProtection="1">
      <alignment horizontal="center"/>
    </xf>
    <xf numFmtId="0" fontId="68" fillId="0" borderId="22" xfId="0" applyFont="1" applyBorder="1" applyProtection="1"/>
    <xf numFmtId="0" fontId="68" fillId="0" borderId="6" xfId="0" applyFont="1" applyBorder="1" applyProtection="1"/>
    <xf numFmtId="0" fontId="68" fillId="0" borderId="23" xfId="0" applyFont="1" applyBorder="1" applyProtection="1"/>
    <xf numFmtId="0" fontId="68" fillId="0" borderId="11" xfId="0" applyFont="1" applyBorder="1" applyProtection="1"/>
    <xf numFmtId="0" fontId="68" fillId="0" borderId="0" xfId="0" applyFont="1" applyBorder="1" applyProtection="1"/>
    <xf numFmtId="0" fontId="68" fillId="0" borderId="21" xfId="0" applyFont="1" applyBorder="1" applyProtection="1"/>
    <xf numFmtId="0" fontId="68" fillId="0" borderId="14" xfId="0" applyFont="1" applyBorder="1" applyProtection="1"/>
    <xf numFmtId="0" fontId="68" fillId="0" borderId="24" xfId="0" applyFont="1" applyBorder="1" applyProtection="1"/>
    <xf numFmtId="0" fontId="68" fillId="0" borderId="22" xfId="0" applyFont="1" applyFill="1" applyBorder="1" applyProtection="1"/>
    <xf numFmtId="0" fontId="68" fillId="0" borderId="11" xfId="0" applyFont="1" applyFill="1" applyBorder="1" applyProtection="1"/>
    <xf numFmtId="0" fontId="68" fillId="0" borderId="14" xfId="0" applyFont="1" applyFill="1" applyBorder="1" applyProtection="1"/>
    <xf numFmtId="1" fontId="29" fillId="0" borderId="21" xfId="0" applyNumberFormat="1" applyFont="1" applyFill="1" applyBorder="1" applyAlignment="1" applyProtection="1">
      <alignment horizontal="center" vertical="center"/>
      <protection locked="0"/>
    </xf>
    <xf numFmtId="1" fontId="29" fillId="7" borderId="4" xfId="0" applyNumberFormat="1" applyFont="1" applyFill="1" applyBorder="1" applyAlignment="1" applyProtection="1">
      <alignment horizontal="center" vertical="center"/>
    </xf>
    <xf numFmtId="0" fontId="68" fillId="12" borderId="0" xfId="0" applyFont="1" applyFill="1" applyProtection="1"/>
    <xf numFmtId="1" fontId="29" fillId="0" borderId="0" xfId="0" applyNumberFormat="1" applyFont="1" applyFill="1" applyBorder="1" applyAlignment="1" applyProtection="1">
      <alignment horizontal="center" vertical="center"/>
      <protection locked="0"/>
    </xf>
    <xf numFmtId="0" fontId="13" fillId="0" borderId="0" xfId="0" applyFont="1" applyBorder="1" applyAlignment="1">
      <alignment horizontal="center"/>
    </xf>
    <xf numFmtId="0" fontId="24" fillId="0" borderId="0" xfId="0" applyFont="1" applyFill="1" applyBorder="1" applyAlignment="1" applyProtection="1">
      <alignment horizontal="left"/>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0" fillId="0" borderId="13" xfId="0" applyBorder="1"/>
    <xf numFmtId="0" fontId="0" fillId="0" borderId="8" xfId="0" applyBorder="1"/>
    <xf numFmtId="0" fontId="0" fillId="0" borderId="27" xfId="0" applyBorder="1"/>
    <xf numFmtId="0" fontId="0" fillId="0" borderId="9" xfId="0" applyBorder="1"/>
    <xf numFmtId="0" fontId="0" fillId="0" borderId="28" xfId="0" applyBorder="1"/>
    <xf numFmtId="0" fontId="0" fillId="0" borderId="29" xfId="0" applyBorder="1"/>
    <xf numFmtId="0" fontId="0" fillId="0" borderId="30" xfId="0" applyBorder="1"/>
    <xf numFmtId="0" fontId="0" fillId="0" borderId="31" xfId="0" applyBorder="1"/>
    <xf numFmtId="0" fontId="7" fillId="0" borderId="8" xfId="0" applyFont="1" applyBorder="1"/>
    <xf numFmtId="0" fontId="7" fillId="0" borderId="0" xfId="0" applyFont="1" applyBorder="1"/>
    <xf numFmtId="0" fontId="7" fillId="0" borderId="0" xfId="0" applyFont="1" applyFill="1" applyBorder="1"/>
    <xf numFmtId="1" fontId="75" fillId="12" borderId="0" xfId="0" applyNumberFormat="1" applyFont="1" applyFill="1" applyBorder="1" applyProtection="1"/>
    <xf numFmtId="0" fontId="76" fillId="0" borderId="0" xfId="0" applyFont="1"/>
    <xf numFmtId="0" fontId="76" fillId="0" borderId="0" xfId="0" applyFont="1" applyAlignment="1">
      <alignment horizontal="center"/>
    </xf>
    <xf numFmtId="1" fontId="76" fillId="0" borderId="0" xfId="0" applyNumberFormat="1" applyFont="1" applyAlignment="1">
      <alignment horizontal="center"/>
    </xf>
    <xf numFmtId="0" fontId="76" fillId="8" borderId="0" xfId="0" applyFont="1" applyFill="1"/>
    <xf numFmtId="0" fontId="4" fillId="13" borderId="10" xfId="0" applyFont="1" applyFill="1" applyBorder="1" applyAlignment="1" applyProtection="1">
      <alignment vertical="center"/>
    </xf>
    <xf numFmtId="0" fontId="4" fillId="13" borderId="23" xfId="0" applyFont="1" applyFill="1" applyBorder="1" applyAlignment="1" applyProtection="1">
      <alignment horizontal="left" vertical="center"/>
    </xf>
    <xf numFmtId="0" fontId="0" fillId="13" borderId="4" xfId="0" applyFill="1" applyBorder="1" applyProtection="1"/>
    <xf numFmtId="0" fontId="4" fillId="2" borderId="12" xfId="0" applyFont="1" applyFill="1" applyBorder="1"/>
    <xf numFmtId="0" fontId="57" fillId="0" borderId="0" xfId="0" applyFont="1"/>
    <xf numFmtId="0" fontId="4" fillId="0" borderId="0" xfId="0" applyFont="1" applyAlignment="1">
      <alignment vertical="center"/>
    </xf>
    <xf numFmtId="0" fontId="4" fillId="0" borderId="0" xfId="0" applyFont="1" applyAlignment="1"/>
    <xf numFmtId="0" fontId="79" fillId="0" borderId="0" xfId="0" applyFont="1" applyBorder="1" applyAlignment="1">
      <alignment horizontal="center" vertical="center"/>
    </xf>
    <xf numFmtId="0" fontId="4" fillId="0" borderId="0" xfId="0" applyFont="1" applyBorder="1" applyAlignment="1" applyProtection="1">
      <alignment horizontal="left" vertical="center"/>
      <protection locked="0"/>
    </xf>
    <xf numFmtId="0" fontId="42" fillId="0" borderId="0" xfId="0" applyFont="1" applyBorder="1" applyAlignment="1" applyProtection="1">
      <alignment vertical="center"/>
      <protection locked="0"/>
    </xf>
    <xf numFmtId="0" fontId="4" fillId="0" borderId="8" xfId="0" applyFont="1" applyBorder="1" applyAlignment="1" applyProtection="1"/>
    <xf numFmtId="0" fontId="4" fillId="0" borderId="0" xfId="0" applyFont="1" applyAlignment="1">
      <alignment horizontal="left" vertical="top"/>
    </xf>
    <xf numFmtId="0" fontId="55" fillId="5" borderId="0" xfId="0" applyFont="1" applyFill="1" applyAlignment="1">
      <alignment horizontal="center" vertical="center"/>
    </xf>
    <xf numFmtId="0" fontId="56" fillId="0" borderId="0" xfId="0" applyFont="1" applyAlignment="1">
      <alignment vertical="center"/>
    </xf>
    <xf numFmtId="0" fontId="56" fillId="0" borderId="0" xfId="0" applyFont="1" applyFill="1" applyAlignment="1">
      <alignment vertical="center"/>
    </xf>
    <xf numFmtId="0" fontId="37" fillId="2" borderId="0" xfId="0" applyFont="1" applyFill="1" applyAlignment="1">
      <alignment vertical="center"/>
    </xf>
    <xf numFmtId="0" fontId="56" fillId="0" borderId="0" xfId="0" applyFont="1"/>
    <xf numFmtId="0" fontId="56" fillId="2" borderId="0" xfId="0" applyFont="1" applyFill="1" applyAlignment="1">
      <alignment vertical="center"/>
    </xf>
    <xf numFmtId="0" fontId="56" fillId="0" borderId="0" xfId="0" applyFont="1" applyFill="1" applyBorder="1" applyAlignment="1" applyProtection="1">
      <alignment horizontal="center"/>
    </xf>
    <xf numFmtId="0" fontId="56" fillId="0" borderId="0" xfId="0" applyFont="1" applyBorder="1" applyAlignment="1">
      <alignment horizontal="right" vertical="top"/>
    </xf>
    <xf numFmtId="0" fontId="56" fillId="0" borderId="0" xfId="0" applyFont="1" applyFill="1" applyBorder="1" applyAlignment="1">
      <alignment horizontal="left"/>
    </xf>
    <xf numFmtId="0" fontId="55" fillId="5" borderId="2" xfId="0" applyFont="1" applyFill="1" applyBorder="1" applyAlignment="1">
      <alignment vertical="center"/>
    </xf>
    <xf numFmtId="0" fontId="56" fillId="0" borderId="0" xfId="0" applyFont="1" applyBorder="1" applyAlignment="1">
      <alignment vertical="center"/>
    </xf>
    <xf numFmtId="0" fontId="55" fillId="5" borderId="0" xfId="0" applyFont="1" applyFill="1" applyBorder="1" applyAlignment="1">
      <alignment horizontal="center" vertical="center"/>
    </xf>
    <xf numFmtId="0" fontId="80" fillId="2" borderId="12" xfId="0" applyFont="1" applyFill="1" applyBorder="1" applyAlignment="1">
      <alignment horizontal="center"/>
    </xf>
    <xf numFmtId="0" fontId="55" fillId="5" borderId="6" xfId="0" applyFont="1" applyFill="1" applyBorder="1" applyAlignment="1">
      <alignment horizontal="center" vertical="center"/>
    </xf>
    <xf numFmtId="0" fontId="56" fillId="2" borderId="12" xfId="0" applyFont="1" applyFill="1" applyBorder="1" applyAlignment="1" applyProtection="1">
      <alignment horizontal="left"/>
    </xf>
    <xf numFmtId="0" fontId="56" fillId="2" borderId="11" xfId="0" applyFont="1" applyFill="1" applyBorder="1" applyAlignment="1" applyProtection="1">
      <alignment horizontal="left"/>
    </xf>
    <xf numFmtId="0" fontId="22" fillId="2" borderId="5" xfId="1" applyFont="1" applyFill="1" applyBorder="1" applyAlignment="1" applyProtection="1"/>
    <xf numFmtId="0" fontId="76" fillId="0" borderId="0" xfId="0" applyFont="1" applyFill="1" applyAlignment="1">
      <alignment horizontal="center"/>
    </xf>
    <xf numFmtId="1" fontId="76" fillId="0" borderId="0" xfId="0" applyNumberFormat="1" applyFont="1" applyFill="1" applyAlignment="1">
      <alignment horizontal="center"/>
    </xf>
    <xf numFmtId="1" fontId="29" fillId="8" borderId="10" xfId="0" applyNumberFormat="1" applyFont="1" applyFill="1" applyBorder="1" applyAlignment="1" applyProtection="1">
      <alignment horizontal="center" textRotation="90"/>
    </xf>
    <xf numFmtId="0" fontId="47" fillId="2" borderId="2" xfId="0" applyFont="1" applyFill="1" applyBorder="1"/>
    <xf numFmtId="0" fontId="76" fillId="2" borderId="0" xfId="0" applyFont="1" applyFill="1"/>
    <xf numFmtId="0" fontId="29" fillId="2" borderId="0" xfId="0" applyFont="1" applyFill="1" applyAlignment="1">
      <alignment horizontal="left"/>
    </xf>
    <xf numFmtId="0" fontId="0" fillId="12" borderId="4" xfId="0" applyFill="1" applyBorder="1"/>
    <xf numFmtId="0" fontId="29" fillId="7" borderId="4" xfId="0" applyFont="1" applyFill="1" applyBorder="1" applyAlignment="1" applyProtection="1">
      <alignment horizontal="center" textRotation="90"/>
    </xf>
    <xf numFmtId="1" fontId="29" fillId="8" borderId="4" xfId="0" applyNumberFormat="1" applyFont="1" applyFill="1" applyBorder="1" applyAlignment="1" applyProtection="1">
      <alignment horizontal="center" textRotation="90"/>
    </xf>
    <xf numFmtId="1" fontId="29" fillId="14" borderId="4" xfId="0" applyNumberFormat="1" applyFont="1" applyFill="1" applyBorder="1" applyAlignment="1" applyProtection="1">
      <alignment horizontal="center" textRotation="90"/>
    </xf>
    <xf numFmtId="1" fontId="29" fillId="12" borderId="4" xfId="0" applyNumberFormat="1" applyFont="1" applyFill="1" applyBorder="1" applyAlignment="1" applyProtection="1">
      <alignment horizontal="center" textRotation="90"/>
    </xf>
    <xf numFmtId="0" fontId="84" fillId="0" borderId="0" xfId="0" applyFont="1"/>
    <xf numFmtId="0" fontId="84" fillId="2" borderId="0" xfId="0" applyFont="1" applyFill="1"/>
    <xf numFmtId="0" fontId="29" fillId="0" borderId="32" xfId="0" applyFont="1" applyBorder="1"/>
    <xf numFmtId="0" fontId="29" fillId="0" borderId="33" xfId="0" applyFont="1" applyBorder="1"/>
    <xf numFmtId="0" fontId="29" fillId="6" borderId="4" xfId="0" applyFont="1" applyFill="1" applyBorder="1" applyAlignment="1">
      <alignment horizontal="center" textRotation="90"/>
    </xf>
    <xf numFmtId="0" fontId="29" fillId="6" borderId="4" xfId="0" applyFont="1" applyFill="1" applyBorder="1" applyAlignment="1">
      <alignment horizontal="center"/>
    </xf>
    <xf numFmtId="1" fontId="24" fillId="8" borderId="4" xfId="0" applyNumberFormat="1" applyFont="1" applyFill="1" applyBorder="1" applyAlignment="1" applyProtection="1">
      <alignment horizontal="center"/>
      <protection locked="0"/>
    </xf>
    <xf numFmtId="1" fontId="29" fillId="2" borderId="2" xfId="0" applyNumberFormat="1" applyFont="1" applyFill="1" applyBorder="1" applyAlignment="1">
      <alignment horizontal="center" vertical="center"/>
    </xf>
    <xf numFmtId="1" fontId="4" fillId="2" borderId="2" xfId="0" applyNumberFormat="1" applyFont="1" applyFill="1" applyBorder="1"/>
    <xf numFmtId="0" fontId="41" fillId="6" borderId="4" xfId="0" applyNumberFormat="1" applyFont="1" applyFill="1" applyBorder="1" applyAlignment="1">
      <alignment horizontal="center" vertical="center"/>
    </xf>
    <xf numFmtId="0" fontId="0" fillId="2" borderId="0" xfId="0" applyFill="1" applyBorder="1" applyAlignment="1">
      <alignment horizontal="center"/>
    </xf>
    <xf numFmtId="0" fontId="29" fillId="8" borderId="4" xfId="0" applyFont="1" applyFill="1" applyBorder="1" applyAlignment="1">
      <alignment horizontal="center"/>
    </xf>
    <xf numFmtId="0" fontId="29" fillId="14" borderId="4" xfId="0" applyFont="1" applyFill="1" applyBorder="1" applyAlignment="1">
      <alignment horizontal="center"/>
    </xf>
    <xf numFmtId="1" fontId="29" fillId="8" borderId="4" xfId="0" applyNumberFormat="1" applyFont="1" applyFill="1" applyBorder="1" applyAlignment="1" applyProtection="1">
      <alignment horizontal="center"/>
      <protection locked="0"/>
    </xf>
    <xf numFmtId="1" fontId="29" fillId="14" borderId="4" xfId="0" applyNumberFormat="1" applyFont="1" applyFill="1" applyBorder="1" applyAlignment="1" applyProtection="1">
      <alignment horizontal="center"/>
      <protection locked="0"/>
    </xf>
    <xf numFmtId="0" fontId="0" fillId="8" borderId="10" xfId="0" applyFill="1" applyBorder="1"/>
    <xf numFmtId="1" fontId="29" fillId="15" borderId="4" xfId="0" applyNumberFormat="1" applyFont="1" applyFill="1" applyBorder="1" applyAlignment="1" applyProtection="1">
      <alignment horizontal="center" textRotation="90"/>
    </xf>
    <xf numFmtId="0" fontId="29" fillId="8" borderId="5" xfId="0" applyFont="1" applyFill="1" applyBorder="1"/>
    <xf numFmtId="0" fontId="29" fillId="0" borderId="34" xfId="0" applyFont="1" applyBorder="1" applyAlignment="1">
      <alignment vertical="top"/>
    </xf>
    <xf numFmtId="0" fontId="24" fillId="2" borderId="0" xfId="0" applyFont="1" applyFill="1" applyBorder="1" applyAlignment="1">
      <alignment horizontal="left"/>
    </xf>
    <xf numFmtId="0" fontId="46" fillId="7" borderId="4" xfId="0" applyFont="1" applyFill="1" applyBorder="1" applyAlignment="1">
      <alignment horizontal="center" vertical="center"/>
    </xf>
    <xf numFmtId="0" fontId="52" fillId="2" borderId="21" xfId="0" applyFont="1" applyFill="1" applyBorder="1" applyAlignment="1">
      <alignment horizontal="center"/>
    </xf>
    <xf numFmtId="0" fontId="68" fillId="0" borderId="22" xfId="0" applyFont="1" applyFill="1" applyBorder="1"/>
    <xf numFmtId="0" fontId="68" fillId="0" borderId="6" xfId="0" applyFont="1" applyFill="1" applyBorder="1"/>
    <xf numFmtId="0" fontId="68" fillId="0" borderId="23" xfId="0" applyFont="1" applyFill="1" applyBorder="1"/>
    <xf numFmtId="0" fontId="68" fillId="0" borderId="21" xfId="0" applyFont="1" applyFill="1" applyBorder="1"/>
    <xf numFmtId="0" fontId="0" fillId="0" borderId="14" xfId="0" applyBorder="1"/>
    <xf numFmtId="0" fontId="68" fillId="0" borderId="3" xfId="0" applyFont="1" applyFill="1" applyBorder="1"/>
    <xf numFmtId="0" fontId="68" fillId="0" borderId="24" xfId="0" applyFont="1" applyFill="1" applyBorder="1"/>
    <xf numFmtId="0" fontId="68" fillId="0" borderId="5" xfId="0" applyFont="1" applyFill="1" applyBorder="1"/>
    <xf numFmtId="0" fontId="68" fillId="0" borderId="2" xfId="0" applyFont="1" applyFill="1" applyBorder="1"/>
    <xf numFmtId="0" fontId="68" fillId="0" borderId="10" xfId="0" applyFont="1" applyFill="1" applyBorder="1"/>
    <xf numFmtId="0" fontId="29" fillId="2" borderId="0" xfId="0" applyFont="1" applyFill="1" applyBorder="1" applyAlignment="1">
      <alignment horizontal="center"/>
    </xf>
    <xf numFmtId="1" fontId="29" fillId="2" borderId="0" xfId="0" applyNumberFormat="1" applyFont="1" applyFill="1" applyBorder="1" applyAlignment="1" applyProtection="1">
      <alignment horizontal="center"/>
      <protection locked="0"/>
    </xf>
    <xf numFmtId="0" fontId="0" fillId="2" borderId="24" xfId="0" applyFill="1" applyBorder="1"/>
    <xf numFmtId="0" fontId="14" fillId="0" borderId="0" xfId="0" applyFont="1" applyBorder="1"/>
    <xf numFmtId="0" fontId="85" fillId="0" borderId="0" xfId="0" applyFont="1" applyAlignment="1">
      <alignment horizontal="right"/>
    </xf>
    <xf numFmtId="0" fontId="76" fillId="0" borderId="5" xfId="0" applyFont="1" applyBorder="1"/>
    <xf numFmtId="0" fontId="76" fillId="0" borderId="2" xfId="0" applyFont="1" applyBorder="1"/>
    <xf numFmtId="0" fontId="76" fillId="0" borderId="10" xfId="0" applyFont="1" applyBorder="1"/>
    <xf numFmtId="0" fontId="76" fillId="0" borderId="4" xfId="0" applyFont="1" applyBorder="1"/>
    <xf numFmtId="0" fontId="76" fillId="0" borderId="0" xfId="0" applyFont="1" applyFill="1"/>
    <xf numFmtId="0" fontId="85" fillId="0" borderId="1" xfId="0" applyFont="1" applyBorder="1"/>
    <xf numFmtId="0" fontId="85" fillId="0" borderId="0" xfId="0" applyFont="1"/>
    <xf numFmtId="0" fontId="85" fillId="0" borderId="0" xfId="0" applyFont="1" applyAlignment="1">
      <alignment horizontal="center"/>
    </xf>
    <xf numFmtId="0" fontId="86" fillId="0" borderId="0" xfId="0" applyFont="1"/>
    <xf numFmtId="0" fontId="85" fillId="0" borderId="0" xfId="0" applyFont="1" applyAlignment="1">
      <alignment horizontal="left"/>
    </xf>
    <xf numFmtId="0" fontId="85" fillId="0" borderId="0" xfId="0" applyFont="1" applyFill="1" applyBorder="1" applyAlignment="1">
      <alignment horizontal="center"/>
    </xf>
    <xf numFmtId="0" fontId="85" fillId="0" borderId="0" xfId="0" applyFont="1" applyFill="1" applyBorder="1"/>
    <xf numFmtId="0" fontId="85" fillId="0" borderId="0" xfId="0" applyFont="1" applyFill="1" applyBorder="1" applyAlignment="1">
      <alignment horizontal="right"/>
    </xf>
    <xf numFmtId="0" fontId="86" fillId="0" borderId="0" xfId="0" applyFont="1" applyFill="1" applyBorder="1"/>
    <xf numFmtId="0" fontId="85" fillId="0" borderId="0" xfId="0" applyFont="1" applyProtection="1"/>
    <xf numFmtId="0" fontId="68" fillId="0" borderId="0" xfId="0" applyFont="1" applyBorder="1" applyAlignment="1" applyProtection="1">
      <alignment horizontal="center"/>
    </xf>
    <xf numFmtId="0" fontId="12" fillId="0" borderId="0" xfId="0" applyFont="1" applyBorder="1"/>
    <xf numFmtId="0" fontId="14" fillId="0" borderId="8" xfId="0" applyFont="1" applyBorder="1"/>
    <xf numFmtId="0" fontId="14" fillId="0" borderId="30" xfId="0" applyFont="1" applyBorder="1"/>
    <xf numFmtId="1" fontId="88" fillId="0" borderId="0" xfId="0" applyNumberFormat="1" applyFont="1" applyFill="1" applyBorder="1" applyAlignment="1" applyProtection="1">
      <alignment horizontal="center" textRotation="90"/>
    </xf>
    <xf numFmtId="0" fontId="46" fillId="2" borderId="0" xfId="0" applyFont="1" applyFill="1" applyBorder="1" applyAlignment="1">
      <alignment horizontal="center" vertical="center"/>
    </xf>
    <xf numFmtId="1" fontId="68" fillId="0" borderId="0" xfId="0" applyNumberFormat="1" applyFont="1" applyFill="1" applyBorder="1"/>
    <xf numFmtId="0" fontId="76" fillId="0" borderId="0" xfId="0" applyFont="1" applyBorder="1"/>
    <xf numFmtId="0" fontId="56" fillId="0" borderId="11" xfId="0" applyFont="1" applyFill="1" applyBorder="1" applyAlignment="1">
      <alignment horizontal="right"/>
    </xf>
    <xf numFmtId="0" fontId="0" fillId="0" borderId="22" xfId="0" applyBorder="1"/>
    <xf numFmtId="0" fontId="12" fillId="0" borderId="29" xfId="0" applyFont="1" applyBorder="1"/>
    <xf numFmtId="0" fontId="12" fillId="0" borderId="31" xfId="0" applyFont="1" applyBorder="1"/>
    <xf numFmtId="1" fontId="0" fillId="0" borderId="0" xfId="0" applyNumberFormat="1"/>
    <xf numFmtId="1" fontId="29" fillId="16" borderId="2" xfId="0" applyNumberFormat="1" applyFont="1" applyFill="1" applyBorder="1" applyAlignment="1" applyProtection="1">
      <alignment horizontal="center" textRotation="90"/>
    </xf>
    <xf numFmtId="0" fontId="29" fillId="6" borderId="4" xfId="0" applyFont="1" applyFill="1" applyBorder="1" applyAlignment="1" applyProtection="1">
      <alignment horizontal="center"/>
    </xf>
    <xf numFmtId="0" fontId="29" fillId="7" borderId="4" xfId="0" applyFont="1" applyFill="1" applyBorder="1" applyAlignment="1">
      <alignment horizontal="center" textRotation="90"/>
    </xf>
    <xf numFmtId="0" fontId="29" fillId="14" borderId="4" xfId="0" applyFont="1" applyFill="1" applyBorder="1" applyAlignment="1">
      <alignment horizontal="center" textRotation="90"/>
    </xf>
    <xf numFmtId="0" fontId="29" fillId="15" borderId="4" xfId="0" applyFont="1" applyFill="1" applyBorder="1" applyAlignment="1">
      <alignment horizontal="center" textRotation="90"/>
    </xf>
    <xf numFmtId="1" fontId="29" fillId="14" borderId="10" xfId="0" applyNumberFormat="1" applyFont="1" applyFill="1" applyBorder="1" applyAlignment="1" applyProtection="1">
      <alignment horizontal="center" textRotation="90"/>
    </xf>
    <xf numFmtId="1" fontId="29" fillId="10" borderId="4" xfId="0" applyNumberFormat="1" applyFont="1" applyFill="1" applyBorder="1" applyAlignment="1" applyProtection="1">
      <alignment horizontal="center" textRotation="90"/>
    </xf>
    <xf numFmtId="0" fontId="29" fillId="10" borderId="4" xfId="0" applyFont="1" applyFill="1" applyBorder="1" applyAlignment="1">
      <alignment horizontal="center"/>
    </xf>
    <xf numFmtId="0" fontId="44" fillId="13" borderId="21" xfId="0" applyFont="1" applyFill="1" applyBorder="1" applyAlignment="1" applyProtection="1">
      <alignment horizontal="center" vertical="center"/>
    </xf>
    <xf numFmtId="0" fontId="29" fillId="17" borderId="4" xfId="0" applyFont="1" applyFill="1" applyBorder="1" applyAlignment="1">
      <alignment horizontal="center" textRotation="90"/>
    </xf>
    <xf numFmtId="1" fontId="29" fillId="8" borderId="4" xfId="0" applyNumberFormat="1" applyFont="1" applyFill="1" applyBorder="1" applyAlignment="1" applyProtection="1">
      <alignment horizontal="center" vertical="center"/>
    </xf>
    <xf numFmtId="1" fontId="29" fillId="17" borderId="4" xfId="0" applyNumberFormat="1" applyFont="1" applyFill="1" applyBorder="1" applyAlignment="1" applyProtection="1">
      <alignment horizontal="center" vertical="center"/>
    </xf>
    <xf numFmtId="0" fontId="46" fillId="15" borderId="4" xfId="0" applyFont="1" applyFill="1" applyBorder="1" applyAlignment="1">
      <alignment horizontal="center" vertical="center"/>
    </xf>
    <xf numFmtId="1" fontId="29" fillId="16" borderId="4" xfId="0" applyNumberFormat="1" applyFont="1" applyFill="1" applyBorder="1" applyAlignment="1" applyProtection="1">
      <alignment horizontal="center" textRotation="90"/>
    </xf>
    <xf numFmtId="0" fontId="46" fillId="7" borderId="4" xfId="0" applyFont="1" applyFill="1" applyBorder="1" applyAlignment="1" applyProtection="1">
      <alignment horizontal="center" vertical="center"/>
    </xf>
    <xf numFmtId="0" fontId="61" fillId="12" borderId="4" xfId="0" applyFont="1" applyFill="1" applyBorder="1" applyAlignment="1" applyProtection="1">
      <alignment horizontal="center" vertical="center"/>
    </xf>
    <xf numFmtId="0" fontId="56" fillId="2" borderId="0" xfId="0" applyFont="1" applyFill="1" applyBorder="1" applyAlignment="1" applyProtection="1">
      <alignment horizontal="center"/>
    </xf>
    <xf numFmtId="0" fontId="44" fillId="13" borderId="23" xfId="0" applyFont="1" applyFill="1" applyBorder="1" applyAlignment="1" applyProtection="1">
      <alignment horizontal="center" vertical="center"/>
    </xf>
    <xf numFmtId="0" fontId="44" fillId="13" borderId="24" xfId="0" applyFont="1" applyFill="1" applyBorder="1" applyAlignment="1" applyProtection="1">
      <alignment horizontal="center" vertical="center"/>
    </xf>
    <xf numFmtId="0" fontId="44" fillId="13" borderId="10" xfId="0" applyFont="1" applyFill="1" applyBorder="1" applyAlignment="1" applyProtection="1">
      <alignment horizontal="center" vertical="center"/>
    </xf>
    <xf numFmtId="0" fontId="42" fillId="0" borderId="35" xfId="0" applyFont="1" applyBorder="1"/>
    <xf numFmtId="0" fontId="42" fillId="0" borderId="12" xfId="0" applyFont="1" applyBorder="1"/>
    <xf numFmtId="0" fontId="4" fillId="0" borderId="13"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28" xfId="0" applyFont="1" applyBorder="1" applyAlignment="1" applyProtection="1">
      <alignment horizontal="left" vertical="center"/>
      <protection locked="0"/>
    </xf>
    <xf numFmtId="0" fontId="4" fillId="0" borderId="29"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4" fillId="0" borderId="31" xfId="0" applyFont="1" applyBorder="1" applyAlignment="1" applyProtection="1">
      <alignment horizontal="left" vertical="center"/>
      <protection locked="0"/>
    </xf>
    <xf numFmtId="0" fontId="78" fillId="0" borderId="14" xfId="0" applyFont="1" applyFill="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pplyProtection="1">
      <alignment horizontal="center"/>
      <protection locked="0"/>
    </xf>
    <xf numFmtId="0" fontId="4" fillId="0" borderId="24"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39" xfId="0" applyFont="1" applyBorder="1" applyAlignment="1" applyProtection="1">
      <alignment horizontal="center"/>
      <protection locked="0"/>
    </xf>
    <xf numFmtId="0" fontId="4" fillId="0" borderId="40"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41" xfId="0" applyFont="1" applyBorder="1" applyAlignment="1" applyProtection="1">
      <alignment horizontal="center"/>
      <protection locked="0"/>
    </xf>
    <xf numFmtId="0" fontId="4" fillId="0" borderId="42" xfId="0" applyFont="1" applyBorder="1" applyAlignment="1" applyProtection="1">
      <alignment horizontal="center"/>
      <protection locked="0"/>
    </xf>
    <xf numFmtId="0" fontId="4" fillId="0" borderId="43" xfId="0" applyFont="1" applyBorder="1" applyAlignment="1" applyProtection="1">
      <alignment horizontal="center"/>
      <protection locked="0"/>
    </xf>
    <xf numFmtId="0" fontId="4" fillId="0" borderId="44" xfId="0" applyFont="1" applyBorder="1" applyAlignment="1" applyProtection="1">
      <alignment horizontal="center"/>
      <protection locked="0"/>
    </xf>
    <xf numFmtId="0" fontId="4" fillId="0" borderId="45" xfId="0" applyFont="1" applyBorder="1" applyAlignment="1" applyProtection="1">
      <alignment horizontal="center"/>
      <protection locked="0"/>
    </xf>
    <xf numFmtId="0" fontId="4" fillId="0" borderId="46" xfId="0" applyFont="1" applyBorder="1" applyAlignment="1" applyProtection="1">
      <alignment horizontal="center"/>
      <protection locked="0"/>
    </xf>
    <xf numFmtId="0" fontId="4" fillId="0" borderId="47" xfId="0" applyFont="1" applyBorder="1" applyAlignment="1" applyProtection="1">
      <alignment horizontal="center"/>
      <protection locked="0"/>
    </xf>
    <xf numFmtId="0" fontId="4" fillId="0" borderId="48" xfId="0" applyFont="1" applyBorder="1" applyAlignment="1" applyProtection="1">
      <alignment horizontal="center"/>
      <protection locked="0"/>
    </xf>
    <xf numFmtId="0" fontId="4" fillId="0" borderId="9" xfId="0" applyFont="1" applyBorder="1" applyAlignment="1" applyProtection="1"/>
    <xf numFmtId="0" fontId="4" fillId="0" borderId="28" xfId="0" applyFont="1" applyBorder="1" applyAlignment="1" applyProtection="1"/>
    <xf numFmtId="0" fontId="4" fillId="0" borderId="9" xfId="0" applyFont="1" applyBorder="1" applyAlignment="1" applyProtection="1">
      <alignment horizontal="center"/>
    </xf>
    <xf numFmtId="0" fontId="4" fillId="0" borderId="28" xfId="0" applyFont="1" applyBorder="1" applyAlignment="1" applyProtection="1">
      <alignment horizontal="left"/>
    </xf>
    <xf numFmtId="0" fontId="4" fillId="0" borderId="49" xfId="0" applyFont="1" applyBorder="1" applyAlignment="1" applyProtection="1">
      <alignment horizontal="right"/>
      <protection locked="0"/>
    </xf>
    <xf numFmtId="0" fontId="4" fillId="0" borderId="50" xfId="0" applyFont="1" applyBorder="1" applyAlignment="1" applyProtection="1">
      <alignment horizontal="right"/>
      <protection locked="0"/>
    </xf>
    <xf numFmtId="0" fontId="4" fillId="0" borderId="51" xfId="0" applyFont="1" applyBorder="1" applyAlignment="1" applyProtection="1">
      <alignment horizontal="right"/>
      <protection locked="0"/>
    </xf>
    <xf numFmtId="0" fontId="55" fillId="0" borderId="0" xfId="0" applyFont="1" applyBorder="1" applyAlignment="1" applyProtection="1">
      <alignment horizontal="right"/>
    </xf>
    <xf numFmtId="0" fontId="4" fillId="0" borderId="0" xfId="0" applyFont="1" applyBorder="1" applyAlignment="1" applyProtection="1">
      <alignment horizontal="right"/>
    </xf>
    <xf numFmtId="0" fontId="50" fillId="0" borderId="0" xfId="0" applyFont="1" applyBorder="1" applyAlignment="1" applyProtection="1">
      <alignment horizontal="center"/>
    </xf>
    <xf numFmtId="0" fontId="4" fillId="0" borderId="0" xfId="0" applyFont="1" applyBorder="1" applyAlignment="1" applyProtection="1"/>
    <xf numFmtId="0" fontId="55" fillId="0" borderId="0" xfId="0" applyFont="1" applyBorder="1" applyProtection="1"/>
    <xf numFmtId="0" fontId="55" fillId="0" borderId="28" xfId="0" applyFont="1" applyBorder="1" applyProtection="1"/>
    <xf numFmtId="0" fontId="55" fillId="0" borderId="30" xfId="0" applyFont="1" applyBorder="1" applyProtection="1"/>
    <xf numFmtId="0" fontId="55" fillId="0" borderId="31" xfId="0" applyFont="1" applyBorder="1" applyProtection="1"/>
    <xf numFmtId="0" fontId="4" fillId="0" borderId="0" xfId="0" applyFont="1" applyBorder="1" applyAlignment="1" applyProtection="1">
      <alignment horizontal="left"/>
    </xf>
    <xf numFmtId="0" fontId="55" fillId="0" borderId="4" xfId="0" applyFont="1" applyBorder="1" applyAlignment="1">
      <alignment horizontal="center" vertical="center"/>
    </xf>
    <xf numFmtId="0" fontId="93" fillId="0" borderId="3" xfId="0" applyFont="1" applyBorder="1" applyAlignment="1" applyProtection="1">
      <alignment horizontal="center" vertical="center"/>
    </xf>
    <xf numFmtId="0" fontId="93" fillId="0" borderId="3" xfId="0" applyFont="1" applyBorder="1" applyAlignment="1" applyProtection="1">
      <alignment vertical="center"/>
    </xf>
    <xf numFmtId="0" fontId="93" fillId="0" borderId="0" xfId="0" applyFont="1" applyBorder="1" applyAlignment="1" applyProtection="1">
      <alignment vertical="center"/>
    </xf>
    <xf numFmtId="0" fontId="93" fillId="0" borderId="28" xfId="0" applyFont="1" applyBorder="1" applyAlignment="1" applyProtection="1">
      <alignment vertical="center"/>
    </xf>
    <xf numFmtId="0" fontId="55" fillId="0" borderId="8" xfId="0" applyFont="1" applyBorder="1" applyProtection="1"/>
    <xf numFmtId="0" fontId="55" fillId="0" borderId="52" xfId="0" applyFont="1" applyBorder="1" applyAlignment="1">
      <alignment horizontal="center" vertical="center"/>
    </xf>
    <xf numFmtId="0" fontId="55" fillId="0" borderId="27" xfId="0" applyFont="1" applyBorder="1" applyProtection="1"/>
    <xf numFmtId="0" fontId="55" fillId="0" borderId="11" xfId="0" applyFont="1" applyBorder="1" applyAlignment="1">
      <alignment horizontal="center" vertical="center"/>
    </xf>
    <xf numFmtId="0" fontId="92" fillId="0" borderId="28" xfId="0" applyFont="1" applyBorder="1" applyAlignment="1" applyProtection="1">
      <alignment horizontal="center" vertical="center"/>
    </xf>
    <xf numFmtId="0" fontId="55" fillId="0" borderId="53" xfId="0" applyFont="1" applyBorder="1" applyAlignment="1">
      <alignment horizontal="center" vertical="center"/>
    </xf>
    <xf numFmtId="0" fontId="92" fillId="0" borderId="0" xfId="0" applyFont="1" applyBorder="1" applyAlignment="1" applyProtection="1">
      <alignment horizontal="center" vertical="center"/>
    </xf>
    <xf numFmtId="0" fontId="55" fillId="0" borderId="35" xfId="0" applyFont="1" applyBorder="1" applyAlignment="1">
      <alignment horizontal="center" vertical="center"/>
    </xf>
    <xf numFmtId="49" fontId="4" fillId="0" borderId="54" xfId="0" applyNumberFormat="1" applyFont="1" applyBorder="1" applyAlignment="1" applyProtection="1">
      <alignment horizontal="left" vertical="top" wrapText="1"/>
      <protection locked="0"/>
    </xf>
    <xf numFmtId="49" fontId="4" fillId="0" borderId="50" xfId="0" applyNumberFormat="1" applyFont="1" applyBorder="1" applyAlignment="1" applyProtection="1">
      <alignment horizontal="left" vertical="top"/>
      <protection locked="0"/>
    </xf>
    <xf numFmtId="0" fontId="4" fillId="0" borderId="50" xfId="0" applyFont="1" applyBorder="1" applyAlignment="1" applyProtection="1">
      <alignment horizontal="left" vertical="top"/>
      <protection locked="0"/>
    </xf>
    <xf numFmtId="172" fontId="4" fillId="0" borderId="55" xfId="0" applyNumberFormat="1" applyFont="1" applyBorder="1" applyAlignment="1" applyProtection="1">
      <alignment horizontal="left" vertical="top"/>
      <protection locked="0"/>
    </xf>
    <xf numFmtId="172" fontId="4" fillId="0" borderId="55" xfId="0" applyNumberFormat="1" applyFont="1" applyBorder="1" applyAlignment="1" applyProtection="1">
      <alignment horizontal="left" vertical="top" wrapText="1"/>
      <protection locked="0"/>
    </xf>
    <xf numFmtId="49" fontId="4" fillId="0" borderId="56" xfId="0" applyNumberFormat="1" applyFont="1" applyBorder="1" applyAlignment="1" applyProtection="1">
      <alignment horizontal="left" vertical="top" wrapText="1"/>
      <protection locked="0"/>
    </xf>
    <xf numFmtId="49" fontId="4" fillId="0" borderId="51" xfId="0" applyNumberFormat="1" applyFont="1" applyBorder="1" applyAlignment="1" applyProtection="1">
      <alignment horizontal="left" vertical="top"/>
      <protection locked="0"/>
    </xf>
    <xf numFmtId="0" fontId="4" fillId="0" borderId="51" xfId="0" applyFont="1" applyBorder="1" applyAlignment="1" applyProtection="1">
      <alignment horizontal="left" vertical="top"/>
      <protection locked="0"/>
    </xf>
    <xf numFmtId="172" fontId="4" fillId="0" borderId="57" xfId="0" applyNumberFormat="1" applyFont="1" applyBorder="1" applyAlignment="1" applyProtection="1">
      <alignment horizontal="left" vertical="top"/>
      <protection locked="0"/>
    </xf>
    <xf numFmtId="0" fontId="4" fillId="0" borderId="8" xfId="0" applyFont="1" applyBorder="1" applyAlignment="1" applyProtection="1">
      <protection locked="0"/>
    </xf>
    <xf numFmtId="0" fontId="55" fillId="0" borderId="6" xfId="0" applyFont="1" applyBorder="1" applyAlignment="1">
      <alignment horizontal="center" vertical="center"/>
    </xf>
    <xf numFmtId="0" fontId="55" fillId="0" borderId="58" xfId="0" applyFont="1" applyBorder="1" applyAlignment="1">
      <alignment horizontal="center" vertical="center"/>
    </xf>
    <xf numFmtId="0" fontId="55" fillId="0" borderId="0" xfId="0" applyFont="1" applyBorder="1" applyAlignment="1">
      <alignment horizontal="center" vertical="center"/>
    </xf>
    <xf numFmtId="0" fontId="4" fillId="0" borderId="8" xfId="0" applyFont="1" applyBorder="1"/>
    <xf numFmtId="0" fontId="61" fillId="0" borderId="54" xfId="0" applyFont="1" applyBorder="1" applyProtection="1">
      <protection locked="0"/>
    </xf>
    <xf numFmtId="0" fontId="61" fillId="0" borderId="15" xfId="0" applyFont="1" applyBorder="1"/>
    <xf numFmtId="0" fontId="61" fillId="0" borderId="56" xfId="0" applyFont="1" applyBorder="1" applyProtection="1">
      <protection locked="0"/>
    </xf>
    <xf numFmtId="0" fontId="61" fillId="0" borderId="50" xfId="0" applyFont="1" applyBorder="1" applyAlignment="1" applyProtection="1">
      <alignment horizontal="center"/>
      <protection locked="0"/>
    </xf>
    <xf numFmtId="0" fontId="61" fillId="0" borderId="50" xfId="0" applyFont="1" applyBorder="1" applyProtection="1">
      <protection locked="0"/>
    </xf>
    <xf numFmtId="0" fontId="61" fillId="0" borderId="51" xfId="0" applyFont="1" applyBorder="1" applyAlignment="1" applyProtection="1">
      <alignment horizontal="center"/>
      <protection locked="0"/>
    </xf>
    <xf numFmtId="0" fontId="61" fillId="0" borderId="51" xfId="0" applyFont="1" applyBorder="1" applyProtection="1">
      <protection locked="0"/>
    </xf>
    <xf numFmtId="0" fontId="55" fillId="0" borderId="7" xfId="0" applyFont="1" applyBorder="1" applyAlignment="1">
      <alignment horizontal="center" vertical="center"/>
    </xf>
    <xf numFmtId="0" fontId="47" fillId="2" borderId="6" xfId="0" applyFont="1" applyFill="1" applyBorder="1"/>
    <xf numFmtId="1" fontId="24" fillId="2" borderId="3" xfId="0" applyNumberFormat="1" applyFont="1" applyFill="1" applyBorder="1" applyAlignment="1">
      <alignment horizontal="center"/>
    </xf>
    <xf numFmtId="0" fontId="4" fillId="0" borderId="0" xfId="0" applyNumberFormat="1" applyFont="1" applyFill="1" applyAlignment="1">
      <alignment horizontal="right"/>
    </xf>
    <xf numFmtId="0" fontId="50" fillId="0" borderId="3" xfId="0" applyFont="1" applyBorder="1" applyAlignment="1">
      <alignment vertical="top" wrapText="1"/>
    </xf>
    <xf numFmtId="0" fontId="4" fillId="0" borderId="3" xfId="0" applyFont="1" applyBorder="1" applyAlignment="1">
      <alignment vertical="top" wrapText="1"/>
    </xf>
    <xf numFmtId="0" fontId="52" fillId="0" borderId="0" xfId="0" applyFont="1" applyAlignment="1">
      <alignment horizontal="center" textRotation="90"/>
    </xf>
    <xf numFmtId="0" fontId="85" fillId="0" borderId="0" xfId="0" applyFont="1" applyAlignment="1">
      <alignment horizontal="center" textRotation="90"/>
    </xf>
    <xf numFmtId="0" fontId="76" fillId="0" borderId="0" xfId="0" applyFont="1" applyAlignment="1">
      <alignment vertical="center"/>
    </xf>
    <xf numFmtId="0" fontId="52" fillId="0" borderId="3" xfId="0" applyFont="1" applyBorder="1" applyAlignment="1">
      <alignment horizontal="center" textRotation="90"/>
    </xf>
    <xf numFmtId="0" fontId="76" fillId="0" borderId="12" xfId="0" applyFont="1" applyFill="1" applyBorder="1" applyAlignment="1">
      <alignment horizontal="center" vertical="center"/>
    </xf>
    <xf numFmtId="0" fontId="35" fillId="0" borderId="12" xfId="0" applyFont="1" applyFill="1" applyBorder="1" applyAlignment="1">
      <alignment horizontal="center"/>
    </xf>
    <xf numFmtId="0" fontId="52" fillId="2" borderId="0" xfId="0" applyFont="1" applyFill="1" applyAlignment="1">
      <alignment horizontal="center"/>
    </xf>
    <xf numFmtId="0" fontId="50" fillId="0" borderId="0" xfId="0" applyFont="1" applyFill="1"/>
    <xf numFmtId="0" fontId="50" fillId="0" borderId="0" xfId="0" applyFont="1"/>
    <xf numFmtId="0" fontId="55" fillId="0" borderId="0" xfId="0" applyFont="1" applyProtection="1"/>
    <xf numFmtId="0" fontId="55" fillId="0" borderId="59" xfId="0" applyFont="1" applyBorder="1" applyProtection="1"/>
    <xf numFmtId="0" fontId="55" fillId="0" borderId="60" xfId="0" applyFont="1" applyBorder="1" applyProtection="1"/>
    <xf numFmtId="0" fontId="55" fillId="0" borderId="0" xfId="0" applyFont="1" applyAlignment="1" applyProtection="1">
      <alignment vertical="center"/>
    </xf>
    <xf numFmtId="0" fontId="55" fillId="0" borderId="28" xfId="0" applyFont="1" applyBorder="1" applyAlignment="1" applyProtection="1"/>
    <xf numFmtId="0" fontId="55" fillId="0" borderId="27" xfId="0" applyFont="1" applyBorder="1"/>
    <xf numFmtId="0" fontId="55" fillId="0" borderId="28" xfId="0" applyFont="1" applyBorder="1"/>
    <xf numFmtId="0" fontId="55" fillId="0" borderId="31" xfId="0" applyFont="1" applyBorder="1"/>
    <xf numFmtId="0" fontId="55" fillId="0" borderId="61" xfId="0" applyFont="1" applyBorder="1" applyProtection="1"/>
    <xf numFmtId="0" fontId="55" fillId="0" borderId="62" xfId="0" applyFont="1" applyBorder="1" applyProtection="1"/>
    <xf numFmtId="0" fontId="55" fillId="0" borderId="13" xfId="0" applyFont="1" applyBorder="1" applyProtection="1"/>
    <xf numFmtId="0" fontId="55" fillId="0" borderId="29" xfId="0" applyFont="1" applyBorder="1" applyProtection="1"/>
    <xf numFmtId="0" fontId="25" fillId="0" borderId="8" xfId="0" applyFont="1" applyBorder="1" applyProtection="1"/>
    <xf numFmtId="0" fontId="55" fillId="0" borderId="29" xfId="0" applyFont="1" applyBorder="1"/>
    <xf numFmtId="0" fontId="92" fillId="0" borderId="30" xfId="0" applyFont="1" applyBorder="1" applyAlignment="1">
      <alignment vertical="top" wrapText="1"/>
    </xf>
    <xf numFmtId="0" fontId="55" fillId="0" borderId="30" xfId="0" applyFont="1" applyBorder="1"/>
    <xf numFmtId="0" fontId="55" fillId="0" borderId="0" xfId="0" applyFont="1"/>
    <xf numFmtId="0" fontId="55" fillId="0" borderId="9" xfId="0" applyFont="1" applyBorder="1"/>
    <xf numFmtId="0" fontId="55" fillId="0" borderId="63" xfId="0" applyFont="1" applyBorder="1" applyProtection="1"/>
    <xf numFmtId="0" fontId="55" fillId="0" borderId="13" xfId="0" applyFont="1" applyBorder="1"/>
    <xf numFmtId="0" fontId="55" fillId="0" borderId="9" xfId="0" applyFont="1" applyBorder="1" applyProtection="1"/>
    <xf numFmtId="0" fontId="45" fillId="0" borderId="30" xfId="0" applyFont="1" applyBorder="1" applyAlignment="1">
      <alignment horizontal="left"/>
    </xf>
    <xf numFmtId="0" fontId="55" fillId="0" borderId="30" xfId="0" applyFont="1" applyBorder="1" applyAlignment="1">
      <alignment horizontal="center"/>
    </xf>
    <xf numFmtId="0" fontId="55" fillId="0" borderId="0" xfId="0" applyFont="1" applyBorder="1"/>
    <xf numFmtId="1" fontId="80" fillId="2" borderId="12" xfId="0" applyNumberFormat="1" applyFont="1" applyFill="1" applyBorder="1" applyAlignment="1">
      <alignment horizontal="center"/>
    </xf>
    <xf numFmtId="0" fontId="94" fillId="2" borderId="0" xfId="0" applyFont="1" applyFill="1" applyBorder="1" applyAlignment="1">
      <alignment horizontal="center"/>
    </xf>
    <xf numFmtId="0" fontId="54" fillId="0" borderId="0" xfId="0" applyFont="1" applyAlignment="1">
      <alignment horizontal="left" vertical="top" wrapText="1"/>
    </xf>
    <xf numFmtId="0" fontId="24" fillId="2" borderId="0" xfId="0" applyFont="1" applyFill="1" applyAlignment="1">
      <alignment horizontal="center" vertical="top" textRotation="180"/>
    </xf>
    <xf numFmtId="0" fontId="31" fillId="4" borderId="35" xfId="0" applyNumberFormat="1" applyFont="1" applyFill="1" applyBorder="1" applyAlignment="1">
      <alignment horizontal="center"/>
    </xf>
    <xf numFmtId="0" fontId="0" fillId="0" borderId="64" xfId="0" applyBorder="1" applyProtection="1">
      <protection locked="0"/>
    </xf>
    <xf numFmtId="0" fontId="29" fillId="2" borderId="6" xfId="0" applyFont="1" applyFill="1" applyBorder="1" applyAlignment="1" applyProtection="1">
      <alignment horizontal="center" vertical="center"/>
    </xf>
    <xf numFmtId="0" fontId="29" fillId="2" borderId="3" xfId="0" applyFont="1" applyFill="1" applyBorder="1" applyAlignment="1" applyProtection="1">
      <alignment horizontal="center" vertical="center"/>
    </xf>
    <xf numFmtId="0" fontId="0" fillId="2" borderId="22" xfId="0" applyFill="1" applyBorder="1" applyAlignment="1">
      <alignment horizontal="right"/>
    </xf>
    <xf numFmtId="0" fontId="68" fillId="2" borderId="0" xfId="0" applyFont="1" applyFill="1"/>
    <xf numFmtId="0" fontId="72" fillId="0" borderId="0" xfId="0" applyFont="1" applyBorder="1" applyProtection="1"/>
    <xf numFmtId="0" fontId="21" fillId="0" borderId="0" xfId="0" applyFont="1" applyBorder="1" applyProtection="1"/>
    <xf numFmtId="0" fontId="55" fillId="0" borderId="4" xfId="0" applyFont="1" applyBorder="1" applyProtection="1"/>
    <xf numFmtId="0" fontId="55" fillId="0" borderId="2" xfId="0" applyFont="1" applyBorder="1" applyProtection="1"/>
    <xf numFmtId="0" fontId="55" fillId="0" borderId="11" xfId="0" applyFont="1" applyBorder="1" applyAlignment="1" applyProtection="1">
      <alignment horizontal="center"/>
    </xf>
    <xf numFmtId="0" fontId="55" fillId="0" borderId="14" xfId="0" applyFont="1" applyBorder="1" applyProtection="1"/>
    <xf numFmtId="0" fontId="0" fillId="2" borderId="14" xfId="0" applyFill="1" applyBorder="1"/>
    <xf numFmtId="0" fontId="47" fillId="2" borderId="3" xfId="0" applyFont="1" applyFill="1" applyBorder="1"/>
    <xf numFmtId="0" fontId="47" fillId="2" borderId="3" xfId="0" applyFont="1" applyFill="1" applyBorder="1" applyAlignment="1">
      <alignment horizontal="left"/>
    </xf>
    <xf numFmtId="0" fontId="55" fillId="0" borderId="6" xfId="0" applyFont="1" applyBorder="1" applyAlignment="1" applyProtection="1">
      <alignment horizontal="left"/>
    </xf>
    <xf numFmtId="1" fontId="29" fillId="0" borderId="33" xfId="0" applyNumberFormat="1" applyFont="1" applyBorder="1"/>
    <xf numFmtId="0" fontId="84" fillId="0" borderId="4" xfId="0" applyFont="1" applyBorder="1"/>
    <xf numFmtId="0" fontId="42" fillId="0" borderId="0" xfId="0" applyFont="1" applyAlignment="1">
      <alignment horizontal="left"/>
    </xf>
    <xf numFmtId="0" fontId="29" fillId="0" borderId="65" xfId="0" applyFont="1" applyBorder="1" applyAlignment="1">
      <alignment horizontal="left" vertical="center"/>
    </xf>
    <xf numFmtId="0" fontId="29" fillId="18" borderId="0" xfId="0" applyNumberFormat="1" applyFont="1" applyFill="1" applyBorder="1" applyAlignment="1">
      <alignment horizontal="left"/>
    </xf>
    <xf numFmtId="0" fontId="29" fillId="19" borderId="0" xfId="0" applyNumberFormat="1" applyFont="1" applyFill="1" applyBorder="1" applyAlignment="1">
      <alignment horizontal="left"/>
    </xf>
    <xf numFmtId="0" fontId="29" fillId="20" borderId="0" xfId="0" applyNumberFormat="1" applyFont="1" applyFill="1" applyBorder="1" applyAlignment="1">
      <alignment horizontal="left"/>
    </xf>
    <xf numFmtId="0" fontId="29" fillId="21" borderId="0" xfId="0" applyNumberFormat="1" applyFont="1" applyFill="1" applyBorder="1" applyAlignment="1">
      <alignment horizontal="left"/>
    </xf>
    <xf numFmtId="0" fontId="29" fillId="22" borderId="0" xfId="0" applyNumberFormat="1" applyFont="1" applyFill="1" applyBorder="1" applyAlignment="1">
      <alignment horizontal="left"/>
    </xf>
    <xf numFmtId="0" fontId="29" fillId="12" borderId="21" xfId="0" applyFont="1" applyFill="1" applyBorder="1" applyAlignment="1">
      <alignment horizontal="left" vertical="top"/>
    </xf>
    <xf numFmtId="0" fontId="4" fillId="2" borderId="0" xfId="0" applyFont="1" applyFill="1" applyBorder="1" applyAlignment="1"/>
    <xf numFmtId="0" fontId="31" fillId="0" borderId="0" xfId="0" applyNumberFormat="1" applyFont="1" applyFill="1" applyBorder="1" applyAlignment="1">
      <alignment horizontal="center"/>
    </xf>
    <xf numFmtId="1" fontId="29" fillId="15" borderId="5" xfId="0" applyNumberFormat="1" applyFont="1" applyFill="1" applyBorder="1" applyAlignment="1" applyProtection="1">
      <alignment horizontal="center" textRotation="90"/>
    </xf>
    <xf numFmtId="1" fontId="29" fillId="15" borderId="2" xfId="0" applyNumberFormat="1" applyFont="1" applyFill="1" applyBorder="1" applyAlignment="1" applyProtection="1">
      <alignment horizontal="center" textRotation="90"/>
    </xf>
    <xf numFmtId="1" fontId="29" fillId="15" borderId="10" xfId="0" applyNumberFormat="1" applyFont="1" applyFill="1" applyBorder="1" applyAlignment="1" applyProtection="1">
      <alignment horizontal="center" textRotation="90"/>
    </xf>
    <xf numFmtId="0" fontId="68" fillId="0" borderId="4" xfId="0" applyFont="1" applyFill="1" applyBorder="1" applyProtection="1"/>
    <xf numFmtId="0" fontId="87" fillId="0" borderId="0" xfId="0" applyFont="1" applyFill="1" applyBorder="1" applyAlignment="1">
      <alignment horizontal="left" vertical="center"/>
    </xf>
    <xf numFmtId="0" fontId="68" fillId="0" borderId="0" xfId="0" applyFont="1" applyFill="1" applyBorder="1" applyAlignment="1" applyProtection="1">
      <alignment horizontal="center"/>
    </xf>
    <xf numFmtId="0" fontId="52" fillId="0" borderId="0" xfId="0" applyFont="1" applyFill="1" applyProtection="1"/>
    <xf numFmtId="0" fontId="85" fillId="0" borderId="0" xfId="0" applyFont="1" applyFill="1" applyBorder="1" applyAlignment="1">
      <alignment horizontal="left"/>
    </xf>
    <xf numFmtId="0" fontId="68" fillId="0" borderId="6" xfId="0" applyFont="1" applyFill="1" applyBorder="1" applyProtection="1"/>
    <xf numFmtId="0" fontId="0" fillId="0" borderId="6" xfId="0" applyFill="1" applyBorder="1" applyProtection="1"/>
    <xf numFmtId="0" fontId="0" fillId="0" borderId="23" xfId="0" applyFill="1" applyBorder="1" applyProtection="1"/>
    <xf numFmtId="0" fontId="85" fillId="0" borderId="0" xfId="0" applyFont="1" applyFill="1" applyBorder="1" applyProtection="1"/>
    <xf numFmtId="0" fontId="0" fillId="0" borderId="21" xfId="0" applyFill="1" applyBorder="1" applyProtection="1"/>
    <xf numFmtId="0" fontId="68" fillId="0" borderId="21" xfId="0" applyFont="1" applyFill="1" applyBorder="1" applyProtection="1"/>
    <xf numFmtId="0" fontId="68" fillId="0" borderId="3" xfId="0" applyFont="1" applyFill="1" applyBorder="1" applyProtection="1"/>
    <xf numFmtId="0" fontId="85" fillId="0" borderId="3" xfId="0" applyFont="1" applyFill="1" applyBorder="1" applyProtection="1"/>
    <xf numFmtId="0" fontId="68" fillId="0" borderId="24" xfId="0" applyFont="1" applyFill="1" applyBorder="1" applyProtection="1"/>
    <xf numFmtId="0" fontId="43" fillId="0" borderId="0" xfId="0" applyFont="1" applyBorder="1" applyProtection="1"/>
    <xf numFmtId="0" fontId="76" fillId="8" borderId="0" xfId="0" applyFont="1" applyFill="1" applyAlignment="1">
      <alignment horizontal="center"/>
    </xf>
    <xf numFmtId="0" fontId="4" fillId="0" borderId="21" xfId="0" applyFont="1" applyBorder="1" applyAlignment="1">
      <alignment horizontal="left"/>
    </xf>
    <xf numFmtId="0" fontId="4" fillId="0" borderId="11" xfId="0" applyFont="1" applyBorder="1" applyAlignment="1">
      <alignment horizontal="left"/>
    </xf>
    <xf numFmtId="0" fontId="4" fillId="0" borderId="0" xfId="0" applyFont="1" applyAlignment="1" applyProtection="1">
      <alignment horizontal="center" vertical="center"/>
    </xf>
    <xf numFmtId="0" fontId="4" fillId="15" borderId="7" xfId="0" applyNumberFormat="1" applyFont="1" applyFill="1" applyBorder="1" applyAlignment="1">
      <alignment horizontal="center"/>
    </xf>
    <xf numFmtId="0" fontId="22" fillId="23" borderId="0" xfId="0" applyNumberFormat="1" applyFont="1" applyFill="1" applyAlignment="1">
      <alignment horizontal="center"/>
    </xf>
    <xf numFmtId="0" fontId="0" fillId="10" borderId="4" xfId="0" applyNumberFormat="1" applyFill="1" applyBorder="1" applyAlignment="1">
      <alignment horizontal="center"/>
    </xf>
    <xf numFmtId="0" fontId="0" fillId="10" borderId="35" xfId="0" applyNumberFormat="1" applyFill="1" applyBorder="1" applyAlignment="1">
      <alignment horizontal="center"/>
    </xf>
    <xf numFmtId="1" fontId="4" fillId="9" borderId="4" xfId="0" applyNumberFormat="1" applyFont="1" applyFill="1" applyBorder="1" applyAlignment="1">
      <alignment horizontal="center"/>
    </xf>
    <xf numFmtId="0" fontId="0" fillId="10" borderId="7" xfId="0" applyNumberFormat="1" applyFill="1" applyBorder="1" applyAlignment="1">
      <alignment horizontal="center"/>
    </xf>
    <xf numFmtId="1" fontId="0" fillId="10" borderId="7" xfId="0" applyNumberFormat="1" applyFill="1" applyBorder="1" applyAlignment="1">
      <alignment horizontal="center"/>
    </xf>
    <xf numFmtId="0" fontId="4" fillId="9" borderId="6" xfId="0" applyNumberFormat="1" applyFont="1" applyFill="1" applyBorder="1" applyAlignment="1">
      <alignment horizontal="center" vertical="center"/>
    </xf>
    <xf numFmtId="0" fontId="4" fillId="9" borderId="0" xfId="0" applyNumberFormat="1" applyFont="1" applyFill="1" applyBorder="1" applyAlignment="1">
      <alignment horizontal="center" vertical="center"/>
    </xf>
    <xf numFmtId="0" fontId="4" fillId="9" borderId="2" xfId="0" applyNumberFormat="1" applyFont="1" applyFill="1" applyBorder="1" applyAlignment="1">
      <alignment horizontal="left"/>
    </xf>
    <xf numFmtId="0" fontId="4" fillId="9" borderId="6" xfId="0" applyNumberFormat="1" applyFont="1" applyFill="1" applyBorder="1" applyAlignment="1">
      <alignment horizontal="left"/>
    </xf>
    <xf numFmtId="169" fontId="4" fillId="9" borderId="0" xfId="0" applyNumberFormat="1" applyFont="1" applyFill="1" applyBorder="1" applyAlignment="1">
      <alignment horizontal="center" vertical="top"/>
    </xf>
    <xf numFmtId="169" fontId="23" fillId="9" borderId="6" xfId="0" applyNumberFormat="1" applyFont="1" applyFill="1" applyBorder="1" applyAlignment="1">
      <alignment horizontal="center"/>
    </xf>
    <xf numFmtId="169" fontId="23" fillId="9" borderId="0" xfId="0" applyNumberFormat="1" applyFont="1" applyFill="1" applyBorder="1" applyAlignment="1">
      <alignment horizontal="center"/>
    </xf>
    <xf numFmtId="0" fontId="22" fillId="6" borderId="7" xfId="0" applyNumberFormat="1" applyFont="1" applyFill="1" applyBorder="1" applyAlignment="1">
      <alignment horizontal="center" vertical="center"/>
    </xf>
    <xf numFmtId="0" fontId="29" fillId="23" borderId="0" xfId="0" applyFont="1" applyFill="1"/>
    <xf numFmtId="1" fontId="96" fillId="23" borderId="4" xfId="0" applyNumberFormat="1" applyFont="1" applyFill="1" applyBorder="1" applyAlignment="1">
      <alignment horizontal="center" vertical="center"/>
    </xf>
    <xf numFmtId="0" fontId="38" fillId="23" borderId="0" xfId="0" applyNumberFormat="1" applyFont="1" applyFill="1" applyAlignment="1">
      <alignment horizontal="center"/>
    </xf>
    <xf numFmtId="0" fontId="39" fillId="23" borderId="0" xfId="0" applyFont="1" applyFill="1"/>
    <xf numFmtId="0" fontId="29" fillId="2" borderId="0" xfId="0" applyFont="1" applyFill="1" applyBorder="1" applyAlignment="1"/>
    <xf numFmtId="0" fontId="29" fillId="23" borderId="0" xfId="0" applyNumberFormat="1" applyFont="1" applyFill="1" applyAlignment="1">
      <alignment horizontal="right" vertical="center"/>
    </xf>
    <xf numFmtId="0" fontId="81" fillId="0" borderId="0" xfId="0" applyFont="1" applyAlignment="1">
      <alignment wrapText="1"/>
    </xf>
    <xf numFmtId="0" fontId="4" fillId="0" borderId="0" xfId="0" applyFont="1" applyAlignment="1">
      <alignment horizontal="right"/>
    </xf>
    <xf numFmtId="0" fontId="35" fillId="0" borderId="0" xfId="0" applyFont="1"/>
    <xf numFmtId="0" fontId="4" fillId="2" borderId="0" xfId="0" applyFont="1" applyFill="1" applyAlignment="1">
      <alignment vertical="center"/>
    </xf>
    <xf numFmtId="0" fontId="65" fillId="0" borderId="0" xfId="0" applyFont="1" applyAlignment="1">
      <alignment vertical="top" wrapText="1"/>
    </xf>
    <xf numFmtId="0" fontId="25" fillId="0" borderId="0" xfId="0" applyFont="1" applyAlignment="1">
      <alignment horizontal="right"/>
    </xf>
    <xf numFmtId="0" fontId="70" fillId="0" borderId="0" xfId="0" applyFont="1" applyFill="1"/>
    <xf numFmtId="1" fontId="80" fillId="2" borderId="0" xfId="0" applyNumberFormat="1" applyFont="1" applyFill="1" applyBorder="1" applyAlignment="1">
      <alignment horizontal="center"/>
    </xf>
    <xf numFmtId="1" fontId="24" fillId="7" borderId="5" xfId="0" applyNumberFormat="1" applyFont="1" applyFill="1" applyBorder="1" applyAlignment="1" applyProtection="1">
      <alignment horizontal="center"/>
      <protection locked="0"/>
    </xf>
    <xf numFmtId="1" fontId="24" fillId="7" borderId="10" xfId="0" applyNumberFormat="1" applyFont="1" applyFill="1" applyBorder="1" applyAlignment="1" applyProtection="1">
      <alignment horizontal="center"/>
      <protection locked="0"/>
    </xf>
    <xf numFmtId="1" fontId="24" fillId="7" borderId="2" xfId="0" applyNumberFormat="1" applyFont="1" applyFill="1" applyBorder="1" applyAlignment="1" applyProtection="1">
      <alignment horizontal="center"/>
      <protection locked="0"/>
    </xf>
    <xf numFmtId="1" fontId="29" fillId="7" borderId="5" xfId="0" applyNumberFormat="1" applyFont="1" applyFill="1" applyBorder="1" applyAlignment="1" applyProtection="1">
      <alignment horizontal="center"/>
      <protection locked="0"/>
    </xf>
    <xf numFmtId="1" fontId="29" fillId="7" borderId="10" xfId="0" applyNumberFormat="1" applyFont="1" applyFill="1" applyBorder="1" applyAlignment="1" applyProtection="1">
      <alignment horizontal="center"/>
      <protection locked="0"/>
    </xf>
    <xf numFmtId="0" fontId="29" fillId="0" borderId="6" xfId="0" applyFont="1" applyBorder="1" applyProtection="1"/>
    <xf numFmtId="0" fontId="84" fillId="0" borderId="0" xfId="0" applyFont="1" applyFill="1"/>
    <xf numFmtId="0" fontId="4" fillId="0" borderId="49" xfId="0" applyFont="1" applyFill="1" applyBorder="1" applyAlignment="1">
      <alignment horizontal="left" vertical="center"/>
    </xf>
    <xf numFmtId="0" fontId="4" fillId="0" borderId="50" xfId="0" applyFont="1" applyFill="1" applyBorder="1" applyAlignment="1">
      <alignment horizontal="left" vertical="center"/>
    </xf>
    <xf numFmtId="0" fontId="0" fillId="8" borderId="35" xfId="0" applyFill="1" applyBorder="1"/>
    <xf numFmtId="0" fontId="80" fillId="2" borderId="22" xfId="0" applyFont="1" applyFill="1" applyBorder="1" applyAlignment="1">
      <alignment horizontal="center"/>
    </xf>
    <xf numFmtId="0" fontId="80" fillId="2" borderId="11" xfId="0" applyFont="1" applyFill="1" applyBorder="1" applyAlignment="1">
      <alignment horizontal="center"/>
    </xf>
    <xf numFmtId="0" fontId="4" fillId="7" borderId="4" xfId="0" applyFont="1" applyFill="1" applyBorder="1" applyAlignment="1" applyProtection="1">
      <alignment horizontal="left" vertical="center"/>
    </xf>
    <xf numFmtId="0" fontId="85" fillId="0" borderId="0" xfId="0" applyFont="1" applyFill="1" applyAlignment="1">
      <alignment horizontal="right"/>
    </xf>
    <xf numFmtId="0" fontId="76" fillId="8" borderId="0" xfId="0" applyFont="1" applyFill="1" applyAlignment="1">
      <alignment horizontal="left"/>
    </xf>
    <xf numFmtId="0" fontId="76" fillId="0" borderId="0" xfId="0" applyFont="1" applyFill="1" applyAlignment="1">
      <alignment horizontal="left"/>
    </xf>
    <xf numFmtId="1" fontId="80" fillId="2" borderId="11" xfId="0" applyNumberFormat="1" applyFont="1" applyFill="1" applyBorder="1" applyAlignment="1">
      <alignment horizontal="center"/>
    </xf>
    <xf numFmtId="0" fontId="61" fillId="0" borderId="0" xfId="0" applyFont="1" applyBorder="1" applyAlignment="1" applyProtection="1">
      <alignment horizontal="center" vertical="center"/>
    </xf>
    <xf numFmtId="0" fontId="15" fillId="0" borderId="8" xfId="0" applyFont="1" applyBorder="1" applyAlignment="1" applyProtection="1">
      <alignment horizontal="center"/>
    </xf>
    <xf numFmtId="0" fontId="4" fillId="13" borderId="2" xfId="0" applyFont="1" applyFill="1" applyBorder="1" applyAlignment="1" applyProtection="1">
      <alignment vertical="center"/>
    </xf>
    <xf numFmtId="0" fontId="46" fillId="24" borderId="5" xfId="0" applyFont="1" applyFill="1" applyBorder="1" applyAlignment="1" applyProtection="1">
      <alignment horizontal="center" vertical="center"/>
    </xf>
    <xf numFmtId="0" fontId="44" fillId="24" borderId="2" xfId="0" applyFont="1" applyFill="1" applyBorder="1" applyAlignment="1" applyProtection="1">
      <alignment horizontal="center" vertical="center"/>
    </xf>
    <xf numFmtId="0" fontId="68" fillId="2" borderId="0" xfId="0" applyFont="1" applyFill="1" applyBorder="1" applyProtection="1"/>
    <xf numFmtId="0" fontId="21" fillId="0" borderId="66" xfId="0" applyFont="1" applyBorder="1" applyAlignment="1" applyProtection="1"/>
    <xf numFmtId="0" fontId="55" fillId="0" borderId="13" xfId="0" applyFont="1" applyBorder="1" applyAlignment="1" applyProtection="1">
      <alignment horizontal="center"/>
    </xf>
    <xf numFmtId="0" fontId="55" fillId="0" borderId="9" xfId="0" applyFont="1" applyBorder="1" applyAlignment="1" applyProtection="1">
      <alignment horizontal="center"/>
    </xf>
    <xf numFmtId="0" fontId="55" fillId="0" borderId="29" xfId="0" applyFont="1" applyBorder="1" applyAlignment="1" applyProtection="1">
      <alignment horizontal="center"/>
    </xf>
    <xf numFmtId="0" fontId="55" fillId="0" borderId="0" xfId="0" applyFont="1" applyFill="1" applyProtection="1"/>
    <xf numFmtId="0" fontId="55" fillId="0" borderId="0" xfId="0" applyFont="1" applyFill="1" applyBorder="1" applyProtection="1"/>
    <xf numFmtId="0" fontId="55" fillId="0" borderId="0" xfId="0" applyFont="1" applyFill="1" applyBorder="1" applyAlignment="1" applyProtection="1">
      <alignment horizontal="center"/>
    </xf>
    <xf numFmtId="0" fontId="68" fillId="8" borderId="0" xfId="0" applyFont="1" applyFill="1"/>
    <xf numFmtId="0" fontId="37" fillId="0" borderId="12" xfId="0" applyFont="1" applyFill="1" applyBorder="1" applyAlignment="1">
      <alignment vertical="center"/>
    </xf>
    <xf numFmtId="0" fontId="4" fillId="0" borderId="49"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0" xfId="0" applyFont="1" applyBorder="1" applyAlignment="1">
      <alignment horizontal="center" vertical="center"/>
    </xf>
    <xf numFmtId="0" fontId="61" fillId="2" borderId="0" xfId="0" applyFont="1" applyFill="1" applyBorder="1" applyAlignment="1" applyProtection="1">
      <alignment horizontal="center" vertical="center"/>
    </xf>
    <xf numFmtId="0" fontId="61" fillId="2" borderId="14" xfId="0" applyFont="1" applyFill="1" applyBorder="1" applyAlignment="1" applyProtection="1">
      <alignment horizontal="center" vertical="center"/>
    </xf>
    <xf numFmtId="0" fontId="61" fillId="2" borderId="3" xfId="0" applyFont="1" applyFill="1" applyBorder="1" applyAlignment="1" applyProtection="1">
      <alignment horizontal="center" vertical="center"/>
    </xf>
    <xf numFmtId="0" fontId="5" fillId="2" borderId="11" xfId="1" applyFill="1" applyBorder="1" applyAlignment="1" applyProtection="1">
      <alignment horizontal="left" vertical="center"/>
    </xf>
    <xf numFmtId="1" fontId="0" fillId="2" borderId="4" xfId="0" applyNumberFormat="1" applyFill="1" applyBorder="1" applyAlignment="1" applyProtection="1">
      <alignment horizontal="center"/>
    </xf>
    <xf numFmtId="0" fontId="60" fillId="24" borderId="0" xfId="0" applyFont="1" applyFill="1" applyBorder="1" applyAlignment="1">
      <alignment horizontal="center"/>
    </xf>
    <xf numFmtId="0" fontId="35" fillId="0" borderId="0" xfId="0" applyFont="1" applyFill="1"/>
    <xf numFmtId="1" fontId="0" fillId="0" borderId="4" xfId="0" applyNumberFormat="1" applyFill="1" applyBorder="1" applyAlignment="1" applyProtection="1">
      <alignment horizontal="center"/>
      <protection locked="0"/>
    </xf>
    <xf numFmtId="0" fontId="4" fillId="0" borderId="68" xfId="0" applyFont="1" applyFill="1" applyBorder="1" applyAlignment="1">
      <alignment horizontal="left" vertical="center"/>
    </xf>
    <xf numFmtId="0" fontId="4" fillId="0" borderId="69" xfId="0" applyFont="1" applyFill="1" applyBorder="1" applyAlignment="1">
      <alignment horizontal="left" vertical="center"/>
    </xf>
    <xf numFmtId="0" fontId="4" fillId="0" borderId="70" xfId="0" applyFont="1" applyFill="1" applyBorder="1" applyAlignment="1" applyProtection="1">
      <alignment horizontal="center" vertical="center"/>
      <protection locked="0"/>
    </xf>
    <xf numFmtId="0" fontId="4" fillId="0" borderId="71" xfId="0" applyFont="1" applyFill="1" applyBorder="1" applyAlignment="1" applyProtection="1">
      <alignment horizontal="center" vertical="center"/>
      <protection locked="0"/>
    </xf>
    <xf numFmtId="0" fontId="4" fillId="0" borderId="55" xfId="0" applyFont="1" applyFill="1" applyBorder="1" applyAlignment="1" applyProtection="1">
      <alignment horizontal="center" vertical="center"/>
      <protection locked="0"/>
    </xf>
    <xf numFmtId="0" fontId="4" fillId="0" borderId="50" xfId="0" applyFont="1" applyFill="1" applyBorder="1" applyAlignment="1" applyProtection="1">
      <alignment horizontal="center" vertical="center"/>
      <protection locked="0"/>
    </xf>
    <xf numFmtId="0" fontId="4" fillId="0" borderId="72" xfId="0" applyFont="1" applyFill="1" applyBorder="1" applyAlignment="1" applyProtection="1">
      <alignment horizontal="center" vertical="center"/>
      <protection locked="0"/>
    </xf>
    <xf numFmtId="0" fontId="4" fillId="0" borderId="49" xfId="0" applyFont="1" applyFill="1" applyBorder="1" applyAlignment="1" applyProtection="1">
      <alignment horizontal="center" vertical="center"/>
      <protection locked="0"/>
    </xf>
    <xf numFmtId="0" fontId="7" fillId="0" borderId="73" xfId="0" applyFont="1" applyFill="1" applyBorder="1" applyAlignment="1">
      <alignment horizontal="center" vertical="center"/>
    </xf>
    <xf numFmtId="0" fontId="19" fillId="0" borderId="0" xfId="0" applyFont="1" applyFill="1"/>
    <xf numFmtId="0" fontId="4" fillId="0" borderId="74" xfId="0" applyFont="1" applyFill="1" applyBorder="1" applyAlignment="1" applyProtection="1">
      <alignment horizontal="left" vertical="center"/>
      <protection locked="0"/>
    </xf>
    <xf numFmtId="0" fontId="4" fillId="0" borderId="67" xfId="0" applyFont="1" applyFill="1" applyBorder="1" applyAlignment="1" applyProtection="1">
      <alignment horizontal="left" vertical="center"/>
      <protection locked="0"/>
    </xf>
    <xf numFmtId="0" fontId="4" fillId="0" borderId="55" xfId="0" applyFont="1" applyFill="1" applyBorder="1" applyAlignment="1" applyProtection="1">
      <alignment horizontal="left" vertical="center"/>
      <protection locked="0"/>
    </xf>
    <xf numFmtId="0" fontId="4" fillId="0" borderId="50" xfId="0" applyFont="1" applyFill="1" applyBorder="1" applyAlignment="1" applyProtection="1">
      <alignment horizontal="left" vertical="center"/>
      <protection locked="0"/>
    </xf>
    <xf numFmtId="0" fontId="4" fillId="0" borderId="72" xfId="0" applyFont="1" applyFill="1" applyBorder="1" applyAlignment="1" applyProtection="1">
      <alignment horizontal="left" vertical="center"/>
      <protection locked="0"/>
    </xf>
    <xf numFmtId="0" fontId="4" fillId="0" borderId="49" xfId="0" applyFont="1" applyFill="1" applyBorder="1" applyAlignment="1" applyProtection="1">
      <alignment horizontal="left" vertical="center"/>
      <protection locked="0"/>
    </xf>
    <xf numFmtId="0" fontId="7" fillId="0" borderId="75" xfId="0" applyFont="1" applyFill="1" applyBorder="1" applyAlignment="1">
      <alignment horizontal="center" vertical="center"/>
    </xf>
    <xf numFmtId="0" fontId="7" fillId="0" borderId="18" xfId="0" applyFont="1" applyFill="1" applyBorder="1" applyAlignment="1">
      <alignment vertical="center"/>
    </xf>
    <xf numFmtId="0" fontId="7" fillId="0" borderId="66" xfId="0" applyFont="1" applyFill="1" applyBorder="1" applyAlignment="1">
      <alignment vertical="center"/>
    </xf>
    <xf numFmtId="0" fontId="71" fillId="0" borderId="76" xfId="0" applyFont="1" applyFill="1" applyBorder="1" applyAlignment="1">
      <alignment horizontal="center"/>
    </xf>
    <xf numFmtId="0" fontId="71" fillId="0" borderId="75" xfId="0" applyFont="1" applyFill="1" applyBorder="1" applyAlignment="1">
      <alignment horizontal="center"/>
    </xf>
    <xf numFmtId="0" fontId="71" fillId="0" borderId="0" xfId="0" applyFont="1" applyFill="1"/>
    <xf numFmtId="0" fontId="71" fillId="0" borderId="77" xfId="0" applyFont="1" applyFill="1" applyBorder="1" applyAlignment="1">
      <alignment horizontal="center"/>
    </xf>
    <xf numFmtId="0" fontId="71" fillId="0" borderId="78" xfId="0" applyFont="1" applyFill="1" applyBorder="1" applyAlignment="1">
      <alignment horizontal="center"/>
    </xf>
    <xf numFmtId="0" fontId="71" fillId="0" borderId="79" xfId="0" applyFont="1" applyFill="1" applyBorder="1" applyAlignment="1">
      <alignment horizontal="center"/>
    </xf>
    <xf numFmtId="0" fontId="4" fillId="0" borderId="80" xfId="0" applyFont="1" applyFill="1" applyBorder="1"/>
    <xf numFmtId="0" fontId="4" fillId="0" borderId="0" xfId="0" applyFont="1" applyFill="1" applyAlignment="1">
      <alignment vertical="center"/>
    </xf>
    <xf numFmtId="0" fontId="6" fillId="0" borderId="81" xfId="0" applyFont="1" applyFill="1" applyBorder="1" applyAlignment="1">
      <alignment vertical="center"/>
    </xf>
    <xf numFmtId="0" fontId="6" fillId="0" borderId="82" xfId="0" applyFont="1" applyFill="1" applyBorder="1" applyAlignment="1">
      <alignment vertical="center"/>
    </xf>
    <xf numFmtId="0" fontId="6" fillId="0" borderId="83" xfId="0" applyFont="1" applyFill="1" applyBorder="1" applyAlignment="1">
      <alignment vertical="center"/>
    </xf>
    <xf numFmtId="0" fontId="6" fillId="0" borderId="84" xfId="0" applyFont="1" applyFill="1" applyBorder="1" applyAlignment="1">
      <alignment vertical="center"/>
    </xf>
    <xf numFmtId="0" fontId="78" fillId="0" borderId="0" xfId="0" applyFont="1" applyFill="1"/>
    <xf numFmtId="0" fontId="22" fillId="0" borderId="51" xfId="0" applyFont="1" applyFill="1" applyBorder="1" applyAlignment="1">
      <alignment horizontal="center" vertical="center"/>
    </xf>
    <xf numFmtId="0" fontId="78" fillId="0" borderId="85" xfId="0" applyFont="1" applyFill="1" applyBorder="1" applyAlignment="1">
      <alignment horizontal="center" vertical="center"/>
    </xf>
    <xf numFmtId="0" fontId="78" fillId="0" borderId="47" xfId="0" applyFont="1" applyFill="1" applyBorder="1" applyAlignment="1">
      <alignment horizontal="center" vertical="center"/>
    </xf>
    <xf numFmtId="0" fontId="22" fillId="0" borderId="86" xfId="0" applyFont="1" applyFill="1" applyBorder="1" applyAlignment="1">
      <alignment horizontal="center" vertical="center"/>
    </xf>
    <xf numFmtId="0" fontId="78" fillId="0" borderId="87" xfId="0" applyFont="1" applyFill="1" applyBorder="1" applyAlignment="1">
      <alignment horizontal="center" vertical="center"/>
    </xf>
    <xf numFmtId="0" fontId="78" fillId="0" borderId="88" xfId="0" applyNumberFormat="1" applyFont="1" applyFill="1" applyBorder="1" applyAlignment="1" applyProtection="1">
      <alignment horizontal="center" vertical="center"/>
    </xf>
    <xf numFmtId="0" fontId="9" fillId="0" borderId="89" xfId="0" applyFont="1" applyFill="1" applyBorder="1" applyAlignment="1">
      <alignment vertical="center"/>
    </xf>
    <xf numFmtId="1" fontId="22" fillId="0" borderId="70" xfId="0" applyNumberFormat="1" applyFont="1" applyFill="1" applyBorder="1" applyAlignment="1">
      <alignment horizontal="center" vertical="center"/>
    </xf>
    <xf numFmtId="0" fontId="9" fillId="0" borderId="90" xfId="0" applyFont="1" applyFill="1" applyBorder="1" applyAlignment="1">
      <alignment vertical="center"/>
    </xf>
    <xf numFmtId="1" fontId="22" fillId="0" borderId="55" xfId="0" applyNumberFormat="1" applyFont="1" applyFill="1" applyBorder="1" applyAlignment="1">
      <alignment horizontal="center" vertical="center"/>
    </xf>
    <xf numFmtId="0" fontId="22" fillId="0" borderId="91" xfId="0" applyFont="1" applyFill="1" applyBorder="1" applyAlignment="1">
      <alignment horizontal="center" vertical="center"/>
    </xf>
    <xf numFmtId="0" fontId="78" fillId="0" borderId="7" xfId="0" applyFont="1" applyFill="1" applyBorder="1" applyAlignment="1">
      <alignment horizontal="center" vertical="center"/>
    </xf>
    <xf numFmtId="0" fontId="22" fillId="0" borderId="92" xfId="0" applyFont="1" applyFill="1" applyBorder="1" applyAlignment="1">
      <alignment horizontal="center" vertical="center"/>
    </xf>
    <xf numFmtId="0" fontId="59" fillId="0" borderId="40" xfId="0" applyFont="1" applyFill="1" applyBorder="1" applyAlignment="1" applyProtection="1">
      <alignment horizontal="center" vertical="center"/>
    </xf>
    <xf numFmtId="0" fontId="57" fillId="0" borderId="0" xfId="0" applyFont="1" applyFill="1" applyBorder="1" applyAlignment="1">
      <alignment vertical="center"/>
    </xf>
    <xf numFmtId="0" fontId="78" fillId="0" borderId="41" xfId="0" applyFont="1" applyFill="1" applyBorder="1" applyAlignment="1" applyProtection="1">
      <alignment horizontal="center" vertical="center"/>
      <protection locked="0"/>
    </xf>
    <xf numFmtId="0" fontId="78" fillId="0" borderId="4" xfId="0" applyFont="1" applyFill="1" applyBorder="1" applyAlignment="1">
      <alignment horizontal="center" vertical="center"/>
    </xf>
    <xf numFmtId="0" fontId="78" fillId="0" borderId="41" xfId="0" applyFont="1" applyFill="1" applyBorder="1" applyAlignment="1" applyProtection="1">
      <alignment horizontal="center" vertical="center"/>
    </xf>
    <xf numFmtId="0" fontId="22" fillId="0" borderId="50" xfId="0" applyFont="1" applyFill="1" applyBorder="1" applyAlignment="1">
      <alignment horizontal="center" vertical="center"/>
    </xf>
    <xf numFmtId="0" fontId="22" fillId="0" borderId="55" xfId="0" applyFont="1" applyFill="1" applyBorder="1" applyAlignment="1">
      <alignment horizontal="center" vertical="center"/>
    </xf>
    <xf numFmtId="0" fontId="9" fillId="0" borderId="93" xfId="0" applyFont="1" applyFill="1" applyBorder="1" applyAlignment="1">
      <alignment vertical="center"/>
    </xf>
    <xf numFmtId="0" fontId="78" fillId="0" borderId="39" xfId="0" applyFont="1" applyFill="1" applyBorder="1" applyAlignment="1" applyProtection="1">
      <alignment horizontal="center" vertical="center"/>
    </xf>
    <xf numFmtId="0" fontId="4" fillId="0" borderId="0" xfId="0" applyFont="1" applyFill="1"/>
    <xf numFmtId="1" fontId="78" fillId="0" borderId="7" xfId="0" applyNumberFormat="1" applyFont="1" applyFill="1" applyBorder="1" applyAlignment="1">
      <alignment horizontal="center" vertical="center"/>
    </xf>
    <xf numFmtId="0" fontId="9" fillId="0" borderId="94" xfId="0" applyFont="1" applyFill="1" applyBorder="1" applyAlignment="1">
      <alignment vertical="center"/>
    </xf>
    <xf numFmtId="0" fontId="50" fillId="0" borderId="95" xfId="0" applyFont="1" applyFill="1" applyBorder="1" applyAlignment="1">
      <alignment horizontal="center" vertical="center"/>
    </xf>
    <xf numFmtId="0" fontId="50" fillId="0" borderId="96" xfId="0" applyFont="1" applyFill="1" applyBorder="1" applyAlignment="1">
      <alignment horizontal="center" vertical="center"/>
    </xf>
    <xf numFmtId="0" fontId="7" fillId="0" borderId="97" xfId="0" applyFont="1" applyFill="1" applyBorder="1" applyAlignment="1">
      <alignment horizontal="center" vertical="center"/>
    </xf>
    <xf numFmtId="0" fontId="4" fillId="0" borderId="72"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49" xfId="0" applyFont="1" applyFill="1" applyBorder="1" applyAlignment="1" applyProtection="1">
      <alignment vertical="center"/>
      <protection locked="0"/>
    </xf>
    <xf numFmtId="0" fontId="4" fillId="0" borderId="72" xfId="0" applyFont="1" applyFill="1" applyBorder="1" applyAlignment="1" applyProtection="1">
      <alignment vertical="center"/>
      <protection locked="0"/>
    </xf>
    <xf numFmtId="0" fontId="4" fillId="0" borderId="67" xfId="0" applyFont="1" applyFill="1" applyBorder="1" applyAlignment="1" applyProtection="1">
      <alignment vertical="center"/>
      <protection locked="0"/>
    </xf>
    <xf numFmtId="0" fontId="4" fillId="0" borderId="74" xfId="0" applyFont="1" applyFill="1" applyBorder="1" applyAlignment="1" applyProtection="1">
      <alignment vertical="center"/>
      <protection locked="0"/>
    </xf>
    <xf numFmtId="0" fontId="43" fillId="0" borderId="0" xfId="0" applyFont="1" applyFill="1" applyBorder="1" applyProtection="1"/>
    <xf numFmtId="0" fontId="4" fillId="0" borderId="57" xfId="0" applyFont="1" applyFill="1" applyBorder="1" applyAlignment="1" applyProtection="1">
      <alignment horizontal="left" vertical="center"/>
      <protection locked="0"/>
    </xf>
    <xf numFmtId="0" fontId="4" fillId="0" borderId="51" xfId="0" applyFont="1" applyFill="1" applyBorder="1" applyAlignment="1">
      <alignment horizontal="left" vertical="center"/>
    </xf>
    <xf numFmtId="0" fontId="4" fillId="0" borderId="98" xfId="0" applyFont="1" applyFill="1" applyBorder="1" applyAlignment="1">
      <alignment horizontal="left" vertical="center"/>
    </xf>
    <xf numFmtId="0" fontId="15" fillId="0" borderId="30" xfId="0" applyFont="1" applyFill="1" applyBorder="1" applyAlignment="1">
      <alignment vertical="center" wrapText="1"/>
    </xf>
    <xf numFmtId="0" fontId="6" fillId="0" borderId="0" xfId="0" applyNumberFormat="1" applyFont="1" applyFill="1" applyBorder="1" applyAlignment="1">
      <alignment vertical="center" wrapText="1"/>
    </xf>
    <xf numFmtId="0" fontId="58" fillId="0" borderId="8" xfId="0" applyFont="1" applyFill="1" applyBorder="1" applyAlignment="1" applyProtection="1">
      <alignment horizontal="left" vertical="center" wrapText="1"/>
      <protection locked="0"/>
    </xf>
    <xf numFmtId="0" fontId="58" fillId="0" borderId="13" xfId="0" applyFont="1" applyFill="1" applyBorder="1" applyAlignment="1" applyProtection="1">
      <alignment horizontal="center" vertical="center" wrapText="1"/>
      <protection locked="0"/>
    </xf>
    <xf numFmtId="0" fontId="68" fillId="8" borderId="11" xfId="0" applyFont="1" applyFill="1" applyBorder="1" applyProtection="1"/>
    <xf numFmtId="0" fontId="68" fillId="8" borderId="0" xfId="0" applyFont="1" applyFill="1" applyBorder="1" applyProtection="1"/>
    <xf numFmtId="0" fontId="85" fillId="8" borderId="4" xfId="0" applyFont="1" applyFill="1" applyBorder="1" applyAlignment="1" applyProtection="1">
      <alignment horizontal="right"/>
    </xf>
    <xf numFmtId="0" fontId="68" fillId="8" borderId="0" xfId="0" quotePrefix="1" applyFont="1" applyFill="1" applyBorder="1" applyAlignment="1" applyProtection="1">
      <alignment wrapText="1"/>
    </xf>
    <xf numFmtId="0" fontId="4" fillId="2" borderId="0" xfId="0" applyFont="1" applyFill="1" applyBorder="1"/>
    <xf numFmtId="0" fontId="29" fillId="2" borderId="6" xfId="0" applyFont="1" applyFill="1" applyBorder="1" applyAlignment="1">
      <alignment horizontal="center"/>
    </xf>
    <xf numFmtId="0" fontId="29" fillId="2" borderId="23" xfId="0" applyFont="1" applyFill="1" applyBorder="1" applyAlignment="1">
      <alignment horizontal="center"/>
    </xf>
    <xf numFmtId="0" fontId="42" fillId="2" borderId="6" xfId="0" applyFont="1" applyFill="1" applyBorder="1"/>
    <xf numFmtId="0" fontId="0" fillId="2" borderId="6" xfId="0" applyFill="1" applyBorder="1" applyAlignment="1">
      <alignment horizontal="right"/>
    </xf>
    <xf numFmtId="0" fontId="0" fillId="2" borderId="23" xfId="0" applyFill="1" applyBorder="1"/>
    <xf numFmtId="0" fontId="0" fillId="2" borderId="21" xfId="0" applyFill="1" applyBorder="1"/>
    <xf numFmtId="0" fontId="47" fillId="2" borderId="0" xfId="0" applyFont="1" applyFill="1" applyBorder="1"/>
    <xf numFmtId="0" fontId="4" fillId="2" borderId="0" xfId="0" applyFont="1" applyFill="1" applyBorder="1" applyAlignment="1">
      <alignment horizontal="left"/>
    </xf>
    <xf numFmtId="0" fontId="57" fillId="2" borderId="0" xfId="0" applyFont="1" applyFill="1" applyBorder="1"/>
    <xf numFmtId="0" fontId="76" fillId="0" borderId="0" xfId="0" applyFont="1" applyBorder="1" applyAlignment="1">
      <alignment horizontal="left" vertical="top"/>
    </xf>
    <xf numFmtId="0" fontId="76" fillId="0" borderId="21" xfId="0" applyFont="1" applyBorder="1" applyAlignment="1">
      <alignment horizontal="left" vertical="top"/>
    </xf>
    <xf numFmtId="0" fontId="4" fillId="0" borderId="0" xfId="0" applyNumberFormat="1" applyFont="1" applyFill="1" applyBorder="1" applyProtection="1"/>
    <xf numFmtId="0" fontId="55" fillId="0" borderId="0" xfId="0" applyNumberFormat="1" applyFont="1" applyFill="1" applyBorder="1" applyAlignment="1" applyProtection="1"/>
    <xf numFmtId="0" fontId="4" fillId="0" borderId="0" xfId="0" applyNumberFormat="1" applyFont="1" applyProtection="1"/>
    <xf numFmtId="0" fontId="4" fillId="0" borderId="0" xfId="0" applyNumberFormat="1" applyFont="1" applyFill="1" applyProtection="1"/>
    <xf numFmtId="0" fontId="4" fillId="0" borderId="0" xfId="0" applyNumberFormat="1" applyFont="1" applyFill="1" applyBorder="1" applyAlignment="1" applyProtection="1">
      <alignment horizontal="left"/>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center"/>
    </xf>
    <xf numFmtId="0" fontId="4" fillId="0" borderId="0" xfId="0" applyNumberFormat="1" applyFont="1" applyAlignment="1" applyProtection="1">
      <alignment horizontal="center"/>
    </xf>
    <xf numFmtId="0" fontId="7" fillId="0" borderId="18" xfId="0" applyFont="1" applyFill="1" applyBorder="1" applyAlignment="1">
      <alignment horizontal="left" vertical="center"/>
    </xf>
    <xf numFmtId="0" fontId="7" fillId="0" borderId="66" xfId="0" applyFont="1" applyFill="1" applyBorder="1" applyAlignment="1">
      <alignment horizontal="left" vertical="center"/>
    </xf>
    <xf numFmtId="0" fontId="4" fillId="0" borderId="63" xfId="0" applyFont="1" applyBorder="1" applyAlignment="1" applyProtection="1">
      <alignment horizontal="left" vertical="center"/>
    </xf>
    <xf numFmtId="0" fontId="4" fillId="0" borderId="62" xfId="0" applyFont="1" applyBorder="1" applyAlignment="1" applyProtection="1">
      <alignment horizontal="left" vertical="center"/>
    </xf>
    <xf numFmtId="0" fontId="4" fillId="0" borderId="59" xfId="0" applyFont="1" applyBorder="1" applyAlignment="1" applyProtection="1">
      <alignment horizontal="left" vertical="center"/>
    </xf>
    <xf numFmtId="0" fontId="4" fillId="0" borderId="2" xfId="0" applyFont="1" applyBorder="1"/>
    <xf numFmtId="0" fontId="4" fillId="0" borderId="10" xfId="0" applyFont="1" applyBorder="1"/>
    <xf numFmtId="0" fontId="80" fillId="2" borderId="23" xfId="0" applyFont="1" applyFill="1" applyBorder="1" applyAlignment="1">
      <alignment horizontal="center"/>
    </xf>
    <xf numFmtId="0" fontId="80" fillId="2" borderId="0" xfId="0" applyFont="1" applyFill="1" applyBorder="1" applyAlignment="1">
      <alignment horizontal="center"/>
    </xf>
    <xf numFmtId="0" fontId="80" fillId="2" borderId="6" xfId="0" applyFont="1" applyFill="1" applyBorder="1" applyAlignment="1">
      <alignment horizontal="center"/>
    </xf>
    <xf numFmtId="0" fontId="85" fillId="0" borderId="0" xfId="0" applyNumberFormat="1" applyFont="1" applyAlignment="1">
      <alignment horizontal="right"/>
    </xf>
    <xf numFmtId="0" fontId="99" fillId="0" borderId="0" xfId="0" applyFont="1" applyBorder="1" applyAlignment="1">
      <alignment horizontal="right"/>
    </xf>
    <xf numFmtId="0" fontId="76" fillId="0" borderId="35" xfId="0" applyFont="1" applyBorder="1"/>
    <xf numFmtId="0" fontId="76" fillId="0" borderId="12" xfId="0" applyFont="1" applyBorder="1"/>
    <xf numFmtId="0" fontId="76" fillId="0" borderId="7" xfId="0" applyFont="1" applyBorder="1"/>
    <xf numFmtId="0" fontId="76" fillId="0" borderId="6" xfId="0" applyFont="1" applyBorder="1" applyAlignment="1">
      <alignment horizontal="right"/>
    </xf>
    <xf numFmtId="0" fontId="76" fillId="0" borderId="3" xfId="0" applyFont="1" applyBorder="1" applyAlignment="1">
      <alignment horizontal="right"/>
    </xf>
    <xf numFmtId="0" fontId="76" fillId="0" borderId="22" xfId="0" applyFont="1" applyBorder="1" applyAlignment="1">
      <alignment horizontal="right" vertical="top"/>
    </xf>
    <xf numFmtId="0" fontId="76" fillId="0" borderId="6" xfId="0" applyFont="1" applyBorder="1" applyAlignment="1">
      <alignment horizontal="right" vertical="top"/>
    </xf>
    <xf numFmtId="0" fontId="85" fillId="2" borderId="0" xfId="0" applyFont="1" applyFill="1"/>
    <xf numFmtId="0" fontId="76" fillId="0" borderId="11" xfId="0" applyFont="1" applyBorder="1" applyAlignment="1">
      <alignment horizontal="right" vertical="top"/>
    </xf>
    <xf numFmtId="0" fontId="76" fillId="0" borderId="0" xfId="0" applyFont="1" applyBorder="1" applyAlignment="1">
      <alignment horizontal="right" vertical="top"/>
    </xf>
    <xf numFmtId="0" fontId="100" fillId="2" borderId="12" xfId="0" applyFont="1" applyFill="1" applyBorder="1" applyAlignment="1">
      <alignment horizontal="center"/>
    </xf>
    <xf numFmtId="0" fontId="85" fillId="2" borderId="0" xfId="0" applyFont="1" applyFill="1" applyAlignment="1">
      <alignment horizontal="right"/>
    </xf>
    <xf numFmtId="0" fontId="100" fillId="2" borderId="11" xfId="0" applyFont="1" applyFill="1" applyBorder="1" applyAlignment="1">
      <alignment horizontal="center"/>
    </xf>
    <xf numFmtId="0" fontId="23" fillId="2" borderId="0" xfId="0" applyFont="1" applyFill="1" applyAlignment="1">
      <alignment horizontal="center"/>
    </xf>
    <xf numFmtId="0" fontId="23" fillId="2" borderId="0" xfId="0" applyFont="1" applyFill="1"/>
    <xf numFmtId="1" fontId="55" fillId="2" borderId="11" xfId="0" applyNumberFormat="1" applyFont="1" applyFill="1" applyBorder="1" applyAlignment="1">
      <alignment horizontal="center"/>
    </xf>
    <xf numFmtId="0" fontId="4" fillId="2" borderId="6" xfId="0" applyFont="1" applyFill="1" applyBorder="1"/>
    <xf numFmtId="0" fontId="4" fillId="2" borderId="6" xfId="0" applyFont="1" applyFill="1" applyBorder="1" applyAlignment="1">
      <alignment horizontal="right" vertical="top"/>
    </xf>
    <xf numFmtId="0" fontId="4" fillId="2" borderId="3" xfId="0" applyFont="1" applyFill="1" applyBorder="1"/>
    <xf numFmtId="0" fontId="4" fillId="2" borderId="3" xfId="0" applyFont="1" applyFill="1" applyBorder="1" applyAlignment="1">
      <alignment horizontal="right" vertical="top"/>
    </xf>
    <xf numFmtId="0" fontId="101" fillId="0" borderId="0" xfId="0" applyFont="1" applyAlignment="1">
      <alignment vertical="center" wrapText="1"/>
    </xf>
    <xf numFmtId="0" fontId="4" fillId="5" borderId="2" xfId="0" applyFont="1" applyFill="1" applyBorder="1" applyAlignment="1">
      <alignment horizontal="center" vertical="center"/>
    </xf>
    <xf numFmtId="0" fontId="29" fillId="5" borderId="2" xfId="0" applyFont="1" applyFill="1" applyBorder="1" applyAlignment="1">
      <alignment horizontal="left" vertical="center"/>
    </xf>
    <xf numFmtId="0" fontId="29" fillId="2" borderId="5" xfId="1" applyFont="1" applyFill="1" applyBorder="1" applyAlignment="1" applyProtection="1"/>
    <xf numFmtId="0" fontId="29" fillId="2" borderId="4" xfId="1" applyFont="1" applyFill="1" applyBorder="1" applyAlignment="1" applyProtection="1"/>
    <xf numFmtId="0" fontId="35" fillId="2" borderId="2" xfId="0" applyFont="1" applyFill="1" applyBorder="1"/>
    <xf numFmtId="0" fontId="4" fillId="7" borderId="7" xfId="0" applyFont="1" applyFill="1" applyBorder="1" applyAlignment="1" applyProtection="1">
      <alignment horizontal="left" vertical="center"/>
    </xf>
    <xf numFmtId="0" fontId="0" fillId="0" borderId="7" xfId="0" applyFill="1" applyBorder="1" applyAlignment="1">
      <alignment horizontal="left"/>
    </xf>
    <xf numFmtId="0" fontId="4" fillId="7" borderId="35" xfId="0" applyFont="1" applyFill="1" applyBorder="1" applyAlignment="1" applyProtection="1">
      <alignment horizontal="left" vertical="center"/>
    </xf>
    <xf numFmtId="0" fontId="0" fillId="0" borderId="35" xfId="0" applyFill="1" applyBorder="1" applyAlignment="1">
      <alignment horizontal="left"/>
    </xf>
    <xf numFmtId="0" fontId="61" fillId="0" borderId="99" xfId="0" applyFont="1" applyFill="1" applyBorder="1" applyAlignment="1">
      <alignment vertical="center"/>
    </xf>
    <xf numFmtId="0" fontId="61" fillId="0" borderId="100" xfId="0" applyFont="1" applyFill="1" applyBorder="1" applyAlignment="1">
      <alignment vertical="center"/>
    </xf>
    <xf numFmtId="0" fontId="46" fillId="15" borderId="35" xfId="0" applyFont="1" applyFill="1" applyBorder="1" applyAlignment="1">
      <alignment horizontal="center" vertical="center"/>
    </xf>
    <xf numFmtId="1" fontId="80" fillId="2" borderId="24" xfId="0" applyNumberFormat="1" applyFont="1" applyFill="1" applyBorder="1" applyAlignment="1">
      <alignment horizontal="center"/>
    </xf>
    <xf numFmtId="0" fontId="4" fillId="2" borderId="10" xfId="0" applyFont="1" applyFill="1" applyBorder="1" applyAlignment="1" applyProtection="1">
      <alignment vertical="center"/>
    </xf>
    <xf numFmtId="0" fontId="4" fillId="2" borderId="5" xfId="0" applyFont="1" applyFill="1" applyBorder="1" applyAlignment="1" applyProtection="1">
      <alignment horizontal="left"/>
    </xf>
    <xf numFmtId="0" fontId="4" fillId="2" borderId="5"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0" fontId="4" fillId="0" borderId="0" xfId="0" applyFont="1" applyBorder="1" applyAlignment="1" applyProtection="1">
      <protection locked="0"/>
    </xf>
    <xf numFmtId="0" fontId="4" fillId="0" borderId="0" xfId="0" applyFont="1" applyBorder="1" applyAlignment="1"/>
    <xf numFmtId="0" fontId="4" fillId="0" borderId="8" xfId="0" applyFont="1" applyBorder="1" applyAlignment="1"/>
    <xf numFmtId="0" fontId="4" fillId="0" borderId="8"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76" fillId="0" borderId="0" xfId="0" applyFont="1" applyProtection="1"/>
    <xf numFmtId="0" fontId="4" fillId="0" borderId="0" xfId="0" applyFont="1" applyProtection="1"/>
    <xf numFmtId="0" fontId="76" fillId="0" borderId="0" xfId="0" applyFont="1" applyBorder="1" applyProtection="1"/>
    <xf numFmtId="0" fontId="76" fillId="0" borderId="6" xfId="0" applyFont="1" applyBorder="1" applyProtection="1"/>
    <xf numFmtId="0" fontId="76" fillId="0" borderId="23" xfId="0" applyFont="1" applyBorder="1" applyProtection="1"/>
    <xf numFmtId="0" fontId="76" fillId="0" borderId="21" xfId="0" applyFont="1" applyBorder="1" applyProtection="1"/>
    <xf numFmtId="0" fontId="4" fillId="0" borderId="21" xfId="0" applyFont="1" applyBorder="1" applyProtection="1"/>
    <xf numFmtId="0" fontId="4" fillId="0" borderId="11" xfId="0" applyFont="1" applyBorder="1" applyProtection="1"/>
    <xf numFmtId="0" fontId="4" fillId="0" borderId="0" xfId="0" applyFont="1" applyBorder="1" applyProtection="1"/>
    <xf numFmtId="0" fontId="4" fillId="0" borderId="14" xfId="0" applyFont="1" applyBorder="1" applyProtection="1"/>
    <xf numFmtId="0" fontId="4" fillId="0" borderId="3" xfId="0" applyFont="1" applyBorder="1" applyProtection="1"/>
    <xf numFmtId="0" fontId="4" fillId="0" borderId="24" xfId="0" applyFont="1" applyBorder="1" applyProtection="1"/>
    <xf numFmtId="0" fontId="42" fillId="0" borderId="0" xfId="0" applyFont="1" applyProtection="1"/>
    <xf numFmtId="0" fontId="42" fillId="0" borderId="0" xfId="0" applyFont="1" applyBorder="1" applyAlignment="1" applyProtection="1">
      <alignment horizontal="right"/>
    </xf>
    <xf numFmtId="0" fontId="42" fillId="0" borderId="0" xfId="0" applyFont="1" applyBorder="1" applyProtection="1"/>
    <xf numFmtId="0" fontId="42" fillId="0" borderId="0" xfId="0" applyFont="1" applyFill="1" applyBorder="1" applyProtection="1"/>
    <xf numFmtId="0" fontId="42" fillId="0" borderId="3" xfId="0" applyFont="1" applyBorder="1" applyAlignment="1" applyProtection="1">
      <alignment horizontal="center"/>
    </xf>
    <xf numFmtId="0" fontId="4" fillId="0" borderId="8" xfId="0" applyFont="1" applyBorder="1" applyAlignment="1">
      <alignment horizontal="center" vertical="center"/>
    </xf>
    <xf numFmtId="0" fontId="4" fillId="0" borderId="41" xfId="0" applyFont="1" applyBorder="1" applyAlignment="1"/>
    <xf numFmtId="0" fontId="57" fillId="0" borderId="8" xfId="0" applyFont="1" applyBorder="1" applyAlignment="1"/>
    <xf numFmtId="0" fontId="57" fillId="0" borderId="0" xfId="0" applyFont="1" applyBorder="1" applyAlignment="1"/>
    <xf numFmtId="0" fontId="57" fillId="0" borderId="30" xfId="0" applyFont="1" applyBorder="1" applyAlignment="1"/>
    <xf numFmtId="0" fontId="55" fillId="0" borderId="5" xfId="0" applyFont="1" applyBorder="1" applyAlignment="1" applyProtection="1">
      <alignment horizontal="left"/>
    </xf>
    <xf numFmtId="0" fontId="55" fillId="0" borderId="10" xfId="0" applyFont="1" applyBorder="1" applyAlignment="1" applyProtection="1">
      <alignment horizontal="left"/>
    </xf>
    <xf numFmtId="0" fontId="4" fillId="0" borderId="2" xfId="0" applyFont="1" applyBorder="1" applyAlignment="1">
      <alignment horizontal="center"/>
    </xf>
    <xf numFmtId="0" fontId="4" fillId="0" borderId="0" xfId="0" applyFont="1" applyFill="1" applyBorder="1" applyAlignment="1" applyProtection="1">
      <alignment horizontal="center"/>
    </xf>
    <xf numFmtId="0" fontId="4" fillId="0" borderId="8" xfId="0" applyFont="1" applyFill="1" applyBorder="1" applyAlignment="1" applyProtection="1">
      <alignment horizontal="center"/>
    </xf>
    <xf numFmtId="0" fontId="4" fillId="0" borderId="8" xfId="0" applyFont="1" applyBorder="1" applyAlignment="1">
      <alignment horizontal="center"/>
    </xf>
    <xf numFmtId="0" fontId="4" fillId="0" borderId="0" xfId="0" applyFont="1" applyFill="1" applyAlignment="1"/>
    <xf numFmtId="0" fontId="29" fillId="0" borderId="48" xfId="0" applyFont="1" applyBorder="1" applyAlignment="1" applyProtection="1">
      <alignment horizontal="center"/>
    </xf>
    <xf numFmtId="0" fontId="55" fillId="0" borderId="61" xfId="0" applyFont="1" applyBorder="1" applyAlignment="1"/>
    <xf numFmtId="0" fontId="79" fillId="0" borderId="101" xfId="0" applyFont="1" applyBorder="1" applyAlignment="1" applyProtection="1">
      <alignment horizontal="center"/>
    </xf>
    <xf numFmtId="0" fontId="97" fillId="0" borderId="41" xfId="0" applyFont="1" applyBorder="1" applyAlignment="1" applyProtection="1">
      <alignment horizontal="center"/>
    </xf>
    <xf numFmtId="0" fontId="29" fillId="0" borderId="10" xfId="0" applyFont="1" applyBorder="1" applyAlignment="1" applyProtection="1">
      <alignment horizontal="center"/>
    </xf>
    <xf numFmtId="0" fontId="29" fillId="0" borderId="5" xfId="0" applyFont="1" applyBorder="1" applyAlignment="1" applyProtection="1">
      <alignment horizontal="center"/>
    </xf>
    <xf numFmtId="0" fontId="29" fillId="0" borderId="4" xfId="0" applyFont="1" applyBorder="1" applyAlignment="1" applyProtection="1">
      <alignment horizontal="center"/>
    </xf>
    <xf numFmtId="0" fontId="4" fillId="0" borderId="5" xfId="0" applyFont="1" applyBorder="1" applyAlignment="1" applyProtection="1">
      <alignment horizontal="left"/>
    </xf>
    <xf numFmtId="0" fontId="25" fillId="0" borderId="2" xfId="0" applyFont="1" applyBorder="1" applyAlignment="1" applyProtection="1">
      <alignment horizontal="center"/>
    </xf>
    <xf numFmtId="0" fontId="4" fillId="0" borderId="4" xfId="0" applyFont="1" applyBorder="1" applyAlignment="1" applyProtection="1">
      <alignment horizontal="center"/>
    </xf>
    <xf numFmtId="0" fontId="29" fillId="0" borderId="10" xfId="0" applyFont="1" applyBorder="1" applyAlignment="1" applyProtection="1">
      <alignment horizontal="left"/>
    </xf>
    <xf numFmtId="0" fontId="29" fillId="0" borderId="5" xfId="0" applyFont="1" applyBorder="1" applyAlignment="1" applyProtection="1">
      <alignment horizontal="left"/>
    </xf>
    <xf numFmtId="0" fontId="29" fillId="0" borderId="3" xfId="0" applyFont="1" applyBorder="1" applyAlignment="1" applyProtection="1">
      <alignment horizontal="center"/>
    </xf>
    <xf numFmtId="0" fontId="25" fillId="0" borderId="3" xfId="0" applyFont="1" applyBorder="1" applyAlignment="1" applyProtection="1">
      <alignment horizontal="center"/>
    </xf>
    <xf numFmtId="0" fontId="29" fillId="0" borderId="14" xfId="0" applyFont="1" applyBorder="1" applyAlignment="1" applyProtection="1">
      <alignment horizontal="center"/>
    </xf>
    <xf numFmtId="0" fontId="29" fillId="0" borderId="7" xfId="0" applyFont="1" applyBorder="1" applyAlignment="1" applyProtection="1">
      <alignment horizontal="center"/>
    </xf>
    <xf numFmtId="0" fontId="4" fillId="0" borderId="8" xfId="0" applyFont="1" applyBorder="1" applyAlignment="1" applyProtection="1">
      <alignment horizontal="center"/>
    </xf>
    <xf numFmtId="0" fontId="14" fillId="0" borderId="8" xfId="0" applyFont="1" applyBorder="1" applyAlignment="1" applyProtection="1">
      <alignment horizontal="center"/>
    </xf>
    <xf numFmtId="0" fontId="4" fillId="0" borderId="8" xfId="0" applyNumberFormat="1" applyFont="1" applyBorder="1" applyAlignment="1" applyProtection="1">
      <alignment horizontal="center"/>
    </xf>
    <xf numFmtId="0" fontId="4" fillId="0" borderId="0" xfId="0" applyFont="1" applyAlignment="1" applyProtection="1"/>
    <xf numFmtId="0" fontId="4" fillId="0" borderId="0" xfId="0" applyNumberFormat="1" applyFont="1" applyBorder="1" applyAlignment="1" applyProtection="1">
      <alignment horizontal="center"/>
    </xf>
    <xf numFmtId="0" fontId="79" fillId="0" borderId="0" xfId="0" applyFont="1" applyBorder="1" applyAlignment="1" applyProtection="1">
      <alignment horizontal="center"/>
    </xf>
    <xf numFmtId="0" fontId="55" fillId="0" borderId="46" xfId="0" applyFont="1" applyFill="1" applyBorder="1" applyAlignment="1" applyProtection="1">
      <alignment horizontal="left"/>
    </xf>
    <xf numFmtId="0" fontId="55" fillId="0" borderId="102" xfId="0" applyFont="1" applyFill="1" applyBorder="1" applyAlignment="1" applyProtection="1">
      <alignment horizontal="left"/>
    </xf>
    <xf numFmtId="0" fontId="4" fillId="0" borderId="46" xfId="0" applyFont="1" applyFill="1" applyBorder="1" applyAlignment="1" applyProtection="1">
      <alignment horizontal="left"/>
    </xf>
    <xf numFmtId="0" fontId="29" fillId="0" borderId="28" xfId="0" applyFont="1" applyBorder="1" applyAlignment="1" applyProtection="1">
      <alignment horizontal="center"/>
    </xf>
    <xf numFmtId="0" fontId="4" fillId="0" borderId="61" xfId="0" applyFont="1" applyBorder="1" applyAlignment="1">
      <alignment horizontal="center"/>
    </xf>
    <xf numFmtId="0" fontId="55" fillId="0" borderId="10" xfId="0" applyFont="1" applyBorder="1" applyAlignment="1" applyProtection="1"/>
    <xf numFmtId="0" fontId="4" fillId="0" borderId="10" xfId="0" applyFont="1" applyFill="1" applyBorder="1" applyAlignment="1" applyProtection="1">
      <alignment horizontal="left"/>
    </xf>
    <xf numFmtId="0" fontId="29" fillId="0" borderId="48" xfId="0" applyFont="1" applyFill="1" applyBorder="1" applyAlignment="1" applyProtection="1">
      <alignment horizontal="center"/>
    </xf>
    <xf numFmtId="0" fontId="55" fillId="0" borderId="46" xfId="0" applyNumberFormat="1" applyFont="1" applyBorder="1" applyAlignment="1" applyProtection="1">
      <alignment horizontal="center"/>
    </xf>
    <xf numFmtId="0" fontId="61" fillId="0" borderId="61" xfId="0" applyFont="1" applyBorder="1" applyAlignment="1" applyProtection="1">
      <alignment horizontal="left"/>
    </xf>
    <xf numFmtId="0" fontId="61" fillId="0" borderId="47" xfId="0" applyNumberFormat="1" applyFont="1" applyBorder="1" applyAlignment="1" applyProtection="1">
      <alignment horizontal="center"/>
    </xf>
    <xf numFmtId="0" fontId="4" fillId="0" borderId="46" xfId="0" applyFont="1" applyBorder="1" applyAlignment="1">
      <alignment horizontal="center"/>
    </xf>
    <xf numFmtId="0" fontId="4" fillId="0" borderId="102" xfId="0" applyFont="1" applyFill="1" applyBorder="1" applyAlignment="1" applyProtection="1">
      <alignment horizontal="left"/>
    </xf>
    <xf numFmtId="0" fontId="79" fillId="0" borderId="81" xfId="0" applyFont="1" applyBorder="1" applyAlignment="1" applyProtection="1">
      <alignment horizontal="center"/>
    </xf>
    <xf numFmtId="0" fontId="55" fillId="0" borderId="10" xfId="0" applyFont="1" applyFill="1" applyBorder="1" applyAlignment="1" applyProtection="1">
      <alignment horizontal="left"/>
    </xf>
    <xf numFmtId="0" fontId="55" fillId="0" borderId="5" xfId="0" applyFont="1" applyFill="1" applyBorder="1" applyAlignment="1" applyProtection="1">
      <alignment horizontal="left"/>
    </xf>
    <xf numFmtId="0" fontId="29" fillId="0" borderId="0" xfId="0" applyFont="1" applyFill="1" applyBorder="1" applyAlignment="1" applyProtection="1">
      <alignment horizontal="center"/>
    </xf>
    <xf numFmtId="0" fontId="4" fillId="0" borderId="5" xfId="0" applyFont="1" applyFill="1" applyBorder="1" applyAlignment="1" applyProtection="1">
      <alignment horizontal="left"/>
    </xf>
    <xf numFmtId="1" fontId="29" fillId="0" borderId="48" xfId="0" applyNumberFormat="1" applyFont="1" applyFill="1" applyBorder="1" applyAlignment="1" applyProtection="1">
      <alignment horizontal="center"/>
    </xf>
    <xf numFmtId="0" fontId="55" fillId="0" borderId="46" xfId="0" applyFont="1" applyBorder="1" applyAlignment="1" applyProtection="1">
      <alignment horizontal="left"/>
    </xf>
    <xf numFmtId="0" fontId="55" fillId="0" borderId="102" xfId="0" applyFont="1" applyBorder="1" applyAlignment="1" applyProtection="1">
      <alignment horizontal="left"/>
    </xf>
    <xf numFmtId="0" fontId="29" fillId="0" borderId="46" xfId="0" applyFont="1" applyBorder="1" applyAlignment="1" applyProtection="1">
      <alignment horizontal="left"/>
    </xf>
    <xf numFmtId="0" fontId="4" fillId="0" borderId="102" xfId="0" applyFont="1" applyBorder="1" applyAlignment="1" applyProtection="1">
      <alignment horizontal="left"/>
    </xf>
    <xf numFmtId="1" fontId="29" fillId="0" borderId="41" xfId="0" applyNumberFormat="1" applyFont="1" applyFill="1" applyBorder="1" applyAlignment="1" applyProtection="1">
      <alignment horizontal="center"/>
    </xf>
    <xf numFmtId="0" fontId="56" fillId="0" borderId="3" xfId="0" applyFont="1" applyBorder="1" applyAlignment="1"/>
    <xf numFmtId="0" fontId="29" fillId="0" borderId="27" xfId="0" applyFont="1" applyBorder="1" applyAlignment="1" applyProtection="1">
      <alignment horizontal="center"/>
    </xf>
    <xf numFmtId="0" fontId="56" fillId="0" borderId="8" xfId="0" applyFont="1" applyBorder="1" applyAlignment="1"/>
    <xf numFmtId="0" fontId="29" fillId="0" borderId="41" xfId="0" applyFont="1" applyFill="1" applyBorder="1" applyAlignment="1" applyProtection="1">
      <alignment horizontal="center"/>
    </xf>
    <xf numFmtId="0" fontId="55" fillId="0" borderId="10" xfId="0" applyNumberFormat="1" applyFont="1" applyBorder="1" applyAlignment="1" applyProtection="1">
      <alignment horizontal="center"/>
    </xf>
    <xf numFmtId="0" fontId="61" fillId="0" borderId="2" xfId="0" applyFont="1" applyBorder="1" applyAlignment="1" applyProtection="1">
      <alignment horizontal="left"/>
    </xf>
    <xf numFmtId="0" fontId="61" fillId="0" borderId="4" xfId="0" applyNumberFormat="1" applyFont="1" applyBorder="1" applyAlignment="1" applyProtection="1">
      <alignment horizontal="center"/>
    </xf>
    <xf numFmtId="0" fontId="4" fillId="0" borderId="10" xfId="0" applyFont="1" applyBorder="1" applyAlignment="1">
      <alignment horizontal="center"/>
    </xf>
    <xf numFmtId="0" fontId="29" fillId="0" borderId="5" xfId="0" applyFont="1" applyFill="1" applyBorder="1" applyAlignment="1" applyProtection="1">
      <alignment horizontal="left"/>
    </xf>
    <xf numFmtId="0" fontId="79" fillId="0" borderId="83" xfId="0" applyFont="1" applyBorder="1" applyAlignment="1" applyProtection="1">
      <alignment horizontal="center"/>
    </xf>
    <xf numFmtId="0" fontId="56" fillId="0" borderId="61" xfId="0" applyFont="1" applyBorder="1" applyAlignment="1"/>
    <xf numFmtId="0" fontId="4" fillId="0" borderId="101" xfId="0" applyFont="1" applyBorder="1" applyAlignment="1" applyProtection="1"/>
    <xf numFmtId="0" fontId="56" fillId="0" borderId="2" xfId="0" applyFont="1" applyBorder="1" applyAlignment="1"/>
    <xf numFmtId="0" fontId="4" fillId="0" borderId="93" xfId="0" applyFont="1" applyBorder="1" applyAlignment="1" applyProtection="1"/>
    <xf numFmtId="0" fontId="29" fillId="0" borderId="39" xfId="0" applyFont="1" applyBorder="1" applyAlignment="1" applyProtection="1">
      <alignment horizontal="center"/>
    </xf>
    <xf numFmtId="0" fontId="76" fillId="0" borderId="0" xfId="0" applyFont="1" applyFill="1" applyAlignment="1"/>
    <xf numFmtId="0" fontId="76" fillId="2" borderId="24" xfId="0" applyFont="1" applyFill="1" applyBorder="1" applyAlignment="1"/>
    <xf numFmtId="0" fontId="76" fillId="2" borderId="3" xfId="0" applyFont="1" applyFill="1" applyBorder="1" applyAlignment="1"/>
    <xf numFmtId="0" fontId="76" fillId="2" borderId="14" xfId="0" applyFont="1" applyFill="1" applyBorder="1" applyAlignment="1"/>
    <xf numFmtId="0" fontId="0" fillId="0" borderId="27" xfId="0" applyBorder="1" applyAlignment="1">
      <alignment horizontal="center"/>
    </xf>
    <xf numFmtId="0" fontId="14" fillId="0" borderId="27" xfId="0" applyFont="1" applyBorder="1" applyAlignment="1" applyProtection="1">
      <alignment horizontal="center"/>
    </xf>
    <xf numFmtId="0" fontId="4" fillId="2" borderId="11" xfId="0" applyFont="1" applyFill="1" applyBorder="1" applyAlignment="1"/>
    <xf numFmtId="0" fontId="56" fillId="0" borderId="0" xfId="0" applyFont="1" applyBorder="1" applyAlignment="1"/>
    <xf numFmtId="0" fontId="16" fillId="0" borderId="0" xfId="0" applyFont="1" applyAlignment="1" applyProtection="1">
      <alignment horizontal="center"/>
    </xf>
    <xf numFmtId="0" fontId="4" fillId="2" borderId="23" xfId="0" applyFont="1" applyFill="1" applyBorder="1" applyAlignment="1"/>
    <xf numFmtId="0" fontId="4" fillId="2" borderId="6" xfId="0" applyFont="1" applyFill="1" applyBorder="1" applyAlignment="1"/>
    <xf numFmtId="0" fontId="4" fillId="2" borderId="22" xfId="0" applyFont="1" applyFill="1" applyBorder="1" applyAlignment="1"/>
    <xf numFmtId="0" fontId="16" fillId="0" borderId="0" xfId="0" applyFont="1" applyBorder="1" applyAlignment="1" applyProtection="1">
      <alignment horizontal="center"/>
    </xf>
    <xf numFmtId="0" fontId="16" fillId="0" borderId="8" xfId="0" applyFont="1" applyBorder="1" applyAlignment="1" applyProtection="1">
      <alignment horizontal="center"/>
    </xf>
    <xf numFmtId="0" fontId="51" fillId="0" borderId="0" xfId="0" applyFont="1" applyAlignment="1"/>
    <xf numFmtId="0" fontId="20" fillId="0" borderId="0" xfId="0" applyFont="1" applyAlignment="1" applyProtection="1"/>
    <xf numFmtId="0" fontId="21" fillId="0" borderId="13" xfId="0" applyFont="1" applyBorder="1" applyAlignment="1" applyProtection="1"/>
    <xf numFmtId="0" fontId="55" fillId="0" borderId="9" xfId="0" applyFont="1" applyBorder="1" applyAlignment="1" applyProtection="1"/>
    <xf numFmtId="0" fontId="45" fillId="0" borderId="28" xfId="0" applyFont="1" applyBorder="1" applyAlignment="1" applyProtection="1"/>
    <xf numFmtId="0" fontId="50" fillId="0" borderId="0" xfId="0" applyFont="1" applyAlignment="1" applyProtection="1"/>
    <xf numFmtId="0" fontId="72" fillId="0" borderId="103" xfId="0" applyFont="1" applyBorder="1" applyAlignment="1" applyProtection="1"/>
    <xf numFmtId="0" fontId="72" fillId="0" borderId="54" xfId="0" applyFont="1" applyBorder="1" applyAlignment="1" applyProtection="1"/>
    <xf numFmtId="0" fontId="72" fillId="0" borderId="56" xfId="0" applyFont="1" applyBorder="1" applyAlignment="1" applyProtection="1"/>
    <xf numFmtId="0" fontId="55" fillId="0" borderId="0" xfId="0" applyFont="1" applyBorder="1" applyAlignment="1" applyProtection="1"/>
    <xf numFmtId="0" fontId="50" fillId="0" borderId="30" xfId="0" applyFont="1" applyBorder="1" applyAlignment="1" applyProtection="1"/>
    <xf numFmtId="0" fontId="8" fillId="0" borderId="13" xfId="0" applyFont="1" applyBorder="1" applyAlignment="1" applyProtection="1"/>
    <xf numFmtId="0" fontId="55" fillId="0" borderId="8" xfId="0" applyFont="1" applyBorder="1" applyAlignment="1" applyProtection="1"/>
    <xf numFmtId="0" fontId="8" fillId="0" borderId="9" xfId="0" applyFont="1" applyBorder="1" applyAlignment="1" applyProtection="1"/>
    <xf numFmtId="0" fontId="8" fillId="0" borderId="29" xfId="0" applyFont="1" applyBorder="1" applyAlignment="1" applyProtection="1"/>
    <xf numFmtId="0" fontId="55" fillId="0" borderId="30" xfId="0" applyFont="1" applyBorder="1" applyAlignment="1" applyProtection="1"/>
    <xf numFmtId="0" fontId="7" fillId="0" borderId="0" xfId="0" applyFont="1" applyFill="1" applyAlignment="1" applyProtection="1"/>
    <xf numFmtId="0" fontId="7" fillId="0" borderId="0" xfId="0" applyFont="1" applyAlignment="1" applyProtection="1"/>
    <xf numFmtId="0" fontId="20" fillId="0" borderId="0" xfId="0" applyFont="1" applyFill="1" applyAlignment="1" applyProtection="1"/>
    <xf numFmtId="0" fontId="50" fillId="0" borderId="0" xfId="0" applyFont="1" applyFill="1" applyAlignment="1" applyProtection="1"/>
    <xf numFmtId="0" fontId="29" fillId="6" borderId="4" xfId="0" applyFont="1" applyFill="1" applyBorder="1" applyAlignment="1"/>
    <xf numFmtId="0" fontId="29" fillId="2" borderId="0" xfId="0" applyFont="1" applyFill="1" applyAlignment="1"/>
    <xf numFmtId="0" fontId="29" fillId="25" borderId="23" xfId="0" applyFont="1" applyFill="1" applyBorder="1" applyAlignment="1">
      <alignment horizontal="left"/>
    </xf>
    <xf numFmtId="0" fontId="29" fillId="22" borderId="4" xfId="0" applyFont="1" applyFill="1" applyBorder="1" applyAlignment="1"/>
    <xf numFmtId="0" fontId="29" fillId="25" borderId="21" xfId="0" applyFont="1" applyFill="1" applyBorder="1" applyAlignment="1">
      <alignment horizontal="left"/>
    </xf>
    <xf numFmtId="0" fontId="4" fillId="9" borderId="0" xfId="0" applyFont="1" applyFill="1" applyBorder="1" applyAlignment="1"/>
    <xf numFmtId="0" fontId="4" fillId="8" borderId="0" xfId="0" applyFont="1" applyFill="1" applyBorder="1" applyAlignment="1"/>
    <xf numFmtId="0" fontId="4" fillId="26" borderId="0" xfId="0" applyFont="1" applyFill="1" applyBorder="1" applyAlignment="1">
      <alignment horizontal="left"/>
    </xf>
    <xf numFmtId="0" fontId="4" fillId="27" borderId="0" xfId="0" applyFont="1" applyFill="1" applyBorder="1" applyAlignment="1">
      <alignment horizontal="left"/>
    </xf>
    <xf numFmtId="0" fontId="4" fillId="15" borderId="0" xfId="0" applyFont="1" applyFill="1" applyBorder="1" applyAlignment="1">
      <alignment horizontal="left"/>
    </xf>
    <xf numFmtId="0" fontId="29" fillId="2" borderId="7" xfId="0" applyFont="1" applyFill="1" applyBorder="1" applyAlignment="1">
      <alignment horizontal="center" textRotation="90"/>
    </xf>
    <xf numFmtId="49" fontId="75" fillId="0" borderId="0" xfId="0" applyNumberFormat="1" applyFont="1" applyAlignment="1"/>
    <xf numFmtId="0" fontId="4" fillId="0" borderId="84" xfId="0" applyFont="1" applyBorder="1" applyAlignment="1">
      <alignment horizontal="left" vertical="center"/>
    </xf>
    <xf numFmtId="0" fontId="29" fillId="0" borderId="20" xfId="0" applyFont="1" applyBorder="1" applyAlignment="1" applyProtection="1">
      <alignment horizontal="left"/>
      <protection locked="0"/>
    </xf>
    <xf numFmtId="0" fontId="29" fillId="0" borderId="20" xfId="0" applyFont="1" applyBorder="1" applyAlignment="1"/>
    <xf numFmtId="0" fontId="29" fillId="0" borderId="104" xfId="0" applyFont="1" applyBorder="1" applyAlignment="1"/>
    <xf numFmtId="0" fontId="4" fillId="0" borderId="91" xfId="0" applyFont="1" applyFill="1" applyBorder="1" applyAlignment="1" applyProtection="1">
      <alignment horizontal="center" vertical="center"/>
      <protection locked="0"/>
    </xf>
    <xf numFmtId="0" fontId="4" fillId="0" borderId="92" xfId="0" applyFont="1" applyFill="1" applyBorder="1" applyAlignment="1" applyProtection="1">
      <alignment horizontal="center" vertical="center"/>
      <protection locked="0"/>
    </xf>
    <xf numFmtId="0" fontId="4" fillId="0" borderId="47" xfId="0" applyFont="1" applyBorder="1" applyAlignment="1"/>
    <xf numFmtId="0" fontId="4" fillId="0" borderId="48" xfId="0" applyFont="1" applyBorder="1" applyAlignment="1"/>
    <xf numFmtId="0" fontId="19" fillId="0" borderId="0" xfId="0" applyFont="1"/>
    <xf numFmtId="0" fontId="4" fillId="0" borderId="0" xfId="1" applyFont="1" applyAlignment="1" applyProtection="1">
      <alignment horizontal="left"/>
    </xf>
    <xf numFmtId="1" fontId="4" fillId="0" borderId="0" xfId="0" applyNumberFormat="1" applyFont="1" applyFill="1" applyBorder="1" applyAlignment="1" applyProtection="1">
      <alignment horizontal="left"/>
    </xf>
    <xf numFmtId="0" fontId="4" fillId="0" borderId="0" xfId="0" applyFont="1" applyFill="1" applyBorder="1" applyAlignment="1" applyProtection="1">
      <alignment horizontal="left"/>
    </xf>
    <xf numFmtId="0" fontId="4" fillId="0" borderId="0" xfId="0" applyFont="1" applyAlignment="1">
      <alignment horizontal="left" wrapText="1"/>
    </xf>
    <xf numFmtId="0" fontId="4" fillId="0" borderId="105" xfId="0" applyFont="1" applyBorder="1" applyAlignment="1">
      <alignment horizontal="center" vertical="center"/>
    </xf>
    <xf numFmtId="0" fontId="4" fillId="0" borderId="75" xfId="0" applyFont="1" applyBorder="1" applyAlignment="1">
      <alignment horizontal="center" vertical="center"/>
    </xf>
    <xf numFmtId="0" fontId="7" fillId="0" borderId="0" xfId="0" applyFont="1" applyBorder="1" applyAlignment="1">
      <alignment horizontal="center" vertical="center"/>
    </xf>
    <xf numFmtId="0" fontId="4" fillId="0" borderId="62" xfId="0" applyFont="1" applyBorder="1" applyProtection="1"/>
    <xf numFmtId="0" fontId="4" fillId="0" borderId="63" xfId="0" applyFont="1" applyBorder="1" applyProtection="1"/>
    <xf numFmtId="0" fontId="8" fillId="0" borderId="106" xfId="0" applyFont="1" applyBorder="1"/>
    <xf numFmtId="0" fontId="8" fillId="0" borderId="13" xfId="0" applyFont="1" applyBorder="1"/>
    <xf numFmtId="0" fontId="5" fillId="0" borderId="0" xfId="1" applyAlignment="1" applyProtection="1">
      <alignment horizontal="left"/>
    </xf>
    <xf numFmtId="0" fontId="20" fillId="0" borderId="107" xfId="0" applyFont="1" applyFill="1" applyBorder="1" applyAlignment="1">
      <alignment horizontal="center" vertical="center"/>
    </xf>
    <xf numFmtId="0" fontId="106" fillId="0" borderId="0" xfId="0" applyFont="1" applyFill="1" applyBorder="1"/>
    <xf numFmtId="0" fontId="4" fillId="0" borderId="7" xfId="0" applyFont="1" applyBorder="1" applyAlignment="1">
      <alignment horizontal="center"/>
    </xf>
    <xf numFmtId="0" fontId="85" fillId="0" borderId="0" xfId="0" applyFont="1" applyAlignment="1">
      <alignment horizontal="center" textRotation="90" wrapText="1"/>
    </xf>
    <xf numFmtId="0" fontId="68" fillId="0" borderId="12" xfId="0" applyFont="1" applyBorder="1"/>
    <xf numFmtId="0" fontId="29" fillId="15" borderId="4" xfId="0" applyFont="1" applyFill="1" applyBorder="1" applyAlignment="1" applyProtection="1">
      <alignment horizontal="center" vertical="center"/>
      <protection locked="0"/>
    </xf>
    <xf numFmtId="0" fontId="29" fillId="2" borderId="21" xfId="0" applyFont="1" applyFill="1" applyBorder="1" applyAlignment="1" applyProtection="1">
      <alignment horizontal="center" vertical="center"/>
      <protection locked="0"/>
    </xf>
    <xf numFmtId="1" fontId="29" fillId="15" borderId="4" xfId="0" applyNumberFormat="1" applyFont="1" applyFill="1" applyBorder="1" applyAlignment="1" applyProtection="1">
      <alignment horizontal="center"/>
      <protection locked="0"/>
    </xf>
    <xf numFmtId="1" fontId="29" fillId="15" borderId="5" xfId="0" applyNumberFormat="1" applyFont="1" applyFill="1" applyBorder="1" applyAlignment="1" applyProtection="1">
      <alignment horizontal="center"/>
      <protection locked="0"/>
    </xf>
    <xf numFmtId="1" fontId="29" fillId="15" borderId="108" xfId="0" applyNumberFormat="1" applyFont="1" applyFill="1" applyBorder="1" applyAlignment="1" applyProtection="1">
      <alignment horizontal="center"/>
      <protection locked="0"/>
    </xf>
    <xf numFmtId="0" fontId="29" fillId="20" borderId="4" xfId="0" applyFont="1" applyFill="1" applyBorder="1" applyAlignment="1" applyProtection="1">
      <alignment horizontal="center" vertical="center"/>
      <protection locked="0"/>
    </xf>
    <xf numFmtId="0" fontId="4" fillId="2" borderId="2" xfId="0" applyFont="1" applyFill="1" applyBorder="1"/>
    <xf numFmtId="1" fontId="29" fillId="2" borderId="2" xfId="0" applyNumberFormat="1" applyFont="1" applyFill="1" applyBorder="1" applyAlignment="1">
      <alignment horizontal="center"/>
    </xf>
    <xf numFmtId="0" fontId="34" fillId="0" borderId="12" xfId="0" applyFont="1" applyFill="1" applyBorder="1" applyAlignment="1">
      <alignment horizontal="center" vertical="center"/>
    </xf>
    <xf numFmtId="0" fontId="34" fillId="0" borderId="7" xfId="0" applyFont="1" applyFill="1" applyBorder="1" applyAlignment="1">
      <alignment horizontal="center" vertical="center"/>
    </xf>
    <xf numFmtId="1" fontId="29" fillId="2" borderId="6" xfId="0" applyNumberFormat="1" applyFont="1" applyFill="1" applyBorder="1" applyAlignment="1">
      <alignment horizontal="center"/>
    </xf>
    <xf numFmtId="1" fontId="29" fillId="14" borderId="35" xfId="0" applyNumberFormat="1" applyFont="1" applyFill="1" applyBorder="1" applyAlignment="1" applyProtection="1">
      <alignment horizontal="center"/>
      <protection locked="0"/>
    </xf>
    <xf numFmtId="1" fontId="29" fillId="15" borderId="35" xfId="0" applyNumberFormat="1" applyFont="1" applyFill="1" applyBorder="1" applyAlignment="1" applyProtection="1">
      <alignment horizontal="center"/>
      <protection locked="0"/>
    </xf>
    <xf numFmtId="1" fontId="29" fillId="15" borderId="7" xfId="0" applyNumberFormat="1" applyFont="1" applyFill="1" applyBorder="1" applyAlignment="1" applyProtection="1">
      <alignment horizontal="center"/>
      <protection locked="0"/>
    </xf>
    <xf numFmtId="1" fontId="29" fillId="14" borderId="10" xfId="0" applyNumberFormat="1" applyFont="1" applyFill="1" applyBorder="1" applyAlignment="1" applyProtection="1">
      <alignment horizontal="center"/>
      <protection locked="0"/>
    </xf>
    <xf numFmtId="1" fontId="29" fillId="14" borderId="23" xfId="0" applyNumberFormat="1" applyFont="1" applyFill="1" applyBorder="1" applyAlignment="1" applyProtection="1">
      <alignment horizontal="center"/>
      <protection locked="0"/>
    </xf>
    <xf numFmtId="0" fontId="4" fillId="2" borderId="2" xfId="0" applyFont="1" applyFill="1" applyBorder="1" applyAlignment="1">
      <alignment horizontal="right"/>
    </xf>
    <xf numFmtId="1" fontId="29" fillId="0" borderId="12" xfId="0" applyNumberFormat="1" applyFont="1" applyFill="1" applyBorder="1" applyAlignment="1" applyProtection="1">
      <alignment horizontal="center"/>
    </xf>
    <xf numFmtId="1" fontId="29" fillId="14" borderId="24" xfId="0" applyNumberFormat="1" applyFont="1" applyFill="1" applyBorder="1" applyAlignment="1" applyProtection="1">
      <alignment horizontal="center"/>
      <protection locked="0"/>
    </xf>
    <xf numFmtId="1" fontId="29" fillId="14" borderId="4" xfId="0" applyNumberFormat="1" applyFont="1" applyFill="1" applyBorder="1" applyAlignment="1" applyProtection="1">
      <alignment horizontal="center" textRotation="90"/>
      <protection locked="0"/>
    </xf>
    <xf numFmtId="1" fontId="4" fillId="2" borderId="3" xfId="0" applyNumberFormat="1" applyFont="1" applyFill="1" applyBorder="1" applyAlignment="1" applyProtection="1">
      <alignment horizontal="center" vertical="center"/>
      <protection locked="0"/>
    </xf>
    <xf numFmtId="1" fontId="29" fillId="2" borderId="24" xfId="0" applyNumberFormat="1" applyFont="1" applyFill="1" applyBorder="1" applyAlignment="1" applyProtection="1">
      <alignment horizontal="center"/>
      <protection locked="0"/>
    </xf>
    <xf numFmtId="0" fontId="54" fillId="5" borderId="2" xfId="0" applyFont="1" applyFill="1" applyBorder="1" applyAlignment="1">
      <alignment horizontal="center" vertical="center"/>
    </xf>
    <xf numFmtId="0" fontId="54" fillId="5" borderId="6" xfId="0" applyFont="1" applyFill="1" applyBorder="1" applyAlignment="1">
      <alignment horizontal="center" vertical="center"/>
    </xf>
    <xf numFmtId="1" fontId="29" fillId="8" borderId="4" xfId="0" applyNumberFormat="1" applyFont="1" applyFill="1" applyBorder="1" applyAlignment="1" applyProtection="1">
      <alignment horizontal="center"/>
    </xf>
    <xf numFmtId="1" fontId="29" fillId="8" borderId="4" xfId="0" applyNumberFormat="1" applyFont="1" applyFill="1" applyBorder="1" applyAlignment="1" applyProtection="1">
      <alignment horizontal="fill"/>
      <protection locked="0"/>
    </xf>
    <xf numFmtId="0" fontId="22" fillId="2" borderId="5" xfId="1" applyFont="1" applyFill="1" applyBorder="1" applyAlignment="1" applyProtection="1">
      <alignment horizontal="left" wrapText="1"/>
    </xf>
    <xf numFmtId="0" fontId="4" fillId="13" borderId="4" xfId="0" applyFont="1" applyFill="1" applyBorder="1" applyProtection="1"/>
    <xf numFmtId="0" fontId="29" fillId="23" borderId="35" xfId="0" applyFont="1" applyFill="1" applyBorder="1"/>
    <xf numFmtId="0" fontId="4" fillId="10" borderId="7" xfId="0" applyFont="1" applyFill="1" applyBorder="1" applyAlignment="1" applyProtection="1">
      <alignment vertical="top"/>
    </xf>
    <xf numFmtId="0" fontId="34" fillId="0" borderId="0" xfId="0" applyFont="1" applyFill="1" applyBorder="1" applyAlignment="1" applyProtection="1">
      <alignment horizontal="center"/>
    </xf>
    <xf numFmtId="0" fontId="4" fillId="0" borderId="0" xfId="0" applyFont="1" applyAlignment="1" applyProtection="1">
      <alignment horizontal="center"/>
    </xf>
    <xf numFmtId="0" fontId="102" fillId="0" borderId="0" xfId="0" applyFont="1" applyFill="1" applyBorder="1" applyAlignment="1" applyProtection="1">
      <alignment horizontal="center"/>
    </xf>
    <xf numFmtId="0" fontId="29" fillId="0" borderId="0" xfId="0" applyFont="1" applyFill="1" applyBorder="1" applyAlignment="1" applyProtection="1">
      <alignment horizontal="right"/>
    </xf>
    <xf numFmtId="0" fontId="4" fillId="12" borderId="6" xfId="0" applyFont="1" applyFill="1" applyBorder="1" applyProtection="1"/>
    <xf numFmtId="0" fontId="4" fillId="12" borderId="2" xfId="0" applyFont="1" applyFill="1" applyBorder="1" applyProtection="1"/>
    <xf numFmtId="0" fontId="4" fillId="12" borderId="10" xfId="0" applyFont="1" applyFill="1" applyBorder="1" applyProtection="1"/>
    <xf numFmtId="0" fontId="4" fillId="0" borderId="0" xfId="0" applyFont="1" applyFill="1" applyBorder="1" applyProtection="1"/>
    <xf numFmtId="0" fontId="4" fillId="0" borderId="4" xfId="0" applyFont="1" applyBorder="1" applyProtection="1"/>
    <xf numFmtId="0" fontId="29" fillId="6" borderId="4" xfId="0"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33" fillId="0" borderId="0" xfId="0" applyFont="1" applyFill="1" applyBorder="1" applyAlignment="1" applyProtection="1">
      <alignment horizontal="left"/>
    </xf>
    <xf numFmtId="0" fontId="4" fillId="0" borderId="6" xfId="0" applyFont="1" applyBorder="1" applyProtection="1"/>
    <xf numFmtId="0" fontId="4" fillId="0" borderId="6" xfId="0" applyFont="1" applyBorder="1" applyAlignment="1" applyProtection="1">
      <alignment horizontal="center" vertical="center"/>
    </xf>
    <xf numFmtId="0" fontId="4" fillId="0" borderId="23" xfId="0" applyFont="1" applyBorder="1" applyProtection="1"/>
    <xf numFmtId="0" fontId="4" fillId="12" borderId="21" xfId="0" applyFont="1" applyFill="1" applyBorder="1" applyProtection="1"/>
    <xf numFmtId="0" fontId="4" fillId="0" borderId="0"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5" xfId="0" applyFont="1" applyBorder="1" applyProtection="1"/>
    <xf numFmtId="0" fontId="4" fillId="0" borderId="0" xfId="0" applyFont="1" applyFill="1" applyProtection="1"/>
    <xf numFmtId="0" fontId="4" fillId="0" borderId="22" xfId="0" applyFont="1" applyBorder="1" applyProtection="1"/>
    <xf numFmtId="0" fontId="4" fillId="12" borderId="0" xfId="0" applyFont="1" applyFill="1" applyBorder="1" applyProtection="1"/>
    <xf numFmtId="0" fontId="29" fillId="7" borderId="2" xfId="0" applyFont="1" applyFill="1" applyBorder="1" applyAlignment="1" applyProtection="1">
      <alignment horizontal="center" vertical="center"/>
    </xf>
    <xf numFmtId="0" fontId="34" fillId="0" borderId="11" xfId="0" applyFont="1" applyFill="1" applyBorder="1" applyAlignment="1" applyProtection="1">
      <alignment horizontal="center" vertical="center"/>
    </xf>
    <xf numFmtId="0" fontId="0" fillId="0" borderId="5" xfId="0" applyFill="1" applyBorder="1" applyAlignment="1" applyProtection="1">
      <alignment horizontal="left"/>
    </xf>
    <xf numFmtId="0" fontId="68" fillId="0" borderId="3" xfId="0" applyFont="1" applyFill="1" applyBorder="1" applyAlignment="1" applyProtection="1">
      <alignment horizontal="center"/>
    </xf>
    <xf numFmtId="0" fontId="0" fillId="0" borderId="6" xfId="0" applyBorder="1"/>
    <xf numFmtId="0" fontId="0" fillId="0" borderId="3" xfId="0" applyBorder="1"/>
    <xf numFmtId="0" fontId="29" fillId="5" borderId="10" xfId="0" applyFont="1" applyFill="1" applyBorder="1" applyAlignment="1">
      <alignment horizontal="left" vertical="center"/>
    </xf>
    <xf numFmtId="0" fontId="24" fillId="2" borderId="6" xfId="1" applyFont="1" applyFill="1" applyBorder="1" applyAlignment="1" applyProtection="1">
      <alignment horizontal="left"/>
    </xf>
    <xf numFmtId="0" fontId="4" fillId="2" borderId="6" xfId="0" applyFont="1" applyFill="1" applyBorder="1" applyProtection="1"/>
    <xf numFmtId="1" fontId="29" fillId="15" borderId="35" xfId="0" applyNumberFormat="1" applyFont="1" applyFill="1" applyBorder="1" applyAlignment="1" applyProtection="1">
      <alignment horizontal="center" textRotation="90"/>
    </xf>
    <xf numFmtId="0" fontId="85" fillId="0" borderId="7" xfId="0" applyFont="1" applyFill="1" applyBorder="1" applyAlignment="1" applyProtection="1">
      <alignment horizontal="right"/>
    </xf>
    <xf numFmtId="0" fontId="24" fillId="2" borderId="0" xfId="1" applyFont="1" applyFill="1" applyBorder="1" applyAlignment="1" applyProtection="1">
      <alignment horizontal="left"/>
    </xf>
    <xf numFmtId="0" fontId="29" fillId="5" borderId="0" xfId="0" applyFont="1" applyFill="1" applyBorder="1" applyAlignment="1">
      <alignment horizontal="left" vertical="center"/>
    </xf>
    <xf numFmtId="0" fontId="4" fillId="2" borderId="0" xfId="0" applyFont="1" applyFill="1" applyBorder="1" applyProtection="1"/>
    <xf numFmtId="0" fontId="0" fillId="2" borderId="21" xfId="0" applyFill="1" applyBorder="1" applyProtection="1"/>
    <xf numFmtId="0" fontId="46" fillId="2" borderId="0" xfId="0" applyFont="1" applyFill="1" applyBorder="1" applyAlignment="1" applyProtection="1">
      <alignment horizontal="center" vertical="center"/>
    </xf>
    <xf numFmtId="0" fontId="4" fillId="2" borderId="3" xfId="0" applyFont="1" applyFill="1" applyBorder="1" applyProtection="1"/>
    <xf numFmtId="0" fontId="0" fillId="2" borderId="24" xfId="0" applyFill="1" applyBorder="1" applyProtection="1"/>
    <xf numFmtId="0" fontId="0" fillId="2" borderId="5" xfId="0" applyFill="1" applyBorder="1" applyProtection="1"/>
    <xf numFmtId="1" fontId="29" fillId="2" borderId="0" xfId="0" applyNumberFormat="1" applyFont="1" applyFill="1" applyBorder="1" applyAlignment="1" applyProtection="1">
      <alignment horizontal="center" vertical="center"/>
    </xf>
    <xf numFmtId="0" fontId="44" fillId="2" borderId="0" xfId="0" applyFont="1" applyFill="1" applyBorder="1" applyAlignment="1" applyProtection="1">
      <alignment horizontal="center" vertical="center"/>
    </xf>
    <xf numFmtId="0" fontId="0" fillId="0" borderId="0" xfId="0" applyFill="1" applyBorder="1" applyAlignment="1" applyProtection="1">
      <alignment horizontal="left"/>
    </xf>
    <xf numFmtId="0" fontId="0" fillId="0" borderId="21" xfId="0" applyBorder="1"/>
    <xf numFmtId="0" fontId="85" fillId="0" borderId="21" xfId="0" applyFont="1" applyFill="1" applyBorder="1" applyProtection="1"/>
    <xf numFmtId="0" fontId="85" fillId="0" borderId="24" xfId="0" applyFont="1" applyFill="1" applyBorder="1" applyProtection="1"/>
    <xf numFmtId="0" fontId="42" fillId="0" borderId="6" xfId="0" applyFont="1" applyBorder="1" applyProtection="1"/>
    <xf numFmtId="0" fontId="76" fillId="0" borderId="3" xfId="0" applyFont="1" applyBorder="1" applyProtection="1"/>
    <xf numFmtId="0" fontId="76" fillId="0" borderId="24" xfId="0" applyFont="1" applyBorder="1" applyProtection="1"/>
    <xf numFmtId="0" fontId="4" fillId="0" borderId="0" xfId="0" applyFont="1" applyBorder="1"/>
    <xf numFmtId="0" fontId="4" fillId="0" borderId="30" xfId="0" applyFont="1" applyBorder="1"/>
    <xf numFmtId="0" fontId="79" fillId="0" borderId="18" xfId="0" applyFont="1" applyBorder="1" applyAlignment="1" applyProtection="1">
      <alignment horizontal="center"/>
    </xf>
    <xf numFmtId="0" fontId="4" fillId="0" borderId="0" xfId="0" quotePrefix="1" applyFont="1" applyBorder="1"/>
    <xf numFmtId="0" fontId="29" fillId="0" borderId="0" xfId="0" applyFont="1" applyBorder="1"/>
    <xf numFmtId="0" fontId="29" fillId="0" borderId="0" xfId="0" applyFont="1" applyFill="1" applyBorder="1"/>
    <xf numFmtId="0" fontId="4" fillId="0" borderId="0" xfId="0" quotePrefix="1" applyFont="1" applyFill="1" applyBorder="1"/>
    <xf numFmtId="0" fontId="4" fillId="0" borderId="9" xfId="0" applyFont="1" applyBorder="1"/>
    <xf numFmtId="0" fontId="4" fillId="0" borderId="29" xfId="0" applyFont="1" applyBorder="1"/>
    <xf numFmtId="1" fontId="29" fillId="0" borderId="4" xfId="0" applyNumberFormat="1" applyFont="1" applyBorder="1" applyAlignment="1">
      <alignment horizontal="center"/>
    </xf>
    <xf numFmtId="0" fontId="14" fillId="0" borderId="4" xfId="0" applyFont="1" applyBorder="1"/>
    <xf numFmtId="0" fontId="0" fillId="0" borderId="2" xfId="0" applyBorder="1"/>
    <xf numFmtId="0" fontId="7" fillId="0" borderId="10" xfId="0" applyFont="1" applyBorder="1"/>
    <xf numFmtId="0" fontId="7" fillId="0" borderId="46" xfId="0" applyFont="1" applyBorder="1"/>
    <xf numFmtId="1" fontId="29" fillId="0" borderId="0" xfId="0" applyNumberFormat="1" applyFont="1" applyBorder="1" applyAlignment="1">
      <alignment horizontal="center"/>
    </xf>
    <xf numFmtId="0" fontId="68" fillId="0" borderId="0" xfId="0" applyFont="1" applyFill="1" applyProtection="1"/>
    <xf numFmtId="0" fontId="68" fillId="0" borderId="23" xfId="0" applyFont="1" applyFill="1" applyBorder="1" applyProtection="1"/>
    <xf numFmtId="0" fontId="76" fillId="0" borderId="6" xfId="0" applyFont="1" applyFill="1" applyBorder="1" applyProtection="1"/>
    <xf numFmtId="0" fontId="76" fillId="0" borderId="0" xfId="0" applyFont="1" applyFill="1" applyBorder="1" applyProtection="1"/>
    <xf numFmtId="0" fontId="76" fillId="0" borderId="21" xfId="0" applyFont="1" applyFill="1" applyBorder="1" applyProtection="1"/>
    <xf numFmtId="0" fontId="0" fillId="0" borderId="3" xfId="0" applyFill="1" applyBorder="1" applyProtection="1"/>
    <xf numFmtId="0" fontId="76" fillId="0" borderId="3" xfId="0" applyFont="1" applyFill="1" applyBorder="1" applyProtection="1"/>
    <xf numFmtId="0" fontId="0" fillId="0" borderId="24" xfId="0" applyFill="1" applyBorder="1" applyProtection="1"/>
    <xf numFmtId="0" fontId="0" fillId="0" borderId="3" xfId="0" applyFill="1" applyBorder="1" applyAlignment="1" applyProtection="1"/>
    <xf numFmtId="0" fontId="1" fillId="13" borderId="6" xfId="0" applyFont="1" applyFill="1" applyBorder="1" applyProtection="1"/>
    <xf numFmtId="0" fontId="56" fillId="2" borderId="0" xfId="0" applyFont="1" applyFill="1" applyBorder="1" applyAlignment="1" applyProtection="1">
      <alignment horizontal="left"/>
    </xf>
    <xf numFmtId="0" fontId="56" fillId="2" borderId="21" xfId="0" applyFont="1" applyFill="1" applyBorder="1" applyAlignment="1" applyProtection="1">
      <alignment horizontal="left"/>
    </xf>
    <xf numFmtId="0" fontId="29" fillId="5" borderId="6" xfId="0" applyFont="1" applyFill="1" applyBorder="1" applyAlignment="1">
      <alignment horizontal="left" vertical="center"/>
    </xf>
    <xf numFmtId="0" fontId="54" fillId="2" borderId="2" xfId="0" applyFont="1" applyFill="1" applyBorder="1" applyProtection="1"/>
    <xf numFmtId="0" fontId="3" fillId="12" borderId="4" xfId="0" applyFont="1" applyFill="1" applyBorder="1" applyAlignment="1" applyProtection="1">
      <alignment horizontal="left"/>
    </xf>
    <xf numFmtId="0" fontId="1" fillId="13" borderId="4" xfId="0" applyFont="1" applyFill="1" applyBorder="1" applyProtection="1"/>
    <xf numFmtId="0" fontId="5" fillId="2" borderId="11" xfId="1" applyFill="1" applyBorder="1" applyAlignment="1" applyProtection="1">
      <alignment horizontal="left"/>
    </xf>
    <xf numFmtId="0" fontId="1" fillId="6" borderId="4" xfId="0" applyFont="1" applyFill="1" applyBorder="1" applyAlignment="1">
      <alignment horizontal="center"/>
    </xf>
    <xf numFmtId="0" fontId="29" fillId="7" borderId="4" xfId="0" applyFont="1" applyFill="1" applyBorder="1" applyAlignment="1">
      <alignment horizontal="center" vertical="center"/>
    </xf>
    <xf numFmtId="0" fontId="1" fillId="13" borderId="10" xfId="0" applyFont="1" applyFill="1" applyBorder="1" applyAlignment="1" applyProtection="1">
      <alignment vertical="center"/>
    </xf>
    <xf numFmtId="0" fontId="68" fillId="0" borderId="12" xfId="0" applyFont="1" applyFill="1" applyBorder="1" applyProtection="1"/>
    <xf numFmtId="0" fontId="0" fillId="2" borderId="11" xfId="0" applyFill="1" applyBorder="1" applyProtection="1"/>
    <xf numFmtId="0" fontId="0" fillId="0" borderId="24" xfId="0" applyBorder="1"/>
    <xf numFmtId="0" fontId="101" fillId="0" borderId="0" xfId="0" applyFont="1" applyAlignment="1">
      <alignment horizontal="justify" vertical="top" wrapText="1"/>
    </xf>
    <xf numFmtId="0" fontId="5" fillId="0" borderId="0" xfId="1" applyAlignment="1" applyProtection="1">
      <alignment horizontal="center" vertical="center"/>
    </xf>
    <xf numFmtId="0" fontId="29" fillId="0" borderId="0" xfId="0" applyFont="1" applyFill="1" applyAlignment="1">
      <alignment horizontal="right" vertical="center"/>
    </xf>
    <xf numFmtId="0" fontId="29" fillId="0" borderId="21" xfId="0" applyFont="1" applyFill="1" applyBorder="1" applyAlignment="1">
      <alignment horizontal="right" vertical="center"/>
    </xf>
    <xf numFmtId="0" fontId="0" fillId="2" borderId="5" xfId="0" applyFill="1" applyBorder="1" applyAlignment="1" applyProtection="1">
      <alignment horizontal="left"/>
    </xf>
    <xf numFmtId="0" fontId="68" fillId="0" borderId="0" xfId="0" applyFont="1" applyAlignment="1">
      <alignment horizontal="center"/>
    </xf>
    <xf numFmtId="0" fontId="1" fillId="0" borderId="4" xfId="0" applyFont="1" applyFill="1" applyBorder="1" applyAlignment="1">
      <alignment horizontal="left"/>
    </xf>
    <xf numFmtId="0" fontId="24" fillId="0" borderId="0" xfId="0" applyFont="1" applyBorder="1" applyAlignment="1">
      <alignment horizontal="left" vertical="top"/>
    </xf>
    <xf numFmtId="0" fontId="29" fillId="0" borderId="0" xfId="0" applyFont="1" applyBorder="1" applyAlignment="1">
      <alignment vertical="top"/>
    </xf>
    <xf numFmtId="0" fontId="1" fillId="2" borderId="0" xfId="1" applyFont="1" applyFill="1" applyBorder="1" applyAlignment="1" applyProtection="1">
      <alignment horizontal="left"/>
    </xf>
    <xf numFmtId="0" fontId="1" fillId="9" borderId="12" xfId="0" applyFont="1" applyFill="1" applyBorder="1" applyAlignment="1">
      <alignment horizontal="center"/>
    </xf>
    <xf numFmtId="0" fontId="1" fillId="0" borderId="75" xfId="0" applyFont="1" applyBorder="1" applyAlignment="1">
      <alignment horizontal="center" vertical="center"/>
    </xf>
    <xf numFmtId="0" fontId="1" fillId="0" borderId="0" xfId="0" applyFont="1" applyFill="1"/>
    <xf numFmtId="0" fontId="105" fillId="0" borderId="109" xfId="0" applyFont="1" applyFill="1" applyBorder="1" applyAlignment="1">
      <alignment horizontal="center" vertical="top" wrapText="1"/>
    </xf>
    <xf numFmtId="0" fontId="105" fillId="0" borderId="30" xfId="0" applyFont="1" applyFill="1" applyBorder="1" applyAlignment="1">
      <alignment horizontal="center" vertical="top" wrapText="1"/>
    </xf>
    <xf numFmtId="0" fontId="105" fillId="0" borderId="31" xfId="0" applyFont="1" applyFill="1" applyBorder="1" applyAlignment="1">
      <alignment horizontal="center" vertical="top" wrapText="1"/>
    </xf>
    <xf numFmtId="0" fontId="29" fillId="7" borderId="4" xfId="0" applyFont="1" applyFill="1" applyBorder="1" applyAlignment="1" applyProtection="1">
      <alignment horizontal="center" vertical="center"/>
    </xf>
    <xf numFmtId="0" fontId="1" fillId="9" borderId="0" xfId="0" applyFont="1" applyFill="1" applyBorder="1" applyAlignment="1"/>
    <xf numFmtId="0" fontId="1" fillId="8" borderId="0" xfId="0" applyFont="1" applyFill="1" applyBorder="1" applyAlignment="1"/>
    <xf numFmtId="0" fontId="1" fillId="0" borderId="4" xfId="0" applyFont="1" applyBorder="1"/>
    <xf numFmtId="0" fontId="0" fillId="0" borderId="35" xfId="0" applyBorder="1"/>
    <xf numFmtId="0" fontId="7" fillId="0" borderId="194" xfId="0" applyFont="1" applyFill="1" applyBorder="1" applyAlignment="1" applyProtection="1"/>
    <xf numFmtId="0" fontId="7" fillId="0" borderId="195" xfId="0" applyFont="1" applyFill="1" applyBorder="1" applyAlignment="1" applyProtection="1"/>
    <xf numFmtId="0" fontId="7" fillId="0" borderId="195" xfId="0" applyFont="1" applyFill="1" applyBorder="1" applyAlignment="1" applyProtection="1">
      <alignment horizontal="center"/>
    </xf>
    <xf numFmtId="0" fontId="3" fillId="0" borderId="196" xfId="0" applyFont="1" applyFill="1" applyBorder="1" applyAlignment="1" applyProtection="1">
      <alignment horizontal="left"/>
      <protection locked="0"/>
    </xf>
    <xf numFmtId="0" fontId="3" fillId="0" borderId="197" xfId="0" applyFont="1" applyBorder="1" applyAlignment="1" applyProtection="1">
      <alignment horizontal="center"/>
    </xf>
    <xf numFmtId="0" fontId="3" fillId="0" borderId="197" xfId="0" applyFont="1" applyBorder="1" applyAlignment="1" applyProtection="1"/>
    <xf numFmtId="0" fontId="3" fillId="0" borderId="198" xfId="0" applyFont="1" applyFill="1" applyBorder="1" applyAlignment="1" applyProtection="1">
      <alignment horizontal="left"/>
      <protection locked="0"/>
    </xf>
    <xf numFmtId="0" fontId="3" fillId="0" borderId="199" xfId="0" applyFont="1" applyBorder="1" applyAlignment="1" applyProtection="1">
      <alignment horizontal="center"/>
    </xf>
    <xf numFmtId="0" fontId="3" fillId="0" borderId="199" xfId="0" applyFont="1" applyBorder="1" applyAlignment="1" applyProtection="1"/>
    <xf numFmtId="0" fontId="24" fillId="2" borderId="35" xfId="1" applyFont="1" applyFill="1" applyBorder="1" applyAlignment="1" applyProtection="1">
      <alignment horizontal="left"/>
    </xf>
    <xf numFmtId="0" fontId="24" fillId="2" borderId="7" xfId="1" applyFont="1" applyFill="1" applyBorder="1" applyAlignment="1" applyProtection="1">
      <alignment horizontal="left"/>
    </xf>
    <xf numFmtId="0" fontId="29" fillId="0" borderId="0" xfId="0" applyFont="1" applyFill="1" applyBorder="1" applyAlignment="1" applyProtection="1">
      <alignment horizontal="center" textRotation="90"/>
    </xf>
    <xf numFmtId="0" fontId="0" fillId="0" borderId="4" xfId="0" applyBorder="1" applyAlignment="1">
      <alignment horizontal="left"/>
    </xf>
    <xf numFmtId="0" fontId="46" fillId="37" borderId="4" xfId="0" applyFont="1" applyFill="1" applyBorder="1" applyAlignment="1">
      <alignment horizontal="center" vertical="center"/>
    </xf>
    <xf numFmtId="0" fontId="29" fillId="37" borderId="4" xfId="0" applyFont="1" applyFill="1" applyBorder="1" applyAlignment="1">
      <alignment horizontal="center" textRotation="90"/>
    </xf>
    <xf numFmtId="1" fontId="80" fillId="2" borderId="6" xfId="0" applyNumberFormat="1" applyFont="1" applyFill="1" applyBorder="1" applyAlignment="1">
      <alignment horizontal="center"/>
    </xf>
    <xf numFmtId="0" fontId="26" fillId="0" borderId="0" xfId="0" applyFont="1" applyFill="1" applyProtection="1"/>
    <xf numFmtId="0" fontId="1" fillId="0" borderId="0" xfId="0" applyFont="1" applyFill="1" applyProtection="1"/>
    <xf numFmtId="0" fontId="0" fillId="0" borderId="0" xfId="0" applyFill="1" applyAlignment="1" applyProtection="1">
      <alignment horizontal="center"/>
    </xf>
    <xf numFmtId="0" fontId="29" fillId="0" borderId="0" xfId="0" applyFont="1" applyFill="1" applyBorder="1" applyAlignment="1" applyProtection="1">
      <alignment textRotation="90"/>
    </xf>
    <xf numFmtId="0" fontId="46" fillId="0" borderId="0" xfId="0" applyFont="1" applyFill="1" applyBorder="1" applyAlignment="1" applyProtection="1">
      <alignment textRotation="90"/>
    </xf>
    <xf numFmtId="0" fontId="24" fillId="0" borderId="0" xfId="0" applyFont="1" applyFill="1" applyBorder="1" applyAlignment="1" applyProtection="1"/>
    <xf numFmtId="0" fontId="5" fillId="0" borderId="0" xfId="1" applyFill="1" applyBorder="1" applyAlignment="1" applyProtection="1">
      <alignment horizontal="left" vertical="top"/>
    </xf>
    <xf numFmtId="0" fontId="5" fillId="0" borderId="0" xfId="1" applyFill="1" applyAlignment="1" applyProtection="1">
      <alignment horizontal="left" vertical="top"/>
    </xf>
    <xf numFmtId="0" fontId="23" fillId="0" borderId="0" xfId="0" applyFont="1" applyFill="1" applyBorder="1" applyAlignment="1" applyProtection="1">
      <alignment vertical="center"/>
    </xf>
    <xf numFmtId="0" fontId="26" fillId="0" borderId="0" xfId="0" applyFont="1" applyFill="1"/>
    <xf numFmtId="0" fontId="0" fillId="0" borderId="0" xfId="0" applyFill="1" applyAlignment="1"/>
    <xf numFmtId="0" fontId="0" fillId="0" borderId="0" xfId="0" applyFill="1" applyBorder="1" applyAlignment="1">
      <alignment horizontal="left"/>
    </xf>
    <xf numFmtId="0" fontId="46" fillId="0" borderId="0" xfId="0" applyFont="1" applyFill="1" applyBorder="1" applyAlignment="1">
      <alignment textRotation="90"/>
    </xf>
    <xf numFmtId="0" fontId="29" fillId="25" borderId="4" xfId="0" applyFont="1" applyFill="1" applyBorder="1" applyAlignment="1">
      <alignment horizontal="left"/>
    </xf>
    <xf numFmtId="0" fontId="29" fillId="37" borderId="4" xfId="0" applyFont="1" applyFill="1" applyBorder="1" applyAlignment="1">
      <alignment horizontal="center" vertical="center"/>
    </xf>
    <xf numFmtId="0" fontId="1" fillId="10" borderId="12" xfId="0" applyFont="1" applyFill="1" applyBorder="1" applyAlignment="1">
      <alignment horizontal="center"/>
    </xf>
    <xf numFmtId="0" fontId="1" fillId="7" borderId="12" xfId="0" applyFont="1" applyFill="1" applyBorder="1" applyAlignment="1">
      <alignment horizontal="center"/>
    </xf>
    <xf numFmtId="0" fontId="42" fillId="0" borderId="4" xfId="0" applyFont="1" applyFill="1" applyBorder="1" applyProtection="1"/>
    <xf numFmtId="0" fontId="42" fillId="0" borderId="4" xfId="0" applyFont="1" applyBorder="1" applyProtection="1"/>
    <xf numFmtId="0" fontId="24" fillId="2" borderId="22" xfId="1" applyFont="1" applyFill="1" applyBorder="1" applyAlignment="1" applyProtection="1">
      <alignment horizontal="left"/>
    </xf>
    <xf numFmtId="0" fontId="1" fillId="2" borderId="6" xfId="1" applyFont="1" applyFill="1" applyBorder="1" applyAlignment="1" applyProtection="1">
      <alignment horizontal="left"/>
    </xf>
    <xf numFmtId="0" fontId="1" fillId="2" borderId="23" xfId="1" applyFont="1" applyFill="1" applyBorder="1" applyAlignment="1" applyProtection="1">
      <alignment horizontal="left"/>
    </xf>
    <xf numFmtId="0" fontId="24" fillId="2" borderId="11" xfId="1" applyFont="1" applyFill="1" applyBorder="1" applyAlignment="1" applyProtection="1">
      <alignment horizontal="left"/>
    </xf>
    <xf numFmtId="0" fontId="1" fillId="2" borderId="21" xfId="1" applyFont="1" applyFill="1" applyBorder="1" applyAlignment="1" applyProtection="1">
      <alignment horizontal="left"/>
    </xf>
    <xf numFmtId="0" fontId="24" fillId="2" borderId="14" xfId="1" applyFont="1" applyFill="1" applyBorder="1" applyAlignment="1" applyProtection="1">
      <alignment horizontal="left"/>
    </xf>
    <xf numFmtId="0" fontId="24" fillId="2" borderId="3" xfId="1" applyFont="1" applyFill="1" applyBorder="1" applyAlignment="1" applyProtection="1">
      <alignment horizontal="left"/>
    </xf>
    <xf numFmtId="0" fontId="24" fillId="2" borderId="24" xfId="1" applyFont="1" applyFill="1" applyBorder="1" applyAlignment="1" applyProtection="1">
      <alignment horizontal="left"/>
    </xf>
    <xf numFmtId="0" fontId="1" fillId="15" borderId="12" xfId="0" applyFont="1" applyFill="1" applyBorder="1" applyAlignment="1">
      <alignment horizontal="center"/>
    </xf>
    <xf numFmtId="0" fontId="0" fillId="0" borderId="12" xfId="0" applyBorder="1"/>
    <xf numFmtId="0" fontId="0" fillId="0" borderId="7" xfId="0" applyBorder="1"/>
    <xf numFmtId="0" fontId="29" fillId="0" borderId="23" xfId="0" applyNumberFormat="1" applyFont="1" applyBorder="1" applyAlignment="1">
      <alignment horizontal="center"/>
    </xf>
    <xf numFmtId="0" fontId="4" fillId="0" borderId="22" xfId="0" applyFont="1" applyBorder="1"/>
    <xf numFmtId="0" fontId="1" fillId="0" borderId="11" xfId="0" applyFont="1" applyBorder="1"/>
    <xf numFmtId="0" fontId="1" fillId="0" borderId="14" xfId="0" applyFont="1" applyBorder="1"/>
    <xf numFmtId="0" fontId="29" fillId="0" borderId="6" xfId="0" applyNumberFormat="1" applyFont="1" applyBorder="1" applyAlignment="1">
      <alignment horizontal="center"/>
    </xf>
    <xf numFmtId="0" fontId="1" fillId="0" borderId="0" xfId="0" applyNumberFormat="1" applyFont="1" applyBorder="1" applyAlignment="1">
      <alignment horizontal="center"/>
    </xf>
    <xf numFmtId="0" fontId="1" fillId="0" borderId="21" xfId="0" applyNumberFormat="1" applyFont="1" applyBorder="1" applyAlignment="1">
      <alignment horizontal="center"/>
    </xf>
    <xf numFmtId="0" fontId="1" fillId="0" borderId="3" xfId="0" applyNumberFormat="1" applyFont="1" applyBorder="1" applyAlignment="1">
      <alignment horizontal="center"/>
    </xf>
    <xf numFmtId="0" fontId="1" fillId="0" borderId="24" xfId="0" applyNumberFormat="1" applyFont="1" applyBorder="1" applyAlignment="1">
      <alignment horizontal="center"/>
    </xf>
    <xf numFmtId="0" fontId="29" fillId="2" borderId="2" xfId="1" applyFont="1" applyFill="1" applyBorder="1" applyAlignment="1" applyProtection="1"/>
    <xf numFmtId="0" fontId="29" fillId="0" borderId="4" xfId="0" applyFont="1" applyFill="1" applyBorder="1" applyAlignment="1">
      <alignment horizontal="center" vertical="center"/>
    </xf>
    <xf numFmtId="0" fontId="1" fillId="2" borderId="0" xfId="0" applyFont="1" applyFill="1"/>
    <xf numFmtId="0" fontId="1" fillId="8" borderId="12" xfId="0" applyFont="1" applyFill="1" applyBorder="1" applyAlignment="1">
      <alignment horizontal="center"/>
    </xf>
    <xf numFmtId="0" fontId="1" fillId="6" borderId="12" xfId="0" applyFont="1" applyFill="1" applyBorder="1" applyAlignment="1">
      <alignment horizontal="center"/>
    </xf>
    <xf numFmtId="0" fontId="1" fillId="9" borderId="7" xfId="0" applyFont="1" applyFill="1" applyBorder="1" applyAlignment="1">
      <alignment horizontal="center"/>
    </xf>
    <xf numFmtId="0" fontId="1" fillId="6" borderId="7" xfId="0" applyFont="1" applyFill="1" applyBorder="1" applyAlignment="1">
      <alignment horizontal="center"/>
    </xf>
    <xf numFmtId="0" fontId="1" fillId="8" borderId="7" xfId="0" applyFont="1" applyFill="1" applyBorder="1" applyAlignment="1">
      <alignment horizontal="center"/>
    </xf>
    <xf numFmtId="0" fontId="1" fillId="2" borderId="4" xfId="1" applyFont="1" applyFill="1" applyBorder="1" applyAlignment="1" applyProtection="1">
      <alignment horizontal="left"/>
    </xf>
    <xf numFmtId="0" fontId="85" fillId="0" borderId="6" xfId="0" applyFont="1" applyFill="1" applyBorder="1" applyProtection="1"/>
    <xf numFmtId="0" fontId="85" fillId="0" borderId="23" xfId="0" applyFont="1" applyFill="1" applyBorder="1" applyProtection="1"/>
    <xf numFmtId="0" fontId="1" fillId="14" borderId="12" xfId="0" applyFont="1" applyFill="1" applyBorder="1" applyAlignment="1">
      <alignment horizontal="center"/>
    </xf>
    <xf numFmtId="0" fontId="1" fillId="2" borderId="12" xfId="0" applyFont="1" applyFill="1" applyBorder="1"/>
    <xf numFmtId="167" fontId="1" fillId="2" borderId="12" xfId="0" applyNumberFormat="1" applyFont="1" applyFill="1" applyBorder="1"/>
    <xf numFmtId="0" fontId="1" fillId="12" borderId="12" xfId="0" applyFont="1" applyFill="1" applyBorder="1" applyAlignment="1">
      <alignment horizontal="center"/>
    </xf>
    <xf numFmtId="0" fontId="1" fillId="0" borderId="12" xfId="0" applyFont="1" applyBorder="1" applyAlignment="1">
      <alignment horizontal="center"/>
    </xf>
    <xf numFmtId="0" fontId="1" fillId="9" borderId="0" xfId="0" applyFont="1" applyFill="1" applyBorder="1" applyAlignment="1">
      <alignment horizontal="left"/>
    </xf>
    <xf numFmtId="0" fontId="1" fillId="8" borderId="0" xfId="0" applyFont="1" applyFill="1" applyBorder="1" applyAlignment="1">
      <alignment horizontal="left"/>
    </xf>
    <xf numFmtId="0" fontId="1" fillId="6" borderId="0" xfId="0" applyFont="1" applyFill="1" applyBorder="1" applyAlignment="1">
      <alignment horizontal="left"/>
    </xf>
    <xf numFmtId="0" fontId="1" fillId="9" borderId="3" xfId="0" applyFont="1" applyFill="1" applyBorder="1" applyAlignment="1">
      <alignment horizontal="left"/>
    </xf>
    <xf numFmtId="0" fontId="1" fillId="21" borderId="3" xfId="0" applyFont="1" applyFill="1" applyBorder="1" applyAlignment="1">
      <alignment horizontal="left"/>
    </xf>
    <xf numFmtId="0" fontId="1" fillId="8" borderId="3" xfId="0" applyFont="1" applyFill="1" applyBorder="1" applyAlignment="1">
      <alignment horizontal="left"/>
    </xf>
    <xf numFmtId="0" fontId="1" fillId="6" borderId="3" xfId="0" applyFont="1" applyFill="1" applyBorder="1" applyAlignment="1">
      <alignment horizontal="left"/>
    </xf>
    <xf numFmtId="0" fontId="1" fillId="28" borderId="12" xfId="0" applyFont="1" applyFill="1" applyBorder="1" applyAlignment="1">
      <alignment horizontal="center"/>
    </xf>
    <xf numFmtId="0" fontId="1" fillId="29" borderId="12" xfId="0" applyFont="1" applyFill="1" applyBorder="1" applyAlignment="1">
      <alignment horizontal="center"/>
    </xf>
    <xf numFmtId="0" fontId="1" fillId="2" borderId="7" xfId="0" applyFont="1" applyFill="1" applyBorder="1"/>
    <xf numFmtId="0" fontId="1" fillId="22" borderId="4" xfId="0" applyFont="1" applyFill="1" applyBorder="1" applyAlignment="1">
      <alignment horizontal="center"/>
    </xf>
    <xf numFmtId="0" fontId="1" fillId="25" borderId="12" xfId="0" applyFont="1" applyFill="1" applyBorder="1" applyAlignment="1">
      <alignment horizontal="center"/>
    </xf>
    <xf numFmtId="0" fontId="1" fillId="0" borderId="0" xfId="0" applyFont="1" applyAlignment="1"/>
    <xf numFmtId="0" fontId="1" fillId="19" borderId="12" xfId="0" applyFont="1" applyFill="1" applyBorder="1" applyAlignment="1">
      <alignment horizontal="center"/>
    </xf>
    <xf numFmtId="0" fontId="1" fillId="30" borderId="12" xfId="0" applyFont="1" applyFill="1" applyBorder="1" applyAlignment="1">
      <alignment horizontal="center"/>
    </xf>
    <xf numFmtId="0" fontId="1" fillId="16" borderId="12" xfId="0" applyFont="1" applyFill="1" applyBorder="1" applyAlignment="1">
      <alignment horizontal="center"/>
    </xf>
    <xf numFmtId="0" fontId="1" fillId="31" borderId="12" xfId="0" applyFont="1" applyFill="1" applyBorder="1" applyAlignment="1">
      <alignment horizontal="center"/>
    </xf>
    <xf numFmtId="0" fontId="1" fillId="32" borderId="12" xfId="0" applyFont="1" applyFill="1" applyBorder="1" applyAlignment="1">
      <alignment horizontal="center"/>
    </xf>
    <xf numFmtId="0" fontId="1" fillId="22" borderId="12" xfId="0" applyNumberFormat="1" applyFont="1" applyFill="1" applyBorder="1" applyAlignment="1">
      <alignment horizontal="center"/>
    </xf>
    <xf numFmtId="0" fontId="1" fillId="21" borderId="12" xfId="0" applyNumberFormat="1" applyFont="1" applyFill="1" applyBorder="1" applyAlignment="1">
      <alignment horizontal="center"/>
    </xf>
    <xf numFmtId="0" fontId="1" fillId="20" borderId="12" xfId="0" applyNumberFormat="1" applyFont="1" applyFill="1" applyBorder="1" applyAlignment="1">
      <alignment horizontal="center"/>
    </xf>
    <xf numFmtId="0" fontId="1" fillId="19" borderId="12" xfId="0" applyNumberFormat="1" applyFont="1" applyFill="1" applyBorder="1" applyAlignment="1">
      <alignment horizontal="center"/>
    </xf>
    <xf numFmtId="0" fontId="1" fillId="0" borderId="0" xfId="0" applyFont="1" applyFill="1" applyBorder="1" applyAlignment="1">
      <alignment horizontal="center"/>
    </xf>
    <xf numFmtId="0" fontId="81" fillId="0" borderId="0" xfId="0" applyFont="1" applyAlignment="1">
      <alignment horizontal="left" vertical="top" wrapText="1"/>
    </xf>
    <xf numFmtId="1" fontId="29" fillId="38" borderId="4" xfId="0" applyNumberFormat="1" applyFont="1" applyFill="1" applyBorder="1" applyAlignment="1" applyProtection="1">
      <alignment horizontal="center" textRotation="90"/>
    </xf>
    <xf numFmtId="0" fontId="68" fillId="0" borderId="4" xfId="0" applyFont="1" applyBorder="1" applyAlignment="1" applyProtection="1">
      <alignment horizontal="right"/>
    </xf>
    <xf numFmtId="0" fontId="1" fillId="2" borderId="2" xfId="0" applyFont="1" applyFill="1" applyBorder="1" applyAlignment="1">
      <alignment horizontal="right"/>
    </xf>
    <xf numFmtId="0" fontId="1" fillId="2" borderId="2" xfId="0" applyFont="1" applyFill="1" applyBorder="1" applyAlignment="1">
      <alignment horizontal="left"/>
    </xf>
    <xf numFmtId="0" fontId="29" fillId="0" borderId="4" xfId="0" applyFont="1" applyFill="1" applyBorder="1" applyAlignment="1" applyProtection="1">
      <alignment horizontal="center" vertical="center"/>
      <protection locked="0"/>
    </xf>
    <xf numFmtId="0" fontId="42" fillId="0" borderId="0" xfId="0" applyFont="1" applyAlignment="1"/>
    <xf numFmtId="0" fontId="42" fillId="0" borderId="0" xfId="0" applyFont="1"/>
    <xf numFmtId="0" fontId="42" fillId="0" borderId="4" xfId="0" applyFont="1" applyFill="1" applyBorder="1"/>
    <xf numFmtId="0" fontId="42" fillId="0" borderId="5" xfId="0" applyFont="1" applyBorder="1"/>
    <xf numFmtId="0" fontId="42" fillId="0" borderId="10" xfId="0" applyFont="1" applyBorder="1"/>
    <xf numFmtId="0" fontId="1" fillId="2" borderId="2" xfId="0" applyFont="1" applyFill="1" applyBorder="1"/>
    <xf numFmtId="0" fontId="1" fillId="2" borderId="4" xfId="0" applyFont="1" applyFill="1" applyBorder="1"/>
    <xf numFmtId="0" fontId="42" fillId="0" borderId="0" xfId="0" applyFont="1" applyAlignment="1">
      <alignment horizontal="left" vertical="center"/>
    </xf>
    <xf numFmtId="0" fontId="1" fillId="0" borderId="0" xfId="0" applyFont="1" applyAlignment="1">
      <alignment horizontal="left"/>
    </xf>
    <xf numFmtId="0" fontId="1" fillId="0" borderId="12" xfId="0" applyFont="1" applyFill="1" applyBorder="1" applyAlignment="1">
      <alignment horizontal="center"/>
    </xf>
    <xf numFmtId="0" fontId="22" fillId="23" borderId="0" xfId="0" applyNumberFormat="1" applyFont="1" applyFill="1" applyAlignment="1">
      <alignment horizontal="left"/>
    </xf>
    <xf numFmtId="0" fontId="54" fillId="0" borderId="0" xfId="0" applyFont="1" applyFill="1" applyAlignment="1">
      <alignment vertical="center"/>
    </xf>
    <xf numFmtId="0" fontId="54" fillId="0" borderId="0" xfId="0" applyFont="1" applyAlignment="1" applyProtection="1">
      <alignment vertical="center"/>
    </xf>
    <xf numFmtId="0" fontId="55" fillId="0" borderId="4" xfId="0" applyFont="1" applyBorder="1" applyAlignment="1" applyProtection="1">
      <alignment vertical="center"/>
    </xf>
    <xf numFmtId="0" fontId="0" fillId="2" borderId="2" xfId="0" applyFill="1" applyBorder="1" applyAlignment="1">
      <alignment horizontal="left"/>
    </xf>
    <xf numFmtId="0" fontId="55" fillId="5" borderId="2" xfId="0" applyFont="1" applyFill="1" applyBorder="1" applyAlignment="1">
      <alignment horizontal="left" vertical="center"/>
    </xf>
    <xf numFmtId="0" fontId="68" fillId="0" borderId="0" xfId="0" applyFont="1" applyFill="1" applyAlignment="1">
      <alignment horizontal="center"/>
    </xf>
    <xf numFmtId="0" fontId="22" fillId="0" borderId="0" xfId="0" applyFont="1"/>
    <xf numFmtId="0" fontId="4" fillId="0" borderId="0" xfId="0" applyFont="1" applyFill="1" applyBorder="1" applyAlignment="1" applyProtection="1">
      <alignment horizontal="left"/>
      <protection locked="0"/>
    </xf>
    <xf numFmtId="0" fontId="4" fillId="0" borderId="4" xfId="0" applyFont="1" applyFill="1" applyBorder="1" applyAlignment="1" applyProtection="1">
      <alignment horizontal="left"/>
      <protection locked="0"/>
    </xf>
    <xf numFmtId="0" fontId="29" fillId="19" borderId="11" xfId="0" applyFont="1" applyFill="1" applyBorder="1" applyAlignment="1">
      <alignment horizontal="left"/>
    </xf>
    <xf numFmtId="0" fontId="29" fillId="30" borderId="11" xfId="0" applyFont="1" applyFill="1" applyBorder="1" applyAlignment="1">
      <alignment horizontal="left"/>
    </xf>
    <xf numFmtId="0" fontId="29" fillId="16" borderId="11" xfId="0" applyFont="1" applyFill="1" applyBorder="1" applyAlignment="1">
      <alignment horizontal="left"/>
    </xf>
    <xf numFmtId="0" fontId="29" fillId="31" borderId="11" xfId="0" applyFont="1" applyFill="1" applyBorder="1" applyAlignment="1">
      <alignment horizontal="left"/>
    </xf>
    <xf numFmtId="0" fontId="29" fillId="32" borderId="11" xfId="0" applyFont="1" applyFill="1" applyBorder="1" applyAlignment="1">
      <alignment horizontal="left"/>
    </xf>
    <xf numFmtId="0" fontId="29" fillId="5" borderId="11" xfId="0" applyFont="1" applyFill="1" applyBorder="1" applyAlignment="1">
      <alignment horizontal="left"/>
    </xf>
    <xf numFmtId="0" fontId="29" fillId="33" borderId="11" xfId="0" applyFont="1" applyFill="1" applyBorder="1" applyAlignment="1">
      <alignment horizontal="left"/>
    </xf>
    <xf numFmtId="0" fontId="1" fillId="15" borderId="11" xfId="0" applyFont="1" applyFill="1" applyBorder="1"/>
    <xf numFmtId="0" fontId="1" fillId="14" borderId="11" xfId="0" applyFont="1" applyFill="1" applyBorder="1" applyAlignment="1">
      <alignment horizontal="left"/>
    </xf>
    <xf numFmtId="0" fontId="1" fillId="28" borderId="11" xfId="0" applyFont="1" applyFill="1" applyBorder="1" applyAlignment="1">
      <alignment horizontal="left"/>
    </xf>
    <xf numFmtId="0" fontId="29" fillId="21" borderId="0" xfId="0" applyFont="1" applyFill="1" applyBorder="1" applyAlignment="1">
      <alignment horizontal="left" vertical="top"/>
    </xf>
    <xf numFmtId="0" fontId="29" fillId="29" borderId="0" xfId="0" applyFont="1" applyFill="1" applyBorder="1" applyAlignment="1">
      <alignment horizontal="left" vertical="top"/>
    </xf>
    <xf numFmtId="0" fontId="29" fillId="34" borderId="0" xfId="0" applyFont="1" applyFill="1" applyBorder="1" applyAlignment="1">
      <alignment horizontal="left" vertical="top"/>
    </xf>
    <xf numFmtId="0" fontId="29" fillId="31" borderId="0" xfId="0" applyFont="1" applyFill="1" applyBorder="1" applyAlignment="1">
      <alignment horizontal="left" vertical="top"/>
    </xf>
    <xf numFmtId="0" fontId="29" fillId="10" borderId="0" xfId="0" applyFont="1" applyFill="1" applyBorder="1" applyAlignment="1">
      <alignment horizontal="left" vertical="top"/>
    </xf>
    <xf numFmtId="0" fontId="29" fillId="35" borderId="0" xfId="0" applyFont="1" applyFill="1" applyBorder="1" applyAlignment="1">
      <alignment vertical="top"/>
    </xf>
    <xf numFmtId="0" fontId="29" fillId="36" borderId="0" xfId="0" applyFont="1" applyFill="1" applyBorder="1" applyAlignment="1">
      <alignment horizontal="left" vertical="top"/>
    </xf>
    <xf numFmtId="0" fontId="29" fillId="0" borderId="5"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4" fillId="40" borderId="4" xfId="0" applyFont="1" applyFill="1" applyBorder="1" applyAlignment="1" applyProtection="1">
      <alignment horizontal="center" vertical="center"/>
    </xf>
    <xf numFmtId="0" fontId="0" fillId="40" borderId="4" xfId="0" applyFill="1" applyBorder="1" applyProtection="1">
      <protection locked="0"/>
    </xf>
    <xf numFmtId="0" fontId="1" fillId="40" borderId="4" xfId="0" applyFont="1" applyFill="1" applyBorder="1" applyAlignment="1" applyProtection="1">
      <protection locked="0"/>
    </xf>
    <xf numFmtId="0" fontId="1" fillId="37" borderId="12" xfId="0" applyFont="1" applyFill="1" applyBorder="1" applyAlignment="1">
      <alignment horizontal="center"/>
    </xf>
    <xf numFmtId="0" fontId="1" fillId="41" borderId="12" xfId="0" applyFont="1" applyFill="1" applyBorder="1" applyAlignment="1">
      <alignment horizontal="center"/>
    </xf>
    <xf numFmtId="0" fontId="1" fillId="29" borderId="7" xfId="0" applyFont="1" applyFill="1" applyBorder="1" applyAlignment="1">
      <alignment horizontal="center"/>
    </xf>
    <xf numFmtId="0" fontId="1" fillId="14" borderId="14" xfId="0" applyFont="1" applyFill="1" applyBorder="1" applyAlignment="1">
      <alignment horizontal="left"/>
    </xf>
    <xf numFmtId="0" fontId="4" fillId="0" borderId="0" xfId="0" applyNumberFormat="1" applyFont="1" applyBorder="1" applyAlignment="1" applyProtection="1">
      <protection locked="0"/>
    </xf>
    <xf numFmtId="0" fontId="4" fillId="0" borderId="4" xfId="0" applyNumberFormat="1" applyFont="1" applyBorder="1" applyAlignment="1" applyProtection="1">
      <protection locked="0"/>
    </xf>
    <xf numFmtId="0" fontId="29" fillId="12" borderId="35" xfId="0" applyFont="1" applyFill="1" applyBorder="1" applyAlignment="1">
      <alignment horizontal="left" vertical="top"/>
    </xf>
    <xf numFmtId="0" fontId="4" fillId="9" borderId="22" xfId="0" applyFont="1" applyFill="1" applyBorder="1" applyAlignment="1"/>
    <xf numFmtId="0" fontId="4" fillId="9" borderId="3" xfId="0" applyFont="1" applyFill="1" applyBorder="1" applyAlignment="1"/>
    <xf numFmtId="0" fontId="1" fillId="2" borderId="21" xfId="0" applyFont="1" applyFill="1" applyBorder="1"/>
    <xf numFmtId="0" fontId="1" fillId="2" borderId="23" xfId="0" applyFont="1" applyFill="1" applyBorder="1"/>
    <xf numFmtId="167" fontId="3" fillId="2" borderId="22" xfId="0" applyNumberFormat="1" applyFont="1" applyFill="1" applyBorder="1"/>
    <xf numFmtId="167" fontId="3" fillId="2" borderId="14" xfId="0" applyNumberFormat="1" applyFont="1" applyFill="1" applyBorder="1"/>
    <xf numFmtId="0" fontId="1" fillId="42" borderId="12" xfId="0" applyNumberFormat="1" applyFont="1" applyFill="1" applyBorder="1" applyAlignment="1">
      <alignment horizontal="center"/>
    </xf>
    <xf numFmtId="0" fontId="1" fillId="43" borderId="110" xfId="0" applyFont="1" applyFill="1" applyBorder="1" applyAlignment="1">
      <alignment horizontal="center"/>
    </xf>
    <xf numFmtId="0" fontId="1" fillId="43" borderId="12" xfId="0" applyFont="1" applyFill="1" applyBorder="1" applyAlignment="1">
      <alignment horizontal="center"/>
    </xf>
    <xf numFmtId="0" fontId="1" fillId="43" borderId="111" xfId="0" applyFont="1" applyFill="1" applyBorder="1" applyAlignment="1">
      <alignment horizontal="center"/>
    </xf>
    <xf numFmtId="0" fontId="29" fillId="0" borderId="36" xfId="0" applyFont="1" applyBorder="1" applyAlignment="1">
      <alignment horizontal="center" vertical="center"/>
    </xf>
    <xf numFmtId="0" fontId="23" fillId="43" borderId="12" xfId="0" applyFont="1" applyFill="1" applyBorder="1" applyAlignment="1">
      <alignment horizontal="center"/>
    </xf>
    <xf numFmtId="0" fontId="23" fillId="43" borderId="111" xfId="0" applyFont="1" applyFill="1" applyBorder="1" applyAlignment="1">
      <alignment horizontal="center"/>
    </xf>
    <xf numFmtId="0" fontId="1" fillId="21" borderId="7" xfId="0" applyFont="1" applyFill="1" applyBorder="1" applyAlignment="1">
      <alignment horizontal="center"/>
    </xf>
    <xf numFmtId="0" fontId="1" fillId="14" borderId="7" xfId="0" applyFont="1" applyFill="1" applyBorder="1" applyAlignment="1">
      <alignment horizontal="center"/>
    </xf>
    <xf numFmtId="0" fontId="1" fillId="28" borderId="7" xfId="0" applyFont="1" applyFill="1" applyBorder="1" applyAlignment="1">
      <alignment horizontal="center"/>
    </xf>
    <xf numFmtId="0" fontId="1" fillId="35" borderId="12" xfId="0" applyFont="1" applyFill="1" applyBorder="1" applyAlignment="1">
      <alignment horizontal="center" vertical="top"/>
    </xf>
    <xf numFmtId="0" fontId="1" fillId="36" borderId="12" xfId="0" applyFont="1" applyFill="1" applyBorder="1" applyAlignment="1">
      <alignment horizontal="center" vertical="top"/>
    </xf>
    <xf numFmtId="0" fontId="1" fillId="39" borderId="12" xfId="0" applyFont="1" applyFill="1" applyBorder="1" applyAlignment="1">
      <alignment horizontal="center"/>
    </xf>
    <xf numFmtId="0" fontId="1" fillId="12" borderId="35" xfId="0" applyFont="1" applyFill="1" applyBorder="1" applyAlignment="1">
      <alignment horizontal="center"/>
    </xf>
    <xf numFmtId="0" fontId="1" fillId="26" borderId="12" xfId="0" applyFont="1" applyFill="1" applyBorder="1" applyAlignment="1">
      <alignment horizontal="center"/>
    </xf>
    <xf numFmtId="0" fontId="1" fillId="27" borderId="12" xfId="0" applyFont="1" applyFill="1" applyBorder="1" applyAlignment="1">
      <alignment horizontal="center"/>
    </xf>
    <xf numFmtId="0" fontId="1" fillId="9" borderId="35" xfId="0" applyFont="1" applyFill="1" applyBorder="1" applyAlignment="1">
      <alignment horizontal="center"/>
    </xf>
    <xf numFmtId="0" fontId="29" fillId="44" borderId="0" xfId="0" applyFont="1" applyFill="1" applyAlignment="1">
      <alignment horizontal="left"/>
    </xf>
    <xf numFmtId="0" fontId="29" fillId="44" borderId="35" xfId="0" applyFont="1" applyFill="1" applyBorder="1"/>
    <xf numFmtId="0" fontId="0" fillId="44" borderId="12" xfId="0" applyFill="1" applyBorder="1"/>
    <xf numFmtId="0" fontId="29" fillId="44" borderId="12" xfId="0" applyFont="1" applyFill="1" applyBorder="1"/>
    <xf numFmtId="0" fontId="1" fillId="44" borderId="12" xfId="0" applyFont="1" applyFill="1" applyBorder="1"/>
    <xf numFmtId="0" fontId="1" fillId="44" borderId="12" xfId="0" applyFont="1" applyFill="1" applyBorder="1" applyAlignment="1">
      <alignment wrapText="1"/>
    </xf>
    <xf numFmtId="0" fontId="0" fillId="44" borderId="7" xfId="0" applyFill="1" applyBorder="1"/>
    <xf numFmtId="0" fontId="1" fillId="0" borderId="21" xfId="0" applyFont="1" applyFill="1" applyBorder="1" applyAlignment="1">
      <alignment horizontal="center" vertical="center"/>
    </xf>
    <xf numFmtId="0" fontId="1" fillId="0" borderId="23" xfId="0" applyFont="1" applyFill="1" applyBorder="1" applyAlignment="1">
      <alignment horizontal="center" vertical="center"/>
    </xf>
    <xf numFmtId="0" fontId="54" fillId="0" borderId="21" xfId="0" applyFont="1" applyFill="1" applyBorder="1" applyAlignment="1"/>
    <xf numFmtId="1" fontId="29" fillId="44" borderId="4" xfId="0" applyNumberFormat="1" applyFont="1" applyFill="1" applyBorder="1" applyAlignment="1" applyProtection="1">
      <alignment horizontal="center"/>
      <protection locked="0"/>
    </xf>
    <xf numFmtId="0" fontId="29" fillId="44" borderId="4" xfId="0" applyFont="1" applyFill="1" applyBorder="1" applyAlignment="1">
      <alignment horizontal="center" textRotation="90"/>
    </xf>
    <xf numFmtId="0" fontId="76" fillId="0" borderId="0" xfId="0" applyFont="1" applyFill="1" applyAlignment="1">
      <alignment horizontal="center" textRotation="90"/>
    </xf>
    <xf numFmtId="0" fontId="68" fillId="0" borderId="0" xfId="0" applyFont="1" applyFill="1" applyAlignment="1">
      <alignment horizontal="center" textRotation="90"/>
    </xf>
    <xf numFmtId="1" fontId="29" fillId="8" borderId="4" xfId="0" applyNumberFormat="1" applyFont="1" applyFill="1" applyBorder="1" applyAlignment="1" applyProtection="1">
      <alignment horizontal="left"/>
      <protection locked="0"/>
    </xf>
    <xf numFmtId="0" fontId="0" fillId="0" borderId="28" xfId="0" applyBorder="1" applyAlignment="1">
      <alignment horizontal="center"/>
    </xf>
    <xf numFmtId="0" fontId="4" fillId="0" borderId="9" xfId="0" applyFont="1" applyBorder="1" applyAlignment="1" applyProtection="1">
      <alignment horizontal="left"/>
    </xf>
    <xf numFmtId="0" fontId="4" fillId="0" borderId="29" xfId="0" applyFont="1" applyBorder="1" applyAlignment="1" applyProtection="1">
      <alignment horizontal="left"/>
    </xf>
    <xf numFmtId="0" fontId="1" fillId="0" borderId="105" xfId="0" applyFont="1" applyBorder="1" applyAlignment="1">
      <alignment horizontal="center" vertical="center"/>
    </xf>
    <xf numFmtId="0" fontId="1" fillId="40" borderId="4" xfId="0" applyFont="1" applyFill="1" applyBorder="1" applyAlignment="1" applyProtection="1">
      <alignment horizontal="center" vertical="center"/>
    </xf>
    <xf numFmtId="0" fontId="1" fillId="0" borderId="0" xfId="0" applyFont="1" applyBorder="1"/>
    <xf numFmtId="0" fontId="113" fillId="0" borderId="0" xfId="0" applyFont="1" applyFill="1"/>
    <xf numFmtId="0" fontId="113" fillId="0" borderId="0" xfId="0" applyFont="1" applyFill="1" applyAlignment="1">
      <alignment vertical="center"/>
    </xf>
    <xf numFmtId="0" fontId="114" fillId="0" borderId="0" xfId="0" applyNumberFormat="1" applyFont="1" applyAlignment="1">
      <alignment horizontal="center"/>
    </xf>
    <xf numFmtId="0" fontId="115" fillId="0" borderId="0" xfId="0" applyFont="1" applyAlignment="1">
      <alignment horizontal="left"/>
    </xf>
    <xf numFmtId="1" fontId="29" fillId="8" borderId="5" xfId="0" applyNumberFormat="1" applyFont="1" applyFill="1" applyBorder="1" applyAlignment="1" applyProtection="1">
      <alignment horizontal="fill"/>
      <protection locked="0"/>
    </xf>
    <xf numFmtId="1" fontId="29" fillId="15" borderId="2" xfId="0" applyNumberFormat="1" applyFont="1" applyFill="1" applyBorder="1" applyAlignment="1" applyProtection="1">
      <alignment horizontal="center"/>
      <protection locked="0"/>
    </xf>
    <xf numFmtId="0" fontId="44" fillId="13" borderId="7" xfId="0" applyFont="1" applyFill="1" applyBorder="1" applyAlignment="1" applyProtection="1">
      <alignment horizontal="center" vertical="center"/>
    </xf>
    <xf numFmtId="0" fontId="44" fillId="13" borderId="12" xfId="0" applyFont="1" applyFill="1" applyBorder="1" applyAlignment="1" applyProtection="1">
      <alignment horizontal="center" vertical="center"/>
    </xf>
    <xf numFmtId="0" fontId="54" fillId="0" borderId="4" xfId="0" applyFont="1" applyFill="1" applyBorder="1" applyAlignment="1"/>
    <xf numFmtId="0" fontId="4" fillId="0" borderId="4" xfId="0" applyNumberFormat="1" applyFont="1" applyBorder="1"/>
    <xf numFmtId="0" fontId="4" fillId="0" borderId="0" xfId="0" applyNumberFormat="1" applyFont="1" applyBorder="1"/>
    <xf numFmtId="0" fontId="3" fillId="0" borderId="99" xfId="0" applyFont="1" applyFill="1" applyBorder="1" applyAlignment="1">
      <alignment vertical="center"/>
    </xf>
    <xf numFmtId="0" fontId="1" fillId="0" borderId="68" xfId="0" applyFont="1" applyFill="1" applyBorder="1" applyAlignment="1">
      <alignment horizontal="left" vertical="center"/>
    </xf>
    <xf numFmtId="0" fontId="116" fillId="0" borderId="0" xfId="0" applyFont="1" applyFill="1"/>
    <xf numFmtId="0" fontId="113" fillId="0" borderId="0" xfId="0" applyFont="1"/>
    <xf numFmtId="0" fontId="9" fillId="0" borderId="14" xfId="0" applyFont="1" applyBorder="1" applyAlignment="1" applyProtection="1">
      <alignment horizontal="center"/>
    </xf>
    <xf numFmtId="0" fontId="8" fillId="0" borderId="0" xfId="0" applyFont="1"/>
    <xf numFmtId="0" fontId="3" fillId="40" borderId="4" xfId="0" applyFont="1" applyFill="1" applyBorder="1" applyAlignment="1" applyProtection="1">
      <alignment horizontal="left"/>
    </xf>
    <xf numFmtId="0" fontId="4" fillId="40" borderId="4" xfId="0" applyFont="1" applyFill="1" applyBorder="1" applyAlignment="1" applyProtection="1">
      <alignment horizontal="left"/>
    </xf>
    <xf numFmtId="0" fontId="31" fillId="4" borderId="4" xfId="0" applyFont="1" applyFill="1" applyBorder="1" applyAlignment="1" applyProtection="1">
      <alignment horizontal="left"/>
    </xf>
    <xf numFmtId="1" fontId="29" fillId="12" borderId="4" xfId="0" applyNumberFormat="1" applyFont="1" applyFill="1" applyBorder="1" applyAlignment="1" applyProtection="1">
      <alignment horizontal="center"/>
      <protection locked="0"/>
    </xf>
    <xf numFmtId="1" fontId="29" fillId="12" borderId="112" xfId="0" applyNumberFormat="1" applyFont="1" applyFill="1" applyBorder="1" applyAlignment="1" applyProtection="1">
      <alignment horizontal="center"/>
      <protection locked="0"/>
    </xf>
    <xf numFmtId="1" fontId="29" fillId="12" borderId="10" xfId="0" applyNumberFormat="1" applyFont="1" applyFill="1" applyBorder="1" applyAlignment="1" applyProtection="1">
      <alignment horizontal="center"/>
      <protection locked="0"/>
    </xf>
    <xf numFmtId="0" fontId="61" fillId="12" borderId="4" xfId="0" applyFont="1" applyFill="1" applyBorder="1" applyAlignment="1" applyProtection="1">
      <alignment horizontal="left"/>
    </xf>
    <xf numFmtId="0" fontId="61" fillId="2" borderId="4" xfId="0" applyFont="1" applyFill="1" applyBorder="1" applyAlignment="1" applyProtection="1">
      <alignment horizontal="left"/>
    </xf>
    <xf numFmtId="0" fontId="29" fillId="15" borderId="4" xfId="0" applyFont="1" applyFill="1" applyBorder="1" applyAlignment="1" applyProtection="1">
      <alignment horizontal="center"/>
      <protection locked="0"/>
    </xf>
    <xf numFmtId="0" fontId="29" fillId="2" borderId="23" xfId="0" applyFont="1" applyFill="1" applyBorder="1" applyAlignment="1" applyProtection="1">
      <alignment horizontal="center"/>
      <protection locked="0"/>
    </xf>
    <xf numFmtId="0" fontId="29" fillId="2" borderId="21" xfId="0" applyFont="1" applyFill="1" applyBorder="1" applyAlignment="1" applyProtection="1">
      <alignment horizontal="center"/>
      <protection locked="0"/>
    </xf>
    <xf numFmtId="0" fontId="29" fillId="2" borderId="24" xfId="0" applyFont="1" applyFill="1" applyBorder="1" applyAlignment="1" applyProtection="1">
      <alignment horizontal="center"/>
      <protection locked="0"/>
    </xf>
    <xf numFmtId="0" fontId="29" fillId="15" borderId="5" xfId="0" applyFont="1" applyFill="1" applyBorder="1" applyAlignment="1" applyProtection="1">
      <alignment horizontal="center"/>
      <protection locked="0"/>
    </xf>
    <xf numFmtId="0" fontId="29" fillId="25" borderId="4" xfId="0" applyFont="1" applyFill="1" applyBorder="1" applyAlignment="1"/>
    <xf numFmtId="0" fontId="3" fillId="12" borderId="4" xfId="0" applyFont="1" applyFill="1" applyBorder="1" applyAlignment="1" applyProtection="1"/>
    <xf numFmtId="0" fontId="61" fillId="12" borderId="4" xfId="0" applyFont="1" applyFill="1" applyBorder="1" applyAlignment="1" applyProtection="1"/>
    <xf numFmtId="0" fontId="0" fillId="12" borderId="4" xfId="0" applyFill="1" applyBorder="1" applyAlignment="1">
      <alignment horizontal="left"/>
    </xf>
    <xf numFmtId="0" fontId="47" fillId="2" borderId="6" xfId="0" applyFont="1" applyFill="1" applyBorder="1" applyAlignment="1">
      <alignment horizontal="left"/>
    </xf>
    <xf numFmtId="0" fontId="47" fillId="2" borderId="23" xfId="0" applyFont="1" applyFill="1" applyBorder="1" applyAlignment="1">
      <alignment horizontal="left"/>
    </xf>
    <xf numFmtId="0" fontId="1" fillId="2" borderId="3" xfId="0" applyFont="1" applyFill="1" applyBorder="1" applyAlignment="1">
      <alignment horizontal="left"/>
    </xf>
    <xf numFmtId="0" fontId="47" fillId="2" borderId="6" xfId="0" applyFont="1" applyFill="1" applyBorder="1" applyAlignment="1">
      <alignment horizontal="center"/>
    </xf>
    <xf numFmtId="0" fontId="47" fillId="2" borderId="23" xfId="0" applyFont="1" applyFill="1" applyBorder="1" applyAlignment="1">
      <alignment horizontal="center"/>
    </xf>
    <xf numFmtId="0" fontId="29" fillId="41" borderId="4" xfId="0" applyFont="1" applyFill="1" applyBorder="1" applyAlignment="1" applyProtection="1">
      <alignment horizontal="center" vertical="center"/>
    </xf>
    <xf numFmtId="0" fontId="68" fillId="0" borderId="7" xfId="0" applyFont="1" applyBorder="1"/>
    <xf numFmtId="0" fontId="76" fillId="0" borderId="21" xfId="0" applyFont="1" applyBorder="1" applyAlignment="1">
      <alignment horizontal="right" vertical="top"/>
    </xf>
    <xf numFmtId="0" fontId="1" fillId="2" borderId="0" xfId="0" applyFont="1" applyFill="1" applyBorder="1"/>
    <xf numFmtId="0" fontId="1" fillId="0" borderId="3" xfId="0" applyFont="1" applyBorder="1" applyAlignment="1">
      <alignment horizontal="left"/>
    </xf>
    <xf numFmtId="0" fontId="1" fillId="2" borderId="6" xfId="0" applyFont="1" applyFill="1" applyBorder="1" applyAlignment="1">
      <alignment horizontal="left"/>
    </xf>
    <xf numFmtId="0" fontId="4" fillId="0" borderId="113" xfId="0" applyFont="1" applyBorder="1" applyAlignment="1">
      <alignment horizontal="center" vertical="center"/>
    </xf>
    <xf numFmtId="0" fontId="20" fillId="0" borderId="0" xfId="0" applyFont="1"/>
    <xf numFmtId="0" fontId="68" fillId="0" borderId="0" xfId="0" applyFont="1" applyAlignment="1">
      <alignment horizontal="left"/>
    </xf>
    <xf numFmtId="0" fontId="1" fillId="0" borderId="0" xfId="0" applyFont="1" applyAlignment="1">
      <alignment vertical="center"/>
    </xf>
    <xf numFmtId="0" fontId="1" fillId="0" borderId="113" xfId="0" applyFont="1" applyBorder="1" applyAlignment="1">
      <alignment horizontal="left" vertical="center"/>
    </xf>
    <xf numFmtId="0" fontId="1" fillId="0" borderId="49" xfId="0" applyFont="1" applyFill="1" applyBorder="1" applyAlignment="1">
      <alignment horizontal="left" vertical="center"/>
    </xf>
    <xf numFmtId="0" fontId="1" fillId="0" borderId="72" xfId="0" applyFont="1" applyFill="1" applyBorder="1" applyAlignment="1" applyProtection="1">
      <alignment horizontal="left" vertical="center"/>
      <protection locked="0"/>
    </xf>
    <xf numFmtId="0" fontId="1" fillId="0" borderId="50" xfId="0" applyFont="1" applyFill="1" applyBorder="1" applyAlignment="1">
      <alignment horizontal="left" vertical="center"/>
    </xf>
    <xf numFmtId="0" fontId="1" fillId="0" borderId="55" xfId="0" applyFont="1" applyFill="1" applyBorder="1" applyAlignment="1" applyProtection="1">
      <alignment horizontal="left" vertical="center"/>
      <protection locked="0"/>
    </xf>
    <xf numFmtId="0" fontId="1" fillId="0" borderId="98" xfId="0" applyFont="1" applyFill="1" applyBorder="1" applyAlignment="1">
      <alignment horizontal="left" vertical="center"/>
    </xf>
    <xf numFmtId="0" fontId="1" fillId="0" borderId="57" xfId="0" applyFont="1" applyFill="1" applyBorder="1" applyAlignment="1" applyProtection="1">
      <alignment horizontal="left" vertical="center"/>
      <protection locked="0"/>
    </xf>
    <xf numFmtId="0" fontId="1" fillId="0" borderId="113" xfId="0" applyFont="1" applyBorder="1" applyAlignment="1">
      <alignment horizontal="center" vertical="center"/>
    </xf>
    <xf numFmtId="0" fontId="29" fillId="7" borderId="11" xfId="0" applyFont="1" applyFill="1" applyBorder="1" applyAlignment="1"/>
    <xf numFmtId="0" fontId="29" fillId="7" borderId="0" xfId="0" applyFont="1" applyFill="1" applyBorder="1" applyAlignment="1"/>
    <xf numFmtId="0" fontId="68" fillId="45" borderId="0" xfId="0" applyFont="1" applyFill="1" applyBorder="1" applyProtection="1"/>
    <xf numFmtId="0" fontId="4" fillId="0" borderId="69" xfId="0" applyFont="1" applyFill="1" applyBorder="1" applyAlignment="1">
      <alignment horizontal="center" vertical="center"/>
    </xf>
    <xf numFmtId="0" fontId="4" fillId="0" borderId="114" xfId="0" applyFont="1" applyFill="1" applyBorder="1" applyAlignment="1">
      <alignment horizontal="center" vertical="center"/>
    </xf>
    <xf numFmtId="0" fontId="4" fillId="0" borderId="68" xfId="0" applyFont="1" applyFill="1" applyBorder="1" applyAlignment="1">
      <alignment horizontal="center" vertical="center"/>
    </xf>
    <xf numFmtId="1" fontId="29" fillId="46" borderId="4" xfId="0" applyNumberFormat="1" applyFont="1" applyFill="1" applyBorder="1" applyAlignment="1" applyProtection="1">
      <alignment horizontal="center" textRotation="90"/>
    </xf>
    <xf numFmtId="1" fontId="0" fillId="10" borderId="4" xfId="0" applyNumberFormat="1" applyFill="1" applyBorder="1" applyAlignment="1">
      <alignment horizontal="center"/>
    </xf>
    <xf numFmtId="0" fontId="22" fillId="2" borderId="5" xfId="0" applyFont="1" applyFill="1" applyBorder="1" applyAlignment="1">
      <alignment wrapText="1"/>
    </xf>
    <xf numFmtId="0" fontId="42" fillId="0" borderId="5" xfId="0" applyFont="1" applyBorder="1" applyAlignment="1"/>
    <xf numFmtId="0" fontId="42" fillId="0" borderId="10" xfId="0" applyFont="1" applyBorder="1" applyAlignment="1"/>
    <xf numFmtId="0" fontId="4" fillId="0" borderId="115" xfId="0" applyFont="1" applyBorder="1" applyAlignment="1">
      <alignment horizontal="center" vertical="center"/>
    </xf>
    <xf numFmtId="0" fontId="55" fillId="0" borderId="67" xfId="0" applyNumberFormat="1" applyFont="1" applyFill="1" applyBorder="1" applyAlignment="1">
      <alignment horizontal="center" vertical="center"/>
    </xf>
    <xf numFmtId="0" fontId="4" fillId="0" borderId="115" xfId="0" applyFont="1" applyBorder="1" applyAlignment="1" applyProtection="1">
      <alignment horizontal="center" vertical="center"/>
      <protection locked="0"/>
    </xf>
    <xf numFmtId="0" fontId="4" fillId="0" borderId="65" xfId="0" applyFont="1" applyBorder="1" applyAlignment="1" applyProtection="1">
      <alignment horizontal="center" vertical="center"/>
      <protection locked="0"/>
    </xf>
    <xf numFmtId="0" fontId="4" fillId="0" borderId="116" xfId="0" applyFont="1" applyBorder="1" applyAlignment="1" applyProtection="1">
      <alignment horizontal="center" vertical="center"/>
      <protection locked="0"/>
    </xf>
    <xf numFmtId="0" fontId="55" fillId="0" borderId="49" xfId="0" applyNumberFormat="1" applyFont="1" applyFill="1" applyBorder="1" applyAlignment="1">
      <alignment horizontal="center" vertical="center"/>
    </xf>
    <xf numFmtId="0" fontId="4" fillId="0" borderId="10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21" fillId="0" borderId="13" xfId="0" applyFont="1" applyBorder="1" applyAlignment="1" applyProtection="1">
      <alignment horizontal="left"/>
    </xf>
    <xf numFmtId="0" fontId="21" fillId="0" borderId="8" xfId="0" applyFont="1" applyBorder="1" applyAlignment="1" applyProtection="1">
      <alignment horizontal="left"/>
    </xf>
    <xf numFmtId="0" fontId="1" fillId="13" borderId="10" xfId="0" applyFont="1" applyFill="1" applyBorder="1" applyProtection="1"/>
    <xf numFmtId="0" fontId="50" fillId="0" borderId="117" xfId="0" applyFont="1" applyBorder="1" applyAlignment="1" applyProtection="1">
      <protection locked="0"/>
    </xf>
    <xf numFmtId="0" fontId="50" fillId="0" borderId="118" xfId="0" applyFont="1" applyBorder="1" applyAlignment="1" applyProtection="1">
      <protection locked="0"/>
    </xf>
    <xf numFmtId="0" fontId="50" fillId="0" borderId="119" xfId="0" applyFont="1" applyBorder="1" applyAlignment="1" applyProtection="1">
      <protection locked="0"/>
    </xf>
    <xf numFmtId="0" fontId="79" fillId="0" borderId="18" xfId="0" applyFont="1" applyBorder="1" applyAlignment="1" applyProtection="1"/>
    <xf numFmtId="0" fontId="79" fillId="0" borderId="113" xfId="0" applyFont="1" applyBorder="1" applyAlignment="1" applyProtection="1"/>
    <xf numFmtId="0" fontId="79" fillId="0" borderId="9" xfId="0" applyFont="1" applyBorder="1" applyAlignment="1" applyProtection="1"/>
    <xf numFmtId="0" fontId="50" fillId="0" borderId="9" xfId="0" applyFont="1" applyBorder="1" applyAlignment="1" applyProtection="1">
      <protection locked="0"/>
    </xf>
    <xf numFmtId="0" fontId="20" fillId="0" borderId="0" xfId="0" applyFont="1" applyBorder="1" applyAlignment="1" applyProtection="1"/>
    <xf numFmtId="0" fontId="20" fillId="0" borderId="8" xfId="0" applyFont="1" applyBorder="1" applyAlignment="1" applyProtection="1">
      <alignment horizontal="left"/>
    </xf>
    <xf numFmtId="0" fontId="55" fillId="0" borderId="0" xfId="0" applyFont="1" applyFill="1" applyBorder="1" applyAlignment="1" applyProtection="1"/>
    <xf numFmtId="0" fontId="55" fillId="0" borderId="8" xfId="0" applyFont="1" applyFill="1" applyBorder="1" applyAlignment="1" applyProtection="1"/>
    <xf numFmtId="0" fontId="54" fillId="0" borderId="8" xfId="0" applyFont="1" applyBorder="1" applyAlignment="1" applyProtection="1">
      <alignment horizontal="right"/>
    </xf>
    <xf numFmtId="0" fontId="4" fillId="0" borderId="27" xfId="0" applyFont="1" applyBorder="1" applyAlignment="1"/>
    <xf numFmtId="0" fontId="4" fillId="0" borderId="28" xfId="0" applyFont="1" applyBorder="1"/>
    <xf numFmtId="0" fontId="4" fillId="0" borderId="65" xfId="0" applyFont="1" applyBorder="1" applyAlignment="1" applyProtection="1">
      <alignment vertical="center"/>
      <protection locked="0"/>
    </xf>
    <xf numFmtId="0" fontId="20" fillId="0" borderId="9" xfId="0" applyFont="1" applyBorder="1" applyAlignment="1" applyProtection="1"/>
    <xf numFmtId="0" fontId="50" fillId="0" borderId="0" xfId="0" applyFont="1" applyBorder="1" applyAlignment="1" applyProtection="1"/>
    <xf numFmtId="0" fontId="4" fillId="0" borderId="9" xfId="0" applyFont="1" applyBorder="1" applyAlignment="1"/>
    <xf numFmtId="0" fontId="56" fillId="0" borderId="28" xfId="0" applyFont="1" applyBorder="1" applyAlignment="1"/>
    <xf numFmtId="0" fontId="3" fillId="0" borderId="25" xfId="0" applyFont="1" applyFill="1" applyBorder="1" applyAlignment="1">
      <alignment vertical="center"/>
    </xf>
    <xf numFmtId="0" fontId="7" fillId="0" borderId="120" xfId="0" applyFont="1" applyBorder="1" applyAlignment="1">
      <alignment horizontal="left" vertical="center"/>
    </xf>
    <xf numFmtId="0" fontId="7" fillId="0" borderId="121" xfId="0" applyFont="1" applyBorder="1" applyAlignment="1">
      <alignment horizontal="left" vertical="center"/>
    </xf>
    <xf numFmtId="0" fontId="4" fillId="0" borderId="122" xfId="0" applyFont="1" applyBorder="1" applyAlignment="1">
      <alignment horizontal="center" vertical="center"/>
    </xf>
    <xf numFmtId="0" fontId="4" fillId="0" borderId="121" xfId="0" applyFont="1" applyBorder="1" applyAlignment="1">
      <alignment horizontal="center" vertical="center"/>
    </xf>
    <xf numFmtId="0" fontId="4" fillId="0" borderId="123" xfId="0" applyFont="1" applyBorder="1" applyAlignment="1">
      <alignment horizontal="center" vertical="center"/>
    </xf>
    <xf numFmtId="0" fontId="4" fillId="0" borderId="123" xfId="0" applyFont="1" applyBorder="1" applyAlignment="1" applyProtection="1">
      <alignment vertical="center"/>
      <protection locked="0"/>
    </xf>
    <xf numFmtId="0" fontId="4" fillId="0" borderId="124" xfId="0" applyFont="1" applyBorder="1" applyAlignment="1">
      <alignment horizontal="center" vertical="center"/>
    </xf>
    <xf numFmtId="0" fontId="4" fillId="0" borderId="125" xfId="0" applyFont="1" applyBorder="1" applyAlignment="1">
      <alignment horizontal="center" vertical="center"/>
    </xf>
    <xf numFmtId="0" fontId="4" fillId="0" borderId="126" xfId="0" applyFont="1" applyBorder="1" applyAlignment="1">
      <alignment horizontal="center" vertical="center"/>
    </xf>
    <xf numFmtId="0" fontId="4" fillId="0" borderId="126" xfId="0" applyFont="1" applyBorder="1" applyAlignment="1" applyProtection="1">
      <alignment vertical="center"/>
      <protection locked="0"/>
    </xf>
    <xf numFmtId="0" fontId="54" fillId="0" borderId="30" xfId="0" applyFont="1" applyFill="1" applyBorder="1" applyAlignment="1" applyProtection="1">
      <alignment horizontal="center"/>
    </xf>
    <xf numFmtId="0" fontId="54" fillId="0" borderId="30" xfId="0" applyFont="1" applyBorder="1" applyAlignment="1" applyProtection="1"/>
    <xf numFmtId="0" fontId="54" fillId="0" borderId="0" xfId="0" applyFont="1" applyBorder="1" applyAlignment="1" applyProtection="1"/>
    <xf numFmtId="0" fontId="46" fillId="47" borderId="4" xfId="0" applyFont="1" applyFill="1" applyBorder="1" applyAlignment="1" applyProtection="1">
      <alignment horizontal="center" vertical="center"/>
    </xf>
    <xf numFmtId="0" fontId="7" fillId="0" borderId="105" xfId="0" applyFont="1" applyFill="1" applyBorder="1" applyAlignment="1">
      <alignment vertical="center"/>
    </xf>
    <xf numFmtId="0" fontId="7" fillId="0" borderId="113" xfId="0" applyFont="1" applyFill="1" applyBorder="1" applyAlignment="1">
      <alignment vertical="center"/>
    </xf>
    <xf numFmtId="0" fontId="4" fillId="0" borderId="49" xfId="0" applyFont="1" applyFill="1" applyBorder="1" applyAlignment="1" applyProtection="1">
      <alignment horizontal="center" vertical="center"/>
    </xf>
    <xf numFmtId="0" fontId="7" fillId="0" borderId="127" xfId="0" applyFont="1" applyFill="1" applyBorder="1" applyAlignment="1">
      <alignment vertical="center"/>
    </xf>
    <xf numFmtId="0" fontId="4" fillId="0" borderId="50" xfId="0" applyFont="1" applyFill="1" applyBorder="1" applyAlignment="1" applyProtection="1">
      <alignment horizontal="center" vertical="center"/>
    </xf>
    <xf numFmtId="0" fontId="4" fillId="0" borderId="67" xfId="0" applyFont="1" applyFill="1" applyBorder="1" applyAlignment="1" applyProtection="1">
      <alignment horizontal="center" vertical="center"/>
    </xf>
    <xf numFmtId="0" fontId="68" fillId="0" borderId="5" xfId="0" applyFont="1" applyBorder="1" applyProtection="1"/>
    <xf numFmtId="0" fontId="4" fillId="0" borderId="2" xfId="0" applyFont="1" applyBorder="1" applyProtection="1"/>
    <xf numFmtId="0" fontId="4" fillId="0" borderId="10" xfId="0" applyFont="1" applyBorder="1" applyProtection="1"/>
    <xf numFmtId="49" fontId="7" fillId="0" borderId="105" xfId="0" applyNumberFormat="1" applyFont="1" applyBorder="1" applyAlignment="1">
      <alignment horizontal="center" vertical="center"/>
    </xf>
    <xf numFmtId="49" fontId="7" fillId="0" borderId="79" xfId="0" applyNumberFormat="1" applyFont="1" applyBorder="1" applyAlignment="1">
      <alignment horizontal="center" vertical="center"/>
    </xf>
    <xf numFmtId="49" fontId="7" fillId="0" borderId="128" xfId="0" applyNumberFormat="1" applyFont="1" applyBorder="1" applyAlignment="1">
      <alignment horizontal="center" vertical="center"/>
    </xf>
    <xf numFmtId="0" fontId="7" fillId="0" borderId="18" xfId="0" applyFont="1" applyBorder="1" applyAlignment="1">
      <alignment vertical="center"/>
    </xf>
    <xf numFmtId="0" fontId="7" fillId="0" borderId="13" xfId="0" applyFont="1" applyBorder="1"/>
    <xf numFmtId="0" fontId="7" fillId="0" borderId="113" xfId="0" applyFont="1" applyBorder="1" applyAlignment="1">
      <alignment vertical="center"/>
    </xf>
    <xf numFmtId="0" fontId="29" fillId="2" borderId="5" xfId="1" applyFont="1" applyFill="1" applyBorder="1" applyAlignment="1" applyProtection="1">
      <alignment horizontal="center" textRotation="90" wrapText="1"/>
    </xf>
    <xf numFmtId="169" fontId="1" fillId="9" borderId="0" xfId="0" applyNumberFormat="1" applyFont="1" applyFill="1" applyBorder="1" applyAlignment="1">
      <alignment horizontal="center" vertical="top"/>
    </xf>
    <xf numFmtId="0" fontId="29" fillId="2" borderId="2" xfId="0" applyFont="1" applyFill="1" applyBorder="1" applyProtection="1"/>
    <xf numFmtId="0" fontId="29" fillId="0" borderId="129" xfId="0" applyFont="1" applyBorder="1"/>
    <xf numFmtId="0" fontId="68" fillId="0" borderId="35" xfId="0" applyFont="1" applyFill="1" applyBorder="1" applyProtection="1"/>
    <xf numFmtId="0" fontId="68" fillId="0" borderId="7" xfId="0" applyFont="1" applyFill="1" applyBorder="1" applyProtection="1"/>
    <xf numFmtId="0" fontId="1" fillId="0" borderId="4" xfId="0" applyFont="1" applyFill="1" applyBorder="1" applyAlignment="1" applyProtection="1">
      <alignment horizontal="center" vertical="center"/>
    </xf>
    <xf numFmtId="0" fontId="0" fillId="2" borderId="4" xfId="0" applyFill="1" applyBorder="1"/>
    <xf numFmtId="0" fontId="76" fillId="0" borderId="11" xfId="0" applyFont="1" applyFill="1" applyBorder="1" applyAlignment="1">
      <alignment horizontal="center"/>
    </xf>
    <xf numFmtId="0" fontId="76" fillId="0" borderId="22" xfId="0" applyFont="1" applyFill="1" applyBorder="1" applyAlignment="1">
      <alignment horizontal="center"/>
    </xf>
    <xf numFmtId="0" fontId="76" fillId="0" borderId="6" xfId="0" applyFont="1" applyFill="1" applyBorder="1" applyAlignment="1">
      <alignment horizontal="center"/>
    </xf>
    <xf numFmtId="0" fontId="76" fillId="0" borderId="0" xfId="0" applyFont="1" applyFill="1" applyBorder="1" applyAlignment="1">
      <alignment horizontal="center"/>
    </xf>
    <xf numFmtId="0" fontId="85" fillId="0" borderId="4" xfId="0" applyFont="1" applyFill="1" applyBorder="1" applyAlignment="1" applyProtection="1">
      <alignment horizontal="right"/>
    </xf>
    <xf numFmtId="0" fontId="0" fillId="0" borderId="6" xfId="0" applyBorder="1" applyProtection="1"/>
    <xf numFmtId="0" fontId="0" fillId="0" borderId="23" xfId="0" applyBorder="1" applyProtection="1"/>
    <xf numFmtId="0" fontId="24" fillId="2" borderId="21" xfId="1" applyFont="1" applyFill="1" applyBorder="1" applyAlignment="1" applyProtection="1">
      <alignment horizontal="left"/>
    </xf>
    <xf numFmtId="0" fontId="85" fillId="0" borderId="12" xfId="0" applyFont="1" applyFill="1" applyBorder="1" applyProtection="1"/>
    <xf numFmtId="0" fontId="85" fillId="0" borderId="7" xfId="0" applyFont="1" applyFill="1" applyBorder="1" applyProtection="1"/>
    <xf numFmtId="1" fontId="29" fillId="15" borderId="22" xfId="0" applyNumberFormat="1" applyFont="1" applyFill="1" applyBorder="1" applyAlignment="1" applyProtection="1">
      <alignment horizontal="center" textRotation="90"/>
    </xf>
    <xf numFmtId="0" fontId="1" fillId="0" borderId="5" xfId="0" applyFont="1" applyBorder="1"/>
    <xf numFmtId="0" fontId="4" fillId="0" borderId="21" xfId="0" applyFont="1" applyBorder="1" applyAlignment="1"/>
    <xf numFmtId="0" fontId="22" fillId="0" borderId="130" xfId="0" applyFont="1" applyBorder="1" applyAlignment="1"/>
    <xf numFmtId="0" fontId="22" fillId="0" borderId="131" xfId="0" applyFont="1" applyBorder="1" applyAlignment="1"/>
    <xf numFmtId="0" fontId="22" fillId="0" borderId="132" xfId="0" applyFont="1" applyBorder="1" applyAlignment="1"/>
    <xf numFmtId="0" fontId="22" fillId="0" borderId="133" xfId="0" applyFont="1" applyFill="1" applyBorder="1" applyAlignment="1"/>
    <xf numFmtId="0" fontId="29" fillId="0" borderId="134" xfId="0" applyFont="1" applyBorder="1" applyAlignment="1"/>
    <xf numFmtId="0" fontId="29" fillId="0" borderId="135" xfId="0" applyFont="1" applyBorder="1" applyAlignment="1">
      <alignment horizontal="left"/>
    </xf>
    <xf numFmtId="0" fontId="29" fillId="0" borderId="136" xfId="0" applyFont="1" applyBorder="1" applyAlignment="1">
      <alignment horizontal="left"/>
    </xf>
    <xf numFmtId="0" fontId="29" fillId="0" borderId="114" xfId="0" applyFont="1" applyBorder="1" applyAlignment="1">
      <alignment horizontal="left"/>
    </xf>
    <xf numFmtId="0" fontId="29" fillId="0" borderId="137" xfId="0" applyFont="1" applyFill="1" applyBorder="1" applyAlignment="1"/>
    <xf numFmtId="0" fontId="22" fillId="0" borderId="138" xfId="0" applyFont="1" applyFill="1" applyBorder="1" applyAlignment="1"/>
    <xf numFmtId="0" fontId="29" fillId="0" borderId="38" xfId="0" applyFont="1" applyBorder="1" applyAlignment="1">
      <alignment horizontal="left"/>
    </xf>
    <xf numFmtId="0" fontId="29" fillId="0" borderId="40" xfId="0" applyFont="1" applyBorder="1" applyAlignment="1">
      <alignment horizontal="left"/>
    </xf>
    <xf numFmtId="0" fontId="29" fillId="0" borderId="139" xfId="0" applyFont="1" applyBorder="1" applyAlignment="1">
      <alignment horizontal="left"/>
    </xf>
    <xf numFmtId="0" fontId="29" fillId="0" borderId="140" xfId="0" applyFont="1" applyBorder="1" applyAlignment="1">
      <alignment horizontal="left" vertical="top"/>
    </xf>
    <xf numFmtId="1" fontId="117" fillId="2" borderId="2" xfId="0" applyNumberFormat="1" applyFont="1" applyFill="1" applyBorder="1" applyAlignment="1">
      <alignment horizontal="center"/>
    </xf>
    <xf numFmtId="1" fontId="117" fillId="2" borderId="2" xfId="0" applyNumberFormat="1" applyFont="1" applyFill="1" applyBorder="1" applyAlignment="1">
      <alignment horizontal="left"/>
    </xf>
    <xf numFmtId="0" fontId="1" fillId="0" borderId="4" xfId="0" applyFont="1" applyBorder="1" applyProtection="1">
      <protection locked="0"/>
    </xf>
    <xf numFmtId="0" fontId="117" fillId="2" borderId="2" xfId="0" applyFont="1" applyFill="1" applyBorder="1"/>
    <xf numFmtId="0" fontId="23" fillId="2" borderId="0" xfId="0" applyNumberFormat="1" applyFont="1" applyFill="1" applyAlignment="1">
      <alignment horizontal="left" vertical="top"/>
    </xf>
    <xf numFmtId="0" fontId="0" fillId="2" borderId="0" xfId="0" applyFill="1" applyAlignment="1">
      <alignment horizontal="left" vertical="top"/>
    </xf>
    <xf numFmtId="0" fontId="4" fillId="0" borderId="4" xfId="0" applyFont="1" applyFill="1" applyBorder="1" applyAlignment="1" applyProtection="1">
      <protection locked="0"/>
    </xf>
    <xf numFmtId="0" fontId="0" fillId="0" borderId="4" xfId="0" applyFill="1" applyBorder="1" applyAlignment="1" applyProtection="1">
      <alignment wrapText="1"/>
      <protection locked="0"/>
    </xf>
    <xf numFmtId="0" fontId="0" fillId="10" borderId="22" xfId="0" applyNumberFormat="1" applyFill="1" applyBorder="1" applyAlignment="1">
      <alignment horizontal="center"/>
    </xf>
    <xf numFmtId="0" fontId="23" fillId="2" borderId="0" xfId="0" applyFont="1" applyFill="1" applyBorder="1" applyAlignment="1">
      <alignment horizontal="left" vertical="center"/>
    </xf>
    <xf numFmtId="0" fontId="0" fillId="10" borderId="64" xfId="0" applyNumberFormat="1" applyFill="1" applyBorder="1" applyAlignment="1">
      <alignment horizontal="center"/>
    </xf>
    <xf numFmtId="1" fontId="4" fillId="0" borderId="4" xfId="0" applyNumberFormat="1" applyFont="1" applyBorder="1" applyAlignment="1" applyProtection="1">
      <alignment horizontal="center" vertical="top"/>
      <protection locked="0"/>
    </xf>
    <xf numFmtId="0" fontId="55" fillId="0" borderId="41" xfId="0" applyFont="1" applyFill="1" applyBorder="1" applyAlignment="1" applyProtection="1">
      <alignment horizontal="center"/>
    </xf>
    <xf numFmtId="0" fontId="0" fillId="0" borderId="0" xfId="0" quotePrefix="1"/>
    <xf numFmtId="0" fontId="47" fillId="2" borderId="2" xfId="0" applyFont="1" applyFill="1" applyBorder="1" applyAlignment="1">
      <alignment horizontal="center"/>
    </xf>
    <xf numFmtId="0" fontId="68" fillId="0" borderId="0" xfId="0" applyFont="1" applyBorder="1"/>
    <xf numFmtId="0" fontId="0" fillId="8" borderId="0" xfId="0" applyFill="1" applyBorder="1"/>
    <xf numFmtId="0" fontId="68" fillId="0" borderId="14" xfId="0" applyFont="1" applyFill="1" applyBorder="1"/>
    <xf numFmtId="1" fontId="24" fillId="0" borderId="3" xfId="0" applyNumberFormat="1" applyFont="1" applyFill="1" applyBorder="1" applyAlignment="1" applyProtection="1">
      <alignment horizontal="center"/>
      <protection locked="0"/>
    </xf>
    <xf numFmtId="0" fontId="29" fillId="0" borderId="4" xfId="0" applyFont="1" applyBorder="1"/>
    <xf numFmtId="0" fontId="1" fillId="7" borderId="12" xfId="0" applyFont="1" applyFill="1" applyBorder="1" applyAlignment="1">
      <alignment horizontal="left"/>
    </xf>
    <xf numFmtId="0" fontId="0" fillId="45" borderId="0" xfId="0" applyFill="1"/>
    <xf numFmtId="0" fontId="1" fillId="45" borderId="8" xfId="0" applyFont="1" applyFill="1" applyBorder="1"/>
    <xf numFmtId="0" fontId="54" fillId="0" borderId="8" xfId="0" applyFont="1" applyBorder="1" applyProtection="1"/>
    <xf numFmtId="0" fontId="25" fillId="0" borderId="0" xfId="0" applyFont="1" applyBorder="1" applyAlignment="1" applyProtection="1">
      <alignment horizontal="center"/>
    </xf>
    <xf numFmtId="0" fontId="92" fillId="0" borderId="0" xfId="0" applyFont="1" applyBorder="1" applyAlignment="1" applyProtection="1">
      <alignment vertical="center"/>
    </xf>
    <xf numFmtId="0" fontId="25" fillId="0" borderId="0" xfId="0" applyFont="1" applyBorder="1" applyAlignment="1" applyProtection="1">
      <alignment horizontal="center" vertical="center"/>
    </xf>
    <xf numFmtId="0" fontId="25" fillId="0" borderId="0" xfId="0" quotePrefix="1" applyFont="1" applyBorder="1" applyAlignment="1" applyProtection="1">
      <alignment horizontal="center" vertical="center"/>
    </xf>
    <xf numFmtId="0" fontId="54" fillId="0" borderId="30" xfId="0" applyFont="1" applyBorder="1" applyProtection="1"/>
    <xf numFmtId="0" fontId="54" fillId="0" borderId="30" xfId="0" applyFont="1" applyBorder="1" applyAlignment="1">
      <alignment horizontal="center" vertical="center"/>
    </xf>
    <xf numFmtId="0" fontId="54" fillId="0" borderId="31" xfId="0" applyFont="1" applyBorder="1" applyProtection="1"/>
    <xf numFmtId="0" fontId="54" fillId="0" borderId="0" xfId="0" applyFont="1" applyProtection="1"/>
    <xf numFmtId="0" fontId="54" fillId="0" borderId="0" xfId="0" applyFont="1" applyBorder="1" applyAlignment="1">
      <alignment horizontal="center" vertical="center"/>
    </xf>
    <xf numFmtId="0" fontId="54" fillId="0" borderId="62" xfId="0" applyFont="1" applyBorder="1" applyProtection="1"/>
    <xf numFmtId="0" fontId="54" fillId="0" borderId="27" xfId="0" applyFont="1" applyBorder="1" applyProtection="1"/>
    <xf numFmtId="0" fontId="54" fillId="0" borderId="28" xfId="0" applyFont="1" applyBorder="1" applyProtection="1"/>
    <xf numFmtId="0" fontId="25" fillId="0" borderId="11" xfId="0" applyFont="1" applyBorder="1" applyAlignment="1" applyProtection="1">
      <alignment horizontal="center"/>
    </xf>
    <xf numFmtId="0" fontId="54" fillId="0" borderId="5" xfId="0" applyFont="1" applyBorder="1" applyAlignment="1" applyProtection="1">
      <alignment horizontal="left"/>
    </xf>
    <xf numFmtId="0" fontId="1" fillId="0" borderId="5" xfId="0" applyFont="1" applyBorder="1" applyAlignment="1" applyProtection="1">
      <alignment horizontal="center"/>
    </xf>
    <xf numFmtId="0" fontId="54" fillId="0" borderId="0" xfId="0" applyFont="1" applyBorder="1" applyProtection="1"/>
    <xf numFmtId="0" fontId="54" fillId="0" borderId="9" xfId="0" applyFont="1" applyBorder="1"/>
    <xf numFmtId="0" fontId="25" fillId="0" borderId="5" xfId="0" applyFont="1" applyBorder="1" applyAlignment="1">
      <alignment horizontal="left"/>
    </xf>
    <xf numFmtId="0" fontId="54" fillId="0" borderId="28" xfId="0" applyFont="1" applyBorder="1"/>
    <xf numFmtId="0" fontId="54" fillId="0" borderId="5" xfId="0" applyFont="1" applyBorder="1" applyAlignment="1" applyProtection="1">
      <alignment horizontal="left"/>
      <protection locked="0"/>
    </xf>
    <xf numFmtId="0" fontId="54" fillId="0" borderId="29" xfId="0" applyFont="1" applyBorder="1"/>
    <xf numFmtId="0" fontId="54" fillId="0" borderId="31" xfId="0" applyFont="1" applyBorder="1"/>
    <xf numFmtId="0" fontId="54" fillId="0" borderId="5" xfId="0" applyFont="1" applyBorder="1" applyProtection="1"/>
    <xf numFmtId="0" fontId="54" fillId="0" borderId="2" xfId="0" applyFont="1" applyBorder="1" applyAlignment="1" applyProtection="1">
      <alignment horizontal="center"/>
    </xf>
    <xf numFmtId="0" fontId="54" fillId="0" borderId="2" xfId="0" applyFont="1" applyBorder="1" applyProtection="1"/>
    <xf numFmtId="0" fontId="54" fillId="0" borderId="3" xfId="0" applyFont="1" applyBorder="1" applyProtection="1"/>
    <xf numFmtId="0" fontId="54" fillId="0" borderId="0" xfId="0" applyFont="1" applyBorder="1" applyAlignment="1">
      <alignment horizontal="center"/>
    </xf>
    <xf numFmtId="0" fontId="54" fillId="0" borderId="4" xfId="0" applyFont="1" applyBorder="1" applyAlignment="1" applyProtection="1">
      <alignment horizontal="left"/>
    </xf>
    <xf numFmtId="0" fontId="54" fillId="0" borderId="30" xfId="0" applyFont="1" applyBorder="1" applyAlignment="1">
      <alignment horizontal="center"/>
    </xf>
    <xf numFmtId="0" fontId="54" fillId="0" borderId="30" xfId="0" applyFont="1" applyBorder="1"/>
    <xf numFmtId="0" fontId="29" fillId="0" borderId="2" xfId="0" applyFont="1" applyBorder="1"/>
    <xf numFmtId="0" fontId="1" fillId="0" borderId="2" xfId="0" applyFont="1" applyBorder="1"/>
    <xf numFmtId="0" fontId="29" fillId="0" borderId="5" xfId="0" applyFont="1" applyBorder="1"/>
    <xf numFmtId="0" fontId="1" fillId="0" borderId="13" xfId="0" applyFont="1" applyBorder="1"/>
    <xf numFmtId="0" fontId="1" fillId="0" borderId="8" xfId="0" applyFont="1" applyBorder="1"/>
    <xf numFmtId="0" fontId="1" fillId="0" borderId="27" xfId="0" applyFont="1" applyBorder="1"/>
    <xf numFmtId="0" fontId="1" fillId="0" borderId="9" xfId="0" applyFont="1" applyBorder="1"/>
    <xf numFmtId="0" fontId="1" fillId="0" borderId="28" xfId="0" applyFont="1" applyBorder="1"/>
    <xf numFmtId="0" fontId="54" fillId="0" borderId="4" xfId="0" applyFont="1" applyBorder="1" applyAlignment="1">
      <alignment horizontal="left" vertical="center"/>
    </xf>
    <xf numFmtId="0" fontId="54" fillId="0" borderId="4" xfId="0" applyFont="1" applyBorder="1" applyAlignment="1">
      <alignment horizontal="center" vertical="center"/>
    </xf>
    <xf numFmtId="0" fontId="29" fillId="0" borderId="9" xfId="0" applyFont="1" applyBorder="1"/>
    <xf numFmtId="0" fontId="54" fillId="0" borderId="35" xfId="0" applyFont="1" applyBorder="1" applyAlignment="1">
      <alignment horizontal="left" vertical="center"/>
    </xf>
    <xf numFmtId="0" fontId="54" fillId="0" borderId="35" xfId="0" applyFont="1" applyBorder="1" applyAlignment="1">
      <alignment horizontal="center" vertical="center"/>
    </xf>
    <xf numFmtId="0" fontId="4" fillId="0" borderId="3" xfId="0" applyNumberFormat="1" applyFont="1" applyBorder="1"/>
    <xf numFmtId="0" fontId="4" fillId="0" borderId="2" xfId="0" applyNumberFormat="1" applyFont="1" applyBorder="1"/>
    <xf numFmtId="0" fontId="1" fillId="2" borderId="0" xfId="0" applyFont="1" applyFill="1" applyBorder="1" applyProtection="1"/>
    <xf numFmtId="0" fontId="29" fillId="13" borderId="35" xfId="0" applyFont="1" applyFill="1" applyBorder="1" applyAlignment="1" applyProtection="1">
      <alignment vertical="center"/>
    </xf>
    <xf numFmtId="0" fontId="29" fillId="13" borderId="12" xfId="0" applyFont="1" applyFill="1" applyBorder="1" applyAlignment="1" applyProtection="1">
      <alignment vertical="center"/>
    </xf>
    <xf numFmtId="0" fontId="1" fillId="0" borderId="0" xfId="0" quotePrefix="1" applyFont="1" applyBorder="1"/>
    <xf numFmtId="0" fontId="68" fillId="0" borderId="0" xfId="0" quotePrefix="1" applyFont="1" applyFill="1"/>
    <xf numFmtId="0" fontId="22" fillId="48" borderId="5" xfId="1" applyFont="1" applyFill="1" applyBorder="1" applyAlignment="1" applyProtection="1"/>
    <xf numFmtId="0" fontId="4" fillId="48" borderId="4" xfId="0" applyFont="1" applyFill="1" applyBorder="1"/>
    <xf numFmtId="0" fontId="0" fillId="48" borderId="4" xfId="0" applyFill="1" applyBorder="1"/>
    <xf numFmtId="0" fontId="0" fillId="48" borderId="5" xfId="0" applyFill="1" applyBorder="1"/>
    <xf numFmtId="0" fontId="25" fillId="0" borderId="7" xfId="0" applyFont="1" applyBorder="1" applyAlignment="1" applyProtection="1">
      <alignment horizontal="center"/>
    </xf>
    <xf numFmtId="0" fontId="55" fillId="0" borderId="4" xfId="0" applyFont="1" applyBorder="1" applyAlignment="1" applyProtection="1">
      <alignment horizontal="center" vertical="center"/>
    </xf>
    <xf numFmtId="0" fontId="25" fillId="0" borderId="4" xfId="0" applyFont="1" applyBorder="1" applyAlignment="1">
      <alignment horizontal="center" vertical="center"/>
    </xf>
    <xf numFmtId="0" fontId="25" fillId="0" borderId="3" xfId="0" applyFont="1" applyBorder="1" applyAlignment="1" applyProtection="1"/>
    <xf numFmtId="0" fontId="25" fillId="0" borderId="7" xfId="0" applyFont="1" applyBorder="1" applyAlignment="1" applyProtection="1"/>
    <xf numFmtId="0" fontId="55" fillId="0" borderId="4" xfId="0" applyNumberFormat="1" applyFont="1" applyBorder="1" applyAlignment="1" applyProtection="1">
      <alignment vertical="center"/>
    </xf>
    <xf numFmtId="0" fontId="0" fillId="2" borderId="10" xfId="0" applyFill="1" applyBorder="1" applyAlignment="1" applyProtection="1">
      <alignment horizontal="right"/>
    </xf>
    <xf numFmtId="0" fontId="0" fillId="2" borderId="5" xfId="0" applyFill="1" applyBorder="1" applyAlignment="1" applyProtection="1">
      <alignment horizontal="right"/>
    </xf>
    <xf numFmtId="0" fontId="85" fillId="0" borderId="1" xfId="0" applyFont="1" applyFill="1" applyBorder="1"/>
    <xf numFmtId="0" fontId="68" fillId="0" borderId="0" xfId="0" applyFont="1" applyFill="1" applyAlignment="1">
      <alignment vertical="center"/>
    </xf>
    <xf numFmtId="0" fontId="29" fillId="0" borderId="0" xfId="1" applyFont="1" applyFill="1" applyBorder="1" applyAlignment="1" applyProtection="1">
      <alignment horizontal="left" vertical="center"/>
    </xf>
    <xf numFmtId="0" fontId="118" fillId="0" borderId="0" xfId="0" applyNumberFormat="1" applyFont="1" applyFill="1" applyBorder="1" applyAlignment="1">
      <alignment horizontal="center"/>
    </xf>
    <xf numFmtId="0" fontId="0" fillId="2" borderId="22" xfId="0" applyFill="1" applyBorder="1"/>
    <xf numFmtId="0" fontId="29" fillId="2" borderId="5" xfId="0" applyFont="1" applyFill="1" applyBorder="1" applyProtection="1"/>
    <xf numFmtId="0" fontId="0" fillId="2" borderId="35" xfId="0" applyFill="1" applyBorder="1"/>
    <xf numFmtId="0" fontId="0" fillId="2" borderId="7" xfId="0" applyFill="1" applyBorder="1"/>
    <xf numFmtId="0" fontId="54" fillId="0" borderId="0" xfId="0" applyNumberFormat="1" applyFont="1" applyFill="1" applyBorder="1" applyAlignment="1" applyProtection="1"/>
    <xf numFmtId="0" fontId="31" fillId="49" borderId="4" xfId="0" applyNumberFormat="1" applyFont="1" applyFill="1" applyBorder="1" applyAlignment="1">
      <alignment horizontal="center"/>
    </xf>
    <xf numFmtId="0" fontId="0" fillId="49" borderId="4" xfId="0" applyNumberFormat="1" applyFill="1" applyBorder="1" applyAlignment="1">
      <alignment horizontal="center"/>
    </xf>
    <xf numFmtId="0" fontId="68" fillId="0" borderId="0" xfId="0" applyFont="1" applyBorder="1" applyAlignment="1" applyProtection="1">
      <alignment horizontal="right"/>
    </xf>
    <xf numFmtId="0" fontId="42" fillId="0" borderId="6" xfId="0" applyFont="1" applyBorder="1" applyAlignment="1" applyProtection="1">
      <alignment horizontal="right"/>
    </xf>
    <xf numFmtId="0" fontId="42" fillId="0" borderId="3" xfId="0" applyFont="1" applyBorder="1" applyAlignment="1" applyProtection="1">
      <alignment horizontal="right"/>
    </xf>
    <xf numFmtId="0" fontId="68" fillId="0" borderId="5" xfId="0" applyFont="1" applyBorder="1"/>
    <xf numFmtId="0" fontId="0" fillId="0" borderId="12" xfId="0" applyBorder="1" applyProtection="1">
      <protection locked="0"/>
    </xf>
    <xf numFmtId="0" fontId="0" fillId="49" borderId="35" xfId="0" applyNumberFormat="1" applyFill="1" applyBorder="1" applyAlignment="1">
      <alignment horizontal="center"/>
    </xf>
    <xf numFmtId="0" fontId="31" fillId="49" borderId="35" xfId="0" applyNumberFormat="1" applyFont="1" applyFill="1" applyBorder="1" applyAlignment="1">
      <alignment horizontal="center"/>
    </xf>
    <xf numFmtId="0" fontId="31" fillId="0" borderId="141" xfId="0" applyNumberFormat="1" applyFont="1" applyFill="1" applyBorder="1" applyAlignment="1">
      <alignment horizontal="center"/>
    </xf>
    <xf numFmtId="0" fontId="0" fillId="0" borderId="14" xfId="0" applyFill="1" applyBorder="1" applyAlignment="1" applyProtection="1">
      <alignment horizontal="left"/>
    </xf>
    <xf numFmtId="0" fontId="46" fillId="7" borderId="7" xfId="0" applyFont="1" applyFill="1" applyBorder="1" applyAlignment="1" applyProtection="1">
      <alignment horizontal="center" vertical="center"/>
    </xf>
    <xf numFmtId="0" fontId="29" fillId="37" borderId="7" xfId="0" applyFont="1" applyFill="1" applyBorder="1" applyAlignment="1">
      <alignment horizontal="center" vertical="center"/>
    </xf>
    <xf numFmtId="0" fontId="29" fillId="10" borderId="7" xfId="0" applyFont="1" applyFill="1" applyBorder="1" applyAlignment="1">
      <alignment horizontal="center"/>
    </xf>
    <xf numFmtId="0" fontId="29" fillId="14" borderId="7" xfId="0" applyFont="1" applyFill="1" applyBorder="1" applyAlignment="1">
      <alignment horizontal="center"/>
    </xf>
    <xf numFmtId="0" fontId="29" fillId="2" borderId="22" xfId="0" applyFont="1" applyFill="1" applyBorder="1" applyProtection="1"/>
    <xf numFmtId="0" fontId="29" fillId="5" borderId="23" xfId="0" applyFont="1" applyFill="1" applyBorder="1" applyAlignment="1">
      <alignment horizontal="left" vertical="center"/>
    </xf>
    <xf numFmtId="0" fontId="1" fillId="2" borderId="11" xfId="1" applyFont="1" applyFill="1" applyBorder="1" applyAlignment="1" applyProtection="1">
      <alignment horizontal="left"/>
    </xf>
    <xf numFmtId="0" fontId="3" fillId="0" borderId="0" xfId="0" applyFont="1" applyFill="1" applyBorder="1" applyAlignment="1" applyProtection="1">
      <alignment horizontal="left"/>
    </xf>
    <xf numFmtId="0" fontId="1" fillId="44" borderId="12" xfId="0" applyFont="1" applyFill="1" applyBorder="1" applyAlignment="1">
      <alignment horizontal="left" vertical="top" wrapText="1"/>
    </xf>
    <xf numFmtId="0" fontId="7" fillId="0" borderId="142" xfId="0" applyFont="1" applyBorder="1" applyAlignment="1">
      <alignment horizontal="left" vertical="center"/>
    </xf>
    <xf numFmtId="0" fontId="7" fillId="0" borderId="143" xfId="0" applyFont="1" applyBorder="1" applyAlignment="1">
      <alignment horizontal="left" vertical="center"/>
    </xf>
    <xf numFmtId="0" fontId="45" fillId="0" borderId="144" xfId="0" applyFont="1" applyBorder="1" applyAlignment="1">
      <alignment horizontal="center" vertical="center"/>
    </xf>
    <xf numFmtId="0" fontId="4" fillId="0" borderId="144" xfId="0" applyFont="1" applyBorder="1" applyAlignment="1">
      <alignment vertical="center"/>
    </xf>
    <xf numFmtId="0" fontId="1" fillId="0" borderId="144" xfId="0" applyFont="1" applyBorder="1" applyAlignment="1">
      <alignment vertical="center"/>
    </xf>
    <xf numFmtId="0" fontId="45" fillId="0" borderId="144" xfId="0" applyFont="1" applyBorder="1" applyAlignment="1">
      <alignment horizontal="left" vertical="center"/>
    </xf>
    <xf numFmtId="0" fontId="45" fillId="0" borderId="144" xfId="0" applyFont="1" applyBorder="1" applyAlignment="1" applyProtection="1">
      <alignment horizontal="center" vertical="center"/>
    </xf>
    <xf numFmtId="49" fontId="1" fillId="0" borderId="144" xfId="0" quotePrefix="1" applyNumberFormat="1" applyFont="1" applyBorder="1" applyAlignment="1">
      <alignment vertical="center"/>
    </xf>
    <xf numFmtId="0" fontId="45" fillId="0" borderId="144" xfId="0" applyFont="1" applyBorder="1" applyAlignment="1" applyProtection="1">
      <alignment vertical="center"/>
    </xf>
    <xf numFmtId="0" fontId="4" fillId="0" borderId="144" xfId="0" applyFont="1" applyBorder="1" applyAlignment="1">
      <alignment horizontal="left" vertical="center"/>
    </xf>
    <xf numFmtId="0" fontId="4" fillId="0" borderId="145" xfId="0" applyFont="1" applyBorder="1" applyAlignment="1">
      <alignment vertical="center"/>
    </xf>
    <xf numFmtId="0" fontId="7" fillId="0" borderId="146" xfId="0" applyFont="1" applyBorder="1" applyAlignment="1">
      <alignment horizontal="left" vertical="center"/>
    </xf>
    <xf numFmtId="0" fontId="7" fillId="0" borderId="147" xfId="0" applyFont="1" applyBorder="1" applyAlignment="1">
      <alignment horizontal="left" vertical="center"/>
    </xf>
    <xf numFmtId="0" fontId="45" fillId="0" borderId="148" xfId="0" applyFont="1" applyBorder="1" applyAlignment="1">
      <alignment horizontal="center" vertical="center"/>
    </xf>
    <xf numFmtId="0" fontId="1" fillId="0" borderId="148" xfId="0" applyFont="1" applyBorder="1" applyAlignment="1">
      <alignment vertical="center"/>
    </xf>
    <xf numFmtId="0" fontId="1" fillId="0" borderId="148" xfId="0" quotePrefix="1" applyFont="1" applyBorder="1" applyAlignment="1">
      <alignment vertical="center"/>
    </xf>
    <xf numFmtId="0" fontId="1" fillId="0" borderId="148" xfId="0" applyFont="1" applyBorder="1" applyAlignment="1">
      <alignment horizontal="right" vertical="center"/>
    </xf>
    <xf numFmtId="0" fontId="45" fillId="0" borderId="149" xfId="0" applyFont="1" applyBorder="1" applyAlignment="1">
      <alignment horizontal="center" vertical="center"/>
    </xf>
    <xf numFmtId="0" fontId="0" fillId="0" borderId="148" xfId="0" applyBorder="1"/>
    <xf numFmtId="0" fontId="1" fillId="0" borderId="144" xfId="0" quotePrefix="1" applyFont="1" applyBorder="1" applyAlignment="1">
      <alignment horizontal="left" vertical="center"/>
    </xf>
    <xf numFmtId="0" fontId="1" fillId="39" borderId="12" xfId="0" applyFont="1" applyFill="1" applyBorder="1" applyAlignment="1">
      <alignment horizontal="left"/>
    </xf>
    <xf numFmtId="0" fontId="29" fillId="35" borderId="14" xfId="0" applyFont="1" applyFill="1" applyBorder="1" applyAlignment="1">
      <alignment vertical="top"/>
    </xf>
    <xf numFmtId="0" fontId="1" fillId="35" borderId="7" xfId="0" applyFont="1" applyFill="1" applyBorder="1" applyAlignment="1">
      <alignment horizontal="center" vertical="top"/>
    </xf>
    <xf numFmtId="0" fontId="11" fillId="0" borderId="20" xfId="0" applyFont="1" applyBorder="1" applyAlignment="1"/>
    <xf numFmtId="0" fontId="1" fillId="0" borderId="20" xfId="0" applyFont="1" applyBorder="1" applyAlignment="1" applyProtection="1">
      <alignment horizontal="left"/>
    </xf>
    <xf numFmtId="0" fontId="29" fillId="0" borderId="135" xfId="0" applyFont="1" applyBorder="1"/>
    <xf numFmtId="0" fontId="29" fillId="0" borderId="134" xfId="0" applyFont="1" applyBorder="1"/>
    <xf numFmtId="0" fontId="29" fillId="0" borderId="130" xfId="0" applyFont="1" applyBorder="1"/>
    <xf numFmtId="0" fontId="0" fillId="0" borderId="136" xfId="0" applyBorder="1"/>
    <xf numFmtId="0" fontId="0" fillId="0" borderId="131" xfId="0" applyBorder="1"/>
    <xf numFmtId="0" fontId="0" fillId="0" borderId="137" xfId="0" applyBorder="1"/>
    <xf numFmtId="0" fontId="0" fillId="0" borderId="150" xfId="0" applyBorder="1"/>
    <xf numFmtId="0" fontId="0" fillId="0" borderId="138" xfId="0" applyBorder="1"/>
    <xf numFmtId="0" fontId="0" fillId="0" borderId="40" xfId="0" applyBorder="1"/>
    <xf numFmtId="1" fontId="0" fillId="0" borderId="0" xfId="0" applyNumberFormat="1" applyBorder="1"/>
    <xf numFmtId="0" fontId="0" fillId="0" borderId="69" xfId="0" applyBorder="1"/>
    <xf numFmtId="0" fontId="0" fillId="48" borderId="40" xfId="0" applyFill="1" applyBorder="1"/>
    <xf numFmtId="0" fontId="4" fillId="0" borderId="40" xfId="0" applyFont="1" applyFill="1" applyBorder="1"/>
    <xf numFmtId="0" fontId="4" fillId="48" borderId="40" xfId="0" applyFont="1" applyFill="1" applyBorder="1"/>
    <xf numFmtId="0" fontId="0" fillId="48" borderId="69" xfId="0" applyFill="1" applyBorder="1"/>
    <xf numFmtId="0" fontId="0" fillId="0" borderId="114" xfId="0" applyBorder="1"/>
    <xf numFmtId="1" fontId="0" fillId="0" borderId="150" xfId="0" applyNumberFormat="1" applyBorder="1"/>
    <xf numFmtId="0" fontId="68" fillId="0" borderId="0" xfId="0" applyFont="1" applyFill="1" applyAlignment="1"/>
    <xf numFmtId="0" fontId="29" fillId="0" borderId="22" xfId="0" applyFont="1" applyBorder="1"/>
    <xf numFmtId="0" fontId="29" fillId="0" borderId="6" xfId="0" applyFont="1" applyBorder="1"/>
    <xf numFmtId="0" fontId="29" fillId="0" borderId="23" xfId="0" applyFont="1" applyBorder="1"/>
    <xf numFmtId="0" fontId="0" fillId="0" borderId="0" xfId="0" applyFont="1" applyFill="1" applyBorder="1"/>
    <xf numFmtId="0" fontId="1" fillId="0" borderId="3" xfId="0" applyFont="1" applyBorder="1"/>
    <xf numFmtId="2" fontId="0" fillId="0" borderId="0" xfId="0" applyNumberFormat="1" applyBorder="1"/>
    <xf numFmtId="0" fontId="1" fillId="0" borderId="40" xfId="0" applyFont="1" applyFill="1" applyBorder="1"/>
    <xf numFmtId="0" fontId="1" fillId="0" borderId="140" xfId="0" applyFont="1" applyFill="1" applyBorder="1"/>
    <xf numFmtId="0" fontId="1" fillId="0" borderId="139" xfId="0" applyFont="1" applyFill="1" applyBorder="1"/>
    <xf numFmtId="0" fontId="1" fillId="0" borderId="38" xfId="0" applyFont="1" applyFill="1" applyBorder="1"/>
    <xf numFmtId="1" fontId="0" fillId="0" borderId="134" xfId="0" applyNumberFormat="1" applyBorder="1"/>
    <xf numFmtId="0" fontId="0" fillId="0" borderId="134" xfId="0" applyBorder="1"/>
    <xf numFmtId="0" fontId="0" fillId="0" borderId="130" xfId="0" applyBorder="1"/>
    <xf numFmtId="0" fontId="0" fillId="0" borderId="151" xfId="0" applyBorder="1"/>
    <xf numFmtId="0" fontId="0" fillId="0" borderId="38" xfId="0" applyBorder="1"/>
    <xf numFmtId="0" fontId="0" fillId="0" borderId="140" xfId="0" applyBorder="1"/>
    <xf numFmtId="0" fontId="0" fillId="0" borderId="152" xfId="0" applyBorder="1"/>
    <xf numFmtId="0" fontId="4" fillId="0" borderId="140" xfId="0" applyFont="1" applyFill="1" applyBorder="1"/>
    <xf numFmtId="0" fontId="0" fillId="0" borderId="68" xfId="0" applyBorder="1"/>
    <xf numFmtId="0" fontId="29" fillId="0" borderId="135" xfId="0" applyFont="1" applyFill="1" applyBorder="1"/>
    <xf numFmtId="0" fontId="29" fillId="0" borderId="130" xfId="0" applyFont="1" applyFill="1" applyBorder="1"/>
    <xf numFmtId="0" fontId="0" fillId="0" borderId="136" xfId="0" applyFill="1" applyBorder="1"/>
    <xf numFmtId="0" fontId="0" fillId="0" borderId="137" xfId="0" applyFill="1" applyBorder="1"/>
    <xf numFmtId="0" fontId="0" fillId="0" borderId="135" xfId="0" applyFill="1" applyBorder="1"/>
    <xf numFmtId="0" fontId="0" fillId="0" borderId="134" xfId="0" applyFill="1" applyBorder="1"/>
    <xf numFmtId="0" fontId="0" fillId="0" borderId="150" xfId="0" applyFill="1" applyBorder="1"/>
    <xf numFmtId="0" fontId="29" fillId="0" borderId="22" xfId="0" applyFont="1" applyBorder="1" applyAlignment="1">
      <alignment vertical="center"/>
    </xf>
    <xf numFmtId="0" fontId="29" fillId="0" borderId="6" xfId="0" applyFont="1" applyBorder="1" applyAlignment="1">
      <alignment horizontal="center" vertical="center"/>
    </xf>
    <xf numFmtId="0" fontId="29" fillId="0" borderId="6" xfId="0" applyFont="1" applyBorder="1" applyAlignment="1">
      <alignment horizontal="left" vertical="center"/>
    </xf>
    <xf numFmtId="0" fontId="29" fillId="0" borderId="23" xfId="0" applyFont="1" applyFill="1" applyBorder="1" applyAlignment="1">
      <alignment horizontal="center" vertical="center"/>
    </xf>
    <xf numFmtId="0" fontId="4" fillId="0" borderId="38" xfId="0" applyFont="1" applyFill="1" applyBorder="1"/>
    <xf numFmtId="0" fontId="1" fillId="0" borderId="153" xfId="0" applyFont="1" applyFill="1" applyBorder="1"/>
    <xf numFmtId="1" fontId="46" fillId="0" borderId="0" xfId="0" applyNumberFormat="1" applyFont="1" applyFill="1" applyBorder="1" applyAlignment="1" applyProtection="1">
      <alignment horizontal="left" vertical="center"/>
    </xf>
    <xf numFmtId="0" fontId="0" fillId="0" borderId="6" xfId="0" applyFill="1" applyBorder="1"/>
    <xf numFmtId="0" fontId="0" fillId="0" borderId="23" xfId="0" applyBorder="1"/>
    <xf numFmtId="1" fontId="24" fillId="24" borderId="6" xfId="0" applyNumberFormat="1" applyFont="1" applyFill="1" applyBorder="1" applyAlignment="1" applyProtection="1">
      <alignment horizontal="center"/>
      <protection locked="0"/>
    </xf>
    <xf numFmtId="1" fontId="29" fillId="24" borderId="23" xfId="0" applyNumberFormat="1" applyFont="1" applyFill="1" applyBorder="1" applyAlignment="1" applyProtection="1">
      <alignment horizontal="center"/>
      <protection locked="0"/>
    </xf>
    <xf numFmtId="0" fontId="1" fillId="0" borderId="6" xfId="0" applyFont="1" applyBorder="1"/>
    <xf numFmtId="0" fontId="56" fillId="0" borderId="11" xfId="0" applyFont="1" applyFill="1" applyBorder="1" applyAlignment="1">
      <alignment horizontal="right"/>
    </xf>
    <xf numFmtId="0" fontId="85" fillId="0" borderId="0" xfId="0" applyFont="1" applyAlignment="1">
      <alignment horizontal="center" textRotation="90"/>
    </xf>
    <xf numFmtId="1" fontId="29" fillId="12" borderId="4" xfId="0" applyNumberFormat="1" applyFont="1" applyFill="1" applyBorder="1" applyAlignment="1" applyProtection="1">
      <alignment horizontal="center" textRotation="90" wrapText="1"/>
    </xf>
    <xf numFmtId="0" fontId="92" fillId="0" borderId="0" xfId="0" applyFont="1" applyBorder="1" applyAlignment="1" applyProtection="1"/>
    <xf numFmtId="0" fontId="54" fillId="0" borderId="0" xfId="0" applyFont="1" applyBorder="1" applyAlignment="1" applyProtection="1">
      <alignment horizontal="center" vertical="center"/>
    </xf>
    <xf numFmtId="0" fontId="85" fillId="0" borderId="0" xfId="0" applyFont="1" applyAlignment="1">
      <alignment horizontal="center" textRotation="90"/>
    </xf>
    <xf numFmtId="0" fontId="85" fillId="0" borderId="0" xfId="0" applyFont="1" applyAlignment="1">
      <alignment horizontal="center" textRotation="90"/>
    </xf>
    <xf numFmtId="1" fontId="29" fillId="44" borderId="4" xfId="0" applyNumberFormat="1" applyFont="1" applyFill="1" applyBorder="1" applyAlignment="1" applyProtection="1">
      <alignment horizontal="center" textRotation="90" wrapText="1"/>
    </xf>
    <xf numFmtId="0" fontId="0" fillId="44" borderId="4" xfId="0" applyFill="1" applyBorder="1"/>
    <xf numFmtId="0" fontId="29" fillId="7" borderId="2" xfId="0" applyFont="1" applyFill="1" applyBorder="1" applyAlignment="1">
      <alignment horizontal="center" vertical="center"/>
    </xf>
    <xf numFmtId="0" fontId="4" fillId="48" borderId="21" xfId="0" applyFont="1" applyFill="1" applyBorder="1" applyAlignment="1"/>
    <xf numFmtId="0" fontId="76" fillId="48" borderId="35" xfId="0" applyFont="1" applyFill="1" applyBorder="1"/>
    <xf numFmtId="0" fontId="76" fillId="48" borderId="12" xfId="0" applyFont="1" applyFill="1" applyBorder="1"/>
    <xf numFmtId="0" fontId="76" fillId="48" borderId="7" xfId="0" applyFont="1" applyFill="1" applyBorder="1"/>
    <xf numFmtId="0" fontId="118" fillId="9" borderId="2" xfId="0" applyFont="1" applyFill="1" applyBorder="1" applyAlignment="1">
      <alignment horizontal="left" vertical="center"/>
    </xf>
    <xf numFmtId="0" fontId="118" fillId="9" borderId="10" xfId="0" applyFont="1" applyFill="1" applyBorder="1" applyAlignment="1">
      <alignment horizontal="left" vertical="center"/>
    </xf>
    <xf numFmtId="169" fontId="23" fillId="37" borderId="3" xfId="0" applyNumberFormat="1" applyFont="1" applyFill="1" applyBorder="1" applyAlignment="1">
      <alignment horizontal="left" vertical="top" wrapText="1"/>
    </xf>
    <xf numFmtId="0" fontId="4" fillId="14" borderId="5" xfId="0" applyNumberFormat="1" applyFont="1" applyFill="1" applyBorder="1" applyAlignment="1">
      <alignment horizontal="center"/>
    </xf>
    <xf numFmtId="0" fontId="4" fillId="14" borderId="10" xfId="0" applyNumberFormat="1" applyFont="1" applyFill="1" applyBorder="1" applyAlignment="1">
      <alignment horizontal="center"/>
    </xf>
    <xf numFmtId="0" fontId="31" fillId="4" borderId="3" xfId="0" applyNumberFormat="1" applyFont="1" applyFill="1" applyBorder="1" applyAlignment="1">
      <alignment horizontal="center"/>
    </xf>
    <xf numFmtId="0" fontId="54" fillId="0" borderId="0" xfId="0" applyFont="1" applyAlignment="1">
      <alignment horizontal="left" vertical="top" wrapText="1"/>
    </xf>
    <xf numFmtId="0" fontId="4" fillId="0" borderId="5" xfId="0" applyFont="1" applyBorder="1" applyAlignment="1" applyProtection="1">
      <alignment horizontal="left"/>
      <protection locked="0"/>
    </xf>
    <xf numFmtId="0" fontId="4" fillId="0" borderId="2" xfId="0" applyFont="1" applyBorder="1" applyAlignment="1" applyProtection="1">
      <alignment horizontal="left"/>
      <protection locked="0"/>
    </xf>
    <xf numFmtId="0" fontId="4" fillId="0" borderId="10" xfId="0" applyFont="1" applyBorder="1" applyAlignment="1" applyProtection="1">
      <alignment horizontal="left"/>
      <protection locked="0"/>
    </xf>
    <xf numFmtId="0" fontId="1" fillId="0" borderId="5" xfId="0" applyFont="1" applyBorder="1" applyAlignment="1" applyProtection="1">
      <alignment horizontal="left"/>
      <protection locked="0"/>
    </xf>
    <xf numFmtId="0" fontId="56" fillId="0" borderId="0" xfId="0" applyNumberFormat="1" applyFont="1" applyAlignment="1">
      <alignment horizontal="left" vertical="top" wrapText="1"/>
    </xf>
    <xf numFmtId="0" fontId="24" fillId="2" borderId="0" xfId="0" applyFont="1" applyFill="1" applyAlignment="1">
      <alignment horizontal="center" vertical="center" textRotation="180"/>
    </xf>
    <xf numFmtId="0" fontId="4" fillId="9" borderId="2" xfId="0" applyFont="1" applyFill="1" applyBorder="1" applyAlignment="1">
      <alignment horizontal="left" vertical="center"/>
    </xf>
    <xf numFmtId="0" fontId="4" fillId="9" borderId="10" xfId="0" applyFont="1" applyFill="1" applyBorder="1" applyAlignment="1">
      <alignment horizontal="left" vertical="center"/>
    </xf>
    <xf numFmtId="0" fontId="4" fillId="0" borderId="5" xfId="0" applyNumberFormat="1" applyFont="1" applyBorder="1" applyAlignment="1" applyProtection="1">
      <alignment horizontal="right"/>
      <protection locked="0"/>
    </xf>
    <xf numFmtId="0" fontId="4" fillId="0" borderId="2" xfId="0" applyNumberFormat="1" applyFont="1" applyBorder="1" applyAlignment="1" applyProtection="1">
      <alignment horizontal="right"/>
      <protection locked="0"/>
    </xf>
    <xf numFmtId="0" fontId="4" fillId="0" borderId="10" xfId="0" applyNumberFormat="1" applyFont="1" applyBorder="1" applyAlignment="1" applyProtection="1">
      <alignment horizontal="right"/>
      <protection locked="0"/>
    </xf>
    <xf numFmtId="0" fontId="4" fillId="0" borderId="23" xfId="0" applyFont="1" applyBorder="1" applyAlignment="1" applyProtection="1">
      <alignment horizontal="left"/>
      <protection locked="0"/>
    </xf>
    <xf numFmtId="0" fontId="29" fillId="0" borderId="0" xfId="0" applyFont="1" applyFill="1" applyAlignment="1">
      <alignment horizontal="left" vertical="top" wrapText="1"/>
    </xf>
    <xf numFmtId="0" fontId="4" fillId="0" borderId="0" xfId="0" applyFont="1" applyFill="1" applyAlignment="1">
      <alignment horizontal="left" vertical="top"/>
    </xf>
    <xf numFmtId="0" fontId="32" fillId="2" borderId="6" xfId="0" applyFont="1" applyFill="1" applyBorder="1" applyAlignment="1">
      <alignment horizontal="right"/>
    </xf>
    <xf numFmtId="0" fontId="54" fillId="0" borderId="0" xfId="0" applyNumberFormat="1" applyFont="1" applyAlignment="1">
      <alignment horizontal="left" vertical="top" wrapText="1"/>
    </xf>
    <xf numFmtId="0" fontId="23" fillId="0" borderId="5" xfId="0" applyFont="1" applyFill="1" applyBorder="1" applyAlignment="1" applyProtection="1">
      <alignment horizontal="left" vertical="top" wrapText="1"/>
      <protection locked="0"/>
    </xf>
    <xf numFmtId="0" fontId="23" fillId="0" borderId="10" xfId="0" applyFont="1" applyFill="1" applyBorder="1" applyAlignment="1" applyProtection="1">
      <alignment horizontal="left" vertical="top" wrapText="1"/>
      <protection locked="0"/>
    </xf>
    <xf numFmtId="0" fontId="12" fillId="0" borderId="0" xfId="0" applyNumberFormat="1" applyFont="1" applyFill="1" applyAlignment="1">
      <alignment horizontal="left" vertical="center"/>
    </xf>
    <xf numFmtId="0" fontId="25" fillId="0" borderId="0" xfId="0" applyFont="1" applyAlignment="1">
      <alignment horizontal="left"/>
    </xf>
    <xf numFmtId="0" fontId="1" fillId="0" borderId="5" xfId="0" applyFont="1" applyFill="1" applyBorder="1" applyAlignment="1" applyProtection="1">
      <alignment horizontal="left" vertical="top"/>
      <protection locked="0"/>
    </xf>
    <xf numFmtId="0" fontId="4" fillId="0" borderId="10" xfId="0" applyFont="1" applyFill="1" applyBorder="1" applyAlignment="1" applyProtection="1">
      <alignment horizontal="left" vertical="top"/>
      <protection locked="0"/>
    </xf>
    <xf numFmtId="0" fontId="4" fillId="0" borderId="5" xfId="0" applyFont="1" applyFill="1" applyBorder="1" applyAlignment="1" applyProtection="1">
      <alignment horizontal="left" vertical="top"/>
      <protection locked="0"/>
    </xf>
    <xf numFmtId="0" fontId="1" fillId="0" borderId="0" xfId="0" applyFont="1" applyFill="1" applyAlignment="1">
      <alignment horizontal="left" vertical="top" wrapText="1"/>
    </xf>
    <xf numFmtId="0" fontId="4" fillId="0" borderId="0" xfId="0" applyFont="1" applyFill="1" applyAlignment="1">
      <alignment horizontal="left" vertical="top" wrapText="1"/>
    </xf>
    <xf numFmtId="0" fontId="1" fillId="0" borderId="0" xfId="0" applyFont="1" applyAlignment="1">
      <alignment horizontal="left" vertical="top" wrapText="1"/>
    </xf>
    <xf numFmtId="0" fontId="4" fillId="0" borderId="4" xfId="0" applyFont="1" applyFill="1" applyBorder="1" applyAlignment="1" applyProtection="1">
      <alignment horizontal="left" vertical="top"/>
      <protection locked="0"/>
    </xf>
    <xf numFmtId="0" fontId="1" fillId="0" borderId="4" xfId="0" applyFont="1" applyFill="1" applyBorder="1" applyAlignment="1" applyProtection="1">
      <alignment horizontal="left" vertical="top"/>
      <protection locked="0"/>
    </xf>
    <xf numFmtId="0" fontId="25" fillId="0" borderId="0" xfId="0" applyFont="1" applyAlignment="1">
      <alignment horizontal="left" vertical="top" wrapText="1"/>
    </xf>
    <xf numFmtId="0" fontId="4" fillId="9" borderId="22" xfId="0" applyFont="1" applyFill="1" applyBorder="1" applyAlignment="1">
      <alignment horizontal="left" vertical="center" wrapText="1"/>
    </xf>
    <xf numFmtId="0" fontId="4" fillId="9" borderId="23" xfId="0" applyFont="1" applyFill="1" applyBorder="1" applyAlignment="1">
      <alignment horizontal="left" vertical="center" wrapText="1"/>
    </xf>
    <xf numFmtId="0" fontId="4" fillId="9" borderId="11" xfId="0" applyFont="1" applyFill="1" applyBorder="1" applyAlignment="1">
      <alignment horizontal="left" vertical="center" wrapText="1"/>
    </xf>
    <xf numFmtId="0" fontId="4" fillId="9" borderId="21" xfId="0" applyFont="1" applyFill="1" applyBorder="1" applyAlignment="1">
      <alignment horizontal="left" vertical="center" wrapText="1"/>
    </xf>
    <xf numFmtId="0" fontId="4" fillId="9" borderId="14" xfId="0" applyFont="1" applyFill="1" applyBorder="1" applyAlignment="1">
      <alignment horizontal="left" vertical="center" wrapText="1"/>
    </xf>
    <xf numFmtId="0" fontId="4" fillId="9" borderId="24" xfId="0" applyFont="1" applyFill="1" applyBorder="1" applyAlignment="1">
      <alignment horizontal="left" vertical="center" wrapText="1"/>
    </xf>
    <xf numFmtId="0" fontId="0" fillId="0" borderId="0" xfId="0" applyAlignment="1">
      <alignment horizontal="left" vertical="top" wrapText="1"/>
    </xf>
    <xf numFmtId="0" fontId="24" fillId="2" borderId="0" xfId="0" applyFont="1" applyFill="1" applyAlignment="1">
      <alignment horizontal="center" vertical="top" textRotation="180"/>
    </xf>
    <xf numFmtId="0" fontId="103" fillId="0" borderId="3" xfId="0" applyFont="1" applyBorder="1" applyAlignment="1">
      <alignment horizontal="right"/>
    </xf>
    <xf numFmtId="0" fontId="4" fillId="0" borderId="154" xfId="0" applyFont="1" applyBorder="1" applyAlignment="1" applyProtection="1">
      <alignment horizontal="left"/>
      <protection locked="0"/>
    </xf>
    <xf numFmtId="0" fontId="4" fillId="0" borderId="155" xfId="0" applyFont="1" applyBorder="1" applyAlignment="1" applyProtection="1">
      <alignment horizontal="left"/>
      <protection locked="0"/>
    </xf>
    <xf numFmtId="0" fontId="4" fillId="0" borderId="156" xfId="0" applyFont="1" applyBorder="1" applyAlignment="1" applyProtection="1">
      <alignment horizontal="left"/>
      <protection locked="0"/>
    </xf>
    <xf numFmtId="0" fontId="23" fillId="5" borderId="6" xfId="0" applyNumberFormat="1" applyFont="1" applyFill="1" applyBorder="1" applyAlignment="1">
      <alignment horizontal="right"/>
    </xf>
    <xf numFmtId="0" fontId="23" fillId="5" borderId="23" xfId="0" applyNumberFormat="1" applyFont="1" applyFill="1" applyBorder="1" applyAlignment="1">
      <alignment horizontal="right"/>
    </xf>
    <xf numFmtId="0" fontId="56" fillId="0" borderId="0" xfId="0" applyFont="1" applyAlignment="1">
      <alignment horizontal="left" vertical="top" wrapText="1"/>
    </xf>
    <xf numFmtId="0" fontId="5" fillId="0" borderId="0" xfId="1" applyAlignment="1" applyProtection="1">
      <alignment horizontal="left"/>
    </xf>
    <xf numFmtId="0" fontId="37" fillId="0" borderId="0" xfId="0" applyFont="1" applyFill="1" applyAlignment="1">
      <alignment horizontal="right" vertical="center" wrapText="1"/>
    </xf>
    <xf numFmtId="0" fontId="101" fillId="0" borderId="0" xfId="0" applyFont="1" applyAlignment="1">
      <alignment horizontal="justify" vertical="top" wrapText="1"/>
    </xf>
    <xf numFmtId="0" fontId="101" fillId="0" borderId="0" xfId="0" applyFont="1" applyAlignment="1">
      <alignment horizontal="left" vertical="top" wrapText="1"/>
    </xf>
    <xf numFmtId="0" fontId="65" fillId="0" borderId="0" xfId="0" applyFont="1" applyAlignment="1">
      <alignment horizontal="left" vertical="top" wrapText="1"/>
    </xf>
    <xf numFmtId="0" fontId="22" fillId="23" borderId="5" xfId="0" applyNumberFormat="1" applyFont="1" applyFill="1" applyBorder="1" applyAlignment="1">
      <alignment horizontal="center"/>
    </xf>
    <xf numFmtId="0" fontId="22" fillId="23" borderId="2" xfId="0" applyNumberFormat="1" applyFont="1" applyFill="1" applyBorder="1" applyAlignment="1">
      <alignment horizontal="center"/>
    </xf>
    <xf numFmtId="0" fontId="22" fillId="23" borderId="10" xfId="0" applyNumberFormat="1" applyFont="1" applyFill="1" applyBorder="1" applyAlignment="1">
      <alignment horizontal="center"/>
    </xf>
    <xf numFmtId="0" fontId="115" fillId="0" borderId="0" xfId="0" applyFont="1" applyAlignment="1">
      <alignment horizontal="center"/>
    </xf>
    <xf numFmtId="0" fontId="4" fillId="0" borderId="154" xfId="0" applyNumberFormat="1" applyFont="1" applyBorder="1" applyAlignment="1" applyProtection="1">
      <alignment horizontal="right"/>
      <protection locked="0"/>
    </xf>
    <xf numFmtId="0" fontId="4" fillId="0" borderId="155" xfId="0" applyNumberFormat="1" applyFont="1" applyBorder="1" applyAlignment="1" applyProtection="1">
      <alignment horizontal="right"/>
      <protection locked="0"/>
    </xf>
    <xf numFmtId="0" fontId="4" fillId="0" borderId="156" xfId="0" applyNumberFormat="1" applyFont="1" applyBorder="1" applyAlignment="1" applyProtection="1">
      <alignment horizontal="right"/>
      <protection locked="0"/>
    </xf>
    <xf numFmtId="0" fontId="4" fillId="9" borderId="22" xfId="0" applyNumberFormat="1" applyFont="1" applyFill="1" applyBorder="1" applyAlignment="1">
      <alignment horizontal="left" vertical="top" wrapText="1"/>
    </xf>
    <xf numFmtId="0" fontId="4" fillId="9" borderId="6" xfId="0" applyNumberFormat="1" applyFont="1" applyFill="1" applyBorder="1" applyAlignment="1">
      <alignment horizontal="left" vertical="top" wrapText="1"/>
    </xf>
    <xf numFmtId="0" fontId="4" fillId="9" borderId="23" xfId="0" applyNumberFormat="1" applyFont="1" applyFill="1" applyBorder="1" applyAlignment="1">
      <alignment horizontal="left" vertical="top" wrapText="1"/>
    </xf>
    <xf numFmtId="0" fontId="4" fillId="9" borderId="14" xfId="0" applyNumberFormat="1" applyFont="1" applyFill="1" applyBorder="1" applyAlignment="1">
      <alignment horizontal="left" vertical="top" wrapText="1"/>
    </xf>
    <xf numFmtId="0" fontId="4" fillId="9" borderId="3" xfId="0" applyNumberFormat="1" applyFont="1" applyFill="1" applyBorder="1" applyAlignment="1">
      <alignment horizontal="left" vertical="top" wrapText="1"/>
    </xf>
    <xf numFmtId="0" fontId="4" fillId="9" borderId="24" xfId="0" applyNumberFormat="1" applyFont="1" applyFill="1" applyBorder="1" applyAlignment="1">
      <alignment horizontal="left" vertical="top" wrapText="1"/>
    </xf>
    <xf numFmtId="0" fontId="4" fillId="0" borderId="5"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5" fillId="10" borderId="5" xfId="0" applyNumberFormat="1" applyFont="1" applyFill="1" applyBorder="1" applyAlignment="1" applyProtection="1">
      <alignment horizontal="center" vertical="center"/>
      <protection locked="0"/>
    </xf>
    <xf numFmtId="0" fontId="45" fillId="10" borderId="10"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left" vertical="center" wrapText="1"/>
    </xf>
    <xf numFmtId="0" fontId="56" fillId="0" borderId="11" xfId="0" applyFont="1" applyFill="1" applyBorder="1" applyAlignment="1" applyProtection="1">
      <alignment horizontal="left"/>
    </xf>
    <xf numFmtId="0" fontId="56" fillId="0" borderId="0" xfId="0" applyFont="1" applyFill="1" applyBorder="1" applyAlignment="1" applyProtection="1">
      <alignment horizontal="left"/>
    </xf>
    <xf numFmtId="0" fontId="56" fillId="0" borderId="21" xfId="0" applyFont="1" applyFill="1" applyBorder="1" applyAlignment="1" applyProtection="1">
      <alignment horizontal="left"/>
    </xf>
    <xf numFmtId="0" fontId="22" fillId="0" borderId="154" xfId="0" applyFont="1" applyFill="1" applyBorder="1" applyAlignment="1" applyProtection="1">
      <alignment horizontal="right"/>
      <protection locked="0"/>
    </xf>
    <xf numFmtId="0" fontId="22" fillId="0" borderId="155" xfId="0" applyFont="1" applyFill="1" applyBorder="1" applyAlignment="1" applyProtection="1">
      <alignment horizontal="right"/>
      <protection locked="0"/>
    </xf>
    <xf numFmtId="0" fontId="22" fillId="0" borderId="157" xfId="0" applyFont="1" applyFill="1" applyBorder="1" applyAlignment="1" applyProtection="1">
      <alignment horizontal="right"/>
      <protection locked="0"/>
    </xf>
    <xf numFmtId="0" fontId="22" fillId="0" borderId="11" xfId="0" applyFont="1" applyFill="1" applyBorder="1" applyAlignment="1" applyProtection="1">
      <alignment horizontal="right"/>
    </xf>
    <xf numFmtId="0" fontId="22" fillId="0" borderId="0" xfId="0" applyFont="1" applyFill="1" applyBorder="1" applyAlignment="1" applyProtection="1">
      <alignment horizontal="right"/>
    </xf>
    <xf numFmtId="0" fontId="22" fillId="0" borderId="131" xfId="0" applyFont="1" applyFill="1" applyBorder="1" applyAlignment="1" applyProtection="1">
      <alignment horizontal="right"/>
    </xf>
    <xf numFmtId="1" fontId="22" fillId="0" borderId="11" xfId="0" applyNumberFormat="1" applyFont="1" applyFill="1" applyBorder="1" applyAlignment="1" applyProtection="1">
      <alignment horizontal="right"/>
    </xf>
    <xf numFmtId="0" fontId="42" fillId="12" borderId="5" xfId="0" applyFont="1" applyFill="1" applyBorder="1" applyAlignment="1" applyProtection="1">
      <alignment horizontal="center"/>
    </xf>
    <xf numFmtId="0" fontId="42" fillId="12" borderId="10" xfId="0" applyFont="1" applyFill="1" applyBorder="1" applyAlignment="1" applyProtection="1">
      <alignment horizontal="center"/>
    </xf>
    <xf numFmtId="0" fontId="3" fillId="47" borderId="5" xfId="0" applyFont="1" applyFill="1" applyBorder="1" applyAlignment="1" applyProtection="1">
      <alignment horizontal="left"/>
    </xf>
    <xf numFmtId="0" fontId="3" fillId="47" borderId="2" xfId="0" applyFont="1" applyFill="1" applyBorder="1" applyAlignment="1" applyProtection="1">
      <alignment horizontal="left"/>
    </xf>
    <xf numFmtId="0" fontId="3" fillId="47" borderId="10" xfId="0" applyFont="1" applyFill="1" applyBorder="1" applyAlignment="1" applyProtection="1">
      <alignment horizontal="left"/>
    </xf>
    <xf numFmtId="0" fontId="29" fillId="12" borderId="136" xfId="0" applyFont="1" applyFill="1" applyBorder="1" applyAlignment="1" applyProtection="1">
      <alignment horizontal="center"/>
    </xf>
    <xf numFmtId="0" fontId="29" fillId="12" borderId="0" xfId="0" applyFont="1" applyFill="1" applyBorder="1" applyAlignment="1" applyProtection="1">
      <alignment horizontal="center"/>
    </xf>
    <xf numFmtId="0" fontId="29" fillId="12" borderId="131" xfId="0" applyFont="1" applyFill="1" applyBorder="1" applyAlignment="1" applyProtection="1">
      <alignment horizontal="center"/>
    </xf>
    <xf numFmtId="0" fontId="29" fillId="0" borderId="0" xfId="0" applyFont="1" applyFill="1" applyBorder="1" applyAlignment="1" applyProtection="1">
      <alignment horizontal="center"/>
    </xf>
    <xf numFmtId="0" fontId="24" fillId="12" borderId="135" xfId="0" applyFont="1" applyFill="1" applyBorder="1" applyAlignment="1" applyProtection="1">
      <alignment horizontal="left"/>
    </xf>
    <xf numFmtId="0" fontId="24" fillId="12" borderId="134" xfId="0" applyFont="1" applyFill="1" applyBorder="1" applyAlignment="1" applyProtection="1">
      <alignment horizontal="left"/>
    </xf>
    <xf numFmtId="0" fontId="24" fillId="12" borderId="130" xfId="0" applyFont="1" applyFill="1" applyBorder="1" applyAlignment="1" applyProtection="1">
      <alignment horizontal="left"/>
    </xf>
    <xf numFmtId="0" fontId="29" fillId="6" borderId="4" xfId="0" applyFont="1" applyFill="1" applyBorder="1" applyAlignment="1">
      <alignment horizontal="center" textRotation="90"/>
    </xf>
    <xf numFmtId="0" fontId="29" fillId="7" borderId="4" xfId="0" applyFont="1" applyFill="1" applyBorder="1" applyAlignment="1">
      <alignment horizontal="center" textRotation="90"/>
    </xf>
    <xf numFmtId="0" fontId="29" fillId="49" borderId="4" xfId="0" applyFont="1" applyFill="1" applyBorder="1" applyAlignment="1">
      <alignment horizontal="center" textRotation="90"/>
    </xf>
    <xf numFmtId="0" fontId="24" fillId="0" borderId="68" xfId="0" applyFont="1" applyFill="1" applyBorder="1" applyAlignment="1" applyProtection="1">
      <alignment horizontal="left"/>
    </xf>
    <xf numFmtId="0" fontId="24" fillId="0" borderId="155" xfId="0" applyFont="1" applyFill="1" applyBorder="1" applyAlignment="1" applyProtection="1">
      <alignment horizontal="left"/>
    </xf>
    <xf numFmtId="0" fontId="24" fillId="0" borderId="156" xfId="0" applyFont="1" applyFill="1" applyBorder="1" applyAlignment="1" applyProtection="1">
      <alignment horizontal="left"/>
    </xf>
    <xf numFmtId="0" fontId="29" fillId="0" borderId="35" xfId="0" applyFont="1" applyFill="1" applyBorder="1" applyAlignment="1">
      <alignment horizontal="center" textRotation="90"/>
    </xf>
    <xf numFmtId="0" fontId="29" fillId="0" borderId="12" xfId="0" applyFont="1" applyFill="1" applyBorder="1" applyAlignment="1">
      <alignment horizontal="center" textRotation="90"/>
    </xf>
    <xf numFmtId="0" fontId="29" fillId="0" borderId="7" xfId="0" applyFont="1" applyFill="1" applyBorder="1" applyAlignment="1">
      <alignment horizontal="center" textRotation="90"/>
    </xf>
    <xf numFmtId="0" fontId="55" fillId="2" borderId="2" xfId="0" applyFont="1" applyFill="1" applyBorder="1" applyAlignment="1">
      <alignment horizontal="center" vertical="center"/>
    </xf>
    <xf numFmtId="0" fontId="24" fillId="0" borderId="152" xfId="0" applyFont="1" applyFill="1" applyBorder="1" applyAlignment="1" applyProtection="1">
      <alignment horizontal="left"/>
    </xf>
    <xf numFmtId="0" fontId="24" fillId="0" borderId="6" xfId="0" applyFont="1" applyFill="1" applyBorder="1" applyAlignment="1" applyProtection="1">
      <alignment horizontal="left"/>
    </xf>
    <xf numFmtId="0" fontId="24" fillId="0" borderId="23" xfId="0" applyFont="1" applyFill="1" applyBorder="1" applyAlignment="1" applyProtection="1">
      <alignment horizontal="left"/>
    </xf>
    <xf numFmtId="0" fontId="24" fillId="0" borderId="136" xfId="0" applyFont="1" applyFill="1" applyBorder="1" applyAlignment="1" applyProtection="1">
      <alignment horizontal="left"/>
    </xf>
    <xf numFmtId="0" fontId="24" fillId="0" borderId="0" xfId="0" applyFont="1" applyFill="1" applyBorder="1" applyAlignment="1" applyProtection="1">
      <alignment horizontal="left"/>
    </xf>
    <xf numFmtId="0" fontId="24" fillId="0" borderId="21" xfId="0" applyFont="1" applyFill="1" applyBorder="1" applyAlignment="1" applyProtection="1">
      <alignment horizontal="left"/>
    </xf>
    <xf numFmtId="0" fontId="29" fillId="44" borderId="4" xfId="0" applyFont="1" applyFill="1" applyBorder="1" applyAlignment="1">
      <alignment horizontal="center" textRotation="90"/>
    </xf>
    <xf numFmtId="0" fontId="46" fillId="15" borderId="4" xfId="0" applyFont="1" applyFill="1" applyBorder="1" applyAlignment="1">
      <alignment horizontal="center" textRotation="90"/>
    </xf>
    <xf numFmtId="0" fontId="22" fillId="0" borderId="158" xfId="0" applyFont="1" applyFill="1" applyBorder="1" applyAlignment="1" applyProtection="1">
      <alignment horizontal="right"/>
    </xf>
    <xf numFmtId="0" fontId="22" fillId="0" borderId="159" xfId="0" applyFont="1" applyFill="1" applyBorder="1" applyAlignment="1" applyProtection="1">
      <alignment horizontal="right"/>
    </xf>
    <xf numFmtId="0" fontId="22" fillId="0" borderId="132" xfId="0" applyFont="1" applyFill="1" applyBorder="1" applyAlignment="1" applyProtection="1">
      <alignment horizontal="right"/>
    </xf>
    <xf numFmtId="0" fontId="22" fillId="0" borderId="22" xfId="0" applyFont="1" applyFill="1" applyBorder="1" applyAlignment="1" applyProtection="1">
      <alignment horizontal="right"/>
    </xf>
    <xf numFmtId="0" fontId="22" fillId="0" borderId="6" xfId="0" applyFont="1" applyFill="1" applyBorder="1" applyAlignment="1" applyProtection="1">
      <alignment horizontal="right"/>
    </xf>
    <xf numFmtId="0" fontId="22" fillId="0" borderId="160" xfId="0" applyFont="1" applyFill="1" applyBorder="1" applyAlignment="1" applyProtection="1">
      <alignment horizontal="right"/>
    </xf>
    <xf numFmtId="0" fontId="1" fillId="37" borderId="5" xfId="0" applyFont="1" applyFill="1" applyBorder="1" applyAlignment="1">
      <alignment vertical="top" wrapText="1"/>
    </xf>
    <xf numFmtId="0" fontId="1" fillId="37" borderId="2" xfId="0" applyFont="1" applyFill="1" applyBorder="1" applyAlignment="1">
      <alignment vertical="top" wrapText="1"/>
    </xf>
    <xf numFmtId="0" fontId="1" fillId="37" borderId="10" xfId="0" applyFont="1" applyFill="1" applyBorder="1" applyAlignment="1">
      <alignment vertical="top" wrapText="1"/>
    </xf>
    <xf numFmtId="0" fontId="24" fillId="0" borderId="151" xfId="0" applyFont="1" applyFill="1" applyBorder="1" applyAlignment="1" applyProtection="1">
      <alignment horizontal="left"/>
    </xf>
    <xf numFmtId="0" fontId="24" fillId="0" borderId="3" xfId="0" applyFont="1" applyFill="1" applyBorder="1" applyAlignment="1" applyProtection="1">
      <alignment horizontal="left"/>
    </xf>
    <xf numFmtId="0" fontId="24" fillId="0" borderId="24" xfId="0" applyFont="1" applyFill="1" applyBorder="1" applyAlignment="1" applyProtection="1">
      <alignment horizontal="left"/>
    </xf>
    <xf numFmtId="0" fontId="24" fillId="12" borderId="136" xfId="0" applyFont="1" applyFill="1" applyBorder="1" applyAlignment="1" applyProtection="1">
      <alignment horizontal="left"/>
    </xf>
    <xf numFmtId="0" fontId="24" fillId="12" borderId="0" xfId="0" applyFont="1" applyFill="1" applyBorder="1" applyAlignment="1" applyProtection="1">
      <alignment horizontal="left"/>
    </xf>
    <xf numFmtId="0" fontId="24" fillId="12" borderId="131" xfId="0" applyFont="1" applyFill="1" applyBorder="1" applyAlignment="1" applyProtection="1">
      <alignment horizontal="left"/>
    </xf>
    <xf numFmtId="0" fontId="0" fillId="0" borderId="2" xfId="0" applyBorder="1"/>
    <xf numFmtId="0" fontId="0" fillId="0" borderId="10" xfId="0" applyBorder="1"/>
    <xf numFmtId="0" fontId="1" fillId="0" borderId="0" xfId="0" applyFont="1" applyFill="1" applyBorder="1" applyAlignment="1" applyProtection="1">
      <alignment horizontal="left" vertical="top" wrapText="1"/>
    </xf>
    <xf numFmtId="0" fontId="22" fillId="0" borderId="161" xfId="0" applyFont="1" applyFill="1" applyBorder="1" applyAlignment="1" applyProtection="1">
      <alignment horizontal="right"/>
    </xf>
    <xf numFmtId="0" fontId="22" fillId="0" borderId="162" xfId="0" applyFont="1" applyFill="1" applyBorder="1" applyAlignment="1" applyProtection="1">
      <alignment horizontal="right"/>
    </xf>
    <xf numFmtId="0" fontId="22" fillId="0" borderId="163" xfId="0" applyFont="1" applyFill="1" applyBorder="1" applyAlignment="1" applyProtection="1">
      <alignment horizontal="right"/>
    </xf>
    <xf numFmtId="0" fontId="56" fillId="0" borderId="14" xfId="0" applyFont="1" applyFill="1" applyBorder="1" applyAlignment="1" applyProtection="1">
      <alignment horizontal="left"/>
    </xf>
    <xf numFmtId="0" fontId="56" fillId="0" borderId="3" xfId="0" applyFont="1" applyFill="1" applyBorder="1" applyAlignment="1" applyProtection="1">
      <alignment horizontal="left"/>
    </xf>
    <xf numFmtId="0" fontId="56" fillId="0" borderId="24" xfId="0" applyFont="1" applyFill="1" applyBorder="1" applyAlignment="1" applyProtection="1">
      <alignment horizontal="left"/>
    </xf>
    <xf numFmtId="0" fontId="56" fillId="0" borderId="22" xfId="0" applyFont="1" applyFill="1" applyBorder="1" applyAlignment="1" applyProtection="1">
      <alignment horizontal="left"/>
    </xf>
    <xf numFmtId="0" fontId="56" fillId="0" borderId="6" xfId="0" applyFont="1" applyFill="1" applyBorder="1" applyAlignment="1" applyProtection="1">
      <alignment horizontal="left"/>
    </xf>
    <xf numFmtId="0" fontId="56" fillId="0" borderId="23" xfId="0" applyFont="1" applyFill="1" applyBorder="1" applyAlignment="1" applyProtection="1">
      <alignment horizontal="left"/>
    </xf>
    <xf numFmtId="0" fontId="29" fillId="7" borderId="22" xfId="0" applyFont="1" applyFill="1" applyBorder="1" applyAlignment="1" applyProtection="1">
      <alignment horizontal="center" vertical="top" textRotation="90"/>
    </xf>
    <xf numFmtId="0" fontId="29" fillId="7" borderId="11" xfId="0" applyFont="1" applyFill="1" applyBorder="1" applyAlignment="1" applyProtection="1">
      <alignment horizontal="center" vertical="top" textRotation="90"/>
    </xf>
    <xf numFmtId="0" fontId="29" fillId="7" borderId="14" xfId="0" applyFont="1" applyFill="1" applyBorder="1" applyAlignment="1" applyProtection="1">
      <alignment horizontal="center" vertical="top" textRotation="90"/>
    </xf>
    <xf numFmtId="0" fontId="29" fillId="8" borderId="23" xfId="0" applyFont="1" applyFill="1" applyBorder="1" applyAlignment="1" applyProtection="1">
      <alignment horizontal="center" vertical="top" textRotation="90"/>
    </xf>
    <xf numFmtId="0" fontId="29" fillId="8" borderId="21" xfId="0" applyFont="1" applyFill="1" applyBorder="1" applyAlignment="1" applyProtection="1">
      <alignment horizontal="center" vertical="top" textRotation="90"/>
    </xf>
    <xf numFmtId="0" fontId="29" fillId="8" borderId="24" xfId="0" applyFont="1" applyFill="1" applyBorder="1" applyAlignment="1" applyProtection="1">
      <alignment horizontal="center" vertical="top" textRotation="90"/>
    </xf>
    <xf numFmtId="0" fontId="33" fillId="0" borderId="11" xfId="0" applyFont="1" applyFill="1" applyBorder="1" applyAlignment="1" applyProtection="1">
      <alignment horizontal="left"/>
    </xf>
    <xf numFmtId="0" fontId="33" fillId="0" borderId="0" xfId="0" applyFont="1" applyFill="1" applyBorder="1" applyAlignment="1" applyProtection="1">
      <alignment horizontal="left"/>
    </xf>
    <xf numFmtId="0" fontId="33" fillId="0" borderId="21" xfId="0" applyFont="1" applyFill="1" applyBorder="1" applyAlignment="1" applyProtection="1">
      <alignment horizontal="left"/>
    </xf>
    <xf numFmtId="0" fontId="29" fillId="2" borderId="5" xfId="0" applyFont="1" applyFill="1" applyBorder="1" applyAlignment="1" applyProtection="1">
      <alignment horizontal="center"/>
    </xf>
    <xf numFmtId="0" fontId="29" fillId="2" borderId="2" xfId="0" applyFont="1" applyFill="1" applyBorder="1" applyAlignment="1" applyProtection="1">
      <alignment horizontal="center"/>
    </xf>
    <xf numFmtId="0" fontId="29" fillId="2" borderId="10" xfId="0" applyFont="1" applyFill="1" applyBorder="1" applyAlignment="1" applyProtection="1">
      <alignment horizontal="center"/>
    </xf>
    <xf numFmtId="0" fontId="29" fillId="6" borderId="35" xfId="0" applyFont="1" applyFill="1" applyBorder="1" applyAlignment="1" applyProtection="1">
      <alignment horizontal="center" textRotation="90"/>
    </xf>
    <xf numFmtId="0" fontId="29" fillId="6" borderId="12" xfId="0" applyFont="1" applyFill="1" applyBorder="1" applyAlignment="1" applyProtection="1">
      <alignment horizontal="center" textRotation="90"/>
    </xf>
    <xf numFmtId="0" fontId="29" fillId="7" borderId="35" xfId="0" applyFont="1" applyFill="1" applyBorder="1" applyAlignment="1" applyProtection="1">
      <alignment horizontal="center" vertical="top" textRotation="90"/>
    </xf>
    <xf numFmtId="0" fontId="29" fillId="7" borderId="12" xfId="0" applyFont="1" applyFill="1" applyBorder="1" applyAlignment="1" applyProtection="1">
      <alignment horizontal="center" vertical="top" textRotation="90"/>
    </xf>
    <xf numFmtId="0" fontId="29" fillId="7" borderId="7" xfId="0" applyFont="1" applyFill="1" applyBorder="1" applyAlignment="1" applyProtection="1">
      <alignment horizontal="center" vertical="top" textRotation="90"/>
    </xf>
    <xf numFmtId="0" fontId="29" fillId="0" borderId="0" xfId="0" applyFont="1" applyFill="1" applyBorder="1" applyAlignment="1" applyProtection="1">
      <alignment horizontal="center" textRotation="90"/>
    </xf>
    <xf numFmtId="0" fontId="24" fillId="12" borderId="114" xfId="0" applyFont="1" applyFill="1" applyBorder="1" applyAlignment="1" applyProtection="1">
      <alignment horizontal="left"/>
    </xf>
    <xf numFmtId="0" fontId="24" fillId="12" borderId="164" xfId="0" applyFont="1" applyFill="1" applyBorder="1" applyAlignment="1" applyProtection="1">
      <alignment horizontal="left"/>
    </xf>
    <xf numFmtId="0" fontId="24" fillId="12" borderId="165" xfId="0" applyFont="1" applyFill="1" applyBorder="1" applyAlignment="1" applyProtection="1">
      <alignment horizontal="left"/>
    </xf>
    <xf numFmtId="0" fontId="33" fillId="0" borderId="14" xfId="0" applyFont="1" applyFill="1" applyBorder="1" applyAlignment="1" applyProtection="1">
      <alignment horizontal="left"/>
    </xf>
    <xf numFmtId="0" fontId="33" fillId="0" borderId="3" xfId="0" applyFont="1" applyFill="1" applyBorder="1" applyAlignment="1" applyProtection="1">
      <alignment horizontal="left"/>
    </xf>
    <xf numFmtId="0" fontId="33" fillId="0" borderId="24" xfId="0" applyFont="1" applyFill="1" applyBorder="1" applyAlignment="1" applyProtection="1">
      <alignment horizontal="left"/>
    </xf>
    <xf numFmtId="0" fontId="29" fillId="12" borderId="35" xfId="0" applyFont="1" applyFill="1" applyBorder="1" applyAlignment="1" applyProtection="1">
      <alignment horizontal="center" vertical="top" textRotation="90"/>
    </xf>
    <xf numFmtId="0" fontId="29" fillId="12" borderId="12" xfId="0" applyFont="1" applyFill="1" applyBorder="1" applyAlignment="1" applyProtection="1">
      <alignment horizontal="center" vertical="top" textRotation="90"/>
    </xf>
    <xf numFmtId="0" fontId="29" fillId="12" borderId="7" xfId="0" applyFont="1" applyFill="1" applyBorder="1" applyAlignment="1" applyProtection="1">
      <alignment horizontal="center" vertical="top" textRotation="90"/>
    </xf>
    <xf numFmtId="0" fontId="4" fillId="12" borderId="5" xfId="0" applyFont="1" applyFill="1" applyBorder="1" applyAlignment="1" applyProtection="1">
      <alignment horizontal="center"/>
    </xf>
    <xf numFmtId="0" fontId="4" fillId="12" borderId="2" xfId="0" applyFont="1" applyFill="1" applyBorder="1" applyAlignment="1" applyProtection="1">
      <alignment horizontal="center"/>
    </xf>
    <xf numFmtId="0" fontId="4" fillId="12" borderId="10" xfId="0" applyFont="1" applyFill="1" applyBorder="1" applyAlignment="1" applyProtection="1">
      <alignment horizontal="center"/>
    </xf>
    <xf numFmtId="0" fontId="29" fillId="12" borderId="114" xfId="0" applyFont="1" applyFill="1" applyBorder="1" applyAlignment="1" applyProtection="1">
      <alignment horizontal="center"/>
    </xf>
    <xf numFmtId="0" fontId="29" fillId="12" borderId="164" xfId="0" applyFont="1" applyFill="1" applyBorder="1" applyAlignment="1" applyProtection="1">
      <alignment horizontal="center"/>
    </xf>
    <xf numFmtId="0" fontId="29" fillId="12" borderId="165" xfId="0" applyFont="1" applyFill="1" applyBorder="1" applyAlignment="1" applyProtection="1">
      <alignment horizontal="center"/>
    </xf>
    <xf numFmtId="0" fontId="29" fillId="12" borderId="135" xfId="0" applyFont="1" applyFill="1" applyBorder="1" applyAlignment="1" applyProtection="1">
      <alignment horizontal="center"/>
    </xf>
    <xf numFmtId="0" fontId="29" fillId="12" borderId="134" xfId="0" applyFont="1" applyFill="1" applyBorder="1" applyAlignment="1" applyProtection="1">
      <alignment horizontal="center"/>
    </xf>
    <xf numFmtId="0" fontId="29" fillId="12" borderId="130" xfId="0" applyFont="1" applyFill="1" applyBorder="1" applyAlignment="1" applyProtection="1">
      <alignment horizontal="center"/>
    </xf>
    <xf numFmtId="0" fontId="4" fillId="5" borderId="5" xfId="0" applyFont="1" applyFill="1" applyBorder="1" applyAlignment="1" applyProtection="1">
      <alignment horizontal="center" vertical="center"/>
    </xf>
    <xf numFmtId="0" fontId="4" fillId="5" borderId="2" xfId="0" applyFont="1" applyFill="1" applyBorder="1" applyAlignment="1" applyProtection="1">
      <alignment horizontal="center" vertical="center"/>
    </xf>
    <xf numFmtId="0" fontId="4" fillId="5" borderId="10" xfId="0" applyFont="1" applyFill="1" applyBorder="1" applyAlignment="1" applyProtection="1">
      <alignment horizontal="center" vertical="center"/>
    </xf>
    <xf numFmtId="0" fontId="29" fillId="0" borderId="21" xfId="0" applyFont="1" applyFill="1" applyBorder="1" applyAlignment="1" applyProtection="1">
      <alignment horizontal="center" textRotation="90"/>
    </xf>
    <xf numFmtId="0" fontId="29" fillId="12" borderId="23" xfId="0" applyFont="1" applyFill="1" applyBorder="1" applyAlignment="1" applyProtection="1">
      <alignment horizontal="center" vertical="top" textRotation="90"/>
    </xf>
    <xf numFmtId="0" fontId="29" fillId="12" borderId="21" xfId="0" applyFont="1" applyFill="1" applyBorder="1" applyAlignment="1" applyProtection="1">
      <alignment horizontal="center" vertical="top" textRotation="90"/>
    </xf>
    <xf numFmtId="0" fontId="29" fillId="12" borderId="24" xfId="0" applyFont="1" applyFill="1" applyBorder="1" applyAlignment="1" applyProtection="1">
      <alignment horizontal="center" vertical="top" textRotation="90"/>
    </xf>
    <xf numFmtId="0" fontId="33" fillId="0" borderId="22" xfId="0" applyFont="1" applyFill="1" applyBorder="1" applyAlignment="1" applyProtection="1">
      <alignment horizontal="left"/>
    </xf>
    <xf numFmtId="0" fontId="33" fillId="0" borderId="6" xfId="0" applyFont="1" applyFill="1" applyBorder="1" applyAlignment="1" applyProtection="1">
      <alignment horizontal="left"/>
    </xf>
    <xf numFmtId="0" fontId="33" fillId="0" borderId="23" xfId="0" applyFont="1" applyFill="1" applyBorder="1" applyAlignment="1" applyProtection="1">
      <alignment horizontal="left"/>
    </xf>
    <xf numFmtId="0" fontId="61" fillId="12" borderId="5" xfId="0" applyFont="1" applyFill="1" applyBorder="1" applyAlignment="1" applyProtection="1">
      <alignment horizontal="left"/>
    </xf>
    <xf numFmtId="0" fontId="61" fillId="40" borderId="2" xfId="0" applyFont="1" applyFill="1" applyBorder="1" applyAlignment="1" applyProtection="1">
      <alignment horizontal="left"/>
    </xf>
    <xf numFmtId="0" fontId="61" fillId="12" borderId="10" xfId="0" applyFont="1" applyFill="1" applyBorder="1" applyAlignment="1" applyProtection="1">
      <alignment horizontal="left"/>
    </xf>
    <xf numFmtId="0" fontId="1" fillId="9" borderId="22" xfId="0" applyNumberFormat="1" applyFont="1" applyFill="1" applyBorder="1" applyAlignment="1">
      <alignment horizontal="left" vertical="center" wrapText="1"/>
    </xf>
    <xf numFmtId="0" fontId="1" fillId="9" borderId="6" xfId="0" applyNumberFormat="1" applyFont="1" applyFill="1" applyBorder="1" applyAlignment="1">
      <alignment horizontal="left" vertical="center" wrapText="1"/>
    </xf>
    <xf numFmtId="0" fontId="1" fillId="9" borderId="23" xfId="0" applyNumberFormat="1" applyFont="1" applyFill="1" applyBorder="1" applyAlignment="1">
      <alignment horizontal="left" vertical="center" wrapText="1"/>
    </xf>
    <xf numFmtId="0" fontId="1" fillId="9" borderId="14" xfId="0" applyNumberFormat="1" applyFont="1" applyFill="1" applyBorder="1" applyAlignment="1">
      <alignment horizontal="left" vertical="center" wrapText="1"/>
    </xf>
    <xf numFmtId="0" fontId="1" fillId="9" borderId="3" xfId="0" applyNumberFormat="1" applyFont="1" applyFill="1" applyBorder="1" applyAlignment="1">
      <alignment horizontal="left" vertical="center" wrapText="1"/>
    </xf>
    <xf numFmtId="0" fontId="1" fillId="9" borderId="24" xfId="0" applyNumberFormat="1" applyFont="1" applyFill="1" applyBorder="1" applyAlignment="1">
      <alignment horizontal="left" vertical="center" wrapText="1"/>
    </xf>
    <xf numFmtId="0" fontId="4" fillId="9" borderId="22" xfId="0" applyNumberFormat="1" applyFont="1" applyFill="1" applyBorder="1" applyAlignment="1">
      <alignment horizontal="left" vertical="center" wrapText="1"/>
    </xf>
    <xf numFmtId="0" fontId="4" fillId="9" borderId="6" xfId="0" applyNumberFormat="1" applyFont="1" applyFill="1" applyBorder="1" applyAlignment="1">
      <alignment horizontal="left" vertical="center" wrapText="1"/>
    </xf>
    <xf numFmtId="0" fontId="4" fillId="9" borderId="23" xfId="0" applyNumberFormat="1" applyFont="1" applyFill="1" applyBorder="1" applyAlignment="1">
      <alignment horizontal="left" vertical="center" wrapText="1"/>
    </xf>
    <xf numFmtId="0" fontId="4" fillId="9" borderId="14" xfId="0" applyNumberFormat="1" applyFont="1" applyFill="1" applyBorder="1" applyAlignment="1">
      <alignment horizontal="left" vertical="center" wrapText="1"/>
    </xf>
    <xf numFmtId="0" fontId="4" fillId="9" borderId="3" xfId="0" applyNumberFormat="1" applyFont="1" applyFill="1" applyBorder="1" applyAlignment="1">
      <alignment horizontal="left" vertical="center" wrapText="1"/>
    </xf>
    <xf numFmtId="0" fontId="4" fillId="9" borderId="24" xfId="0" applyNumberFormat="1" applyFont="1" applyFill="1" applyBorder="1" applyAlignment="1">
      <alignment horizontal="left" vertical="center" wrapText="1"/>
    </xf>
    <xf numFmtId="0" fontId="3" fillId="12" borderId="5" xfId="0" applyFont="1" applyFill="1" applyBorder="1" applyAlignment="1" applyProtection="1">
      <alignment horizontal="left"/>
    </xf>
    <xf numFmtId="0" fontId="54" fillId="0" borderId="3" xfId="0" applyFont="1" applyFill="1" applyBorder="1" applyAlignment="1" applyProtection="1">
      <alignment horizontal="justify" vertical="top" wrapText="1"/>
    </xf>
    <xf numFmtId="0" fontId="55" fillId="0" borderId="3" xfId="0" applyFont="1" applyFill="1" applyBorder="1" applyAlignment="1" applyProtection="1">
      <alignment horizontal="justify" vertical="top" wrapText="1"/>
    </xf>
    <xf numFmtId="0" fontId="24" fillId="0" borderId="68" xfId="0" applyFont="1" applyBorder="1" applyAlignment="1">
      <alignment horizontal="left"/>
    </xf>
    <xf numFmtId="0" fontId="24" fillId="0" borderId="156" xfId="0" applyFont="1" applyBorder="1" applyAlignment="1">
      <alignment horizontal="left"/>
    </xf>
    <xf numFmtId="0" fontId="24" fillId="0" borderId="69" xfId="0" applyFont="1" applyBorder="1" applyAlignment="1">
      <alignment horizontal="left"/>
    </xf>
    <xf numFmtId="0" fontId="24" fillId="0" borderId="10" xfId="0" applyFont="1" applyBorder="1" applyAlignment="1">
      <alignment horizontal="left"/>
    </xf>
    <xf numFmtId="0" fontId="24" fillId="0" borderId="114" xfId="0" applyFont="1" applyBorder="1" applyAlignment="1">
      <alignment horizontal="left" vertical="top"/>
    </xf>
    <xf numFmtId="0" fontId="24" fillId="0" borderId="166" xfId="0" applyFont="1" applyBorder="1" applyAlignment="1">
      <alignment horizontal="left" vertical="top"/>
    </xf>
    <xf numFmtId="0" fontId="56" fillId="0" borderId="22" xfId="0" applyFont="1" applyFill="1" applyBorder="1" applyAlignment="1">
      <alignment horizontal="right"/>
    </xf>
    <xf numFmtId="0" fontId="56" fillId="0" borderId="6" xfId="0" applyFont="1" applyFill="1" applyBorder="1" applyAlignment="1">
      <alignment horizontal="right"/>
    </xf>
    <xf numFmtId="0" fontId="56" fillId="0" borderId="23" xfId="0" applyFont="1" applyFill="1" applyBorder="1" applyAlignment="1">
      <alignment horizontal="right"/>
    </xf>
    <xf numFmtId="0" fontId="55" fillId="5" borderId="2" xfId="0" applyFont="1" applyFill="1" applyBorder="1" applyAlignment="1">
      <alignment horizontal="center" vertical="center"/>
    </xf>
    <xf numFmtId="0" fontId="56" fillId="0" borderId="11" xfId="0" applyFont="1" applyFill="1" applyBorder="1" applyAlignment="1">
      <alignment horizontal="right"/>
    </xf>
    <xf numFmtId="0" fontId="56" fillId="0" borderId="0" xfId="0" applyFont="1" applyFill="1" applyBorder="1" applyAlignment="1">
      <alignment horizontal="right"/>
    </xf>
    <xf numFmtId="0" fontId="56" fillId="0" borderId="21" xfId="0" applyFont="1" applyFill="1" applyBorder="1" applyAlignment="1">
      <alignment horizontal="right"/>
    </xf>
    <xf numFmtId="0" fontId="29" fillId="0" borderId="152" xfId="0" applyFont="1" applyBorder="1" applyAlignment="1">
      <alignment horizontal="left"/>
    </xf>
    <xf numFmtId="0" fontId="29" fillId="0" borderId="6" xfId="0" applyFont="1" applyBorder="1" applyAlignment="1">
      <alignment horizontal="left"/>
    </xf>
    <xf numFmtId="0" fontId="29" fillId="0" borderId="23" xfId="0" applyFont="1" applyBorder="1" applyAlignment="1">
      <alignment horizontal="left"/>
    </xf>
    <xf numFmtId="0" fontId="56" fillId="0" borderId="11" xfId="0" applyFont="1" applyFill="1" applyBorder="1" applyAlignment="1">
      <alignment horizontal="left"/>
    </xf>
    <xf numFmtId="0" fontId="56" fillId="0" borderId="0" xfId="0" applyFont="1" applyFill="1" applyBorder="1" applyAlignment="1">
      <alignment horizontal="left"/>
    </xf>
    <xf numFmtId="0" fontId="56" fillId="0" borderId="21" xfId="0" applyFont="1" applyFill="1" applyBorder="1" applyAlignment="1">
      <alignment horizontal="left"/>
    </xf>
    <xf numFmtId="0" fontId="56" fillId="0" borderId="14" xfId="0" applyFont="1" applyFill="1" applyBorder="1" applyAlignment="1">
      <alignment horizontal="right"/>
    </xf>
    <xf numFmtId="0" fontId="56" fillId="0" borderId="3" xfId="0" applyFont="1" applyFill="1" applyBorder="1" applyAlignment="1">
      <alignment horizontal="right"/>
    </xf>
    <xf numFmtId="0" fontId="56" fillId="0" borderId="24" xfId="0" applyFont="1" applyFill="1" applyBorder="1" applyAlignment="1">
      <alignment horizontal="right"/>
    </xf>
    <xf numFmtId="0" fontId="56" fillId="0" borderId="22" xfId="0" applyFont="1" applyFill="1" applyBorder="1" applyAlignment="1">
      <alignment horizontal="left"/>
    </xf>
    <xf numFmtId="0" fontId="56" fillId="0" borderId="6" xfId="0" applyFont="1" applyFill="1" applyBorder="1" applyAlignment="1">
      <alignment horizontal="left"/>
    </xf>
    <xf numFmtId="0" fontId="56" fillId="0" borderId="23" xfId="0" applyFont="1" applyFill="1" applyBorder="1" applyAlignment="1">
      <alignment horizontal="left"/>
    </xf>
    <xf numFmtId="0" fontId="76" fillId="0" borderId="0" xfId="0" applyFont="1" applyAlignment="1">
      <alignment horizontal="left"/>
    </xf>
    <xf numFmtId="0" fontId="1" fillId="0" borderId="3" xfId="0" applyFont="1" applyBorder="1" applyAlignment="1">
      <alignment horizontal="left"/>
    </xf>
    <xf numFmtId="0" fontId="0" fillId="0" borderId="5" xfId="0" applyFill="1" applyBorder="1" applyAlignment="1" applyProtection="1">
      <alignment horizontal="right"/>
    </xf>
    <xf numFmtId="0" fontId="0" fillId="0" borderId="2" xfId="0" applyFill="1" applyBorder="1" applyAlignment="1" applyProtection="1">
      <alignment horizontal="right"/>
    </xf>
    <xf numFmtId="0" fontId="0" fillId="0" borderId="10" xfId="0" applyFill="1" applyBorder="1" applyAlignment="1" applyProtection="1">
      <alignment horizontal="right"/>
    </xf>
    <xf numFmtId="0" fontId="0" fillId="0" borderId="5" xfId="0" applyBorder="1" applyAlignment="1">
      <alignment horizontal="right"/>
    </xf>
    <xf numFmtId="0" fontId="0" fillId="0" borderId="2" xfId="0" applyBorder="1" applyAlignment="1">
      <alignment horizontal="right"/>
    </xf>
    <xf numFmtId="0" fontId="0" fillId="0" borderId="10" xfId="0" applyBorder="1" applyAlignment="1">
      <alignment horizontal="right"/>
    </xf>
    <xf numFmtId="0" fontId="29" fillId="0" borderId="135" xfId="0" applyFont="1" applyBorder="1" applyAlignment="1">
      <alignment horizontal="left"/>
    </xf>
    <xf numFmtId="0" fontId="29" fillId="0" borderId="134" xfId="0" applyFont="1" applyBorder="1" applyAlignment="1">
      <alignment horizontal="left"/>
    </xf>
    <xf numFmtId="0" fontId="29" fillId="0" borderId="167" xfId="0" applyFont="1" applyBorder="1" applyAlignment="1">
      <alignment horizontal="left"/>
    </xf>
    <xf numFmtId="0" fontId="29" fillId="0" borderId="136" xfId="0" applyFont="1" applyBorder="1" applyAlignment="1">
      <alignment horizontal="left"/>
    </xf>
    <xf numFmtId="0" fontId="29" fillId="0" borderId="0" xfId="0" applyFont="1" applyBorder="1" applyAlignment="1">
      <alignment horizontal="left"/>
    </xf>
    <xf numFmtId="0" fontId="29" fillId="0" borderId="21" xfId="0" applyFont="1" applyBorder="1" applyAlignment="1">
      <alignment horizontal="left"/>
    </xf>
    <xf numFmtId="0" fontId="22" fillId="0" borderId="141" xfId="0" applyFont="1" applyBorder="1" applyAlignment="1">
      <alignment horizontal="right"/>
    </xf>
    <xf numFmtId="0" fontId="22" fillId="0" borderId="134" xfId="0" applyFont="1" applyBorder="1" applyAlignment="1">
      <alignment horizontal="right"/>
    </xf>
    <xf numFmtId="0" fontId="22" fillId="0" borderId="130" xfId="0" applyFont="1" applyBorder="1" applyAlignment="1">
      <alignment horizontal="right"/>
    </xf>
    <xf numFmtId="0" fontId="22" fillId="0" borderId="11" xfId="0" applyFont="1" applyBorder="1" applyAlignment="1">
      <alignment horizontal="right"/>
    </xf>
    <xf numFmtId="0" fontId="22" fillId="0" borderId="0" xfId="0" applyFont="1" applyBorder="1" applyAlignment="1">
      <alignment horizontal="right"/>
    </xf>
    <xf numFmtId="0" fontId="22" fillId="0" borderId="131" xfId="0" applyFont="1" applyBorder="1" applyAlignment="1">
      <alignment horizontal="right"/>
    </xf>
    <xf numFmtId="0" fontId="4" fillId="0" borderId="11" xfId="0" applyFont="1" applyBorder="1" applyAlignment="1">
      <alignment horizontal="left"/>
    </xf>
    <xf numFmtId="0" fontId="4" fillId="0" borderId="0" xfId="0" applyFont="1" applyAlignment="1">
      <alignment horizontal="left"/>
    </xf>
    <xf numFmtId="0" fontId="4" fillId="0" borderId="21" xfId="0" applyFont="1" applyBorder="1" applyAlignment="1">
      <alignment horizontal="left"/>
    </xf>
    <xf numFmtId="0" fontId="22" fillId="0" borderId="158" xfId="0" applyFont="1" applyBorder="1" applyAlignment="1">
      <alignment horizontal="right"/>
    </xf>
    <xf numFmtId="0" fontId="22" fillId="0" borderId="159" xfId="0" applyFont="1" applyBorder="1" applyAlignment="1">
      <alignment horizontal="right"/>
    </xf>
    <xf numFmtId="0" fontId="22" fillId="0" borderId="132" xfId="0" applyFont="1" applyBorder="1" applyAlignment="1">
      <alignment horizontal="right"/>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21" xfId="0" applyFont="1" applyBorder="1" applyAlignment="1">
      <alignment horizontal="left" vertical="center"/>
    </xf>
    <xf numFmtId="0" fontId="0" fillId="0" borderId="5" xfId="0" applyBorder="1" applyAlignment="1">
      <alignment horizontal="right" vertical="center"/>
    </xf>
    <xf numFmtId="0" fontId="0" fillId="0" borderId="2" xfId="0" applyBorder="1" applyAlignment="1">
      <alignment horizontal="right" vertical="center"/>
    </xf>
    <xf numFmtId="0" fontId="0" fillId="0" borderId="10" xfId="0" applyBorder="1" applyAlignment="1">
      <alignment horizontal="right" vertical="center"/>
    </xf>
    <xf numFmtId="0" fontId="29" fillId="0" borderId="151" xfId="0" applyFont="1" applyBorder="1" applyAlignment="1">
      <alignment horizontal="left"/>
    </xf>
    <xf numFmtId="0" fontId="29" fillId="0" borderId="3" xfId="0" applyFont="1" applyBorder="1" applyAlignment="1">
      <alignment horizontal="left"/>
    </xf>
    <xf numFmtId="0" fontId="29" fillId="0" borderId="24" xfId="0" applyFont="1" applyBorder="1" applyAlignment="1">
      <alignment horizontal="left"/>
    </xf>
    <xf numFmtId="0" fontId="3" fillId="37" borderId="22" xfId="0" applyFont="1" applyFill="1" applyBorder="1" applyAlignment="1">
      <alignment horizontal="left" vertical="top" wrapText="1"/>
    </xf>
    <xf numFmtId="0" fontId="3" fillId="37" borderId="6" xfId="0" applyFont="1" applyFill="1" applyBorder="1" applyAlignment="1">
      <alignment horizontal="left" vertical="top" wrapText="1"/>
    </xf>
    <xf numFmtId="0" fontId="3" fillId="37" borderId="23" xfId="0" applyFont="1" applyFill="1" applyBorder="1" applyAlignment="1">
      <alignment horizontal="left" vertical="top" wrapText="1"/>
    </xf>
    <xf numFmtId="0" fontId="3" fillId="37" borderId="14" xfId="0" applyFont="1" applyFill="1" applyBorder="1" applyAlignment="1">
      <alignment horizontal="left" vertical="top" wrapText="1"/>
    </xf>
    <xf numFmtId="0" fontId="3" fillId="37" borderId="3" xfId="0" applyFont="1" applyFill="1" applyBorder="1" applyAlignment="1">
      <alignment horizontal="left" vertical="top" wrapText="1"/>
    </xf>
    <xf numFmtId="0" fontId="3" fillId="37" borderId="24" xfId="0" applyFont="1" applyFill="1" applyBorder="1" applyAlignment="1">
      <alignment horizontal="left" vertical="top" wrapText="1"/>
    </xf>
    <xf numFmtId="0" fontId="22" fillId="0" borderId="161" xfId="0" applyFont="1" applyFill="1" applyBorder="1" applyAlignment="1">
      <alignment horizontal="right"/>
    </xf>
    <xf numFmtId="0" fontId="22" fillId="0" borderId="162" xfId="0" applyFont="1" applyFill="1" applyBorder="1" applyAlignment="1">
      <alignment horizontal="right"/>
    </xf>
    <xf numFmtId="0" fontId="22" fillId="0" borderId="163" xfId="0" applyFont="1" applyFill="1" applyBorder="1" applyAlignment="1">
      <alignment horizontal="right"/>
    </xf>
    <xf numFmtId="0" fontId="29" fillId="15" borderId="4" xfId="0" applyFont="1" applyFill="1" applyBorder="1" applyAlignment="1">
      <alignment horizontal="center" textRotation="90"/>
    </xf>
    <xf numFmtId="0" fontId="29" fillId="0" borderId="23" xfId="0" applyFont="1" applyFill="1" applyBorder="1" applyAlignment="1">
      <alignment horizontal="center" textRotation="90"/>
    </xf>
    <xf numFmtId="0" fontId="29" fillId="0" borderId="21" xfId="0" applyFont="1" applyFill="1" applyBorder="1" applyAlignment="1">
      <alignment horizontal="center" textRotation="90"/>
    </xf>
    <xf numFmtId="0" fontId="29" fillId="0" borderId="24" xfId="0" applyFont="1" applyFill="1" applyBorder="1" applyAlignment="1">
      <alignment horizontal="center" textRotation="90"/>
    </xf>
    <xf numFmtId="0" fontId="29" fillId="37" borderId="4" xfId="0" applyFont="1" applyFill="1" applyBorder="1" applyAlignment="1">
      <alignment horizontal="center" textRotation="90"/>
    </xf>
    <xf numFmtId="0" fontId="56" fillId="0" borderId="14" xfId="0" applyFont="1" applyFill="1" applyBorder="1" applyAlignment="1">
      <alignment horizontal="left"/>
    </xf>
    <xf numFmtId="0" fontId="56" fillId="0" borderId="3" xfId="0" applyFont="1" applyFill="1" applyBorder="1" applyAlignment="1">
      <alignment horizontal="left"/>
    </xf>
    <xf numFmtId="0" fontId="56" fillId="0" borderId="24" xfId="0" applyFont="1" applyFill="1" applyBorder="1" applyAlignment="1">
      <alignment horizontal="left"/>
    </xf>
    <xf numFmtId="0" fontId="56" fillId="0" borderId="22" xfId="0" applyFont="1" applyFill="1" applyBorder="1" applyAlignment="1">
      <alignment horizontal="left" wrapText="1"/>
    </xf>
    <xf numFmtId="0" fontId="56" fillId="0" borderId="11" xfId="0" applyFont="1" applyFill="1" applyBorder="1" applyAlignment="1">
      <alignment horizontal="left" wrapText="1"/>
    </xf>
    <xf numFmtId="0" fontId="0" fillId="37" borderId="5" xfId="0" applyFill="1" applyBorder="1" applyAlignment="1">
      <alignment vertical="top" wrapText="1"/>
    </xf>
    <xf numFmtId="0" fontId="0" fillId="37" borderId="2" xfId="0" applyFill="1" applyBorder="1" applyAlignment="1">
      <alignment vertical="top" wrapText="1"/>
    </xf>
    <xf numFmtId="0" fontId="0" fillId="37" borderId="10" xfId="0" applyFill="1" applyBorder="1" applyAlignment="1">
      <alignment vertical="top" wrapText="1"/>
    </xf>
    <xf numFmtId="0" fontId="4" fillId="5" borderId="2" xfId="0" applyFont="1" applyFill="1" applyBorder="1" applyAlignment="1">
      <alignment horizontal="center" vertical="center"/>
    </xf>
    <xf numFmtId="0" fontId="1" fillId="37" borderId="5" xfId="0" applyFont="1" applyFill="1" applyBorder="1" applyAlignment="1">
      <alignment horizontal="left" vertical="top" wrapText="1"/>
    </xf>
    <xf numFmtId="0" fontId="1" fillId="37" borderId="2" xfId="0" applyFont="1" applyFill="1" applyBorder="1" applyAlignment="1">
      <alignment horizontal="left" vertical="top" wrapText="1"/>
    </xf>
    <xf numFmtId="0" fontId="1" fillId="37" borderId="10" xfId="0" applyFont="1" applyFill="1" applyBorder="1" applyAlignment="1">
      <alignment horizontal="left" vertical="top" wrapText="1"/>
    </xf>
    <xf numFmtId="0" fontId="1" fillId="7" borderId="4" xfId="0" applyFont="1" applyFill="1" applyBorder="1" applyAlignment="1" applyProtection="1">
      <alignment horizontal="left" vertical="center"/>
    </xf>
    <xf numFmtId="1" fontId="29" fillId="15" borderId="35" xfId="0" applyNumberFormat="1" applyFont="1" applyFill="1" applyBorder="1" applyAlignment="1" applyProtection="1">
      <alignment horizontal="center" vertical="center"/>
      <protection locked="0"/>
    </xf>
    <xf numFmtId="1" fontId="29" fillId="15" borderId="7" xfId="0" applyNumberFormat="1" applyFont="1" applyFill="1" applyBorder="1" applyAlignment="1" applyProtection="1">
      <alignment horizontal="center" vertical="center"/>
      <protection locked="0"/>
    </xf>
    <xf numFmtId="1" fontId="29" fillId="14" borderId="35" xfId="0" applyNumberFormat="1" applyFont="1" applyFill="1" applyBorder="1" applyAlignment="1" applyProtection="1">
      <alignment horizontal="center" vertical="center"/>
      <protection locked="0"/>
    </xf>
    <xf numFmtId="1" fontId="29" fillId="14" borderId="7" xfId="0" applyNumberFormat="1" applyFont="1" applyFill="1" applyBorder="1" applyAlignment="1" applyProtection="1">
      <alignment horizontal="center" vertical="center"/>
      <protection locked="0"/>
    </xf>
    <xf numFmtId="0" fontId="23" fillId="0" borderId="0" xfId="0" applyFont="1" applyAlignment="1">
      <alignment horizontal="left"/>
    </xf>
    <xf numFmtId="0" fontId="23" fillId="0" borderId="21" xfId="0" applyFont="1" applyBorder="1" applyAlignment="1">
      <alignment horizontal="left"/>
    </xf>
    <xf numFmtId="0" fontId="56" fillId="0" borderId="11" xfId="0" applyFont="1" applyFill="1" applyBorder="1" applyAlignment="1" applyProtection="1">
      <alignment horizontal="center"/>
    </xf>
    <xf numFmtId="0" fontId="56" fillId="0" borderId="21" xfId="0" applyFont="1" applyFill="1" applyBorder="1" applyAlignment="1" applyProtection="1">
      <alignment horizontal="center"/>
    </xf>
    <xf numFmtId="0" fontId="56" fillId="0" borderId="0" xfId="0" applyFont="1" applyFill="1" applyBorder="1" applyAlignment="1" applyProtection="1">
      <alignment horizontal="center"/>
    </xf>
    <xf numFmtId="0" fontId="0" fillId="0" borderId="168" xfId="0" applyBorder="1" applyAlignment="1">
      <alignment horizontal="right"/>
    </xf>
    <xf numFmtId="0" fontId="0" fillId="0" borderId="164" xfId="0" applyBorder="1" applyAlignment="1">
      <alignment horizontal="right"/>
    </xf>
    <xf numFmtId="0" fontId="0" fillId="0" borderId="166" xfId="0" applyBorder="1" applyAlignment="1">
      <alignment horizontal="right"/>
    </xf>
    <xf numFmtId="0" fontId="0" fillId="0" borderId="154" xfId="0" applyBorder="1" applyAlignment="1">
      <alignment horizontal="right"/>
    </xf>
    <xf numFmtId="0" fontId="0" fillId="0" borderId="155" xfId="0" applyBorder="1" applyAlignment="1">
      <alignment horizontal="right"/>
    </xf>
    <xf numFmtId="0" fontId="0" fillId="0" borderId="156" xfId="0" applyBorder="1" applyAlignment="1">
      <alignment horizontal="right"/>
    </xf>
    <xf numFmtId="1" fontId="61" fillId="0" borderId="0" xfId="0" applyNumberFormat="1" applyFont="1" applyFill="1" applyBorder="1" applyAlignment="1" applyProtection="1">
      <alignment horizontal="left"/>
      <protection locked="0"/>
    </xf>
    <xf numFmtId="1" fontId="61" fillId="0" borderId="6" xfId="0" applyNumberFormat="1" applyFont="1" applyFill="1" applyBorder="1" applyAlignment="1" applyProtection="1">
      <alignment horizontal="left"/>
      <protection locked="0"/>
    </xf>
    <xf numFmtId="1" fontId="61" fillId="0" borderId="23" xfId="0" applyNumberFormat="1" applyFont="1" applyFill="1" applyBorder="1" applyAlignment="1" applyProtection="1">
      <alignment horizontal="left"/>
      <protection locked="0"/>
    </xf>
    <xf numFmtId="0" fontId="29" fillId="10" borderId="35" xfId="0" applyFont="1" applyFill="1" applyBorder="1" applyAlignment="1" applyProtection="1">
      <alignment horizontal="center" vertical="center"/>
    </xf>
    <xf numFmtId="0" fontId="29" fillId="10" borderId="7" xfId="0" applyFont="1" applyFill="1" applyBorder="1" applyAlignment="1" applyProtection="1">
      <alignment horizontal="center" vertical="center"/>
    </xf>
    <xf numFmtId="0" fontId="47" fillId="2" borderId="2" xfId="0" applyFont="1" applyFill="1" applyBorder="1" applyAlignment="1">
      <alignment horizontal="center"/>
    </xf>
    <xf numFmtId="0" fontId="46" fillId="7" borderId="4" xfId="0" applyFont="1" applyFill="1" applyBorder="1" applyAlignment="1">
      <alignment horizontal="center" textRotation="90"/>
    </xf>
    <xf numFmtId="0" fontId="3" fillId="37" borderId="5" xfId="0" applyFont="1" applyFill="1" applyBorder="1" applyAlignment="1">
      <alignment horizontal="left" vertical="top" wrapText="1"/>
    </xf>
    <xf numFmtId="0" fontId="3" fillId="37" borderId="10" xfId="0" applyFont="1" applyFill="1" applyBorder="1" applyAlignment="1">
      <alignment horizontal="left" vertical="top" wrapText="1"/>
    </xf>
    <xf numFmtId="0" fontId="22" fillId="0" borderId="35" xfId="0" applyFont="1" applyFill="1" applyBorder="1" applyAlignment="1">
      <alignment horizontal="left" vertical="center"/>
    </xf>
    <xf numFmtId="0" fontId="22" fillId="0" borderId="7" xfId="0" applyFont="1" applyFill="1" applyBorder="1" applyAlignment="1">
      <alignment horizontal="left" vertical="center"/>
    </xf>
    <xf numFmtId="0" fontId="3" fillId="12" borderId="5" xfId="0" applyFont="1" applyFill="1" applyBorder="1" applyAlignment="1" applyProtection="1">
      <alignment horizontal="center" vertical="center"/>
    </xf>
    <xf numFmtId="0" fontId="61" fillId="12" borderId="2" xfId="0" applyFont="1" applyFill="1" applyBorder="1" applyAlignment="1" applyProtection="1">
      <alignment horizontal="center" vertical="center"/>
    </xf>
    <xf numFmtId="0" fontId="61" fillId="12" borderId="10" xfId="0" applyFont="1" applyFill="1" applyBorder="1" applyAlignment="1" applyProtection="1">
      <alignment horizontal="center" vertical="center"/>
    </xf>
    <xf numFmtId="0" fontId="69" fillId="41" borderId="35" xfId="0" applyFont="1" applyFill="1" applyBorder="1" applyAlignment="1" applyProtection="1">
      <alignment horizontal="center" vertical="center"/>
    </xf>
    <xf numFmtId="0" fontId="69" fillId="41" borderId="7" xfId="0" applyFont="1" applyFill="1" applyBorder="1" applyAlignment="1" applyProtection="1">
      <alignment horizontal="center" vertical="center"/>
    </xf>
    <xf numFmtId="0" fontId="29" fillId="2" borderId="2" xfId="0" applyFont="1" applyFill="1" applyBorder="1" applyAlignment="1">
      <alignment horizontal="center"/>
    </xf>
    <xf numFmtId="0" fontId="85" fillId="0" borderId="0" xfId="0" applyFont="1" applyAlignment="1">
      <alignment horizontal="center" textRotation="90"/>
    </xf>
    <xf numFmtId="0" fontId="56" fillId="0" borderId="134" xfId="0" applyFont="1" applyBorder="1" applyAlignment="1">
      <alignment horizontal="center" vertical="center"/>
    </xf>
    <xf numFmtId="0" fontId="56" fillId="0" borderId="134" xfId="0" applyFont="1" applyBorder="1" applyAlignment="1">
      <alignment horizontal="left" vertical="center"/>
    </xf>
    <xf numFmtId="0" fontId="85" fillId="0" borderId="0" xfId="0" applyFont="1" applyAlignment="1">
      <alignment horizontal="center" textRotation="90" wrapText="1"/>
    </xf>
    <xf numFmtId="0" fontId="0" fillId="0" borderId="4" xfId="0" applyFill="1" applyBorder="1" applyAlignment="1">
      <alignment horizontal="center"/>
    </xf>
    <xf numFmtId="0" fontId="56" fillId="0" borderId="5" xfId="0" applyFont="1" applyFill="1" applyBorder="1" applyAlignment="1" applyProtection="1">
      <alignment horizontal="center"/>
    </xf>
    <xf numFmtId="0" fontId="56" fillId="0" borderId="10" xfId="0" applyFont="1" applyFill="1" applyBorder="1" applyAlignment="1" applyProtection="1">
      <alignment horizontal="center"/>
    </xf>
    <xf numFmtId="0" fontId="56" fillId="0" borderId="14" xfId="0" applyFont="1" applyFill="1" applyBorder="1" applyAlignment="1">
      <alignment horizontal="center"/>
    </xf>
    <xf numFmtId="0" fontId="56" fillId="0" borderId="24" xfId="0" applyFont="1" applyFill="1" applyBorder="1" applyAlignment="1">
      <alignment horizontal="center"/>
    </xf>
    <xf numFmtId="1" fontId="61" fillId="0" borderId="3" xfId="0" applyNumberFormat="1" applyFont="1" applyFill="1" applyBorder="1" applyAlignment="1" applyProtection="1">
      <alignment horizontal="left"/>
      <protection locked="0"/>
    </xf>
    <xf numFmtId="0" fontId="56" fillId="0" borderId="22" xfId="0" applyFont="1" applyFill="1" applyBorder="1" applyAlignment="1">
      <alignment horizontal="center"/>
    </xf>
    <xf numFmtId="0" fontId="56" fillId="0" borderId="23" xfId="0" applyFont="1" applyFill="1" applyBorder="1" applyAlignment="1">
      <alignment horizontal="center"/>
    </xf>
    <xf numFmtId="0" fontId="0" fillId="37" borderId="5" xfId="0" applyFill="1" applyBorder="1" applyAlignment="1">
      <alignment horizontal="left" vertical="top" wrapText="1"/>
    </xf>
    <xf numFmtId="0" fontId="0" fillId="37" borderId="2" xfId="0" applyFill="1" applyBorder="1" applyAlignment="1">
      <alignment horizontal="left" vertical="top" wrapText="1"/>
    </xf>
    <xf numFmtId="0" fontId="0" fillId="37" borderId="10" xfId="0" applyFill="1" applyBorder="1" applyAlignment="1">
      <alignment horizontal="left" vertical="top" wrapText="1"/>
    </xf>
    <xf numFmtId="0" fontId="1" fillId="37" borderId="5" xfId="0" applyFont="1" applyFill="1" applyBorder="1" applyAlignment="1">
      <alignment horizontal="left" vertical="top"/>
    </xf>
    <xf numFmtId="0" fontId="1" fillId="37" borderId="2" xfId="0" applyFont="1" applyFill="1" applyBorder="1" applyAlignment="1">
      <alignment horizontal="left" vertical="top"/>
    </xf>
    <xf numFmtId="0" fontId="1" fillId="37" borderId="10" xfId="0" applyFont="1" applyFill="1" applyBorder="1" applyAlignment="1">
      <alignment horizontal="left" vertical="top"/>
    </xf>
    <xf numFmtId="0" fontId="56" fillId="0" borderId="11" xfId="0" applyFont="1" applyFill="1" applyBorder="1" applyAlignment="1" applyProtection="1">
      <alignment horizontal="left" vertical="top" wrapText="1"/>
    </xf>
    <xf numFmtId="0" fontId="56" fillId="0" borderId="21" xfId="0" applyFont="1" applyFill="1" applyBorder="1" applyAlignment="1" applyProtection="1">
      <alignment horizontal="left" vertical="top" wrapText="1"/>
    </xf>
    <xf numFmtId="0" fontId="0" fillId="0" borderId="5" xfId="0" applyBorder="1" applyAlignment="1">
      <alignment horizontal="left"/>
    </xf>
    <xf numFmtId="0" fontId="0" fillId="0" borderId="2" xfId="0" applyBorder="1" applyAlignment="1">
      <alignment horizontal="left"/>
    </xf>
    <xf numFmtId="0" fontId="0" fillId="0" borderId="10" xfId="0" applyBorder="1" applyAlignment="1">
      <alignment horizontal="left"/>
    </xf>
    <xf numFmtId="0" fontId="57" fillId="0" borderId="0" xfId="0" applyFont="1" applyAlignment="1">
      <alignment horizontal="center"/>
    </xf>
    <xf numFmtId="0" fontId="29" fillId="2" borderId="0" xfId="0" applyFont="1" applyFill="1" applyAlignment="1">
      <alignment horizontal="center"/>
    </xf>
    <xf numFmtId="0" fontId="4" fillId="0" borderId="2" xfId="0" applyFont="1" applyFill="1" applyBorder="1" applyAlignment="1" applyProtection="1">
      <alignment horizontal="left" vertical="center"/>
      <protection locked="0"/>
    </xf>
    <xf numFmtId="0" fontId="4" fillId="0" borderId="118" xfId="0" applyFont="1" applyFill="1" applyBorder="1" applyAlignment="1" applyProtection="1">
      <alignment horizontal="left" vertical="center"/>
      <protection locked="0"/>
    </xf>
    <xf numFmtId="0" fontId="61" fillId="0" borderId="83" xfId="0" applyFont="1" applyFill="1" applyBorder="1" applyAlignment="1" applyProtection="1">
      <alignment horizontal="left" vertical="center"/>
      <protection locked="0"/>
    </xf>
    <xf numFmtId="0" fontId="61" fillId="0" borderId="2" xfId="0" applyFont="1" applyFill="1" applyBorder="1" applyAlignment="1" applyProtection="1">
      <alignment horizontal="left" vertical="center"/>
      <protection locked="0"/>
    </xf>
    <xf numFmtId="0" fontId="61" fillId="0" borderId="118" xfId="0" applyFont="1" applyFill="1" applyBorder="1" applyAlignment="1" applyProtection="1">
      <alignment horizontal="left" vertical="center"/>
      <protection locked="0"/>
    </xf>
    <xf numFmtId="0" fontId="20" fillId="0" borderId="13" xfId="0" applyFont="1" applyFill="1" applyBorder="1" applyAlignment="1">
      <alignment vertical="center" wrapText="1"/>
    </xf>
    <xf numFmtId="0" fontId="20" fillId="0" borderId="8" xfId="0" applyFont="1" applyFill="1" applyBorder="1" applyAlignment="1">
      <alignment vertical="center" wrapText="1"/>
    </xf>
    <xf numFmtId="0" fontId="20" fillId="0" borderId="27" xfId="0" applyFont="1" applyFill="1" applyBorder="1" applyAlignment="1">
      <alignment vertical="center" wrapText="1"/>
    </xf>
    <xf numFmtId="0" fontId="20" fillId="0" borderId="9" xfId="0" applyFont="1" applyFill="1" applyBorder="1" applyAlignment="1">
      <alignment vertical="center" wrapText="1"/>
    </xf>
    <xf numFmtId="0" fontId="20" fillId="0" borderId="0" xfId="0" applyFont="1" applyFill="1" applyBorder="1" applyAlignment="1">
      <alignment vertical="center" wrapText="1"/>
    </xf>
    <xf numFmtId="0" fontId="20" fillId="0" borderId="28" xfId="0" applyFont="1" applyFill="1" applyBorder="1" applyAlignment="1">
      <alignment vertical="center" wrapText="1"/>
    </xf>
    <xf numFmtId="0" fontId="20" fillId="0" borderId="29" xfId="0" applyFont="1" applyFill="1" applyBorder="1" applyAlignment="1">
      <alignment vertical="center" wrapText="1"/>
    </xf>
    <xf numFmtId="0" fontId="20" fillId="0" borderId="30" xfId="0" applyFont="1" applyFill="1" applyBorder="1" applyAlignment="1">
      <alignment vertical="center" wrapText="1"/>
    </xf>
    <xf numFmtId="0" fontId="20" fillId="0" borderId="31" xfId="0" applyFont="1" applyFill="1" applyBorder="1" applyAlignment="1">
      <alignment vertical="center" wrapText="1"/>
    </xf>
    <xf numFmtId="0" fontId="77" fillId="0" borderId="30" xfId="0" applyFont="1" applyFill="1" applyBorder="1" applyAlignment="1">
      <alignment horizontal="center"/>
    </xf>
    <xf numFmtId="0" fontId="6" fillId="0" borderId="83" xfId="0" applyFont="1" applyFill="1" applyBorder="1" applyAlignment="1">
      <alignment horizontal="left" vertical="center"/>
    </xf>
    <xf numFmtId="0" fontId="6" fillId="0" borderId="2" xfId="0" applyFont="1" applyFill="1" applyBorder="1" applyAlignment="1">
      <alignment horizontal="left" vertical="center"/>
    </xf>
    <xf numFmtId="1" fontId="4" fillId="0" borderId="2" xfId="0" applyNumberFormat="1" applyFont="1" applyFill="1" applyBorder="1" applyAlignment="1">
      <alignment horizontal="left" vertical="center"/>
    </xf>
    <xf numFmtId="0" fontId="4" fillId="0" borderId="2" xfId="0" applyFont="1" applyFill="1" applyBorder="1" applyAlignment="1">
      <alignment horizontal="left" vertical="center"/>
    </xf>
    <xf numFmtId="0" fontId="4" fillId="0" borderId="118" xfId="0" applyFont="1" applyFill="1" applyBorder="1" applyAlignment="1">
      <alignment horizontal="left" vertical="center"/>
    </xf>
    <xf numFmtId="0" fontId="61" fillId="0" borderId="81" xfId="0" applyFont="1" applyFill="1" applyBorder="1" applyAlignment="1" applyProtection="1">
      <alignment horizontal="left" vertical="center"/>
      <protection locked="0"/>
    </xf>
    <xf numFmtId="0" fontId="61" fillId="0" borderId="61" xfId="0" applyFont="1" applyFill="1" applyBorder="1" applyAlignment="1" applyProtection="1">
      <alignment horizontal="left" vertical="center"/>
      <protection locked="0"/>
    </xf>
    <xf numFmtId="0" fontId="61" fillId="0" borderId="119" xfId="0" applyFont="1" applyFill="1" applyBorder="1" applyAlignment="1" applyProtection="1">
      <alignment horizontal="left" vertical="center"/>
      <protection locked="0"/>
    </xf>
    <xf numFmtId="0" fontId="4" fillId="0" borderId="30" xfId="0" applyFont="1" applyFill="1" applyBorder="1" applyAlignment="1">
      <alignment horizontal="center"/>
    </xf>
    <xf numFmtId="0" fontId="4" fillId="0" borderId="61" xfId="0" applyFont="1" applyFill="1" applyBorder="1" applyAlignment="1">
      <alignment horizontal="left" vertical="top" wrapText="1" shrinkToFit="1"/>
    </xf>
    <xf numFmtId="0" fontId="4" fillId="0" borderId="20" xfId="0" applyFont="1" applyFill="1" applyBorder="1" applyAlignment="1" applyProtection="1">
      <alignment horizontal="left" vertical="center"/>
      <protection locked="0"/>
    </xf>
    <xf numFmtId="0" fontId="4" fillId="0" borderId="104" xfId="0" applyFont="1" applyFill="1" applyBorder="1" applyAlignment="1" applyProtection="1">
      <alignment horizontal="left" vertical="center"/>
      <protection locked="0"/>
    </xf>
    <xf numFmtId="0" fontId="29" fillId="0" borderId="13" xfId="0" applyFont="1" applyFill="1" applyBorder="1" applyAlignment="1">
      <alignment horizontal="center"/>
    </xf>
    <xf numFmtId="0" fontId="29" fillId="0" borderId="8" xfId="0" applyFont="1" applyFill="1" applyBorder="1" applyAlignment="1">
      <alignment horizontal="center"/>
    </xf>
    <xf numFmtId="0" fontId="29" fillId="0" borderId="27" xfId="0" applyFont="1" applyFill="1" applyBorder="1" applyAlignment="1">
      <alignment horizontal="center"/>
    </xf>
    <xf numFmtId="0" fontId="78" fillId="0" borderId="2" xfId="0" applyFont="1" applyFill="1" applyBorder="1" applyAlignment="1">
      <alignment horizontal="left" vertical="center"/>
    </xf>
    <xf numFmtId="0" fontId="78" fillId="0" borderId="118" xfId="0" applyFont="1" applyFill="1" applyBorder="1" applyAlignment="1">
      <alignment horizontal="left" vertical="center"/>
    </xf>
    <xf numFmtId="0" fontId="78" fillId="0" borderId="3" xfId="0" applyFont="1" applyFill="1" applyBorder="1" applyAlignment="1" applyProtection="1">
      <alignment horizontal="left" vertical="center" shrinkToFit="1"/>
      <protection locked="0"/>
    </xf>
    <xf numFmtId="0" fontId="78" fillId="0" borderId="169" xfId="0" applyFont="1" applyFill="1" applyBorder="1" applyAlignment="1" applyProtection="1">
      <alignment horizontal="left" vertical="center" shrinkToFit="1"/>
      <protection locked="0"/>
    </xf>
    <xf numFmtId="0" fontId="7" fillId="0" borderId="13" xfId="0" applyFont="1" applyFill="1" applyBorder="1" applyAlignment="1">
      <alignment horizontal="center" vertical="top"/>
    </xf>
    <xf numFmtId="0" fontId="7" fillId="0" borderId="27" xfId="0" applyFont="1" applyFill="1" applyBorder="1" applyAlignment="1">
      <alignment horizontal="center" vertical="top"/>
    </xf>
    <xf numFmtId="0" fontId="7" fillId="0" borderId="9" xfId="0" applyFont="1" applyFill="1" applyBorder="1" applyAlignment="1">
      <alignment horizontal="center" vertical="top"/>
    </xf>
    <xf numFmtId="0" fontId="7" fillId="0" borderId="28" xfId="0" applyFont="1" applyFill="1" applyBorder="1" applyAlignment="1">
      <alignment horizontal="center" vertical="top"/>
    </xf>
    <xf numFmtId="0" fontId="7" fillId="0" borderId="29" xfId="0" applyFont="1" applyFill="1" applyBorder="1" applyAlignment="1">
      <alignment horizontal="center" vertical="top"/>
    </xf>
    <xf numFmtId="0" fontId="7" fillId="0" borderId="31" xfId="0" applyFont="1" applyFill="1" applyBorder="1" applyAlignment="1">
      <alignment horizontal="center" vertical="top"/>
    </xf>
    <xf numFmtId="0" fontId="6" fillId="0" borderId="118" xfId="0" applyFont="1" applyFill="1" applyBorder="1" applyAlignment="1">
      <alignment horizontal="left" vertical="center"/>
    </xf>
    <xf numFmtId="0" fontId="78" fillId="0" borderId="2" xfId="0" applyFont="1" applyFill="1" applyBorder="1" applyAlignment="1">
      <alignment horizontal="left" vertical="center" wrapText="1"/>
    </xf>
    <xf numFmtId="0" fontId="78" fillId="0" borderId="2" xfId="0" applyFont="1" applyFill="1" applyBorder="1" applyAlignment="1">
      <alignment horizontal="left" vertical="center" wrapText="1" shrinkToFit="1"/>
    </xf>
    <xf numFmtId="0" fontId="7" fillId="0" borderId="2" xfId="0" applyFont="1" applyFill="1" applyBorder="1" applyAlignment="1">
      <alignment horizontal="center" vertical="center"/>
    </xf>
    <xf numFmtId="0" fontId="9" fillId="0" borderId="90" xfId="0" applyFont="1" applyFill="1" applyBorder="1" applyAlignment="1">
      <alignment horizontal="left" vertical="center"/>
    </xf>
    <xf numFmtId="0" fontId="9" fillId="0" borderId="94" xfId="0" applyFont="1" applyFill="1" applyBorder="1" applyAlignment="1">
      <alignment horizontal="left" vertical="center"/>
    </xf>
    <xf numFmtId="0" fontId="78" fillId="0" borderId="35" xfId="0" applyFont="1" applyFill="1" applyBorder="1" applyAlignment="1" applyProtection="1">
      <alignment horizontal="center" vertical="center"/>
    </xf>
    <xf numFmtId="0" fontId="78" fillId="0" borderId="7" xfId="0" applyFont="1" applyFill="1" applyBorder="1" applyAlignment="1" applyProtection="1">
      <alignment horizontal="center" vertical="center"/>
    </xf>
    <xf numFmtId="0" fontId="78" fillId="0" borderId="129" xfId="0" applyFont="1" applyFill="1" applyBorder="1" applyAlignment="1">
      <alignment horizontal="center" vertical="center"/>
    </xf>
    <xf numFmtId="0" fontId="78" fillId="0" borderId="170" xfId="0" applyFont="1" applyFill="1" applyBorder="1" applyAlignment="1">
      <alignment horizontal="center" vertical="center"/>
    </xf>
    <xf numFmtId="0" fontId="22" fillId="0" borderId="70" xfId="0" applyFont="1" applyFill="1" applyBorder="1" applyAlignment="1">
      <alignment horizontal="center" vertical="center"/>
    </xf>
    <xf numFmtId="0" fontId="22" fillId="0" borderId="92" xfId="0" applyFont="1" applyFill="1" applyBorder="1" applyAlignment="1">
      <alignment horizontal="center" vertical="center"/>
    </xf>
    <xf numFmtId="0" fontId="8" fillId="0" borderId="171" xfId="0" applyFont="1" applyFill="1" applyBorder="1" applyAlignment="1">
      <alignment horizontal="left" vertical="center"/>
    </xf>
    <xf numFmtId="0" fontId="8" fillId="0" borderId="6" xfId="0" applyFont="1" applyFill="1" applyBorder="1" applyAlignment="1">
      <alignment horizontal="left" vertical="center"/>
    </xf>
    <xf numFmtId="0" fontId="8" fillId="0" borderId="23" xfId="0" applyFont="1" applyFill="1" applyBorder="1" applyAlignment="1">
      <alignment horizontal="left" vertical="center"/>
    </xf>
    <xf numFmtId="0" fontId="8" fillId="0" borderId="82" xfId="0" applyFont="1" applyFill="1" applyBorder="1" applyAlignment="1">
      <alignment horizontal="left" vertical="center"/>
    </xf>
    <xf numFmtId="0" fontId="8" fillId="0" borderId="3" xfId="0" applyFont="1" applyFill="1" applyBorder="1" applyAlignment="1">
      <alignment horizontal="left" vertical="center"/>
    </xf>
    <xf numFmtId="0" fontId="8" fillId="0" borderId="24" xfId="0" applyFont="1" applyFill="1" applyBorder="1" applyAlignment="1">
      <alignment horizontal="left" vertical="center"/>
    </xf>
    <xf numFmtId="0" fontId="78" fillId="0" borderId="35" xfId="0" applyFont="1" applyFill="1" applyBorder="1" applyAlignment="1">
      <alignment horizontal="center" vertical="center"/>
    </xf>
    <xf numFmtId="0" fontId="78" fillId="0" borderId="7" xfId="0" applyFont="1" applyFill="1" applyBorder="1" applyAlignment="1">
      <alignment horizontal="center" vertical="center"/>
    </xf>
    <xf numFmtId="0" fontId="71" fillId="0" borderId="66" xfId="0" applyFont="1" applyFill="1" applyBorder="1" applyAlignment="1">
      <alignment horizontal="center"/>
    </xf>
    <xf numFmtId="0" fontId="71" fillId="0" borderId="18" xfId="0" applyFont="1" applyFill="1" applyBorder="1" applyAlignment="1">
      <alignment horizontal="center"/>
    </xf>
    <xf numFmtId="0" fontId="71" fillId="0" borderId="172" xfId="0" applyFont="1" applyFill="1" applyBorder="1" applyAlignment="1">
      <alignment horizontal="center"/>
    </xf>
    <xf numFmtId="0" fontId="8" fillId="0" borderId="83" xfId="0" applyFont="1" applyFill="1" applyBorder="1" applyAlignment="1">
      <alignment horizontal="left" vertical="center"/>
    </xf>
    <xf numFmtId="0" fontId="8" fillId="0" borderId="2" xfId="0" applyFont="1" applyFill="1" applyBorder="1" applyAlignment="1">
      <alignment horizontal="left" vertical="center"/>
    </xf>
    <xf numFmtId="0" fontId="8" fillId="0" borderId="10" xfId="0" applyFont="1" applyFill="1" applyBorder="1" applyAlignment="1">
      <alignment horizontal="left" vertical="center"/>
    </xf>
    <xf numFmtId="0" fontId="78" fillId="0" borderId="68" xfId="0" applyFont="1" applyFill="1" applyBorder="1" applyAlignment="1" applyProtection="1">
      <alignment horizontal="center" vertical="center"/>
    </xf>
    <xf numFmtId="0" fontId="78" fillId="0" borderId="156" xfId="0" applyFont="1" applyFill="1" applyBorder="1" applyAlignment="1" applyProtection="1">
      <alignment horizontal="center" vertical="center"/>
    </xf>
    <xf numFmtId="1" fontId="78" fillId="0" borderId="69" xfId="0" applyNumberFormat="1" applyFont="1" applyFill="1" applyBorder="1" applyAlignment="1" applyProtection="1">
      <alignment horizontal="center" vertical="center"/>
    </xf>
    <xf numFmtId="1" fontId="78" fillId="0" borderId="10" xfId="0" applyNumberFormat="1" applyFont="1" applyFill="1" applyBorder="1" applyAlignment="1" applyProtection="1">
      <alignment horizontal="center" vertical="center"/>
    </xf>
    <xf numFmtId="0" fontId="77" fillId="0" borderId="0" xfId="0" applyFont="1" applyFill="1" applyAlignment="1">
      <alignment horizontal="center"/>
    </xf>
    <xf numFmtId="0" fontId="17" fillId="0" borderId="5" xfId="0" applyFont="1" applyFill="1" applyBorder="1" applyAlignment="1" applyProtection="1">
      <alignment horizontal="center" vertical="center"/>
    </xf>
    <xf numFmtId="0" fontId="17" fillId="0" borderId="118" xfId="0" applyFont="1" applyFill="1" applyBorder="1" applyAlignment="1" applyProtection="1">
      <alignment horizontal="center" vertical="center"/>
    </xf>
    <xf numFmtId="0" fontId="71" fillId="0" borderId="105" xfId="0" applyFont="1" applyFill="1" applyBorder="1" applyAlignment="1">
      <alignment horizontal="center"/>
    </xf>
    <xf numFmtId="0" fontId="78" fillId="0" borderId="69" xfId="0" applyFont="1" applyFill="1" applyBorder="1" applyAlignment="1" applyProtection="1">
      <alignment horizontal="center" vertical="center"/>
    </xf>
    <xf numFmtId="0" fontId="78" fillId="0" borderId="10" xfId="0" applyFont="1" applyFill="1" applyBorder="1" applyAlignment="1" applyProtection="1">
      <alignment horizontal="center" vertical="center"/>
    </xf>
    <xf numFmtId="0" fontId="29" fillId="0" borderId="151" xfId="0" applyFont="1" applyFill="1" applyBorder="1" applyAlignment="1">
      <alignment horizontal="center" vertical="top" wrapText="1"/>
    </xf>
    <xf numFmtId="0" fontId="29" fillId="0" borderId="3" xfId="0" applyFont="1" applyFill="1" applyBorder="1" applyAlignment="1">
      <alignment horizontal="center" vertical="top" wrapText="1"/>
    </xf>
    <xf numFmtId="0" fontId="29" fillId="0" borderId="169" xfId="0" applyFont="1" applyFill="1" applyBorder="1" applyAlignment="1">
      <alignment horizontal="center" vertical="top" wrapText="1"/>
    </xf>
    <xf numFmtId="0" fontId="59" fillId="0" borderId="152" xfId="0" applyFont="1" applyFill="1" applyBorder="1" applyAlignment="1">
      <alignment horizontal="center" vertical="center"/>
    </xf>
    <xf numFmtId="0" fontId="59" fillId="0" borderId="6" xfId="0" applyFont="1" applyFill="1" applyBorder="1" applyAlignment="1">
      <alignment horizontal="center" vertical="center"/>
    </xf>
    <xf numFmtId="0" fontId="59" fillId="0" borderId="173" xfId="0" applyFont="1" applyFill="1" applyBorder="1" applyAlignment="1">
      <alignment horizontal="center" vertical="center"/>
    </xf>
    <xf numFmtId="166" fontId="10" fillId="0" borderId="62" xfId="0" applyNumberFormat="1" applyFont="1" applyFill="1" applyBorder="1" applyAlignment="1" applyProtection="1">
      <alignment horizontal="left" vertical="center"/>
    </xf>
    <xf numFmtId="166" fontId="10" fillId="0" borderId="59" xfId="0" applyNumberFormat="1" applyFont="1" applyFill="1" applyBorder="1" applyAlignment="1" applyProtection="1">
      <alignment horizontal="left" vertical="center"/>
    </xf>
    <xf numFmtId="0" fontId="7" fillId="0" borderId="61" xfId="0" applyFont="1" applyFill="1" applyBorder="1" applyAlignment="1">
      <alignment horizontal="center" vertical="center"/>
    </xf>
    <xf numFmtId="164" fontId="10" fillId="0" borderId="63" xfId="0" applyNumberFormat="1" applyFont="1" applyFill="1" applyBorder="1" applyAlignment="1" applyProtection="1">
      <alignment horizontal="left" vertical="center"/>
    </xf>
    <xf numFmtId="164" fontId="10" fillId="0" borderId="62" xfId="0" applyNumberFormat="1" applyFont="1" applyFill="1" applyBorder="1" applyAlignment="1" applyProtection="1">
      <alignment horizontal="left" vertical="center"/>
    </xf>
    <xf numFmtId="165" fontId="10" fillId="0" borderId="62" xfId="0" applyNumberFormat="1" applyFont="1" applyFill="1" applyBorder="1" applyAlignment="1" applyProtection="1">
      <alignment horizontal="left" vertical="center"/>
    </xf>
    <xf numFmtId="170" fontId="10" fillId="0" borderId="62" xfId="0" applyNumberFormat="1" applyFont="1" applyFill="1" applyBorder="1" applyAlignment="1" applyProtection="1">
      <alignment horizontal="left" vertical="center"/>
    </xf>
    <xf numFmtId="0" fontId="78" fillId="0" borderId="61" xfId="0" applyFont="1" applyFill="1" applyBorder="1" applyAlignment="1">
      <alignment horizontal="left" vertical="center"/>
    </xf>
    <xf numFmtId="0" fontId="78" fillId="0" borderId="119" xfId="0" applyFont="1" applyFill="1" applyBorder="1" applyAlignment="1">
      <alignment horizontal="left" vertical="center"/>
    </xf>
    <xf numFmtId="0" fontId="8" fillId="0" borderId="174" xfId="0" applyFont="1" applyFill="1" applyBorder="1" applyAlignment="1">
      <alignment horizontal="left" vertical="center"/>
    </xf>
    <xf numFmtId="0" fontId="8" fillId="0" borderId="155" xfId="0" applyFont="1" applyFill="1" applyBorder="1" applyAlignment="1">
      <alignment horizontal="left" vertical="center"/>
    </xf>
    <xf numFmtId="0" fontId="8" fillId="0" borderId="156" xfId="0" applyFont="1" applyFill="1" applyBorder="1" applyAlignment="1">
      <alignment horizontal="left" vertical="center"/>
    </xf>
    <xf numFmtId="0" fontId="6" fillId="0" borderId="84" xfId="0" applyFont="1" applyFill="1" applyBorder="1" applyAlignment="1">
      <alignment horizontal="left" vertical="center"/>
    </xf>
    <xf numFmtId="0" fontId="6" fillId="0" borderId="20" xfId="0" applyFont="1" applyFill="1" applyBorder="1" applyAlignment="1">
      <alignment horizontal="left" vertical="center"/>
    </xf>
    <xf numFmtId="0" fontId="7" fillId="0" borderId="81" xfId="0" applyFont="1" applyFill="1" applyBorder="1" applyAlignment="1">
      <alignment horizontal="left" vertical="center"/>
    </xf>
    <xf numFmtId="0" fontId="4" fillId="0" borderId="61" xfId="0" applyFont="1" applyFill="1" applyBorder="1" applyAlignment="1">
      <alignment horizontal="left" vertical="center"/>
    </xf>
    <xf numFmtId="0" fontId="4" fillId="0" borderId="46" xfId="0" applyFont="1" applyFill="1" applyBorder="1" applyAlignment="1">
      <alignment horizontal="left" vertical="center"/>
    </xf>
    <xf numFmtId="0" fontId="22" fillId="0" borderId="71" xfId="0" applyFont="1" applyFill="1" applyBorder="1" applyAlignment="1">
      <alignment horizontal="center" vertical="center"/>
    </xf>
    <xf numFmtId="0" fontId="22" fillId="0" borderId="91" xfId="0" applyFont="1" applyFill="1" applyBorder="1" applyAlignment="1">
      <alignment horizontal="center" vertical="center"/>
    </xf>
    <xf numFmtId="1" fontId="1" fillId="10" borderId="5" xfId="0" applyNumberFormat="1" applyFont="1" applyFill="1" applyBorder="1" applyAlignment="1">
      <alignment horizontal="center"/>
    </xf>
    <xf numFmtId="1" fontId="0" fillId="10" borderId="10" xfId="0" applyNumberFormat="1" applyFill="1" applyBorder="1" applyAlignment="1">
      <alignment horizontal="center"/>
    </xf>
    <xf numFmtId="1" fontId="0" fillId="10" borderId="35" xfId="0" applyNumberFormat="1" applyFill="1" applyBorder="1" applyAlignment="1">
      <alignment horizontal="center"/>
    </xf>
    <xf numFmtId="1" fontId="0" fillId="10" borderId="7" xfId="0" applyNumberFormat="1" applyFill="1" applyBorder="1" applyAlignment="1">
      <alignment horizontal="center"/>
    </xf>
    <xf numFmtId="0" fontId="1" fillId="46" borderId="4" xfId="0" applyFont="1" applyFill="1" applyBorder="1" applyAlignment="1">
      <alignment horizontal="left"/>
    </xf>
    <xf numFmtId="0" fontId="4" fillId="46" borderId="4" xfId="0" applyFont="1" applyFill="1" applyBorder="1" applyAlignment="1">
      <alignment horizontal="left"/>
    </xf>
    <xf numFmtId="0" fontId="1" fillId="46" borderId="22" xfId="0" applyFont="1" applyFill="1" applyBorder="1" applyAlignment="1">
      <alignment horizontal="left"/>
    </xf>
    <xf numFmtId="0" fontId="1" fillId="46" borderId="6" xfId="0" applyFont="1" applyFill="1" applyBorder="1" applyAlignment="1">
      <alignment horizontal="left"/>
    </xf>
    <xf numFmtId="0" fontId="1" fillId="46" borderId="23" xfId="0" applyFont="1" applyFill="1" applyBorder="1" applyAlignment="1">
      <alignment horizontal="left"/>
    </xf>
    <xf numFmtId="0" fontId="1" fillId="46" borderId="14" xfId="0" applyFont="1" applyFill="1" applyBorder="1" applyAlignment="1">
      <alignment horizontal="left"/>
    </xf>
    <xf numFmtId="0" fontId="1" fillId="46" borderId="3" xfId="0" applyFont="1" applyFill="1" applyBorder="1" applyAlignment="1">
      <alignment horizontal="left"/>
    </xf>
    <xf numFmtId="0" fontId="1" fillId="46" borderId="24" xfId="0" applyFont="1" applyFill="1" applyBorder="1" applyAlignment="1">
      <alignment horizontal="left"/>
    </xf>
    <xf numFmtId="0" fontId="54" fillId="0" borderId="8" xfId="0" applyFont="1" applyFill="1" applyBorder="1" applyAlignment="1" applyProtection="1">
      <alignment horizontal="center"/>
    </xf>
    <xf numFmtId="0" fontId="55" fillId="0" borderId="8" xfId="0" applyFont="1" applyFill="1" applyBorder="1" applyAlignment="1" applyProtection="1">
      <alignment horizontal="center"/>
    </xf>
    <xf numFmtId="0" fontId="55" fillId="0" borderId="0" xfId="0" applyFont="1" applyFill="1" applyBorder="1" applyAlignment="1" applyProtection="1">
      <alignment horizontal="left"/>
    </xf>
    <xf numFmtId="0" fontId="4" fillId="0" borderId="0" xfId="0" applyFont="1" applyBorder="1" applyAlignment="1">
      <alignment vertical="top" wrapText="1"/>
    </xf>
    <xf numFmtId="0" fontId="4" fillId="0" borderId="28"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5" xfId="0" applyFont="1" applyBorder="1" applyAlignment="1" applyProtection="1">
      <alignment horizontal="center"/>
    </xf>
    <xf numFmtId="0" fontId="4" fillId="0" borderId="10" xfId="0" applyFont="1" applyBorder="1" applyAlignment="1" applyProtection="1">
      <alignment horizontal="center"/>
    </xf>
    <xf numFmtId="0" fontId="29" fillId="0" borderId="20" xfId="0" applyFont="1" applyFill="1" applyBorder="1" applyAlignment="1" applyProtection="1">
      <alignment horizontal="center" vertical="center"/>
    </xf>
    <xf numFmtId="0" fontId="29" fillId="0" borderId="20" xfId="0" applyFont="1" applyBorder="1" applyAlignment="1"/>
    <xf numFmtId="0" fontId="4" fillId="0" borderId="4" xfId="0" applyFont="1" applyBorder="1" applyAlignment="1"/>
    <xf numFmtId="0" fontId="4" fillId="0" borderId="4" xfId="0" applyFont="1" applyFill="1" applyBorder="1" applyAlignment="1" applyProtection="1">
      <alignment horizontal="center" vertical="center"/>
    </xf>
    <xf numFmtId="0" fontId="4" fillId="0" borderId="22" xfId="0" applyFont="1" applyBorder="1" applyAlignment="1"/>
    <xf numFmtId="0" fontId="4" fillId="0" borderId="6" xfId="0" applyFont="1" applyBorder="1" applyAlignment="1"/>
    <xf numFmtId="0" fontId="4" fillId="0" borderId="23" xfId="0" applyFont="1" applyBorder="1" applyAlignment="1"/>
    <xf numFmtId="0" fontId="4" fillId="0" borderId="5" xfId="0" applyFont="1" applyBorder="1" applyAlignment="1" applyProtection="1">
      <alignment horizontal="left"/>
    </xf>
    <xf numFmtId="0" fontId="4" fillId="0" borderId="2" xfId="0" applyFont="1" applyBorder="1" applyAlignment="1" applyProtection="1">
      <alignment horizontal="left"/>
    </xf>
    <xf numFmtId="0" fontId="4" fillId="0" borderId="10" xfId="0" applyFont="1" applyBorder="1" applyAlignment="1" applyProtection="1">
      <alignment horizontal="left"/>
    </xf>
    <xf numFmtId="0" fontId="29" fillId="0" borderId="20" xfId="0" applyFont="1" applyBorder="1" applyAlignment="1" applyProtection="1">
      <alignment horizontal="center"/>
      <protection locked="0"/>
    </xf>
    <xf numFmtId="171" fontId="18" fillId="0" borderId="63" xfId="0" applyNumberFormat="1" applyFont="1" applyBorder="1" applyAlignment="1" applyProtection="1">
      <alignment horizontal="center"/>
    </xf>
    <xf numFmtId="171" fontId="18" fillId="0" borderId="62" xfId="0" applyNumberFormat="1" applyFont="1" applyBorder="1" applyAlignment="1" applyProtection="1">
      <alignment horizontal="center"/>
    </xf>
    <xf numFmtId="171" fontId="18" fillId="0" borderId="59" xfId="0" applyNumberFormat="1" applyFont="1" applyBorder="1" applyAlignment="1" applyProtection="1">
      <alignment horizontal="center"/>
    </xf>
    <xf numFmtId="0" fontId="55" fillId="0" borderId="102" xfId="0" applyFont="1" applyFill="1" applyBorder="1" applyAlignment="1" applyProtection="1"/>
    <xf numFmtId="0" fontId="55" fillId="0" borderId="61" xfId="0" applyFont="1" applyFill="1" applyBorder="1" applyAlignment="1" applyProtection="1"/>
    <xf numFmtId="0" fontId="55" fillId="0" borderId="46" xfId="0" applyFont="1" applyFill="1" applyBorder="1" applyAlignment="1" applyProtection="1"/>
    <xf numFmtId="0" fontId="11" fillId="0" borderId="13" xfId="0" applyFont="1" applyBorder="1" applyAlignment="1" applyProtection="1">
      <alignment horizontal="center"/>
    </xf>
    <xf numFmtId="0" fontId="11" fillId="0" borderId="8" xfId="0" applyFont="1" applyBorder="1" applyAlignment="1" applyProtection="1">
      <alignment horizontal="center"/>
    </xf>
    <xf numFmtId="0" fontId="11" fillId="0" borderId="82" xfId="0" applyFont="1" applyBorder="1" applyAlignment="1" applyProtection="1">
      <alignment horizontal="center"/>
    </xf>
    <xf numFmtId="0" fontId="11" fillId="0" borderId="3" xfId="0" applyFont="1" applyBorder="1" applyAlignment="1" applyProtection="1">
      <alignment horizontal="center"/>
    </xf>
    <xf numFmtId="0" fontId="29" fillId="0" borderId="14" xfId="0" applyFont="1" applyBorder="1" applyAlignment="1" applyProtection="1">
      <alignment horizontal="center"/>
    </xf>
    <xf numFmtId="0" fontId="29" fillId="0" borderId="24" xfId="0" applyFont="1" applyBorder="1" applyAlignment="1" applyProtection="1">
      <alignment horizontal="center"/>
    </xf>
    <xf numFmtId="0" fontId="11" fillId="0" borderId="9" xfId="0" applyFont="1" applyBorder="1" applyAlignment="1" applyProtection="1">
      <alignment horizontal="center"/>
    </xf>
    <xf numFmtId="0" fontId="11" fillId="0" borderId="0" xfId="0" applyFont="1" applyBorder="1" applyAlignment="1" applyProtection="1">
      <alignment horizontal="center"/>
    </xf>
    <xf numFmtId="0" fontId="18" fillId="0" borderId="63" xfId="0" applyFont="1" applyBorder="1" applyAlignment="1" applyProtection="1">
      <alignment horizontal="center"/>
    </xf>
    <xf numFmtId="0" fontId="18" fillId="0" borderId="62" xfId="0" applyFont="1" applyBorder="1" applyAlignment="1" applyProtection="1">
      <alignment horizontal="center"/>
    </xf>
    <xf numFmtId="0" fontId="18" fillId="0" borderId="59" xfId="0" applyFont="1" applyBorder="1" applyAlignment="1" applyProtection="1">
      <alignment horizontal="center"/>
    </xf>
    <xf numFmtId="0" fontId="0" fillId="0" borderId="8" xfId="0" applyBorder="1" applyAlignment="1">
      <alignment horizontal="center"/>
    </xf>
    <xf numFmtId="0" fontId="0" fillId="0" borderId="82" xfId="0" applyBorder="1" applyAlignment="1">
      <alignment horizontal="center"/>
    </xf>
    <xf numFmtId="0" fontId="0" fillId="0" borderId="3" xfId="0" applyBorder="1" applyAlignment="1">
      <alignment horizontal="center"/>
    </xf>
    <xf numFmtId="0" fontId="55" fillId="0" borderId="5" xfId="0" applyFont="1" applyFill="1" applyBorder="1" applyAlignment="1" applyProtection="1"/>
    <xf numFmtId="0" fontId="55" fillId="0" borderId="2" xfId="0" applyFont="1" applyFill="1" applyBorder="1" applyAlignment="1" applyProtection="1"/>
    <xf numFmtId="0" fontId="55" fillId="0" borderId="10" xfId="0" applyFont="1" applyFill="1" applyBorder="1" applyAlignment="1" applyProtection="1"/>
    <xf numFmtId="171" fontId="18" fillId="0" borderId="29" xfId="0" applyNumberFormat="1" applyFont="1" applyBorder="1" applyAlignment="1" applyProtection="1">
      <alignment horizontal="center"/>
    </xf>
    <xf numFmtId="171" fontId="18" fillId="0" borderId="30" xfId="0" applyNumberFormat="1" applyFont="1" applyBorder="1" applyAlignment="1" applyProtection="1">
      <alignment horizontal="center"/>
    </xf>
    <xf numFmtId="171" fontId="18" fillId="0" borderId="31" xfId="0" applyNumberFormat="1" applyFont="1" applyBorder="1" applyAlignment="1" applyProtection="1">
      <alignment horizontal="center"/>
    </xf>
    <xf numFmtId="0" fontId="18" fillId="0" borderId="30" xfId="0" applyFont="1" applyBorder="1" applyAlignment="1" applyProtection="1">
      <alignment horizontal="center"/>
    </xf>
    <xf numFmtId="0" fontId="18" fillId="0" borderId="31" xfId="0" applyFont="1" applyBorder="1" applyAlignment="1" applyProtection="1">
      <alignment horizontal="center"/>
    </xf>
    <xf numFmtId="0" fontId="4" fillId="0" borderId="101" xfId="0" applyFont="1" applyBorder="1" applyAlignment="1">
      <alignment horizontal="left" vertical="center"/>
    </xf>
    <xf numFmtId="0" fontId="4" fillId="0" borderId="47" xfId="0" applyFont="1" applyBorder="1" applyAlignment="1">
      <alignment horizontal="left" vertical="center"/>
    </xf>
    <xf numFmtId="0" fontId="4" fillId="0" borderId="83" xfId="0" applyFont="1" applyBorder="1" applyAlignment="1">
      <alignment horizontal="left" vertical="center"/>
    </xf>
    <xf numFmtId="0" fontId="4" fillId="0" borderId="10" xfId="0" applyFont="1" applyBorder="1" applyAlignment="1">
      <alignment horizontal="left" vertical="center"/>
    </xf>
    <xf numFmtId="0" fontId="4" fillId="0" borderId="47" xfId="0" applyFont="1" applyBorder="1" applyAlignment="1"/>
    <xf numFmtId="0" fontId="4" fillId="0" borderId="4" xfId="0" applyFont="1" applyBorder="1" applyAlignment="1" applyProtection="1">
      <alignment horizontal="center"/>
    </xf>
    <xf numFmtId="0" fontId="4" fillId="0" borderId="47" xfId="0" applyFont="1" applyBorder="1" applyAlignment="1" applyProtection="1">
      <alignment horizontal="center"/>
    </xf>
    <xf numFmtId="0" fontId="4" fillId="0" borderId="47" xfId="0" applyFont="1" applyFill="1" applyBorder="1" applyAlignment="1" applyProtection="1">
      <alignment horizontal="center" vertical="center"/>
    </xf>
    <xf numFmtId="0" fontId="4" fillId="0" borderId="68" xfId="0" applyFont="1" applyFill="1" applyBorder="1" applyAlignment="1" applyProtection="1">
      <alignment horizontal="center" vertical="center"/>
    </xf>
    <xf numFmtId="0" fontId="4" fillId="0" borderId="155" xfId="0" applyFont="1" applyFill="1" applyBorder="1" applyAlignment="1" applyProtection="1">
      <alignment horizontal="center" vertical="center"/>
    </xf>
    <xf numFmtId="0" fontId="4" fillId="0" borderId="69" xfId="0" applyFont="1" applyFill="1" applyBorder="1" applyAlignment="1" applyProtection="1">
      <alignment horizontal="center" vertical="center"/>
    </xf>
    <xf numFmtId="0" fontId="4" fillId="0" borderId="177" xfId="0" applyFont="1" applyFill="1" applyBorder="1" applyAlignment="1" applyProtection="1">
      <alignment horizontal="center" vertical="center"/>
    </xf>
    <xf numFmtId="0" fontId="1" fillId="0" borderId="25" xfId="0" applyFont="1" applyBorder="1" applyAlignment="1" applyProtection="1">
      <alignment horizontal="center" vertical="center"/>
      <protection locked="0"/>
    </xf>
    <xf numFmtId="0" fontId="4" fillId="0" borderId="99" xfId="0" applyFont="1" applyBorder="1" applyAlignment="1" applyProtection="1">
      <alignment horizontal="center" vertical="center"/>
      <protection locked="0"/>
    </xf>
    <xf numFmtId="0" fontId="4" fillId="0" borderId="100" xfId="0" applyFont="1" applyBorder="1" applyAlignment="1" applyProtection="1">
      <alignment horizontal="center" vertical="center"/>
      <protection locked="0"/>
    </xf>
    <xf numFmtId="0" fontId="4" fillId="0" borderId="115" xfId="0" applyFont="1" applyBorder="1" applyAlignment="1">
      <alignment horizontal="center" vertical="center"/>
    </xf>
    <xf numFmtId="0" fontId="4" fillId="0" borderId="178" xfId="0" applyFont="1" applyBorder="1" applyAlignment="1">
      <alignment horizontal="center" vertical="center"/>
    </xf>
    <xf numFmtId="0" fontId="3" fillId="0" borderId="120" xfId="0" applyFont="1" applyBorder="1" applyAlignment="1" applyProtection="1">
      <alignment horizontal="center" vertical="center"/>
      <protection locked="0"/>
    </xf>
    <xf numFmtId="0" fontId="3" fillId="0" borderId="123" xfId="0" applyFont="1" applyBorder="1" applyAlignment="1" applyProtection="1">
      <alignment horizontal="center" vertical="center"/>
      <protection locked="0"/>
    </xf>
    <xf numFmtId="0" fontId="3" fillId="0" borderId="179" xfId="0" applyFont="1" applyBorder="1" applyAlignment="1" applyProtection="1">
      <alignment horizontal="center" vertical="center"/>
      <protection locked="0"/>
    </xf>
    <xf numFmtId="0" fontId="3" fillId="0" borderId="180" xfId="0" applyFont="1" applyBorder="1" applyAlignment="1" applyProtection="1">
      <alignment horizontal="center" vertical="center"/>
      <protection locked="0"/>
    </xf>
    <xf numFmtId="0" fontId="3" fillId="0" borderId="126" xfId="0" applyFont="1" applyBorder="1" applyAlignment="1" applyProtection="1">
      <alignment horizontal="center" vertical="center"/>
      <protection locked="0"/>
    </xf>
    <xf numFmtId="0" fontId="3" fillId="0" borderId="181" xfId="0" applyFont="1" applyBorder="1" applyAlignment="1" applyProtection="1">
      <alignment horizontal="center" vertical="center"/>
      <protection locked="0"/>
    </xf>
    <xf numFmtId="0" fontId="4" fillId="0" borderId="6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77"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157" xfId="0" applyFont="1" applyFill="1" applyBorder="1" applyAlignment="1">
      <alignment horizontal="center" vertical="center"/>
    </xf>
    <xf numFmtId="0" fontId="4" fillId="0" borderId="188" xfId="0" applyFont="1" applyBorder="1" applyAlignment="1">
      <alignment horizontal="center" vertical="center"/>
    </xf>
    <xf numFmtId="0" fontId="4" fillId="0" borderId="26" xfId="0" applyFont="1" applyBorder="1" applyAlignment="1">
      <alignment horizontal="center" vertical="center"/>
    </xf>
    <xf numFmtId="0" fontId="4" fillId="0" borderId="155" xfId="0" applyFont="1" applyFill="1" applyBorder="1" applyAlignment="1">
      <alignment horizontal="center" vertical="center"/>
    </xf>
    <xf numFmtId="0" fontId="55" fillId="0" borderId="68" xfId="0" applyNumberFormat="1" applyFont="1" applyFill="1" applyBorder="1" applyAlignment="1">
      <alignment horizontal="center" vertical="center"/>
    </xf>
    <xf numFmtId="0" fontId="55" fillId="0" borderId="157" xfId="0" applyNumberFormat="1" applyFont="1" applyFill="1" applyBorder="1" applyAlignment="1">
      <alignment horizontal="center" vertical="center"/>
    </xf>
    <xf numFmtId="0" fontId="7" fillId="0" borderId="8" xfId="0" applyFont="1" applyFill="1" applyBorder="1" applyAlignment="1">
      <alignment horizontal="center" vertical="center"/>
    </xf>
    <xf numFmtId="0" fontId="7" fillId="0" borderId="27" xfId="0" applyFont="1" applyFill="1" applyBorder="1" applyAlignment="1">
      <alignment horizontal="center" vertical="center"/>
    </xf>
    <xf numFmtId="0" fontId="55" fillId="0" borderId="155" xfId="0" applyNumberFormat="1" applyFont="1" applyFill="1" applyBorder="1" applyAlignment="1">
      <alignment horizontal="center" vertical="center"/>
    </xf>
    <xf numFmtId="0" fontId="55" fillId="0" borderId="117" xfId="0" applyNumberFormat="1" applyFont="1" applyFill="1" applyBorder="1" applyAlignment="1">
      <alignment horizontal="center" vertical="center"/>
    </xf>
    <xf numFmtId="0" fontId="55" fillId="0" borderId="114" xfId="0" applyNumberFormat="1" applyFont="1" applyFill="1" applyBorder="1" applyAlignment="1">
      <alignment horizontal="center" vertical="center"/>
    </xf>
    <xf numFmtId="0" fontId="55" fillId="0" borderId="164" xfId="0" applyNumberFormat="1" applyFont="1" applyFill="1" applyBorder="1" applyAlignment="1">
      <alignment horizontal="center" vertical="center"/>
    </xf>
    <xf numFmtId="0" fontId="55" fillId="0" borderId="165" xfId="0" applyNumberFormat="1" applyFont="1" applyFill="1" applyBorder="1" applyAlignment="1">
      <alignment horizontal="center" vertical="center"/>
    </xf>
    <xf numFmtId="0" fontId="4" fillId="0" borderId="182" xfId="0" applyFont="1" applyBorder="1" applyAlignment="1" applyProtection="1">
      <alignment horizontal="center" vertical="center"/>
      <protection locked="0"/>
    </xf>
    <xf numFmtId="0" fontId="4" fillId="0" borderId="65" xfId="0" applyFont="1" applyBorder="1" applyAlignment="1" applyProtection="1">
      <alignment horizontal="center" vertical="center"/>
      <protection locked="0"/>
    </xf>
    <xf numFmtId="0" fontId="4" fillId="0" borderId="116" xfId="0" applyFont="1" applyBorder="1" applyAlignment="1" applyProtection="1">
      <alignment horizontal="center" vertical="center"/>
      <protection locked="0"/>
    </xf>
    <xf numFmtId="0" fontId="4" fillId="0" borderId="135" xfId="0" applyFont="1" applyFill="1" applyBorder="1" applyAlignment="1">
      <alignment horizontal="center" vertical="center"/>
    </xf>
    <xf numFmtId="0" fontId="4" fillId="0" borderId="130" xfId="0" applyFont="1" applyFill="1" applyBorder="1" applyAlignment="1">
      <alignment horizontal="center" vertical="center"/>
    </xf>
    <xf numFmtId="49" fontId="1" fillId="0" borderId="148" xfId="0" applyNumberFormat="1" applyFont="1" applyBorder="1" applyAlignment="1">
      <alignment horizontal="center" vertical="center"/>
    </xf>
    <xf numFmtId="0" fontId="1" fillId="0" borderId="144" xfId="0" quotePrefix="1" applyFont="1" applyBorder="1" applyAlignment="1">
      <alignment horizontal="center" vertical="center"/>
    </xf>
    <xf numFmtId="0" fontId="1" fillId="0" borderId="175" xfId="0" applyFont="1" applyBorder="1" applyAlignment="1">
      <alignment horizontal="center" vertical="center"/>
    </xf>
    <xf numFmtId="0" fontId="1" fillId="0" borderId="148" xfId="0" applyFont="1" applyBorder="1" applyAlignment="1">
      <alignment horizontal="center" vertical="center"/>
    </xf>
    <xf numFmtId="0" fontId="1" fillId="0" borderId="148" xfId="0" quotePrefix="1" applyFont="1" applyBorder="1" applyAlignment="1">
      <alignment horizontal="center" vertical="center"/>
    </xf>
    <xf numFmtId="0" fontId="4" fillId="0" borderId="176" xfId="0" applyFont="1" applyBorder="1" applyAlignment="1">
      <alignment horizontal="center" vertical="center"/>
    </xf>
    <xf numFmtId="0" fontId="4" fillId="0" borderId="144" xfId="0" applyFont="1" applyBorder="1" applyAlignment="1">
      <alignment horizontal="center" vertical="center"/>
    </xf>
    <xf numFmtId="0" fontId="7" fillId="0" borderId="182" xfId="0" applyFont="1" applyBorder="1" applyAlignment="1">
      <alignment horizontal="left" vertical="center"/>
    </xf>
    <xf numFmtId="0" fontId="7" fillId="0" borderId="178" xfId="0" applyFont="1" applyBorder="1" applyAlignment="1">
      <alignment horizontal="left" vertical="center"/>
    </xf>
    <xf numFmtId="0" fontId="0" fillId="0" borderId="30" xfId="0" applyFill="1" applyBorder="1" applyAlignment="1">
      <alignment horizontal="center"/>
    </xf>
    <xf numFmtId="0" fontId="7" fillId="0" borderId="180" xfId="0" applyFont="1" applyBorder="1" applyAlignment="1">
      <alignment horizontal="left" vertical="top" wrapText="1"/>
    </xf>
    <xf numFmtId="0" fontId="7" fillId="0" borderId="125" xfId="0" applyFont="1" applyBorder="1" applyAlignment="1">
      <alignment horizontal="left" vertical="top" wrapText="1"/>
    </xf>
    <xf numFmtId="0" fontId="4" fillId="0" borderId="182" xfId="0" applyFont="1" applyFill="1" applyBorder="1" applyAlignment="1">
      <alignment horizontal="left" vertical="center"/>
    </xf>
    <xf numFmtId="0" fontId="4" fillId="0" borderId="65" xfId="0" applyFont="1" applyFill="1" applyBorder="1" applyAlignment="1">
      <alignment horizontal="left" vertical="center"/>
    </xf>
    <xf numFmtId="0" fontId="4" fillId="0" borderId="178" xfId="0" applyFont="1" applyFill="1" applyBorder="1" applyAlignment="1">
      <alignment horizontal="left" vertical="center"/>
    </xf>
    <xf numFmtId="0" fontId="92" fillId="0" borderId="25" xfId="0" applyFont="1" applyFill="1" applyBorder="1" applyAlignment="1" applyProtection="1">
      <alignment horizontal="left" vertical="center"/>
      <protection locked="0"/>
    </xf>
    <xf numFmtId="0" fontId="92" fillId="0" borderId="99" xfId="0" applyFont="1" applyFill="1" applyBorder="1" applyAlignment="1" applyProtection="1">
      <alignment horizontal="left" vertical="center"/>
      <protection locked="0"/>
    </xf>
    <xf numFmtId="0" fontId="92" fillId="0" borderId="26" xfId="0" applyFont="1" applyFill="1" applyBorder="1" applyAlignment="1" applyProtection="1">
      <alignment horizontal="left" vertical="center"/>
      <protection locked="0"/>
    </xf>
    <xf numFmtId="0" fontId="7" fillId="0" borderId="105" xfId="0" applyFont="1" applyBorder="1" applyAlignment="1">
      <alignment horizontal="center" vertical="center"/>
    </xf>
    <xf numFmtId="0" fontId="7" fillId="0" borderId="19" xfId="0" applyFont="1" applyBorder="1" applyAlignment="1">
      <alignment horizontal="center" vertical="center"/>
    </xf>
    <xf numFmtId="0" fontId="4" fillId="0" borderId="81" xfId="0" applyFont="1" applyFill="1" applyBorder="1" applyAlignment="1" applyProtection="1">
      <alignment horizontal="left" vertical="center"/>
      <protection locked="0"/>
    </xf>
    <xf numFmtId="0" fontId="4" fillId="0" borderId="184" xfId="0" applyFont="1" applyFill="1" applyBorder="1" applyAlignment="1" applyProtection="1">
      <alignment horizontal="left" vertical="center"/>
      <protection locked="0"/>
    </xf>
    <xf numFmtId="0" fontId="1" fillId="0" borderId="66" xfId="0" applyFont="1" applyBorder="1" applyAlignment="1">
      <alignment horizontal="center" vertical="center"/>
    </xf>
    <xf numFmtId="0" fontId="4" fillId="0" borderId="19" xfId="0" applyFont="1" applyBorder="1" applyAlignment="1">
      <alignment horizontal="center" vertical="center"/>
    </xf>
    <xf numFmtId="0" fontId="29" fillId="0" borderId="174" xfId="0" applyFont="1" applyFill="1" applyBorder="1" applyAlignment="1" applyProtection="1">
      <alignment horizontal="left" vertical="center"/>
      <protection locked="0"/>
    </xf>
    <xf numFmtId="0" fontId="29" fillId="0" borderId="157" xfId="0" applyFont="1" applyFill="1" applyBorder="1" applyAlignment="1" applyProtection="1">
      <alignment horizontal="left" vertical="center"/>
      <protection locked="0"/>
    </xf>
    <xf numFmtId="0" fontId="4" fillId="0" borderId="83" xfId="0" applyFont="1" applyFill="1" applyBorder="1" applyAlignment="1" applyProtection="1">
      <alignment horizontal="left" vertical="center"/>
      <protection locked="0"/>
    </xf>
    <xf numFmtId="0" fontId="4" fillId="0" borderId="177" xfId="0" applyFont="1" applyFill="1" applyBorder="1" applyAlignment="1" applyProtection="1">
      <alignment horizontal="left" vertical="center"/>
      <protection locked="0"/>
    </xf>
    <xf numFmtId="0" fontId="111" fillId="0" borderId="0" xfId="0" applyFont="1" applyFill="1" applyBorder="1" applyAlignment="1" applyProtection="1">
      <alignment horizontal="center" vertical="center" wrapText="1"/>
    </xf>
    <xf numFmtId="0" fontId="111" fillId="0" borderId="30" xfId="0" applyFont="1" applyFill="1" applyBorder="1" applyAlignment="1" applyProtection="1">
      <alignment horizontal="center" vertical="center" wrapText="1"/>
    </xf>
    <xf numFmtId="0" fontId="111" fillId="0" borderId="9" xfId="0" applyFont="1" applyFill="1" applyBorder="1" applyAlignment="1" applyProtection="1">
      <alignment horizontal="center" vertical="center" wrapText="1"/>
    </xf>
    <xf numFmtId="0" fontId="111" fillId="0" borderId="29" xfId="0" applyFont="1" applyFill="1" applyBorder="1" applyAlignment="1" applyProtection="1">
      <alignment horizontal="center" vertical="center" wrapText="1"/>
    </xf>
    <xf numFmtId="0" fontId="7" fillId="0" borderId="66" xfId="0" applyFont="1" applyBorder="1" applyAlignment="1">
      <alignment horizontal="center"/>
    </xf>
    <xf numFmtId="0" fontId="7" fillId="0" borderId="19" xfId="0" applyFont="1" applyBorder="1" applyAlignment="1">
      <alignment horizontal="center"/>
    </xf>
    <xf numFmtId="0" fontId="54" fillId="0" borderId="29" xfId="0" applyFont="1" applyFill="1" applyBorder="1" applyAlignment="1">
      <alignment horizontal="center" vertical="top"/>
    </xf>
    <xf numFmtId="0" fontId="54" fillId="0" borderId="30" xfId="0" applyFont="1" applyFill="1" applyBorder="1" applyAlignment="1">
      <alignment horizontal="center" vertical="top"/>
    </xf>
    <xf numFmtId="0" fontId="54" fillId="0" borderId="31" xfId="0" applyFont="1" applyFill="1" applyBorder="1" applyAlignment="1">
      <alignment horizontal="center" vertical="top"/>
    </xf>
    <xf numFmtId="0" fontId="58" fillId="0" borderId="8" xfId="0" applyFont="1" applyFill="1" applyBorder="1" applyAlignment="1">
      <alignment horizontal="center" vertical="center"/>
    </xf>
    <xf numFmtId="0" fontId="58" fillId="0" borderId="27" xfId="0" applyFont="1" applyFill="1" applyBorder="1" applyAlignment="1">
      <alignment horizontal="center" vertical="center"/>
    </xf>
    <xf numFmtId="0" fontId="4" fillId="0" borderId="183" xfId="0" applyFont="1" applyFill="1" applyBorder="1" applyAlignment="1" applyProtection="1">
      <alignment horizontal="left" vertical="center"/>
      <protection locked="0"/>
    </xf>
    <xf numFmtId="0" fontId="4" fillId="0" borderId="164" xfId="0" applyFont="1" applyFill="1" applyBorder="1" applyAlignment="1" applyProtection="1">
      <alignment horizontal="left" vertical="center"/>
      <protection locked="0"/>
    </xf>
    <xf numFmtId="0" fontId="4" fillId="0" borderId="165" xfId="0" applyFont="1" applyFill="1" applyBorder="1" applyAlignment="1" applyProtection="1">
      <alignment horizontal="left" vertical="center"/>
      <protection locked="0"/>
    </xf>
    <xf numFmtId="0" fontId="104" fillId="0" borderId="13" xfId="0" applyFont="1" applyFill="1" applyBorder="1" applyAlignment="1">
      <alignment horizontal="center"/>
    </xf>
    <xf numFmtId="0" fontId="104" fillId="0" borderId="8" xfId="0" applyFont="1" applyFill="1" applyBorder="1" applyAlignment="1">
      <alignment horizontal="center"/>
    </xf>
    <xf numFmtId="0" fontId="104" fillId="0" borderId="27" xfId="0" applyFont="1" applyFill="1" applyBorder="1" applyAlignment="1">
      <alignment horizontal="center"/>
    </xf>
    <xf numFmtId="0" fontId="104" fillId="0" borderId="9" xfId="0" applyFont="1" applyFill="1" applyBorder="1" applyAlignment="1">
      <alignment horizontal="center"/>
    </xf>
    <xf numFmtId="0" fontId="104" fillId="0" borderId="0" xfId="0" applyFont="1" applyFill="1" applyBorder="1" applyAlignment="1">
      <alignment horizontal="center"/>
    </xf>
    <xf numFmtId="0" fontId="104" fillId="0" borderId="28" xfId="0" applyFont="1" applyFill="1" applyBorder="1" applyAlignment="1">
      <alignment horizontal="center"/>
    </xf>
    <xf numFmtId="0" fontId="21" fillId="0" borderId="0" xfId="0" applyNumberFormat="1" applyFont="1" applyFill="1" applyBorder="1" applyAlignment="1">
      <alignment horizontal="right" vertical="center" wrapText="1"/>
    </xf>
    <xf numFmtId="0" fontId="21" fillId="0" borderId="30" xfId="0" applyNumberFormat="1" applyFont="1" applyFill="1" applyBorder="1" applyAlignment="1">
      <alignment horizontal="right" vertical="center" wrapText="1"/>
    </xf>
    <xf numFmtId="0" fontId="4" fillId="0" borderId="114" xfId="0" applyFont="1" applyFill="1" applyBorder="1" applyAlignment="1">
      <alignment horizontal="left" vertical="center"/>
    </xf>
    <xf numFmtId="0" fontId="4" fillId="0" borderId="164" xfId="0" applyFont="1" applyFill="1" applyBorder="1" applyAlignment="1">
      <alignment horizontal="left" vertical="center"/>
    </xf>
    <xf numFmtId="0" fontId="4" fillId="0" borderId="165" xfId="0" applyFont="1" applyFill="1" applyBorder="1" applyAlignment="1">
      <alignment horizontal="left" vertical="center"/>
    </xf>
    <xf numFmtId="0" fontId="7" fillId="0" borderId="66" xfId="0" applyFont="1" applyFill="1" applyBorder="1" applyAlignment="1">
      <alignment horizontal="left" vertical="center"/>
    </xf>
    <xf numFmtId="0" fontId="7" fillId="0" borderId="18" xfId="0" applyFont="1" applyFill="1" applyBorder="1" applyAlignment="1">
      <alignment horizontal="left" vertical="center"/>
    </xf>
    <xf numFmtId="0" fontId="7" fillId="0" borderId="19" xfId="0" applyFont="1" applyFill="1" applyBorder="1" applyAlignment="1">
      <alignment horizontal="left" vertical="center"/>
    </xf>
    <xf numFmtId="0" fontId="7" fillId="0" borderId="185" xfId="0" applyFont="1" applyFill="1" applyBorder="1" applyAlignment="1">
      <alignment horizontal="center" vertical="center"/>
    </xf>
    <xf numFmtId="0" fontId="3" fillId="0" borderId="186" xfId="0" applyFont="1" applyFill="1" applyBorder="1" applyAlignment="1">
      <alignment horizontal="left" vertical="center" wrapText="1"/>
    </xf>
    <xf numFmtId="0" fontId="3" fillId="0" borderId="134" xfId="0" applyFont="1" applyFill="1" applyBorder="1" applyAlignment="1">
      <alignment horizontal="left" vertical="center" wrapText="1"/>
    </xf>
    <xf numFmtId="0" fontId="3" fillId="0" borderId="187"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7" fillId="0" borderId="127" xfId="0" applyFont="1" applyFill="1" applyBorder="1" applyAlignment="1">
      <alignment horizontal="center" vertical="center"/>
    </xf>
    <xf numFmtId="0" fontId="4" fillId="0" borderId="114" xfId="0" applyFont="1" applyFill="1" applyBorder="1" applyAlignment="1">
      <alignment horizontal="center" vertical="center"/>
    </xf>
    <xf numFmtId="0" fontId="4" fillId="0" borderId="164" xfId="0" applyFont="1" applyFill="1" applyBorder="1" applyAlignment="1">
      <alignment horizontal="center" vertical="center"/>
    </xf>
    <xf numFmtId="0" fontId="4" fillId="0" borderId="165" xfId="0" applyFont="1" applyFill="1" applyBorder="1" applyAlignment="1">
      <alignment horizontal="center" vertical="center"/>
    </xf>
    <xf numFmtId="0" fontId="7" fillId="0" borderId="10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1" fillId="0" borderId="83" xfId="0" applyFont="1" applyFill="1" applyBorder="1" applyAlignment="1" applyProtection="1">
      <alignment horizontal="left" vertical="center"/>
      <protection locked="0"/>
    </xf>
    <xf numFmtId="0" fontId="7" fillId="0" borderId="113" xfId="0" applyFont="1" applyFill="1" applyBorder="1" applyAlignment="1">
      <alignment horizontal="center" vertical="center"/>
    </xf>
    <xf numFmtId="0" fontId="4" fillId="0" borderId="114" xfId="0" applyFont="1" applyFill="1" applyBorder="1" applyAlignment="1" applyProtection="1">
      <alignment horizontal="center" vertical="center"/>
    </xf>
    <xf numFmtId="0" fontId="4" fillId="0" borderId="165" xfId="0" applyFont="1" applyFill="1" applyBorder="1" applyAlignment="1" applyProtection="1">
      <alignment horizontal="center" vertical="center"/>
    </xf>
    <xf numFmtId="0" fontId="6" fillId="0" borderId="63" xfId="0" applyFont="1" applyBorder="1" applyAlignment="1">
      <alignment horizontal="center" vertical="center"/>
    </xf>
    <xf numFmtId="0" fontId="6" fillId="0" borderId="62" xfId="0" applyFont="1" applyBorder="1" applyAlignment="1">
      <alignment horizontal="center" vertical="center"/>
    </xf>
    <xf numFmtId="0" fontId="6" fillId="0" borderId="59" xfId="0" applyFont="1" applyBorder="1" applyAlignment="1">
      <alignment horizontal="center" vertical="center"/>
    </xf>
    <xf numFmtId="0" fontId="4" fillId="0" borderId="68" xfId="0" applyFont="1" applyFill="1" applyBorder="1" applyAlignment="1">
      <alignment horizontal="left" vertical="center"/>
    </xf>
    <xf numFmtId="0" fontId="4" fillId="0" borderId="155" xfId="0" applyFont="1" applyFill="1" applyBorder="1" applyAlignment="1">
      <alignment horizontal="left" vertical="center"/>
    </xf>
    <xf numFmtId="0" fontId="4" fillId="0" borderId="157" xfId="0" applyFont="1" applyFill="1" applyBorder="1" applyAlignment="1">
      <alignment horizontal="left" vertical="center"/>
    </xf>
    <xf numFmtId="0" fontId="4" fillId="0" borderId="69" xfId="0" applyFont="1" applyFill="1" applyBorder="1" applyAlignment="1">
      <alignment horizontal="left" vertical="center"/>
    </xf>
    <xf numFmtId="0" fontId="4" fillId="0" borderId="177" xfId="0" applyFont="1" applyFill="1" applyBorder="1" applyAlignment="1">
      <alignment horizontal="left" vertical="center"/>
    </xf>
    <xf numFmtId="0" fontId="55" fillId="0" borderId="114" xfId="0" applyFont="1" applyFill="1" applyBorder="1" applyAlignment="1">
      <alignment horizontal="center" vertical="center"/>
    </xf>
    <xf numFmtId="0" fontId="55" fillId="0" borderId="164" xfId="0" applyFont="1" applyFill="1" applyBorder="1" applyAlignment="1">
      <alignment horizontal="center" vertical="center"/>
    </xf>
    <xf numFmtId="0" fontId="55" fillId="0" borderId="165" xfId="0" applyFont="1" applyFill="1" applyBorder="1" applyAlignment="1">
      <alignment horizontal="center" vertical="center"/>
    </xf>
    <xf numFmtId="0" fontId="55" fillId="0" borderId="69" xfId="0" applyFont="1" applyFill="1" applyBorder="1" applyAlignment="1">
      <alignment horizontal="center" vertical="center"/>
    </xf>
    <xf numFmtId="0" fontId="55" fillId="0" borderId="2" xfId="0" applyFont="1" applyFill="1" applyBorder="1" applyAlignment="1">
      <alignment horizontal="center" vertical="center"/>
    </xf>
    <xf numFmtId="0" fontId="55" fillId="0" borderId="177" xfId="0" applyFont="1" applyFill="1" applyBorder="1" applyAlignment="1">
      <alignment horizontal="center" vertical="center"/>
    </xf>
    <xf numFmtId="0" fontId="55" fillId="0" borderId="68" xfId="0" applyFont="1" applyFill="1" applyBorder="1" applyAlignment="1">
      <alignment horizontal="center" vertical="center"/>
    </xf>
    <xf numFmtId="0" fontId="55" fillId="0" borderId="155" xfId="0" applyFont="1" applyFill="1" applyBorder="1" applyAlignment="1">
      <alignment horizontal="center" vertical="center"/>
    </xf>
    <xf numFmtId="0" fontId="55" fillId="0" borderId="157" xfId="0" applyFont="1" applyFill="1" applyBorder="1" applyAlignment="1">
      <alignment horizontal="center" vertical="center"/>
    </xf>
    <xf numFmtId="0" fontId="3" fillId="0" borderId="186" xfId="0" applyFont="1" applyFill="1" applyBorder="1" applyAlignment="1">
      <alignment vertical="center" wrapText="1"/>
    </xf>
    <xf numFmtId="0" fontId="3" fillId="0" borderId="134" xfId="0" applyFont="1" applyFill="1" applyBorder="1" applyAlignment="1">
      <alignment vertical="center" wrapText="1"/>
    </xf>
    <xf numFmtId="0" fontId="3" fillId="0" borderId="187" xfId="0" applyFont="1" applyFill="1" applyBorder="1" applyAlignment="1">
      <alignment vertical="center" wrapText="1"/>
    </xf>
    <xf numFmtId="0" fontId="3" fillId="0" borderId="9" xfId="0" applyFont="1" applyFill="1" applyBorder="1" applyAlignment="1">
      <alignment vertical="center" wrapText="1"/>
    </xf>
    <xf numFmtId="0" fontId="3" fillId="0" borderId="0" xfId="0" applyFont="1" applyFill="1" applyBorder="1" applyAlignment="1">
      <alignment vertical="center" wrapText="1"/>
    </xf>
    <xf numFmtId="0" fontId="3" fillId="0" borderId="28" xfId="0" applyFont="1" applyFill="1" applyBorder="1" applyAlignment="1">
      <alignment vertical="center" wrapText="1"/>
    </xf>
    <xf numFmtId="0" fontId="3" fillId="0" borderId="29" xfId="0" applyFont="1" applyFill="1" applyBorder="1" applyAlignment="1">
      <alignment vertical="center" wrapText="1"/>
    </xf>
    <xf numFmtId="0" fontId="3" fillId="0" borderId="30" xfId="0" applyFont="1" applyFill="1" applyBorder="1" applyAlignment="1">
      <alignment vertical="center" wrapText="1"/>
    </xf>
    <xf numFmtId="0" fontId="3" fillId="0" borderId="31" xfId="0" applyFont="1" applyFill="1" applyBorder="1" applyAlignment="1">
      <alignment vertical="center" wrapText="1"/>
    </xf>
    <xf numFmtId="0" fontId="4" fillId="0" borderId="66" xfId="0" applyFont="1" applyBorder="1" applyAlignment="1">
      <alignment horizontal="center" vertical="center"/>
    </xf>
    <xf numFmtId="0" fontId="4" fillId="0" borderId="174" xfId="0" applyFont="1" applyFill="1" applyBorder="1" applyAlignment="1" applyProtection="1">
      <alignment horizontal="left" vertical="center"/>
      <protection locked="0"/>
    </xf>
    <xf numFmtId="0" fontId="4" fillId="0" borderId="155" xfId="0" applyFont="1" applyFill="1" applyBorder="1"/>
    <xf numFmtId="0" fontId="4" fillId="0" borderId="157" xfId="0" applyFont="1" applyFill="1" applyBorder="1"/>
    <xf numFmtId="0" fontId="3" fillId="0" borderId="99" xfId="0" applyFont="1" applyFill="1" applyBorder="1" applyAlignment="1">
      <alignment vertical="center"/>
    </xf>
    <xf numFmtId="0" fontId="61" fillId="0" borderId="99" xfId="0" applyFont="1" applyFill="1" applyBorder="1" applyAlignment="1">
      <alignment vertical="center"/>
    </xf>
    <xf numFmtId="0" fontId="58" fillId="0" borderId="8" xfId="0" applyFont="1" applyFill="1" applyBorder="1" applyAlignment="1">
      <alignment horizontal="center" vertical="center" wrapText="1"/>
    </xf>
    <xf numFmtId="0" fontId="21" fillId="0" borderId="0" xfId="0" applyNumberFormat="1" applyFont="1" applyFill="1" applyBorder="1" applyAlignment="1">
      <alignment horizontal="left" vertical="center" wrapText="1"/>
    </xf>
    <xf numFmtId="0" fontId="21" fillId="0" borderId="30" xfId="0" applyNumberFormat="1" applyFont="1" applyFill="1" applyBorder="1" applyAlignment="1">
      <alignment horizontal="left" vertical="center" wrapText="1"/>
    </xf>
    <xf numFmtId="0" fontId="4" fillId="0" borderId="155" xfId="0" applyFont="1" applyFill="1" applyBorder="1" applyAlignment="1" applyProtection="1">
      <alignment horizontal="left" vertical="center"/>
      <protection locked="0"/>
    </xf>
    <xf numFmtId="0" fontId="4" fillId="0" borderId="157" xfId="0" applyFont="1" applyFill="1" applyBorder="1" applyAlignment="1" applyProtection="1">
      <alignment horizontal="left" vertical="center"/>
      <protection locked="0"/>
    </xf>
    <xf numFmtId="0" fontId="119" fillId="0" borderId="0" xfId="0" applyFont="1" applyFill="1" applyBorder="1" applyAlignment="1">
      <alignment horizontal="center" vertical="center"/>
    </xf>
    <xf numFmtId="0" fontId="119" fillId="0" borderId="28" xfId="0" applyFont="1" applyFill="1" applyBorder="1" applyAlignment="1">
      <alignment horizontal="center" vertical="center"/>
    </xf>
    <xf numFmtId="0" fontId="119" fillId="0" borderId="30" xfId="0" applyFont="1" applyFill="1" applyBorder="1" applyAlignment="1">
      <alignment horizontal="center" vertical="center"/>
    </xf>
    <xf numFmtId="0" fontId="119" fillId="0" borderId="31" xfId="0" applyFont="1" applyFill="1" applyBorder="1" applyAlignment="1">
      <alignment horizontal="center" vertical="center"/>
    </xf>
    <xf numFmtId="0" fontId="7" fillId="0" borderId="105" xfId="0" applyFont="1" applyFill="1" applyBorder="1" applyAlignment="1">
      <alignment horizontal="left" vertical="center"/>
    </xf>
    <xf numFmtId="0" fontId="7" fillId="0" borderId="113" xfId="0" applyFont="1" applyFill="1" applyBorder="1" applyAlignment="1">
      <alignment horizontal="left" vertical="center"/>
    </xf>
    <xf numFmtId="0" fontId="55" fillId="0" borderId="174" xfId="0" applyFont="1" applyFill="1" applyBorder="1" applyAlignment="1" applyProtection="1">
      <alignment horizontal="left" vertical="center"/>
      <protection locked="0"/>
    </xf>
    <xf numFmtId="0" fontId="55" fillId="0" borderId="157" xfId="0" applyFont="1" applyFill="1" applyBorder="1" applyAlignment="1" applyProtection="1">
      <alignment horizontal="left" vertical="center"/>
      <protection locked="0"/>
    </xf>
    <xf numFmtId="0" fontId="55" fillId="0" borderId="67" xfId="0" applyNumberFormat="1"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1" fillId="0" borderId="81" xfId="0" applyFont="1" applyFill="1" applyBorder="1" applyAlignment="1" applyProtection="1">
      <alignment horizontal="left" vertical="center"/>
      <protection locked="0"/>
    </xf>
    <xf numFmtId="0" fontId="55" fillId="0" borderId="67" xfId="0" applyFont="1" applyFill="1" applyBorder="1" applyAlignment="1" applyProtection="1">
      <alignment horizontal="left" vertical="center"/>
      <protection locked="0"/>
    </xf>
    <xf numFmtId="0" fontId="55" fillId="0" borderId="49" xfId="0" applyFont="1" applyFill="1" applyBorder="1" applyAlignment="1" applyProtection="1">
      <alignment horizontal="left" vertical="center"/>
      <protection locked="0"/>
    </xf>
    <xf numFmtId="0" fontId="55" fillId="0" borderId="74" xfId="0" applyNumberFormat="1" applyFont="1" applyFill="1" applyBorder="1" applyAlignment="1">
      <alignment horizontal="center" vertical="center"/>
    </xf>
    <xf numFmtId="0" fontId="7" fillId="0" borderId="189" xfId="0" applyFont="1" applyFill="1" applyBorder="1" applyAlignment="1">
      <alignment horizontal="left" vertical="center"/>
    </xf>
    <xf numFmtId="0" fontId="7" fillId="0" borderId="8" xfId="0" applyFont="1" applyFill="1" applyBorder="1" applyAlignment="1">
      <alignment horizontal="left" vertical="center"/>
    </xf>
    <xf numFmtId="0" fontId="7" fillId="0" borderId="190" xfId="0" applyFont="1" applyFill="1" applyBorder="1" applyAlignment="1">
      <alignment horizontal="left" vertical="center"/>
    </xf>
    <xf numFmtId="0" fontId="55" fillId="0" borderId="183" xfId="0" applyFont="1" applyFill="1" applyBorder="1" applyAlignment="1" applyProtection="1">
      <alignment horizontal="left" vertical="center"/>
      <protection locked="0"/>
    </xf>
    <xf numFmtId="0" fontId="55" fillId="0" borderId="165" xfId="0" applyFont="1" applyFill="1" applyBorder="1" applyAlignment="1" applyProtection="1">
      <alignment horizontal="left" vertical="center"/>
      <protection locked="0"/>
    </xf>
    <xf numFmtId="0" fontId="72" fillId="0" borderId="105" xfId="0" applyFont="1" applyBorder="1" applyAlignment="1" applyProtection="1">
      <alignment horizontal="center"/>
    </xf>
    <xf numFmtId="0" fontId="72" fillId="0" borderId="18" xfId="0" applyFont="1" applyBorder="1" applyAlignment="1" applyProtection="1">
      <alignment horizontal="center"/>
    </xf>
    <xf numFmtId="0" fontId="72" fillId="0" borderId="113" xfId="0" applyFont="1" applyBorder="1" applyAlignment="1" applyProtection="1">
      <alignment horizontal="center"/>
    </xf>
    <xf numFmtId="0" fontId="61" fillId="0" borderId="82" xfId="0" applyFont="1" applyBorder="1" applyAlignment="1" applyProtection="1">
      <alignment horizontal="left"/>
      <protection locked="0"/>
    </xf>
    <xf numFmtId="0" fontId="61" fillId="0" borderId="3" xfId="0" applyFont="1" applyBorder="1" applyAlignment="1" applyProtection="1">
      <alignment horizontal="left"/>
      <protection locked="0"/>
    </xf>
    <xf numFmtId="0" fontId="61" fillId="0" borderId="191" xfId="0" applyFont="1" applyBorder="1" applyAlignment="1" applyProtection="1">
      <alignment horizontal="left"/>
      <protection locked="0"/>
    </xf>
    <xf numFmtId="0" fontId="61" fillId="0" borderId="83" xfId="0" applyFont="1" applyBorder="1" applyAlignment="1" applyProtection="1">
      <alignment horizontal="left"/>
      <protection locked="0"/>
    </xf>
    <xf numFmtId="0" fontId="61" fillId="0" borderId="2" xfId="0" applyFont="1" applyBorder="1" applyAlignment="1" applyProtection="1">
      <alignment horizontal="left"/>
      <protection locked="0"/>
    </xf>
    <xf numFmtId="0" fontId="61" fillId="0" borderId="177" xfId="0" applyFont="1" applyBorder="1" applyAlignment="1" applyProtection="1">
      <alignment horizontal="left"/>
      <protection locked="0"/>
    </xf>
    <xf numFmtId="0" fontId="21" fillId="0" borderId="66" xfId="0" applyFont="1" applyBorder="1" applyAlignment="1" applyProtection="1">
      <alignment horizontal="left"/>
    </xf>
    <xf numFmtId="0" fontId="21" fillId="0" borderId="18" xfId="0" applyFont="1" applyBorder="1" applyAlignment="1" applyProtection="1">
      <alignment horizontal="left"/>
    </xf>
    <xf numFmtId="0" fontId="72" fillId="0" borderId="19" xfId="0" applyFont="1" applyBorder="1" applyAlignment="1" applyProtection="1">
      <alignment horizontal="center"/>
    </xf>
    <xf numFmtId="0" fontId="4" fillId="0" borderId="68" xfId="0" applyFont="1" applyBorder="1" applyAlignment="1" applyProtection="1">
      <alignment horizontal="center"/>
      <protection locked="0"/>
    </xf>
    <xf numFmtId="0" fontId="4" fillId="0" borderId="157" xfId="0" applyFont="1" applyBorder="1" applyAlignment="1" applyProtection="1">
      <alignment horizontal="center"/>
      <protection locked="0"/>
    </xf>
    <xf numFmtId="0" fontId="4" fillId="0" borderId="155" xfId="0" applyFont="1" applyBorder="1" applyAlignment="1" applyProtection="1">
      <alignment horizontal="center"/>
      <protection locked="0"/>
    </xf>
    <xf numFmtId="0" fontId="4" fillId="0" borderId="117" xfId="0" applyFont="1" applyBorder="1" applyAlignment="1" applyProtection="1">
      <alignment horizontal="center"/>
      <protection locked="0"/>
    </xf>
    <xf numFmtId="0" fontId="61" fillId="0" borderId="83" xfId="0" applyFont="1" applyBorder="1" applyAlignment="1" applyProtection="1">
      <alignment horizontal="center"/>
      <protection locked="0"/>
    </xf>
    <xf numFmtId="0" fontId="61" fillId="0" borderId="2" xfId="0" applyFont="1" applyBorder="1" applyAlignment="1" applyProtection="1">
      <alignment horizontal="center"/>
      <protection locked="0"/>
    </xf>
    <xf numFmtId="0" fontId="61" fillId="0" borderId="118" xfId="0" applyFont="1" applyBorder="1" applyAlignment="1" applyProtection="1">
      <alignment horizontal="center"/>
      <protection locked="0"/>
    </xf>
    <xf numFmtId="0" fontId="4" fillId="0" borderId="69" xfId="0" applyFont="1" applyBorder="1" applyAlignment="1" applyProtection="1">
      <alignment horizontal="center"/>
      <protection locked="0"/>
    </xf>
    <xf numFmtId="0" fontId="4" fillId="0" borderId="177" xfId="0" applyFont="1" applyBorder="1" applyAlignment="1" applyProtection="1">
      <alignment horizontal="center"/>
      <protection locked="0"/>
    </xf>
    <xf numFmtId="0" fontId="4" fillId="0" borderId="118" xfId="0" applyFont="1" applyBorder="1" applyAlignment="1" applyProtection="1">
      <alignment horizontal="center"/>
      <protection locked="0"/>
    </xf>
    <xf numFmtId="0" fontId="61" fillId="0" borderId="20" xfId="0" applyFont="1" applyBorder="1" applyAlignment="1" applyProtection="1">
      <alignment horizontal="left"/>
      <protection locked="0"/>
    </xf>
    <xf numFmtId="0" fontId="61" fillId="0" borderId="104" xfId="0" applyFont="1" applyBorder="1" applyAlignment="1" applyProtection="1">
      <alignment horizontal="left"/>
      <protection locked="0"/>
    </xf>
    <xf numFmtId="0" fontId="61" fillId="0" borderId="81" xfId="0" applyFont="1" applyBorder="1" applyAlignment="1" applyProtection="1">
      <alignment horizontal="left"/>
      <protection locked="0"/>
    </xf>
    <xf numFmtId="0" fontId="61" fillId="0" borderId="61" xfId="0" applyFont="1" applyBorder="1" applyAlignment="1" applyProtection="1">
      <alignment horizontal="left"/>
      <protection locked="0"/>
    </xf>
    <xf numFmtId="0" fontId="61" fillId="0" borderId="119" xfId="0" applyFont="1" applyBorder="1" applyAlignment="1" applyProtection="1">
      <alignment horizontal="left"/>
      <protection locked="0"/>
    </xf>
    <xf numFmtId="0" fontId="61" fillId="0" borderId="20" xfId="0" applyFont="1" applyBorder="1" applyAlignment="1" applyProtection="1">
      <alignment horizontal="left" shrinkToFit="1"/>
      <protection locked="0"/>
    </xf>
    <xf numFmtId="0" fontId="61" fillId="0" borderId="104" xfId="0" applyFont="1" applyBorder="1" applyAlignment="1" applyProtection="1">
      <alignment horizontal="left" shrinkToFit="1"/>
      <protection locked="0"/>
    </xf>
    <xf numFmtId="0" fontId="61" fillId="0" borderId="82" xfId="0" applyFont="1" applyBorder="1" applyAlignment="1" applyProtection="1">
      <alignment horizontal="left" shrinkToFit="1"/>
      <protection locked="0"/>
    </xf>
    <xf numFmtId="0" fontId="61" fillId="0" borderId="3" xfId="0" applyFont="1" applyBorder="1" applyAlignment="1" applyProtection="1">
      <alignment horizontal="left" shrinkToFit="1"/>
      <protection locked="0"/>
    </xf>
    <xf numFmtId="0" fontId="61" fillId="0" borderId="169" xfId="0" applyFont="1" applyBorder="1" applyAlignment="1" applyProtection="1">
      <alignment horizontal="left" shrinkToFit="1"/>
      <protection locked="0"/>
    </xf>
    <xf numFmtId="0" fontId="61" fillId="0" borderId="83" xfId="0" applyFont="1" applyBorder="1" applyAlignment="1" applyProtection="1">
      <alignment horizontal="left" shrinkToFit="1"/>
      <protection locked="0"/>
    </xf>
    <xf numFmtId="0" fontId="61" fillId="0" borderId="2" xfId="0" applyFont="1" applyBorder="1" applyAlignment="1" applyProtection="1">
      <alignment horizontal="left" shrinkToFit="1"/>
      <protection locked="0"/>
    </xf>
    <xf numFmtId="0" fontId="61" fillId="0" borderId="118" xfId="0" applyFont="1" applyBorder="1" applyAlignment="1" applyProtection="1">
      <alignment horizontal="left" shrinkToFit="1"/>
      <protection locked="0"/>
    </xf>
    <xf numFmtId="0" fontId="6" fillId="0" borderId="18" xfId="0" applyFont="1" applyBorder="1" applyAlignment="1" applyProtection="1">
      <alignment horizontal="center"/>
    </xf>
    <xf numFmtId="0" fontId="6" fillId="0" borderId="19" xfId="0" applyFont="1" applyBorder="1" applyAlignment="1" applyProtection="1">
      <alignment horizontal="center"/>
    </xf>
    <xf numFmtId="0" fontId="61" fillId="0" borderId="81" xfId="0" applyFont="1" applyBorder="1" applyAlignment="1" applyProtection="1">
      <alignment horizontal="left" shrinkToFit="1"/>
      <protection locked="0"/>
    </xf>
    <xf numFmtId="0" fontId="61" fillId="0" borderId="61" xfId="0" applyFont="1" applyBorder="1" applyAlignment="1" applyProtection="1">
      <alignment horizontal="left" shrinkToFit="1"/>
      <protection locked="0"/>
    </xf>
    <xf numFmtId="0" fontId="61" fillId="0" borderId="119" xfId="0" applyFont="1" applyBorder="1" applyAlignment="1" applyProtection="1">
      <alignment horizontal="left" shrinkToFit="1"/>
      <protection locked="0"/>
    </xf>
    <xf numFmtId="0" fontId="61" fillId="0" borderId="184" xfId="0" applyFont="1" applyBorder="1" applyAlignment="1" applyProtection="1">
      <alignment horizontal="left"/>
      <protection locked="0"/>
    </xf>
    <xf numFmtId="0" fontId="21" fillId="0" borderId="19" xfId="0" applyFont="1" applyBorder="1" applyAlignment="1" applyProtection="1">
      <alignment horizontal="left"/>
    </xf>
    <xf numFmtId="0" fontId="59" fillId="0" borderId="84" xfId="0" applyFont="1" applyBorder="1" applyAlignment="1" applyProtection="1">
      <alignment horizontal="center"/>
      <protection locked="0"/>
    </xf>
    <xf numFmtId="0" fontId="59" fillId="0" borderId="20" xfId="0" applyFont="1" applyBorder="1" applyAlignment="1" applyProtection="1">
      <alignment horizontal="center"/>
      <protection locked="0"/>
    </xf>
    <xf numFmtId="0" fontId="59" fillId="0" borderId="104" xfId="0" applyFont="1" applyBorder="1" applyAlignment="1" applyProtection="1">
      <alignment horizontal="center"/>
      <protection locked="0"/>
    </xf>
    <xf numFmtId="0" fontId="4" fillId="0" borderId="98" xfId="0" applyFont="1" applyBorder="1" applyAlignment="1" applyProtection="1">
      <alignment horizontal="center"/>
      <protection locked="0"/>
    </xf>
    <xf numFmtId="0" fontId="4" fillId="0" borderId="46"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61" fillId="0" borderId="169" xfId="0" applyFont="1" applyBorder="1" applyAlignment="1" applyProtection="1">
      <alignment horizontal="left"/>
      <protection locked="0"/>
    </xf>
    <xf numFmtId="0" fontId="4" fillId="0" borderId="156" xfId="0" applyFont="1" applyBorder="1" applyAlignment="1" applyProtection="1">
      <alignment horizontal="center"/>
      <protection locked="0"/>
    </xf>
    <xf numFmtId="0" fontId="4" fillId="0" borderId="184" xfId="0" applyFont="1" applyBorder="1" applyAlignment="1" applyProtection="1">
      <alignment horizontal="center"/>
      <protection locked="0"/>
    </xf>
    <xf numFmtId="0" fontId="61" fillId="0" borderId="81" xfId="0" applyFont="1" applyBorder="1" applyAlignment="1" applyProtection="1">
      <alignment horizontal="center"/>
      <protection locked="0"/>
    </xf>
    <xf numFmtId="0" fontId="61" fillId="0" borderId="61" xfId="0" applyFont="1" applyBorder="1" applyAlignment="1" applyProtection="1">
      <alignment horizontal="center"/>
      <protection locked="0"/>
    </xf>
    <xf numFmtId="0" fontId="61" fillId="0" borderId="119" xfId="0" applyFont="1" applyBorder="1" applyAlignment="1" applyProtection="1">
      <alignment horizontal="center"/>
      <protection locked="0"/>
    </xf>
    <xf numFmtId="0" fontId="4" fillId="0" borderId="61" xfId="0" applyFont="1" applyBorder="1" applyAlignment="1" applyProtection="1">
      <alignment horizontal="center"/>
      <protection locked="0"/>
    </xf>
    <xf numFmtId="0" fontId="4" fillId="0" borderId="119" xfId="0" applyFont="1" applyBorder="1" applyAlignment="1" applyProtection="1">
      <alignment horizontal="center"/>
      <protection locked="0"/>
    </xf>
    <xf numFmtId="0" fontId="107" fillId="0" borderId="195" xfId="0" applyFont="1" applyFill="1" applyBorder="1" applyAlignment="1" applyProtection="1">
      <alignment horizontal="center"/>
    </xf>
    <xf numFmtId="0" fontId="7" fillId="0" borderId="195" xfId="0" applyFont="1" applyFill="1" applyBorder="1" applyAlignment="1" applyProtection="1">
      <alignment horizontal="center"/>
    </xf>
    <xf numFmtId="0" fontId="7" fillId="0" borderId="201" xfId="0" applyFont="1" applyFill="1" applyBorder="1" applyAlignment="1" applyProtection="1">
      <alignment horizontal="center"/>
    </xf>
    <xf numFmtId="0" fontId="3" fillId="0" borderId="197" xfId="0" applyFont="1" applyBorder="1" applyAlignment="1" applyProtection="1">
      <alignment horizontal="center"/>
    </xf>
    <xf numFmtId="0" fontId="3" fillId="0" borderId="200" xfId="0" applyFont="1" applyBorder="1" applyAlignment="1" applyProtection="1">
      <alignment horizontal="center"/>
    </xf>
    <xf numFmtId="0" fontId="4" fillId="0" borderId="154" xfId="0" applyFont="1" applyBorder="1" applyAlignment="1" applyProtection="1">
      <alignment horizontal="center"/>
      <protection locked="0"/>
    </xf>
    <xf numFmtId="0" fontId="3" fillId="0" borderId="199" xfId="0" applyFont="1" applyFill="1" applyBorder="1" applyAlignment="1" applyProtection="1">
      <alignment horizontal="left"/>
      <protection locked="0"/>
    </xf>
    <xf numFmtId="0" fontId="4" fillId="0" borderId="102" xfId="0" applyFont="1" applyBorder="1" applyAlignment="1" applyProtection="1">
      <alignment horizontal="center"/>
      <protection locked="0"/>
    </xf>
    <xf numFmtId="0" fontId="3" fillId="0" borderId="199" xfId="0" applyFont="1" applyBorder="1" applyAlignment="1" applyProtection="1">
      <alignment horizontal="center"/>
    </xf>
    <xf numFmtId="0" fontId="3" fillId="0" borderId="197" xfId="0" applyFont="1" applyFill="1" applyBorder="1" applyAlignment="1" applyProtection="1">
      <alignment horizontal="left"/>
      <protection locked="0"/>
    </xf>
    <xf numFmtId="0" fontId="55" fillId="0" borderId="98" xfId="0" applyFont="1" applyBorder="1" applyAlignment="1" applyProtection="1">
      <alignment horizontal="right"/>
    </xf>
    <xf numFmtId="0" fontId="55" fillId="0" borderId="184" xfId="0" applyFont="1" applyBorder="1" applyAlignment="1" applyProtection="1">
      <alignment horizontal="right"/>
    </xf>
    <xf numFmtId="0" fontId="55" fillId="0" borderId="69" xfId="0" applyFont="1" applyBorder="1" applyAlignment="1" applyProtection="1">
      <alignment horizontal="right"/>
    </xf>
    <xf numFmtId="0" fontId="55" fillId="0" borderId="177" xfId="0" applyFont="1" applyBorder="1" applyAlignment="1" applyProtection="1">
      <alignment horizontal="right"/>
    </xf>
    <xf numFmtId="0" fontId="7" fillId="0" borderId="195" xfId="0" applyFont="1" applyFill="1" applyBorder="1" applyAlignment="1" applyProtection="1">
      <alignment horizontal="left"/>
    </xf>
    <xf numFmtId="0" fontId="20" fillId="0" borderId="83" xfId="0" applyFont="1" applyBorder="1" applyAlignment="1" applyProtection="1">
      <alignment horizontal="center"/>
    </xf>
    <xf numFmtId="0" fontId="20" fillId="0" borderId="2" xfId="0" applyFont="1" applyBorder="1" applyAlignment="1" applyProtection="1">
      <alignment horizontal="center"/>
    </xf>
    <xf numFmtId="0" fontId="20" fillId="0" borderId="118" xfId="0" applyFont="1" applyBorder="1" applyAlignment="1" applyProtection="1">
      <alignment horizontal="center"/>
    </xf>
    <xf numFmtId="0" fontId="3" fillId="0" borderId="202" xfId="0" applyFont="1" applyBorder="1" applyAlignment="1" applyProtection="1">
      <alignment horizontal="center"/>
    </xf>
    <xf numFmtId="0" fontId="61" fillId="0" borderId="177" xfId="0" applyFont="1" applyBorder="1" applyAlignment="1" applyProtection="1">
      <alignment horizontal="center"/>
      <protection locked="0"/>
    </xf>
    <xf numFmtId="0" fontId="55" fillId="0" borderId="68" xfId="0" applyFont="1" applyBorder="1" applyAlignment="1" applyProtection="1">
      <alignment horizontal="right"/>
    </xf>
    <xf numFmtId="0" fontId="55" fillId="0" borderId="157" xfId="0" applyFont="1" applyBorder="1" applyAlignment="1" applyProtection="1">
      <alignment horizontal="right"/>
    </xf>
    <xf numFmtId="0" fontId="8" fillId="0" borderId="83" xfId="0" applyFont="1" applyBorder="1" applyAlignment="1" applyProtection="1">
      <alignment horizontal="center"/>
    </xf>
    <xf numFmtId="0" fontId="8" fillId="0" borderId="2" xfId="0" applyFont="1" applyBorder="1" applyAlignment="1" applyProtection="1">
      <alignment horizontal="center"/>
    </xf>
    <xf numFmtId="0" fontId="8" fillId="0" borderId="118" xfId="0" applyFont="1" applyBorder="1" applyAlignment="1" applyProtection="1">
      <alignment horizontal="center"/>
    </xf>
    <xf numFmtId="0" fontId="8" fillId="0" borderId="81" xfId="0" applyFont="1" applyBorder="1" applyAlignment="1" applyProtection="1">
      <alignment horizontal="center"/>
    </xf>
    <xf numFmtId="0" fontId="8" fillId="0" borderId="61" xfId="0" applyFont="1" applyBorder="1" applyAlignment="1" applyProtection="1">
      <alignment horizontal="center"/>
    </xf>
    <xf numFmtId="0" fontId="8" fillId="0" borderId="119" xfId="0" applyFont="1" applyBorder="1" applyAlignment="1" applyProtection="1">
      <alignment horizontal="center"/>
    </xf>
    <xf numFmtId="0" fontId="55" fillId="0" borderId="2" xfId="0" applyFont="1" applyBorder="1" applyAlignment="1" applyProtection="1">
      <alignment horizontal="left" vertical="center"/>
    </xf>
    <xf numFmtId="0" fontId="55" fillId="0" borderId="10" xfId="0" applyFont="1" applyBorder="1" applyAlignment="1" applyProtection="1">
      <alignment horizontal="left" vertical="center"/>
    </xf>
    <xf numFmtId="0" fontId="25" fillId="0" borderId="3" xfId="0" applyFont="1" applyBorder="1" applyAlignment="1" applyProtection="1">
      <alignment horizontal="left"/>
    </xf>
    <xf numFmtId="0" fontId="55" fillId="0" borderId="5" xfId="0" applyFont="1" applyBorder="1" applyAlignment="1" applyProtection="1">
      <alignment horizontal="left" vertical="center"/>
    </xf>
    <xf numFmtId="0" fontId="61" fillId="0" borderId="5" xfId="0" applyFont="1" applyBorder="1" applyAlignment="1" applyProtection="1">
      <alignment horizontal="center" vertical="center"/>
    </xf>
    <xf numFmtId="0" fontId="61" fillId="0" borderId="2" xfId="0" applyFont="1" applyBorder="1" applyAlignment="1" applyProtection="1">
      <alignment horizontal="center" vertical="center"/>
    </xf>
    <xf numFmtId="1" fontId="69" fillId="0" borderId="135" xfId="0" applyNumberFormat="1" applyFont="1" applyBorder="1" applyAlignment="1" applyProtection="1">
      <alignment horizontal="center" vertical="center"/>
    </xf>
    <xf numFmtId="1" fontId="69" fillId="0" borderId="130" xfId="0" applyNumberFormat="1" applyFont="1" applyBorder="1" applyAlignment="1" applyProtection="1">
      <alignment horizontal="center" vertical="center"/>
    </xf>
    <xf numFmtId="1" fontId="69" fillId="0" borderId="137" xfId="0" applyNumberFormat="1" applyFont="1" applyBorder="1" applyAlignment="1" applyProtection="1">
      <alignment horizontal="center" vertical="center"/>
    </xf>
    <xf numFmtId="1" fontId="69" fillId="0" borderId="138" xfId="0" applyNumberFormat="1" applyFont="1" applyBorder="1" applyAlignment="1" applyProtection="1">
      <alignment horizontal="center" vertical="center"/>
    </xf>
    <xf numFmtId="0" fontId="9" fillId="0" borderId="14" xfId="0" applyFont="1" applyBorder="1" applyAlignment="1" applyProtection="1">
      <alignment horizontal="center"/>
    </xf>
    <xf numFmtId="0" fontId="9" fillId="0" borderId="3" xfId="0" applyFont="1" applyBorder="1" applyAlignment="1" applyProtection="1">
      <alignment horizontal="center"/>
    </xf>
    <xf numFmtId="0" fontId="48" fillId="0" borderId="0" xfId="0" applyFont="1" applyBorder="1" applyAlignment="1">
      <alignment horizontal="left" vertical="top" wrapText="1"/>
    </xf>
    <xf numFmtId="0" fontId="55" fillId="0" borderId="3" xfId="0" applyFont="1" applyBorder="1" applyAlignment="1" applyProtection="1">
      <alignment horizontal="left"/>
    </xf>
    <xf numFmtId="0" fontId="3" fillId="0" borderId="5" xfId="0" applyFont="1" applyBorder="1" applyAlignment="1" applyProtection="1">
      <alignment horizontal="left"/>
    </xf>
    <xf numFmtId="0" fontId="3" fillId="0" borderId="2" xfId="0" applyFont="1" applyBorder="1" applyAlignment="1" applyProtection="1">
      <alignment horizontal="left"/>
    </xf>
    <xf numFmtId="0" fontId="3" fillId="0" borderId="10" xfId="0" applyFont="1" applyBorder="1" applyAlignment="1" applyProtection="1">
      <alignment horizontal="left"/>
    </xf>
    <xf numFmtId="0" fontId="55" fillId="0" borderId="2" xfId="0" applyFont="1" applyBorder="1" applyAlignment="1" applyProtection="1">
      <alignment horizontal="left"/>
    </xf>
    <xf numFmtId="0" fontId="11" fillId="0" borderId="20" xfId="0" applyFont="1" applyBorder="1" applyAlignment="1">
      <alignment horizontal="left"/>
    </xf>
    <xf numFmtId="0" fontId="61" fillId="0" borderId="5" xfId="0" applyFont="1" applyBorder="1" applyAlignment="1" applyProtection="1">
      <alignment horizontal="center"/>
    </xf>
    <xf numFmtId="0" fontId="61" fillId="0" borderId="2" xfId="0" applyFont="1" applyBorder="1" applyAlignment="1" applyProtection="1">
      <alignment horizontal="center"/>
    </xf>
    <xf numFmtId="0" fontId="61" fillId="0" borderId="10" xfId="0" applyFont="1" applyBorder="1" applyAlignment="1" applyProtection="1">
      <alignment horizontal="center"/>
    </xf>
    <xf numFmtId="0" fontId="61" fillId="0" borderId="5" xfId="0" applyFont="1" applyBorder="1" applyAlignment="1" applyProtection="1">
      <alignment horizontal="left"/>
    </xf>
    <xf numFmtId="0" fontId="61" fillId="0" borderId="2" xfId="0" applyFont="1" applyBorder="1" applyAlignment="1" applyProtection="1">
      <alignment horizontal="left"/>
    </xf>
    <xf numFmtId="0" fontId="61" fillId="0" borderId="10" xfId="0" applyFont="1" applyBorder="1" applyAlignment="1" applyProtection="1">
      <alignment horizontal="left"/>
    </xf>
    <xf numFmtId="0" fontId="48" fillId="0" borderId="6" xfId="0" applyFont="1" applyBorder="1" applyAlignment="1">
      <alignment horizontal="left" vertical="top" wrapText="1"/>
    </xf>
    <xf numFmtId="0" fontId="72" fillId="0" borderId="6" xfId="0" applyFont="1" applyBorder="1" applyAlignment="1" applyProtection="1">
      <alignment horizontal="center"/>
    </xf>
    <xf numFmtId="0" fontId="93" fillId="0" borderId="3" xfId="0" applyFont="1" applyBorder="1" applyAlignment="1" applyProtection="1">
      <alignment horizontal="center" vertical="center"/>
    </xf>
    <xf numFmtId="0" fontId="13" fillId="0" borderId="13" xfId="0" applyFont="1" applyBorder="1" applyAlignment="1" applyProtection="1">
      <alignment horizontal="center"/>
    </xf>
    <xf numFmtId="0" fontId="13" fillId="0" borderId="9" xfId="0" applyFont="1" applyBorder="1" applyAlignment="1" applyProtection="1">
      <alignment horizontal="center"/>
    </xf>
    <xf numFmtId="0" fontId="13" fillId="0" borderId="29" xfId="0" applyFont="1" applyBorder="1" applyAlignment="1" applyProtection="1">
      <alignment horizontal="center"/>
    </xf>
    <xf numFmtId="0" fontId="21" fillId="0" borderId="9" xfId="0" applyFont="1" applyBorder="1" applyAlignment="1" applyProtection="1">
      <alignment horizontal="center" vertical="center" wrapText="1"/>
    </xf>
    <xf numFmtId="0" fontId="21" fillId="0" borderId="21" xfId="0" applyFont="1" applyBorder="1" applyAlignment="1" applyProtection="1">
      <alignment horizontal="center" vertical="center" wrapText="1"/>
    </xf>
    <xf numFmtId="0" fontId="9" fillId="0" borderId="24" xfId="0" applyFont="1" applyBorder="1" applyAlignment="1" applyProtection="1">
      <alignment horizontal="center"/>
    </xf>
    <xf numFmtId="0" fontId="25" fillId="0" borderId="24" xfId="0" applyFont="1" applyBorder="1" applyAlignment="1" applyProtection="1">
      <alignment horizontal="left"/>
    </xf>
    <xf numFmtId="0" fontId="21" fillId="0" borderId="0" xfId="0" applyFont="1" applyBorder="1" applyAlignment="1" applyProtection="1">
      <alignment horizontal="center" vertical="center" wrapText="1"/>
    </xf>
    <xf numFmtId="0" fontId="21" fillId="0" borderId="131" xfId="0" applyFont="1" applyBorder="1" applyAlignment="1" applyProtection="1">
      <alignment horizontal="center" vertical="center" wrapText="1"/>
    </xf>
    <xf numFmtId="0" fontId="92" fillId="0" borderId="0" xfId="0" applyFont="1" applyBorder="1" applyAlignment="1" applyProtection="1">
      <alignment horizontal="center" vertical="center"/>
    </xf>
    <xf numFmtId="0" fontId="18" fillId="0" borderId="62" xfId="0" applyFont="1" applyBorder="1" applyAlignment="1" applyProtection="1">
      <alignment horizontal="center" vertical="center"/>
    </xf>
    <xf numFmtId="0" fontId="25" fillId="0" borderId="14" xfId="0" applyFont="1" applyBorder="1" applyAlignment="1" applyProtection="1">
      <alignment horizontal="center"/>
    </xf>
    <xf numFmtId="0" fontId="25" fillId="0" borderId="3" xfId="0" applyFont="1" applyBorder="1" applyAlignment="1" applyProtection="1">
      <alignment horizontal="center"/>
    </xf>
    <xf numFmtId="0" fontId="25" fillId="0" borderId="24" xfId="0" applyFont="1" applyBorder="1" applyAlignment="1" applyProtection="1">
      <alignment horizontal="center"/>
    </xf>
    <xf numFmtId="0" fontId="21" fillId="0" borderId="11" xfId="0" applyFont="1" applyBorder="1" applyAlignment="1" applyProtection="1">
      <alignment horizontal="center" vertical="center" wrapText="1"/>
    </xf>
    <xf numFmtId="0" fontId="61" fillId="0" borderId="10" xfId="0" applyFont="1" applyBorder="1" applyAlignment="1" applyProtection="1">
      <alignment horizontal="center" vertical="center"/>
    </xf>
    <xf numFmtId="0" fontId="21" fillId="0" borderId="2" xfId="0" applyFont="1" applyBorder="1" applyAlignment="1" applyProtection="1">
      <alignment horizontal="left" vertical="center"/>
    </xf>
    <xf numFmtId="0" fontId="21" fillId="0" borderId="10" xfId="0" applyFont="1" applyBorder="1" applyAlignment="1" applyProtection="1">
      <alignment horizontal="left" vertical="center"/>
    </xf>
    <xf numFmtId="0" fontId="25" fillId="0" borderId="14" xfId="0" applyFont="1" applyBorder="1" applyAlignment="1" applyProtection="1">
      <alignment horizontal="left"/>
    </xf>
    <xf numFmtId="0" fontId="55" fillId="0" borderId="5" xfId="0" applyFont="1" applyBorder="1" applyAlignment="1" applyProtection="1">
      <alignment horizontal="center" vertical="center"/>
    </xf>
    <xf numFmtId="0" fontId="55" fillId="0" borderId="2" xfId="0" applyFont="1" applyBorder="1" applyAlignment="1" applyProtection="1">
      <alignment horizontal="center" vertical="center"/>
    </xf>
    <xf numFmtId="0" fontId="55" fillId="0" borderId="10" xfId="0" applyFont="1" applyBorder="1" applyAlignment="1" applyProtection="1">
      <alignment horizontal="center" vertical="center"/>
    </xf>
    <xf numFmtId="0" fontId="54" fillId="0" borderId="8" xfId="0" applyFont="1" applyBorder="1" applyAlignment="1" applyProtection="1">
      <alignment horizontal="center"/>
    </xf>
    <xf numFmtId="0" fontId="55" fillId="0" borderId="0" xfId="0" applyFont="1" applyBorder="1" applyAlignment="1" applyProtection="1">
      <alignment horizontal="left" wrapText="1"/>
    </xf>
    <xf numFmtId="0" fontId="0" fillId="0" borderId="3" xfId="0" applyBorder="1" applyAlignment="1">
      <alignment horizontal="left" wrapText="1"/>
    </xf>
    <xf numFmtId="0" fontId="54" fillId="0" borderId="5" xfId="0" applyFont="1" applyBorder="1" applyAlignment="1" applyProtection="1">
      <alignment horizontal="left"/>
    </xf>
    <xf numFmtId="0" fontId="54" fillId="0" borderId="2" xfId="0" applyFont="1" applyBorder="1" applyAlignment="1" applyProtection="1">
      <alignment horizontal="left"/>
    </xf>
    <xf numFmtId="0" fontId="54" fillId="0" borderId="10" xfId="0" applyFont="1" applyBorder="1" applyAlignment="1" applyProtection="1">
      <alignment horizontal="left"/>
    </xf>
    <xf numFmtId="0" fontId="55" fillId="0" borderId="5" xfId="0" applyFont="1" applyBorder="1" applyAlignment="1" applyProtection="1">
      <alignment horizontal="center"/>
    </xf>
    <xf numFmtId="0" fontId="55" fillId="0" borderId="10" xfId="0" applyFont="1" applyBorder="1" applyAlignment="1" applyProtection="1">
      <alignment horizontal="center"/>
    </xf>
    <xf numFmtId="0" fontId="83" fillId="0" borderId="3" xfId="0" applyFont="1" applyBorder="1" applyAlignment="1" applyProtection="1">
      <alignment horizontal="center" vertical="center"/>
    </xf>
    <xf numFmtId="0" fontId="55" fillId="0" borderId="5" xfId="0" applyNumberFormat="1" applyFont="1" applyBorder="1" applyAlignment="1" applyProtection="1">
      <alignment horizontal="left" vertical="center"/>
    </xf>
    <xf numFmtId="0" fontId="55" fillId="0" borderId="2" xfId="0" applyNumberFormat="1" applyFont="1" applyBorder="1" applyAlignment="1" applyProtection="1">
      <alignment horizontal="left" vertical="center"/>
    </xf>
    <xf numFmtId="0" fontId="55" fillId="0" borderId="10" xfId="0" applyNumberFormat="1" applyFont="1" applyBorder="1" applyAlignment="1" applyProtection="1">
      <alignment horizontal="left" vertical="center"/>
    </xf>
    <xf numFmtId="0" fontId="55" fillId="0" borderId="4" xfId="0" applyFont="1" applyBorder="1" applyAlignment="1" applyProtection="1">
      <alignment horizontal="left" vertical="center"/>
    </xf>
    <xf numFmtId="0" fontId="1" fillId="0" borderId="2" xfId="0" applyFont="1" applyBorder="1" applyAlignment="1">
      <alignment horizontal="center"/>
    </xf>
    <xf numFmtId="0" fontId="54" fillId="0" borderId="2" xfId="0" applyFont="1" applyBorder="1" applyAlignment="1" applyProtection="1">
      <alignment horizontal="center"/>
    </xf>
    <xf numFmtId="0" fontId="54" fillId="0" borderId="2" xfId="0" applyFont="1" applyBorder="1" applyAlignment="1" applyProtection="1"/>
    <xf numFmtId="0" fontId="54" fillId="0" borderId="10" xfId="0" applyFont="1" applyBorder="1" applyAlignment="1" applyProtection="1"/>
    <xf numFmtId="0" fontId="54" fillId="0" borderId="5" xfId="0" applyFont="1" applyBorder="1" applyAlignment="1" applyProtection="1"/>
    <xf numFmtId="0" fontId="4" fillId="0" borderId="3" xfId="0" applyFont="1" applyBorder="1" applyAlignment="1">
      <alignment horizontal="left"/>
    </xf>
    <xf numFmtId="0" fontId="21" fillId="0" borderId="0" xfId="0" applyFont="1" applyBorder="1" applyAlignment="1">
      <alignment horizontal="left"/>
    </xf>
    <xf numFmtId="0" fontId="54" fillId="0" borderId="2" xfId="0" applyFont="1" applyBorder="1" applyAlignment="1" applyProtection="1">
      <alignment horizontal="center"/>
      <protection locked="0"/>
    </xf>
    <xf numFmtId="0" fontId="54" fillId="0" borderId="10" xfId="0" applyFont="1" applyBorder="1" applyAlignment="1" applyProtection="1">
      <alignment horizontal="center"/>
      <protection locked="0"/>
    </xf>
    <xf numFmtId="0" fontId="72" fillId="0" borderId="2" xfId="0" applyFont="1" applyBorder="1" applyAlignment="1" applyProtection="1">
      <alignment horizontal="left"/>
    </xf>
    <xf numFmtId="0" fontId="54" fillId="0" borderId="3" xfId="0" applyFont="1" applyBorder="1" applyAlignment="1" applyProtection="1">
      <alignment horizontal="center"/>
    </xf>
    <xf numFmtId="0" fontId="11" fillId="0" borderId="0" xfId="0" applyFont="1" applyBorder="1" applyAlignment="1">
      <alignment horizontal="left"/>
    </xf>
    <xf numFmtId="0" fontId="25" fillId="0" borderId="2" xfId="0" applyFont="1" applyBorder="1" applyAlignment="1">
      <alignment horizontal="left"/>
    </xf>
    <xf numFmtId="0" fontId="48" fillId="0" borderId="0" xfId="0" applyFont="1" applyBorder="1" applyAlignment="1">
      <alignment horizontal="left"/>
    </xf>
    <xf numFmtId="0" fontId="21" fillId="0" borderId="8" xfId="0" applyFont="1" applyBorder="1" applyAlignment="1">
      <alignment horizontal="left"/>
    </xf>
    <xf numFmtId="0" fontId="49" fillId="0" borderId="0" xfId="0" applyFont="1" applyAlignment="1">
      <alignment horizontal="left" vertical="top" wrapText="1"/>
    </xf>
    <xf numFmtId="0" fontId="11" fillId="0" borderId="8" xfId="0" applyFont="1" applyBorder="1" applyAlignment="1">
      <alignment horizontal="left"/>
    </xf>
    <xf numFmtId="0" fontId="4" fillId="0" borderId="20" xfId="0" applyFont="1" applyBorder="1" applyAlignment="1">
      <alignment horizontal="left"/>
    </xf>
    <xf numFmtId="0" fontId="4" fillId="0" borderId="2" xfId="0" applyFont="1" applyBorder="1" applyAlignment="1">
      <alignment horizontal="center"/>
    </xf>
    <xf numFmtId="0" fontId="55" fillId="0" borderId="14" xfId="0" applyFont="1" applyBorder="1" applyAlignment="1" applyProtection="1">
      <alignment horizontal="left" vertical="center"/>
    </xf>
    <xf numFmtId="0" fontId="55" fillId="0" borderId="24" xfId="0" applyFont="1" applyBorder="1" applyAlignment="1" applyProtection="1">
      <alignment horizontal="left" vertical="center"/>
    </xf>
    <xf numFmtId="0" fontId="55" fillId="0" borderId="8" xfId="0" applyFont="1" applyBorder="1" applyAlignment="1" applyProtection="1">
      <alignment horizontal="center"/>
    </xf>
    <xf numFmtId="0" fontId="21" fillId="0" borderId="3" xfId="0" applyFont="1" applyBorder="1" applyAlignment="1" applyProtection="1">
      <alignment horizontal="left"/>
    </xf>
    <xf numFmtId="0" fontId="21" fillId="0" borderId="24" xfId="0" applyFont="1" applyBorder="1" applyAlignment="1" applyProtection="1">
      <alignment horizontal="left"/>
    </xf>
    <xf numFmtId="0" fontId="45" fillId="0" borderId="11" xfId="0" applyFont="1" applyBorder="1" applyAlignment="1" applyProtection="1">
      <alignment horizontal="center" vertical="center" wrapText="1"/>
    </xf>
    <xf numFmtId="0" fontId="55" fillId="0" borderId="3" xfId="0" applyFont="1" applyBorder="1" applyAlignment="1" applyProtection="1">
      <alignment horizontal="left" vertical="center"/>
    </xf>
    <xf numFmtId="0" fontId="55" fillId="0" borderId="22" xfId="0" applyFont="1" applyBorder="1" applyAlignment="1" applyProtection="1">
      <alignment horizontal="left" vertical="center"/>
    </xf>
    <xf numFmtId="0" fontId="55" fillId="0" borderId="23" xfId="0" applyFont="1" applyBorder="1" applyAlignment="1" applyProtection="1">
      <alignment horizontal="left" vertical="center"/>
    </xf>
    <xf numFmtId="0" fontId="55" fillId="0" borderId="6" xfId="0" applyFont="1" applyBorder="1" applyAlignment="1" applyProtection="1">
      <alignment horizontal="left" vertical="center"/>
    </xf>
    <xf numFmtId="0" fontId="25" fillId="0" borderId="2" xfId="0" applyFont="1" applyBorder="1" applyAlignment="1">
      <alignment horizontal="center"/>
    </xf>
    <xf numFmtId="0" fontId="54" fillId="0" borderId="20" xfId="0" applyFont="1" applyBorder="1" applyAlignment="1">
      <alignment horizontal="left"/>
    </xf>
    <xf numFmtId="0" fontId="4" fillId="0" borderId="20" xfId="0" applyFont="1" applyBorder="1" applyAlignment="1">
      <alignment horizontal="center"/>
    </xf>
    <xf numFmtId="169" fontId="4" fillId="9" borderId="35" xfId="0" applyNumberFormat="1" applyFont="1" applyFill="1" applyBorder="1" applyAlignment="1">
      <alignment horizontal="left" vertical="top" wrapText="1"/>
    </xf>
    <xf numFmtId="169" fontId="4" fillId="9" borderId="12" xfId="0" applyNumberFormat="1" applyFont="1" applyFill="1" applyBorder="1" applyAlignment="1">
      <alignment horizontal="left" vertical="top" wrapText="1"/>
    </xf>
    <xf numFmtId="169" fontId="4" fillId="9" borderId="7" xfId="0" applyNumberFormat="1" applyFont="1" applyFill="1" applyBorder="1" applyAlignment="1">
      <alignment horizontal="left" vertical="top" wrapText="1"/>
    </xf>
    <xf numFmtId="0" fontId="3" fillId="0" borderId="0" xfId="0" applyFont="1" applyAlignment="1">
      <alignment vertical="top" wrapText="1"/>
    </xf>
    <xf numFmtId="0" fontId="3" fillId="0" borderId="30" xfId="0" applyFont="1" applyBorder="1" applyAlignment="1">
      <alignment vertical="top" wrapText="1"/>
    </xf>
    <xf numFmtId="0" fontId="3" fillId="0" borderId="0" xfId="0" applyFont="1" applyBorder="1" applyAlignment="1">
      <alignment vertical="top" wrapText="1"/>
    </xf>
    <xf numFmtId="0" fontId="61" fillId="0" borderId="69" xfId="0" applyFont="1" applyBorder="1" applyAlignment="1" applyProtection="1">
      <alignment horizontal="left"/>
      <protection locked="0"/>
    </xf>
    <xf numFmtId="0" fontId="61" fillId="0" borderId="118" xfId="0" applyFont="1" applyBorder="1" applyAlignment="1" applyProtection="1">
      <alignment horizontal="left"/>
      <protection locked="0"/>
    </xf>
    <xf numFmtId="0" fontId="7" fillId="0" borderId="192" xfId="0" applyFont="1" applyBorder="1" applyAlignment="1">
      <alignment horizontal="left"/>
    </xf>
    <xf numFmtId="0" fontId="7" fillId="0" borderId="20" xfId="0" applyFont="1" applyBorder="1" applyAlignment="1">
      <alignment horizontal="left"/>
    </xf>
    <xf numFmtId="0" fontId="7" fillId="0" borderId="104" xfId="0" applyFont="1" applyBorder="1" applyAlignment="1">
      <alignment horizontal="left"/>
    </xf>
    <xf numFmtId="0" fontId="61" fillId="0" borderId="98" xfId="0" applyFont="1" applyBorder="1" applyAlignment="1" applyProtection="1">
      <alignment horizontal="left"/>
      <protection locked="0"/>
    </xf>
    <xf numFmtId="0" fontId="7" fillId="0" borderId="193" xfId="0" applyFont="1" applyBorder="1" applyAlignment="1">
      <alignment horizontal="left"/>
    </xf>
    <xf numFmtId="49" fontId="4" fillId="0" borderId="69" xfId="0" applyNumberFormat="1"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49" fontId="4" fillId="0" borderId="177" xfId="0" applyNumberFormat="1" applyFont="1" applyBorder="1" applyAlignment="1" applyProtection="1">
      <alignment horizontal="left" vertical="top" wrapText="1"/>
      <protection locked="0"/>
    </xf>
    <xf numFmtId="49" fontId="4" fillId="0" borderId="98" xfId="0" applyNumberFormat="1" applyFont="1" applyBorder="1" applyAlignment="1" applyProtection="1">
      <alignment horizontal="left" vertical="top" wrapText="1"/>
      <protection locked="0"/>
    </xf>
    <xf numFmtId="49" fontId="4" fillId="0" borderId="61" xfId="0" applyNumberFormat="1" applyFont="1" applyBorder="1" applyAlignment="1" applyProtection="1">
      <alignment horizontal="left" vertical="top" wrapText="1"/>
      <protection locked="0"/>
    </xf>
    <xf numFmtId="49" fontId="4" fillId="0" borderId="184" xfId="0" applyNumberFormat="1" applyFont="1" applyBorder="1" applyAlignment="1" applyProtection="1">
      <alignment horizontal="left" vertical="top" wrapText="1"/>
      <protection locked="0"/>
    </xf>
    <xf numFmtId="0" fontId="61" fillId="0" borderId="69" xfId="0" applyNumberFormat="1" applyFont="1" applyBorder="1" applyAlignment="1" applyProtection="1">
      <alignment horizontal="left" vertical="top" wrapText="1"/>
      <protection locked="0"/>
    </xf>
    <xf numFmtId="0" fontId="61" fillId="0" borderId="2" xfId="0" applyNumberFormat="1" applyFont="1" applyBorder="1" applyAlignment="1" applyProtection="1">
      <alignment horizontal="left" vertical="top" wrapText="1"/>
      <protection locked="0"/>
    </xf>
    <xf numFmtId="0" fontId="61" fillId="0" borderId="177" xfId="0" applyNumberFormat="1" applyFont="1" applyBorder="1" applyAlignment="1" applyProtection="1">
      <alignment horizontal="left" vertical="top" wrapText="1"/>
      <protection locked="0"/>
    </xf>
    <xf numFmtId="0" fontId="61" fillId="0" borderId="2" xfId="0" applyNumberFormat="1" applyFont="1" applyBorder="1"/>
    <xf numFmtId="0" fontId="61" fillId="0" borderId="177" xfId="0" applyNumberFormat="1" applyFont="1" applyBorder="1"/>
    <xf numFmtId="0" fontId="61" fillId="0" borderId="3" xfId="0" applyFont="1" applyBorder="1" applyAlignment="1">
      <alignment horizontal="left" wrapText="1"/>
    </xf>
    <xf numFmtId="0" fontId="29" fillId="29" borderId="0" xfId="0" applyFont="1" applyFill="1" applyBorder="1" applyAlignment="1">
      <alignment horizontal="left" vertical="top"/>
    </xf>
    <xf numFmtId="0" fontId="29" fillId="10" borderId="0" xfId="0" applyFont="1" applyFill="1" applyBorder="1" applyAlignment="1">
      <alignment horizontal="left" vertical="top"/>
    </xf>
    <xf numFmtId="0" fontId="29" fillId="21" borderId="35" xfId="0" applyFont="1" applyFill="1" applyBorder="1" applyAlignment="1">
      <alignment horizontal="left" vertical="top"/>
    </xf>
    <xf numFmtId="0" fontId="29" fillId="21" borderId="12" xfId="0" applyFont="1" applyFill="1" applyBorder="1" applyAlignment="1">
      <alignment horizontal="left" vertical="top"/>
    </xf>
    <xf numFmtId="0" fontId="29" fillId="21" borderId="6" xfId="0" applyFont="1" applyFill="1" applyBorder="1" applyAlignment="1">
      <alignment horizontal="left" vertical="top"/>
    </xf>
    <xf numFmtId="0" fontId="29" fillId="21" borderId="0" xfId="0" applyFont="1" applyFill="1" applyBorder="1" applyAlignment="1">
      <alignment horizontal="left" vertical="top"/>
    </xf>
    <xf numFmtId="0" fontId="29" fillId="34" borderId="0" xfId="0" applyFont="1" applyFill="1" applyBorder="1" applyAlignment="1">
      <alignment horizontal="left" vertical="top"/>
    </xf>
    <xf numFmtId="0" fontId="29" fillId="31" borderId="0" xfId="0" applyFont="1" applyFill="1" applyBorder="1" applyAlignment="1">
      <alignment horizontal="left" vertical="top"/>
    </xf>
    <xf numFmtId="0" fontId="29" fillId="9" borderId="11" xfId="0" applyFont="1" applyFill="1" applyBorder="1" applyAlignment="1">
      <alignment horizontal="left" vertical="top"/>
    </xf>
    <xf numFmtId="0" fontId="29" fillId="9" borderId="14" xfId="0" applyFont="1" applyFill="1" applyBorder="1" applyAlignment="1">
      <alignment horizontal="left" vertical="top"/>
    </xf>
    <xf numFmtId="0" fontId="1" fillId="2" borderId="110" xfId="0" applyFont="1" applyFill="1" applyBorder="1" applyAlignment="1">
      <alignment horizontal="center"/>
    </xf>
    <xf numFmtId="0" fontId="1" fillId="2" borderId="12" xfId="0" applyFont="1" applyFill="1" applyBorder="1" applyAlignment="1">
      <alignment horizontal="center"/>
    </xf>
    <xf numFmtId="0" fontId="1" fillId="2" borderId="7" xfId="0" applyFont="1" applyFill="1" applyBorder="1" applyAlignment="1">
      <alignment horizontal="center"/>
    </xf>
    <xf numFmtId="0" fontId="24" fillId="2" borderId="35" xfId="0" applyFont="1" applyFill="1" applyBorder="1" applyAlignment="1">
      <alignment horizontal="center" vertical="center" textRotation="90"/>
    </xf>
    <xf numFmtId="0" fontId="24" fillId="2" borderId="12" xfId="0" applyFont="1" applyFill="1" applyBorder="1" applyAlignment="1">
      <alignment horizontal="center" vertical="center" textRotation="90"/>
    </xf>
    <xf numFmtId="0" fontId="24" fillId="2" borderId="7" xfId="0" applyFont="1" applyFill="1" applyBorder="1" applyAlignment="1">
      <alignment horizontal="center" vertical="center" textRotation="90"/>
    </xf>
    <xf numFmtId="0" fontId="1" fillId="0" borderId="0" xfId="0" applyFont="1" applyAlignment="1">
      <alignment horizontal="left" wrapText="1"/>
    </xf>
    <xf numFmtId="0" fontId="1" fillId="0" borderId="3" xfId="0" applyFont="1" applyBorder="1" applyAlignment="1">
      <alignment horizontal="left" wrapText="1"/>
    </xf>
    <xf numFmtId="0" fontId="29" fillId="0" borderId="134" xfId="0" applyFont="1" applyBorder="1" applyAlignment="1">
      <alignment horizontal="left" vertical="center"/>
    </xf>
    <xf numFmtId="0" fontId="29" fillId="0" borderId="0" xfId="0" applyFont="1" applyBorder="1" applyAlignment="1">
      <alignment horizontal="left" vertical="center"/>
    </xf>
    <xf numFmtId="0" fontId="29" fillId="0" borderId="150" xfId="0" applyFont="1" applyBorder="1" applyAlignment="1">
      <alignment horizontal="left" vertical="center"/>
    </xf>
  </cellXfs>
  <cellStyles count="4">
    <cellStyle name="Link" xfId="1" builtinId="8"/>
    <cellStyle name="Standard" xfId="0" builtinId="0"/>
    <cellStyle name="Standard 2" xfId="2"/>
    <cellStyle name="Standard 3" xfId="3"/>
  </cellStyles>
  <dxfs count="46">
    <dxf>
      <fill>
        <patternFill>
          <bgColor rgb="FFCC99FF"/>
        </patternFill>
      </fill>
    </dxf>
    <dxf>
      <fill>
        <patternFill>
          <bgColor rgb="FFFF99FF"/>
        </patternFill>
      </fill>
      <border>
        <top style="thin">
          <color indexed="64"/>
        </top>
        <bottom style="thin">
          <color indexed="64"/>
        </bottom>
      </border>
    </dxf>
    <dxf>
      <fill>
        <patternFill>
          <bgColor rgb="FFCC99FF"/>
        </patternFill>
      </fill>
    </dxf>
    <dxf>
      <fill>
        <patternFill>
          <bgColor rgb="FFFF99FF"/>
        </patternFill>
      </fill>
      <border>
        <top style="thin">
          <color indexed="64"/>
        </top>
        <bottom style="thin">
          <color indexed="64"/>
        </bottom>
      </border>
    </dxf>
    <dxf>
      <fill>
        <patternFill>
          <bgColor rgb="FFCC99FF"/>
        </patternFill>
      </fill>
    </dxf>
    <dxf>
      <fill>
        <patternFill>
          <bgColor rgb="FFFF99FF"/>
        </patternFill>
      </fill>
      <border>
        <top style="thin">
          <color indexed="64"/>
        </top>
        <bottom style="thin">
          <color indexed="64"/>
        </bottom>
      </border>
    </dxf>
    <dxf>
      <font>
        <b/>
        <i val="0"/>
        <condense val="0"/>
        <extend val="0"/>
        <color indexed="10"/>
      </font>
    </dxf>
    <dxf>
      <font>
        <condense val="0"/>
        <extend val="0"/>
        <color indexed="9"/>
      </font>
    </dxf>
    <dxf>
      <font>
        <b/>
        <i/>
        <condense val="0"/>
        <extend val="0"/>
        <color indexed="10"/>
      </font>
    </dxf>
    <dxf>
      <font>
        <b/>
        <i/>
        <condense val="0"/>
        <extend val="0"/>
        <color indexed="10"/>
      </font>
    </dxf>
    <dxf>
      <font>
        <condense val="0"/>
        <extend val="0"/>
        <color auto="1"/>
      </font>
    </dxf>
    <dxf>
      <font>
        <condense val="0"/>
        <extend val="0"/>
        <color auto="1"/>
      </font>
    </dxf>
    <dxf>
      <font>
        <condense val="0"/>
        <extend val="0"/>
        <color auto="1"/>
      </font>
    </dxf>
    <dxf>
      <font>
        <b/>
        <i/>
        <condense val="0"/>
        <extend val="0"/>
        <color indexed="10"/>
      </font>
    </dxf>
    <dxf>
      <font>
        <b/>
        <i/>
        <condense val="0"/>
        <extend val="0"/>
        <color indexed="10"/>
      </font>
    </dxf>
    <dxf>
      <font>
        <condense val="0"/>
        <extend val="0"/>
        <color auto="1"/>
      </font>
    </dxf>
    <dxf>
      <fill>
        <patternFill>
          <bgColor rgb="FFFF3300"/>
        </patternFill>
      </fill>
    </dxf>
    <dxf>
      <font>
        <color auto="1"/>
      </font>
      <fill>
        <patternFill>
          <bgColor rgb="FFCCFFFF"/>
        </patternFill>
      </fill>
    </dxf>
    <dxf>
      <fill>
        <patternFill>
          <bgColor rgb="FFFF3300"/>
        </patternFill>
      </fill>
    </dxf>
    <dxf>
      <font>
        <color auto="1"/>
      </font>
      <fill>
        <patternFill>
          <bgColor rgb="FFCCFFFF"/>
        </patternFill>
      </fill>
    </dxf>
    <dxf>
      <fill>
        <patternFill>
          <bgColor rgb="FFFF3300"/>
        </patternFill>
      </fill>
    </dxf>
    <dxf>
      <font>
        <color auto="1"/>
      </font>
      <fill>
        <patternFill>
          <bgColor rgb="FFCCFFFF"/>
        </patternFill>
      </fill>
    </dxf>
    <dxf>
      <font>
        <b/>
        <i/>
        <condense val="0"/>
        <extend val="0"/>
        <color indexed="10"/>
      </font>
    </dxf>
    <dxf>
      <font>
        <condense val="0"/>
        <extend val="0"/>
        <color auto="1"/>
      </font>
    </dxf>
    <dxf>
      <fill>
        <patternFill>
          <bgColor theme="0"/>
        </patternFill>
      </fill>
    </dxf>
    <dxf>
      <fill>
        <patternFill>
          <bgColor theme="0"/>
        </patternFill>
      </fill>
    </dxf>
    <dxf>
      <fill>
        <patternFill>
          <bgColor theme="0"/>
        </patternFill>
      </fill>
    </dxf>
    <dxf>
      <fill>
        <patternFill>
          <bgColor theme="0"/>
        </patternFill>
      </fill>
    </dxf>
    <dxf>
      <font>
        <b/>
        <i/>
        <condense val="0"/>
        <extend val="0"/>
        <color indexed="10"/>
      </font>
    </dxf>
    <dxf>
      <font>
        <b/>
        <i/>
        <condense val="0"/>
        <extend val="0"/>
        <color indexed="10"/>
      </font>
    </dxf>
    <dxf>
      <font>
        <b/>
        <i val="0"/>
        <condense val="0"/>
        <extend val="0"/>
        <color indexed="10"/>
      </font>
    </dxf>
    <dxf>
      <font>
        <b/>
        <i val="0"/>
        <condense val="0"/>
        <extend val="0"/>
      </font>
    </dxf>
    <dxf>
      <font>
        <condense val="0"/>
        <extend val="0"/>
        <color auto="1"/>
      </font>
    </dxf>
    <dxf>
      <fill>
        <patternFill>
          <bgColor rgb="FFCCFFFF"/>
        </patternFill>
      </fill>
      <border>
        <top style="thin">
          <color indexed="64"/>
        </top>
        <bottom style="thin">
          <color indexed="64"/>
        </bottom>
      </border>
    </dxf>
    <dxf>
      <font>
        <b/>
        <i/>
        <condense val="0"/>
        <extend val="0"/>
        <color indexed="10"/>
      </font>
    </dxf>
    <dxf>
      <font>
        <b/>
        <i/>
        <condense val="0"/>
        <extend val="0"/>
        <color indexed="10"/>
      </font>
    </dxf>
    <dxf>
      <font>
        <condense val="0"/>
        <extend val="0"/>
        <color auto="1"/>
      </font>
    </dxf>
    <dxf>
      <font>
        <b/>
        <i val="0"/>
        <condense val="0"/>
        <extend val="0"/>
        <color indexed="10"/>
      </font>
    </dxf>
    <dxf>
      <font>
        <b/>
        <i val="0"/>
        <condense val="0"/>
        <extend val="0"/>
      </font>
    </dxf>
    <dxf>
      <font>
        <b/>
        <i val="0"/>
        <condense val="0"/>
        <extend val="0"/>
        <color indexed="57"/>
      </font>
    </dxf>
    <dxf>
      <font>
        <b val="0"/>
        <i/>
        <condense val="0"/>
        <extend val="0"/>
        <color indexed="23"/>
      </font>
    </dxf>
    <dxf>
      <font>
        <b val="0"/>
        <i/>
        <condense val="0"/>
        <extend val="0"/>
        <color indexed="23"/>
      </font>
    </dxf>
    <dxf>
      <font>
        <b val="0"/>
        <i/>
        <condense val="0"/>
        <extend val="0"/>
        <color indexed="23"/>
      </font>
    </dxf>
    <dxf>
      <font>
        <b val="0"/>
        <i/>
        <condense val="0"/>
        <extend val="0"/>
        <color indexed="23"/>
      </font>
    </dxf>
    <dxf>
      <font>
        <b val="0"/>
        <i/>
        <condense val="0"/>
        <extend val="0"/>
        <color indexed="23"/>
      </font>
    </dxf>
    <dxf>
      <font>
        <b val="0"/>
        <i/>
        <condense val="0"/>
        <extend val="0"/>
        <color indexed="23"/>
      </font>
    </dxf>
  </dxfs>
  <tableStyles count="0" defaultTableStyle="TableStyleMedium9" defaultPivotStyle="PivotStyleLight16"/>
  <colors>
    <mruColors>
      <color rgb="FFC0C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Radio" firstButton="1" fmlaLink="VIEW_EIGN" lockText="1" noThreeD="1"/>
</file>

<file path=xl/ctrlProps/ctrlProp10.xml><?xml version="1.0" encoding="utf-8"?>
<formControlPr xmlns="http://schemas.microsoft.com/office/spreadsheetml/2009/9/main" objectType="Radio" firstButton="1" fmlaLink="SEITE_BUCH" lockText="1" noThreeD="1"/>
</file>

<file path=xl/ctrlProps/ctrlProp11.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checked="Checked" firstButton="1" fmlaLink="WUNDEN"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Radio" lockText="1"/>
</file>

<file path=xl/ctrlProps/ctrlProp8.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drawings/_rels/drawing10.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6.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_rels/drawing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18</xdr:col>
      <xdr:colOff>19050</xdr:colOff>
      <xdr:row>0</xdr:row>
      <xdr:rowOff>212725</xdr:rowOff>
    </xdr:from>
    <xdr:to>
      <xdr:col>26</xdr:col>
      <xdr:colOff>241300</xdr:colOff>
      <xdr:row>1</xdr:row>
      <xdr:rowOff>222250</xdr:rowOff>
    </xdr:to>
    <xdr:sp macro="" textlink="">
      <xdr:nvSpPr>
        <xdr:cNvPr id="18494" name="AutoShape 62"/>
        <xdr:cNvSpPr>
          <a:spLocks/>
        </xdr:cNvSpPr>
      </xdr:nvSpPr>
      <xdr:spPr bwMode="auto">
        <a:xfrm>
          <a:off x="7705725" y="212725"/>
          <a:ext cx="3317875" cy="457200"/>
        </a:xfrm>
        <a:prstGeom prst="borderCallout2">
          <a:avLst>
            <a:gd name="adj1" fmla="val 25000"/>
            <a:gd name="adj2" fmla="val -2931"/>
            <a:gd name="adj3" fmla="val 25000"/>
            <a:gd name="adj4" fmla="val -11722"/>
            <a:gd name="adj5" fmla="val 104006"/>
            <a:gd name="adj6" fmla="val -24514"/>
          </a:avLst>
        </a:prstGeom>
        <a:solidFill>
          <a:srgbClr val="FFFFFF"/>
        </a:solidFill>
        <a:ln w="9525">
          <a:solidFill>
            <a:srgbClr val="000000"/>
          </a:solidFill>
          <a:miter lim="800000"/>
          <a:headEnd/>
          <a:tailEnd type="arrow" w="lg" len="lg"/>
        </a:ln>
      </xdr:spPr>
      <xdr:txBody>
        <a:bodyPr vertOverflow="clip" wrap="square" lIns="27432" tIns="22860" rIns="0" bIns="0" anchor="t" upright="1"/>
        <a:lstStyle/>
        <a:p>
          <a:pPr algn="l" rtl="1">
            <a:defRPr sz="1000"/>
          </a:pPr>
          <a:r>
            <a:rPr lang="de-CH" sz="800" b="0" i="1" strike="noStrike">
              <a:solidFill>
                <a:srgbClr val="000000"/>
              </a:solidFill>
              <a:latin typeface="Arial"/>
              <a:cs typeface="Arial"/>
            </a:rPr>
            <a:t>Hier die AP eintragen, die im Laufe von Abenteuern hinzugekommen sind (</a:t>
          </a:r>
          <a:r>
            <a:rPr lang="de-CH" sz="800" b="1" i="1" strike="noStrike">
              <a:solidFill>
                <a:srgbClr val="000000"/>
              </a:solidFill>
              <a:latin typeface="Arial"/>
              <a:cs typeface="Arial"/>
            </a:rPr>
            <a:t>NICHT</a:t>
          </a:r>
          <a:r>
            <a:rPr lang="de-CH" sz="800" b="0" i="1" strike="noStrike">
              <a:solidFill>
                <a:srgbClr val="000000"/>
              </a:solidFill>
              <a:latin typeface="Arial"/>
              <a:cs typeface="Arial"/>
            </a:rPr>
            <a:t> die aus der Konvertierung, die sind schon verrechnet).</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809625</xdr:colOff>
      <xdr:row>0</xdr:row>
      <xdr:rowOff>123825</xdr:rowOff>
    </xdr:from>
    <xdr:to>
      <xdr:col>11</xdr:col>
      <xdr:colOff>390525</xdr:colOff>
      <xdr:row>0</xdr:row>
      <xdr:rowOff>504825</xdr:rowOff>
    </xdr:to>
    <xdr:pic>
      <xdr:nvPicPr>
        <xdr:cNvPr id="315531"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857250" y="123825"/>
          <a:ext cx="5810250" cy="381000"/>
        </a:xfrm>
        <a:prstGeom prst="rect">
          <a:avLst/>
        </a:prstGeom>
        <a:noFill/>
        <a:ln w="1">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16</xdr:col>
          <xdr:colOff>190500</xdr:colOff>
          <xdr:row>3</xdr:row>
          <xdr:rowOff>38100</xdr:rowOff>
        </xdr:from>
        <xdr:to>
          <xdr:col>16</xdr:col>
          <xdr:colOff>1895475</xdr:colOff>
          <xdr:row>4</xdr:row>
          <xdr:rowOff>66675</xdr:rowOff>
        </xdr:to>
        <xdr:sp macro="" textlink="">
          <xdr:nvSpPr>
            <xdr:cNvPr id="227173" name="Seitenzahlen Liber Liturgium" hidden="1">
              <a:extLst>
                <a:ext uri="{63B3BB69-23CF-44E3-9099-C40C66FF867C}">
                  <a14:compatExt spid="_x0000_s22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Seitenzahlen Liber Liturgium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xdr:row>
          <xdr:rowOff>76200</xdr:rowOff>
        </xdr:from>
        <xdr:to>
          <xdr:col>16</xdr:col>
          <xdr:colOff>1981200</xdr:colOff>
          <xdr:row>5</xdr:row>
          <xdr:rowOff>104775</xdr:rowOff>
        </xdr:to>
        <xdr:sp macro="" textlink="">
          <xdr:nvSpPr>
            <xdr:cNvPr id="227174" name="Option_WDG" hidden="1">
              <a:extLst>
                <a:ext uri="{63B3BB69-23CF-44E3-9099-C40C66FF867C}">
                  <a14:compatExt spid="_x0000_s22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Seitenzahlen WdG</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228600</xdr:colOff>
      <xdr:row>0</xdr:row>
      <xdr:rowOff>381000</xdr:rowOff>
    </xdr:to>
    <xdr:pic>
      <xdr:nvPicPr>
        <xdr:cNvPr id="316555" name="Picture 2" descr="bekannte"/>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6438900" cy="3810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1647825</xdr:colOff>
      <xdr:row>0</xdr:row>
      <xdr:rowOff>0</xdr:rowOff>
    </xdr:from>
    <xdr:to>
      <xdr:col>3</xdr:col>
      <xdr:colOff>38100</xdr:colOff>
      <xdr:row>0</xdr:row>
      <xdr:rowOff>352425</xdr:rowOff>
    </xdr:to>
    <xdr:pic>
      <xdr:nvPicPr>
        <xdr:cNvPr id="317579"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1866900" y="0"/>
          <a:ext cx="2581275" cy="352425"/>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9524</xdr:colOff>
      <xdr:row>3</xdr:row>
      <xdr:rowOff>28575</xdr:rowOff>
    </xdr:from>
    <xdr:to>
      <xdr:col>21</xdr:col>
      <xdr:colOff>238125</xdr:colOff>
      <xdr:row>3</xdr:row>
      <xdr:rowOff>180973</xdr:rowOff>
    </xdr:to>
    <xdr:sp macro="" textlink="">
      <xdr:nvSpPr>
        <xdr:cNvPr id="10243" name="AutoShape 3"/>
        <xdr:cNvSpPr>
          <a:spLocks/>
        </xdr:cNvSpPr>
      </xdr:nvSpPr>
      <xdr:spPr bwMode="auto">
        <a:xfrm>
          <a:off x="4591049" y="971550"/>
          <a:ext cx="6019801" cy="152398"/>
        </a:xfrm>
        <a:prstGeom prst="borderCallout2">
          <a:avLst>
            <a:gd name="adj1" fmla="val 43750"/>
            <a:gd name="adj2" fmla="val -273"/>
            <a:gd name="adj3" fmla="val 43929"/>
            <a:gd name="adj4" fmla="val -7378"/>
            <a:gd name="adj5" fmla="val 110983"/>
            <a:gd name="adj6" fmla="val -9822"/>
          </a:avLst>
        </a:prstGeom>
        <a:solidFill>
          <a:srgbClr val="FFFFFF"/>
        </a:solidFill>
        <a:ln w="9525">
          <a:solidFill>
            <a:srgbClr val="000000"/>
          </a:solidFill>
          <a:miter lim="800000"/>
          <a:headEnd/>
          <a:tailEnd type="arrow" w="lg" len="lg"/>
        </a:ln>
      </xdr:spPr>
      <xdr:txBody>
        <a:bodyPr vertOverflow="clip" wrap="square" lIns="27432" tIns="22860" rIns="27432" bIns="0" anchor="t" upright="1"/>
        <a:lstStyle/>
        <a:p>
          <a:pPr marL="0" marR="0" indent="0" algn="l" defTabSz="914400" rtl="1" eaLnBrk="1" fontAlgn="auto" latinLnBrk="0" hangingPunct="1">
            <a:lnSpc>
              <a:spcPct val="100000"/>
            </a:lnSpc>
            <a:spcBef>
              <a:spcPts val="0"/>
            </a:spcBef>
            <a:spcAft>
              <a:spcPts val="0"/>
            </a:spcAft>
            <a:buClrTx/>
            <a:buSzTx/>
            <a:buFontTx/>
            <a:buNone/>
            <a:tabLst/>
            <a:defRPr sz="1000"/>
          </a:pPr>
          <a:r>
            <a:rPr lang="de-CH" sz="800" b="0" i="1">
              <a:latin typeface="Arial" pitchFamily="34" charset="0"/>
              <a:ea typeface="+mn-ea"/>
              <a:cs typeface="Arial" pitchFamily="34" charset="0"/>
            </a:rPr>
            <a:t>Hier eintragen, um wieviel TaW der Wert steigen soll (zählt kummulativ zu Startwert und Steigerung mit </a:t>
          </a:r>
          <a:r>
            <a:rPr lang="de-CH" sz="800" b="0" i="1" baseline="0">
              <a:latin typeface="Arial" pitchFamily="34" charset="0"/>
              <a:ea typeface="+mn-ea"/>
              <a:cs typeface="Arial" pitchFamily="34" charset="0"/>
            </a:rPr>
            <a:t> Start</a:t>
          </a:r>
          <a:r>
            <a:rPr lang="de-CH" sz="800" b="0" i="1">
              <a:latin typeface="Arial" pitchFamily="34" charset="0"/>
              <a:ea typeface="+mn-ea"/>
              <a:cs typeface="Arial" pitchFamily="34" charset="0"/>
            </a:rPr>
            <a:t>-AP).</a:t>
          </a:r>
          <a:endParaRPr lang="de-CH" sz="800">
            <a:latin typeface="Arial" pitchFamily="34" charset="0"/>
            <a:cs typeface="Arial" pitchFamily="34" charset="0"/>
          </a:endParaRPr>
        </a:p>
      </xdr:txBody>
    </xdr:sp>
    <xdr:clientData/>
  </xdr:twoCellAnchor>
  <xdr:twoCellAnchor>
    <xdr:from>
      <xdr:col>10</xdr:col>
      <xdr:colOff>19048</xdr:colOff>
      <xdr:row>1</xdr:row>
      <xdr:rowOff>228600</xdr:rowOff>
    </xdr:from>
    <xdr:to>
      <xdr:col>21</xdr:col>
      <xdr:colOff>247650</xdr:colOff>
      <xdr:row>2</xdr:row>
      <xdr:rowOff>209549</xdr:rowOff>
    </xdr:to>
    <xdr:sp macro="" textlink="">
      <xdr:nvSpPr>
        <xdr:cNvPr id="10244" name="AutoShape 4"/>
        <xdr:cNvSpPr>
          <a:spLocks/>
        </xdr:cNvSpPr>
      </xdr:nvSpPr>
      <xdr:spPr bwMode="auto">
        <a:xfrm>
          <a:off x="4600573" y="676275"/>
          <a:ext cx="6019802" cy="266699"/>
        </a:xfrm>
        <a:prstGeom prst="borderCallout2">
          <a:avLst>
            <a:gd name="adj1" fmla="val 69356"/>
            <a:gd name="adj2" fmla="val -36"/>
            <a:gd name="adj3" fmla="val 70837"/>
            <a:gd name="adj4" fmla="val -14988"/>
            <a:gd name="adj5" fmla="val 181098"/>
            <a:gd name="adj6" fmla="val -19153"/>
          </a:avLst>
        </a:prstGeom>
        <a:solidFill>
          <a:srgbClr val="FFFFFF"/>
        </a:solidFill>
        <a:ln w="9525">
          <a:solidFill>
            <a:srgbClr val="000000"/>
          </a:solidFill>
          <a:miter lim="800000"/>
          <a:headEnd/>
          <a:tailEnd type="arrow" w="lg" len="lg"/>
        </a:ln>
      </xdr:spPr>
      <xdr:txBody>
        <a:bodyPr vertOverflow="clip" wrap="square" lIns="27432" tIns="22860" rIns="27432" bIns="0" anchor="t" upright="1"/>
        <a:lstStyle/>
        <a:p>
          <a:pPr algn="l" rtl="1">
            <a:defRPr sz="1000"/>
          </a:pPr>
          <a:r>
            <a:rPr lang="de-CH" sz="800" b="0" i="1" strike="noStrike">
              <a:solidFill>
                <a:srgbClr val="000000"/>
              </a:solidFill>
              <a:latin typeface="Arial"/>
              <a:cs typeface="Arial"/>
            </a:rPr>
            <a:t>Bitte hier eintragen, um wieviel  der Wert bei der Generierung steigen soll. Nicht vorhandene Talente werden automatisch </a:t>
          </a:r>
          <a:r>
            <a:rPr lang="de-CH" sz="800" b="0" i="1" strike="noStrike" baseline="0">
              <a:solidFill>
                <a:srgbClr val="000000"/>
              </a:solidFill>
              <a:latin typeface="Arial"/>
              <a:cs typeface="Arial"/>
            </a:rPr>
            <a:t> </a:t>
          </a:r>
          <a:r>
            <a:rPr lang="de-CH" sz="800" b="0" i="1" strike="noStrike">
              <a:solidFill>
                <a:srgbClr val="000000"/>
              </a:solidFill>
              <a:latin typeface="Arial"/>
              <a:cs typeface="Arial"/>
            </a:rPr>
            <a:t>aktiviert . Leittalente</a:t>
          </a:r>
          <a:r>
            <a:rPr lang="de-CH" sz="800" b="0" i="1" strike="noStrike" baseline="0">
              <a:solidFill>
                <a:srgbClr val="000000"/>
              </a:solidFill>
              <a:latin typeface="Arial"/>
              <a:cs typeface="Arial"/>
            </a:rPr>
            <a:t> können mit "L" eingetragen werden (also 0L oder 5L)</a:t>
          </a:r>
          <a:endParaRPr lang="de-CH" sz="800" b="0" i="1" strike="noStrike">
            <a:solidFill>
              <a:srgbClr val="000000"/>
            </a:solidFill>
            <a:latin typeface="Arial"/>
            <a:cs typeface="Arial"/>
          </a:endParaRPr>
        </a:p>
      </xdr:txBody>
    </xdr:sp>
    <xdr:clientData/>
  </xdr:twoCellAnchor>
  <xdr:twoCellAnchor>
    <xdr:from>
      <xdr:col>17</xdr:col>
      <xdr:colOff>433388</xdr:colOff>
      <xdr:row>11</xdr:row>
      <xdr:rowOff>1314450</xdr:rowOff>
    </xdr:from>
    <xdr:to>
      <xdr:col>21</xdr:col>
      <xdr:colOff>533400</xdr:colOff>
      <xdr:row>11</xdr:row>
      <xdr:rowOff>1590674</xdr:rowOff>
    </xdr:to>
    <xdr:sp macro="" textlink="">
      <xdr:nvSpPr>
        <xdr:cNvPr id="10289" name="AutoShape 49"/>
        <xdr:cNvSpPr>
          <a:spLocks/>
        </xdr:cNvSpPr>
      </xdr:nvSpPr>
      <xdr:spPr bwMode="auto">
        <a:xfrm>
          <a:off x="8015288" y="3924300"/>
          <a:ext cx="2890837" cy="276224"/>
        </a:xfrm>
        <a:prstGeom prst="borderCallout2">
          <a:avLst>
            <a:gd name="adj1" fmla="val 95710"/>
            <a:gd name="adj2" fmla="val -1224"/>
            <a:gd name="adj3" fmla="val 94734"/>
            <a:gd name="adj4" fmla="val -26642"/>
            <a:gd name="adj5" fmla="val 120770"/>
            <a:gd name="adj6" fmla="val -29084"/>
          </a:avLst>
        </a:prstGeom>
        <a:solidFill>
          <a:srgbClr val="FFFFFF"/>
        </a:solidFill>
        <a:ln w="9525">
          <a:solidFill>
            <a:srgbClr val="000000"/>
          </a:solidFill>
          <a:miter lim="800000"/>
          <a:headEnd/>
          <a:tailEnd type="arrow" w="lg" len="lg"/>
        </a:ln>
      </xdr:spPr>
      <xdr:txBody>
        <a:bodyPr vertOverflow="clip" wrap="square" lIns="27432" tIns="22860" rIns="27432" bIns="0" anchor="t" upright="1"/>
        <a:lstStyle/>
        <a:p>
          <a:pPr algn="l" rtl="1">
            <a:defRPr sz="1000"/>
          </a:pPr>
          <a:r>
            <a:rPr lang="de-CH" sz="800" b="0" i="1" strike="noStrike">
              <a:solidFill>
                <a:srgbClr val="000000"/>
              </a:solidFill>
              <a:latin typeface="Arial"/>
              <a:cs typeface="Arial"/>
            </a:rPr>
            <a:t>Hier eintragen, wie TaP auf AT und PA verteilt werden. Nur AT-Wert eintragen, der PA-Wert berechnet sich automatisch.</a:t>
          </a:r>
        </a:p>
      </xdr:txBody>
    </xdr:sp>
    <xdr:clientData/>
  </xdr:twoCellAnchor>
  <xdr:twoCellAnchor>
    <xdr:from>
      <xdr:col>10</xdr:col>
      <xdr:colOff>9523</xdr:colOff>
      <xdr:row>0</xdr:row>
      <xdr:rowOff>28575</xdr:rowOff>
    </xdr:from>
    <xdr:to>
      <xdr:col>21</xdr:col>
      <xdr:colOff>238125</xdr:colOff>
      <xdr:row>1</xdr:row>
      <xdr:rowOff>123825</xdr:rowOff>
    </xdr:to>
    <xdr:sp macro="" textlink="">
      <xdr:nvSpPr>
        <xdr:cNvPr id="10316" name="AutoShape 76"/>
        <xdr:cNvSpPr>
          <a:spLocks/>
        </xdr:cNvSpPr>
      </xdr:nvSpPr>
      <xdr:spPr bwMode="auto">
        <a:xfrm>
          <a:off x="4591048" y="28575"/>
          <a:ext cx="6019802" cy="542925"/>
        </a:xfrm>
        <a:prstGeom prst="borderCallout2">
          <a:avLst>
            <a:gd name="adj1" fmla="val 35296"/>
            <a:gd name="adj2" fmla="val -731"/>
            <a:gd name="adj3" fmla="val 75773"/>
            <a:gd name="adj4" fmla="val -18241"/>
            <a:gd name="adj5" fmla="val 206551"/>
            <a:gd name="adj6" fmla="val -25644"/>
          </a:avLst>
        </a:prstGeom>
        <a:solidFill>
          <a:srgbClr val="FFFFFF"/>
        </a:solidFill>
        <a:ln w="9525">
          <a:solidFill>
            <a:srgbClr val="000000"/>
          </a:solidFill>
          <a:miter lim="800000"/>
          <a:headEnd/>
          <a:tailEnd type="arrow" w="lg" len="lg"/>
        </a:ln>
      </xdr:spPr>
      <xdr:txBody>
        <a:bodyPr vertOverflow="clip" wrap="square" lIns="27432" tIns="22860" rIns="0" bIns="0" anchor="t" upright="1"/>
        <a:lstStyle/>
        <a:p>
          <a:pPr algn="l" rtl="1">
            <a:defRPr sz="1000"/>
          </a:pPr>
          <a:r>
            <a:rPr lang="de-CH" sz="800" b="0" i="1" strike="noStrike">
              <a:solidFill>
                <a:srgbClr val="000000"/>
              </a:solidFill>
              <a:latin typeface="Arial"/>
              <a:cs typeface="Arial"/>
            </a:rPr>
            <a:t>Spezielle Erfahrungen  &amp; Lernerschwernisse für das jeweilige Talent hier eintragen. Die korrekte Syntax ist ";TaW;[Taw];" also für eine spezielle Erfahrung für TaW 7 und eine für TaW 9 folgendes eintragen:  </a:t>
          </a:r>
          <a:r>
            <a:rPr lang="de-CH" sz="800" b="0" i="1" strike="noStrike">
              <a:solidFill>
                <a:srgbClr val="FF0000"/>
              </a:solidFill>
              <a:latin typeface="Arial"/>
              <a:cs typeface="Arial"/>
            </a:rPr>
            <a:t>;7;9;</a:t>
          </a:r>
          <a:r>
            <a:rPr lang="de-CH" sz="800" b="0" i="1" strike="noStrike" baseline="0">
              <a:solidFill>
                <a:srgbClr val="FF0000"/>
              </a:solidFill>
              <a:latin typeface="Arial"/>
              <a:cs typeface="Arial"/>
            </a:rPr>
            <a:t>  </a:t>
          </a:r>
          <a:r>
            <a:rPr lang="de-CH" sz="800" b="0" i="1" strike="noStrike" baseline="0">
              <a:solidFill>
                <a:sysClr val="windowText" lastClr="000000"/>
              </a:solidFill>
              <a:latin typeface="Arial"/>
              <a:cs typeface="Arial"/>
            </a:rPr>
            <a:t>Erweiterte Syntax mit : getrennte Angaben der Spalteenerleichterung. </a:t>
          </a:r>
          <a:r>
            <a:rPr lang="de-CH" sz="800" b="0" i="1" strike="noStrike" baseline="0">
              <a:solidFill>
                <a:srgbClr val="FF0000"/>
              </a:solidFill>
              <a:latin typeface="Arial"/>
              <a:cs typeface="Arial"/>
            </a:rPr>
            <a:t>;7:3; </a:t>
          </a:r>
          <a:r>
            <a:rPr lang="de-CH" sz="800" b="0" i="1" strike="noStrike" baseline="0">
              <a:solidFill>
                <a:sysClr val="windowText" lastClr="000000"/>
              </a:solidFill>
              <a:latin typeface="Arial"/>
              <a:cs typeface="Arial"/>
            </a:rPr>
            <a:t>erleichtert für Steigerung auf Wert 7 um 3 Spalten.</a:t>
          </a:r>
          <a:r>
            <a:rPr lang="de-CH" sz="800" b="0" i="1" strike="noStrike" baseline="0">
              <a:solidFill>
                <a:srgbClr val="FF0000"/>
              </a:solidFill>
              <a:latin typeface="Arial"/>
              <a:cs typeface="Arial"/>
            </a:rPr>
            <a:t> </a:t>
          </a:r>
          <a:r>
            <a:rPr lang="de-CH" sz="800" b="0" i="1" strike="noStrike" baseline="0">
              <a:solidFill>
                <a:sysClr val="windowText" lastClr="000000"/>
              </a:solidFill>
              <a:latin typeface="Arial"/>
              <a:cs typeface="Arial"/>
            </a:rPr>
            <a:t>Ausnahme: </a:t>
          </a:r>
          <a:r>
            <a:rPr lang="de-CH" sz="800" b="0" i="1" strike="noStrike" baseline="0">
              <a:solidFill>
                <a:srgbClr val="FF0000"/>
              </a:solidFill>
              <a:latin typeface="Arial"/>
              <a:cs typeface="Arial"/>
            </a:rPr>
            <a:t>;7:0; steigert kostenlos. </a:t>
          </a:r>
          <a:r>
            <a:rPr lang="de-CH" sz="800" b="0" i="1" strike="noStrike" baseline="0">
              <a:solidFill>
                <a:sysClr val="windowText" lastClr="000000"/>
              </a:solidFill>
              <a:latin typeface="Arial"/>
              <a:cs typeface="Arial"/>
            </a:rPr>
            <a:t>Syntax für </a:t>
          </a:r>
          <a:r>
            <a:rPr lang="de-CH" sz="800" b="0" i="1" strike="noStrike" baseline="0">
              <a:solidFill>
                <a:srgbClr val="FF0000"/>
              </a:solidFill>
              <a:latin typeface="Arial"/>
              <a:cs typeface="Arial"/>
            </a:rPr>
            <a:t>Lernerschwernisse  </a:t>
          </a:r>
          <a:r>
            <a:rPr lang="de-CH" sz="800" b="0" i="1" strike="noStrike" baseline="0">
              <a:solidFill>
                <a:sysClr val="windowText" lastClr="000000"/>
              </a:solidFill>
              <a:latin typeface="Arial"/>
              <a:cs typeface="Arial"/>
            </a:rPr>
            <a:t>bei Steigerung mit AP ist  </a:t>
          </a:r>
          <a:r>
            <a:rPr lang="de-CH" sz="800" b="0" i="1" strike="noStrike" baseline="0">
              <a:solidFill>
                <a:srgbClr val="FF0000"/>
              </a:solidFill>
              <a:latin typeface="Arial"/>
              <a:cs typeface="Arial"/>
            </a:rPr>
            <a:t>;7+2;  </a:t>
          </a:r>
          <a:r>
            <a:rPr lang="de-CH" sz="800" b="0" i="1" strike="noStrike" baseline="0">
              <a:solidFill>
                <a:sysClr val="windowText" lastClr="000000"/>
              </a:solidFill>
              <a:latin typeface="Arial"/>
              <a:cs typeface="Arial"/>
            </a:rPr>
            <a:t>was um zwei Spalten verteuert. </a:t>
          </a:r>
          <a:r>
            <a:rPr lang="de-CH" sz="800" b="0" i="1" strike="noStrike">
              <a:solidFill>
                <a:srgbClr val="000000"/>
              </a:solidFill>
              <a:latin typeface="Arial"/>
              <a:cs typeface="Arial"/>
            </a:rPr>
            <a:t>Strichpunkte am Anfang &amp; Ende erforderlich!</a:t>
          </a:r>
        </a:p>
      </xdr:txBody>
    </xdr:sp>
    <xdr:clientData/>
  </xdr:twoCellAnchor>
  <xdr:twoCellAnchor>
    <xdr:from>
      <xdr:col>0</xdr:col>
      <xdr:colOff>9525</xdr:colOff>
      <xdr:row>0</xdr:row>
      <xdr:rowOff>419099</xdr:rowOff>
    </xdr:from>
    <xdr:to>
      <xdr:col>3</xdr:col>
      <xdr:colOff>0</xdr:colOff>
      <xdr:row>3</xdr:row>
      <xdr:rowOff>104775</xdr:rowOff>
    </xdr:to>
    <xdr:sp macro="" textlink="">
      <xdr:nvSpPr>
        <xdr:cNvPr id="6" name="AutoShape 3"/>
        <xdr:cNvSpPr>
          <a:spLocks/>
        </xdr:cNvSpPr>
      </xdr:nvSpPr>
      <xdr:spPr bwMode="auto">
        <a:xfrm>
          <a:off x="9525" y="419099"/>
          <a:ext cx="2333625" cy="628651"/>
        </a:xfrm>
        <a:prstGeom prst="borderCallout2">
          <a:avLst>
            <a:gd name="adj1" fmla="val 49265"/>
            <a:gd name="adj2" fmla="val 101382"/>
            <a:gd name="adj3" fmla="val 66911"/>
            <a:gd name="adj4" fmla="val 108171"/>
            <a:gd name="adj5" fmla="val 117257"/>
            <a:gd name="adj6" fmla="val 108066"/>
          </a:avLst>
        </a:prstGeom>
        <a:solidFill>
          <a:srgbClr val="FFFFFF"/>
        </a:solidFill>
        <a:ln w="9525">
          <a:solidFill>
            <a:srgbClr val="000000"/>
          </a:solidFill>
          <a:miter lim="800000"/>
          <a:headEnd/>
          <a:tailEnd type="arrow" w="lg" len="lg"/>
        </a:ln>
      </xdr:spPr>
      <xdr:txBody>
        <a:bodyPr vertOverflow="clip" wrap="square" lIns="27432" tIns="22860" rIns="27432" bIns="0" anchor="t" upright="1"/>
        <a:lstStyle/>
        <a:p>
          <a:pPr marL="0" marR="0" indent="0" algn="l" defTabSz="914400" rtl="1" eaLnBrk="1" fontAlgn="auto" latinLnBrk="0" hangingPunct="1">
            <a:lnSpc>
              <a:spcPct val="100000"/>
            </a:lnSpc>
            <a:spcBef>
              <a:spcPts val="0"/>
            </a:spcBef>
            <a:spcAft>
              <a:spcPts val="0"/>
            </a:spcAft>
            <a:buClrTx/>
            <a:buSzTx/>
            <a:buFontTx/>
            <a:buNone/>
            <a:tabLst/>
            <a:defRPr sz="1000"/>
          </a:pPr>
          <a:r>
            <a:rPr lang="de-CH" sz="800" b="0" i="1">
              <a:latin typeface="Arial" pitchFamily="34" charset="0"/>
              <a:ea typeface="+mn-ea"/>
              <a:cs typeface="Arial" pitchFamily="34" charset="0"/>
            </a:rPr>
            <a:t>Hier </a:t>
          </a:r>
          <a:r>
            <a:rPr lang="de-CH" sz="800" b="0" i="1" baseline="0">
              <a:latin typeface="Arial" pitchFamily="34" charset="0"/>
              <a:ea typeface="+mn-ea"/>
              <a:cs typeface="Arial" pitchFamily="34" charset="0"/>
            </a:rPr>
            <a:t> die ausgewählten Talentstartwerte gemäss Anzeige in Zelle I11</a:t>
          </a:r>
          <a:r>
            <a:rPr lang="de-CH" sz="800" b="0" i="1">
              <a:latin typeface="Arial" pitchFamily="34" charset="0"/>
              <a:ea typeface="+mn-ea"/>
              <a:cs typeface="Arial" pitchFamily="34" charset="0"/>
            </a:rPr>
            <a:t> eintragen. </a:t>
          </a:r>
          <a:r>
            <a:rPr lang="de-CH" sz="1000" b="0" i="1">
              <a:latin typeface="+mn-lt"/>
              <a:ea typeface="+mn-ea"/>
              <a:cs typeface="+mn-cs"/>
            </a:rPr>
            <a:t> Leittalente</a:t>
          </a:r>
          <a:r>
            <a:rPr lang="de-CH" sz="1000" b="0" i="1" baseline="0">
              <a:latin typeface="+mn-lt"/>
              <a:ea typeface="+mn-ea"/>
              <a:cs typeface="+mn-cs"/>
            </a:rPr>
            <a:t> können mit "L" eingetragen werden (also 0L oder 5L) </a:t>
          </a:r>
          <a:endParaRPr lang="de-CH" sz="800">
            <a:latin typeface="Arial" pitchFamily="34" charset="0"/>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190500</xdr:colOff>
      <xdr:row>0</xdr:row>
      <xdr:rowOff>9525</xdr:rowOff>
    </xdr:from>
    <xdr:to>
      <xdr:col>27</xdr:col>
      <xdr:colOff>247650</xdr:colOff>
      <xdr:row>0</xdr:row>
      <xdr:rowOff>523875</xdr:rowOff>
    </xdr:to>
    <xdr:sp macro="" textlink="">
      <xdr:nvSpPr>
        <xdr:cNvPr id="17482" name="AutoShape 74"/>
        <xdr:cNvSpPr>
          <a:spLocks/>
        </xdr:cNvSpPr>
      </xdr:nvSpPr>
      <xdr:spPr bwMode="auto">
        <a:xfrm>
          <a:off x="4591050" y="9525"/>
          <a:ext cx="9563100" cy="514350"/>
        </a:xfrm>
        <a:prstGeom prst="borderCallout2">
          <a:avLst>
            <a:gd name="adj1" fmla="val 35296"/>
            <a:gd name="adj2" fmla="val -1097"/>
            <a:gd name="adj3" fmla="val 35296"/>
            <a:gd name="adj4" fmla="val -2056"/>
            <a:gd name="adj5" fmla="val 135295"/>
            <a:gd name="adj6" fmla="val -3501"/>
          </a:avLst>
        </a:prstGeom>
        <a:solidFill>
          <a:srgbClr val="FFFFFF"/>
        </a:solidFill>
        <a:ln w="9525">
          <a:solidFill>
            <a:srgbClr val="000000"/>
          </a:solidFill>
          <a:miter lim="800000"/>
          <a:headEnd/>
          <a:tailEnd type="arrow" w="lg" len="lg"/>
        </a:ln>
      </xdr:spPr>
      <xdr:txBody>
        <a:bodyPr vertOverflow="clip" wrap="square" lIns="27432" tIns="22860" rIns="0" bIns="0" anchor="t" upright="1"/>
        <a:lstStyle/>
        <a:p>
          <a:pPr algn="l" rtl="1">
            <a:defRPr sz="1000"/>
          </a:pPr>
          <a:r>
            <a:rPr lang="de-CH" sz="1000" b="0" i="1">
              <a:latin typeface="+mn-lt"/>
              <a:ea typeface="+mn-ea"/>
              <a:cs typeface="+mn-cs"/>
            </a:rPr>
            <a:t>Spezielle Erfahrungen  &amp; Lernerschwerungen für den jeweiligen</a:t>
          </a:r>
          <a:r>
            <a:rPr lang="de-CH" sz="1000" b="0" i="1" baseline="0">
              <a:latin typeface="+mn-lt"/>
              <a:ea typeface="+mn-ea"/>
              <a:cs typeface="+mn-cs"/>
            </a:rPr>
            <a:t> Zauber</a:t>
          </a:r>
          <a:r>
            <a:rPr lang="de-CH" sz="1000" b="0" i="1">
              <a:latin typeface="+mn-lt"/>
              <a:ea typeface="+mn-ea"/>
              <a:cs typeface="+mn-cs"/>
            </a:rPr>
            <a:t> hier eintragen. Die korrekte Syntax ist ";ZfW;[Zfw];" also für eine spezielle Erfahrung für ZfW 7 und eine für ZfW 9 folgendes eintragen: ;7;9;</a:t>
          </a:r>
          <a:r>
            <a:rPr lang="de-CH" sz="1000" b="0" i="1" baseline="0">
              <a:latin typeface="+mn-lt"/>
              <a:ea typeface="+mn-ea"/>
              <a:cs typeface="+mn-cs"/>
            </a:rPr>
            <a:t>  Erweiterte Syntax mit : trennt Angabe zur Spaltenerleichterung. So erleichtert ;7:2; die Steigerung auf Wert 7 um 2 Spalten. Für Lernerschwerungen bei Steigerung mit AP kann ;7+1; verwendet werden, das verteuert um 1 Spalte. Ausnahme: ;7:0; steigert kostenlos. </a:t>
          </a:r>
          <a:r>
            <a:rPr lang="de-CH" sz="1000" b="0" i="1">
              <a:latin typeface="+mn-lt"/>
              <a:ea typeface="+mn-ea"/>
              <a:cs typeface="+mn-cs"/>
            </a:rPr>
            <a:t>Strichpunkte am Anfang &amp; Ende erforderlich!</a:t>
          </a:r>
          <a:endParaRPr lang="de-CH" sz="800" b="0" i="1"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25</xdr:row>
      <xdr:rowOff>66675</xdr:rowOff>
    </xdr:from>
    <xdr:to>
      <xdr:col>9</xdr:col>
      <xdr:colOff>676275</xdr:colOff>
      <xdr:row>26</xdr:row>
      <xdr:rowOff>123825</xdr:rowOff>
    </xdr:to>
    <xdr:pic>
      <xdr:nvPicPr>
        <xdr:cNvPr id="321934" name="Picture 38"/>
        <xdr:cNvPicPr>
          <a:picLocks noChangeAspect="1" noChangeArrowheads="1"/>
        </xdr:cNvPicPr>
      </xdr:nvPicPr>
      <xdr:blipFill>
        <a:blip xmlns:r="http://schemas.openxmlformats.org/officeDocument/2006/relationships" r:embed="rId1" cstate="print"/>
        <a:srcRect/>
        <a:stretch>
          <a:fillRect/>
        </a:stretch>
      </xdr:blipFill>
      <xdr:spPr bwMode="auto">
        <a:xfrm>
          <a:off x="1162050" y="6686550"/>
          <a:ext cx="3848100" cy="247650"/>
        </a:xfrm>
        <a:prstGeom prst="rect">
          <a:avLst/>
        </a:prstGeom>
        <a:noFill/>
        <a:ln w="1">
          <a:noFill/>
          <a:miter lim="800000"/>
          <a:headEnd/>
          <a:tailEnd/>
        </a:ln>
      </xdr:spPr>
    </xdr:pic>
    <xdr:clientData/>
  </xdr:twoCellAnchor>
  <xdr:twoCellAnchor editAs="oneCell">
    <xdr:from>
      <xdr:col>0</xdr:col>
      <xdr:colOff>1095375</xdr:colOff>
      <xdr:row>38</xdr:row>
      <xdr:rowOff>38100</xdr:rowOff>
    </xdr:from>
    <xdr:to>
      <xdr:col>9</xdr:col>
      <xdr:colOff>723900</xdr:colOff>
      <xdr:row>39</xdr:row>
      <xdr:rowOff>180975</xdr:rowOff>
    </xdr:to>
    <xdr:pic>
      <xdr:nvPicPr>
        <xdr:cNvPr id="321935" name="Picture 39"/>
        <xdr:cNvPicPr>
          <a:picLocks noChangeAspect="1" noChangeArrowheads="1"/>
        </xdr:cNvPicPr>
      </xdr:nvPicPr>
      <xdr:blipFill>
        <a:blip xmlns:r="http://schemas.openxmlformats.org/officeDocument/2006/relationships" r:embed="rId2" cstate="print"/>
        <a:srcRect/>
        <a:stretch>
          <a:fillRect/>
        </a:stretch>
      </xdr:blipFill>
      <xdr:spPr bwMode="auto">
        <a:xfrm>
          <a:off x="1095375" y="9401175"/>
          <a:ext cx="3962400" cy="333375"/>
        </a:xfrm>
        <a:prstGeom prst="rect">
          <a:avLst/>
        </a:prstGeom>
        <a:noFill/>
        <a:ln w="1">
          <a:noFill/>
          <a:miter lim="800000"/>
          <a:headEnd/>
          <a:tailEnd/>
        </a:ln>
      </xdr:spPr>
    </xdr:pic>
    <xdr:clientData/>
  </xdr:twoCellAnchor>
  <xdr:twoCellAnchor editAs="oneCell">
    <xdr:from>
      <xdr:col>1</xdr:col>
      <xdr:colOff>400050</xdr:colOff>
      <xdr:row>1</xdr:row>
      <xdr:rowOff>152400</xdr:rowOff>
    </xdr:from>
    <xdr:to>
      <xdr:col>9</xdr:col>
      <xdr:colOff>609600</xdr:colOff>
      <xdr:row>1</xdr:row>
      <xdr:rowOff>485775</xdr:rowOff>
    </xdr:to>
    <xdr:pic>
      <xdr:nvPicPr>
        <xdr:cNvPr id="321936" name="Picture 40"/>
        <xdr:cNvPicPr>
          <a:picLocks noChangeAspect="1" noChangeArrowheads="1"/>
        </xdr:cNvPicPr>
      </xdr:nvPicPr>
      <xdr:blipFill>
        <a:blip xmlns:r="http://schemas.openxmlformats.org/officeDocument/2006/relationships" r:embed="rId3" cstate="print"/>
        <a:srcRect/>
        <a:stretch>
          <a:fillRect/>
        </a:stretch>
      </xdr:blipFill>
      <xdr:spPr bwMode="auto">
        <a:xfrm>
          <a:off x="1533525" y="447675"/>
          <a:ext cx="3409950" cy="333375"/>
        </a:xfrm>
        <a:prstGeom prst="rect">
          <a:avLst/>
        </a:prstGeom>
        <a:noFill/>
        <a:ln w="1">
          <a:noFill/>
          <a:miter lim="800000"/>
          <a:headEnd/>
          <a:tailEnd/>
        </a:ln>
      </xdr:spPr>
    </xdr:pic>
    <xdr:clientData/>
  </xdr:twoCellAnchor>
  <xdr:twoCellAnchor editAs="oneCell">
    <xdr:from>
      <xdr:col>1</xdr:col>
      <xdr:colOff>276225</xdr:colOff>
      <xdr:row>17</xdr:row>
      <xdr:rowOff>76200</xdr:rowOff>
    </xdr:from>
    <xdr:to>
      <xdr:col>9</xdr:col>
      <xdr:colOff>485775</xdr:colOff>
      <xdr:row>18</xdr:row>
      <xdr:rowOff>180975</xdr:rowOff>
    </xdr:to>
    <xdr:pic>
      <xdr:nvPicPr>
        <xdr:cNvPr id="321937" name="Picture 41"/>
        <xdr:cNvPicPr>
          <a:picLocks noChangeAspect="1" noChangeArrowheads="1"/>
        </xdr:cNvPicPr>
      </xdr:nvPicPr>
      <xdr:blipFill>
        <a:blip xmlns:r="http://schemas.openxmlformats.org/officeDocument/2006/relationships" r:embed="rId4" cstate="print"/>
        <a:srcRect/>
        <a:stretch>
          <a:fillRect/>
        </a:stretch>
      </xdr:blipFill>
      <xdr:spPr bwMode="auto">
        <a:xfrm>
          <a:off x="1409700" y="4857750"/>
          <a:ext cx="3409950" cy="276225"/>
        </a:xfrm>
        <a:prstGeom prst="rect">
          <a:avLst/>
        </a:prstGeom>
        <a:noFill/>
        <a:ln w="1">
          <a:noFill/>
          <a:miter lim="800000"/>
          <a:headEnd/>
          <a:tailEnd/>
        </a:ln>
      </xdr:spPr>
    </xdr:pic>
    <xdr:clientData/>
  </xdr:twoCellAnchor>
  <xdr:twoCellAnchor editAs="oneCell">
    <xdr:from>
      <xdr:col>4</xdr:col>
      <xdr:colOff>66675</xdr:colOff>
      <xdr:row>0</xdr:row>
      <xdr:rowOff>19050</xdr:rowOff>
    </xdr:from>
    <xdr:to>
      <xdr:col>8</xdr:col>
      <xdr:colOff>114300</xdr:colOff>
      <xdr:row>1</xdr:row>
      <xdr:rowOff>180975</xdr:rowOff>
    </xdr:to>
    <xdr:pic>
      <xdr:nvPicPr>
        <xdr:cNvPr id="321938" name="Grafik 7" descr="Fan-Produkt-Logo_xsmall_161x45.png"/>
        <xdr:cNvPicPr>
          <a:picLocks noChangeAspect="1"/>
        </xdr:cNvPicPr>
      </xdr:nvPicPr>
      <xdr:blipFill>
        <a:blip xmlns:r="http://schemas.openxmlformats.org/officeDocument/2006/relationships" r:embed="rId5" cstate="print"/>
        <a:srcRect/>
        <a:stretch>
          <a:fillRect/>
        </a:stretch>
      </xdr:blipFill>
      <xdr:spPr bwMode="auto">
        <a:xfrm>
          <a:off x="2457450" y="19050"/>
          <a:ext cx="1628775" cy="457200"/>
        </a:xfrm>
        <a:prstGeom prst="rect">
          <a:avLst/>
        </a:prstGeom>
        <a:noFill/>
        <a:ln w="9525">
          <a:noFill/>
          <a:miter lim="800000"/>
          <a:headEnd/>
          <a:tailEnd/>
        </a:ln>
      </xdr:spPr>
    </xdr:pic>
    <xdr:clientData/>
  </xdr:twoCellAnchor>
  <xdr:twoCellAnchor>
    <xdr:from>
      <xdr:col>16</xdr:col>
      <xdr:colOff>285750</xdr:colOff>
      <xdr:row>24</xdr:row>
      <xdr:rowOff>38099</xdr:rowOff>
    </xdr:from>
    <xdr:to>
      <xdr:col>21</xdr:col>
      <xdr:colOff>66675</xdr:colOff>
      <xdr:row>25</xdr:row>
      <xdr:rowOff>57149</xdr:rowOff>
    </xdr:to>
    <xdr:sp macro="" textlink="">
      <xdr:nvSpPr>
        <xdr:cNvPr id="7" name="AutoShape 227"/>
        <xdr:cNvSpPr>
          <a:spLocks/>
        </xdr:cNvSpPr>
      </xdr:nvSpPr>
      <xdr:spPr bwMode="auto">
        <a:xfrm>
          <a:off x="7629525" y="6419849"/>
          <a:ext cx="3943350" cy="257175"/>
        </a:xfrm>
        <a:prstGeom prst="borderCallout2">
          <a:avLst>
            <a:gd name="adj1" fmla="val 52361"/>
            <a:gd name="adj2" fmla="val -351"/>
            <a:gd name="adj3" fmla="val 52361"/>
            <a:gd name="adj4" fmla="val -4016"/>
            <a:gd name="adj5" fmla="val 140580"/>
            <a:gd name="adj6" fmla="val -4959"/>
          </a:avLst>
        </a:prstGeom>
        <a:solidFill>
          <a:srgbClr val="FFFFFF"/>
        </a:solidFill>
        <a:ln w="9525">
          <a:solidFill>
            <a:srgbClr val="000000"/>
          </a:solidFill>
          <a:miter lim="800000"/>
          <a:headEnd/>
          <a:tailEnd type="stealth" w="med" len="med"/>
        </a:ln>
        <a:effectLst/>
      </xdr:spPr>
      <xdr:txBody>
        <a:bodyPr vertOverflow="clip" wrap="square" lIns="27432" tIns="22860" rIns="0" bIns="0" anchor="t" upright="1"/>
        <a:lstStyle/>
        <a:p>
          <a:pPr algn="l" rtl="0">
            <a:defRPr sz="1000"/>
          </a:pPr>
          <a:r>
            <a:rPr lang="de-CH" sz="800" b="0" i="1" strike="noStrike">
              <a:solidFill>
                <a:srgbClr val="000000"/>
              </a:solidFill>
              <a:latin typeface="Arial"/>
              <a:cs typeface="Arial"/>
            </a:rPr>
            <a:t>Hier können Grundwerte ohne Kostenfolgen angepasst werden, z.B. nach Belohnungen in Abenteuern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152400</xdr:colOff>
      <xdr:row>107</xdr:row>
      <xdr:rowOff>66675</xdr:rowOff>
    </xdr:from>
    <xdr:to>
      <xdr:col>9</xdr:col>
      <xdr:colOff>876300</xdr:colOff>
      <xdr:row>108</xdr:row>
      <xdr:rowOff>133350</xdr:rowOff>
    </xdr:to>
    <xdr:pic>
      <xdr:nvPicPr>
        <xdr:cNvPr id="311991" name="Picture 15"/>
        <xdr:cNvPicPr>
          <a:picLocks noChangeAspect="1" noChangeArrowheads="1"/>
        </xdr:cNvPicPr>
      </xdr:nvPicPr>
      <xdr:blipFill>
        <a:blip xmlns:r="http://schemas.openxmlformats.org/officeDocument/2006/relationships" r:embed="rId1" cstate="print"/>
        <a:srcRect/>
        <a:stretch>
          <a:fillRect/>
        </a:stretch>
      </xdr:blipFill>
      <xdr:spPr bwMode="auto">
        <a:xfrm>
          <a:off x="2524125" y="18049875"/>
          <a:ext cx="2257425" cy="228600"/>
        </a:xfrm>
        <a:prstGeom prst="rect">
          <a:avLst/>
        </a:prstGeom>
        <a:noFill/>
        <a:ln w="1">
          <a:noFill/>
          <a:miter lim="800000"/>
          <a:headEnd/>
          <a:tailEnd/>
        </a:ln>
      </xdr:spPr>
    </xdr:pic>
    <xdr:clientData/>
  </xdr:twoCellAnchor>
  <xdr:twoCellAnchor editAs="oneCell">
    <xdr:from>
      <xdr:col>4</xdr:col>
      <xdr:colOff>171450</xdr:colOff>
      <xdr:row>124</xdr:row>
      <xdr:rowOff>28575</xdr:rowOff>
    </xdr:from>
    <xdr:to>
      <xdr:col>9</xdr:col>
      <xdr:colOff>581025</xdr:colOff>
      <xdr:row>125</xdr:row>
      <xdr:rowOff>152400</xdr:rowOff>
    </xdr:to>
    <xdr:pic>
      <xdr:nvPicPr>
        <xdr:cNvPr id="311992" name="Picture 16"/>
        <xdr:cNvPicPr>
          <a:picLocks noChangeAspect="1" noChangeArrowheads="1"/>
        </xdr:cNvPicPr>
      </xdr:nvPicPr>
      <xdr:blipFill>
        <a:blip xmlns:r="http://schemas.openxmlformats.org/officeDocument/2006/relationships" r:embed="rId2" cstate="print"/>
        <a:srcRect/>
        <a:stretch>
          <a:fillRect/>
        </a:stretch>
      </xdr:blipFill>
      <xdr:spPr bwMode="auto">
        <a:xfrm>
          <a:off x="2543175" y="20783550"/>
          <a:ext cx="1943100" cy="295275"/>
        </a:xfrm>
        <a:prstGeom prst="rect">
          <a:avLst/>
        </a:prstGeom>
        <a:noFill/>
        <a:ln w="1">
          <a:noFill/>
          <a:miter lim="800000"/>
          <a:headEnd/>
          <a:tailEnd/>
        </a:ln>
      </xdr:spPr>
    </xdr:pic>
    <xdr:clientData/>
  </xdr:twoCellAnchor>
  <xdr:twoCellAnchor editAs="oneCell">
    <xdr:from>
      <xdr:col>1</xdr:col>
      <xdr:colOff>1171575</xdr:colOff>
      <xdr:row>68</xdr:row>
      <xdr:rowOff>28575</xdr:rowOff>
    </xdr:from>
    <xdr:to>
      <xdr:col>10</xdr:col>
      <xdr:colOff>438150</xdr:colOff>
      <xdr:row>68</xdr:row>
      <xdr:rowOff>381000</xdr:rowOff>
    </xdr:to>
    <xdr:pic>
      <xdr:nvPicPr>
        <xdr:cNvPr id="311993" name="Picture 17"/>
        <xdr:cNvPicPr>
          <a:picLocks noChangeAspect="1" noChangeArrowheads="1"/>
        </xdr:cNvPicPr>
      </xdr:nvPicPr>
      <xdr:blipFill>
        <a:blip xmlns:r="http://schemas.openxmlformats.org/officeDocument/2006/relationships" r:embed="rId3" cstate="print"/>
        <a:srcRect/>
        <a:stretch>
          <a:fillRect/>
        </a:stretch>
      </xdr:blipFill>
      <xdr:spPr bwMode="auto">
        <a:xfrm>
          <a:off x="1314450" y="11410950"/>
          <a:ext cx="4991100" cy="352425"/>
        </a:xfrm>
        <a:prstGeom prst="rect">
          <a:avLst/>
        </a:prstGeom>
        <a:noFill/>
        <a:ln w="1">
          <a:noFill/>
          <a:miter lim="800000"/>
          <a:headEnd/>
          <a:tailEnd/>
        </a:ln>
      </xdr:spPr>
    </xdr:pic>
    <xdr:clientData/>
  </xdr:twoCellAnchor>
  <xdr:twoCellAnchor editAs="oneCell">
    <xdr:from>
      <xdr:col>1</xdr:col>
      <xdr:colOff>504825</xdr:colOff>
      <xdr:row>1</xdr:row>
      <xdr:rowOff>95250</xdr:rowOff>
    </xdr:from>
    <xdr:to>
      <xdr:col>11</xdr:col>
      <xdr:colOff>276225</xdr:colOff>
      <xdr:row>2</xdr:row>
      <xdr:rowOff>228600</xdr:rowOff>
    </xdr:to>
    <xdr:pic>
      <xdr:nvPicPr>
        <xdr:cNvPr id="311994" name="Picture 18"/>
        <xdr:cNvPicPr>
          <a:picLocks noChangeAspect="1" noChangeArrowheads="1"/>
        </xdr:cNvPicPr>
      </xdr:nvPicPr>
      <xdr:blipFill>
        <a:blip xmlns:r="http://schemas.openxmlformats.org/officeDocument/2006/relationships" r:embed="rId4" cstate="print"/>
        <a:srcRect/>
        <a:stretch>
          <a:fillRect/>
        </a:stretch>
      </xdr:blipFill>
      <xdr:spPr bwMode="auto">
        <a:xfrm>
          <a:off x="647700" y="381000"/>
          <a:ext cx="6000750" cy="304800"/>
        </a:xfrm>
        <a:prstGeom prst="rect">
          <a:avLst/>
        </a:prstGeom>
        <a:noFill/>
        <a:ln w="1">
          <a:noFill/>
          <a:miter lim="800000"/>
          <a:headEnd/>
          <a:tailEnd/>
        </a:ln>
      </xdr:spPr>
    </xdr:pic>
    <xdr:clientData/>
  </xdr:twoCellAnchor>
  <xdr:twoCellAnchor editAs="oneCell">
    <xdr:from>
      <xdr:col>4</xdr:col>
      <xdr:colOff>161925</xdr:colOff>
      <xdr:row>115</xdr:row>
      <xdr:rowOff>28575</xdr:rowOff>
    </xdr:from>
    <xdr:to>
      <xdr:col>9</xdr:col>
      <xdr:colOff>657225</xdr:colOff>
      <xdr:row>116</xdr:row>
      <xdr:rowOff>133350</xdr:rowOff>
    </xdr:to>
    <xdr:pic>
      <xdr:nvPicPr>
        <xdr:cNvPr id="311995" name="Picture 32"/>
        <xdr:cNvPicPr>
          <a:picLocks noChangeAspect="1" noChangeArrowheads="1"/>
        </xdr:cNvPicPr>
      </xdr:nvPicPr>
      <xdr:blipFill>
        <a:blip xmlns:r="http://schemas.openxmlformats.org/officeDocument/2006/relationships" r:embed="rId5" cstate="print"/>
        <a:srcRect/>
        <a:stretch>
          <a:fillRect/>
        </a:stretch>
      </xdr:blipFill>
      <xdr:spPr bwMode="auto">
        <a:xfrm>
          <a:off x="2533650" y="19307175"/>
          <a:ext cx="2028825" cy="266700"/>
        </a:xfrm>
        <a:prstGeom prst="rect">
          <a:avLst/>
        </a:prstGeom>
        <a:noFill/>
        <a:ln w="1">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17</xdr:col>
          <xdr:colOff>276225</xdr:colOff>
          <xdr:row>2</xdr:row>
          <xdr:rowOff>171450</xdr:rowOff>
        </xdr:from>
        <xdr:to>
          <xdr:col>20</xdr:col>
          <xdr:colOff>295275</xdr:colOff>
          <xdr:row>3</xdr:row>
          <xdr:rowOff>114300</xdr:rowOff>
        </xdr:to>
        <xdr:sp macro="" textlink="">
          <xdr:nvSpPr>
            <xdr:cNvPr id="24589" name="Option Button 13" hidden="1">
              <a:extLst>
                <a:ext uri="{63B3BB69-23CF-44E3-9099-C40C66FF867C}">
                  <a14:compatExt spid="_x0000_s245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Anzeigen Steigerungskategorie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285750</xdr:colOff>
          <xdr:row>1</xdr:row>
          <xdr:rowOff>114300</xdr:rowOff>
        </xdr:from>
        <xdr:to>
          <xdr:col>20</xdr:col>
          <xdr:colOff>95250</xdr:colOff>
          <xdr:row>2</xdr:row>
          <xdr:rowOff>161925</xdr:rowOff>
        </xdr:to>
        <xdr:sp macro="" textlink="">
          <xdr:nvSpPr>
            <xdr:cNvPr id="24590" name="Option Button 14" hidden="1">
              <a:extLst>
                <a:ext uri="{63B3BB69-23CF-44E3-9099-C40C66FF867C}">
                  <a14:compatExt spid="_x0000_s245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Anzeigen der EIGN-Werte</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16</xdr:col>
      <xdr:colOff>9525</xdr:colOff>
      <xdr:row>22</xdr:row>
      <xdr:rowOff>38100</xdr:rowOff>
    </xdr:from>
    <xdr:to>
      <xdr:col>24</xdr:col>
      <xdr:colOff>266699</xdr:colOff>
      <xdr:row>42</xdr:row>
      <xdr:rowOff>171450</xdr:rowOff>
    </xdr:to>
    <xdr:pic>
      <xdr:nvPicPr>
        <xdr:cNvPr id="44" name="Grafik 40" descr="DSA_Krieger_Zonen2.gif"/>
        <xdr:cNvPicPr>
          <a:picLocks noChangeAspect="1"/>
        </xdr:cNvPicPr>
      </xdr:nvPicPr>
      <xdr:blipFill>
        <a:blip xmlns:r="http://schemas.openxmlformats.org/officeDocument/2006/relationships" r:embed="rId1" cstate="print">
          <a:lum contrast="10000"/>
        </a:blip>
        <a:srcRect/>
        <a:stretch>
          <a:fillRect/>
        </a:stretch>
      </xdr:blipFill>
      <xdr:spPr bwMode="auto">
        <a:xfrm>
          <a:off x="4724400" y="4257675"/>
          <a:ext cx="2486024" cy="4352925"/>
        </a:xfrm>
        <a:prstGeom prst="rect">
          <a:avLst/>
        </a:prstGeom>
        <a:ln>
          <a:noFill/>
        </a:ln>
        <a:effectLst>
          <a:outerShdw blurRad="190500" algn="tl" rotWithShape="0">
            <a:srgbClr val="000000">
              <a:alpha val="70000"/>
            </a:srgbClr>
          </a:outerShdw>
        </a:effectLst>
      </xdr:spPr>
    </xdr:pic>
    <xdr:clientData/>
  </xdr:twoCellAnchor>
  <xdr:twoCellAnchor>
    <xdr:from>
      <xdr:col>1</xdr:col>
      <xdr:colOff>735891</xdr:colOff>
      <xdr:row>42</xdr:row>
      <xdr:rowOff>190190</xdr:rowOff>
    </xdr:from>
    <xdr:to>
      <xdr:col>3</xdr:col>
      <xdr:colOff>76166</xdr:colOff>
      <xdr:row>43</xdr:row>
      <xdr:rowOff>177362</xdr:rowOff>
    </xdr:to>
    <xdr:sp macro="" textlink="">
      <xdr:nvSpPr>
        <xdr:cNvPr id="3177" name="Text Box 105"/>
        <xdr:cNvSpPr txBox="1">
          <a:spLocks noChangeArrowheads="1"/>
        </xdr:cNvSpPr>
      </xdr:nvSpPr>
      <xdr:spPr bwMode="auto">
        <a:xfrm>
          <a:off x="900115" y="8631311"/>
          <a:ext cx="706620" cy="177672"/>
        </a:xfrm>
        <a:prstGeom prst="rect">
          <a:avLst/>
        </a:prstGeom>
        <a:noFill/>
        <a:ln w="9525">
          <a:noFill/>
          <a:miter lim="800000"/>
          <a:headEnd/>
          <a:tailEnd/>
        </a:ln>
      </xdr:spPr>
      <xdr:txBody>
        <a:bodyPr vertOverflow="clip" wrap="square" lIns="27432" tIns="22860" rIns="0" bIns="0" anchor="ctr" upright="1"/>
        <a:lstStyle/>
        <a:p>
          <a:pPr algn="l" rtl="1">
            <a:defRPr sz="1000"/>
          </a:pPr>
          <a:r>
            <a:rPr lang="de-CH" sz="900" b="0" i="0" strike="noStrike">
              <a:solidFill>
                <a:srgbClr val="000000"/>
              </a:solidFill>
              <a:latin typeface="Times New Roman"/>
              <a:cs typeface="Times New Roman"/>
            </a:rPr>
            <a:t>I       II        III</a:t>
          </a:r>
        </a:p>
      </xdr:txBody>
    </xdr:sp>
    <xdr:clientData/>
  </xdr:twoCellAnchor>
  <xdr:twoCellAnchor editAs="oneCell">
    <xdr:from>
      <xdr:col>9</xdr:col>
      <xdr:colOff>9525</xdr:colOff>
      <xdr:row>36</xdr:row>
      <xdr:rowOff>111577</xdr:rowOff>
    </xdr:from>
    <xdr:to>
      <xdr:col>12</xdr:col>
      <xdr:colOff>238124</xdr:colOff>
      <xdr:row>38</xdr:row>
      <xdr:rowOff>187779</xdr:rowOff>
    </xdr:to>
    <xdr:sp macro="" textlink="">
      <xdr:nvSpPr>
        <xdr:cNvPr id="3161" name="Text Box 89"/>
        <xdr:cNvSpPr txBox="1">
          <a:spLocks noChangeArrowheads="1"/>
        </xdr:cNvSpPr>
      </xdr:nvSpPr>
      <xdr:spPr bwMode="auto">
        <a:xfrm>
          <a:off x="3209925" y="7407727"/>
          <a:ext cx="638175" cy="457202"/>
        </a:xfrm>
        <a:prstGeom prst="rect">
          <a:avLst/>
        </a:prstGeom>
        <a:noFill/>
        <a:ln w="9525">
          <a:noFill/>
          <a:miter lim="800000"/>
          <a:headEnd/>
          <a:tailEnd/>
        </a:ln>
      </xdr:spPr>
      <xdr:txBody>
        <a:bodyPr vertOverflow="clip" wrap="square" lIns="27432" tIns="18288" rIns="0" bIns="0" anchor="t" upright="1"/>
        <a:lstStyle/>
        <a:p>
          <a:pPr algn="l" rtl="1">
            <a:defRPr sz="1000"/>
          </a:pPr>
          <a:r>
            <a:rPr lang="de-CH" sz="700" b="0" i="0" strike="noStrike">
              <a:solidFill>
                <a:srgbClr val="000000"/>
              </a:solidFill>
              <a:latin typeface="Arial"/>
              <a:cs typeface="Arial"/>
            </a:rPr>
            <a:t>Ausweichen I</a:t>
          </a:r>
        </a:p>
        <a:p>
          <a:pPr algn="l" rtl="1">
            <a:defRPr sz="1000"/>
          </a:pPr>
          <a:r>
            <a:rPr lang="de-CH" sz="700" b="0" i="0" strike="noStrike">
              <a:solidFill>
                <a:srgbClr val="000000"/>
              </a:solidFill>
              <a:latin typeface="Arial"/>
              <a:cs typeface="Arial"/>
            </a:rPr>
            <a:t>Ausweichen II</a:t>
          </a:r>
        </a:p>
        <a:p>
          <a:pPr algn="l" rtl="1">
            <a:defRPr sz="1000"/>
          </a:pPr>
          <a:r>
            <a:rPr lang="de-CH" sz="700" b="0" i="0" strike="noStrike">
              <a:solidFill>
                <a:srgbClr val="000000"/>
              </a:solidFill>
              <a:latin typeface="Arial"/>
              <a:cs typeface="Arial"/>
            </a:rPr>
            <a:t>Ausweichen III</a:t>
          </a:r>
        </a:p>
        <a:p>
          <a:pPr algn="l" rtl="1">
            <a:defRPr sz="1000"/>
          </a:pPr>
          <a:r>
            <a:rPr lang="de-CH" sz="700" b="0" i="0" strike="noStrike">
              <a:solidFill>
                <a:srgbClr val="000000"/>
              </a:solidFill>
              <a:latin typeface="Arial"/>
              <a:cs typeface="Arial"/>
            </a:rPr>
            <a:t>Akrobatik</a:t>
          </a:r>
        </a:p>
      </xdr:txBody>
    </xdr:sp>
    <xdr:clientData/>
  </xdr:twoCellAnchor>
  <xdr:twoCellAnchor editAs="oneCell">
    <xdr:from>
      <xdr:col>8</xdr:col>
      <xdr:colOff>85725</xdr:colOff>
      <xdr:row>36</xdr:row>
      <xdr:rowOff>121102</xdr:rowOff>
    </xdr:from>
    <xdr:to>
      <xdr:col>9</xdr:col>
      <xdr:colOff>9526</xdr:colOff>
      <xdr:row>37</xdr:row>
      <xdr:rowOff>16327</xdr:rowOff>
    </xdr:to>
    <xdr:sp macro="" textlink="AKTIV_AUSW1">
      <xdr:nvSpPr>
        <xdr:cNvPr id="3163" name="Text Box 91"/>
        <xdr:cNvSpPr txBox="1">
          <a:spLocks noChangeArrowheads="1" noTextEdit="1"/>
        </xdr:cNvSpPr>
      </xdr:nvSpPr>
      <xdr:spPr bwMode="auto">
        <a:xfrm>
          <a:off x="3124200" y="7417252"/>
          <a:ext cx="85725" cy="85725"/>
        </a:xfrm>
        <a:prstGeom prst="rect">
          <a:avLst/>
        </a:prstGeom>
        <a:noFill/>
        <a:ln w="9525">
          <a:solidFill>
            <a:srgbClr val="000000"/>
          </a:solidFill>
          <a:miter lim="800000"/>
          <a:headEnd/>
          <a:tailEnd/>
        </a:ln>
      </xdr:spPr>
      <xdr:txBody>
        <a:bodyPr lIns="0" tIns="0" rIns="0" bIns="0" anchor="ctr" anchorCtr="1"/>
        <a:lstStyle/>
        <a:p>
          <a:fld id="{648AB01C-5A00-4695-AC97-4AC7FA39BE66}" type="TxLink">
            <a:rPr lang="de-CH" sz="800" b="0" i="0" u="none" strike="noStrike">
              <a:solidFill>
                <a:srgbClr val="969696"/>
              </a:solidFill>
              <a:latin typeface="Arial" pitchFamily="34" charset="0"/>
              <a:cs typeface="Arial" pitchFamily="34" charset="0"/>
            </a:rPr>
            <a:pPr/>
            <a:t> </a:t>
          </a:fld>
          <a:endParaRPr lang="de-CH" sz="800">
            <a:latin typeface="Arial" pitchFamily="34" charset="0"/>
            <a:cs typeface="Arial" pitchFamily="34" charset="0"/>
          </a:endParaRPr>
        </a:p>
      </xdr:txBody>
    </xdr:sp>
    <xdr:clientData/>
  </xdr:twoCellAnchor>
  <xdr:twoCellAnchor editAs="oneCell">
    <xdr:from>
      <xdr:col>8</xdr:col>
      <xdr:colOff>85725</xdr:colOff>
      <xdr:row>37</xdr:row>
      <xdr:rowOff>43541</xdr:rowOff>
    </xdr:from>
    <xdr:to>
      <xdr:col>9</xdr:col>
      <xdr:colOff>9526</xdr:colOff>
      <xdr:row>37</xdr:row>
      <xdr:rowOff>129266</xdr:rowOff>
    </xdr:to>
    <xdr:sp macro="" textlink="AKTIV_AUSW2">
      <xdr:nvSpPr>
        <xdr:cNvPr id="3164" name="Text Box 92"/>
        <xdr:cNvSpPr txBox="1">
          <a:spLocks noChangeArrowheads="1" noTextEdit="1"/>
        </xdr:cNvSpPr>
      </xdr:nvSpPr>
      <xdr:spPr bwMode="auto">
        <a:xfrm>
          <a:off x="3124200" y="7530191"/>
          <a:ext cx="85725" cy="85725"/>
        </a:xfrm>
        <a:prstGeom prst="rect">
          <a:avLst/>
        </a:prstGeom>
        <a:noFill/>
        <a:ln w="9525">
          <a:solidFill>
            <a:srgbClr val="000000"/>
          </a:solidFill>
          <a:miter lim="800000"/>
          <a:headEnd/>
          <a:tailEnd/>
        </a:ln>
      </xdr:spPr>
      <xdr:txBody>
        <a:bodyPr lIns="0" tIns="0" rIns="0" bIns="0" anchor="ctr" anchorCtr="1"/>
        <a:lstStyle/>
        <a:p>
          <a:pPr marL="0" indent="0"/>
          <a:fld id="{9747ACC3-1191-433D-A8F1-6E5F8FFC1C57}" type="TxLink">
            <a:rPr lang="de-CH" sz="800" b="0" i="0" u="none" strike="noStrike">
              <a:solidFill>
                <a:srgbClr val="969696"/>
              </a:solidFill>
              <a:latin typeface="Arial" pitchFamily="34" charset="0"/>
              <a:ea typeface="+mn-ea"/>
              <a:cs typeface="Arial" pitchFamily="34" charset="0"/>
            </a:rPr>
            <a:pPr marL="0" indent="0"/>
            <a:t> </a:t>
          </a:fld>
          <a:endParaRPr lang="de-CH" sz="800">
            <a:latin typeface="Arial" pitchFamily="34" charset="0"/>
            <a:ea typeface="+mn-ea"/>
            <a:cs typeface="Arial" pitchFamily="34" charset="0"/>
          </a:endParaRPr>
        </a:p>
      </xdr:txBody>
    </xdr:sp>
    <xdr:clientData/>
  </xdr:twoCellAnchor>
  <xdr:twoCellAnchor editAs="oneCell">
    <xdr:from>
      <xdr:col>8</xdr:col>
      <xdr:colOff>85725</xdr:colOff>
      <xdr:row>37</xdr:row>
      <xdr:rowOff>152398</xdr:rowOff>
    </xdr:from>
    <xdr:to>
      <xdr:col>9</xdr:col>
      <xdr:colOff>9526</xdr:colOff>
      <xdr:row>38</xdr:row>
      <xdr:rowOff>47623</xdr:rowOff>
    </xdr:to>
    <xdr:sp macro="" textlink="AKTIV_AUSW3">
      <xdr:nvSpPr>
        <xdr:cNvPr id="3165" name="Text Box 93"/>
        <xdr:cNvSpPr txBox="1">
          <a:spLocks noChangeArrowheads="1" noTextEdit="1"/>
        </xdr:cNvSpPr>
      </xdr:nvSpPr>
      <xdr:spPr bwMode="auto">
        <a:xfrm>
          <a:off x="3124200" y="7639048"/>
          <a:ext cx="85725" cy="85725"/>
        </a:xfrm>
        <a:prstGeom prst="rect">
          <a:avLst/>
        </a:prstGeom>
        <a:noFill/>
        <a:ln w="9525">
          <a:solidFill>
            <a:srgbClr val="000000"/>
          </a:solidFill>
          <a:miter lim="800000"/>
          <a:headEnd/>
          <a:tailEnd/>
        </a:ln>
      </xdr:spPr>
      <xdr:txBody>
        <a:bodyPr lIns="0" tIns="0" rIns="0" bIns="0" anchor="ctr" anchorCtr="1"/>
        <a:lstStyle/>
        <a:p>
          <a:pPr marL="0" indent="0"/>
          <a:fld id="{39280B30-79A3-4C55-A316-8EB44A1A1B5D}" type="TxLink">
            <a:rPr lang="de-CH" sz="800" b="0" i="0" u="none" strike="noStrike">
              <a:solidFill>
                <a:srgbClr val="969696"/>
              </a:solidFill>
              <a:latin typeface="Arial" pitchFamily="34" charset="0"/>
              <a:ea typeface="+mn-ea"/>
              <a:cs typeface="Arial" pitchFamily="34" charset="0"/>
            </a:rPr>
            <a:pPr marL="0" indent="0"/>
            <a:t> </a:t>
          </a:fld>
          <a:endParaRPr lang="de-CH" sz="800">
            <a:latin typeface="Arial" pitchFamily="34" charset="0"/>
            <a:ea typeface="+mn-ea"/>
            <a:cs typeface="Arial" pitchFamily="34" charset="0"/>
          </a:endParaRPr>
        </a:p>
      </xdr:txBody>
    </xdr:sp>
    <xdr:clientData/>
  </xdr:twoCellAnchor>
  <xdr:twoCellAnchor>
    <xdr:from>
      <xdr:col>6</xdr:col>
      <xdr:colOff>288124</xdr:colOff>
      <xdr:row>36</xdr:row>
      <xdr:rowOff>187544</xdr:rowOff>
    </xdr:from>
    <xdr:to>
      <xdr:col>7</xdr:col>
      <xdr:colOff>78574</xdr:colOff>
      <xdr:row>38</xdr:row>
      <xdr:rowOff>168494</xdr:rowOff>
    </xdr:to>
    <xdr:sp macro="" textlink="">
      <xdr:nvSpPr>
        <xdr:cNvPr id="3168" name="Text Box 96"/>
        <xdr:cNvSpPr txBox="1">
          <a:spLocks noChangeArrowheads="1"/>
        </xdr:cNvSpPr>
      </xdr:nvSpPr>
      <xdr:spPr bwMode="auto">
        <a:xfrm>
          <a:off x="2580693" y="7485665"/>
          <a:ext cx="164881" cy="361950"/>
        </a:xfrm>
        <a:prstGeom prst="rect">
          <a:avLst/>
        </a:prstGeom>
        <a:noFill/>
        <a:ln w="9525">
          <a:noFill/>
          <a:miter lim="800000"/>
          <a:headEnd/>
          <a:tailEnd/>
        </a:ln>
      </xdr:spPr>
      <xdr:txBody>
        <a:bodyPr vertOverflow="clip" wrap="square" lIns="45720" tIns="36576" rIns="0" bIns="36576" anchor="ctr" upright="1"/>
        <a:lstStyle/>
        <a:p>
          <a:pPr algn="l" rtl="1">
            <a:defRPr sz="1000"/>
          </a:pPr>
          <a:r>
            <a:rPr lang="de-CH" sz="1800" b="0" i="0" strike="noStrike">
              <a:solidFill>
                <a:srgbClr val="000000"/>
              </a:solidFill>
              <a:latin typeface="Arial"/>
              <a:cs typeface="Arial"/>
            </a:rPr>
            <a:t>-</a:t>
          </a:r>
        </a:p>
      </xdr:txBody>
    </xdr:sp>
    <xdr:clientData/>
  </xdr:twoCellAnchor>
  <xdr:twoCellAnchor>
    <xdr:from>
      <xdr:col>7</xdr:col>
      <xdr:colOff>265196</xdr:colOff>
      <xdr:row>37</xdr:row>
      <xdr:rowOff>9525</xdr:rowOff>
    </xdr:from>
    <xdr:to>
      <xdr:col>8</xdr:col>
      <xdr:colOff>69683</xdr:colOff>
      <xdr:row>38</xdr:row>
      <xdr:rowOff>180975</xdr:rowOff>
    </xdr:to>
    <xdr:sp macro="" textlink="">
      <xdr:nvSpPr>
        <xdr:cNvPr id="3169" name="Text Box 97"/>
        <xdr:cNvSpPr txBox="1">
          <a:spLocks noChangeArrowheads="1"/>
        </xdr:cNvSpPr>
      </xdr:nvSpPr>
      <xdr:spPr bwMode="auto">
        <a:xfrm>
          <a:off x="2932196" y="7498146"/>
          <a:ext cx="185487" cy="361950"/>
        </a:xfrm>
        <a:prstGeom prst="rect">
          <a:avLst/>
        </a:prstGeom>
        <a:noFill/>
        <a:ln w="9525">
          <a:noFill/>
          <a:miter lim="800000"/>
          <a:headEnd/>
          <a:tailEnd/>
        </a:ln>
      </xdr:spPr>
      <xdr:txBody>
        <a:bodyPr vertOverflow="clip" wrap="square" lIns="45720" tIns="36576" rIns="0" bIns="36576" anchor="ctr" upright="1"/>
        <a:lstStyle/>
        <a:p>
          <a:pPr algn="l" rtl="1">
            <a:defRPr sz="1000"/>
          </a:pPr>
          <a:r>
            <a:rPr lang="de-CH" sz="1800" b="0" i="0" strike="noStrike">
              <a:solidFill>
                <a:srgbClr val="000000"/>
              </a:solidFill>
              <a:latin typeface="Arial"/>
              <a:cs typeface="Arial"/>
            </a:rPr>
            <a:t>+</a:t>
          </a:r>
        </a:p>
      </xdr:txBody>
    </xdr:sp>
    <xdr:clientData/>
  </xdr:twoCellAnchor>
  <xdr:twoCellAnchor>
    <xdr:from>
      <xdr:col>13</xdr:col>
      <xdr:colOff>25213</xdr:colOff>
      <xdr:row>37</xdr:row>
      <xdr:rowOff>0</xdr:rowOff>
    </xdr:from>
    <xdr:to>
      <xdr:col>14</xdr:col>
      <xdr:colOff>53788</xdr:colOff>
      <xdr:row>38</xdr:row>
      <xdr:rowOff>171450</xdr:rowOff>
    </xdr:to>
    <xdr:sp macro="" textlink="">
      <xdr:nvSpPr>
        <xdr:cNvPr id="3171" name="Text Box 99"/>
        <xdr:cNvSpPr txBox="1">
          <a:spLocks noChangeArrowheads="1"/>
        </xdr:cNvSpPr>
      </xdr:nvSpPr>
      <xdr:spPr bwMode="auto">
        <a:xfrm>
          <a:off x="3806638" y="7486650"/>
          <a:ext cx="209550" cy="361950"/>
        </a:xfrm>
        <a:prstGeom prst="rect">
          <a:avLst/>
        </a:prstGeom>
        <a:noFill/>
        <a:ln w="9525">
          <a:noFill/>
          <a:miter lim="800000"/>
          <a:headEnd/>
          <a:tailEnd/>
        </a:ln>
      </xdr:spPr>
      <xdr:txBody>
        <a:bodyPr vertOverflow="clip" wrap="square" lIns="45720" tIns="36576" rIns="0" bIns="36576" anchor="ctr" upright="1"/>
        <a:lstStyle/>
        <a:p>
          <a:pPr algn="l" rtl="1">
            <a:defRPr sz="1000"/>
          </a:pPr>
          <a:r>
            <a:rPr lang="de-CH" sz="1800" b="0" i="0" strike="noStrike">
              <a:solidFill>
                <a:srgbClr val="000000"/>
              </a:solidFill>
              <a:latin typeface="Arial"/>
              <a:cs typeface="Arial"/>
            </a:rPr>
            <a:t>=</a:t>
          </a:r>
        </a:p>
      </xdr:txBody>
    </xdr:sp>
    <xdr:clientData/>
  </xdr:twoCellAnchor>
  <xdr:oneCellAnchor>
    <xdr:from>
      <xdr:col>1</xdr:col>
      <xdr:colOff>823420</xdr:colOff>
      <xdr:row>43</xdr:row>
      <xdr:rowOff>31059</xdr:rowOff>
    </xdr:from>
    <xdr:ext cx="144000" cy="117917"/>
    <xdr:sp macro="" textlink="AKTIV_RGW1">
      <xdr:nvSpPr>
        <xdr:cNvPr id="3174" name="Text Box RGI"/>
        <xdr:cNvSpPr txBox="1">
          <a:spLocks noChangeArrowheads="1" noTextEdit="1"/>
        </xdr:cNvSpPr>
      </xdr:nvSpPr>
      <xdr:spPr bwMode="auto">
        <a:xfrm>
          <a:off x="987644" y="8662680"/>
          <a:ext cx="144000" cy="117917"/>
        </a:xfrm>
        <a:prstGeom prst="rect">
          <a:avLst/>
        </a:prstGeom>
        <a:noFill/>
        <a:ln w="9525">
          <a:solidFill>
            <a:srgbClr val="000000"/>
          </a:solidFill>
          <a:miter lim="800000"/>
          <a:headEnd/>
          <a:tailEnd/>
        </a:ln>
      </xdr:spPr>
      <xdr:txBody>
        <a:bodyPr lIns="0" tIns="0" rIns="0" bIns="0" anchor="ctr" anchorCtr="1">
          <a:spAutoFit/>
        </a:bodyPr>
        <a:lstStyle/>
        <a:p>
          <a:pPr marL="0" indent="0" algn="ctr"/>
          <a:fld id="{3F0AFCBA-08B3-4AE1-B11B-A91316A88D20}" type="TxLink">
            <a:rPr lang="de-CH" sz="800" b="0" i="0" u="none" strike="noStrike">
              <a:solidFill>
                <a:sysClr val="windowText" lastClr="000000"/>
              </a:solidFill>
              <a:latin typeface="Arial" pitchFamily="34" charset="0"/>
              <a:ea typeface="+mn-ea"/>
              <a:cs typeface="Arial" pitchFamily="34" charset="0"/>
            </a:rPr>
            <a:pPr marL="0" indent="0" algn="ctr"/>
            <a:t> </a:t>
          </a:fld>
          <a:endParaRPr lang="de-CH" sz="800" b="0">
            <a:solidFill>
              <a:sysClr val="windowText" lastClr="000000"/>
            </a:solidFill>
            <a:latin typeface="Arial" pitchFamily="34" charset="0"/>
            <a:ea typeface="+mn-ea"/>
            <a:cs typeface="Arial" pitchFamily="34" charset="0"/>
          </a:endParaRPr>
        </a:p>
      </xdr:txBody>
    </xdr:sp>
    <xdr:clientData/>
  </xdr:oneCellAnchor>
  <xdr:oneCellAnchor>
    <xdr:from>
      <xdr:col>2</xdr:col>
      <xdr:colOff>6721</xdr:colOff>
      <xdr:row>43</xdr:row>
      <xdr:rowOff>31059</xdr:rowOff>
    </xdr:from>
    <xdr:ext cx="145242" cy="117917"/>
    <xdr:sp macro="" textlink="AKTIV_RGW2">
      <xdr:nvSpPr>
        <xdr:cNvPr id="3175" name="Text Box RGII"/>
        <xdr:cNvSpPr txBox="1">
          <a:spLocks noChangeArrowheads="1" noTextEdit="1"/>
        </xdr:cNvSpPr>
      </xdr:nvSpPr>
      <xdr:spPr bwMode="auto">
        <a:xfrm>
          <a:off x="1244971" y="8660709"/>
          <a:ext cx="145242" cy="117917"/>
        </a:xfrm>
        <a:prstGeom prst="rect">
          <a:avLst/>
        </a:prstGeom>
        <a:noFill/>
        <a:ln w="9525">
          <a:solidFill>
            <a:srgbClr val="000000"/>
          </a:solidFill>
          <a:miter lim="800000"/>
          <a:headEnd/>
          <a:tailEnd/>
        </a:ln>
      </xdr:spPr>
      <xdr:txBody>
        <a:bodyPr lIns="0" tIns="0" rIns="0" bIns="0" anchor="ctr" anchorCtr="1">
          <a:spAutoFit/>
        </a:bodyPr>
        <a:lstStyle/>
        <a:p>
          <a:pPr marL="0" indent="0" algn="ctr"/>
          <a:fld id="{778DB854-D761-4220-95BB-5CDB22239ACB}" type="TxLink">
            <a:rPr lang="de-CH" sz="800" b="0" i="0" u="none" strike="noStrike">
              <a:solidFill>
                <a:sysClr val="windowText" lastClr="000000"/>
              </a:solidFill>
              <a:latin typeface="Arial" pitchFamily="34" charset="0"/>
              <a:ea typeface="+mn-ea"/>
              <a:cs typeface="Arial" pitchFamily="34" charset="0"/>
            </a:rPr>
            <a:pPr marL="0" indent="0" algn="ctr"/>
            <a:t> </a:t>
          </a:fld>
          <a:endParaRPr lang="de-CH" sz="800" b="0">
            <a:solidFill>
              <a:sysClr val="windowText" lastClr="000000"/>
            </a:solidFill>
            <a:latin typeface="Arial" pitchFamily="34" charset="0"/>
            <a:ea typeface="+mn-ea"/>
            <a:cs typeface="Arial" pitchFamily="34" charset="0"/>
          </a:endParaRPr>
        </a:p>
      </xdr:txBody>
    </xdr:sp>
    <xdr:clientData/>
  </xdr:oneCellAnchor>
  <xdr:oneCellAnchor>
    <xdr:from>
      <xdr:col>3</xdr:col>
      <xdr:colOff>61181</xdr:colOff>
      <xdr:row>43</xdr:row>
      <xdr:rowOff>31052</xdr:rowOff>
    </xdr:from>
    <xdr:ext cx="144000" cy="117917"/>
    <xdr:sp macro="" textlink="AKTIV_RGW3">
      <xdr:nvSpPr>
        <xdr:cNvPr id="3176" name="Text Box RGIII"/>
        <xdr:cNvSpPr txBox="1">
          <a:spLocks noChangeArrowheads="1" noTextEdit="1"/>
        </xdr:cNvSpPr>
      </xdr:nvSpPr>
      <xdr:spPr bwMode="auto">
        <a:xfrm>
          <a:off x="1585181" y="8660702"/>
          <a:ext cx="144000" cy="117917"/>
        </a:xfrm>
        <a:prstGeom prst="rect">
          <a:avLst/>
        </a:prstGeom>
        <a:noFill/>
        <a:ln w="9525">
          <a:solidFill>
            <a:srgbClr val="000000"/>
          </a:solidFill>
          <a:miter lim="800000"/>
          <a:headEnd/>
          <a:tailEnd/>
        </a:ln>
      </xdr:spPr>
      <xdr:txBody>
        <a:bodyPr lIns="0" tIns="0" rIns="0" bIns="0" anchor="ctr" anchorCtr="1">
          <a:spAutoFit/>
        </a:bodyPr>
        <a:lstStyle/>
        <a:p>
          <a:pPr marL="0" indent="0" algn="ctr"/>
          <a:fld id="{54A3090B-D518-4417-A744-E802033E01EB}" type="TxLink">
            <a:rPr lang="de-CH" sz="800" b="0" i="0" u="none" strike="noStrike">
              <a:solidFill>
                <a:sysClr val="windowText" lastClr="000000"/>
              </a:solidFill>
              <a:latin typeface="Arial" pitchFamily="34" charset="0"/>
              <a:ea typeface="+mn-ea"/>
              <a:cs typeface="Arial" pitchFamily="34" charset="0"/>
            </a:rPr>
            <a:pPr marL="0" indent="0" algn="ctr"/>
            <a:t> </a:t>
          </a:fld>
          <a:endParaRPr lang="de-CH" sz="800" b="0">
            <a:solidFill>
              <a:sysClr val="windowText" lastClr="000000"/>
            </a:solidFill>
            <a:latin typeface="Arial" pitchFamily="34" charset="0"/>
            <a:ea typeface="+mn-ea"/>
            <a:cs typeface="Arial" pitchFamily="34" charset="0"/>
          </a:endParaRPr>
        </a:p>
      </xdr:txBody>
    </xdr:sp>
    <xdr:clientData/>
  </xdr:oneCellAnchor>
  <xdr:oneCellAnchor>
    <xdr:from>
      <xdr:col>1</xdr:col>
      <xdr:colOff>714375</xdr:colOff>
      <xdr:row>34</xdr:row>
      <xdr:rowOff>38100</xdr:rowOff>
    </xdr:from>
    <xdr:ext cx="118152" cy="117917"/>
    <xdr:sp macro="" textlink="AKTIV_LHAND">
      <xdr:nvSpPr>
        <xdr:cNvPr id="3186" name="Text Box 114"/>
        <xdr:cNvSpPr txBox="1">
          <a:spLocks noChangeArrowheads="1" noTextEdit="1"/>
        </xdr:cNvSpPr>
      </xdr:nvSpPr>
      <xdr:spPr bwMode="auto">
        <a:xfrm>
          <a:off x="876300" y="6810375"/>
          <a:ext cx="118152" cy="117917"/>
        </a:xfrm>
        <a:prstGeom prst="rect">
          <a:avLst/>
        </a:prstGeom>
        <a:noFill/>
        <a:ln w="9525">
          <a:solidFill>
            <a:srgbClr val="000000"/>
          </a:solidFill>
          <a:miter lim="800000"/>
          <a:headEnd/>
          <a:tailEnd/>
        </a:ln>
      </xdr:spPr>
      <xdr:txBody>
        <a:bodyPr lIns="0" tIns="0" rIns="0" bIns="0" anchor="ctr" anchorCtr="1">
          <a:spAutoFit/>
        </a:bodyPr>
        <a:lstStyle/>
        <a:p>
          <a:pPr algn="ctr"/>
          <a:fld id="{557990BA-7564-478D-AFC7-0D5D71905640}" type="TxLink">
            <a:rPr lang="de-CH" sz="800" b="0" i="0" u="none" strike="noStrike">
              <a:solidFill>
                <a:srgbClr val="969696"/>
              </a:solidFill>
              <a:latin typeface="Arial" pitchFamily="34" charset="0"/>
              <a:cs typeface="Arial" pitchFamily="34" charset="0"/>
            </a:rPr>
            <a:pPr algn="ctr"/>
            <a:t> </a:t>
          </a:fld>
          <a:endParaRPr lang="de-CH" sz="800">
            <a:latin typeface="Arial" pitchFamily="34" charset="0"/>
            <a:cs typeface="Arial" pitchFamily="34" charset="0"/>
          </a:endParaRPr>
        </a:p>
      </xdr:txBody>
    </xdr:sp>
    <xdr:clientData/>
  </xdr:oneCellAnchor>
  <xdr:oneCellAnchor>
    <xdr:from>
      <xdr:col>5</xdr:col>
      <xdr:colOff>209550</xdr:colOff>
      <xdr:row>34</xdr:row>
      <xdr:rowOff>38100</xdr:rowOff>
    </xdr:from>
    <xdr:ext cx="114300" cy="117917"/>
    <xdr:sp macro="" textlink="AKTIV_SCHLD1">
      <xdr:nvSpPr>
        <xdr:cNvPr id="3187" name="Text Box 115"/>
        <xdr:cNvSpPr txBox="1">
          <a:spLocks noChangeArrowheads="1" noTextEdit="1"/>
        </xdr:cNvSpPr>
      </xdr:nvSpPr>
      <xdr:spPr bwMode="auto">
        <a:xfrm>
          <a:off x="2257425" y="6810375"/>
          <a:ext cx="114300" cy="117917"/>
        </a:xfrm>
        <a:prstGeom prst="rect">
          <a:avLst/>
        </a:prstGeom>
        <a:noFill/>
        <a:ln w="9525">
          <a:solidFill>
            <a:srgbClr val="000000"/>
          </a:solidFill>
          <a:miter lim="800000"/>
          <a:headEnd/>
          <a:tailEnd/>
        </a:ln>
      </xdr:spPr>
      <xdr:txBody>
        <a:bodyPr lIns="0" tIns="0" rIns="0" bIns="0" anchor="ctr" anchorCtr="1">
          <a:spAutoFit/>
        </a:bodyPr>
        <a:lstStyle/>
        <a:p>
          <a:pPr marL="0" indent="0" algn="ctr"/>
          <a:fld id="{8CA3EEF9-B781-4AE0-ABF2-A43A25539C8F}" type="TxLink">
            <a:rPr lang="de-CH" sz="800" b="0" i="0" u="none" strike="noStrike">
              <a:solidFill>
                <a:srgbClr val="969696"/>
              </a:solidFill>
              <a:latin typeface="Arial" pitchFamily="34" charset="0"/>
              <a:ea typeface="+mn-ea"/>
              <a:cs typeface="Arial" pitchFamily="34" charset="0"/>
            </a:rPr>
            <a:pPr marL="0" indent="0" algn="ctr"/>
            <a:t> </a:t>
          </a:fld>
          <a:endParaRPr lang="de-CH" sz="800">
            <a:latin typeface="Arial" pitchFamily="34" charset="0"/>
            <a:ea typeface="+mn-ea"/>
            <a:cs typeface="Arial" pitchFamily="34" charset="0"/>
          </a:endParaRPr>
        </a:p>
      </xdr:txBody>
    </xdr:sp>
    <xdr:clientData/>
  </xdr:oneCellAnchor>
  <xdr:oneCellAnchor>
    <xdr:from>
      <xdr:col>7</xdr:col>
      <xdr:colOff>247650</xdr:colOff>
      <xdr:row>34</xdr:row>
      <xdr:rowOff>38100</xdr:rowOff>
    </xdr:from>
    <xdr:ext cx="114300" cy="117917"/>
    <xdr:sp macro="" textlink="AKTIV_SCHLD2">
      <xdr:nvSpPr>
        <xdr:cNvPr id="3188" name="Text Box 116"/>
        <xdr:cNvSpPr txBox="1">
          <a:spLocks noChangeArrowheads="1" noTextEdit="1"/>
        </xdr:cNvSpPr>
      </xdr:nvSpPr>
      <xdr:spPr bwMode="auto">
        <a:xfrm>
          <a:off x="2914650" y="6810375"/>
          <a:ext cx="114300" cy="117917"/>
        </a:xfrm>
        <a:prstGeom prst="rect">
          <a:avLst/>
        </a:prstGeom>
        <a:noFill/>
        <a:ln w="9525">
          <a:solidFill>
            <a:srgbClr val="000000"/>
          </a:solidFill>
          <a:miter lim="800000"/>
          <a:headEnd/>
          <a:tailEnd/>
        </a:ln>
      </xdr:spPr>
      <xdr:txBody>
        <a:bodyPr lIns="0" tIns="0" rIns="0" bIns="0" anchor="ctr" anchorCtr="1">
          <a:spAutoFit/>
        </a:bodyPr>
        <a:lstStyle/>
        <a:p>
          <a:pPr marL="0" indent="0" algn="ctr"/>
          <a:fld id="{9F0B8416-B438-480D-9916-0CF99CB0C6E2}" type="TxLink">
            <a:rPr lang="de-CH" sz="800" b="0" i="0" u="none" strike="noStrike">
              <a:solidFill>
                <a:srgbClr val="969696"/>
              </a:solidFill>
              <a:latin typeface="Arial" pitchFamily="34" charset="0"/>
              <a:ea typeface="+mn-ea"/>
              <a:cs typeface="Arial" pitchFamily="34" charset="0"/>
            </a:rPr>
            <a:pPr marL="0" indent="0" algn="ctr"/>
            <a:t> </a:t>
          </a:fld>
          <a:endParaRPr lang="de-CH" sz="800">
            <a:latin typeface="Arial" pitchFamily="34" charset="0"/>
            <a:ea typeface="+mn-ea"/>
            <a:cs typeface="Arial" pitchFamily="34" charset="0"/>
          </a:endParaRPr>
        </a:p>
      </xdr:txBody>
    </xdr:sp>
    <xdr:clientData/>
  </xdr:oneCellAnchor>
  <xdr:oneCellAnchor>
    <xdr:from>
      <xdr:col>14</xdr:col>
      <xdr:colOff>9525</xdr:colOff>
      <xdr:row>34</xdr:row>
      <xdr:rowOff>38100</xdr:rowOff>
    </xdr:from>
    <xdr:ext cx="114300" cy="117917"/>
    <xdr:sp macro="" textlink="AKTIV_PAR1">
      <xdr:nvSpPr>
        <xdr:cNvPr id="3189" name="Text Box 117"/>
        <xdr:cNvSpPr txBox="1">
          <a:spLocks noChangeArrowheads="1" noTextEdit="1"/>
        </xdr:cNvSpPr>
      </xdr:nvSpPr>
      <xdr:spPr bwMode="auto">
        <a:xfrm>
          <a:off x="3981450" y="6810375"/>
          <a:ext cx="114300" cy="117917"/>
        </a:xfrm>
        <a:prstGeom prst="rect">
          <a:avLst/>
        </a:prstGeom>
        <a:noFill/>
        <a:ln w="9525">
          <a:solidFill>
            <a:srgbClr val="000000"/>
          </a:solidFill>
          <a:miter lim="800000"/>
          <a:headEnd/>
          <a:tailEnd/>
        </a:ln>
      </xdr:spPr>
      <xdr:txBody>
        <a:bodyPr lIns="0" tIns="0" rIns="0" bIns="0" anchor="ctr" anchorCtr="1">
          <a:spAutoFit/>
        </a:bodyPr>
        <a:lstStyle/>
        <a:p>
          <a:pPr marL="0" indent="0" algn="ctr"/>
          <a:fld id="{CBA75A99-8EEC-4D91-9287-11F8B2BCD22E}" type="TxLink">
            <a:rPr lang="de-CH" sz="800" b="0" i="0" u="none" strike="noStrike">
              <a:solidFill>
                <a:srgbClr val="969696"/>
              </a:solidFill>
              <a:latin typeface="Arial" pitchFamily="34" charset="0"/>
              <a:ea typeface="+mn-ea"/>
              <a:cs typeface="Arial" pitchFamily="34" charset="0"/>
            </a:rPr>
            <a:pPr marL="0" indent="0" algn="ctr"/>
            <a:t> </a:t>
          </a:fld>
          <a:endParaRPr lang="de-CH" sz="800">
            <a:latin typeface="Arial" pitchFamily="34" charset="0"/>
            <a:ea typeface="+mn-ea"/>
            <a:cs typeface="Arial" pitchFamily="34" charset="0"/>
          </a:endParaRPr>
        </a:p>
      </xdr:txBody>
    </xdr:sp>
    <xdr:clientData/>
  </xdr:oneCellAnchor>
  <xdr:twoCellAnchor editAs="oneCell">
    <xdr:from>
      <xdr:col>15</xdr:col>
      <xdr:colOff>104775</xdr:colOff>
      <xdr:row>34</xdr:row>
      <xdr:rowOff>38100</xdr:rowOff>
    </xdr:from>
    <xdr:to>
      <xdr:col>15</xdr:col>
      <xdr:colOff>219075</xdr:colOff>
      <xdr:row>34</xdr:row>
      <xdr:rowOff>156900</xdr:rowOff>
    </xdr:to>
    <xdr:sp macro="" textlink="AKTIV_PAR2">
      <xdr:nvSpPr>
        <xdr:cNvPr id="3190" name="Text Box 118"/>
        <xdr:cNvSpPr txBox="1">
          <a:spLocks noChangeArrowheads="1" noTextEdit="1"/>
        </xdr:cNvSpPr>
      </xdr:nvSpPr>
      <xdr:spPr bwMode="auto">
        <a:xfrm>
          <a:off x="4257675" y="6810375"/>
          <a:ext cx="114300" cy="118800"/>
        </a:xfrm>
        <a:prstGeom prst="rect">
          <a:avLst/>
        </a:prstGeom>
        <a:noFill/>
        <a:ln w="9525">
          <a:solidFill>
            <a:srgbClr val="000000"/>
          </a:solidFill>
          <a:miter lim="800000"/>
          <a:headEnd/>
          <a:tailEnd/>
        </a:ln>
      </xdr:spPr>
      <xdr:txBody>
        <a:bodyPr lIns="36000" rIns="36000" bIns="36000" anchor="ctr" anchorCtr="1"/>
        <a:lstStyle/>
        <a:p>
          <a:pPr marL="0" indent="0" algn="ctr"/>
          <a:fld id="{3F842A23-2BA1-4B37-8204-1C9DEF437707}" type="TxLink">
            <a:rPr lang="de-CH" sz="800" b="0" i="0" u="none" strike="noStrike">
              <a:solidFill>
                <a:srgbClr val="969696"/>
              </a:solidFill>
              <a:latin typeface="Arial" pitchFamily="34" charset="0"/>
              <a:ea typeface="+mn-ea"/>
              <a:cs typeface="Arial" pitchFamily="34" charset="0"/>
            </a:rPr>
            <a:pPr marL="0" indent="0" algn="ctr"/>
            <a:t> </a:t>
          </a:fld>
          <a:endParaRPr lang="de-CH" sz="800">
            <a:latin typeface="Arial" pitchFamily="34" charset="0"/>
            <a:ea typeface="+mn-ea"/>
            <a:cs typeface="Arial" pitchFamily="34" charset="0"/>
          </a:endParaRPr>
        </a:p>
      </xdr:txBody>
    </xdr:sp>
    <xdr:clientData/>
  </xdr:twoCellAnchor>
  <xdr:twoCellAnchor editAs="oneCell">
    <xdr:from>
      <xdr:col>30</xdr:col>
      <xdr:colOff>533400</xdr:colOff>
      <xdr:row>0</xdr:row>
      <xdr:rowOff>0</xdr:rowOff>
    </xdr:from>
    <xdr:to>
      <xdr:col>36</xdr:col>
      <xdr:colOff>390524</xdr:colOff>
      <xdr:row>2</xdr:row>
      <xdr:rowOff>38100</xdr:rowOff>
    </xdr:to>
    <xdr:sp macro="" textlink="">
      <xdr:nvSpPr>
        <xdr:cNvPr id="3223" name="AutoShape 151"/>
        <xdr:cNvSpPr>
          <a:spLocks/>
        </xdr:cNvSpPr>
      </xdr:nvSpPr>
      <xdr:spPr bwMode="auto">
        <a:xfrm>
          <a:off x="10629900" y="0"/>
          <a:ext cx="4381500" cy="447675"/>
        </a:xfrm>
        <a:prstGeom prst="borderCallout2">
          <a:avLst>
            <a:gd name="adj1" fmla="val 25532"/>
            <a:gd name="adj2" fmla="val -1741"/>
            <a:gd name="adj3" fmla="val 25532"/>
            <a:gd name="adj4" fmla="val -28259"/>
            <a:gd name="adj5" fmla="val 48935"/>
            <a:gd name="adj6" fmla="val -46303"/>
          </a:avLst>
        </a:prstGeom>
        <a:solidFill>
          <a:srgbClr val="FFFFFF"/>
        </a:solidFill>
        <a:ln w="9525">
          <a:solidFill>
            <a:srgbClr val="000000"/>
          </a:solidFill>
          <a:miter lim="800000"/>
          <a:headEnd type="none" w="med" len="lg"/>
          <a:tailEnd type="stealth" w="med" len="lg"/>
        </a:ln>
      </xdr:spPr>
      <xdr:txBody>
        <a:bodyPr vertOverflow="clip" wrap="square" lIns="27432" tIns="22860" rIns="0" bIns="0" anchor="t" upright="1"/>
        <a:lstStyle/>
        <a:p>
          <a:pPr algn="l" rtl="1">
            <a:defRPr sz="1000"/>
          </a:pPr>
          <a:r>
            <a:rPr lang="de-CH" sz="800" b="0" i="1" strike="noStrike">
              <a:solidFill>
                <a:srgbClr val="000000"/>
              </a:solidFill>
              <a:latin typeface="Arial"/>
              <a:cs typeface="Arial"/>
            </a:rPr>
            <a:t>Wenn statt der normalen BE-Berechnung die BE der erweiterten Rüstungstabelle benutzt werden sollen, bitte hier ein "x" eintragen. Voraussetzung: Alle Rüsteungsteile müssen aus besserer Material und Verarbeitung hergestellt werden (WdS S.109/110)</a:t>
          </a:r>
        </a:p>
      </xdr:txBody>
    </xdr:sp>
    <xdr:clientData/>
  </xdr:twoCellAnchor>
  <xdr:twoCellAnchor>
    <xdr:from>
      <xdr:col>29</xdr:col>
      <xdr:colOff>361950</xdr:colOff>
      <xdr:row>11</xdr:row>
      <xdr:rowOff>47625</xdr:rowOff>
    </xdr:from>
    <xdr:to>
      <xdr:col>34</xdr:col>
      <xdr:colOff>323850</xdr:colOff>
      <xdr:row>13</xdr:row>
      <xdr:rowOff>57150</xdr:rowOff>
    </xdr:to>
    <xdr:sp macro="" textlink="">
      <xdr:nvSpPr>
        <xdr:cNvPr id="3299" name="AutoShape 227"/>
        <xdr:cNvSpPr>
          <a:spLocks/>
        </xdr:cNvSpPr>
      </xdr:nvSpPr>
      <xdr:spPr bwMode="auto">
        <a:xfrm>
          <a:off x="9477375" y="2219325"/>
          <a:ext cx="3943350" cy="390525"/>
        </a:xfrm>
        <a:prstGeom prst="borderCallout2">
          <a:avLst>
            <a:gd name="adj1" fmla="val 25532"/>
            <a:gd name="adj2" fmla="val -2042"/>
            <a:gd name="adj3" fmla="val 25532"/>
            <a:gd name="adj4" fmla="val -7398"/>
            <a:gd name="adj5" fmla="val -10639"/>
            <a:gd name="adj6" fmla="val -9790"/>
          </a:avLst>
        </a:prstGeom>
        <a:solidFill>
          <a:srgbClr val="FFFFFF"/>
        </a:solidFill>
        <a:ln w="9525">
          <a:solidFill>
            <a:srgbClr val="000000"/>
          </a:solidFill>
          <a:miter lim="800000"/>
          <a:headEnd/>
          <a:tailEnd type="stealth" w="med" len="med"/>
        </a:ln>
        <a:effectLst/>
      </xdr:spPr>
      <xdr:txBody>
        <a:bodyPr vertOverflow="clip" wrap="square" lIns="27432" tIns="22860" rIns="0" bIns="0" anchor="t" upright="1"/>
        <a:lstStyle/>
        <a:p>
          <a:pPr algn="l" rtl="0">
            <a:defRPr sz="1000"/>
          </a:pPr>
          <a:r>
            <a:rPr lang="de-CH" sz="800" b="0" i="1" strike="noStrike">
              <a:solidFill>
                <a:srgbClr val="000000"/>
              </a:solidFill>
              <a:latin typeface="Arial"/>
              <a:cs typeface="Arial"/>
            </a:rPr>
            <a:t>Hier können die vorgegeben Werte der Waffe modifiziert werden, z.B. für eine persönliche Waffe. Die hier eingetragenen Werte übersteuern die Grundewerte der Waffe.</a:t>
          </a:r>
        </a:p>
      </xdr:txBody>
    </xdr:sp>
    <xdr:clientData/>
  </xdr:twoCellAnchor>
  <xdr:twoCellAnchor editAs="oneCell">
    <xdr:from>
      <xdr:col>3</xdr:col>
      <xdr:colOff>104775</xdr:colOff>
      <xdr:row>1</xdr:row>
      <xdr:rowOff>47625</xdr:rowOff>
    </xdr:from>
    <xdr:to>
      <xdr:col>16</xdr:col>
      <xdr:colOff>314325</xdr:colOff>
      <xdr:row>2</xdr:row>
      <xdr:rowOff>180975</xdr:rowOff>
    </xdr:to>
    <xdr:pic>
      <xdr:nvPicPr>
        <xdr:cNvPr id="326839" name="Picture 266"/>
        <xdr:cNvPicPr>
          <a:picLocks noChangeAspect="1" noChangeArrowheads="1"/>
        </xdr:cNvPicPr>
      </xdr:nvPicPr>
      <xdr:blipFill>
        <a:blip xmlns:r="http://schemas.openxmlformats.org/officeDocument/2006/relationships" r:embed="rId2" cstate="print"/>
        <a:srcRect/>
        <a:stretch>
          <a:fillRect/>
        </a:stretch>
      </xdr:blipFill>
      <xdr:spPr bwMode="auto">
        <a:xfrm>
          <a:off x="1628775" y="285750"/>
          <a:ext cx="3400425" cy="304800"/>
        </a:xfrm>
        <a:prstGeom prst="rect">
          <a:avLst/>
        </a:prstGeom>
        <a:noFill/>
        <a:ln w="1">
          <a:noFill/>
          <a:miter lim="800000"/>
          <a:headEnd/>
          <a:tailEnd/>
        </a:ln>
      </xdr:spPr>
    </xdr:pic>
    <xdr:clientData/>
  </xdr:twoCellAnchor>
  <xdr:twoCellAnchor editAs="oneCell">
    <xdr:from>
      <xdr:col>1</xdr:col>
      <xdr:colOff>590550</xdr:colOff>
      <xdr:row>30</xdr:row>
      <xdr:rowOff>47625</xdr:rowOff>
    </xdr:from>
    <xdr:to>
      <xdr:col>9</xdr:col>
      <xdr:colOff>85725</xdr:colOff>
      <xdr:row>30</xdr:row>
      <xdr:rowOff>276225</xdr:rowOff>
    </xdr:to>
    <xdr:pic>
      <xdr:nvPicPr>
        <xdr:cNvPr id="326840" name="Picture 267"/>
        <xdr:cNvPicPr>
          <a:picLocks noChangeAspect="1" noChangeArrowheads="1"/>
        </xdr:cNvPicPr>
      </xdr:nvPicPr>
      <xdr:blipFill>
        <a:blip xmlns:r="http://schemas.openxmlformats.org/officeDocument/2006/relationships" r:embed="rId3" cstate="print"/>
        <a:srcRect/>
        <a:stretch>
          <a:fillRect/>
        </a:stretch>
      </xdr:blipFill>
      <xdr:spPr bwMode="auto">
        <a:xfrm>
          <a:off x="752475" y="5915025"/>
          <a:ext cx="2667000" cy="228600"/>
        </a:xfrm>
        <a:prstGeom prst="rect">
          <a:avLst/>
        </a:prstGeom>
        <a:noFill/>
        <a:ln w="1">
          <a:noFill/>
          <a:miter lim="800000"/>
          <a:headEnd/>
          <a:tailEnd/>
        </a:ln>
      </xdr:spPr>
    </xdr:pic>
    <xdr:clientData/>
  </xdr:twoCellAnchor>
  <xdr:twoCellAnchor editAs="oneCell">
    <xdr:from>
      <xdr:col>1</xdr:col>
      <xdr:colOff>85725</xdr:colOff>
      <xdr:row>35</xdr:row>
      <xdr:rowOff>47625</xdr:rowOff>
    </xdr:from>
    <xdr:to>
      <xdr:col>2</xdr:col>
      <xdr:colOff>161925</xdr:colOff>
      <xdr:row>35</xdr:row>
      <xdr:rowOff>314325</xdr:rowOff>
    </xdr:to>
    <xdr:pic>
      <xdr:nvPicPr>
        <xdr:cNvPr id="326841" name="Picture 268"/>
        <xdr:cNvPicPr>
          <a:picLocks noChangeAspect="1" noChangeArrowheads="1"/>
        </xdr:cNvPicPr>
      </xdr:nvPicPr>
      <xdr:blipFill>
        <a:blip xmlns:r="http://schemas.openxmlformats.org/officeDocument/2006/relationships" r:embed="rId4" cstate="print"/>
        <a:srcRect/>
        <a:stretch>
          <a:fillRect/>
        </a:stretch>
      </xdr:blipFill>
      <xdr:spPr bwMode="auto">
        <a:xfrm>
          <a:off x="247650" y="7010400"/>
          <a:ext cx="1152525" cy="266700"/>
        </a:xfrm>
        <a:prstGeom prst="rect">
          <a:avLst/>
        </a:prstGeom>
        <a:noFill/>
        <a:ln w="1">
          <a:noFill/>
          <a:miter lim="800000"/>
          <a:headEnd/>
          <a:tailEnd/>
        </a:ln>
      </xdr:spPr>
    </xdr:pic>
    <xdr:clientData/>
  </xdr:twoCellAnchor>
  <xdr:twoCellAnchor editAs="oneCell">
    <xdr:from>
      <xdr:col>6</xdr:col>
      <xdr:colOff>257175</xdr:colOff>
      <xdr:row>35</xdr:row>
      <xdr:rowOff>66675</xdr:rowOff>
    </xdr:from>
    <xdr:to>
      <xdr:col>12</xdr:col>
      <xdr:colOff>314325</xdr:colOff>
      <xdr:row>35</xdr:row>
      <xdr:rowOff>295275</xdr:rowOff>
    </xdr:to>
    <xdr:pic>
      <xdr:nvPicPr>
        <xdr:cNvPr id="326842" name="Picture 269"/>
        <xdr:cNvPicPr>
          <a:picLocks noChangeAspect="1" noChangeArrowheads="1"/>
        </xdr:cNvPicPr>
      </xdr:nvPicPr>
      <xdr:blipFill>
        <a:blip xmlns:r="http://schemas.openxmlformats.org/officeDocument/2006/relationships" r:embed="rId5" cstate="print"/>
        <a:srcRect/>
        <a:stretch>
          <a:fillRect/>
        </a:stretch>
      </xdr:blipFill>
      <xdr:spPr bwMode="auto">
        <a:xfrm>
          <a:off x="2571750" y="7029450"/>
          <a:ext cx="1485900" cy="228600"/>
        </a:xfrm>
        <a:prstGeom prst="rect">
          <a:avLst/>
        </a:prstGeom>
        <a:noFill/>
        <a:ln w="1">
          <a:noFill/>
          <a:miter lim="800000"/>
          <a:headEnd/>
          <a:tailEnd/>
        </a:ln>
      </xdr:spPr>
    </xdr:pic>
    <xdr:clientData/>
  </xdr:twoCellAnchor>
  <xdr:twoCellAnchor editAs="oneCell">
    <xdr:from>
      <xdr:col>7</xdr:col>
      <xdr:colOff>47625</xdr:colOff>
      <xdr:row>39</xdr:row>
      <xdr:rowOff>76200</xdr:rowOff>
    </xdr:from>
    <xdr:to>
      <xdr:col>12</xdr:col>
      <xdr:colOff>161925</xdr:colOff>
      <xdr:row>40</xdr:row>
      <xdr:rowOff>123825</xdr:rowOff>
    </xdr:to>
    <xdr:pic>
      <xdr:nvPicPr>
        <xdr:cNvPr id="326843" name="Picture 270"/>
        <xdr:cNvPicPr>
          <a:picLocks noChangeAspect="1" noChangeArrowheads="1"/>
        </xdr:cNvPicPr>
      </xdr:nvPicPr>
      <xdr:blipFill>
        <a:blip xmlns:r="http://schemas.openxmlformats.org/officeDocument/2006/relationships" r:embed="rId6" cstate="print"/>
        <a:srcRect/>
        <a:stretch>
          <a:fillRect/>
        </a:stretch>
      </xdr:blipFill>
      <xdr:spPr bwMode="auto">
        <a:xfrm>
          <a:off x="2752725" y="7943850"/>
          <a:ext cx="1152525" cy="238125"/>
        </a:xfrm>
        <a:prstGeom prst="rect">
          <a:avLst/>
        </a:prstGeom>
        <a:noFill/>
        <a:ln w="1">
          <a:noFill/>
          <a:miter lim="800000"/>
          <a:headEnd/>
          <a:tailEnd/>
        </a:ln>
      </xdr:spPr>
    </xdr:pic>
    <xdr:clientData/>
  </xdr:twoCellAnchor>
  <xdr:twoCellAnchor editAs="oneCell">
    <xdr:from>
      <xdr:col>2</xdr:col>
      <xdr:colOff>161925</xdr:colOff>
      <xdr:row>44</xdr:row>
      <xdr:rowOff>19050</xdr:rowOff>
    </xdr:from>
    <xdr:to>
      <xdr:col>17</xdr:col>
      <xdr:colOff>228600</xdr:colOff>
      <xdr:row>44</xdr:row>
      <xdr:rowOff>276225</xdr:rowOff>
    </xdr:to>
    <xdr:pic>
      <xdr:nvPicPr>
        <xdr:cNvPr id="326844" name="Picture 271"/>
        <xdr:cNvPicPr>
          <a:picLocks noChangeAspect="1" noChangeArrowheads="1"/>
        </xdr:cNvPicPr>
      </xdr:nvPicPr>
      <xdr:blipFill>
        <a:blip xmlns:r="http://schemas.openxmlformats.org/officeDocument/2006/relationships" r:embed="rId7" cstate="print"/>
        <a:srcRect/>
        <a:stretch>
          <a:fillRect/>
        </a:stretch>
      </xdr:blipFill>
      <xdr:spPr bwMode="auto">
        <a:xfrm>
          <a:off x="1400175" y="8839200"/>
          <a:ext cx="3895725" cy="257175"/>
        </a:xfrm>
        <a:prstGeom prst="rect">
          <a:avLst/>
        </a:prstGeom>
        <a:noFill/>
        <a:ln w="1">
          <a:noFill/>
          <a:miter lim="800000"/>
          <a:headEnd/>
          <a:tailEnd/>
        </a:ln>
      </xdr:spPr>
    </xdr:pic>
    <xdr:clientData/>
  </xdr:twoCellAnchor>
  <xdr:twoCellAnchor editAs="oneCell">
    <xdr:from>
      <xdr:col>8</xdr:col>
      <xdr:colOff>85721</xdr:colOff>
      <xdr:row>38</xdr:row>
      <xdr:rowOff>70754</xdr:rowOff>
    </xdr:from>
    <xdr:to>
      <xdr:col>9</xdr:col>
      <xdr:colOff>9522</xdr:colOff>
      <xdr:row>38</xdr:row>
      <xdr:rowOff>156479</xdr:rowOff>
    </xdr:to>
    <xdr:sp macro="" textlink="AN28">
      <xdr:nvSpPr>
        <xdr:cNvPr id="38" name="Text Box 93"/>
        <xdr:cNvSpPr txBox="1">
          <a:spLocks noChangeArrowheads="1" noTextEdit="1"/>
        </xdr:cNvSpPr>
      </xdr:nvSpPr>
      <xdr:spPr bwMode="auto">
        <a:xfrm>
          <a:off x="3124196" y="7747904"/>
          <a:ext cx="85725" cy="85725"/>
        </a:xfrm>
        <a:prstGeom prst="rect">
          <a:avLst/>
        </a:prstGeom>
        <a:noFill/>
        <a:ln w="9525">
          <a:solidFill>
            <a:srgbClr val="000000"/>
          </a:solidFill>
          <a:miter lim="800000"/>
          <a:headEnd/>
          <a:tailEnd/>
        </a:ln>
      </xdr:spPr>
      <xdr:txBody>
        <a:bodyPr lIns="36000" tIns="36000" rIns="36000" bIns="36000" anchor="ctr" anchorCtr="1"/>
        <a:lstStyle/>
        <a:p>
          <a:pPr marL="0" indent="0"/>
          <a:fld id="{D3BED5AE-EB06-4D20-ACCF-86BF008A84B7}" type="TxLink">
            <a:rPr lang="de-CH" sz="800" b="0" i="0" u="none" strike="noStrike">
              <a:solidFill>
                <a:srgbClr val="969696"/>
              </a:solidFill>
              <a:latin typeface="Arial" pitchFamily="34" charset="0"/>
              <a:ea typeface="+mn-ea"/>
              <a:cs typeface="Arial" pitchFamily="34" charset="0"/>
            </a:rPr>
            <a:pPr marL="0" indent="0"/>
            <a:t> </a:t>
          </a:fld>
          <a:endParaRPr lang="de-CH" sz="800">
            <a:latin typeface="Arial" pitchFamily="34" charset="0"/>
            <a:ea typeface="+mn-ea"/>
            <a:cs typeface="Arial" pitchFamily="34" charset="0"/>
          </a:endParaRPr>
        </a:p>
      </xdr:txBody>
    </xdr:sp>
    <xdr:clientData/>
  </xdr:twoCellAnchor>
  <xdr:twoCellAnchor editAs="oneCell">
    <xdr:from>
      <xdr:col>10</xdr:col>
      <xdr:colOff>9523</xdr:colOff>
      <xdr:row>41</xdr:row>
      <xdr:rowOff>1</xdr:rowOff>
    </xdr:from>
    <xdr:to>
      <xdr:col>15</xdr:col>
      <xdr:colOff>142875</xdr:colOff>
      <xdr:row>42</xdr:row>
      <xdr:rowOff>28575</xdr:rowOff>
    </xdr:to>
    <xdr:sp macro="" textlink="$AM$30">
      <xdr:nvSpPr>
        <xdr:cNvPr id="39" name="Text Box Wund"/>
        <xdr:cNvSpPr txBox="1">
          <a:spLocks noChangeArrowheads="1" noTextEdit="1"/>
        </xdr:cNvSpPr>
      </xdr:nvSpPr>
      <xdr:spPr bwMode="auto">
        <a:xfrm>
          <a:off x="3362323" y="8077201"/>
          <a:ext cx="1028701" cy="219074"/>
        </a:xfrm>
        <a:prstGeom prst="rect">
          <a:avLst/>
        </a:prstGeom>
        <a:noFill/>
        <a:ln w="9525">
          <a:noFill/>
          <a:miter lim="800000"/>
          <a:headEnd/>
          <a:tailEnd/>
        </a:ln>
      </xdr:spPr>
      <xdr:txBody>
        <a:bodyPr lIns="36000" rIns="36000" bIns="36000" anchor="ctr" anchorCtr="1"/>
        <a:lstStyle/>
        <a:p>
          <a:pPr marL="0" indent="0" algn="ctr"/>
          <a:fld id="{C9470846-DA51-46E5-894F-534313AE5C39}" type="TxLink">
            <a:rPr lang="de-CH" sz="800" b="0" i="0" u="none" strike="noStrike">
              <a:solidFill>
                <a:srgbClr val="969696"/>
              </a:solidFill>
              <a:latin typeface="Arial" pitchFamily="34" charset="0"/>
              <a:ea typeface="+mn-ea"/>
              <a:cs typeface="Arial" pitchFamily="34" charset="0"/>
            </a:rPr>
            <a:pPr marL="0" indent="0" algn="ctr"/>
            <a:t>Wundschwelle: 4</a:t>
          </a:fld>
          <a:endParaRPr lang="de-CH" sz="800">
            <a:latin typeface="Arial" pitchFamily="34" charset="0"/>
            <a:ea typeface="+mn-ea"/>
            <a:cs typeface="Arial" pitchFamily="34" charset="0"/>
          </a:endParaRPr>
        </a:p>
      </xdr:txBody>
    </xdr:sp>
    <xdr:clientData/>
  </xdr:twoCellAnchor>
  <xdr:twoCellAnchor>
    <xdr:from>
      <xdr:col>28</xdr:col>
      <xdr:colOff>247650</xdr:colOff>
      <xdr:row>42</xdr:row>
      <xdr:rowOff>104776</xdr:rowOff>
    </xdr:from>
    <xdr:to>
      <xdr:col>33</xdr:col>
      <xdr:colOff>466725</xdr:colOff>
      <xdr:row>43</xdr:row>
      <xdr:rowOff>123826</xdr:rowOff>
    </xdr:to>
    <xdr:sp macro="" textlink="">
      <xdr:nvSpPr>
        <xdr:cNvPr id="42" name="AutoShape 227"/>
        <xdr:cNvSpPr>
          <a:spLocks/>
        </xdr:cNvSpPr>
      </xdr:nvSpPr>
      <xdr:spPr bwMode="auto">
        <a:xfrm>
          <a:off x="8858250" y="8543926"/>
          <a:ext cx="3943350" cy="209550"/>
        </a:xfrm>
        <a:prstGeom prst="borderCallout2">
          <a:avLst>
            <a:gd name="adj1" fmla="val 25532"/>
            <a:gd name="adj2" fmla="val -2042"/>
            <a:gd name="adj3" fmla="val 25532"/>
            <a:gd name="adj4" fmla="val -7398"/>
            <a:gd name="adj5" fmla="val -29275"/>
            <a:gd name="adj6" fmla="val -9307"/>
          </a:avLst>
        </a:prstGeom>
        <a:solidFill>
          <a:srgbClr val="FFFFFF"/>
        </a:solidFill>
        <a:ln w="9525">
          <a:solidFill>
            <a:srgbClr val="000000"/>
          </a:solidFill>
          <a:miter lim="800000"/>
          <a:headEnd/>
          <a:tailEnd type="stealth" w="med" len="med"/>
        </a:ln>
        <a:effectLst/>
      </xdr:spPr>
      <xdr:txBody>
        <a:bodyPr vertOverflow="clip" wrap="square" lIns="27432" tIns="22860" rIns="0" bIns="0" anchor="t" upright="1"/>
        <a:lstStyle/>
        <a:p>
          <a:pPr algn="l" rtl="0">
            <a:defRPr sz="1000"/>
          </a:pPr>
          <a:r>
            <a:rPr lang="de-CH" sz="800" b="0" i="1" strike="noStrike">
              <a:solidFill>
                <a:srgbClr val="000000"/>
              </a:solidFill>
              <a:latin typeface="Arial"/>
              <a:cs typeface="Arial"/>
            </a:rPr>
            <a:t>Hier können eigene Rüstungen mit ihren Werten eingetragen werden.</a:t>
          </a:r>
        </a:p>
      </xdr:txBody>
    </xdr:sp>
    <xdr:clientData/>
  </xdr:twoCellAnchor>
  <xdr:twoCellAnchor>
    <xdr:from>
      <xdr:col>19</xdr:col>
      <xdr:colOff>19050</xdr:colOff>
      <xdr:row>25</xdr:row>
      <xdr:rowOff>101844</xdr:rowOff>
    </xdr:from>
    <xdr:to>
      <xdr:col>20</xdr:col>
      <xdr:colOff>57150</xdr:colOff>
      <xdr:row>27</xdr:row>
      <xdr:rowOff>101844</xdr:rowOff>
    </xdr:to>
    <xdr:sp macro="" textlink="KOPF">
      <xdr:nvSpPr>
        <xdr:cNvPr id="3133" name="Text Box 61"/>
        <xdr:cNvSpPr txBox="1">
          <a:spLocks noChangeArrowheads="1" noTextEdit="1"/>
        </xdr:cNvSpPr>
      </xdr:nvSpPr>
      <xdr:spPr bwMode="auto">
        <a:xfrm>
          <a:off x="5695950" y="4845294"/>
          <a:ext cx="323850" cy="381000"/>
        </a:xfrm>
        <a:prstGeom prst="rect">
          <a:avLst/>
        </a:prstGeom>
        <a:noFill/>
        <a:ln w="9525">
          <a:noFill/>
          <a:miter lim="800000"/>
          <a:headEnd/>
          <a:tailEnd/>
        </a:ln>
      </xdr:spPr>
      <xdr:txBody>
        <a:bodyPr vertOverflow="clip" wrap="square" lIns="27432" tIns="22860" rIns="27432" bIns="22860" anchor="ctr" upright="1"/>
        <a:lstStyle/>
        <a:p>
          <a:pPr algn="ctr" rtl="1">
            <a:defRPr sz="1000"/>
          </a:pPr>
          <a:fld id="{C0C29392-3C37-429F-96B3-DE69023B4D9E}" type="TxLink">
            <a:rPr lang="de-CH" sz="1000" b="1" i="0" u="none" strike="noStrike">
              <a:solidFill>
                <a:srgbClr val="000000"/>
              </a:solidFill>
              <a:latin typeface="Arial"/>
              <a:cs typeface="Arial"/>
            </a:rPr>
            <a:pPr algn="ctr" rtl="1">
              <a:defRPr sz="1000"/>
            </a:pPr>
            <a:t>0</a:t>
          </a:fld>
          <a:endParaRPr lang="de-CH" sz="1000" b="1" i="0" strike="noStrike">
            <a:solidFill>
              <a:srgbClr val="000000"/>
            </a:solidFill>
            <a:latin typeface="Arial"/>
            <a:cs typeface="Arial"/>
          </a:endParaRPr>
        </a:p>
      </xdr:txBody>
    </xdr:sp>
    <xdr:clientData/>
  </xdr:twoCellAnchor>
  <xdr:twoCellAnchor>
    <xdr:from>
      <xdr:col>18</xdr:col>
      <xdr:colOff>133350</xdr:colOff>
      <xdr:row>30</xdr:row>
      <xdr:rowOff>87922</xdr:rowOff>
    </xdr:from>
    <xdr:to>
      <xdr:col>19</xdr:col>
      <xdr:colOff>104775</xdr:colOff>
      <xdr:row>31</xdr:row>
      <xdr:rowOff>95251</xdr:rowOff>
    </xdr:to>
    <xdr:sp macro="" textlink="BRUST">
      <xdr:nvSpPr>
        <xdr:cNvPr id="3134" name="Text Box 62"/>
        <xdr:cNvSpPr txBox="1">
          <a:spLocks noChangeArrowheads="1" noTextEdit="1"/>
        </xdr:cNvSpPr>
      </xdr:nvSpPr>
      <xdr:spPr bwMode="auto">
        <a:xfrm>
          <a:off x="5572125" y="5955322"/>
          <a:ext cx="209550" cy="340704"/>
        </a:xfrm>
        <a:prstGeom prst="rect">
          <a:avLst/>
        </a:prstGeom>
        <a:noFill/>
        <a:ln w="9525">
          <a:noFill/>
          <a:miter lim="800000"/>
          <a:headEnd/>
          <a:tailEnd/>
        </a:ln>
      </xdr:spPr>
      <xdr:txBody>
        <a:bodyPr vertOverflow="clip" wrap="square" lIns="27432" tIns="22860" rIns="27432" bIns="22860" anchor="ctr" upright="1"/>
        <a:lstStyle/>
        <a:p>
          <a:pPr algn="ctr" rtl="1">
            <a:defRPr sz="1000"/>
          </a:pPr>
          <a:fld id="{AC3F95DA-B5F4-4567-A0C1-B3AABD42E128}" type="TxLink">
            <a:rPr lang="de-CH" sz="1000" b="1" i="0" u="none" strike="noStrike">
              <a:solidFill>
                <a:srgbClr val="000000"/>
              </a:solidFill>
              <a:latin typeface="Arial"/>
              <a:cs typeface="Arial"/>
            </a:rPr>
            <a:pPr algn="ctr" rtl="1">
              <a:defRPr sz="1000"/>
            </a:pPr>
            <a:t>0</a:t>
          </a:fld>
          <a:endParaRPr lang="de-CH" sz="1000" b="1" i="0" strike="noStrike">
            <a:solidFill>
              <a:srgbClr val="000000"/>
            </a:solidFill>
            <a:latin typeface="Arial"/>
            <a:cs typeface="Arial"/>
          </a:endParaRPr>
        </a:p>
      </xdr:txBody>
    </xdr:sp>
    <xdr:clientData/>
  </xdr:twoCellAnchor>
  <xdr:twoCellAnchor>
    <xdr:from>
      <xdr:col>16</xdr:col>
      <xdr:colOff>9525</xdr:colOff>
      <xdr:row>26</xdr:row>
      <xdr:rowOff>32970</xdr:rowOff>
    </xdr:from>
    <xdr:to>
      <xdr:col>17</xdr:col>
      <xdr:colOff>19050</xdr:colOff>
      <xdr:row>28</xdr:row>
      <xdr:rowOff>239589</xdr:rowOff>
    </xdr:to>
    <xdr:sp macro="" textlink="RARM">
      <xdr:nvSpPr>
        <xdr:cNvPr id="3135" name="Text Box 63"/>
        <xdr:cNvSpPr txBox="1">
          <a:spLocks noChangeArrowheads="1" noTextEdit="1"/>
        </xdr:cNvSpPr>
      </xdr:nvSpPr>
      <xdr:spPr bwMode="auto">
        <a:xfrm>
          <a:off x="4724400" y="4966920"/>
          <a:ext cx="361950" cy="587619"/>
        </a:xfrm>
        <a:prstGeom prst="rect">
          <a:avLst/>
        </a:prstGeom>
        <a:noFill/>
        <a:ln w="9525">
          <a:noFill/>
          <a:miter lim="800000"/>
          <a:headEnd/>
          <a:tailEnd/>
        </a:ln>
      </xdr:spPr>
      <xdr:txBody>
        <a:bodyPr vertOverflow="clip" wrap="square" lIns="27432" tIns="22860" rIns="27432" bIns="22860" anchor="ctr" upright="1"/>
        <a:lstStyle/>
        <a:p>
          <a:pPr algn="ctr" rtl="1">
            <a:defRPr sz="1000"/>
          </a:pPr>
          <a:fld id="{E3AC9DCE-5D35-4E17-970E-57626BA53E51}" type="TxLink">
            <a:rPr lang="de-CH" sz="1000" b="1" i="0" u="none" strike="noStrike">
              <a:solidFill>
                <a:srgbClr val="000000"/>
              </a:solidFill>
              <a:latin typeface="Arial"/>
              <a:cs typeface="Arial"/>
            </a:rPr>
            <a:pPr algn="ctr" rtl="1">
              <a:defRPr sz="1000"/>
            </a:pPr>
            <a:t>0</a:t>
          </a:fld>
          <a:endParaRPr lang="de-CH" sz="1000" b="1" i="0" strike="noStrike">
            <a:solidFill>
              <a:srgbClr val="000000"/>
            </a:solidFill>
            <a:latin typeface="Arial"/>
            <a:cs typeface="Arial"/>
          </a:endParaRPr>
        </a:p>
      </xdr:txBody>
    </xdr:sp>
    <xdr:clientData/>
  </xdr:twoCellAnchor>
  <xdr:twoCellAnchor>
    <xdr:from>
      <xdr:col>18</xdr:col>
      <xdr:colOff>148004</xdr:colOff>
      <xdr:row>32</xdr:row>
      <xdr:rowOff>148735</xdr:rowOff>
    </xdr:from>
    <xdr:to>
      <xdr:col>19</xdr:col>
      <xdr:colOff>214679</xdr:colOff>
      <xdr:row>35</xdr:row>
      <xdr:rowOff>34435</xdr:rowOff>
    </xdr:to>
    <xdr:sp macro="" textlink="BAUCH">
      <xdr:nvSpPr>
        <xdr:cNvPr id="3136" name="Text Box 64"/>
        <xdr:cNvSpPr txBox="1">
          <a:spLocks noChangeArrowheads="1" noTextEdit="1"/>
        </xdr:cNvSpPr>
      </xdr:nvSpPr>
      <xdr:spPr bwMode="auto">
        <a:xfrm>
          <a:off x="5586779" y="6540010"/>
          <a:ext cx="304800" cy="457200"/>
        </a:xfrm>
        <a:prstGeom prst="rect">
          <a:avLst/>
        </a:prstGeom>
        <a:noFill/>
        <a:ln w="9525">
          <a:noFill/>
          <a:miter lim="800000"/>
          <a:headEnd/>
          <a:tailEnd/>
        </a:ln>
      </xdr:spPr>
      <xdr:txBody>
        <a:bodyPr vertOverflow="clip" wrap="square" lIns="27432" tIns="22860" rIns="27432" bIns="22860" anchor="ctr" upright="1"/>
        <a:lstStyle/>
        <a:p>
          <a:pPr algn="ctr" rtl="1">
            <a:defRPr sz="1000"/>
          </a:pPr>
          <a:fld id="{DF2E6944-985A-4E8A-831F-B76401605AE1}" type="TxLink">
            <a:rPr lang="de-CH" sz="1000" b="1" i="0" u="none" strike="noStrike">
              <a:solidFill>
                <a:srgbClr val="000000"/>
              </a:solidFill>
              <a:latin typeface="Arial"/>
              <a:cs typeface="Arial"/>
            </a:rPr>
            <a:pPr algn="ctr" rtl="1">
              <a:defRPr sz="1000"/>
            </a:pPr>
            <a:t>0</a:t>
          </a:fld>
          <a:endParaRPr lang="de-CH" sz="1000" b="1" i="0" strike="noStrike">
            <a:solidFill>
              <a:srgbClr val="000000"/>
            </a:solidFill>
            <a:latin typeface="Arial"/>
            <a:cs typeface="Arial"/>
          </a:endParaRPr>
        </a:p>
      </xdr:txBody>
    </xdr:sp>
    <xdr:clientData/>
  </xdr:twoCellAnchor>
  <xdr:twoCellAnchor>
    <xdr:from>
      <xdr:col>17</xdr:col>
      <xdr:colOff>95250</xdr:colOff>
      <xdr:row>28</xdr:row>
      <xdr:rowOff>197092</xdr:rowOff>
    </xdr:from>
    <xdr:to>
      <xdr:col>18</xdr:col>
      <xdr:colOff>38100</xdr:colOff>
      <xdr:row>30</xdr:row>
      <xdr:rowOff>85723</xdr:rowOff>
    </xdr:to>
    <xdr:sp macro="" textlink="LARM">
      <xdr:nvSpPr>
        <xdr:cNvPr id="3137" name="Text Box 65"/>
        <xdr:cNvSpPr txBox="1">
          <a:spLocks noChangeArrowheads="1" noTextEdit="1"/>
        </xdr:cNvSpPr>
      </xdr:nvSpPr>
      <xdr:spPr bwMode="auto">
        <a:xfrm>
          <a:off x="5162550" y="5512042"/>
          <a:ext cx="314325" cy="441081"/>
        </a:xfrm>
        <a:prstGeom prst="rect">
          <a:avLst/>
        </a:prstGeom>
        <a:noFill/>
        <a:ln w="9525">
          <a:noFill/>
          <a:miter lim="800000"/>
          <a:headEnd/>
          <a:tailEnd/>
        </a:ln>
      </xdr:spPr>
      <xdr:txBody>
        <a:bodyPr vertOverflow="clip" wrap="square" lIns="27432" tIns="22860" rIns="27432" bIns="22860" anchor="ctr" upright="1"/>
        <a:lstStyle/>
        <a:p>
          <a:pPr algn="ctr" rtl="1">
            <a:defRPr sz="1000"/>
          </a:pPr>
          <a:fld id="{585DD364-998E-4A69-A526-B215BE54B881}" type="TxLink">
            <a:rPr lang="de-CH" sz="1000" b="1" i="0" u="none" strike="noStrike">
              <a:solidFill>
                <a:srgbClr val="000000"/>
              </a:solidFill>
              <a:latin typeface="Arial"/>
              <a:cs typeface="Arial"/>
            </a:rPr>
            <a:pPr algn="ctr" rtl="1">
              <a:defRPr sz="1000"/>
            </a:pPr>
            <a:t>0</a:t>
          </a:fld>
          <a:endParaRPr lang="de-CH" sz="1000" b="1" i="0" strike="noStrike">
            <a:solidFill>
              <a:srgbClr val="000000"/>
            </a:solidFill>
            <a:latin typeface="Arial"/>
            <a:cs typeface="Arial"/>
          </a:endParaRPr>
        </a:p>
      </xdr:txBody>
    </xdr:sp>
    <xdr:clientData/>
  </xdr:twoCellAnchor>
  <xdr:twoCellAnchor>
    <xdr:from>
      <xdr:col>17</xdr:col>
      <xdr:colOff>76200</xdr:colOff>
      <xdr:row>39</xdr:row>
      <xdr:rowOff>40296</xdr:rowOff>
    </xdr:from>
    <xdr:to>
      <xdr:col>18</xdr:col>
      <xdr:colOff>161925</xdr:colOff>
      <xdr:row>41</xdr:row>
      <xdr:rowOff>68871</xdr:rowOff>
    </xdr:to>
    <xdr:sp macro="" textlink="BEINE">
      <xdr:nvSpPr>
        <xdr:cNvPr id="3138" name="Text Box 66"/>
        <xdr:cNvSpPr txBox="1">
          <a:spLocks noChangeArrowheads="1" noTextEdit="1"/>
        </xdr:cNvSpPr>
      </xdr:nvSpPr>
      <xdr:spPr bwMode="auto">
        <a:xfrm>
          <a:off x="5143500" y="7907946"/>
          <a:ext cx="457200" cy="409575"/>
        </a:xfrm>
        <a:prstGeom prst="rect">
          <a:avLst/>
        </a:prstGeom>
        <a:noFill/>
        <a:ln w="9525">
          <a:noFill/>
          <a:miter lim="800000"/>
          <a:headEnd/>
          <a:tailEnd/>
        </a:ln>
      </xdr:spPr>
      <xdr:txBody>
        <a:bodyPr vertOverflow="clip" wrap="square" lIns="27432" tIns="22860" rIns="27432" bIns="22860" anchor="ctr" upright="1"/>
        <a:lstStyle/>
        <a:p>
          <a:pPr algn="ctr" rtl="1">
            <a:defRPr sz="1000"/>
          </a:pPr>
          <a:fld id="{BD083E82-E97E-4E6C-950C-51EA14DA0EE2}" type="TxLink">
            <a:rPr lang="de-CH" sz="1000" b="1" i="0" u="none" strike="noStrike">
              <a:solidFill>
                <a:srgbClr val="000000"/>
              </a:solidFill>
              <a:latin typeface="Arial"/>
              <a:cs typeface="Arial"/>
            </a:rPr>
            <a:pPr algn="ctr" rtl="1">
              <a:defRPr sz="1000"/>
            </a:pPr>
            <a:t>0</a:t>
          </a:fld>
          <a:endParaRPr lang="de-CH" sz="1000" b="1" i="0" strike="noStrike">
            <a:solidFill>
              <a:srgbClr val="000000"/>
            </a:solidFill>
            <a:latin typeface="Arial"/>
            <a:cs typeface="Arial"/>
          </a:endParaRPr>
        </a:p>
      </xdr:txBody>
    </xdr:sp>
    <xdr:clientData/>
  </xdr:twoCellAnchor>
  <xdr:twoCellAnchor>
    <xdr:from>
      <xdr:col>22</xdr:col>
      <xdr:colOff>47625</xdr:colOff>
      <xdr:row>38</xdr:row>
      <xdr:rowOff>145804</xdr:rowOff>
    </xdr:from>
    <xdr:to>
      <xdr:col>23</xdr:col>
      <xdr:colOff>180975</xdr:colOff>
      <xdr:row>40</xdr:row>
      <xdr:rowOff>155329</xdr:rowOff>
    </xdr:to>
    <xdr:sp macro="" textlink="BEINE">
      <xdr:nvSpPr>
        <xdr:cNvPr id="3139" name="Text Box 67"/>
        <xdr:cNvSpPr txBox="1">
          <a:spLocks noChangeArrowheads="1" noTextEdit="1"/>
        </xdr:cNvSpPr>
      </xdr:nvSpPr>
      <xdr:spPr bwMode="auto">
        <a:xfrm>
          <a:off x="6524625" y="7822954"/>
          <a:ext cx="371475" cy="390525"/>
        </a:xfrm>
        <a:prstGeom prst="rect">
          <a:avLst/>
        </a:prstGeom>
        <a:noFill/>
        <a:ln w="9525">
          <a:noFill/>
          <a:miter lim="800000"/>
          <a:headEnd/>
          <a:tailEnd/>
        </a:ln>
      </xdr:spPr>
      <xdr:txBody>
        <a:bodyPr vertOverflow="clip" wrap="square" lIns="27432" tIns="22860" rIns="27432" bIns="22860" anchor="ctr" upright="1"/>
        <a:lstStyle/>
        <a:p>
          <a:pPr algn="ctr" rtl="1">
            <a:defRPr sz="1000"/>
          </a:pPr>
          <a:fld id="{D2F72029-8F98-4ABC-A91A-DCD1A83968C8}" type="TxLink">
            <a:rPr lang="de-CH" sz="1000" b="1" i="0" u="none" strike="noStrike">
              <a:solidFill>
                <a:srgbClr val="000000"/>
              </a:solidFill>
              <a:latin typeface="Arial"/>
              <a:cs typeface="Arial"/>
            </a:rPr>
            <a:pPr algn="ctr" rtl="1">
              <a:defRPr sz="1000"/>
            </a:pPr>
            <a:t>0</a:t>
          </a:fld>
          <a:endParaRPr lang="de-CH" sz="1000" b="1" i="0" strike="noStrike">
            <a:solidFill>
              <a:srgbClr val="000000"/>
            </a:solidFill>
            <a:latin typeface="Arial"/>
            <a:cs typeface="Arial"/>
          </a:endParaRPr>
        </a:p>
      </xdr:txBody>
    </xdr:sp>
    <xdr:clientData/>
  </xdr:twoCellAnchor>
  <xdr:twoCellAnchor>
    <xdr:from>
      <xdr:col>20</xdr:col>
      <xdr:colOff>104775</xdr:colOff>
      <xdr:row>39</xdr:row>
      <xdr:rowOff>189033</xdr:rowOff>
    </xdr:from>
    <xdr:to>
      <xdr:col>21</xdr:col>
      <xdr:colOff>200025</xdr:colOff>
      <xdr:row>41</xdr:row>
      <xdr:rowOff>27108</xdr:rowOff>
    </xdr:to>
    <xdr:sp macro="" textlink="EXPBE">
      <xdr:nvSpPr>
        <xdr:cNvPr id="3144" name="Text Box 72"/>
        <xdr:cNvSpPr txBox="1">
          <a:spLocks noChangeArrowheads="1" noTextEdit="1"/>
        </xdr:cNvSpPr>
      </xdr:nvSpPr>
      <xdr:spPr bwMode="auto">
        <a:xfrm>
          <a:off x="5876925" y="8056683"/>
          <a:ext cx="333375" cy="219075"/>
        </a:xfrm>
        <a:prstGeom prst="rect">
          <a:avLst/>
        </a:prstGeom>
        <a:noFill/>
        <a:ln w="9525">
          <a:noFill/>
          <a:miter lim="800000"/>
          <a:headEnd/>
          <a:tailEnd/>
        </a:ln>
      </xdr:spPr>
      <xdr:txBody>
        <a:bodyPr vertOverflow="clip" wrap="square" lIns="36576" tIns="27432" rIns="0" bIns="27432" anchor="ctr" upright="1"/>
        <a:lstStyle/>
        <a:p>
          <a:pPr algn="l" rtl="1">
            <a:defRPr sz="1000"/>
          </a:pPr>
          <a:fld id="{C26173FC-2F0C-4206-9D4F-6B94A59C1C8C}" type="TxLink">
            <a:rPr lang="de-CH" sz="1200" b="1" i="0" u="none" strike="noStrike">
              <a:solidFill>
                <a:srgbClr val="000000"/>
              </a:solidFill>
              <a:latin typeface="Arial"/>
              <a:cs typeface="Arial"/>
            </a:rPr>
            <a:pPr algn="l" rtl="1">
              <a:defRPr sz="1000"/>
            </a:pPr>
            <a:t>0</a:t>
          </a:fld>
          <a:endParaRPr lang="de-CH" sz="1200" b="1" i="0" strike="noStrike">
            <a:solidFill>
              <a:srgbClr val="000000"/>
            </a:solidFill>
            <a:latin typeface="Arial"/>
            <a:cs typeface="Arial"/>
          </a:endParaRPr>
        </a:p>
      </xdr:txBody>
    </xdr:sp>
    <xdr:clientData/>
  </xdr:twoCellAnchor>
  <xdr:twoCellAnchor>
    <xdr:from>
      <xdr:col>19</xdr:col>
      <xdr:colOff>66675</xdr:colOff>
      <xdr:row>30</xdr:row>
      <xdr:rowOff>97447</xdr:rowOff>
    </xdr:from>
    <xdr:to>
      <xdr:col>20</xdr:col>
      <xdr:colOff>123825</xdr:colOff>
      <xdr:row>31</xdr:row>
      <xdr:rowOff>47626</xdr:rowOff>
    </xdr:to>
    <xdr:sp macro="" textlink="RUECKEN">
      <xdr:nvSpPr>
        <xdr:cNvPr id="40" name="Text Box 62"/>
        <xdr:cNvSpPr txBox="1">
          <a:spLocks noChangeArrowheads="1" noTextEdit="1"/>
        </xdr:cNvSpPr>
      </xdr:nvSpPr>
      <xdr:spPr bwMode="auto">
        <a:xfrm>
          <a:off x="5743575" y="5964847"/>
          <a:ext cx="342900" cy="283554"/>
        </a:xfrm>
        <a:prstGeom prst="rect">
          <a:avLst/>
        </a:prstGeom>
        <a:noFill/>
        <a:ln w="9525">
          <a:noFill/>
          <a:miter lim="800000"/>
          <a:headEnd/>
          <a:tailEnd/>
        </a:ln>
      </xdr:spPr>
      <xdr:txBody>
        <a:bodyPr vertOverflow="clip" wrap="square" lIns="27432" tIns="22860" rIns="27432" bIns="22860" anchor="ctr" upright="1"/>
        <a:lstStyle/>
        <a:p>
          <a:pPr algn="ctr" rtl="1">
            <a:defRPr sz="1000"/>
          </a:pPr>
          <a:fld id="{FD408665-523E-4EB3-B806-73D98356CD1A}" type="TxLink">
            <a:rPr lang="de-CH" sz="1000" b="1" i="0" u="none" strike="noStrike">
              <a:solidFill>
                <a:srgbClr val="000000"/>
              </a:solidFill>
              <a:latin typeface="Arial"/>
              <a:cs typeface="Arial"/>
            </a:rPr>
            <a:pPr algn="ctr" rtl="1">
              <a:defRPr sz="1000"/>
            </a:pPr>
            <a:t>0</a:t>
          </a:fld>
          <a:endParaRPr lang="de-CH" sz="1000" b="1" i="0" strike="noStrike">
            <a:solidFill>
              <a:srgbClr val="000000"/>
            </a:solidFill>
            <a:latin typeface="Arial"/>
            <a:cs typeface="Arial"/>
          </a:endParaRPr>
        </a:p>
      </xdr:txBody>
    </xdr:sp>
    <xdr:clientData/>
  </xdr:twoCellAnchor>
  <xdr:twoCellAnchor>
    <xdr:from>
      <xdr:col>20</xdr:col>
      <xdr:colOff>104775</xdr:colOff>
      <xdr:row>41</xdr:row>
      <xdr:rowOff>103308</xdr:rowOff>
    </xdr:from>
    <xdr:to>
      <xdr:col>21</xdr:col>
      <xdr:colOff>200025</xdr:colOff>
      <xdr:row>42</xdr:row>
      <xdr:rowOff>131883</xdr:rowOff>
    </xdr:to>
    <xdr:sp macro="" textlink="EXPRS">
      <xdr:nvSpPr>
        <xdr:cNvPr id="41" name="Text Box 72"/>
        <xdr:cNvSpPr txBox="1">
          <a:spLocks noChangeArrowheads="1" noTextEdit="1"/>
        </xdr:cNvSpPr>
      </xdr:nvSpPr>
      <xdr:spPr bwMode="auto">
        <a:xfrm>
          <a:off x="5876925" y="8351958"/>
          <a:ext cx="333375" cy="219075"/>
        </a:xfrm>
        <a:prstGeom prst="rect">
          <a:avLst/>
        </a:prstGeom>
        <a:noFill/>
        <a:ln w="9525">
          <a:noFill/>
          <a:miter lim="800000"/>
          <a:headEnd/>
          <a:tailEnd/>
        </a:ln>
      </xdr:spPr>
      <xdr:txBody>
        <a:bodyPr vertOverflow="clip" wrap="square" lIns="36576" tIns="27432" rIns="0" bIns="27432" anchor="ctr" upright="1"/>
        <a:lstStyle/>
        <a:p>
          <a:pPr algn="l" rtl="1">
            <a:defRPr sz="1000"/>
          </a:pPr>
          <a:fld id="{BA133495-AA88-40B9-9F7F-C191172A37C0}" type="TxLink">
            <a:rPr lang="de-CH" sz="1200" b="1" i="0" u="none" strike="noStrike">
              <a:solidFill>
                <a:srgbClr val="000000"/>
              </a:solidFill>
              <a:latin typeface="Arial"/>
              <a:cs typeface="Arial"/>
            </a:rPr>
            <a:pPr algn="l" rtl="1">
              <a:defRPr sz="1000"/>
            </a:pPr>
            <a:t>0</a:t>
          </a:fld>
          <a:endParaRPr lang="de-CH" sz="1200" b="1" i="0" strike="noStrike">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41</xdr:row>
          <xdr:rowOff>9525</xdr:rowOff>
        </xdr:from>
        <xdr:to>
          <xdr:col>9</xdr:col>
          <xdr:colOff>19050</xdr:colOff>
          <xdr:row>42</xdr:row>
          <xdr:rowOff>38100</xdr:rowOff>
        </xdr:to>
        <xdr:sp macro="" textlink="">
          <xdr:nvSpPr>
            <xdr:cNvPr id="191786" name="Option Button 69930" hidden="1">
              <a:extLst>
                <a:ext uri="{63B3BB69-23CF-44E3-9099-C40C66FF867C}">
                  <a14:compatExt spid="_x0000_s191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keine Wunden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41</xdr:row>
          <xdr:rowOff>180975</xdr:rowOff>
        </xdr:from>
        <xdr:to>
          <xdr:col>7</xdr:col>
          <xdr:colOff>9525</xdr:colOff>
          <xdr:row>43</xdr:row>
          <xdr:rowOff>19050</xdr:rowOff>
        </xdr:to>
        <xdr:sp macro="" textlink="">
          <xdr:nvSpPr>
            <xdr:cNvPr id="191787" name="Option Button 69931" hidden="1">
              <a:extLst>
                <a:ext uri="{63B3BB69-23CF-44E3-9099-C40C66FF867C}">
                  <a14:compatExt spid="_x0000_s191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xdr:row>
          <xdr:rowOff>180975</xdr:rowOff>
        </xdr:from>
        <xdr:to>
          <xdr:col>7</xdr:col>
          <xdr:colOff>323850</xdr:colOff>
          <xdr:row>43</xdr:row>
          <xdr:rowOff>19050</xdr:rowOff>
        </xdr:to>
        <xdr:sp macro="" textlink="">
          <xdr:nvSpPr>
            <xdr:cNvPr id="191788" name="Option Button 69932" hidden="1">
              <a:extLst>
                <a:ext uri="{63B3BB69-23CF-44E3-9099-C40C66FF867C}">
                  <a14:compatExt spid="_x0000_s191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41</xdr:row>
          <xdr:rowOff>180975</xdr:rowOff>
        </xdr:from>
        <xdr:to>
          <xdr:col>9</xdr:col>
          <xdr:colOff>19050</xdr:colOff>
          <xdr:row>43</xdr:row>
          <xdr:rowOff>19050</xdr:rowOff>
        </xdr:to>
        <xdr:sp macro="" textlink="">
          <xdr:nvSpPr>
            <xdr:cNvPr id="191789" name="Option Button 69933" hidden="1">
              <a:extLst>
                <a:ext uri="{63B3BB69-23CF-44E3-9099-C40C66FF867C}">
                  <a14:compatExt spid="_x0000_s191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41</xdr:row>
          <xdr:rowOff>180975</xdr:rowOff>
        </xdr:from>
        <xdr:to>
          <xdr:col>11</xdr:col>
          <xdr:colOff>133350</xdr:colOff>
          <xdr:row>43</xdr:row>
          <xdr:rowOff>19050</xdr:rowOff>
        </xdr:to>
        <xdr:sp macro="" textlink="">
          <xdr:nvSpPr>
            <xdr:cNvPr id="191790" name="Option Button 69934" hidden="1">
              <a:extLst>
                <a:ext uri="{63B3BB69-23CF-44E3-9099-C40C66FF867C}">
                  <a14:compatExt spid="_x0000_s191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180975</xdr:rowOff>
        </xdr:from>
        <xdr:to>
          <xdr:col>13</xdr:col>
          <xdr:colOff>28575</xdr:colOff>
          <xdr:row>43</xdr:row>
          <xdr:rowOff>19050</xdr:rowOff>
        </xdr:to>
        <xdr:sp macro="" textlink="">
          <xdr:nvSpPr>
            <xdr:cNvPr id="191791" name="Option Button 69935" hidden="1">
              <a:extLst>
                <a:ext uri="{63B3BB69-23CF-44E3-9099-C40C66FF867C}">
                  <a14:compatExt spid="_x0000_s191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41</xdr:row>
          <xdr:rowOff>180975</xdr:rowOff>
        </xdr:from>
        <xdr:to>
          <xdr:col>15</xdr:col>
          <xdr:colOff>104775</xdr:colOff>
          <xdr:row>43</xdr:row>
          <xdr:rowOff>19050</xdr:rowOff>
        </xdr:to>
        <xdr:sp macro="" textlink="">
          <xdr:nvSpPr>
            <xdr:cNvPr id="191792" name="Option Button 69936" hidden="1">
              <a:extLst>
                <a:ext uri="{63B3BB69-23CF-44E3-9099-C40C66FF867C}">
                  <a14:compatExt spid="_x0000_s191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 6</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504825</xdr:colOff>
      <xdr:row>0</xdr:row>
      <xdr:rowOff>38100</xdr:rowOff>
    </xdr:from>
    <xdr:to>
      <xdr:col>22</xdr:col>
      <xdr:colOff>123825</xdr:colOff>
      <xdr:row>0</xdr:row>
      <xdr:rowOff>342900</xdr:rowOff>
    </xdr:to>
    <xdr:pic>
      <xdr:nvPicPr>
        <xdr:cNvPr id="313761" name="Picture 31"/>
        <xdr:cNvPicPr>
          <a:picLocks noChangeAspect="1" noChangeArrowheads="1"/>
        </xdr:cNvPicPr>
      </xdr:nvPicPr>
      <xdr:blipFill>
        <a:blip xmlns:r="http://schemas.openxmlformats.org/officeDocument/2006/relationships" r:embed="rId1" cstate="print"/>
        <a:srcRect/>
        <a:stretch>
          <a:fillRect/>
        </a:stretch>
      </xdr:blipFill>
      <xdr:spPr bwMode="auto">
        <a:xfrm>
          <a:off x="504825" y="38100"/>
          <a:ext cx="5505450" cy="304800"/>
        </a:xfrm>
        <a:prstGeom prst="rect">
          <a:avLst/>
        </a:prstGeom>
        <a:noFill/>
        <a:ln w="1">
          <a:noFill/>
          <a:miter lim="800000"/>
          <a:headEnd/>
          <a:tailEnd/>
        </a:ln>
      </xdr:spPr>
    </xdr:pic>
    <xdr:clientData/>
  </xdr:twoCellAnchor>
  <xdr:twoCellAnchor editAs="oneCell">
    <xdr:from>
      <xdr:col>0</xdr:col>
      <xdr:colOff>28575</xdr:colOff>
      <xdr:row>39</xdr:row>
      <xdr:rowOff>38100</xdr:rowOff>
    </xdr:from>
    <xdr:to>
      <xdr:col>1</xdr:col>
      <xdr:colOff>9525</xdr:colOff>
      <xdr:row>40</xdr:row>
      <xdr:rowOff>152400</xdr:rowOff>
    </xdr:to>
    <xdr:pic>
      <xdr:nvPicPr>
        <xdr:cNvPr id="313762" name="Picture 33"/>
        <xdr:cNvPicPr>
          <a:picLocks noChangeAspect="1" noChangeArrowheads="1"/>
        </xdr:cNvPicPr>
      </xdr:nvPicPr>
      <xdr:blipFill>
        <a:blip xmlns:r="http://schemas.openxmlformats.org/officeDocument/2006/relationships" r:embed="rId2" cstate="print"/>
        <a:srcRect/>
        <a:stretch>
          <a:fillRect/>
        </a:stretch>
      </xdr:blipFill>
      <xdr:spPr bwMode="auto">
        <a:xfrm>
          <a:off x="28575" y="7134225"/>
          <a:ext cx="800100" cy="190500"/>
        </a:xfrm>
        <a:prstGeom prst="rect">
          <a:avLst/>
        </a:prstGeom>
        <a:noFill/>
        <a:ln w="1">
          <a:noFill/>
          <a:miter lim="800000"/>
          <a:headEnd/>
          <a:tailEnd/>
        </a:ln>
      </xdr:spPr>
    </xdr:pic>
    <xdr:clientData/>
  </xdr:twoCellAnchor>
  <xdr:twoCellAnchor editAs="oneCell">
    <xdr:from>
      <xdr:col>8</xdr:col>
      <xdr:colOff>238125</xdr:colOff>
      <xdr:row>49</xdr:row>
      <xdr:rowOff>19050</xdr:rowOff>
    </xdr:from>
    <xdr:to>
      <xdr:col>15</xdr:col>
      <xdr:colOff>104775</xdr:colOff>
      <xdr:row>49</xdr:row>
      <xdr:rowOff>409575</xdr:rowOff>
    </xdr:to>
    <xdr:pic>
      <xdr:nvPicPr>
        <xdr:cNvPr id="313763" name="Picture 34"/>
        <xdr:cNvPicPr>
          <a:picLocks noChangeAspect="1" noChangeArrowheads="1"/>
        </xdr:cNvPicPr>
      </xdr:nvPicPr>
      <xdr:blipFill>
        <a:blip xmlns:r="http://schemas.openxmlformats.org/officeDocument/2006/relationships" r:embed="rId3" cstate="print"/>
        <a:srcRect/>
        <a:stretch>
          <a:fillRect/>
        </a:stretch>
      </xdr:blipFill>
      <xdr:spPr bwMode="auto">
        <a:xfrm>
          <a:off x="2819400" y="8829675"/>
          <a:ext cx="942975" cy="390525"/>
        </a:xfrm>
        <a:prstGeom prst="rect">
          <a:avLst/>
        </a:prstGeom>
        <a:noFill/>
        <a:ln w="1">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209550</xdr:colOff>
      <xdr:row>0</xdr:row>
      <xdr:rowOff>28575</xdr:rowOff>
    </xdr:from>
    <xdr:to>
      <xdr:col>20</xdr:col>
      <xdr:colOff>200025</xdr:colOff>
      <xdr:row>0</xdr:row>
      <xdr:rowOff>371475</xdr:rowOff>
    </xdr:to>
    <xdr:pic>
      <xdr:nvPicPr>
        <xdr:cNvPr id="275930" name="Picture 7"/>
        <xdr:cNvPicPr>
          <a:picLocks noChangeAspect="1" noChangeArrowheads="1"/>
        </xdr:cNvPicPr>
      </xdr:nvPicPr>
      <xdr:blipFill>
        <a:blip xmlns:r="http://schemas.openxmlformats.org/officeDocument/2006/relationships" r:embed="rId1" cstate="print"/>
        <a:srcRect/>
        <a:stretch>
          <a:fillRect/>
        </a:stretch>
      </xdr:blipFill>
      <xdr:spPr bwMode="auto">
        <a:xfrm>
          <a:off x="2838450" y="28575"/>
          <a:ext cx="2667000" cy="342900"/>
        </a:xfrm>
        <a:prstGeom prst="rect">
          <a:avLst/>
        </a:prstGeom>
        <a:noFill/>
        <a:ln w="1">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66675</xdr:colOff>
      <xdr:row>0</xdr:row>
      <xdr:rowOff>47625</xdr:rowOff>
    </xdr:from>
    <xdr:to>
      <xdr:col>21</xdr:col>
      <xdr:colOff>19050</xdr:colOff>
      <xdr:row>0</xdr:row>
      <xdr:rowOff>352425</xdr:rowOff>
    </xdr:to>
    <xdr:pic>
      <xdr:nvPicPr>
        <xdr:cNvPr id="314507" name="Picture 39"/>
        <xdr:cNvPicPr>
          <a:picLocks noChangeAspect="1" noChangeArrowheads="1"/>
        </xdr:cNvPicPr>
      </xdr:nvPicPr>
      <xdr:blipFill>
        <a:blip xmlns:r="http://schemas.openxmlformats.org/officeDocument/2006/relationships" r:embed="rId1" cstate="print"/>
        <a:srcRect/>
        <a:stretch>
          <a:fillRect/>
        </a:stretch>
      </xdr:blipFill>
      <xdr:spPr bwMode="auto">
        <a:xfrm>
          <a:off x="2705100" y="47625"/>
          <a:ext cx="2781300" cy="30480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omments" Target="../comments9.xml"/><Relationship Id="rId4" Type="http://schemas.openxmlformats.org/officeDocument/2006/relationships/vmlDrawing" Target="../drawings/vmlDrawing11.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3.bin"/><Relationship Id="rId6" Type="http://schemas.openxmlformats.org/officeDocument/2006/relationships/comments" Target="../comments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3.v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9.vml"/><Relationship Id="rId7" Type="http://schemas.openxmlformats.org/officeDocument/2006/relationships/ctrlProp" Target="../ctrlProps/ctrlProp6.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5.xml"/><Relationship Id="rId11" Type="http://schemas.openxmlformats.org/officeDocument/2006/relationships/comments" Target="../comments8.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tabColor indexed="50"/>
    <pageSetUpPr fitToPage="1"/>
  </sheetPr>
  <dimension ref="A1:U131"/>
  <sheetViews>
    <sheetView tabSelected="1" zoomScale="85" zoomScaleNormal="85" workbookViewId="0">
      <selection activeCell="D4" sqref="D4:E4"/>
    </sheetView>
  </sheetViews>
  <sheetFormatPr baseColWidth="10" defaultColWidth="11.42578125" defaultRowHeight="12.75" x14ac:dyDescent="0.2"/>
  <cols>
    <col min="1" max="1" width="16.42578125" customWidth="1"/>
    <col min="2" max="2" width="5.28515625" style="93" customWidth="1"/>
    <col min="3" max="3" width="28.42578125" customWidth="1"/>
    <col min="4" max="4" width="26.85546875" customWidth="1"/>
    <col min="5" max="5" width="6.28515625" style="1" customWidth="1"/>
    <col min="6" max="6" width="6.28515625" customWidth="1"/>
    <col min="7" max="7" width="5.7109375" style="12" customWidth="1"/>
    <col min="8" max="8" width="7.140625" style="12" customWidth="1"/>
    <col min="9" max="9" width="4.42578125" style="12" customWidth="1"/>
    <col min="10" max="10" width="11.28515625" style="10" customWidth="1"/>
    <col min="11" max="11" width="36.5703125" customWidth="1"/>
    <col min="12" max="12" width="14.28515625" customWidth="1"/>
    <col min="13" max="13" width="28.5703125" customWidth="1"/>
    <col min="14" max="14" width="8.85546875" customWidth="1"/>
    <col min="15" max="15" width="9.28515625" customWidth="1"/>
    <col min="16" max="16" width="24.7109375" customWidth="1"/>
    <col min="17" max="17" width="9" customWidth="1"/>
    <col min="22" max="22" width="3.42578125" customWidth="1"/>
  </cols>
  <sheetData>
    <row r="1" spans="1:21" ht="39" customHeight="1" x14ac:dyDescent="0.2">
      <c r="A1" s="172" t="s">
        <v>4088</v>
      </c>
      <c r="D1" s="1682" t="s">
        <v>9372</v>
      </c>
      <c r="E1" s="1683"/>
      <c r="F1" s="1683"/>
      <c r="G1" s="1683"/>
      <c r="H1" s="1683"/>
      <c r="I1" s="1683"/>
      <c r="J1" s="1683"/>
      <c r="K1" s="1683"/>
      <c r="L1" s="47"/>
      <c r="M1" s="1693" t="s">
        <v>9369</v>
      </c>
      <c r="N1" s="1694"/>
      <c r="O1" s="1694"/>
      <c r="P1" s="1694"/>
      <c r="Q1" s="1694"/>
      <c r="R1" s="1694"/>
      <c r="S1" s="639">
        <v>370</v>
      </c>
      <c r="T1" s="47"/>
    </row>
    <row r="2" spans="1:21" ht="15" x14ac:dyDescent="0.2">
      <c r="A2" s="133" t="s">
        <v>9291</v>
      </c>
      <c r="D2" s="283"/>
      <c r="K2" s="1"/>
    </row>
    <row r="3" spans="1:21" ht="31.5" customHeight="1" x14ac:dyDescent="0.2">
      <c r="A3" s="1695" t="s">
        <v>9100</v>
      </c>
      <c r="B3" s="1695"/>
      <c r="C3" s="1695"/>
      <c r="D3" s="1695"/>
      <c r="E3" s="1695"/>
      <c r="F3" s="1695"/>
      <c r="K3" s="1"/>
      <c r="L3" s="1"/>
      <c r="Q3" s="47"/>
      <c r="U3" t="s">
        <v>8545</v>
      </c>
    </row>
    <row r="4" spans="1:21" ht="23.25" customHeight="1" x14ac:dyDescent="0.25">
      <c r="A4" s="594" t="s">
        <v>1428</v>
      </c>
      <c r="B4" s="1269" t="s">
        <v>4324</v>
      </c>
      <c r="C4" t="s">
        <v>7659</v>
      </c>
      <c r="D4" s="1690" t="s">
        <v>9371</v>
      </c>
      <c r="E4" s="1691"/>
      <c r="F4" s="16"/>
      <c r="G4" s="22" t="s">
        <v>1225</v>
      </c>
      <c r="H4" s="1464"/>
      <c r="I4" s="569" t="s">
        <v>2367</v>
      </c>
      <c r="J4" s="569" t="s">
        <v>1783</v>
      </c>
      <c r="K4" s="773" t="s">
        <v>1884</v>
      </c>
      <c r="L4" s="1"/>
      <c r="M4" s="69"/>
      <c r="P4" s="1459" t="b">
        <f>IF(D4="Nach WdH - Start mit Profession",FALSE,TRUE)</f>
        <v>1</v>
      </c>
      <c r="Q4" s="47"/>
      <c r="R4" s="1299">
        <f>IF(GPSTART&gt;=140,16,IF(GPSTART&gt;=130,15,14))</f>
        <v>14</v>
      </c>
      <c r="S4" s="24" t="s">
        <v>7674</v>
      </c>
      <c r="U4" s="24">
        <f>IF(D4="Ohne Limitationen",1,IF(D4="Nach WdH - Start mit Profession",3,2))</f>
        <v>1</v>
      </c>
    </row>
    <row r="5" spans="1:21" ht="14.25" customHeight="1" x14ac:dyDescent="0.2">
      <c r="A5" s="1717" t="s">
        <v>7660</v>
      </c>
      <c r="B5" s="1269" t="str">
        <f>IF(P4,"1.","1.a")</f>
        <v>1.</v>
      </c>
      <c r="C5" t="str">
        <f>IF(P4,"Rasse:","Professionsgebiet")</f>
        <v>Rasse:</v>
      </c>
      <c r="D5" s="1692"/>
      <c r="E5" s="1691"/>
      <c r="F5" s="9" t="s">
        <v>2367</v>
      </c>
      <c r="G5" s="15"/>
      <c r="H5" s="13" t="s">
        <v>3590</v>
      </c>
      <c r="I5" s="13"/>
      <c r="J5" s="570">
        <f>IF(RASSEGENE="LEER",0,-HLOOKUP(P5,RASSE,2,FALSE))</f>
        <v>0</v>
      </c>
      <c r="K5" s="1"/>
      <c r="L5" s="1"/>
      <c r="M5" s="1689" t="str">
        <f>IF(RASSEGENE="LEER","Keine Rasse gewählt",CONCATENATE(RASSEGENE," (",HLOOKUP(RASSEGENE,RASSE,2,FALSE)," GP)"))</f>
        <v>Keine Rasse gewählt</v>
      </c>
      <c r="N5" s="1689"/>
      <c r="P5" s="1459" t="str">
        <f>IF(P4,IF(D5="","LEER",D5),IF(D9="","LEER",D9))</f>
        <v>LEER</v>
      </c>
      <c r="Q5" s="47"/>
      <c r="R5" s="1"/>
      <c r="U5" s="24" t="str">
        <f>IF(P4,"RASSEN","PROFGEB_LIST")</f>
        <v>RASSEN</v>
      </c>
    </row>
    <row r="6" spans="1:21" ht="14.25" customHeight="1" x14ac:dyDescent="0.2">
      <c r="A6" s="1718"/>
      <c r="B6" s="142" t="str">
        <f>IF(P4,"2.","1.b")</f>
        <v>2.</v>
      </c>
      <c r="C6" t="str">
        <f>IF(P4,"Kultur:","Professionsgattung:")</f>
        <v>Kultur:</v>
      </c>
      <c r="D6" s="1696"/>
      <c r="E6" s="1696"/>
      <c r="F6" s="9" t="s">
        <v>2367</v>
      </c>
      <c r="G6" s="15"/>
      <c r="H6" s="478" t="s">
        <v>1226</v>
      </c>
      <c r="I6" s="13"/>
      <c r="J6" s="570">
        <f>IF(OR(RASSEGENE="LEER",KULTURGENE="LEER"),0,-HLOOKUP(P6,KULTUR,2,FALSE))</f>
        <v>0</v>
      </c>
      <c r="K6" s="1"/>
      <c r="L6" s="1"/>
      <c r="M6" s="1689" t="str">
        <f>IF(KULTURGENE="LEER","Keine Kultur gewählt",CONCATENATE(KULTURGENE," (",HLOOKUP(KULTURGENE,KULTUR,2,FALSE)," GP)"))</f>
        <v>Keine Kultur gewählt</v>
      </c>
      <c r="N6" s="1689"/>
      <c r="P6" s="1459" t="str">
        <f>IF(P4,IF(D6="","LEER",D6),IF(D8="","LEER",D8))</f>
        <v>LEER</v>
      </c>
      <c r="Q6" s="47"/>
      <c r="R6" s="1520"/>
      <c r="U6" s="24" t="str">
        <f>IF($U$4=1,"KULTUREN_NOLIMIT",IF($U$4=2,"KULTUREN_RASSE",VLOOKUP(PROFGEBGENE,PROFGEB_TAB,4,FALSE)))</f>
        <v>KULTUREN_NOLIMIT</v>
      </c>
    </row>
    <row r="7" spans="1:21" x14ac:dyDescent="0.2">
      <c r="A7" s="1718"/>
      <c r="B7" s="143" t="str">
        <f>IF(P4,"3.a","1.c")</f>
        <v>3.a</v>
      </c>
      <c r="C7" s="96" t="str">
        <f>IF(P4,"Professionsgebiet:","Professionsvariante:")</f>
        <v>Professionsgebiet:</v>
      </c>
      <c r="D7" s="1696"/>
      <c r="E7" s="1696"/>
      <c r="F7" s="9" t="s">
        <v>2367</v>
      </c>
      <c r="G7" s="1688"/>
      <c r="H7" s="1688"/>
      <c r="I7" s="1688"/>
      <c r="J7" s="575"/>
      <c r="K7" s="1699" t="str">
        <f ca="1">IF($D$4="Ohne Limitationen","",IF(IF(EXACT(PROFGEBGENE,"Kampf"),K_G!A69,"")&amp;IF(EXACT(PROFGEBGENE,"Wildnis"),K_G!A38,"")&amp;IF(EXACT(PROFGEBGENE,"Handwerk"),K_G!A56,"")&amp;IF(EXACT(PROFGEBGENE,"Gesellschaft"),K_G!A20,"")&amp;IF(EXACT(PROFGEBGENE,"Magie"),K_G!A84,"")&amp;IF(EXACT(PROFGEBGENE,"Goetter"),K_G!A88,"")="","","Einschränkung aus Kultur und Professionsgebiet: "&amp;IF(EXACT(PROFGEBGENE,"Kampf"),K_G!A69,"")&amp;IF(EXACT(PROFGEBGENE,"Wildnis"),K_G!A38,"")&amp;IF(EXACT(PROFGEBGENE,"Handwerk"),K_G!A56,"")&amp;IF(EXACT(PROFGEBGENE,"Gesellschaft"),K_G!A20,"")&amp;IF(EXACT(PROFGEBGENE,"Magie"),K_G!A84,"")&amp;IF(EXACT(PROFGEBGENE,"Goetter"),K_G!A88,"")))
&amp;CHAR(10)&amp;IF(HLOOKUP($P$9,INDIRECT(PROFGEBIET),IDX_VORAUSSETZUNG,FALSE)="","","Aus Profession "&amp;HLOOKUP($P$9,INDIRECT(PROFGEBIET),IDX_VORAUSSETZUNG,FALSE))</f>
        <v xml:space="preserve">
</v>
      </c>
      <c r="L7" s="1700"/>
      <c r="M7" s="1698" t="str">
        <f ca="1">IF(PROFGENE="LEER","Keine Profession gewählt",CONCATENATE(PROFGENE," (",HLOOKUP(PROFGENE,INDIRECT(PROFGEBIET),2,FALSE)," GP)"))</f>
        <v>Keine Profession gewählt</v>
      </c>
      <c r="N7" s="1698"/>
      <c r="P7" s="1459" t="str">
        <f>IF(P4,IF(D7="","LEER",D7),IF(D5="","LEER",D5))</f>
        <v>LEER</v>
      </c>
      <c r="Q7" s="47"/>
      <c r="R7" s="1299" t="str">
        <f>IF(EXACT(PROFGEBGENE,"Kampf"),"PROFKAMPF",IF(EXACT(PROFGEBGENE,"Wildnis"),"PROFWIL",IF(EXACT(PROFGEBGENE,"Handwerk"),"PROFHWK",IF(EXACT(PROFGEBGENE,"Gesellschaft"),"PROFGES",IF(EXACT(PROFGEBGENE,"Magie"),"PROFMAGIE",IF(EXACT(PROFGEBGENE,"Goetter"),"PROFGOET",IF(EXACT(PROFGEBGENE,"Eigene"),"PROFEIGEN","PROFLEER")))))))</f>
        <v>PROFLEER</v>
      </c>
      <c r="U7" s="24" t="str">
        <f>IF($U$4=1,"PROFGEB_LIST",IF($U$4=2,"PROFGEB_DLIST",$R$9))</f>
        <v>PROFGEB_LIST</v>
      </c>
    </row>
    <row r="8" spans="1:21" ht="25.5" customHeight="1" x14ac:dyDescent="0.2">
      <c r="A8" s="1718"/>
      <c r="B8" s="143" t="str">
        <f>IF(P4,"3.b","2.")</f>
        <v>3.b</v>
      </c>
      <c r="C8" s="96" t="str">
        <f>IF(P4,"Professionsgattung:","Kultur:")</f>
        <v>Professionsgattung:</v>
      </c>
      <c r="D8" s="1697"/>
      <c r="E8" s="1696"/>
      <c r="F8" s="9" t="s">
        <v>2367</v>
      </c>
      <c r="G8" s="1688"/>
      <c r="H8" s="1688"/>
      <c r="I8" s="1688"/>
      <c r="J8" s="576"/>
      <c r="K8" s="1701"/>
      <c r="L8" s="1702"/>
      <c r="M8" s="1685" t="str">
        <f>IF(EXACT(LEFT(Abfragen!$B$7,2),", "),REPLACE(Abfragen!$B$7,1,2,""),Abfragen!$B$7)</f>
        <v>Erst Rasse, Kultur &amp; Profession festlegen!</v>
      </c>
      <c r="N8" s="1675" t="s">
        <v>3918</v>
      </c>
      <c r="P8" s="1460" t="str">
        <f>IF(P4,IF(D8="","",D8),IF(D6="","",D6))</f>
        <v/>
      </c>
      <c r="Q8" s="47"/>
      <c r="R8" s="1521"/>
      <c r="S8" s="1300"/>
      <c r="U8" s="24" t="str">
        <f>IF($U$4=1,VLOOKUP(PROFGEBGENE,PROFGEB_TAB,5,FALSE),IF($U$4=2,VLOOKUP(PROFGEBGENE,PROFGEB_TAB,4,FALSE),"KULTUREN_PROFSORT"))</f>
        <v>LEER</v>
      </c>
    </row>
    <row r="9" spans="1:21" ht="33.75" customHeight="1" x14ac:dyDescent="0.2">
      <c r="A9" s="1718"/>
      <c r="B9" s="143" t="str">
        <f>IF(P4,"3.c","3.")</f>
        <v>3.c</v>
      </c>
      <c r="C9" s="96" t="str">
        <f>IF(P4,"Professionsvariante:","Rasse:")</f>
        <v>Professionsvariante:</v>
      </c>
      <c r="D9" s="1696"/>
      <c r="E9" s="1696"/>
      <c r="F9" s="9" t="s">
        <v>2367</v>
      </c>
      <c r="G9" s="13"/>
      <c r="H9" s="14"/>
      <c r="I9" s="14"/>
      <c r="J9" s="1461">
        <f ca="1">IF(OR(RASSEGENE="LEER",KULTURGENE="LEER",PROFGENE="LEER"),0,IF(AND(OR(EXACT($P$5,"Auelf"),EXACT($P$5,"Waldelf"),EXACT($P$5,"Firnelf")),EXACT($P$8,"Magier")),6,0)-HLOOKUP(P9,INDIRECT(PROFGEBIET),2,FALSE))</f>
        <v>0</v>
      </c>
      <c r="K9" s="1703"/>
      <c r="L9" s="1704"/>
      <c r="M9" s="1685"/>
      <c r="N9" s="1675"/>
      <c r="P9" s="1460" t="str">
        <f>IF(P4,IF(D9="","LEER",D9),IF(D7="","LEER",D7))</f>
        <v>LEER</v>
      </c>
      <c r="Q9" s="47"/>
      <c r="R9" s="1299" t="str">
        <f>IF(OR(P7="",P8=""),"LEER",IF(EXACT(P7,"Kampf"),VLOOKUP(P8,ARTYPKAM,2,FALSE),IF(EXACT(P7,"Gesellschaft"),VLOOKUP(P8,ARTYPGES,2,FALSE),IF(EXACT(P7,"Wildnis"),VLOOKUP(P8,ARTYPWIL,2,FALSE),IF(EXACT(P7,"Handwerk"),VLOOKUP(P8,ARTYPHWK,2,FALSE),IF(NOT(S9=""),S9,"LEER"))))))</f>
        <v>LEER</v>
      </c>
      <c r="S9" s="1299" t="str">
        <f>IF(OR(P7="",P8=""),"",IF(EXACT(P7,"Magie"),VLOOKUP(P8,ARTYPMAG,2,FALSE),IF(EXACT(P7,"Goetter"),VLOOKUP(P8,ARTYPGOET,2,FALSE),IF(EXACT(P7,"Eigene"),"EIGENPROF",""))))</f>
        <v/>
      </c>
      <c r="U9" s="24" t="str">
        <f>IF(P4,$R$9,"RASSEN_PROF")</f>
        <v>LEER</v>
      </c>
    </row>
    <row r="10" spans="1:21" ht="25.5" customHeight="1" x14ac:dyDescent="0.2">
      <c r="A10" s="1718"/>
      <c r="B10" s="143" t="s">
        <v>3286</v>
      </c>
      <c r="C10" s="1457" t="s">
        <v>4642</v>
      </c>
      <c r="D10" s="1686"/>
      <c r="E10" s="1687"/>
      <c r="F10" s="9" t="s">
        <v>2367</v>
      </c>
      <c r="G10" s="13"/>
      <c r="H10" s="14"/>
      <c r="I10" s="14"/>
      <c r="J10" s="575"/>
      <c r="K10" s="1191" t="str">
        <f>IF(AND(VT_VETERAN,PROFZWEITE=""),"Zweitprofessions-Variante wählen! Dazu zuerst -Gebiet und -Gattung nochmals auswählen","")</f>
        <v/>
      </c>
      <c r="L10" s="590"/>
      <c r="M10" s="1685"/>
      <c r="N10" s="1675"/>
      <c r="R10" s="1299" t="str">
        <f>IF(EXACT(PROFGEBZWEITE,"Kampf"),"PROFKAMPF","")&amp;IF(EXACT(PROFGEBZWEITE,"Wildnis"),"PROFWIL","")&amp;
IF(EXACT(PROFGEBZWEITE,"Handwerk"),"PROFHWK","")&amp;IF(EXACT(PROFGEBZWEITE,"Gesellschaft"),"PROFGES","")&amp;
IF(OR(EXACT(PROFGEBZWEITE,"Nichtmagische Magier"),EXACT(PROFGEBZWEITE,"Magie")),"PROFMAGIE","")&amp;
IF(OR(EXACT(PROFGEBZWEITE,"Goetter (BGB)"),EXACT(PROFGEBZWEITE,"Goetter")),"PROFGOET","")&amp;
IF(EXACT(PROFGEBZWEITE,"Eigene"),"PROFEIGEN","")</f>
        <v/>
      </c>
      <c r="T10" t="s">
        <v>7523</v>
      </c>
      <c r="U10" t="s">
        <v>3992</v>
      </c>
    </row>
    <row r="11" spans="1:21" ht="25.5" customHeight="1" x14ac:dyDescent="0.2">
      <c r="A11" s="1718"/>
      <c r="B11" s="143" t="s">
        <v>4639</v>
      </c>
      <c r="C11" s="1457" t="s">
        <v>2883</v>
      </c>
      <c r="D11" s="1686"/>
      <c r="E11" s="1687"/>
      <c r="F11" s="9" t="s">
        <v>2367</v>
      </c>
      <c r="J11" s="576"/>
      <c r="K11" s="589" t="str">
        <f>IF(LEN(PROFZWEITE)&gt;1,IF(VT_VETERAN,"",IF(ISERR(FIND(Abfragen!A49,Abfragen!$B$7)),"Vorteil Breitgefächerte Bildung oder Veteran notwendig für Zweitprofession!",IF(AND(PROF1_ZTAUFW,PROF2_ZTAUFW),"Maximal eine der beiden Professionen darf  zeitaufwendig sein",""))),"")</f>
        <v/>
      </c>
      <c r="L11" s="590"/>
      <c r="M11" s="1685"/>
      <c r="N11" s="1675"/>
      <c r="R11" s="1299" t="str">
        <f>IF(OR(D10="",D11=""),"",IF(VT_VETERAN,U11,T11))</f>
        <v/>
      </c>
      <c r="S11" s="1299" t="str">
        <f>IF(VT_VETERAN,"PROFGRDGENE",IF(EXACT(PROFGEBZWEITE,"Kampf"),"KAMPF","")&amp;
IF(EXACT(PROFGEBZWEITE,"Wildnis"),"WILDNIS","")&amp;
IF(EXACT(PROFGEBZWEITE,"Handwerk"),"HANDW","")&amp;
IF(EXACT(PROFGEBZWEITE,"Gesellschaft"),"GESELL","")&amp;
IF(PROFGEBZWEITE="Nichtmagische Magier","NMAG","")&amp;
IF(PROFGEBZWEITE="Goetter (BGB)","BGB_GOETTER","")&amp;
IF(PROFGEBZWEITE="Eigene","EIGEN",""))</f>
        <v/>
      </c>
      <c r="T11" s="24" t="str">
        <f>IF(EXACT(D10,"Kampf"),VLOOKUP(D11,ARTYPKAM,2,FALSE),
IF(EXACT(D10,"Gesellschaft"),VLOOKUP(D11,ARTYPGES,2,FALSE),
IF(EXACT(D10,"Wildnis"),VLOOKUP(D11,ARTYPWIL,2,FALSE),
IF(EXACT(D10,"Handwerk"),VLOOKUP(D11,ARTYPHWK,2,FALSE),
IF(EXACT(D10,"Nichtmagische Magier"),VLOOKUP(D11,ARTYPNMAG,2,FALSE),
IF(EXACT(D10,"Goetter (BGB)"),VLOOKUP(D11,ARTYP_BGBGOETTER,2,FALSE),
IF(EXACT(D10,"Eigene"),"EIGENPROF","")))))))</f>
        <v/>
      </c>
      <c r="U11" s="24" t="str">
        <f>IF(EXACT(D10,"Kampf"),VLOOKUP(D11,ARTYPKAM,2,FALSE),
IF(EXACT(D10,"Gesellschaft"),VLOOKUP(D11,ARTYPGES,2,FALSE),
IF(EXACT(D10,"Wildnis"),VLOOKUP(D11,ARTYPWIL,2,FALSE),
IF(EXACT(D10,"Handwerk"),VLOOKUP(D11,ARTYPHWK,2,FALSE),
IF(EXACT(D10,"Magie"),VLOOKUP(D11,ARTYPMAG,2,FALSE),
IF(EXACT(D10,"Goetter"),VLOOKUP(D11,ARTYPGOET,2,FALSE),
IF(EXACT(D10,"Eigene"),"EIGENPROF","")))))))</f>
        <v/>
      </c>
    </row>
    <row r="12" spans="1:21" ht="25.5" customHeight="1" x14ac:dyDescent="0.2">
      <c r="A12" s="1718"/>
      <c r="B12" s="173" t="s">
        <v>4640</v>
      </c>
      <c r="C12" s="1457" t="s">
        <v>4813</v>
      </c>
      <c r="D12" s="1686"/>
      <c r="E12" s="1687"/>
      <c r="F12" s="9" t="s">
        <v>2367</v>
      </c>
      <c r="G12" s="13"/>
      <c r="H12" s="14"/>
      <c r="I12" s="14"/>
      <c r="J12" s="571">
        <f ca="1">IF(OR(RASSEGENE="LEER",KULTURGENE="LEER",PROFGENE="LEER",ISBLANK(PROFZWEITE)),0,IF(AND(OR(EXACT($P$5,"Auelf"),EXACT($P$5,"Waldelf"),EXACT($P$5,"Firnelf")),EXACT($P$11,"Magier")),6,0)+IF(AND(EXACT($P$5,"Halbelf"),EXACT($P$10,"Magie")),2,0)-HLOOKUP(D12,INDIRECT(PROFGEBIET2),2,FALSE))</f>
        <v>0</v>
      </c>
      <c r="K12" s="589"/>
      <c r="L12" s="590"/>
      <c r="M12" s="1685"/>
      <c r="N12" s="1675"/>
    </row>
    <row r="13" spans="1:21" ht="19.5" customHeight="1" x14ac:dyDescent="0.2">
      <c r="A13" s="1718"/>
      <c r="B13" s="142"/>
      <c r="C13" s="1458"/>
      <c r="D13" s="1684"/>
      <c r="E13" s="1684"/>
      <c r="F13" s="16"/>
      <c r="G13" s="23" t="s">
        <v>658</v>
      </c>
      <c r="H13" s="1668" t="s">
        <v>661</v>
      </c>
      <c r="I13" s="1668"/>
      <c r="J13" s="584">
        <f ca="1">SUM(J5,J6,J9,J12)</f>
        <v>0</v>
      </c>
      <c r="K13" s="284" t="s">
        <v>1452</v>
      </c>
      <c r="L13" s="1462"/>
      <c r="M13" s="1674" t="str">
        <f ca="1">IF(ISERROR(VT_FEHLER),"",VT_FEHLER)</f>
        <v/>
      </c>
      <c r="N13" s="1675"/>
    </row>
    <row r="14" spans="1:21" ht="14.25" customHeight="1" x14ac:dyDescent="0.2">
      <c r="A14" s="1716" t="s">
        <v>7422</v>
      </c>
      <c r="B14" s="142" t="s">
        <v>659</v>
      </c>
      <c r="C14" s="1705" t="s">
        <v>660</v>
      </c>
      <c r="D14" s="44" t="s">
        <v>74</v>
      </c>
      <c r="E14" s="53">
        <v>8</v>
      </c>
      <c r="F14" s="17" t="str">
        <f ca="1">IF(OR(RASSEGENE="LEER",ISBLANK(E14)),"",IF(HLOOKUP(PROFGENE,INDIRECT(PROFGEBIET),7,FALSE)&gt;H14,"◄",IF(E14&gt;R4,"►","")))</f>
        <v/>
      </c>
      <c r="G14" s="568">
        <f ca="1">IF(OR(RASSEGENE="LEER",KULTURGENE="LEER",PROFGENE="LEER"),0,
SUM(
HLOOKUP($P$5,RASSE,17,FALSE),
HLOOKUP($P$6,KULTUR,17,FALSE),
VALUE(HLOOKUP($P$9,INDIRECT(PROFGEBIET),17,FALSE)),
IF(VT_HEIGEN,IF(ISERROR(VLOOKUP($D14,VT_HEIGEN_B,2,FALSE)),0,VLOOKUP($D14,VT_HEIGEN_B,2,FALSE)),0),
IF(NT_MEIGEN,IF(NT_MEIGEN_WERT=$D14,-1,0),0)
))</f>
        <v>0</v>
      </c>
      <c r="H14" s="1666">
        <f t="shared" ref="H14:H22" ca="1" si="0">SUM(E14,G14)</f>
        <v>8</v>
      </c>
      <c r="I14" s="1667"/>
      <c r="J14" s="573">
        <f>-$E14</f>
        <v>-8</v>
      </c>
      <c r="K14" s="285" t="str">
        <f t="shared" ref="K14:K21" ca="1" si="1">IF(OR(RASSEGENE="LEER",KULTURGENE="LEER",PROFGENE="LEER",ISBLANK(E14)),"",IF(HLOOKUP(PROFGENE,INDIRECT(PROFGEBIET),ROW()-7,FALSE)&gt;H14,CONCATENATE(D14," min. ",HLOOKUP(PROFGENE,INDIRECT(PROFGEBIET),ROW()-7,FALSE)),IF(E14&gt;$R$4,"Der Wert darf höchstens "&amp;$R$4&amp;" sein.",IF(E14&lt;8,CONCATENATE(D14," min. 8"),""))))&amp;
IF(OR(PROFGRDZWEITE="",PROFZWEITE="",ISBLANK(E14)),"",IF(HLOOKUP(PROFZWEITE,INDIRECT(PROFGEBIET2),ROW()-7,FALSE)&gt;H14,CONCATENATE("2. Profession: ",D14," min. ",HLOOKUP(PROFZWEITE,INDIRECT(PROFGEBIET2),ROW()-7,FALSE)),""))</f>
        <v/>
      </c>
      <c r="L14" s="1"/>
      <c r="M14" s="1674"/>
      <c r="N14" s="1675"/>
      <c r="P14" s="1466"/>
    </row>
    <row r="15" spans="1:21" ht="14.25" customHeight="1" x14ac:dyDescent="0.2">
      <c r="A15" s="1716"/>
      <c r="B15" s="142"/>
      <c r="C15" s="1705"/>
      <c r="D15" s="44" t="s">
        <v>75</v>
      </c>
      <c r="E15" s="53">
        <v>8</v>
      </c>
      <c r="F15" s="17" t="str">
        <f ca="1">IF(OR(RASSEGENE="LEER",ISBLANK(E15)),"",IF(HLOOKUP(PROFGENE,INDIRECT(PROFGEBIET),8,FALSE)&gt;H15,"◄",IF(E15&gt;R4,"►","")))</f>
        <v/>
      </c>
      <c r="G15" s="568">
        <f ca="1">IF(OR(RASSEGENE="LEER",KULTURGENE="LEER",PROFGENE="LEER"),0,
SUM(
HLOOKUP($P$5,RASSE,18,FALSE),
HLOOKUP($P$6,KULTUR,18,FALSE),
HLOOKUP($P$9,INDIRECT(PROFGEBIET),18,FALSE),
IF(VT_HEIGEN,IF(ISERROR(VLOOKUP($D15,VT_HEIGEN_B,2,FALSE)),0,VLOOKUP($D15,VT_HEIGEN_B,2,FALSE)),0),
IF(NT_MEIGEN,IF(NT_MEIGEN_WERT=$D15,-1,0),0)
))</f>
        <v>0</v>
      </c>
      <c r="H15" s="1666">
        <f t="shared" ca="1" si="0"/>
        <v>8</v>
      </c>
      <c r="I15" s="1667"/>
      <c r="J15" s="573">
        <f>$J14-$E15</f>
        <v>-16</v>
      </c>
      <c r="K15" s="285" t="str">
        <f t="shared" ca="1" si="1"/>
        <v/>
      </c>
      <c r="L15" s="1"/>
      <c r="M15" s="1674"/>
      <c r="N15" s="1675"/>
    </row>
    <row r="16" spans="1:21" ht="14.25" customHeight="1" x14ac:dyDescent="0.2">
      <c r="A16" s="1716"/>
      <c r="B16" s="142"/>
      <c r="D16" s="44" t="s">
        <v>76</v>
      </c>
      <c r="E16" s="53">
        <v>8</v>
      </c>
      <c r="F16" s="17" t="str">
        <f ca="1">IF(OR(RASSEGENE="LEER",ISBLANK(E16)),"",IF(HLOOKUP(PROFGENE,INDIRECT(PROFGEBIET),9,FALSE)&gt;H16,"◄",IF(E16&gt;R4,"►","")))</f>
        <v/>
      </c>
      <c r="G16" s="568">
        <f ca="1">IF(OR(RASSEGENE="LEER",KULTURGENE="LEER",PROFGENE="LEER"),0,
SUM(
HLOOKUP($P$5,RASSE,19,FALSE),
HLOOKUP($P$6,KULTUR,19,FALSE),
HLOOKUP($P$9,INDIRECT(PROFGEBIET),19,FALSE),
IF(VT_HEIGEN,IF(ISERROR(VLOOKUP($D16,VT_HEIGEN_B,2,FALSE)),0,VLOOKUP($D16,VT_HEIGEN_B,2,FALSE)),0),
IF(NT_MEIGEN,IF(NT_MEIGEN_WERT=$D16,-1,0),0)
))</f>
        <v>0</v>
      </c>
      <c r="H16" s="1666">
        <f t="shared" ca="1" si="0"/>
        <v>8</v>
      </c>
      <c r="I16" s="1667"/>
      <c r="J16" s="573">
        <f t="shared" ref="J16:J21" si="2">$J15-$E16</f>
        <v>-24</v>
      </c>
      <c r="K16" s="285" t="str">
        <f t="shared" ca="1" si="1"/>
        <v/>
      </c>
      <c r="L16" s="1"/>
      <c r="M16" s="1674"/>
      <c r="N16" s="1675"/>
    </row>
    <row r="17" spans="1:16" ht="14.25" customHeight="1" x14ac:dyDescent="0.2">
      <c r="A17" s="1716"/>
      <c r="B17" s="142"/>
      <c r="D17" s="44" t="s">
        <v>77</v>
      </c>
      <c r="E17" s="53">
        <v>8</v>
      </c>
      <c r="F17" s="17" t="str">
        <f ca="1">IF(OR(RASSEGENE="LEER",ISBLANK(E17)),"",IF(HLOOKUP(PROFGENE,INDIRECT(PROFGEBIET),10,FALSE)&gt;H17,"◄",IF(E17&gt;R4,"►","")))</f>
        <v/>
      </c>
      <c r="G17" s="568">
        <f ca="1">IF(OR(RASSEGENE="LEER",KULTURGENE="LEER",PROFGENE="LEER"),0,
SUM(
HLOOKUP($P$5,RASSE,20,FALSE),
HLOOKUP($P$6,KULTUR,20,FALSE),
HLOOKUP($P$9,INDIRECT(PROFGEBIET),20,FALSE),
IF(VT_HEIGEN,IF(ISERROR(VLOOKUP($D17,VT_HEIGEN_B,2,FALSE)),0,VLOOKUP($D17,VT_HEIGEN_B,2,FALSE)),0),
IF(NT_MEIGEN,IF(NT_MEIGEN_WERT=$D17,-1,0),0)
))</f>
        <v>0</v>
      </c>
      <c r="H17" s="1666">
        <f t="shared" ca="1" si="0"/>
        <v>8</v>
      </c>
      <c r="I17" s="1667"/>
      <c r="J17" s="573">
        <f t="shared" si="2"/>
        <v>-32</v>
      </c>
      <c r="K17" s="285" t="str">
        <f t="shared" ca="1" si="1"/>
        <v/>
      </c>
      <c r="L17" s="1"/>
      <c r="M17" s="1674"/>
      <c r="N17" s="1675"/>
    </row>
    <row r="18" spans="1:16" ht="14.25" customHeight="1" x14ac:dyDescent="0.2">
      <c r="A18" s="1716"/>
      <c r="B18" s="142"/>
      <c r="D18" s="44" t="s">
        <v>750</v>
      </c>
      <c r="E18" s="53">
        <v>8</v>
      </c>
      <c r="F18" s="17" t="str">
        <f ca="1">IF(OR(RASSEGENE="LEER",ISBLANK(E18)),"",IF(HLOOKUP(PROFGENE,INDIRECT(PROFGEBIET),11,FALSE)&gt;H18,"◄",IF(E18&gt;R4,"►","")))</f>
        <v/>
      </c>
      <c r="G18" s="568">
        <f ca="1">IF(OR(RASSEGENE="LEER",KULTURGENE="LEER",PROFGENE="LEER"),0,
SUM(
HLOOKUP($P$5,RASSE,21,FALSE),
HLOOKUP($P$6,KULTUR,21,FALSE),
HLOOKUP($P$9,INDIRECT(PROFGEBIET),21,FALSE),
IF(VT_HEIGEN,IF(ISERROR(VLOOKUP($D18,VT_HEIGEN_B,2,FALSE)),0,VLOOKUP($D18,VT_HEIGEN_B,2,FALSE)),0),
IF(NT_MEIGEN,IF(NT_MEIGEN_WERT=$D18,-1,0),0)
))</f>
        <v>0</v>
      </c>
      <c r="H18" s="1666">
        <f t="shared" ca="1" si="0"/>
        <v>8</v>
      </c>
      <c r="I18" s="1667"/>
      <c r="J18" s="573">
        <f t="shared" si="2"/>
        <v>-40</v>
      </c>
      <c r="K18" s="285" t="str">
        <f t="shared" ca="1" si="1"/>
        <v/>
      </c>
      <c r="L18" s="1"/>
      <c r="M18" s="1669" t="str">
        <f>IF(EXACT(LEFT(Abfragen!$B$8,2),", "),REPLACE(Abfragen!$B$8,1,2,""),Abfragen!$B$8)</f>
        <v>Erst Rasse, Kultur  &amp; Profession festlegen!</v>
      </c>
      <c r="N18" s="1675" t="s">
        <v>3996</v>
      </c>
    </row>
    <row r="19" spans="1:16" ht="14.25" customHeight="1" x14ac:dyDescent="0.2">
      <c r="A19" s="1716"/>
      <c r="B19" s="142"/>
      <c r="D19" s="44" t="s">
        <v>751</v>
      </c>
      <c r="E19" s="53">
        <v>8</v>
      </c>
      <c r="F19" s="17" t="str">
        <f ca="1">IF(OR(RASSEGENE="LEER",ISBLANK(E19)),"",IF(HLOOKUP(PROFGENE,INDIRECT(PROFGEBIET),12,FALSE)&gt;H19,"◄",IF(E19&gt;R4,"►","")))</f>
        <v/>
      </c>
      <c r="G19" s="568">
        <f ca="1">IF(OR(RASSEGENE="LEER",KULTURGENE="LEER",PROFGENE="LEER"),0,
SUM(
HLOOKUP($P$5,RASSE,22,FALSE),
HLOOKUP($P$6,KULTUR,22,FALSE),
HLOOKUP($P$9,INDIRECT(PROFGEBIET),22,FALSE),
IF(VT_HEIGEN,IF(ISERROR(VLOOKUP($D19,VT_HEIGEN_B,2,FALSE)),0,VLOOKUP($D19,VT_HEIGEN_B,2,FALSE)),0),
IF(NT_MEIGEN,IF(NT_MEIGEN_WERT=$D19,-1,0),0),
IF(NT_LAHM,-2,0),
IF(NT_EINBEINIG,-5,0)
))</f>
        <v>0</v>
      </c>
      <c r="H19" s="1666">
        <f t="shared" ca="1" si="0"/>
        <v>8</v>
      </c>
      <c r="I19" s="1667"/>
      <c r="J19" s="573">
        <f t="shared" si="2"/>
        <v>-48</v>
      </c>
      <c r="K19" s="285" t="str">
        <f t="shared" ca="1" si="1"/>
        <v/>
      </c>
      <c r="L19" s="1"/>
      <c r="M19" s="1669"/>
      <c r="N19" s="1675"/>
    </row>
    <row r="20" spans="1:16" ht="14.25" customHeight="1" x14ac:dyDescent="0.2">
      <c r="A20" s="1716"/>
      <c r="B20" s="142"/>
      <c r="D20" s="44" t="s">
        <v>5030</v>
      </c>
      <c r="E20" s="53">
        <v>8</v>
      </c>
      <c r="F20" s="17" t="str">
        <f ca="1">IF(OR(RASSEGENE="LEER",ISBLANK(E20)),"",IF(HLOOKUP(PROFGENE,INDIRECT(PROFGEBIET),13,FALSE)&gt;H20,"◄",IF(E20&gt;R4,"►","")))</f>
        <v/>
      </c>
      <c r="G20" s="568">
        <f ca="1">IF(OR(RASSEGENE="LEER",KULTURGENE="LEER",PROFGENE="LEER"),0,
SUM(
HLOOKUP($P$5,RASSE,23,FALSE),
HLOOKUP($P$6,KULTUR,23,FALSE),
HLOOKUP($P$9,INDIRECT(PROFGEBIET),23,FALSE),
IF(VT_HEIGEN,IF(ISERROR(VLOOKUP($D20,VT_HEIGEN_B,2,FALSE)),0,VLOOKUP($D20,VT_HEIGEN_B,2,FALSE)),0),
IF(NT_MEIGEN,IF(NT_MEIGEN_WERT=$D20,-1,0),0)
))</f>
        <v>0</v>
      </c>
      <c r="H20" s="1666">
        <f t="shared" ca="1" si="0"/>
        <v>8</v>
      </c>
      <c r="I20" s="1667"/>
      <c r="J20" s="573">
        <f t="shared" si="2"/>
        <v>-56</v>
      </c>
      <c r="K20" s="285" t="str">
        <f t="shared" ca="1" si="1"/>
        <v/>
      </c>
      <c r="L20" s="1"/>
      <c r="M20" s="1669"/>
      <c r="N20" s="1675"/>
    </row>
    <row r="21" spans="1:16" ht="14.25" customHeight="1" x14ac:dyDescent="0.2">
      <c r="A21" s="1716"/>
      <c r="B21" s="142"/>
      <c r="D21" s="44" t="s">
        <v>752</v>
      </c>
      <c r="E21" s="53">
        <v>8</v>
      </c>
      <c r="F21" s="17" t="str">
        <f ca="1">IF(OR(RASSEGENE="LEER",ISBLANK(E21)),"",IF(HLOOKUP(PROFGENE,INDIRECT(PROFGEBIET),14,FALSE)&gt;H21,"◄",IF(E21&gt;R4,"►","")))</f>
        <v/>
      </c>
      <c r="G21" s="568">
        <f ca="1">IF(OR(RASSEGENE="LEER",KULTURGENE="LEER",PROFGENE="LEER"),0,
SUM(
HLOOKUP($P$5,RASSE,24,FALSE),
HLOOKUP($P$6,KULTUR,24,FALSE),
HLOOKUP($P$9,INDIRECT(PROFGEBIET),24,FALSE),
IF(VT_HEIGEN,IF(ISERROR(VLOOKUP($D21,VT_HEIGEN_B,2,FALSE)),0,VLOOKUP($D21,VT_HEIGEN_B,2,FALSE)),0),
IF(NT_MEIGEN,IF(NT_MEIGEN_WERT=$D21,-1,0),0)
))</f>
        <v>0</v>
      </c>
      <c r="H21" s="1666">
        <f t="shared" ca="1" si="0"/>
        <v>8</v>
      </c>
      <c r="I21" s="1667"/>
      <c r="J21" s="573">
        <f t="shared" si="2"/>
        <v>-64</v>
      </c>
      <c r="K21" s="285" t="str">
        <f t="shared" ca="1" si="1"/>
        <v/>
      </c>
      <c r="L21" s="1"/>
      <c r="M21" s="1669"/>
      <c r="N21" s="1675"/>
    </row>
    <row r="22" spans="1:16" ht="15.75" x14ac:dyDescent="0.2">
      <c r="A22" s="1716"/>
      <c r="B22" s="142"/>
      <c r="D22" s="11" t="s">
        <v>4896</v>
      </c>
      <c r="E22" s="53">
        <v>0</v>
      </c>
      <c r="F22" s="17" t="str">
        <f>IF(OR(RASSEGENE="LEER",ISBLANK(E22)),"",IF(E22+G22&gt;12,"►",""))</f>
        <v/>
      </c>
      <c r="G22" s="568">
        <f ca="1">IF(OR(RASSEGENE="LEER",KULTURGENE="LEER",PROFGENE="LEER"),0,SUM(HLOOKUP($P$5,RASSE,25,FALSE),HLOOKUP($P$6,KULTUR,25,FALSE),
IF(AND(LEN(PROFZWEITE)&gt;1,VT_BBILDUNG),MAX(HLOOKUP($P$9,INDIRECT(PROFGEBIET),15,FALSE),HLOOKUP(PROFZWEITE,INDIRECT(PROFGEBIET2),15,FALSE)),HLOOKUP($P$9,INDIRECT(PROFGEBIET),15,FALSE)),
HLOOKUP($P$9,INDIRECT(PROFGEBIET),25,FALSE)+IF(LEN(PROFZWEITE)&lt;1,0,HLOOKUP(PROFZWEITE,INDIRECT(PROFGEBIET2),25,FALSE))))+IF(UPPER(AKTIV_AKOLUTH)="X",1,0)+IF(VT_ADLIGERBE,1,0)</f>
        <v>0</v>
      </c>
      <c r="H22" s="1666">
        <f t="shared" ca="1" si="0"/>
        <v>0</v>
      </c>
      <c r="I22" s="1667"/>
      <c r="J22" s="584">
        <f>$J21-IF($E22&gt;7,IF(NT_ALBINO,2*$E22-7,$E22),$E22)</f>
        <v>-64</v>
      </c>
      <c r="K22" s="285" t="str">
        <f ca="1">IF(OR(RASSEGENE="LEER",KULTURGENE="LEER",PROFGENE="LEER",ISBLANK(E22)),"",IF(E22&gt;12,"der wählbare SO darf maximal 12 betragen","")&amp;IF(HLOOKUP($P$9,INDIRECT(PROFGEBIET),15,FALSE)&gt;H22,CONCATENATE("SO min. ",HLOOKUP($P$9,INDIRECT(PROFGEBIET),15,FALSE),"; "),IF(AND(HLOOKUP($P$9,INDIRECT(PROFGEBIET),16,FALSE)&lt;H22,HLOOKUP($P$9,INDIRECT(PROFGEBIET),16,FALSE)&gt;0),CONCATENATE("SO max. ",HLOOKUP($P$9,INDIRECT(PROFGEBIET),16,FALSE),"; "),""))
&amp;IF(HLOOKUP(KULTURGENE,KULTUR,15,FALSE)&gt;H22,CONCATENATE("Kultur: SO min. ",HLOOKUP(KULTURGENE,KULTUR,15,FALSE)),IF(AND(HLOOKUP(KULTURGENE,KULTUR,16,FALSE)&lt;H22,HLOOKUP(KULTURGENE,KULTUR,16,FALSE)&gt;0),CONCATENATE("Kultur: SO max. ",HLOOKUP(KULTURGENE,KULTUR,16,FALSE)),"")))</f>
        <v/>
      </c>
      <c r="L22" s="1"/>
      <c r="M22" s="1669"/>
      <c r="N22" s="1675"/>
    </row>
    <row r="23" spans="1:16" ht="14.25" customHeight="1" x14ac:dyDescent="0.2">
      <c r="A23" s="8"/>
      <c r="B23" s="142"/>
      <c r="C23" s="1715" t="s">
        <v>4325</v>
      </c>
      <c r="D23" s="287"/>
      <c r="E23" s="287"/>
      <c r="F23" s="145" t="s">
        <v>4326</v>
      </c>
      <c r="G23" s="1711" t="s">
        <v>1607</v>
      </c>
      <c r="H23" s="1711"/>
      <c r="I23" s="1712"/>
      <c r="J23" s="572">
        <f>SUM(E14:E21)</f>
        <v>64</v>
      </c>
      <c r="K23" s="285" t="str">
        <f>IF(AND(GPSTART&gt;=140,J23&gt;115),"max. 115 GP für Eigenschaften erlaubt!",
IF(AND(GPSTART&gt;=130,GPSTART&lt;140,J23&gt;110),"max. 110 GP für Eigenschaften erlaubt!",
IF(AND(GPSTART&gt;=120,GPSTART&lt;130,J23&gt;105),"max. 105 GP für Eigenschaften erlaubt!",
IF(AND(GPSTART&lt;120,J23&gt;100),"max. 100 GP für Eigenschaften erlaubt!",""))))</f>
        <v/>
      </c>
      <c r="L23" s="1"/>
      <c r="M23" s="1713" t="str">
        <f ca="1">IF(ISERROR(NT_FEHLER),"",NT_FEHLER)</f>
        <v/>
      </c>
      <c r="N23" s="1675"/>
    </row>
    <row r="24" spans="1:16" ht="14.25" customHeight="1" x14ac:dyDescent="0.2">
      <c r="B24" s="142"/>
      <c r="C24" s="1715"/>
      <c r="D24" s="36"/>
      <c r="E24" s="1707" t="s">
        <v>4327</v>
      </c>
      <c r="F24" s="1707"/>
      <c r="G24" s="1707"/>
      <c r="H24" s="931" t="s">
        <v>1606</v>
      </c>
      <c r="I24" s="41"/>
      <c r="J24" s="577" t="s">
        <v>4337</v>
      </c>
      <c r="K24" s="1676" t="str">
        <f ca="1">IF(GP=0,"keine GP übrig",IF(GP&lt;0,CONCATENATE("Du hast ",ABS(GP)," GP zuviel verteilt"),CONCATENATE("Eingesetzt: ",GPSTART-GP," von ",GPSTART," GP")))</f>
        <v>Du hast 64 GP zuviel verteilt</v>
      </c>
      <c r="L24" s="1677"/>
      <c r="M24" s="1713"/>
      <c r="N24" s="1675"/>
    </row>
    <row r="25" spans="1:16" ht="14.25" customHeight="1" x14ac:dyDescent="0.2">
      <c r="A25" s="1716" t="s">
        <v>4365</v>
      </c>
      <c r="B25" s="142" t="s">
        <v>1989</v>
      </c>
      <c r="C25" t="s">
        <v>3080</v>
      </c>
      <c r="D25" s="54"/>
      <c r="E25" s="1673"/>
      <c r="F25" s="1671"/>
      <c r="G25" s="1672"/>
      <c r="H25" s="39" t="str">
        <f t="shared" ref="H25:H34" si="3">IF(NOT(ISBLANK($D25)),IF(VLOOKUP($D25,VORTEILEGES,2,FALSE)&gt;0,VLOOKUP($D25,VORTEILEGES,2,FALSE),""),"")</f>
        <v/>
      </c>
      <c r="I25" s="32"/>
      <c r="J25" s="573" t="str">
        <f t="shared" ref="J25:J34" ca="1" si="4">IF(OR(NOT(EXACT($K25,"")),EXACT($D25,"")),"",
IF(EXACT($H25,""), IF(NOT(EXACT($E25,"")),
IF(NOT(ISNA(VLOOKUP($D25,VORTEILEVARGP,1,FALSE))),
IF(ISERR(VALUE(VLOOKUP($D25,VORTEILEVARGP,3,FALSE))),
VLOOKUP($E25,INDIRECT(VLOOKUP($D25,VORTEILEVARGP,3,FALSE)),VLOOKUP($D25,VORTEILEVARGP,4,FALSE),FALSE),
VLOOKUP($D25,VORTEILEVARGP,3,FALSE)
),VLOOKUP($D25,VORTEILEGES,4,FALSE)
),VLOOKUP($D25,VORTEILEGES,4,FALSE)
),ROUND($E25*$H25,0)))</f>
        <v/>
      </c>
      <c r="K25" s="285" t="str">
        <f>IF(NOT(EXACT($D25,"")),IF(NOT(EXACT(Abfragen!$O26,"")),"Vorteil bereits vorhanden!",IF(AND(NOT(EXACT($H25,"")),VLOOKUP($D25,VORTEILEGES,3,FALSE)&lt;$E25),CONCATENATE($D25," max. ",VLOOKUP($D25,VORTEILEGES,3,FALSE)),IF($L25,"Vorteil nicht möglich",""))),"")</f>
        <v/>
      </c>
      <c r="L25" s="591">
        <f>IF(AND(NOT(ISERR(FIND("Z",VLOOKUP($D25,VORTEILEGES,6,FALSE)))),ISERR(FIND("Vollzauberer",VORTEILEGENE))),IF(AND(NOT(ISERR(FIND("H",VLOOKUP($D25,VORTEILEGES,6,FALSE)))),ISERR(FIND("Halbzauberer",VORTEILEGENE))),IF(AND(NOT(ISERR(FIND("V",VLOOKUP($D25,VORTEILEGES,6,FALSE)))),ISERR(FIND("Viertelzauberer",VORTEILEGENE))),)))</f>
        <v>0</v>
      </c>
      <c r="M25" s="1713"/>
      <c r="N25" s="1675"/>
      <c r="P25" s="376"/>
    </row>
    <row r="26" spans="1:16" ht="14.25" customHeight="1" x14ac:dyDescent="0.2">
      <c r="A26" s="1716"/>
      <c r="B26" s="142"/>
      <c r="D26" s="54"/>
      <c r="E26" s="1670"/>
      <c r="F26" s="1671"/>
      <c r="G26" s="1672"/>
      <c r="H26" s="39" t="str">
        <f>IF(NOT(ISBLANK($D26)),IF(VLOOKUP($D26,VORTEILEGES,2,FALSE)&gt;0,VLOOKUP($D26,VORTEILEGES,2,FALSE),""),"")</f>
        <v/>
      </c>
      <c r="I26" s="32"/>
      <c r="J26" s="573" t="str">
        <f t="shared" ca="1" si="4"/>
        <v/>
      </c>
      <c r="K26" s="285" t="str">
        <f>IF(NOT(EXACT($D26,"")),IF(NOT(EXACT(Abfragen!$O27,"")),"Vorteil bereits vorhanden!",IF(AND(NOT(EXACT($H26,"")),VLOOKUP($D26,VORTEILEGES,3,FALSE)&lt;$E26),CONCATENATE($D26," max. ",VLOOKUP($D26,VORTEILEGES,3,FALSE)),IF(AND(NOT(ISERR(FIND($D26,$M$8))),$L26),"Diesen Vorteil kann dieser Held nicht haben",""))),"")</f>
        <v/>
      </c>
      <c r="L26" s="591">
        <f t="shared" ref="L26:L34" si="5">IF(AND(NOT(ISERR(FIND("Z",VLOOKUP($D26,VORTEILEGES,6,FALSE)))),ISERR(FIND("Vollzauberer",VORTEILEGENE))),IF(AND(NOT(ISERR(FIND("H",VLOOKUP($D26,VORTEILEGES,6,FALSE)))),ISERR(FIND("Halbzauberer",VORTEILEGENE))),IF(AND(NOT(ISERR(FIND("V",VLOOKUP($D26,VORTEILEGES,6,FALSE)))),ISERR(FIND("Viertelzauberer",VORTEILEGENE))),)))</f>
        <v>0</v>
      </c>
      <c r="M26" s="1713"/>
      <c r="N26" s="1675"/>
      <c r="P26" s="376"/>
    </row>
    <row r="27" spans="1:16" ht="14.25" customHeight="1" x14ac:dyDescent="0.2">
      <c r="A27" s="1716"/>
      <c r="B27" s="142"/>
      <c r="D27" s="54"/>
      <c r="E27" s="1670"/>
      <c r="F27" s="1671"/>
      <c r="G27" s="1672"/>
      <c r="H27" s="39" t="str">
        <f t="shared" si="3"/>
        <v/>
      </c>
      <c r="I27" s="32"/>
      <c r="J27" s="573" t="str">
        <f t="shared" ca="1" si="4"/>
        <v/>
      </c>
      <c r="K27" s="285" t="str">
        <f>IF(NOT(EXACT($D27,"")),IF(NOT(EXACT(Abfragen!$O28,"")),"Vorteil bereits vorhanden!",IF(AND(NOT(EXACT($H27,"")),VLOOKUP($D27,VORTEILEGES,3,FALSE)&lt;$E27),CONCATENATE($D27," max. ",VLOOKUP($D27,VORTEILEGES,3,FALSE)),IF(AND(NOT(ISERR(FIND($D27,$M$8))),$L27),"Diesen Vorteil kann dieser Held nicht haben",""))),"")</f>
        <v/>
      </c>
      <c r="L27" s="591">
        <f t="shared" si="5"/>
        <v>0</v>
      </c>
      <c r="M27" s="1713"/>
      <c r="N27" s="1675"/>
    </row>
    <row r="28" spans="1:16" ht="14.25" customHeight="1" x14ac:dyDescent="0.2">
      <c r="A28" s="1716"/>
      <c r="B28" s="142"/>
      <c r="D28" s="54"/>
      <c r="E28" s="1670"/>
      <c r="F28" s="1671"/>
      <c r="G28" s="1672"/>
      <c r="H28" s="39" t="str">
        <f t="shared" si="3"/>
        <v/>
      </c>
      <c r="I28" s="32"/>
      <c r="J28" s="573" t="str">
        <f t="shared" ca="1" si="4"/>
        <v/>
      </c>
      <c r="K28" s="285" t="str">
        <f>IF(NOT(EXACT($D28,"")),IF(NOT(EXACT(Abfragen!$O29,"")),"Vorteil bereits vorhanden!",IF(AND(NOT(EXACT($H28,"")),VLOOKUP($D28,VORTEILEGES,3,FALSE)&lt;$E28),CONCATENATE($D28," max. ",VLOOKUP($D28,VORTEILEGES,3,FALSE)),IF(AND(NOT(ISERR(FIND($D28,$M$8))),$L28),"Diesen Vorteil kann dieser Held nicht haben",""))),"")</f>
        <v/>
      </c>
      <c r="L28" s="591">
        <f t="shared" si="5"/>
        <v>0</v>
      </c>
      <c r="M28" s="1669" t="str">
        <f>IF(OR(RASSEGENE="LEER",KULTURGENE="LEER",PROFGENE="LEER"),"Erst Auswahl abschliessen",CONCATENATE(SF!$AQ$153," ",SF!$AQ$152," ",SF!$AQ$150," ",SF!$AQ$151," ",SF!$AQ$140," ",SF!$AQ$136," "))</f>
        <v>Erst Auswahl abschliessen</v>
      </c>
      <c r="N28" s="1706" t="s">
        <v>2455</v>
      </c>
    </row>
    <row r="29" spans="1:16" ht="14.25" customHeight="1" x14ac:dyDescent="0.2">
      <c r="A29" s="1716"/>
      <c r="B29" s="142"/>
      <c r="D29" s="54"/>
      <c r="E29" s="1670"/>
      <c r="F29" s="1671"/>
      <c r="G29" s="1672"/>
      <c r="H29" s="39" t="str">
        <f t="shared" si="3"/>
        <v/>
      </c>
      <c r="I29" s="32"/>
      <c r="J29" s="573" t="str">
        <f t="shared" ca="1" si="4"/>
        <v/>
      </c>
      <c r="K29" s="285" t="str">
        <f>IF(NOT(EXACT($D29,"")),IF(NOT(EXACT(Abfragen!$O30,"")),"Vorteil bereits vorhanden!",IF(AND(NOT(EXACT($H29,"")),VLOOKUP($D29,VORTEILEGES,3,FALSE)&lt;$E29),CONCATENATE($D29," max. ",VLOOKUP($D29,VORTEILEGES,3,FALSE)),IF(AND(NOT(ISERR(FIND($D29,$M$8))),$L29),"Diesen Vorteil kann dieser Held nicht haben",""))),"")</f>
        <v/>
      </c>
      <c r="L29" s="591">
        <f t="shared" si="5"/>
        <v>0</v>
      </c>
      <c r="M29" s="1669"/>
      <c r="N29" s="1706"/>
    </row>
    <row r="30" spans="1:16" ht="14.25" customHeight="1" x14ac:dyDescent="0.2">
      <c r="A30" s="1716"/>
      <c r="B30" s="142"/>
      <c r="D30" s="54"/>
      <c r="E30" s="1670"/>
      <c r="F30" s="1671"/>
      <c r="G30" s="1672"/>
      <c r="H30" s="39" t="str">
        <f t="shared" si="3"/>
        <v/>
      </c>
      <c r="I30" s="32"/>
      <c r="J30" s="573" t="str">
        <f t="shared" ca="1" si="4"/>
        <v/>
      </c>
      <c r="K30" s="285" t="str">
        <f>IF(NOT(EXACT($D30,"")),IF(NOT(EXACT(Abfragen!$O31,"")),"Vorteil bereits vorhanden!",IF(AND(NOT(EXACT($H30,"")),VLOOKUP($D30,VORTEILEGES,3,FALSE)&lt;$E30),CONCATENATE($D30," max. ",VLOOKUP($D30,VORTEILEGES,3,FALSE)),IF(AND(NOT(ISERR(FIND($D30,$M$8))),$L30),"Diesen Vorteil kann dieser Held nicht haben",""))),"")</f>
        <v/>
      </c>
      <c r="L30" s="591">
        <f t="shared" si="5"/>
        <v>0</v>
      </c>
      <c r="M30" s="1669"/>
      <c r="N30" s="1706"/>
    </row>
    <row r="31" spans="1:16" ht="14.25" customHeight="1" x14ac:dyDescent="0.2">
      <c r="A31" s="1716"/>
      <c r="B31" s="142"/>
      <c r="D31" s="54"/>
      <c r="E31" s="1670"/>
      <c r="F31" s="1671"/>
      <c r="G31" s="1672"/>
      <c r="H31" s="39" t="str">
        <f t="shared" si="3"/>
        <v/>
      </c>
      <c r="I31" s="32"/>
      <c r="J31" s="573" t="str">
        <f t="shared" ca="1" si="4"/>
        <v/>
      </c>
      <c r="K31" s="285" t="str">
        <f>IF(NOT(EXACT($D31,"")),IF(NOT(EXACT(Abfragen!$O32,"")),"Vorteil bereits vorhanden!",IF(AND(NOT(EXACT($H31,"")),VLOOKUP($D31,VORTEILEGES,3,FALSE)&lt;$E31),CONCATENATE($D31," max. ",VLOOKUP($D31,VORTEILEGES,3,FALSE)),IF(AND(NOT(ISERR(FIND($D31,$M$8))),$L31),"Diesen Vorteil kann dieser Held nicht haben",""))),"")</f>
        <v/>
      </c>
      <c r="L31" s="591">
        <f t="shared" si="5"/>
        <v>0</v>
      </c>
      <c r="M31" s="1669"/>
      <c r="N31" s="1706"/>
    </row>
    <row r="32" spans="1:16" ht="14.25" customHeight="1" x14ac:dyDescent="0.2">
      <c r="A32" s="1716"/>
      <c r="B32" s="142"/>
      <c r="D32" s="54"/>
      <c r="E32" s="1670"/>
      <c r="F32" s="1671"/>
      <c r="G32" s="1672"/>
      <c r="H32" s="39" t="str">
        <f t="shared" si="3"/>
        <v/>
      </c>
      <c r="I32" s="32"/>
      <c r="J32" s="573" t="str">
        <f t="shared" ca="1" si="4"/>
        <v/>
      </c>
      <c r="K32" s="285" t="str">
        <f>IF(NOT(EXACT($D32,"")),IF(NOT(EXACT(Abfragen!$O33,"")),"Vorteil bereits vorhanden!",IF(AND(NOT(EXACT($H32,"")),VLOOKUP($D32,VORTEILEGES,3,FALSE)&lt;$E32),CONCATENATE($D32," max. ",VLOOKUP($D32,VORTEILEGES,3,FALSE)),IF(AND(NOT(ISERR(FIND($D32,$M$8))),$L32),"Diesen Vorteil kann dieser Held nicht haben",""))),"")</f>
        <v/>
      </c>
      <c r="L32" s="591">
        <f t="shared" si="5"/>
        <v>0</v>
      </c>
      <c r="M32" s="1669"/>
      <c r="N32" s="1706"/>
    </row>
    <row r="33" spans="1:16" ht="14.25" customHeight="1" x14ac:dyDescent="0.2">
      <c r="A33" s="1716"/>
      <c r="B33" s="142"/>
      <c r="D33" s="54"/>
      <c r="E33" s="1670"/>
      <c r="F33" s="1671"/>
      <c r="G33" s="1672"/>
      <c r="H33" s="39" t="str">
        <f t="shared" si="3"/>
        <v/>
      </c>
      <c r="I33" s="32"/>
      <c r="J33" s="573" t="str">
        <f t="shared" ca="1" si="4"/>
        <v/>
      </c>
      <c r="K33" s="285" t="str">
        <f>IF(NOT(EXACT($D33,"")),IF(NOT(EXACT(Abfragen!$O34,"")),"Vorteil bereits vorhanden!",IF(AND(NOT(EXACT($H33,"")),VLOOKUP($D33,VORTEILEGES,3,FALSE)&lt;$E33),CONCATENATE($D33," max. ",VLOOKUP($D33,VORTEILEGES,3,FALSE)),IF(AND(NOT(ISERR(FIND($D33,$M$8))),$L33),"Diesen Vorteil kann dieser Held nicht haben",""))),"")</f>
        <v/>
      </c>
      <c r="L33" s="591">
        <f t="shared" si="5"/>
        <v>0</v>
      </c>
      <c r="M33" s="1669"/>
      <c r="N33" s="1706"/>
    </row>
    <row r="34" spans="1:16" ht="14.25" customHeight="1" thickBot="1" x14ac:dyDescent="0.25">
      <c r="A34" s="1716"/>
      <c r="B34" s="142"/>
      <c r="D34" s="54"/>
      <c r="E34" s="1670"/>
      <c r="F34" s="1671"/>
      <c r="G34" s="1672"/>
      <c r="H34" s="518" t="str">
        <f t="shared" si="3"/>
        <v/>
      </c>
      <c r="I34" s="32"/>
      <c r="J34" s="573" t="str">
        <f t="shared" ca="1" si="4"/>
        <v/>
      </c>
      <c r="K34" s="285" t="str">
        <f>IF(NOT(EXACT($D34,"")),IF(NOT(EXACT(Abfragen!$O35,"")),"Vorteil bereits vorhanden!",IF(AND(NOT(EXACT($H34,"")),VLOOKUP($D34,VORTEILEGES,3,FALSE)&lt;$E34),CONCATENATE($D34," max. ",VLOOKUP($D34,VORTEILEGES,3,FALSE)),IF(AND(NOT(ISERR(FIND($D34,$M$8))),$L34),"Diesen Vorteil kann dieser Held nicht haben",""))),"")</f>
        <v/>
      </c>
      <c r="L34" s="591">
        <f t="shared" si="5"/>
        <v>0</v>
      </c>
      <c r="M34" s="1669"/>
      <c r="N34" s="1706"/>
    </row>
    <row r="35" spans="1:16" ht="14.25" customHeight="1" x14ac:dyDescent="0.2">
      <c r="A35" s="174"/>
      <c r="B35" s="142"/>
      <c r="C35" t="s">
        <v>1293</v>
      </c>
      <c r="D35" s="519"/>
      <c r="E35" s="1708"/>
      <c r="F35" s="1709"/>
      <c r="G35" s="1710"/>
      <c r="H35" s="39" t="str">
        <f>IF(NOT(ISBLANK($D35)),IF(VLOOKUP($D35,NACHTEILEGES,2,FALSE)&gt;0,VLOOKUP($D35,NACHTEILEGES,2,FALSE),""),"")</f>
        <v/>
      </c>
      <c r="I35" s="32"/>
      <c r="J35" s="1463" t="str">
        <f ca="1">IF(OR(NOT(EXACT($K35,"")),EXACT($D35,"")),"",IF(EXACT($H35,""),IF(NOT(EXACT($E35,"")),IF(NOT(ISNA(VLOOKUP($D35,VORTEILEVARGP,1,FALSE))),IF(ISERR(VALUE(VLOOKUP($D35,VORTEILEVARGP,3,FALSE))),VLOOKUP($E35,INDIRECT(VLOOKUP($D35,VORTEILEVARGP,3,FALSE)),VLOOKUP($D35,VORTEILEVARGP,4,FALSE),FALSE),VLOOKUP($D35,VORTEILEVARGP,3,FALSE)),VLOOKUP($D35,VORTEILEGES,4,FALSE)),VLOOKUP($D35,VORTEILEGES,4,FALSE)),ROUND($E35*$H35,0)))</f>
        <v/>
      </c>
      <c r="K35" s="285"/>
      <c r="L35" s="591"/>
      <c r="M35" s="516"/>
      <c r="N35" s="517"/>
    </row>
    <row r="36" spans="1:16" ht="14.25" customHeight="1" x14ac:dyDescent="0.2">
      <c r="A36" s="174"/>
      <c r="B36" s="142"/>
      <c r="D36" s="54"/>
      <c r="E36" s="1670"/>
      <c r="F36" s="1671"/>
      <c r="G36" s="1672"/>
      <c r="H36" s="39" t="str">
        <f>IF(NOT(ISBLANK($D36)),IF(VLOOKUP($D36,NACHTEILEGES,2,FALSE)&gt;0,VLOOKUP($D36,NACHTEILEGES,2,FALSE),""),"")</f>
        <v/>
      </c>
      <c r="I36" s="32"/>
      <c r="J36" s="573" t="str">
        <f ca="1">IF(OR(NOT(EXACT($K36,"")),EXACT($D36,"")),"",IF(EXACT($H36,""),IF(NOT(EXACT($E36,"")),IF(NOT(ISNA(VLOOKUP($D36,VORTEILEVARGP,1,FALSE))),IF(ISERR(VALUE(VLOOKUP($D36,VORTEILEVARGP,3,FALSE))),VLOOKUP($E36,INDIRECT(VLOOKUP($D36,VORTEILEVARGP,3,FALSE)),VLOOKUP($D36,VORTEILEVARGP,4,FALSE),FALSE),VLOOKUP($D36,VORTEILEVARGP,3,FALSE)),VLOOKUP($D36,VORTEILEGES,4,FALSE)),VLOOKUP($D36,VORTEILEGES,4,FALSE)),ROUND($E36*$H36,0)))</f>
        <v/>
      </c>
      <c r="K36" s="285"/>
      <c r="L36" s="591"/>
      <c r="M36" s="516"/>
      <c r="N36" s="517"/>
    </row>
    <row r="37" spans="1:16" ht="14.25" customHeight="1" x14ac:dyDescent="0.2">
      <c r="A37" s="71"/>
      <c r="B37" s="142"/>
      <c r="D37" s="42"/>
      <c r="E37" s="42"/>
      <c r="F37" s="42"/>
      <c r="G37" s="33"/>
      <c r="H37" s="32"/>
      <c r="I37" s="43" t="s">
        <v>1451</v>
      </c>
      <c r="J37" s="584">
        <f ca="1">-SUM(J25:J36)</f>
        <v>0</v>
      </c>
      <c r="K37" s="146"/>
      <c r="L37" s="147"/>
      <c r="M37" s="148"/>
      <c r="N37" s="25"/>
    </row>
    <row r="38" spans="1:16" ht="14.25" customHeight="1" x14ac:dyDescent="0.2">
      <c r="A38" s="1716" t="s">
        <v>2219</v>
      </c>
      <c r="B38" s="142" t="s">
        <v>3081</v>
      </c>
      <c r="C38" t="s">
        <v>4091</v>
      </c>
      <c r="D38" s="83"/>
      <c r="E38" s="1714" t="s">
        <v>4093</v>
      </c>
      <c r="F38" s="1714"/>
      <c r="G38" s="1714"/>
      <c r="H38"/>
      <c r="I38" s="43"/>
      <c r="J38" s="577" t="s">
        <v>4337</v>
      </c>
      <c r="K38" s="1676" t="str">
        <f ca="1">IF(GP=0,"keine GP übrig",IF(GP&lt;0,CONCATENATE("Du hast ",ABS(GP)," GP zuviel verteilt"),CONCATENATE("Eingesetzt: ",GPSTART-GP," von ",GPSTART," GP")))</f>
        <v>Du hast 64 GP zuviel verteilt</v>
      </c>
      <c r="L38" s="1677"/>
      <c r="M38" s="96"/>
      <c r="N38" s="25"/>
    </row>
    <row r="39" spans="1:16" ht="14.25" customHeight="1" x14ac:dyDescent="0.2">
      <c r="A39" s="1716"/>
      <c r="B39" s="142"/>
      <c r="D39" s="83"/>
      <c r="E39" s="952"/>
      <c r="F39" s="952"/>
      <c r="G39" s="952"/>
      <c r="H39" s="952"/>
      <c r="I39" s="43"/>
      <c r="J39" s="570">
        <f>IF(OR(RASSEGENE="LEER",KULTURGENE="LEER",PROFGENE="LEER"),0,
SUM(SF!$Y$14:'SF'!$Y$123,SF!$AN$14:$AN$115,Talente!BZ14:BZ170,Zauber!N182:N201,Zauber!N203:N247,Goetter!M5,Eigenschaften!D98,N100))</f>
        <v>0</v>
      </c>
      <c r="K39" s="277"/>
      <c r="L39" s="1"/>
      <c r="M39" s="96"/>
      <c r="N39" s="25"/>
      <c r="P39" s="376"/>
    </row>
    <row r="40" spans="1:16" ht="14.25" customHeight="1" x14ac:dyDescent="0.2">
      <c r="A40" s="1716"/>
      <c r="B40" s="142"/>
      <c r="D40" s="49"/>
      <c r="E40" s="49"/>
      <c r="F40" s="49"/>
      <c r="G40" s="33"/>
      <c r="H40" s="32"/>
      <c r="I40" s="43" t="s">
        <v>4092</v>
      </c>
      <c r="J40" s="584">
        <f>-J39</f>
        <v>0</v>
      </c>
      <c r="K40" s="592"/>
      <c r="L40" s="26"/>
      <c r="M40" s="25"/>
      <c r="N40" s="25"/>
    </row>
    <row r="41" spans="1:16" ht="14.25" customHeight="1" x14ac:dyDescent="0.2">
      <c r="B41" s="142"/>
      <c r="D41" s="21"/>
      <c r="E41" s="1707" t="s">
        <v>4327</v>
      </c>
      <c r="F41" s="1707"/>
      <c r="G41" s="1707"/>
      <c r="H41" s="931" t="s">
        <v>1606</v>
      </c>
      <c r="I41" s="32"/>
      <c r="J41" s="577" t="s">
        <v>4337</v>
      </c>
      <c r="K41" s="1676" t="str">
        <f ca="1">IF(GP=0,"keine GP übrig",IF(GP&lt;0,CONCATENATE("Du hast ",ABS(GP)," GP zuviel verteilt"),CONCATENATE("Eingesetzt: ",GPSTART-GP," von ",GPSTART," GP")))</f>
        <v>Du hast 64 GP zuviel verteilt</v>
      </c>
      <c r="L41" s="1677"/>
      <c r="N41" s="25"/>
    </row>
    <row r="42" spans="1:16" ht="14.25" customHeight="1" x14ac:dyDescent="0.2">
      <c r="A42" s="1716" t="s">
        <v>3562</v>
      </c>
      <c r="B42" s="142" t="s">
        <v>4090</v>
      </c>
      <c r="C42" s="1" t="s">
        <v>430</v>
      </c>
      <c r="D42" s="55"/>
      <c r="E42" s="1678"/>
      <c r="F42" s="1679"/>
      <c r="G42" s="1680"/>
      <c r="H42" s="39" t="str">
        <f t="shared" ref="H42:H51" si="6">IF(NOT(ISBLANK($D42)),IF(VLOOKUP($D42,NACHTEILEGES,2,FALSE)&gt;0,VLOOKUP($D42,NACHTEILEGES,2,FALSE),""),"")</f>
        <v/>
      </c>
      <c r="I42" s="56" t="str">
        <f>IF(EXACT($D42,""),"",IF(EXACT(VLOOKUP($D42,NACHTEILEGES,5,FALSE),"ja"),$J42,""))</f>
        <v/>
      </c>
      <c r="J42" s="574" t="str">
        <f t="shared" ref="J42:J50" ca="1" si="7">IF(OR(NOT(EXACT($K42,"")),EXACT($D42,"")),"",
ROUND(IF(EXACT($H42,""),IF(NOT(EXACT($E42,"")),IF(NOT(ISNA(VLOOKUP($D42,NACHTEILEVARGP,1,FALSE))),VLOOKUP($E42,INDIRECT(VLOOKUP($D42,NACHTEILEVARGP,3,FALSE)),VLOOKUP($D42,NACHTEILEVARGP,4,FALSE),FALSE),VLOOKUP($D42,NACHTEILEGES,4,FALSE)),VLOOKUP($D42,NACHTEILEGES,4,FALSE)),$E42*$H42),0))</f>
        <v/>
      </c>
      <c r="K42" s="285" t="str">
        <f>IF(NOT(EXACT($H42,"")),IF(NOT(EXACT(Abfragen!O107,"")),"Nachteil bereits vorhanden!",IF(AND(VLOOKUP($D42,NACHTEILEGES,3,FALSE)&lt;$E42,VLOOKUP($D42,NACHTEILEGES,3,FALSE)&gt;0),CONCATENATE($D42," max. ",VLOOKUP($D42,NACHTEILEGES,3,FALSE)),IF(AND(NOT(ISERR(FIND($D42,$M$8))),$L42),"Diesen Nachteil kann dieser Held nicht haben",""))),"")</f>
        <v/>
      </c>
      <c r="L42" s="591">
        <f t="shared" ref="L42:L52" si="8">IF(AND(NOT(ISERR(FIND("Z",VLOOKUP($D42,NACHTEILEGES,6,FALSE)))),ISERR(FIND("Vollzauberer",VORTEILEGENE))),IF(AND(NOT(ISERR(FIND("H",VLOOKUP($D42,NACHTEILEGES,6,FALSE)))),ISERR(FIND("Halbzauberer",VORTEILEGENE))),IF(AND(NOT(ISERR(FIND("V",VLOOKUP($D42,NACHTEILEGES,6,FALSE)))),ISERR(FIND("Viertelzauberer",VORTEILEGENE))),)))</f>
        <v>0</v>
      </c>
      <c r="M42" s="288" t="str">
        <f t="shared" ref="M42:M51" si="9">IF(EXACT($I42,""),"",IF(AND(VLOOKUP($D42,NT_SEIGEN_WERTE,8,FALSE)&lt;6,NOT(INT(H42))),CONCATENATE($D42," min. 6"),IF(VLOOKUP($D42,NT_SEIGEN_WERTE,8,FALSE)&lt;5,CONCATENATE($D42," min. 5"),IF(VLOOKUP($D42,NT_SEIGEN_WERTE,8,FALSE)&gt;12,CONCATENATE($D42," max. 12"),""))))</f>
        <v/>
      </c>
      <c r="N42" s="25"/>
    </row>
    <row r="43" spans="1:16" ht="14.25" customHeight="1" x14ac:dyDescent="0.2">
      <c r="A43" s="1716"/>
      <c r="B43" s="142"/>
      <c r="D43" s="55"/>
      <c r="E43" s="1678"/>
      <c r="F43" s="1679"/>
      <c r="G43" s="1680"/>
      <c r="H43" s="39" t="str">
        <f t="shared" si="6"/>
        <v/>
      </c>
      <c r="I43" s="56" t="str">
        <f>IF(EXACT($D43,""),"",IF(EXACT(VLOOKUP($D43,NACHTEILEGES,5,FALSE),"ja"),$J43,""))</f>
        <v/>
      </c>
      <c r="J43" s="574" t="str">
        <f t="shared" ca="1" si="7"/>
        <v/>
      </c>
      <c r="K43" s="285" t="str">
        <f>IF(NOT(EXACT($H43,"")),IF(NOT(EXACT(Abfragen!O108,"")),"Nachteil bereits vorhanden!",IF(AND(VLOOKUP($D43,NACHTEILEGES,3,FALSE)&lt;$E43,VLOOKUP($D43,NACHTEILEGES,3,FALSE)&gt;0),CONCATENATE($D43," max. ",VLOOKUP($D43,NACHTEILEGES,3,FALSE)),IF(AND(NOT(ISERR(FIND($D43,$M$8))),$L43),"Diesen Nachteil kann dieser Held nicht haben",""))),"")</f>
        <v/>
      </c>
      <c r="L43" s="591">
        <f t="shared" si="8"/>
        <v>0</v>
      </c>
      <c r="M43" s="288" t="str">
        <f t="shared" si="9"/>
        <v/>
      </c>
      <c r="N43" s="25"/>
    </row>
    <row r="44" spans="1:16" ht="14.25" customHeight="1" x14ac:dyDescent="0.2">
      <c r="A44" s="1716"/>
      <c r="B44" s="142"/>
      <c r="D44" s="55"/>
      <c r="E44" s="1678"/>
      <c r="F44" s="1679"/>
      <c r="G44" s="1680"/>
      <c r="H44" s="39" t="str">
        <f t="shared" si="6"/>
        <v/>
      </c>
      <c r="I44" s="56" t="str">
        <f t="shared" ref="I44:I51" si="10">IF(EXACT($D44,""),"",IF(EXACT(VLOOKUP($D44,NACHTEILEGES,5,FALSE),"ja"),$J44,""))</f>
        <v/>
      </c>
      <c r="J44" s="574" t="str">
        <f t="shared" ca="1" si="7"/>
        <v/>
      </c>
      <c r="K44" s="285" t="str">
        <f>IF(NOT(EXACT($H44,"")),IF(NOT(EXACT(Abfragen!O109,"")),"Nachteil bereits vorhanden!",IF(AND(VLOOKUP($D44,NACHTEILEGES,3,FALSE)&lt;$E44,VLOOKUP($D44,NACHTEILEGES,3,FALSE)&gt;0),CONCATENATE($D44," max. ",VLOOKUP($D44,NACHTEILEGES,3,FALSE)),IF(AND(NOT(ISERR(FIND($D44,$M$8))),$L44),"Diesen Nachteil kann dieser Held nicht haben",""))),"")</f>
        <v/>
      </c>
      <c r="L44" s="591">
        <f t="shared" si="8"/>
        <v>0</v>
      </c>
      <c r="M44" s="288" t="str">
        <f t="shared" si="9"/>
        <v/>
      </c>
      <c r="N44" s="25"/>
    </row>
    <row r="45" spans="1:16" ht="14.25" customHeight="1" x14ac:dyDescent="0.2">
      <c r="A45" s="1716"/>
      <c r="B45" s="142"/>
      <c r="D45" s="55"/>
      <c r="E45" s="1678"/>
      <c r="F45" s="1679"/>
      <c r="G45" s="1680"/>
      <c r="H45" s="39" t="str">
        <f t="shared" si="6"/>
        <v/>
      </c>
      <c r="I45" s="56" t="str">
        <f>IF(EXACT($D45,""),"",IF(EXACT(VLOOKUP($D45,NACHTEILEGES,5,FALSE),"ja"),$J45,""))</f>
        <v/>
      </c>
      <c r="J45" s="574" t="str">
        <f t="shared" ca="1" si="7"/>
        <v/>
      </c>
      <c r="K45" s="285" t="str">
        <f>IF(NOT(EXACT($H45,"")),IF(NOT(EXACT(Abfragen!O110,"")),"Nachteil bereits vorhanden!",IF(AND(VLOOKUP($D45,NACHTEILEGES,3,FALSE)&lt;$E45,VLOOKUP($D45,NACHTEILEGES,3,FALSE)&gt;0),CONCATENATE($D45," max. ",VLOOKUP($D45,NACHTEILEGES,3,FALSE)),IF(AND(NOT(ISERR(FIND($D45,$M$8))),$L45),"Diesen Nachteil kann dieser Held nicht haben",""))),"")</f>
        <v/>
      </c>
      <c r="L45" s="591">
        <f t="shared" si="8"/>
        <v>0</v>
      </c>
      <c r="M45" s="288" t="str">
        <f t="shared" si="9"/>
        <v/>
      </c>
      <c r="N45" s="25"/>
    </row>
    <row r="46" spans="1:16" ht="14.25" customHeight="1" x14ac:dyDescent="0.2">
      <c r="A46" s="1716"/>
      <c r="B46" s="142"/>
      <c r="D46" s="55"/>
      <c r="E46" s="1678"/>
      <c r="F46" s="1679"/>
      <c r="G46" s="1680"/>
      <c r="H46" s="39" t="str">
        <f t="shared" si="6"/>
        <v/>
      </c>
      <c r="I46" s="56" t="str">
        <f t="shared" si="10"/>
        <v/>
      </c>
      <c r="J46" s="574" t="str">
        <f t="shared" ca="1" si="7"/>
        <v/>
      </c>
      <c r="K46" s="285" t="str">
        <f>IF(NOT(EXACT($H46,"")),IF(NOT(EXACT(Abfragen!O111,"")),"Nachteil bereits vorhanden!",IF(AND(VLOOKUP($D46,NACHTEILEGES,3,FALSE)&lt;$E46,VLOOKUP($D46,NACHTEILEGES,3,FALSE)&gt;0),CONCATENATE($D46," max. ",VLOOKUP($D46,NACHTEILEGES,3,FALSE)),IF(AND(NOT(ISERR(FIND($D46,$M$8))),$L46),"Diesen Nachteil kann dieser Held nicht haben",""))),"")</f>
        <v/>
      </c>
      <c r="L46" s="591">
        <f t="shared" si="8"/>
        <v>0</v>
      </c>
      <c r="M46" s="288" t="str">
        <f t="shared" si="9"/>
        <v/>
      </c>
      <c r="N46" s="25"/>
    </row>
    <row r="47" spans="1:16" ht="14.25" customHeight="1" x14ac:dyDescent="0.2">
      <c r="A47" s="1716"/>
      <c r="B47" s="142"/>
      <c r="D47" s="55"/>
      <c r="E47" s="1678"/>
      <c r="F47" s="1679"/>
      <c r="G47" s="1680"/>
      <c r="H47" s="39" t="str">
        <f t="shared" si="6"/>
        <v/>
      </c>
      <c r="I47" s="56" t="str">
        <f t="shared" si="10"/>
        <v/>
      </c>
      <c r="J47" s="574" t="str">
        <f t="shared" ca="1" si="7"/>
        <v/>
      </c>
      <c r="K47" s="285" t="str">
        <f>IF(NOT(EXACT($H47,"")),IF(NOT(EXACT(Abfragen!O112,"")),"Nachteil bereits vorhanden!",IF(AND(VLOOKUP($D47,NACHTEILEGES,3,FALSE)&lt;$E47,VLOOKUP($D47,NACHTEILEGES,3,FALSE)&gt;0),CONCATENATE($D47," max. ",VLOOKUP($D47,NACHTEILEGES,3,FALSE)),IF(AND(NOT(ISERR(FIND($D47,$M$8))),$L47),"Diesen Nachteil kann dieser Held nicht haben",""))),"")</f>
        <v/>
      </c>
      <c r="L47" s="591">
        <f t="shared" si="8"/>
        <v>0</v>
      </c>
      <c r="M47" s="288" t="str">
        <f t="shared" si="9"/>
        <v/>
      </c>
      <c r="N47" s="25"/>
    </row>
    <row r="48" spans="1:16" ht="14.25" customHeight="1" x14ac:dyDescent="0.2">
      <c r="A48" s="1716"/>
      <c r="B48" s="142"/>
      <c r="D48" s="55"/>
      <c r="E48" s="1678"/>
      <c r="F48" s="1679"/>
      <c r="G48" s="1680"/>
      <c r="H48" s="39" t="str">
        <f t="shared" si="6"/>
        <v/>
      </c>
      <c r="I48" s="56" t="str">
        <f t="shared" si="10"/>
        <v/>
      </c>
      <c r="J48" s="574" t="str">
        <f t="shared" ca="1" si="7"/>
        <v/>
      </c>
      <c r="K48" s="285" t="str">
        <f>IF(NOT(EXACT($H48,"")),IF(NOT(EXACT(Abfragen!O113,"")),"Nachteil bereits vorhanden!",IF(AND(VLOOKUP($D48,NACHTEILEGES,3,FALSE)&lt;$E48,VLOOKUP($D48,NACHTEILEGES,3,FALSE)&gt;0),CONCATENATE($D48," max. ",VLOOKUP($D48,NACHTEILEGES,3,FALSE)),IF(AND(NOT(ISERR(FIND($D48,$M$8))),$L48),"Diesen Nachteil kann dieser Held nicht haben",""))),"")</f>
        <v/>
      </c>
      <c r="L48" s="591">
        <f t="shared" si="8"/>
        <v>0</v>
      </c>
      <c r="M48" s="288" t="str">
        <f t="shared" si="9"/>
        <v/>
      </c>
      <c r="N48" s="25"/>
    </row>
    <row r="49" spans="1:16" ht="14.25" customHeight="1" x14ac:dyDescent="0.2">
      <c r="A49" s="1716"/>
      <c r="B49" s="142"/>
      <c r="D49" s="55"/>
      <c r="E49" s="1678"/>
      <c r="F49" s="1679"/>
      <c r="G49" s="1680"/>
      <c r="H49" s="39" t="str">
        <f t="shared" si="6"/>
        <v/>
      </c>
      <c r="I49" s="56" t="str">
        <f t="shared" si="10"/>
        <v/>
      </c>
      <c r="J49" s="574" t="str">
        <f t="shared" ca="1" si="7"/>
        <v/>
      </c>
      <c r="K49" s="285" t="str">
        <f>IF(NOT(EXACT($H49,"")),IF(NOT(EXACT(Abfragen!O114,"")),"Nachteil bereits vorhanden!",IF(AND(VLOOKUP($D49,NACHTEILEGES,3,FALSE)&lt;$E49,VLOOKUP($D49,NACHTEILEGES,3,FALSE)&gt;0),CONCATENATE($D49," max. ",VLOOKUP($D49,NACHTEILEGES,3,FALSE)),IF(AND(NOT(ISERR(FIND($D49,$M$8))),$L49),"Diesen Nachteil kann dieser Held nicht haben",""))),"")</f>
        <v/>
      </c>
      <c r="L49" s="591">
        <f t="shared" si="8"/>
        <v>0</v>
      </c>
      <c r="M49" s="288" t="str">
        <f t="shared" si="9"/>
        <v/>
      </c>
      <c r="N49" s="25"/>
    </row>
    <row r="50" spans="1:16" ht="14.25" customHeight="1" x14ac:dyDescent="0.2">
      <c r="A50" s="1716"/>
      <c r="B50" s="142"/>
      <c r="D50" s="55"/>
      <c r="E50" s="1678"/>
      <c r="F50" s="1679"/>
      <c r="G50" s="1680"/>
      <c r="H50" s="39" t="str">
        <f t="shared" si="6"/>
        <v/>
      </c>
      <c r="I50" s="56" t="str">
        <f t="shared" si="10"/>
        <v/>
      </c>
      <c r="J50" s="574" t="str">
        <f t="shared" ca="1" si="7"/>
        <v/>
      </c>
      <c r="K50" s="285" t="str">
        <f>IF(NOT(EXACT($H50,"")),IF(NOT(EXACT(Abfragen!O115,"")),"Nachteil bereits vorhanden!",IF(AND(VLOOKUP($D50,NACHTEILEGES,3,FALSE)&lt;$E50,VLOOKUP($D50,NACHTEILEGES,3,FALSE)&gt;0),CONCATENATE($D50," max. ",VLOOKUP($D50,NACHTEILEGES,3,FALSE)),IF(AND(NOT(ISERR(FIND($D50,$M$8))),$L50),"Diesen Nachteil kann dieser Held nicht haben",""))),"")</f>
        <v/>
      </c>
      <c r="L50" s="591">
        <f t="shared" si="8"/>
        <v>0</v>
      </c>
      <c r="M50" s="288" t="str">
        <f t="shared" si="9"/>
        <v/>
      </c>
      <c r="N50" s="25"/>
    </row>
    <row r="51" spans="1:16" ht="14.25" customHeight="1" x14ac:dyDescent="0.2">
      <c r="A51" s="1716"/>
      <c r="B51" s="142"/>
      <c r="D51" s="55"/>
      <c r="E51" s="1678"/>
      <c r="F51" s="1679"/>
      <c r="G51" s="1680"/>
      <c r="H51" s="39" t="str">
        <f t="shared" si="6"/>
        <v/>
      </c>
      <c r="I51" s="56" t="str">
        <f t="shared" si="10"/>
        <v/>
      </c>
      <c r="J51" s="574" t="str">
        <f ca="1">IF(OR(NOT(EXACT($K51,"")),EXACT($D51,"")),"",ROUND(IF(EXACT($H51,""),IF(NOT(EXACT($E51,"")),IF(NOT(ISNA(VLOOKUP($D51,NACHTEILEVARGP,1,FALSE))),VLOOKUP($E51,INDIRECT(VLOOKUP($D51,NACHTEILEVARGP,3,FALSE)),VLOOKUP($D51,NACHTEILEVARGP,4,FALSE),FALSE),VLOOKUP($D51,NACHTEILEGES,4,FALSE)),IF(AND(EXACT(RASSEGENE,"Thorwaler"),EXACT($D51,"Blutrausch")),18,VLOOKUP($D51,NACHTEILEGES,4,FALSE))),$E51*$H51),0))</f>
        <v/>
      </c>
      <c r="K51" s="285" t="str">
        <f>IF(NOT(EXACT($H51,"")),IF(NOT(EXACT(Abfragen!O116,"")),"Nachteil bereits vorhanden!",IF(AND(VLOOKUP($D51,NACHTEILEGES,3,FALSE)&lt;$E51,VLOOKUP($D51,NACHTEILEGES,3,FALSE)&gt;0),CONCATENATE($D51," max. ",VLOOKUP($D51,NACHTEILEGES,3,FALSE)),IF(AND(NOT(ISERR(FIND($D51,$M$8))),$L51),"Diesen Nachteil kann dieser Held nicht haben",""))),"")</f>
        <v/>
      </c>
      <c r="L51" s="591">
        <f t="shared" si="8"/>
        <v>0</v>
      </c>
      <c r="M51" s="288" t="str">
        <f t="shared" si="9"/>
        <v/>
      </c>
      <c r="N51" s="25"/>
    </row>
    <row r="52" spans="1:16" ht="14.25" customHeight="1" x14ac:dyDescent="0.2">
      <c r="A52" s="71"/>
      <c r="B52" s="142"/>
      <c r="D52" s="25"/>
      <c r="E52" s="26"/>
      <c r="F52" s="25"/>
      <c r="G52" s="45"/>
      <c r="H52" s="46"/>
      <c r="I52" s="50" t="s">
        <v>1449</v>
      </c>
      <c r="J52" s="572">
        <f>SUM($I42:$I51)</f>
        <v>0</v>
      </c>
      <c r="K52" s="285" t="str">
        <f>IF($J$52&gt;30,"Du kannst max. 30 GP durch schlechte Eigenschaften erhalten","")</f>
        <v/>
      </c>
      <c r="L52" s="591">
        <f t="shared" si="8"/>
        <v>0</v>
      </c>
      <c r="N52" s="25"/>
    </row>
    <row r="53" spans="1:16" ht="14.25" customHeight="1" x14ac:dyDescent="0.2">
      <c r="A53" s="71"/>
      <c r="B53" s="142"/>
      <c r="D53" s="49"/>
      <c r="E53" s="49"/>
      <c r="F53" s="49"/>
      <c r="G53" s="33"/>
      <c r="H53" s="32"/>
      <c r="I53" s="51" t="s">
        <v>1450</v>
      </c>
      <c r="J53" s="584">
        <f ca="1">SUM(J42:J51)</f>
        <v>0</v>
      </c>
      <c r="K53" s="289" t="str">
        <f ca="1">IF($J$53&gt;50,"Du kannst max. 50 GP durch Nachteile erhalten","")</f>
        <v/>
      </c>
      <c r="L53" s="26"/>
      <c r="M53" s="25"/>
      <c r="N53" s="25"/>
      <c r="P53" s="78" t="s">
        <v>5772</v>
      </c>
    </row>
    <row r="54" spans="1:16" ht="14.25" customHeight="1" x14ac:dyDescent="0.2">
      <c r="A54" s="71"/>
      <c r="B54" s="142"/>
      <c r="D54" s="1726" t="str">
        <f ca="1">IF(P54="","","Wählbare Vorteile: "&amp;P54)&amp;CHAR(10)&amp;
IF(P55="",""," Wählbare Nachteile: "&amp;P55)</f>
        <v xml:space="preserve">
</v>
      </c>
      <c r="E54" s="1727"/>
      <c r="F54" s="1727"/>
      <c r="G54" s="1727"/>
      <c r="H54" s="1728"/>
      <c r="I54" s="51"/>
      <c r="J54" s="578" t="s">
        <v>4337</v>
      </c>
      <c r="K54" s="1676" t="str">
        <f ca="1">IF(GP=0,"keine GP übrig",IF(GP&lt;0,CONCATENATE("Du hast ",ABS(GP)," GP zuviel verteilt"),CONCATENATE("Eingesetzt: ",GPSTART-GP," von ",GPSTART," GP")))</f>
        <v>Du hast 64 GP zuviel verteilt</v>
      </c>
      <c r="L54" s="1677"/>
      <c r="P54" s="1299" t="str">
        <f ca="1">IF(OR(RASSEGENE="LEER",PROFGENE="LEER",KULTURGENE="LEER"),"",HLOOKUP(RASSEGENE,RASSE,IDX_WVT,FALSE)&amp;
HLOOKUP(KULTURGENE,KULTUR,IDX_WVT,FALSE)&amp;
HLOOKUP(PROFGENE,INDIRECT(PROFGEBIET),IDX_WVT,FALSE)&amp;
IF(LEN(PROFZWEITE)&lt;1,"",HLOOKUP(PROFZWEITE,INDIRECT(PROFGEBIET2),IDX_WVT,FALSE)))</f>
        <v/>
      </c>
    </row>
    <row r="55" spans="1:16" ht="110.25" customHeight="1" x14ac:dyDescent="0.2">
      <c r="B55" s="142"/>
      <c r="D55" s="1729"/>
      <c r="E55" s="1730"/>
      <c r="F55" s="1730"/>
      <c r="G55" s="1730"/>
      <c r="H55" s="1731"/>
      <c r="I55" s="51"/>
      <c r="J55" s="579" t="s">
        <v>2367</v>
      </c>
      <c r="K55" s="285" t="str">
        <f>IF(NOT(EXACT($D55,"")),IF(NOT(EXACT(Abfragen!O35,"")),"Vorteil bereits vorhanden!",""),"")</f>
        <v/>
      </c>
      <c r="L55" s="1"/>
      <c r="P55" s="1299" t="str">
        <f ca="1">IF(OR(RASSEGENE="LEER",PROFGENE="LEER",KULTURGENE="LEER"),"",HLOOKUP(RASSEGENE,RASSE,IDX_WNT,FALSE)&amp;
HLOOKUP(KULTURGENE,KULTUR,IDX_WNT,FALSE)&amp;
HLOOKUP(PROFGENE,INDIRECT(PROFGEBIET),IDX_WNT,FALSE)&amp;
IF(LEN(PROFZWEITE)&lt;1,"",HLOOKUP(PROFZWEITE,INDIRECT(PROFGEBIET2),IDX_WNT,FALSE)))</f>
        <v/>
      </c>
    </row>
    <row r="56" spans="1:16" ht="14.25" customHeight="1" x14ac:dyDescent="0.2">
      <c r="A56" s="1716" t="s">
        <v>8909</v>
      </c>
      <c r="B56" s="142" t="s">
        <v>3468</v>
      </c>
      <c r="C56" t="s">
        <v>2806</v>
      </c>
      <c r="D56" s="1455"/>
      <c r="E56" s="1670"/>
      <c r="F56" s="1671"/>
      <c r="G56" s="1672"/>
      <c r="H56" s="1542"/>
      <c r="I56" s="51"/>
      <c r="J56" s="579" t="s">
        <v>2367</v>
      </c>
      <c r="K56" s="285" t="str">
        <f>IF(NOT(EXACT($D56,"")),IF(NOT(EXACT(Abfragen!O36,"")),"Vorteil bereits vorhanden!",""),"")</f>
        <v/>
      </c>
      <c r="L56" s="1"/>
    </row>
    <row r="57" spans="1:16" ht="14.25" customHeight="1" x14ac:dyDescent="0.2">
      <c r="A57" s="1716"/>
      <c r="B57" s="142"/>
      <c r="D57" s="1455"/>
      <c r="E57" s="1670"/>
      <c r="F57" s="1671"/>
      <c r="G57" s="1672"/>
      <c r="H57" s="1542"/>
      <c r="I57" s="51"/>
      <c r="J57" s="579" t="s">
        <v>2367</v>
      </c>
      <c r="K57" s="285"/>
      <c r="L57" s="1"/>
    </row>
    <row r="58" spans="1:16" ht="14.25" customHeight="1" x14ac:dyDescent="0.2">
      <c r="A58" s="1716"/>
      <c r="B58" s="142"/>
      <c r="D58" s="1455"/>
      <c r="E58" s="1670"/>
      <c r="F58" s="1671"/>
      <c r="G58" s="1672"/>
      <c r="H58" s="1542"/>
      <c r="I58" s="51"/>
      <c r="J58" s="579" t="s">
        <v>2367</v>
      </c>
      <c r="K58" s="285"/>
      <c r="L58" s="1"/>
    </row>
    <row r="59" spans="1:16" ht="14.25" customHeight="1" x14ac:dyDescent="0.2">
      <c r="A59" s="1716"/>
      <c r="B59" s="142"/>
      <c r="D59" s="1455"/>
      <c r="E59" s="1670"/>
      <c r="F59" s="1671"/>
      <c r="G59" s="1672"/>
      <c r="H59" s="1542"/>
      <c r="I59" s="51"/>
      <c r="J59" s="579" t="s">
        <v>2367</v>
      </c>
      <c r="K59" s="285" t="str">
        <f>IF(NOT(EXACT($D59,"")),IF(NOT(EXACT(Abfragen!O39,"")),"Vorteil bereits vorhanden!",""),"")</f>
        <v/>
      </c>
      <c r="L59" s="1"/>
    </row>
    <row r="60" spans="1:16" ht="14.25" customHeight="1" x14ac:dyDescent="0.2">
      <c r="A60" s="1716"/>
      <c r="B60" s="142"/>
      <c r="D60" s="1455"/>
      <c r="E60" s="1670"/>
      <c r="F60" s="1671"/>
      <c r="G60" s="1672"/>
      <c r="H60" s="1542"/>
      <c r="I60" s="51"/>
      <c r="J60" s="579" t="s">
        <v>2367</v>
      </c>
      <c r="K60" s="285" t="str">
        <f>IF(NOT(EXACT($D60,"")),IF(NOT(EXACT(Abfragen!O40,"")),"Vorteil bereits vorhanden!",""),"")</f>
        <v/>
      </c>
      <c r="L60" s="1"/>
    </row>
    <row r="61" spans="1:16" ht="14.25" customHeight="1" x14ac:dyDescent="0.2">
      <c r="A61" s="1716"/>
      <c r="B61" s="142"/>
      <c r="D61" s="54"/>
      <c r="E61" s="1670"/>
      <c r="F61" s="1671"/>
      <c r="G61" s="1681"/>
      <c r="H61" s="35" t="s">
        <v>4006</v>
      </c>
      <c r="I61" s="51"/>
      <c r="J61" s="579" t="s">
        <v>2367</v>
      </c>
      <c r="K61" s="285" t="str">
        <f>IF(NOT(EXACT($D61,"")),IF(NOT(EXACT(Abfragen!O41,"")),"Vorteil bereits vorhanden!",""),"")</f>
        <v/>
      </c>
      <c r="L61" s="1"/>
    </row>
    <row r="62" spans="1:16" ht="14.25" customHeight="1" x14ac:dyDescent="0.2">
      <c r="A62" s="1716"/>
      <c r="B62" s="142"/>
      <c r="D62" s="54"/>
      <c r="E62" s="1732"/>
      <c r="F62" s="1733"/>
      <c r="G62" s="1549" t="str">
        <f ca="1">IF(OR(NOT(EXACT($K62,"")),EXACT($D62,"")),"",
IF(AND(NOT(ISBLANK($D62)),VLOOKUP($D62,VORTEILEGES,2,FALSE)&gt;0),ROUND(50*$E62*VLOOKUP($D62,VORTEILEGES,2,FALSE),0),
50*IF(NOT(EXACT($E62,"")),
IF(NOT(ISNA(VLOOKUP($D62,VORTEILEVARGP,1,FALSE))),
IF(ISERR(VALUE(VLOOKUP($D62,VORTEILEVARGP,3,FALSE))),
VLOOKUP($E62,INDIRECT(VLOOKUP($D62,VORTEILEVARGP,3,FALSE)),VLOOKUP($D62,VORTEILEVARGP,4,FALSE),FALSE),
VLOOKUP($D62,VORTEILEVARGP,3,FALSE)
),VLOOKUP($D62,VORTEILEGES,4,FALSE)
),VLOOKUP($D62,VORTEILEGES,4,FALSE)
)))</f>
        <v/>
      </c>
      <c r="H62" s="1548"/>
      <c r="I62" s="51"/>
      <c r="J62" s="579" t="s">
        <v>2367</v>
      </c>
      <c r="K62" s="285" t="str">
        <f>IF(NOT(EXACT($D62,"")),IF(NOT(EXACT(Abfragen!O42,"")),"Vorteil bereits vorhanden!",""),"")</f>
        <v/>
      </c>
      <c r="L62" s="1"/>
    </row>
    <row r="63" spans="1:16" ht="14.25" customHeight="1" thickBot="1" x14ac:dyDescent="0.25">
      <c r="A63" s="1716"/>
      <c r="B63" s="142"/>
      <c r="D63" s="1554"/>
      <c r="E63" s="1734"/>
      <c r="F63" s="1735"/>
      <c r="G63" s="1555" t="str">
        <f ca="1">IF(OR(NOT(EXACT($K63,"")),EXACT($D63,"")),"",
IF(AND(NOT(ISBLANK($D63)),VLOOKUP($D63,VORTEILEGES,2,FALSE)&gt;0),ROUND(50*$E63*VLOOKUP($D63,VORTEILEGES,2,FALSE),0),
50*IF(NOT(EXACT($E63,"")),
IF(NOT(ISNA(VLOOKUP($D63,VORTEILEVARGP,1,FALSE))),
IF(ISERR(VALUE(VLOOKUP($D63,VORTEILEVARGP,3,FALSE))),
VLOOKUP($E63,INDIRECT(VLOOKUP($D63,VORTEILEVARGP,3,FALSE)),VLOOKUP($D63,VORTEILEVARGP,4,FALSE),FALSE),
VLOOKUP($D63,VORTEILEVARGP,3,FALSE)
),VLOOKUP($D63,VORTEILEGES,4,FALSE)
),VLOOKUP($D63,VORTEILEGES,4,FALSE)
)))</f>
        <v/>
      </c>
      <c r="H63" s="1556"/>
      <c r="I63" s="51"/>
      <c r="J63" s="1419" t="s">
        <v>2367</v>
      </c>
      <c r="K63" s="285" t="str">
        <f>IF(NOT(EXACT($D63,"")),IF(NOT(EXACT(Abfragen!O43,"")),"Vorteil bereits vorhanden!",""),"")</f>
        <v/>
      </c>
      <c r="L63" s="1"/>
    </row>
    <row r="64" spans="1:16" ht="14.25" customHeight="1" x14ac:dyDescent="0.2">
      <c r="A64" s="1716"/>
      <c r="B64" s="142" t="s">
        <v>3469</v>
      </c>
      <c r="C64" t="s">
        <v>8823</v>
      </c>
      <c r="D64" s="519"/>
      <c r="E64" s="1723"/>
      <c r="F64" s="1724"/>
      <c r="G64" s="1725"/>
      <c r="H64" s="1557"/>
      <c r="I64" s="51"/>
      <c r="J64" s="579" t="s">
        <v>2367</v>
      </c>
      <c r="K64" s="285" t="str">
        <f>IF(NOT(EXACT($D64,"")),IF(NOT(EXACT(Abfragen!O117,"")),"Nachteil bereits vorhanden!",""),"")</f>
        <v/>
      </c>
      <c r="L64" s="1"/>
    </row>
    <row r="65" spans="1:20" ht="14.25" customHeight="1" x14ac:dyDescent="0.2">
      <c r="A65" s="1716"/>
      <c r="B65" s="142"/>
      <c r="D65" s="55"/>
      <c r="E65" s="1678"/>
      <c r="F65" s="1679"/>
      <c r="G65" s="1680"/>
      <c r="H65" s="545"/>
      <c r="I65" s="51"/>
      <c r="J65" s="579" t="s">
        <v>2367</v>
      </c>
      <c r="K65" s="285" t="str">
        <f>IF(NOT(EXACT($D65,"")),IF(NOT(EXACT(Abfragen!O118,"")),"Nachteil bereits vorhanden!",""),"")</f>
        <v/>
      </c>
      <c r="L65" s="1"/>
    </row>
    <row r="66" spans="1:20" ht="14.25" customHeight="1" x14ac:dyDescent="0.2">
      <c r="A66" s="1716"/>
      <c r="B66" s="142"/>
      <c r="D66" s="55"/>
      <c r="E66" s="1678"/>
      <c r="F66" s="1679"/>
      <c r="G66" s="1680"/>
      <c r="H66" s="545"/>
      <c r="I66" s="51"/>
      <c r="J66" s="579" t="s">
        <v>2367</v>
      </c>
      <c r="K66" s="285" t="str">
        <f>IF(NOT(EXACT($D66,"")),IF(NOT(EXACT(Abfragen!O119,"")),"Nachteil bereits vorhanden!",""),"")</f>
        <v/>
      </c>
      <c r="L66" s="1"/>
    </row>
    <row r="67" spans="1:20" ht="14.25" customHeight="1" x14ac:dyDescent="0.2">
      <c r="A67" s="1716"/>
      <c r="B67" s="142"/>
      <c r="D67" s="55"/>
      <c r="E67" s="1678"/>
      <c r="F67" s="1679"/>
      <c r="G67" s="1680"/>
      <c r="H67" s="545"/>
      <c r="I67" s="51"/>
      <c r="J67" s="579" t="s">
        <v>2367</v>
      </c>
      <c r="K67" s="285" t="str">
        <f>IF(NOT(EXACT($D67,"")),IF(NOT(EXACT(Abfragen!O120,"")),"Nachteil bereits vorhanden!",""),"")</f>
        <v/>
      </c>
      <c r="L67" s="1"/>
    </row>
    <row r="68" spans="1:20" ht="14.25" customHeight="1" x14ac:dyDescent="0.2">
      <c r="A68" s="1716"/>
      <c r="B68" s="142"/>
      <c r="D68" s="55"/>
      <c r="E68" s="1678"/>
      <c r="F68" s="1679"/>
      <c r="G68" s="1680"/>
      <c r="H68" s="545"/>
      <c r="I68" s="51"/>
      <c r="J68" s="579" t="s">
        <v>2367</v>
      </c>
      <c r="K68" s="285" t="str">
        <f>IF(NOT(EXACT($D68,"")),IF(NOT(EXACT(Abfragen!O121,"")),"Nachteil bereits vorhanden!",""),"")</f>
        <v/>
      </c>
      <c r="L68" s="1"/>
    </row>
    <row r="69" spans="1:20" ht="14.25" customHeight="1" x14ac:dyDescent="0.2">
      <c r="A69" s="1716"/>
      <c r="B69" s="142"/>
      <c r="D69" s="55"/>
      <c r="E69" s="1678"/>
      <c r="F69" s="1679"/>
      <c r="G69" s="1680"/>
      <c r="H69" s="545"/>
      <c r="I69" s="51"/>
      <c r="J69" s="579" t="s">
        <v>2367</v>
      </c>
      <c r="K69" s="285" t="str">
        <f>IF(NOT(EXACT($D69,"")),IF(NOT(EXACT(Abfragen!O122,"")),"Nachteil bereits vorhanden!",""),"")</f>
        <v/>
      </c>
      <c r="L69" s="1"/>
    </row>
    <row r="70" spans="1:20" ht="14.25" customHeight="1" x14ac:dyDescent="0.2">
      <c r="B70" s="142"/>
      <c r="D70" s="49"/>
      <c r="E70" s="49"/>
      <c r="F70" s="49"/>
      <c r="G70" s="33"/>
      <c r="H70" s="32"/>
      <c r="I70" s="51"/>
      <c r="J70" s="579" t="s">
        <v>2367</v>
      </c>
      <c r="K70" s="285"/>
      <c r="L70" s="1"/>
      <c r="R70" s="52"/>
      <c r="S70" s="52"/>
      <c r="T70" s="52"/>
    </row>
    <row r="71" spans="1:20" ht="14.25" customHeight="1" x14ac:dyDescent="0.25">
      <c r="A71" s="52"/>
      <c r="B71" s="144"/>
      <c r="C71" s="52"/>
      <c r="D71" s="586"/>
      <c r="E71" s="586"/>
      <c r="F71" s="586"/>
      <c r="G71" s="585"/>
      <c r="H71" s="585"/>
      <c r="I71" s="588" t="s">
        <v>559</v>
      </c>
      <c r="J71" s="584">
        <f ca="1">SUM(GPSTART,J13,J22,J37,J40,J53,IF(ISNA(L71),0,L71),IF(ISNA(L72),0,L72),IF(ISNA(L73),0,-L73))</f>
        <v>-64</v>
      </c>
      <c r="K71" s="286" t="str">
        <f ca="1">IF($J$71&lt;0,"Du hast zu viele GP ausgegeben",IF($J$71&gt;0,"Du hast noch GP übrig!","Generierung abgeschlossen"))</f>
        <v>Du hast zu viele GP ausgegeben</v>
      </c>
      <c r="L71" s="584">
        <f>IF(OR(RASSEGENE="LEER",KULTURGENE="LEER",PROFGENE="LEER"),0,SUM(Abfragen!R10:R25)+SUM(Abfragen!R44:R48)+VALUE(Abfragen!R9))</f>
        <v>0</v>
      </c>
      <c r="M71" s="583" t="s">
        <v>7527</v>
      </c>
      <c r="N71" s="583"/>
      <c r="O71" s="583"/>
      <c r="P71" s="78"/>
      <c r="Q71" s="52"/>
    </row>
    <row r="72" spans="1:20" ht="14.25" customHeight="1" x14ac:dyDescent="0.2">
      <c r="B72" s="142"/>
      <c r="G72" s="34"/>
      <c r="H72" s="35"/>
      <c r="I72" s="35"/>
      <c r="J72" s="580"/>
      <c r="K72" s="1"/>
      <c r="L72" s="584">
        <f ca="1">SF_GP_DOPPELT</f>
        <v>0</v>
      </c>
      <c r="M72" s="583" t="s">
        <v>7539</v>
      </c>
      <c r="N72" s="583"/>
      <c r="O72" s="583"/>
      <c r="P72" s="1663" t="str">
        <f ca="1">IF(L72&gt;J39,"GP aus SF nicht für SF eingesetzt!","")</f>
        <v/>
      </c>
      <c r="Q72" s="1664"/>
    </row>
    <row r="73" spans="1:20" ht="14.25" customHeight="1" x14ac:dyDescent="0.2">
      <c r="A73" s="1716" t="s">
        <v>3563</v>
      </c>
      <c r="B73" s="142" t="s">
        <v>869</v>
      </c>
      <c r="C73" t="s">
        <v>870</v>
      </c>
      <c r="E73" s="1077" t="s">
        <v>4093</v>
      </c>
      <c r="F73" s="1077"/>
      <c r="G73" s="1077"/>
      <c r="H73" s="1077"/>
      <c r="I73" s="1077"/>
      <c r="J73" s="581"/>
      <c r="K73" s="1076"/>
      <c r="L73" s="1354"/>
      <c r="M73" s="583" t="s">
        <v>7528</v>
      </c>
      <c r="N73" s="583"/>
      <c r="O73" s="583"/>
    </row>
    <row r="74" spans="1:20" ht="18.75" customHeight="1" x14ac:dyDescent="0.2">
      <c r="A74" s="1716"/>
      <c r="B74" s="142"/>
      <c r="E74" s="1077"/>
      <c r="F74" s="1077"/>
      <c r="G74" s="1077"/>
      <c r="H74" s="1077"/>
      <c r="I74" s="1077"/>
      <c r="J74" s="581"/>
      <c r="K74" s="1076"/>
      <c r="L74" s="593"/>
    </row>
    <row r="75" spans="1:20" ht="18.75" customHeight="1" x14ac:dyDescent="0.2">
      <c r="A75" s="1716"/>
      <c r="B75" s="142"/>
      <c r="D75" s="57"/>
      <c r="E75" s="58"/>
      <c r="F75" s="57"/>
      <c r="G75" s="59"/>
      <c r="H75" s="59"/>
      <c r="I75" s="60" t="s">
        <v>3790</v>
      </c>
      <c r="J75" s="321">
        <f ca="1">SUM(H15,H16)*20+IF(OR(VT_GEBILDET,NT_UNGEBILDET),IF(VT_GEBILDET,VT_GEBILDET_WERT,NT_UNGEBILDET_WERT),0)*40</f>
        <v>320</v>
      </c>
      <c r="K75" s="60" t="s">
        <v>6528</v>
      </c>
      <c r="L75" s="321">
        <f>IF(VT_BBILDUNG,7+IF(J12="",0,-J12),IF(VT_VETERAN,3+IF(J12="",0,-J12),0))*50</f>
        <v>0</v>
      </c>
    </row>
    <row r="76" spans="1:20" ht="15.75" x14ac:dyDescent="0.2">
      <c r="A76" s="174"/>
      <c r="B76" s="142"/>
      <c r="D76" s="47"/>
      <c r="F76" s="1078"/>
      <c r="G76" s="1078"/>
      <c r="H76" s="1078" t="s">
        <v>547</v>
      </c>
      <c r="I76" s="1079"/>
      <c r="J76" s="582">
        <f ca="1">IF(OR(RASSEGENE="LEER",KULTURGENE="LEER",PROFGENE="LEER"),TL_GP,SUM(TL_GP,-TL_GP_EIGEN,-TL_GP_SF,-TL_GP_TALENTE,-TL_GP_ZAUBER,-TL_GP_GOETTER))</f>
        <v>320</v>
      </c>
      <c r="K76" s="1078" t="s">
        <v>6537</v>
      </c>
      <c r="L76" s="582">
        <f>IF(OR(RASSEGENE="LEER",KULTURGENE="LEER",PROFGENE="LEER"),L75,SUM(L75,-STARTAP2_EIGEN,-STARTAP2_SF,-STARTAP2_TALENTE,-STARTAP2_GOETTER))</f>
        <v>0</v>
      </c>
    </row>
    <row r="77" spans="1:20" ht="12.75" customHeight="1" x14ac:dyDescent="0.2">
      <c r="B77" s="142"/>
      <c r="J77" s="581"/>
      <c r="K77" s="1076"/>
      <c r="L77" s="1"/>
    </row>
    <row r="78" spans="1:20" x14ac:dyDescent="0.2">
      <c r="A78" s="1716" t="s">
        <v>2454</v>
      </c>
      <c r="B78" s="142" t="s">
        <v>871</v>
      </c>
      <c r="C78" t="s">
        <v>873</v>
      </c>
      <c r="E78" s="1077" t="s">
        <v>4093</v>
      </c>
      <c r="F78" s="1077"/>
      <c r="G78" s="1077"/>
      <c r="H78" s="1077"/>
      <c r="I78" s="1077"/>
      <c r="J78" s="581"/>
      <c r="K78" s="1076"/>
      <c r="L78" s="1"/>
    </row>
    <row r="79" spans="1:20" ht="18.75" customHeight="1" x14ac:dyDescent="0.2">
      <c r="A79" s="1716"/>
      <c r="B79" s="142"/>
      <c r="E79" s="1077"/>
      <c r="F79" s="1077"/>
      <c r="G79" s="1077"/>
      <c r="H79" s="1077"/>
      <c r="I79" s="1077"/>
      <c r="J79" s="581"/>
      <c r="K79" s="1076"/>
      <c r="L79" s="1"/>
    </row>
    <row r="80" spans="1:20" x14ac:dyDescent="0.2">
      <c r="A80" s="1716"/>
      <c r="B80" s="142"/>
      <c r="E80"/>
      <c r="G80"/>
      <c r="H80"/>
      <c r="I80"/>
      <c r="J80" s="581"/>
      <c r="K80" s="1076"/>
      <c r="L80" s="1"/>
    </row>
    <row r="81" spans="1:16" ht="15" customHeight="1" x14ac:dyDescent="0.2">
      <c r="B81" s="142"/>
      <c r="J81" s="581"/>
      <c r="K81" s="1"/>
      <c r="L81" s="1"/>
    </row>
    <row r="82" spans="1:16" ht="12" customHeight="1" x14ac:dyDescent="0.2">
      <c r="A82" s="1716" t="s">
        <v>7257</v>
      </c>
      <c r="B82" s="142" t="s">
        <v>872</v>
      </c>
      <c r="C82" t="s">
        <v>2025</v>
      </c>
      <c r="E82" s="30" t="s">
        <v>7199</v>
      </c>
      <c r="I82" s="1736"/>
      <c r="J82" s="1737"/>
      <c r="K82" s="1"/>
      <c r="L82" s="1"/>
    </row>
    <row r="83" spans="1:16" ht="11.25" customHeight="1" x14ac:dyDescent="0.2">
      <c r="A83" s="1716"/>
      <c r="B83" s="142"/>
      <c r="J83" s="65" t="s">
        <v>3588</v>
      </c>
      <c r="K83" s="1"/>
      <c r="L83" s="1"/>
    </row>
    <row r="84" spans="1:16" ht="12" customHeight="1" x14ac:dyDescent="0.2">
      <c r="A84" s="1716"/>
      <c r="B84" s="142"/>
      <c r="C84" s="536" t="s">
        <v>8824</v>
      </c>
      <c r="D84" s="1722" t="s">
        <v>631</v>
      </c>
      <c r="E84" s="1722"/>
      <c r="F84" s="12"/>
      <c r="J84" s="64" t="s">
        <v>7200</v>
      </c>
      <c r="K84" s="1"/>
      <c r="L84" s="1"/>
    </row>
    <row r="85" spans="1:16" x14ac:dyDescent="0.2">
      <c r="A85" s="1716"/>
      <c r="B85" s="142"/>
      <c r="C85" s="1293" t="s">
        <v>7139</v>
      </c>
      <c r="K85" s="1"/>
      <c r="L85" s="1"/>
    </row>
    <row r="86" spans="1:16" ht="15.75" x14ac:dyDescent="0.25">
      <c r="A86" s="1716"/>
      <c r="B86" s="142"/>
      <c r="C86" t="s">
        <v>2026</v>
      </c>
      <c r="E86" s="1292" t="s">
        <v>2231</v>
      </c>
      <c r="F86" s="1292" t="s">
        <v>2231</v>
      </c>
      <c r="G86" s="1292" t="s">
        <v>2231</v>
      </c>
      <c r="H86" s="1719">
        <f>ROUNDUP($I$82*1.3,0)</f>
        <v>0</v>
      </c>
      <c r="I86" s="1720"/>
      <c r="J86" s="1721"/>
      <c r="K86" s="1"/>
      <c r="L86" s="1"/>
    </row>
    <row r="87" spans="1:16" x14ac:dyDescent="0.2">
      <c r="B87" s="142"/>
    </row>
    <row r="88" spans="1:16" x14ac:dyDescent="0.2">
      <c r="B88" s="142"/>
    </row>
    <row r="89" spans="1:16" x14ac:dyDescent="0.2">
      <c r="B89" s="142"/>
    </row>
    <row r="90" spans="1:16" ht="15.75" x14ac:dyDescent="0.25">
      <c r="A90" s="1716" t="s">
        <v>7256</v>
      </c>
      <c r="B90" s="142">
        <v>13</v>
      </c>
      <c r="C90" s="1207" t="str">
        <f ca="1">IF(VT_VRTLZBR,"Übernatürliche Begabungen", "Hauszauber")</f>
        <v>Hauszauber</v>
      </c>
      <c r="D90" s="569"/>
      <c r="E90" s="569"/>
      <c r="F90" s="569"/>
      <c r="G90" s="569"/>
      <c r="H90" s="569"/>
      <c r="I90" s="569"/>
      <c r="J90" s="569"/>
      <c r="K90" s="569" t="str">
        <f>IF(ELFISCH,"Elfische Kultur: 3 Hauszauber &amp; Elfische Profession: 4 Hauszauber",
IF(PROFGRDGENE="Kristallomanten","Punkte eingesetzt: "&amp;SUM(J93:J100)+SUM(J104:J120)&amp;" von maximal "&amp;H124,""))</f>
        <v/>
      </c>
      <c r="L90" s="569"/>
      <c r="M90" s="569"/>
      <c r="N90" s="569"/>
      <c r="O90" s="25"/>
      <c r="P90" s="1299" t="b">
        <f>IF(OR(RASSEGENE="Auelf", RASSEGENE="Firnelf",RASSEGENE="Waldelf",RASSEGENE="Wüstenelf"),TRUE,FALSE)</f>
        <v>0</v>
      </c>
    </row>
    <row r="91" spans="1:16" ht="116.25" customHeight="1" x14ac:dyDescent="0.2">
      <c r="A91" s="1716"/>
      <c r="B91" s="142"/>
      <c r="C91" s="1665" t="str">
        <f ca="1">IF(OR(RASSEGENE="LEER",PROFGENE="LEER",KULTURGENE="LEER"),"",HLOOKUP(RASSEGENE,RASSE,IDX_WHZ,FALSE)&amp;
HLOOKUP(KULTURGENE,KULTUR,IDX_WHZ,FALSE)&amp;
HLOOKUP(PROFGENE,INDIRECT(PROFGEBIET),IDX_WHZ,FALSE)&amp;
IF(LEN(PROFZWEITE)&lt;1,"",HLOOKUP(PROFZWEITE,INDIRECT(PROFGEBIET2),IDX_WHZ,FALSE)))</f>
        <v/>
      </c>
      <c r="D91" s="1665"/>
      <c r="E91" s="1665"/>
      <c r="F91" s="1665"/>
      <c r="G91" s="1665"/>
      <c r="H91" s="1665"/>
      <c r="I91" s="1665"/>
      <c r="J91" s="1665"/>
      <c r="K91" s="1665"/>
      <c r="L91" s="1665"/>
      <c r="M91" s="1665"/>
      <c r="N91" s="1665"/>
      <c r="O91" s="25"/>
      <c r="P91" s="1299" t="str">
        <f>IF(C123="Alle Zauber","ZAUBER",IF(VT_VRTLZBR,"VRTLZBR_ZAUBER","B_ZAUBER"))</f>
        <v>ZAUBER</v>
      </c>
    </row>
    <row r="92" spans="1:16" x14ac:dyDescent="0.2">
      <c r="A92" s="1716" t="s">
        <v>8825</v>
      </c>
      <c r="B92" s="142"/>
      <c r="C92" s="776" t="s">
        <v>6475</v>
      </c>
      <c r="D92" s="776"/>
      <c r="E92" s="776" t="s">
        <v>4000</v>
      </c>
      <c r="F92" s="776"/>
      <c r="G92" s="776" t="s">
        <v>699</v>
      </c>
      <c r="H92" s="776" t="s">
        <v>2412</v>
      </c>
      <c r="I92" s="776"/>
      <c r="J92" s="776" t="s">
        <v>6613</v>
      </c>
      <c r="K92" s="776" t="s">
        <v>6476</v>
      </c>
      <c r="L92" s="1152"/>
      <c r="M92" s="1152"/>
      <c r="N92" s="1152"/>
      <c r="O92" s="25"/>
      <c r="P92" s="25"/>
    </row>
    <row r="93" spans="1:16" x14ac:dyDescent="0.2">
      <c r="A93" s="1716"/>
      <c r="B93" s="142"/>
      <c r="C93" s="1095"/>
      <c r="E93" s="1127"/>
      <c r="G93" s="1153"/>
      <c r="H93" s="1153"/>
      <c r="I93"/>
      <c r="J93" t="str">
        <f>IF(C93="","",(E93+1)*P93)</f>
        <v/>
      </c>
      <c r="K93" s="286" t="str">
        <f t="shared" ref="K93:K100" si="11">IF(C93="","",IF(E93="","Wert eintragen!",IF(AND(ELFISCH,G93="",H93=""),"Kultur oder Profession als Punkte-Basis angeben",IF(VT_VRTLZBR,"Wert 0 auswählen, es werden automatisch 3 dazu addiert",""))))</f>
        <v/>
      </c>
      <c r="L93" s="286"/>
      <c r="M93" s="286" t="str">
        <f>IF(ELFISCH,IF(G123&gt;G124,"Zuviele Punkte bei Kultur: "&amp;G123&amp;"(anstelle von "&amp;G124&amp;")","Punkte eingesetzt: "&amp;G123&amp;" von "&amp;G124),"")</f>
        <v/>
      </c>
      <c r="P93" s="1096" t="str">
        <f t="shared" ref="P93:P100" si="12">IF(C93="","",MAX(1,CODE(VLOOKUP($C93,ZAUBERWERTE,10,FALSE))-65))</f>
        <v/>
      </c>
    </row>
    <row r="94" spans="1:16" x14ac:dyDescent="0.2">
      <c r="A94" s="1716"/>
      <c r="B94" s="142"/>
      <c r="C94" s="24"/>
      <c r="E94" s="1127"/>
      <c r="G94" s="1153"/>
      <c r="H94" s="1153"/>
      <c r="I94"/>
      <c r="J94" t="str">
        <f t="shared" ref="J94:J100" si="13">IF(C94="","",(E94+1)*P94)</f>
        <v/>
      </c>
      <c r="K94" s="286" t="str">
        <f t="shared" si="11"/>
        <v/>
      </c>
      <c r="L94" s="286"/>
      <c r="M94" s="286" t="str">
        <f>IF(ELFISCH,IF(H123&gt;H124,"Zuviele Punkte bei Profession: "&amp;H123&amp;"(anstelle von "&amp;H124&amp;")","Punkte eingesetzt: "&amp;H123&amp;" von " &amp;H124),"")</f>
        <v/>
      </c>
      <c r="P94" s="1141" t="str">
        <f t="shared" si="12"/>
        <v/>
      </c>
    </row>
    <row r="95" spans="1:16" x14ac:dyDescent="0.2">
      <c r="A95" s="1716"/>
      <c r="B95" s="142"/>
      <c r="C95" s="1095"/>
      <c r="E95" s="1127"/>
      <c r="G95" s="1153"/>
      <c r="H95" s="1153"/>
      <c r="I95"/>
      <c r="J95" t="str">
        <f t="shared" si="13"/>
        <v/>
      </c>
      <c r="K95" s="286" t="str">
        <f t="shared" si="11"/>
        <v/>
      </c>
      <c r="L95" s="286"/>
      <c r="M95" s="286" t="str">
        <f>IF(AND(ELFISCH,COUNTIF(G93:G100,"X")&gt;3),"Mehr als drei Hauszauber bei Kultur","")</f>
        <v/>
      </c>
      <c r="P95" s="1141" t="str">
        <f t="shared" si="12"/>
        <v/>
      </c>
    </row>
    <row r="96" spans="1:16" x14ac:dyDescent="0.2">
      <c r="A96" s="1716"/>
      <c r="B96" s="142"/>
      <c r="C96" s="24"/>
      <c r="E96" s="1127"/>
      <c r="G96" s="1153"/>
      <c r="H96" s="1153"/>
      <c r="I96"/>
      <c r="J96" t="str">
        <f t="shared" si="13"/>
        <v/>
      </c>
      <c r="K96" s="286" t="str">
        <f t="shared" si="11"/>
        <v/>
      </c>
      <c r="L96" s="286"/>
      <c r="M96" s="286" t="str">
        <f>IF(AND(ELFISCH,COUNTIF(H93:H100,"X")&gt;4),"Mehr als drei Hauszauber bei Profession","")</f>
        <v/>
      </c>
      <c r="P96" s="1141" t="str">
        <f t="shared" si="12"/>
        <v/>
      </c>
    </row>
    <row r="97" spans="1:16" x14ac:dyDescent="0.2">
      <c r="A97" s="1716"/>
      <c r="B97" s="142"/>
      <c r="C97" s="24"/>
      <c r="E97" s="1127"/>
      <c r="G97" s="1153"/>
      <c r="H97" s="1153"/>
      <c r="I97"/>
      <c r="J97" t="str">
        <f t="shared" si="13"/>
        <v/>
      </c>
      <c r="K97" s="286" t="str">
        <f t="shared" si="11"/>
        <v/>
      </c>
      <c r="L97" s="286"/>
      <c r="M97" s="286"/>
      <c r="P97" s="1141" t="str">
        <f t="shared" si="12"/>
        <v/>
      </c>
    </row>
    <row r="98" spans="1:16" x14ac:dyDescent="0.2">
      <c r="A98" s="1716"/>
      <c r="B98" s="142"/>
      <c r="C98" s="24"/>
      <c r="E98" s="1127"/>
      <c r="G98" s="1153"/>
      <c r="H98" s="1153"/>
      <c r="I98"/>
      <c r="J98" t="str">
        <f t="shared" si="13"/>
        <v/>
      </c>
      <c r="K98" s="286" t="str">
        <f t="shared" si="11"/>
        <v/>
      </c>
      <c r="L98" s="286"/>
      <c r="M98" s="286"/>
      <c r="P98" s="1141" t="str">
        <f t="shared" si="12"/>
        <v/>
      </c>
    </row>
    <row r="99" spans="1:16" x14ac:dyDescent="0.2">
      <c r="A99" s="1716"/>
      <c r="B99" s="142"/>
      <c r="C99" s="24"/>
      <c r="E99" s="1127"/>
      <c r="G99" s="1153"/>
      <c r="H99" s="1153"/>
      <c r="I99"/>
      <c r="J99" t="str">
        <f t="shared" si="13"/>
        <v/>
      </c>
      <c r="K99" s="286" t="str">
        <f t="shared" si="11"/>
        <v/>
      </c>
      <c r="L99" s="286"/>
      <c r="M99" s="286"/>
      <c r="P99" s="1141" t="str">
        <f t="shared" si="12"/>
        <v/>
      </c>
    </row>
    <row r="100" spans="1:16" x14ac:dyDescent="0.2">
      <c r="A100" s="1716"/>
      <c r="B100" s="142"/>
      <c r="C100" s="24"/>
      <c r="E100" s="1127"/>
      <c r="G100" s="1153"/>
      <c r="H100" s="1153"/>
      <c r="I100"/>
      <c r="J100" t="str">
        <f t="shared" si="13"/>
        <v/>
      </c>
      <c r="K100" s="286" t="str">
        <f t="shared" si="11"/>
        <v/>
      </c>
      <c r="L100" s="286"/>
      <c r="M100" s="1208" t="str">
        <f ca="1">IF(VT_VRTLZBR,IF(NOT(C93=""),
", Übernatürliche Begabung ("&amp;C93&amp; IF(NOT(C94=""),"; "&amp;C94,"") &amp; IF(NOT(C95=""),"; "&amp;C95,"") &amp; IF(NOT(C96=""),"; "&amp;C96,"") &amp; IF(NOT(C97=""),"; "&amp;C97,"")  &amp; IF(NOT(C98=""),"; "&amp;C98,"")&amp;")","" ),"")</f>
        <v/>
      </c>
      <c r="N100" t="b">
        <f ca="1">IF(VT_VRTLZBR,IF(AND(ISNUMBER(O100),O100&gt;0),IF(8-COUNTIF(C93:C100,"")-O100&gt;0,8-COUNTIF(C93:C100,"")-O100,0),
8-COUNTIF(C93:C100,"")))</f>
        <v>0</v>
      </c>
      <c r="O100" t="str">
        <f ca="1">IF(OR(RASSEGENE="LEER",PROFGENE="LEER",KULTURGENE="LEER"),"",SUM(HLOOKUP(RASSEGENE,RASSE,IDX_ANZ_ÜBER_BEG,FALSE),
HLOOKUP(KULTURGENE,KULTUR,IDX_ANZ_ÜBER_BEG,FALSE),
HLOOKUP(PROFGENE,INDIRECT(PROFGEBIET),IDX_ANZ_ÜBER_BEG,FALSE),
IF(LEN(PROFZWEITE)&lt;1,0,HLOOKUP(PROFZWEITE,INDIRECT(PROFGEBIET2),IDX_ANZ_ÜBER_BEG,FALSE))))</f>
        <v/>
      </c>
      <c r="P100" s="1142" t="str">
        <f t="shared" si="12"/>
        <v/>
      </c>
    </row>
    <row r="101" spans="1:16" ht="15.75" x14ac:dyDescent="0.25">
      <c r="A101" s="1716"/>
      <c r="B101" s="142"/>
      <c r="C101" s="1207" t="s">
        <v>3597</v>
      </c>
      <c r="D101" s="569"/>
      <c r="E101" s="569"/>
      <c r="F101" s="569"/>
      <c r="G101" s="569"/>
      <c r="H101" s="569"/>
      <c r="I101" s="569"/>
      <c r="J101" s="569"/>
      <c r="K101" s="569" t="str">
        <f>IF(ELFISCH,"Elfische Kultur: 7 Zauber, davon max. 3 als neue Leitzauber &amp; Elfische Profession: 6 Zauber, davon max. 3 als neue Leitzauber","")</f>
        <v/>
      </c>
      <c r="L101" s="569"/>
      <c r="M101" s="569"/>
      <c r="N101" s="569"/>
      <c r="O101" s="25"/>
      <c r="P101" s="25"/>
    </row>
    <row r="102" spans="1:16" ht="54" customHeight="1" x14ac:dyDescent="0.2">
      <c r="B102" s="142"/>
      <c r="C102" s="1665" t="str">
        <f ca="1">IF(OR(RASSEGENE="LEER",PROFGENE="LEER",KULTURGENE="LEER"),"",HLOOKUP(RASSEGENE,RASSE,IDX_WSZ,FALSE)&amp;
HLOOKUP(KULTURGENE,KULTUR,IDX_WSZ,FALSE)&amp;
HLOOKUP(PROFGENE,INDIRECT(PROFGEBIET),IDX_WSZ,FALSE)&amp;
IF(LEN(PROFZWEITE)&lt;1,"",HLOOKUP(PROFZWEITE,INDIRECT(PROFGEBIET2),IDX_WSZ,FALSE)))</f>
        <v/>
      </c>
      <c r="D102" s="1665"/>
      <c r="E102" s="1665"/>
      <c r="F102" s="1665"/>
      <c r="G102" s="1665"/>
      <c r="H102" s="1665"/>
      <c r="I102" s="1665"/>
      <c r="J102" s="1665"/>
      <c r="K102" s="1665"/>
      <c r="L102" s="1665"/>
      <c r="M102" s="1665"/>
      <c r="N102" s="1665"/>
      <c r="O102" s="25"/>
      <c r="P102" s="25"/>
    </row>
    <row r="103" spans="1:16" x14ac:dyDescent="0.2">
      <c r="B103" s="142"/>
      <c r="C103" s="776" t="s">
        <v>6475</v>
      </c>
      <c r="D103" s="776"/>
      <c r="E103" s="776" t="s">
        <v>4000</v>
      </c>
      <c r="F103" s="776" t="s">
        <v>6487</v>
      </c>
      <c r="G103" s="776" t="s">
        <v>699</v>
      </c>
      <c r="H103" s="776" t="s">
        <v>2412</v>
      </c>
      <c r="I103" s="776" t="s">
        <v>6486</v>
      </c>
      <c r="J103" s="776" t="s">
        <v>6613</v>
      </c>
      <c r="K103" s="776" t="s">
        <v>6476</v>
      </c>
      <c r="L103" s="1152"/>
      <c r="M103" s="1152"/>
      <c r="N103" s="1152"/>
      <c r="O103" s="25"/>
      <c r="P103" s="25"/>
    </row>
    <row r="104" spans="1:16" x14ac:dyDescent="0.2">
      <c r="B104" s="142"/>
      <c r="C104" s="1095"/>
      <c r="E104" s="1127"/>
      <c r="F104" s="773" t="str">
        <f>IF(OR(G104="L",H104="L"),"L","")</f>
        <v/>
      </c>
      <c r="G104" s="1153"/>
      <c r="H104" s="1153"/>
      <c r="I104" s="773" t="str">
        <f t="shared" ref="I104:I120" si="14">IF(C104="","",IF(ISERROR(FIND(C104,ZAUBER_ELF_LEIT,1)),"","L"))</f>
        <v/>
      </c>
      <c r="J104" t="str">
        <f t="shared" ref="J104:J120" si="15">IF(C104="","",(E104+1)*P104)</f>
        <v/>
      </c>
      <c r="K104" s="286" t="str">
        <f t="shared" ref="K104:K120" si="16">IF(C104="","",IF(E104="","Wert eintragen!",IF(AND(ELFISCH,G104="",H104=""),"Kultur oder Profession als Punkte Basis angeben",IF(AND(F104="L",I104="L"),"Zauber mit Verbreitung Elf5 sowieso Leitzauber",""))))</f>
        <v/>
      </c>
      <c r="L104" s="286"/>
      <c r="M104" s="286" t="str">
        <f>IF(ELFISCH,
IF(COUNTIF(G104:G120,"X")+COUNTIF(G104:G120,"L")&gt;7,"Mehr als 7 aktivierte Zauber bei Kultur",
IF(COUNTIF(G104:G120,"L")&gt;3,"Mehr als 3 Leitzauber bei Kultur","")),"")</f>
        <v/>
      </c>
      <c r="P104" s="1096" t="str">
        <f t="shared" ref="P104:P120" si="17">IF(C104="","",CODE(VLOOKUP($C104,ZAUBERWERTE,10,FALSE))-64)</f>
        <v/>
      </c>
    </row>
    <row r="105" spans="1:16" x14ac:dyDescent="0.2">
      <c r="B105" s="142"/>
      <c r="C105" s="24"/>
      <c r="E105" s="1127"/>
      <c r="F105" s="773" t="str">
        <f t="shared" ref="F105:F120" si="18">IF(OR(G105="L",H105="L"),"L","")</f>
        <v/>
      </c>
      <c r="G105" s="1153"/>
      <c r="H105" s="1153"/>
      <c r="I105" s="773" t="str">
        <f t="shared" si="14"/>
        <v/>
      </c>
      <c r="J105" t="str">
        <f t="shared" si="15"/>
        <v/>
      </c>
      <c r="K105" s="286" t="str">
        <f t="shared" si="16"/>
        <v/>
      </c>
      <c r="L105" s="286"/>
      <c r="M105" s="286" t="str">
        <f>IF(ELFISCH,
IF(COUNTIF(H104:H120,"X")+COUNTIF(H104:H120,"L")&gt;6,"Mehr als 6 normale aktivierte Zauber bei Profession",
IF(COUNTIF(H104:H120,"L")&gt;3,"Mehr als 3 Leitzauber bei Profession","")),"")</f>
        <v/>
      </c>
      <c r="P105" s="1141" t="str">
        <f t="shared" si="17"/>
        <v/>
      </c>
    </row>
    <row r="106" spans="1:16" x14ac:dyDescent="0.2">
      <c r="B106" s="142"/>
      <c r="C106" s="1095"/>
      <c r="E106" s="1127"/>
      <c r="F106" s="773" t="str">
        <f t="shared" si="18"/>
        <v/>
      </c>
      <c r="G106" s="1153"/>
      <c r="H106" s="1153"/>
      <c r="I106" s="773" t="str">
        <f t="shared" si="14"/>
        <v/>
      </c>
      <c r="J106" t="str">
        <f t="shared" si="15"/>
        <v/>
      </c>
      <c r="K106" s="286" t="str">
        <f t="shared" si="16"/>
        <v/>
      </c>
      <c r="L106" s="286"/>
      <c r="M106" s="286"/>
      <c r="P106" s="1141" t="str">
        <f t="shared" si="17"/>
        <v/>
      </c>
    </row>
    <row r="107" spans="1:16" x14ac:dyDescent="0.2">
      <c r="B107" s="142"/>
      <c r="C107" s="24"/>
      <c r="E107" s="1127"/>
      <c r="F107" s="773" t="str">
        <f t="shared" si="18"/>
        <v/>
      </c>
      <c r="G107" s="1153"/>
      <c r="H107" s="1153"/>
      <c r="I107" s="773" t="str">
        <f t="shared" si="14"/>
        <v/>
      </c>
      <c r="J107" t="str">
        <f t="shared" si="15"/>
        <v/>
      </c>
      <c r="K107" s="286" t="str">
        <f t="shared" si="16"/>
        <v/>
      </c>
      <c r="L107" s="286"/>
      <c r="M107" s="286"/>
      <c r="P107" s="1141" t="str">
        <f t="shared" si="17"/>
        <v/>
      </c>
    </row>
    <row r="108" spans="1:16" x14ac:dyDescent="0.2">
      <c r="B108" s="142"/>
      <c r="C108" s="24"/>
      <c r="E108" s="1127"/>
      <c r="F108" s="773" t="str">
        <f t="shared" si="18"/>
        <v/>
      </c>
      <c r="G108" s="1153"/>
      <c r="H108" s="1153"/>
      <c r="I108" s="773" t="str">
        <f t="shared" si="14"/>
        <v/>
      </c>
      <c r="J108" t="str">
        <f t="shared" si="15"/>
        <v/>
      </c>
      <c r="K108" s="286" t="str">
        <f t="shared" si="16"/>
        <v/>
      </c>
      <c r="L108" s="286"/>
      <c r="M108" s="286"/>
      <c r="P108" s="1141" t="str">
        <f t="shared" si="17"/>
        <v/>
      </c>
    </row>
    <row r="109" spans="1:16" x14ac:dyDescent="0.2">
      <c r="B109" s="142"/>
      <c r="C109" s="24"/>
      <c r="E109" s="1127"/>
      <c r="F109" s="773" t="str">
        <f t="shared" si="18"/>
        <v/>
      </c>
      <c r="G109" s="1153"/>
      <c r="H109" s="1153"/>
      <c r="I109" s="773" t="str">
        <f>IF(C109="","",IF(ISERROR(FIND(C109,ZAUBER_ELF_LEIT,1)),"","L"))</f>
        <v/>
      </c>
      <c r="J109" t="str">
        <f t="shared" si="15"/>
        <v/>
      </c>
      <c r="K109" s="286" t="str">
        <f t="shared" si="16"/>
        <v/>
      </c>
      <c r="L109" s="286"/>
      <c r="M109" s="286"/>
      <c r="P109" s="1141" t="str">
        <f t="shared" si="17"/>
        <v/>
      </c>
    </row>
    <row r="110" spans="1:16" x14ac:dyDescent="0.2">
      <c r="B110" s="142"/>
      <c r="C110" s="24"/>
      <c r="E110" s="1127"/>
      <c r="F110" s="773" t="str">
        <f t="shared" si="18"/>
        <v/>
      </c>
      <c r="G110" s="1153"/>
      <c r="H110" s="1153"/>
      <c r="I110" s="773" t="str">
        <f t="shared" si="14"/>
        <v/>
      </c>
      <c r="J110" t="str">
        <f t="shared" si="15"/>
        <v/>
      </c>
      <c r="K110" s="286" t="str">
        <f t="shared" si="16"/>
        <v/>
      </c>
      <c r="L110" s="286"/>
      <c r="M110" s="286"/>
      <c r="P110" s="1141" t="str">
        <f t="shared" si="17"/>
        <v/>
      </c>
    </row>
    <row r="111" spans="1:16" x14ac:dyDescent="0.2">
      <c r="B111" s="142"/>
      <c r="C111" s="24"/>
      <c r="E111" s="1127"/>
      <c r="F111" s="773" t="str">
        <f t="shared" si="18"/>
        <v/>
      </c>
      <c r="G111" s="1153"/>
      <c r="H111" s="1153"/>
      <c r="I111" s="773" t="str">
        <f t="shared" si="14"/>
        <v/>
      </c>
      <c r="J111" t="str">
        <f t="shared" si="15"/>
        <v/>
      </c>
      <c r="K111" s="286" t="str">
        <f t="shared" si="16"/>
        <v/>
      </c>
      <c r="L111" s="286"/>
      <c r="M111" s="286"/>
      <c r="P111" s="1141" t="str">
        <f t="shared" si="17"/>
        <v/>
      </c>
    </row>
    <row r="112" spans="1:16" x14ac:dyDescent="0.2">
      <c r="B112" s="142"/>
      <c r="C112" s="24"/>
      <c r="E112" s="1127"/>
      <c r="F112" s="773" t="str">
        <f t="shared" si="18"/>
        <v/>
      </c>
      <c r="G112" s="1153"/>
      <c r="H112" s="1153"/>
      <c r="I112" s="773" t="str">
        <f t="shared" si="14"/>
        <v/>
      </c>
      <c r="J112" t="str">
        <f t="shared" si="15"/>
        <v/>
      </c>
      <c r="K112" s="286" t="str">
        <f t="shared" si="16"/>
        <v/>
      </c>
      <c r="L112" s="286"/>
      <c r="M112" s="286"/>
      <c r="P112" s="1141" t="str">
        <f t="shared" si="17"/>
        <v/>
      </c>
    </row>
    <row r="113" spans="1:16" x14ac:dyDescent="0.2">
      <c r="B113" s="142"/>
      <c r="C113" s="24"/>
      <c r="E113" s="1127"/>
      <c r="F113" s="773" t="str">
        <f t="shared" si="18"/>
        <v/>
      </c>
      <c r="G113" s="1153"/>
      <c r="H113" s="1153"/>
      <c r="I113" s="773" t="str">
        <f t="shared" si="14"/>
        <v/>
      </c>
      <c r="J113" t="str">
        <f t="shared" si="15"/>
        <v/>
      </c>
      <c r="K113" s="286" t="str">
        <f t="shared" si="16"/>
        <v/>
      </c>
      <c r="L113" s="286"/>
      <c r="M113" s="286"/>
      <c r="P113" s="1141" t="str">
        <f t="shared" si="17"/>
        <v/>
      </c>
    </row>
    <row r="114" spans="1:16" x14ac:dyDescent="0.2">
      <c r="B114" s="142"/>
      <c r="C114" s="24"/>
      <c r="E114" s="1127"/>
      <c r="F114" s="773" t="str">
        <f t="shared" si="18"/>
        <v/>
      </c>
      <c r="G114" s="1153"/>
      <c r="H114" s="1153"/>
      <c r="I114" s="773" t="str">
        <f t="shared" si="14"/>
        <v/>
      </c>
      <c r="J114" t="str">
        <f t="shared" si="15"/>
        <v/>
      </c>
      <c r="K114" s="286" t="str">
        <f t="shared" si="16"/>
        <v/>
      </c>
      <c r="L114" s="286"/>
      <c r="M114" s="286"/>
      <c r="P114" s="1141" t="str">
        <f t="shared" si="17"/>
        <v/>
      </c>
    </row>
    <row r="115" spans="1:16" x14ac:dyDescent="0.2">
      <c r="B115" s="142"/>
      <c r="C115" s="24"/>
      <c r="E115" s="1127"/>
      <c r="F115" s="773" t="str">
        <f t="shared" si="18"/>
        <v/>
      </c>
      <c r="G115" s="1153"/>
      <c r="H115" s="1153"/>
      <c r="I115" s="773" t="str">
        <f t="shared" si="14"/>
        <v/>
      </c>
      <c r="J115" t="str">
        <f t="shared" si="15"/>
        <v/>
      </c>
      <c r="K115" s="286" t="str">
        <f t="shared" si="16"/>
        <v/>
      </c>
      <c r="L115" s="286"/>
      <c r="M115" s="286"/>
      <c r="P115" s="1141" t="str">
        <f t="shared" si="17"/>
        <v/>
      </c>
    </row>
    <row r="116" spans="1:16" x14ac:dyDescent="0.2">
      <c r="B116" s="142"/>
      <c r="C116" s="24"/>
      <c r="E116" s="1127"/>
      <c r="F116" s="773" t="str">
        <f t="shared" si="18"/>
        <v/>
      </c>
      <c r="G116" s="1153"/>
      <c r="H116" s="1153"/>
      <c r="I116" s="773" t="str">
        <f t="shared" si="14"/>
        <v/>
      </c>
      <c r="J116" t="str">
        <f t="shared" si="15"/>
        <v/>
      </c>
      <c r="K116" s="286" t="str">
        <f t="shared" si="16"/>
        <v/>
      </c>
      <c r="L116" s="286"/>
      <c r="M116" s="286"/>
      <c r="P116" s="1141" t="str">
        <f t="shared" si="17"/>
        <v/>
      </c>
    </row>
    <row r="117" spans="1:16" x14ac:dyDescent="0.2">
      <c r="B117" s="142"/>
      <c r="C117" s="24"/>
      <c r="E117" s="1127"/>
      <c r="F117" s="773" t="str">
        <f t="shared" si="18"/>
        <v/>
      </c>
      <c r="G117" s="1153"/>
      <c r="H117" s="1153"/>
      <c r="I117" s="773" t="str">
        <f t="shared" si="14"/>
        <v/>
      </c>
      <c r="J117" t="str">
        <f t="shared" si="15"/>
        <v/>
      </c>
      <c r="K117" s="286" t="str">
        <f t="shared" si="16"/>
        <v/>
      </c>
      <c r="L117" s="286"/>
      <c r="M117" s="286"/>
      <c r="P117" s="1141" t="str">
        <f t="shared" si="17"/>
        <v/>
      </c>
    </row>
    <row r="118" spans="1:16" x14ac:dyDescent="0.2">
      <c r="B118" s="142"/>
      <c r="C118" s="24"/>
      <c r="E118" s="1127"/>
      <c r="F118" s="773" t="str">
        <f t="shared" si="18"/>
        <v/>
      </c>
      <c r="G118" s="1153"/>
      <c r="H118" s="1153"/>
      <c r="I118" s="773" t="str">
        <f t="shared" si="14"/>
        <v/>
      </c>
      <c r="J118" t="str">
        <f t="shared" si="15"/>
        <v/>
      </c>
      <c r="K118" s="286" t="str">
        <f t="shared" si="16"/>
        <v/>
      </c>
      <c r="L118" s="286"/>
      <c r="M118" s="286"/>
      <c r="P118" s="1141" t="str">
        <f t="shared" si="17"/>
        <v/>
      </c>
    </row>
    <row r="119" spans="1:16" x14ac:dyDescent="0.2">
      <c r="B119" s="142"/>
      <c r="C119" s="24"/>
      <c r="E119" s="1127"/>
      <c r="F119" s="773" t="str">
        <f t="shared" si="18"/>
        <v/>
      </c>
      <c r="G119" s="1153"/>
      <c r="H119" s="1153"/>
      <c r="I119" s="773" t="str">
        <f t="shared" si="14"/>
        <v/>
      </c>
      <c r="J119" t="str">
        <f t="shared" si="15"/>
        <v/>
      </c>
      <c r="K119" s="286" t="str">
        <f t="shared" si="16"/>
        <v/>
      </c>
      <c r="L119" s="286"/>
      <c r="M119" s="286"/>
      <c r="P119" s="1141" t="str">
        <f t="shared" si="17"/>
        <v/>
      </c>
    </row>
    <row r="120" spans="1:16" x14ac:dyDescent="0.2">
      <c r="B120" s="142"/>
      <c r="C120" s="24"/>
      <c r="E120" s="1127"/>
      <c r="F120" s="773" t="str">
        <f t="shared" si="18"/>
        <v/>
      </c>
      <c r="G120" s="1153"/>
      <c r="H120" s="1153"/>
      <c r="I120" s="773" t="str">
        <f t="shared" si="14"/>
        <v/>
      </c>
      <c r="J120" t="str">
        <f t="shared" si="15"/>
        <v/>
      </c>
      <c r="K120" s="286" t="str">
        <f t="shared" si="16"/>
        <v/>
      </c>
      <c r="L120" s="286"/>
      <c r="M120" s="286"/>
      <c r="P120" s="1142" t="str">
        <f t="shared" si="17"/>
        <v/>
      </c>
    </row>
    <row r="121" spans="1:16" ht="12.75" customHeight="1" x14ac:dyDescent="0.2">
      <c r="A121" s="1717" t="s">
        <v>6632</v>
      </c>
      <c r="B121" s="142"/>
      <c r="C121" s="25"/>
      <c r="D121" s="25"/>
      <c r="E121" s="25"/>
      <c r="F121" s="25"/>
      <c r="G121" s="25"/>
      <c r="H121" s="25"/>
      <c r="I121" s="25"/>
      <c r="J121" s="25"/>
      <c r="K121" s="25"/>
      <c r="L121" s="25"/>
      <c r="M121" s="25"/>
      <c r="N121" s="25"/>
      <c r="O121" s="25"/>
      <c r="P121" s="25"/>
    </row>
    <row r="122" spans="1:16" x14ac:dyDescent="0.2">
      <c r="A122" s="1717"/>
      <c r="B122" s="142"/>
      <c r="C122" s="1154" t="s">
        <v>6483</v>
      </c>
      <c r="D122" s="25"/>
      <c r="E122" s="1144"/>
      <c r="F122" s="1014"/>
      <c r="G122" s="1147" t="s">
        <v>6613</v>
      </c>
      <c r="H122" s="1143" t="s">
        <v>6613</v>
      </c>
      <c r="I122" s="25"/>
      <c r="J122" s="25"/>
      <c r="K122" s="25"/>
      <c r="L122" s="25"/>
      <c r="M122" s="25"/>
      <c r="N122" s="25"/>
      <c r="O122" s="25"/>
      <c r="P122" s="25"/>
    </row>
    <row r="123" spans="1:16" x14ac:dyDescent="0.2">
      <c r="A123" s="1717"/>
      <c r="B123" s="142"/>
      <c r="C123" s="61" t="s">
        <v>8539</v>
      </c>
      <c r="D123" s="25"/>
      <c r="E123" s="1145" t="s">
        <v>6477</v>
      </c>
      <c r="F123" s="18"/>
      <c r="G123" s="1148">
        <f>SUM(SUMIF(G93:G100,"X",$J93:$J100),
SUMIF(G104:G120,"X",$J104:$J120),
SUMIF(G104:G120,"L",$J104:$J120))</f>
        <v>0</v>
      </c>
      <c r="H123" s="1149">
        <f>SUM(SUMIF(H93:H100,"X",$J93:$J100),
SUMIF(H104:H120,"X",$J104:$J120),
SUMIF(H104:H120,"L",$J104:$J120))</f>
        <v>0</v>
      </c>
      <c r="I123" s="25"/>
      <c r="J123" s="25"/>
      <c r="K123" s="25"/>
      <c r="L123" s="25"/>
      <c r="M123" s="25"/>
      <c r="N123" s="25"/>
      <c r="O123" s="25"/>
      <c r="P123" s="25"/>
    </row>
    <row r="124" spans="1:16" ht="17.25" customHeight="1" x14ac:dyDescent="0.2">
      <c r="A124" s="1717"/>
      <c r="B124" s="142"/>
      <c r="C124" s="25"/>
      <c r="D124" s="25"/>
      <c r="E124" s="1146" t="s">
        <v>6478</v>
      </c>
      <c r="F124" s="1015"/>
      <c r="G124" s="1150">
        <f>IF(ELFISCH,HLOOKUP(KULTURGENE,KULTUR,IDX_VPZAUBER,FALSE),100)</f>
        <v>100</v>
      </c>
      <c r="H124" s="1151">
        <f ca="1">IF(OR(ELFISCH,PROFGRDGENE="Kristallomanten"),HLOOKUP(PROFGENE,INDIRECT(PROFGEBIET),IDX_VPZAUBER,FALSE),0)</f>
        <v>0</v>
      </c>
      <c r="I124" s="25"/>
      <c r="J124" s="25"/>
      <c r="K124" s="25"/>
      <c r="L124" s="25"/>
      <c r="M124" s="25"/>
      <c r="N124" s="25"/>
      <c r="O124" s="25"/>
      <c r="P124" s="25"/>
    </row>
    <row r="131" spans="4:4" x14ac:dyDescent="0.2">
      <c r="D131" s="47"/>
    </row>
  </sheetData>
  <sheetProtection selectLockedCells="1"/>
  <mergeCells count="102">
    <mergeCell ref="A121:A124"/>
    <mergeCell ref="H86:J86"/>
    <mergeCell ref="A73:A75"/>
    <mergeCell ref="A78:A80"/>
    <mergeCell ref="D84:E84"/>
    <mergeCell ref="A56:A69"/>
    <mergeCell ref="E64:G64"/>
    <mergeCell ref="E68:G68"/>
    <mergeCell ref="D54:H55"/>
    <mergeCell ref="E56:G56"/>
    <mergeCell ref="E57:G57"/>
    <mergeCell ref="E58:G58"/>
    <mergeCell ref="E59:G59"/>
    <mergeCell ref="E60:G60"/>
    <mergeCell ref="E65:G65"/>
    <mergeCell ref="E66:G66"/>
    <mergeCell ref="E62:F62"/>
    <mergeCell ref="E63:F63"/>
    <mergeCell ref="A90:A91"/>
    <mergeCell ref="I82:J82"/>
    <mergeCell ref="A82:A86"/>
    <mergeCell ref="A92:A101"/>
    <mergeCell ref="C91:N91"/>
    <mergeCell ref="E69:G69"/>
    <mergeCell ref="C23:C24"/>
    <mergeCell ref="A25:A34"/>
    <mergeCell ref="D12:E12"/>
    <mergeCell ref="A42:A51"/>
    <mergeCell ref="A5:A13"/>
    <mergeCell ref="E51:G51"/>
    <mergeCell ref="A14:A22"/>
    <mergeCell ref="A38:A40"/>
    <mergeCell ref="E49:G49"/>
    <mergeCell ref="G8:I8"/>
    <mergeCell ref="N28:N34"/>
    <mergeCell ref="E46:G46"/>
    <mergeCell ref="N18:N27"/>
    <mergeCell ref="K38:L38"/>
    <mergeCell ref="E36:G36"/>
    <mergeCell ref="E27:G27"/>
    <mergeCell ref="E24:G24"/>
    <mergeCell ref="K24:L24"/>
    <mergeCell ref="E26:G26"/>
    <mergeCell ref="M28:M34"/>
    <mergeCell ref="E42:G42"/>
    <mergeCell ref="E28:G28"/>
    <mergeCell ref="H20:I20"/>
    <mergeCell ref="E35:G35"/>
    <mergeCell ref="E31:G31"/>
    <mergeCell ref="G23:I23"/>
    <mergeCell ref="E41:G41"/>
    <mergeCell ref="E44:G44"/>
    <mergeCell ref="M23:M27"/>
    <mergeCell ref="H22:I22"/>
    <mergeCell ref="E38:G38"/>
    <mergeCell ref="E43:G43"/>
    <mergeCell ref="D1:K1"/>
    <mergeCell ref="H17:I17"/>
    <mergeCell ref="D13:E13"/>
    <mergeCell ref="H16:I16"/>
    <mergeCell ref="M8:M12"/>
    <mergeCell ref="D11:E11"/>
    <mergeCell ref="G7:I7"/>
    <mergeCell ref="M5:N5"/>
    <mergeCell ref="D4:E4"/>
    <mergeCell ref="M6:N6"/>
    <mergeCell ref="D5:E5"/>
    <mergeCell ref="H15:I15"/>
    <mergeCell ref="D10:E10"/>
    <mergeCell ref="M1:R1"/>
    <mergeCell ref="A3:F3"/>
    <mergeCell ref="D6:E6"/>
    <mergeCell ref="D7:E7"/>
    <mergeCell ref="D8:E8"/>
    <mergeCell ref="D9:E9"/>
    <mergeCell ref="M7:N7"/>
    <mergeCell ref="K7:L9"/>
    <mergeCell ref="C14:C15"/>
    <mergeCell ref="P72:Q72"/>
    <mergeCell ref="C102:N102"/>
    <mergeCell ref="H18:I18"/>
    <mergeCell ref="H13:I13"/>
    <mergeCell ref="M18:M22"/>
    <mergeCell ref="E29:G29"/>
    <mergeCell ref="H21:I21"/>
    <mergeCell ref="H19:I19"/>
    <mergeCell ref="E32:G32"/>
    <mergeCell ref="E25:G25"/>
    <mergeCell ref="M13:M17"/>
    <mergeCell ref="H14:I14"/>
    <mergeCell ref="N8:N17"/>
    <mergeCell ref="K41:L41"/>
    <mergeCell ref="E48:G48"/>
    <mergeCell ref="E61:G61"/>
    <mergeCell ref="E45:G45"/>
    <mergeCell ref="E67:G67"/>
    <mergeCell ref="K54:L54"/>
    <mergeCell ref="E50:G50"/>
    <mergeCell ref="E30:G30"/>
    <mergeCell ref="E33:G33"/>
    <mergeCell ref="E34:G34"/>
    <mergeCell ref="E47:G47"/>
  </mergeCells>
  <phoneticPr fontId="3" type="noConversion"/>
  <conditionalFormatting sqref="M28">
    <cfRule type="cellIs" dxfId="45" priority="9" stopIfTrue="1" operator="equal">
      <formula>"Keine Sonderfertigkeiten bekannt"</formula>
    </cfRule>
  </conditionalFormatting>
  <conditionalFormatting sqref="M18:M23">
    <cfRule type="cellIs" dxfId="44" priority="10" stopIfTrue="1" operator="equal">
      <formula>"Keine Nachteile bekannt"</formula>
    </cfRule>
  </conditionalFormatting>
  <conditionalFormatting sqref="M5">
    <cfRule type="cellIs" dxfId="43" priority="13" stopIfTrue="1" operator="equal">
      <formula>"Keine Rasse gewählt"</formula>
    </cfRule>
  </conditionalFormatting>
  <conditionalFormatting sqref="M6">
    <cfRule type="cellIs" dxfId="42" priority="14" stopIfTrue="1" operator="equal">
      <formula>"Keine Kultur gewählt"</formula>
    </cfRule>
  </conditionalFormatting>
  <conditionalFormatting sqref="M7">
    <cfRule type="cellIs" dxfId="41" priority="15" stopIfTrue="1" operator="equal">
      <formula>"Keine Profession gewählt"</formula>
    </cfRule>
  </conditionalFormatting>
  <conditionalFormatting sqref="M8:M11 M13">
    <cfRule type="cellIs" dxfId="40" priority="16" stopIfTrue="1" operator="equal">
      <formula>"Keine Vorteile bekannt"</formula>
    </cfRule>
  </conditionalFormatting>
  <conditionalFormatting sqref="K71 K104:M120 K93:M100">
    <cfRule type="cellIs" dxfId="39" priority="17" stopIfTrue="1" operator="equal">
      <formula>"Generierung abgeschlossen"</formula>
    </cfRule>
  </conditionalFormatting>
  <conditionalFormatting sqref="K41 K24 K38 K54 K7">
    <cfRule type="cellIs" dxfId="38" priority="18" stopIfTrue="1" operator="equal">
      <formula>"keine GP übrig"</formula>
    </cfRule>
    <cfRule type="cellIs" dxfId="37" priority="19" stopIfTrue="1" operator="between">
      <formula>""""""</formula>
      <formula>"Eingesetzt"</formula>
    </cfRule>
  </conditionalFormatting>
  <dataValidations count="19">
    <dataValidation type="list" allowBlank="1" showInputMessage="1" showErrorMessage="1" sqref="E25:E36 E56:E63">
      <formula1>IF(NOT(ISNA(VLOOKUP($D25,VORTEILEVARGP,1,FALSE))),INDIRECT(VLOOKUP($D25,VORTEILEVARGP,2,FALSE)),ZAHLEN)</formula1>
    </dataValidation>
    <dataValidation type="list" allowBlank="1" showInputMessage="1" showErrorMessage="1" sqref="E42:E51 E64:E69">
      <formula1>IF(NOT(ISNA(VLOOKUP($D42,NACHTEILEVARGP,1,FALSE))),INDIRECT(VLOOKUP($D42,NACHTEILEVARGP,2,FALSE)),ZAHLEN)</formula1>
    </dataValidation>
    <dataValidation type="list" allowBlank="1" showInputMessage="1" showErrorMessage="1" sqref="Q9">
      <formula1>INDIRECT($R$9)</formula1>
    </dataValidation>
    <dataValidation type="list" allowBlank="1" showInputMessage="1" showErrorMessage="1" sqref="Q7">
      <formula1>"Kampf,Gesellschaft,Wildnis,Handwerk,Magie,Goetter,Eigene"</formula1>
    </dataValidation>
    <dataValidation type="list" allowBlank="1" showInputMessage="1" showErrorMessage="1" sqref="Q8">
      <formula1>INDIRECT($R$8)</formula1>
    </dataValidation>
    <dataValidation type="list" allowBlank="1" showInputMessage="1" showErrorMessage="1" sqref="D25:D34 D56:D63">
      <formula1>VORTEILE</formula1>
    </dataValidation>
    <dataValidation type="list" allowBlank="1" showInputMessage="1" showErrorMessage="1" sqref="D42:D51 D64:D69">
      <formula1>NACHTEILE</formula1>
    </dataValidation>
    <dataValidation type="list" allowBlank="1" showInputMessage="1" promptTitle="Start GP-Punkte " sqref="H4">
      <formula1>"110,115,120,125,130,140"</formula1>
    </dataValidation>
    <dataValidation type="list" allowBlank="1" showInputMessage="1" showErrorMessage="1" sqref="D12:E12">
      <formula1>INDIRECT($R$11)</formula1>
    </dataValidation>
    <dataValidation type="list" allowBlank="1" showInputMessage="1" showErrorMessage="1" sqref="D35:D36">
      <formula1>NT_SCHL_EIGEN</formula1>
    </dataValidation>
    <dataValidation type="list" allowBlank="1" showInputMessage="1" showErrorMessage="1" sqref="D10:E10">
      <formula1>IF(VT_VETERAN,PROFGEBGENE,PROF2GEB_LIST)</formula1>
    </dataValidation>
    <dataValidation type="list" allowBlank="1" showInputMessage="1" showErrorMessage="1" sqref="D11:E11">
      <formula1>INDIRECT($S$11)</formula1>
    </dataValidation>
    <dataValidation type="list" allowBlank="1" showInputMessage="1" showErrorMessage="1" sqref="G104:H120">
      <formula1>"X,L,"</formula1>
    </dataValidation>
    <dataValidation type="list" allowBlank="1" showInputMessage="1" showErrorMessage="1" sqref="G93:H100">
      <formula1>"X,"</formula1>
    </dataValidation>
    <dataValidation type="list" allowBlank="1" showInputMessage="1" sqref="C104:C120 C93:C100">
      <formula1>INDIRECT($P$91)</formula1>
    </dataValidation>
    <dataValidation type="list" allowBlank="1" showInputMessage="1" showErrorMessage="1" sqref="C123">
      <formula1>"Bekannte Zauber, Alle Zauber"</formula1>
    </dataValidation>
    <dataValidation type="list" allowBlank="1" showInputMessage="1" showErrorMessage="1" sqref="D4:E4">
      <formula1>"Ohne Limitationen,Nach WdH - Start mit Rasse,Nach WdH - Start mit Profession"</formula1>
    </dataValidation>
    <dataValidation type="list" allowBlank="1" showInputMessage="1" showErrorMessage="1" sqref="D5:E7 D9:E9">
      <formula1>INDIRECT(U5)</formula1>
    </dataValidation>
    <dataValidation type="list" allowBlank="1" showInputMessage="1" sqref="D8:E8">
      <formula1>INDIRECT(U8)</formula1>
    </dataValidation>
  </dataValidations>
  <hyperlinks>
    <hyperlink ref="E72:I73" location="Talente!A10" display="HIER KLICKEN"/>
    <hyperlink ref="E77:I78" location="Zauber!A5" display="HIER KLICKEN"/>
    <hyperlink ref="E38" location="SF!A10" tooltip="Sollen Sonderfertigkeiten bei der Generierung gewählt werden, dann bitte hier klicken." display="HIER KLICKEN"/>
  </hyperlinks>
  <printOptions headings="1"/>
  <pageMargins left="0.39370078740157483" right="0.39370078740157483" top="0.78740157480314965" bottom="0.78740157480314965" header="0.51181102362204722" footer="0.51181102362204722"/>
  <pageSetup paperSize="9" scale="31" orientation="portrait" verticalDpi="360"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indexed="44"/>
    <pageSetUpPr fitToPage="1"/>
  </sheetPr>
  <dimension ref="A1:Z57"/>
  <sheetViews>
    <sheetView showGridLines="0" view="pageBreakPreview" zoomScaleNormal="100" zoomScaleSheetLayoutView="100" workbookViewId="0">
      <selection activeCell="AB33" sqref="AB33"/>
    </sheetView>
  </sheetViews>
  <sheetFormatPr baseColWidth="10" defaultRowHeight="14.25" x14ac:dyDescent="0.2"/>
  <cols>
    <col min="1" max="1" width="12.28515625" style="901" customWidth="1"/>
    <col min="2" max="7" width="3.7109375" style="901" customWidth="1"/>
    <col min="8" max="8" width="4.42578125" style="901" customWidth="1"/>
    <col min="9" max="9" width="3.28515625" style="901" customWidth="1"/>
    <col min="10" max="10" width="4.28515625" style="901" customWidth="1"/>
    <col min="11" max="11" width="0.7109375" style="901" customWidth="1"/>
    <col min="12" max="12" width="1.42578125" style="901" customWidth="1"/>
    <col min="13" max="13" width="3.140625" style="901" customWidth="1"/>
    <col min="14" max="14" width="1.42578125" style="901" customWidth="1"/>
    <col min="15" max="15" width="1.5703125" style="901" customWidth="1"/>
    <col min="16" max="17" width="5.28515625" style="901" customWidth="1"/>
    <col min="18" max="18" width="6.85546875" style="901" customWidth="1"/>
    <col min="19" max="19" width="4.85546875" style="901" customWidth="1"/>
    <col min="20" max="22" width="3.7109375" style="901" customWidth="1"/>
    <col min="23" max="23" width="4.5703125" style="901" customWidth="1"/>
    <col min="24" max="24" width="3.28515625" style="901" customWidth="1"/>
    <col min="25" max="25" width="3.42578125" style="901" customWidth="1"/>
    <col min="26" max="16384" width="11.42578125" style="901"/>
  </cols>
  <sheetData>
    <row r="1" spans="1:25" ht="31.5" customHeight="1" thickBot="1" x14ac:dyDescent="0.25"/>
    <row r="2" spans="1:25" ht="15" customHeight="1" thickTop="1" thickBot="1" x14ac:dyDescent="0.3">
      <c r="A2" s="902" t="s">
        <v>1837</v>
      </c>
      <c r="B2" s="2379"/>
      <c r="C2" s="2379"/>
      <c r="D2" s="2379"/>
      <c r="E2" s="2379"/>
      <c r="F2" s="2379"/>
      <c r="G2" s="2379"/>
      <c r="H2" s="2379"/>
      <c r="I2" s="2379"/>
      <c r="J2" s="2380"/>
      <c r="K2" s="425"/>
      <c r="L2" s="426"/>
      <c r="M2" s="2361" t="s">
        <v>4331</v>
      </c>
      <c r="N2" s="2362"/>
      <c r="O2" s="2362"/>
      <c r="P2" s="2362"/>
      <c r="Q2" s="2362"/>
      <c r="R2" s="2362"/>
      <c r="S2" s="213"/>
      <c r="T2" s="2352" t="s">
        <v>3152</v>
      </c>
      <c r="U2" s="2353"/>
      <c r="V2" s="2353"/>
      <c r="W2" s="2353"/>
      <c r="X2" s="2353"/>
      <c r="Y2" s="2354"/>
    </row>
    <row r="3" spans="1:25" x14ac:dyDescent="0.2">
      <c r="A3" s="2381"/>
      <c r="B3" s="2382"/>
      <c r="C3" s="2382"/>
      <c r="D3" s="2382"/>
      <c r="E3" s="2382"/>
      <c r="F3" s="2382"/>
      <c r="G3" s="2382"/>
      <c r="H3" s="2382"/>
      <c r="I3" s="2382"/>
      <c r="J3" s="2383"/>
      <c r="K3" s="425"/>
      <c r="L3" s="426"/>
      <c r="M3" s="2355" t="s">
        <v>3542</v>
      </c>
      <c r="N3" s="2356"/>
      <c r="O3" s="2356"/>
      <c r="P3" s="2356"/>
      <c r="Q3" s="2356"/>
      <c r="R3" s="2356"/>
      <c r="S3" s="2357"/>
      <c r="T3" s="410" t="s">
        <v>3215</v>
      </c>
      <c r="U3" s="411" t="s">
        <v>3215</v>
      </c>
      <c r="V3" s="412" t="s">
        <v>3215</v>
      </c>
      <c r="W3" s="412"/>
      <c r="X3" s="412"/>
      <c r="Y3" s="413"/>
    </row>
    <row r="4" spans="1:25" x14ac:dyDescent="0.2">
      <c r="A4" s="2384"/>
      <c r="B4" s="2385"/>
      <c r="C4" s="2385"/>
      <c r="D4" s="2385"/>
      <c r="E4" s="2385"/>
      <c r="F4" s="2385"/>
      <c r="G4" s="2385"/>
      <c r="H4" s="2385"/>
      <c r="I4" s="2385"/>
      <c r="J4" s="2386"/>
      <c r="K4" s="425"/>
      <c r="L4" s="426"/>
      <c r="M4" s="2358"/>
      <c r="N4" s="2359"/>
      <c r="O4" s="2359"/>
      <c r="P4" s="2359"/>
      <c r="Q4" s="2359"/>
      <c r="R4" s="2359"/>
      <c r="S4" s="2360"/>
      <c r="T4" s="414"/>
      <c r="U4" s="415"/>
      <c r="V4" s="416"/>
      <c r="W4" s="416"/>
      <c r="X4" s="416"/>
      <c r="Y4" s="417"/>
    </row>
    <row r="5" spans="1:25" x14ac:dyDescent="0.2">
      <c r="A5" s="2384"/>
      <c r="B5" s="2385"/>
      <c r="C5" s="2385"/>
      <c r="D5" s="2385"/>
      <c r="E5" s="2385"/>
      <c r="F5" s="2385"/>
      <c r="G5" s="2385"/>
      <c r="H5" s="2385"/>
      <c r="I5" s="2385"/>
      <c r="J5" s="2386"/>
      <c r="K5" s="425"/>
      <c r="L5" s="426"/>
      <c r="M5" s="2358"/>
      <c r="N5" s="2359"/>
      <c r="O5" s="2359"/>
      <c r="P5" s="2359"/>
      <c r="Q5" s="2359"/>
      <c r="R5" s="2359"/>
      <c r="S5" s="2360"/>
      <c r="T5" s="414"/>
      <c r="U5" s="415"/>
      <c r="V5" s="416"/>
      <c r="W5" s="416"/>
      <c r="X5" s="416"/>
      <c r="Y5" s="417"/>
    </row>
    <row r="6" spans="1:25" x14ac:dyDescent="0.2">
      <c r="A6" s="2384"/>
      <c r="B6" s="2385"/>
      <c r="C6" s="2385"/>
      <c r="D6" s="2385"/>
      <c r="E6" s="2385"/>
      <c r="F6" s="2385"/>
      <c r="G6" s="2385"/>
      <c r="H6" s="2385"/>
      <c r="I6" s="2385"/>
      <c r="J6" s="2386"/>
      <c r="K6" s="425"/>
      <c r="L6" s="426"/>
      <c r="M6" s="2358"/>
      <c r="N6" s="2359"/>
      <c r="O6" s="2359"/>
      <c r="P6" s="2359"/>
      <c r="Q6" s="2359"/>
      <c r="R6" s="2359"/>
      <c r="S6" s="2360"/>
      <c r="T6" s="414"/>
      <c r="U6" s="415"/>
      <c r="V6" s="416"/>
      <c r="W6" s="416"/>
      <c r="X6" s="416"/>
      <c r="Y6" s="417"/>
    </row>
    <row r="7" spans="1:25" ht="15" thickBot="1" x14ac:dyDescent="0.25">
      <c r="A7" s="2389"/>
      <c r="B7" s="2390"/>
      <c r="C7" s="2390"/>
      <c r="D7" s="2390"/>
      <c r="E7" s="2390"/>
      <c r="F7" s="2390"/>
      <c r="G7" s="2390"/>
      <c r="H7" s="2390"/>
      <c r="I7" s="2390"/>
      <c r="J7" s="2391"/>
      <c r="K7" s="425"/>
      <c r="L7" s="426"/>
      <c r="M7" s="2376"/>
      <c r="N7" s="2377"/>
      <c r="O7" s="2377"/>
      <c r="P7" s="2377"/>
      <c r="Q7" s="2377"/>
      <c r="R7" s="2377"/>
      <c r="S7" s="2392"/>
      <c r="T7" s="418"/>
      <c r="U7" s="419"/>
      <c r="V7" s="420"/>
      <c r="W7" s="420"/>
      <c r="X7" s="420"/>
      <c r="Y7" s="421"/>
    </row>
    <row r="8" spans="1:25" ht="6" customHeight="1" thickTop="1" thickBot="1" x14ac:dyDescent="0.25"/>
    <row r="9" spans="1:25" ht="15" customHeight="1" thickTop="1" thickBot="1" x14ac:dyDescent="0.3">
      <c r="A9" s="2361" t="s">
        <v>1838</v>
      </c>
      <c r="B9" s="2362"/>
      <c r="C9" s="2387"/>
      <c r="D9" s="2387"/>
      <c r="E9" s="2388"/>
      <c r="F9" s="2352" t="s">
        <v>1839</v>
      </c>
      <c r="G9" s="2363"/>
      <c r="H9" s="2352" t="s">
        <v>954</v>
      </c>
      <c r="I9" s="2353"/>
      <c r="J9" s="2353"/>
      <c r="K9" s="2354"/>
      <c r="L9" s="2361" t="s">
        <v>1838</v>
      </c>
      <c r="M9" s="2362"/>
      <c r="N9" s="2362"/>
      <c r="O9" s="2362"/>
      <c r="P9" s="2362"/>
      <c r="Q9" s="2362"/>
      <c r="R9" s="2387"/>
      <c r="S9" s="2388"/>
      <c r="T9" s="2352" t="s">
        <v>1839</v>
      </c>
      <c r="U9" s="2363"/>
      <c r="V9" s="2352" t="s">
        <v>954</v>
      </c>
      <c r="W9" s="2353"/>
      <c r="X9" s="2353"/>
      <c r="Y9" s="2354"/>
    </row>
    <row r="10" spans="1:25" x14ac:dyDescent="0.2">
      <c r="A10" s="2355" t="s">
        <v>3543</v>
      </c>
      <c r="B10" s="2356"/>
      <c r="C10" s="2356"/>
      <c r="D10" s="2356"/>
      <c r="E10" s="2357"/>
      <c r="F10" s="2364"/>
      <c r="G10" s="2365"/>
      <c r="H10" s="2364"/>
      <c r="I10" s="2366"/>
      <c r="J10" s="2366"/>
      <c r="K10" s="2367"/>
      <c r="L10" s="2355"/>
      <c r="M10" s="2356"/>
      <c r="N10" s="2356"/>
      <c r="O10" s="2356"/>
      <c r="P10" s="2356"/>
      <c r="Q10" s="2356"/>
      <c r="R10" s="2356"/>
      <c r="S10" s="2357"/>
      <c r="T10" s="2364"/>
      <c r="U10" s="2365"/>
      <c r="V10" s="2364"/>
      <c r="W10" s="2366"/>
      <c r="X10" s="2366"/>
      <c r="Y10" s="2367"/>
    </row>
    <row r="11" spans="1:25" x14ac:dyDescent="0.2">
      <c r="A11" s="2358" t="s">
        <v>2946</v>
      </c>
      <c r="B11" s="2359"/>
      <c r="C11" s="2359"/>
      <c r="D11" s="2359"/>
      <c r="E11" s="2360"/>
      <c r="F11" s="2371"/>
      <c r="G11" s="2372"/>
      <c r="H11" s="2371"/>
      <c r="I11" s="1733"/>
      <c r="J11" s="1733"/>
      <c r="K11" s="2373"/>
      <c r="L11" s="2358"/>
      <c r="M11" s="2359"/>
      <c r="N11" s="2359"/>
      <c r="O11" s="2359"/>
      <c r="P11" s="2359"/>
      <c r="Q11" s="2359"/>
      <c r="R11" s="2359"/>
      <c r="S11" s="2360"/>
      <c r="T11" s="2371"/>
      <c r="U11" s="2372"/>
      <c r="V11" s="2371"/>
      <c r="W11" s="1733"/>
      <c r="X11" s="1733"/>
      <c r="Y11" s="2373"/>
    </row>
    <row r="12" spans="1:25" x14ac:dyDescent="0.2">
      <c r="A12" s="2358" t="s">
        <v>2947</v>
      </c>
      <c r="B12" s="2359"/>
      <c r="C12" s="2359"/>
      <c r="D12" s="2359"/>
      <c r="E12" s="2360"/>
      <c r="F12" s="2371"/>
      <c r="G12" s="2372"/>
      <c r="H12" s="2371"/>
      <c r="I12" s="1733"/>
      <c r="J12" s="1733"/>
      <c r="K12" s="2373"/>
      <c r="L12" s="2358"/>
      <c r="M12" s="2359"/>
      <c r="N12" s="2359"/>
      <c r="O12" s="2359"/>
      <c r="P12" s="2359"/>
      <c r="Q12" s="2359"/>
      <c r="R12" s="2359"/>
      <c r="S12" s="2360"/>
      <c r="T12" s="2371"/>
      <c r="U12" s="2372"/>
      <c r="V12" s="2371"/>
      <c r="W12" s="1733"/>
      <c r="X12" s="1733"/>
      <c r="Y12" s="2373"/>
    </row>
    <row r="13" spans="1:25" x14ac:dyDescent="0.2">
      <c r="A13" s="2358"/>
      <c r="B13" s="2359"/>
      <c r="C13" s="2359"/>
      <c r="D13" s="2359"/>
      <c r="E13" s="2360"/>
      <c r="F13" s="2371"/>
      <c r="G13" s="2372"/>
      <c r="H13" s="2371"/>
      <c r="I13" s="1733"/>
      <c r="J13" s="1733"/>
      <c r="K13" s="2373"/>
      <c r="L13" s="2358"/>
      <c r="M13" s="2359"/>
      <c r="N13" s="2359"/>
      <c r="O13" s="2359"/>
      <c r="P13" s="2359"/>
      <c r="Q13" s="2359"/>
      <c r="R13" s="2359"/>
      <c r="S13" s="2360"/>
      <c r="T13" s="2371"/>
      <c r="U13" s="2372"/>
      <c r="V13" s="2371"/>
      <c r="W13" s="1733"/>
      <c r="X13" s="1733"/>
      <c r="Y13" s="2373"/>
    </row>
    <row r="14" spans="1:25" x14ac:dyDescent="0.2">
      <c r="A14" s="2358"/>
      <c r="B14" s="2359"/>
      <c r="C14" s="2359"/>
      <c r="D14" s="2359"/>
      <c r="E14" s="2360"/>
      <c r="F14" s="2371"/>
      <c r="G14" s="2372"/>
      <c r="H14" s="2371"/>
      <c r="I14" s="1733"/>
      <c r="J14" s="1733"/>
      <c r="K14" s="2373"/>
      <c r="L14" s="2358"/>
      <c r="M14" s="2359"/>
      <c r="N14" s="2359"/>
      <c r="O14" s="2359"/>
      <c r="P14" s="2359"/>
      <c r="Q14" s="2359"/>
      <c r="R14" s="2359"/>
      <c r="S14" s="2360"/>
      <c r="T14" s="2371"/>
      <c r="U14" s="2372"/>
      <c r="V14" s="2371"/>
      <c r="W14" s="1733"/>
      <c r="X14" s="1733"/>
      <c r="Y14" s="2373"/>
    </row>
    <row r="15" spans="1:25" ht="15" thickBot="1" x14ac:dyDescent="0.25">
      <c r="A15" s="2358"/>
      <c r="B15" s="2359"/>
      <c r="C15" s="2359"/>
      <c r="D15" s="2359"/>
      <c r="E15" s="2360"/>
      <c r="F15" s="2371"/>
      <c r="G15" s="2372"/>
      <c r="H15" s="2371"/>
      <c r="I15" s="1733"/>
      <c r="J15" s="1733"/>
      <c r="K15" s="2373"/>
      <c r="L15" s="2358"/>
      <c r="M15" s="2359"/>
      <c r="N15" s="2359"/>
      <c r="O15" s="2359"/>
      <c r="P15" s="2359"/>
      <c r="Q15" s="2359"/>
      <c r="R15" s="2359"/>
      <c r="S15" s="2360"/>
      <c r="T15" s="2371"/>
      <c r="U15" s="2372"/>
      <c r="V15" s="2371"/>
      <c r="W15" s="1733"/>
      <c r="X15" s="1733"/>
      <c r="Y15" s="2373"/>
    </row>
    <row r="16" spans="1:25" ht="16.5" thickTop="1" thickBot="1" x14ac:dyDescent="0.3">
      <c r="A16" s="2358"/>
      <c r="B16" s="2359"/>
      <c r="C16" s="2359"/>
      <c r="D16" s="2359"/>
      <c r="E16" s="2360"/>
      <c r="F16" s="2371"/>
      <c r="G16" s="2372"/>
      <c r="H16" s="2371"/>
      <c r="I16" s="1733"/>
      <c r="J16" s="1733"/>
      <c r="K16" s="2373"/>
      <c r="L16" s="2361" t="s">
        <v>664</v>
      </c>
      <c r="M16" s="2362"/>
      <c r="N16" s="2362"/>
      <c r="O16" s="2362"/>
      <c r="P16" s="2362"/>
      <c r="Q16" s="2362"/>
      <c r="R16" s="2362"/>
      <c r="S16" s="2393"/>
      <c r="T16" s="2371"/>
      <c r="U16" s="2372"/>
      <c r="V16" s="2371"/>
      <c r="W16" s="1733"/>
      <c r="X16" s="1733"/>
      <c r="Y16" s="2373"/>
    </row>
    <row r="17" spans="1:25" x14ac:dyDescent="0.2">
      <c r="A17" s="2358"/>
      <c r="B17" s="2359"/>
      <c r="C17" s="2359"/>
      <c r="D17" s="2359"/>
      <c r="E17" s="2360"/>
      <c r="F17" s="2371"/>
      <c r="G17" s="2372"/>
      <c r="H17" s="2371"/>
      <c r="I17" s="1733"/>
      <c r="J17" s="1733"/>
      <c r="K17" s="2373"/>
      <c r="L17" s="2355"/>
      <c r="M17" s="2356"/>
      <c r="N17" s="2356"/>
      <c r="O17" s="2356"/>
      <c r="P17" s="2356"/>
      <c r="Q17" s="2356"/>
      <c r="R17" s="2356"/>
      <c r="S17" s="2357"/>
      <c r="T17" s="2371"/>
      <c r="U17" s="2372"/>
      <c r="V17" s="2371"/>
      <c r="W17" s="1733"/>
      <c r="X17" s="1733"/>
      <c r="Y17" s="2373"/>
    </row>
    <row r="18" spans="1:25" x14ac:dyDescent="0.2">
      <c r="A18" s="2358"/>
      <c r="B18" s="2359"/>
      <c r="C18" s="2359"/>
      <c r="D18" s="2359"/>
      <c r="E18" s="2360"/>
      <c r="F18" s="2371"/>
      <c r="G18" s="2372"/>
      <c r="H18" s="2371"/>
      <c r="I18" s="1733"/>
      <c r="J18" s="1733"/>
      <c r="K18" s="2373"/>
      <c r="L18" s="2358"/>
      <c r="M18" s="2359"/>
      <c r="N18" s="2359"/>
      <c r="O18" s="2359"/>
      <c r="P18" s="2359"/>
      <c r="Q18" s="2359"/>
      <c r="R18" s="2359"/>
      <c r="S18" s="2360"/>
      <c r="T18" s="2371"/>
      <c r="U18" s="2372"/>
      <c r="V18" s="2371"/>
      <c r="W18" s="1733"/>
      <c r="X18" s="1733"/>
      <c r="Y18" s="2373"/>
    </row>
    <row r="19" spans="1:25" x14ac:dyDescent="0.2">
      <c r="A19" s="2358"/>
      <c r="B19" s="2359"/>
      <c r="C19" s="2359"/>
      <c r="D19" s="2359"/>
      <c r="E19" s="2360"/>
      <c r="F19" s="2371"/>
      <c r="G19" s="2372"/>
      <c r="H19" s="2371"/>
      <c r="I19" s="1733"/>
      <c r="J19" s="1733"/>
      <c r="K19" s="2373"/>
      <c r="L19" s="2358"/>
      <c r="M19" s="2359"/>
      <c r="N19" s="2359"/>
      <c r="O19" s="2359"/>
      <c r="P19" s="2359"/>
      <c r="Q19" s="2359"/>
      <c r="R19" s="2359"/>
      <c r="S19" s="2360"/>
      <c r="T19" s="2371"/>
      <c r="U19" s="2372"/>
      <c r="V19" s="2371"/>
      <c r="W19" s="1733"/>
      <c r="X19" s="1733"/>
      <c r="Y19" s="2373"/>
    </row>
    <row r="20" spans="1:25" x14ac:dyDescent="0.2">
      <c r="A20" s="2358"/>
      <c r="B20" s="2359"/>
      <c r="C20" s="2359"/>
      <c r="D20" s="2359"/>
      <c r="E20" s="2360"/>
      <c r="F20" s="2371"/>
      <c r="G20" s="2372"/>
      <c r="H20" s="2371"/>
      <c r="I20" s="1733"/>
      <c r="J20" s="1733"/>
      <c r="K20" s="2373"/>
      <c r="L20" s="2358"/>
      <c r="M20" s="2359"/>
      <c r="N20" s="2359"/>
      <c r="O20" s="2359"/>
      <c r="P20" s="2359"/>
      <c r="Q20" s="2359"/>
      <c r="R20" s="2359"/>
      <c r="S20" s="2360"/>
      <c r="T20" s="2371"/>
      <c r="U20" s="2372"/>
      <c r="V20" s="2371"/>
      <c r="W20" s="1733"/>
      <c r="X20" s="1733"/>
      <c r="Y20" s="2373"/>
    </row>
    <row r="21" spans="1:25" x14ac:dyDescent="0.2">
      <c r="A21" s="2358"/>
      <c r="B21" s="2359"/>
      <c r="C21" s="2359"/>
      <c r="D21" s="2359"/>
      <c r="E21" s="2360"/>
      <c r="F21" s="2371"/>
      <c r="G21" s="2372"/>
      <c r="H21" s="2371"/>
      <c r="I21" s="1733"/>
      <c r="J21" s="1733"/>
      <c r="K21" s="2373"/>
      <c r="L21" s="2358"/>
      <c r="M21" s="2359"/>
      <c r="N21" s="2359"/>
      <c r="O21" s="2359"/>
      <c r="P21" s="2359"/>
      <c r="Q21" s="2359"/>
      <c r="R21" s="2359"/>
      <c r="S21" s="2360"/>
      <c r="T21" s="2371"/>
      <c r="U21" s="2372"/>
      <c r="V21" s="2371"/>
      <c r="W21" s="1733"/>
      <c r="X21" s="1733"/>
      <c r="Y21" s="2373"/>
    </row>
    <row r="22" spans="1:25" x14ac:dyDescent="0.2">
      <c r="A22" s="2358"/>
      <c r="B22" s="2359"/>
      <c r="C22" s="2359"/>
      <c r="D22" s="2359"/>
      <c r="E22" s="2360"/>
      <c r="F22" s="2371"/>
      <c r="G22" s="2372"/>
      <c r="H22" s="2371"/>
      <c r="I22" s="1733"/>
      <c r="J22" s="1733"/>
      <c r="K22" s="2373"/>
      <c r="L22" s="2358"/>
      <c r="M22" s="2359"/>
      <c r="N22" s="2359"/>
      <c r="O22" s="2359"/>
      <c r="P22" s="2359"/>
      <c r="Q22" s="2359"/>
      <c r="R22" s="2359"/>
      <c r="S22" s="2360"/>
      <c r="T22" s="2371"/>
      <c r="U22" s="2372"/>
      <c r="V22" s="2371"/>
      <c r="W22" s="1733"/>
      <c r="X22" s="1733"/>
      <c r="Y22" s="2373"/>
    </row>
    <row r="23" spans="1:25" x14ac:dyDescent="0.2">
      <c r="A23" s="2358"/>
      <c r="B23" s="2359"/>
      <c r="C23" s="2359"/>
      <c r="D23" s="2359"/>
      <c r="E23" s="2360"/>
      <c r="F23" s="2371"/>
      <c r="G23" s="2372"/>
      <c r="H23" s="2371"/>
      <c r="I23" s="1733"/>
      <c r="J23" s="1733"/>
      <c r="K23" s="2373"/>
      <c r="L23" s="2358"/>
      <c r="M23" s="2359"/>
      <c r="N23" s="2359"/>
      <c r="O23" s="2359"/>
      <c r="P23" s="2359"/>
      <c r="Q23" s="2359"/>
      <c r="R23" s="2359"/>
      <c r="S23" s="2360"/>
      <c r="T23" s="2371"/>
      <c r="U23" s="2372"/>
      <c r="V23" s="2371"/>
      <c r="W23" s="1733"/>
      <c r="X23" s="1733"/>
      <c r="Y23" s="2373"/>
    </row>
    <row r="24" spans="1:25" ht="15" thickBot="1" x14ac:dyDescent="0.25">
      <c r="A24" s="2376"/>
      <c r="B24" s="2377"/>
      <c r="C24" s="2377"/>
      <c r="D24" s="2377"/>
      <c r="E24" s="2392"/>
      <c r="F24" s="2397"/>
      <c r="G24" s="2402"/>
      <c r="H24" s="2397"/>
      <c r="I24" s="2406"/>
      <c r="J24" s="2406"/>
      <c r="K24" s="2407"/>
      <c r="L24" s="2376"/>
      <c r="M24" s="2377"/>
      <c r="N24" s="2377"/>
      <c r="O24" s="2377"/>
      <c r="P24" s="2377"/>
      <c r="Q24" s="2377"/>
      <c r="R24" s="2377"/>
      <c r="S24" s="2392"/>
      <c r="T24" s="2397"/>
      <c r="U24" s="2402"/>
      <c r="V24" s="2397"/>
      <c r="W24" s="2406"/>
      <c r="X24" s="2406"/>
      <c r="Y24" s="2407"/>
    </row>
    <row r="25" spans="1:25" ht="6" customHeight="1" thickTop="1" thickBot="1" x14ac:dyDescent="0.25"/>
    <row r="26" spans="1:25" ht="16.5" thickTop="1" thickBot="1" x14ac:dyDescent="0.3">
      <c r="A26" s="620" t="s">
        <v>33</v>
      </c>
      <c r="B26" s="214"/>
      <c r="C26" s="214"/>
      <c r="D26" s="214"/>
      <c r="E26" s="2352" t="s">
        <v>34</v>
      </c>
      <c r="F26" s="2353"/>
      <c r="G26" s="2353"/>
      <c r="H26" s="2353"/>
      <c r="I26" s="2353"/>
      <c r="J26" s="2354"/>
      <c r="K26" s="903"/>
      <c r="L26" s="904"/>
      <c r="M26" s="2361" t="s">
        <v>36</v>
      </c>
      <c r="N26" s="2362"/>
      <c r="O26" s="2362"/>
      <c r="P26" s="2362"/>
      <c r="Q26" s="2362"/>
      <c r="R26" s="2362"/>
      <c r="S26" s="214"/>
      <c r="T26" s="215"/>
      <c r="U26" s="2352" t="s">
        <v>35</v>
      </c>
      <c r="V26" s="2353"/>
      <c r="W26" s="2353"/>
      <c r="X26" s="2353"/>
      <c r="Y26" s="2354"/>
    </row>
    <row r="27" spans="1:25" x14ac:dyDescent="0.2">
      <c r="A27" s="2355"/>
      <c r="B27" s="2356"/>
      <c r="C27" s="2356"/>
      <c r="D27" s="2357"/>
      <c r="E27" s="2364"/>
      <c r="F27" s="2401"/>
      <c r="G27" s="2413"/>
      <c r="H27" s="2401"/>
      <c r="I27" s="2413"/>
      <c r="J27" s="2367"/>
      <c r="K27" s="425"/>
      <c r="L27" s="426"/>
      <c r="M27" s="2355"/>
      <c r="N27" s="2356"/>
      <c r="O27" s="2356"/>
      <c r="P27" s="2356"/>
      <c r="Q27" s="2356"/>
      <c r="R27" s="2356"/>
      <c r="S27" s="2356"/>
      <c r="T27" s="2357"/>
      <c r="U27" s="411"/>
      <c r="V27" s="412"/>
      <c r="W27" s="412"/>
      <c r="X27" s="412"/>
      <c r="Y27" s="413"/>
    </row>
    <row r="28" spans="1:25" x14ac:dyDescent="0.2">
      <c r="A28" s="2358"/>
      <c r="B28" s="2359"/>
      <c r="C28" s="2359"/>
      <c r="D28" s="2360"/>
      <c r="E28" s="2371"/>
      <c r="F28" s="2399"/>
      <c r="G28" s="1732"/>
      <c r="H28" s="2399"/>
      <c r="I28" s="1732"/>
      <c r="J28" s="2373"/>
      <c r="K28" s="425"/>
      <c r="L28" s="426"/>
      <c r="M28" s="2358"/>
      <c r="N28" s="2359"/>
      <c r="O28" s="2359"/>
      <c r="P28" s="2359"/>
      <c r="Q28" s="2359"/>
      <c r="R28" s="2359"/>
      <c r="S28" s="2359"/>
      <c r="T28" s="2360"/>
      <c r="U28" s="415"/>
      <c r="V28" s="416"/>
      <c r="W28" s="416"/>
      <c r="X28" s="416"/>
      <c r="Y28" s="417"/>
    </row>
    <row r="29" spans="1:25" x14ac:dyDescent="0.2">
      <c r="A29" s="2358"/>
      <c r="B29" s="2359"/>
      <c r="C29" s="2359"/>
      <c r="D29" s="2360"/>
      <c r="E29" s="2371"/>
      <c r="F29" s="2399"/>
      <c r="G29" s="1732"/>
      <c r="H29" s="2399"/>
      <c r="I29" s="1732"/>
      <c r="J29" s="2373"/>
      <c r="K29" s="425"/>
      <c r="L29" s="426"/>
      <c r="M29" s="2358"/>
      <c r="N29" s="2359"/>
      <c r="O29" s="2359"/>
      <c r="P29" s="2359"/>
      <c r="Q29" s="2359"/>
      <c r="R29" s="2359"/>
      <c r="S29" s="2359"/>
      <c r="T29" s="2360"/>
      <c r="U29" s="415"/>
      <c r="V29" s="416"/>
      <c r="W29" s="416"/>
      <c r="X29" s="416"/>
      <c r="Y29" s="417"/>
    </row>
    <row r="30" spans="1:25" x14ac:dyDescent="0.2">
      <c r="A30" s="2358"/>
      <c r="B30" s="2359"/>
      <c r="C30" s="2359"/>
      <c r="D30" s="2360"/>
      <c r="E30" s="2371"/>
      <c r="F30" s="2399"/>
      <c r="G30" s="1732"/>
      <c r="H30" s="2399"/>
      <c r="I30" s="1732"/>
      <c r="J30" s="2373"/>
      <c r="K30" s="427"/>
      <c r="L30" s="428"/>
      <c r="M30" s="2358"/>
      <c r="N30" s="2359"/>
      <c r="O30" s="2359"/>
      <c r="P30" s="2359"/>
      <c r="Q30" s="2359"/>
      <c r="R30" s="2359"/>
      <c r="S30" s="2359"/>
      <c r="T30" s="2360"/>
      <c r="U30" s="415"/>
      <c r="V30" s="416"/>
      <c r="W30" s="416"/>
      <c r="X30" s="416"/>
      <c r="Y30" s="417"/>
    </row>
    <row r="31" spans="1:25" x14ac:dyDescent="0.2">
      <c r="A31" s="2368"/>
      <c r="B31" s="2369"/>
      <c r="C31" s="2369"/>
      <c r="D31" s="2427"/>
      <c r="E31" s="2371"/>
      <c r="F31" s="2399"/>
      <c r="G31" s="1732"/>
      <c r="H31" s="2399"/>
      <c r="I31" s="1732"/>
      <c r="J31" s="2373"/>
      <c r="K31" s="427"/>
      <c r="L31" s="428"/>
      <c r="M31" s="2358"/>
      <c r="N31" s="2359"/>
      <c r="O31" s="2359"/>
      <c r="P31" s="2359"/>
      <c r="Q31" s="2359"/>
      <c r="R31" s="2359"/>
      <c r="S31" s="2359"/>
      <c r="T31" s="2360"/>
      <c r="U31" s="415"/>
      <c r="V31" s="416"/>
      <c r="W31" s="416"/>
      <c r="X31" s="416"/>
      <c r="Y31" s="417"/>
    </row>
    <row r="32" spans="1:25" x14ac:dyDescent="0.2">
      <c r="A32" s="2358"/>
      <c r="B32" s="2359"/>
      <c r="C32" s="2359"/>
      <c r="D32" s="2360"/>
      <c r="E32" s="2371"/>
      <c r="F32" s="2399"/>
      <c r="G32" s="1732"/>
      <c r="H32" s="2399"/>
      <c r="I32" s="1732"/>
      <c r="J32" s="2373"/>
      <c r="K32" s="425"/>
      <c r="L32" s="426"/>
      <c r="M32" s="2358"/>
      <c r="N32" s="2359"/>
      <c r="O32" s="2359"/>
      <c r="P32" s="2359"/>
      <c r="Q32" s="2359"/>
      <c r="R32" s="2359"/>
      <c r="S32" s="2359"/>
      <c r="T32" s="2360"/>
      <c r="U32" s="415"/>
      <c r="V32" s="416"/>
      <c r="W32" s="416"/>
      <c r="X32" s="416"/>
      <c r="Y32" s="417"/>
    </row>
    <row r="33" spans="1:26" ht="15" thickBot="1" x14ac:dyDescent="0.25">
      <c r="A33" s="2376"/>
      <c r="B33" s="2377"/>
      <c r="C33" s="2377"/>
      <c r="D33" s="2392"/>
      <c r="E33" s="2397"/>
      <c r="F33" s="2398"/>
      <c r="G33" s="2415"/>
      <c r="H33" s="2398"/>
      <c r="I33" s="2415"/>
      <c r="J33" s="2407"/>
      <c r="K33" s="425"/>
      <c r="L33" s="426"/>
      <c r="M33" s="2376"/>
      <c r="N33" s="2377"/>
      <c r="O33" s="2377"/>
      <c r="P33" s="2377"/>
      <c r="Q33" s="2377"/>
      <c r="R33" s="2377"/>
      <c r="S33" s="2377"/>
      <c r="T33" s="2392"/>
      <c r="U33" s="422"/>
      <c r="V33" s="423"/>
      <c r="W33" s="423"/>
      <c r="X33" s="423"/>
      <c r="Y33" s="424"/>
    </row>
    <row r="34" spans="1:26" ht="6" customHeight="1" thickTop="1" thickBot="1" x14ac:dyDescent="0.25">
      <c r="K34" s="905"/>
      <c r="L34" s="905"/>
      <c r="M34" s="905"/>
      <c r="N34" s="905"/>
      <c r="O34" s="905"/>
      <c r="P34" s="905"/>
      <c r="Q34" s="905"/>
      <c r="R34" s="905"/>
      <c r="S34" s="905"/>
      <c r="T34" s="905"/>
      <c r="U34" s="905"/>
      <c r="V34" s="905"/>
      <c r="W34" s="905"/>
      <c r="X34" s="905"/>
      <c r="Y34" s="905"/>
    </row>
    <row r="35" spans="1:26" ht="15" customHeight="1" thickTop="1" thickBot="1" x14ac:dyDescent="0.3">
      <c r="A35" s="902" t="s">
        <v>955</v>
      </c>
      <c r="B35" s="216"/>
      <c r="C35" s="1040" t="s">
        <v>1523</v>
      </c>
      <c r="D35" s="1372" t="s">
        <v>7394</v>
      </c>
      <c r="E35" s="1372"/>
      <c r="F35" s="1372"/>
      <c r="G35" s="1372"/>
      <c r="H35" s="1372"/>
      <c r="I35" s="1372"/>
      <c r="J35" s="1373"/>
      <c r="K35" s="1374"/>
      <c r="L35" s="904"/>
      <c r="M35" s="1366" t="s">
        <v>1849</v>
      </c>
      <c r="N35" s="1377"/>
      <c r="O35" s="1377"/>
      <c r="P35" s="1367"/>
      <c r="Q35" s="1367"/>
      <c r="R35" s="1367"/>
      <c r="S35" s="2374"/>
      <c r="T35" s="2374"/>
      <c r="U35" s="2374"/>
      <c r="V35" s="2374"/>
      <c r="W35" s="2374"/>
      <c r="X35" s="2374"/>
      <c r="Y35" s="2375"/>
    </row>
    <row r="36" spans="1:26" x14ac:dyDescent="0.2">
      <c r="A36" s="906" t="s">
        <v>956</v>
      </c>
      <c r="B36" s="2428">
        <f ca="1">INT((Generierung!$H$22*Generierung!$H$22*IF(OR(VT_ADLIG,VT_ADLIGABST,VT_ADLIGERBE),2,1)+IF(VT_AUSRSTG,VT_AUSRSTG_WERT*Generierung!$H$22*10*IF(OR(VT_VETERAN,VT_BBILDUNG),3,2),0))/10)</f>
        <v>0</v>
      </c>
      <c r="C36" s="2429"/>
      <c r="D36" s="429"/>
      <c r="E36" s="429"/>
      <c r="F36" s="429"/>
      <c r="G36" s="429"/>
      <c r="H36" s="429"/>
      <c r="I36" s="429"/>
      <c r="J36" s="1369"/>
      <c r="K36" s="1375"/>
      <c r="L36" s="426"/>
      <c r="M36" s="2355"/>
      <c r="N36" s="2356"/>
      <c r="O36" s="2356"/>
      <c r="P36" s="2356"/>
      <c r="Q36" s="2356"/>
      <c r="R36" s="2356"/>
      <c r="S36" s="2356"/>
      <c r="T36" s="2356"/>
      <c r="U36" s="2356"/>
      <c r="V36" s="2356"/>
      <c r="W36" s="2356"/>
      <c r="X36" s="2356"/>
      <c r="Y36" s="2400"/>
    </row>
    <row r="37" spans="1:26" x14ac:dyDescent="0.2">
      <c r="A37" s="907" t="s">
        <v>1846</v>
      </c>
      <c r="B37" s="2420">
        <f ca="1">INT(Generierung!$H$22*Generierung!$H$22*IF(OR(VT_ADLIG,VT_ADLIGABST,VT_ADLIGERBE),2,1)+IF(VT_AUSRSTG,VT_AUSRSTG_WERT*Generierung!$H$22*10*IF(OR(VT_VETERAN,VT_BBILDUNG),3,2),0)-$B$36*10)</f>
        <v>0</v>
      </c>
      <c r="C37" s="2421"/>
      <c r="D37" s="430"/>
      <c r="E37" s="430"/>
      <c r="F37" s="430"/>
      <c r="G37" s="430"/>
      <c r="H37" s="430"/>
      <c r="I37" s="430"/>
      <c r="J37" s="1370"/>
      <c r="K37" s="1375"/>
      <c r="L37" s="426"/>
      <c r="M37" s="2355"/>
      <c r="N37" s="2356"/>
      <c r="O37" s="2356"/>
      <c r="P37" s="2356"/>
      <c r="Q37" s="2356"/>
      <c r="R37" s="2356"/>
      <c r="S37" s="2356"/>
      <c r="T37" s="2356"/>
      <c r="U37" s="2356"/>
      <c r="V37" s="2356"/>
      <c r="W37" s="2356"/>
      <c r="X37" s="2356"/>
      <c r="Y37" s="2400"/>
    </row>
    <row r="38" spans="1:26" x14ac:dyDescent="0.2">
      <c r="A38" s="907" t="s">
        <v>1847</v>
      </c>
      <c r="B38" s="2420">
        <v>1</v>
      </c>
      <c r="C38" s="2421"/>
      <c r="D38" s="430"/>
      <c r="E38" s="430"/>
      <c r="F38" s="430"/>
      <c r="G38" s="430"/>
      <c r="H38" s="430"/>
      <c r="I38" s="430"/>
      <c r="J38" s="1370"/>
      <c r="K38" s="1375"/>
      <c r="L38" s="426"/>
      <c r="M38" s="2355"/>
      <c r="N38" s="2356"/>
      <c r="O38" s="2356"/>
      <c r="P38" s="2356"/>
      <c r="Q38" s="2356"/>
      <c r="R38" s="2356"/>
      <c r="S38" s="2356"/>
      <c r="T38" s="2356"/>
      <c r="U38" s="2356"/>
      <c r="V38" s="2356"/>
      <c r="W38" s="2356"/>
      <c r="X38" s="2356"/>
      <c r="Y38" s="2400"/>
    </row>
    <row r="39" spans="1:26" ht="15" thickBot="1" x14ac:dyDescent="0.25">
      <c r="A39" s="908" t="s">
        <v>1848</v>
      </c>
      <c r="B39" s="2418">
        <v>1</v>
      </c>
      <c r="C39" s="2419"/>
      <c r="D39" s="431"/>
      <c r="E39" s="431"/>
      <c r="F39" s="431"/>
      <c r="G39" s="431"/>
      <c r="H39" s="431"/>
      <c r="I39" s="431"/>
      <c r="J39" s="1371"/>
      <c r="K39" s="1375"/>
      <c r="L39" s="426"/>
      <c r="M39" s="2376"/>
      <c r="N39" s="2377"/>
      <c r="O39" s="2377"/>
      <c r="P39" s="2377"/>
      <c r="Q39" s="2377"/>
      <c r="R39" s="2377"/>
      <c r="S39" s="2377"/>
      <c r="T39" s="2377"/>
      <c r="U39" s="2377"/>
      <c r="V39" s="2377"/>
      <c r="W39" s="2377"/>
      <c r="X39" s="2377"/>
      <c r="Y39" s="2378"/>
    </row>
    <row r="40" spans="1:26" ht="6" customHeight="1" thickTop="1" x14ac:dyDescent="0.2">
      <c r="A40" s="909"/>
      <c r="B40" s="432"/>
      <c r="C40" s="432"/>
      <c r="D40" s="433"/>
      <c r="E40" s="433"/>
      <c r="F40" s="433"/>
      <c r="G40" s="433"/>
      <c r="H40" s="433"/>
      <c r="I40" s="433"/>
      <c r="J40" s="433"/>
      <c r="K40" s="434"/>
      <c r="L40" s="434"/>
      <c r="M40" s="434"/>
      <c r="N40" s="435"/>
      <c r="O40" s="435"/>
      <c r="P40" s="435"/>
      <c r="Q40" s="435"/>
      <c r="R40" s="435"/>
      <c r="S40" s="435"/>
      <c r="T40" s="435"/>
      <c r="U40" s="435"/>
      <c r="V40" s="435"/>
      <c r="W40" s="435"/>
      <c r="X40" s="435"/>
      <c r="Y40" s="435"/>
      <c r="Z40" s="905"/>
    </row>
    <row r="41" spans="1:26" ht="14.25" customHeight="1" thickBot="1" x14ac:dyDescent="0.25">
      <c r="A41" s="905"/>
      <c r="B41" s="905"/>
      <c r="C41" s="905"/>
      <c r="D41" s="905"/>
      <c r="E41" s="905"/>
      <c r="F41" s="905"/>
      <c r="G41" s="905"/>
      <c r="H41" s="905"/>
      <c r="I41" s="905"/>
      <c r="J41" s="905"/>
      <c r="K41" s="905"/>
      <c r="L41" s="905"/>
      <c r="M41" s="1385"/>
      <c r="N41" s="909"/>
      <c r="O41" s="910"/>
      <c r="P41" s="910"/>
      <c r="Q41" s="910"/>
      <c r="R41" s="910"/>
      <c r="S41" s="910"/>
      <c r="T41" s="910"/>
      <c r="U41" s="910"/>
      <c r="V41" s="910"/>
      <c r="W41" s="910"/>
      <c r="X41" s="910"/>
      <c r="Y41" s="910"/>
      <c r="Z41" s="905"/>
    </row>
    <row r="42" spans="1:26" ht="14.25" customHeight="1" thickTop="1" x14ac:dyDescent="0.2">
      <c r="A42" s="2394"/>
      <c r="B42" s="2395"/>
      <c r="C42" s="2395"/>
      <c r="D42" s="2395"/>
      <c r="E42" s="2395"/>
      <c r="F42" s="2395"/>
      <c r="G42" s="2395"/>
      <c r="H42" s="2395"/>
      <c r="I42" s="2395"/>
      <c r="J42" s="2396"/>
      <c r="K42" s="1384"/>
      <c r="L42" s="1376"/>
      <c r="M42" s="2394"/>
      <c r="N42" s="2395"/>
      <c r="O42" s="2395"/>
      <c r="P42" s="2395"/>
      <c r="Q42" s="2395"/>
      <c r="R42" s="2395"/>
      <c r="S42" s="2395"/>
      <c r="T42" s="2395"/>
      <c r="U42" s="2395"/>
      <c r="V42" s="2395"/>
      <c r="W42" s="2395"/>
      <c r="X42" s="2395"/>
      <c r="Y42" s="2396"/>
    </row>
    <row r="43" spans="1:26" ht="14.25" customHeight="1" x14ac:dyDescent="0.2">
      <c r="A43" s="2423"/>
      <c r="B43" s="2424"/>
      <c r="C43" s="2424"/>
      <c r="D43" s="2424"/>
      <c r="E43" s="2424"/>
      <c r="F43" s="2424"/>
      <c r="G43" s="2424"/>
      <c r="H43" s="2424"/>
      <c r="I43" s="2424"/>
      <c r="J43" s="2425"/>
      <c r="K43" s="1384"/>
      <c r="L43" s="1376"/>
      <c r="M43" s="2368"/>
      <c r="N43" s="2369"/>
      <c r="O43" s="2369"/>
      <c r="P43" s="2369"/>
      <c r="Q43" s="2369"/>
      <c r="R43" s="2369"/>
      <c r="S43" s="2369"/>
      <c r="T43" s="2369"/>
      <c r="U43" s="2369"/>
      <c r="V43" s="2369"/>
      <c r="W43" s="2369"/>
      <c r="X43" s="2369"/>
      <c r="Y43" s="2370"/>
    </row>
    <row r="44" spans="1:26" ht="14.25" customHeight="1" x14ac:dyDescent="0.2">
      <c r="A44" s="2423"/>
      <c r="B44" s="2424"/>
      <c r="C44" s="2424"/>
      <c r="D44" s="2424"/>
      <c r="E44" s="2424"/>
      <c r="F44" s="2424"/>
      <c r="G44" s="2424"/>
      <c r="H44" s="2424"/>
      <c r="I44" s="2424"/>
      <c r="J44" s="2425"/>
      <c r="K44" s="1384"/>
      <c r="L44" s="1376"/>
      <c r="M44" s="2368"/>
      <c r="N44" s="2369"/>
      <c r="O44" s="2369"/>
      <c r="P44" s="2369"/>
      <c r="Q44" s="2369"/>
      <c r="R44" s="2369"/>
      <c r="S44" s="2369"/>
      <c r="T44" s="2369"/>
      <c r="U44" s="2369"/>
      <c r="V44" s="2369"/>
      <c r="W44" s="2369"/>
      <c r="X44" s="2369"/>
      <c r="Y44" s="2370"/>
    </row>
    <row r="45" spans="1:26" ht="14.25" customHeight="1" x14ac:dyDescent="0.2">
      <c r="A45" s="2423"/>
      <c r="B45" s="2424"/>
      <c r="C45" s="2424"/>
      <c r="D45" s="2424"/>
      <c r="E45" s="2424"/>
      <c r="F45" s="2424"/>
      <c r="G45" s="2424"/>
      <c r="H45" s="2424"/>
      <c r="I45" s="2424"/>
      <c r="J45" s="2425"/>
      <c r="K45" s="1384"/>
      <c r="L45" s="1376"/>
      <c r="M45" s="2368"/>
      <c r="N45" s="2369"/>
      <c r="O45" s="2369"/>
      <c r="P45" s="2369"/>
      <c r="Q45" s="2369"/>
      <c r="R45" s="2369"/>
      <c r="S45" s="2369"/>
      <c r="T45" s="2369"/>
      <c r="U45" s="2369"/>
      <c r="V45" s="2369"/>
      <c r="W45" s="2369"/>
      <c r="X45" s="2369"/>
      <c r="Y45" s="2370"/>
    </row>
    <row r="46" spans="1:26" x14ac:dyDescent="0.2">
      <c r="A46" s="2423"/>
      <c r="B46" s="2424"/>
      <c r="C46" s="2424"/>
      <c r="D46" s="2424"/>
      <c r="E46" s="2424"/>
      <c r="F46" s="2424"/>
      <c r="G46" s="2424"/>
      <c r="H46" s="2424"/>
      <c r="I46" s="2424"/>
      <c r="J46" s="2425"/>
      <c r="K46" s="1384"/>
      <c r="L46" s="1376"/>
      <c r="M46" s="2368"/>
      <c r="N46" s="2369"/>
      <c r="O46" s="2369"/>
      <c r="P46" s="2369"/>
      <c r="Q46" s="2369"/>
      <c r="R46" s="2369"/>
      <c r="S46" s="2369"/>
      <c r="T46" s="2369"/>
      <c r="U46" s="2369"/>
      <c r="V46" s="2369"/>
      <c r="W46" s="2369"/>
      <c r="X46" s="2369"/>
      <c r="Y46" s="2370"/>
    </row>
    <row r="47" spans="1:26" x14ac:dyDescent="0.2">
      <c r="A47" s="2423"/>
      <c r="B47" s="2424"/>
      <c r="C47" s="2424"/>
      <c r="D47" s="2424"/>
      <c r="E47" s="2424"/>
      <c r="F47" s="2424"/>
      <c r="G47" s="2424"/>
      <c r="H47" s="2424"/>
      <c r="I47" s="2424"/>
      <c r="J47" s="2425"/>
      <c r="K47" s="1384"/>
      <c r="L47" s="1376"/>
      <c r="M47" s="2368"/>
      <c r="N47" s="2369"/>
      <c r="O47" s="2369"/>
      <c r="P47" s="2369"/>
      <c r="Q47" s="2369"/>
      <c r="R47" s="2369"/>
      <c r="S47" s="2369"/>
      <c r="T47" s="2369"/>
      <c r="U47" s="2369"/>
      <c r="V47" s="2369"/>
      <c r="W47" s="2369"/>
      <c r="X47" s="2369"/>
      <c r="Y47" s="2370"/>
    </row>
    <row r="48" spans="1:26" ht="15" x14ac:dyDescent="0.25">
      <c r="A48" s="2430"/>
      <c r="B48" s="2431"/>
      <c r="C48" s="2431"/>
      <c r="D48" s="2431"/>
      <c r="E48" s="2431"/>
      <c r="F48" s="2431"/>
      <c r="G48" s="2431"/>
      <c r="H48" s="2431"/>
      <c r="I48" s="2431"/>
      <c r="J48" s="2432"/>
      <c r="K48" s="903"/>
      <c r="L48" s="909"/>
      <c r="M48" s="2368"/>
      <c r="N48" s="2369"/>
      <c r="O48" s="2369"/>
      <c r="P48" s="2369"/>
      <c r="Q48" s="2369"/>
      <c r="R48" s="2369"/>
      <c r="S48" s="2369"/>
      <c r="T48" s="2369"/>
      <c r="U48" s="2369"/>
      <c r="V48" s="2369"/>
      <c r="W48" s="2369"/>
      <c r="X48" s="2369"/>
      <c r="Y48" s="2370"/>
    </row>
    <row r="49" spans="1:26" ht="15.75" thickBot="1" x14ac:dyDescent="0.3">
      <c r="A49" s="2433"/>
      <c r="B49" s="2434"/>
      <c r="C49" s="2434"/>
      <c r="D49" s="2434"/>
      <c r="E49" s="2434"/>
      <c r="F49" s="2434"/>
      <c r="G49" s="2434"/>
      <c r="H49" s="2434"/>
      <c r="I49" s="2434"/>
      <c r="J49" s="2435"/>
      <c r="K49" s="903"/>
      <c r="L49" s="909"/>
      <c r="M49" s="2403"/>
      <c r="N49" s="2404"/>
      <c r="O49" s="2404"/>
      <c r="P49" s="2404"/>
      <c r="Q49" s="2404"/>
      <c r="R49" s="2404"/>
      <c r="S49" s="2404"/>
      <c r="T49" s="2404"/>
      <c r="U49" s="2404"/>
      <c r="V49" s="2404"/>
      <c r="W49" s="2404"/>
      <c r="X49" s="2404"/>
      <c r="Y49" s="2405"/>
    </row>
    <row r="50" spans="1:26" ht="33.75" customHeight="1" thickTop="1" thickBot="1" x14ac:dyDescent="0.25"/>
    <row r="51" spans="1:26" s="917" customFormat="1" ht="15.75" thickTop="1" x14ac:dyDescent="0.3">
      <c r="A51" s="1097" t="s">
        <v>403</v>
      </c>
      <c r="B51" s="2422" t="s">
        <v>5029</v>
      </c>
      <c r="C51" s="2422"/>
      <c r="D51" s="2422"/>
      <c r="E51" s="2422"/>
      <c r="F51" s="1098" t="s">
        <v>74</v>
      </c>
      <c r="G51" s="1098" t="s">
        <v>5030</v>
      </c>
      <c r="H51" s="1098" t="s">
        <v>716</v>
      </c>
      <c r="I51" s="1098" t="s">
        <v>717</v>
      </c>
      <c r="J51" s="2408" t="s">
        <v>5122</v>
      </c>
      <c r="K51" s="2409"/>
      <c r="L51" s="2409"/>
      <c r="M51" s="2409"/>
      <c r="N51" s="2409" t="s">
        <v>406</v>
      </c>
      <c r="O51" s="2409"/>
      <c r="P51" s="1099" t="s">
        <v>2138</v>
      </c>
      <c r="Q51" s="1099" t="s">
        <v>3605</v>
      </c>
      <c r="R51" s="1099" t="s">
        <v>3603</v>
      </c>
      <c r="S51" s="1099" t="s">
        <v>3604</v>
      </c>
      <c r="T51" s="1099" t="s">
        <v>5123</v>
      </c>
      <c r="U51" s="1099" t="s">
        <v>3606</v>
      </c>
      <c r="V51" s="1098" t="s">
        <v>752</v>
      </c>
      <c r="W51" s="1098" t="s">
        <v>3607</v>
      </c>
      <c r="X51" s="2409" t="s">
        <v>2903</v>
      </c>
      <c r="Y51" s="2410"/>
      <c r="Z51" s="916"/>
    </row>
    <row r="52" spans="1:26" x14ac:dyDescent="0.2">
      <c r="A52" s="1100"/>
      <c r="B52" s="2417"/>
      <c r="C52" s="2417"/>
      <c r="D52" s="2417"/>
      <c r="E52" s="2417"/>
      <c r="F52" s="1101" t="str">
        <f>IF(EXACT($B52,""),"",VLOOKUP($B52,BEGLEITER,2,FALSE))</f>
        <v/>
      </c>
      <c r="G52" s="1101" t="str">
        <f>IF(EXACT($B52,""),"",VLOOKUP($B52,BEGLEITER,3,FALSE))</f>
        <v/>
      </c>
      <c r="H52" s="1101" t="str">
        <f>IF(EXACT($B52,""),"",VLOOKUP($B52,BEGLEITER,4,FALSE))</f>
        <v/>
      </c>
      <c r="I52" s="1101" t="str">
        <f>IF(EXACT($B52,""),"",VLOOKUP($B52,BEGLEITER,5,FALSE))</f>
        <v/>
      </c>
      <c r="J52" s="2411" t="str">
        <f>IF(EXACT($B52,""),"",VLOOKUP($B52,BEGLEITER,6,FALSE))</f>
        <v/>
      </c>
      <c r="K52" s="2411"/>
      <c r="L52" s="2411"/>
      <c r="M52" s="2411" t="str">
        <f>IF(EXACT($B52,""),"",VLOOKUP($B52,BEGLEITER,7,FALSE))</f>
        <v/>
      </c>
      <c r="N52" s="2411" t="str">
        <f>IF(EXACT($B52,""),"",VLOOKUP($B52,BEGLEITER,7,FALSE))</f>
        <v/>
      </c>
      <c r="O52" s="2411"/>
      <c r="P52" s="1101" t="str">
        <f>IF(EXACT($B52,""),"",VLOOKUP($B52,BEGLEITER,8,FALSE))</f>
        <v/>
      </c>
      <c r="Q52" s="1101" t="str">
        <f>IF(EXACT($B52,""),"",VLOOKUP($B52,BEGLEITER,9,FALSE))</f>
        <v/>
      </c>
      <c r="R52" s="1101" t="str">
        <f>IF(EXACT($B52,""),"",VLOOKUP($B52,BEGLEITER,10,FALSE))</f>
        <v/>
      </c>
      <c r="S52" s="1101" t="str">
        <f>IF(EXACT($B52,""),"",VLOOKUP($B52,BEGLEITER,11,FALSE))</f>
        <v/>
      </c>
      <c r="T52" s="1101" t="str">
        <f>IF(EXACT($B52,""),"",VLOOKUP($B52,BEGLEITER,12,FALSE))</f>
        <v/>
      </c>
      <c r="U52" s="1101" t="str">
        <f>IF(EXACT($B52,""),"",VLOOKUP($B52,BEGLEITER,13,FALSE))</f>
        <v/>
      </c>
      <c r="V52" s="1102" t="str">
        <f>IF(EXACT($B52,""),"",VLOOKUP($B52,BEGLEITER,14,FALSE))</f>
        <v/>
      </c>
      <c r="W52" s="1102" t="str">
        <f>IF(EXACT($B52,""),"",VLOOKUP($B52,BEGLEITER,15,FALSE))</f>
        <v/>
      </c>
      <c r="X52" s="2411" t="str">
        <f>IF(EXACT($B52,""),"",VLOOKUP($B52,BEGLEITER,16,FALSE))</f>
        <v/>
      </c>
      <c r="Y52" s="2412"/>
      <c r="Z52" s="918"/>
    </row>
    <row r="53" spans="1:26" x14ac:dyDescent="0.2">
      <c r="A53" s="1100"/>
      <c r="B53" s="2417"/>
      <c r="C53" s="2417"/>
      <c r="D53" s="2417"/>
      <c r="E53" s="2417"/>
      <c r="F53" s="1101" t="str">
        <f>IF(EXACT($B53,""),"",VLOOKUP($B53,BEGLEITER,2,FALSE))</f>
        <v/>
      </c>
      <c r="G53" s="1101" t="str">
        <f>IF(EXACT($B53,""),"",VLOOKUP($B53,BEGLEITER,3,FALSE))</f>
        <v/>
      </c>
      <c r="H53" s="1101" t="str">
        <f>IF(EXACT($B53,""),"",VLOOKUP($B53,BEGLEITER,4,FALSE))</f>
        <v/>
      </c>
      <c r="I53" s="1101" t="str">
        <f>IF(EXACT($B53,""),"",VLOOKUP($B53,BEGLEITER,5,FALSE))</f>
        <v/>
      </c>
      <c r="J53" s="2411" t="str">
        <f>IF(EXACT($B53,""),"",VLOOKUP($B53,BEGLEITER,6,FALSE))</f>
        <v/>
      </c>
      <c r="K53" s="2411"/>
      <c r="L53" s="2411"/>
      <c r="M53" s="2411" t="str">
        <f>IF(EXACT($B53,""),"",VLOOKUP($B53,BEGLEITER,7,FALSE))</f>
        <v/>
      </c>
      <c r="N53" s="2411" t="str">
        <f>IF(EXACT($B53,""),"",VLOOKUP($B53,BEGLEITER,7,FALSE))</f>
        <v/>
      </c>
      <c r="O53" s="2411"/>
      <c r="P53" s="1101" t="str">
        <f>IF(EXACT($B53,""),"",VLOOKUP($B53,BEGLEITER,8,FALSE))</f>
        <v/>
      </c>
      <c r="Q53" s="1101" t="str">
        <f>IF(EXACT($B53,""),"",VLOOKUP($B53,BEGLEITER,9,FALSE))</f>
        <v/>
      </c>
      <c r="R53" s="1101" t="str">
        <f>IF(EXACT($B53,""),"",VLOOKUP($B53,BEGLEITER,10,FALSE))</f>
        <v/>
      </c>
      <c r="S53" s="1101" t="str">
        <f>IF(EXACT($B53,""),"",VLOOKUP($B53,BEGLEITER,11,FALSE))</f>
        <v/>
      </c>
      <c r="T53" s="1101" t="str">
        <f>IF(EXACT($B53,""),"",VLOOKUP($B53,BEGLEITER,12,FALSE))</f>
        <v/>
      </c>
      <c r="U53" s="1101" t="str">
        <f>IF(EXACT($B53,""),"",VLOOKUP($B53,BEGLEITER,13,FALSE))</f>
        <v/>
      </c>
      <c r="V53" s="1102" t="str">
        <f>IF(EXACT($B53,""),"",VLOOKUP($B53,BEGLEITER,14,FALSE))</f>
        <v/>
      </c>
      <c r="W53" s="1102" t="str">
        <f>IF(EXACT($B53,""),"",VLOOKUP($B53,BEGLEITER,15,FALSE))</f>
        <v/>
      </c>
      <c r="X53" s="2411" t="str">
        <f>IF(EXACT($B53,""),"",VLOOKUP($B53,BEGLEITER,16,FALSE))</f>
        <v/>
      </c>
      <c r="Y53" s="2412"/>
      <c r="Z53" s="918"/>
    </row>
    <row r="54" spans="1:26" x14ac:dyDescent="0.2">
      <c r="A54" s="1100"/>
      <c r="B54" s="2417"/>
      <c r="C54" s="2417"/>
      <c r="D54" s="2417"/>
      <c r="E54" s="2417"/>
      <c r="F54" s="1101" t="str">
        <f>IF(EXACT($B54,""),"",VLOOKUP($B54,BEGLEITER,3,FALSE))</f>
        <v/>
      </c>
      <c r="G54" s="1101" t="str">
        <f>IF(EXACT($B54,""),"",VLOOKUP($B54,BEGLEITER,2,FALSE))</f>
        <v/>
      </c>
      <c r="H54" s="1101" t="str">
        <f>IF(EXACT($B54,""),"",VLOOKUP($B54,BEGLEITER,4,FALSE))</f>
        <v/>
      </c>
      <c r="I54" s="1101" t="str">
        <f>IF(EXACT($B54,""),"",VLOOKUP($B54,BEGLEITER,5,FALSE))</f>
        <v/>
      </c>
      <c r="J54" s="2411" t="str">
        <f>IF(EXACT($B54,""),"",VLOOKUP($B54,BEGLEITER,8,FALSE))</f>
        <v/>
      </c>
      <c r="K54" s="2411"/>
      <c r="L54" s="2411"/>
      <c r="M54" s="2411" t="str">
        <f>IF(EXACT($B54,""),"",VLOOKUP($B54,BEGLEITER,7,FALSE))</f>
        <v/>
      </c>
      <c r="N54" s="2411"/>
      <c r="O54" s="2411"/>
      <c r="P54" s="1101" t="str">
        <f>IF(EXACT($B54,""),"",VLOOKUP($B54,BEGLEITER,6,FALSE))</f>
        <v/>
      </c>
      <c r="Q54" s="1101" t="str">
        <f>IF(EXACT($B54,""),"",VLOOKUP($B54,BEGLEITER,9,FALSE))</f>
        <v/>
      </c>
      <c r="R54" s="1101" t="str">
        <f>IF(EXACT($B54,""),"",VLOOKUP($B54,BEGLEITER,10,FALSE))</f>
        <v/>
      </c>
      <c r="S54" s="1101" t="str">
        <f>IF(EXACT($B54,""),"",VLOOKUP($B54,BEGLEITER,11,FALSE))</f>
        <v/>
      </c>
      <c r="T54" s="1101" t="str">
        <f>IF(EXACT($B54,""),"",VLOOKUP($B54,BEGLEITER,12,FALSE))</f>
        <v/>
      </c>
      <c r="U54" s="1101" t="str">
        <f>IF(EXACT($B54,""),"",VLOOKUP($B54,BEGLEITER,13,FALSE))</f>
        <v/>
      </c>
      <c r="V54" s="1102" t="str">
        <f>IF(EXACT($B54,""),"",VLOOKUP($B54,BEGLEITER,14,FALSE))</f>
        <v/>
      </c>
      <c r="W54" s="1102" t="str">
        <f>IF(EXACT($B54,""),"",VLOOKUP($B54,BEGLEITER,15,FALSE))</f>
        <v/>
      </c>
      <c r="X54" s="2411" t="str">
        <f>IF(EXACT($B54,""),"",VLOOKUP($B54,BEGLEITER,16,FALSE))</f>
        <v/>
      </c>
      <c r="Y54" s="2412"/>
      <c r="Z54" s="918"/>
    </row>
    <row r="55" spans="1:26" ht="15" thickBot="1" x14ac:dyDescent="0.25">
      <c r="A55" s="1103"/>
      <c r="B55" s="2414"/>
      <c r="C55" s="2414"/>
      <c r="D55" s="2414"/>
      <c r="E55" s="2414"/>
      <c r="F55" s="1104" t="str">
        <f>IF(EXACT($B55,""),"",VLOOKUP($B55,BEGLEITER,3,FALSE))</f>
        <v/>
      </c>
      <c r="G55" s="1104" t="str">
        <f>IF(EXACT($B55,""),"",VLOOKUP($B55,BEGLEITER,2,FALSE))</f>
        <v/>
      </c>
      <c r="H55" s="1104" t="str">
        <f>IF(EXACT($B55,""),"",VLOOKUP($B55,BEGLEITER,4,FALSE))</f>
        <v/>
      </c>
      <c r="I55" s="1104" t="str">
        <f>IF(EXACT($B55,""),"",VLOOKUP($B55,BEGLEITER,5,FALSE))</f>
        <v/>
      </c>
      <c r="J55" s="2416" t="str">
        <f>IF(EXACT($B55,""),"",VLOOKUP($B55,BEGLEITER,8,FALSE))</f>
        <v/>
      </c>
      <c r="K55" s="2416"/>
      <c r="L55" s="2416"/>
      <c r="M55" s="2416" t="str">
        <f>IF(EXACT($B55,""),"",VLOOKUP($B55,BEGLEITER,7,FALSE))</f>
        <v/>
      </c>
      <c r="N55" s="2416"/>
      <c r="O55" s="2416"/>
      <c r="P55" s="1104" t="str">
        <f>IF(EXACT($B55,""),"",VLOOKUP($B55,BEGLEITER,6,FALSE))</f>
        <v/>
      </c>
      <c r="Q55" s="1104" t="str">
        <f>IF(EXACT($B55,""),"",VLOOKUP($B55,BEGLEITER,9,FALSE))</f>
        <v/>
      </c>
      <c r="R55" s="1104" t="str">
        <f>IF(EXACT($B55,""),"",VLOOKUP($B55,BEGLEITER,10,FALSE))</f>
        <v/>
      </c>
      <c r="S55" s="1104" t="str">
        <f>IF(EXACT($B55,""),"",VLOOKUP($B55,BEGLEITER,11,FALSE))</f>
        <v/>
      </c>
      <c r="T55" s="1104" t="str">
        <f>IF(EXACT($B55,""),"",VLOOKUP($B55,BEGLEITER,12,FALSE))</f>
        <v/>
      </c>
      <c r="U55" s="1104" t="str">
        <f>IF(EXACT($B55,""),"",VLOOKUP($B55,BEGLEITER,13,FALSE))</f>
        <v/>
      </c>
      <c r="V55" s="1105" t="str">
        <f>IF(EXACT($B55,""),"",VLOOKUP($B55,BEGLEITER,14,FALSE))</f>
        <v/>
      </c>
      <c r="W55" s="1105" t="str">
        <f>IF(EXACT($B55,""),"",VLOOKUP($B55,BEGLEITER,15,FALSE))</f>
        <v/>
      </c>
      <c r="X55" s="2416" t="str">
        <f>IF(EXACT($B55,""),"",VLOOKUP($B55,BEGLEITER,16,FALSE))</f>
        <v/>
      </c>
      <c r="Y55" s="2426"/>
      <c r="Z55" s="918"/>
    </row>
    <row r="56" spans="1:26" ht="15" thickTop="1" x14ac:dyDescent="0.2">
      <c r="A56" s="919"/>
      <c r="B56" s="919"/>
      <c r="C56" s="919"/>
      <c r="D56" s="919"/>
      <c r="E56" s="919"/>
      <c r="F56" s="919"/>
      <c r="G56" s="919"/>
      <c r="H56" s="919"/>
      <c r="I56" s="919"/>
      <c r="J56" s="919"/>
      <c r="K56" s="919"/>
      <c r="L56" s="919"/>
      <c r="M56" s="919"/>
      <c r="N56" s="919"/>
      <c r="O56" s="919"/>
      <c r="P56" s="919"/>
      <c r="Q56" s="919"/>
      <c r="R56" s="919"/>
      <c r="S56" s="919"/>
      <c r="T56" s="919"/>
      <c r="U56" s="919"/>
      <c r="V56" s="919"/>
      <c r="W56" s="919"/>
      <c r="X56" s="919"/>
      <c r="Y56" s="919"/>
    </row>
    <row r="57" spans="1:26" x14ac:dyDescent="0.2">
      <c r="A57" s="918"/>
      <c r="B57" s="918"/>
      <c r="C57" s="918"/>
      <c r="D57" s="918"/>
      <c r="E57" s="918"/>
      <c r="F57" s="918"/>
      <c r="G57" s="918"/>
      <c r="H57" s="918"/>
      <c r="I57" s="918"/>
      <c r="J57" s="918"/>
      <c r="K57" s="918"/>
      <c r="L57" s="918"/>
      <c r="M57" s="918"/>
      <c r="N57" s="918"/>
      <c r="O57" s="918"/>
      <c r="P57" s="918"/>
      <c r="Q57" s="918"/>
      <c r="R57" s="918"/>
      <c r="S57" s="918"/>
      <c r="T57" s="918"/>
      <c r="U57" s="918"/>
      <c r="V57" s="918"/>
      <c r="W57" s="918"/>
      <c r="X57" s="918"/>
      <c r="Y57" s="918"/>
    </row>
  </sheetData>
  <sheetProtection selectLockedCells="1"/>
  <mergeCells count="195">
    <mergeCell ref="A32:D32"/>
    <mergeCell ref="G31:H31"/>
    <mergeCell ref="E30:F30"/>
    <mergeCell ref="A30:D30"/>
    <mergeCell ref="A21:E21"/>
    <mergeCell ref="F21:G21"/>
    <mergeCell ref="B53:E53"/>
    <mergeCell ref="J53:M53"/>
    <mergeCell ref="N53:O53"/>
    <mergeCell ref="A44:J44"/>
    <mergeCell ref="A45:J45"/>
    <mergeCell ref="A46:J46"/>
    <mergeCell ref="A47:J47"/>
    <mergeCell ref="A48:J48"/>
    <mergeCell ref="A49:J49"/>
    <mergeCell ref="M42:Y42"/>
    <mergeCell ref="E31:F31"/>
    <mergeCell ref="J52:M52"/>
    <mergeCell ref="N52:O52"/>
    <mergeCell ref="M36:Y36"/>
    <mergeCell ref="X52:Y52"/>
    <mergeCell ref="G30:H30"/>
    <mergeCell ref="G29:H29"/>
    <mergeCell ref="G28:H28"/>
    <mergeCell ref="B55:E55"/>
    <mergeCell ref="M31:T31"/>
    <mergeCell ref="I32:J32"/>
    <mergeCell ref="I31:J31"/>
    <mergeCell ref="G33:H33"/>
    <mergeCell ref="E32:F32"/>
    <mergeCell ref="J55:M55"/>
    <mergeCell ref="N55:O55"/>
    <mergeCell ref="B54:E54"/>
    <mergeCell ref="B39:C39"/>
    <mergeCell ref="G32:H32"/>
    <mergeCell ref="B37:C37"/>
    <mergeCell ref="B38:C38"/>
    <mergeCell ref="B51:E51"/>
    <mergeCell ref="B52:E52"/>
    <mergeCell ref="A43:J43"/>
    <mergeCell ref="M33:T33"/>
    <mergeCell ref="M32:T32"/>
    <mergeCell ref="J54:M54"/>
    <mergeCell ref="M37:Y37"/>
    <mergeCell ref="X55:Y55"/>
    <mergeCell ref="A31:D31"/>
    <mergeCell ref="I33:J33"/>
    <mergeCell ref="B36:C36"/>
    <mergeCell ref="A20:E20"/>
    <mergeCell ref="M48:Y48"/>
    <mergeCell ref="M49:Y49"/>
    <mergeCell ref="V24:Y24"/>
    <mergeCell ref="M26:R26"/>
    <mergeCell ref="J51:M51"/>
    <mergeCell ref="N51:O51"/>
    <mergeCell ref="X51:Y51"/>
    <mergeCell ref="N54:O54"/>
    <mergeCell ref="M44:Y44"/>
    <mergeCell ref="I29:J29"/>
    <mergeCell ref="X54:Y54"/>
    <mergeCell ref="U26:Y26"/>
    <mergeCell ref="M28:T28"/>
    <mergeCell ref="L24:S24"/>
    <mergeCell ref="X53:Y53"/>
    <mergeCell ref="I28:J28"/>
    <mergeCell ref="I30:J30"/>
    <mergeCell ref="M29:T29"/>
    <mergeCell ref="T24:U24"/>
    <mergeCell ref="I27:J27"/>
    <mergeCell ref="E26:J26"/>
    <mergeCell ref="H24:K24"/>
    <mergeCell ref="G27:H27"/>
    <mergeCell ref="A28:D28"/>
    <mergeCell ref="H21:K21"/>
    <mergeCell ref="E28:F28"/>
    <mergeCell ref="E27:F27"/>
    <mergeCell ref="F24:G24"/>
    <mergeCell ref="A22:E22"/>
    <mergeCell ref="T23:U23"/>
    <mergeCell ref="V23:Y23"/>
    <mergeCell ref="L23:S23"/>
    <mergeCell ref="M27:T27"/>
    <mergeCell ref="H23:K23"/>
    <mergeCell ref="A42:J42"/>
    <mergeCell ref="E33:F33"/>
    <mergeCell ref="A33:D33"/>
    <mergeCell ref="H17:K17"/>
    <mergeCell ref="T16:U16"/>
    <mergeCell ref="A17:E17"/>
    <mergeCell ref="F17:G17"/>
    <mergeCell ref="F22:G22"/>
    <mergeCell ref="A24:E24"/>
    <mergeCell ref="A19:E19"/>
    <mergeCell ref="F19:G19"/>
    <mergeCell ref="A27:D27"/>
    <mergeCell ref="T21:U21"/>
    <mergeCell ref="F23:G23"/>
    <mergeCell ref="A23:E23"/>
    <mergeCell ref="T20:U20"/>
    <mergeCell ref="A29:D29"/>
    <mergeCell ref="E29:F29"/>
    <mergeCell ref="M30:T30"/>
    <mergeCell ref="T18:U18"/>
    <mergeCell ref="H19:K19"/>
    <mergeCell ref="L19:S19"/>
    <mergeCell ref="T22:U22"/>
    <mergeCell ref="M38:Y38"/>
    <mergeCell ref="H20:K20"/>
    <mergeCell ref="T19:U19"/>
    <mergeCell ref="V19:Y19"/>
    <mergeCell ref="V20:Y20"/>
    <mergeCell ref="V15:Y15"/>
    <mergeCell ref="L17:S17"/>
    <mergeCell ref="H22:K22"/>
    <mergeCell ref="V16:Y16"/>
    <mergeCell ref="T17:U17"/>
    <mergeCell ref="V21:Y21"/>
    <mergeCell ref="V22:Y22"/>
    <mergeCell ref="A12:E12"/>
    <mergeCell ref="F12:G12"/>
    <mergeCell ref="A18:E18"/>
    <mergeCell ref="F18:G18"/>
    <mergeCell ref="H18:K18"/>
    <mergeCell ref="L18:S18"/>
    <mergeCell ref="L20:S20"/>
    <mergeCell ref="F15:G15"/>
    <mergeCell ref="A16:E16"/>
    <mergeCell ref="H12:K12"/>
    <mergeCell ref="A13:E13"/>
    <mergeCell ref="F13:G13"/>
    <mergeCell ref="A14:E14"/>
    <mergeCell ref="F14:G14"/>
    <mergeCell ref="A15:E15"/>
    <mergeCell ref="F16:G16"/>
    <mergeCell ref="H14:K14"/>
    <mergeCell ref="H16:K16"/>
    <mergeCell ref="F20:G20"/>
    <mergeCell ref="R16:S16"/>
    <mergeCell ref="L14:S14"/>
    <mergeCell ref="H13:K13"/>
    <mergeCell ref="L16:Q16"/>
    <mergeCell ref="H15:K15"/>
    <mergeCell ref="F10:G10"/>
    <mergeCell ref="A11:E11"/>
    <mergeCell ref="F11:G11"/>
    <mergeCell ref="B2:J2"/>
    <mergeCell ref="A3:J3"/>
    <mergeCell ref="A4:J4"/>
    <mergeCell ref="C9:E9"/>
    <mergeCell ref="A7:J7"/>
    <mergeCell ref="L11:S11"/>
    <mergeCell ref="H11:K11"/>
    <mergeCell ref="A5:J5"/>
    <mergeCell ref="A6:J6"/>
    <mergeCell ref="M7:S7"/>
    <mergeCell ref="L9:Q9"/>
    <mergeCell ref="H9:K9"/>
    <mergeCell ref="R9:S9"/>
    <mergeCell ref="A9:B9"/>
    <mergeCell ref="H10:K10"/>
    <mergeCell ref="F9:G9"/>
    <mergeCell ref="A10:E10"/>
    <mergeCell ref="M47:Y47"/>
    <mergeCell ref="T11:U11"/>
    <mergeCell ref="V17:Y17"/>
    <mergeCell ref="V18:Y18"/>
    <mergeCell ref="L21:S21"/>
    <mergeCell ref="V11:Y11"/>
    <mergeCell ref="V13:Y13"/>
    <mergeCell ref="V12:Y12"/>
    <mergeCell ref="V14:Y14"/>
    <mergeCell ref="T12:U12"/>
    <mergeCell ref="L15:S15"/>
    <mergeCell ref="L22:S22"/>
    <mergeCell ref="M43:Y43"/>
    <mergeCell ref="L12:S12"/>
    <mergeCell ref="T15:U15"/>
    <mergeCell ref="T14:U14"/>
    <mergeCell ref="T13:U13"/>
    <mergeCell ref="L13:S13"/>
    <mergeCell ref="M45:Y45"/>
    <mergeCell ref="M46:Y46"/>
    <mergeCell ref="S35:Y35"/>
    <mergeCell ref="M39:Y39"/>
    <mergeCell ref="T2:Y2"/>
    <mergeCell ref="M3:S3"/>
    <mergeCell ref="M4:S4"/>
    <mergeCell ref="M5:S5"/>
    <mergeCell ref="M2:R2"/>
    <mergeCell ref="L10:S10"/>
    <mergeCell ref="T9:U9"/>
    <mergeCell ref="T10:U10"/>
    <mergeCell ref="V9:Y9"/>
    <mergeCell ref="V10:Y10"/>
    <mergeCell ref="M6:S6"/>
  </mergeCells>
  <phoneticPr fontId="3" type="noConversion"/>
  <dataValidations disablePrompts="1" count="1">
    <dataValidation type="list" allowBlank="1" showInputMessage="1" showErrorMessage="1" sqref="B52:B55">
      <formula1>BEGLART</formula1>
    </dataValidation>
  </dataValidations>
  <pageMargins left="0.39370078740157483" right="0.39370078740157483" top="0.39370078740157483" bottom="0.39370078740157483" header="0.51181102362204722" footer="0.51181102362204722"/>
  <pageSetup paperSize="9" scale="96" orientation="portrait" r:id="rId1"/>
  <headerFooter alignWithMargins="0"/>
  <drawing r:id="rId2"/>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tabColor indexed="44"/>
    <pageSetUpPr fitToPage="1"/>
  </sheetPr>
  <dimension ref="A1:AK110"/>
  <sheetViews>
    <sheetView showGridLines="0" view="pageBreakPreview" zoomScaleNormal="100" workbookViewId="0">
      <selection activeCell="N71" sqref="N71"/>
    </sheetView>
  </sheetViews>
  <sheetFormatPr baseColWidth="10" defaultColWidth="9.140625" defaultRowHeight="12.75" customHeight="1" outlineLevelRow="2" x14ac:dyDescent="0.2"/>
  <cols>
    <col min="1" max="1" width="1.140625" style="490" customWidth="1"/>
    <col min="2" max="2" width="10.85546875" style="490" customWidth="1"/>
    <col min="3" max="3" width="0.7109375" style="490" customWidth="1"/>
    <col min="4" max="4" width="11.7109375" style="490" customWidth="1"/>
    <col min="5" max="6" width="1.42578125" style="490" customWidth="1"/>
    <col min="7" max="7" width="8" style="490" customWidth="1"/>
    <col min="8" max="8" width="2.7109375" style="490" customWidth="1"/>
    <col min="9" max="9" width="1.42578125" style="490" customWidth="1"/>
    <col min="10" max="10" width="7" style="490" customWidth="1"/>
    <col min="11" max="11" width="1.7109375" style="490" customWidth="1"/>
    <col min="12" max="12" width="2.28515625" style="490" customWidth="1"/>
    <col min="13" max="13" width="5.85546875" style="490" customWidth="1"/>
    <col min="14" max="14" width="7" style="490" customWidth="1"/>
    <col min="15" max="15" width="4.28515625" style="490" customWidth="1"/>
    <col min="16" max="16" width="1.42578125" style="490" customWidth="1"/>
    <col min="17" max="17" width="2.85546875" style="490" customWidth="1"/>
    <col min="18" max="18" width="3.85546875" style="490" customWidth="1"/>
    <col min="19" max="19" width="1.42578125" style="490" customWidth="1"/>
    <col min="20" max="20" width="2.42578125" style="490" customWidth="1"/>
    <col min="21" max="21" width="6.42578125" style="490" customWidth="1"/>
    <col min="22" max="22" width="1.42578125" style="490" customWidth="1"/>
    <col min="23" max="23" width="3.42578125" style="490" customWidth="1"/>
    <col min="24" max="24" width="9.28515625" style="490" customWidth="1"/>
    <col min="25" max="25" width="3.7109375" style="490" customWidth="1"/>
    <col min="26" max="26" width="4.140625" style="490" customWidth="1"/>
    <col min="27" max="27" width="1.42578125" style="490" customWidth="1"/>
    <col min="28" max="28" width="7.7109375" style="490" customWidth="1"/>
    <col min="29" max="29" width="7.140625" style="490" customWidth="1"/>
    <col min="30" max="30" width="4.7109375" style="490" customWidth="1"/>
    <col min="31" max="31" width="1.42578125" style="490" customWidth="1"/>
    <col min="32" max="32" width="1" style="490" customWidth="1"/>
    <col min="33" max="16384" width="9.140625" style="490"/>
  </cols>
  <sheetData>
    <row r="1" spans="1:32" ht="31.5" customHeight="1" thickBot="1" x14ac:dyDescent="0.25"/>
    <row r="2" spans="1:32" ht="22.5" customHeight="1" thickTop="1" thickBot="1" x14ac:dyDescent="0.25">
      <c r="A2" s="949"/>
      <c r="B2" s="2474" t="str">
        <f ca="1">CONCATENATE("MU: ",MU,"  KL: ",KL,,"  IN: ",IN,"  CH: ",CH,"  FF: ",FF,"  GE: ",GE,"  KO: ",KO,"  KK: ",KK,"  MR: ",MR)</f>
        <v>MU: 8  KL: 8  IN: 8  CH: 8  FF: 8  GE: 8  KO: 8  KK: 8  MR: 5</v>
      </c>
      <c r="C2" s="2474"/>
      <c r="D2" s="2474"/>
      <c r="E2" s="2474"/>
      <c r="F2" s="2474"/>
      <c r="G2" s="2474"/>
      <c r="H2" s="2474"/>
      <c r="I2" s="2474"/>
      <c r="J2" s="2474"/>
      <c r="K2" s="2474"/>
      <c r="L2" s="2474"/>
      <c r="M2" s="2474"/>
      <c r="N2" s="2474"/>
      <c r="O2" s="2474"/>
      <c r="P2" s="2474"/>
      <c r="Q2" s="2474"/>
      <c r="R2" s="2474"/>
      <c r="S2" s="2474"/>
      <c r="T2" s="2474"/>
      <c r="U2" s="2474"/>
      <c r="V2" s="2474"/>
      <c r="W2" s="2474"/>
      <c r="X2" s="2474"/>
      <c r="Y2" s="2474"/>
      <c r="Z2" s="2474"/>
      <c r="AA2" s="2474"/>
      <c r="AB2" s="2474"/>
      <c r="AC2" s="2474"/>
      <c r="AD2" s="948"/>
      <c r="AE2" s="491"/>
    </row>
    <row r="3" spans="1:32" ht="4.5" customHeight="1" thickTop="1" thickBot="1" x14ac:dyDescent="0.25"/>
    <row r="4" spans="1:32" ht="6" customHeight="1" thickTop="1" x14ac:dyDescent="0.2">
      <c r="A4" s="2464"/>
      <c r="B4" s="2486"/>
      <c r="C4" s="2486"/>
      <c r="D4" s="2486"/>
      <c r="E4" s="2486"/>
      <c r="F4" s="2486"/>
      <c r="G4" s="2486"/>
      <c r="H4" s="2486"/>
      <c r="I4" s="2486"/>
      <c r="J4" s="2486"/>
      <c r="K4" s="2486"/>
      <c r="L4" s="2486"/>
      <c r="M4" s="2486"/>
      <c r="N4" s="2486"/>
      <c r="O4" s="2486"/>
      <c r="P4" s="2486"/>
      <c r="Q4" s="2486"/>
      <c r="R4" s="2486"/>
      <c r="S4" s="2486"/>
      <c r="T4" s="2486"/>
      <c r="U4" s="2486"/>
      <c r="V4" s="2486"/>
      <c r="W4" s="2486"/>
      <c r="X4" s="2486"/>
      <c r="Y4" s="2486"/>
      <c r="Z4" s="2486"/>
      <c r="AA4" s="2486"/>
      <c r="AB4" s="2486"/>
      <c r="AC4" s="2486"/>
      <c r="AD4" s="1476"/>
      <c r="AE4" s="448"/>
    </row>
    <row r="5" spans="1:32" ht="12.75" customHeight="1" x14ac:dyDescent="0.2">
      <c r="A5" s="2465"/>
      <c r="B5" s="2438" t="s">
        <v>4265</v>
      </c>
      <c r="C5" s="2438"/>
      <c r="D5" s="2470"/>
      <c r="E5" s="2475" t="s">
        <v>4266</v>
      </c>
      <c r="F5" s="2476"/>
      <c r="G5" s="2476"/>
      <c r="H5" s="2477"/>
      <c r="I5" s="2475" t="str">
        <f>IF(VIEW_EIGN_TRUE,"Probe","Steig.-Kat.")</f>
        <v>Probe</v>
      </c>
      <c r="J5" s="2476"/>
      <c r="K5" s="2476"/>
      <c r="L5" s="2477"/>
      <c r="M5" s="2475" t="s">
        <v>4267</v>
      </c>
      <c r="N5" s="2477"/>
      <c r="O5" s="2475" t="s">
        <v>4268</v>
      </c>
      <c r="P5" s="2476"/>
      <c r="Q5" s="2476"/>
      <c r="R5" s="2477"/>
      <c r="S5" s="2482" t="s">
        <v>279</v>
      </c>
      <c r="T5" s="2438"/>
      <c r="U5" s="2470"/>
      <c r="V5" s="2475" t="s">
        <v>4269</v>
      </c>
      <c r="W5" s="2476"/>
      <c r="X5" s="2477"/>
      <c r="Y5" s="1531" t="s">
        <v>8810</v>
      </c>
      <c r="Z5" s="2438" t="s">
        <v>8772</v>
      </c>
      <c r="AA5" s="2438"/>
      <c r="AB5" s="2438"/>
      <c r="AC5" s="2438"/>
      <c r="AD5" s="1477" t="s">
        <v>1842</v>
      </c>
      <c r="AE5" s="437"/>
      <c r="AF5" s="436"/>
    </row>
    <row r="6" spans="1:32" ht="12.75" customHeight="1" x14ac:dyDescent="0.2">
      <c r="A6" s="2465"/>
      <c r="B6" s="2480" t="str">
        <f ca="1">IF(VT_VRTLZBR,"Übern. Begabung","Hauszauber")</f>
        <v>Hauszauber</v>
      </c>
      <c r="C6" s="2480"/>
      <c r="D6" s="2481"/>
      <c r="E6" s="2439"/>
      <c r="F6" s="2436"/>
      <c r="G6" s="2436"/>
      <c r="H6" s="2437"/>
      <c r="I6" s="2439"/>
      <c r="J6" s="2436"/>
      <c r="K6" s="2436"/>
      <c r="L6" s="2437"/>
      <c r="M6" s="2483"/>
      <c r="N6" s="2485"/>
      <c r="O6" s="2483"/>
      <c r="P6" s="2484"/>
      <c r="Q6" s="2484"/>
      <c r="R6" s="2485"/>
      <c r="S6" s="2483"/>
      <c r="T6" s="2484"/>
      <c r="U6" s="2485"/>
      <c r="V6" s="2483"/>
      <c r="W6" s="2484"/>
      <c r="X6" s="2485"/>
      <c r="Y6" s="1532"/>
      <c r="Z6" s="2436"/>
      <c r="AA6" s="2436"/>
      <c r="AB6" s="2436"/>
      <c r="AC6" s="2437"/>
      <c r="AD6" s="441"/>
      <c r="AE6" s="492"/>
    </row>
    <row r="7" spans="1:32" ht="12.75" customHeight="1" x14ac:dyDescent="0.2">
      <c r="A7" s="2465"/>
      <c r="B7" s="2436" t="str">
        <f ca="1">Zauber!A11</f>
        <v/>
      </c>
      <c r="C7" s="2436"/>
      <c r="D7" s="2437"/>
      <c r="E7" s="2439" t="str">
        <f t="shared" ref="E7:E13" ca="1" si="0">IF($B7="","",CONCATENATE(VLOOKUP($B7,ZAUBERWERTE,2,FALSE),"•",VLOOKUP($B7,ZAUBERWERTE,3,FALSE),"•",VLOOKUP($B7,ZAUBERWERTE,4,FALSE)," ",VLOOKUP($B7,ZAUBERWERTE,5,FALSE)))</f>
        <v/>
      </c>
      <c r="F7" s="2436"/>
      <c r="G7" s="2436"/>
      <c r="H7" s="2437"/>
      <c r="I7" s="2439" t="str">
        <f ca="1">IF($B7="","",
IF(VIEW_EIGN_TRUE,
CONCATENATE(INDIRECT(VLOOKUP($B7,ZAUBERWERTE,2,FALSE)),"•",INDIRECT(VLOOKUP($B7,ZAUBERWERTE,3,FALSE)),"•",IF(VLOOKUP($B7,ZAUBERWERTE,4,FALSE)="EIGN","EIGN",INDIRECT(VLOOKUP($B7,ZAUBERWERTE,4,FALSE)))," ",VLOOKUP($B7,ZAUBERWERTE,5,FALSE)),
VLOOKUP($B7,ZAUBERHELD,7,FALSE)
))</f>
        <v/>
      </c>
      <c r="J7" s="2436"/>
      <c r="K7" s="2436"/>
      <c r="L7" s="2437"/>
      <c r="M7" s="2439" t="str">
        <f t="shared" ref="M7:M13" ca="1" si="1">IF($B7="","",VLOOKUP($B7,ZAUBERWERTE,6,FALSE))</f>
        <v/>
      </c>
      <c r="N7" s="2437"/>
      <c r="O7" s="2439" t="str">
        <f t="shared" ref="O7:O13" ca="1" si="2">IF($B7="","",VLOOKUP($B7,ZAUBERWERTE,7,FALSE))</f>
        <v/>
      </c>
      <c r="P7" s="2436"/>
      <c r="Q7" s="2436"/>
      <c r="R7" s="2437"/>
      <c r="S7" s="2439" t="str">
        <f t="shared" ref="S7:S13" ca="1" si="3">IF($B7="","",VLOOKUP($B7,ZAUBERWERTE,8,FALSE))</f>
        <v/>
      </c>
      <c r="T7" s="2436"/>
      <c r="U7" s="2437"/>
      <c r="V7" s="2439" t="str">
        <f t="shared" ref="V7:V13" ca="1" si="4">IF($B7="","",VLOOKUP($B7,ZAUBERWERTE,9,FALSE))</f>
        <v/>
      </c>
      <c r="W7" s="2436"/>
      <c r="X7" s="2437"/>
      <c r="Y7" s="1532" t="str">
        <f t="shared" ref="Y7:Y31" ca="1" si="5">IF($B7="","",VLOOKUP($B7,ZAUBERWERTE,16,FALSE))</f>
        <v/>
      </c>
      <c r="Z7" s="2436" t="str">
        <f>IF(Zauber!N11="","",Zauber!N11)</f>
        <v/>
      </c>
      <c r="AA7" s="2436"/>
      <c r="AB7" s="2436"/>
      <c r="AC7" s="2437"/>
      <c r="AD7" s="1533" t="str">
        <f ca="1">IF($B7="","",SUM(VLOOKUP($B7,ZAUBERHELD,2,FALSE),VLOOKUP($B7,ZAUBERHELD,10,FALSE),VLOOKUP($B7,ZAUBERHELD,6,FALSE)))</f>
        <v/>
      </c>
      <c r="AE7" s="492"/>
    </row>
    <row r="8" spans="1:32" ht="12.75" customHeight="1" x14ac:dyDescent="0.2">
      <c r="A8" s="2465"/>
      <c r="B8" s="2436" t="str">
        <f ca="1">Zauber!A12</f>
        <v/>
      </c>
      <c r="C8" s="2436"/>
      <c r="D8" s="2437"/>
      <c r="E8" s="2439" t="str">
        <f t="shared" ca="1" si="0"/>
        <v/>
      </c>
      <c r="F8" s="2436"/>
      <c r="G8" s="2436"/>
      <c r="H8" s="2437"/>
      <c r="I8" s="2439" t="str">
        <f t="shared" ref="I8:I55" ca="1" si="6">IF($B8="","",
IF(VIEW_EIGN_TRUE,
CONCATENATE(INDIRECT(VLOOKUP($B8,ZAUBERWERTE,2,FALSE)),"•",INDIRECT(VLOOKUP($B8,ZAUBERWERTE,3,FALSE)),"•",IF(VLOOKUP($B8,ZAUBERWERTE,4,FALSE)="EIGN","EIGN",INDIRECT(VLOOKUP($B8,ZAUBERWERTE,4,FALSE)))," ",VLOOKUP($B8,ZAUBERWERTE,5,FALSE)),
VLOOKUP($B8,ZAUBERHELD,7,FALSE)
))</f>
        <v/>
      </c>
      <c r="J8" s="2436"/>
      <c r="K8" s="2436"/>
      <c r="L8" s="2437"/>
      <c r="M8" s="2439" t="str">
        <f t="shared" ca="1" si="1"/>
        <v/>
      </c>
      <c r="N8" s="2437"/>
      <c r="O8" s="2439" t="str">
        <f t="shared" ca="1" si="2"/>
        <v/>
      </c>
      <c r="P8" s="2436"/>
      <c r="Q8" s="2436"/>
      <c r="R8" s="2437"/>
      <c r="S8" s="2439" t="str">
        <f t="shared" ca="1" si="3"/>
        <v/>
      </c>
      <c r="T8" s="2436"/>
      <c r="U8" s="2437"/>
      <c r="V8" s="2439" t="str">
        <f t="shared" ca="1" si="4"/>
        <v/>
      </c>
      <c r="W8" s="2436"/>
      <c r="X8" s="2437"/>
      <c r="Y8" s="1532" t="str">
        <f t="shared" ca="1" si="5"/>
        <v/>
      </c>
      <c r="Z8" s="2436" t="str">
        <f>IF(Zauber!N12="","",Zauber!N12)</f>
        <v/>
      </c>
      <c r="AA8" s="2436"/>
      <c r="AB8" s="2436"/>
      <c r="AC8" s="2437"/>
      <c r="AD8" s="1533" t="str">
        <f t="shared" ref="AD8:AD55" ca="1" si="7">IF($B8="","",SUM(VLOOKUP($B8,ZAUBERHELD,2,FALSE),VLOOKUP($B8,ZAUBERHELD,10,FALSE),VLOOKUP($B8,ZAUBERHELD,6,FALSE)))</f>
        <v/>
      </c>
      <c r="AE8" s="492"/>
    </row>
    <row r="9" spans="1:32" ht="12.75" customHeight="1" x14ac:dyDescent="0.2">
      <c r="A9" s="2465"/>
      <c r="B9" s="2436" t="str">
        <f ca="1">Zauber!A13</f>
        <v/>
      </c>
      <c r="C9" s="2436"/>
      <c r="D9" s="2437"/>
      <c r="E9" s="2439" t="str">
        <f t="shared" ca="1" si="0"/>
        <v/>
      </c>
      <c r="F9" s="2436"/>
      <c r="G9" s="2436"/>
      <c r="H9" s="2437"/>
      <c r="I9" s="2439" t="str">
        <f t="shared" ca="1" si="6"/>
        <v/>
      </c>
      <c r="J9" s="2436"/>
      <c r="K9" s="2436"/>
      <c r="L9" s="2437"/>
      <c r="M9" s="2439" t="str">
        <f t="shared" ca="1" si="1"/>
        <v/>
      </c>
      <c r="N9" s="2437"/>
      <c r="O9" s="2439" t="str">
        <f t="shared" ca="1" si="2"/>
        <v/>
      </c>
      <c r="P9" s="2436"/>
      <c r="Q9" s="2436"/>
      <c r="R9" s="2437"/>
      <c r="S9" s="2439" t="str">
        <f t="shared" ca="1" si="3"/>
        <v/>
      </c>
      <c r="T9" s="2436"/>
      <c r="U9" s="2437"/>
      <c r="V9" s="2439" t="str">
        <f t="shared" ca="1" si="4"/>
        <v/>
      </c>
      <c r="W9" s="2436"/>
      <c r="X9" s="2437"/>
      <c r="Y9" s="1532" t="str">
        <f t="shared" ca="1" si="5"/>
        <v/>
      </c>
      <c r="Z9" s="2436" t="str">
        <f>IF(Zauber!N13="","",Zauber!N13)</f>
        <v/>
      </c>
      <c r="AA9" s="2436"/>
      <c r="AB9" s="2436"/>
      <c r="AC9" s="2437"/>
      <c r="AD9" s="1533" t="str">
        <f t="shared" ca="1" si="7"/>
        <v/>
      </c>
      <c r="AE9" s="492"/>
    </row>
    <row r="10" spans="1:32" ht="12.75" customHeight="1" x14ac:dyDescent="0.2">
      <c r="A10" s="2465"/>
      <c r="B10" s="2436" t="str">
        <f ca="1">Zauber!A14</f>
        <v/>
      </c>
      <c r="C10" s="2436"/>
      <c r="D10" s="2437"/>
      <c r="E10" s="2439" t="str">
        <f t="shared" ca="1" si="0"/>
        <v/>
      </c>
      <c r="F10" s="2436"/>
      <c r="G10" s="2436"/>
      <c r="H10" s="2437"/>
      <c r="I10" s="2439" t="str">
        <f t="shared" ca="1" si="6"/>
        <v/>
      </c>
      <c r="J10" s="2436"/>
      <c r="K10" s="2436"/>
      <c r="L10" s="2437"/>
      <c r="M10" s="2439" t="str">
        <f t="shared" ca="1" si="1"/>
        <v/>
      </c>
      <c r="N10" s="2437"/>
      <c r="O10" s="2439" t="str">
        <f t="shared" ca="1" si="2"/>
        <v/>
      </c>
      <c r="P10" s="2436"/>
      <c r="Q10" s="2436"/>
      <c r="R10" s="2437"/>
      <c r="S10" s="2439" t="str">
        <f t="shared" ca="1" si="3"/>
        <v/>
      </c>
      <c r="T10" s="2436"/>
      <c r="U10" s="2437"/>
      <c r="V10" s="2439" t="str">
        <f t="shared" ca="1" si="4"/>
        <v/>
      </c>
      <c r="W10" s="2436"/>
      <c r="X10" s="2437"/>
      <c r="Y10" s="1532" t="str">
        <f t="shared" ca="1" si="5"/>
        <v/>
      </c>
      <c r="Z10" s="2436" t="str">
        <f>IF(Zauber!N14="","",Zauber!N14)</f>
        <v/>
      </c>
      <c r="AA10" s="2436"/>
      <c r="AB10" s="2436"/>
      <c r="AC10" s="2437"/>
      <c r="AD10" s="1533" t="str">
        <f t="shared" ca="1" si="7"/>
        <v/>
      </c>
      <c r="AE10" s="492"/>
    </row>
    <row r="11" spans="1:32" ht="12.75" customHeight="1" x14ac:dyDescent="0.2">
      <c r="A11" s="2465"/>
      <c r="B11" s="2436" t="str">
        <f ca="1">Zauber!A15</f>
        <v/>
      </c>
      <c r="C11" s="2436"/>
      <c r="D11" s="2437"/>
      <c r="E11" s="2439" t="str">
        <f t="shared" ca="1" si="0"/>
        <v/>
      </c>
      <c r="F11" s="2436"/>
      <c r="G11" s="2436"/>
      <c r="H11" s="2437"/>
      <c r="I11" s="2439" t="str">
        <f t="shared" ca="1" si="6"/>
        <v/>
      </c>
      <c r="J11" s="2436"/>
      <c r="K11" s="2436"/>
      <c r="L11" s="2437"/>
      <c r="M11" s="2439" t="str">
        <f t="shared" ca="1" si="1"/>
        <v/>
      </c>
      <c r="N11" s="2437"/>
      <c r="O11" s="2439" t="str">
        <f t="shared" ca="1" si="2"/>
        <v/>
      </c>
      <c r="P11" s="2436"/>
      <c r="Q11" s="2436"/>
      <c r="R11" s="2437"/>
      <c r="S11" s="2439" t="str">
        <f t="shared" ca="1" si="3"/>
        <v/>
      </c>
      <c r="T11" s="2436"/>
      <c r="U11" s="2437"/>
      <c r="V11" s="2439" t="str">
        <f t="shared" ca="1" si="4"/>
        <v/>
      </c>
      <c r="W11" s="2436"/>
      <c r="X11" s="2437"/>
      <c r="Y11" s="1532" t="str">
        <f t="shared" ca="1" si="5"/>
        <v/>
      </c>
      <c r="Z11" s="2436" t="str">
        <f>IF(Zauber!N15="","",Zauber!N15)</f>
        <v/>
      </c>
      <c r="AA11" s="2436"/>
      <c r="AB11" s="2436"/>
      <c r="AC11" s="2437"/>
      <c r="AD11" s="1533" t="str">
        <f t="shared" ca="1" si="7"/>
        <v/>
      </c>
      <c r="AE11" s="492"/>
    </row>
    <row r="12" spans="1:32" ht="12.75" customHeight="1" x14ac:dyDescent="0.2">
      <c r="A12" s="2465"/>
      <c r="B12" s="2436" t="str">
        <f ca="1">Zauber!A16</f>
        <v/>
      </c>
      <c r="C12" s="2436"/>
      <c r="D12" s="2437"/>
      <c r="E12" s="2439" t="str">
        <f t="shared" ca="1" si="0"/>
        <v/>
      </c>
      <c r="F12" s="2436"/>
      <c r="G12" s="2436"/>
      <c r="H12" s="2437"/>
      <c r="I12" s="2439" t="str">
        <f t="shared" ca="1" si="6"/>
        <v/>
      </c>
      <c r="J12" s="2436"/>
      <c r="K12" s="2436"/>
      <c r="L12" s="2437"/>
      <c r="M12" s="2439" t="str">
        <f t="shared" ca="1" si="1"/>
        <v/>
      </c>
      <c r="N12" s="2437"/>
      <c r="O12" s="2439" t="str">
        <f t="shared" ca="1" si="2"/>
        <v/>
      </c>
      <c r="P12" s="2436"/>
      <c r="Q12" s="2436"/>
      <c r="R12" s="2437"/>
      <c r="S12" s="2439" t="str">
        <f t="shared" ca="1" si="3"/>
        <v/>
      </c>
      <c r="T12" s="2436"/>
      <c r="U12" s="2437"/>
      <c r="V12" s="2439" t="str">
        <f t="shared" ca="1" si="4"/>
        <v/>
      </c>
      <c r="W12" s="2436"/>
      <c r="X12" s="2437"/>
      <c r="Y12" s="1532" t="str">
        <f t="shared" ca="1" si="5"/>
        <v/>
      </c>
      <c r="Z12" s="2436" t="str">
        <f>IF(Zauber!N16="","",Zauber!N16)</f>
        <v/>
      </c>
      <c r="AA12" s="2436"/>
      <c r="AB12" s="2436"/>
      <c r="AC12" s="2437"/>
      <c r="AD12" s="1533" t="str">
        <f t="shared" ca="1" si="7"/>
        <v/>
      </c>
      <c r="AE12" s="492"/>
    </row>
    <row r="13" spans="1:32" ht="12.75" customHeight="1" x14ac:dyDescent="0.2">
      <c r="A13" s="2465"/>
      <c r="B13" s="2436" t="str">
        <f ca="1">Zauber!A17</f>
        <v/>
      </c>
      <c r="C13" s="2436"/>
      <c r="D13" s="2437"/>
      <c r="E13" s="2439" t="str">
        <f t="shared" ca="1" si="0"/>
        <v/>
      </c>
      <c r="F13" s="2436"/>
      <c r="G13" s="2436"/>
      <c r="H13" s="2437"/>
      <c r="I13" s="2439" t="str">
        <f t="shared" ca="1" si="6"/>
        <v/>
      </c>
      <c r="J13" s="2436"/>
      <c r="K13" s="2436"/>
      <c r="L13" s="2437"/>
      <c r="M13" s="2439" t="str">
        <f t="shared" ca="1" si="1"/>
        <v/>
      </c>
      <c r="N13" s="2437"/>
      <c r="O13" s="2439" t="str">
        <f t="shared" ca="1" si="2"/>
        <v/>
      </c>
      <c r="P13" s="2436"/>
      <c r="Q13" s="2436"/>
      <c r="R13" s="2437"/>
      <c r="S13" s="2439" t="str">
        <f t="shared" ca="1" si="3"/>
        <v/>
      </c>
      <c r="T13" s="2436"/>
      <c r="U13" s="2437"/>
      <c r="V13" s="2439" t="str">
        <f t="shared" ca="1" si="4"/>
        <v/>
      </c>
      <c r="W13" s="2436"/>
      <c r="X13" s="2437"/>
      <c r="Y13" s="1532" t="str">
        <f t="shared" ca="1" si="5"/>
        <v/>
      </c>
      <c r="Z13" s="2436" t="str">
        <f>IF(Zauber!N17="","",Zauber!N17)</f>
        <v/>
      </c>
      <c r="AA13" s="2436"/>
      <c r="AB13" s="2436"/>
      <c r="AC13" s="2437"/>
      <c r="AD13" s="1533" t="str">
        <f t="shared" ca="1" si="7"/>
        <v/>
      </c>
      <c r="AE13" s="492"/>
    </row>
    <row r="14" spans="1:32" ht="12.75" customHeight="1" x14ac:dyDescent="0.2">
      <c r="A14" s="2465"/>
      <c r="B14" s="2436" t="str">
        <f ca="1">Zauber!A18</f>
        <v/>
      </c>
      <c r="C14" s="2436"/>
      <c r="D14" s="2437"/>
      <c r="E14" s="2439" t="str">
        <f ca="1">IF($B14="","",CONCATENATE(VLOOKUP($B14,ZAUBERWERTE,2,FALSE),"•",VLOOKUP($B14,ZAUBERWERTE,3,FALSE),"•",VLOOKUP($B14,ZAUBERWERTE,4,FALSE)," ",VLOOKUP($B14,ZAUBERWERTE,5,FALSE)))</f>
        <v/>
      </c>
      <c r="F14" s="2436"/>
      <c r="G14" s="2436"/>
      <c r="H14" s="2437"/>
      <c r="I14" s="2439" t="str">
        <f t="shared" ca="1" si="6"/>
        <v/>
      </c>
      <c r="J14" s="2436"/>
      <c r="K14" s="2436"/>
      <c r="L14" s="2437"/>
      <c r="M14" s="2439" t="str">
        <f ca="1">IF($B14="","",VLOOKUP($B14,ZAUBERWERTE,6,FALSE))</f>
        <v/>
      </c>
      <c r="N14" s="2437"/>
      <c r="O14" s="2439" t="str">
        <f ca="1">IF($B14="","",VLOOKUP($B14,ZAUBERWERTE,7,FALSE))</f>
        <v/>
      </c>
      <c r="P14" s="2436"/>
      <c r="Q14" s="2436"/>
      <c r="R14" s="2437"/>
      <c r="S14" s="2439" t="str">
        <f ca="1">IF($B14="","",VLOOKUP($B14,ZAUBERWERTE,8,FALSE))</f>
        <v/>
      </c>
      <c r="T14" s="2436"/>
      <c r="U14" s="2437"/>
      <c r="V14" s="2439" t="str">
        <f ca="1">IF($B14="","",VLOOKUP($B14,ZAUBERWERTE,9,FALSE))</f>
        <v/>
      </c>
      <c r="W14" s="2436"/>
      <c r="X14" s="2437"/>
      <c r="Y14" s="1532" t="str">
        <f t="shared" ca="1" si="5"/>
        <v/>
      </c>
      <c r="Z14" s="2436" t="str">
        <f>IF(Zauber!N18="","",Zauber!N18)</f>
        <v/>
      </c>
      <c r="AA14" s="2436"/>
      <c r="AB14" s="2436"/>
      <c r="AC14" s="2437"/>
      <c r="AD14" s="1533" t="str">
        <f t="shared" ca="1" si="7"/>
        <v/>
      </c>
      <c r="AE14" s="492"/>
    </row>
    <row r="15" spans="1:32" ht="12.75" customHeight="1" x14ac:dyDescent="0.2">
      <c r="A15" s="2465"/>
      <c r="B15" s="2436" t="str">
        <f ca="1">Zauber!A19</f>
        <v/>
      </c>
      <c r="C15" s="2436"/>
      <c r="D15" s="2437"/>
      <c r="E15" s="2439" t="str">
        <f t="shared" ref="E15:E55" ca="1" si="8">IF($B15="","",CONCATENATE(VLOOKUP($B15,ZAUBERWERTE,2,FALSE),"•",VLOOKUP($B15,ZAUBERWERTE,3,FALSE),"•",VLOOKUP($B15,ZAUBERWERTE,4,FALSE)," ",VLOOKUP($B15,ZAUBERWERTE,5,FALSE)))</f>
        <v/>
      </c>
      <c r="F15" s="2436"/>
      <c r="G15" s="2436"/>
      <c r="H15" s="2437"/>
      <c r="I15" s="2439" t="str">
        <f t="shared" ca="1" si="6"/>
        <v/>
      </c>
      <c r="J15" s="2436"/>
      <c r="K15" s="2436"/>
      <c r="L15" s="2437"/>
      <c r="M15" s="2439" t="str">
        <f t="shared" ref="M15:M55" ca="1" si="9">IF($B15="","",VLOOKUP($B15,ZAUBERWERTE,6,FALSE))</f>
        <v/>
      </c>
      <c r="N15" s="2437"/>
      <c r="O15" s="2439" t="str">
        <f t="shared" ref="O15:O55" ca="1" si="10">IF($B15="","",VLOOKUP($B15,ZAUBERWERTE,7,FALSE))</f>
        <v/>
      </c>
      <c r="P15" s="2436"/>
      <c r="Q15" s="2436"/>
      <c r="R15" s="2437"/>
      <c r="S15" s="2439" t="str">
        <f t="shared" ref="S15:S55" ca="1" si="11">IF($B15="","",VLOOKUP($B15,ZAUBERWERTE,8,FALSE))</f>
        <v/>
      </c>
      <c r="T15" s="2436"/>
      <c r="U15" s="2437"/>
      <c r="V15" s="2439" t="str">
        <f t="shared" ref="V15:V55" ca="1" si="12">IF($B15="","",VLOOKUP($B15,ZAUBERWERTE,9,FALSE))</f>
        <v/>
      </c>
      <c r="W15" s="2436"/>
      <c r="X15" s="2437"/>
      <c r="Y15" s="1532" t="str">
        <f t="shared" ca="1" si="5"/>
        <v/>
      </c>
      <c r="Z15" s="2436" t="str">
        <f>IF(Zauber!N19="","",Zauber!N19)</f>
        <v/>
      </c>
      <c r="AA15" s="2436"/>
      <c r="AB15" s="2436"/>
      <c r="AC15" s="2437"/>
      <c r="AD15" s="1533" t="str">
        <f t="shared" ca="1" si="7"/>
        <v/>
      </c>
      <c r="AE15" s="492"/>
    </row>
    <row r="16" spans="1:32" ht="12.75" customHeight="1" outlineLevel="1" x14ac:dyDescent="0.2">
      <c r="A16" s="2465"/>
      <c r="B16" s="2436" t="str">
        <f ca="1">Zauber!A20</f>
        <v/>
      </c>
      <c r="C16" s="2436"/>
      <c r="D16" s="2437"/>
      <c r="E16" s="2439" t="str">
        <f t="shared" ca="1" si="8"/>
        <v/>
      </c>
      <c r="F16" s="2436"/>
      <c r="G16" s="2436"/>
      <c r="H16" s="2437"/>
      <c r="I16" s="2439" t="str">
        <f t="shared" ca="1" si="6"/>
        <v/>
      </c>
      <c r="J16" s="2436"/>
      <c r="K16" s="2436"/>
      <c r="L16" s="2437"/>
      <c r="M16" s="2439" t="str">
        <f t="shared" ca="1" si="9"/>
        <v/>
      </c>
      <c r="N16" s="2437"/>
      <c r="O16" s="2439" t="str">
        <f t="shared" ca="1" si="10"/>
        <v/>
      </c>
      <c r="P16" s="2436"/>
      <c r="Q16" s="2436"/>
      <c r="R16" s="2437"/>
      <c r="S16" s="2439" t="str">
        <f t="shared" ca="1" si="11"/>
        <v/>
      </c>
      <c r="T16" s="2436"/>
      <c r="U16" s="2437"/>
      <c r="V16" s="2439" t="str">
        <f t="shared" ca="1" si="12"/>
        <v/>
      </c>
      <c r="W16" s="2436"/>
      <c r="X16" s="2437"/>
      <c r="Y16" s="1532" t="str">
        <f t="shared" ca="1" si="5"/>
        <v/>
      </c>
      <c r="Z16" s="2436" t="str">
        <f>IF(Zauber!N20="","",Zauber!N20)</f>
        <v/>
      </c>
      <c r="AA16" s="2436"/>
      <c r="AB16" s="2436"/>
      <c r="AC16" s="2437"/>
      <c r="AD16" s="1533" t="str">
        <f t="shared" ca="1" si="7"/>
        <v/>
      </c>
      <c r="AE16" s="492"/>
    </row>
    <row r="17" spans="1:31" ht="12.75" customHeight="1" outlineLevel="1" x14ac:dyDescent="0.2">
      <c r="A17" s="2465"/>
      <c r="B17" s="2436" t="str">
        <f ca="1">Zauber!A21</f>
        <v/>
      </c>
      <c r="C17" s="2436"/>
      <c r="D17" s="2437"/>
      <c r="E17" s="2439" t="str">
        <f t="shared" ca="1" si="8"/>
        <v/>
      </c>
      <c r="F17" s="2436"/>
      <c r="G17" s="2436"/>
      <c r="H17" s="2437"/>
      <c r="I17" s="2439" t="str">
        <f t="shared" ca="1" si="6"/>
        <v/>
      </c>
      <c r="J17" s="2436"/>
      <c r="K17" s="2436"/>
      <c r="L17" s="2437"/>
      <c r="M17" s="2439" t="str">
        <f t="shared" ca="1" si="9"/>
        <v/>
      </c>
      <c r="N17" s="2437"/>
      <c r="O17" s="2439" t="str">
        <f t="shared" ca="1" si="10"/>
        <v/>
      </c>
      <c r="P17" s="2436"/>
      <c r="Q17" s="2436"/>
      <c r="R17" s="2437"/>
      <c r="S17" s="2439" t="str">
        <f t="shared" ca="1" si="11"/>
        <v/>
      </c>
      <c r="T17" s="2436"/>
      <c r="U17" s="2437"/>
      <c r="V17" s="2439" t="str">
        <f t="shared" ca="1" si="12"/>
        <v/>
      </c>
      <c r="W17" s="2436"/>
      <c r="X17" s="2437"/>
      <c r="Y17" s="1532" t="str">
        <f t="shared" ca="1" si="5"/>
        <v/>
      </c>
      <c r="Z17" s="2436" t="str">
        <f>IF(Zauber!N21="","",Zauber!N21)</f>
        <v/>
      </c>
      <c r="AA17" s="2436"/>
      <c r="AB17" s="2436"/>
      <c r="AC17" s="2437"/>
      <c r="AD17" s="1533" t="str">
        <f t="shared" ca="1" si="7"/>
        <v/>
      </c>
      <c r="AE17" s="492"/>
    </row>
    <row r="18" spans="1:31" ht="12.75" customHeight="1" outlineLevel="1" x14ac:dyDescent="0.2">
      <c r="A18" s="2465"/>
      <c r="B18" s="2436" t="str">
        <f ca="1">Zauber!A22</f>
        <v/>
      </c>
      <c r="C18" s="2436"/>
      <c r="D18" s="2437"/>
      <c r="E18" s="2439" t="str">
        <f t="shared" ca="1" si="8"/>
        <v/>
      </c>
      <c r="F18" s="2436"/>
      <c r="G18" s="2436"/>
      <c r="H18" s="2437"/>
      <c r="I18" s="2439" t="str">
        <f t="shared" ca="1" si="6"/>
        <v/>
      </c>
      <c r="J18" s="2436"/>
      <c r="K18" s="2436"/>
      <c r="L18" s="2437"/>
      <c r="M18" s="2439" t="str">
        <f t="shared" ca="1" si="9"/>
        <v/>
      </c>
      <c r="N18" s="2437"/>
      <c r="O18" s="2439" t="str">
        <f t="shared" ca="1" si="10"/>
        <v/>
      </c>
      <c r="P18" s="2436"/>
      <c r="Q18" s="2436"/>
      <c r="R18" s="2437"/>
      <c r="S18" s="2439" t="str">
        <f t="shared" ca="1" si="11"/>
        <v/>
      </c>
      <c r="T18" s="2436"/>
      <c r="U18" s="2437"/>
      <c r="V18" s="2439" t="str">
        <f t="shared" ca="1" si="12"/>
        <v/>
      </c>
      <c r="W18" s="2436"/>
      <c r="X18" s="2437"/>
      <c r="Y18" s="1532" t="str">
        <f t="shared" ca="1" si="5"/>
        <v/>
      </c>
      <c r="Z18" s="2436" t="str">
        <f>IF(Zauber!N22="","",Zauber!N22)</f>
        <v/>
      </c>
      <c r="AA18" s="2436"/>
      <c r="AB18" s="2436"/>
      <c r="AC18" s="2437"/>
      <c r="AD18" s="1533" t="str">
        <f t="shared" ca="1" si="7"/>
        <v/>
      </c>
      <c r="AE18" s="492"/>
    </row>
    <row r="19" spans="1:31" ht="12.75" customHeight="1" outlineLevel="1" x14ac:dyDescent="0.2">
      <c r="A19" s="2465"/>
      <c r="B19" s="2436" t="str">
        <f ca="1">Zauber!A23</f>
        <v/>
      </c>
      <c r="C19" s="2436"/>
      <c r="D19" s="2437"/>
      <c r="E19" s="2439" t="str">
        <f t="shared" ca="1" si="8"/>
        <v/>
      </c>
      <c r="F19" s="2436"/>
      <c r="G19" s="2436"/>
      <c r="H19" s="2437"/>
      <c r="I19" s="2439" t="str">
        <f t="shared" ca="1" si="6"/>
        <v/>
      </c>
      <c r="J19" s="2436"/>
      <c r="K19" s="2436"/>
      <c r="L19" s="2437"/>
      <c r="M19" s="2439" t="str">
        <f t="shared" ca="1" si="9"/>
        <v/>
      </c>
      <c r="N19" s="2437"/>
      <c r="O19" s="2439" t="str">
        <f t="shared" ca="1" si="10"/>
        <v/>
      </c>
      <c r="P19" s="2436"/>
      <c r="Q19" s="2436"/>
      <c r="R19" s="2437"/>
      <c r="S19" s="2439" t="str">
        <f t="shared" ca="1" si="11"/>
        <v/>
      </c>
      <c r="T19" s="2436"/>
      <c r="U19" s="2437"/>
      <c r="V19" s="2439" t="str">
        <f t="shared" ca="1" si="12"/>
        <v/>
      </c>
      <c r="W19" s="2436"/>
      <c r="X19" s="2437"/>
      <c r="Y19" s="1532" t="str">
        <f t="shared" ca="1" si="5"/>
        <v/>
      </c>
      <c r="Z19" s="2436" t="str">
        <f>IF(Zauber!N23="","",Zauber!N23)</f>
        <v/>
      </c>
      <c r="AA19" s="2436"/>
      <c r="AB19" s="2436"/>
      <c r="AC19" s="2437"/>
      <c r="AD19" s="1533" t="str">
        <f t="shared" ca="1" si="7"/>
        <v/>
      </c>
      <c r="AE19" s="492"/>
    </row>
    <row r="20" spans="1:31" ht="12.75" customHeight="1" outlineLevel="1" x14ac:dyDescent="0.2">
      <c r="A20" s="2465"/>
      <c r="B20" s="2436" t="str">
        <f ca="1">Zauber!A24</f>
        <v/>
      </c>
      <c r="C20" s="2436"/>
      <c r="D20" s="2437"/>
      <c r="E20" s="2439" t="str">
        <f t="shared" ca="1" si="8"/>
        <v/>
      </c>
      <c r="F20" s="2436"/>
      <c r="G20" s="2436"/>
      <c r="H20" s="2437"/>
      <c r="I20" s="2439" t="str">
        <f t="shared" ca="1" si="6"/>
        <v/>
      </c>
      <c r="J20" s="2436"/>
      <c r="K20" s="2436"/>
      <c r="L20" s="2437"/>
      <c r="M20" s="2439" t="str">
        <f t="shared" ca="1" si="9"/>
        <v/>
      </c>
      <c r="N20" s="2437"/>
      <c r="O20" s="2439" t="str">
        <f t="shared" ca="1" si="10"/>
        <v/>
      </c>
      <c r="P20" s="2436"/>
      <c r="Q20" s="2436"/>
      <c r="R20" s="2437"/>
      <c r="S20" s="2439" t="str">
        <f t="shared" ca="1" si="11"/>
        <v/>
      </c>
      <c r="T20" s="2436"/>
      <c r="U20" s="2437"/>
      <c r="V20" s="2439" t="str">
        <f t="shared" ca="1" si="12"/>
        <v/>
      </c>
      <c r="W20" s="2436"/>
      <c r="X20" s="2437"/>
      <c r="Y20" s="1532" t="str">
        <f t="shared" ca="1" si="5"/>
        <v/>
      </c>
      <c r="Z20" s="2436" t="str">
        <f>IF(Zauber!N24="","",Zauber!N24)</f>
        <v/>
      </c>
      <c r="AA20" s="2436"/>
      <c r="AB20" s="2436"/>
      <c r="AC20" s="2437"/>
      <c r="AD20" s="1533" t="str">
        <f t="shared" ca="1" si="7"/>
        <v/>
      </c>
      <c r="AE20" s="492"/>
    </row>
    <row r="21" spans="1:31" ht="12.75" customHeight="1" outlineLevel="1" x14ac:dyDescent="0.2">
      <c r="A21" s="2465"/>
      <c r="B21" s="2436" t="str">
        <f ca="1">Zauber!A25</f>
        <v/>
      </c>
      <c r="C21" s="2436"/>
      <c r="D21" s="2437"/>
      <c r="E21" s="2439" t="str">
        <f t="shared" ca="1" si="8"/>
        <v/>
      </c>
      <c r="F21" s="2436"/>
      <c r="G21" s="2436"/>
      <c r="H21" s="2437"/>
      <c r="I21" s="2439" t="str">
        <f t="shared" ca="1" si="6"/>
        <v/>
      </c>
      <c r="J21" s="2436"/>
      <c r="K21" s="2436"/>
      <c r="L21" s="2437"/>
      <c r="M21" s="2439" t="str">
        <f t="shared" ca="1" si="9"/>
        <v/>
      </c>
      <c r="N21" s="2437"/>
      <c r="O21" s="2439" t="str">
        <f t="shared" ca="1" si="10"/>
        <v/>
      </c>
      <c r="P21" s="2436"/>
      <c r="Q21" s="2436"/>
      <c r="R21" s="2437"/>
      <c r="S21" s="2439" t="str">
        <f t="shared" ca="1" si="11"/>
        <v/>
      </c>
      <c r="T21" s="2436"/>
      <c r="U21" s="2437"/>
      <c r="V21" s="2439" t="str">
        <f t="shared" ca="1" si="12"/>
        <v/>
      </c>
      <c r="W21" s="2436"/>
      <c r="X21" s="2437"/>
      <c r="Y21" s="1532" t="str">
        <f t="shared" ca="1" si="5"/>
        <v/>
      </c>
      <c r="Z21" s="2436" t="str">
        <f>IF(Zauber!N25="","",Zauber!N25)</f>
        <v/>
      </c>
      <c r="AA21" s="2436"/>
      <c r="AB21" s="2436"/>
      <c r="AC21" s="2437"/>
      <c r="AD21" s="1533" t="str">
        <f t="shared" ca="1" si="7"/>
        <v/>
      </c>
      <c r="AE21" s="492"/>
    </row>
    <row r="22" spans="1:31" ht="12.75" customHeight="1" outlineLevel="1" x14ac:dyDescent="0.2">
      <c r="A22" s="2465"/>
      <c r="B22" s="2436" t="str">
        <f ca="1">Zauber!A26</f>
        <v/>
      </c>
      <c r="C22" s="2436"/>
      <c r="D22" s="2437"/>
      <c r="E22" s="2439" t="str">
        <f t="shared" ca="1" si="8"/>
        <v/>
      </c>
      <c r="F22" s="2436"/>
      <c r="G22" s="2436"/>
      <c r="H22" s="2437"/>
      <c r="I22" s="2439" t="str">
        <f t="shared" ca="1" si="6"/>
        <v/>
      </c>
      <c r="J22" s="2436"/>
      <c r="K22" s="2436"/>
      <c r="L22" s="2437"/>
      <c r="M22" s="2439" t="str">
        <f t="shared" ca="1" si="9"/>
        <v/>
      </c>
      <c r="N22" s="2437"/>
      <c r="O22" s="2439" t="str">
        <f t="shared" ca="1" si="10"/>
        <v/>
      </c>
      <c r="P22" s="2436"/>
      <c r="Q22" s="2436"/>
      <c r="R22" s="2437"/>
      <c r="S22" s="2439" t="str">
        <f t="shared" ca="1" si="11"/>
        <v/>
      </c>
      <c r="T22" s="2436"/>
      <c r="U22" s="2437"/>
      <c r="V22" s="2439" t="str">
        <f t="shared" ca="1" si="12"/>
        <v/>
      </c>
      <c r="W22" s="2436"/>
      <c r="X22" s="2437"/>
      <c r="Y22" s="1532" t="str">
        <f t="shared" ca="1" si="5"/>
        <v/>
      </c>
      <c r="Z22" s="2436" t="str">
        <f>IF(Zauber!N26="","",Zauber!N26)</f>
        <v/>
      </c>
      <c r="AA22" s="2436"/>
      <c r="AB22" s="2436"/>
      <c r="AC22" s="2437"/>
      <c r="AD22" s="1533" t="str">
        <f t="shared" ca="1" si="7"/>
        <v/>
      </c>
      <c r="AE22" s="492"/>
    </row>
    <row r="23" spans="1:31" ht="12.75" customHeight="1" outlineLevel="1" x14ac:dyDescent="0.2">
      <c r="A23" s="2465"/>
      <c r="B23" s="2436" t="str">
        <f ca="1">Zauber!A27</f>
        <v/>
      </c>
      <c r="C23" s="2436"/>
      <c r="D23" s="2437"/>
      <c r="E23" s="2439" t="str">
        <f t="shared" ca="1" si="8"/>
        <v/>
      </c>
      <c r="F23" s="2436"/>
      <c r="G23" s="2436"/>
      <c r="H23" s="2437"/>
      <c r="I23" s="2439" t="str">
        <f t="shared" ca="1" si="6"/>
        <v/>
      </c>
      <c r="J23" s="2436"/>
      <c r="K23" s="2436"/>
      <c r="L23" s="2437"/>
      <c r="M23" s="2439" t="str">
        <f t="shared" ca="1" si="9"/>
        <v/>
      </c>
      <c r="N23" s="2437"/>
      <c r="O23" s="2439" t="str">
        <f t="shared" ca="1" si="10"/>
        <v/>
      </c>
      <c r="P23" s="2436"/>
      <c r="Q23" s="2436"/>
      <c r="R23" s="2437"/>
      <c r="S23" s="2439" t="str">
        <f t="shared" ca="1" si="11"/>
        <v/>
      </c>
      <c r="T23" s="2436"/>
      <c r="U23" s="2437"/>
      <c r="V23" s="2439" t="str">
        <f t="shared" ca="1" si="12"/>
        <v/>
      </c>
      <c r="W23" s="2436"/>
      <c r="X23" s="2437"/>
      <c r="Y23" s="1532" t="str">
        <f t="shared" ca="1" si="5"/>
        <v/>
      </c>
      <c r="Z23" s="2436" t="str">
        <f>IF(Zauber!N27="","",Zauber!N27)</f>
        <v/>
      </c>
      <c r="AA23" s="2436"/>
      <c r="AB23" s="2436"/>
      <c r="AC23" s="2437"/>
      <c r="AD23" s="1533" t="str">
        <f t="shared" ca="1" si="7"/>
        <v/>
      </c>
      <c r="AE23" s="492"/>
    </row>
    <row r="24" spans="1:31" ht="12.75" customHeight="1" outlineLevel="1" x14ac:dyDescent="0.2">
      <c r="A24" s="2465"/>
      <c r="B24" s="2436" t="str">
        <f ca="1">Zauber!A28</f>
        <v/>
      </c>
      <c r="C24" s="2436"/>
      <c r="D24" s="2437"/>
      <c r="E24" s="2439" t="str">
        <f t="shared" ca="1" si="8"/>
        <v/>
      </c>
      <c r="F24" s="2436"/>
      <c r="G24" s="2436"/>
      <c r="H24" s="2437"/>
      <c r="I24" s="2439" t="str">
        <f t="shared" ca="1" si="6"/>
        <v/>
      </c>
      <c r="J24" s="2436"/>
      <c r="K24" s="2436"/>
      <c r="L24" s="2437"/>
      <c r="M24" s="2439" t="str">
        <f t="shared" ca="1" si="9"/>
        <v/>
      </c>
      <c r="N24" s="2437"/>
      <c r="O24" s="2439" t="str">
        <f t="shared" ca="1" si="10"/>
        <v/>
      </c>
      <c r="P24" s="2436"/>
      <c r="Q24" s="2436"/>
      <c r="R24" s="2437"/>
      <c r="S24" s="2439" t="str">
        <f t="shared" ca="1" si="11"/>
        <v/>
      </c>
      <c r="T24" s="2436"/>
      <c r="U24" s="2437"/>
      <c r="V24" s="2439" t="str">
        <f t="shared" ca="1" si="12"/>
        <v/>
      </c>
      <c r="W24" s="2436"/>
      <c r="X24" s="2437"/>
      <c r="Y24" s="1532" t="str">
        <f t="shared" ca="1" si="5"/>
        <v/>
      </c>
      <c r="Z24" s="2436" t="str">
        <f>IF(Zauber!N28="","",Zauber!N28)</f>
        <v/>
      </c>
      <c r="AA24" s="2436"/>
      <c r="AB24" s="2436"/>
      <c r="AC24" s="2437"/>
      <c r="AD24" s="1533" t="str">
        <f t="shared" ca="1" si="7"/>
        <v/>
      </c>
      <c r="AE24" s="492"/>
    </row>
    <row r="25" spans="1:31" ht="12.75" customHeight="1" outlineLevel="1" x14ac:dyDescent="0.2">
      <c r="A25" s="2465"/>
      <c r="B25" s="2436" t="str">
        <f ca="1">Zauber!A29</f>
        <v/>
      </c>
      <c r="C25" s="2436"/>
      <c r="D25" s="2437"/>
      <c r="E25" s="2439" t="str">
        <f t="shared" ca="1" si="8"/>
        <v/>
      </c>
      <c r="F25" s="2436"/>
      <c r="G25" s="2436"/>
      <c r="H25" s="2437"/>
      <c r="I25" s="2439" t="str">
        <f t="shared" ca="1" si="6"/>
        <v/>
      </c>
      <c r="J25" s="2436"/>
      <c r="K25" s="2436"/>
      <c r="L25" s="2437"/>
      <c r="M25" s="2439" t="str">
        <f t="shared" ca="1" si="9"/>
        <v/>
      </c>
      <c r="N25" s="2437"/>
      <c r="O25" s="2439" t="str">
        <f t="shared" ca="1" si="10"/>
        <v/>
      </c>
      <c r="P25" s="2436"/>
      <c r="Q25" s="2436"/>
      <c r="R25" s="2437"/>
      <c r="S25" s="2439" t="str">
        <f t="shared" ca="1" si="11"/>
        <v/>
      </c>
      <c r="T25" s="2436"/>
      <c r="U25" s="2437"/>
      <c r="V25" s="2439" t="str">
        <f t="shared" ca="1" si="12"/>
        <v/>
      </c>
      <c r="W25" s="2436"/>
      <c r="X25" s="2437"/>
      <c r="Y25" s="1532" t="str">
        <f t="shared" ca="1" si="5"/>
        <v/>
      </c>
      <c r="Z25" s="2436" t="str">
        <f>IF(Zauber!N29="","",Zauber!N29)</f>
        <v/>
      </c>
      <c r="AA25" s="2436"/>
      <c r="AB25" s="2436"/>
      <c r="AC25" s="2437"/>
      <c r="AD25" s="1533" t="str">
        <f t="shared" ca="1" si="7"/>
        <v/>
      </c>
      <c r="AE25" s="492"/>
    </row>
    <row r="26" spans="1:31" ht="12.75" customHeight="1" outlineLevel="1" x14ac:dyDescent="0.2">
      <c r="A26" s="2465"/>
      <c r="B26" s="2436" t="str">
        <f ca="1">Zauber!A30</f>
        <v/>
      </c>
      <c r="C26" s="2436"/>
      <c r="D26" s="2437"/>
      <c r="E26" s="2439" t="str">
        <f t="shared" ca="1" si="8"/>
        <v/>
      </c>
      <c r="F26" s="2436"/>
      <c r="G26" s="2436"/>
      <c r="H26" s="2437"/>
      <c r="I26" s="2439" t="str">
        <f t="shared" ca="1" si="6"/>
        <v/>
      </c>
      <c r="J26" s="2436"/>
      <c r="K26" s="2436"/>
      <c r="L26" s="2437"/>
      <c r="M26" s="2439" t="str">
        <f t="shared" ca="1" si="9"/>
        <v/>
      </c>
      <c r="N26" s="2437"/>
      <c r="O26" s="2439" t="str">
        <f t="shared" ca="1" si="10"/>
        <v/>
      </c>
      <c r="P26" s="2436"/>
      <c r="Q26" s="2436"/>
      <c r="R26" s="2437"/>
      <c r="S26" s="2439" t="str">
        <f t="shared" ca="1" si="11"/>
        <v/>
      </c>
      <c r="T26" s="2436"/>
      <c r="U26" s="2437"/>
      <c r="V26" s="2439" t="str">
        <f t="shared" ca="1" si="12"/>
        <v/>
      </c>
      <c r="W26" s="2436"/>
      <c r="X26" s="2437"/>
      <c r="Y26" s="1532" t="str">
        <f t="shared" ca="1" si="5"/>
        <v/>
      </c>
      <c r="Z26" s="2436" t="str">
        <f>IF(Zauber!N30="","",Zauber!N30)</f>
        <v/>
      </c>
      <c r="AA26" s="2436"/>
      <c r="AB26" s="2436"/>
      <c r="AC26" s="2437"/>
      <c r="AD26" s="1533" t="str">
        <f t="shared" ca="1" si="7"/>
        <v/>
      </c>
      <c r="AE26" s="492"/>
    </row>
    <row r="27" spans="1:31" ht="12.75" customHeight="1" outlineLevel="1" x14ac:dyDescent="0.2">
      <c r="A27" s="2465"/>
      <c r="B27" s="2436" t="str">
        <f ca="1">Zauber!A31</f>
        <v/>
      </c>
      <c r="C27" s="2436"/>
      <c r="D27" s="2437"/>
      <c r="E27" s="2439" t="str">
        <f t="shared" ca="1" si="8"/>
        <v/>
      </c>
      <c r="F27" s="2436"/>
      <c r="G27" s="2436"/>
      <c r="H27" s="2437"/>
      <c r="I27" s="2439" t="str">
        <f t="shared" ca="1" si="6"/>
        <v/>
      </c>
      <c r="J27" s="2436"/>
      <c r="K27" s="2436"/>
      <c r="L27" s="2437"/>
      <c r="M27" s="2439" t="str">
        <f t="shared" ca="1" si="9"/>
        <v/>
      </c>
      <c r="N27" s="2437"/>
      <c r="O27" s="2439" t="str">
        <f t="shared" ca="1" si="10"/>
        <v/>
      </c>
      <c r="P27" s="2436"/>
      <c r="Q27" s="2436"/>
      <c r="R27" s="2437"/>
      <c r="S27" s="2439" t="str">
        <f t="shared" ca="1" si="11"/>
        <v/>
      </c>
      <c r="T27" s="2436"/>
      <c r="U27" s="2437"/>
      <c r="V27" s="2439" t="str">
        <f t="shared" ca="1" si="12"/>
        <v/>
      </c>
      <c r="W27" s="2436"/>
      <c r="X27" s="2437"/>
      <c r="Y27" s="1532" t="str">
        <f t="shared" ca="1" si="5"/>
        <v/>
      </c>
      <c r="Z27" s="2436" t="str">
        <f>IF(Zauber!N31="","",Zauber!N31)</f>
        <v/>
      </c>
      <c r="AA27" s="2436"/>
      <c r="AB27" s="2436"/>
      <c r="AC27" s="2437"/>
      <c r="AD27" s="1533" t="str">
        <f t="shared" ca="1" si="7"/>
        <v/>
      </c>
      <c r="AE27" s="492"/>
    </row>
    <row r="28" spans="1:31" ht="12.75" customHeight="1" outlineLevel="1" x14ac:dyDescent="0.2">
      <c r="A28" s="2465"/>
      <c r="B28" s="2436" t="str">
        <f ca="1">Zauber!A32</f>
        <v/>
      </c>
      <c r="C28" s="2436"/>
      <c r="D28" s="2437"/>
      <c r="E28" s="2439" t="str">
        <f t="shared" ca="1" si="8"/>
        <v/>
      </c>
      <c r="F28" s="2436"/>
      <c r="G28" s="2436"/>
      <c r="H28" s="2437"/>
      <c r="I28" s="2439" t="str">
        <f t="shared" ca="1" si="6"/>
        <v/>
      </c>
      <c r="J28" s="2436"/>
      <c r="K28" s="2436"/>
      <c r="L28" s="2437"/>
      <c r="M28" s="2439" t="str">
        <f t="shared" ca="1" si="9"/>
        <v/>
      </c>
      <c r="N28" s="2437"/>
      <c r="O28" s="2439" t="str">
        <f t="shared" ca="1" si="10"/>
        <v/>
      </c>
      <c r="P28" s="2436"/>
      <c r="Q28" s="2436"/>
      <c r="R28" s="2437"/>
      <c r="S28" s="2439" t="str">
        <f t="shared" ca="1" si="11"/>
        <v/>
      </c>
      <c r="T28" s="2436"/>
      <c r="U28" s="2437"/>
      <c r="V28" s="2439" t="str">
        <f t="shared" ca="1" si="12"/>
        <v/>
      </c>
      <c r="W28" s="2436"/>
      <c r="X28" s="2437"/>
      <c r="Y28" s="1532" t="str">
        <f t="shared" ca="1" si="5"/>
        <v/>
      </c>
      <c r="Z28" s="2436" t="str">
        <f>IF(Zauber!N32="","",Zauber!N32)</f>
        <v/>
      </c>
      <c r="AA28" s="2436"/>
      <c r="AB28" s="2436"/>
      <c r="AC28" s="2437"/>
      <c r="AD28" s="1533" t="str">
        <f t="shared" ca="1" si="7"/>
        <v/>
      </c>
      <c r="AE28" s="492"/>
    </row>
    <row r="29" spans="1:31" ht="12.75" customHeight="1" outlineLevel="1" x14ac:dyDescent="0.2">
      <c r="A29" s="2465"/>
      <c r="B29" s="2436" t="str">
        <f ca="1">Zauber!A33</f>
        <v/>
      </c>
      <c r="C29" s="2436"/>
      <c r="D29" s="2437"/>
      <c r="E29" s="2439" t="str">
        <f t="shared" ca="1" si="8"/>
        <v/>
      </c>
      <c r="F29" s="2436"/>
      <c r="G29" s="2436"/>
      <c r="H29" s="2437"/>
      <c r="I29" s="2439" t="str">
        <f t="shared" ca="1" si="6"/>
        <v/>
      </c>
      <c r="J29" s="2436"/>
      <c r="K29" s="2436"/>
      <c r="L29" s="2437"/>
      <c r="M29" s="2439" t="str">
        <f t="shared" ca="1" si="9"/>
        <v/>
      </c>
      <c r="N29" s="2437"/>
      <c r="O29" s="2439" t="str">
        <f t="shared" ca="1" si="10"/>
        <v/>
      </c>
      <c r="P29" s="2436"/>
      <c r="Q29" s="2436"/>
      <c r="R29" s="2437"/>
      <c r="S29" s="2439" t="str">
        <f t="shared" ca="1" si="11"/>
        <v/>
      </c>
      <c r="T29" s="2436"/>
      <c r="U29" s="2437"/>
      <c r="V29" s="2439" t="str">
        <f t="shared" ca="1" si="12"/>
        <v/>
      </c>
      <c r="W29" s="2436"/>
      <c r="X29" s="2437"/>
      <c r="Y29" s="1532" t="str">
        <f t="shared" ca="1" si="5"/>
        <v/>
      </c>
      <c r="Z29" s="2436" t="str">
        <f>IF(Zauber!N33="","",Zauber!N33)</f>
        <v/>
      </c>
      <c r="AA29" s="2436"/>
      <c r="AB29" s="2436"/>
      <c r="AC29" s="2437"/>
      <c r="AD29" s="1533" t="str">
        <f t="shared" ca="1" si="7"/>
        <v/>
      </c>
      <c r="AE29" s="492"/>
    </row>
    <row r="30" spans="1:31" ht="12.75" customHeight="1" outlineLevel="1" x14ac:dyDescent="0.2">
      <c r="A30" s="2465"/>
      <c r="B30" s="2436" t="str">
        <f ca="1">Zauber!A34</f>
        <v/>
      </c>
      <c r="C30" s="2436"/>
      <c r="D30" s="2437"/>
      <c r="E30" s="2439" t="str">
        <f t="shared" ca="1" si="8"/>
        <v/>
      </c>
      <c r="F30" s="2436"/>
      <c r="G30" s="2436"/>
      <c r="H30" s="2437"/>
      <c r="I30" s="2439" t="str">
        <f t="shared" ca="1" si="6"/>
        <v/>
      </c>
      <c r="J30" s="2436"/>
      <c r="K30" s="2436"/>
      <c r="L30" s="2437"/>
      <c r="M30" s="2439" t="str">
        <f t="shared" ca="1" si="9"/>
        <v/>
      </c>
      <c r="N30" s="2437"/>
      <c r="O30" s="2439" t="str">
        <f t="shared" ca="1" si="10"/>
        <v/>
      </c>
      <c r="P30" s="2436"/>
      <c r="Q30" s="2436"/>
      <c r="R30" s="2437"/>
      <c r="S30" s="2439" t="str">
        <f t="shared" ca="1" si="11"/>
        <v/>
      </c>
      <c r="T30" s="2436"/>
      <c r="U30" s="2437"/>
      <c r="V30" s="2439" t="str">
        <f t="shared" ca="1" si="12"/>
        <v/>
      </c>
      <c r="W30" s="2436"/>
      <c r="X30" s="2437"/>
      <c r="Y30" s="1532" t="str">
        <f t="shared" ca="1" si="5"/>
        <v/>
      </c>
      <c r="Z30" s="2436" t="str">
        <f>IF(Zauber!N34="","",Zauber!N34)</f>
        <v/>
      </c>
      <c r="AA30" s="2436"/>
      <c r="AB30" s="2436"/>
      <c r="AC30" s="2437"/>
      <c r="AD30" s="1533" t="str">
        <f t="shared" ca="1" si="7"/>
        <v/>
      </c>
      <c r="AE30" s="492"/>
    </row>
    <row r="31" spans="1:31" ht="12.75" customHeight="1" outlineLevel="1" x14ac:dyDescent="0.2">
      <c r="A31" s="2465"/>
      <c r="B31" s="2436" t="str">
        <f ca="1">Zauber!A35</f>
        <v/>
      </c>
      <c r="C31" s="2436"/>
      <c r="D31" s="2437"/>
      <c r="E31" s="2439" t="str">
        <f t="shared" ca="1" si="8"/>
        <v/>
      </c>
      <c r="F31" s="2436"/>
      <c r="G31" s="2436"/>
      <c r="H31" s="2437"/>
      <c r="I31" s="2439" t="str">
        <f t="shared" ca="1" si="6"/>
        <v/>
      </c>
      <c r="J31" s="2436"/>
      <c r="K31" s="2436"/>
      <c r="L31" s="2437"/>
      <c r="M31" s="2439" t="str">
        <f t="shared" ca="1" si="9"/>
        <v/>
      </c>
      <c r="N31" s="2437"/>
      <c r="O31" s="2439" t="str">
        <f t="shared" ca="1" si="10"/>
        <v/>
      </c>
      <c r="P31" s="2436"/>
      <c r="Q31" s="2436"/>
      <c r="R31" s="2437"/>
      <c r="S31" s="2439" t="str">
        <f t="shared" ca="1" si="11"/>
        <v/>
      </c>
      <c r="T31" s="2436"/>
      <c r="U31" s="2437"/>
      <c r="V31" s="2439" t="str">
        <f t="shared" ca="1" si="12"/>
        <v/>
      </c>
      <c r="W31" s="2436"/>
      <c r="X31" s="2437"/>
      <c r="Y31" s="1532" t="str">
        <f t="shared" ca="1" si="5"/>
        <v/>
      </c>
      <c r="Z31" s="2436" t="str">
        <f>IF(Zauber!N35="","",Zauber!N35)</f>
        <v/>
      </c>
      <c r="AA31" s="2436"/>
      <c r="AB31" s="2436"/>
      <c r="AC31" s="2437"/>
      <c r="AD31" s="1533" t="str">
        <f t="shared" ca="1" si="7"/>
        <v/>
      </c>
      <c r="AE31" s="492"/>
    </row>
    <row r="32" spans="1:31" ht="12.75" customHeight="1" x14ac:dyDescent="0.2">
      <c r="A32" s="2465"/>
      <c r="B32" s="2480" t="s">
        <v>3597</v>
      </c>
      <c r="C32" s="2480"/>
      <c r="D32" s="2481"/>
      <c r="E32" s="2439"/>
      <c r="F32" s="2436"/>
      <c r="G32" s="2436"/>
      <c r="H32" s="2437"/>
      <c r="I32" s="2439"/>
      <c r="J32" s="2436"/>
      <c r="K32" s="2436"/>
      <c r="L32" s="2437"/>
      <c r="M32" s="2439"/>
      <c r="N32" s="2437"/>
      <c r="O32" s="2439"/>
      <c r="P32" s="2436"/>
      <c r="Q32" s="2436"/>
      <c r="R32" s="2437"/>
      <c r="S32" s="2439"/>
      <c r="T32" s="2436"/>
      <c r="U32" s="2437"/>
      <c r="V32" s="2439"/>
      <c r="W32" s="2436"/>
      <c r="X32" s="2437"/>
      <c r="Y32" s="1532"/>
      <c r="Z32" s="2436"/>
      <c r="AA32" s="2436"/>
      <c r="AB32" s="2436"/>
      <c r="AC32" s="2437"/>
      <c r="AD32" s="1533"/>
      <c r="AE32" s="492"/>
    </row>
    <row r="33" spans="1:31" ht="12.75" customHeight="1" x14ac:dyDescent="0.2">
      <c r="A33" s="2465"/>
      <c r="B33" s="2436" t="str">
        <f ca="1">Zauber!A37</f>
        <v/>
      </c>
      <c r="C33" s="2436"/>
      <c r="D33" s="2437"/>
      <c r="E33" s="2439" t="str">
        <f t="shared" ca="1" si="8"/>
        <v/>
      </c>
      <c r="F33" s="2436"/>
      <c r="G33" s="2436"/>
      <c r="H33" s="2437"/>
      <c r="I33" s="2439" t="str">
        <f t="shared" ca="1" si="6"/>
        <v/>
      </c>
      <c r="J33" s="2436"/>
      <c r="K33" s="2436"/>
      <c r="L33" s="2437"/>
      <c r="M33" s="2439" t="str">
        <f t="shared" ca="1" si="9"/>
        <v/>
      </c>
      <c r="N33" s="2437"/>
      <c r="O33" s="2439" t="str">
        <f t="shared" ca="1" si="10"/>
        <v/>
      </c>
      <c r="P33" s="2436"/>
      <c r="Q33" s="2436"/>
      <c r="R33" s="2437"/>
      <c r="S33" s="2439" t="str">
        <f t="shared" ca="1" si="11"/>
        <v/>
      </c>
      <c r="T33" s="2436"/>
      <c r="U33" s="2437"/>
      <c r="V33" s="2439" t="str">
        <f t="shared" ca="1" si="12"/>
        <v/>
      </c>
      <c r="W33" s="2436"/>
      <c r="X33" s="2437"/>
      <c r="Y33" s="1532" t="str">
        <f t="shared" ref="Y33:Y55" ca="1" si="13">IF($B33="","",VLOOKUP($B33,ZAUBERWERTE,16,FALSE))</f>
        <v/>
      </c>
      <c r="Z33" s="2436" t="str">
        <f>IF(Zauber!N37="","",Zauber!N37)</f>
        <v/>
      </c>
      <c r="AA33" s="2436"/>
      <c r="AB33" s="2436"/>
      <c r="AC33" s="2437"/>
      <c r="AD33" s="1533" t="str">
        <f t="shared" ca="1" si="7"/>
        <v/>
      </c>
      <c r="AE33" s="492"/>
    </row>
    <row r="34" spans="1:31" ht="12.75" customHeight="1" x14ac:dyDescent="0.2">
      <c r="A34" s="2465"/>
      <c r="B34" s="2436" t="str">
        <f ca="1">Zauber!A38</f>
        <v/>
      </c>
      <c r="C34" s="2436"/>
      <c r="D34" s="2437"/>
      <c r="E34" s="2439" t="str">
        <f t="shared" ca="1" si="8"/>
        <v/>
      </c>
      <c r="F34" s="2436"/>
      <c r="G34" s="2436"/>
      <c r="H34" s="2437"/>
      <c r="I34" s="2439" t="str">
        <f t="shared" ca="1" si="6"/>
        <v/>
      </c>
      <c r="J34" s="2436"/>
      <c r="K34" s="2436"/>
      <c r="L34" s="2437"/>
      <c r="M34" s="2439" t="str">
        <f t="shared" ca="1" si="9"/>
        <v/>
      </c>
      <c r="N34" s="2437"/>
      <c r="O34" s="2439" t="str">
        <f t="shared" ca="1" si="10"/>
        <v/>
      </c>
      <c r="P34" s="2436"/>
      <c r="Q34" s="2436"/>
      <c r="R34" s="2437"/>
      <c r="S34" s="2439" t="str">
        <f t="shared" ca="1" si="11"/>
        <v/>
      </c>
      <c r="T34" s="2436"/>
      <c r="U34" s="2437"/>
      <c r="V34" s="2439" t="str">
        <f t="shared" ca="1" si="12"/>
        <v/>
      </c>
      <c r="W34" s="2436"/>
      <c r="X34" s="2437"/>
      <c r="Y34" s="1532" t="str">
        <f t="shared" ca="1" si="13"/>
        <v/>
      </c>
      <c r="Z34" s="2436" t="str">
        <f>IF(Zauber!N38="","",Zauber!N38)</f>
        <v/>
      </c>
      <c r="AA34" s="2436"/>
      <c r="AB34" s="2436"/>
      <c r="AC34" s="2437"/>
      <c r="AD34" s="1533" t="str">
        <f t="shared" ca="1" si="7"/>
        <v/>
      </c>
      <c r="AE34" s="492"/>
    </row>
    <row r="35" spans="1:31" ht="12.75" customHeight="1" x14ac:dyDescent="0.2">
      <c r="A35" s="2465"/>
      <c r="B35" s="2436" t="str">
        <f ca="1">Zauber!A39</f>
        <v/>
      </c>
      <c r="C35" s="2436"/>
      <c r="D35" s="2437"/>
      <c r="E35" s="2439" t="str">
        <f t="shared" ca="1" si="8"/>
        <v/>
      </c>
      <c r="F35" s="2436"/>
      <c r="G35" s="2436"/>
      <c r="H35" s="2437"/>
      <c r="I35" s="2439" t="str">
        <f t="shared" ca="1" si="6"/>
        <v/>
      </c>
      <c r="J35" s="2436"/>
      <c r="K35" s="2436"/>
      <c r="L35" s="2437"/>
      <c r="M35" s="2439" t="str">
        <f t="shared" ca="1" si="9"/>
        <v/>
      </c>
      <c r="N35" s="2437"/>
      <c r="O35" s="2439" t="str">
        <f t="shared" ca="1" si="10"/>
        <v/>
      </c>
      <c r="P35" s="2436"/>
      <c r="Q35" s="2436"/>
      <c r="R35" s="2437"/>
      <c r="S35" s="2439" t="str">
        <f t="shared" ca="1" si="11"/>
        <v/>
      </c>
      <c r="T35" s="2436"/>
      <c r="U35" s="2437"/>
      <c r="V35" s="2439" t="str">
        <f t="shared" ca="1" si="12"/>
        <v/>
      </c>
      <c r="W35" s="2436"/>
      <c r="X35" s="2437"/>
      <c r="Y35" s="1532" t="str">
        <f t="shared" ca="1" si="13"/>
        <v/>
      </c>
      <c r="Z35" s="2436" t="str">
        <f>IF(Zauber!N39="","",Zauber!N39)</f>
        <v/>
      </c>
      <c r="AA35" s="2436"/>
      <c r="AB35" s="2436"/>
      <c r="AC35" s="2437"/>
      <c r="AD35" s="1533" t="str">
        <f t="shared" ca="1" si="7"/>
        <v/>
      </c>
      <c r="AE35" s="492"/>
    </row>
    <row r="36" spans="1:31" ht="12.75" customHeight="1" x14ac:dyDescent="0.2">
      <c r="A36" s="2465"/>
      <c r="B36" s="2436" t="str">
        <f ca="1">Zauber!A40</f>
        <v/>
      </c>
      <c r="C36" s="2436"/>
      <c r="D36" s="2437"/>
      <c r="E36" s="2439" t="str">
        <f t="shared" ca="1" si="8"/>
        <v/>
      </c>
      <c r="F36" s="2436"/>
      <c r="G36" s="2436"/>
      <c r="H36" s="2437"/>
      <c r="I36" s="2439" t="str">
        <f t="shared" ca="1" si="6"/>
        <v/>
      </c>
      <c r="J36" s="2436"/>
      <c r="K36" s="2436"/>
      <c r="L36" s="2437"/>
      <c r="M36" s="2439" t="str">
        <f t="shared" ca="1" si="9"/>
        <v/>
      </c>
      <c r="N36" s="2437"/>
      <c r="O36" s="2439" t="str">
        <f t="shared" ca="1" si="10"/>
        <v/>
      </c>
      <c r="P36" s="2436"/>
      <c r="Q36" s="2436"/>
      <c r="R36" s="2437"/>
      <c r="S36" s="2439" t="str">
        <f t="shared" ca="1" si="11"/>
        <v/>
      </c>
      <c r="T36" s="2436"/>
      <c r="U36" s="2437"/>
      <c r="V36" s="2439" t="str">
        <f t="shared" ca="1" si="12"/>
        <v/>
      </c>
      <c r="W36" s="2436"/>
      <c r="X36" s="2437"/>
      <c r="Y36" s="1532" t="str">
        <f t="shared" ca="1" si="13"/>
        <v/>
      </c>
      <c r="Z36" s="2436" t="str">
        <f>IF(Zauber!N40="","",Zauber!N40)</f>
        <v/>
      </c>
      <c r="AA36" s="2436"/>
      <c r="AB36" s="2436"/>
      <c r="AC36" s="2437"/>
      <c r="AD36" s="1533" t="str">
        <f t="shared" ca="1" si="7"/>
        <v/>
      </c>
      <c r="AE36" s="492"/>
    </row>
    <row r="37" spans="1:31" ht="12.75" customHeight="1" x14ac:dyDescent="0.2">
      <c r="A37" s="2465"/>
      <c r="B37" s="2436" t="str">
        <f ca="1">Zauber!A41</f>
        <v/>
      </c>
      <c r="C37" s="2436"/>
      <c r="D37" s="2437"/>
      <c r="E37" s="2439" t="str">
        <f t="shared" ca="1" si="8"/>
        <v/>
      </c>
      <c r="F37" s="2436"/>
      <c r="G37" s="2436"/>
      <c r="H37" s="2437"/>
      <c r="I37" s="2439" t="str">
        <f t="shared" ca="1" si="6"/>
        <v/>
      </c>
      <c r="J37" s="2436"/>
      <c r="K37" s="2436"/>
      <c r="L37" s="2437"/>
      <c r="M37" s="2439" t="str">
        <f t="shared" ca="1" si="9"/>
        <v/>
      </c>
      <c r="N37" s="2437"/>
      <c r="O37" s="2439" t="str">
        <f t="shared" ca="1" si="10"/>
        <v/>
      </c>
      <c r="P37" s="2436"/>
      <c r="Q37" s="2436"/>
      <c r="R37" s="2437"/>
      <c r="S37" s="2439" t="str">
        <f t="shared" ca="1" si="11"/>
        <v/>
      </c>
      <c r="T37" s="2436"/>
      <c r="U37" s="2437"/>
      <c r="V37" s="2439" t="str">
        <f t="shared" ca="1" si="12"/>
        <v/>
      </c>
      <c r="W37" s="2436"/>
      <c r="X37" s="2437"/>
      <c r="Y37" s="1532" t="str">
        <f t="shared" ca="1" si="13"/>
        <v/>
      </c>
      <c r="Z37" s="2436" t="str">
        <f>IF(Zauber!N41="","",Zauber!N41)</f>
        <v/>
      </c>
      <c r="AA37" s="2436"/>
      <c r="AB37" s="2436"/>
      <c r="AC37" s="2437"/>
      <c r="AD37" s="1533" t="str">
        <f t="shared" ca="1" si="7"/>
        <v/>
      </c>
      <c r="AE37" s="492"/>
    </row>
    <row r="38" spans="1:31" ht="12.75" customHeight="1" x14ac:dyDescent="0.2">
      <c r="A38" s="2465"/>
      <c r="B38" s="2436" t="str">
        <f ca="1">Zauber!A42</f>
        <v/>
      </c>
      <c r="C38" s="2436"/>
      <c r="D38" s="2437"/>
      <c r="E38" s="2439" t="str">
        <f t="shared" ca="1" si="8"/>
        <v/>
      </c>
      <c r="F38" s="2436"/>
      <c r="G38" s="2436"/>
      <c r="H38" s="2437"/>
      <c r="I38" s="2439" t="str">
        <f t="shared" ca="1" si="6"/>
        <v/>
      </c>
      <c r="J38" s="2436"/>
      <c r="K38" s="2436"/>
      <c r="L38" s="2437"/>
      <c r="M38" s="2439" t="str">
        <f t="shared" ca="1" si="9"/>
        <v/>
      </c>
      <c r="N38" s="2437"/>
      <c r="O38" s="2439" t="str">
        <f t="shared" ca="1" si="10"/>
        <v/>
      </c>
      <c r="P38" s="2436"/>
      <c r="Q38" s="2436"/>
      <c r="R38" s="2437"/>
      <c r="S38" s="2439" t="str">
        <f t="shared" ca="1" si="11"/>
        <v/>
      </c>
      <c r="T38" s="2436"/>
      <c r="U38" s="2437"/>
      <c r="V38" s="2439" t="str">
        <f t="shared" ca="1" si="12"/>
        <v/>
      </c>
      <c r="W38" s="2436"/>
      <c r="X38" s="2437"/>
      <c r="Y38" s="1532" t="str">
        <f t="shared" ca="1" si="13"/>
        <v/>
      </c>
      <c r="Z38" s="2436" t="str">
        <f>IF(Zauber!N42="","",Zauber!N42)</f>
        <v/>
      </c>
      <c r="AA38" s="2436"/>
      <c r="AB38" s="2436"/>
      <c r="AC38" s="2437"/>
      <c r="AD38" s="1533" t="str">
        <f t="shared" ca="1" si="7"/>
        <v/>
      </c>
      <c r="AE38" s="492"/>
    </row>
    <row r="39" spans="1:31" ht="12.75" customHeight="1" x14ac:dyDescent="0.2">
      <c r="A39" s="2465"/>
      <c r="B39" s="2436" t="str">
        <f ca="1">Zauber!A43</f>
        <v/>
      </c>
      <c r="C39" s="2436"/>
      <c r="D39" s="2437"/>
      <c r="E39" s="2439" t="str">
        <f t="shared" ca="1" si="8"/>
        <v/>
      </c>
      <c r="F39" s="2436"/>
      <c r="G39" s="2436"/>
      <c r="H39" s="2437"/>
      <c r="I39" s="2439" t="str">
        <f t="shared" ca="1" si="6"/>
        <v/>
      </c>
      <c r="J39" s="2436"/>
      <c r="K39" s="2436"/>
      <c r="L39" s="2437"/>
      <c r="M39" s="2439" t="str">
        <f t="shared" ca="1" si="9"/>
        <v/>
      </c>
      <c r="N39" s="2437"/>
      <c r="O39" s="2439" t="str">
        <f t="shared" ca="1" si="10"/>
        <v/>
      </c>
      <c r="P39" s="2436"/>
      <c r="Q39" s="2436"/>
      <c r="R39" s="2437"/>
      <c r="S39" s="2439" t="str">
        <f t="shared" ca="1" si="11"/>
        <v/>
      </c>
      <c r="T39" s="2436"/>
      <c r="U39" s="2437"/>
      <c r="V39" s="2439" t="str">
        <f t="shared" ca="1" si="12"/>
        <v/>
      </c>
      <c r="W39" s="2436"/>
      <c r="X39" s="2437"/>
      <c r="Y39" s="1532" t="str">
        <f t="shared" ca="1" si="13"/>
        <v/>
      </c>
      <c r="Z39" s="2436" t="str">
        <f>IF(Zauber!N43="","",Zauber!N43)</f>
        <v/>
      </c>
      <c r="AA39" s="2436"/>
      <c r="AB39" s="2436"/>
      <c r="AC39" s="2437"/>
      <c r="AD39" s="1533" t="str">
        <f t="shared" ca="1" si="7"/>
        <v/>
      </c>
      <c r="AE39" s="492"/>
    </row>
    <row r="40" spans="1:31" ht="12.75" customHeight="1" x14ac:dyDescent="0.2">
      <c r="A40" s="2465"/>
      <c r="B40" s="2436" t="str">
        <f ca="1">Zauber!A44</f>
        <v/>
      </c>
      <c r="C40" s="2436"/>
      <c r="D40" s="2437"/>
      <c r="E40" s="2439" t="str">
        <f t="shared" ca="1" si="8"/>
        <v/>
      </c>
      <c r="F40" s="2436"/>
      <c r="G40" s="2436"/>
      <c r="H40" s="2437"/>
      <c r="I40" s="2439" t="str">
        <f t="shared" ca="1" si="6"/>
        <v/>
      </c>
      <c r="J40" s="2436"/>
      <c r="K40" s="2436"/>
      <c r="L40" s="2437"/>
      <c r="M40" s="2439" t="str">
        <f t="shared" ca="1" si="9"/>
        <v/>
      </c>
      <c r="N40" s="2437"/>
      <c r="O40" s="2439" t="str">
        <f t="shared" ca="1" si="10"/>
        <v/>
      </c>
      <c r="P40" s="2436"/>
      <c r="Q40" s="2436"/>
      <c r="R40" s="2437"/>
      <c r="S40" s="2439" t="str">
        <f t="shared" ca="1" si="11"/>
        <v/>
      </c>
      <c r="T40" s="2436"/>
      <c r="U40" s="2437"/>
      <c r="V40" s="2439" t="str">
        <f t="shared" ca="1" si="12"/>
        <v/>
      </c>
      <c r="W40" s="2436"/>
      <c r="X40" s="2437"/>
      <c r="Y40" s="1532" t="str">
        <f t="shared" ca="1" si="13"/>
        <v/>
      </c>
      <c r="Z40" s="2436" t="str">
        <f>IF(Zauber!N44="","",Zauber!N44)</f>
        <v/>
      </c>
      <c r="AA40" s="2436"/>
      <c r="AB40" s="2436"/>
      <c r="AC40" s="2437"/>
      <c r="AD40" s="1533" t="str">
        <f t="shared" ca="1" si="7"/>
        <v/>
      </c>
      <c r="AE40" s="492"/>
    </row>
    <row r="41" spans="1:31" ht="12.75" customHeight="1" x14ac:dyDescent="0.2">
      <c r="A41" s="2465"/>
      <c r="B41" s="2436" t="str">
        <f ca="1">Zauber!A45</f>
        <v/>
      </c>
      <c r="C41" s="2436"/>
      <c r="D41" s="2437"/>
      <c r="E41" s="2439" t="str">
        <f t="shared" ca="1" si="8"/>
        <v/>
      </c>
      <c r="F41" s="2436"/>
      <c r="G41" s="2436"/>
      <c r="H41" s="2437"/>
      <c r="I41" s="2439" t="str">
        <f t="shared" ca="1" si="6"/>
        <v/>
      </c>
      <c r="J41" s="2436"/>
      <c r="K41" s="2436"/>
      <c r="L41" s="2437"/>
      <c r="M41" s="2439" t="str">
        <f t="shared" ca="1" si="9"/>
        <v/>
      </c>
      <c r="N41" s="2437"/>
      <c r="O41" s="2439" t="str">
        <f t="shared" ca="1" si="10"/>
        <v/>
      </c>
      <c r="P41" s="2436"/>
      <c r="Q41" s="2436"/>
      <c r="R41" s="2437"/>
      <c r="S41" s="2439" t="str">
        <f t="shared" ca="1" si="11"/>
        <v/>
      </c>
      <c r="T41" s="2436"/>
      <c r="U41" s="2437"/>
      <c r="V41" s="2439" t="str">
        <f t="shared" ca="1" si="12"/>
        <v/>
      </c>
      <c r="W41" s="2436"/>
      <c r="X41" s="2437"/>
      <c r="Y41" s="1532" t="str">
        <f t="shared" ca="1" si="13"/>
        <v/>
      </c>
      <c r="Z41" s="2436" t="str">
        <f>IF(Zauber!N45="","",Zauber!N45)</f>
        <v/>
      </c>
      <c r="AA41" s="2436"/>
      <c r="AB41" s="2436"/>
      <c r="AC41" s="2437"/>
      <c r="AD41" s="1533" t="str">
        <f t="shared" ca="1" si="7"/>
        <v/>
      </c>
      <c r="AE41" s="492"/>
    </row>
    <row r="42" spans="1:31" ht="12.75" customHeight="1" x14ac:dyDescent="0.2">
      <c r="A42" s="2465"/>
      <c r="B42" s="2436" t="str">
        <f ca="1">Zauber!A46</f>
        <v/>
      </c>
      <c r="C42" s="2436"/>
      <c r="D42" s="2437"/>
      <c r="E42" s="2439" t="str">
        <f t="shared" ca="1" si="8"/>
        <v/>
      </c>
      <c r="F42" s="2436"/>
      <c r="G42" s="2436"/>
      <c r="H42" s="2437"/>
      <c r="I42" s="2439" t="str">
        <f t="shared" ca="1" si="6"/>
        <v/>
      </c>
      <c r="J42" s="2436"/>
      <c r="K42" s="2436"/>
      <c r="L42" s="2437"/>
      <c r="M42" s="2439" t="str">
        <f t="shared" ca="1" si="9"/>
        <v/>
      </c>
      <c r="N42" s="2437"/>
      <c r="O42" s="2439" t="str">
        <f t="shared" ca="1" si="10"/>
        <v/>
      </c>
      <c r="P42" s="2436"/>
      <c r="Q42" s="2436"/>
      <c r="R42" s="2437"/>
      <c r="S42" s="2439" t="str">
        <f t="shared" ca="1" si="11"/>
        <v/>
      </c>
      <c r="T42" s="2436"/>
      <c r="U42" s="2437"/>
      <c r="V42" s="2439" t="str">
        <f t="shared" ca="1" si="12"/>
        <v/>
      </c>
      <c r="W42" s="2436"/>
      <c r="X42" s="2437"/>
      <c r="Y42" s="1532" t="str">
        <f t="shared" ca="1" si="13"/>
        <v/>
      </c>
      <c r="Z42" s="2436" t="str">
        <f>IF(Zauber!N46="","",Zauber!N46)</f>
        <v/>
      </c>
      <c r="AA42" s="2436"/>
      <c r="AB42" s="2436"/>
      <c r="AC42" s="2437"/>
      <c r="AD42" s="1533" t="str">
        <f t="shared" ca="1" si="7"/>
        <v/>
      </c>
      <c r="AE42" s="492"/>
    </row>
    <row r="43" spans="1:31" ht="12.75" customHeight="1" x14ac:dyDescent="0.2">
      <c r="A43" s="2465"/>
      <c r="B43" s="2436" t="str">
        <f ca="1">Zauber!A47</f>
        <v/>
      </c>
      <c r="C43" s="2436"/>
      <c r="D43" s="2437"/>
      <c r="E43" s="2439" t="str">
        <f t="shared" ca="1" si="8"/>
        <v/>
      </c>
      <c r="F43" s="2436"/>
      <c r="G43" s="2436"/>
      <c r="H43" s="2437"/>
      <c r="I43" s="2439" t="str">
        <f t="shared" ca="1" si="6"/>
        <v/>
      </c>
      <c r="J43" s="2436"/>
      <c r="K43" s="2436"/>
      <c r="L43" s="2437"/>
      <c r="M43" s="2439" t="str">
        <f t="shared" ca="1" si="9"/>
        <v/>
      </c>
      <c r="N43" s="2437"/>
      <c r="O43" s="2439" t="str">
        <f t="shared" ca="1" si="10"/>
        <v/>
      </c>
      <c r="P43" s="2436"/>
      <c r="Q43" s="2436"/>
      <c r="R43" s="2437"/>
      <c r="S43" s="2439" t="str">
        <f t="shared" ca="1" si="11"/>
        <v/>
      </c>
      <c r="T43" s="2436"/>
      <c r="U43" s="2437"/>
      <c r="V43" s="2439" t="str">
        <f t="shared" ca="1" si="12"/>
        <v/>
      </c>
      <c r="W43" s="2436"/>
      <c r="X43" s="2437"/>
      <c r="Y43" s="1532" t="str">
        <f t="shared" ca="1" si="13"/>
        <v/>
      </c>
      <c r="Z43" s="2436" t="str">
        <f>IF(Zauber!N47="","",Zauber!N47)</f>
        <v/>
      </c>
      <c r="AA43" s="2436"/>
      <c r="AB43" s="2436"/>
      <c r="AC43" s="2437"/>
      <c r="AD43" s="1533" t="str">
        <f t="shared" ca="1" si="7"/>
        <v/>
      </c>
      <c r="AE43" s="492"/>
    </row>
    <row r="44" spans="1:31" ht="12.75" customHeight="1" x14ac:dyDescent="0.2">
      <c r="A44" s="2465"/>
      <c r="B44" s="2436" t="str">
        <f ca="1">Zauber!A48</f>
        <v/>
      </c>
      <c r="C44" s="2436"/>
      <c r="D44" s="2437"/>
      <c r="E44" s="2439" t="str">
        <f t="shared" ca="1" si="8"/>
        <v/>
      </c>
      <c r="F44" s="2436"/>
      <c r="G44" s="2436"/>
      <c r="H44" s="2437"/>
      <c r="I44" s="2439" t="str">
        <f t="shared" ca="1" si="6"/>
        <v/>
      </c>
      <c r="J44" s="2436"/>
      <c r="K44" s="2436"/>
      <c r="L44" s="2437"/>
      <c r="M44" s="2439" t="str">
        <f t="shared" ca="1" si="9"/>
        <v/>
      </c>
      <c r="N44" s="2437"/>
      <c r="O44" s="2439" t="str">
        <f t="shared" ca="1" si="10"/>
        <v/>
      </c>
      <c r="P44" s="2436"/>
      <c r="Q44" s="2436"/>
      <c r="R44" s="2437"/>
      <c r="S44" s="2439" t="str">
        <f t="shared" ca="1" si="11"/>
        <v/>
      </c>
      <c r="T44" s="2436"/>
      <c r="U44" s="2437"/>
      <c r="V44" s="2439" t="str">
        <f t="shared" ca="1" si="12"/>
        <v/>
      </c>
      <c r="W44" s="2436"/>
      <c r="X44" s="2437"/>
      <c r="Y44" s="1532" t="str">
        <f t="shared" ca="1" si="13"/>
        <v/>
      </c>
      <c r="Z44" s="2436" t="str">
        <f>IF(Zauber!N48="","",Zauber!N48)</f>
        <v/>
      </c>
      <c r="AA44" s="2436"/>
      <c r="AB44" s="2436"/>
      <c r="AC44" s="2437"/>
      <c r="AD44" s="1533" t="str">
        <f t="shared" ca="1" si="7"/>
        <v/>
      </c>
      <c r="AE44" s="492"/>
    </row>
    <row r="45" spans="1:31" ht="12.75" customHeight="1" x14ac:dyDescent="0.2">
      <c r="A45" s="2465"/>
      <c r="B45" s="2436" t="str">
        <f ca="1">Zauber!A49</f>
        <v/>
      </c>
      <c r="C45" s="2436"/>
      <c r="D45" s="2437"/>
      <c r="E45" s="2439" t="str">
        <f t="shared" ca="1" si="8"/>
        <v/>
      </c>
      <c r="F45" s="2436"/>
      <c r="G45" s="2436"/>
      <c r="H45" s="2437"/>
      <c r="I45" s="2439" t="str">
        <f t="shared" ca="1" si="6"/>
        <v/>
      </c>
      <c r="J45" s="2436"/>
      <c r="K45" s="2436"/>
      <c r="L45" s="2437"/>
      <c r="M45" s="2439" t="str">
        <f t="shared" ca="1" si="9"/>
        <v/>
      </c>
      <c r="N45" s="2437"/>
      <c r="O45" s="2439" t="str">
        <f t="shared" ca="1" si="10"/>
        <v/>
      </c>
      <c r="P45" s="2436"/>
      <c r="Q45" s="2436"/>
      <c r="R45" s="2437"/>
      <c r="S45" s="2439" t="str">
        <f t="shared" ca="1" si="11"/>
        <v/>
      </c>
      <c r="T45" s="2436"/>
      <c r="U45" s="2437"/>
      <c r="V45" s="2439" t="str">
        <f t="shared" ca="1" si="12"/>
        <v/>
      </c>
      <c r="W45" s="2436"/>
      <c r="X45" s="2437"/>
      <c r="Y45" s="1532" t="str">
        <f t="shared" ca="1" si="13"/>
        <v/>
      </c>
      <c r="Z45" s="2436" t="str">
        <f>IF(Zauber!N49="","",Zauber!N49)</f>
        <v/>
      </c>
      <c r="AA45" s="2436"/>
      <c r="AB45" s="2436"/>
      <c r="AC45" s="2437"/>
      <c r="AD45" s="1533" t="str">
        <f t="shared" ca="1" si="7"/>
        <v/>
      </c>
      <c r="AE45" s="492"/>
    </row>
    <row r="46" spans="1:31" ht="12.75" customHeight="1" x14ac:dyDescent="0.2">
      <c r="A46" s="2465"/>
      <c r="B46" s="2436" t="str">
        <f ca="1">Zauber!A50</f>
        <v/>
      </c>
      <c r="C46" s="2436"/>
      <c r="D46" s="2437"/>
      <c r="E46" s="2439" t="str">
        <f t="shared" ca="1" si="8"/>
        <v/>
      </c>
      <c r="F46" s="2436"/>
      <c r="G46" s="2436"/>
      <c r="H46" s="2437"/>
      <c r="I46" s="2439" t="str">
        <f t="shared" ca="1" si="6"/>
        <v/>
      </c>
      <c r="J46" s="2436"/>
      <c r="K46" s="2436"/>
      <c r="L46" s="2437"/>
      <c r="M46" s="2439" t="str">
        <f t="shared" ca="1" si="9"/>
        <v/>
      </c>
      <c r="N46" s="2437"/>
      <c r="O46" s="2439" t="str">
        <f t="shared" ca="1" si="10"/>
        <v/>
      </c>
      <c r="P46" s="2436"/>
      <c r="Q46" s="2436"/>
      <c r="R46" s="2437"/>
      <c r="S46" s="2439" t="str">
        <f t="shared" ca="1" si="11"/>
        <v/>
      </c>
      <c r="T46" s="2436"/>
      <c r="U46" s="2437"/>
      <c r="V46" s="2439" t="str">
        <f t="shared" ca="1" si="12"/>
        <v/>
      </c>
      <c r="W46" s="2436"/>
      <c r="X46" s="2437"/>
      <c r="Y46" s="1532" t="str">
        <f t="shared" ca="1" si="13"/>
        <v/>
      </c>
      <c r="Z46" s="2436" t="str">
        <f>IF(Zauber!N50="","",Zauber!N50)</f>
        <v/>
      </c>
      <c r="AA46" s="2436"/>
      <c r="AB46" s="2436"/>
      <c r="AC46" s="2437"/>
      <c r="AD46" s="1533" t="str">
        <f t="shared" ca="1" si="7"/>
        <v/>
      </c>
      <c r="AE46" s="492"/>
    </row>
    <row r="47" spans="1:31" ht="12.75" customHeight="1" x14ac:dyDescent="0.2">
      <c r="A47" s="2465"/>
      <c r="B47" s="2436" t="str">
        <f ca="1">Zauber!A51</f>
        <v/>
      </c>
      <c r="C47" s="2436"/>
      <c r="D47" s="2437"/>
      <c r="E47" s="2439" t="str">
        <f t="shared" ca="1" si="8"/>
        <v/>
      </c>
      <c r="F47" s="2436"/>
      <c r="G47" s="2436"/>
      <c r="H47" s="2437"/>
      <c r="I47" s="2439" t="str">
        <f t="shared" ca="1" si="6"/>
        <v/>
      </c>
      <c r="J47" s="2436"/>
      <c r="K47" s="2436"/>
      <c r="L47" s="2437"/>
      <c r="M47" s="2439" t="str">
        <f t="shared" ca="1" si="9"/>
        <v/>
      </c>
      <c r="N47" s="2437"/>
      <c r="O47" s="2439" t="str">
        <f t="shared" ca="1" si="10"/>
        <v/>
      </c>
      <c r="P47" s="2436"/>
      <c r="Q47" s="2436"/>
      <c r="R47" s="2437"/>
      <c r="S47" s="2439" t="str">
        <f t="shared" ca="1" si="11"/>
        <v/>
      </c>
      <c r="T47" s="2436"/>
      <c r="U47" s="2437"/>
      <c r="V47" s="2439" t="str">
        <f t="shared" ca="1" si="12"/>
        <v/>
      </c>
      <c r="W47" s="2436"/>
      <c r="X47" s="2437"/>
      <c r="Y47" s="1532" t="str">
        <f t="shared" ca="1" si="13"/>
        <v/>
      </c>
      <c r="Z47" s="2436" t="str">
        <f>IF(Zauber!N51="","",Zauber!N51)</f>
        <v/>
      </c>
      <c r="AA47" s="2436"/>
      <c r="AB47" s="2436"/>
      <c r="AC47" s="2437"/>
      <c r="AD47" s="1533" t="str">
        <f t="shared" ca="1" si="7"/>
        <v/>
      </c>
      <c r="AE47" s="492"/>
    </row>
    <row r="48" spans="1:31" ht="12.75" customHeight="1" x14ac:dyDescent="0.2">
      <c r="A48" s="2465"/>
      <c r="B48" s="2436" t="str">
        <f ca="1">Zauber!A52</f>
        <v/>
      </c>
      <c r="C48" s="2436"/>
      <c r="D48" s="2437"/>
      <c r="E48" s="2439" t="str">
        <f t="shared" ca="1" si="8"/>
        <v/>
      </c>
      <c r="F48" s="2436"/>
      <c r="G48" s="2436"/>
      <c r="H48" s="2437"/>
      <c r="I48" s="2439" t="str">
        <f t="shared" ca="1" si="6"/>
        <v/>
      </c>
      <c r="J48" s="2436"/>
      <c r="K48" s="2436"/>
      <c r="L48" s="2437"/>
      <c r="M48" s="2439" t="str">
        <f t="shared" ca="1" si="9"/>
        <v/>
      </c>
      <c r="N48" s="2437"/>
      <c r="O48" s="2439" t="str">
        <f t="shared" ca="1" si="10"/>
        <v/>
      </c>
      <c r="P48" s="2436"/>
      <c r="Q48" s="2436"/>
      <c r="R48" s="2437"/>
      <c r="S48" s="2439" t="str">
        <f t="shared" ca="1" si="11"/>
        <v/>
      </c>
      <c r="T48" s="2436"/>
      <c r="U48" s="2437"/>
      <c r="V48" s="2439" t="str">
        <f t="shared" ca="1" si="12"/>
        <v/>
      </c>
      <c r="W48" s="2436"/>
      <c r="X48" s="2437"/>
      <c r="Y48" s="1532" t="str">
        <f t="shared" ca="1" si="13"/>
        <v/>
      </c>
      <c r="Z48" s="2436" t="str">
        <f>IF(Zauber!N52="","",Zauber!N52)</f>
        <v/>
      </c>
      <c r="AA48" s="2436"/>
      <c r="AB48" s="2436"/>
      <c r="AC48" s="2437"/>
      <c r="AD48" s="1533" t="str">
        <f t="shared" ca="1" si="7"/>
        <v/>
      </c>
      <c r="AE48" s="492"/>
    </row>
    <row r="49" spans="1:37" ht="12.75" customHeight="1" x14ac:dyDescent="0.2">
      <c r="A49" s="2465"/>
      <c r="B49" s="2436" t="str">
        <f ca="1">Zauber!A53</f>
        <v/>
      </c>
      <c r="C49" s="2436"/>
      <c r="D49" s="2437"/>
      <c r="E49" s="2439" t="str">
        <f t="shared" ca="1" si="8"/>
        <v/>
      </c>
      <c r="F49" s="2436"/>
      <c r="G49" s="2436"/>
      <c r="H49" s="2437"/>
      <c r="I49" s="2439" t="str">
        <f t="shared" ca="1" si="6"/>
        <v/>
      </c>
      <c r="J49" s="2436"/>
      <c r="K49" s="2436"/>
      <c r="L49" s="2437"/>
      <c r="M49" s="2439" t="str">
        <f t="shared" ca="1" si="9"/>
        <v/>
      </c>
      <c r="N49" s="2437"/>
      <c r="O49" s="2439" t="str">
        <f t="shared" ca="1" si="10"/>
        <v/>
      </c>
      <c r="P49" s="2436"/>
      <c r="Q49" s="2436"/>
      <c r="R49" s="2437"/>
      <c r="S49" s="2439" t="str">
        <f t="shared" ca="1" si="11"/>
        <v/>
      </c>
      <c r="T49" s="2436"/>
      <c r="U49" s="2437"/>
      <c r="V49" s="2439" t="str">
        <f t="shared" ca="1" si="12"/>
        <v/>
      </c>
      <c r="W49" s="2436"/>
      <c r="X49" s="2437"/>
      <c r="Y49" s="1532" t="str">
        <f t="shared" ca="1" si="13"/>
        <v/>
      </c>
      <c r="Z49" s="2436" t="str">
        <f>IF(Zauber!N53="","",Zauber!N53)</f>
        <v/>
      </c>
      <c r="AA49" s="2436"/>
      <c r="AB49" s="2436"/>
      <c r="AC49" s="2437"/>
      <c r="AD49" s="1533" t="str">
        <f t="shared" ca="1" si="7"/>
        <v/>
      </c>
      <c r="AE49" s="492"/>
    </row>
    <row r="50" spans="1:37" ht="12.75" customHeight="1" x14ac:dyDescent="0.2">
      <c r="A50" s="2465"/>
      <c r="B50" s="2436" t="str">
        <f ca="1">Zauber!A54</f>
        <v/>
      </c>
      <c r="C50" s="2436"/>
      <c r="D50" s="2437"/>
      <c r="E50" s="2439" t="str">
        <f t="shared" ca="1" si="8"/>
        <v/>
      </c>
      <c r="F50" s="2436"/>
      <c r="G50" s="2436"/>
      <c r="H50" s="2437"/>
      <c r="I50" s="2439" t="str">
        <f t="shared" ca="1" si="6"/>
        <v/>
      </c>
      <c r="J50" s="2436"/>
      <c r="K50" s="2436"/>
      <c r="L50" s="2437"/>
      <c r="M50" s="2439" t="str">
        <f t="shared" ca="1" si="9"/>
        <v/>
      </c>
      <c r="N50" s="2437"/>
      <c r="O50" s="2439" t="str">
        <f t="shared" ca="1" si="10"/>
        <v/>
      </c>
      <c r="P50" s="2436"/>
      <c r="Q50" s="2436"/>
      <c r="R50" s="2437"/>
      <c r="S50" s="2439" t="str">
        <f t="shared" ca="1" si="11"/>
        <v/>
      </c>
      <c r="T50" s="2436"/>
      <c r="U50" s="2437"/>
      <c r="V50" s="2439" t="str">
        <f t="shared" ca="1" si="12"/>
        <v/>
      </c>
      <c r="W50" s="2436"/>
      <c r="X50" s="2437"/>
      <c r="Y50" s="1532" t="str">
        <f t="shared" ca="1" si="13"/>
        <v/>
      </c>
      <c r="Z50" s="2436" t="str">
        <f>IF(Zauber!N54="","",Zauber!N54)</f>
        <v/>
      </c>
      <c r="AA50" s="2436"/>
      <c r="AB50" s="2436"/>
      <c r="AC50" s="2437"/>
      <c r="AD50" s="1533" t="str">
        <f t="shared" ca="1" si="7"/>
        <v/>
      </c>
      <c r="AE50" s="492"/>
    </row>
    <row r="51" spans="1:37" ht="12.75" customHeight="1" x14ac:dyDescent="0.2">
      <c r="A51" s="2465"/>
      <c r="B51" s="2436" t="str">
        <f ca="1">Zauber!A55</f>
        <v/>
      </c>
      <c r="C51" s="2436"/>
      <c r="D51" s="2437"/>
      <c r="E51" s="2439" t="str">
        <f t="shared" ca="1" si="8"/>
        <v/>
      </c>
      <c r="F51" s="2436"/>
      <c r="G51" s="2436"/>
      <c r="H51" s="2437"/>
      <c r="I51" s="2439" t="str">
        <f t="shared" ca="1" si="6"/>
        <v/>
      </c>
      <c r="J51" s="2436"/>
      <c r="K51" s="2436"/>
      <c r="L51" s="2437"/>
      <c r="M51" s="2439" t="str">
        <f t="shared" ca="1" si="9"/>
        <v/>
      </c>
      <c r="N51" s="2437"/>
      <c r="O51" s="2439" t="str">
        <f t="shared" ca="1" si="10"/>
        <v/>
      </c>
      <c r="P51" s="2436"/>
      <c r="Q51" s="2436"/>
      <c r="R51" s="2437"/>
      <c r="S51" s="2439" t="str">
        <f t="shared" ca="1" si="11"/>
        <v/>
      </c>
      <c r="T51" s="2436"/>
      <c r="U51" s="2437"/>
      <c r="V51" s="2439" t="str">
        <f t="shared" ca="1" si="12"/>
        <v/>
      </c>
      <c r="W51" s="2436"/>
      <c r="X51" s="2437"/>
      <c r="Y51" s="1532" t="str">
        <f t="shared" ca="1" si="13"/>
        <v/>
      </c>
      <c r="Z51" s="2436" t="str">
        <f>IF(Zauber!N55="","",Zauber!N55)</f>
        <v/>
      </c>
      <c r="AA51" s="2436"/>
      <c r="AB51" s="2436"/>
      <c r="AC51" s="2437"/>
      <c r="AD51" s="1533" t="str">
        <f t="shared" ca="1" si="7"/>
        <v/>
      </c>
      <c r="AE51" s="492"/>
    </row>
    <row r="52" spans="1:37" ht="12.75" customHeight="1" x14ac:dyDescent="0.2">
      <c r="A52" s="2465"/>
      <c r="B52" s="2436" t="str">
        <f ca="1">Zauber!A56</f>
        <v/>
      </c>
      <c r="C52" s="2436"/>
      <c r="D52" s="2437"/>
      <c r="E52" s="2439" t="str">
        <f t="shared" ca="1" si="8"/>
        <v/>
      </c>
      <c r="F52" s="2436"/>
      <c r="G52" s="2436"/>
      <c r="H52" s="2437"/>
      <c r="I52" s="2439" t="str">
        <f t="shared" ca="1" si="6"/>
        <v/>
      </c>
      <c r="J52" s="2436"/>
      <c r="K52" s="2436"/>
      <c r="L52" s="2437"/>
      <c r="M52" s="2439" t="str">
        <f t="shared" ca="1" si="9"/>
        <v/>
      </c>
      <c r="N52" s="2437"/>
      <c r="O52" s="2439" t="str">
        <f t="shared" ca="1" si="10"/>
        <v/>
      </c>
      <c r="P52" s="2436"/>
      <c r="Q52" s="2436"/>
      <c r="R52" s="2437"/>
      <c r="S52" s="2439" t="str">
        <f t="shared" ca="1" si="11"/>
        <v/>
      </c>
      <c r="T52" s="2436"/>
      <c r="U52" s="2437"/>
      <c r="V52" s="2439" t="str">
        <f t="shared" ca="1" si="12"/>
        <v/>
      </c>
      <c r="W52" s="2436"/>
      <c r="X52" s="2437"/>
      <c r="Y52" s="1532" t="str">
        <f t="shared" ca="1" si="13"/>
        <v/>
      </c>
      <c r="Z52" s="2436" t="str">
        <f>IF(Zauber!N56="","",Zauber!N56)</f>
        <v/>
      </c>
      <c r="AA52" s="2436"/>
      <c r="AB52" s="2436"/>
      <c r="AC52" s="2437"/>
      <c r="AD52" s="1533" t="str">
        <f t="shared" ca="1" si="7"/>
        <v/>
      </c>
      <c r="AE52" s="492"/>
    </row>
    <row r="53" spans="1:37" ht="12.75" customHeight="1" x14ac:dyDescent="0.2">
      <c r="A53" s="2465"/>
      <c r="B53" s="2436" t="str">
        <f ca="1">Zauber!A57</f>
        <v/>
      </c>
      <c r="C53" s="2436"/>
      <c r="D53" s="2437"/>
      <c r="E53" s="2439" t="str">
        <f t="shared" ca="1" si="8"/>
        <v/>
      </c>
      <c r="F53" s="2436"/>
      <c r="G53" s="2436"/>
      <c r="H53" s="2437"/>
      <c r="I53" s="2439" t="str">
        <f t="shared" ca="1" si="6"/>
        <v/>
      </c>
      <c r="J53" s="2436"/>
      <c r="K53" s="2436"/>
      <c r="L53" s="2437"/>
      <c r="M53" s="2439" t="str">
        <f t="shared" ca="1" si="9"/>
        <v/>
      </c>
      <c r="N53" s="2437"/>
      <c r="O53" s="2439" t="str">
        <f t="shared" ca="1" si="10"/>
        <v/>
      </c>
      <c r="P53" s="2436"/>
      <c r="Q53" s="2436"/>
      <c r="R53" s="2437"/>
      <c r="S53" s="2439" t="str">
        <f t="shared" ca="1" si="11"/>
        <v/>
      </c>
      <c r="T53" s="2436"/>
      <c r="U53" s="2437"/>
      <c r="V53" s="2439" t="str">
        <f t="shared" ca="1" si="12"/>
        <v/>
      </c>
      <c r="W53" s="2436"/>
      <c r="X53" s="2437"/>
      <c r="Y53" s="1532" t="str">
        <f t="shared" ca="1" si="13"/>
        <v/>
      </c>
      <c r="Z53" s="2436" t="str">
        <f>IF(Zauber!N57="","",Zauber!N57)</f>
        <v/>
      </c>
      <c r="AA53" s="2436"/>
      <c r="AB53" s="2436"/>
      <c r="AC53" s="2437"/>
      <c r="AD53" s="1533" t="str">
        <f t="shared" ca="1" si="7"/>
        <v/>
      </c>
      <c r="AE53" s="492"/>
    </row>
    <row r="54" spans="1:37" ht="12.75" customHeight="1" x14ac:dyDescent="0.2">
      <c r="A54" s="2465"/>
      <c r="B54" s="2436" t="str">
        <f ca="1">Zauber!A58</f>
        <v/>
      </c>
      <c r="C54" s="2436"/>
      <c r="D54" s="2437"/>
      <c r="E54" s="2439" t="str">
        <f t="shared" ca="1" si="8"/>
        <v/>
      </c>
      <c r="F54" s="2436"/>
      <c r="G54" s="2436"/>
      <c r="H54" s="2437"/>
      <c r="I54" s="2439" t="str">
        <f t="shared" ca="1" si="6"/>
        <v/>
      </c>
      <c r="J54" s="2436"/>
      <c r="K54" s="2436"/>
      <c r="L54" s="2437"/>
      <c r="M54" s="2439" t="str">
        <f t="shared" ca="1" si="9"/>
        <v/>
      </c>
      <c r="N54" s="2437"/>
      <c r="O54" s="2439" t="str">
        <f t="shared" ca="1" si="10"/>
        <v/>
      </c>
      <c r="P54" s="2436"/>
      <c r="Q54" s="2436"/>
      <c r="R54" s="2437"/>
      <c r="S54" s="2439" t="str">
        <f t="shared" ca="1" si="11"/>
        <v/>
      </c>
      <c r="T54" s="2436"/>
      <c r="U54" s="2437"/>
      <c r="V54" s="2439" t="str">
        <f t="shared" ca="1" si="12"/>
        <v/>
      </c>
      <c r="W54" s="2436"/>
      <c r="X54" s="2437"/>
      <c r="Y54" s="1532" t="str">
        <f t="shared" ca="1" si="13"/>
        <v/>
      </c>
      <c r="Z54" s="2436" t="str">
        <f>IF(Zauber!N58="","",Zauber!N58)</f>
        <v/>
      </c>
      <c r="AA54" s="2436"/>
      <c r="AB54" s="2436"/>
      <c r="AC54" s="2437"/>
      <c r="AD54" s="1533" t="str">
        <f t="shared" ca="1" si="7"/>
        <v/>
      </c>
      <c r="AE54" s="492"/>
    </row>
    <row r="55" spans="1:37" ht="12.75" customHeight="1" x14ac:dyDescent="0.2">
      <c r="A55" s="2465"/>
      <c r="B55" s="2436" t="str">
        <f ca="1">Zauber!A59</f>
        <v/>
      </c>
      <c r="C55" s="2436"/>
      <c r="D55" s="2437"/>
      <c r="E55" s="2439" t="str">
        <f t="shared" ca="1" si="8"/>
        <v/>
      </c>
      <c r="F55" s="2436"/>
      <c r="G55" s="2436"/>
      <c r="H55" s="2437"/>
      <c r="I55" s="2439" t="str">
        <f t="shared" ca="1" si="6"/>
        <v/>
      </c>
      <c r="J55" s="2436"/>
      <c r="K55" s="2436"/>
      <c r="L55" s="2437"/>
      <c r="M55" s="2439" t="str">
        <f t="shared" ca="1" si="9"/>
        <v/>
      </c>
      <c r="N55" s="2437"/>
      <c r="O55" s="2439" t="str">
        <f t="shared" ca="1" si="10"/>
        <v/>
      </c>
      <c r="P55" s="2436"/>
      <c r="Q55" s="2436"/>
      <c r="R55" s="2437"/>
      <c r="S55" s="2439" t="str">
        <f t="shared" ca="1" si="11"/>
        <v/>
      </c>
      <c r="T55" s="2436"/>
      <c r="U55" s="2437"/>
      <c r="V55" s="2439" t="str">
        <f t="shared" ca="1" si="12"/>
        <v/>
      </c>
      <c r="W55" s="2436"/>
      <c r="X55" s="2437"/>
      <c r="Y55" s="1532" t="str">
        <f t="shared" ca="1" si="13"/>
        <v/>
      </c>
      <c r="Z55" s="2436" t="str">
        <f>IF(Zauber!N59="","",Zauber!N59)</f>
        <v/>
      </c>
      <c r="AA55" s="2436"/>
      <c r="AB55" s="2436"/>
      <c r="AC55" s="2437"/>
      <c r="AD55" s="1533" t="str">
        <f t="shared" ca="1" si="7"/>
        <v/>
      </c>
      <c r="AE55" s="492"/>
    </row>
    <row r="56" spans="1:37" ht="5.25" customHeight="1" thickBot="1" x14ac:dyDescent="0.25">
      <c r="A56" s="2466"/>
      <c r="B56" s="438"/>
      <c r="C56" s="438"/>
      <c r="D56" s="438"/>
      <c r="E56" s="438"/>
      <c r="F56" s="438"/>
      <c r="G56" s="438"/>
      <c r="H56" s="438"/>
      <c r="I56" s="438"/>
      <c r="J56" s="438"/>
      <c r="K56" s="438"/>
      <c r="L56" s="438"/>
      <c r="M56" s="438"/>
      <c r="N56" s="438"/>
      <c r="O56" s="438"/>
      <c r="P56" s="438"/>
      <c r="Q56" s="438"/>
      <c r="R56" s="438"/>
      <c r="S56" s="438"/>
      <c r="T56" s="438"/>
      <c r="U56" s="438"/>
      <c r="V56" s="438"/>
      <c r="W56" s="438"/>
      <c r="X56" s="438"/>
      <c r="Y56" s="438"/>
      <c r="Z56" s="438"/>
      <c r="AA56" s="438"/>
      <c r="AB56" s="438"/>
      <c r="AC56" s="464" t="str">
        <f t="shared" ref="AC56:AC66" si="14">IF(ISBLANK($C56),"",SUM(VLOOKUP($C56,ZAUBERHELD,2,FALSE),VLOOKUP($C56,ZAUBERHELD,9,FALSE)))</f>
        <v/>
      </c>
      <c r="AD56" s="498"/>
      <c r="AE56" s="439"/>
    </row>
    <row r="57" spans="1:37" ht="4.5" customHeight="1" thickTop="1" thickBot="1" x14ac:dyDescent="0.25">
      <c r="AC57" s="465" t="str">
        <f t="shared" si="14"/>
        <v/>
      </c>
      <c r="AD57" s="499"/>
    </row>
    <row r="58" spans="1:37" ht="5.25" customHeight="1" thickTop="1" x14ac:dyDescent="0.2">
      <c r="A58" s="500"/>
      <c r="B58" s="446"/>
      <c r="C58" s="446"/>
      <c r="D58" s="446"/>
      <c r="E58" s="446"/>
      <c r="F58" s="446"/>
      <c r="G58" s="446"/>
      <c r="H58" s="446"/>
      <c r="I58" s="446"/>
      <c r="J58" s="446"/>
      <c r="K58" s="446"/>
      <c r="L58" s="446"/>
      <c r="M58" s="446"/>
      <c r="N58" s="446"/>
      <c r="O58" s="446"/>
      <c r="P58" s="446"/>
      <c r="Q58" s="446"/>
      <c r="R58" s="446"/>
      <c r="S58" s="446"/>
      <c r="T58" s="446"/>
      <c r="U58" s="446"/>
      <c r="V58" s="446"/>
      <c r="W58" s="446"/>
      <c r="X58" s="446"/>
      <c r="Y58" s="446"/>
      <c r="Z58" s="446"/>
      <c r="AA58" s="446"/>
      <c r="AB58" s="446"/>
      <c r="AC58" s="446" t="str">
        <f t="shared" si="14"/>
        <v/>
      </c>
      <c r="AD58" s="446"/>
      <c r="AE58" s="448"/>
    </row>
    <row r="59" spans="1:37" s="493" customFormat="1" ht="11.25" customHeight="1" x14ac:dyDescent="0.2">
      <c r="A59" s="2467" t="s">
        <v>4825</v>
      </c>
      <c r="B59" s="2468"/>
      <c r="C59" s="2478"/>
      <c r="D59" s="2473" t="s">
        <v>534</v>
      </c>
      <c r="E59" s="2473"/>
      <c r="F59" s="1478"/>
      <c r="G59" s="2473" t="s">
        <v>3046</v>
      </c>
      <c r="H59" s="2473"/>
      <c r="I59" s="1478"/>
      <c r="J59" s="2473" t="s">
        <v>4827</v>
      </c>
      <c r="K59" s="2473"/>
      <c r="L59" s="1478"/>
      <c r="M59" s="2473" t="s">
        <v>2502</v>
      </c>
      <c r="N59" s="2473"/>
      <c r="O59" s="2473"/>
      <c r="P59" s="1478"/>
      <c r="Q59" s="2473" t="s">
        <v>4828</v>
      </c>
      <c r="R59" s="2473"/>
      <c r="S59" s="1478"/>
      <c r="T59" s="2473" t="s">
        <v>4829</v>
      </c>
      <c r="U59" s="2473"/>
      <c r="V59" s="1478"/>
      <c r="W59" s="2473" t="s">
        <v>4262</v>
      </c>
      <c r="X59" s="2473"/>
      <c r="Y59" s="1478"/>
      <c r="Z59" s="452" t="s">
        <v>4263</v>
      </c>
      <c r="AA59" s="1478"/>
      <c r="AB59" s="452" t="s">
        <v>1489</v>
      </c>
      <c r="AC59" s="452" t="str">
        <f t="shared" si="14"/>
        <v/>
      </c>
      <c r="AD59" s="452"/>
      <c r="AE59" s="450"/>
    </row>
    <row r="60" spans="1:37" s="493" customFormat="1" ht="21" customHeight="1" x14ac:dyDescent="0.2">
      <c r="A60" s="2467"/>
      <c r="B60" s="2468"/>
      <c r="C60" s="2478"/>
      <c r="D60" s="2463" t="str">
        <f ca="1">ASPSTART</f>
        <v/>
      </c>
      <c r="E60" s="2463"/>
      <c r="F60" s="1479" t="s">
        <v>4826</v>
      </c>
      <c r="G60" s="2463">
        <f ca="1">IF(EXACT(ASPMOD,""),0,ASPMOD)-IF(VT_ASP,VT_ASP_WERT,0)</f>
        <v>0</v>
      </c>
      <c r="H60" s="2463"/>
      <c r="I60" s="1479" t="s">
        <v>4826</v>
      </c>
      <c r="J60" s="2463">
        <f>IF(VT_ASP,VT_ASP_WERT,0)</f>
        <v>0</v>
      </c>
      <c r="K60" s="2463"/>
      <c r="L60" s="1479" t="s">
        <v>4826</v>
      </c>
      <c r="M60" s="2463">
        <v>0</v>
      </c>
      <c r="N60" s="2463"/>
      <c r="O60" s="2463"/>
      <c r="P60" s="1479" t="s">
        <v>4826</v>
      </c>
      <c r="Q60" s="2463">
        <f ca="1">(MEDITATION_START+MEDITATION)*ROUND(MAX(INDIRECT(LEITEIGENSCHAFT),IF(GEF_STERNE="X",CH,0))/3,0)+AK60</f>
        <v>0</v>
      </c>
      <c r="R60" s="2463"/>
      <c r="S60" s="1479" t="s">
        <v>4826</v>
      </c>
      <c r="T60" s="2463" t="str">
        <f ca="1">ASPZU</f>
        <v/>
      </c>
      <c r="U60" s="2463"/>
      <c r="V60" s="1479" t="s">
        <v>4830</v>
      </c>
      <c r="W60" s="2463">
        <f ca="1">SUM(D60,G60,J60,M60,Q60,T60)</f>
        <v>0</v>
      </c>
      <c r="X60" s="2463"/>
      <c r="Y60" s="1480" t="s">
        <v>4826</v>
      </c>
      <c r="Z60" s="442">
        <f>pAsP</f>
        <v>0</v>
      </c>
      <c r="AA60" s="1479" t="s">
        <v>4830</v>
      </c>
      <c r="AB60" s="443">
        <f ca="1">W60+Z60</f>
        <v>0</v>
      </c>
      <c r="AC60" s="444" t="str">
        <f t="shared" si="14"/>
        <v/>
      </c>
      <c r="AD60" s="444"/>
      <c r="AE60" s="445"/>
      <c r="AH60" s="1209" t="s">
        <v>6688</v>
      </c>
      <c r="AK60" s="1210"/>
    </row>
    <row r="61" spans="1:37" ht="5.25" customHeight="1" thickBot="1" x14ac:dyDescent="0.25">
      <c r="A61" s="501"/>
      <c r="B61" s="438"/>
      <c r="C61" s="438"/>
      <c r="D61" s="1481"/>
      <c r="E61" s="1481"/>
      <c r="F61" s="1481"/>
      <c r="G61" s="1481"/>
      <c r="H61" s="1481"/>
      <c r="I61" s="1481"/>
      <c r="J61" s="1481"/>
      <c r="K61" s="1481"/>
      <c r="L61" s="1481"/>
      <c r="M61" s="1481"/>
      <c r="N61" s="1481"/>
      <c r="O61" s="1481"/>
      <c r="P61" s="1481"/>
      <c r="Q61" s="1481"/>
      <c r="R61" s="1481"/>
      <c r="S61" s="1481"/>
      <c r="T61" s="1481"/>
      <c r="U61" s="1481"/>
      <c r="V61" s="1481"/>
      <c r="W61" s="1481"/>
      <c r="X61" s="1481"/>
      <c r="Y61" s="1481"/>
      <c r="Z61" s="1481"/>
      <c r="AA61" s="1481"/>
      <c r="AB61" s="1481"/>
      <c r="AC61" s="1482" t="str">
        <f t="shared" si="14"/>
        <v/>
      </c>
      <c r="AD61" s="1481"/>
      <c r="AE61" s="1483"/>
    </row>
    <row r="62" spans="1:37" ht="3.75" customHeight="1" thickTop="1" thickBot="1" x14ac:dyDescent="0.25">
      <c r="D62" s="1484"/>
      <c r="E62" s="1484"/>
      <c r="F62" s="1484"/>
      <c r="G62" s="1484"/>
      <c r="H62" s="1484"/>
      <c r="I62" s="1484"/>
      <c r="J62" s="1484"/>
      <c r="K62" s="1484"/>
      <c r="L62" s="1484"/>
      <c r="M62" s="1484"/>
      <c r="N62" s="1484"/>
      <c r="O62" s="1484"/>
      <c r="P62" s="1484"/>
      <c r="Q62" s="1484"/>
      <c r="R62" s="1484"/>
      <c r="S62" s="1484"/>
      <c r="T62" s="1484"/>
      <c r="U62" s="1484"/>
      <c r="V62" s="1484"/>
      <c r="W62" s="1484"/>
      <c r="X62" s="1484"/>
      <c r="Y62" s="1484"/>
      <c r="Z62" s="1484"/>
      <c r="AA62" s="1484"/>
      <c r="AB62" s="1484"/>
      <c r="AC62" s="1485" t="str">
        <f t="shared" si="14"/>
        <v/>
      </c>
      <c r="AD62" s="1486"/>
      <c r="AE62" s="1484"/>
    </row>
    <row r="63" spans="1:37" ht="5.25" customHeight="1" thickTop="1" thickBot="1" x14ac:dyDescent="0.25">
      <c r="A63" s="500"/>
      <c r="B63" s="446"/>
      <c r="C63" s="446"/>
      <c r="D63" s="1476"/>
      <c r="E63" s="1476"/>
      <c r="F63" s="1476"/>
      <c r="G63" s="1476"/>
      <c r="H63" s="1476"/>
      <c r="I63" s="1476"/>
      <c r="J63" s="1476"/>
      <c r="K63" s="1476"/>
      <c r="L63" s="1476"/>
      <c r="M63" s="1476"/>
      <c r="N63" s="1476"/>
      <c r="O63" s="1476"/>
      <c r="P63" s="1476"/>
      <c r="Q63" s="1476"/>
      <c r="R63" s="1476"/>
      <c r="S63" s="1487"/>
      <c r="T63" s="1484"/>
      <c r="U63" s="500"/>
      <c r="V63" s="446"/>
      <c r="W63" s="446"/>
      <c r="X63" s="446"/>
      <c r="Y63" s="446"/>
      <c r="Z63" s="446"/>
      <c r="AA63" s="446"/>
      <c r="AB63" s="446"/>
      <c r="AC63" s="447" t="str">
        <f t="shared" si="14"/>
        <v/>
      </c>
      <c r="AD63" s="446"/>
      <c r="AE63" s="448"/>
    </row>
    <row r="64" spans="1:37" ht="11.25" customHeight="1" x14ac:dyDescent="0.2">
      <c r="A64" s="2467" t="s">
        <v>4264</v>
      </c>
      <c r="B64" s="2468"/>
      <c r="C64" s="2478"/>
      <c r="D64" s="2473" t="s">
        <v>4406</v>
      </c>
      <c r="E64" s="2473"/>
      <c r="F64" s="1478"/>
      <c r="G64" s="2473" t="s">
        <v>9155</v>
      </c>
      <c r="H64" s="2473"/>
      <c r="I64" s="1478"/>
      <c r="J64" s="2473" t="s">
        <v>626</v>
      </c>
      <c r="K64" s="2473"/>
      <c r="L64" s="1478"/>
      <c r="M64" s="2473" t="str">
        <f ca="1">IF(M65="","","SF Eiserner Wille I/II")</f>
        <v/>
      </c>
      <c r="N64" s="2473"/>
      <c r="O64" s="1652" t="str">
        <f>IF(P65="","","VT Schwer verzaubern")</f>
        <v/>
      </c>
      <c r="P64" s="1652"/>
      <c r="Q64" s="1652"/>
      <c r="R64" s="1652"/>
      <c r="S64" s="1488"/>
      <c r="T64" s="1484"/>
      <c r="U64" s="2467" t="s">
        <v>2753</v>
      </c>
      <c r="V64" s="2471"/>
      <c r="W64" s="2471"/>
      <c r="X64" s="2471"/>
      <c r="Y64" s="2471"/>
      <c r="Z64" s="2472"/>
      <c r="AA64" s="2442">
        <f ca="1">IF(AND(RASSE_ELF,NOT(PROFGRDGENE="Magier")),Talente!O53&amp;"/"&amp;Talente!O141,SUM(Zauber!B203,Zauber!H203,Zauber!I203,Zauber!J203))</f>
        <v>0</v>
      </c>
      <c r="AB64" s="2443"/>
      <c r="AC64" s="449" t="str">
        <f t="shared" si="14"/>
        <v/>
      </c>
      <c r="AD64" s="436"/>
      <c r="AE64" s="450"/>
    </row>
    <row r="65" spans="1:31" ht="21" customHeight="1" thickBot="1" x14ac:dyDescent="0.25">
      <c r="A65" s="2467"/>
      <c r="B65" s="2468"/>
      <c r="C65" s="2478"/>
      <c r="D65" s="2463">
        <f ca="1">MRSTART</f>
        <v>5</v>
      </c>
      <c r="E65" s="2463"/>
      <c r="F65" s="1479" t="s">
        <v>4826</v>
      </c>
      <c r="G65" s="2463">
        <f ca="1">MRMOD+MRZU</f>
        <v>0</v>
      </c>
      <c r="H65" s="2463"/>
      <c r="I65" s="1480" t="s">
        <v>4830</v>
      </c>
      <c r="J65" s="2463">
        <f ca="1">Heldenbogen!L33</f>
        <v>5</v>
      </c>
      <c r="K65" s="2463"/>
      <c r="L65" s="1653" t="str">
        <f ca="1">IF(M65="","","&amp;")</f>
        <v/>
      </c>
      <c r="M65" s="2494" t="str">
        <f ca="1">IF(EXACT(SF!$AT$47,""),
IF(EXACT(SF!$AT$46,""),"",IF(EXACT(SF!$AT$53,""),"3 (Konz.)","3")),IF(EXACT(SF!$AT$53,""),"7 (Konz.)","3+4(Konz.)"))</f>
        <v/>
      </c>
      <c r="N65" s="2494"/>
      <c r="O65" s="1653" t="str">
        <f>IF(P65="","","&amp;")</f>
        <v/>
      </c>
      <c r="P65" s="2494" t="str">
        <f>IF(Abfragen!B121,3,"")</f>
        <v/>
      </c>
      <c r="Q65" s="2494"/>
      <c r="R65" s="2494"/>
      <c r="S65" s="1488"/>
      <c r="T65" s="1484"/>
      <c r="U65" s="2467"/>
      <c r="V65" s="2471"/>
      <c r="W65" s="2471"/>
      <c r="X65" s="2471"/>
      <c r="Y65" s="2471"/>
      <c r="Z65" s="2472"/>
      <c r="AA65" s="2444"/>
      <c r="AB65" s="2445"/>
      <c r="AC65" s="449" t="str">
        <f t="shared" si="14"/>
        <v/>
      </c>
      <c r="AD65" s="436"/>
      <c r="AE65" s="445"/>
    </row>
    <row r="66" spans="1:31" ht="5.25" customHeight="1" thickBot="1" x14ac:dyDescent="0.25">
      <c r="A66" s="501"/>
      <c r="B66" s="438"/>
      <c r="C66" s="438"/>
      <c r="D66" s="1481"/>
      <c r="E66" s="1481"/>
      <c r="F66" s="1481"/>
      <c r="G66" s="1481"/>
      <c r="H66" s="1481"/>
      <c r="I66" s="1481"/>
      <c r="J66" s="1481"/>
      <c r="K66" s="1481"/>
      <c r="L66" s="1481"/>
      <c r="M66" s="1481"/>
      <c r="N66" s="1481"/>
      <c r="O66" s="1481"/>
      <c r="P66" s="1481"/>
      <c r="Q66" s="1481"/>
      <c r="R66" s="1481"/>
      <c r="S66" s="1483"/>
      <c r="T66" s="1484"/>
      <c r="U66" s="501"/>
      <c r="V66" s="438"/>
      <c r="W66" s="438"/>
      <c r="X66" s="438"/>
      <c r="Y66" s="438"/>
      <c r="Z66" s="438"/>
      <c r="AA66" s="438"/>
      <c r="AB66" s="438"/>
      <c r="AC66" s="451" t="str">
        <f t="shared" si="14"/>
        <v/>
      </c>
      <c r="AD66" s="438"/>
      <c r="AE66" s="439"/>
    </row>
    <row r="67" spans="1:31" ht="4.5" customHeight="1" thickTop="1" thickBot="1" x14ac:dyDescent="0.25">
      <c r="D67" s="1484"/>
      <c r="E67" s="1484"/>
      <c r="F67" s="1484"/>
      <c r="G67" s="1484"/>
      <c r="H67" s="1484"/>
      <c r="I67" s="1484"/>
      <c r="J67" s="1484"/>
      <c r="K67" s="1484"/>
      <c r="L67" s="1484"/>
      <c r="M67" s="1484"/>
      <c r="N67" s="1484"/>
      <c r="O67" s="1484"/>
      <c r="P67" s="1484"/>
      <c r="Q67" s="1484"/>
      <c r="R67" s="1484"/>
      <c r="S67" s="1484"/>
      <c r="T67" s="1484"/>
    </row>
    <row r="68" spans="1:31" ht="4.5" customHeight="1" thickTop="1" x14ac:dyDescent="0.2">
      <c r="A68" s="500"/>
      <c r="B68" s="502"/>
      <c r="C68" s="502"/>
      <c r="D68" s="502"/>
      <c r="E68" s="502"/>
      <c r="F68" s="502"/>
      <c r="G68" s="502"/>
      <c r="H68" s="502"/>
      <c r="I68" s="502"/>
      <c r="J68" s="502"/>
      <c r="K68" s="502"/>
      <c r="L68" s="502"/>
      <c r="M68" s="502"/>
      <c r="N68" s="502"/>
      <c r="O68" s="615"/>
      <c r="P68" s="615"/>
      <c r="Q68" s="615"/>
      <c r="R68" s="615"/>
      <c r="S68" s="615"/>
      <c r="T68" s="615"/>
      <c r="U68" s="615"/>
      <c r="V68" s="615"/>
      <c r="W68" s="615"/>
      <c r="X68" s="502"/>
      <c r="Y68" s="502"/>
      <c r="Z68" s="502"/>
      <c r="AA68" s="502"/>
      <c r="AB68" s="502"/>
      <c r="AC68" s="446"/>
      <c r="AD68" s="446"/>
      <c r="AE68" s="448"/>
    </row>
    <row r="69" spans="1:31" ht="12.75" customHeight="1" x14ac:dyDescent="0.2">
      <c r="A69" s="130"/>
      <c r="B69" s="2446" t="s">
        <v>2754</v>
      </c>
      <c r="C69" s="2447"/>
      <c r="D69" s="2469"/>
      <c r="E69" s="2446" t="s">
        <v>4266</v>
      </c>
      <c r="F69" s="2447"/>
      <c r="G69" s="2447"/>
      <c r="H69" s="2469"/>
      <c r="I69" s="2446" t="s">
        <v>2232</v>
      </c>
      <c r="J69" s="2447"/>
      <c r="K69" s="2469"/>
      <c r="L69" s="2446" t="s">
        <v>4268</v>
      </c>
      <c r="M69" s="2447"/>
      <c r="N69" s="219"/>
      <c r="O69" s="2446" t="s">
        <v>2754</v>
      </c>
      <c r="P69" s="2447"/>
      <c r="Q69" s="2447"/>
      <c r="R69" s="2447"/>
      <c r="S69" s="2447"/>
      <c r="T69" s="2447"/>
      <c r="U69" s="2447"/>
      <c r="V69" s="2447"/>
      <c r="W69" s="2469"/>
      <c r="X69" s="2446" t="s">
        <v>4266</v>
      </c>
      <c r="Y69" s="2447"/>
      <c r="Z69" s="2447"/>
      <c r="AA69" s="2447"/>
      <c r="AB69" s="2446" t="s">
        <v>2232</v>
      </c>
      <c r="AC69" s="2469"/>
      <c r="AD69" s="1305" t="s">
        <v>4268</v>
      </c>
      <c r="AE69" s="494"/>
    </row>
    <row r="70" spans="1:31" ht="12.75" customHeight="1" x14ac:dyDescent="0.2">
      <c r="A70" s="130"/>
      <c r="B70" s="2458" t="str">
        <f>IF(Zauber!A182="","",IF(Zauber!K182="",Zauber!A182,""))</f>
        <v/>
      </c>
      <c r="C70" s="2459"/>
      <c r="D70" s="2460"/>
      <c r="E70" s="2455" t="str">
        <f>IF($B70="","",CONCATENATE(VLOOKUP($B70,RITUALEWERTE,2,FALSE),"•",VLOOKUP($B70,RITUALEWERTE,3,FALSE),"•",VLOOKUP($B70,RITUALEWERTE,4,FALSE)," ",VLOOKUP($B70,RITUALEWERTE,5,FALSE)))</f>
        <v/>
      </c>
      <c r="F70" s="2456"/>
      <c r="G70" s="2456"/>
      <c r="H70" s="2457"/>
      <c r="I70" s="2440" t="str">
        <f>IF($B70="","",VLOOKUP($B70,RITUALEWERTE,6,FALSE))</f>
        <v/>
      </c>
      <c r="J70" s="2441"/>
      <c r="K70" s="2479"/>
      <c r="L70" s="2440" t="str">
        <f>IF(B70="","",VLOOKUP($B70,RITUALEWERTE,7,FALSE))</f>
        <v/>
      </c>
      <c r="M70" s="2441"/>
      <c r="N70" s="614"/>
      <c r="O70" s="2458" t="str">
        <f>IF(Zauber!A192="","",IF(Zauber!K192="",Zauber!A192,""))</f>
        <v/>
      </c>
      <c r="P70" s="2459"/>
      <c r="Q70" s="2459"/>
      <c r="R70" s="2459"/>
      <c r="S70" s="2459"/>
      <c r="T70" s="2459"/>
      <c r="U70" s="2459"/>
      <c r="V70" s="2459"/>
      <c r="W70" s="2460"/>
      <c r="X70" s="2455" t="str">
        <f>IF($O70="","",CONCATENATE(VLOOKUP($O70,RITUALEWERTE,2,FALSE),"•",VLOOKUP($O70,RITUALEWERTE,3,FALSE),"•",VLOOKUP($O70,RITUALEWERTE,4,FALSE)," ",VLOOKUP($O70,RITUALEWERTE,5,FALSE)))</f>
        <v/>
      </c>
      <c r="Y70" s="2456"/>
      <c r="Z70" s="2456"/>
      <c r="AA70" s="2457"/>
      <c r="AB70" s="2455" t="str">
        <f>IF($O70="","",VLOOKUP($O70,RITUALEWERTE,6,FALSE))</f>
        <v/>
      </c>
      <c r="AC70" s="2457"/>
      <c r="AD70" s="132" t="str">
        <f>IF(O70="","",VLOOKUP($O70,RITUALEWERTE,7,FALSE))</f>
        <v/>
      </c>
      <c r="AE70" s="494"/>
    </row>
    <row r="71" spans="1:31" ht="12.75" customHeight="1" x14ac:dyDescent="0.2">
      <c r="A71" s="130"/>
      <c r="B71" s="2458" t="str">
        <f>IF(Zauber!A183="","",IF(Zauber!K183="",Zauber!A183,""))</f>
        <v/>
      </c>
      <c r="C71" s="2459"/>
      <c r="D71" s="2460"/>
      <c r="E71" s="2455" t="str">
        <f t="shared" ref="E71:E79" si="15">IF($B71="","",CONCATENATE(VLOOKUP($B71,RITUALEWERTE,2,FALSE),"•",VLOOKUP($B71,RITUALEWERTE,3,FALSE),"•",VLOOKUP($B71,RITUALEWERTE,4,FALSE)," ",VLOOKUP($B71,RITUALEWERTE,5,FALSE)))</f>
        <v/>
      </c>
      <c r="F71" s="2456"/>
      <c r="G71" s="2456"/>
      <c r="H71" s="2457"/>
      <c r="I71" s="2440" t="str">
        <f t="shared" ref="I71:I79" si="16">IF($B71="","",VLOOKUP($B71,RITUALEWERTE,6,FALSE))</f>
        <v/>
      </c>
      <c r="J71" s="2441"/>
      <c r="K71" s="2479"/>
      <c r="L71" s="2440" t="str">
        <f t="shared" ref="L71:L79" si="17">IF(B71="","",VLOOKUP($B71,RITUALEWERTE,7,FALSE))</f>
        <v/>
      </c>
      <c r="M71" s="1794"/>
      <c r="N71" s="614"/>
      <c r="O71" s="2458" t="str">
        <f>IF(Zauber!A193="","",IF(Zauber!K193="",Zauber!A193,""))</f>
        <v/>
      </c>
      <c r="P71" s="2459"/>
      <c r="Q71" s="2459"/>
      <c r="R71" s="2459"/>
      <c r="S71" s="2459"/>
      <c r="T71" s="2459"/>
      <c r="U71" s="2459"/>
      <c r="V71" s="2459"/>
      <c r="W71" s="2460"/>
      <c r="X71" s="2455" t="str">
        <f t="shared" ref="X71:X79" si="18">IF($O71="","",CONCATENATE(VLOOKUP($O71,RITUALEWERTE,2,FALSE),"•",VLOOKUP($O71,RITUALEWERTE,3,FALSE),"•",VLOOKUP($O71,RITUALEWERTE,4,FALSE)," ",VLOOKUP($O71,RITUALEWERTE,5,FALSE)))</f>
        <v/>
      </c>
      <c r="Y71" s="2456"/>
      <c r="Z71" s="2456"/>
      <c r="AA71" s="2457"/>
      <c r="AB71" s="2455" t="str">
        <f t="shared" ref="AB71:AB79" si="19">IF($O71="","",VLOOKUP($O71,RITUALEWERTE,6,FALSE))</f>
        <v/>
      </c>
      <c r="AC71" s="2457"/>
      <c r="AD71" s="132" t="str">
        <f t="shared" ref="AD71:AD79" si="20">IF(O71="","",VLOOKUP($O71,RITUALEWERTE,7,FALSE))</f>
        <v/>
      </c>
      <c r="AE71" s="494"/>
    </row>
    <row r="72" spans="1:31" ht="12.75" customHeight="1" x14ac:dyDescent="0.2">
      <c r="A72" s="130"/>
      <c r="B72" s="2458" t="str">
        <f>IF(Zauber!A184="","",IF(Zauber!K184="",Zauber!A184,""))</f>
        <v/>
      </c>
      <c r="C72" s="2459"/>
      <c r="D72" s="2460"/>
      <c r="E72" s="2455" t="str">
        <f t="shared" si="15"/>
        <v/>
      </c>
      <c r="F72" s="2456"/>
      <c r="G72" s="2456"/>
      <c r="H72" s="2457"/>
      <c r="I72" s="2440" t="str">
        <f t="shared" si="16"/>
        <v/>
      </c>
      <c r="J72" s="2441"/>
      <c r="K72" s="2479"/>
      <c r="L72" s="2440" t="str">
        <f t="shared" si="17"/>
        <v/>
      </c>
      <c r="M72" s="2441"/>
      <c r="N72" s="614"/>
      <c r="O72" s="2458" t="str">
        <f>IF(Zauber!A194="","",IF(Zauber!K194="",Zauber!A194,""))</f>
        <v/>
      </c>
      <c r="P72" s="2459"/>
      <c r="Q72" s="2459"/>
      <c r="R72" s="2459"/>
      <c r="S72" s="2459"/>
      <c r="T72" s="2459"/>
      <c r="U72" s="2459"/>
      <c r="V72" s="2459"/>
      <c r="W72" s="2460"/>
      <c r="X72" s="2455" t="str">
        <f t="shared" si="18"/>
        <v/>
      </c>
      <c r="Y72" s="2456"/>
      <c r="Z72" s="2456"/>
      <c r="AA72" s="2457"/>
      <c r="AB72" s="2455" t="str">
        <f t="shared" si="19"/>
        <v/>
      </c>
      <c r="AC72" s="2457"/>
      <c r="AD72" s="132" t="str">
        <f t="shared" si="20"/>
        <v/>
      </c>
      <c r="AE72" s="494"/>
    </row>
    <row r="73" spans="1:31" ht="12.75" customHeight="1" x14ac:dyDescent="0.2">
      <c r="A73" s="130"/>
      <c r="B73" s="2458" t="str">
        <f>IF(Zauber!A185="","",IF(Zauber!K185="",Zauber!A185,""))</f>
        <v/>
      </c>
      <c r="C73" s="2459"/>
      <c r="D73" s="2460"/>
      <c r="E73" s="2455" t="str">
        <f t="shared" si="15"/>
        <v/>
      </c>
      <c r="F73" s="2456"/>
      <c r="G73" s="2456"/>
      <c r="H73" s="2457"/>
      <c r="I73" s="2440" t="str">
        <f t="shared" si="16"/>
        <v/>
      </c>
      <c r="J73" s="2441"/>
      <c r="K73" s="2479"/>
      <c r="L73" s="2440" t="str">
        <f t="shared" si="17"/>
        <v/>
      </c>
      <c r="M73" s="2441"/>
      <c r="N73" s="614"/>
      <c r="O73" s="2458" t="str">
        <f>IF(Zauber!A195="","",IF(Zauber!K195="",Zauber!A195,""))</f>
        <v/>
      </c>
      <c r="P73" s="2459"/>
      <c r="Q73" s="2459"/>
      <c r="R73" s="2459"/>
      <c r="S73" s="2459"/>
      <c r="T73" s="2459"/>
      <c r="U73" s="2459"/>
      <c r="V73" s="2459"/>
      <c r="W73" s="2460"/>
      <c r="X73" s="2455" t="str">
        <f t="shared" si="18"/>
        <v/>
      </c>
      <c r="Y73" s="2456"/>
      <c r="Z73" s="2456"/>
      <c r="AA73" s="2457"/>
      <c r="AB73" s="2455" t="str">
        <f t="shared" si="19"/>
        <v/>
      </c>
      <c r="AC73" s="2457"/>
      <c r="AD73" s="132" t="str">
        <f t="shared" si="20"/>
        <v/>
      </c>
      <c r="AE73" s="494"/>
    </row>
    <row r="74" spans="1:31" ht="12.75" customHeight="1" x14ac:dyDescent="0.2">
      <c r="A74" s="130"/>
      <c r="B74" s="2458" t="str">
        <f>IF(Zauber!A186="","",IF(Zauber!K186="",Zauber!A186,""))</f>
        <v/>
      </c>
      <c r="C74" s="2459"/>
      <c r="D74" s="2460"/>
      <c r="E74" s="2455" t="str">
        <f t="shared" si="15"/>
        <v/>
      </c>
      <c r="F74" s="2456"/>
      <c r="G74" s="2456"/>
      <c r="H74" s="2457"/>
      <c r="I74" s="2440" t="str">
        <f t="shared" si="16"/>
        <v/>
      </c>
      <c r="J74" s="2441"/>
      <c r="K74" s="2479"/>
      <c r="L74" s="2440" t="str">
        <f t="shared" si="17"/>
        <v/>
      </c>
      <c r="M74" s="2441"/>
      <c r="N74" s="614"/>
      <c r="O74" s="2458" t="str">
        <f>IF(Zauber!A196="","",IF(Zauber!K196="",Zauber!A196,""))</f>
        <v/>
      </c>
      <c r="P74" s="2459"/>
      <c r="Q74" s="2459"/>
      <c r="R74" s="2459"/>
      <c r="S74" s="2459"/>
      <c r="T74" s="2459"/>
      <c r="U74" s="2459"/>
      <c r="V74" s="2459"/>
      <c r="W74" s="2460"/>
      <c r="X74" s="2455" t="str">
        <f t="shared" si="18"/>
        <v/>
      </c>
      <c r="Y74" s="2456"/>
      <c r="Z74" s="2456"/>
      <c r="AA74" s="2457"/>
      <c r="AB74" s="2455" t="str">
        <f t="shared" si="19"/>
        <v/>
      </c>
      <c r="AC74" s="2457"/>
      <c r="AD74" s="132" t="str">
        <f t="shared" si="20"/>
        <v/>
      </c>
      <c r="AE74" s="494"/>
    </row>
    <row r="75" spans="1:31" ht="12.75" customHeight="1" x14ac:dyDescent="0.2">
      <c r="A75" s="130"/>
      <c r="B75" s="2458" t="str">
        <f>IF(Zauber!A187="","",IF(Zauber!K187="",Zauber!A187,""))</f>
        <v/>
      </c>
      <c r="C75" s="2459"/>
      <c r="D75" s="2460"/>
      <c r="E75" s="2455" t="str">
        <f t="shared" si="15"/>
        <v/>
      </c>
      <c r="F75" s="2456"/>
      <c r="G75" s="2456"/>
      <c r="H75" s="2457"/>
      <c r="I75" s="2440" t="str">
        <f t="shared" si="16"/>
        <v/>
      </c>
      <c r="J75" s="2441"/>
      <c r="K75" s="2479"/>
      <c r="L75" s="2440" t="str">
        <f t="shared" si="17"/>
        <v/>
      </c>
      <c r="M75" s="2441"/>
      <c r="N75" s="614"/>
      <c r="O75" s="2458" t="str">
        <f>IF(Zauber!A197="","",IF(Zauber!K197="",Zauber!A197,""))</f>
        <v/>
      </c>
      <c r="P75" s="2459"/>
      <c r="Q75" s="2459"/>
      <c r="R75" s="2459"/>
      <c r="S75" s="2459"/>
      <c r="T75" s="2459"/>
      <c r="U75" s="2459"/>
      <c r="V75" s="2459"/>
      <c r="W75" s="2460"/>
      <c r="X75" s="2455" t="str">
        <f t="shared" si="18"/>
        <v/>
      </c>
      <c r="Y75" s="2456"/>
      <c r="Z75" s="2456"/>
      <c r="AA75" s="2457"/>
      <c r="AB75" s="2455" t="str">
        <f t="shared" si="19"/>
        <v/>
      </c>
      <c r="AC75" s="2457"/>
      <c r="AD75" s="132" t="str">
        <f t="shared" si="20"/>
        <v/>
      </c>
      <c r="AE75" s="494"/>
    </row>
    <row r="76" spans="1:31" ht="12.75" customHeight="1" x14ac:dyDescent="0.2">
      <c r="A76" s="130"/>
      <c r="B76" s="2458" t="str">
        <f>IF(Zauber!A188="","",IF(Zauber!K188="",Zauber!A188,""))</f>
        <v/>
      </c>
      <c r="C76" s="2459"/>
      <c r="D76" s="2460"/>
      <c r="E76" s="2455" t="str">
        <f t="shared" si="15"/>
        <v/>
      </c>
      <c r="F76" s="2456"/>
      <c r="G76" s="2456"/>
      <c r="H76" s="2457"/>
      <c r="I76" s="2440" t="str">
        <f t="shared" si="16"/>
        <v/>
      </c>
      <c r="J76" s="2441"/>
      <c r="K76" s="2479"/>
      <c r="L76" s="2440" t="str">
        <f t="shared" si="17"/>
        <v/>
      </c>
      <c r="M76" s="2441"/>
      <c r="N76" s="614"/>
      <c r="O76" s="2458" t="str">
        <f>IF(Zauber!A198="","",IF(Zauber!K198="",Zauber!A198,""))</f>
        <v/>
      </c>
      <c r="P76" s="2459"/>
      <c r="Q76" s="2459"/>
      <c r="R76" s="2459"/>
      <c r="S76" s="2459"/>
      <c r="T76" s="2459"/>
      <c r="U76" s="2459"/>
      <c r="V76" s="2459"/>
      <c r="W76" s="2460"/>
      <c r="X76" s="2455" t="str">
        <f t="shared" si="18"/>
        <v/>
      </c>
      <c r="Y76" s="2456"/>
      <c r="Z76" s="2456"/>
      <c r="AA76" s="2457"/>
      <c r="AB76" s="2455" t="str">
        <f t="shared" si="19"/>
        <v/>
      </c>
      <c r="AC76" s="2457"/>
      <c r="AD76" s="132" t="str">
        <f t="shared" si="20"/>
        <v/>
      </c>
      <c r="AE76" s="494"/>
    </row>
    <row r="77" spans="1:31" ht="12.75" customHeight="1" x14ac:dyDescent="0.2">
      <c r="A77" s="130"/>
      <c r="B77" s="2458" t="str">
        <f>IF(Zauber!A189="","",IF(Zauber!K189="",Zauber!A189,""))</f>
        <v/>
      </c>
      <c r="C77" s="2459"/>
      <c r="D77" s="2460"/>
      <c r="E77" s="2455" t="str">
        <f t="shared" si="15"/>
        <v/>
      </c>
      <c r="F77" s="2456"/>
      <c r="G77" s="2456"/>
      <c r="H77" s="2457"/>
      <c r="I77" s="2440" t="str">
        <f t="shared" si="16"/>
        <v/>
      </c>
      <c r="J77" s="2441"/>
      <c r="K77" s="2479"/>
      <c r="L77" s="2440" t="str">
        <f t="shared" si="17"/>
        <v/>
      </c>
      <c r="M77" s="2441"/>
      <c r="N77" s="614"/>
      <c r="O77" s="2458" t="str">
        <f>IF(Zauber!A199="","",IF(Zauber!K199="",Zauber!A199,""))</f>
        <v/>
      </c>
      <c r="P77" s="2459"/>
      <c r="Q77" s="2459"/>
      <c r="R77" s="2459"/>
      <c r="S77" s="2459"/>
      <c r="T77" s="2459"/>
      <c r="U77" s="2459"/>
      <c r="V77" s="2459"/>
      <c r="W77" s="2460"/>
      <c r="X77" s="2455" t="str">
        <f t="shared" si="18"/>
        <v/>
      </c>
      <c r="Y77" s="2456"/>
      <c r="Z77" s="2456"/>
      <c r="AA77" s="2457"/>
      <c r="AB77" s="2455" t="str">
        <f t="shared" si="19"/>
        <v/>
      </c>
      <c r="AC77" s="2457"/>
      <c r="AD77" s="132" t="str">
        <f t="shared" si="20"/>
        <v/>
      </c>
      <c r="AE77" s="494"/>
    </row>
    <row r="78" spans="1:31" ht="12.75" customHeight="1" x14ac:dyDescent="0.2">
      <c r="A78" s="130"/>
      <c r="B78" s="2458" t="str">
        <f>IF(Zauber!A190="","",IF(Zauber!K190="",Zauber!A190,""))</f>
        <v/>
      </c>
      <c r="C78" s="2459"/>
      <c r="D78" s="2460"/>
      <c r="E78" s="2455" t="str">
        <f t="shared" si="15"/>
        <v/>
      </c>
      <c r="F78" s="2456"/>
      <c r="G78" s="2456"/>
      <c r="H78" s="2457"/>
      <c r="I78" s="2440" t="str">
        <f t="shared" si="16"/>
        <v/>
      </c>
      <c r="J78" s="2441"/>
      <c r="K78" s="2479"/>
      <c r="L78" s="2440" t="str">
        <f t="shared" si="17"/>
        <v/>
      </c>
      <c r="M78" s="2441"/>
      <c r="N78" s="614"/>
      <c r="O78" s="2458" t="str">
        <f>IF(Zauber!A200="","",IF(Zauber!K200="",Zauber!A200,""))</f>
        <v/>
      </c>
      <c r="P78" s="2459"/>
      <c r="Q78" s="2459"/>
      <c r="R78" s="2459"/>
      <c r="S78" s="2459"/>
      <c r="T78" s="2459"/>
      <c r="U78" s="2459"/>
      <c r="V78" s="2459"/>
      <c r="W78" s="2460"/>
      <c r="X78" s="2455" t="str">
        <f t="shared" si="18"/>
        <v/>
      </c>
      <c r="Y78" s="2456"/>
      <c r="Z78" s="2456"/>
      <c r="AA78" s="2457"/>
      <c r="AB78" s="2455" t="str">
        <f t="shared" si="19"/>
        <v/>
      </c>
      <c r="AC78" s="2457"/>
      <c r="AD78" s="132" t="str">
        <f t="shared" si="20"/>
        <v/>
      </c>
      <c r="AE78" s="494"/>
    </row>
    <row r="79" spans="1:31" ht="12.75" customHeight="1" x14ac:dyDescent="0.2">
      <c r="A79" s="130"/>
      <c r="B79" s="2458" t="str">
        <f>IF(Zauber!A191="","",IF(Zauber!K191="",Zauber!A191,""))</f>
        <v/>
      </c>
      <c r="C79" s="2459"/>
      <c r="D79" s="2460"/>
      <c r="E79" s="2455" t="str">
        <f t="shared" si="15"/>
        <v/>
      </c>
      <c r="F79" s="2456"/>
      <c r="G79" s="2456"/>
      <c r="H79" s="2457"/>
      <c r="I79" s="2440" t="str">
        <f t="shared" si="16"/>
        <v/>
      </c>
      <c r="J79" s="2441"/>
      <c r="K79" s="2479"/>
      <c r="L79" s="2440" t="str">
        <f t="shared" si="17"/>
        <v/>
      </c>
      <c r="M79" s="2441"/>
      <c r="N79" s="614"/>
      <c r="O79" s="2458" t="str">
        <f>IF(Zauber!A201="","",IF(Zauber!K201="",Zauber!A201,""))</f>
        <v/>
      </c>
      <c r="P79" s="2459"/>
      <c r="Q79" s="2459"/>
      <c r="R79" s="2459"/>
      <c r="S79" s="2459"/>
      <c r="T79" s="2459"/>
      <c r="U79" s="2459"/>
      <c r="V79" s="2459"/>
      <c r="W79" s="2460"/>
      <c r="X79" s="2455" t="str">
        <f t="shared" si="18"/>
        <v/>
      </c>
      <c r="Y79" s="2456"/>
      <c r="Z79" s="2456"/>
      <c r="AA79" s="2457"/>
      <c r="AB79" s="2455" t="str">
        <f t="shared" si="19"/>
        <v/>
      </c>
      <c r="AC79" s="2457"/>
      <c r="AD79" s="132" t="str">
        <f t="shared" si="20"/>
        <v/>
      </c>
      <c r="AE79" s="494"/>
    </row>
    <row r="80" spans="1:31" ht="5.25" customHeight="1" thickBot="1" x14ac:dyDescent="0.25">
      <c r="A80" s="501"/>
      <c r="B80" s="438"/>
      <c r="C80" s="438"/>
      <c r="D80" s="438"/>
      <c r="E80" s="438"/>
      <c r="F80" s="438"/>
      <c r="G80" s="438"/>
      <c r="H80" s="438"/>
      <c r="I80" s="438"/>
      <c r="J80" s="438"/>
      <c r="K80" s="438"/>
      <c r="L80" s="438"/>
      <c r="M80" s="438"/>
      <c r="N80" s="438"/>
      <c r="O80" s="438"/>
      <c r="P80" s="438"/>
      <c r="Q80" s="438"/>
      <c r="R80" s="438"/>
      <c r="S80" s="438"/>
      <c r="T80" s="438"/>
      <c r="U80" s="438"/>
      <c r="V80" s="438"/>
      <c r="W80" s="438"/>
      <c r="X80" s="438"/>
      <c r="Y80" s="438"/>
      <c r="Z80" s="438"/>
      <c r="AA80" s="438"/>
      <c r="AB80" s="438"/>
      <c r="AC80" s="438"/>
      <c r="AD80" s="438"/>
      <c r="AE80" s="439"/>
    </row>
    <row r="81" spans="1:31" ht="5.25" customHeight="1" thickTop="1" thickBot="1" x14ac:dyDescent="0.25">
      <c r="A81" s="436"/>
      <c r="B81" s="436"/>
      <c r="C81" s="436"/>
      <c r="D81" s="436"/>
      <c r="E81" s="436"/>
      <c r="F81" s="436"/>
      <c r="G81" s="436"/>
      <c r="H81" s="436"/>
      <c r="I81" s="436"/>
      <c r="J81" s="436"/>
      <c r="K81" s="436"/>
      <c r="L81" s="436"/>
      <c r="M81" s="436"/>
      <c r="N81" s="436"/>
      <c r="O81" s="436"/>
      <c r="P81" s="436"/>
      <c r="Q81" s="436"/>
      <c r="R81" s="436"/>
      <c r="S81" s="436"/>
      <c r="T81" s="436"/>
      <c r="U81" s="436"/>
      <c r="V81" s="436"/>
      <c r="W81" s="436"/>
      <c r="X81" s="436"/>
      <c r="Y81" s="436"/>
      <c r="Z81" s="436"/>
      <c r="AA81" s="436"/>
      <c r="AB81" s="436"/>
      <c r="AC81" s="436"/>
      <c r="AD81" s="436"/>
      <c r="AE81" s="436"/>
    </row>
    <row r="82" spans="1:31" ht="5.25" customHeight="1" thickTop="1" x14ac:dyDescent="0.2">
      <c r="A82" s="500"/>
      <c r="B82" s="502"/>
      <c r="C82" s="502"/>
      <c r="D82" s="502"/>
      <c r="E82" s="502"/>
      <c r="F82" s="502"/>
      <c r="G82" s="502"/>
      <c r="H82" s="502"/>
      <c r="I82" s="502"/>
      <c r="J82" s="502"/>
      <c r="K82" s="502"/>
      <c r="L82" s="502"/>
      <c r="M82" s="502"/>
      <c r="N82" s="502"/>
      <c r="O82" s="502"/>
      <c r="P82" s="502"/>
      <c r="Q82" s="502"/>
      <c r="R82" s="502"/>
      <c r="S82" s="502"/>
      <c r="T82" s="502"/>
      <c r="U82" s="502"/>
      <c r="V82" s="502"/>
      <c r="W82" s="502"/>
      <c r="X82" s="502"/>
      <c r="Y82" s="502"/>
      <c r="Z82" s="502"/>
      <c r="AA82" s="502"/>
      <c r="AB82" s="502"/>
      <c r="AC82" s="446"/>
      <c r="AD82" s="446"/>
      <c r="AE82" s="448"/>
    </row>
    <row r="83" spans="1:31" ht="12.75" customHeight="1" x14ac:dyDescent="0.25">
      <c r="A83" s="510"/>
      <c r="B83" s="525" t="s">
        <v>8803</v>
      </c>
      <c r="C83" s="436"/>
      <c r="D83" s="436"/>
      <c r="E83" s="436"/>
      <c r="F83" s="436"/>
      <c r="G83" s="436"/>
      <c r="H83" s="436"/>
      <c r="I83" s="436"/>
      <c r="J83" s="2492" t="str">
        <f ca="1">IF(SF!AS99="X","aktiviert","")</f>
        <v/>
      </c>
      <c r="K83" s="2493"/>
      <c r="L83" s="528"/>
      <c r="M83" s="1489" t="s">
        <v>1540</v>
      </c>
      <c r="N83" s="436"/>
      <c r="O83" s="525" t="str">
        <f ca="1">IF(Zauber!B226="","","Ritualkenntnis Runenzauberei: ")</f>
        <v/>
      </c>
      <c r="P83" s="436"/>
      <c r="Q83" s="436"/>
      <c r="R83" s="436"/>
      <c r="S83" s="436"/>
      <c r="T83" s="436"/>
      <c r="U83" s="436"/>
      <c r="V83" s="436"/>
      <c r="W83" s="436"/>
      <c r="X83" s="436"/>
      <c r="Y83" s="436"/>
      <c r="Z83" s="436"/>
      <c r="AA83" s="436"/>
      <c r="AB83" s="526" t="str">
        <f ca="1">IF(Zauber!B226="","",SUM(Zauber!B226,Zauber!I226,Zauber!J226))</f>
        <v/>
      </c>
      <c r="AC83" s="436"/>
      <c r="AD83" s="1489" t="s">
        <v>1540</v>
      </c>
      <c r="AE83" s="437"/>
    </row>
    <row r="84" spans="1:31" ht="4.5" customHeight="1" x14ac:dyDescent="0.25">
      <c r="A84" s="510"/>
      <c r="B84" s="525"/>
      <c r="C84" s="436"/>
      <c r="D84" s="436"/>
      <c r="E84" s="436"/>
      <c r="F84" s="436"/>
      <c r="G84" s="436"/>
      <c r="H84" s="436"/>
      <c r="I84" s="436"/>
      <c r="J84" s="436"/>
      <c r="K84" s="436"/>
      <c r="L84" s="436"/>
      <c r="M84" s="529"/>
      <c r="N84" s="436"/>
      <c r="O84" s="525"/>
      <c r="P84" s="436"/>
      <c r="Q84" s="436"/>
      <c r="R84" s="436"/>
      <c r="S84" s="436"/>
      <c r="T84" s="436"/>
      <c r="U84" s="436"/>
      <c r="V84" s="436"/>
      <c r="W84" s="436"/>
      <c r="X84" s="436"/>
      <c r="Y84" s="436"/>
      <c r="Z84" s="436"/>
      <c r="AA84" s="436"/>
      <c r="AB84" s="527"/>
      <c r="AC84" s="436"/>
      <c r="AD84" s="129"/>
      <c r="AE84" s="437"/>
    </row>
    <row r="85" spans="1:31" ht="12.75" customHeight="1" x14ac:dyDescent="0.2">
      <c r="A85" s="510"/>
      <c r="B85" s="2489" t="str">
        <f>IF(Zauber!A210="","",IF(AND(NOT(Zauber!B210="X"),ISBLANK(Zauber!H210),ISBLANK(Zauber!I210),ISBLANK(Zauber!J210)),"",IF(Zauber!K210="",Zauber!A210,"")))</f>
        <v/>
      </c>
      <c r="C85" s="2490"/>
      <c r="D85" s="2490"/>
      <c r="E85" s="2490"/>
      <c r="F85" s="2490"/>
      <c r="G85" s="2490"/>
      <c r="H85" s="2490"/>
      <c r="I85" s="2490"/>
      <c r="J85" s="2490"/>
      <c r="K85" s="2490"/>
      <c r="L85" s="2491"/>
      <c r="M85" s="1491" t="str">
        <f>IF(B85="","",VLOOKUP(B85,ZZEICHEN_ALLE,7,FALSE))</f>
        <v/>
      </c>
      <c r="N85" s="1492"/>
      <c r="O85" s="2450" t="str">
        <f>IF(Zauber!A228="",IF(Zauber!A218="","",IF(AND(NOT(Zauber!B218="X"),ISBLANK(Zauber!H218),ISBLANK(Zauber!I218),ISBLANK(Zauber!J218)),"",IF(Zauber!K218="",Zauber!A218,""))),
IF(AND(NOT(Zauber!B228="X"),ISBLANK(Zauber!H228),ISBLANK(Zauber!I228),ISBLANK(Zauber!J228)),"",IF(Zauber!K228="",Zauber!A228,"")))</f>
        <v/>
      </c>
      <c r="P85" s="2451"/>
      <c r="Q85" s="2451"/>
      <c r="R85" s="2451"/>
      <c r="S85" s="2451"/>
      <c r="T85" s="2451"/>
      <c r="U85" s="2451"/>
      <c r="V85" s="2451"/>
      <c r="W85" s="2451"/>
      <c r="X85" s="2451"/>
      <c r="Y85" s="2451"/>
      <c r="Z85" s="2451"/>
      <c r="AA85" s="2451"/>
      <c r="AB85" s="2451"/>
      <c r="AC85" s="2452"/>
      <c r="AD85" s="1491" t="str">
        <f>IF(O85="",IF(Zauber!B219="",IF(O85="","",VLOOKUP(O85,ZZEICHEN_ALLE,7,FALSE)),""),VLOOKUP(O85,RUNEN_ALLE,7,FALSE))</f>
        <v/>
      </c>
      <c r="AE85" s="1488"/>
    </row>
    <row r="86" spans="1:31" ht="12.75" customHeight="1" x14ac:dyDescent="0.2">
      <c r="A86" s="510"/>
      <c r="B86" s="2489" t="str">
        <f>IF(Zauber!A211="","",IF(AND(NOT(Zauber!B211="X"),ISBLANK(Zauber!H211),ISBLANK(Zauber!I211),ISBLANK(Zauber!J211)),"",IF(Zauber!K211="",Zauber!A211,"")))</f>
        <v/>
      </c>
      <c r="C86" s="2490"/>
      <c r="D86" s="2490"/>
      <c r="E86" s="2490"/>
      <c r="F86" s="2490"/>
      <c r="G86" s="2490"/>
      <c r="H86" s="2490"/>
      <c r="I86" s="2490"/>
      <c r="J86" s="2490"/>
      <c r="K86" s="2490"/>
      <c r="L86" s="2491"/>
      <c r="M86" s="1491" t="str">
        <f t="shared" ref="M86:M92" si="21">IF(B86="","",VLOOKUP(B86,ZZEICHEN_ALLE,7,FALSE))</f>
        <v/>
      </c>
      <c r="N86" s="1492"/>
      <c r="O86" s="2450" t="str">
        <f>IF(Zauber!A229="",IF(Zauber!A219="","",IF(AND(NOT(Zauber!B219="X"),ISBLANK(Zauber!H219),ISBLANK(Zauber!I219),ISBLANK(Zauber!J219)),"",IF(Zauber!K219="",Zauber!A219,""))),
IF(AND(NOT(Zauber!B229="X"),ISBLANK(Zauber!H229),ISBLANK(Zauber!I229),ISBLANK(Zauber!J229)),"",IF(Zauber!K229="",Zauber!A229,"")))</f>
        <v/>
      </c>
      <c r="P86" s="2451"/>
      <c r="Q86" s="2451"/>
      <c r="R86" s="2451"/>
      <c r="S86" s="2451"/>
      <c r="T86" s="2451"/>
      <c r="U86" s="2451"/>
      <c r="V86" s="2451"/>
      <c r="W86" s="2451"/>
      <c r="X86" s="2451"/>
      <c r="Y86" s="2451"/>
      <c r="Z86" s="2451"/>
      <c r="AA86" s="2451"/>
      <c r="AB86" s="2451"/>
      <c r="AC86" s="2452"/>
      <c r="AD86" s="1491" t="str">
        <f>IF(O86="",IF(Zauber!B220="",IF(O86="","",VLOOKUP(O86,ZZEICHEN_ALLE,7,FALSE)),""),VLOOKUP(O86,RUNEN_ALLE,7,FALSE))</f>
        <v/>
      </c>
      <c r="AE86" s="1488"/>
    </row>
    <row r="87" spans="1:31" ht="12.75" customHeight="1" x14ac:dyDescent="0.2">
      <c r="A87" s="510"/>
      <c r="B87" s="2489" t="str">
        <f>IF(Zauber!A212="","",IF(AND(NOT(Zauber!B212="X"),ISBLANK(Zauber!H212),ISBLANK(Zauber!I212),ISBLANK(Zauber!J212)),"",IF(Zauber!K212="",Zauber!A212,"")))</f>
        <v/>
      </c>
      <c r="C87" s="2490"/>
      <c r="D87" s="2490"/>
      <c r="E87" s="2490"/>
      <c r="F87" s="2490"/>
      <c r="G87" s="2490"/>
      <c r="H87" s="2490"/>
      <c r="I87" s="2490"/>
      <c r="J87" s="2490"/>
      <c r="K87" s="2490"/>
      <c r="L87" s="2491"/>
      <c r="M87" s="1491" t="str">
        <f t="shared" si="21"/>
        <v/>
      </c>
      <c r="N87" s="1492"/>
      <c r="O87" s="2450" t="str">
        <f>IF(Zauber!A230="",IF(Zauber!A220="","",IF(AND(NOT(Zauber!B220="X"),ISBLANK(Zauber!H220),ISBLANK(Zauber!I220),ISBLANK(Zauber!J220)),"",IF(Zauber!K220="",Zauber!A220,""))),
IF(AND(NOT(Zauber!B230="X"),ISBLANK(Zauber!H230),ISBLANK(Zauber!I230),ISBLANK(Zauber!J230)),"",IF(Zauber!K230="",Zauber!A230,"")))</f>
        <v/>
      </c>
      <c r="P87" s="2451"/>
      <c r="Q87" s="2451"/>
      <c r="R87" s="2451"/>
      <c r="S87" s="2451"/>
      <c r="T87" s="2451"/>
      <c r="U87" s="2451"/>
      <c r="V87" s="2451"/>
      <c r="W87" s="2451"/>
      <c r="X87" s="2451"/>
      <c r="Y87" s="2451"/>
      <c r="Z87" s="2451"/>
      <c r="AA87" s="2451"/>
      <c r="AB87" s="2451"/>
      <c r="AC87" s="2452"/>
      <c r="AD87" s="1491" t="str">
        <f>IF(O87="",IF(Zauber!B221="",IF(O87="","",VLOOKUP(O87,ZZEICHEN_ALLE,7,FALSE)),""),VLOOKUP(O87,RUNEN_ALLE,7,FALSE))</f>
        <v/>
      </c>
      <c r="AE87" s="1488"/>
    </row>
    <row r="88" spans="1:31" ht="12.75" customHeight="1" x14ac:dyDescent="0.2">
      <c r="A88" s="510"/>
      <c r="B88" s="2489" t="str">
        <f>IF(Zauber!A213="","",IF(AND(NOT(Zauber!B213="X"),ISBLANK(Zauber!H213),ISBLANK(Zauber!I213),ISBLANK(Zauber!J213)),"",IF(Zauber!K213="",Zauber!A213,"")))</f>
        <v/>
      </c>
      <c r="C88" s="2490"/>
      <c r="D88" s="2490"/>
      <c r="E88" s="2490"/>
      <c r="F88" s="2490"/>
      <c r="G88" s="2490"/>
      <c r="H88" s="2490"/>
      <c r="I88" s="2490"/>
      <c r="J88" s="2490"/>
      <c r="K88" s="2490"/>
      <c r="L88" s="2491"/>
      <c r="M88" s="1491" t="str">
        <f t="shared" si="21"/>
        <v/>
      </c>
      <c r="N88" s="1492"/>
      <c r="O88" s="2450" t="str">
        <f>IF(Zauber!A231="",IF(Zauber!A221="","",IF(AND(NOT(Zauber!B221="X"),ISBLANK(Zauber!H221),ISBLANK(Zauber!I221),ISBLANK(Zauber!J221)),"",IF(Zauber!K221="",Zauber!A221,""))),
IF(AND(NOT(Zauber!B231="X"),ISBLANK(Zauber!H231),ISBLANK(Zauber!I231),ISBLANK(Zauber!J231)),"",IF(Zauber!K231="",Zauber!A231,"")))</f>
        <v/>
      </c>
      <c r="P88" s="2451"/>
      <c r="Q88" s="2451"/>
      <c r="R88" s="2451"/>
      <c r="S88" s="2451"/>
      <c r="T88" s="2451"/>
      <c r="U88" s="2451"/>
      <c r="V88" s="2451"/>
      <c r="W88" s="2451"/>
      <c r="X88" s="2451"/>
      <c r="Y88" s="2451"/>
      <c r="Z88" s="2451"/>
      <c r="AA88" s="2451"/>
      <c r="AB88" s="2451"/>
      <c r="AC88" s="2452"/>
      <c r="AD88" s="1491" t="str">
        <f>IF(O88="",IF(Zauber!B222="",IF(O88="","",VLOOKUP(O88,ZZEICHEN_ALLE,7,FALSE)),""),VLOOKUP(O88,RUNEN_ALLE,7,FALSE))</f>
        <v/>
      </c>
      <c r="AE88" s="1488"/>
    </row>
    <row r="89" spans="1:31" ht="12.75" customHeight="1" x14ac:dyDescent="0.2">
      <c r="A89" s="510"/>
      <c r="B89" s="2489" t="str">
        <f>IF(Zauber!A214="","",IF(AND(NOT(Zauber!B214="X"),ISBLANK(Zauber!H214),ISBLANK(Zauber!I214),ISBLANK(Zauber!J214)),"",IF(Zauber!K214="",Zauber!A214,"")))</f>
        <v/>
      </c>
      <c r="C89" s="2490"/>
      <c r="D89" s="2490"/>
      <c r="E89" s="2490"/>
      <c r="F89" s="2490"/>
      <c r="G89" s="2490"/>
      <c r="H89" s="2490"/>
      <c r="I89" s="2490"/>
      <c r="J89" s="2490"/>
      <c r="K89" s="2490"/>
      <c r="L89" s="2491"/>
      <c r="M89" s="1491" t="str">
        <f t="shared" si="21"/>
        <v/>
      </c>
      <c r="N89" s="1492"/>
      <c r="O89" s="2450" t="str">
        <f>IF(Zauber!A232="",IF(Zauber!A222="","",IF(AND(NOT(Zauber!B222="X"),ISBLANK(Zauber!H222),ISBLANK(Zauber!I222),ISBLANK(Zauber!J222)),"",IF(Zauber!K222="",Zauber!A222,""))),
IF(AND(NOT(Zauber!B232="X"),ISBLANK(Zauber!H232),ISBLANK(Zauber!I232),ISBLANK(Zauber!J232)),"",IF(Zauber!K232="",Zauber!A232,"")))</f>
        <v/>
      </c>
      <c r="P89" s="2451"/>
      <c r="Q89" s="2451"/>
      <c r="R89" s="2451"/>
      <c r="S89" s="2451"/>
      <c r="T89" s="2451"/>
      <c r="U89" s="2451"/>
      <c r="V89" s="2451"/>
      <c r="W89" s="2451"/>
      <c r="X89" s="2451"/>
      <c r="Y89" s="2451"/>
      <c r="Z89" s="2451"/>
      <c r="AA89" s="2451"/>
      <c r="AB89" s="2451"/>
      <c r="AC89" s="2452"/>
      <c r="AD89" s="1491" t="str">
        <f>IF(O89="",IF(Zauber!B223="",IF(O89="","",VLOOKUP(O89,ZZEICHEN_ALLE,7,FALSE)),""),VLOOKUP(O89,RUNEN_ALLE,7,FALSE))</f>
        <v/>
      </c>
      <c r="AE89" s="1488"/>
    </row>
    <row r="90" spans="1:31" ht="12.75" customHeight="1" x14ac:dyDescent="0.2">
      <c r="A90" s="510"/>
      <c r="B90" s="2489" t="str">
        <f>IF(Zauber!A215="","",IF(AND(NOT(Zauber!B215="X"),ISBLANK(Zauber!H215),ISBLANK(Zauber!I215),ISBLANK(Zauber!J215)),"",IF(Zauber!K215="",Zauber!A215,"")))</f>
        <v/>
      </c>
      <c r="C90" s="2490"/>
      <c r="D90" s="2490"/>
      <c r="E90" s="2490"/>
      <c r="F90" s="2490"/>
      <c r="G90" s="2490"/>
      <c r="H90" s="2490"/>
      <c r="I90" s="2490"/>
      <c r="J90" s="2490"/>
      <c r="K90" s="2490"/>
      <c r="L90" s="2491"/>
      <c r="M90" s="1491" t="str">
        <f t="shared" si="21"/>
        <v/>
      </c>
      <c r="N90" s="1492"/>
      <c r="O90" s="2450" t="str">
        <f>IF(Zauber!A233="",IF(Zauber!A223="","",IF(AND(NOT(Zauber!B223="X"),ISBLANK(Zauber!H223),ISBLANK(Zauber!I223),ISBLANK(Zauber!J223)),"",IF(Zauber!K223="",Zauber!A223,""))),
IF(AND(NOT(Zauber!B233="X"),ISBLANK(Zauber!H233),ISBLANK(Zauber!I233),ISBLANK(Zauber!J233)),"",IF(Zauber!K233="",Zauber!A233,"")))</f>
        <v/>
      </c>
      <c r="P90" s="2451"/>
      <c r="Q90" s="2451"/>
      <c r="R90" s="2451"/>
      <c r="S90" s="2451"/>
      <c r="T90" s="2451"/>
      <c r="U90" s="2451"/>
      <c r="V90" s="2451"/>
      <c r="W90" s="2451"/>
      <c r="X90" s="2451"/>
      <c r="Y90" s="2451"/>
      <c r="Z90" s="2451"/>
      <c r="AA90" s="2451"/>
      <c r="AB90" s="2451"/>
      <c r="AC90" s="2452"/>
      <c r="AD90" s="1491" t="str">
        <f>IF(O90="",IF(Zauber!B224="",IF(O90="","",VLOOKUP(O90,ZZEICHEN_ALLE,7,FALSE)),""),VLOOKUP(O90,RUNEN_ALLE,7,FALSE))</f>
        <v/>
      </c>
      <c r="AE90" s="1488"/>
    </row>
    <row r="91" spans="1:31" ht="12.75" customHeight="1" x14ac:dyDescent="0.2">
      <c r="A91" s="510"/>
      <c r="B91" s="2489" t="str">
        <f>IF(Zauber!A216="","",IF(AND(NOT(Zauber!B216="X"),ISBLANK(Zauber!H216),ISBLANK(Zauber!I216),ISBLANK(Zauber!J216)),"",IF(Zauber!K216="",Zauber!A216,"")))</f>
        <v/>
      </c>
      <c r="C91" s="2490"/>
      <c r="D91" s="2490"/>
      <c r="E91" s="2490"/>
      <c r="F91" s="2490"/>
      <c r="G91" s="2490"/>
      <c r="H91" s="2490"/>
      <c r="I91" s="2490"/>
      <c r="J91" s="2490"/>
      <c r="K91" s="2490"/>
      <c r="L91" s="2491"/>
      <c r="M91" s="1491" t="str">
        <f t="shared" si="21"/>
        <v/>
      </c>
      <c r="N91" s="1492"/>
      <c r="O91" s="2450" t="str">
        <f>IF(Zauber!A234="",IF(Zauber!A224="","",IF(AND(NOT(Zauber!B224="X"),ISBLANK(Zauber!H224),ISBLANK(Zauber!I224),ISBLANK(Zauber!J224)),"",IF(Zauber!K224="",Zauber!A224,""))),
IF(AND(NOT(Zauber!B234="X"),ISBLANK(Zauber!H234),ISBLANK(Zauber!I234),ISBLANK(Zauber!J234)),"",IF(Zauber!K234="",Zauber!A234,"")))</f>
        <v/>
      </c>
      <c r="P91" s="2451"/>
      <c r="Q91" s="2451"/>
      <c r="R91" s="2451"/>
      <c r="S91" s="2451"/>
      <c r="T91" s="2451"/>
      <c r="U91" s="2451"/>
      <c r="V91" s="2451"/>
      <c r="W91" s="2451"/>
      <c r="X91" s="2451"/>
      <c r="Y91" s="2451"/>
      <c r="Z91" s="2451"/>
      <c r="AA91" s="2451"/>
      <c r="AB91" s="2451"/>
      <c r="AC91" s="2452"/>
      <c r="AD91" s="1491" t="str">
        <f>IF(O91="",IF(Zauber!B225="",IF(O91="","",VLOOKUP(O91,ZZEICHEN_ALLE,7,FALSE)),""),VLOOKUP(O91,RUNEN_ALLE,7,FALSE))</f>
        <v/>
      </c>
      <c r="AE91" s="1488"/>
    </row>
    <row r="92" spans="1:31" ht="12.75" customHeight="1" x14ac:dyDescent="0.2">
      <c r="A92" s="510"/>
      <c r="B92" s="2489" t="str">
        <f>IF(Zauber!A217="","",IF(AND(NOT(Zauber!B217="X"),ISBLANK(Zauber!H217),ISBLANK(Zauber!I217),ISBLANK(Zauber!J217)),"",IF(Zauber!K217="",Zauber!A217,"")))</f>
        <v/>
      </c>
      <c r="C92" s="2490"/>
      <c r="D92" s="2490"/>
      <c r="E92" s="2490"/>
      <c r="F92" s="2490"/>
      <c r="G92" s="2490"/>
      <c r="H92" s="2490"/>
      <c r="I92" s="2490"/>
      <c r="J92" s="2490"/>
      <c r="K92" s="2490"/>
      <c r="L92" s="2491"/>
      <c r="M92" s="1491" t="str">
        <f t="shared" si="21"/>
        <v/>
      </c>
      <c r="N92" s="1492"/>
      <c r="O92" s="2450" t="str">
        <f>IF(Zauber!A235="",IF(Zauber!A225="","",IF(AND(NOT(Zauber!B225="X"),ISBLANK(Zauber!H225),ISBLANK(Zauber!I225),ISBLANK(Zauber!J225)),"",IF(Zauber!K225="",Zauber!A225,""))),
IF(AND(NOT(Zauber!B235="X"),ISBLANK(Zauber!H235),ISBLANK(Zauber!I235),ISBLANK(Zauber!J235)),"",IF(Zauber!K235="",Zauber!A235,"")))</f>
        <v/>
      </c>
      <c r="P92" s="2451"/>
      <c r="Q92" s="2451"/>
      <c r="R92" s="2451"/>
      <c r="S92" s="2451"/>
      <c r="T92" s="2451"/>
      <c r="U92" s="2451"/>
      <c r="V92" s="2451"/>
      <c r="W92" s="2451"/>
      <c r="X92" s="2451"/>
      <c r="Y92" s="2451"/>
      <c r="Z92" s="2451"/>
      <c r="AA92" s="2451"/>
      <c r="AB92" s="2451"/>
      <c r="AC92" s="2452"/>
      <c r="AD92" s="1491" t="str">
        <f ca="1">IF(O92="",IF(Zauber!B226="",IF(O92="","",VLOOKUP(O92,ZZEICHEN_ALLE,7,FALSE)),""),VLOOKUP(O92,RUNEN_ALLE,7,FALSE))</f>
        <v/>
      </c>
      <c r="AE92" s="1488"/>
    </row>
    <row r="93" spans="1:31" ht="5.25" customHeight="1" thickBot="1" x14ac:dyDescent="0.25">
      <c r="A93" s="501"/>
      <c r="B93" s="1481"/>
      <c r="C93" s="1481"/>
      <c r="D93" s="1481"/>
      <c r="E93" s="1481"/>
      <c r="F93" s="1481"/>
      <c r="G93" s="1481"/>
      <c r="H93" s="1481"/>
      <c r="I93" s="1481"/>
      <c r="J93" s="1481"/>
      <c r="K93" s="1481"/>
      <c r="L93" s="1481"/>
      <c r="M93" s="1481"/>
      <c r="N93" s="1481"/>
      <c r="O93" s="1481"/>
      <c r="P93" s="1481"/>
      <c r="Q93" s="1481"/>
      <c r="R93" s="1481"/>
      <c r="S93" s="1481"/>
      <c r="T93" s="1481"/>
      <c r="U93" s="1481"/>
      <c r="V93" s="1481"/>
      <c r="W93" s="1481"/>
      <c r="X93" s="1481"/>
      <c r="Y93" s="1481"/>
      <c r="Z93" s="1481"/>
      <c r="AA93" s="1481"/>
      <c r="AB93" s="1481"/>
      <c r="AC93" s="1481"/>
      <c r="AD93" s="1481"/>
      <c r="AE93" s="1483"/>
    </row>
    <row r="94" spans="1:31" ht="4.5" customHeight="1" outlineLevel="1" thickTop="1" thickBot="1" x14ac:dyDescent="0.25">
      <c r="A94" s="436"/>
      <c r="B94" s="1492"/>
      <c r="C94" s="1492"/>
      <c r="D94" s="1492"/>
      <c r="E94" s="1492"/>
      <c r="F94" s="1492"/>
      <c r="G94" s="1492"/>
      <c r="H94" s="1492"/>
      <c r="I94" s="1492"/>
      <c r="J94" s="1492"/>
      <c r="K94" s="1492"/>
      <c r="L94" s="1492"/>
      <c r="M94" s="1492"/>
      <c r="N94" s="1492"/>
      <c r="O94" s="1492"/>
      <c r="P94" s="1492"/>
      <c r="Q94" s="1492"/>
      <c r="R94" s="1492"/>
      <c r="S94" s="1492"/>
      <c r="T94" s="1492"/>
      <c r="U94" s="1492"/>
      <c r="V94" s="1492"/>
      <c r="W94" s="1492"/>
      <c r="X94" s="1492"/>
      <c r="Y94" s="1492"/>
      <c r="Z94" s="1492"/>
      <c r="AA94" s="1492"/>
      <c r="AB94" s="1492"/>
      <c r="AC94" s="1492"/>
      <c r="AD94" s="1492"/>
      <c r="AE94" s="1492"/>
    </row>
    <row r="95" spans="1:31" ht="4.5" customHeight="1" outlineLevel="1" thickTop="1" x14ac:dyDescent="0.2">
      <c r="A95" s="500"/>
      <c r="B95" s="446"/>
      <c r="C95" s="446"/>
      <c r="D95" s="446"/>
      <c r="E95" s="446"/>
      <c r="F95" s="446"/>
      <c r="G95" s="446"/>
      <c r="H95" s="446"/>
      <c r="I95" s="446"/>
      <c r="J95" s="446"/>
      <c r="K95" s="446"/>
      <c r="L95" s="446"/>
      <c r="M95" s="446"/>
      <c r="N95" s="446"/>
      <c r="O95" s="446"/>
      <c r="P95" s="446"/>
      <c r="Q95" s="446"/>
      <c r="R95" s="446"/>
      <c r="S95" s="446"/>
      <c r="T95" s="446"/>
      <c r="U95" s="446"/>
      <c r="V95" s="446"/>
      <c r="W95" s="446"/>
      <c r="X95" s="446"/>
      <c r="Y95" s="446"/>
      <c r="Z95" s="446"/>
      <c r="AA95" s="446"/>
      <c r="AB95" s="446"/>
      <c r="AC95" s="446"/>
      <c r="AD95" s="446"/>
      <c r="AE95" s="448"/>
    </row>
    <row r="96" spans="1:31" ht="14.25" customHeight="1" outlineLevel="1" x14ac:dyDescent="0.2">
      <c r="A96" s="510"/>
      <c r="B96" s="524" t="s">
        <v>442</v>
      </c>
      <c r="C96" s="524"/>
      <c r="D96" s="524"/>
      <c r="E96" s="2487" t="str">
        <f ca="1">SF!AV140</f>
        <v/>
      </c>
      <c r="F96" s="2487"/>
      <c r="G96" s="2487"/>
      <c r="H96" s="2487"/>
      <c r="I96" s="2487"/>
      <c r="J96" s="2487"/>
      <c r="K96" s="2487"/>
      <c r="L96" s="2487"/>
      <c r="M96" s="2487"/>
      <c r="N96" s="2487"/>
      <c r="O96" s="2487"/>
      <c r="P96" s="2487"/>
      <c r="Q96" s="2487"/>
      <c r="R96" s="2487"/>
      <c r="S96" s="2487"/>
      <c r="T96" s="2487"/>
      <c r="U96" s="2487"/>
      <c r="V96" s="2487"/>
      <c r="W96" s="2487"/>
      <c r="X96" s="2487"/>
      <c r="Y96" s="2487"/>
      <c r="Z96" s="2487"/>
      <c r="AA96" s="2487"/>
      <c r="AB96" s="2487"/>
      <c r="AC96" s="2487"/>
      <c r="AD96" s="2487"/>
      <c r="AE96" s="437"/>
    </row>
    <row r="97" spans="1:31" ht="14.25" customHeight="1" outlineLevel="1" x14ac:dyDescent="0.2">
      <c r="A97" s="510"/>
      <c r="B97" s="524"/>
      <c r="C97" s="524"/>
      <c r="D97" s="524"/>
      <c r="E97" s="2488"/>
      <c r="F97" s="2488"/>
      <c r="G97" s="2488"/>
      <c r="H97" s="2488"/>
      <c r="I97" s="2488"/>
      <c r="J97" s="2488"/>
      <c r="K97" s="2488"/>
      <c r="L97" s="2488"/>
      <c r="M97" s="2488"/>
      <c r="N97" s="2488"/>
      <c r="O97" s="2488"/>
      <c r="P97" s="2488"/>
      <c r="Q97" s="2488"/>
      <c r="R97" s="2488"/>
      <c r="S97" s="2488"/>
      <c r="T97" s="2488"/>
      <c r="U97" s="2488"/>
      <c r="V97" s="2488"/>
      <c r="W97" s="2488"/>
      <c r="X97" s="2488"/>
      <c r="Y97" s="2488"/>
      <c r="Z97" s="2488"/>
      <c r="AA97" s="2488"/>
      <c r="AB97" s="2488"/>
      <c r="AC97" s="2488"/>
      <c r="AD97" s="2488"/>
      <c r="AE97" s="437"/>
    </row>
    <row r="98" spans="1:31" ht="14.25" customHeight="1" outlineLevel="1" x14ac:dyDescent="0.2">
      <c r="A98" s="510"/>
      <c r="B98" s="524" t="s">
        <v>8804</v>
      </c>
      <c r="C98" s="524"/>
      <c r="D98" s="524"/>
      <c r="E98" s="2449" t="str">
        <f ca="1">SF!AW140</f>
        <v/>
      </c>
      <c r="F98" s="2449"/>
      <c r="G98" s="2449"/>
      <c r="H98" s="2449"/>
      <c r="I98" s="2449"/>
      <c r="J98" s="2449"/>
      <c r="K98" s="2449"/>
      <c r="L98" s="2449"/>
      <c r="M98" s="2449"/>
      <c r="N98" s="2449"/>
      <c r="O98" s="2449"/>
      <c r="P98" s="2449"/>
      <c r="Q98" s="2449"/>
      <c r="R98" s="2449"/>
      <c r="S98" s="2449"/>
      <c r="T98" s="2449"/>
      <c r="U98" s="2449"/>
      <c r="V98" s="2449"/>
      <c r="W98" s="2449"/>
      <c r="X98" s="2449"/>
      <c r="Y98" s="2449"/>
      <c r="Z98" s="2449"/>
      <c r="AA98" s="2449"/>
      <c r="AB98" s="2449"/>
      <c r="AC98" s="2449"/>
      <c r="AD98" s="2449"/>
      <c r="AE98" s="437"/>
    </row>
    <row r="99" spans="1:31" ht="14.25" customHeight="1" outlineLevel="2" x14ac:dyDescent="0.2">
      <c r="A99" s="510"/>
      <c r="B99" s="524" t="s">
        <v>8866</v>
      </c>
      <c r="C99" s="524"/>
      <c r="D99" s="524"/>
      <c r="E99" s="2449" t="str">
        <f ca="1">SF!AQ141</f>
        <v/>
      </c>
      <c r="F99" s="2449"/>
      <c r="G99" s="2449"/>
      <c r="H99" s="2449"/>
      <c r="I99" s="2449"/>
      <c r="J99" s="2449"/>
      <c r="K99" s="2449"/>
      <c r="L99" s="2449"/>
      <c r="M99" s="2449"/>
      <c r="N99" s="2449"/>
      <c r="O99" s="2449"/>
      <c r="P99" s="2449"/>
      <c r="Q99" s="2449"/>
      <c r="R99" s="2449"/>
      <c r="S99" s="2449"/>
      <c r="T99" s="2449"/>
      <c r="U99" s="2449"/>
      <c r="V99" s="2449"/>
      <c r="W99" s="2449"/>
      <c r="X99" s="2449"/>
      <c r="Y99" s="2449"/>
      <c r="Z99" s="2449"/>
      <c r="AA99" s="2449"/>
      <c r="AB99" s="2449"/>
      <c r="AC99" s="2449"/>
      <c r="AD99" s="2449"/>
      <c r="AE99" s="437"/>
    </row>
    <row r="100" spans="1:31" ht="14.25" customHeight="1" outlineLevel="2" x14ac:dyDescent="0.2">
      <c r="A100" s="510"/>
      <c r="B100" s="524" t="s">
        <v>8867</v>
      </c>
      <c r="C100" s="524"/>
      <c r="D100" s="524"/>
      <c r="E100" s="2449" t="str">
        <f ca="1">SF!AQ142</f>
        <v/>
      </c>
      <c r="F100" s="2449"/>
      <c r="G100" s="2449"/>
      <c r="H100" s="2449"/>
      <c r="I100" s="2449"/>
      <c r="J100" s="2449"/>
      <c r="K100" s="2449"/>
      <c r="L100" s="2449"/>
      <c r="M100" s="2449"/>
      <c r="N100" s="2449"/>
      <c r="O100" s="2449"/>
      <c r="P100" s="2449"/>
      <c r="Q100" s="2449"/>
      <c r="R100" s="2449"/>
      <c r="S100" s="2449"/>
      <c r="T100" s="2449"/>
      <c r="U100" s="2449"/>
      <c r="V100" s="2449"/>
      <c r="W100" s="2449"/>
      <c r="X100" s="2449"/>
      <c r="Y100" s="2449"/>
      <c r="Z100" s="2449"/>
      <c r="AA100" s="2449"/>
      <c r="AB100" s="2449"/>
      <c r="AC100" s="2449"/>
      <c r="AD100" s="2449"/>
      <c r="AE100" s="437"/>
    </row>
    <row r="101" spans="1:31" ht="14.25" customHeight="1" outlineLevel="1" x14ac:dyDescent="0.2">
      <c r="A101" s="510"/>
      <c r="B101" s="524" t="s">
        <v>2978</v>
      </c>
      <c r="C101" s="524"/>
      <c r="D101" s="524"/>
      <c r="E101" s="2453" t="str">
        <f ca="1">SF!AX140</f>
        <v/>
      </c>
      <c r="F101" s="2453"/>
      <c r="G101" s="2453"/>
      <c r="H101" s="2453"/>
      <c r="I101" s="2453"/>
      <c r="J101" s="2453"/>
      <c r="K101" s="2453"/>
      <c r="L101" s="2453"/>
      <c r="M101" s="2453"/>
      <c r="N101" s="2453"/>
      <c r="O101" s="2453"/>
      <c r="P101" s="2453"/>
      <c r="Q101" s="2453"/>
      <c r="R101" s="2453"/>
      <c r="S101" s="2453"/>
      <c r="T101" s="2453"/>
      <c r="U101" s="2453"/>
      <c r="V101" s="2453"/>
      <c r="W101" s="2453"/>
      <c r="X101" s="2453"/>
      <c r="Y101" s="2453"/>
      <c r="Z101" s="2453"/>
      <c r="AA101" s="2453"/>
      <c r="AB101" s="2453"/>
      <c r="AC101" s="2453"/>
      <c r="AD101" s="2453"/>
      <c r="AE101" s="437"/>
    </row>
    <row r="102" spans="1:31" ht="12.75" customHeight="1" outlineLevel="1" x14ac:dyDescent="0.2">
      <c r="A102" s="510"/>
      <c r="B102" s="524" t="s">
        <v>4793</v>
      </c>
      <c r="C102" s="436"/>
      <c r="D102" s="436"/>
      <c r="E102" s="2453" t="str">
        <f ca="1">IF(Zauber!B174="akt.","Nicht aktiviert",Zauber!M174)</f>
        <v>Nicht aktiviert</v>
      </c>
      <c r="F102" s="2453"/>
      <c r="G102" s="2453"/>
      <c r="H102" s="2453"/>
      <c r="I102" s="2453"/>
      <c r="J102" s="2453"/>
      <c r="K102" s="2453"/>
      <c r="L102" s="2453"/>
      <c r="M102" s="2453"/>
      <c r="N102" s="533"/>
      <c r="O102" s="2462" t="s">
        <v>4794</v>
      </c>
      <c r="P102" s="2462"/>
      <c r="Q102" s="2462"/>
      <c r="R102" s="2462"/>
      <c r="S102" s="2462"/>
      <c r="T102" s="2462"/>
      <c r="U102" s="2462"/>
      <c r="V102" s="533"/>
      <c r="W102" s="2453" t="str">
        <f ca="1">IF(Zauber!B175="akt.","Nicht aktiviert",Zauber!M175)</f>
        <v>Nicht aktiviert</v>
      </c>
      <c r="X102" s="2453"/>
      <c r="Y102" s="2453"/>
      <c r="Z102" s="2453"/>
      <c r="AA102" s="2453"/>
      <c r="AB102" s="2453"/>
      <c r="AC102" s="2453"/>
      <c r="AD102" s="2453"/>
      <c r="AE102" s="437"/>
    </row>
    <row r="103" spans="1:31" ht="3.75" customHeight="1" outlineLevel="1" thickBot="1" x14ac:dyDescent="0.25">
      <c r="A103" s="501"/>
      <c r="B103" s="436"/>
      <c r="C103" s="436"/>
      <c r="D103" s="436"/>
      <c r="E103" s="436"/>
      <c r="F103" s="436"/>
      <c r="G103" s="436"/>
      <c r="H103" s="436"/>
      <c r="I103" s="436"/>
      <c r="J103" s="436"/>
      <c r="K103" s="436"/>
      <c r="L103" s="436"/>
      <c r="M103" s="436"/>
      <c r="N103" s="436"/>
      <c r="O103" s="436"/>
      <c r="P103" s="436"/>
      <c r="Q103" s="436"/>
      <c r="R103" s="436"/>
      <c r="S103" s="436"/>
      <c r="T103" s="436"/>
      <c r="U103" s="436"/>
      <c r="V103" s="436"/>
      <c r="W103" s="436"/>
      <c r="X103" s="436"/>
      <c r="Y103" s="436"/>
      <c r="Z103" s="436"/>
      <c r="AA103" s="436"/>
      <c r="AB103" s="436"/>
      <c r="AC103" s="436"/>
      <c r="AD103" s="436"/>
      <c r="AE103" s="439"/>
    </row>
    <row r="104" spans="1:31" ht="7.5" customHeight="1" thickTop="1" thickBot="1" x14ac:dyDescent="0.25">
      <c r="A104" s="499"/>
      <c r="B104" s="499"/>
      <c r="C104" s="499"/>
      <c r="D104" s="499"/>
      <c r="E104" s="499"/>
      <c r="F104" s="499"/>
      <c r="G104" s="499"/>
      <c r="H104" s="499"/>
      <c r="I104" s="499"/>
      <c r="J104" s="499"/>
      <c r="K104" s="499"/>
      <c r="L104" s="499"/>
      <c r="M104" s="499"/>
      <c r="N104" s="499"/>
      <c r="O104" s="499"/>
      <c r="P104" s="499"/>
      <c r="Q104" s="499"/>
      <c r="R104" s="499"/>
      <c r="S104" s="499"/>
      <c r="T104" s="499"/>
      <c r="U104" s="499"/>
      <c r="V104" s="499"/>
      <c r="W104" s="499"/>
      <c r="X104" s="499"/>
      <c r="Y104" s="499"/>
      <c r="Z104" s="499"/>
      <c r="AA104" s="499"/>
      <c r="AB104" s="499"/>
      <c r="AC104" s="499"/>
      <c r="AD104" s="499"/>
      <c r="AE104" s="499"/>
    </row>
    <row r="105" spans="1:31" ht="15.75" customHeight="1" outlineLevel="1" thickTop="1" x14ac:dyDescent="0.3">
      <c r="A105" s="85"/>
      <c r="B105" s="2454" t="s">
        <v>783</v>
      </c>
      <c r="C105" s="2454"/>
      <c r="D105" s="2454"/>
      <c r="E105" s="2454"/>
      <c r="F105" s="2454"/>
      <c r="G105" s="2454"/>
      <c r="H105" s="2454"/>
      <c r="I105" s="2454"/>
      <c r="J105" s="2454"/>
      <c r="K105" s="2454"/>
      <c r="L105" s="2454"/>
      <c r="M105" s="2454"/>
      <c r="N105" s="2454"/>
      <c r="O105" s="2454"/>
      <c r="P105" s="2454"/>
      <c r="Q105" s="2454"/>
      <c r="R105" s="2454"/>
      <c r="S105" s="2454"/>
      <c r="T105" s="2454"/>
      <c r="U105" s="2454"/>
      <c r="V105" s="220"/>
      <c r="W105" s="221"/>
      <c r="X105" s="221"/>
      <c r="Y105" s="221"/>
      <c r="Z105" s="221"/>
      <c r="AA105" s="221"/>
      <c r="AB105" s="221"/>
      <c r="AC105" s="221"/>
      <c r="AD105" s="221"/>
      <c r="AE105" s="495"/>
    </row>
    <row r="106" spans="1:31" ht="12" customHeight="1" outlineLevel="1" x14ac:dyDescent="0.2">
      <c r="A106" s="67" t="s">
        <v>784</v>
      </c>
      <c r="B106" s="2461" t="s">
        <v>3285</v>
      </c>
      <c r="C106" s="2461"/>
      <c r="D106" s="2461"/>
      <c r="E106" s="2461"/>
      <c r="F106" s="2461"/>
      <c r="G106" s="2461"/>
      <c r="H106" s="2461"/>
      <c r="I106" s="2461"/>
      <c r="J106" s="2461"/>
      <c r="K106" s="2461"/>
      <c r="L106" s="2461"/>
      <c r="M106" s="2461"/>
      <c r="N106" s="2461"/>
      <c r="O106" s="2461"/>
      <c r="P106" s="2461"/>
      <c r="Q106" s="2461"/>
      <c r="R106" s="2461"/>
      <c r="S106" s="2461"/>
      <c r="T106" s="2461"/>
      <c r="U106" s="2461"/>
      <c r="V106" s="2461"/>
      <c r="W106" s="2461"/>
      <c r="X106" s="2461"/>
      <c r="Y106" s="2461"/>
      <c r="Z106" s="2461"/>
      <c r="AA106" s="2461"/>
      <c r="AB106" s="2461"/>
      <c r="AC106" s="2461"/>
      <c r="AD106" s="2461"/>
      <c r="AE106" s="496"/>
    </row>
    <row r="107" spans="1:31" ht="19.5" customHeight="1" outlineLevel="1" x14ac:dyDescent="0.2">
      <c r="A107" s="67"/>
      <c r="B107" s="2448" t="s">
        <v>888</v>
      </c>
      <c r="C107" s="2448"/>
      <c r="D107" s="2448"/>
      <c r="E107" s="2448"/>
      <c r="F107" s="2448"/>
      <c r="G107" s="2448"/>
      <c r="H107" s="2448"/>
      <c r="I107" s="2448"/>
      <c r="J107" s="2448"/>
      <c r="K107" s="2448"/>
      <c r="L107" s="2448"/>
      <c r="M107" s="2448"/>
      <c r="N107" s="2448"/>
      <c r="O107" s="2448"/>
      <c r="P107" s="2448"/>
      <c r="Q107" s="2448"/>
      <c r="R107" s="2448"/>
      <c r="S107" s="2448"/>
      <c r="T107" s="2448"/>
      <c r="U107" s="2448"/>
      <c r="V107" s="2448"/>
      <c r="W107" s="2448"/>
      <c r="X107" s="2448"/>
      <c r="Y107" s="2448"/>
      <c r="Z107" s="2448"/>
      <c r="AA107" s="2448"/>
      <c r="AB107" s="2448"/>
      <c r="AC107" s="2448"/>
      <c r="AD107" s="2448"/>
      <c r="AE107" s="496"/>
    </row>
    <row r="108" spans="1:31" ht="9.75" customHeight="1" outlineLevel="1" x14ac:dyDescent="0.2">
      <c r="A108" s="67"/>
      <c r="B108" s="2448" t="s">
        <v>3425</v>
      </c>
      <c r="C108" s="2448"/>
      <c r="D108" s="2448"/>
      <c r="E108" s="2448"/>
      <c r="F108" s="2448"/>
      <c r="G108" s="2448"/>
      <c r="H108" s="2448"/>
      <c r="I108" s="2448"/>
      <c r="J108" s="2448"/>
      <c r="K108" s="2448"/>
      <c r="L108" s="2448"/>
      <c r="M108" s="2448"/>
      <c r="N108" s="2448"/>
      <c r="O108" s="2448"/>
      <c r="P108" s="2448"/>
      <c r="Q108" s="2448"/>
      <c r="R108" s="2448"/>
      <c r="S108" s="2448"/>
      <c r="T108" s="2448"/>
      <c r="U108" s="2448"/>
      <c r="V108" s="2448"/>
      <c r="W108" s="2448"/>
      <c r="X108" s="2448"/>
      <c r="Y108" s="2448"/>
      <c r="Z108" s="2448"/>
      <c r="AA108" s="2448"/>
      <c r="AB108" s="2448"/>
      <c r="AC108" s="2448"/>
      <c r="AD108" s="2448"/>
      <c r="AE108" s="496"/>
    </row>
    <row r="109" spans="1:31" ht="5.25" customHeight="1" outlineLevel="1" thickBot="1" x14ac:dyDescent="0.25">
      <c r="A109" s="503"/>
      <c r="B109" s="504"/>
      <c r="C109" s="504"/>
      <c r="D109" s="504"/>
      <c r="E109" s="504"/>
      <c r="F109" s="504"/>
      <c r="G109" s="504"/>
      <c r="H109" s="504"/>
      <c r="I109" s="504"/>
      <c r="J109" s="504"/>
      <c r="K109" s="504"/>
      <c r="L109" s="504"/>
      <c r="M109" s="504"/>
      <c r="N109" s="504"/>
      <c r="O109" s="504"/>
      <c r="P109" s="504"/>
      <c r="Q109" s="504"/>
      <c r="R109" s="504"/>
      <c r="S109" s="504"/>
      <c r="T109" s="504"/>
      <c r="U109" s="504"/>
      <c r="V109" s="505"/>
      <c r="W109" s="438"/>
      <c r="X109" s="438"/>
      <c r="Y109" s="438"/>
      <c r="Z109" s="438"/>
      <c r="AA109" s="438"/>
      <c r="AB109" s="438"/>
      <c r="AC109" s="438"/>
      <c r="AD109" s="438"/>
      <c r="AE109" s="497"/>
    </row>
    <row r="110" spans="1:31" ht="12.75" customHeight="1" thickTop="1" x14ac:dyDescent="0.2"/>
  </sheetData>
  <mergeCells count="546">
    <mergeCell ref="E20:H20"/>
    <mergeCell ref="I45:L45"/>
    <mergeCell ref="B17:D17"/>
    <mergeCell ref="V17:X17"/>
    <mergeCell ref="E18:H18"/>
    <mergeCell ref="I18:L18"/>
    <mergeCell ref="M18:N18"/>
    <mergeCell ref="O18:R18"/>
    <mergeCell ref="E99:AD99"/>
    <mergeCell ref="E19:H19"/>
    <mergeCell ref="I19:L19"/>
    <mergeCell ref="S18:U18"/>
    <mergeCell ref="E17:H17"/>
    <mergeCell ref="I17:L17"/>
    <mergeCell ref="B22:D22"/>
    <mergeCell ref="E24:H24"/>
    <mergeCell ref="I24:L24"/>
    <mergeCell ref="M24:N24"/>
    <mergeCell ref="B23:D23"/>
    <mergeCell ref="B24:D24"/>
    <mergeCell ref="B25:D25"/>
    <mergeCell ref="E23:H23"/>
    <mergeCell ref="X74:AA74"/>
    <mergeCell ref="I23:L23"/>
    <mergeCell ref="I20:L20"/>
    <mergeCell ref="M20:N20"/>
    <mergeCell ref="O20:R20"/>
    <mergeCell ref="S20:U20"/>
    <mergeCell ref="S21:U21"/>
    <mergeCell ref="O74:W74"/>
    <mergeCell ref="L71:M71"/>
    <mergeCell ref="L72:M72"/>
    <mergeCell ref="L73:M73"/>
    <mergeCell ref="L74:M74"/>
    <mergeCell ref="V23:X23"/>
    <mergeCell ref="M64:N64"/>
    <mergeCell ref="M65:N65"/>
    <mergeCell ref="P65:R65"/>
    <mergeCell ref="S36:U36"/>
    <mergeCell ref="S43:U43"/>
    <mergeCell ref="S40:U40"/>
    <mergeCell ref="S41:U41"/>
    <mergeCell ref="S44:U44"/>
    <mergeCell ref="V41:X41"/>
    <mergeCell ref="V34:X34"/>
    <mergeCell ref="V39:X39"/>
    <mergeCell ref="V40:X40"/>
    <mergeCell ref="V37:X37"/>
    <mergeCell ref="E22:H22"/>
    <mergeCell ref="I22:L22"/>
    <mergeCell ref="S25:U25"/>
    <mergeCell ref="V25:X25"/>
    <mergeCell ref="S23:U23"/>
    <mergeCell ref="E21:H21"/>
    <mergeCell ref="I21:L21"/>
    <mergeCell ref="I52:L52"/>
    <mergeCell ref="M46:N46"/>
    <mergeCell ref="I28:L28"/>
    <mergeCell ref="M28:N28"/>
    <mergeCell ref="I29:L29"/>
    <mergeCell ref="O33:R33"/>
    <mergeCell ref="E27:H27"/>
    <mergeCell ref="I26:L26"/>
    <mergeCell ref="M26:N26"/>
    <mergeCell ref="M23:N23"/>
    <mergeCell ref="S48:U48"/>
    <mergeCell ref="V36:X36"/>
    <mergeCell ref="E31:H31"/>
    <mergeCell ref="O48:R48"/>
    <mergeCell ref="V49:X49"/>
    <mergeCell ref="S49:U49"/>
    <mergeCell ref="S45:U45"/>
    <mergeCell ref="E100:AD100"/>
    <mergeCell ref="S24:U24"/>
    <mergeCell ref="V24:X24"/>
    <mergeCell ref="X78:AA78"/>
    <mergeCell ref="I78:K78"/>
    <mergeCell ref="I76:K76"/>
    <mergeCell ref="O76:W76"/>
    <mergeCell ref="X76:AA76"/>
    <mergeCell ref="AB76:AC76"/>
    <mergeCell ref="X75:AA75"/>
    <mergeCell ref="AB75:AC75"/>
    <mergeCell ref="AB74:AC74"/>
    <mergeCell ref="I74:K74"/>
    <mergeCell ref="M42:N42"/>
    <mergeCell ref="M45:N45"/>
    <mergeCell ref="M38:N38"/>
    <mergeCell ref="I54:L54"/>
    <mergeCell ref="M54:N54"/>
    <mergeCell ref="I43:L43"/>
    <mergeCell ref="M43:N43"/>
    <mergeCell ref="M51:N51"/>
    <mergeCell ref="V51:X51"/>
    <mergeCell ref="V53:X53"/>
    <mergeCell ref="V50:X50"/>
    <mergeCell ref="B78:D78"/>
    <mergeCell ref="E78:H78"/>
    <mergeCell ref="B79:D79"/>
    <mergeCell ref="B85:L85"/>
    <mergeCell ref="B86:L86"/>
    <mergeCell ref="B87:L87"/>
    <mergeCell ref="M50:N50"/>
    <mergeCell ref="B89:L89"/>
    <mergeCell ref="AB78:AC78"/>
    <mergeCell ref="I79:K79"/>
    <mergeCell ref="L79:M79"/>
    <mergeCell ref="O79:W79"/>
    <mergeCell ref="X77:AA77"/>
    <mergeCell ref="AB77:AC77"/>
    <mergeCell ref="O78:W78"/>
    <mergeCell ref="I71:K71"/>
    <mergeCell ref="I72:K72"/>
    <mergeCell ref="I73:K73"/>
    <mergeCell ref="I75:K75"/>
    <mergeCell ref="I77:K77"/>
    <mergeCell ref="L75:M75"/>
    <mergeCell ref="L76:M76"/>
    <mergeCell ref="L77:M77"/>
    <mergeCell ref="L78:M78"/>
    <mergeCell ref="E96:AD97"/>
    <mergeCell ref="X79:AA79"/>
    <mergeCell ref="AB79:AC79"/>
    <mergeCell ref="O85:AC85"/>
    <mergeCell ref="O86:AC86"/>
    <mergeCell ref="O87:AC87"/>
    <mergeCell ref="O89:AC89"/>
    <mergeCell ref="E79:H79"/>
    <mergeCell ref="B91:L91"/>
    <mergeCell ref="J83:K83"/>
    <mergeCell ref="O91:AC91"/>
    <mergeCell ref="B92:L92"/>
    <mergeCell ref="O90:AC90"/>
    <mergeCell ref="O88:AC88"/>
    <mergeCell ref="B90:L90"/>
    <mergeCell ref="B88:L88"/>
    <mergeCell ref="S17:U17"/>
    <mergeCell ref="M16:N16"/>
    <mergeCell ref="M41:N41"/>
    <mergeCell ref="M22:N22"/>
    <mergeCell ref="O22:R22"/>
    <mergeCell ref="S22:U22"/>
    <mergeCell ref="O24:R24"/>
    <mergeCell ref="M15:N15"/>
    <mergeCell ref="O44:R44"/>
    <mergeCell ref="O19:R19"/>
    <mergeCell ref="M21:N21"/>
    <mergeCell ref="O21:R21"/>
    <mergeCell ref="O41:R41"/>
    <mergeCell ref="M25:N25"/>
    <mergeCell ref="O31:R31"/>
    <mergeCell ref="M27:N27"/>
    <mergeCell ref="M31:N31"/>
    <mergeCell ref="S16:U16"/>
    <mergeCell ref="M34:N34"/>
    <mergeCell ref="M35:N35"/>
    <mergeCell ref="O36:R36"/>
    <mergeCell ref="S35:U35"/>
    <mergeCell ref="S34:U34"/>
    <mergeCell ref="S37:U37"/>
    <mergeCell ref="B37:D37"/>
    <mergeCell ref="B33:D33"/>
    <mergeCell ref="B32:D32"/>
    <mergeCell ref="B43:D43"/>
    <mergeCell ref="B38:D38"/>
    <mergeCell ref="E33:H33"/>
    <mergeCell ref="I49:L49"/>
    <mergeCell ref="E39:H39"/>
    <mergeCell ref="I33:L33"/>
    <mergeCell ref="I41:L41"/>
    <mergeCell ref="E42:H42"/>
    <mergeCell ref="I42:L42"/>
    <mergeCell ref="B39:D39"/>
    <mergeCell ref="B42:D42"/>
    <mergeCell ref="B40:D40"/>
    <mergeCell ref="B34:D34"/>
    <mergeCell ref="I39:L39"/>
    <mergeCell ref="I38:L38"/>
    <mergeCell ref="I40:L40"/>
    <mergeCell ref="E45:H45"/>
    <mergeCell ref="B4:AC4"/>
    <mergeCell ref="V47:X47"/>
    <mergeCell ref="V13:X13"/>
    <mergeCell ref="B12:D12"/>
    <mergeCell ref="V46:X46"/>
    <mergeCell ref="B45:D45"/>
    <mergeCell ref="B46:D46"/>
    <mergeCell ref="V8:X8"/>
    <mergeCell ref="M5:N5"/>
    <mergeCell ref="M6:N6"/>
    <mergeCell ref="I5:L5"/>
    <mergeCell ref="M9:N9"/>
    <mergeCell ref="I8:L8"/>
    <mergeCell ref="I9:L9"/>
    <mergeCell ref="O6:R6"/>
    <mergeCell ref="S6:U6"/>
    <mergeCell ref="S7:U7"/>
    <mergeCell ref="S8:U8"/>
    <mergeCell ref="O5:R5"/>
    <mergeCell ref="I7:L7"/>
    <mergeCell ref="I10:L10"/>
    <mergeCell ref="O10:R10"/>
    <mergeCell ref="O7:R7"/>
    <mergeCell ref="B44:D44"/>
    <mergeCell ref="V12:X12"/>
    <mergeCell ref="V14:X14"/>
    <mergeCell ref="S10:U10"/>
    <mergeCell ref="V11:X11"/>
    <mergeCell ref="V48:X48"/>
    <mergeCell ref="S14:U14"/>
    <mergeCell ref="S12:U12"/>
    <mergeCell ref="O14:R14"/>
    <mergeCell ref="S15:U15"/>
    <mergeCell ref="V45:X45"/>
    <mergeCell ref="V35:X35"/>
    <mergeCell ref="O15:R15"/>
    <mergeCell ref="S31:U31"/>
    <mergeCell ref="O27:R27"/>
    <mergeCell ref="O43:R43"/>
    <mergeCell ref="V21:X21"/>
    <mergeCell ref="V22:X22"/>
    <mergeCell ref="O12:R12"/>
    <mergeCell ref="O11:R11"/>
    <mergeCell ref="O38:R38"/>
    <mergeCell ref="V10:X10"/>
    <mergeCell ref="S42:U42"/>
    <mergeCell ref="S38:U38"/>
    <mergeCell ref="O25:R25"/>
    <mergeCell ref="V7:X7"/>
    <mergeCell ref="M8:N8"/>
    <mergeCell ref="S5:U5"/>
    <mergeCell ref="M7:N7"/>
    <mergeCell ref="M10:N10"/>
    <mergeCell ref="V5:X5"/>
    <mergeCell ref="V6:X6"/>
    <mergeCell ref="V9:X9"/>
    <mergeCell ref="S9:U9"/>
    <mergeCell ref="O8:R8"/>
    <mergeCell ref="O9:R9"/>
    <mergeCell ref="S11:U11"/>
    <mergeCell ref="I13:L13"/>
    <mergeCell ref="I12:L12"/>
    <mergeCell ref="B11:D11"/>
    <mergeCell ref="B10:D10"/>
    <mergeCell ref="S13:U13"/>
    <mergeCell ref="M30:N30"/>
    <mergeCell ref="O30:R30"/>
    <mergeCell ref="M33:N33"/>
    <mergeCell ref="I31:L31"/>
    <mergeCell ref="I30:L30"/>
    <mergeCell ref="S32:U32"/>
    <mergeCell ref="S33:U33"/>
    <mergeCell ref="S27:U27"/>
    <mergeCell ref="O16:R16"/>
    <mergeCell ref="I14:L14"/>
    <mergeCell ref="M14:N14"/>
    <mergeCell ref="M11:N11"/>
    <mergeCell ref="B13:D13"/>
    <mergeCell ref="B15:D15"/>
    <mergeCell ref="M12:N12"/>
    <mergeCell ref="B16:D16"/>
    <mergeCell ref="I15:L15"/>
    <mergeCell ref="E11:H11"/>
    <mergeCell ref="B6:D6"/>
    <mergeCell ref="I6:L6"/>
    <mergeCell ref="B7:D7"/>
    <mergeCell ref="B8:D8"/>
    <mergeCell ref="B9:D9"/>
    <mergeCell ref="E34:H34"/>
    <mergeCell ref="I35:L35"/>
    <mergeCell ref="O35:R35"/>
    <mergeCell ref="B30:D30"/>
    <mergeCell ref="B18:D18"/>
    <mergeCell ref="B19:D19"/>
    <mergeCell ref="B20:D20"/>
    <mergeCell ref="M17:N17"/>
    <mergeCell ref="O17:R17"/>
    <mergeCell ref="E25:H25"/>
    <mergeCell ref="I25:L25"/>
    <mergeCell ref="I27:L27"/>
    <mergeCell ref="E29:H29"/>
    <mergeCell ref="O13:R13"/>
    <mergeCell ref="E9:H9"/>
    <mergeCell ref="E12:H12"/>
    <mergeCell ref="E13:H13"/>
    <mergeCell ref="I16:L16"/>
    <mergeCell ref="B31:D31"/>
    <mergeCell ref="G59:H59"/>
    <mergeCell ref="J59:K59"/>
    <mergeCell ref="B50:D50"/>
    <mergeCell ref="O50:R50"/>
    <mergeCell ref="C59:C60"/>
    <mergeCell ref="V38:X38"/>
    <mergeCell ref="S50:U50"/>
    <mergeCell ref="O54:R54"/>
    <mergeCell ref="O49:R49"/>
    <mergeCell ref="O46:R46"/>
    <mergeCell ref="M49:N49"/>
    <mergeCell ref="B54:D54"/>
    <mergeCell ref="E54:H54"/>
    <mergeCell ref="I47:L47"/>
    <mergeCell ref="S51:U51"/>
    <mergeCell ref="S46:U46"/>
    <mergeCell ref="I46:L46"/>
    <mergeCell ref="I50:L50"/>
    <mergeCell ref="E50:H50"/>
    <mergeCell ref="O51:R51"/>
    <mergeCell ref="S47:U47"/>
    <mergeCell ref="V44:X44"/>
    <mergeCell ref="B41:D41"/>
    <mergeCell ref="T59:U59"/>
    <mergeCell ref="O45:R45"/>
    <mergeCell ref="O42:R42"/>
    <mergeCell ref="M47:N47"/>
    <mergeCell ref="I48:L48"/>
    <mergeCell ref="M48:N48"/>
    <mergeCell ref="I44:L44"/>
    <mergeCell ref="M44:N44"/>
    <mergeCell ref="M36:N36"/>
    <mergeCell ref="M39:N39"/>
    <mergeCell ref="I37:L37"/>
    <mergeCell ref="M37:N37"/>
    <mergeCell ref="M40:N40"/>
    <mergeCell ref="E14:H14"/>
    <mergeCell ref="E43:H43"/>
    <mergeCell ref="E16:H16"/>
    <mergeCell ref="B48:D48"/>
    <mergeCell ref="B47:D47"/>
    <mergeCell ref="E28:H28"/>
    <mergeCell ref="D59:E59"/>
    <mergeCell ref="Q60:R60"/>
    <mergeCell ref="Q59:R59"/>
    <mergeCell ref="B28:D28"/>
    <mergeCell ref="B21:D21"/>
    <mergeCell ref="B26:D26"/>
    <mergeCell ref="B27:D27"/>
    <mergeCell ref="M19:N19"/>
    <mergeCell ref="B29:D29"/>
    <mergeCell ref="E38:H38"/>
    <mergeCell ref="I34:L34"/>
    <mergeCell ref="I36:L36"/>
    <mergeCell ref="B53:D53"/>
    <mergeCell ref="D60:E60"/>
    <mergeCell ref="B51:D51"/>
    <mergeCell ref="B49:D49"/>
    <mergeCell ref="B14:D14"/>
    <mergeCell ref="I32:L32"/>
    <mergeCell ref="C64:C65"/>
    <mergeCell ref="D64:E64"/>
    <mergeCell ref="G64:H64"/>
    <mergeCell ref="J64:K64"/>
    <mergeCell ref="B75:D75"/>
    <mergeCell ref="E75:H75"/>
    <mergeCell ref="A64:B65"/>
    <mergeCell ref="O77:W77"/>
    <mergeCell ref="I70:K70"/>
    <mergeCell ref="I69:K69"/>
    <mergeCell ref="B69:D69"/>
    <mergeCell ref="O75:W75"/>
    <mergeCell ref="B77:D77"/>
    <mergeCell ref="E77:H77"/>
    <mergeCell ref="B72:D72"/>
    <mergeCell ref="E72:H72"/>
    <mergeCell ref="E74:H74"/>
    <mergeCell ref="E73:H73"/>
    <mergeCell ref="B73:D73"/>
    <mergeCell ref="B76:D76"/>
    <mergeCell ref="E76:H76"/>
    <mergeCell ref="B74:D74"/>
    <mergeCell ref="E69:H69"/>
    <mergeCell ref="B71:D71"/>
    <mergeCell ref="E71:H71"/>
    <mergeCell ref="B2:AC2"/>
    <mergeCell ref="O52:R52"/>
    <mergeCell ref="S52:U52"/>
    <mergeCell ref="V52:X52"/>
    <mergeCell ref="B52:D52"/>
    <mergeCell ref="E52:H52"/>
    <mergeCell ref="E51:H51"/>
    <mergeCell ref="E46:H46"/>
    <mergeCell ref="E26:H26"/>
    <mergeCell ref="Z38:AC38"/>
    <mergeCell ref="E5:H5"/>
    <mergeCell ref="E6:H6"/>
    <mergeCell ref="E7:H7"/>
    <mergeCell ref="E8:H8"/>
    <mergeCell ref="E32:H32"/>
    <mergeCell ref="E15:H15"/>
    <mergeCell ref="E30:H30"/>
    <mergeCell ref="E10:H10"/>
    <mergeCell ref="E41:H41"/>
    <mergeCell ref="E40:H40"/>
    <mergeCell ref="E49:H49"/>
    <mergeCell ref="E48:H48"/>
    <mergeCell ref="E47:H47"/>
    <mergeCell ref="B5:D5"/>
    <mergeCell ref="J65:K65"/>
    <mergeCell ref="E55:H55"/>
    <mergeCell ref="E53:H53"/>
    <mergeCell ref="U64:Z65"/>
    <mergeCell ref="V54:X54"/>
    <mergeCell ref="W59:X59"/>
    <mergeCell ref="W60:X60"/>
    <mergeCell ref="I53:L53"/>
    <mergeCell ref="M53:N53"/>
    <mergeCell ref="J60:K60"/>
    <mergeCell ref="M55:N55"/>
    <mergeCell ref="S53:U53"/>
    <mergeCell ref="O53:R53"/>
    <mergeCell ref="S54:U54"/>
    <mergeCell ref="T60:U60"/>
    <mergeCell ref="S55:U55"/>
    <mergeCell ref="V55:X55"/>
    <mergeCell ref="O55:R55"/>
    <mergeCell ref="I55:L55"/>
    <mergeCell ref="G65:H65"/>
    <mergeCell ref="G60:H60"/>
    <mergeCell ref="D65:E65"/>
    <mergeCell ref="M59:O59"/>
    <mergeCell ref="AB71:AC71"/>
    <mergeCell ref="AB73:AC73"/>
    <mergeCell ref="AB72:AC72"/>
    <mergeCell ref="AB70:AC70"/>
    <mergeCell ref="O70:W70"/>
    <mergeCell ref="X69:AA69"/>
    <mergeCell ref="O69:W69"/>
    <mergeCell ref="X70:AA70"/>
    <mergeCell ref="O73:W73"/>
    <mergeCell ref="X72:AA72"/>
    <mergeCell ref="B106:AD106"/>
    <mergeCell ref="O102:U102"/>
    <mergeCell ref="W102:AD102"/>
    <mergeCell ref="Z55:AC55"/>
    <mergeCell ref="M60:O60"/>
    <mergeCell ref="A4:A56"/>
    <mergeCell ref="A59:B60"/>
    <mergeCell ref="B55:D55"/>
    <mergeCell ref="O47:R47"/>
    <mergeCell ref="E35:H35"/>
    <mergeCell ref="B35:D35"/>
    <mergeCell ref="B36:D36"/>
    <mergeCell ref="E36:H36"/>
    <mergeCell ref="E37:H37"/>
    <mergeCell ref="O40:R40"/>
    <mergeCell ref="E44:H44"/>
    <mergeCell ref="M29:N29"/>
    <mergeCell ref="O29:R29"/>
    <mergeCell ref="O28:R28"/>
    <mergeCell ref="O23:R23"/>
    <mergeCell ref="O26:R26"/>
    <mergeCell ref="AB69:AC69"/>
    <mergeCell ref="O71:W71"/>
    <mergeCell ref="X71:AA71"/>
    <mergeCell ref="M13:N13"/>
    <mergeCell ref="I11:L11"/>
    <mergeCell ref="O39:R39"/>
    <mergeCell ref="S39:U39"/>
    <mergeCell ref="V33:X33"/>
    <mergeCell ref="M32:N32"/>
    <mergeCell ref="O37:R37"/>
    <mergeCell ref="B108:AD108"/>
    <mergeCell ref="E98:AD98"/>
    <mergeCell ref="O92:AC92"/>
    <mergeCell ref="E101:AD101"/>
    <mergeCell ref="B105:U105"/>
    <mergeCell ref="Z50:AC50"/>
    <mergeCell ref="Z51:AC51"/>
    <mergeCell ref="Z52:AC52"/>
    <mergeCell ref="Z53:AC53"/>
    <mergeCell ref="Z54:AC54"/>
    <mergeCell ref="B107:AD107"/>
    <mergeCell ref="E102:M102"/>
    <mergeCell ref="E70:H70"/>
    <mergeCell ref="B70:D70"/>
    <mergeCell ref="X73:AA73"/>
    <mergeCell ref="I51:L51"/>
    <mergeCell ref="O72:W72"/>
    <mergeCell ref="L70:M70"/>
    <mergeCell ref="S30:U30"/>
    <mergeCell ref="Z18:AC18"/>
    <mergeCell ref="Z19:AC19"/>
    <mergeCell ref="Z22:AC22"/>
    <mergeCell ref="Z23:AC23"/>
    <mergeCell ref="V42:X42"/>
    <mergeCell ref="V43:X43"/>
    <mergeCell ref="V20:X20"/>
    <mergeCell ref="Z26:AC26"/>
    <mergeCell ref="Z32:AC32"/>
    <mergeCell ref="Z33:AC33"/>
    <mergeCell ref="Z34:AC34"/>
    <mergeCell ref="Z35:AC35"/>
    <mergeCell ref="Z36:AC36"/>
    <mergeCell ref="S26:U26"/>
    <mergeCell ref="Z48:AC48"/>
    <mergeCell ref="Z49:AC49"/>
    <mergeCell ref="Z44:AC44"/>
    <mergeCell ref="AA64:AB65"/>
    <mergeCell ref="L69:M69"/>
    <mergeCell ref="M52:N52"/>
    <mergeCell ref="O32:R32"/>
    <mergeCell ref="O34:R34"/>
    <mergeCell ref="Z5:AC5"/>
    <mergeCell ref="Z45:AC45"/>
    <mergeCell ref="Z30:AC30"/>
    <mergeCell ref="Z31:AC31"/>
    <mergeCell ref="Z46:AC46"/>
    <mergeCell ref="Z47:AC47"/>
    <mergeCell ref="S29:U29"/>
    <mergeCell ref="Z37:AC37"/>
    <mergeCell ref="V32:X32"/>
    <mergeCell ref="V15:X15"/>
    <mergeCell ref="V16:X16"/>
    <mergeCell ref="V26:X26"/>
    <mergeCell ref="V18:X18"/>
    <mergeCell ref="V27:X27"/>
    <mergeCell ref="S28:U28"/>
    <mergeCell ref="V29:X29"/>
    <mergeCell ref="Z27:AC27"/>
    <mergeCell ref="Z28:AC28"/>
    <mergeCell ref="Z29:AC29"/>
    <mergeCell ref="S19:U19"/>
    <mergeCell ref="V19:X19"/>
    <mergeCell ref="V31:X31"/>
    <mergeCell ref="V30:X30"/>
    <mergeCell ref="V28:X28"/>
    <mergeCell ref="Z6:AC6"/>
    <mergeCell ref="Z7:AC7"/>
    <mergeCell ref="Z8:AC8"/>
    <mergeCell ref="Z9:AC9"/>
    <mergeCell ref="Z39:AC39"/>
    <mergeCell ref="Z40:AC40"/>
    <mergeCell ref="Z41:AC41"/>
    <mergeCell ref="Z42:AC42"/>
    <mergeCell ref="Z43:AC43"/>
    <mergeCell ref="Z10:AC10"/>
    <mergeCell ref="Z11:AC11"/>
    <mergeCell ref="Z12:AC12"/>
    <mergeCell ref="Z13:AC13"/>
    <mergeCell ref="Z14:AC14"/>
    <mergeCell ref="Z15:AC15"/>
    <mergeCell ref="Z16:AC16"/>
    <mergeCell ref="Z17:AC17"/>
    <mergeCell ref="Z20:AC20"/>
    <mergeCell ref="Z21:AC21"/>
    <mergeCell ref="Z24:AC24"/>
    <mergeCell ref="Z25:AC25"/>
  </mergeCells>
  <phoneticPr fontId="0" type="noConversion"/>
  <pageMargins left="0.39370078740157483" right="0.39370078740157483" top="0.39370078740157483" bottom="0.19685039370078741" header="0.51181102362204722" footer="0.51181102362204722"/>
  <pageSetup paperSize="9" scale="63" orientation="portrait" horizontalDpi="360" verticalDpi="360" r:id="rId1"/>
  <headerFooter alignWithMargins="0">
    <oddHeader>&amp;A</oddHead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tabColor indexed="44"/>
    <pageSetUpPr fitToPage="1"/>
  </sheetPr>
  <dimension ref="A1:AK117"/>
  <sheetViews>
    <sheetView showGridLines="0" view="pageBreakPreview" zoomScaleNormal="100" zoomScaleSheetLayoutView="100" workbookViewId="0">
      <selection activeCell="O22" sqref="O22:R22"/>
    </sheetView>
  </sheetViews>
  <sheetFormatPr baseColWidth="10" defaultRowHeight="12.75" customHeight="1" outlineLevelRow="2" x14ac:dyDescent="0.2"/>
  <cols>
    <col min="1" max="1" width="0.85546875" style="490" customWidth="1"/>
    <col min="2" max="2" width="10.85546875" style="490" customWidth="1"/>
    <col min="3" max="3" width="1.140625" style="490" customWidth="1"/>
    <col min="4" max="4" width="14" style="490" customWidth="1"/>
    <col min="5" max="6" width="1.42578125" style="490" customWidth="1"/>
    <col min="7" max="7" width="8" style="490" customWidth="1"/>
    <col min="8" max="8" width="1.85546875" style="490" customWidth="1"/>
    <col min="9" max="9" width="1.42578125" style="490" customWidth="1"/>
    <col min="10" max="10" width="7" style="490" customWidth="1"/>
    <col min="11" max="11" width="1.7109375" style="490" customWidth="1"/>
    <col min="12" max="12" width="1.42578125" style="490" customWidth="1"/>
    <col min="13" max="13" width="5.28515625" style="490" customWidth="1"/>
    <col min="14" max="14" width="3.42578125" style="490" customWidth="1"/>
    <col min="15" max="15" width="1.7109375" style="490" customWidth="1"/>
    <col min="16" max="16" width="2.28515625" style="490" customWidth="1"/>
    <col min="17" max="17" width="2.85546875" style="490" customWidth="1"/>
    <col min="18" max="18" width="5.5703125" style="490" customWidth="1"/>
    <col min="19" max="19" width="1.42578125" style="490" customWidth="1"/>
    <col min="20" max="20" width="2.42578125" style="490" customWidth="1"/>
    <col min="21" max="21" width="5.85546875" style="490" customWidth="1"/>
    <col min="22" max="22" width="1.42578125" style="490" customWidth="1"/>
    <col min="23" max="23" width="5.5703125" style="490" customWidth="1"/>
    <col min="24" max="24" width="5.42578125" style="490" customWidth="1"/>
    <col min="25" max="25" width="4.85546875" style="490" customWidth="1"/>
    <col min="26" max="26" width="2.5703125" style="490" customWidth="1"/>
    <col min="27" max="27" width="1.42578125" style="490" customWidth="1"/>
    <col min="28" max="28" width="5.85546875" style="490" customWidth="1"/>
    <col min="29" max="29" width="6.85546875" style="490" customWidth="1"/>
    <col min="30" max="30" width="6.7109375" style="490" customWidth="1"/>
    <col min="31" max="31" width="1.42578125" style="490" customWidth="1"/>
    <col min="32" max="32" width="1" style="490" customWidth="1"/>
    <col min="33" max="16384" width="11.42578125" style="490"/>
  </cols>
  <sheetData>
    <row r="1" spans="1:33" ht="31.5" customHeight="1" thickBot="1" x14ac:dyDescent="0.25"/>
    <row r="2" spans="1:33" ht="22.5" customHeight="1" thickTop="1" thickBot="1" x14ac:dyDescent="0.25">
      <c r="A2" s="508"/>
      <c r="B2" s="2474" t="str">
        <f ca="1">CONCATENATE("MU: ",MU,"  KL: ",KL,,"  IN: ",IN,"  CH: ",CH,"  FF: ",FF,"  GE: ",GE,"  KO: ",KO,"  KK: ",KK,"  MR: ",MR)</f>
        <v>MU: 8  KL: 8  IN: 8  CH: 8  FF: 8  GE: 8  KO: 8  KK: 8  MR: 5</v>
      </c>
      <c r="C2" s="2474"/>
      <c r="D2" s="2474"/>
      <c r="E2" s="2474"/>
      <c r="F2" s="2474"/>
      <c r="G2" s="2474"/>
      <c r="H2" s="2474"/>
      <c r="I2" s="2474"/>
      <c r="J2" s="2474"/>
      <c r="K2" s="2474"/>
      <c r="L2" s="2474"/>
      <c r="M2" s="2474"/>
      <c r="N2" s="2474"/>
      <c r="O2" s="2474"/>
      <c r="P2" s="2474"/>
      <c r="Q2" s="2474"/>
      <c r="R2" s="2474"/>
      <c r="S2" s="2474"/>
      <c r="T2" s="2474"/>
      <c r="U2" s="2474"/>
      <c r="V2" s="2474"/>
      <c r="W2" s="2474"/>
      <c r="X2" s="2474"/>
      <c r="Y2" s="2474"/>
      <c r="Z2" s="2474"/>
      <c r="AA2" s="2474"/>
      <c r="AB2" s="2474"/>
      <c r="AC2" s="2474"/>
      <c r="AD2" s="2474"/>
      <c r="AE2" s="491"/>
    </row>
    <row r="3" spans="1:33" ht="5.25" customHeight="1" thickTop="1" thickBot="1" x14ac:dyDescent="0.25"/>
    <row r="4" spans="1:33" ht="6" customHeight="1" thickTop="1" x14ac:dyDescent="0.2">
      <c r="A4" s="621"/>
      <c r="B4" s="2520"/>
      <c r="C4" s="2520"/>
      <c r="D4" s="2520"/>
      <c r="E4" s="2520"/>
      <c r="F4" s="2520"/>
      <c r="G4" s="2520"/>
      <c r="H4" s="2520"/>
      <c r="I4" s="2520"/>
      <c r="J4" s="2520"/>
      <c r="K4" s="2520"/>
      <c r="L4" s="2520"/>
      <c r="M4" s="2520"/>
      <c r="N4" s="2520"/>
      <c r="O4" s="2520"/>
      <c r="P4" s="2520"/>
      <c r="Q4" s="2520"/>
      <c r="R4" s="2520"/>
      <c r="S4" s="2520"/>
      <c r="T4" s="2520"/>
      <c r="U4" s="2520"/>
      <c r="V4" s="2520"/>
      <c r="W4" s="2520"/>
      <c r="X4" s="2520"/>
      <c r="Y4" s="2520"/>
      <c r="Z4" s="2520"/>
      <c r="AA4" s="2520"/>
      <c r="AB4" s="2520"/>
      <c r="AC4" s="2520"/>
      <c r="AD4" s="446"/>
      <c r="AE4" s="448"/>
    </row>
    <row r="5" spans="1:33" ht="12.75" customHeight="1" x14ac:dyDescent="0.25">
      <c r="A5" s="622"/>
      <c r="B5" s="2521" t="s">
        <v>1539</v>
      </c>
      <c r="C5" s="2521"/>
      <c r="D5" s="2522"/>
      <c r="E5" s="2475" t="s">
        <v>4266</v>
      </c>
      <c r="F5" s="2476"/>
      <c r="G5" s="2476"/>
      <c r="H5" s="2477"/>
      <c r="I5" s="2475" t="str">
        <f>IF(VIEW_EIGN_TRUE,"Probe","Steig.-Kat.")</f>
        <v>Probe</v>
      </c>
      <c r="J5" s="2476"/>
      <c r="K5" s="2476"/>
      <c r="L5" s="2477"/>
      <c r="M5" s="2475" t="s">
        <v>4267</v>
      </c>
      <c r="N5" s="2477"/>
      <c r="O5" s="2475" t="s">
        <v>4268</v>
      </c>
      <c r="P5" s="2476"/>
      <c r="Q5" s="2476"/>
      <c r="R5" s="2477"/>
      <c r="S5" s="2475" t="s">
        <v>279</v>
      </c>
      <c r="T5" s="2476"/>
      <c r="U5" s="2477"/>
      <c r="V5" s="2475" t="s">
        <v>4269</v>
      </c>
      <c r="W5" s="2476"/>
      <c r="X5" s="2477"/>
      <c r="Y5" s="1535" t="s">
        <v>8810</v>
      </c>
      <c r="Z5" s="1534" t="s">
        <v>8772</v>
      </c>
      <c r="AA5" s="1534"/>
      <c r="AB5" s="1534"/>
      <c r="AC5" s="1534"/>
      <c r="AD5" s="1477" t="s">
        <v>1842</v>
      </c>
      <c r="AE5" s="437"/>
      <c r="AF5" s="436"/>
      <c r="AG5" s="436"/>
    </row>
    <row r="6" spans="1:33" ht="12.75" customHeight="1" x14ac:dyDescent="0.2">
      <c r="A6" s="622"/>
      <c r="B6" s="2437" t="str">
        <f>IF(NOT(Zauber_bekannt_aktiv=""),LEFT(Zauber_bekannt_aktiv,FIND(",",Zauber_bekannt_aktiv)-1),"")</f>
        <v/>
      </c>
      <c r="C6" s="2498"/>
      <c r="D6" s="2498"/>
      <c r="E6" s="2439" t="str">
        <f t="shared" ref="E6:E16" si="0">IF($B6="","",CONCATENATE(VLOOKUP($B6,ZAUBERWERTE,2,FALSE),"•",VLOOKUP($B6,ZAUBERWERTE,3,FALSE),"•",VLOOKUP($B6,ZAUBERWERTE,4,FALSE)," ",VLOOKUP($B6,ZAUBERWERTE,5,FALSE)))</f>
        <v/>
      </c>
      <c r="F6" s="2436"/>
      <c r="G6" s="2436"/>
      <c r="H6" s="2437"/>
      <c r="I6" s="2439" t="str">
        <f ca="1">IF($B6="","",
IF(VIEW_EIGN_TRUE,
CONCATENATE(INDIRECT(VLOOKUP($B6,ZAUBERWERTE,2,FALSE)),"•",INDIRECT(VLOOKUP($B6,ZAUBERWERTE,3,FALSE)),"•",IF(VLOOKUP($B6,ZAUBERWERTE,4,FALSE)="EIGN","EIGN",INDIRECT(VLOOKUP($B6,ZAUBERWERTE,4,FALSE)))," ",VLOOKUP($B6,ZAUBERWERTE,5,FALSE)),
VLOOKUP($B6,ZAUBERHELD,7,FALSE)
))</f>
        <v/>
      </c>
      <c r="J6" s="2436"/>
      <c r="K6" s="2436"/>
      <c r="L6" s="2437"/>
      <c r="M6" s="2439" t="str">
        <f t="shared" ref="M6:M16" si="1">IF($B6="","",VLOOKUP($B6,ZAUBERWERTE,6,FALSE))</f>
        <v/>
      </c>
      <c r="N6" s="2437"/>
      <c r="O6" s="2439" t="str">
        <f t="shared" ref="O6:O16" si="2">IF($B6="","",VLOOKUP($B6,ZAUBERWERTE,7,FALSE))</f>
        <v/>
      </c>
      <c r="P6" s="2436"/>
      <c r="Q6" s="2436"/>
      <c r="R6" s="2437"/>
      <c r="S6" s="2439" t="str">
        <f t="shared" ref="S6:S16" si="3">IF($B6="","",VLOOKUP($B6,ZAUBERWERTE,8,FALSE))</f>
        <v/>
      </c>
      <c r="T6" s="2436"/>
      <c r="U6" s="2437"/>
      <c r="V6" s="2439" t="str">
        <f t="shared" ref="V6:V16" si="4">IF($B6="","",VLOOKUP($B6,ZAUBERWERTE,9,FALSE))</f>
        <v/>
      </c>
      <c r="W6" s="2436"/>
      <c r="X6" s="2437"/>
      <c r="Y6" s="1536" t="str">
        <f t="shared" ref="Y6:Y37" si="5">IF($B6="","",VLOOKUP($B6,ZAUBERWERTE,16,FALSE))</f>
        <v/>
      </c>
      <c r="Z6" s="2495" t="str">
        <f t="shared" ref="Z6:Z37" si="6">IF($B6="","",IF(VLOOKUP($B6,ZAUBERHELD,14,FALSE)="","",VLOOKUP($B6,ZAUBERHELD,14,FALSE)))</f>
        <v/>
      </c>
      <c r="AA6" s="2496"/>
      <c r="AB6" s="2496"/>
      <c r="AC6" s="2497"/>
      <c r="AD6" s="441" t="str">
        <f>IF($B6="","",SUM(VLOOKUP($B6,ZAUBERHELD,2,FALSE),VLOOKUP($B6,ZAUBERHELD,10,FALSE),VLOOKUP($B6,ZAUBERHELD,6,FALSE)))</f>
        <v/>
      </c>
      <c r="AE6" s="492"/>
      <c r="AG6" s="353" t="str">
        <f>IF(NOT(Zauber_bekannt_aktiv=""),RIGHT(Zauber_bekannt_aktiv,LEN(Zauber_bekannt_aktiv)-LEN(B6)-1),"")</f>
        <v/>
      </c>
    </row>
    <row r="7" spans="1:33" ht="12.75" customHeight="1" x14ac:dyDescent="0.2">
      <c r="A7" s="622"/>
      <c r="B7" s="2437" t="str">
        <f>IF(NOT(AG6=""),LEFT(AG6,FIND(",",AG6)-1),"")</f>
        <v/>
      </c>
      <c r="C7" s="2498"/>
      <c r="D7" s="2498"/>
      <c r="E7" s="2439" t="str">
        <f t="shared" si="0"/>
        <v/>
      </c>
      <c r="F7" s="2436"/>
      <c r="G7" s="2436"/>
      <c r="H7" s="2437"/>
      <c r="I7" s="2439" t="str">
        <f t="shared" ref="I7:I75" ca="1" si="7">IF($B7="","",
IF(VIEW_EIGN_TRUE,
CONCATENATE(INDIRECT(VLOOKUP($B7,ZAUBERWERTE,2,FALSE)),"•",INDIRECT(VLOOKUP($B7,ZAUBERWERTE,3,FALSE)),"•",IF(VLOOKUP($B7,ZAUBERWERTE,4,FALSE)="EIGN","EIGN",INDIRECT(VLOOKUP($B7,ZAUBERWERTE,4,FALSE)))," ",VLOOKUP($B7,ZAUBERWERTE,5,FALSE)),
VLOOKUP($B7,ZAUBERHELD,7,FALSE)
))</f>
        <v/>
      </c>
      <c r="J7" s="2436"/>
      <c r="K7" s="2436"/>
      <c r="L7" s="2437"/>
      <c r="M7" s="2439" t="str">
        <f t="shared" si="1"/>
        <v/>
      </c>
      <c r="N7" s="2437"/>
      <c r="O7" s="2439" t="str">
        <f t="shared" si="2"/>
        <v/>
      </c>
      <c r="P7" s="2436"/>
      <c r="Q7" s="2436"/>
      <c r="R7" s="2437"/>
      <c r="S7" s="2439" t="str">
        <f t="shared" si="3"/>
        <v/>
      </c>
      <c r="T7" s="2436"/>
      <c r="U7" s="2437"/>
      <c r="V7" s="2439" t="str">
        <f t="shared" si="4"/>
        <v/>
      </c>
      <c r="W7" s="2436"/>
      <c r="X7" s="2437"/>
      <c r="Y7" s="1536" t="str">
        <f t="shared" si="5"/>
        <v/>
      </c>
      <c r="Z7" s="2495" t="str">
        <f t="shared" si="6"/>
        <v/>
      </c>
      <c r="AA7" s="2496"/>
      <c r="AB7" s="2496"/>
      <c r="AC7" s="2497"/>
      <c r="AD7" s="441" t="str">
        <f t="shared" ref="AD7:AD16" si="8">IF($B7="","",SUM(VLOOKUP($B7,ZAUBERHELD,2,FALSE),VLOOKUP($B7,ZAUBERHELD,10,FALSE),VLOOKUP($B7,ZAUBERHELD,6,FALSE)))</f>
        <v/>
      </c>
      <c r="AE7" s="492"/>
      <c r="AG7" s="353" t="str">
        <f>IF(NOT(AG6=""),RIGHT(AG6,LEN(AG6)-LEN(B7)-1),"")</f>
        <v/>
      </c>
    </row>
    <row r="8" spans="1:33" ht="12.75" customHeight="1" x14ac:dyDescent="0.2">
      <c r="A8" s="622"/>
      <c r="B8" s="2437" t="str">
        <f t="shared" ref="B8:B20" si="9">IF(NOT(AG7=""),LEFT(AG7,FIND(",",AG7)-1),"")</f>
        <v/>
      </c>
      <c r="C8" s="2498"/>
      <c r="D8" s="2498"/>
      <c r="E8" s="2439" t="str">
        <f t="shared" si="0"/>
        <v/>
      </c>
      <c r="F8" s="2436"/>
      <c r="G8" s="2436"/>
      <c r="H8" s="2437"/>
      <c r="I8" s="2439" t="str">
        <f t="shared" ca="1" si="7"/>
        <v/>
      </c>
      <c r="J8" s="2436"/>
      <c r="K8" s="2436"/>
      <c r="L8" s="2437"/>
      <c r="M8" s="2439" t="str">
        <f t="shared" si="1"/>
        <v/>
      </c>
      <c r="N8" s="2437"/>
      <c r="O8" s="2439" t="str">
        <f t="shared" si="2"/>
        <v/>
      </c>
      <c r="P8" s="2436"/>
      <c r="Q8" s="2436"/>
      <c r="R8" s="2437"/>
      <c r="S8" s="2439" t="str">
        <f t="shared" si="3"/>
        <v/>
      </c>
      <c r="T8" s="2436"/>
      <c r="U8" s="2437"/>
      <c r="V8" s="2439" t="str">
        <f t="shared" si="4"/>
        <v/>
      </c>
      <c r="W8" s="2436"/>
      <c r="X8" s="2437"/>
      <c r="Y8" s="1536" t="str">
        <f t="shared" si="5"/>
        <v/>
      </c>
      <c r="Z8" s="2495" t="str">
        <f t="shared" si="6"/>
        <v/>
      </c>
      <c r="AA8" s="2496"/>
      <c r="AB8" s="2496"/>
      <c r="AC8" s="2497"/>
      <c r="AD8" s="441" t="str">
        <f t="shared" si="8"/>
        <v/>
      </c>
      <c r="AE8" s="492"/>
      <c r="AG8" s="353" t="str">
        <f t="shared" ref="AG8:AG50" si="10">IF(NOT(AG7=""),RIGHT(AG7,LEN(AG7)-LEN(B8)-1),"")</f>
        <v/>
      </c>
    </row>
    <row r="9" spans="1:33" ht="12.75" customHeight="1" x14ac:dyDescent="0.2">
      <c r="A9" s="622"/>
      <c r="B9" s="2437" t="str">
        <f t="shared" si="9"/>
        <v/>
      </c>
      <c r="C9" s="2498"/>
      <c r="D9" s="2498"/>
      <c r="E9" s="2439" t="str">
        <f t="shared" si="0"/>
        <v/>
      </c>
      <c r="F9" s="2436"/>
      <c r="G9" s="2436"/>
      <c r="H9" s="2437"/>
      <c r="I9" s="2439" t="str">
        <f t="shared" ca="1" si="7"/>
        <v/>
      </c>
      <c r="J9" s="2436"/>
      <c r="K9" s="2436"/>
      <c r="L9" s="2437"/>
      <c r="M9" s="2439" t="str">
        <f t="shared" si="1"/>
        <v/>
      </c>
      <c r="N9" s="2437"/>
      <c r="O9" s="2439" t="str">
        <f t="shared" si="2"/>
        <v/>
      </c>
      <c r="P9" s="2436"/>
      <c r="Q9" s="2436"/>
      <c r="R9" s="2437"/>
      <c r="S9" s="2439" t="str">
        <f t="shared" si="3"/>
        <v/>
      </c>
      <c r="T9" s="2436"/>
      <c r="U9" s="2437"/>
      <c r="V9" s="2439" t="str">
        <f t="shared" si="4"/>
        <v/>
      </c>
      <c r="W9" s="2436"/>
      <c r="X9" s="2437"/>
      <c r="Y9" s="1536" t="str">
        <f t="shared" si="5"/>
        <v/>
      </c>
      <c r="Z9" s="2495" t="str">
        <f t="shared" si="6"/>
        <v/>
      </c>
      <c r="AA9" s="2496"/>
      <c r="AB9" s="2496"/>
      <c r="AC9" s="2497"/>
      <c r="AD9" s="441" t="str">
        <f t="shared" si="8"/>
        <v/>
      </c>
      <c r="AE9" s="492"/>
      <c r="AG9" s="353" t="str">
        <f t="shared" si="10"/>
        <v/>
      </c>
    </row>
    <row r="10" spans="1:33" ht="12.75" customHeight="1" x14ac:dyDescent="0.2">
      <c r="A10" s="622"/>
      <c r="B10" s="2437" t="str">
        <f t="shared" si="9"/>
        <v/>
      </c>
      <c r="C10" s="2498"/>
      <c r="D10" s="2498"/>
      <c r="E10" s="2439" t="str">
        <f t="shared" si="0"/>
        <v/>
      </c>
      <c r="F10" s="2436"/>
      <c r="G10" s="2436"/>
      <c r="H10" s="2437"/>
      <c r="I10" s="2439" t="str">
        <f t="shared" ca="1" si="7"/>
        <v/>
      </c>
      <c r="J10" s="2436"/>
      <c r="K10" s="2436"/>
      <c r="L10" s="2437"/>
      <c r="M10" s="2439" t="str">
        <f t="shared" si="1"/>
        <v/>
      </c>
      <c r="N10" s="2437"/>
      <c r="O10" s="2439" t="str">
        <f t="shared" si="2"/>
        <v/>
      </c>
      <c r="P10" s="2436"/>
      <c r="Q10" s="2436"/>
      <c r="R10" s="2437"/>
      <c r="S10" s="2439" t="str">
        <f t="shared" si="3"/>
        <v/>
      </c>
      <c r="T10" s="2436"/>
      <c r="U10" s="2437"/>
      <c r="V10" s="2439" t="str">
        <f t="shared" si="4"/>
        <v/>
      </c>
      <c r="W10" s="2436"/>
      <c r="X10" s="2437"/>
      <c r="Y10" s="1536" t="str">
        <f t="shared" si="5"/>
        <v/>
      </c>
      <c r="Z10" s="2495" t="str">
        <f t="shared" si="6"/>
        <v/>
      </c>
      <c r="AA10" s="2496"/>
      <c r="AB10" s="2496"/>
      <c r="AC10" s="2497"/>
      <c r="AD10" s="441" t="str">
        <f t="shared" si="8"/>
        <v/>
      </c>
      <c r="AE10" s="492"/>
      <c r="AG10" s="353" t="str">
        <f t="shared" si="10"/>
        <v/>
      </c>
    </row>
    <row r="11" spans="1:33" ht="12.75" customHeight="1" x14ac:dyDescent="0.2">
      <c r="A11" s="622"/>
      <c r="B11" s="2437" t="str">
        <f t="shared" si="9"/>
        <v/>
      </c>
      <c r="C11" s="2498"/>
      <c r="D11" s="2498"/>
      <c r="E11" s="2439" t="str">
        <f t="shared" si="0"/>
        <v/>
      </c>
      <c r="F11" s="2436"/>
      <c r="G11" s="2436"/>
      <c r="H11" s="2437"/>
      <c r="I11" s="2439" t="str">
        <f t="shared" ca="1" si="7"/>
        <v/>
      </c>
      <c r="J11" s="2436"/>
      <c r="K11" s="2436"/>
      <c r="L11" s="2437"/>
      <c r="M11" s="2439" t="str">
        <f t="shared" si="1"/>
        <v/>
      </c>
      <c r="N11" s="2437"/>
      <c r="O11" s="2439" t="str">
        <f t="shared" si="2"/>
        <v/>
      </c>
      <c r="P11" s="2436"/>
      <c r="Q11" s="2436"/>
      <c r="R11" s="2437"/>
      <c r="S11" s="2439" t="str">
        <f t="shared" si="3"/>
        <v/>
      </c>
      <c r="T11" s="2436"/>
      <c r="U11" s="2437"/>
      <c r="V11" s="2439" t="str">
        <f t="shared" si="4"/>
        <v/>
      </c>
      <c r="W11" s="2436"/>
      <c r="X11" s="2437"/>
      <c r="Y11" s="1536" t="str">
        <f t="shared" si="5"/>
        <v/>
      </c>
      <c r="Z11" s="2495" t="str">
        <f t="shared" si="6"/>
        <v/>
      </c>
      <c r="AA11" s="2496"/>
      <c r="AB11" s="2496"/>
      <c r="AC11" s="2497"/>
      <c r="AD11" s="441" t="str">
        <f t="shared" si="8"/>
        <v/>
      </c>
      <c r="AE11" s="492"/>
      <c r="AG11" s="353" t="str">
        <f t="shared" si="10"/>
        <v/>
      </c>
    </row>
    <row r="12" spans="1:33" ht="12.75" customHeight="1" x14ac:dyDescent="0.2">
      <c r="A12" s="622"/>
      <c r="B12" s="2437" t="str">
        <f t="shared" si="9"/>
        <v/>
      </c>
      <c r="C12" s="2498"/>
      <c r="D12" s="2498"/>
      <c r="E12" s="2439" t="str">
        <f t="shared" si="0"/>
        <v/>
      </c>
      <c r="F12" s="2436"/>
      <c r="G12" s="2436"/>
      <c r="H12" s="2437"/>
      <c r="I12" s="2439" t="str">
        <f t="shared" ca="1" si="7"/>
        <v/>
      </c>
      <c r="J12" s="2436"/>
      <c r="K12" s="2436"/>
      <c r="L12" s="2437"/>
      <c r="M12" s="2439" t="str">
        <f t="shared" si="1"/>
        <v/>
      </c>
      <c r="N12" s="2437"/>
      <c r="O12" s="2439" t="str">
        <f t="shared" si="2"/>
        <v/>
      </c>
      <c r="P12" s="2436"/>
      <c r="Q12" s="2436"/>
      <c r="R12" s="2437"/>
      <c r="S12" s="2439" t="str">
        <f t="shared" si="3"/>
        <v/>
      </c>
      <c r="T12" s="2436"/>
      <c r="U12" s="2437"/>
      <c r="V12" s="2439" t="str">
        <f t="shared" si="4"/>
        <v/>
      </c>
      <c r="W12" s="2436"/>
      <c r="X12" s="2437"/>
      <c r="Y12" s="1536" t="str">
        <f t="shared" si="5"/>
        <v/>
      </c>
      <c r="Z12" s="2495" t="str">
        <f t="shared" si="6"/>
        <v/>
      </c>
      <c r="AA12" s="2496"/>
      <c r="AB12" s="2496"/>
      <c r="AC12" s="2497"/>
      <c r="AD12" s="441" t="str">
        <f t="shared" si="8"/>
        <v/>
      </c>
      <c r="AE12" s="492"/>
      <c r="AG12" s="353" t="str">
        <f t="shared" si="10"/>
        <v/>
      </c>
    </row>
    <row r="13" spans="1:33" ht="12.75" customHeight="1" x14ac:dyDescent="0.2">
      <c r="A13" s="622"/>
      <c r="B13" s="2437" t="str">
        <f t="shared" si="9"/>
        <v/>
      </c>
      <c r="C13" s="2498"/>
      <c r="D13" s="2498"/>
      <c r="E13" s="2439" t="str">
        <f t="shared" si="0"/>
        <v/>
      </c>
      <c r="F13" s="2436"/>
      <c r="G13" s="2436"/>
      <c r="H13" s="2437"/>
      <c r="I13" s="2439" t="str">
        <f t="shared" ca="1" si="7"/>
        <v/>
      </c>
      <c r="J13" s="2436"/>
      <c r="K13" s="2436"/>
      <c r="L13" s="2437"/>
      <c r="M13" s="2439" t="str">
        <f t="shared" si="1"/>
        <v/>
      </c>
      <c r="N13" s="2437"/>
      <c r="O13" s="2439" t="str">
        <f t="shared" si="2"/>
        <v/>
      </c>
      <c r="P13" s="2436"/>
      <c r="Q13" s="2436"/>
      <c r="R13" s="2437"/>
      <c r="S13" s="2439" t="str">
        <f t="shared" si="3"/>
        <v/>
      </c>
      <c r="T13" s="2436"/>
      <c r="U13" s="2437"/>
      <c r="V13" s="2439" t="str">
        <f t="shared" si="4"/>
        <v/>
      </c>
      <c r="W13" s="2436"/>
      <c r="X13" s="2437"/>
      <c r="Y13" s="1536" t="str">
        <f t="shared" si="5"/>
        <v/>
      </c>
      <c r="Z13" s="2495" t="str">
        <f t="shared" si="6"/>
        <v/>
      </c>
      <c r="AA13" s="2496"/>
      <c r="AB13" s="2496"/>
      <c r="AC13" s="2497"/>
      <c r="AD13" s="441" t="str">
        <f t="shared" si="8"/>
        <v/>
      </c>
      <c r="AE13" s="492"/>
      <c r="AG13" s="353" t="str">
        <f t="shared" si="10"/>
        <v/>
      </c>
    </row>
    <row r="14" spans="1:33" ht="12.75" customHeight="1" x14ac:dyDescent="0.2">
      <c r="A14" s="622"/>
      <c r="B14" s="2437" t="str">
        <f t="shared" si="9"/>
        <v/>
      </c>
      <c r="C14" s="2498"/>
      <c r="D14" s="2498"/>
      <c r="E14" s="2439" t="str">
        <f t="shared" si="0"/>
        <v/>
      </c>
      <c r="F14" s="2436"/>
      <c r="G14" s="2436"/>
      <c r="H14" s="2437"/>
      <c r="I14" s="2439" t="str">
        <f t="shared" ca="1" si="7"/>
        <v/>
      </c>
      <c r="J14" s="2436"/>
      <c r="K14" s="2436"/>
      <c r="L14" s="2437"/>
      <c r="M14" s="2439" t="str">
        <f t="shared" si="1"/>
        <v/>
      </c>
      <c r="N14" s="2437"/>
      <c r="O14" s="2439" t="str">
        <f t="shared" si="2"/>
        <v/>
      </c>
      <c r="P14" s="2436"/>
      <c r="Q14" s="2436"/>
      <c r="R14" s="2437"/>
      <c r="S14" s="2439" t="str">
        <f t="shared" si="3"/>
        <v/>
      </c>
      <c r="T14" s="2436"/>
      <c r="U14" s="2437"/>
      <c r="V14" s="2439" t="str">
        <f t="shared" si="4"/>
        <v/>
      </c>
      <c r="W14" s="2436"/>
      <c r="X14" s="2437"/>
      <c r="Y14" s="1536" t="str">
        <f t="shared" si="5"/>
        <v/>
      </c>
      <c r="Z14" s="2495" t="str">
        <f t="shared" si="6"/>
        <v/>
      </c>
      <c r="AA14" s="2496"/>
      <c r="AB14" s="2496"/>
      <c r="AC14" s="2497"/>
      <c r="AD14" s="441" t="str">
        <f t="shared" si="8"/>
        <v/>
      </c>
      <c r="AE14" s="492"/>
      <c r="AG14" s="353" t="str">
        <f t="shared" si="10"/>
        <v/>
      </c>
    </row>
    <row r="15" spans="1:33" ht="12.75" customHeight="1" x14ac:dyDescent="0.2">
      <c r="A15" s="622"/>
      <c r="B15" s="2437" t="str">
        <f t="shared" si="9"/>
        <v/>
      </c>
      <c r="C15" s="2498"/>
      <c r="D15" s="2498"/>
      <c r="E15" s="2439" t="str">
        <f t="shared" si="0"/>
        <v/>
      </c>
      <c r="F15" s="2436"/>
      <c r="G15" s="2436"/>
      <c r="H15" s="2437"/>
      <c r="I15" s="2439" t="str">
        <f t="shared" ca="1" si="7"/>
        <v/>
      </c>
      <c r="J15" s="2436"/>
      <c r="K15" s="2436"/>
      <c r="L15" s="2437"/>
      <c r="M15" s="2439" t="str">
        <f t="shared" si="1"/>
        <v/>
      </c>
      <c r="N15" s="2437"/>
      <c r="O15" s="2439" t="str">
        <f t="shared" si="2"/>
        <v/>
      </c>
      <c r="P15" s="2436"/>
      <c r="Q15" s="2436"/>
      <c r="R15" s="2437"/>
      <c r="S15" s="2439" t="str">
        <f t="shared" si="3"/>
        <v/>
      </c>
      <c r="T15" s="2436"/>
      <c r="U15" s="2437"/>
      <c r="V15" s="2439" t="str">
        <f t="shared" si="4"/>
        <v/>
      </c>
      <c r="W15" s="2436"/>
      <c r="X15" s="2437"/>
      <c r="Y15" s="1536" t="str">
        <f t="shared" si="5"/>
        <v/>
      </c>
      <c r="Z15" s="2495" t="str">
        <f t="shared" si="6"/>
        <v/>
      </c>
      <c r="AA15" s="2496"/>
      <c r="AB15" s="2496"/>
      <c r="AC15" s="2497"/>
      <c r="AD15" s="441" t="str">
        <f t="shared" si="8"/>
        <v/>
      </c>
      <c r="AE15" s="492"/>
      <c r="AG15" s="353" t="str">
        <f t="shared" si="10"/>
        <v/>
      </c>
    </row>
    <row r="16" spans="1:33" ht="12.75" customHeight="1" x14ac:dyDescent="0.2">
      <c r="A16" s="622"/>
      <c r="B16" s="2437" t="str">
        <f t="shared" si="9"/>
        <v/>
      </c>
      <c r="C16" s="2498"/>
      <c r="D16" s="2498"/>
      <c r="E16" s="2439" t="str">
        <f t="shared" si="0"/>
        <v/>
      </c>
      <c r="F16" s="2436"/>
      <c r="G16" s="2436"/>
      <c r="H16" s="2437"/>
      <c r="I16" s="2439" t="str">
        <f t="shared" ca="1" si="7"/>
        <v/>
      </c>
      <c r="J16" s="2436"/>
      <c r="K16" s="2436"/>
      <c r="L16" s="2437"/>
      <c r="M16" s="2439" t="str">
        <f t="shared" si="1"/>
        <v/>
      </c>
      <c r="N16" s="2437"/>
      <c r="O16" s="2439" t="str">
        <f t="shared" si="2"/>
        <v/>
      </c>
      <c r="P16" s="2436"/>
      <c r="Q16" s="2436"/>
      <c r="R16" s="2437"/>
      <c r="S16" s="2439" t="str">
        <f t="shared" si="3"/>
        <v/>
      </c>
      <c r="T16" s="2436"/>
      <c r="U16" s="2437"/>
      <c r="V16" s="2439" t="str">
        <f t="shared" si="4"/>
        <v/>
      </c>
      <c r="W16" s="2436"/>
      <c r="X16" s="2437"/>
      <c r="Y16" s="1536" t="str">
        <f t="shared" si="5"/>
        <v/>
      </c>
      <c r="Z16" s="2495" t="str">
        <f t="shared" si="6"/>
        <v/>
      </c>
      <c r="AA16" s="2496"/>
      <c r="AB16" s="2496"/>
      <c r="AC16" s="2497"/>
      <c r="AD16" s="441" t="str">
        <f t="shared" si="8"/>
        <v/>
      </c>
      <c r="AE16" s="492"/>
      <c r="AG16" s="353" t="str">
        <f t="shared" si="10"/>
        <v/>
      </c>
    </row>
    <row r="17" spans="1:37" ht="12.75" customHeight="1" x14ac:dyDescent="0.2">
      <c r="A17" s="622"/>
      <c r="B17" s="2437" t="str">
        <f t="shared" si="9"/>
        <v/>
      </c>
      <c r="C17" s="2498"/>
      <c r="D17" s="2498"/>
      <c r="E17" s="2439" t="str">
        <f t="shared" ref="E17:E75" si="11">IF($B17="","",CONCATENATE(VLOOKUP($B17,ZAUBERWERTE,2,FALSE),"•",VLOOKUP($B17,ZAUBERWERTE,3,FALSE),"•",VLOOKUP($B17,ZAUBERWERTE,4,FALSE)," ",VLOOKUP($B17,ZAUBERWERTE,5,FALSE)))</f>
        <v/>
      </c>
      <c r="F17" s="2436"/>
      <c r="G17" s="2436"/>
      <c r="H17" s="2437"/>
      <c r="I17" s="2439" t="str">
        <f t="shared" ca="1" si="7"/>
        <v/>
      </c>
      <c r="J17" s="2436"/>
      <c r="K17" s="2436"/>
      <c r="L17" s="2437"/>
      <c r="M17" s="2439" t="str">
        <f t="shared" ref="M17:M75" si="12">IF($B17="","",VLOOKUP($B17,ZAUBERWERTE,6,FALSE))</f>
        <v/>
      </c>
      <c r="N17" s="2437"/>
      <c r="O17" s="2439" t="str">
        <f t="shared" ref="O17:O75" si="13">IF($B17="","",VLOOKUP($B17,ZAUBERWERTE,7,FALSE))</f>
        <v/>
      </c>
      <c r="P17" s="2436"/>
      <c r="Q17" s="2436"/>
      <c r="R17" s="2437"/>
      <c r="S17" s="2439" t="str">
        <f t="shared" ref="S17:S75" si="14">IF($B17="","",VLOOKUP($B17,ZAUBERWERTE,8,FALSE))</f>
        <v/>
      </c>
      <c r="T17" s="2436"/>
      <c r="U17" s="2437"/>
      <c r="V17" s="2439" t="str">
        <f t="shared" ref="V17:V75" si="15">IF($B17="","",VLOOKUP($B17,ZAUBERWERTE,9,FALSE))</f>
        <v/>
      </c>
      <c r="W17" s="2436"/>
      <c r="X17" s="2437"/>
      <c r="Y17" s="1536" t="str">
        <f t="shared" si="5"/>
        <v/>
      </c>
      <c r="Z17" s="2495" t="str">
        <f t="shared" si="6"/>
        <v/>
      </c>
      <c r="AA17" s="2496"/>
      <c r="AB17" s="2496"/>
      <c r="AC17" s="2497"/>
      <c r="AD17" s="441" t="str">
        <f t="shared" ref="AD17:AD75" si="16">IF($B17="","",SUM(VLOOKUP($B17,ZAUBERHELD,2,FALSE),VLOOKUP($B17,ZAUBERHELD,10,FALSE),VLOOKUP($B17,ZAUBERHELD,6,FALSE)))</f>
        <v/>
      </c>
      <c r="AE17" s="492"/>
      <c r="AG17" s="353" t="str">
        <f t="shared" si="10"/>
        <v/>
      </c>
    </row>
    <row r="18" spans="1:37" ht="12.75" customHeight="1" x14ac:dyDescent="0.2">
      <c r="A18" s="622"/>
      <c r="B18" s="2437" t="str">
        <f t="shared" si="9"/>
        <v/>
      </c>
      <c r="C18" s="2498"/>
      <c r="D18" s="2498"/>
      <c r="E18" s="2439" t="str">
        <f t="shared" si="11"/>
        <v/>
      </c>
      <c r="F18" s="2436"/>
      <c r="G18" s="2436"/>
      <c r="H18" s="2437"/>
      <c r="I18" s="2439" t="str">
        <f t="shared" ca="1" si="7"/>
        <v/>
      </c>
      <c r="J18" s="2436"/>
      <c r="K18" s="2436"/>
      <c r="L18" s="2437"/>
      <c r="M18" s="2439" t="str">
        <f t="shared" si="12"/>
        <v/>
      </c>
      <c r="N18" s="2437"/>
      <c r="O18" s="2439" t="str">
        <f t="shared" si="13"/>
        <v/>
      </c>
      <c r="P18" s="2436"/>
      <c r="Q18" s="2436"/>
      <c r="R18" s="2437"/>
      <c r="S18" s="2439" t="str">
        <f t="shared" si="14"/>
        <v/>
      </c>
      <c r="T18" s="2436"/>
      <c r="U18" s="2437"/>
      <c r="V18" s="2439" t="str">
        <f t="shared" si="15"/>
        <v/>
      </c>
      <c r="W18" s="2436"/>
      <c r="X18" s="2437"/>
      <c r="Y18" s="1536" t="str">
        <f t="shared" si="5"/>
        <v/>
      </c>
      <c r="Z18" s="2495" t="str">
        <f t="shared" si="6"/>
        <v/>
      </c>
      <c r="AA18" s="2496"/>
      <c r="AB18" s="2496"/>
      <c r="AC18" s="2497"/>
      <c r="AD18" s="441" t="str">
        <f t="shared" si="16"/>
        <v/>
      </c>
      <c r="AE18" s="492"/>
      <c r="AG18" s="353" t="str">
        <f t="shared" si="10"/>
        <v/>
      </c>
    </row>
    <row r="19" spans="1:37" ht="12.75" customHeight="1" x14ac:dyDescent="0.2">
      <c r="A19" s="622"/>
      <c r="B19" s="2437" t="str">
        <f t="shared" si="9"/>
        <v/>
      </c>
      <c r="C19" s="2498"/>
      <c r="D19" s="2498"/>
      <c r="E19" s="2439" t="str">
        <f t="shared" si="11"/>
        <v/>
      </c>
      <c r="F19" s="2436"/>
      <c r="G19" s="2436"/>
      <c r="H19" s="2437"/>
      <c r="I19" s="2439" t="str">
        <f t="shared" ca="1" si="7"/>
        <v/>
      </c>
      <c r="J19" s="2436"/>
      <c r="K19" s="2436"/>
      <c r="L19" s="2437"/>
      <c r="M19" s="2439" t="str">
        <f t="shared" si="12"/>
        <v/>
      </c>
      <c r="N19" s="2437"/>
      <c r="O19" s="2439" t="str">
        <f t="shared" si="13"/>
        <v/>
      </c>
      <c r="P19" s="2436"/>
      <c r="Q19" s="2436"/>
      <c r="R19" s="2437"/>
      <c r="S19" s="2439" t="str">
        <f t="shared" si="14"/>
        <v/>
      </c>
      <c r="T19" s="2436"/>
      <c r="U19" s="2437"/>
      <c r="V19" s="2439" t="str">
        <f t="shared" si="15"/>
        <v/>
      </c>
      <c r="W19" s="2436"/>
      <c r="X19" s="2437"/>
      <c r="Y19" s="1536" t="str">
        <f t="shared" si="5"/>
        <v/>
      </c>
      <c r="Z19" s="2495" t="str">
        <f t="shared" si="6"/>
        <v/>
      </c>
      <c r="AA19" s="2496"/>
      <c r="AB19" s="2496"/>
      <c r="AC19" s="2497"/>
      <c r="AD19" s="441" t="str">
        <f t="shared" si="16"/>
        <v/>
      </c>
      <c r="AE19" s="492"/>
      <c r="AG19" s="353" t="str">
        <f t="shared" si="10"/>
        <v/>
      </c>
    </row>
    <row r="20" spans="1:37" ht="12.75" customHeight="1" x14ac:dyDescent="0.2">
      <c r="A20" s="622"/>
      <c r="B20" s="2437" t="str">
        <f t="shared" si="9"/>
        <v/>
      </c>
      <c r="C20" s="2498"/>
      <c r="D20" s="2498"/>
      <c r="E20" s="2439" t="str">
        <f t="shared" si="11"/>
        <v/>
      </c>
      <c r="F20" s="2436"/>
      <c r="G20" s="2436"/>
      <c r="H20" s="2437"/>
      <c r="I20" s="2439" t="str">
        <f t="shared" ca="1" si="7"/>
        <v/>
      </c>
      <c r="J20" s="2436"/>
      <c r="K20" s="2436"/>
      <c r="L20" s="2437"/>
      <c r="M20" s="2439" t="str">
        <f t="shared" si="12"/>
        <v/>
      </c>
      <c r="N20" s="2437"/>
      <c r="O20" s="2439" t="str">
        <f t="shared" si="13"/>
        <v/>
      </c>
      <c r="P20" s="2436"/>
      <c r="Q20" s="2436"/>
      <c r="R20" s="2437"/>
      <c r="S20" s="2439" t="str">
        <f t="shared" si="14"/>
        <v/>
      </c>
      <c r="T20" s="2436"/>
      <c r="U20" s="2437"/>
      <c r="V20" s="2439" t="str">
        <f t="shared" si="15"/>
        <v/>
      </c>
      <c r="W20" s="2436"/>
      <c r="X20" s="2437"/>
      <c r="Y20" s="1536" t="str">
        <f t="shared" si="5"/>
        <v/>
      </c>
      <c r="Z20" s="2495" t="str">
        <f t="shared" si="6"/>
        <v/>
      </c>
      <c r="AA20" s="2496"/>
      <c r="AB20" s="2496"/>
      <c r="AC20" s="2497"/>
      <c r="AD20" s="441" t="str">
        <f t="shared" si="16"/>
        <v/>
      </c>
      <c r="AE20" s="492"/>
      <c r="AG20" s="353" t="str">
        <f t="shared" si="10"/>
        <v/>
      </c>
    </row>
    <row r="21" spans="1:37" ht="12.75" customHeight="1" x14ac:dyDescent="0.2">
      <c r="A21" s="622"/>
      <c r="B21" s="2437" t="str">
        <f t="shared" ref="B21:B26" si="17">IF(NOT(AG20=""),LEFT(AG20,FIND(",",AG20)-1),"")</f>
        <v/>
      </c>
      <c r="C21" s="2498"/>
      <c r="D21" s="2498"/>
      <c r="E21" s="2439" t="str">
        <f t="shared" si="11"/>
        <v/>
      </c>
      <c r="F21" s="2436"/>
      <c r="G21" s="2436"/>
      <c r="H21" s="2437"/>
      <c r="I21" s="2439" t="str">
        <f t="shared" ca="1" si="7"/>
        <v/>
      </c>
      <c r="J21" s="2436"/>
      <c r="K21" s="2436"/>
      <c r="L21" s="2437"/>
      <c r="M21" s="2439" t="str">
        <f t="shared" si="12"/>
        <v/>
      </c>
      <c r="N21" s="2437"/>
      <c r="O21" s="2439" t="str">
        <f t="shared" si="13"/>
        <v/>
      </c>
      <c r="P21" s="2436"/>
      <c r="Q21" s="2436"/>
      <c r="R21" s="2437"/>
      <c r="S21" s="2439" t="str">
        <f t="shared" si="14"/>
        <v/>
      </c>
      <c r="T21" s="2436"/>
      <c r="U21" s="2437"/>
      <c r="V21" s="2439" t="str">
        <f t="shared" si="15"/>
        <v/>
      </c>
      <c r="W21" s="2436"/>
      <c r="X21" s="2437"/>
      <c r="Y21" s="1536" t="str">
        <f t="shared" si="5"/>
        <v/>
      </c>
      <c r="Z21" s="2495" t="str">
        <f t="shared" si="6"/>
        <v/>
      </c>
      <c r="AA21" s="2496"/>
      <c r="AB21" s="2496"/>
      <c r="AC21" s="2497"/>
      <c r="AD21" s="441" t="str">
        <f t="shared" si="16"/>
        <v/>
      </c>
      <c r="AE21" s="492"/>
      <c r="AG21" s="353" t="str">
        <f>IF(NOT(AG20=""),RIGHT(AG20,LEN(AG20)-LEN(B21)-1),"")</f>
        <v/>
      </c>
    </row>
    <row r="22" spans="1:37" ht="12.75" customHeight="1" x14ac:dyDescent="0.2">
      <c r="A22" s="622"/>
      <c r="B22" s="2437" t="str">
        <f t="shared" si="17"/>
        <v/>
      </c>
      <c r="C22" s="2498"/>
      <c r="D22" s="2498"/>
      <c r="E22" s="2439" t="str">
        <f t="shared" si="11"/>
        <v/>
      </c>
      <c r="F22" s="2436"/>
      <c r="G22" s="2436"/>
      <c r="H22" s="2437"/>
      <c r="I22" s="2439" t="str">
        <f t="shared" ca="1" si="7"/>
        <v/>
      </c>
      <c r="J22" s="2436"/>
      <c r="K22" s="2436"/>
      <c r="L22" s="2437"/>
      <c r="M22" s="2439" t="str">
        <f t="shared" si="12"/>
        <v/>
      </c>
      <c r="N22" s="2437"/>
      <c r="O22" s="2439" t="str">
        <f t="shared" si="13"/>
        <v/>
      </c>
      <c r="P22" s="2436"/>
      <c r="Q22" s="2436"/>
      <c r="R22" s="2437"/>
      <c r="S22" s="2439" t="str">
        <f t="shared" si="14"/>
        <v/>
      </c>
      <c r="T22" s="2436"/>
      <c r="U22" s="2437"/>
      <c r="V22" s="2439" t="str">
        <f t="shared" si="15"/>
        <v/>
      </c>
      <c r="W22" s="2436"/>
      <c r="X22" s="2437"/>
      <c r="Y22" s="1536" t="str">
        <f t="shared" si="5"/>
        <v/>
      </c>
      <c r="Z22" s="2495" t="str">
        <f t="shared" si="6"/>
        <v/>
      </c>
      <c r="AA22" s="2496"/>
      <c r="AB22" s="2496"/>
      <c r="AC22" s="2497"/>
      <c r="AD22" s="441" t="str">
        <f t="shared" si="16"/>
        <v/>
      </c>
      <c r="AE22" s="492"/>
      <c r="AG22" s="353" t="str">
        <f t="shared" si="10"/>
        <v/>
      </c>
    </row>
    <row r="23" spans="1:37" ht="12.75" customHeight="1" x14ac:dyDescent="0.2">
      <c r="A23" s="622"/>
      <c r="B23" s="2437" t="str">
        <f t="shared" si="17"/>
        <v/>
      </c>
      <c r="C23" s="2498"/>
      <c r="D23" s="2498"/>
      <c r="E23" s="2439" t="str">
        <f t="shared" si="11"/>
        <v/>
      </c>
      <c r="F23" s="2436"/>
      <c r="G23" s="2436"/>
      <c r="H23" s="2437"/>
      <c r="I23" s="2439" t="str">
        <f t="shared" ca="1" si="7"/>
        <v/>
      </c>
      <c r="J23" s="2436"/>
      <c r="K23" s="2436"/>
      <c r="L23" s="2437"/>
      <c r="M23" s="2439" t="str">
        <f t="shared" si="12"/>
        <v/>
      </c>
      <c r="N23" s="2437"/>
      <c r="O23" s="2439" t="str">
        <f t="shared" si="13"/>
        <v/>
      </c>
      <c r="P23" s="2436"/>
      <c r="Q23" s="2436"/>
      <c r="R23" s="2437"/>
      <c r="S23" s="2439" t="str">
        <f t="shared" si="14"/>
        <v/>
      </c>
      <c r="T23" s="2436"/>
      <c r="U23" s="2437"/>
      <c r="V23" s="2439" t="str">
        <f t="shared" si="15"/>
        <v/>
      </c>
      <c r="W23" s="2436"/>
      <c r="X23" s="2437"/>
      <c r="Y23" s="1536" t="str">
        <f t="shared" si="5"/>
        <v/>
      </c>
      <c r="Z23" s="2495" t="str">
        <f t="shared" si="6"/>
        <v/>
      </c>
      <c r="AA23" s="2496"/>
      <c r="AB23" s="2496"/>
      <c r="AC23" s="2497"/>
      <c r="AD23" s="441" t="str">
        <f t="shared" si="16"/>
        <v/>
      </c>
      <c r="AE23" s="492"/>
      <c r="AG23" s="353" t="str">
        <f t="shared" si="10"/>
        <v/>
      </c>
    </row>
    <row r="24" spans="1:37" ht="12.75" customHeight="1" x14ac:dyDescent="0.2">
      <c r="A24" s="622"/>
      <c r="B24" s="2437" t="str">
        <f t="shared" si="17"/>
        <v/>
      </c>
      <c r="C24" s="2498"/>
      <c r="D24" s="2498"/>
      <c r="E24" s="2439" t="str">
        <f t="shared" si="11"/>
        <v/>
      </c>
      <c r="F24" s="2436"/>
      <c r="G24" s="2436"/>
      <c r="H24" s="2437"/>
      <c r="I24" s="2439" t="str">
        <f t="shared" ca="1" si="7"/>
        <v/>
      </c>
      <c r="J24" s="2436"/>
      <c r="K24" s="2436"/>
      <c r="L24" s="2437"/>
      <c r="M24" s="2439" t="str">
        <f t="shared" si="12"/>
        <v/>
      </c>
      <c r="N24" s="2437"/>
      <c r="O24" s="2439" t="str">
        <f t="shared" si="13"/>
        <v/>
      </c>
      <c r="P24" s="2436"/>
      <c r="Q24" s="2436"/>
      <c r="R24" s="2437"/>
      <c r="S24" s="2439" t="str">
        <f t="shared" si="14"/>
        <v/>
      </c>
      <c r="T24" s="2436"/>
      <c r="U24" s="2437"/>
      <c r="V24" s="2439" t="str">
        <f t="shared" si="15"/>
        <v/>
      </c>
      <c r="W24" s="2436"/>
      <c r="X24" s="2437"/>
      <c r="Y24" s="1536" t="str">
        <f t="shared" si="5"/>
        <v/>
      </c>
      <c r="Z24" s="2495" t="str">
        <f t="shared" si="6"/>
        <v/>
      </c>
      <c r="AA24" s="2496"/>
      <c r="AB24" s="2496"/>
      <c r="AC24" s="2497"/>
      <c r="AD24" s="441" t="str">
        <f t="shared" si="16"/>
        <v/>
      </c>
      <c r="AE24" s="492"/>
      <c r="AG24" s="353" t="str">
        <f t="shared" si="10"/>
        <v/>
      </c>
    </row>
    <row r="25" spans="1:37" ht="12.75" customHeight="1" x14ac:dyDescent="0.2">
      <c r="A25" s="622"/>
      <c r="B25" s="2437" t="str">
        <f>IF(NOT(AG24=""),LEFT(AG24,FIND(",",AG24)-1),"")</f>
        <v/>
      </c>
      <c r="C25" s="2498"/>
      <c r="D25" s="2498"/>
      <c r="E25" s="2439" t="str">
        <f t="shared" si="11"/>
        <v/>
      </c>
      <c r="F25" s="2436"/>
      <c r="G25" s="2436"/>
      <c r="H25" s="2437"/>
      <c r="I25" s="2439" t="str">
        <f t="shared" ca="1" si="7"/>
        <v/>
      </c>
      <c r="J25" s="2436"/>
      <c r="K25" s="2436"/>
      <c r="L25" s="2437"/>
      <c r="M25" s="2439" t="str">
        <f t="shared" si="12"/>
        <v/>
      </c>
      <c r="N25" s="2437"/>
      <c r="O25" s="2439" t="str">
        <f t="shared" si="13"/>
        <v/>
      </c>
      <c r="P25" s="2436"/>
      <c r="Q25" s="2436"/>
      <c r="R25" s="2437"/>
      <c r="S25" s="2439" t="str">
        <f t="shared" si="14"/>
        <v/>
      </c>
      <c r="T25" s="2436"/>
      <c r="U25" s="2437"/>
      <c r="V25" s="2439" t="str">
        <f t="shared" si="15"/>
        <v/>
      </c>
      <c r="W25" s="2436"/>
      <c r="X25" s="2437"/>
      <c r="Y25" s="1536" t="str">
        <f t="shared" si="5"/>
        <v/>
      </c>
      <c r="Z25" s="2495" t="str">
        <f t="shared" si="6"/>
        <v/>
      </c>
      <c r="AA25" s="2496"/>
      <c r="AB25" s="2496"/>
      <c r="AC25" s="2497"/>
      <c r="AD25" s="441" t="str">
        <f t="shared" si="16"/>
        <v/>
      </c>
      <c r="AE25" s="492"/>
      <c r="AG25" s="353" t="str">
        <f>IF(NOT(AG24=""),RIGHT(AG24,LEN(AG24)-LEN(B25)-1),"")</f>
        <v/>
      </c>
    </row>
    <row r="26" spans="1:37" ht="12.75" customHeight="1" x14ac:dyDescent="0.2">
      <c r="A26" s="622"/>
      <c r="B26" s="2437" t="str">
        <f t="shared" si="17"/>
        <v/>
      </c>
      <c r="C26" s="2498"/>
      <c r="D26" s="2498"/>
      <c r="E26" s="2439" t="str">
        <f t="shared" si="11"/>
        <v/>
      </c>
      <c r="F26" s="2436"/>
      <c r="G26" s="2436"/>
      <c r="H26" s="2437"/>
      <c r="I26" s="2439" t="str">
        <f t="shared" ca="1" si="7"/>
        <v/>
      </c>
      <c r="J26" s="2436"/>
      <c r="K26" s="2436"/>
      <c r="L26" s="2437"/>
      <c r="M26" s="2439" t="str">
        <f t="shared" si="12"/>
        <v/>
      </c>
      <c r="N26" s="2437"/>
      <c r="O26" s="2439" t="str">
        <f t="shared" si="13"/>
        <v/>
      </c>
      <c r="P26" s="2436"/>
      <c r="Q26" s="2436"/>
      <c r="R26" s="2437"/>
      <c r="S26" s="2439" t="str">
        <f t="shared" si="14"/>
        <v/>
      </c>
      <c r="T26" s="2436"/>
      <c r="U26" s="2437"/>
      <c r="V26" s="2439" t="str">
        <f t="shared" si="15"/>
        <v/>
      </c>
      <c r="W26" s="2436"/>
      <c r="X26" s="2437"/>
      <c r="Y26" s="1536" t="str">
        <f t="shared" si="5"/>
        <v/>
      </c>
      <c r="Z26" s="2495" t="str">
        <f t="shared" si="6"/>
        <v/>
      </c>
      <c r="AA26" s="2496"/>
      <c r="AB26" s="2496"/>
      <c r="AC26" s="2497"/>
      <c r="AD26" s="441" t="str">
        <f t="shared" si="16"/>
        <v/>
      </c>
      <c r="AE26" s="492"/>
      <c r="AG26" s="353" t="str">
        <f t="shared" si="10"/>
        <v/>
      </c>
    </row>
    <row r="27" spans="1:37" ht="12.75" customHeight="1" x14ac:dyDescent="0.2">
      <c r="A27" s="622"/>
      <c r="B27" s="2437" t="str">
        <f t="shared" ref="B27:B39" si="18">IF(NOT(AG26=""),LEFT(AG26,FIND(",",AG26)-1),"")</f>
        <v/>
      </c>
      <c r="C27" s="2498"/>
      <c r="D27" s="2498"/>
      <c r="E27" s="2518" t="str">
        <f t="shared" si="11"/>
        <v/>
      </c>
      <c r="F27" s="2524"/>
      <c r="G27" s="2524"/>
      <c r="H27" s="2519"/>
      <c r="I27" s="2439" t="str">
        <f t="shared" ca="1" si="7"/>
        <v/>
      </c>
      <c r="J27" s="2436"/>
      <c r="K27" s="2436"/>
      <c r="L27" s="2437"/>
      <c r="M27" s="2518" t="str">
        <f t="shared" si="12"/>
        <v/>
      </c>
      <c r="N27" s="2519"/>
      <c r="O27" s="2518" t="str">
        <f t="shared" si="13"/>
        <v/>
      </c>
      <c r="P27" s="2524"/>
      <c r="Q27" s="2524"/>
      <c r="R27" s="2519"/>
      <c r="S27" s="2518" t="str">
        <f t="shared" si="14"/>
        <v/>
      </c>
      <c r="T27" s="2524"/>
      <c r="U27" s="2519"/>
      <c r="V27" s="2518" t="str">
        <f t="shared" si="15"/>
        <v/>
      </c>
      <c r="W27" s="2524"/>
      <c r="X27" s="2519"/>
      <c r="Y27" s="1536" t="str">
        <f t="shared" si="5"/>
        <v/>
      </c>
      <c r="Z27" s="2495" t="str">
        <f t="shared" si="6"/>
        <v/>
      </c>
      <c r="AA27" s="2496"/>
      <c r="AB27" s="2496"/>
      <c r="AC27" s="2497"/>
      <c r="AD27" s="475" t="str">
        <f t="shared" si="16"/>
        <v/>
      </c>
      <c r="AE27" s="492"/>
      <c r="AG27" s="353" t="str">
        <f t="shared" si="10"/>
        <v/>
      </c>
    </row>
    <row r="28" spans="1:37" ht="12.75" customHeight="1" x14ac:dyDescent="0.2">
      <c r="A28" s="622"/>
      <c r="B28" s="2437" t="str">
        <f t="shared" si="18"/>
        <v/>
      </c>
      <c r="C28" s="2498"/>
      <c r="D28" s="2498"/>
      <c r="E28" s="2439" t="str">
        <f t="shared" si="11"/>
        <v/>
      </c>
      <c r="F28" s="2436"/>
      <c r="G28" s="2436"/>
      <c r="H28" s="2437"/>
      <c r="I28" s="2439" t="str">
        <f t="shared" ca="1" si="7"/>
        <v/>
      </c>
      <c r="J28" s="2436"/>
      <c r="K28" s="2436"/>
      <c r="L28" s="2437"/>
      <c r="M28" s="2439" t="str">
        <f t="shared" si="12"/>
        <v/>
      </c>
      <c r="N28" s="2437"/>
      <c r="O28" s="2439" t="str">
        <f t="shared" si="13"/>
        <v/>
      </c>
      <c r="P28" s="2436"/>
      <c r="Q28" s="2436"/>
      <c r="R28" s="2437"/>
      <c r="S28" s="2439" t="str">
        <f t="shared" si="14"/>
        <v/>
      </c>
      <c r="T28" s="2436"/>
      <c r="U28" s="2437"/>
      <c r="V28" s="2439" t="str">
        <f t="shared" si="15"/>
        <v/>
      </c>
      <c r="W28" s="2436"/>
      <c r="X28" s="2437"/>
      <c r="Y28" s="1536" t="str">
        <f t="shared" si="5"/>
        <v/>
      </c>
      <c r="Z28" s="2495" t="str">
        <f t="shared" si="6"/>
        <v/>
      </c>
      <c r="AA28" s="2496"/>
      <c r="AB28" s="2496"/>
      <c r="AC28" s="2497"/>
      <c r="AD28" s="441" t="str">
        <f t="shared" si="16"/>
        <v/>
      </c>
      <c r="AE28" s="492"/>
      <c r="AG28" s="353" t="str">
        <f t="shared" si="10"/>
        <v/>
      </c>
    </row>
    <row r="29" spans="1:37" ht="12.75" customHeight="1" x14ac:dyDescent="0.2">
      <c r="A29" s="622"/>
      <c r="B29" s="2437" t="str">
        <f t="shared" si="18"/>
        <v/>
      </c>
      <c r="C29" s="2498"/>
      <c r="D29" s="2498"/>
      <c r="E29" s="2525" t="str">
        <f t="shared" si="11"/>
        <v/>
      </c>
      <c r="F29" s="2527"/>
      <c r="G29" s="2527"/>
      <c r="H29" s="2526"/>
      <c r="I29" s="2439" t="str">
        <f t="shared" ca="1" si="7"/>
        <v/>
      </c>
      <c r="J29" s="2436"/>
      <c r="K29" s="2436"/>
      <c r="L29" s="2437"/>
      <c r="M29" s="2525" t="str">
        <f t="shared" si="12"/>
        <v/>
      </c>
      <c r="N29" s="2526"/>
      <c r="O29" s="2525" t="str">
        <f t="shared" si="13"/>
        <v/>
      </c>
      <c r="P29" s="2527"/>
      <c r="Q29" s="2527"/>
      <c r="R29" s="2526"/>
      <c r="S29" s="2525" t="str">
        <f t="shared" si="14"/>
        <v/>
      </c>
      <c r="T29" s="2527"/>
      <c r="U29" s="2526"/>
      <c r="V29" s="2525" t="str">
        <f t="shared" si="15"/>
        <v/>
      </c>
      <c r="W29" s="2527"/>
      <c r="X29" s="2526"/>
      <c r="Y29" s="1536" t="str">
        <f t="shared" si="5"/>
        <v/>
      </c>
      <c r="Z29" s="2495" t="str">
        <f t="shared" si="6"/>
        <v/>
      </c>
      <c r="AA29" s="2496"/>
      <c r="AB29" s="2496"/>
      <c r="AC29" s="2497"/>
      <c r="AD29" s="453" t="str">
        <f t="shared" si="16"/>
        <v/>
      </c>
      <c r="AE29" s="492"/>
      <c r="AG29" s="353" t="str">
        <f t="shared" si="10"/>
        <v/>
      </c>
    </row>
    <row r="30" spans="1:37" ht="12.75" customHeight="1" x14ac:dyDescent="0.2">
      <c r="A30" s="622"/>
      <c r="B30" s="2437" t="str">
        <f t="shared" si="18"/>
        <v/>
      </c>
      <c r="C30" s="2498"/>
      <c r="D30" s="2498"/>
      <c r="E30" s="2439" t="str">
        <f t="shared" si="11"/>
        <v/>
      </c>
      <c r="F30" s="2436"/>
      <c r="G30" s="2436"/>
      <c r="H30" s="2437"/>
      <c r="I30" s="2439" t="str">
        <f t="shared" ca="1" si="7"/>
        <v/>
      </c>
      <c r="J30" s="2436"/>
      <c r="K30" s="2436"/>
      <c r="L30" s="2437"/>
      <c r="M30" s="2439" t="str">
        <f t="shared" si="12"/>
        <v/>
      </c>
      <c r="N30" s="2437"/>
      <c r="O30" s="2439" t="str">
        <f t="shared" si="13"/>
        <v/>
      </c>
      <c r="P30" s="2436"/>
      <c r="Q30" s="2436"/>
      <c r="R30" s="2437"/>
      <c r="S30" s="2439" t="str">
        <f t="shared" si="14"/>
        <v/>
      </c>
      <c r="T30" s="2436"/>
      <c r="U30" s="2437"/>
      <c r="V30" s="2439" t="str">
        <f t="shared" si="15"/>
        <v/>
      </c>
      <c r="W30" s="2436"/>
      <c r="X30" s="2437"/>
      <c r="Y30" s="1536" t="str">
        <f t="shared" si="5"/>
        <v/>
      </c>
      <c r="Z30" s="2495" t="str">
        <f t="shared" si="6"/>
        <v/>
      </c>
      <c r="AA30" s="2496"/>
      <c r="AB30" s="2496"/>
      <c r="AC30" s="2497"/>
      <c r="AD30" s="441" t="str">
        <f t="shared" si="16"/>
        <v/>
      </c>
      <c r="AE30" s="492"/>
      <c r="AG30" s="353" t="str">
        <f t="shared" si="10"/>
        <v/>
      </c>
    </row>
    <row r="31" spans="1:37" ht="12.75" customHeight="1" x14ac:dyDescent="0.2">
      <c r="A31" s="622"/>
      <c r="B31" s="2437" t="str">
        <f t="shared" si="18"/>
        <v/>
      </c>
      <c r="C31" s="2498"/>
      <c r="D31" s="2498"/>
      <c r="E31" s="2439" t="str">
        <f t="shared" si="11"/>
        <v/>
      </c>
      <c r="F31" s="2436"/>
      <c r="G31" s="2436"/>
      <c r="H31" s="2437"/>
      <c r="I31" s="2439" t="str">
        <f t="shared" ca="1" si="7"/>
        <v/>
      </c>
      <c r="J31" s="2436"/>
      <c r="K31" s="2436"/>
      <c r="L31" s="2437"/>
      <c r="M31" s="2439" t="str">
        <f t="shared" si="12"/>
        <v/>
      </c>
      <c r="N31" s="2437"/>
      <c r="O31" s="2439" t="str">
        <f t="shared" si="13"/>
        <v/>
      </c>
      <c r="P31" s="2436"/>
      <c r="Q31" s="2436"/>
      <c r="R31" s="2437"/>
      <c r="S31" s="2439" t="str">
        <f t="shared" si="14"/>
        <v/>
      </c>
      <c r="T31" s="2436"/>
      <c r="U31" s="2437"/>
      <c r="V31" s="2439" t="str">
        <f t="shared" si="15"/>
        <v/>
      </c>
      <c r="W31" s="2436"/>
      <c r="X31" s="2437"/>
      <c r="Y31" s="1536" t="str">
        <f t="shared" si="5"/>
        <v/>
      </c>
      <c r="Z31" s="2495" t="str">
        <f t="shared" si="6"/>
        <v/>
      </c>
      <c r="AA31" s="2496"/>
      <c r="AB31" s="2496"/>
      <c r="AC31" s="2497"/>
      <c r="AD31" s="441" t="str">
        <f t="shared" si="16"/>
        <v/>
      </c>
      <c r="AE31" s="492"/>
      <c r="AG31" s="353" t="str">
        <f t="shared" si="10"/>
        <v/>
      </c>
    </row>
    <row r="32" spans="1:37" ht="12.75" customHeight="1" x14ac:dyDescent="0.2">
      <c r="A32" s="622"/>
      <c r="B32" s="2437" t="str">
        <f t="shared" si="18"/>
        <v/>
      </c>
      <c r="C32" s="2498"/>
      <c r="D32" s="2498"/>
      <c r="E32" s="2439" t="str">
        <f t="shared" si="11"/>
        <v/>
      </c>
      <c r="F32" s="2436"/>
      <c r="G32" s="2436"/>
      <c r="H32" s="2437"/>
      <c r="I32" s="2439" t="str">
        <f t="shared" ca="1" si="7"/>
        <v/>
      </c>
      <c r="J32" s="2436"/>
      <c r="K32" s="2436"/>
      <c r="L32" s="2437"/>
      <c r="M32" s="2439" t="str">
        <f t="shared" si="12"/>
        <v/>
      </c>
      <c r="N32" s="2437"/>
      <c r="O32" s="2439" t="str">
        <f t="shared" si="13"/>
        <v/>
      </c>
      <c r="P32" s="2436"/>
      <c r="Q32" s="2436"/>
      <c r="R32" s="2437"/>
      <c r="S32" s="2439" t="str">
        <f t="shared" si="14"/>
        <v/>
      </c>
      <c r="T32" s="2436"/>
      <c r="U32" s="2437"/>
      <c r="V32" s="2439" t="str">
        <f t="shared" si="15"/>
        <v/>
      </c>
      <c r="W32" s="2436"/>
      <c r="X32" s="2437"/>
      <c r="Y32" s="1536" t="str">
        <f t="shared" si="5"/>
        <v/>
      </c>
      <c r="Z32" s="2495" t="str">
        <f t="shared" si="6"/>
        <v/>
      </c>
      <c r="AA32" s="2496"/>
      <c r="AB32" s="2496"/>
      <c r="AC32" s="2497"/>
      <c r="AD32" s="441" t="str">
        <f t="shared" si="16"/>
        <v/>
      </c>
      <c r="AE32" s="492"/>
      <c r="AG32" s="353" t="str">
        <f t="shared" si="10"/>
        <v/>
      </c>
      <c r="AH32" s="624"/>
      <c r="AI32" s="624"/>
      <c r="AJ32" s="624"/>
      <c r="AK32" s="624"/>
    </row>
    <row r="33" spans="1:37" ht="12.75" customHeight="1" x14ac:dyDescent="0.2">
      <c r="A33" s="622"/>
      <c r="B33" s="2437" t="str">
        <f t="shared" si="18"/>
        <v/>
      </c>
      <c r="C33" s="2498"/>
      <c r="D33" s="2498"/>
      <c r="E33" s="2439" t="str">
        <f t="shared" si="11"/>
        <v/>
      </c>
      <c r="F33" s="2436"/>
      <c r="G33" s="2436"/>
      <c r="H33" s="2437"/>
      <c r="I33" s="2439" t="str">
        <f t="shared" ca="1" si="7"/>
        <v/>
      </c>
      <c r="J33" s="2436"/>
      <c r="K33" s="2436"/>
      <c r="L33" s="2437"/>
      <c r="M33" s="2439" t="str">
        <f t="shared" si="12"/>
        <v/>
      </c>
      <c r="N33" s="2437"/>
      <c r="O33" s="2439" t="str">
        <f t="shared" si="13"/>
        <v/>
      </c>
      <c r="P33" s="2436"/>
      <c r="Q33" s="2436"/>
      <c r="R33" s="2437"/>
      <c r="S33" s="2439" t="str">
        <f t="shared" si="14"/>
        <v/>
      </c>
      <c r="T33" s="2436"/>
      <c r="U33" s="2437"/>
      <c r="V33" s="2439" t="str">
        <f t="shared" si="15"/>
        <v/>
      </c>
      <c r="W33" s="2436"/>
      <c r="X33" s="2437"/>
      <c r="Y33" s="1536" t="str">
        <f t="shared" si="5"/>
        <v/>
      </c>
      <c r="Z33" s="2495" t="str">
        <f t="shared" si="6"/>
        <v/>
      </c>
      <c r="AA33" s="2496"/>
      <c r="AB33" s="2496"/>
      <c r="AC33" s="2497"/>
      <c r="AD33" s="441" t="str">
        <f t="shared" si="16"/>
        <v/>
      </c>
      <c r="AE33" s="492"/>
      <c r="AG33" s="353" t="str">
        <f t="shared" si="10"/>
        <v/>
      </c>
      <c r="AH33" s="624"/>
      <c r="AI33" s="624"/>
      <c r="AJ33" s="624"/>
      <c r="AK33" s="624"/>
    </row>
    <row r="34" spans="1:37" ht="12.75" customHeight="1" x14ac:dyDescent="0.2">
      <c r="A34" s="622"/>
      <c r="B34" s="2437" t="str">
        <f t="shared" si="18"/>
        <v/>
      </c>
      <c r="C34" s="2498"/>
      <c r="D34" s="2498"/>
      <c r="E34" s="2439" t="str">
        <f t="shared" si="11"/>
        <v/>
      </c>
      <c r="F34" s="2436"/>
      <c r="G34" s="2436"/>
      <c r="H34" s="2437"/>
      <c r="I34" s="2439" t="str">
        <f t="shared" ca="1" si="7"/>
        <v/>
      </c>
      <c r="J34" s="2436"/>
      <c r="K34" s="2436"/>
      <c r="L34" s="2437"/>
      <c r="M34" s="2439" t="str">
        <f t="shared" si="12"/>
        <v/>
      </c>
      <c r="N34" s="2437"/>
      <c r="O34" s="2439" t="str">
        <f t="shared" si="13"/>
        <v/>
      </c>
      <c r="P34" s="2436"/>
      <c r="Q34" s="2436"/>
      <c r="R34" s="2437"/>
      <c r="S34" s="2439" t="str">
        <f t="shared" si="14"/>
        <v/>
      </c>
      <c r="T34" s="2436"/>
      <c r="U34" s="2437"/>
      <c r="V34" s="2439" t="str">
        <f t="shared" si="15"/>
        <v/>
      </c>
      <c r="W34" s="2436"/>
      <c r="X34" s="2437"/>
      <c r="Y34" s="1536" t="str">
        <f t="shared" si="5"/>
        <v/>
      </c>
      <c r="Z34" s="2495" t="str">
        <f t="shared" si="6"/>
        <v/>
      </c>
      <c r="AA34" s="2496"/>
      <c r="AB34" s="2496"/>
      <c r="AC34" s="2497"/>
      <c r="AD34" s="441" t="str">
        <f t="shared" si="16"/>
        <v/>
      </c>
      <c r="AE34" s="492"/>
      <c r="AG34" s="353" t="str">
        <f t="shared" si="10"/>
        <v/>
      </c>
      <c r="AH34" s="624"/>
      <c r="AI34" s="624"/>
      <c r="AJ34" s="624"/>
      <c r="AK34" s="624"/>
    </row>
    <row r="35" spans="1:37" s="436" customFormat="1" ht="12.75" customHeight="1" x14ac:dyDescent="0.2">
      <c r="A35" s="622"/>
      <c r="B35" s="2437" t="str">
        <f t="shared" si="18"/>
        <v/>
      </c>
      <c r="C35" s="2498"/>
      <c r="D35" s="2498"/>
      <c r="E35" s="2439" t="str">
        <f t="shared" si="11"/>
        <v/>
      </c>
      <c r="F35" s="2436"/>
      <c r="G35" s="2436"/>
      <c r="H35" s="2437"/>
      <c r="I35" s="2439" t="str">
        <f t="shared" ca="1" si="7"/>
        <v/>
      </c>
      <c r="J35" s="2436"/>
      <c r="K35" s="2436"/>
      <c r="L35" s="2437"/>
      <c r="M35" s="2439" t="str">
        <f t="shared" si="12"/>
        <v/>
      </c>
      <c r="N35" s="2437"/>
      <c r="O35" s="2439" t="str">
        <f t="shared" si="13"/>
        <v/>
      </c>
      <c r="P35" s="2436"/>
      <c r="Q35" s="2436"/>
      <c r="R35" s="2437"/>
      <c r="S35" s="2439" t="str">
        <f t="shared" si="14"/>
        <v/>
      </c>
      <c r="T35" s="2436"/>
      <c r="U35" s="2437"/>
      <c r="V35" s="2439" t="str">
        <f t="shared" si="15"/>
        <v/>
      </c>
      <c r="W35" s="2436"/>
      <c r="X35" s="2437"/>
      <c r="Y35" s="1536" t="str">
        <f t="shared" si="5"/>
        <v/>
      </c>
      <c r="Z35" s="2495" t="str">
        <f t="shared" si="6"/>
        <v/>
      </c>
      <c r="AA35" s="2496"/>
      <c r="AB35" s="2496"/>
      <c r="AC35" s="2497"/>
      <c r="AD35" s="441" t="str">
        <f t="shared" si="16"/>
        <v/>
      </c>
      <c r="AE35" s="492"/>
      <c r="AF35" s="490"/>
      <c r="AG35" s="353" t="str">
        <f t="shared" si="10"/>
        <v/>
      </c>
      <c r="AH35" s="624"/>
      <c r="AI35" s="625"/>
      <c r="AJ35" s="625"/>
      <c r="AK35" s="625"/>
    </row>
    <row r="36" spans="1:37" s="436" customFormat="1" ht="12.75" hidden="1" customHeight="1" outlineLevel="1" x14ac:dyDescent="0.2">
      <c r="A36" s="622"/>
      <c r="B36" s="2437" t="str">
        <f t="shared" si="18"/>
        <v/>
      </c>
      <c r="C36" s="2498"/>
      <c r="D36" s="2498"/>
      <c r="E36" s="2439" t="str">
        <f t="shared" si="11"/>
        <v/>
      </c>
      <c r="F36" s="2436"/>
      <c r="G36" s="2436"/>
      <c r="H36" s="2437"/>
      <c r="I36" s="2439" t="str">
        <f t="shared" ca="1" si="7"/>
        <v/>
      </c>
      <c r="J36" s="2436"/>
      <c r="K36" s="2436"/>
      <c r="L36" s="2437"/>
      <c r="M36" s="2439" t="str">
        <f t="shared" si="12"/>
        <v/>
      </c>
      <c r="N36" s="2437"/>
      <c r="O36" s="2439" t="str">
        <f t="shared" si="13"/>
        <v/>
      </c>
      <c r="P36" s="2436"/>
      <c r="Q36" s="2436"/>
      <c r="R36" s="2437"/>
      <c r="S36" s="2439" t="str">
        <f t="shared" si="14"/>
        <v/>
      </c>
      <c r="T36" s="2436"/>
      <c r="U36" s="2437"/>
      <c r="V36" s="2439" t="str">
        <f t="shared" si="15"/>
        <v/>
      </c>
      <c r="W36" s="2436"/>
      <c r="X36" s="2437"/>
      <c r="Y36" s="1536" t="str">
        <f t="shared" si="5"/>
        <v/>
      </c>
      <c r="Z36" s="2495" t="str">
        <f t="shared" si="6"/>
        <v/>
      </c>
      <c r="AA36" s="2496"/>
      <c r="AB36" s="2496"/>
      <c r="AC36" s="2497"/>
      <c r="AD36" s="441" t="str">
        <f t="shared" si="16"/>
        <v/>
      </c>
      <c r="AE36" s="492"/>
      <c r="AF36" s="490"/>
      <c r="AG36" s="353" t="str">
        <f t="shared" si="10"/>
        <v/>
      </c>
      <c r="AH36" s="624"/>
      <c r="AI36" s="625"/>
      <c r="AJ36" s="625"/>
      <c r="AK36" s="625"/>
    </row>
    <row r="37" spans="1:37" s="436" customFormat="1" ht="12.75" hidden="1" customHeight="1" outlineLevel="1" x14ac:dyDescent="0.2">
      <c r="A37" s="622"/>
      <c r="B37" s="2437" t="str">
        <f t="shared" si="18"/>
        <v/>
      </c>
      <c r="C37" s="2498"/>
      <c r="D37" s="2498"/>
      <c r="E37" s="2439" t="str">
        <f t="shared" si="11"/>
        <v/>
      </c>
      <c r="F37" s="2436"/>
      <c r="G37" s="2436"/>
      <c r="H37" s="2437"/>
      <c r="I37" s="2439" t="str">
        <f t="shared" ca="1" si="7"/>
        <v/>
      </c>
      <c r="J37" s="2436"/>
      <c r="K37" s="2436"/>
      <c r="L37" s="2437"/>
      <c r="M37" s="2439" t="str">
        <f t="shared" si="12"/>
        <v/>
      </c>
      <c r="N37" s="2437"/>
      <c r="O37" s="2439" t="str">
        <f t="shared" si="13"/>
        <v/>
      </c>
      <c r="P37" s="2436"/>
      <c r="Q37" s="2436"/>
      <c r="R37" s="2437"/>
      <c r="S37" s="2439" t="str">
        <f t="shared" si="14"/>
        <v/>
      </c>
      <c r="T37" s="2436"/>
      <c r="U37" s="2437"/>
      <c r="V37" s="2439" t="str">
        <f t="shared" si="15"/>
        <v/>
      </c>
      <c r="W37" s="2436"/>
      <c r="X37" s="2437"/>
      <c r="Y37" s="1536" t="str">
        <f t="shared" si="5"/>
        <v/>
      </c>
      <c r="Z37" s="2495" t="str">
        <f t="shared" si="6"/>
        <v/>
      </c>
      <c r="AA37" s="2496"/>
      <c r="AB37" s="2496"/>
      <c r="AC37" s="2497"/>
      <c r="AD37" s="441" t="str">
        <f t="shared" si="16"/>
        <v/>
      </c>
      <c r="AE37" s="492"/>
      <c r="AF37" s="490"/>
      <c r="AG37" s="353" t="str">
        <f t="shared" si="10"/>
        <v/>
      </c>
      <c r="AH37" s="624"/>
      <c r="AI37" s="625"/>
      <c r="AJ37" s="625"/>
      <c r="AK37" s="625"/>
    </row>
    <row r="38" spans="1:37" s="436" customFormat="1" ht="12.75" hidden="1" customHeight="1" outlineLevel="1" x14ac:dyDescent="0.2">
      <c r="A38" s="622"/>
      <c r="B38" s="2437" t="str">
        <f t="shared" si="18"/>
        <v/>
      </c>
      <c r="C38" s="2498"/>
      <c r="D38" s="2498"/>
      <c r="E38" s="2439" t="str">
        <f t="shared" si="11"/>
        <v/>
      </c>
      <c r="F38" s="2436"/>
      <c r="G38" s="2436"/>
      <c r="H38" s="2437"/>
      <c r="I38" s="2439" t="str">
        <f t="shared" ca="1" si="7"/>
        <v/>
      </c>
      <c r="J38" s="2436"/>
      <c r="K38" s="2436"/>
      <c r="L38" s="2437"/>
      <c r="M38" s="2439" t="str">
        <f t="shared" si="12"/>
        <v/>
      </c>
      <c r="N38" s="2437"/>
      <c r="O38" s="2439" t="str">
        <f t="shared" si="13"/>
        <v/>
      </c>
      <c r="P38" s="2436"/>
      <c r="Q38" s="2436"/>
      <c r="R38" s="2437"/>
      <c r="S38" s="2439" t="str">
        <f t="shared" si="14"/>
        <v/>
      </c>
      <c r="T38" s="2436"/>
      <c r="U38" s="2437"/>
      <c r="V38" s="2439" t="str">
        <f t="shared" si="15"/>
        <v/>
      </c>
      <c r="W38" s="2436"/>
      <c r="X38" s="2437"/>
      <c r="Y38" s="1536" t="str">
        <f t="shared" ref="Y38:Y69" si="19">IF($B38="","",VLOOKUP($B38,ZAUBERWERTE,16,FALSE))</f>
        <v/>
      </c>
      <c r="Z38" s="2495" t="str">
        <f t="shared" ref="Z38:Z69" si="20">IF($B38="","",IF(VLOOKUP($B38,ZAUBERHELD,14,FALSE)="","",VLOOKUP($B38,ZAUBERHELD,14,FALSE)))</f>
        <v/>
      </c>
      <c r="AA38" s="2496"/>
      <c r="AB38" s="2496"/>
      <c r="AC38" s="2497"/>
      <c r="AD38" s="441" t="str">
        <f t="shared" si="16"/>
        <v/>
      </c>
      <c r="AE38" s="492"/>
      <c r="AF38" s="490"/>
      <c r="AG38" s="353" t="str">
        <f t="shared" si="10"/>
        <v/>
      </c>
      <c r="AH38" s="624"/>
      <c r="AI38" s="625"/>
      <c r="AJ38" s="625"/>
      <c r="AK38" s="625"/>
    </row>
    <row r="39" spans="1:37" s="436" customFormat="1" ht="12.75" hidden="1" customHeight="1" outlineLevel="1" x14ac:dyDescent="0.2">
      <c r="A39" s="622"/>
      <c r="B39" s="2437" t="str">
        <f t="shared" si="18"/>
        <v/>
      </c>
      <c r="C39" s="2498"/>
      <c r="D39" s="2498"/>
      <c r="E39" s="2439" t="str">
        <f t="shared" si="11"/>
        <v/>
      </c>
      <c r="F39" s="2436"/>
      <c r="G39" s="2436"/>
      <c r="H39" s="2437"/>
      <c r="I39" s="2439" t="str">
        <f t="shared" ca="1" si="7"/>
        <v/>
      </c>
      <c r="J39" s="2436"/>
      <c r="K39" s="2436"/>
      <c r="L39" s="2437"/>
      <c r="M39" s="2439" t="str">
        <f t="shared" si="12"/>
        <v/>
      </c>
      <c r="N39" s="2437"/>
      <c r="O39" s="2439" t="str">
        <f t="shared" si="13"/>
        <v/>
      </c>
      <c r="P39" s="2436"/>
      <c r="Q39" s="2436"/>
      <c r="R39" s="2437"/>
      <c r="S39" s="2439" t="str">
        <f t="shared" si="14"/>
        <v/>
      </c>
      <c r="T39" s="2436"/>
      <c r="U39" s="2437"/>
      <c r="V39" s="2439" t="str">
        <f t="shared" si="15"/>
        <v/>
      </c>
      <c r="W39" s="2436"/>
      <c r="X39" s="2437"/>
      <c r="Y39" s="1536" t="str">
        <f t="shared" si="19"/>
        <v/>
      </c>
      <c r="Z39" s="2495" t="str">
        <f t="shared" si="20"/>
        <v/>
      </c>
      <c r="AA39" s="2496"/>
      <c r="AB39" s="2496"/>
      <c r="AC39" s="2497"/>
      <c r="AD39" s="441" t="str">
        <f t="shared" si="16"/>
        <v/>
      </c>
      <c r="AE39" s="492"/>
      <c r="AF39" s="490"/>
      <c r="AG39" s="353" t="str">
        <f t="shared" si="10"/>
        <v/>
      </c>
      <c r="AH39" s="624"/>
      <c r="AI39" s="625"/>
      <c r="AJ39" s="625"/>
      <c r="AK39" s="625"/>
    </row>
    <row r="40" spans="1:37" s="436" customFormat="1" ht="12.75" hidden="1" customHeight="1" outlineLevel="1" x14ac:dyDescent="0.2">
      <c r="A40" s="622"/>
      <c r="B40" s="2437" t="str">
        <f t="shared" ref="B40:B50" si="21">IF(NOT(AG39=""),LEFT(AG39,FIND(",",AG39)-1),"")</f>
        <v/>
      </c>
      <c r="C40" s="2498"/>
      <c r="D40" s="2498"/>
      <c r="E40" s="2439" t="str">
        <f t="shared" si="11"/>
        <v/>
      </c>
      <c r="F40" s="2436"/>
      <c r="G40" s="2436"/>
      <c r="H40" s="2437"/>
      <c r="I40" s="2439" t="str">
        <f t="shared" ca="1" si="7"/>
        <v/>
      </c>
      <c r="J40" s="2436"/>
      <c r="K40" s="2436"/>
      <c r="L40" s="2437"/>
      <c r="M40" s="2439" t="str">
        <f t="shared" si="12"/>
        <v/>
      </c>
      <c r="N40" s="2437"/>
      <c r="O40" s="2439" t="str">
        <f t="shared" si="13"/>
        <v/>
      </c>
      <c r="P40" s="2436"/>
      <c r="Q40" s="2436"/>
      <c r="R40" s="2437"/>
      <c r="S40" s="2439" t="str">
        <f t="shared" si="14"/>
        <v/>
      </c>
      <c r="T40" s="2436"/>
      <c r="U40" s="2437"/>
      <c r="V40" s="2439" t="str">
        <f t="shared" si="15"/>
        <v/>
      </c>
      <c r="W40" s="2436"/>
      <c r="X40" s="2437"/>
      <c r="Y40" s="1536" t="str">
        <f t="shared" si="19"/>
        <v/>
      </c>
      <c r="Z40" s="2495" t="str">
        <f t="shared" si="20"/>
        <v/>
      </c>
      <c r="AA40" s="2496"/>
      <c r="AB40" s="2496"/>
      <c r="AC40" s="2497"/>
      <c r="AD40" s="441" t="str">
        <f t="shared" si="16"/>
        <v/>
      </c>
      <c r="AE40" s="492"/>
      <c r="AF40" s="490"/>
      <c r="AG40" s="353" t="str">
        <f t="shared" si="10"/>
        <v/>
      </c>
      <c r="AH40" s="624"/>
      <c r="AI40" s="625"/>
      <c r="AJ40" s="625"/>
      <c r="AK40" s="625"/>
    </row>
    <row r="41" spans="1:37" s="436" customFormat="1" ht="12.75" hidden="1" customHeight="1" outlineLevel="1" x14ac:dyDescent="0.2">
      <c r="A41" s="622"/>
      <c r="B41" s="2437" t="str">
        <f t="shared" si="21"/>
        <v/>
      </c>
      <c r="C41" s="2498"/>
      <c r="D41" s="2498"/>
      <c r="E41" s="2439" t="str">
        <f t="shared" si="11"/>
        <v/>
      </c>
      <c r="F41" s="2436"/>
      <c r="G41" s="2436"/>
      <c r="H41" s="2437"/>
      <c r="I41" s="2439" t="str">
        <f t="shared" ca="1" si="7"/>
        <v/>
      </c>
      <c r="J41" s="2436"/>
      <c r="K41" s="2436"/>
      <c r="L41" s="2437"/>
      <c r="M41" s="2439" t="str">
        <f t="shared" si="12"/>
        <v/>
      </c>
      <c r="N41" s="2437"/>
      <c r="O41" s="2439" t="str">
        <f t="shared" si="13"/>
        <v/>
      </c>
      <c r="P41" s="2436"/>
      <c r="Q41" s="2436"/>
      <c r="R41" s="2437"/>
      <c r="S41" s="2439" t="str">
        <f t="shared" si="14"/>
        <v/>
      </c>
      <c r="T41" s="2436"/>
      <c r="U41" s="2437"/>
      <c r="V41" s="2439" t="str">
        <f t="shared" si="15"/>
        <v/>
      </c>
      <c r="W41" s="2436"/>
      <c r="X41" s="2437"/>
      <c r="Y41" s="1536" t="str">
        <f t="shared" si="19"/>
        <v/>
      </c>
      <c r="Z41" s="2495" t="str">
        <f t="shared" si="20"/>
        <v/>
      </c>
      <c r="AA41" s="2496"/>
      <c r="AB41" s="2496"/>
      <c r="AC41" s="2497"/>
      <c r="AD41" s="441" t="str">
        <f t="shared" si="16"/>
        <v/>
      </c>
      <c r="AE41" s="492"/>
      <c r="AF41" s="490"/>
      <c r="AG41" s="353" t="str">
        <f t="shared" si="10"/>
        <v/>
      </c>
      <c r="AH41" s="624"/>
      <c r="AI41" s="625"/>
      <c r="AJ41" s="625"/>
      <c r="AK41" s="625"/>
    </row>
    <row r="42" spans="1:37" s="436" customFormat="1" ht="12.75" hidden="1" customHeight="1" outlineLevel="1" x14ac:dyDescent="0.2">
      <c r="A42" s="622"/>
      <c r="B42" s="2437" t="str">
        <f t="shared" si="21"/>
        <v/>
      </c>
      <c r="C42" s="2498"/>
      <c r="D42" s="2498"/>
      <c r="E42" s="2439" t="str">
        <f t="shared" si="11"/>
        <v/>
      </c>
      <c r="F42" s="2436"/>
      <c r="G42" s="2436"/>
      <c r="H42" s="2437"/>
      <c r="I42" s="2439" t="str">
        <f t="shared" ca="1" si="7"/>
        <v/>
      </c>
      <c r="J42" s="2436"/>
      <c r="K42" s="2436"/>
      <c r="L42" s="2437"/>
      <c r="M42" s="2439" t="str">
        <f t="shared" si="12"/>
        <v/>
      </c>
      <c r="N42" s="2437"/>
      <c r="O42" s="2439" t="str">
        <f t="shared" si="13"/>
        <v/>
      </c>
      <c r="P42" s="2436"/>
      <c r="Q42" s="2436"/>
      <c r="R42" s="2437"/>
      <c r="S42" s="2439" t="str">
        <f t="shared" si="14"/>
        <v/>
      </c>
      <c r="T42" s="2436"/>
      <c r="U42" s="2437"/>
      <c r="V42" s="2439" t="str">
        <f t="shared" si="15"/>
        <v/>
      </c>
      <c r="W42" s="2436"/>
      <c r="X42" s="2437"/>
      <c r="Y42" s="1536" t="str">
        <f t="shared" si="19"/>
        <v/>
      </c>
      <c r="Z42" s="2495" t="str">
        <f t="shared" si="20"/>
        <v/>
      </c>
      <c r="AA42" s="2496"/>
      <c r="AB42" s="2496"/>
      <c r="AC42" s="2497"/>
      <c r="AD42" s="441" t="str">
        <f t="shared" si="16"/>
        <v/>
      </c>
      <c r="AE42" s="492"/>
      <c r="AF42" s="490"/>
      <c r="AG42" s="353" t="str">
        <f t="shared" si="10"/>
        <v/>
      </c>
      <c r="AH42" s="624"/>
      <c r="AI42" s="625"/>
      <c r="AJ42" s="625"/>
      <c r="AK42" s="625"/>
    </row>
    <row r="43" spans="1:37" s="436" customFormat="1" ht="12.75" hidden="1" customHeight="1" outlineLevel="1" x14ac:dyDescent="0.2">
      <c r="A43" s="622"/>
      <c r="B43" s="2437" t="str">
        <f t="shared" si="21"/>
        <v/>
      </c>
      <c r="C43" s="2498"/>
      <c r="D43" s="2498"/>
      <c r="E43" s="2439" t="str">
        <f t="shared" si="11"/>
        <v/>
      </c>
      <c r="F43" s="2436"/>
      <c r="G43" s="2436"/>
      <c r="H43" s="2437"/>
      <c r="I43" s="2439" t="str">
        <f t="shared" ca="1" si="7"/>
        <v/>
      </c>
      <c r="J43" s="2436"/>
      <c r="K43" s="2436"/>
      <c r="L43" s="2437"/>
      <c r="M43" s="2439" t="str">
        <f t="shared" si="12"/>
        <v/>
      </c>
      <c r="N43" s="2437"/>
      <c r="O43" s="2439" t="str">
        <f t="shared" si="13"/>
        <v/>
      </c>
      <c r="P43" s="2436"/>
      <c r="Q43" s="2436"/>
      <c r="R43" s="2437"/>
      <c r="S43" s="2439" t="str">
        <f t="shared" si="14"/>
        <v/>
      </c>
      <c r="T43" s="2436"/>
      <c r="U43" s="2437"/>
      <c r="V43" s="2439" t="str">
        <f t="shared" si="15"/>
        <v/>
      </c>
      <c r="W43" s="2436"/>
      <c r="X43" s="2437"/>
      <c r="Y43" s="1536" t="str">
        <f t="shared" si="19"/>
        <v/>
      </c>
      <c r="Z43" s="2495" t="str">
        <f t="shared" si="20"/>
        <v/>
      </c>
      <c r="AA43" s="2496"/>
      <c r="AB43" s="2496"/>
      <c r="AC43" s="2497"/>
      <c r="AD43" s="441" t="str">
        <f t="shared" si="16"/>
        <v/>
      </c>
      <c r="AE43" s="492"/>
      <c r="AF43" s="490"/>
      <c r="AG43" s="353" t="str">
        <f t="shared" si="10"/>
        <v/>
      </c>
      <c r="AH43" s="624"/>
      <c r="AI43" s="625"/>
      <c r="AJ43" s="625"/>
      <c r="AK43" s="625"/>
    </row>
    <row r="44" spans="1:37" s="436" customFormat="1" ht="12.75" hidden="1" customHeight="1" outlineLevel="1" x14ac:dyDescent="0.2">
      <c r="A44" s="622"/>
      <c r="B44" s="2437" t="str">
        <f t="shared" si="21"/>
        <v/>
      </c>
      <c r="C44" s="2498"/>
      <c r="D44" s="2498"/>
      <c r="E44" s="2439" t="str">
        <f t="shared" si="11"/>
        <v/>
      </c>
      <c r="F44" s="2436"/>
      <c r="G44" s="2436"/>
      <c r="H44" s="2437"/>
      <c r="I44" s="2439" t="str">
        <f t="shared" ca="1" si="7"/>
        <v/>
      </c>
      <c r="J44" s="2436"/>
      <c r="K44" s="2436"/>
      <c r="L44" s="2437"/>
      <c r="M44" s="2439" t="str">
        <f t="shared" si="12"/>
        <v/>
      </c>
      <c r="N44" s="2437"/>
      <c r="O44" s="2439" t="str">
        <f t="shared" si="13"/>
        <v/>
      </c>
      <c r="P44" s="2436"/>
      <c r="Q44" s="2436"/>
      <c r="R44" s="2437"/>
      <c r="S44" s="2439" t="str">
        <f t="shared" si="14"/>
        <v/>
      </c>
      <c r="T44" s="2436"/>
      <c r="U44" s="2437"/>
      <c r="V44" s="2439" t="str">
        <f t="shared" si="15"/>
        <v/>
      </c>
      <c r="W44" s="2436"/>
      <c r="X44" s="2437"/>
      <c r="Y44" s="1536" t="str">
        <f t="shared" si="19"/>
        <v/>
      </c>
      <c r="Z44" s="2495" t="str">
        <f t="shared" si="20"/>
        <v/>
      </c>
      <c r="AA44" s="2496"/>
      <c r="AB44" s="2496"/>
      <c r="AC44" s="2497"/>
      <c r="AD44" s="441" t="str">
        <f t="shared" si="16"/>
        <v/>
      </c>
      <c r="AE44" s="492"/>
      <c r="AF44" s="490"/>
      <c r="AG44" s="353" t="str">
        <f t="shared" si="10"/>
        <v/>
      </c>
      <c r="AH44" s="624"/>
      <c r="AI44" s="625"/>
      <c r="AJ44" s="625"/>
      <c r="AK44" s="625"/>
    </row>
    <row r="45" spans="1:37" s="436" customFormat="1" ht="12.75" hidden="1" customHeight="1" outlineLevel="1" x14ac:dyDescent="0.2">
      <c r="A45" s="622"/>
      <c r="B45" s="2437" t="str">
        <f t="shared" si="21"/>
        <v/>
      </c>
      <c r="C45" s="2498"/>
      <c r="D45" s="2498"/>
      <c r="E45" s="2439" t="str">
        <f t="shared" si="11"/>
        <v/>
      </c>
      <c r="F45" s="2436"/>
      <c r="G45" s="2436"/>
      <c r="H45" s="2437"/>
      <c r="I45" s="2439" t="str">
        <f t="shared" ca="1" si="7"/>
        <v/>
      </c>
      <c r="J45" s="2436"/>
      <c r="K45" s="2436"/>
      <c r="L45" s="2437"/>
      <c r="M45" s="2439" t="str">
        <f t="shared" si="12"/>
        <v/>
      </c>
      <c r="N45" s="2437"/>
      <c r="O45" s="2439" t="str">
        <f t="shared" si="13"/>
        <v/>
      </c>
      <c r="P45" s="2436"/>
      <c r="Q45" s="2436"/>
      <c r="R45" s="2437"/>
      <c r="S45" s="2439" t="str">
        <f t="shared" si="14"/>
        <v/>
      </c>
      <c r="T45" s="2436"/>
      <c r="U45" s="2437"/>
      <c r="V45" s="2439" t="str">
        <f t="shared" si="15"/>
        <v/>
      </c>
      <c r="W45" s="2436"/>
      <c r="X45" s="2437"/>
      <c r="Y45" s="1536" t="str">
        <f t="shared" si="19"/>
        <v/>
      </c>
      <c r="Z45" s="2495" t="str">
        <f t="shared" si="20"/>
        <v/>
      </c>
      <c r="AA45" s="2496"/>
      <c r="AB45" s="2496"/>
      <c r="AC45" s="2497"/>
      <c r="AD45" s="441" t="str">
        <f t="shared" si="16"/>
        <v/>
      </c>
      <c r="AE45" s="492"/>
      <c r="AF45" s="490"/>
      <c r="AG45" s="353" t="str">
        <f t="shared" si="10"/>
        <v/>
      </c>
      <c r="AH45" s="624"/>
      <c r="AI45" s="625"/>
      <c r="AJ45" s="625"/>
      <c r="AK45" s="625"/>
    </row>
    <row r="46" spans="1:37" s="436" customFormat="1" ht="12.75" hidden="1" customHeight="1" outlineLevel="1" x14ac:dyDescent="0.2">
      <c r="A46" s="622"/>
      <c r="B46" s="2437" t="str">
        <f t="shared" si="21"/>
        <v/>
      </c>
      <c r="C46" s="2498"/>
      <c r="D46" s="2498"/>
      <c r="E46" s="2439" t="str">
        <f t="shared" si="11"/>
        <v/>
      </c>
      <c r="F46" s="2436"/>
      <c r="G46" s="2436"/>
      <c r="H46" s="2437"/>
      <c r="I46" s="2439" t="str">
        <f t="shared" ca="1" si="7"/>
        <v/>
      </c>
      <c r="J46" s="2436"/>
      <c r="K46" s="2436"/>
      <c r="L46" s="2437"/>
      <c r="M46" s="2439" t="str">
        <f t="shared" si="12"/>
        <v/>
      </c>
      <c r="N46" s="2437"/>
      <c r="O46" s="2439" t="str">
        <f t="shared" si="13"/>
        <v/>
      </c>
      <c r="P46" s="2436"/>
      <c r="Q46" s="2436"/>
      <c r="R46" s="2437"/>
      <c r="S46" s="2439" t="str">
        <f t="shared" si="14"/>
        <v/>
      </c>
      <c r="T46" s="2436"/>
      <c r="U46" s="2437"/>
      <c r="V46" s="2439" t="str">
        <f t="shared" si="15"/>
        <v/>
      </c>
      <c r="W46" s="2436"/>
      <c r="X46" s="2437"/>
      <c r="Y46" s="1536" t="str">
        <f t="shared" si="19"/>
        <v/>
      </c>
      <c r="Z46" s="2495" t="str">
        <f t="shared" si="20"/>
        <v/>
      </c>
      <c r="AA46" s="2496"/>
      <c r="AB46" s="2496"/>
      <c r="AC46" s="2497"/>
      <c r="AD46" s="441" t="str">
        <f t="shared" si="16"/>
        <v/>
      </c>
      <c r="AE46" s="492"/>
      <c r="AF46" s="490"/>
      <c r="AG46" s="353" t="str">
        <f t="shared" si="10"/>
        <v/>
      </c>
      <c r="AH46" s="624"/>
      <c r="AI46" s="625"/>
      <c r="AJ46" s="625"/>
      <c r="AK46" s="625"/>
    </row>
    <row r="47" spans="1:37" s="436" customFormat="1" ht="12.75" hidden="1" customHeight="1" outlineLevel="1" x14ac:dyDescent="0.2">
      <c r="A47" s="622"/>
      <c r="B47" s="2437" t="str">
        <f t="shared" si="21"/>
        <v/>
      </c>
      <c r="C47" s="2498"/>
      <c r="D47" s="2498"/>
      <c r="E47" s="2439" t="str">
        <f t="shared" si="11"/>
        <v/>
      </c>
      <c r="F47" s="2436"/>
      <c r="G47" s="2436"/>
      <c r="H47" s="2437"/>
      <c r="I47" s="2439" t="str">
        <f t="shared" ca="1" si="7"/>
        <v/>
      </c>
      <c r="J47" s="2436"/>
      <c r="K47" s="2436"/>
      <c r="L47" s="2437"/>
      <c r="M47" s="2439" t="str">
        <f t="shared" si="12"/>
        <v/>
      </c>
      <c r="N47" s="2437"/>
      <c r="O47" s="2439" t="str">
        <f t="shared" si="13"/>
        <v/>
      </c>
      <c r="P47" s="2436"/>
      <c r="Q47" s="2436"/>
      <c r="R47" s="2437"/>
      <c r="S47" s="2439" t="str">
        <f t="shared" si="14"/>
        <v/>
      </c>
      <c r="T47" s="2436"/>
      <c r="U47" s="2437"/>
      <c r="V47" s="2439" t="str">
        <f t="shared" si="15"/>
        <v/>
      </c>
      <c r="W47" s="2436"/>
      <c r="X47" s="2437"/>
      <c r="Y47" s="1536" t="str">
        <f t="shared" si="19"/>
        <v/>
      </c>
      <c r="Z47" s="2495" t="str">
        <f t="shared" si="20"/>
        <v/>
      </c>
      <c r="AA47" s="2496"/>
      <c r="AB47" s="2496"/>
      <c r="AC47" s="2497"/>
      <c r="AD47" s="441" t="str">
        <f t="shared" si="16"/>
        <v/>
      </c>
      <c r="AE47" s="492"/>
      <c r="AF47" s="490"/>
      <c r="AG47" s="353" t="str">
        <f t="shared" si="10"/>
        <v/>
      </c>
      <c r="AH47" s="624"/>
      <c r="AI47" s="625"/>
      <c r="AJ47" s="625"/>
      <c r="AK47" s="625"/>
    </row>
    <row r="48" spans="1:37" s="436" customFormat="1" ht="12.75" hidden="1" customHeight="1" outlineLevel="1" x14ac:dyDescent="0.2">
      <c r="A48" s="622"/>
      <c r="B48" s="2437" t="str">
        <f t="shared" si="21"/>
        <v/>
      </c>
      <c r="C48" s="2498"/>
      <c r="D48" s="2498"/>
      <c r="E48" s="2439" t="str">
        <f t="shared" si="11"/>
        <v/>
      </c>
      <c r="F48" s="2436"/>
      <c r="G48" s="2436"/>
      <c r="H48" s="2437"/>
      <c r="I48" s="2439" t="str">
        <f t="shared" ca="1" si="7"/>
        <v/>
      </c>
      <c r="J48" s="2436"/>
      <c r="K48" s="2436"/>
      <c r="L48" s="2437"/>
      <c r="M48" s="2439" t="str">
        <f t="shared" si="12"/>
        <v/>
      </c>
      <c r="N48" s="2437"/>
      <c r="O48" s="2439" t="str">
        <f t="shared" si="13"/>
        <v/>
      </c>
      <c r="P48" s="2436"/>
      <c r="Q48" s="2436"/>
      <c r="R48" s="2437"/>
      <c r="S48" s="2439" t="str">
        <f t="shared" si="14"/>
        <v/>
      </c>
      <c r="T48" s="2436"/>
      <c r="U48" s="2437"/>
      <c r="V48" s="2439" t="str">
        <f t="shared" si="15"/>
        <v/>
      </c>
      <c r="W48" s="2436"/>
      <c r="X48" s="2437"/>
      <c r="Y48" s="1536" t="str">
        <f t="shared" si="19"/>
        <v/>
      </c>
      <c r="Z48" s="2495" t="str">
        <f t="shared" si="20"/>
        <v/>
      </c>
      <c r="AA48" s="2496"/>
      <c r="AB48" s="2496"/>
      <c r="AC48" s="2497"/>
      <c r="AD48" s="441" t="str">
        <f t="shared" si="16"/>
        <v/>
      </c>
      <c r="AE48" s="492"/>
      <c r="AF48" s="490"/>
      <c r="AG48" s="353" t="str">
        <f t="shared" si="10"/>
        <v/>
      </c>
      <c r="AH48" s="624"/>
      <c r="AI48" s="625"/>
      <c r="AJ48" s="625"/>
      <c r="AK48" s="625"/>
    </row>
    <row r="49" spans="1:37" s="436" customFormat="1" ht="12.75" hidden="1" customHeight="1" outlineLevel="1" x14ac:dyDescent="0.2">
      <c r="A49" s="622"/>
      <c r="B49" s="2437" t="str">
        <f t="shared" si="21"/>
        <v/>
      </c>
      <c r="C49" s="2498"/>
      <c r="D49" s="2498"/>
      <c r="E49" s="2439" t="str">
        <f t="shared" si="11"/>
        <v/>
      </c>
      <c r="F49" s="2436"/>
      <c r="G49" s="2436"/>
      <c r="H49" s="2437"/>
      <c r="I49" s="2439" t="str">
        <f t="shared" ca="1" si="7"/>
        <v/>
      </c>
      <c r="J49" s="2436"/>
      <c r="K49" s="2436"/>
      <c r="L49" s="2437"/>
      <c r="M49" s="2439" t="str">
        <f t="shared" si="12"/>
        <v/>
      </c>
      <c r="N49" s="2437"/>
      <c r="O49" s="2439" t="str">
        <f t="shared" si="13"/>
        <v/>
      </c>
      <c r="P49" s="2436"/>
      <c r="Q49" s="2436"/>
      <c r="R49" s="2437"/>
      <c r="S49" s="2439" t="str">
        <f t="shared" si="14"/>
        <v/>
      </c>
      <c r="T49" s="2436"/>
      <c r="U49" s="2437"/>
      <c r="V49" s="2439" t="str">
        <f t="shared" si="15"/>
        <v/>
      </c>
      <c r="W49" s="2436"/>
      <c r="X49" s="2437"/>
      <c r="Y49" s="1536" t="str">
        <f t="shared" si="19"/>
        <v/>
      </c>
      <c r="Z49" s="2495" t="str">
        <f t="shared" si="20"/>
        <v/>
      </c>
      <c r="AA49" s="2496"/>
      <c r="AB49" s="2496"/>
      <c r="AC49" s="2497"/>
      <c r="AD49" s="441" t="str">
        <f t="shared" si="16"/>
        <v/>
      </c>
      <c r="AE49" s="492"/>
      <c r="AF49" s="490"/>
      <c r="AG49" s="353" t="str">
        <f t="shared" si="10"/>
        <v/>
      </c>
      <c r="AH49" s="624"/>
      <c r="AI49" s="625"/>
      <c r="AJ49" s="625"/>
      <c r="AK49" s="625"/>
    </row>
    <row r="50" spans="1:37" s="436" customFormat="1" ht="12.75" hidden="1" customHeight="1" outlineLevel="1" x14ac:dyDescent="0.2">
      <c r="A50" s="622"/>
      <c r="B50" s="2437" t="str">
        <f t="shared" si="21"/>
        <v/>
      </c>
      <c r="C50" s="2498"/>
      <c r="D50" s="2498"/>
      <c r="E50" s="2439" t="str">
        <f t="shared" si="11"/>
        <v/>
      </c>
      <c r="F50" s="2436"/>
      <c r="G50" s="2436"/>
      <c r="H50" s="2437"/>
      <c r="I50" s="2439" t="str">
        <f t="shared" ca="1" si="7"/>
        <v/>
      </c>
      <c r="J50" s="2436"/>
      <c r="K50" s="2436"/>
      <c r="L50" s="2437"/>
      <c r="M50" s="2439" t="str">
        <f t="shared" si="12"/>
        <v/>
      </c>
      <c r="N50" s="2437"/>
      <c r="O50" s="2439" t="str">
        <f t="shared" si="13"/>
        <v/>
      </c>
      <c r="P50" s="2436"/>
      <c r="Q50" s="2436"/>
      <c r="R50" s="2437"/>
      <c r="S50" s="2439" t="str">
        <f t="shared" si="14"/>
        <v/>
      </c>
      <c r="T50" s="2436"/>
      <c r="U50" s="2437"/>
      <c r="V50" s="2439" t="str">
        <f t="shared" si="15"/>
        <v/>
      </c>
      <c r="W50" s="2436"/>
      <c r="X50" s="2437"/>
      <c r="Y50" s="1536" t="str">
        <f t="shared" si="19"/>
        <v/>
      </c>
      <c r="Z50" s="2495" t="str">
        <f t="shared" si="20"/>
        <v/>
      </c>
      <c r="AA50" s="2496"/>
      <c r="AB50" s="2496"/>
      <c r="AC50" s="2497"/>
      <c r="AD50" s="441" t="str">
        <f t="shared" si="16"/>
        <v/>
      </c>
      <c r="AE50" s="492"/>
      <c r="AF50" s="490"/>
      <c r="AG50" s="353" t="str">
        <f t="shared" si="10"/>
        <v/>
      </c>
      <c r="AH50" s="624"/>
      <c r="AI50" s="625"/>
      <c r="AJ50" s="625"/>
      <c r="AK50" s="625"/>
    </row>
    <row r="51" spans="1:37" s="436" customFormat="1" ht="12.75" hidden="1" customHeight="1" outlineLevel="1" x14ac:dyDescent="0.2">
      <c r="A51" s="622"/>
      <c r="B51" s="2437" t="str">
        <f t="shared" ref="B51:B70" si="22">IF(NOT(AG50=""),LEFT(AG50,FIND(",",AG50)-1),"")</f>
        <v/>
      </c>
      <c r="C51" s="2498"/>
      <c r="D51" s="2498"/>
      <c r="E51" s="2439" t="str">
        <f t="shared" si="11"/>
        <v/>
      </c>
      <c r="F51" s="2436"/>
      <c r="G51" s="2436"/>
      <c r="H51" s="2437"/>
      <c r="I51" s="2439" t="str">
        <f t="shared" ca="1" si="7"/>
        <v/>
      </c>
      <c r="J51" s="2436"/>
      <c r="K51" s="2436"/>
      <c r="L51" s="2437"/>
      <c r="M51" s="2439" t="str">
        <f t="shared" si="12"/>
        <v/>
      </c>
      <c r="N51" s="2437"/>
      <c r="O51" s="2439" t="str">
        <f t="shared" si="13"/>
        <v/>
      </c>
      <c r="P51" s="2436"/>
      <c r="Q51" s="2436"/>
      <c r="R51" s="2437"/>
      <c r="S51" s="2439" t="str">
        <f t="shared" si="14"/>
        <v/>
      </c>
      <c r="T51" s="2436"/>
      <c r="U51" s="2437"/>
      <c r="V51" s="2439" t="str">
        <f t="shared" si="15"/>
        <v/>
      </c>
      <c r="W51" s="2436"/>
      <c r="X51" s="2437"/>
      <c r="Y51" s="1536" t="str">
        <f t="shared" si="19"/>
        <v/>
      </c>
      <c r="Z51" s="2495" t="str">
        <f t="shared" si="20"/>
        <v/>
      </c>
      <c r="AA51" s="2496"/>
      <c r="AB51" s="2496"/>
      <c r="AC51" s="2497"/>
      <c r="AD51" s="441" t="str">
        <f t="shared" si="16"/>
        <v/>
      </c>
      <c r="AE51" s="492"/>
      <c r="AF51" s="490"/>
      <c r="AG51" s="353" t="str">
        <f t="shared" ref="AG51:AG75" si="23">IF(NOT(AG50=""),RIGHT(AG50,LEN(AG50)-LEN(B51)-1),"")</f>
        <v/>
      </c>
      <c r="AH51" s="624"/>
      <c r="AI51" s="625"/>
      <c r="AJ51" s="625"/>
      <c r="AK51" s="625"/>
    </row>
    <row r="52" spans="1:37" s="436" customFormat="1" ht="12.75" hidden="1" customHeight="1" outlineLevel="1" x14ac:dyDescent="0.2">
      <c r="A52" s="622"/>
      <c r="B52" s="2437" t="str">
        <f t="shared" si="22"/>
        <v/>
      </c>
      <c r="C52" s="2498"/>
      <c r="D52" s="2498"/>
      <c r="E52" s="2439" t="str">
        <f t="shared" si="11"/>
        <v/>
      </c>
      <c r="F52" s="2436"/>
      <c r="G52" s="2436"/>
      <c r="H52" s="2437"/>
      <c r="I52" s="2439" t="str">
        <f t="shared" ca="1" si="7"/>
        <v/>
      </c>
      <c r="J52" s="2436"/>
      <c r="K52" s="2436"/>
      <c r="L52" s="2437"/>
      <c r="M52" s="2439" t="str">
        <f t="shared" si="12"/>
        <v/>
      </c>
      <c r="N52" s="2437"/>
      <c r="O52" s="2439" t="str">
        <f t="shared" si="13"/>
        <v/>
      </c>
      <c r="P52" s="2436"/>
      <c r="Q52" s="2436"/>
      <c r="R52" s="2437"/>
      <c r="S52" s="2439" t="str">
        <f t="shared" si="14"/>
        <v/>
      </c>
      <c r="T52" s="2436"/>
      <c r="U52" s="2437"/>
      <c r="V52" s="2439" t="str">
        <f t="shared" si="15"/>
        <v/>
      </c>
      <c r="W52" s="2436"/>
      <c r="X52" s="2437"/>
      <c r="Y52" s="1536" t="str">
        <f t="shared" si="19"/>
        <v/>
      </c>
      <c r="Z52" s="2495" t="str">
        <f t="shared" si="20"/>
        <v/>
      </c>
      <c r="AA52" s="2496"/>
      <c r="AB52" s="2496"/>
      <c r="AC52" s="2497"/>
      <c r="AD52" s="441" t="str">
        <f t="shared" si="16"/>
        <v/>
      </c>
      <c r="AE52" s="492"/>
      <c r="AF52" s="490"/>
      <c r="AG52" s="353" t="str">
        <f t="shared" si="23"/>
        <v/>
      </c>
      <c r="AH52" s="624"/>
      <c r="AI52" s="625"/>
      <c r="AJ52" s="625"/>
      <c r="AK52" s="625"/>
    </row>
    <row r="53" spans="1:37" s="436" customFormat="1" ht="12.75" hidden="1" customHeight="1" outlineLevel="1" x14ac:dyDescent="0.2">
      <c r="A53" s="622"/>
      <c r="B53" s="2437" t="str">
        <f t="shared" si="22"/>
        <v/>
      </c>
      <c r="C53" s="2498"/>
      <c r="D53" s="2498"/>
      <c r="E53" s="2439" t="str">
        <f t="shared" si="11"/>
        <v/>
      </c>
      <c r="F53" s="2436"/>
      <c r="G53" s="2436"/>
      <c r="H53" s="2437"/>
      <c r="I53" s="2439" t="str">
        <f t="shared" ca="1" si="7"/>
        <v/>
      </c>
      <c r="J53" s="2436"/>
      <c r="K53" s="2436"/>
      <c r="L53" s="2437"/>
      <c r="M53" s="2439" t="str">
        <f t="shared" si="12"/>
        <v/>
      </c>
      <c r="N53" s="2437"/>
      <c r="O53" s="2439" t="str">
        <f t="shared" si="13"/>
        <v/>
      </c>
      <c r="P53" s="2436"/>
      <c r="Q53" s="2436"/>
      <c r="R53" s="2437"/>
      <c r="S53" s="2439" t="str">
        <f t="shared" si="14"/>
        <v/>
      </c>
      <c r="T53" s="2436"/>
      <c r="U53" s="2437"/>
      <c r="V53" s="2439" t="str">
        <f t="shared" si="15"/>
        <v/>
      </c>
      <c r="W53" s="2436"/>
      <c r="X53" s="2437"/>
      <c r="Y53" s="1536" t="str">
        <f t="shared" si="19"/>
        <v/>
      </c>
      <c r="Z53" s="2495" t="str">
        <f t="shared" si="20"/>
        <v/>
      </c>
      <c r="AA53" s="2496"/>
      <c r="AB53" s="2496"/>
      <c r="AC53" s="2497"/>
      <c r="AD53" s="441" t="str">
        <f t="shared" si="16"/>
        <v/>
      </c>
      <c r="AE53" s="492"/>
      <c r="AF53" s="490"/>
      <c r="AG53" s="353" t="str">
        <f t="shared" si="23"/>
        <v/>
      </c>
      <c r="AH53" s="624"/>
      <c r="AI53" s="625"/>
      <c r="AJ53" s="625"/>
      <c r="AK53" s="625"/>
    </row>
    <row r="54" spans="1:37" s="436" customFormat="1" ht="12.75" hidden="1" customHeight="1" outlineLevel="1" x14ac:dyDescent="0.2">
      <c r="A54" s="622"/>
      <c r="B54" s="2437" t="str">
        <f t="shared" si="22"/>
        <v/>
      </c>
      <c r="C54" s="2498"/>
      <c r="D54" s="2498"/>
      <c r="E54" s="2439" t="str">
        <f t="shared" si="11"/>
        <v/>
      </c>
      <c r="F54" s="2436"/>
      <c r="G54" s="2436"/>
      <c r="H54" s="2437"/>
      <c r="I54" s="2439" t="str">
        <f t="shared" ca="1" si="7"/>
        <v/>
      </c>
      <c r="J54" s="2436"/>
      <c r="K54" s="2436"/>
      <c r="L54" s="2437"/>
      <c r="M54" s="2439" t="str">
        <f t="shared" si="12"/>
        <v/>
      </c>
      <c r="N54" s="2437"/>
      <c r="O54" s="2439" t="str">
        <f t="shared" si="13"/>
        <v/>
      </c>
      <c r="P54" s="2436"/>
      <c r="Q54" s="2436"/>
      <c r="R54" s="2437"/>
      <c r="S54" s="2439" t="str">
        <f t="shared" si="14"/>
        <v/>
      </c>
      <c r="T54" s="2436"/>
      <c r="U54" s="2437"/>
      <c r="V54" s="2439" t="str">
        <f t="shared" si="15"/>
        <v/>
      </c>
      <c r="W54" s="2436"/>
      <c r="X54" s="2437"/>
      <c r="Y54" s="1536" t="str">
        <f t="shared" si="19"/>
        <v/>
      </c>
      <c r="Z54" s="2495" t="str">
        <f t="shared" si="20"/>
        <v/>
      </c>
      <c r="AA54" s="2496"/>
      <c r="AB54" s="2496"/>
      <c r="AC54" s="2497"/>
      <c r="AD54" s="441" t="str">
        <f t="shared" si="16"/>
        <v/>
      </c>
      <c r="AE54" s="492"/>
      <c r="AF54" s="490"/>
      <c r="AG54" s="353" t="str">
        <f t="shared" si="23"/>
        <v/>
      </c>
      <c r="AH54" s="624"/>
      <c r="AI54" s="625"/>
      <c r="AJ54" s="625"/>
      <c r="AK54" s="625"/>
    </row>
    <row r="55" spans="1:37" s="436" customFormat="1" ht="12.75" hidden="1" customHeight="1" outlineLevel="1" x14ac:dyDescent="0.2">
      <c r="A55" s="622"/>
      <c r="B55" s="2437" t="str">
        <f t="shared" si="22"/>
        <v/>
      </c>
      <c r="C55" s="2498"/>
      <c r="D55" s="2498"/>
      <c r="E55" s="2439" t="str">
        <f t="shared" si="11"/>
        <v/>
      </c>
      <c r="F55" s="2436"/>
      <c r="G55" s="2436"/>
      <c r="H55" s="2437"/>
      <c r="I55" s="2439" t="str">
        <f t="shared" ca="1" si="7"/>
        <v/>
      </c>
      <c r="J55" s="2436"/>
      <c r="K55" s="2436"/>
      <c r="L55" s="2437"/>
      <c r="M55" s="2439" t="str">
        <f t="shared" si="12"/>
        <v/>
      </c>
      <c r="N55" s="2437"/>
      <c r="O55" s="2439" t="str">
        <f t="shared" si="13"/>
        <v/>
      </c>
      <c r="P55" s="2436"/>
      <c r="Q55" s="2436"/>
      <c r="R55" s="2437"/>
      <c r="S55" s="2439" t="str">
        <f t="shared" si="14"/>
        <v/>
      </c>
      <c r="T55" s="2436"/>
      <c r="U55" s="2437"/>
      <c r="V55" s="2439" t="str">
        <f t="shared" si="15"/>
        <v/>
      </c>
      <c r="W55" s="2436"/>
      <c r="X55" s="2437"/>
      <c r="Y55" s="1536" t="str">
        <f t="shared" si="19"/>
        <v/>
      </c>
      <c r="Z55" s="2495" t="str">
        <f t="shared" si="20"/>
        <v/>
      </c>
      <c r="AA55" s="2496"/>
      <c r="AB55" s="2496"/>
      <c r="AC55" s="2497"/>
      <c r="AD55" s="441" t="str">
        <f t="shared" si="16"/>
        <v/>
      </c>
      <c r="AE55" s="492"/>
      <c r="AF55" s="490"/>
      <c r="AG55" s="353" t="str">
        <f t="shared" si="23"/>
        <v/>
      </c>
      <c r="AH55" s="624"/>
      <c r="AI55" s="625"/>
      <c r="AJ55" s="625"/>
      <c r="AK55" s="625"/>
    </row>
    <row r="56" spans="1:37" s="436" customFormat="1" ht="12.75" hidden="1" customHeight="1" outlineLevel="1" x14ac:dyDescent="0.2">
      <c r="A56" s="622"/>
      <c r="B56" s="2437" t="str">
        <f t="shared" si="22"/>
        <v/>
      </c>
      <c r="C56" s="2498"/>
      <c r="D56" s="2498"/>
      <c r="E56" s="2439" t="str">
        <f t="shared" si="11"/>
        <v/>
      </c>
      <c r="F56" s="2436"/>
      <c r="G56" s="2436"/>
      <c r="H56" s="2437"/>
      <c r="I56" s="2439" t="str">
        <f t="shared" ca="1" si="7"/>
        <v/>
      </c>
      <c r="J56" s="2436"/>
      <c r="K56" s="2436"/>
      <c r="L56" s="2437"/>
      <c r="M56" s="2439" t="str">
        <f t="shared" si="12"/>
        <v/>
      </c>
      <c r="N56" s="2437"/>
      <c r="O56" s="2439" t="str">
        <f t="shared" si="13"/>
        <v/>
      </c>
      <c r="P56" s="2436"/>
      <c r="Q56" s="2436"/>
      <c r="R56" s="2437"/>
      <c r="S56" s="2439" t="str">
        <f t="shared" si="14"/>
        <v/>
      </c>
      <c r="T56" s="2436"/>
      <c r="U56" s="2437"/>
      <c r="V56" s="2439" t="str">
        <f t="shared" si="15"/>
        <v/>
      </c>
      <c r="W56" s="2436"/>
      <c r="X56" s="2437"/>
      <c r="Y56" s="1536" t="str">
        <f t="shared" si="19"/>
        <v/>
      </c>
      <c r="Z56" s="2495" t="str">
        <f t="shared" si="20"/>
        <v/>
      </c>
      <c r="AA56" s="2496"/>
      <c r="AB56" s="2496"/>
      <c r="AC56" s="2497"/>
      <c r="AD56" s="441" t="str">
        <f t="shared" si="16"/>
        <v/>
      </c>
      <c r="AE56" s="492"/>
      <c r="AF56" s="490"/>
      <c r="AG56" s="353" t="str">
        <f t="shared" si="23"/>
        <v/>
      </c>
      <c r="AH56" s="624"/>
      <c r="AI56" s="625"/>
      <c r="AJ56" s="625"/>
      <c r="AK56" s="625"/>
    </row>
    <row r="57" spans="1:37" s="436" customFormat="1" ht="12.75" hidden="1" customHeight="1" outlineLevel="1" x14ac:dyDescent="0.2">
      <c r="A57" s="622"/>
      <c r="B57" s="2437" t="str">
        <f t="shared" si="22"/>
        <v/>
      </c>
      <c r="C57" s="2498"/>
      <c r="D57" s="2498"/>
      <c r="E57" s="2439" t="str">
        <f t="shared" si="11"/>
        <v/>
      </c>
      <c r="F57" s="2436"/>
      <c r="G57" s="2436"/>
      <c r="H57" s="2437"/>
      <c r="I57" s="2439" t="str">
        <f t="shared" ca="1" si="7"/>
        <v/>
      </c>
      <c r="J57" s="2436"/>
      <c r="K57" s="2436"/>
      <c r="L57" s="2437"/>
      <c r="M57" s="2439" t="str">
        <f t="shared" si="12"/>
        <v/>
      </c>
      <c r="N57" s="2437"/>
      <c r="O57" s="2439" t="str">
        <f t="shared" si="13"/>
        <v/>
      </c>
      <c r="P57" s="2436"/>
      <c r="Q57" s="2436"/>
      <c r="R57" s="2437"/>
      <c r="S57" s="2439" t="str">
        <f t="shared" si="14"/>
        <v/>
      </c>
      <c r="T57" s="2436"/>
      <c r="U57" s="2437"/>
      <c r="V57" s="2439" t="str">
        <f t="shared" si="15"/>
        <v/>
      </c>
      <c r="W57" s="2436"/>
      <c r="X57" s="2437"/>
      <c r="Y57" s="1536" t="str">
        <f t="shared" si="19"/>
        <v/>
      </c>
      <c r="Z57" s="2495" t="str">
        <f t="shared" si="20"/>
        <v/>
      </c>
      <c r="AA57" s="2496"/>
      <c r="AB57" s="2496"/>
      <c r="AC57" s="2497"/>
      <c r="AD57" s="441" t="str">
        <f t="shared" si="16"/>
        <v/>
      </c>
      <c r="AE57" s="492"/>
      <c r="AF57" s="490"/>
      <c r="AG57" s="353" t="str">
        <f t="shared" si="23"/>
        <v/>
      </c>
      <c r="AH57" s="624"/>
      <c r="AI57" s="625"/>
      <c r="AJ57" s="625"/>
      <c r="AK57" s="625"/>
    </row>
    <row r="58" spans="1:37" s="436" customFormat="1" ht="12.75" hidden="1" customHeight="1" outlineLevel="1" x14ac:dyDescent="0.2">
      <c r="A58" s="622"/>
      <c r="B58" s="2437" t="str">
        <f t="shared" si="22"/>
        <v/>
      </c>
      <c r="C58" s="2498"/>
      <c r="D58" s="2498"/>
      <c r="E58" s="2439" t="str">
        <f t="shared" si="11"/>
        <v/>
      </c>
      <c r="F58" s="2436"/>
      <c r="G58" s="2436"/>
      <c r="H58" s="2437"/>
      <c r="I58" s="2439" t="str">
        <f t="shared" ca="1" si="7"/>
        <v/>
      </c>
      <c r="J58" s="2436"/>
      <c r="K58" s="2436"/>
      <c r="L58" s="2437"/>
      <c r="M58" s="2439" t="str">
        <f t="shared" si="12"/>
        <v/>
      </c>
      <c r="N58" s="2437"/>
      <c r="O58" s="2439" t="str">
        <f t="shared" si="13"/>
        <v/>
      </c>
      <c r="P58" s="2436"/>
      <c r="Q58" s="2436"/>
      <c r="R58" s="2437"/>
      <c r="S58" s="2439" t="str">
        <f t="shared" si="14"/>
        <v/>
      </c>
      <c r="T58" s="2436"/>
      <c r="U58" s="2437"/>
      <c r="V58" s="2439" t="str">
        <f t="shared" si="15"/>
        <v/>
      </c>
      <c r="W58" s="2436"/>
      <c r="X58" s="2437"/>
      <c r="Y58" s="1536" t="str">
        <f t="shared" si="19"/>
        <v/>
      </c>
      <c r="Z58" s="2495" t="str">
        <f t="shared" si="20"/>
        <v/>
      </c>
      <c r="AA58" s="2496"/>
      <c r="AB58" s="2496"/>
      <c r="AC58" s="2497"/>
      <c r="AD58" s="441" t="str">
        <f t="shared" si="16"/>
        <v/>
      </c>
      <c r="AE58" s="492"/>
      <c r="AF58" s="490"/>
      <c r="AG58" s="353" t="str">
        <f t="shared" si="23"/>
        <v/>
      </c>
      <c r="AH58" s="624"/>
      <c r="AI58" s="625"/>
      <c r="AJ58" s="625"/>
      <c r="AK58" s="625"/>
    </row>
    <row r="59" spans="1:37" s="436" customFormat="1" ht="12.75" hidden="1" customHeight="1" outlineLevel="1" x14ac:dyDescent="0.2">
      <c r="A59" s="622"/>
      <c r="B59" s="2437" t="str">
        <f t="shared" si="22"/>
        <v/>
      </c>
      <c r="C59" s="2498"/>
      <c r="D59" s="2498"/>
      <c r="E59" s="2439" t="str">
        <f t="shared" si="11"/>
        <v/>
      </c>
      <c r="F59" s="2436"/>
      <c r="G59" s="2436"/>
      <c r="H59" s="2437"/>
      <c r="I59" s="2439" t="str">
        <f t="shared" ca="1" si="7"/>
        <v/>
      </c>
      <c r="J59" s="2436"/>
      <c r="K59" s="2436"/>
      <c r="L59" s="2437"/>
      <c r="M59" s="2439" t="str">
        <f t="shared" si="12"/>
        <v/>
      </c>
      <c r="N59" s="2437"/>
      <c r="O59" s="2439" t="str">
        <f t="shared" si="13"/>
        <v/>
      </c>
      <c r="P59" s="2436"/>
      <c r="Q59" s="2436"/>
      <c r="R59" s="2437"/>
      <c r="S59" s="2439" t="str">
        <f t="shared" si="14"/>
        <v/>
      </c>
      <c r="T59" s="2436"/>
      <c r="U59" s="2437"/>
      <c r="V59" s="2439" t="str">
        <f t="shared" si="15"/>
        <v/>
      </c>
      <c r="W59" s="2436"/>
      <c r="X59" s="2437"/>
      <c r="Y59" s="1536" t="str">
        <f t="shared" si="19"/>
        <v/>
      </c>
      <c r="Z59" s="2495" t="str">
        <f t="shared" si="20"/>
        <v/>
      </c>
      <c r="AA59" s="2496"/>
      <c r="AB59" s="2496"/>
      <c r="AC59" s="2497"/>
      <c r="AD59" s="441" t="str">
        <f t="shared" si="16"/>
        <v/>
      </c>
      <c r="AE59" s="492"/>
      <c r="AF59" s="490"/>
      <c r="AG59" s="353" t="str">
        <f t="shared" si="23"/>
        <v/>
      </c>
      <c r="AH59" s="624"/>
      <c r="AI59" s="625"/>
      <c r="AJ59" s="625"/>
      <c r="AK59" s="625"/>
    </row>
    <row r="60" spans="1:37" s="436" customFormat="1" ht="12.75" hidden="1" customHeight="1" outlineLevel="1" x14ac:dyDescent="0.2">
      <c r="A60" s="622"/>
      <c r="B60" s="2437" t="str">
        <f t="shared" si="22"/>
        <v/>
      </c>
      <c r="C60" s="2498"/>
      <c r="D60" s="2498"/>
      <c r="E60" s="2439" t="str">
        <f t="shared" si="11"/>
        <v/>
      </c>
      <c r="F60" s="2436"/>
      <c r="G60" s="2436"/>
      <c r="H60" s="2437"/>
      <c r="I60" s="2439" t="str">
        <f t="shared" ca="1" si="7"/>
        <v/>
      </c>
      <c r="J60" s="2436"/>
      <c r="K60" s="2436"/>
      <c r="L60" s="2437"/>
      <c r="M60" s="2439" t="str">
        <f t="shared" si="12"/>
        <v/>
      </c>
      <c r="N60" s="2437"/>
      <c r="O60" s="2439" t="str">
        <f t="shared" si="13"/>
        <v/>
      </c>
      <c r="P60" s="2436"/>
      <c r="Q60" s="2436"/>
      <c r="R60" s="2437"/>
      <c r="S60" s="2439" t="str">
        <f t="shared" si="14"/>
        <v/>
      </c>
      <c r="T60" s="2436"/>
      <c r="U60" s="2437"/>
      <c r="V60" s="2439" t="str">
        <f t="shared" si="15"/>
        <v/>
      </c>
      <c r="W60" s="2436"/>
      <c r="X60" s="2437"/>
      <c r="Y60" s="1536" t="str">
        <f t="shared" si="19"/>
        <v/>
      </c>
      <c r="Z60" s="2495" t="str">
        <f t="shared" si="20"/>
        <v/>
      </c>
      <c r="AA60" s="2496"/>
      <c r="AB60" s="2496"/>
      <c r="AC60" s="2497"/>
      <c r="AD60" s="441" t="str">
        <f t="shared" si="16"/>
        <v/>
      </c>
      <c r="AE60" s="492"/>
      <c r="AF60" s="490"/>
      <c r="AG60" s="353" t="str">
        <f t="shared" si="23"/>
        <v/>
      </c>
      <c r="AH60" s="624"/>
      <c r="AI60" s="625"/>
      <c r="AJ60" s="625"/>
      <c r="AK60" s="625"/>
    </row>
    <row r="61" spans="1:37" s="436" customFormat="1" ht="12.75" hidden="1" customHeight="1" outlineLevel="1" x14ac:dyDescent="0.2">
      <c r="A61" s="622"/>
      <c r="B61" s="2437" t="str">
        <f t="shared" si="22"/>
        <v/>
      </c>
      <c r="C61" s="2498"/>
      <c r="D61" s="2498"/>
      <c r="E61" s="2439" t="str">
        <f t="shared" si="11"/>
        <v/>
      </c>
      <c r="F61" s="2436"/>
      <c r="G61" s="2436"/>
      <c r="H61" s="2437"/>
      <c r="I61" s="2439" t="str">
        <f t="shared" ca="1" si="7"/>
        <v/>
      </c>
      <c r="J61" s="2436"/>
      <c r="K61" s="2436"/>
      <c r="L61" s="2437"/>
      <c r="M61" s="2439" t="str">
        <f t="shared" si="12"/>
        <v/>
      </c>
      <c r="N61" s="2437"/>
      <c r="O61" s="2439" t="str">
        <f t="shared" si="13"/>
        <v/>
      </c>
      <c r="P61" s="2436"/>
      <c r="Q61" s="2436"/>
      <c r="R61" s="2437"/>
      <c r="S61" s="2439" t="str">
        <f t="shared" si="14"/>
        <v/>
      </c>
      <c r="T61" s="2436"/>
      <c r="U61" s="2437"/>
      <c r="V61" s="2439" t="str">
        <f t="shared" si="15"/>
        <v/>
      </c>
      <c r="W61" s="2436"/>
      <c r="X61" s="2437"/>
      <c r="Y61" s="1536" t="str">
        <f t="shared" si="19"/>
        <v/>
      </c>
      <c r="Z61" s="2495" t="str">
        <f t="shared" si="20"/>
        <v/>
      </c>
      <c r="AA61" s="2496"/>
      <c r="AB61" s="2496"/>
      <c r="AC61" s="2497"/>
      <c r="AD61" s="441" t="str">
        <f t="shared" si="16"/>
        <v/>
      </c>
      <c r="AE61" s="492"/>
      <c r="AF61" s="490"/>
      <c r="AG61" s="353" t="str">
        <f t="shared" si="23"/>
        <v/>
      </c>
      <c r="AH61" s="624"/>
      <c r="AI61" s="625"/>
      <c r="AJ61" s="625"/>
      <c r="AK61" s="625"/>
    </row>
    <row r="62" spans="1:37" s="436" customFormat="1" ht="12.75" hidden="1" customHeight="1" outlineLevel="1" x14ac:dyDescent="0.2">
      <c r="A62" s="622"/>
      <c r="B62" s="2437" t="str">
        <f t="shared" si="22"/>
        <v/>
      </c>
      <c r="C62" s="2498"/>
      <c r="D62" s="2498"/>
      <c r="E62" s="2439" t="str">
        <f t="shared" si="11"/>
        <v/>
      </c>
      <c r="F62" s="2436"/>
      <c r="G62" s="2436"/>
      <c r="H62" s="2437"/>
      <c r="I62" s="2439" t="str">
        <f t="shared" ca="1" si="7"/>
        <v/>
      </c>
      <c r="J62" s="2436"/>
      <c r="K62" s="2436"/>
      <c r="L62" s="2437"/>
      <c r="M62" s="2439" t="str">
        <f t="shared" si="12"/>
        <v/>
      </c>
      <c r="N62" s="2437"/>
      <c r="O62" s="2439" t="str">
        <f t="shared" si="13"/>
        <v/>
      </c>
      <c r="P62" s="2436"/>
      <c r="Q62" s="2436"/>
      <c r="R62" s="2437"/>
      <c r="S62" s="2439" t="str">
        <f t="shared" si="14"/>
        <v/>
      </c>
      <c r="T62" s="2436"/>
      <c r="U62" s="2437"/>
      <c r="V62" s="2439" t="str">
        <f t="shared" si="15"/>
        <v/>
      </c>
      <c r="W62" s="2436"/>
      <c r="X62" s="2437"/>
      <c r="Y62" s="1536" t="str">
        <f t="shared" si="19"/>
        <v/>
      </c>
      <c r="Z62" s="2495" t="str">
        <f t="shared" si="20"/>
        <v/>
      </c>
      <c r="AA62" s="2496"/>
      <c r="AB62" s="2496"/>
      <c r="AC62" s="2497"/>
      <c r="AD62" s="441" t="str">
        <f t="shared" si="16"/>
        <v/>
      </c>
      <c r="AE62" s="492"/>
      <c r="AF62" s="490"/>
      <c r="AG62" s="353" t="str">
        <f t="shared" si="23"/>
        <v/>
      </c>
      <c r="AH62" s="624"/>
      <c r="AI62" s="625"/>
      <c r="AJ62" s="625"/>
      <c r="AK62" s="625"/>
    </row>
    <row r="63" spans="1:37" s="436" customFormat="1" ht="12.75" hidden="1" customHeight="1" outlineLevel="1" x14ac:dyDescent="0.2">
      <c r="A63" s="622"/>
      <c r="B63" s="2437" t="str">
        <f t="shared" si="22"/>
        <v/>
      </c>
      <c r="C63" s="2498"/>
      <c r="D63" s="2498"/>
      <c r="E63" s="2439" t="str">
        <f t="shared" si="11"/>
        <v/>
      </c>
      <c r="F63" s="2436"/>
      <c r="G63" s="2436"/>
      <c r="H63" s="2437"/>
      <c r="I63" s="2439" t="str">
        <f t="shared" ca="1" si="7"/>
        <v/>
      </c>
      <c r="J63" s="2436"/>
      <c r="K63" s="2436"/>
      <c r="L63" s="2437"/>
      <c r="M63" s="2439" t="str">
        <f t="shared" si="12"/>
        <v/>
      </c>
      <c r="N63" s="2437"/>
      <c r="O63" s="2439" t="str">
        <f t="shared" si="13"/>
        <v/>
      </c>
      <c r="P63" s="2436"/>
      <c r="Q63" s="2436"/>
      <c r="R63" s="2437"/>
      <c r="S63" s="2439" t="str">
        <f t="shared" si="14"/>
        <v/>
      </c>
      <c r="T63" s="2436"/>
      <c r="U63" s="2437"/>
      <c r="V63" s="2439" t="str">
        <f t="shared" si="15"/>
        <v/>
      </c>
      <c r="W63" s="2436"/>
      <c r="X63" s="2437"/>
      <c r="Y63" s="1536" t="str">
        <f t="shared" si="19"/>
        <v/>
      </c>
      <c r="Z63" s="2495" t="str">
        <f t="shared" si="20"/>
        <v/>
      </c>
      <c r="AA63" s="2496"/>
      <c r="AB63" s="2496"/>
      <c r="AC63" s="2497"/>
      <c r="AD63" s="441" t="str">
        <f t="shared" si="16"/>
        <v/>
      </c>
      <c r="AE63" s="492"/>
      <c r="AF63" s="490"/>
      <c r="AG63" s="353" t="str">
        <f t="shared" si="23"/>
        <v/>
      </c>
      <c r="AH63" s="624"/>
      <c r="AI63" s="625"/>
      <c r="AJ63" s="625"/>
      <c r="AK63" s="625"/>
    </row>
    <row r="64" spans="1:37" s="436" customFormat="1" ht="12.75" hidden="1" customHeight="1" outlineLevel="1" x14ac:dyDescent="0.2">
      <c r="A64" s="622"/>
      <c r="B64" s="2437" t="str">
        <f t="shared" si="22"/>
        <v/>
      </c>
      <c r="C64" s="2498"/>
      <c r="D64" s="2498"/>
      <c r="E64" s="2439" t="str">
        <f t="shared" si="11"/>
        <v/>
      </c>
      <c r="F64" s="2436"/>
      <c r="G64" s="2436"/>
      <c r="H64" s="2437"/>
      <c r="I64" s="2439" t="str">
        <f t="shared" ca="1" si="7"/>
        <v/>
      </c>
      <c r="J64" s="2436"/>
      <c r="K64" s="2436"/>
      <c r="L64" s="2437"/>
      <c r="M64" s="2439" t="str">
        <f t="shared" si="12"/>
        <v/>
      </c>
      <c r="N64" s="2437"/>
      <c r="O64" s="2439" t="str">
        <f t="shared" si="13"/>
        <v/>
      </c>
      <c r="P64" s="2436"/>
      <c r="Q64" s="2436"/>
      <c r="R64" s="2437"/>
      <c r="S64" s="2439" t="str">
        <f t="shared" si="14"/>
        <v/>
      </c>
      <c r="T64" s="2436"/>
      <c r="U64" s="2437"/>
      <c r="V64" s="2439" t="str">
        <f t="shared" si="15"/>
        <v/>
      </c>
      <c r="W64" s="2436"/>
      <c r="X64" s="2437"/>
      <c r="Y64" s="1536" t="str">
        <f t="shared" si="19"/>
        <v/>
      </c>
      <c r="Z64" s="2495" t="str">
        <f t="shared" si="20"/>
        <v/>
      </c>
      <c r="AA64" s="2496"/>
      <c r="AB64" s="2496"/>
      <c r="AC64" s="2497"/>
      <c r="AD64" s="441" t="str">
        <f t="shared" si="16"/>
        <v/>
      </c>
      <c r="AE64" s="492"/>
      <c r="AF64" s="490"/>
      <c r="AG64" s="353" t="str">
        <f t="shared" si="23"/>
        <v/>
      </c>
      <c r="AH64" s="624"/>
      <c r="AI64" s="625"/>
      <c r="AJ64" s="625"/>
      <c r="AK64" s="625"/>
    </row>
    <row r="65" spans="1:37" s="436" customFormat="1" ht="12.75" hidden="1" customHeight="1" outlineLevel="1" x14ac:dyDescent="0.2">
      <c r="A65" s="622"/>
      <c r="B65" s="2437" t="str">
        <f t="shared" si="22"/>
        <v/>
      </c>
      <c r="C65" s="2498"/>
      <c r="D65" s="2498"/>
      <c r="E65" s="2439" t="str">
        <f t="shared" si="11"/>
        <v/>
      </c>
      <c r="F65" s="2436"/>
      <c r="G65" s="2436"/>
      <c r="H65" s="2437"/>
      <c r="I65" s="2439" t="str">
        <f t="shared" ca="1" si="7"/>
        <v/>
      </c>
      <c r="J65" s="2436"/>
      <c r="K65" s="2436"/>
      <c r="L65" s="2437"/>
      <c r="M65" s="2439" t="str">
        <f t="shared" si="12"/>
        <v/>
      </c>
      <c r="N65" s="2437"/>
      <c r="O65" s="2439" t="str">
        <f t="shared" si="13"/>
        <v/>
      </c>
      <c r="P65" s="2436"/>
      <c r="Q65" s="2436"/>
      <c r="R65" s="2437"/>
      <c r="S65" s="2439" t="str">
        <f t="shared" si="14"/>
        <v/>
      </c>
      <c r="T65" s="2436"/>
      <c r="U65" s="2437"/>
      <c r="V65" s="2439" t="str">
        <f t="shared" si="15"/>
        <v/>
      </c>
      <c r="W65" s="2436"/>
      <c r="X65" s="2437"/>
      <c r="Y65" s="1536" t="str">
        <f t="shared" si="19"/>
        <v/>
      </c>
      <c r="Z65" s="2495" t="str">
        <f t="shared" si="20"/>
        <v/>
      </c>
      <c r="AA65" s="2496"/>
      <c r="AB65" s="2496"/>
      <c r="AC65" s="2497"/>
      <c r="AD65" s="441" t="str">
        <f t="shared" si="16"/>
        <v/>
      </c>
      <c r="AE65" s="492"/>
      <c r="AF65" s="490"/>
      <c r="AG65" s="353" t="str">
        <f t="shared" si="23"/>
        <v/>
      </c>
      <c r="AH65" s="624"/>
      <c r="AI65" s="625"/>
      <c r="AJ65" s="625"/>
      <c r="AK65" s="625"/>
    </row>
    <row r="66" spans="1:37" s="436" customFormat="1" ht="12.75" hidden="1" customHeight="1" outlineLevel="1" x14ac:dyDescent="0.2">
      <c r="A66" s="622"/>
      <c r="B66" s="2437" t="str">
        <f t="shared" si="22"/>
        <v/>
      </c>
      <c r="C66" s="2498"/>
      <c r="D66" s="2498"/>
      <c r="E66" s="2439" t="str">
        <f t="shared" si="11"/>
        <v/>
      </c>
      <c r="F66" s="2436"/>
      <c r="G66" s="2436"/>
      <c r="H66" s="2437"/>
      <c r="I66" s="2439" t="str">
        <f t="shared" ca="1" si="7"/>
        <v/>
      </c>
      <c r="J66" s="2436"/>
      <c r="K66" s="2436"/>
      <c r="L66" s="2437"/>
      <c r="M66" s="2439" t="str">
        <f t="shared" si="12"/>
        <v/>
      </c>
      <c r="N66" s="2437"/>
      <c r="O66" s="2439" t="str">
        <f t="shared" si="13"/>
        <v/>
      </c>
      <c r="P66" s="2436"/>
      <c r="Q66" s="2436"/>
      <c r="R66" s="2437"/>
      <c r="S66" s="2439" t="str">
        <f t="shared" si="14"/>
        <v/>
      </c>
      <c r="T66" s="2436"/>
      <c r="U66" s="2437"/>
      <c r="V66" s="2439" t="str">
        <f t="shared" si="15"/>
        <v/>
      </c>
      <c r="W66" s="2436"/>
      <c r="X66" s="2437"/>
      <c r="Y66" s="1536" t="str">
        <f t="shared" si="19"/>
        <v/>
      </c>
      <c r="Z66" s="2495" t="str">
        <f t="shared" si="20"/>
        <v/>
      </c>
      <c r="AA66" s="2496"/>
      <c r="AB66" s="2496"/>
      <c r="AC66" s="2497"/>
      <c r="AD66" s="441" t="str">
        <f t="shared" si="16"/>
        <v/>
      </c>
      <c r="AE66" s="492"/>
      <c r="AF66" s="490"/>
      <c r="AG66" s="353" t="str">
        <f t="shared" si="23"/>
        <v/>
      </c>
      <c r="AH66" s="624"/>
      <c r="AI66" s="625"/>
      <c r="AJ66" s="625"/>
      <c r="AK66" s="625"/>
    </row>
    <row r="67" spans="1:37" s="436" customFormat="1" ht="12.75" hidden="1" customHeight="1" outlineLevel="1" x14ac:dyDescent="0.2">
      <c r="A67" s="622"/>
      <c r="B67" s="2437" t="str">
        <f t="shared" si="22"/>
        <v/>
      </c>
      <c r="C67" s="2498"/>
      <c r="D67" s="2498"/>
      <c r="E67" s="2439" t="str">
        <f t="shared" si="11"/>
        <v/>
      </c>
      <c r="F67" s="2436"/>
      <c r="G67" s="2436"/>
      <c r="H67" s="2437"/>
      <c r="I67" s="2439" t="str">
        <f t="shared" ca="1" si="7"/>
        <v/>
      </c>
      <c r="J67" s="2436"/>
      <c r="K67" s="2436"/>
      <c r="L67" s="2437"/>
      <c r="M67" s="2439" t="str">
        <f t="shared" si="12"/>
        <v/>
      </c>
      <c r="N67" s="2437"/>
      <c r="O67" s="2439" t="str">
        <f t="shared" si="13"/>
        <v/>
      </c>
      <c r="P67" s="2436"/>
      <c r="Q67" s="2436"/>
      <c r="R67" s="2437"/>
      <c r="S67" s="2439" t="str">
        <f t="shared" si="14"/>
        <v/>
      </c>
      <c r="T67" s="2436"/>
      <c r="U67" s="2437"/>
      <c r="V67" s="2439" t="str">
        <f t="shared" si="15"/>
        <v/>
      </c>
      <c r="W67" s="2436"/>
      <c r="X67" s="2437"/>
      <c r="Y67" s="1536" t="str">
        <f t="shared" si="19"/>
        <v/>
      </c>
      <c r="Z67" s="2495" t="str">
        <f t="shared" si="20"/>
        <v/>
      </c>
      <c r="AA67" s="2496"/>
      <c r="AB67" s="2496"/>
      <c r="AC67" s="2497"/>
      <c r="AD67" s="441" t="str">
        <f t="shared" si="16"/>
        <v/>
      </c>
      <c r="AE67" s="492"/>
      <c r="AF67" s="490"/>
      <c r="AG67" s="353" t="str">
        <f t="shared" si="23"/>
        <v/>
      </c>
      <c r="AH67" s="624"/>
      <c r="AI67" s="625"/>
      <c r="AJ67" s="625"/>
      <c r="AK67" s="625"/>
    </row>
    <row r="68" spans="1:37" s="436" customFormat="1" ht="12.75" hidden="1" customHeight="1" outlineLevel="1" x14ac:dyDescent="0.2">
      <c r="A68" s="622"/>
      <c r="B68" s="2437" t="str">
        <f t="shared" si="22"/>
        <v/>
      </c>
      <c r="C68" s="2498"/>
      <c r="D68" s="2498"/>
      <c r="E68" s="2439" t="str">
        <f t="shared" si="11"/>
        <v/>
      </c>
      <c r="F68" s="2436"/>
      <c r="G68" s="2436"/>
      <c r="H68" s="2437"/>
      <c r="I68" s="2439" t="str">
        <f t="shared" ca="1" si="7"/>
        <v/>
      </c>
      <c r="J68" s="2436"/>
      <c r="K68" s="2436"/>
      <c r="L68" s="2437"/>
      <c r="M68" s="2439" t="str">
        <f t="shared" si="12"/>
        <v/>
      </c>
      <c r="N68" s="2437"/>
      <c r="O68" s="2439" t="str">
        <f t="shared" si="13"/>
        <v/>
      </c>
      <c r="P68" s="2436"/>
      <c r="Q68" s="2436"/>
      <c r="R68" s="2437"/>
      <c r="S68" s="2439" t="str">
        <f t="shared" si="14"/>
        <v/>
      </c>
      <c r="T68" s="2436"/>
      <c r="U68" s="2437"/>
      <c r="V68" s="2439" t="str">
        <f t="shared" si="15"/>
        <v/>
      </c>
      <c r="W68" s="2436"/>
      <c r="X68" s="2437"/>
      <c r="Y68" s="1536" t="str">
        <f t="shared" si="19"/>
        <v/>
      </c>
      <c r="Z68" s="2495" t="str">
        <f t="shared" si="20"/>
        <v/>
      </c>
      <c r="AA68" s="2496"/>
      <c r="AB68" s="2496"/>
      <c r="AC68" s="2497"/>
      <c r="AD68" s="441" t="str">
        <f t="shared" si="16"/>
        <v/>
      </c>
      <c r="AE68" s="492"/>
      <c r="AF68" s="490"/>
      <c r="AG68" s="353" t="str">
        <f t="shared" si="23"/>
        <v/>
      </c>
      <c r="AH68" s="624"/>
      <c r="AI68" s="625"/>
      <c r="AJ68" s="625"/>
      <c r="AK68" s="625"/>
    </row>
    <row r="69" spans="1:37" s="436" customFormat="1" ht="12.75" hidden="1" customHeight="1" outlineLevel="1" x14ac:dyDescent="0.2">
      <c r="A69" s="622"/>
      <c r="B69" s="2437" t="str">
        <f t="shared" si="22"/>
        <v/>
      </c>
      <c r="C69" s="2498"/>
      <c r="D69" s="2498"/>
      <c r="E69" s="2439" t="str">
        <f t="shared" si="11"/>
        <v/>
      </c>
      <c r="F69" s="2436"/>
      <c r="G69" s="2436"/>
      <c r="H69" s="2437"/>
      <c r="I69" s="2439" t="str">
        <f t="shared" ca="1" si="7"/>
        <v/>
      </c>
      <c r="J69" s="2436"/>
      <c r="K69" s="2436"/>
      <c r="L69" s="2437"/>
      <c r="M69" s="2439" t="str">
        <f t="shared" si="12"/>
        <v/>
      </c>
      <c r="N69" s="2437"/>
      <c r="O69" s="2439" t="str">
        <f t="shared" si="13"/>
        <v/>
      </c>
      <c r="P69" s="2436"/>
      <c r="Q69" s="2436"/>
      <c r="R69" s="2437"/>
      <c r="S69" s="2439" t="str">
        <f t="shared" si="14"/>
        <v/>
      </c>
      <c r="T69" s="2436"/>
      <c r="U69" s="2437"/>
      <c r="V69" s="2439" t="str">
        <f t="shared" si="15"/>
        <v/>
      </c>
      <c r="W69" s="2436"/>
      <c r="X69" s="2437"/>
      <c r="Y69" s="1536" t="str">
        <f t="shared" si="19"/>
        <v/>
      </c>
      <c r="Z69" s="2495" t="str">
        <f t="shared" si="20"/>
        <v/>
      </c>
      <c r="AA69" s="2496"/>
      <c r="AB69" s="2496"/>
      <c r="AC69" s="2497"/>
      <c r="AD69" s="441" t="str">
        <f t="shared" si="16"/>
        <v/>
      </c>
      <c r="AE69" s="492"/>
      <c r="AF69" s="490"/>
      <c r="AG69" s="353" t="str">
        <f t="shared" si="23"/>
        <v/>
      </c>
      <c r="AH69" s="624"/>
      <c r="AI69" s="625"/>
      <c r="AJ69" s="625"/>
      <c r="AK69" s="625"/>
    </row>
    <row r="70" spans="1:37" s="436" customFormat="1" ht="12.75" hidden="1" customHeight="1" outlineLevel="1" x14ac:dyDescent="0.2">
      <c r="A70" s="622"/>
      <c r="B70" s="2437" t="str">
        <f t="shared" si="22"/>
        <v/>
      </c>
      <c r="C70" s="2498"/>
      <c r="D70" s="2498"/>
      <c r="E70" s="2439" t="str">
        <f t="shared" si="11"/>
        <v/>
      </c>
      <c r="F70" s="2436"/>
      <c r="G70" s="2436"/>
      <c r="H70" s="2437"/>
      <c r="I70" s="2439" t="str">
        <f t="shared" ca="1" si="7"/>
        <v/>
      </c>
      <c r="J70" s="2436"/>
      <c r="K70" s="2436"/>
      <c r="L70" s="2437"/>
      <c r="M70" s="2439" t="str">
        <f t="shared" si="12"/>
        <v/>
      </c>
      <c r="N70" s="2437"/>
      <c r="O70" s="2439" t="str">
        <f t="shared" si="13"/>
        <v/>
      </c>
      <c r="P70" s="2436"/>
      <c r="Q70" s="2436"/>
      <c r="R70" s="2437"/>
      <c r="S70" s="2439" t="str">
        <f t="shared" si="14"/>
        <v/>
      </c>
      <c r="T70" s="2436"/>
      <c r="U70" s="2437"/>
      <c r="V70" s="2439" t="str">
        <f t="shared" si="15"/>
        <v/>
      </c>
      <c r="W70" s="2436"/>
      <c r="X70" s="2437"/>
      <c r="Y70" s="1536" t="str">
        <f t="shared" ref="Y70:Y75" si="24">IF($B70="","",VLOOKUP($B70,ZAUBERWERTE,16,FALSE))</f>
        <v/>
      </c>
      <c r="Z70" s="2495" t="str">
        <f t="shared" ref="Z70:Z75" si="25">IF($B70="","",IF(VLOOKUP($B70,ZAUBERHELD,14,FALSE)="","",VLOOKUP($B70,ZAUBERHELD,14,FALSE)))</f>
        <v/>
      </c>
      <c r="AA70" s="2496"/>
      <c r="AB70" s="2496"/>
      <c r="AC70" s="2497"/>
      <c r="AD70" s="441" t="str">
        <f t="shared" si="16"/>
        <v/>
      </c>
      <c r="AE70" s="492"/>
      <c r="AF70" s="490"/>
      <c r="AG70" s="353" t="str">
        <f t="shared" si="23"/>
        <v/>
      </c>
      <c r="AH70" s="624"/>
      <c r="AI70" s="625"/>
      <c r="AJ70" s="625"/>
      <c r="AK70" s="625"/>
    </row>
    <row r="71" spans="1:37" s="436" customFormat="1" ht="12.75" hidden="1" customHeight="1" outlineLevel="1" x14ac:dyDescent="0.2">
      <c r="A71" s="622"/>
      <c r="B71" s="2437" t="str">
        <f>IF(NOT(AG70=""),LEFT(AG70,FIND(",",AG70)-1),"")</f>
        <v/>
      </c>
      <c r="C71" s="2498"/>
      <c r="D71" s="2498"/>
      <c r="E71" s="2439" t="str">
        <f t="shared" si="11"/>
        <v/>
      </c>
      <c r="F71" s="2436"/>
      <c r="G71" s="2436"/>
      <c r="H71" s="2437"/>
      <c r="I71" s="2439" t="str">
        <f t="shared" ca="1" si="7"/>
        <v/>
      </c>
      <c r="J71" s="2436"/>
      <c r="K71" s="2436"/>
      <c r="L71" s="2437"/>
      <c r="M71" s="2439" t="str">
        <f t="shared" si="12"/>
        <v/>
      </c>
      <c r="N71" s="2437"/>
      <c r="O71" s="2439" t="str">
        <f t="shared" si="13"/>
        <v/>
      </c>
      <c r="P71" s="2436"/>
      <c r="Q71" s="2436"/>
      <c r="R71" s="2437"/>
      <c r="S71" s="2439" t="str">
        <f t="shared" si="14"/>
        <v/>
      </c>
      <c r="T71" s="2436"/>
      <c r="U71" s="2437"/>
      <c r="V71" s="2439" t="str">
        <f t="shared" si="15"/>
        <v/>
      </c>
      <c r="W71" s="2436"/>
      <c r="X71" s="2437"/>
      <c r="Y71" s="1536" t="str">
        <f t="shared" si="24"/>
        <v/>
      </c>
      <c r="Z71" s="2495" t="str">
        <f t="shared" si="25"/>
        <v/>
      </c>
      <c r="AA71" s="2496"/>
      <c r="AB71" s="2496"/>
      <c r="AC71" s="2497"/>
      <c r="AD71" s="441" t="str">
        <f t="shared" si="16"/>
        <v/>
      </c>
      <c r="AE71" s="492"/>
      <c r="AF71" s="490"/>
      <c r="AG71" s="353" t="str">
        <f t="shared" si="23"/>
        <v/>
      </c>
      <c r="AH71" s="624"/>
      <c r="AI71" s="625"/>
      <c r="AJ71" s="625"/>
      <c r="AK71" s="625"/>
    </row>
    <row r="72" spans="1:37" s="436" customFormat="1" ht="12.75" hidden="1" customHeight="1" outlineLevel="1" x14ac:dyDescent="0.2">
      <c r="A72" s="622"/>
      <c r="B72" s="2437" t="str">
        <f>IF(NOT(AG71=""),LEFT(AG71,FIND(",",AG71)-1),"")</f>
        <v/>
      </c>
      <c r="C72" s="2498"/>
      <c r="D72" s="2498"/>
      <c r="E72" s="2439" t="str">
        <f t="shared" si="11"/>
        <v/>
      </c>
      <c r="F72" s="2436"/>
      <c r="G72" s="2436"/>
      <c r="H72" s="2437"/>
      <c r="I72" s="2439" t="str">
        <f t="shared" ca="1" si="7"/>
        <v/>
      </c>
      <c r="J72" s="2436"/>
      <c r="K72" s="2436"/>
      <c r="L72" s="2437"/>
      <c r="M72" s="2439" t="str">
        <f t="shared" si="12"/>
        <v/>
      </c>
      <c r="N72" s="2437"/>
      <c r="O72" s="2439" t="str">
        <f t="shared" si="13"/>
        <v/>
      </c>
      <c r="P72" s="2436"/>
      <c r="Q72" s="2436"/>
      <c r="R72" s="2437"/>
      <c r="S72" s="2439" t="str">
        <f t="shared" si="14"/>
        <v/>
      </c>
      <c r="T72" s="2436"/>
      <c r="U72" s="2437"/>
      <c r="V72" s="2439" t="str">
        <f t="shared" si="15"/>
        <v/>
      </c>
      <c r="W72" s="2436"/>
      <c r="X72" s="2437"/>
      <c r="Y72" s="1536" t="str">
        <f t="shared" si="24"/>
        <v/>
      </c>
      <c r="Z72" s="2495" t="str">
        <f t="shared" si="25"/>
        <v/>
      </c>
      <c r="AA72" s="2496"/>
      <c r="AB72" s="2496"/>
      <c r="AC72" s="2497"/>
      <c r="AD72" s="441" t="str">
        <f t="shared" si="16"/>
        <v/>
      </c>
      <c r="AE72" s="492"/>
      <c r="AF72" s="490"/>
      <c r="AG72" s="353" t="str">
        <f t="shared" si="23"/>
        <v/>
      </c>
      <c r="AH72" s="624"/>
      <c r="AI72" s="625"/>
      <c r="AJ72" s="625"/>
      <c r="AK72" s="625"/>
    </row>
    <row r="73" spans="1:37" s="436" customFormat="1" ht="12.75" hidden="1" customHeight="1" outlineLevel="1" x14ac:dyDescent="0.2">
      <c r="A73" s="622"/>
      <c r="B73" s="2437" t="str">
        <f>IF(NOT(AG72=""),LEFT(AG72,FIND(",",AG72)-1),"")</f>
        <v/>
      </c>
      <c r="C73" s="2498"/>
      <c r="D73" s="2498"/>
      <c r="E73" s="2439" t="str">
        <f t="shared" si="11"/>
        <v/>
      </c>
      <c r="F73" s="2436"/>
      <c r="G73" s="2436"/>
      <c r="H73" s="2437"/>
      <c r="I73" s="2439" t="str">
        <f t="shared" ca="1" si="7"/>
        <v/>
      </c>
      <c r="J73" s="2436"/>
      <c r="K73" s="2436"/>
      <c r="L73" s="2437"/>
      <c r="M73" s="2439" t="str">
        <f t="shared" si="12"/>
        <v/>
      </c>
      <c r="N73" s="2437"/>
      <c r="O73" s="2439" t="str">
        <f t="shared" si="13"/>
        <v/>
      </c>
      <c r="P73" s="2436"/>
      <c r="Q73" s="2436"/>
      <c r="R73" s="2437"/>
      <c r="S73" s="2439" t="str">
        <f t="shared" si="14"/>
        <v/>
      </c>
      <c r="T73" s="2436"/>
      <c r="U73" s="2437"/>
      <c r="V73" s="2439" t="str">
        <f t="shared" si="15"/>
        <v/>
      </c>
      <c r="W73" s="2436"/>
      <c r="X73" s="2437"/>
      <c r="Y73" s="1536" t="str">
        <f t="shared" si="24"/>
        <v/>
      </c>
      <c r="Z73" s="2495" t="str">
        <f t="shared" si="25"/>
        <v/>
      </c>
      <c r="AA73" s="2496"/>
      <c r="AB73" s="2496"/>
      <c r="AC73" s="2497"/>
      <c r="AD73" s="441" t="str">
        <f t="shared" si="16"/>
        <v/>
      </c>
      <c r="AE73" s="492"/>
      <c r="AF73" s="490"/>
      <c r="AG73" s="353" t="str">
        <f t="shared" si="23"/>
        <v/>
      </c>
      <c r="AH73" s="624"/>
      <c r="AI73" s="625"/>
      <c r="AJ73" s="625"/>
      <c r="AK73" s="625"/>
    </row>
    <row r="74" spans="1:37" s="436" customFormat="1" ht="12.75" hidden="1" customHeight="1" outlineLevel="1" x14ac:dyDescent="0.2">
      <c r="A74" s="622"/>
      <c r="B74" s="2437" t="str">
        <f>IF(NOT(AG73=""),LEFT(AG73,FIND(",",AG73)-1),"")</f>
        <v/>
      </c>
      <c r="C74" s="2498"/>
      <c r="D74" s="2498"/>
      <c r="E74" s="2439" t="str">
        <f t="shared" si="11"/>
        <v/>
      </c>
      <c r="F74" s="2436"/>
      <c r="G74" s="2436"/>
      <c r="H74" s="2437"/>
      <c r="I74" s="2439" t="str">
        <f t="shared" ca="1" si="7"/>
        <v/>
      </c>
      <c r="J74" s="2436"/>
      <c r="K74" s="2436"/>
      <c r="L74" s="2437"/>
      <c r="M74" s="2439" t="str">
        <f t="shared" si="12"/>
        <v/>
      </c>
      <c r="N74" s="2437"/>
      <c r="O74" s="2439" t="str">
        <f t="shared" si="13"/>
        <v/>
      </c>
      <c r="P74" s="2436"/>
      <c r="Q74" s="2436"/>
      <c r="R74" s="2437"/>
      <c r="S74" s="2439" t="str">
        <f t="shared" si="14"/>
        <v/>
      </c>
      <c r="T74" s="2436"/>
      <c r="U74" s="2437"/>
      <c r="V74" s="2439" t="str">
        <f t="shared" si="15"/>
        <v/>
      </c>
      <c r="W74" s="2436"/>
      <c r="X74" s="2437"/>
      <c r="Y74" s="1536" t="str">
        <f t="shared" si="24"/>
        <v/>
      </c>
      <c r="Z74" s="2495" t="str">
        <f t="shared" si="25"/>
        <v/>
      </c>
      <c r="AA74" s="2496"/>
      <c r="AB74" s="2496"/>
      <c r="AC74" s="2497"/>
      <c r="AD74" s="441" t="str">
        <f t="shared" si="16"/>
        <v/>
      </c>
      <c r="AE74" s="492"/>
      <c r="AF74" s="490"/>
      <c r="AG74" s="353" t="str">
        <f t="shared" si="23"/>
        <v/>
      </c>
      <c r="AH74" s="624"/>
      <c r="AI74" s="625"/>
      <c r="AJ74" s="625"/>
      <c r="AK74" s="625"/>
    </row>
    <row r="75" spans="1:37" s="436" customFormat="1" ht="12.75" hidden="1" customHeight="1" outlineLevel="1" x14ac:dyDescent="0.2">
      <c r="A75" s="622"/>
      <c r="B75" s="2437" t="str">
        <f>IF(NOT(AG74=""),LEFT(AG74,FIND(",",AG74)-1),"")</f>
        <v/>
      </c>
      <c r="C75" s="2498"/>
      <c r="D75" s="2498"/>
      <c r="E75" s="2439" t="str">
        <f t="shared" si="11"/>
        <v/>
      </c>
      <c r="F75" s="2436"/>
      <c r="G75" s="2436"/>
      <c r="H75" s="2437"/>
      <c r="I75" s="2439" t="str">
        <f t="shared" ca="1" si="7"/>
        <v/>
      </c>
      <c r="J75" s="2436"/>
      <c r="K75" s="2436"/>
      <c r="L75" s="2437"/>
      <c r="M75" s="2439" t="str">
        <f t="shared" si="12"/>
        <v/>
      </c>
      <c r="N75" s="2437"/>
      <c r="O75" s="2439" t="str">
        <f t="shared" si="13"/>
        <v/>
      </c>
      <c r="P75" s="2436"/>
      <c r="Q75" s="2436"/>
      <c r="R75" s="2437"/>
      <c r="S75" s="2439" t="str">
        <f t="shared" si="14"/>
        <v/>
      </c>
      <c r="T75" s="2436"/>
      <c r="U75" s="2437"/>
      <c r="V75" s="2439" t="str">
        <f t="shared" si="15"/>
        <v/>
      </c>
      <c r="W75" s="2436"/>
      <c r="X75" s="2437"/>
      <c r="Y75" s="1536" t="str">
        <f t="shared" si="24"/>
        <v/>
      </c>
      <c r="Z75" s="2495" t="str">
        <f t="shared" si="25"/>
        <v/>
      </c>
      <c r="AA75" s="2496"/>
      <c r="AB75" s="2496"/>
      <c r="AC75" s="2497"/>
      <c r="AD75" s="441" t="str">
        <f t="shared" si="16"/>
        <v/>
      </c>
      <c r="AE75" s="492"/>
      <c r="AF75" s="490"/>
      <c r="AG75" s="353" t="str">
        <f t="shared" si="23"/>
        <v/>
      </c>
      <c r="AH75" s="624"/>
      <c r="AI75" s="625"/>
      <c r="AJ75" s="625"/>
      <c r="AK75" s="625"/>
    </row>
    <row r="76" spans="1:37" s="436" customFormat="1" ht="10.5" customHeight="1" collapsed="1" thickBot="1" x14ac:dyDescent="0.25">
      <c r="A76" s="623"/>
      <c r="B76" s="438"/>
      <c r="C76" s="438"/>
      <c r="D76" s="438"/>
      <c r="E76" s="438"/>
      <c r="F76" s="438"/>
      <c r="G76" s="438"/>
      <c r="H76" s="438"/>
      <c r="I76" s="438"/>
      <c r="J76" s="438"/>
      <c r="K76" s="438"/>
      <c r="L76" s="438"/>
      <c r="M76" s="438"/>
      <c r="N76" s="438"/>
      <c r="O76" s="438"/>
      <c r="P76" s="438"/>
      <c r="Q76" s="438"/>
      <c r="R76" s="438"/>
      <c r="S76" s="438"/>
      <c r="T76" s="438"/>
      <c r="U76" s="438"/>
      <c r="V76" s="438"/>
      <c r="W76" s="438"/>
      <c r="X76" s="438"/>
      <c r="Y76" s="438"/>
      <c r="Z76" s="438"/>
      <c r="AA76" s="438"/>
      <c r="AB76" s="438"/>
      <c r="AC76" s="438" t="str">
        <f t="shared" ref="AC76:AD82" si="26">IF(ISBLANK($C76),"",SUM(VLOOKUP($C76,ZAUBERHELD,2,FALSE),VLOOKUP($C76,ZAUBERHELD,9,FALSE)))</f>
        <v/>
      </c>
      <c r="AD76" s="498"/>
      <c r="AE76" s="439"/>
      <c r="AG76" s="625"/>
      <c r="AH76" s="625"/>
      <c r="AI76" s="625"/>
      <c r="AJ76" s="625"/>
      <c r="AK76" s="625"/>
    </row>
    <row r="77" spans="1:37" ht="4.5" customHeight="1" thickTop="1" thickBot="1" x14ac:dyDescent="0.25">
      <c r="C77" s="1484"/>
      <c r="D77" s="1484"/>
      <c r="E77" s="1484"/>
      <c r="F77" s="1484"/>
      <c r="G77" s="1484"/>
      <c r="H77" s="1484"/>
      <c r="I77" s="1484"/>
      <c r="J77" s="1484"/>
      <c r="K77" s="1484"/>
      <c r="L77" s="1484"/>
      <c r="M77" s="1484"/>
      <c r="N77" s="1484"/>
      <c r="O77" s="1484"/>
      <c r="P77" s="1484"/>
      <c r="Q77" s="1484"/>
      <c r="R77" s="1484"/>
      <c r="S77" s="1484"/>
      <c r="T77" s="1484"/>
      <c r="U77" s="1484"/>
      <c r="V77" s="1484"/>
      <c r="W77" s="1484"/>
      <c r="X77" s="1484"/>
      <c r="Y77" s="1484"/>
      <c r="Z77" s="1484"/>
      <c r="AA77" s="1484"/>
      <c r="AB77" s="1484"/>
      <c r="AC77" s="1482" t="str">
        <f t="shared" si="26"/>
        <v/>
      </c>
      <c r="AD77" s="1481"/>
      <c r="AE77" s="1484"/>
    </row>
    <row r="78" spans="1:37" ht="5.25" customHeight="1" thickTop="1" x14ac:dyDescent="0.2">
      <c r="A78" s="500"/>
      <c r="B78" s="446"/>
      <c r="C78" s="1476"/>
      <c r="D78" s="1476"/>
      <c r="E78" s="1476"/>
      <c r="F78" s="1476"/>
      <c r="G78" s="1476"/>
      <c r="H78" s="1476"/>
      <c r="I78" s="1476"/>
      <c r="J78" s="1476"/>
      <c r="K78" s="1476"/>
      <c r="L78" s="1476"/>
      <c r="M78" s="1476"/>
      <c r="N78" s="1476"/>
      <c r="O78" s="1476"/>
      <c r="P78" s="1476"/>
      <c r="Q78" s="1476"/>
      <c r="R78" s="1476"/>
      <c r="S78" s="1476"/>
      <c r="T78" s="1476"/>
      <c r="U78" s="1476"/>
      <c r="V78" s="1476"/>
      <c r="W78" s="1476"/>
      <c r="X78" s="1476"/>
      <c r="Y78" s="1476"/>
      <c r="Z78" s="1476"/>
      <c r="AA78" s="1476"/>
      <c r="AB78" s="1476"/>
      <c r="AC78" s="1476" t="str">
        <f t="shared" si="26"/>
        <v/>
      </c>
      <c r="AD78" s="1476"/>
      <c r="AE78" s="1487"/>
    </row>
    <row r="79" spans="1:37" s="493" customFormat="1" ht="11.25" customHeight="1" x14ac:dyDescent="0.2">
      <c r="A79" s="2467" t="s">
        <v>4825</v>
      </c>
      <c r="B79" s="2468"/>
      <c r="C79" s="2523"/>
      <c r="D79" s="2473" t="s">
        <v>534</v>
      </c>
      <c r="E79" s="2473"/>
      <c r="F79" s="1478"/>
      <c r="G79" s="2473" t="s">
        <v>3046</v>
      </c>
      <c r="H79" s="2473"/>
      <c r="I79" s="1478"/>
      <c r="J79" s="2473" t="s">
        <v>4827</v>
      </c>
      <c r="K79" s="2473"/>
      <c r="L79" s="1478"/>
      <c r="M79" s="2473" t="s">
        <v>2502</v>
      </c>
      <c r="N79" s="2473"/>
      <c r="O79" s="2473"/>
      <c r="P79" s="1478"/>
      <c r="Q79" s="2473" t="s">
        <v>4828</v>
      </c>
      <c r="R79" s="2473"/>
      <c r="S79" s="1478"/>
      <c r="T79" s="2473" t="s">
        <v>4829</v>
      </c>
      <c r="U79" s="2473"/>
      <c r="V79" s="1478"/>
      <c r="W79" s="2473" t="s">
        <v>4262</v>
      </c>
      <c r="X79" s="2473"/>
      <c r="Y79" s="1478"/>
      <c r="Z79" s="452" t="s">
        <v>4263</v>
      </c>
      <c r="AA79" s="1478"/>
      <c r="AB79" s="452" t="s">
        <v>1489</v>
      </c>
      <c r="AC79" s="452" t="str">
        <f t="shared" si="26"/>
        <v/>
      </c>
      <c r="AD79" s="452"/>
      <c r="AE79" s="450"/>
    </row>
    <row r="80" spans="1:37" s="493" customFormat="1" ht="21" customHeight="1" x14ac:dyDescent="0.2">
      <c r="A80" s="2467"/>
      <c r="B80" s="2468"/>
      <c r="C80" s="2523"/>
      <c r="D80" s="2463" t="str">
        <f ca="1">ASPSTART</f>
        <v/>
      </c>
      <c r="E80" s="2463"/>
      <c r="F80" s="1479" t="s">
        <v>4826</v>
      </c>
      <c r="G80" s="2463">
        <f ca="1">IF(EXACT(ASPMOD,""),0,ASPMOD)-IF(VT_ASP,VT_ASP_WERT,0)</f>
        <v>0</v>
      </c>
      <c r="H80" s="2463"/>
      <c r="I80" s="1479" t="s">
        <v>4826</v>
      </c>
      <c r="J80" s="2463">
        <f>IF(VT_ASP,VT_ASP_WERT,0)</f>
        <v>0</v>
      </c>
      <c r="K80" s="2463"/>
      <c r="L80" s="1479" t="s">
        <v>4826</v>
      </c>
      <c r="M80" s="2463">
        <v>0</v>
      </c>
      <c r="N80" s="2463"/>
      <c r="O80" s="2463"/>
      <c r="P80" s="1479" t="s">
        <v>4826</v>
      </c>
      <c r="Q80" s="2463">
        <f ca="1">ASPMEDITATION</f>
        <v>0</v>
      </c>
      <c r="R80" s="2463"/>
      <c r="S80" s="1479" t="s">
        <v>4826</v>
      </c>
      <c r="T80" s="2463" t="str">
        <f ca="1">ASPZU</f>
        <v/>
      </c>
      <c r="U80" s="2463"/>
      <c r="V80" s="1479" t="s">
        <v>4830</v>
      </c>
      <c r="W80" s="2463">
        <f ca="1">SUM(D80,G80,J80,M80,Q80,T80)</f>
        <v>0</v>
      </c>
      <c r="X80" s="2463"/>
      <c r="Y80" s="1479"/>
      <c r="Z80" s="442">
        <f>pAsP</f>
        <v>0</v>
      </c>
      <c r="AA80" s="1479" t="s">
        <v>4830</v>
      </c>
      <c r="AB80" s="2463">
        <f ca="1">W80+Z80</f>
        <v>0</v>
      </c>
      <c r="AC80" s="2463"/>
      <c r="AD80" s="444" t="str">
        <f t="shared" si="26"/>
        <v/>
      </c>
      <c r="AE80" s="445"/>
    </row>
    <row r="81" spans="1:33" ht="5.25" customHeight="1" thickBot="1" x14ac:dyDescent="0.25">
      <c r="A81" s="501"/>
      <c r="B81" s="438"/>
      <c r="C81" s="1481"/>
      <c r="D81" s="1481"/>
      <c r="E81" s="1481"/>
      <c r="F81" s="1481"/>
      <c r="G81" s="1481"/>
      <c r="H81" s="1481"/>
      <c r="I81" s="1481"/>
      <c r="J81" s="1481"/>
      <c r="K81" s="1481"/>
      <c r="L81" s="1481"/>
      <c r="M81" s="1481"/>
      <c r="N81" s="1481"/>
      <c r="O81" s="1481"/>
      <c r="P81" s="1481"/>
      <c r="Q81" s="1481"/>
      <c r="R81" s="1481"/>
      <c r="S81" s="1481"/>
      <c r="T81" s="1481"/>
      <c r="U81" s="1481"/>
      <c r="V81" s="1481"/>
      <c r="W81" s="1481"/>
      <c r="X81" s="1481"/>
      <c r="Y81" s="1481"/>
      <c r="Z81" s="1481"/>
      <c r="AA81" s="1481"/>
      <c r="AB81" s="1481"/>
      <c r="AC81" s="1482" t="str">
        <f t="shared" si="26"/>
        <v/>
      </c>
      <c r="AD81" s="1481"/>
      <c r="AE81" s="1483"/>
    </row>
    <row r="82" spans="1:33" ht="4.5" customHeight="1" thickTop="1" thickBot="1" x14ac:dyDescent="0.25">
      <c r="AC82" s="466" t="str">
        <f t="shared" si="26"/>
        <v/>
      </c>
      <c r="AD82" s="499"/>
    </row>
    <row r="83" spans="1:33" s="506" customFormat="1" ht="15" customHeight="1" thickTop="1" x14ac:dyDescent="0.25">
      <c r="A83" s="509"/>
      <c r="B83" s="2513" t="s">
        <v>4728</v>
      </c>
      <c r="C83" s="2513"/>
      <c r="D83" s="2513"/>
      <c r="E83" s="2516" t="str">
        <f ca="1">CONCATENATE(IF(EXACT(Zauber!$BP$4,""),"",Zauber!$BP$4&amp;", "),IF(EXACT(Zauber!$BP$5,""),"",Zauber!$BP$5&amp;", "),IF(EXACT(Zauber!$A$237,""),"",Zauber!$A$237&amp;", "),IF(EXACT(Zauber!$A$238,""),"",Zauber!$A$238&amp;", "))</f>
        <v/>
      </c>
      <c r="F83" s="2516"/>
      <c r="G83" s="2516"/>
      <c r="H83" s="2516"/>
      <c r="I83" s="2516"/>
      <c r="J83" s="2516"/>
      <c r="K83" s="2513" t="s">
        <v>4730</v>
      </c>
      <c r="L83" s="2513"/>
      <c r="M83" s="2513"/>
      <c r="N83" s="2513"/>
      <c r="O83" s="2513"/>
      <c r="P83" s="2513"/>
      <c r="Q83" s="2513"/>
      <c r="R83" s="2513"/>
      <c r="S83" s="2530" t="str">
        <f ca="1">CONCATENATE(Zauber!T3,IF(EXACT(Zauber!T4,""),"",", "),Zauber!T4,IF(EXACT(Zauber!T5,""),"",", "),Zauber!T5,IF(EXACT(Zauber!T6,""),"",", "),Zauber!T6,IF(EXACT(Zauber!T7,""),"",", "),Zauber!T7,IF(EXACT(Zauber!T8,""),"",", "),Zauber!T8)</f>
        <v/>
      </c>
      <c r="T83" s="2530"/>
      <c r="U83" s="2530"/>
      <c r="V83" s="2530"/>
      <c r="W83" s="2530"/>
      <c r="X83" s="2530"/>
      <c r="Y83" s="2530"/>
      <c r="Z83" s="2530"/>
      <c r="AA83" s="2530"/>
      <c r="AB83" s="2530"/>
      <c r="AC83" s="2530"/>
      <c r="AD83" s="66"/>
      <c r="AE83" s="495"/>
    </row>
    <row r="84" spans="1:33" s="506" customFormat="1" ht="15" x14ac:dyDescent="0.25">
      <c r="A84" s="507"/>
      <c r="B84" s="2505" t="s">
        <v>5087</v>
      </c>
      <c r="C84" s="2505"/>
      <c r="D84" s="2504" t="str">
        <f ca="1">CONCATENATE(IF(EXACT(Zauber!$BP$2,""),"",Zauber!$BP$2&amp;", "),IF(EXACT(Zauber!$BP$3,""),"",Zauber!$BP$3&amp;", "),IF(EXACT(Zauber!$AF$241,""),"",Zauber!$AF$241&amp;", "),IF(EXACT(Zauber!$AF$242,""),"",Zauber!$AF$242&amp;", "),IF(EXACT(Zauber!$AF$243,""),"",Zauber!$AF$243&amp;", "),IF(EXACT(Zauber!$AF$244,""),"",Zauber!$AF$244&amp;", "),IF(EXACT(Zauber!$AF$245,""),"",Zauber!$AF$245&amp;", "),IF(EXACT(Zauber!$AF$246,""),"",Zauber!$AF$246&amp;", "),IF(EXACT(Zauber!$AF$247,""),"",Zauber!$AF$247&amp;", "))</f>
        <v/>
      </c>
      <c r="E84" s="2504"/>
      <c r="F84" s="2504"/>
      <c r="G84" s="2504"/>
      <c r="H84" s="2504"/>
      <c r="I84" s="2504"/>
      <c r="J84" s="2504"/>
      <c r="K84" s="2505" t="s">
        <v>4729</v>
      </c>
      <c r="L84" s="2505"/>
      <c r="M84" s="2505"/>
      <c r="N84" s="2505"/>
      <c r="O84" s="2505"/>
      <c r="P84" s="2505"/>
      <c r="Q84" s="2505"/>
      <c r="R84" s="2505"/>
      <c r="S84" s="2517" t="str">
        <f ca="1">CONCATENATE(Zauber!AC6,IF(EXACT(Zauber!AC7,""),"",", "),Zauber!AC7,IF(EXACT(Zauber!AC8,""),"",", "),Zauber!AC8)</f>
        <v/>
      </c>
      <c r="T84" s="2517"/>
      <c r="U84" s="2517"/>
      <c r="V84" s="2517"/>
      <c r="W84" s="2517"/>
      <c r="X84" s="2517"/>
      <c r="Y84" s="2517"/>
      <c r="Z84" s="2517"/>
      <c r="AA84" s="2517"/>
      <c r="AB84" s="2517"/>
      <c r="AC84" s="2517"/>
      <c r="AD84" s="87"/>
      <c r="AE84" s="496"/>
    </row>
    <row r="85" spans="1:33" s="506" customFormat="1" ht="3.75" customHeight="1" thickBot="1" x14ac:dyDescent="0.3">
      <c r="A85" s="503"/>
      <c r="B85" s="511"/>
      <c r="C85" s="511"/>
      <c r="D85" s="512"/>
      <c r="E85" s="512"/>
      <c r="F85" s="512"/>
      <c r="G85" s="512"/>
      <c r="H85" s="512"/>
      <c r="I85" s="512"/>
      <c r="J85" s="512"/>
      <c r="K85" s="511"/>
      <c r="L85" s="511"/>
      <c r="M85" s="511"/>
      <c r="N85" s="512"/>
      <c r="O85" s="512"/>
      <c r="P85" s="512"/>
      <c r="Q85" s="512"/>
      <c r="R85" s="512"/>
      <c r="S85" s="512"/>
      <c r="T85" s="512"/>
      <c r="U85" s="512"/>
      <c r="V85" s="512"/>
      <c r="W85" s="512"/>
      <c r="X85" s="512"/>
      <c r="Y85" s="512"/>
      <c r="Z85" s="512"/>
      <c r="AA85" s="512"/>
      <c r="AB85" s="512"/>
      <c r="AC85" s="512"/>
      <c r="AD85" s="505"/>
      <c r="AE85" s="497"/>
    </row>
    <row r="86" spans="1:33" ht="9.75" customHeight="1" outlineLevel="1" thickTop="1" thickBot="1" x14ac:dyDescent="0.25"/>
    <row r="87" spans="1:33" ht="15.75" customHeight="1" outlineLevel="2" thickTop="1" x14ac:dyDescent="0.3">
      <c r="A87" s="509"/>
      <c r="B87" s="2515" t="s">
        <v>783</v>
      </c>
      <c r="C87" s="2515"/>
      <c r="D87" s="2515"/>
      <c r="E87" s="2515"/>
      <c r="F87" s="2515"/>
      <c r="G87" s="2515"/>
      <c r="H87" s="2515"/>
      <c r="I87" s="2515"/>
      <c r="J87" s="2515"/>
      <c r="K87" s="2515"/>
      <c r="L87" s="2515"/>
      <c r="M87" s="2515"/>
      <c r="N87" s="495"/>
      <c r="P87" s="509"/>
      <c r="Q87" s="1591" t="s">
        <v>1446</v>
      </c>
      <c r="R87" s="1591"/>
      <c r="S87" s="1591"/>
      <c r="T87" s="1591"/>
      <c r="U87" s="1591"/>
      <c r="V87" s="1591"/>
      <c r="W87" s="1591"/>
      <c r="X87" s="1591"/>
      <c r="Y87" s="2529" t="s">
        <v>9011</v>
      </c>
      <c r="Z87" s="2529"/>
      <c r="AA87" s="2529"/>
      <c r="AB87" s="2529"/>
      <c r="AC87" s="2529"/>
      <c r="AD87" s="1592" t="str">
        <f ca="1">SUM(Y89:Y96) &amp; " / " &amp; MR+IN</f>
        <v>0 / 13</v>
      </c>
      <c r="AE87" s="495"/>
    </row>
    <row r="88" spans="1:33" ht="12.75" customHeight="1" outlineLevel="2" x14ac:dyDescent="0.2">
      <c r="A88" s="507" t="s">
        <v>784</v>
      </c>
      <c r="B88" s="2512" t="s">
        <v>785</v>
      </c>
      <c r="C88" s="2512"/>
      <c r="D88" s="2512"/>
      <c r="E88" s="2512"/>
      <c r="F88" s="2512"/>
      <c r="G88" s="2512"/>
      <c r="H88" s="2512"/>
      <c r="I88" s="2512"/>
      <c r="J88" s="2512"/>
      <c r="K88" s="2512"/>
      <c r="L88" s="2512"/>
      <c r="M88" s="2512"/>
      <c r="N88" s="496"/>
      <c r="O88" s="1484"/>
      <c r="P88" s="1493"/>
      <c r="Q88" s="2511" t="s">
        <v>1588</v>
      </c>
      <c r="R88" s="2511"/>
      <c r="S88" s="2511"/>
      <c r="T88" s="2511"/>
      <c r="U88" s="1484"/>
      <c r="V88" s="1484"/>
      <c r="W88" s="1484"/>
      <c r="X88" s="1484"/>
      <c r="Y88" s="1494" t="s">
        <v>9012</v>
      </c>
      <c r="Z88" s="2528" t="s">
        <v>786</v>
      </c>
      <c r="AA88" s="2528"/>
      <c r="AB88" s="2528"/>
      <c r="AC88" s="2528"/>
      <c r="AD88" s="2528"/>
      <c r="AE88" s="1495"/>
      <c r="AF88" s="1484"/>
      <c r="AG88" s="1484"/>
    </row>
    <row r="89" spans="1:33" ht="12.75" customHeight="1" outlineLevel="2" x14ac:dyDescent="0.2">
      <c r="A89" s="507"/>
      <c r="B89" s="2514" t="s">
        <v>4906</v>
      </c>
      <c r="C89" s="2514"/>
      <c r="D89" s="2514"/>
      <c r="E89" s="2514"/>
      <c r="F89" s="2514"/>
      <c r="G89" s="2514"/>
      <c r="H89" s="2514"/>
      <c r="I89" s="2514"/>
      <c r="J89" s="2514"/>
      <c r="K89" s="2514"/>
      <c r="L89" s="2514"/>
      <c r="M89" s="2514"/>
      <c r="N89" s="496"/>
      <c r="O89" s="1484"/>
      <c r="P89" s="1493"/>
      <c r="Q89" s="2506"/>
      <c r="R89" s="2506"/>
      <c r="S89" s="2506"/>
      <c r="T89" s="2506"/>
      <c r="U89" s="2506"/>
      <c r="V89" s="2506"/>
      <c r="W89" s="2506"/>
      <c r="X89" s="2507"/>
      <c r="Y89" s="1496"/>
      <c r="Z89" s="2506"/>
      <c r="AA89" s="2506"/>
      <c r="AB89" s="2506"/>
      <c r="AC89" s="2506"/>
      <c r="AD89" s="2506"/>
      <c r="AE89" s="1495"/>
      <c r="AF89" s="1484"/>
      <c r="AG89" s="1484"/>
    </row>
    <row r="90" spans="1:33" ht="12.75" customHeight="1" outlineLevel="2" x14ac:dyDescent="0.2">
      <c r="A90" s="507"/>
      <c r="B90" s="2514"/>
      <c r="C90" s="2514"/>
      <c r="D90" s="2514"/>
      <c r="E90" s="2514"/>
      <c r="F90" s="2514"/>
      <c r="G90" s="2514"/>
      <c r="H90" s="2514"/>
      <c r="I90" s="2514"/>
      <c r="J90" s="2514"/>
      <c r="K90" s="2514"/>
      <c r="L90" s="2514"/>
      <c r="M90" s="2514"/>
      <c r="N90" s="496"/>
      <c r="O90" s="1484"/>
      <c r="P90" s="1493"/>
      <c r="Q90" s="2506"/>
      <c r="R90" s="2506"/>
      <c r="S90" s="2506"/>
      <c r="T90" s="2506"/>
      <c r="U90" s="2506"/>
      <c r="V90" s="2506"/>
      <c r="W90" s="2506"/>
      <c r="X90" s="2507"/>
      <c r="Y90" s="1496"/>
      <c r="Z90" s="2506"/>
      <c r="AA90" s="2506"/>
      <c r="AB90" s="2506"/>
      <c r="AC90" s="2506"/>
      <c r="AD90" s="2506"/>
      <c r="AE90" s="1495"/>
      <c r="AF90" s="1484"/>
      <c r="AG90" s="1484"/>
    </row>
    <row r="91" spans="1:33" ht="12.75" customHeight="1" outlineLevel="2" x14ac:dyDescent="0.2">
      <c r="A91" s="507"/>
      <c r="B91" s="2514"/>
      <c r="C91" s="2514"/>
      <c r="D91" s="2514"/>
      <c r="E91" s="2514"/>
      <c r="F91" s="2514"/>
      <c r="G91" s="2514"/>
      <c r="H91" s="2514"/>
      <c r="I91" s="2514"/>
      <c r="J91" s="2514"/>
      <c r="K91" s="2514"/>
      <c r="L91" s="2514"/>
      <c r="M91" s="2514"/>
      <c r="N91" s="496"/>
      <c r="O91" s="1484"/>
      <c r="P91" s="1493"/>
      <c r="Q91" s="2506"/>
      <c r="R91" s="2506"/>
      <c r="S91" s="2506"/>
      <c r="T91" s="2506"/>
      <c r="U91" s="2506"/>
      <c r="V91" s="2506"/>
      <c r="W91" s="2506"/>
      <c r="X91" s="2507"/>
      <c r="Y91" s="1496"/>
      <c r="Z91" s="2506"/>
      <c r="AA91" s="2506"/>
      <c r="AB91" s="2506"/>
      <c r="AC91" s="2506"/>
      <c r="AD91" s="2506"/>
      <c r="AE91" s="1495"/>
      <c r="AF91" s="1484"/>
      <c r="AG91" s="1484"/>
    </row>
    <row r="92" spans="1:33" ht="12.75" customHeight="1" outlineLevel="2" x14ac:dyDescent="0.2">
      <c r="A92" s="507"/>
      <c r="B92" s="2514"/>
      <c r="C92" s="2514"/>
      <c r="D92" s="2514"/>
      <c r="E92" s="2514"/>
      <c r="F92" s="2514"/>
      <c r="G92" s="2514"/>
      <c r="H92" s="2514"/>
      <c r="I92" s="2514"/>
      <c r="J92" s="2514"/>
      <c r="K92" s="2514"/>
      <c r="L92" s="2514"/>
      <c r="M92" s="2514"/>
      <c r="N92" s="496"/>
      <c r="O92" s="1484"/>
      <c r="P92" s="1493"/>
      <c r="Q92" s="2506"/>
      <c r="R92" s="2506"/>
      <c r="S92" s="2506"/>
      <c r="T92" s="2506"/>
      <c r="U92" s="2506"/>
      <c r="V92" s="2506"/>
      <c r="W92" s="2506"/>
      <c r="X92" s="2507"/>
      <c r="Y92" s="1496"/>
      <c r="Z92" s="2506"/>
      <c r="AA92" s="2506"/>
      <c r="AB92" s="2506"/>
      <c r="AC92" s="2506"/>
      <c r="AD92" s="2506"/>
      <c r="AE92" s="1495"/>
      <c r="AF92" s="1484"/>
      <c r="AG92" s="1484"/>
    </row>
    <row r="93" spans="1:33" ht="12.75" customHeight="1" outlineLevel="2" x14ac:dyDescent="0.2">
      <c r="A93" s="507"/>
      <c r="B93" s="2514"/>
      <c r="C93" s="2514"/>
      <c r="D93" s="2514"/>
      <c r="E93" s="2514"/>
      <c r="F93" s="2514"/>
      <c r="G93" s="2514"/>
      <c r="H93" s="2514"/>
      <c r="I93" s="2514"/>
      <c r="J93" s="2514"/>
      <c r="K93" s="2514"/>
      <c r="L93" s="2514"/>
      <c r="M93" s="2514"/>
      <c r="N93" s="496"/>
      <c r="O93" s="1484"/>
      <c r="P93" s="1493"/>
      <c r="Q93" s="2506"/>
      <c r="R93" s="2506"/>
      <c r="S93" s="2506"/>
      <c r="T93" s="2506"/>
      <c r="U93" s="2506"/>
      <c r="V93" s="2506"/>
      <c r="W93" s="2506"/>
      <c r="X93" s="2507"/>
      <c r="Y93" s="1496"/>
      <c r="Z93" s="2506"/>
      <c r="AA93" s="2506"/>
      <c r="AB93" s="2506"/>
      <c r="AC93" s="2506"/>
      <c r="AD93" s="2506"/>
      <c r="AE93" s="1495"/>
      <c r="AF93" s="1484"/>
      <c r="AG93" s="1484"/>
    </row>
    <row r="94" spans="1:33" ht="12.75" customHeight="1" outlineLevel="2" x14ac:dyDescent="0.2">
      <c r="A94" s="507"/>
      <c r="B94" s="2514"/>
      <c r="C94" s="2514"/>
      <c r="D94" s="2514"/>
      <c r="E94" s="2514"/>
      <c r="F94" s="2514"/>
      <c r="G94" s="2514"/>
      <c r="H94" s="2514"/>
      <c r="I94" s="2514"/>
      <c r="J94" s="2514"/>
      <c r="K94" s="2514"/>
      <c r="L94" s="2514"/>
      <c r="M94" s="2514"/>
      <c r="N94" s="496"/>
      <c r="O94" s="1484"/>
      <c r="P94" s="1493"/>
      <c r="Q94" s="2506"/>
      <c r="R94" s="2506"/>
      <c r="S94" s="2506"/>
      <c r="T94" s="2506"/>
      <c r="U94" s="2506"/>
      <c r="V94" s="2506"/>
      <c r="W94" s="2506"/>
      <c r="X94" s="2507"/>
      <c r="Y94" s="1496"/>
      <c r="Z94" s="2506"/>
      <c r="AA94" s="2506"/>
      <c r="AB94" s="2506"/>
      <c r="AC94" s="2506"/>
      <c r="AD94" s="2506"/>
      <c r="AE94" s="1495"/>
      <c r="AF94" s="1484"/>
      <c r="AG94" s="1484"/>
    </row>
    <row r="95" spans="1:33" ht="12.75" customHeight="1" outlineLevel="2" x14ac:dyDescent="0.2">
      <c r="A95" s="507"/>
      <c r="B95" s="2514"/>
      <c r="C95" s="2514"/>
      <c r="D95" s="2514"/>
      <c r="E95" s="2514"/>
      <c r="F95" s="2514"/>
      <c r="G95" s="2514"/>
      <c r="H95" s="2514"/>
      <c r="I95" s="2514"/>
      <c r="J95" s="2514"/>
      <c r="K95" s="2514"/>
      <c r="L95" s="2514"/>
      <c r="M95" s="2514"/>
      <c r="N95" s="496"/>
      <c r="O95" s="1484"/>
      <c r="P95" s="1493"/>
      <c r="Q95" s="2506"/>
      <c r="R95" s="2506"/>
      <c r="S95" s="2506"/>
      <c r="T95" s="2506"/>
      <c r="U95" s="2506"/>
      <c r="V95" s="2506"/>
      <c r="W95" s="2506"/>
      <c r="X95" s="2507"/>
      <c r="Y95" s="1496"/>
      <c r="Z95" s="2506"/>
      <c r="AA95" s="2506"/>
      <c r="AB95" s="2506"/>
      <c r="AC95" s="2506"/>
      <c r="AD95" s="2506"/>
      <c r="AE95" s="1495"/>
      <c r="AF95" s="1484"/>
      <c r="AG95" s="1484"/>
    </row>
    <row r="96" spans="1:33" ht="12.75" customHeight="1" outlineLevel="2" x14ac:dyDescent="0.2">
      <c r="A96" s="507"/>
      <c r="B96" s="513"/>
      <c r="C96" s="513"/>
      <c r="D96" s="513"/>
      <c r="E96" s="513"/>
      <c r="F96" s="513"/>
      <c r="G96" s="513"/>
      <c r="H96" s="436"/>
      <c r="I96" s="436"/>
      <c r="J96" s="436"/>
      <c r="K96" s="436"/>
      <c r="L96" s="436"/>
      <c r="M96" s="436"/>
      <c r="N96" s="496"/>
      <c r="O96" s="1484"/>
      <c r="P96" s="1493"/>
      <c r="Q96" s="2506"/>
      <c r="R96" s="2506"/>
      <c r="S96" s="2506"/>
      <c r="T96" s="2506"/>
      <c r="U96" s="2506"/>
      <c r="V96" s="2506"/>
      <c r="W96" s="2506"/>
      <c r="X96" s="2507"/>
      <c r="Y96" s="1496"/>
      <c r="Z96" s="2506"/>
      <c r="AA96" s="2506"/>
      <c r="AB96" s="2506"/>
      <c r="AC96" s="2506"/>
      <c r="AD96" s="2506"/>
      <c r="AE96" s="1495"/>
      <c r="AF96" s="1484"/>
      <c r="AG96" s="1484"/>
    </row>
    <row r="97" spans="1:33" ht="5.25" customHeight="1" outlineLevel="2" thickBot="1" x14ac:dyDescent="0.25">
      <c r="A97" s="503"/>
      <c r="B97" s="505"/>
      <c r="C97" s="505"/>
      <c r="D97" s="505"/>
      <c r="E97" s="505"/>
      <c r="F97" s="505"/>
      <c r="G97" s="505"/>
      <c r="H97" s="438"/>
      <c r="I97" s="438"/>
      <c r="J97" s="438"/>
      <c r="K97" s="438"/>
      <c r="L97" s="438"/>
      <c r="M97" s="438"/>
      <c r="N97" s="497"/>
      <c r="O97" s="1484"/>
      <c r="P97" s="1497"/>
      <c r="Q97" s="1481"/>
      <c r="R97" s="1481"/>
      <c r="S97" s="1481"/>
      <c r="T97" s="1481"/>
      <c r="U97" s="1481"/>
      <c r="V97" s="1481"/>
      <c r="W97" s="1481"/>
      <c r="X97" s="1481"/>
      <c r="Y97" s="1481"/>
      <c r="Z97" s="1481"/>
      <c r="AA97" s="1481"/>
      <c r="AB97" s="1481"/>
      <c r="AC97" s="1481"/>
      <c r="AD97" s="1481"/>
      <c r="AE97" s="1498"/>
      <c r="AF97" s="1484"/>
      <c r="AG97" s="1484"/>
    </row>
    <row r="98" spans="1:33" ht="9.75" customHeight="1" thickTop="1" thickBot="1" x14ac:dyDescent="0.25">
      <c r="O98" s="1484"/>
      <c r="P98" s="1484"/>
      <c r="Q98" s="1484"/>
      <c r="R98" s="1484"/>
      <c r="S98" s="1484"/>
      <c r="T98" s="1484"/>
      <c r="U98" s="1484"/>
      <c r="V98" s="1484"/>
      <c r="W98" s="1484"/>
      <c r="X98" s="1484"/>
      <c r="Y98" s="1484"/>
      <c r="Z98" s="1484"/>
      <c r="AA98" s="1484"/>
      <c r="AB98" s="1484"/>
      <c r="AC98" s="1484"/>
      <c r="AD98" s="1484"/>
      <c r="AE98" s="1484"/>
      <c r="AF98" s="1484"/>
      <c r="AG98" s="1484"/>
    </row>
    <row r="99" spans="1:33" ht="5.25" customHeight="1" outlineLevel="1" thickTop="1" x14ac:dyDescent="0.2">
      <c r="A99" s="500"/>
      <c r="B99" s="446"/>
      <c r="C99" s="446"/>
      <c r="D99" s="446"/>
      <c r="E99" s="446"/>
      <c r="F99" s="446"/>
      <c r="G99" s="446"/>
      <c r="H99" s="446"/>
      <c r="I99" s="446"/>
      <c r="J99" s="446"/>
      <c r="K99" s="446"/>
      <c r="L99" s="446"/>
      <c r="M99" s="446"/>
      <c r="N99" s="446"/>
      <c r="O99" s="446"/>
      <c r="P99" s="446"/>
      <c r="Q99" s="446"/>
      <c r="R99" s="446"/>
      <c r="S99" s="446"/>
      <c r="T99" s="446"/>
      <c r="U99" s="446"/>
      <c r="V99" s="446"/>
      <c r="W99" s="446"/>
      <c r="X99" s="446"/>
      <c r="Y99" s="446"/>
      <c r="Z99" s="446"/>
      <c r="AA99" s="446"/>
      <c r="AB99" s="446"/>
      <c r="AC99" s="446" t="str">
        <f>IF(ISBLANK($C99),"",SUM(VLOOKUP($C99,ZAUBERHELD,2,FALSE),VLOOKUP($C99,ZAUBERHELD,9,FALSE)))</f>
        <v/>
      </c>
      <c r="AD99" s="446"/>
      <c r="AE99" s="448"/>
    </row>
    <row r="100" spans="1:33" ht="14.25" customHeight="1" outlineLevel="1" x14ac:dyDescent="0.3">
      <c r="A100" s="507" t="s">
        <v>784</v>
      </c>
      <c r="B100" s="2510" t="s">
        <v>414</v>
      </c>
      <c r="C100" s="2510"/>
      <c r="D100" s="2510"/>
      <c r="E100" s="2510"/>
      <c r="F100" s="2510"/>
      <c r="G100" s="2510"/>
      <c r="H100" s="2510"/>
      <c r="I100" s="2510"/>
      <c r="J100" s="2510"/>
      <c r="K100" s="2510"/>
      <c r="L100" s="2510"/>
      <c r="M100" s="2510"/>
      <c r="N100" s="128"/>
      <c r="O100" s="128"/>
      <c r="P100" s="128"/>
      <c r="Q100" s="128"/>
      <c r="R100" s="128"/>
      <c r="S100" s="128"/>
      <c r="T100" s="128"/>
      <c r="U100" s="128"/>
      <c r="V100" s="128"/>
      <c r="W100" s="128"/>
      <c r="X100" s="128"/>
      <c r="Y100" s="128"/>
      <c r="Z100" s="128"/>
      <c r="AA100" s="128"/>
      <c r="AB100" s="128"/>
      <c r="AC100" s="128"/>
      <c r="AD100" s="128"/>
      <c r="AE100" s="437"/>
      <c r="AF100" s="507" t="s">
        <v>784</v>
      </c>
    </row>
    <row r="101" spans="1:33" ht="12.75" customHeight="1" outlineLevel="1" x14ac:dyDescent="0.25">
      <c r="A101" s="507"/>
      <c r="B101" s="228" t="s">
        <v>2511</v>
      </c>
      <c r="C101" s="227"/>
      <c r="D101" s="2508" t="str">
        <f>IF(Eigenschaften!A117="","",Eigenschaften!A117)</f>
        <v/>
      </c>
      <c r="E101" s="2508"/>
      <c r="F101" s="2508"/>
      <c r="G101" s="2508"/>
      <c r="H101" s="2508"/>
      <c r="I101" s="2508"/>
      <c r="J101" s="2508"/>
      <c r="K101" s="2508"/>
      <c r="L101" s="2508"/>
      <c r="M101" s="2508"/>
      <c r="N101" s="227"/>
      <c r="O101" s="227"/>
      <c r="P101" s="231"/>
      <c r="Q101" s="229" t="s">
        <v>2512</v>
      </c>
      <c r="R101" s="227"/>
      <c r="S101" s="227"/>
      <c r="T101" s="2508" t="str">
        <f>IF(VERTRAUTENART="","",CONCATENATE(Eigenschaften!A115," (",VERTRAUTENART,")"))</f>
        <v/>
      </c>
      <c r="U101" s="2508"/>
      <c r="V101" s="2508"/>
      <c r="W101" s="2508"/>
      <c r="X101" s="2508"/>
      <c r="Y101" s="2508"/>
      <c r="Z101" s="2508"/>
      <c r="AA101" s="2508"/>
      <c r="AB101" s="2508"/>
      <c r="AC101" s="2508"/>
      <c r="AD101" s="230"/>
      <c r="AE101" s="437"/>
      <c r="AF101" s="507"/>
    </row>
    <row r="102" spans="1:33" ht="12.75" customHeight="1" outlineLevel="1" x14ac:dyDescent="0.25">
      <c r="A102" s="507"/>
      <c r="B102" s="225" t="s">
        <v>74</v>
      </c>
      <c r="C102" s="2499" t="str">
        <f>IF(VERTRAUTENART="","",SUM(Eigenschaften!B119:G119))</f>
        <v/>
      </c>
      <c r="D102" s="2499"/>
      <c r="E102" s="3"/>
      <c r="F102" s="224"/>
      <c r="G102" s="226" t="str">
        <f>IF(VERTRAUTENART="","","LE  "&amp;SUM(Eigenschaften!B127:G127))</f>
        <v/>
      </c>
      <c r="H102" s="1499"/>
      <c r="I102" s="1500"/>
      <c r="J102" s="1500"/>
      <c r="K102" s="1500"/>
      <c r="L102" s="224"/>
      <c r="M102" s="225" t="s">
        <v>716</v>
      </c>
      <c r="N102" s="2500" t="str">
        <f>IF(VERTRAUTENART="","",SUM(Eigenschaften!B131:G131))</f>
        <v/>
      </c>
      <c r="O102" s="2500"/>
      <c r="P102" s="224"/>
      <c r="Q102" s="1306" t="s">
        <v>413</v>
      </c>
      <c r="R102" s="128"/>
      <c r="S102" s="128"/>
      <c r="T102" s="128"/>
      <c r="U102" s="128"/>
      <c r="V102" s="128"/>
      <c r="W102" s="128"/>
      <c r="X102" s="128"/>
      <c r="Y102" s="128"/>
      <c r="Z102" s="1306" t="s">
        <v>1838</v>
      </c>
      <c r="AA102" s="128"/>
      <c r="AB102" s="128"/>
      <c r="AC102" s="128"/>
      <c r="AD102" s="128"/>
      <c r="AE102" s="437"/>
      <c r="AF102" s="507"/>
    </row>
    <row r="103" spans="1:33" ht="12.75" customHeight="1" outlineLevel="1" x14ac:dyDescent="0.25">
      <c r="A103" s="507"/>
      <c r="B103" s="226" t="s">
        <v>75</v>
      </c>
      <c r="C103" s="2499" t="str">
        <f>IF(VERTRAUTENART="","",SUM(Eigenschaften!B120:G120))</f>
        <v/>
      </c>
      <c r="D103" s="2499"/>
      <c r="E103" s="3"/>
      <c r="F103" s="224"/>
      <c r="G103" s="226" t="str">
        <f>IF(VERTRAUTENART="","","AE  "&amp;SUM(Eigenschaften!B128:G128))</f>
        <v/>
      </c>
      <c r="H103" s="1499"/>
      <c r="I103" s="2500"/>
      <c r="J103" s="2500"/>
      <c r="K103" s="2500"/>
      <c r="L103" s="224"/>
      <c r="M103" s="226" t="s">
        <v>717</v>
      </c>
      <c r="N103" s="2500" t="str">
        <f>IF(VERTRAUTENART="","",SUM(Eigenschaften!B132:G132))</f>
        <v/>
      </c>
      <c r="O103" s="2500"/>
      <c r="P103" s="224"/>
      <c r="Q103" s="2509"/>
      <c r="R103" s="2509"/>
      <c r="S103" s="2509"/>
      <c r="T103" s="2509"/>
      <c r="U103" s="2509"/>
      <c r="V103" s="2509"/>
      <c r="W103" s="2509"/>
      <c r="X103" s="2509"/>
      <c r="Y103" s="1484"/>
      <c r="Z103" s="2509"/>
      <c r="AA103" s="2509"/>
      <c r="AB103" s="2509"/>
      <c r="AC103" s="2509"/>
      <c r="AD103" s="2509"/>
      <c r="AE103" s="437"/>
      <c r="AF103" s="507"/>
    </row>
    <row r="104" spans="1:33" ht="12.75" customHeight="1" outlineLevel="1" x14ac:dyDescent="0.25">
      <c r="A104" s="507"/>
      <c r="B104" s="226" t="s">
        <v>76</v>
      </c>
      <c r="C104" s="2499" t="str">
        <f>IF(VERTRAUTENART="","",SUM(Eigenschaften!B121:G121))</f>
        <v/>
      </c>
      <c r="D104" s="2499"/>
      <c r="E104" s="3"/>
      <c r="F104" s="224"/>
      <c r="G104" s="226" t="str">
        <f>IF(VERTRAUTENART="","","AU "&amp;SUM(Eigenschaften!B129:G129))</f>
        <v/>
      </c>
      <c r="H104" s="1499"/>
      <c r="I104" s="2500"/>
      <c r="J104" s="2500"/>
      <c r="K104" s="2500"/>
      <c r="L104" s="224"/>
      <c r="M104" s="226" t="s">
        <v>2497</v>
      </c>
      <c r="N104" s="2500" t="str">
        <f>IF(VERTRAUTENART="","",Eigenschaften!B139)</f>
        <v/>
      </c>
      <c r="O104" s="2500"/>
      <c r="P104" s="224"/>
      <c r="Q104" s="2509"/>
      <c r="R104" s="2509"/>
      <c r="S104" s="2509"/>
      <c r="T104" s="2509"/>
      <c r="U104" s="2509"/>
      <c r="V104" s="2509"/>
      <c r="W104" s="2509"/>
      <c r="X104" s="2509"/>
      <c r="Y104" s="1484"/>
      <c r="Z104" s="2509"/>
      <c r="AA104" s="2509"/>
      <c r="AB104" s="2509"/>
      <c r="AC104" s="2509"/>
      <c r="AD104" s="2509"/>
      <c r="AE104" s="437"/>
      <c r="AF104" s="507"/>
    </row>
    <row r="105" spans="1:33" ht="12.75" customHeight="1" outlineLevel="1" x14ac:dyDescent="0.25">
      <c r="A105" s="507"/>
      <c r="B105" s="226" t="s">
        <v>77</v>
      </c>
      <c r="C105" s="2499" t="str">
        <f>IF(VERTRAUTENART="","",SUM(Eigenschaften!B122:G122))</f>
        <v/>
      </c>
      <c r="D105" s="2499"/>
      <c r="E105" s="3"/>
      <c r="F105" s="224"/>
      <c r="G105" s="226"/>
      <c r="H105" s="1501"/>
      <c r="I105" s="2500"/>
      <c r="J105" s="2500"/>
      <c r="K105" s="2500"/>
      <c r="L105" s="224"/>
      <c r="M105" s="226" t="s">
        <v>406</v>
      </c>
      <c r="N105" s="2500" t="str">
        <f>IF(VERTRAUTENART="","",Eigenschaften!B138)</f>
        <v/>
      </c>
      <c r="O105" s="2500"/>
      <c r="P105" s="224"/>
      <c r="Q105" s="2509"/>
      <c r="R105" s="2509"/>
      <c r="S105" s="2509"/>
      <c r="T105" s="2509"/>
      <c r="U105" s="2509"/>
      <c r="V105" s="2509"/>
      <c r="W105" s="2509"/>
      <c r="X105" s="2509"/>
      <c r="Y105" s="1484"/>
      <c r="Z105" s="2509"/>
      <c r="AA105" s="2509"/>
      <c r="AB105" s="2509"/>
      <c r="AC105" s="2509"/>
      <c r="AD105" s="2509"/>
      <c r="AE105" s="437"/>
      <c r="AF105" s="507"/>
    </row>
    <row r="106" spans="1:33" ht="12.75" customHeight="1" outlineLevel="1" x14ac:dyDescent="0.25">
      <c r="A106" s="507"/>
      <c r="B106" s="226" t="s">
        <v>750</v>
      </c>
      <c r="C106" s="2499" t="str">
        <f>IF(VERTRAUTENART="","",SUM(Eigenschaften!B123:G123))</f>
        <v/>
      </c>
      <c r="D106" s="2499"/>
      <c r="E106" s="3"/>
      <c r="F106" s="224"/>
      <c r="G106" s="226"/>
      <c r="H106" s="1501"/>
      <c r="I106" s="2500"/>
      <c r="J106" s="2500"/>
      <c r="K106" s="2500"/>
      <c r="L106" s="224"/>
      <c r="M106" s="225" t="s">
        <v>2499</v>
      </c>
      <c r="N106" s="2500" t="str">
        <f>IF(VERTRAUTENART="","",Eigenschaften!B137)</f>
        <v/>
      </c>
      <c r="O106" s="2500"/>
      <c r="P106" s="224"/>
      <c r="Q106" s="2509"/>
      <c r="R106" s="2509"/>
      <c r="S106" s="2509"/>
      <c r="T106" s="2509"/>
      <c r="U106" s="2509"/>
      <c r="V106" s="2509"/>
      <c r="W106" s="2509"/>
      <c r="X106" s="2509"/>
      <c r="Y106" s="1484"/>
      <c r="Z106" s="2509"/>
      <c r="AA106" s="2509"/>
      <c r="AB106" s="2509"/>
      <c r="AC106" s="2509"/>
      <c r="AD106" s="2509"/>
      <c r="AE106" s="437"/>
      <c r="AF106" s="507"/>
    </row>
    <row r="107" spans="1:33" ht="12.75" customHeight="1" outlineLevel="1" x14ac:dyDescent="0.25">
      <c r="A107" s="507"/>
      <c r="B107" s="226" t="s">
        <v>751</v>
      </c>
      <c r="C107" s="2499" t="str">
        <f>IF(VERTRAUTENART="","",SUM(Eigenschaften!B124:G124))</f>
        <v/>
      </c>
      <c r="D107" s="2499"/>
      <c r="E107" s="3"/>
      <c r="F107" s="224"/>
      <c r="G107" s="226" t="s">
        <v>1654</v>
      </c>
      <c r="H107" s="1502"/>
      <c r="I107" s="2500" t="str">
        <f>IF(VERTRAUTENART="","",SUM(Eigenschaften!B135:G135))</f>
        <v/>
      </c>
      <c r="J107" s="2500"/>
      <c r="K107" s="2500"/>
      <c r="L107" s="224"/>
      <c r="M107" s="128"/>
      <c r="N107" s="2500"/>
      <c r="O107" s="2500"/>
      <c r="P107" s="224"/>
      <c r="Q107" s="2509"/>
      <c r="R107" s="2509"/>
      <c r="S107" s="2509"/>
      <c r="T107" s="2509"/>
      <c r="U107" s="2509"/>
      <c r="V107" s="2509"/>
      <c r="W107" s="2509"/>
      <c r="X107" s="2509"/>
      <c r="Y107" s="1484"/>
      <c r="Z107" s="2509"/>
      <c r="AA107" s="2509"/>
      <c r="AB107" s="2509"/>
      <c r="AC107" s="2509"/>
      <c r="AD107" s="2509"/>
      <c r="AE107" s="437"/>
      <c r="AF107" s="507"/>
    </row>
    <row r="108" spans="1:33" ht="12.75" customHeight="1" outlineLevel="1" x14ac:dyDescent="0.25">
      <c r="A108" s="507"/>
      <c r="B108" s="226" t="s">
        <v>5030</v>
      </c>
      <c r="C108" s="2499" t="str">
        <f>IF(VERTRAUTENART="","",SUM(Eigenschaften!B125:G125))</f>
        <v/>
      </c>
      <c r="D108" s="2499"/>
      <c r="E108" s="3"/>
      <c r="F108" s="3"/>
      <c r="G108" s="226" t="s">
        <v>3605</v>
      </c>
      <c r="H108" s="1501"/>
      <c r="I108" s="2500" t="str">
        <f>IF(VERTRAUTENART="","",SUM(Eigenschaften!B133:G133))</f>
        <v/>
      </c>
      <c r="J108" s="2500"/>
      <c r="K108" s="2500"/>
      <c r="L108" s="224"/>
      <c r="M108" s="226" t="s">
        <v>4006</v>
      </c>
      <c r="N108" s="2500" t="str">
        <f>IF(VERTRAUTENART="","",Eigenschaften!W110)</f>
        <v/>
      </c>
      <c r="O108" s="2500"/>
      <c r="P108" s="224"/>
      <c r="Q108" s="2509"/>
      <c r="R108" s="2509"/>
      <c r="S108" s="2509"/>
      <c r="T108" s="2509"/>
      <c r="U108" s="2509"/>
      <c r="V108" s="2509"/>
      <c r="W108" s="2509"/>
      <c r="X108" s="2509"/>
      <c r="Y108" s="1484"/>
      <c r="Z108" s="2509"/>
      <c r="AA108" s="2509"/>
      <c r="AB108" s="2509"/>
      <c r="AC108" s="2509"/>
      <c r="AD108" s="2509"/>
      <c r="AE108" s="437"/>
      <c r="AF108" s="507"/>
    </row>
    <row r="109" spans="1:33" ht="14.25" customHeight="1" outlineLevel="1" x14ac:dyDescent="0.25">
      <c r="A109" s="507"/>
      <c r="B109" s="226" t="s">
        <v>752</v>
      </c>
      <c r="C109" s="2499" t="str">
        <f>IF(VERTRAUTENART="","",SUM(Eigenschaften!B126:G126))</f>
        <v/>
      </c>
      <c r="D109" s="2499"/>
      <c r="E109" s="3"/>
      <c r="F109" s="3"/>
      <c r="G109" s="226" t="s">
        <v>3606</v>
      </c>
      <c r="H109" s="1501"/>
      <c r="I109" s="2500" t="str">
        <f>IF(VERTRAUTENART="","",SUM(Eigenschaften!B136:G136))</f>
        <v/>
      </c>
      <c r="J109" s="2500"/>
      <c r="K109" s="2500"/>
      <c r="L109" s="224"/>
      <c r="M109" s="226" t="s">
        <v>1965</v>
      </c>
      <c r="N109" s="2500" t="str">
        <f>IF(VERTRAUTENART="","",Eigenschaften!W112)</f>
        <v/>
      </c>
      <c r="O109" s="2500"/>
      <c r="P109" s="224"/>
      <c r="Q109" s="2509"/>
      <c r="R109" s="2509"/>
      <c r="S109" s="2509"/>
      <c r="T109" s="2509"/>
      <c r="U109" s="2509"/>
      <c r="V109" s="2509"/>
      <c r="W109" s="2509"/>
      <c r="X109" s="2509"/>
      <c r="Y109" s="1484"/>
      <c r="Z109" s="2509"/>
      <c r="AA109" s="2509"/>
      <c r="AB109" s="2509"/>
      <c r="AC109" s="2509"/>
      <c r="AD109" s="2509"/>
      <c r="AE109" s="437"/>
    </row>
    <row r="110" spans="1:33" ht="12.75" customHeight="1" outlineLevel="1" x14ac:dyDescent="0.25">
      <c r="A110" s="507"/>
      <c r="B110" s="232" t="s">
        <v>875</v>
      </c>
      <c r="C110" s="232"/>
      <c r="D110" s="252"/>
      <c r="E110" s="252"/>
      <c r="F110" s="252"/>
      <c r="G110" s="252"/>
      <c r="H110" s="252"/>
      <c r="I110" s="252"/>
      <c r="J110" s="252"/>
      <c r="K110" s="232"/>
      <c r="L110" s="232"/>
      <c r="M110" s="232"/>
      <c r="N110" s="1503"/>
      <c r="O110" s="1503"/>
      <c r="P110" s="252"/>
      <c r="Q110" s="232" t="s">
        <v>2486</v>
      </c>
      <c r="R110" s="252"/>
      <c r="S110" s="252"/>
      <c r="T110" s="252"/>
      <c r="U110" s="252"/>
      <c r="V110" s="252"/>
      <c r="W110" s="252"/>
      <c r="X110" s="252"/>
      <c r="Y110" s="252"/>
      <c r="Z110" s="252"/>
      <c r="AA110" s="252"/>
      <c r="AB110" s="252"/>
      <c r="AC110" s="252"/>
      <c r="AD110" s="87"/>
      <c r="AE110" s="496"/>
    </row>
    <row r="111" spans="1:33" ht="12.75" customHeight="1" outlineLevel="1" x14ac:dyDescent="0.2">
      <c r="A111" s="510"/>
      <c r="B111" s="2501" t="str">
        <f>IF(EXACT(Generierung!$P$7,"Magie"),IF(NOT(EXACT(Eigenschaften!$Y$161,"")),HLOOKUP(Tabellen_Andere!$DW$226,T_MAGIE,MATCH(LEFT(Eigenschaften!$Y$161,30),T_MAGIE,1)),""),"")</f>
        <v/>
      </c>
      <c r="C111" s="2501"/>
      <c r="D111" s="2502"/>
      <c r="E111" s="2503" t="str">
        <f>IF($B111="","",CONCATENATE(VLOOKUP($B111,T_MAGIEWERTE,2,FALSE),"•",VLOOKUP($B111,T_MAGIEWERTE,3,FALSE),"•",VLOOKUP($B111,T_MAGIEWERTE,4,FALSE),VLOOKUP($B111,T_MAGIEWERTE,5,FALSE)))</f>
        <v/>
      </c>
      <c r="F111" s="2501"/>
      <c r="G111" s="2502"/>
      <c r="H111" s="2503" t="str">
        <f ca="1">IF($B111="","",CONCATENATE(INDIRECT(VLOOKUP($B111,T_MAGIEWERTE,2,FALSE)&amp;"_T"),"•",INDIRECT(VLOOKUP($B111,T_MAGIEWERTE,3,FALSE)&amp;"_T"),"•",INDIRECT(VLOOKUP($B111,T_MAGIEWERTE,4,FALSE)&amp;"_T"),VLOOKUP($B111,T_MAGIEWERTE,5,FALSE)))</f>
        <v/>
      </c>
      <c r="I111" s="2501"/>
      <c r="J111" s="2502"/>
      <c r="K111" s="2503" t="str">
        <f>IF($B111="","",VLOOKUP($B111,T_MAGIEWERTE,6,FALSE))</f>
        <v/>
      </c>
      <c r="L111" s="2501"/>
      <c r="M111" s="2502"/>
      <c r="N111" s="2503" t="str">
        <f>IF($B111="","",VLOOKUP($B111,T_MAGIEWERTE,7,FALSE))</f>
        <v/>
      </c>
      <c r="O111" s="2502"/>
      <c r="P111" s="1492"/>
      <c r="Q111" s="2489" t="str">
        <f>IF(EXACT(Generierung!$P$7,"Magie"),IF(NOT(EXACT(MID(Eigenschaften!$Y$161,SUM(LEN($B$111),LEN($B$112),LEN($B$113),LEN($B$114),LEN($B$115),1),30),"")),HLOOKUP(Tabellen_Andere!$DW$226,T_MAGIE,MATCH(MID(Eigenschaften!$Y$161,SUM(LEN($B$111),LEN($B$112),LEN($B$113),LEN($B$114),LEN($B$115),1),30),T_MAGIE,1)),""),"")</f>
        <v/>
      </c>
      <c r="R111" s="2490"/>
      <c r="S111" s="2490"/>
      <c r="T111" s="2490"/>
      <c r="U111" s="2491"/>
      <c r="V111" s="2489" t="str">
        <f>IF($Q111="","",CONCATENATE(VLOOKUP($Q111,T_MAGIEWERTE,2,FALSE),"•",VLOOKUP($Q111,T_MAGIEWERTE,3,FALSE),"•",VLOOKUP($Q111,T_MAGIEWERTE,4,FALSE),VLOOKUP($Q111,T_MAGIEWERTE,5,FALSE)))</f>
        <v/>
      </c>
      <c r="W111" s="2490"/>
      <c r="X111" s="2491"/>
      <c r="Y111" s="2489" t="str">
        <f ca="1">IF($Q111="","",CONCATENATE(INDIRECT(VLOOKUP($Q111,T_MAGIEWERTE,2,FALSE)&amp;"_T"),"•",INDIRECT(VLOOKUP($Q111,T_MAGIEWERTE,3,FALSE)&amp;"_T"),"•",INDIRECT(VLOOKUP($Q111,T_MAGIEWERTE,4,FALSE)&amp;"_T"),VLOOKUP($Q111,T_MAGIEWERTE,5,FALSE)))</f>
        <v/>
      </c>
      <c r="Z111" s="2490"/>
      <c r="AA111" s="2490"/>
      <c r="AB111" s="2491"/>
      <c r="AC111" s="1504" t="str">
        <f>IF($Q111="","",VLOOKUP($Q111,T_MAGIEWERTE,6,FALSE))</f>
        <v/>
      </c>
      <c r="AD111" s="1490" t="str">
        <f>IF($Q111="","",VLOOKUP($Q111,T_MAGIEWERTE,7,FALSE))</f>
        <v/>
      </c>
      <c r="AE111" s="1488"/>
    </row>
    <row r="112" spans="1:33" ht="12.75" customHeight="1" outlineLevel="1" x14ac:dyDescent="0.2">
      <c r="A112" s="510"/>
      <c r="B112" s="2501" t="str">
        <f>IF(EXACT(Generierung!$P$7,"Magie"),IF(NOT(EXACT(MID(Eigenschaften!$Y$161,SUM(LEN($B$111),1),30),"")),HLOOKUP(Tabellen_Andere!$DW$226,T_MAGIE,MATCH(MID(Eigenschaften!$Y$161,LEN($B$111)+1,30),T_MAGIE,1)),""),"")</f>
        <v/>
      </c>
      <c r="C112" s="2501"/>
      <c r="D112" s="2502"/>
      <c r="E112" s="2503" t="str">
        <f>IF($B112="","",CONCATENATE(VLOOKUP($B112,T_MAGIEWERTE,2,FALSE),"•",VLOOKUP($B112,T_MAGIEWERTE,3,FALSE),"•",VLOOKUP($B112,T_MAGIEWERTE,4,FALSE),VLOOKUP($B112,T_MAGIEWERTE,5,FALSE)))</f>
        <v/>
      </c>
      <c r="F112" s="2501"/>
      <c r="G112" s="2502"/>
      <c r="H112" s="2503" t="str">
        <f ca="1">IF($B112="","",CONCATENATE(INDIRECT(VLOOKUP($B112,T_MAGIEWERTE,2,FALSE)&amp;"_T"),"•",INDIRECT(VLOOKUP($B112,T_MAGIEWERTE,3,FALSE)&amp;"_T"),"•",INDIRECT(VLOOKUP($B112,T_MAGIEWERTE,4,FALSE)&amp;"_T"),VLOOKUP($B112,T_MAGIEWERTE,5,FALSE)))</f>
        <v/>
      </c>
      <c r="I112" s="2501"/>
      <c r="J112" s="2502"/>
      <c r="K112" s="2503" t="str">
        <f>IF($B112="","",VLOOKUP($B112,T_MAGIEWERTE,6,FALSE))</f>
        <v/>
      </c>
      <c r="L112" s="2501"/>
      <c r="M112" s="2502"/>
      <c r="N112" s="2503" t="str">
        <f>IF($B112="","",VLOOKUP($B112,T_MAGIEWERTE,7,FALSE))</f>
        <v/>
      </c>
      <c r="O112" s="2502"/>
      <c r="P112" s="1492"/>
      <c r="Q112" s="2489" t="str">
        <f>IF(EXACT(Generierung!$P$7,"Magie"),IF(NOT(EXACT(MID(Eigenschaften!$Y$161,SUM(LEN($B$111),LEN($B$112),LEN($B$113),LEN($B$114),LEN($B$115),LEN($Q$111),1),30),"")),HLOOKUP(Tabellen_Andere!$DW$226,T_MAGIE,MATCH(MID(Eigenschaften!$Y$161,SUM(LEN($B$111),LEN($B$112),LEN($B$113),LEN($B$114),LEN($B$115),LEN($Q$111),1),30),T_MAGIE,1)),""),"")</f>
        <v/>
      </c>
      <c r="R112" s="2490"/>
      <c r="S112" s="2490"/>
      <c r="T112" s="2490"/>
      <c r="U112" s="2491"/>
      <c r="V112" s="2489" t="str">
        <f>IF($Q112="","",CONCATENATE(VLOOKUP($Q112,T_MAGIEWERTE,2,FALSE),"•",VLOOKUP($Q112,T_MAGIEWERTE,3,FALSE),"•",VLOOKUP($Q112,T_MAGIEWERTE,4,FALSE),VLOOKUP($Q112,T_MAGIEWERTE,5,FALSE)))</f>
        <v/>
      </c>
      <c r="W112" s="2490"/>
      <c r="X112" s="2491"/>
      <c r="Y112" s="2489" t="str">
        <f ca="1">IF($Q112="","",CONCATENATE(INDIRECT(VLOOKUP($Q112,T_MAGIEWERTE,2,FALSE)&amp;"_T"),"•",INDIRECT(VLOOKUP($Q112,T_MAGIEWERTE,3,FALSE)&amp;"_T"),"•",INDIRECT(VLOOKUP($Q112,T_MAGIEWERTE,4,FALSE)&amp;"_T"),VLOOKUP($Q112,T_MAGIEWERTE,5,FALSE)))</f>
        <v/>
      </c>
      <c r="Z112" s="2490"/>
      <c r="AA112" s="2490"/>
      <c r="AB112" s="2491"/>
      <c r="AC112" s="1504" t="str">
        <f>IF($Q112="","",VLOOKUP($Q112,T_MAGIEWERTE,6,FALSE))</f>
        <v/>
      </c>
      <c r="AD112" s="1490" t="str">
        <f>IF($Q112="","",VLOOKUP($Q112,T_MAGIEWERTE,7,FALSE))</f>
        <v/>
      </c>
      <c r="AE112" s="1488"/>
    </row>
    <row r="113" spans="1:31" ht="12.75" customHeight="1" outlineLevel="1" x14ac:dyDescent="0.2">
      <c r="A113" s="510"/>
      <c r="B113" s="2490" t="str">
        <f>IF(EXACT(Generierung!$P$7,"Magie"),IF(NOT(EXACT(MID(Eigenschaften!$Y$161,SUM(LEN($B$111),LEN($B$112),1),30),"")),HLOOKUP(Tabellen_Andere!$DW$226,T_MAGIE,MATCH(MID(Eigenschaften!$Y$161,SUM(LEN($B$111),LEN($B$112),1),30),T_MAGIE,1)),""),"")</f>
        <v/>
      </c>
      <c r="C113" s="2490"/>
      <c r="D113" s="2491"/>
      <c r="E113" s="2489" t="str">
        <f>IF($B113="","",CONCATENATE(VLOOKUP($B113,T_MAGIEWERTE,2,FALSE),"•",VLOOKUP($B113,T_MAGIEWERTE,3,FALSE),"•",VLOOKUP($B113,T_MAGIEWERTE,4,FALSE),VLOOKUP($B113,T_MAGIEWERTE,5,FALSE)))</f>
        <v/>
      </c>
      <c r="F113" s="2490"/>
      <c r="G113" s="2491"/>
      <c r="H113" s="2503" t="str">
        <f ca="1">IF($B113="","",CONCATENATE(INDIRECT(VLOOKUP($B113,T_MAGIEWERTE,2,FALSE)&amp;"_T"),"•",INDIRECT(VLOOKUP($B113,T_MAGIEWERTE,3,FALSE)&amp;"_T"),"•",INDIRECT(VLOOKUP($B113,T_MAGIEWERTE,4,FALSE)&amp;"_T"),VLOOKUP($B113,T_MAGIEWERTE,5,FALSE)))</f>
        <v/>
      </c>
      <c r="I113" s="2501"/>
      <c r="J113" s="2502"/>
      <c r="K113" s="2489" t="str">
        <f>IF($B113="","",VLOOKUP($B113,T_MAGIEWERTE,6,FALSE))</f>
        <v/>
      </c>
      <c r="L113" s="2490"/>
      <c r="M113" s="2491"/>
      <c r="N113" s="2489" t="str">
        <f>IF($B113="","",VLOOKUP($B113,T_MAGIEWERTE,7,FALSE))</f>
        <v/>
      </c>
      <c r="O113" s="2491"/>
      <c r="P113" s="1492"/>
      <c r="Q113" s="2489" t="str">
        <f>IF(EXACT(Generierung!$P$7,"Magie"),IF(NOT(EXACT(MID(Eigenschaften!$Y$161,SUM(LEN($B$111),LEN($B$112),LEN($B$113),LEN($B$114),LEN($B$115),LEN($Q$111),LEN($Q$112),1),30),"")),HLOOKUP(Tabellen_Andere!$DW$226,T_MAGIE,MATCH(MID(Eigenschaften!$Y$161,SUM(LEN($B$111),LEN($B$112),LEN($B$113),LEN($B$114),LEN($B$115),LEN($Q$111),LEN($Q$112),1),30),T_MAGIE,1)),""),"")</f>
        <v/>
      </c>
      <c r="R113" s="2490"/>
      <c r="S113" s="2490"/>
      <c r="T113" s="2490"/>
      <c r="U113" s="2491"/>
      <c r="V113" s="2489" t="str">
        <f>IF($Q113="","",CONCATENATE(VLOOKUP($Q113,T_MAGIEWERTE,2,FALSE),"•",VLOOKUP($Q113,T_MAGIEWERTE,3,FALSE),"•",VLOOKUP($Q113,T_MAGIEWERTE,4,FALSE),VLOOKUP($Q113,T_MAGIEWERTE,5,FALSE)))</f>
        <v/>
      </c>
      <c r="W113" s="2490"/>
      <c r="X113" s="2491"/>
      <c r="Y113" s="2489" t="str">
        <f ca="1">IF($Q113="","",CONCATENATE(INDIRECT(VLOOKUP($Q113,T_MAGIEWERTE,2,FALSE)&amp;"_T"),"•",INDIRECT(VLOOKUP($Q113,T_MAGIEWERTE,3,FALSE)&amp;"_T"),"•",INDIRECT(VLOOKUP($Q113,T_MAGIEWERTE,4,FALSE)&amp;"_T"),VLOOKUP($Q113,T_MAGIEWERTE,5,FALSE)))</f>
        <v/>
      </c>
      <c r="Z113" s="2490"/>
      <c r="AA113" s="2490"/>
      <c r="AB113" s="2491"/>
      <c r="AC113" s="1504" t="str">
        <f>IF($Q113="","",VLOOKUP($Q113,T_MAGIEWERTE,6,FALSE))</f>
        <v/>
      </c>
      <c r="AD113" s="1490" t="str">
        <f>IF($Q113="","",VLOOKUP($Q113,T_MAGIEWERTE,7,FALSE))</f>
        <v/>
      </c>
      <c r="AE113" s="1488"/>
    </row>
    <row r="114" spans="1:31" ht="12.75" customHeight="1" outlineLevel="1" x14ac:dyDescent="0.2">
      <c r="A114" s="510"/>
      <c r="B114" s="2490" t="str">
        <f>IF(EXACT(Generierung!$P$7,"Magie"),IF(NOT(EXACT(MID(Eigenschaften!$Y$161,SUM(LEN($B$111),LEN($B$112),LEN($B$113),1),30),"")),HLOOKUP(Tabellen_Andere!$DW$226,T_MAGIE,MATCH(MID(Eigenschaften!$Y$161,SUM(LEN($B$111),LEN($B$112),LEN($B$113),1),30),T_MAGIE,1)),""),"")</f>
        <v/>
      </c>
      <c r="C114" s="2490"/>
      <c r="D114" s="2491"/>
      <c r="E114" s="2489" t="str">
        <f>IF($B114="","",CONCATENATE(VLOOKUP($B114,T_MAGIEWERTE,2,FALSE),"•",VLOOKUP($B114,T_MAGIEWERTE,3,FALSE),"•",VLOOKUP($B114,T_MAGIEWERTE,4,FALSE),VLOOKUP($B114,T_MAGIEWERTE,5,FALSE)))</f>
        <v/>
      </c>
      <c r="F114" s="2490"/>
      <c r="G114" s="2491"/>
      <c r="H114" s="2503" t="str">
        <f ca="1">IF($B114="","",CONCATENATE(INDIRECT(VLOOKUP($B114,T_MAGIEWERTE,2,FALSE)&amp;"_T"),"•",INDIRECT(VLOOKUP($B114,T_MAGIEWERTE,3,FALSE)&amp;"_T"),"•",INDIRECT(VLOOKUP($B114,T_MAGIEWERTE,4,FALSE)&amp;"_T"),VLOOKUP($B114,T_MAGIEWERTE,5,FALSE)))</f>
        <v/>
      </c>
      <c r="I114" s="2501"/>
      <c r="J114" s="2502"/>
      <c r="K114" s="2489" t="str">
        <f>IF($B114="","",VLOOKUP($B114,T_MAGIEWERTE,6,FALSE))</f>
        <v/>
      </c>
      <c r="L114" s="2490"/>
      <c r="M114" s="2491"/>
      <c r="N114" s="2489" t="str">
        <f>IF($B114="","",VLOOKUP($B114,T_MAGIEWERTE,7,FALSE))</f>
        <v/>
      </c>
      <c r="O114" s="2491"/>
      <c r="P114" s="1492"/>
      <c r="Q114" s="2489" t="str">
        <f>IF(EXACT(Generierung!$P$7,"Magie"),IF(NOT(EXACT(MID(Eigenschaften!$Y$161,SUM(LEN($B$111),LEN($B$112),LEN($B$113),LEN($B$114),LEN($B$115),LEN($Q$111),LEN($Q$112),LEN($Q$113),1),30),"")),HLOOKUP(Tabellen_Andere!$DW$226,T_MAGIE,MATCH(MID(Eigenschaften!$Y$161,SUM(LEN($B$111),LEN($B$112),LEN($B$113),LEN($B$114),LEN($B$115),LEN($Q$111),LEN($Q$112),LEN($Q$113),1),30),T_MAGIE,1)),""),"")</f>
        <v/>
      </c>
      <c r="R114" s="2490"/>
      <c r="S114" s="2490"/>
      <c r="T114" s="2490"/>
      <c r="U114" s="2491"/>
      <c r="V114" s="2489" t="str">
        <f>IF($Q114="","",CONCATENATE(VLOOKUP($Q114,T_MAGIEWERTE,2,FALSE),"•",VLOOKUP($Q114,T_MAGIEWERTE,3,FALSE),"•",VLOOKUP($Q114,T_MAGIEWERTE,4,FALSE),VLOOKUP($Q114,T_MAGIEWERTE,5,FALSE)))</f>
        <v/>
      </c>
      <c r="W114" s="2490"/>
      <c r="X114" s="2491"/>
      <c r="Y114" s="2489" t="str">
        <f ca="1">IF($Q114="","",CONCATENATE(INDIRECT(VLOOKUP($Q114,T_MAGIEWERTE,2,FALSE)&amp;"_T"),"•",INDIRECT(VLOOKUP($Q114,T_MAGIEWERTE,3,FALSE)&amp;"_T"),"•",INDIRECT(VLOOKUP($Q114,T_MAGIEWERTE,4,FALSE)&amp;"_T"),VLOOKUP($Q114,T_MAGIEWERTE,5,FALSE)))</f>
        <v/>
      </c>
      <c r="Z114" s="2490"/>
      <c r="AA114" s="2490"/>
      <c r="AB114" s="2491"/>
      <c r="AC114" s="1504" t="str">
        <f>IF($Q114="","",VLOOKUP($Q114,T_MAGIEWERTE,6,FALSE))</f>
        <v/>
      </c>
      <c r="AD114" s="1490" t="str">
        <f>IF($Q114="","",VLOOKUP($Q114,T_MAGIEWERTE,7,FALSE))</f>
        <v/>
      </c>
      <c r="AE114" s="1488"/>
    </row>
    <row r="115" spans="1:31" ht="12.75" customHeight="1" outlineLevel="1" x14ac:dyDescent="0.2">
      <c r="A115" s="510"/>
      <c r="B115" s="2490" t="str">
        <f>IF(EXACT(Generierung!$P$7,"Magie"),IF(NOT(EXACT(MID(Eigenschaften!$Y$161,SUM(LEN($B$111),LEN($B$112),LEN($B$113),LEN($B$114),1),30),"")),HLOOKUP(Tabellen_Andere!$DW$226,T_MAGIE,MATCH(MID(Eigenschaften!$Y$161,SUM(LEN($B$111),LEN($B$112),LEN($B$113),LEN($B$114),1),30),T_MAGIE,1)),""),"")</f>
        <v/>
      </c>
      <c r="C115" s="2490"/>
      <c r="D115" s="2491"/>
      <c r="E115" s="2489" t="str">
        <f>IF($B115="","",CONCATENATE(VLOOKUP($B115,T_MAGIEWERTE,2,FALSE),"•",VLOOKUP($B115,T_MAGIEWERTE,3,FALSE),"•",VLOOKUP($B115,T_MAGIEWERTE,4,FALSE),VLOOKUP($B115,T_MAGIEWERTE,5,FALSE)))</f>
        <v/>
      </c>
      <c r="F115" s="2490"/>
      <c r="G115" s="2491"/>
      <c r="H115" s="2503" t="str">
        <f ca="1">IF($B115="","",CONCATENATE(INDIRECT(VLOOKUP($B115,T_MAGIEWERTE,2,FALSE)&amp;"_T"),"•",INDIRECT(VLOOKUP($B115,T_MAGIEWERTE,3,FALSE)&amp;"_T"),"•",INDIRECT(VLOOKUP($B115,T_MAGIEWERTE,4,FALSE)&amp;"_T"),VLOOKUP($B115,T_MAGIEWERTE,5,FALSE)))</f>
        <v/>
      </c>
      <c r="I115" s="2501"/>
      <c r="J115" s="2502"/>
      <c r="K115" s="2489" t="str">
        <f>IF($B115="","",VLOOKUP($B115,T_MAGIEWERTE,6,FALSE))</f>
        <v/>
      </c>
      <c r="L115" s="2490"/>
      <c r="M115" s="2491"/>
      <c r="N115" s="2489" t="str">
        <f>IF($B115="","",VLOOKUP($B115,T_MAGIEWERTE,7,FALSE))</f>
        <v/>
      </c>
      <c r="O115" s="2491"/>
      <c r="P115" s="1492"/>
      <c r="Q115" s="2489" t="str">
        <f>IF(EXACT(Generierung!$P$7,"Magie"),IF(NOT(EXACT(MID(Eigenschaften!$Y$161,SUM(LEN($B$111),LEN($B$112),LEN($B$113),LEN($B$114),LEN($B$115),LEN($Q$111),LEN($Q$112),LEN($Q$113),LEN($Q$114),1),30),"")),HLOOKUP(Tabellen_Andere!$DW$226,T_MAGIE,MATCH(MID(Eigenschaften!$Y$161,SUM(LEN($B$111),LEN($B$112),LEN($B$113),LEN($B$114),LEN($B$115),LEN($Q$111),LEN($Q$112),LEN($Q$113),LEN($Q$114),1),30),T_MAGIE,1)),""),"")</f>
        <v/>
      </c>
      <c r="R115" s="2490"/>
      <c r="S115" s="2490"/>
      <c r="T115" s="2490"/>
      <c r="U115" s="2491"/>
      <c r="V115" s="2489" t="str">
        <f>IF($Q115="","",CONCATENATE(VLOOKUP($Q115,T_MAGIEWERTE,2,FALSE),"•",VLOOKUP($Q115,T_MAGIEWERTE,3,FALSE),"•",VLOOKUP($Q115,T_MAGIEWERTE,4,FALSE),VLOOKUP($Q115,T_MAGIEWERTE,5,FALSE)))</f>
        <v/>
      </c>
      <c r="W115" s="2490"/>
      <c r="X115" s="2491"/>
      <c r="Y115" s="2489" t="str">
        <f ca="1">IF($Q115="","",CONCATENATE(INDIRECT(VLOOKUP($Q115,T_MAGIEWERTE,2,FALSE)&amp;"_T"),"•",INDIRECT(VLOOKUP($Q115,T_MAGIEWERTE,3,FALSE)&amp;"_T"),"•",INDIRECT(VLOOKUP($Q115,T_MAGIEWERTE,4,FALSE)&amp;"_T"),VLOOKUP($Q115,T_MAGIEWERTE,5,FALSE)))</f>
        <v/>
      </c>
      <c r="Z115" s="2490"/>
      <c r="AA115" s="2490"/>
      <c r="AB115" s="2491"/>
      <c r="AC115" s="1504" t="str">
        <f>IF($Q115="","",VLOOKUP($Q115,T_MAGIEWERTE,6,FALSE))</f>
        <v/>
      </c>
      <c r="AD115" s="1490" t="str">
        <f>IF($Q115="","",VLOOKUP($Q115,T_MAGIEWERTE,7,FALSE))</f>
        <v/>
      </c>
      <c r="AE115" s="1488" t="s">
        <v>784</v>
      </c>
    </row>
    <row r="116" spans="1:31" ht="6" customHeight="1" outlineLevel="1" thickBot="1" x14ac:dyDescent="0.3">
      <c r="A116" s="503"/>
      <c r="B116" s="511"/>
      <c r="C116" s="511"/>
      <c r="D116" s="1505"/>
      <c r="E116" s="1505"/>
      <c r="F116" s="1505"/>
      <c r="G116" s="1505"/>
      <c r="H116" s="1505"/>
      <c r="I116" s="1505"/>
      <c r="J116" s="1505"/>
      <c r="K116" s="511"/>
      <c r="L116" s="511"/>
      <c r="M116" s="511"/>
      <c r="N116" s="1505"/>
      <c r="O116" s="1505"/>
      <c r="P116" s="1505"/>
      <c r="Q116" s="1505"/>
      <c r="R116" s="1505"/>
      <c r="S116" s="1505"/>
      <c r="T116" s="1505"/>
      <c r="U116" s="1505"/>
      <c r="V116" s="1505"/>
      <c r="W116" s="1505"/>
      <c r="X116" s="1505"/>
      <c r="Y116" s="1505"/>
      <c r="Z116" s="1505"/>
      <c r="AA116" s="1505"/>
      <c r="AB116" s="1505"/>
      <c r="AC116" s="1505"/>
      <c r="AD116" s="1506"/>
      <c r="AE116" s="1498"/>
    </row>
    <row r="117" spans="1:31" ht="6" customHeight="1" thickTop="1" x14ac:dyDescent="0.2"/>
  </sheetData>
  <mergeCells count="696">
    <mergeCell ref="B74:D74"/>
    <mergeCell ref="E74:H74"/>
    <mergeCell ref="I74:L74"/>
    <mergeCell ref="M74:N74"/>
    <mergeCell ref="O74:R74"/>
    <mergeCell ref="S74:U74"/>
    <mergeCell ref="V74:X74"/>
    <mergeCell ref="Z18:AC18"/>
    <mergeCell ref="Z19:AC19"/>
    <mergeCell ref="Z20:AC20"/>
    <mergeCell ref="Z21:AC21"/>
    <mergeCell ref="Z58:AC58"/>
    <mergeCell ref="Z66:AC66"/>
    <mergeCell ref="Z22:AC22"/>
    <mergeCell ref="Z23:AC23"/>
    <mergeCell ref="Z24:AC24"/>
    <mergeCell ref="Z25:AC25"/>
    <mergeCell ref="B71:D71"/>
    <mergeCell ref="E71:H71"/>
    <mergeCell ref="I71:L71"/>
    <mergeCell ref="M71:N71"/>
    <mergeCell ref="O71:R71"/>
    <mergeCell ref="S71:U71"/>
    <mergeCell ref="B72:D72"/>
    <mergeCell ref="E73:H73"/>
    <mergeCell ref="I73:L73"/>
    <mergeCell ref="M73:N73"/>
    <mergeCell ref="O73:R73"/>
    <mergeCell ref="S73:U73"/>
    <mergeCell ref="B73:D73"/>
    <mergeCell ref="E72:H72"/>
    <mergeCell ref="I72:L72"/>
    <mergeCell ref="M72:N72"/>
    <mergeCell ref="E70:H70"/>
    <mergeCell ref="I70:L70"/>
    <mergeCell ref="M70:N70"/>
    <mergeCell ref="O70:R70"/>
    <mergeCell ref="M69:N69"/>
    <mergeCell ref="O69:R69"/>
    <mergeCell ref="O72:R72"/>
    <mergeCell ref="S70:U70"/>
    <mergeCell ref="V70:X70"/>
    <mergeCell ref="S72:U72"/>
    <mergeCell ref="V72:X72"/>
    <mergeCell ref="V71:X71"/>
    <mergeCell ref="V69:X69"/>
    <mergeCell ref="I67:L67"/>
    <mergeCell ref="S69:U69"/>
    <mergeCell ref="E68:H68"/>
    <mergeCell ref="I68:L68"/>
    <mergeCell ref="M68:N68"/>
    <mergeCell ref="O68:R68"/>
    <mergeCell ref="E69:H69"/>
    <mergeCell ref="I69:L69"/>
    <mergeCell ref="E67:H67"/>
    <mergeCell ref="M67:N67"/>
    <mergeCell ref="E10:H10"/>
    <mergeCell ref="O10:R10"/>
    <mergeCell ref="B10:D10"/>
    <mergeCell ref="B8:D8"/>
    <mergeCell ref="B9:D9"/>
    <mergeCell ref="S83:AC83"/>
    <mergeCell ref="Q104:X104"/>
    <mergeCell ref="Z103:AD103"/>
    <mergeCell ref="Z94:AD94"/>
    <mergeCell ref="Z95:AD95"/>
    <mergeCell ref="Q91:X91"/>
    <mergeCell ref="Q96:X96"/>
    <mergeCell ref="Z96:AD96"/>
    <mergeCell ref="M54:N54"/>
    <mergeCell ref="O54:R54"/>
    <mergeCell ref="S58:U58"/>
    <mergeCell ref="V58:X58"/>
    <mergeCell ref="V57:X57"/>
    <mergeCell ref="S56:U56"/>
    <mergeCell ref="V56:X56"/>
    <mergeCell ref="M56:N56"/>
    <mergeCell ref="M52:N52"/>
    <mergeCell ref="E53:H53"/>
    <mergeCell ref="E66:H66"/>
    <mergeCell ref="S11:U11"/>
    <mergeCell ref="S22:U22"/>
    <mergeCell ref="I22:L22"/>
    <mergeCell ref="M21:N21"/>
    <mergeCell ref="I11:L11"/>
    <mergeCell ref="O18:R18"/>
    <mergeCell ref="M18:N18"/>
    <mergeCell ref="I21:L21"/>
    <mergeCell ref="M19:N19"/>
    <mergeCell ref="M20:N20"/>
    <mergeCell ref="I19:L19"/>
    <mergeCell ref="M22:N22"/>
    <mergeCell ref="M15:N15"/>
    <mergeCell ref="M17:N17"/>
    <mergeCell ref="O17:R17"/>
    <mergeCell ref="O15:R15"/>
    <mergeCell ref="M9:N9"/>
    <mergeCell ref="O9:R9"/>
    <mergeCell ref="S10:U10"/>
    <mergeCell ref="S9:U9"/>
    <mergeCell ref="B112:D112"/>
    <mergeCell ref="E112:G112"/>
    <mergeCell ref="H112:J112"/>
    <mergeCell ref="Q108:X108"/>
    <mergeCell ref="Q109:X109"/>
    <mergeCell ref="V31:X31"/>
    <mergeCell ref="V32:X32"/>
    <mergeCell ref="V54:X54"/>
    <mergeCell ref="V53:X53"/>
    <mergeCell ref="V46:X46"/>
    <mergeCell ref="O51:R51"/>
    <mergeCell ref="O52:R52"/>
    <mergeCell ref="Q107:X107"/>
    <mergeCell ref="O55:R55"/>
    <mergeCell ref="O58:R58"/>
    <mergeCell ref="O57:R57"/>
    <mergeCell ref="O56:R56"/>
    <mergeCell ref="O60:R60"/>
    <mergeCell ref="I12:L12"/>
    <mergeCell ref="I15:L15"/>
    <mergeCell ref="S64:U64"/>
    <mergeCell ref="V64:X64"/>
    <mergeCell ref="V62:X62"/>
    <mergeCell ref="O62:R62"/>
    <mergeCell ref="V111:X111"/>
    <mergeCell ref="Q111:U111"/>
    <mergeCell ref="Z104:AD104"/>
    <mergeCell ref="Q105:X105"/>
    <mergeCell ref="Q106:X106"/>
    <mergeCell ref="O67:R67"/>
    <mergeCell ref="O66:R66"/>
    <mergeCell ref="O65:R65"/>
    <mergeCell ref="Z88:AD88"/>
    <mergeCell ref="Z67:AC67"/>
    <mergeCell ref="Z65:AC65"/>
    <mergeCell ref="Z68:AC68"/>
    <mergeCell ref="Z69:AC69"/>
    <mergeCell ref="Z70:AC70"/>
    <mergeCell ref="Y87:AC87"/>
    <mergeCell ref="Z71:AC71"/>
    <mergeCell ref="Z72:AC72"/>
    <mergeCell ref="Z73:AC73"/>
    <mergeCell ref="Z74:AC74"/>
    <mergeCell ref="Z75:AC75"/>
    <mergeCell ref="W79:X79"/>
    <mergeCell ref="Z105:AD105"/>
    <mergeCell ref="Z109:AD109"/>
    <mergeCell ref="Y111:AB111"/>
    <mergeCell ref="Z106:AD106"/>
    <mergeCell ref="Q92:X92"/>
    <mergeCell ref="Z107:AD107"/>
    <mergeCell ref="Z108:AD108"/>
    <mergeCell ref="AB80:AC80"/>
    <mergeCell ref="W80:X80"/>
    <mergeCell ref="T79:U79"/>
    <mergeCell ref="S75:U75"/>
    <mergeCell ref="J79:K79"/>
    <mergeCell ref="D79:E79"/>
    <mergeCell ref="G79:H79"/>
    <mergeCell ref="T80:U80"/>
    <mergeCell ref="M79:O79"/>
    <mergeCell ref="M80:O80"/>
    <mergeCell ref="G80:H80"/>
    <mergeCell ref="B83:D83"/>
    <mergeCell ref="Q80:R80"/>
    <mergeCell ref="B115:D115"/>
    <mergeCell ref="E115:G115"/>
    <mergeCell ref="H115:J115"/>
    <mergeCell ref="Q113:U113"/>
    <mergeCell ref="Q114:U114"/>
    <mergeCell ref="Q115:U115"/>
    <mergeCell ref="N114:O114"/>
    <mergeCell ref="E113:G113"/>
    <mergeCell ref="B113:D113"/>
    <mergeCell ref="B114:D114"/>
    <mergeCell ref="E114:G114"/>
    <mergeCell ref="H114:J114"/>
    <mergeCell ref="N115:O115"/>
    <mergeCell ref="N108:O108"/>
    <mergeCell ref="T101:AC101"/>
    <mergeCell ref="N105:O105"/>
    <mergeCell ref="V73:X73"/>
    <mergeCell ref="S55:U55"/>
    <mergeCell ref="V75:X75"/>
    <mergeCell ref="V59:X59"/>
    <mergeCell ref="V60:X60"/>
    <mergeCell ref="O59:R59"/>
    <mergeCell ref="S59:U59"/>
    <mergeCell ref="V61:X61"/>
    <mergeCell ref="S61:U61"/>
    <mergeCell ref="O61:R61"/>
    <mergeCell ref="S57:U57"/>
    <mergeCell ref="S65:U65"/>
    <mergeCell ref="O63:R63"/>
    <mergeCell ref="V65:X65"/>
    <mergeCell ref="O64:R64"/>
    <mergeCell ref="V67:X67"/>
    <mergeCell ref="S68:U68"/>
    <mergeCell ref="V68:X68"/>
    <mergeCell ref="S66:U66"/>
    <mergeCell ref="V66:X66"/>
    <mergeCell ref="S67:U67"/>
    <mergeCell ref="S62:U62"/>
    <mergeCell ref="S63:U63"/>
    <mergeCell ref="V63:X63"/>
    <mergeCell ref="S33:U33"/>
    <mergeCell ref="V33:X33"/>
    <mergeCell ref="S31:U31"/>
    <mergeCell ref="S32:U32"/>
    <mergeCell ref="O34:R34"/>
    <mergeCell ref="S34:U34"/>
    <mergeCell ref="V34:X34"/>
    <mergeCell ref="V51:X51"/>
    <mergeCell ref="V52:X52"/>
    <mergeCell ref="S52:U52"/>
    <mergeCell ref="O33:R33"/>
    <mergeCell ref="V35:X35"/>
    <mergeCell ref="V41:X41"/>
    <mergeCell ref="O35:R35"/>
    <mergeCell ref="O36:R36"/>
    <mergeCell ref="S36:U36"/>
    <mergeCell ref="V36:X36"/>
    <mergeCell ref="V48:X48"/>
    <mergeCell ref="S49:U49"/>
    <mergeCell ref="V49:X49"/>
    <mergeCell ref="S46:U46"/>
    <mergeCell ref="O41:R41"/>
    <mergeCell ref="O42:R42"/>
    <mergeCell ref="V50:X50"/>
    <mergeCell ref="V29:X29"/>
    <mergeCell ref="V30:X30"/>
    <mergeCell ref="E32:H32"/>
    <mergeCell ref="I32:L32"/>
    <mergeCell ref="S23:U23"/>
    <mergeCell ref="O26:R26"/>
    <mergeCell ref="V27:X27"/>
    <mergeCell ref="O29:R29"/>
    <mergeCell ref="O27:R27"/>
    <mergeCell ref="O32:R32"/>
    <mergeCell ref="S27:U27"/>
    <mergeCell ref="S29:U29"/>
    <mergeCell ref="E29:H29"/>
    <mergeCell ref="S30:U30"/>
    <mergeCell ref="M28:N28"/>
    <mergeCell ref="O30:R30"/>
    <mergeCell ref="E28:H28"/>
    <mergeCell ref="M30:N30"/>
    <mergeCell ref="S26:U26"/>
    <mergeCell ref="S25:U25"/>
    <mergeCell ref="E25:H25"/>
    <mergeCell ref="M32:N32"/>
    <mergeCell ref="V28:X28"/>
    <mergeCell ref="S14:U14"/>
    <mergeCell ref="V13:X13"/>
    <mergeCell ref="S12:U12"/>
    <mergeCell ref="S19:U19"/>
    <mergeCell ref="V26:X26"/>
    <mergeCell ref="V25:X25"/>
    <mergeCell ref="V21:X21"/>
    <mergeCell ref="V22:X22"/>
    <mergeCell ref="V23:X23"/>
    <mergeCell ref="S15:U15"/>
    <mergeCell ref="V18:X18"/>
    <mergeCell ref="V14:X14"/>
    <mergeCell ref="S24:U24"/>
    <mergeCell ref="O16:R16"/>
    <mergeCell ref="O14:R14"/>
    <mergeCell ref="O23:R23"/>
    <mergeCell ref="M23:N23"/>
    <mergeCell ref="I25:L25"/>
    <mergeCell ref="O24:R24"/>
    <mergeCell ref="M31:N31"/>
    <mergeCell ref="E17:H17"/>
    <mergeCell ref="I26:L26"/>
    <mergeCell ref="I23:L23"/>
    <mergeCell ref="M24:N24"/>
    <mergeCell ref="E30:H30"/>
    <mergeCell ref="E27:H27"/>
    <mergeCell ref="I20:L20"/>
    <mergeCell ref="E18:H18"/>
    <mergeCell ref="O31:R31"/>
    <mergeCell ref="O25:R25"/>
    <mergeCell ref="M29:N29"/>
    <mergeCell ref="O21:R21"/>
    <mergeCell ref="I28:L28"/>
    <mergeCell ref="O20:R20"/>
    <mergeCell ref="O19:R19"/>
    <mergeCell ref="O28:R28"/>
    <mergeCell ref="E19:H19"/>
    <mergeCell ref="O22:R22"/>
    <mergeCell ref="E22:H22"/>
    <mergeCell ref="I27:L27"/>
    <mergeCell ref="I24:L24"/>
    <mergeCell ref="B31:D31"/>
    <mergeCell ref="B29:D29"/>
    <mergeCell ref="E26:H26"/>
    <mergeCell ref="B30:D30"/>
    <mergeCell ref="B12:D12"/>
    <mergeCell ref="B16:D16"/>
    <mergeCell ref="B15:D15"/>
    <mergeCell ref="B19:D19"/>
    <mergeCell ref="B20:D20"/>
    <mergeCell ref="B23:D23"/>
    <mergeCell ref="B27:D27"/>
    <mergeCell ref="E15:H15"/>
    <mergeCell ref="B26:D26"/>
    <mergeCell ref="E14:H14"/>
    <mergeCell ref="E24:H24"/>
    <mergeCell ref="B24:D24"/>
    <mergeCell ref="E20:H20"/>
    <mergeCell ref="E16:H16"/>
    <mergeCell ref="E23:H23"/>
    <mergeCell ref="E21:H21"/>
    <mergeCell ref="I33:L33"/>
    <mergeCell ref="B28:D28"/>
    <mergeCell ref="B32:D32"/>
    <mergeCell ref="E33:H33"/>
    <mergeCell ref="I30:L30"/>
    <mergeCell ref="E49:H49"/>
    <mergeCell ref="I31:L31"/>
    <mergeCell ref="E31:H31"/>
    <mergeCell ref="B39:D39"/>
    <mergeCell ref="E39:H39"/>
    <mergeCell ref="B37:D37"/>
    <mergeCell ref="E37:H37"/>
    <mergeCell ref="B35:D35"/>
    <mergeCell ref="B34:D34"/>
    <mergeCell ref="E34:H34"/>
    <mergeCell ref="E35:H35"/>
    <mergeCell ref="B47:D47"/>
    <mergeCell ref="B33:D33"/>
    <mergeCell ref="B36:D36"/>
    <mergeCell ref="B40:D40"/>
    <mergeCell ref="E47:H47"/>
    <mergeCell ref="B46:D46"/>
    <mergeCell ref="B49:D49"/>
    <mergeCell ref="E36:H36"/>
    <mergeCell ref="B53:D53"/>
    <mergeCell ref="B54:D54"/>
    <mergeCell ref="B55:D55"/>
    <mergeCell ref="B56:D56"/>
    <mergeCell ref="Q79:R79"/>
    <mergeCell ref="S60:U60"/>
    <mergeCell ref="I52:L52"/>
    <mergeCell ref="E56:H56"/>
    <mergeCell ref="M58:N58"/>
    <mergeCell ref="M57:N57"/>
    <mergeCell ref="I57:L57"/>
    <mergeCell ref="M60:N60"/>
    <mergeCell ref="E59:H59"/>
    <mergeCell ref="I59:L59"/>
    <mergeCell ref="M59:N59"/>
    <mergeCell ref="E60:H60"/>
    <mergeCell ref="B63:D63"/>
    <mergeCell ref="B64:D64"/>
    <mergeCell ref="B66:D66"/>
    <mergeCell ref="B61:D61"/>
    <mergeCell ref="B58:D58"/>
    <mergeCell ref="B65:D65"/>
    <mergeCell ref="A79:B80"/>
    <mergeCell ref="O75:R75"/>
    <mergeCell ref="M33:N33"/>
    <mergeCell ref="M35:N35"/>
    <mergeCell ref="I34:L34"/>
    <mergeCell ref="C79:C80"/>
    <mergeCell ref="D80:E80"/>
    <mergeCell ref="M37:N37"/>
    <mergeCell ref="M44:N44"/>
    <mergeCell ref="M41:N41"/>
    <mergeCell ref="B45:D45"/>
    <mergeCell ref="M34:N34"/>
    <mergeCell ref="I39:L39"/>
    <mergeCell ref="M39:N39"/>
    <mergeCell ref="I40:L40"/>
    <mergeCell ref="M36:N36"/>
    <mergeCell ref="I44:L44"/>
    <mergeCell ref="J80:K80"/>
    <mergeCell ref="M75:N75"/>
    <mergeCell ref="B75:D75"/>
    <mergeCell ref="E75:H75"/>
    <mergeCell ref="I75:L75"/>
    <mergeCell ref="B70:D70"/>
    <mergeCell ref="B67:D67"/>
    <mergeCell ref="B68:D68"/>
    <mergeCell ref="B69:D69"/>
    <mergeCell ref="B4:AC4"/>
    <mergeCell ref="V7:X7"/>
    <mergeCell ref="M5:N5"/>
    <mergeCell ref="V5:X5"/>
    <mergeCell ref="B5:D5"/>
    <mergeCell ref="E5:H5"/>
    <mergeCell ref="M6:N6"/>
    <mergeCell ref="I6:L6"/>
    <mergeCell ref="E6:H6"/>
    <mergeCell ref="I5:L5"/>
    <mergeCell ref="O5:R5"/>
    <mergeCell ref="O7:R7"/>
    <mergeCell ref="S6:U6"/>
    <mergeCell ref="I7:L7"/>
    <mergeCell ref="M7:N7"/>
    <mergeCell ref="V6:X6"/>
    <mergeCell ref="E7:H7"/>
    <mergeCell ref="B7:D7"/>
    <mergeCell ref="B6:D6"/>
    <mergeCell ref="O6:R6"/>
    <mergeCell ref="S5:U5"/>
    <mergeCell ref="Z6:AC6"/>
    <mergeCell ref="Z7:AC7"/>
    <mergeCell ref="V8:X8"/>
    <mergeCell ref="I8:L8"/>
    <mergeCell ref="S8:U8"/>
    <mergeCell ref="M8:N8"/>
    <mergeCell ref="B17:D17"/>
    <mergeCell ref="B14:D14"/>
    <mergeCell ref="B18:D18"/>
    <mergeCell ref="I16:L16"/>
    <mergeCell ref="M16:N16"/>
    <mergeCell ref="V12:X12"/>
    <mergeCell ref="O12:R12"/>
    <mergeCell ref="V17:X17"/>
    <mergeCell ref="V15:X15"/>
    <mergeCell ref="S17:U17"/>
    <mergeCell ref="V16:X16"/>
    <mergeCell ref="S16:U16"/>
    <mergeCell ref="V11:X11"/>
    <mergeCell ref="E8:H8"/>
    <mergeCell ref="E9:H9"/>
    <mergeCell ref="O13:R13"/>
    <mergeCell ref="I14:L14"/>
    <mergeCell ref="M14:N14"/>
    <mergeCell ref="I17:L17"/>
    <mergeCell ref="O11:R11"/>
    <mergeCell ref="V9:X9"/>
    <mergeCell ref="B25:D25"/>
    <mergeCell ref="M10:N10"/>
    <mergeCell ref="I29:L29"/>
    <mergeCell ref="I9:L9"/>
    <mergeCell ref="I10:L10"/>
    <mergeCell ref="M27:N27"/>
    <mergeCell ref="M26:N26"/>
    <mergeCell ref="M25:N25"/>
    <mergeCell ref="I18:L18"/>
    <mergeCell ref="V10:X10"/>
    <mergeCell ref="B13:D13"/>
    <mergeCell ref="I13:L13"/>
    <mergeCell ref="M13:N13"/>
    <mergeCell ref="E13:H13"/>
    <mergeCell ref="B11:D11"/>
    <mergeCell ref="E11:H11"/>
    <mergeCell ref="M11:N11"/>
    <mergeCell ref="M12:N12"/>
    <mergeCell ref="E12:H12"/>
    <mergeCell ref="V24:X24"/>
    <mergeCell ref="S13:U13"/>
    <mergeCell ref="B21:D21"/>
    <mergeCell ref="B22:D22"/>
    <mergeCell ref="I45:L45"/>
    <mergeCell ref="I43:L43"/>
    <mergeCell ref="Z91:AD91"/>
    <mergeCell ref="Z92:AD92"/>
    <mergeCell ref="Z93:AD93"/>
    <mergeCell ref="B2:AD2"/>
    <mergeCell ref="Q88:T88"/>
    <mergeCell ref="B88:M88"/>
    <mergeCell ref="K83:R83"/>
    <mergeCell ref="S7:U7"/>
    <mergeCell ref="O8:R8"/>
    <mergeCell ref="B89:M95"/>
    <mergeCell ref="B87:M87"/>
    <mergeCell ref="E83:J83"/>
    <mergeCell ref="I35:L35"/>
    <mergeCell ref="B38:D38"/>
    <mergeCell ref="E38:H38"/>
    <mergeCell ref="I38:L38"/>
    <mergeCell ref="M38:N38"/>
    <mergeCell ref="S84:AC84"/>
    <mergeCell ref="B84:C84"/>
    <mergeCell ref="Z89:AD89"/>
    <mergeCell ref="Z90:AD90"/>
    <mergeCell ref="Q89:X89"/>
    <mergeCell ref="I105:K105"/>
    <mergeCell ref="I106:K106"/>
    <mergeCell ref="N106:O106"/>
    <mergeCell ref="D84:J84"/>
    <mergeCell ref="K84:R84"/>
    <mergeCell ref="Q93:X93"/>
    <mergeCell ref="Q94:X94"/>
    <mergeCell ref="Q95:X95"/>
    <mergeCell ref="C102:D102"/>
    <mergeCell ref="C103:D103"/>
    <mergeCell ref="C104:D104"/>
    <mergeCell ref="I103:K103"/>
    <mergeCell ref="I104:K104"/>
    <mergeCell ref="D101:M101"/>
    <mergeCell ref="Q103:X103"/>
    <mergeCell ref="B100:M100"/>
    <mergeCell ref="N102:O102"/>
    <mergeCell ref="N103:O103"/>
    <mergeCell ref="N104:O104"/>
    <mergeCell ref="Q90:X90"/>
    <mergeCell ref="Y113:AB113"/>
    <mergeCell ref="V114:X114"/>
    <mergeCell ref="Y114:AB114"/>
    <mergeCell ref="Y112:AB112"/>
    <mergeCell ref="V112:X112"/>
    <mergeCell ref="H113:J113"/>
    <mergeCell ref="V115:X115"/>
    <mergeCell ref="Y115:AB115"/>
    <mergeCell ref="K112:M112"/>
    <mergeCell ref="K113:M113"/>
    <mergeCell ref="K114:M114"/>
    <mergeCell ref="K115:M115"/>
    <mergeCell ref="N113:O113"/>
    <mergeCell ref="N112:O112"/>
    <mergeCell ref="Q112:U112"/>
    <mergeCell ref="E45:H45"/>
    <mergeCell ref="B43:D43"/>
    <mergeCell ref="B44:D44"/>
    <mergeCell ref="I47:L47"/>
    <mergeCell ref="O46:R46"/>
    <mergeCell ref="M45:N45"/>
    <mergeCell ref="V113:X113"/>
    <mergeCell ref="C109:D109"/>
    <mergeCell ref="I109:K109"/>
    <mergeCell ref="N109:O109"/>
    <mergeCell ref="B111:D111"/>
    <mergeCell ref="E111:G111"/>
    <mergeCell ref="H111:J111"/>
    <mergeCell ref="I107:K107"/>
    <mergeCell ref="I108:K108"/>
    <mergeCell ref="C105:D105"/>
    <mergeCell ref="C106:D106"/>
    <mergeCell ref="C107:D107"/>
    <mergeCell ref="C108:D108"/>
    <mergeCell ref="N107:O107"/>
    <mergeCell ref="K111:M111"/>
    <mergeCell ref="N111:O111"/>
    <mergeCell ref="O50:R50"/>
    <mergeCell ref="S50:U50"/>
    <mergeCell ref="V47:X47"/>
    <mergeCell ref="S51:U51"/>
    <mergeCell ref="I53:L53"/>
    <mergeCell ref="M53:N53"/>
    <mergeCell ref="M55:N55"/>
    <mergeCell ref="I55:L55"/>
    <mergeCell ref="S47:U47"/>
    <mergeCell ref="O49:R49"/>
    <mergeCell ref="O47:R47"/>
    <mergeCell ref="S48:U48"/>
    <mergeCell ref="I48:L48"/>
    <mergeCell ref="M48:N48"/>
    <mergeCell ref="O48:R48"/>
    <mergeCell ref="V55:X55"/>
    <mergeCell ref="S53:U53"/>
    <mergeCell ref="S54:U54"/>
    <mergeCell ref="O53:R53"/>
    <mergeCell ref="E64:H64"/>
    <mergeCell ref="I64:L64"/>
    <mergeCell ref="I66:L66"/>
    <mergeCell ref="M64:N64"/>
    <mergeCell ref="E65:H65"/>
    <mergeCell ref="I65:L65"/>
    <mergeCell ref="B59:D59"/>
    <mergeCell ref="B60:D60"/>
    <mergeCell ref="E62:H62"/>
    <mergeCell ref="I62:L62"/>
    <mergeCell ref="M62:N62"/>
    <mergeCell ref="E63:H63"/>
    <mergeCell ref="I63:L63"/>
    <mergeCell ref="M63:N63"/>
    <mergeCell ref="B62:D62"/>
    <mergeCell ref="M66:N66"/>
    <mergeCell ref="M65:N65"/>
    <mergeCell ref="B57:D57"/>
    <mergeCell ref="E54:H54"/>
    <mergeCell ref="I58:L58"/>
    <mergeCell ref="I56:L56"/>
    <mergeCell ref="E55:H55"/>
    <mergeCell ref="E57:H57"/>
    <mergeCell ref="M61:N61"/>
    <mergeCell ref="E61:H61"/>
    <mergeCell ref="I61:L61"/>
    <mergeCell ref="I60:L60"/>
    <mergeCell ref="I54:L54"/>
    <mergeCell ref="E58:H58"/>
    <mergeCell ref="E50:H50"/>
    <mergeCell ref="I50:L50"/>
    <mergeCell ref="E52:H52"/>
    <mergeCell ref="B50:D50"/>
    <mergeCell ref="M51:N51"/>
    <mergeCell ref="E46:H46"/>
    <mergeCell ref="I46:L46"/>
    <mergeCell ref="M49:N49"/>
    <mergeCell ref="E51:H51"/>
    <mergeCell ref="I51:L51"/>
    <mergeCell ref="M47:N47"/>
    <mergeCell ref="M46:N46"/>
    <mergeCell ref="I49:L49"/>
    <mergeCell ref="M50:N50"/>
    <mergeCell ref="B48:D48"/>
    <mergeCell ref="E48:H48"/>
    <mergeCell ref="B51:D51"/>
    <mergeCell ref="B52:D52"/>
    <mergeCell ref="E40:H40"/>
    <mergeCell ref="E41:H41"/>
    <mergeCell ref="E42:H42"/>
    <mergeCell ref="E43:H43"/>
    <mergeCell ref="E44:H44"/>
    <mergeCell ref="M42:N42"/>
    <mergeCell ref="M43:N43"/>
    <mergeCell ref="I41:L41"/>
    <mergeCell ref="I42:L42"/>
    <mergeCell ref="Z8:AC8"/>
    <mergeCell ref="Z9:AC9"/>
    <mergeCell ref="Z10:AC10"/>
    <mergeCell ref="Z11:AC11"/>
    <mergeCell ref="M40:N40"/>
    <mergeCell ref="B41:D41"/>
    <mergeCell ref="B42:D42"/>
    <mergeCell ref="S42:U42"/>
    <mergeCell ref="S41:U41"/>
    <mergeCell ref="V38:X38"/>
    <mergeCell ref="V39:X39"/>
    <mergeCell ref="O39:R39"/>
    <mergeCell ref="S37:U37"/>
    <mergeCell ref="V37:X37"/>
    <mergeCell ref="V42:X42"/>
    <mergeCell ref="S39:U39"/>
    <mergeCell ref="O40:R40"/>
    <mergeCell ref="O38:R38"/>
    <mergeCell ref="S40:U40"/>
    <mergeCell ref="S35:U35"/>
    <mergeCell ref="I37:L37"/>
    <mergeCell ref="I36:L36"/>
    <mergeCell ref="Z12:AC12"/>
    <mergeCell ref="Z13:AC13"/>
    <mergeCell ref="Z14:AC14"/>
    <mergeCell ref="Z15:AC15"/>
    <mergeCell ref="Z16:AC16"/>
    <mergeCell ref="Z17:AC17"/>
    <mergeCell ref="S44:U44"/>
    <mergeCell ref="S45:U45"/>
    <mergeCell ref="O45:R45"/>
    <mergeCell ref="O44:R44"/>
    <mergeCell ref="V45:X45"/>
    <mergeCell ref="O43:R43"/>
    <mergeCell ref="S43:U43"/>
    <mergeCell ref="V43:X43"/>
    <mergeCell ref="V44:X44"/>
    <mergeCell ref="V40:X40"/>
    <mergeCell ref="O37:R37"/>
    <mergeCell ref="S38:U38"/>
    <mergeCell ref="S21:U21"/>
    <mergeCell ref="S28:U28"/>
    <mergeCell ref="V19:X19"/>
    <mergeCell ref="V20:X20"/>
    <mergeCell ref="S20:U20"/>
    <mergeCell ref="S18:U18"/>
    <mergeCell ref="Z32:AC32"/>
    <mergeCell ref="Z33:AC33"/>
    <mergeCell ref="Z34:AC34"/>
    <mergeCell ref="Z35:AC35"/>
    <mergeCell ref="Z36:AC36"/>
    <mergeCell ref="Z37:AC37"/>
    <mergeCell ref="Z26:AC26"/>
    <mergeCell ref="Z27:AC27"/>
    <mergeCell ref="Z28:AC28"/>
    <mergeCell ref="Z29:AC29"/>
    <mergeCell ref="Z30:AC30"/>
    <mergeCell ref="Z31:AC31"/>
    <mergeCell ref="Z44:AC44"/>
    <mergeCell ref="Z45:AC45"/>
    <mergeCell ref="Z46:AC46"/>
    <mergeCell ref="Z47:AC47"/>
    <mergeCell ref="Z48:AC48"/>
    <mergeCell ref="Z49:AC49"/>
    <mergeCell ref="Z38:AC38"/>
    <mergeCell ref="Z39:AC39"/>
    <mergeCell ref="Z40:AC40"/>
    <mergeCell ref="Z41:AC41"/>
    <mergeCell ref="Z42:AC42"/>
    <mergeCell ref="Z43:AC43"/>
    <mergeCell ref="Z59:AC59"/>
    <mergeCell ref="Z60:AC60"/>
    <mergeCell ref="Z61:AC61"/>
    <mergeCell ref="Z62:AC62"/>
    <mergeCell ref="Z63:AC63"/>
    <mergeCell ref="Z50:AC50"/>
    <mergeCell ref="Z51:AC51"/>
    <mergeCell ref="Z64:AC64"/>
    <mergeCell ref="Z52:AC52"/>
    <mergeCell ref="Z53:AC53"/>
    <mergeCell ref="Z54:AC54"/>
    <mergeCell ref="Z55:AC55"/>
    <mergeCell ref="Z56:AC56"/>
    <mergeCell ref="Z57:AC57"/>
  </mergeCells>
  <phoneticPr fontId="0" type="noConversion"/>
  <dataValidations count="1">
    <dataValidation type="list" allowBlank="1" showInputMessage="1" showErrorMessage="1" sqref="Q89:Q96">
      <formula1>ZAUBER</formula1>
    </dataValidation>
  </dataValidations>
  <pageMargins left="0.39370078740157483" right="0.39370078740157483" top="0.39370078740157483" bottom="0.39370078740157483" header="0.51181102362204722" footer="0.51181102362204722"/>
  <pageSetup paperSize="9" scale="77" orientation="portrait" r:id="rId1"/>
  <headerFooter alignWithMargins="0">
    <oddHeader>&amp;A</oddHead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tabColor indexed="44"/>
    <pageSetUpPr fitToPage="1"/>
  </sheetPr>
  <dimension ref="A1:AC182"/>
  <sheetViews>
    <sheetView showGridLines="0" zoomScaleNormal="100" zoomScaleSheetLayoutView="100" workbookViewId="0">
      <selection activeCell="Q49" sqref="Q49"/>
    </sheetView>
  </sheetViews>
  <sheetFormatPr baseColWidth="10" defaultColWidth="8.85546875" defaultRowHeight="12.75" x14ac:dyDescent="0.2"/>
  <cols>
    <col min="1" max="1" width="0.7109375" customWidth="1"/>
    <col min="2" max="2" width="19.7109375" customWidth="1"/>
    <col min="3" max="3" width="5.42578125" customWidth="1"/>
    <col min="4" max="4" width="10.7109375" customWidth="1"/>
    <col min="5" max="5" width="8.85546875" customWidth="1"/>
    <col min="6" max="6" width="0.7109375" customWidth="1"/>
    <col min="7" max="7" width="1" style="18" customWidth="1"/>
    <col min="8" max="8" width="27" customWidth="1"/>
    <col min="9" max="9" width="5.7109375" customWidth="1"/>
    <col min="10" max="10" width="4.85546875" customWidth="1"/>
    <col min="11" max="11" width="9.42578125" customWidth="1"/>
    <col min="12" max="12" width="11.7109375" customWidth="1"/>
    <col min="13" max="13" width="9.28515625" customWidth="1"/>
    <col min="14" max="14" width="4.5703125" customWidth="1"/>
    <col min="15" max="15" width="0.5703125" customWidth="1"/>
    <col min="16" max="16" width="3.42578125" customWidth="1"/>
    <col min="17" max="17" width="52.42578125" style="353" customWidth="1"/>
    <col min="18" max="18" width="7.42578125" style="268" customWidth="1"/>
    <col min="19" max="19" width="11.85546875" customWidth="1"/>
  </cols>
  <sheetData>
    <row r="1" spans="1:19" ht="47.25" customHeight="1" thickBot="1" x14ac:dyDescent="0.3">
      <c r="H1" s="265"/>
      <c r="P1" s="268"/>
    </row>
    <row r="2" spans="1:19" ht="4.5" customHeight="1" thickTop="1" x14ac:dyDescent="0.2">
      <c r="A2" s="256"/>
      <c r="B2" s="257"/>
      <c r="C2" s="257"/>
      <c r="D2" s="257"/>
      <c r="E2" s="257"/>
      <c r="F2" s="257"/>
      <c r="G2" s="1510"/>
      <c r="H2" s="1511"/>
      <c r="I2" s="1511"/>
      <c r="J2" s="1511"/>
      <c r="K2" s="1511"/>
      <c r="L2" s="1511"/>
      <c r="M2" s="1511"/>
      <c r="N2" s="1511"/>
      <c r="O2" s="1512"/>
      <c r="P2" s="78"/>
    </row>
    <row r="3" spans="1:19" ht="13.5" x14ac:dyDescent="0.25">
      <c r="A3" s="259"/>
      <c r="B3" s="265"/>
      <c r="C3" s="1472" t="s">
        <v>408</v>
      </c>
      <c r="D3" s="1507" t="s">
        <v>3599</v>
      </c>
      <c r="E3" s="1508"/>
      <c r="F3" s="18"/>
      <c r="G3" s="1513"/>
      <c r="H3" s="1042" t="s">
        <v>403</v>
      </c>
      <c r="I3" s="1042" t="s">
        <v>119</v>
      </c>
      <c r="J3" s="1042" t="s">
        <v>120</v>
      </c>
      <c r="K3" s="1042" t="str">
        <f>IF(PROFGRDGENE="Schamane","Probe","R-Dauer")</f>
        <v>R-Dauer</v>
      </c>
      <c r="L3" s="1042" t="str">
        <f>IF(PROFGRDGENE="Schamane","MOD","W-Dauer")</f>
        <v>W-Dauer</v>
      </c>
      <c r="M3" s="1042" t="s">
        <v>1687</v>
      </c>
      <c r="N3" s="1042" t="s">
        <v>121</v>
      </c>
      <c r="O3" s="1514"/>
      <c r="P3" s="78"/>
      <c r="Q3" s="353">
        <v>2</v>
      </c>
      <c r="S3" s="353" t="str">
        <f>IF(PROFGRDGENE="Schamane","Schamanen_Rituale_all","Liturgien_all")</f>
        <v>Liturgien_all</v>
      </c>
    </row>
    <row r="4" spans="1:19" ht="13.5" x14ac:dyDescent="0.25">
      <c r="A4" s="259"/>
      <c r="B4" s="1050" t="s">
        <v>749</v>
      </c>
      <c r="C4" s="1047" t="str">
        <f>KE</f>
        <v/>
      </c>
      <c r="D4" s="1049"/>
      <c r="E4" s="1049"/>
      <c r="F4" s="18"/>
      <c r="G4" s="1513"/>
      <c r="H4" s="1515" t="str">
        <f ca="1">IF(PROFGRDGENE="Schamane",IF(NOT(Rituale_Aktiv=""),LEFT(Rituale_Aktiv,FIND(",",Rituale_Aktiv)-1),""),IF(NOT(Liturgien_Aktiv=""),LEFT(Liturgien_Aktiv,FIND(",",Liturgien_Aktiv)-1),""))</f>
        <v>Grad 0</v>
      </c>
      <c r="I4" s="1516" t="str">
        <f ca="1">IF(NOT(ISERR(FIND("Grad",H4))),"",IF(NOT(EXACT(H4,"")),IF(PROFGRDGENE="Schamane",VLOOKUP(H4,INDIRECT(LIT_RIT_ALL),2,FALSE),VLOOKUP(H4,LITURGIEN_GOETTER,IDX_LITG,FALSE)),""))</f>
        <v/>
      </c>
      <c r="J4" s="1516" t="str">
        <f t="shared" ref="J4:J47" ca="1" si="0">IF(NOT(ISERR(FIND("Grad",H4))),"",IF(NOT(EXACT(H4,"")),IF(OR(PROFGRDGENE="Schamane",IF(ISERROR(VLOOKUP(H4,LITURGIEN_GOETTER,IDX_LITZ,FALSE)),,VLOOKUP(H4,LITURGIEN_GOETTER,IDX_LITZ,FALSE)="")),VLOOKUP(H4,INDIRECT(LIT_RIT_ALL),4,FALSE),VLOOKUP(H4,LITURGIEN_GOETTER,IDX_LITZ,FALSE)),""))</f>
        <v/>
      </c>
      <c r="K4" s="1516" t="str">
        <f t="shared" ref="K4:K47" ca="1" si="1">IF(NOT(ISERR(FIND("Grad",H4))),"",IF(NOT(EXACT(H4,"")),IF(OR(PROFGRDGENE="Schamane",IF(ISERROR(VLOOKUP(H4,LITURGIEN_GOETTER,IDX_LITR,FALSE)),,VLOOKUP(H4,LITURGIEN_GOETTER,IDX_LITR,FALSE)="")),VLOOKUP(H4,INDIRECT(LIT_RIT_ALL),5,FALSE),VLOOKUP(H4,LITURGIEN_GOETTER,IDX_LITR,FALSE)),""))</f>
        <v/>
      </c>
      <c r="L4" s="1515" t="str">
        <f t="shared" ref="L4:L47" ca="1" si="2">IF(NOT(ISERR(FIND("Grad",H4))),"",IF(NOT(EXACT(H4,"")),IF(OR(PROFGRDGENE="Schamane",IF(ISERROR(VLOOKUP(H4,LITURGIEN_GOETTER,IDX_LITW,FALSE)),,VLOOKUP(H4,LITURGIEN_GOETTER,IDX_LITW,FALSE)="")),VLOOKUP(H4,INDIRECT(LIT_RIT_ALL),6,FALSE),VLOOKUP(H4,LITURGIEN_GOETTER,IDX_LITW,FALSE)),""))</f>
        <v/>
      </c>
      <c r="M4" s="1515" t="str">
        <f t="shared" ref="M4:M47" ca="1" si="3">IF(NOT(ISERR(FIND("Grad",H4))),"",IF(NOT(EXACT(H4,"")),IF(OR(PROFGRDGENE="Schamane",IF(ISERROR(VLOOKUP(H4,LITURGIEN_GOETTER,IDX_LITR,FALSE)),,VLOOKUP(H4,LITURGIEN_GOETTER,IDX_LITR,FALSE)="")),VLOOKUP(H4,INDIRECT(LIT_RIT_ALL),7,FALSE),VLOOKUP(H4,LITURGIEN_GOETTER,IDX_LITR,FALSE)),""))</f>
        <v/>
      </c>
      <c r="N4" s="1516" t="str">
        <f t="shared" ref="N4:N47" ca="1" si="4">IF(NOT(ISERR(FIND("Grad",H4))),"",IF(NOT(EXACT(H4,"")),VLOOKUP(H4,INDIRECT(LIT_RIT_ALL),IF(AND(SEITE_BUCH=1,LIT_RIT_ALL="Liturgien_all"),9,8),FALSE),""))</f>
        <v/>
      </c>
      <c r="O4" s="1514"/>
      <c r="P4" s="78"/>
      <c r="Q4" s="1660"/>
      <c r="S4" s="353" t="str">
        <f ca="1">IF(PROFGRDGENE="Schamane",IF(NOT(Rituale_Aktiv=""),RIGHT(Rituale_Aktiv,LEN(Rituale_Aktiv)-LEN(H4)-1),""),IF(NOT(Liturgien_Aktiv=""),RIGHT(Liturgien_Aktiv,LEN(Liturgien_Aktiv)-LEN(H4)-1),""))</f>
        <v>,</v>
      </c>
    </row>
    <row r="5" spans="1:19" ht="15" customHeight="1" thickBot="1" x14ac:dyDescent="0.3">
      <c r="A5" s="259"/>
      <c r="B5" s="1051" t="s">
        <v>4577</v>
      </c>
      <c r="C5" s="18"/>
      <c r="D5" s="262"/>
      <c r="E5" s="18"/>
      <c r="F5" s="18"/>
      <c r="G5" s="1513"/>
      <c r="H5" s="1515" t="str">
        <f t="shared" ref="H5:H47" ca="1" si="5">IF(NOT(S4=""),LEFT(S4,FIND(",",S4)-1),"")</f>
        <v/>
      </c>
      <c r="I5" s="1516" t="str">
        <f ca="1">IF(NOT(ISERR(FIND("Grad",H5))),"",IF(NOT(EXACT(H5,"")),IF(AND(Goetter!AA32,NOT(PROFGRDGENE="Schamane")),0,VLOOKUP(H5,INDIRECT(LIT_RIT_ALL),2,FALSE)),""))</f>
        <v/>
      </c>
      <c r="J5" s="1516" t="str">
        <f t="shared" ca="1" si="0"/>
        <v/>
      </c>
      <c r="K5" s="1516" t="str">
        <f t="shared" ca="1" si="1"/>
        <v/>
      </c>
      <c r="L5" s="1515" t="str">
        <f t="shared" ca="1" si="2"/>
        <v/>
      </c>
      <c r="M5" s="1515" t="str">
        <f t="shared" ca="1" si="3"/>
        <v/>
      </c>
      <c r="N5" s="1516" t="str">
        <f t="shared" ca="1" si="4"/>
        <v/>
      </c>
      <c r="O5" s="1514"/>
      <c r="P5" s="78"/>
      <c r="Q5" s="1661"/>
      <c r="S5" s="353" t="str">
        <f t="shared" ref="S5:S47" ca="1" si="6">IF(NOT(S4=""),RIGHT(S4,LEN(S4)-LEN(H5)-1),"")</f>
        <v/>
      </c>
    </row>
    <row r="6" spans="1:19" ht="14.25" thickTop="1" x14ac:dyDescent="0.25">
      <c r="A6" s="256"/>
      <c r="B6" s="264" t="s">
        <v>400</v>
      </c>
      <c r="C6" s="467" t="str">
        <f ca="1">CONCATENATE(LEFT(SF_KARMAL_LIST,25),IF(LEN(SF_KARMAL_LIST)&gt;26,"-",""))</f>
        <v/>
      </c>
      <c r="D6" s="467"/>
      <c r="E6" s="467"/>
      <c r="F6" s="257"/>
      <c r="G6" s="1513"/>
      <c r="H6" s="1515" t="str">
        <f t="shared" ca="1" si="5"/>
        <v/>
      </c>
      <c r="I6" s="1516" t="str">
        <f t="shared" ref="I6:I47" ca="1" si="7">IF(NOT(ISERR(FIND("Grad",H6))),"",IF(NOT(EXACT(H6,"")),IF(PROFGRDGENE="Schamane",VLOOKUP(H6,INDIRECT(LIT_RIT_ALL),2,FALSE),VLOOKUP(H6,LITURGIEN_GOETTER,IDX_LITG,FALSE)),""))</f>
        <v/>
      </c>
      <c r="J6" s="1516" t="str">
        <f t="shared" ca="1" si="0"/>
        <v/>
      </c>
      <c r="K6" s="1516" t="str">
        <f t="shared" ca="1" si="1"/>
        <v/>
      </c>
      <c r="L6" s="1515" t="str">
        <f t="shared" ca="1" si="2"/>
        <v/>
      </c>
      <c r="M6" s="1515" t="str">
        <f t="shared" ca="1" si="3"/>
        <v/>
      </c>
      <c r="N6" s="1516" t="str">
        <f t="shared" ca="1" si="4"/>
        <v/>
      </c>
      <c r="O6" s="1514"/>
      <c r="P6" s="78"/>
      <c r="Q6" s="1662"/>
      <c r="S6" s="353" t="str">
        <f t="shared" ca="1" si="6"/>
        <v/>
      </c>
    </row>
    <row r="7" spans="1:19" x14ac:dyDescent="0.2">
      <c r="A7" s="1045"/>
      <c r="B7" s="1038" t="str">
        <f ca="1">IF(LEN(SF_KARMAL_LIST)&gt;25,CONCATENATE(MID(SF_KARMAL_LIST,26,56),IF(LEN(SF_KARMAL_LIST)&gt;57,"-","")),"")</f>
        <v/>
      </c>
      <c r="C7" s="1038"/>
      <c r="D7" s="1038"/>
      <c r="E7" s="1038"/>
      <c r="F7" s="18"/>
      <c r="G7" s="1513"/>
      <c r="H7" s="1515" t="str">
        <f t="shared" ca="1" si="5"/>
        <v/>
      </c>
      <c r="I7" s="1516" t="str">
        <f t="shared" ca="1" si="7"/>
        <v/>
      </c>
      <c r="J7" s="1516" t="str">
        <f t="shared" ca="1" si="0"/>
        <v/>
      </c>
      <c r="K7" s="1516" t="str">
        <f t="shared" ca="1" si="1"/>
        <v/>
      </c>
      <c r="L7" s="1515" t="str">
        <f t="shared" ca="1" si="2"/>
        <v/>
      </c>
      <c r="M7" s="1515" t="str">
        <f t="shared" ca="1" si="3"/>
        <v/>
      </c>
      <c r="N7" s="1516" t="str">
        <f t="shared" ca="1" si="4"/>
        <v/>
      </c>
      <c r="O7" s="1514"/>
      <c r="P7" s="78"/>
      <c r="S7" s="353" t="str">
        <f t="shared" ca="1" si="6"/>
        <v/>
      </c>
    </row>
    <row r="8" spans="1:19" x14ac:dyDescent="0.2">
      <c r="A8" s="1045"/>
      <c r="B8" s="1038" t="str">
        <f ca="1">IF(LEN(SF_KARMAL_LIST)&gt;82,MID(SF_KARMAL_LIST,82,138),"")</f>
        <v/>
      </c>
      <c r="C8" s="1038"/>
      <c r="D8" s="1038"/>
      <c r="E8" s="1038"/>
      <c r="F8" s="18"/>
      <c r="G8" s="1513"/>
      <c r="H8" s="1515" t="str">
        <f t="shared" ca="1" si="5"/>
        <v/>
      </c>
      <c r="I8" s="1516" t="str">
        <f t="shared" ca="1" si="7"/>
        <v/>
      </c>
      <c r="J8" s="1516" t="str">
        <f t="shared" ca="1" si="0"/>
        <v/>
      </c>
      <c r="K8" s="1516" t="str">
        <f t="shared" ca="1" si="1"/>
        <v/>
      </c>
      <c r="L8" s="1515" t="str">
        <f t="shared" ca="1" si="2"/>
        <v/>
      </c>
      <c r="M8" s="1515" t="str">
        <f t="shared" ca="1" si="3"/>
        <v/>
      </c>
      <c r="N8" s="1516" t="str">
        <f t="shared" ca="1" si="4"/>
        <v/>
      </c>
      <c r="O8" s="1514"/>
      <c r="P8" s="78"/>
      <c r="S8" s="353" t="str">
        <f t="shared" ca="1" si="6"/>
        <v/>
      </c>
    </row>
    <row r="9" spans="1:19" ht="13.5" thickBot="1" x14ac:dyDescent="0.25">
      <c r="A9" s="1046"/>
      <c r="B9" s="1039"/>
      <c r="C9" s="1039"/>
      <c r="D9" s="1039"/>
      <c r="E9" s="1039"/>
      <c r="F9" s="263"/>
      <c r="G9" s="1513"/>
      <c r="H9" s="1515" t="str">
        <f t="shared" ca="1" si="5"/>
        <v/>
      </c>
      <c r="I9" s="1516" t="str">
        <f t="shared" ca="1" si="7"/>
        <v/>
      </c>
      <c r="J9" s="1516" t="str">
        <f t="shared" ca="1" si="0"/>
        <v/>
      </c>
      <c r="K9" s="1516" t="str">
        <f t="shared" ca="1" si="1"/>
        <v/>
      </c>
      <c r="L9" s="1515" t="str">
        <f t="shared" ca="1" si="2"/>
        <v/>
      </c>
      <c r="M9" s="1515" t="str">
        <f t="shared" ca="1" si="3"/>
        <v/>
      </c>
      <c r="N9" s="1516" t="str">
        <f t="shared" ca="1" si="4"/>
        <v/>
      </c>
      <c r="O9" s="1514"/>
      <c r="P9" s="78"/>
      <c r="S9" s="353" t="str">
        <f t="shared" ca="1" si="6"/>
        <v/>
      </c>
    </row>
    <row r="10" spans="1:19" ht="14.25" customHeight="1" thickTop="1" x14ac:dyDescent="0.2">
      <c r="A10" s="259"/>
      <c r="B10" s="18"/>
      <c r="C10" s="18"/>
      <c r="D10" s="18"/>
      <c r="E10" s="18"/>
      <c r="F10" s="18"/>
      <c r="G10" s="1513"/>
      <c r="H10" s="1515" t="str">
        <f t="shared" ca="1" si="5"/>
        <v/>
      </c>
      <c r="I10" s="1516" t="str">
        <f t="shared" ca="1" si="7"/>
        <v/>
      </c>
      <c r="J10" s="1516" t="str">
        <f t="shared" ca="1" si="0"/>
        <v/>
      </c>
      <c r="K10" s="1516" t="str">
        <f t="shared" ca="1" si="1"/>
        <v/>
      </c>
      <c r="L10" s="1515" t="str">
        <f t="shared" ca="1" si="2"/>
        <v/>
      </c>
      <c r="M10" s="1515" t="str">
        <f t="shared" ca="1" si="3"/>
        <v/>
      </c>
      <c r="N10" s="1516" t="str">
        <f t="shared" ca="1" si="4"/>
        <v/>
      </c>
      <c r="O10" s="1514"/>
      <c r="P10" s="78"/>
      <c r="S10" s="353" t="str">
        <f t="shared" ca="1" si="6"/>
        <v/>
      </c>
    </row>
    <row r="11" spans="1:19" ht="15" customHeight="1" x14ac:dyDescent="0.25">
      <c r="A11" s="259"/>
      <c r="B11" s="265" t="s">
        <v>2650</v>
      </c>
      <c r="C11" s="1047" t="str">
        <f ca="1">IF(Goetter!B11="","",Goetter!B11+Goetter!E11+Goetter!G11)</f>
        <v/>
      </c>
      <c r="D11" s="1048" t="str">
        <f ca="1">Goetter!I11</f>
        <v/>
      </c>
      <c r="E11" s="18"/>
      <c r="F11" s="347"/>
      <c r="G11" s="1517"/>
      <c r="H11" s="1515" t="str">
        <f t="shared" ca="1" si="5"/>
        <v/>
      </c>
      <c r="I11" s="1516" t="str">
        <f t="shared" ca="1" si="7"/>
        <v/>
      </c>
      <c r="J11" s="1516" t="str">
        <f t="shared" ca="1" si="0"/>
        <v/>
      </c>
      <c r="K11" s="1516" t="str">
        <f t="shared" ca="1" si="1"/>
        <v/>
      </c>
      <c r="L11" s="1515" t="str">
        <f t="shared" ca="1" si="2"/>
        <v/>
      </c>
      <c r="M11" s="1515" t="str">
        <f t="shared" ca="1" si="3"/>
        <v/>
      </c>
      <c r="N11" s="1516" t="str">
        <f t="shared" ca="1" si="4"/>
        <v/>
      </c>
      <c r="O11" s="1514"/>
      <c r="P11" s="78"/>
      <c r="S11" s="353" t="str">
        <f t="shared" ca="1" si="6"/>
        <v/>
      </c>
    </row>
    <row r="12" spans="1:19" x14ac:dyDescent="0.2">
      <c r="A12" s="259"/>
      <c r="C12" s="18"/>
      <c r="D12" s="18"/>
      <c r="E12" s="18"/>
      <c r="F12" s="18"/>
      <c r="G12" s="1513"/>
      <c r="H12" s="1515" t="str">
        <f t="shared" ca="1" si="5"/>
        <v/>
      </c>
      <c r="I12" s="1516" t="str">
        <f t="shared" ca="1" si="7"/>
        <v/>
      </c>
      <c r="J12" s="1516" t="str">
        <f t="shared" ca="1" si="0"/>
        <v/>
      </c>
      <c r="K12" s="1516" t="str">
        <f t="shared" ca="1" si="1"/>
        <v/>
      </c>
      <c r="L12" s="1515" t="str">
        <f t="shared" ca="1" si="2"/>
        <v/>
      </c>
      <c r="M12" s="1515" t="str">
        <f t="shared" ca="1" si="3"/>
        <v/>
      </c>
      <c r="N12" s="1516" t="str">
        <f t="shared" ca="1" si="4"/>
        <v/>
      </c>
      <c r="O12" s="1514"/>
      <c r="P12" s="78"/>
      <c r="S12" s="353" t="str">
        <f t="shared" ca="1" si="6"/>
        <v/>
      </c>
    </row>
    <row r="13" spans="1:19" ht="13.5" x14ac:dyDescent="0.25">
      <c r="A13" s="259"/>
      <c r="B13" s="265"/>
      <c r="C13" s="1472" t="s">
        <v>4000</v>
      </c>
      <c r="D13" s="1472" t="s">
        <v>4266</v>
      </c>
      <c r="E13" s="1509" t="s">
        <v>4266</v>
      </c>
      <c r="G13" s="1513"/>
      <c r="H13" s="1515" t="str">
        <f t="shared" ca="1" si="5"/>
        <v/>
      </c>
      <c r="I13" s="1516" t="str">
        <f t="shared" ca="1" si="7"/>
        <v/>
      </c>
      <c r="J13" s="1516" t="str">
        <f t="shared" ca="1" si="0"/>
        <v/>
      </c>
      <c r="K13" s="1516" t="str">
        <f t="shared" ca="1" si="1"/>
        <v/>
      </c>
      <c r="L13" s="1515" t="str">
        <f t="shared" ca="1" si="2"/>
        <v/>
      </c>
      <c r="M13" s="1515" t="str">
        <f t="shared" ca="1" si="3"/>
        <v/>
      </c>
      <c r="N13" s="1516" t="str">
        <f t="shared" ca="1" si="4"/>
        <v/>
      </c>
      <c r="O13" s="1514"/>
      <c r="P13" s="78"/>
      <c r="S13" s="353" t="str">
        <f t="shared" ca="1" si="6"/>
        <v/>
      </c>
    </row>
    <row r="14" spans="1:19" ht="13.5" x14ac:dyDescent="0.25">
      <c r="A14" s="259"/>
      <c r="B14" s="1050" t="s">
        <v>3598</v>
      </c>
      <c r="C14" s="1047" t="str">
        <f ca="1">C11</f>
        <v/>
      </c>
      <c r="D14" s="24" t="str">
        <f ca="1">IF(D11="","","MU•IN•CH")</f>
        <v/>
      </c>
      <c r="E14" s="38" t="str">
        <f ca="1">IF(D11="","",MU&amp;"•"&amp;IN&amp;"•"&amp;CH)</f>
        <v/>
      </c>
      <c r="F14" s="18"/>
      <c r="G14" s="1513"/>
      <c r="H14" s="1515" t="str">
        <f t="shared" ca="1" si="5"/>
        <v/>
      </c>
      <c r="I14" s="1516" t="str">
        <f t="shared" ca="1" si="7"/>
        <v/>
      </c>
      <c r="J14" s="1516" t="str">
        <f t="shared" ca="1" si="0"/>
        <v/>
      </c>
      <c r="K14" s="1516" t="str">
        <f t="shared" ca="1" si="1"/>
        <v/>
      </c>
      <c r="L14" s="1515" t="str">
        <f t="shared" ca="1" si="2"/>
        <v/>
      </c>
      <c r="M14" s="1515" t="str">
        <f t="shared" ca="1" si="3"/>
        <v/>
      </c>
      <c r="N14" s="1516" t="str">
        <f t="shared" ca="1" si="4"/>
        <v/>
      </c>
      <c r="O14" s="1514"/>
      <c r="P14" s="78"/>
      <c r="S14" s="353" t="str">
        <f t="shared" ca="1" si="6"/>
        <v/>
      </c>
    </row>
    <row r="15" spans="1:19" ht="13.5" thickBot="1" x14ac:dyDescent="0.25">
      <c r="A15" s="261"/>
      <c r="B15" s="262"/>
      <c r="C15" s="262"/>
      <c r="D15" s="262"/>
      <c r="E15" s="262"/>
      <c r="F15" s="263"/>
      <c r="G15" s="1513"/>
      <c r="H15" s="1515" t="str">
        <f t="shared" ca="1" si="5"/>
        <v/>
      </c>
      <c r="I15" s="1516" t="str">
        <f t="shared" ca="1" si="7"/>
        <v/>
      </c>
      <c r="J15" s="1516" t="str">
        <f t="shared" ca="1" si="0"/>
        <v/>
      </c>
      <c r="K15" s="1516" t="str">
        <f t="shared" ca="1" si="1"/>
        <v/>
      </c>
      <c r="L15" s="1515" t="str">
        <f t="shared" ca="1" si="2"/>
        <v/>
      </c>
      <c r="M15" s="1515" t="str">
        <f t="shared" ca="1" si="3"/>
        <v/>
      </c>
      <c r="N15" s="1516" t="str">
        <f t="shared" ca="1" si="4"/>
        <v/>
      </c>
      <c r="O15" s="1514"/>
      <c r="P15" s="78"/>
      <c r="S15" s="353" t="str">
        <f t="shared" ca="1" si="6"/>
        <v/>
      </c>
    </row>
    <row r="16" spans="1:19" ht="13.5" thickTop="1" x14ac:dyDescent="0.2">
      <c r="A16" s="259"/>
      <c r="C16" s="18"/>
      <c r="D16" s="18"/>
      <c r="E16" s="18"/>
      <c r="F16" s="18"/>
      <c r="G16" s="1513"/>
      <c r="H16" s="1515" t="str">
        <f t="shared" ca="1" si="5"/>
        <v/>
      </c>
      <c r="I16" s="1516" t="str">
        <f t="shared" ca="1" si="7"/>
        <v/>
      </c>
      <c r="J16" s="1516" t="str">
        <f t="shared" ca="1" si="0"/>
        <v/>
      </c>
      <c r="K16" s="1516" t="str">
        <f t="shared" ca="1" si="1"/>
        <v/>
      </c>
      <c r="L16" s="1515" t="str">
        <f t="shared" ca="1" si="2"/>
        <v/>
      </c>
      <c r="M16" s="1515" t="str">
        <f t="shared" ca="1" si="3"/>
        <v/>
      </c>
      <c r="N16" s="1516" t="str">
        <f t="shared" ca="1" si="4"/>
        <v/>
      </c>
      <c r="O16" s="1514"/>
      <c r="P16" s="78"/>
      <c r="S16" s="353" t="str">
        <f t="shared" ca="1" si="6"/>
        <v/>
      </c>
    </row>
    <row r="17" spans="1:29" ht="13.5" x14ac:dyDescent="0.25">
      <c r="A17" s="259"/>
      <c r="B17" s="265" t="s">
        <v>4420</v>
      </c>
      <c r="C17" s="1052"/>
      <c r="D17" s="1048" t="str">
        <f ca="1">Goetter!I14</f>
        <v/>
      </c>
      <c r="E17" s="18"/>
      <c r="F17" s="18"/>
      <c r="G17" s="1513"/>
      <c r="H17" s="1515" t="str">
        <f t="shared" ca="1" si="5"/>
        <v/>
      </c>
      <c r="I17" s="1516" t="str">
        <f t="shared" ca="1" si="7"/>
        <v/>
      </c>
      <c r="J17" s="1516" t="str">
        <f t="shared" ca="1" si="0"/>
        <v/>
      </c>
      <c r="K17" s="1516" t="str">
        <f t="shared" ca="1" si="1"/>
        <v/>
      </c>
      <c r="L17" s="1515" t="str">
        <f t="shared" ca="1" si="2"/>
        <v/>
      </c>
      <c r="M17" s="1515" t="str">
        <f t="shared" ca="1" si="3"/>
        <v/>
      </c>
      <c r="N17" s="1516" t="str">
        <f t="shared" ca="1" si="4"/>
        <v/>
      </c>
      <c r="O17" s="1514"/>
      <c r="P17" s="78"/>
      <c r="S17" s="353" t="str">
        <f t="shared" ca="1" si="6"/>
        <v/>
      </c>
    </row>
    <row r="18" spans="1:29" ht="13.5" x14ac:dyDescent="0.25">
      <c r="A18" s="259"/>
      <c r="B18" s="265"/>
      <c r="C18" s="18"/>
      <c r="D18" s="371" t="str">
        <f ca="1">Goetter!I20</f>
        <v/>
      </c>
      <c r="E18" s="371" t="str">
        <f ca="1">IF(D18="","",(Goetter!B21+Goetter!E21+Goetter!G21)&amp;"/"&amp;SUM(Goetter!B22,Goetter!E22,Goetter!G22)&amp;"/"&amp;SUM(Goetter!B23,Goetter!E23,Goetter!G23)&amp;"/"&amp;SUM(Goetter!B23,Goetter!E22,Goetter!G23))</f>
        <v/>
      </c>
      <c r="F18" s="18"/>
      <c r="G18" s="1513"/>
      <c r="H18" s="1515" t="str">
        <f t="shared" ca="1" si="5"/>
        <v/>
      </c>
      <c r="I18" s="1516" t="str">
        <f t="shared" ca="1" si="7"/>
        <v/>
      </c>
      <c r="J18" s="1516" t="str">
        <f t="shared" ca="1" si="0"/>
        <v/>
      </c>
      <c r="K18" s="1516" t="str">
        <f t="shared" ca="1" si="1"/>
        <v/>
      </c>
      <c r="L18" s="1515" t="str">
        <f t="shared" ca="1" si="2"/>
        <v/>
      </c>
      <c r="M18" s="1515" t="str">
        <f t="shared" ca="1" si="3"/>
        <v/>
      </c>
      <c r="N18" s="1516" t="str">
        <f t="shared" ca="1" si="4"/>
        <v/>
      </c>
      <c r="O18" s="1514"/>
      <c r="P18" s="78"/>
      <c r="S18" s="353" t="str">
        <f t="shared" ca="1" si="6"/>
        <v/>
      </c>
    </row>
    <row r="19" spans="1:29" ht="13.5" x14ac:dyDescent="0.25">
      <c r="A19" s="259"/>
      <c r="B19" s="265"/>
      <c r="C19" s="1472" t="s">
        <v>4000</v>
      </c>
      <c r="D19" s="1472" t="s">
        <v>4266</v>
      </c>
      <c r="E19" s="1509" t="s">
        <v>4266</v>
      </c>
      <c r="F19" s="18"/>
      <c r="G19" s="1513"/>
      <c r="H19" s="1515" t="str">
        <f t="shared" ca="1" si="5"/>
        <v/>
      </c>
      <c r="I19" s="1516" t="str">
        <f t="shared" ca="1" si="7"/>
        <v/>
      </c>
      <c r="J19" s="1516" t="str">
        <f t="shared" ca="1" si="0"/>
        <v/>
      </c>
      <c r="K19" s="1516" t="str">
        <f t="shared" ca="1" si="1"/>
        <v/>
      </c>
      <c r="L19" s="1515" t="str">
        <f t="shared" ca="1" si="2"/>
        <v/>
      </c>
      <c r="M19" s="1515" t="str">
        <f t="shared" ca="1" si="3"/>
        <v/>
      </c>
      <c r="N19" s="1516" t="str">
        <f t="shared" ca="1" si="4"/>
        <v/>
      </c>
      <c r="O19" s="1514"/>
      <c r="P19" s="78"/>
      <c r="S19" s="353" t="str">
        <f t="shared" ca="1" si="6"/>
        <v/>
      </c>
    </row>
    <row r="20" spans="1:29" ht="13.5" x14ac:dyDescent="0.25">
      <c r="A20" s="259"/>
      <c r="B20" s="1050" t="s">
        <v>2925</v>
      </c>
      <c r="C20" s="1047" t="str">
        <f ca="1">IF(D17="","",Goetter!B15+Goetter!E15+Goetter!G15)</f>
        <v/>
      </c>
      <c r="D20" s="24" t="str">
        <f ca="1">IF(D17="","","MU•IN•CH")</f>
        <v/>
      </c>
      <c r="E20" s="38" t="str">
        <f ca="1">IF(D17="","",MU&amp;"•"&amp;IN&amp;"•"&amp;CH)</f>
        <v/>
      </c>
      <c r="F20" s="18"/>
      <c r="G20" s="1513"/>
      <c r="H20" s="1515" t="str">
        <f t="shared" ca="1" si="5"/>
        <v/>
      </c>
      <c r="I20" s="1516" t="str">
        <f t="shared" ca="1" si="7"/>
        <v/>
      </c>
      <c r="J20" s="1516" t="str">
        <f t="shared" ca="1" si="0"/>
        <v/>
      </c>
      <c r="K20" s="1516" t="str">
        <f t="shared" ca="1" si="1"/>
        <v/>
      </c>
      <c r="L20" s="1515" t="str">
        <f t="shared" ca="1" si="2"/>
        <v/>
      </c>
      <c r="M20" s="1515" t="str">
        <f t="shared" ca="1" si="3"/>
        <v/>
      </c>
      <c r="N20" s="1516" t="str">
        <f t="shared" ca="1" si="4"/>
        <v/>
      </c>
      <c r="O20" s="1514"/>
      <c r="P20" s="78"/>
      <c r="Q20" s="2531" t="str">
        <f ca="1">IF(T26="","",T26)</f>
        <v/>
      </c>
      <c r="S20" s="353" t="str">
        <f t="shared" ca="1" si="6"/>
        <v/>
      </c>
    </row>
    <row r="21" spans="1:29" ht="13.5" x14ac:dyDescent="0.25">
      <c r="A21" s="259"/>
      <c r="B21" s="1050" t="s">
        <v>2924</v>
      </c>
      <c r="C21" s="1047" t="str">
        <f ca="1">IF(D17="","",Goetter!B16+Goetter!E16+Goetter!G16)</f>
        <v/>
      </c>
      <c r="D21" s="24" t="str">
        <f ca="1">IF(D17="","","MU•CH•KK")</f>
        <v/>
      </c>
      <c r="E21" s="38" t="str">
        <f ca="1">IF(D17="","",MU&amp;"•"&amp;CH&amp;"•"&amp;KK)</f>
        <v/>
      </c>
      <c r="F21" s="18"/>
      <c r="G21" s="1513"/>
      <c r="H21" s="1515" t="str">
        <f t="shared" ca="1" si="5"/>
        <v/>
      </c>
      <c r="I21" s="1516" t="str">
        <f t="shared" ca="1" si="7"/>
        <v/>
      </c>
      <c r="J21" s="1516" t="str">
        <f t="shared" ca="1" si="0"/>
        <v/>
      </c>
      <c r="K21" s="1516" t="str">
        <f t="shared" ca="1" si="1"/>
        <v/>
      </c>
      <c r="L21" s="1515" t="str">
        <f t="shared" ca="1" si="2"/>
        <v/>
      </c>
      <c r="M21" s="1515" t="str">
        <f t="shared" ca="1" si="3"/>
        <v/>
      </c>
      <c r="N21" s="1516" t="str">
        <f t="shared" ca="1" si="4"/>
        <v/>
      </c>
      <c r="O21" s="1514"/>
      <c r="P21" s="78"/>
      <c r="Q21" s="2532"/>
      <c r="S21" s="353" t="str">
        <f t="shared" ca="1" si="6"/>
        <v/>
      </c>
    </row>
    <row r="22" spans="1:29" ht="13.5" x14ac:dyDescent="0.25">
      <c r="A22" s="259"/>
      <c r="B22" s="1050" t="s">
        <v>2926</v>
      </c>
      <c r="C22" s="1047" t="str">
        <f ca="1">IF(D17="","",Goetter!B17+Goetter!E17+Goetter!G17)</f>
        <v/>
      </c>
      <c r="D22" s="24" t="str">
        <f ca="1">IF(D17="","","KL•IN•CH")</f>
        <v/>
      </c>
      <c r="E22" s="38" t="str">
        <f ca="1">IF(D17="","",KL&amp;"•"&amp;IN&amp;"•"&amp;CH)</f>
        <v/>
      </c>
      <c r="F22" s="18"/>
      <c r="G22" s="1513"/>
      <c r="H22" s="1515" t="str">
        <f t="shared" ca="1" si="5"/>
        <v/>
      </c>
      <c r="I22" s="1516" t="str">
        <f t="shared" ca="1" si="7"/>
        <v/>
      </c>
      <c r="J22" s="1516" t="str">
        <f t="shared" ca="1" si="0"/>
        <v/>
      </c>
      <c r="K22" s="1516" t="str">
        <f t="shared" ca="1" si="1"/>
        <v/>
      </c>
      <c r="L22" s="1515" t="str">
        <f t="shared" ca="1" si="2"/>
        <v/>
      </c>
      <c r="M22" s="1515" t="str">
        <f t="shared" ca="1" si="3"/>
        <v/>
      </c>
      <c r="N22" s="1516" t="str">
        <f t="shared" ca="1" si="4"/>
        <v/>
      </c>
      <c r="O22" s="1514"/>
      <c r="P22" s="78"/>
      <c r="Q22" s="2532"/>
      <c r="S22" s="353" t="str">
        <f t="shared" ca="1" si="6"/>
        <v/>
      </c>
      <c r="U22" s="376"/>
    </row>
    <row r="23" spans="1:29" ht="13.5" x14ac:dyDescent="0.25">
      <c r="A23" s="259"/>
      <c r="B23" s="1050" t="s">
        <v>2927</v>
      </c>
      <c r="C23" s="1047" t="str">
        <f ca="1">IF(D17="","",Goetter!B18+Goetter!E18+Goetter!G18)</f>
        <v/>
      </c>
      <c r="D23" s="24" t="str">
        <f ca="1">IF(D17="","","MU•IN•KO")</f>
        <v/>
      </c>
      <c r="E23" s="38" t="str">
        <f ca="1">IF(D17="","",MU&amp;"•"&amp;IN&amp;"•"&amp;KO)</f>
        <v/>
      </c>
      <c r="F23" s="18"/>
      <c r="G23" s="1513"/>
      <c r="H23" s="1515" t="str">
        <f t="shared" ca="1" si="5"/>
        <v/>
      </c>
      <c r="I23" s="1516" t="str">
        <f t="shared" ca="1" si="7"/>
        <v/>
      </c>
      <c r="J23" s="1516" t="str">
        <f t="shared" ca="1" si="0"/>
        <v/>
      </c>
      <c r="K23" s="1516" t="str">
        <f t="shared" ca="1" si="1"/>
        <v/>
      </c>
      <c r="L23" s="1515" t="str">
        <f t="shared" ca="1" si="2"/>
        <v/>
      </c>
      <c r="M23" s="1515" t="str">
        <f t="shared" ca="1" si="3"/>
        <v/>
      </c>
      <c r="N23" s="1516" t="str">
        <f t="shared" ca="1" si="4"/>
        <v/>
      </c>
      <c r="O23" s="1514"/>
      <c r="P23" s="78"/>
      <c r="Q23" s="2532"/>
      <c r="S23" s="353" t="str">
        <f t="shared" ca="1" si="6"/>
        <v/>
      </c>
    </row>
    <row r="24" spans="1:29" ht="13.5" thickBot="1" x14ac:dyDescent="0.25">
      <c r="A24" s="261"/>
      <c r="B24" s="262"/>
      <c r="C24" s="262"/>
      <c r="D24" s="262"/>
      <c r="E24" s="262"/>
      <c r="F24" s="263"/>
      <c r="G24" s="1513"/>
      <c r="H24" s="1515" t="str">
        <f t="shared" ca="1" si="5"/>
        <v/>
      </c>
      <c r="I24" s="1516" t="str">
        <f t="shared" ca="1" si="7"/>
        <v/>
      </c>
      <c r="J24" s="1516" t="str">
        <f t="shared" ca="1" si="0"/>
        <v/>
      </c>
      <c r="K24" s="1516" t="str">
        <f t="shared" ca="1" si="1"/>
        <v/>
      </c>
      <c r="L24" s="1515" t="str">
        <f t="shared" ca="1" si="2"/>
        <v/>
      </c>
      <c r="M24" s="1515" t="str">
        <f t="shared" ca="1" si="3"/>
        <v/>
      </c>
      <c r="N24" s="1516" t="str">
        <f t="shared" ca="1" si="4"/>
        <v/>
      </c>
      <c r="O24" s="1514"/>
      <c r="P24" s="78"/>
      <c r="Q24" s="2532"/>
      <c r="S24" s="353" t="str">
        <f t="shared" ca="1" si="6"/>
        <v/>
      </c>
      <c r="T24" s="353" t="s">
        <v>1423</v>
      </c>
      <c r="U24" s="353" t="s">
        <v>21</v>
      </c>
      <c r="V24" s="353" t="s">
        <v>1019</v>
      </c>
      <c r="W24" s="353" t="s">
        <v>1020</v>
      </c>
      <c r="X24" s="353" t="s">
        <v>20</v>
      </c>
      <c r="Y24" s="353" t="s">
        <v>1424</v>
      </c>
      <c r="Z24" s="353" t="s">
        <v>1016</v>
      </c>
      <c r="AA24" s="353" t="s">
        <v>1017</v>
      </c>
      <c r="AB24" s="353" t="s">
        <v>1018</v>
      </c>
      <c r="AC24" s="353"/>
    </row>
    <row r="25" spans="1:29" ht="14.25" thickTop="1" x14ac:dyDescent="0.25">
      <c r="A25" s="259"/>
      <c r="B25" s="266" t="str">
        <f>IF(PROFGRDGENE="Schamane","Bekannte Rituale:","Leittalente Eigenschaften:")</f>
        <v>Leittalente Eigenschaften:</v>
      </c>
      <c r="C25" s="18"/>
      <c r="D25" s="1289" t="str">
        <f ca="1">CONCATENATE(T25,U25,V25,W25,X25,Y25,Z25,AA25,AB25)</f>
        <v/>
      </c>
      <c r="E25" s="18"/>
      <c r="F25" s="18"/>
      <c r="G25" s="1513"/>
      <c r="H25" s="1515" t="str">
        <f t="shared" ca="1" si="5"/>
        <v/>
      </c>
      <c r="I25" s="1516" t="str">
        <f t="shared" ca="1" si="7"/>
        <v/>
      </c>
      <c r="J25" s="1516" t="str">
        <f t="shared" ca="1" si="0"/>
        <v/>
      </c>
      <c r="K25" s="1516" t="str">
        <f t="shared" ca="1" si="1"/>
        <v/>
      </c>
      <c r="L25" s="1515" t="str">
        <f t="shared" ca="1" si="2"/>
        <v/>
      </c>
      <c r="M25" s="1515" t="str">
        <f t="shared" ca="1" si="3"/>
        <v/>
      </c>
      <c r="N25" s="1516" t="str">
        <f t="shared" ca="1" si="4"/>
        <v/>
      </c>
      <c r="O25" s="1514"/>
      <c r="P25" s="78"/>
      <c r="Q25" s="2532"/>
      <c r="S25" s="353" t="str">
        <f t="shared" ca="1" si="6"/>
        <v/>
      </c>
      <c r="T25" s="353" t="str">
        <f ca="1">IF(PROFGEBGENE="Goetter",IF(HLOOKUP(PROFGENE,INDIRECT(PROFGEBIET),IDX_LEIT,FALSE)="","","MR, "),"")</f>
        <v/>
      </c>
      <c r="U25" s="353" t="str">
        <f ca="1">IF(PROFGEBGENE="Goetter",IF(HLOOKUP(PROFGENE,INDIRECT(PROFGEBIET),IDX_LEIT+1,FALSE)="","","MU, "),"")</f>
        <v/>
      </c>
      <c r="V25" s="353" t="str">
        <f ca="1">IF(PROFGEBGENE="Goetter",IF(HLOOKUP(PROFGENE,INDIRECT(PROFGEBIET),IDX_LEIT+2,FALSE)="","","KL, "),"")</f>
        <v/>
      </c>
      <c r="W25" s="353" t="str">
        <f ca="1">IF(PROFGEBGENE="Goetter",IF(HLOOKUP(PROFGENE,INDIRECT(PROFGEBIET),IDX_LEIT+3,FALSE)="","","IN, "),"")</f>
        <v/>
      </c>
      <c r="X25" s="353" t="str">
        <f ca="1">IF(PROFGEBGENE="Goetter",IF(HLOOKUP(PROFGENE,INDIRECT(PROFGEBIET),IDX_LEIT+4,FALSE)="","","CH, "),"")</f>
        <v/>
      </c>
      <c r="Y25" s="353" t="str">
        <f ca="1">IF(PROFGEBGENE="Goetter",IF(HLOOKUP(PROFGENE,INDIRECT(PROFGEBIET),IDX_LEIT+5,FALSE)="","","FF, "),"")</f>
        <v/>
      </c>
      <c r="Z25" s="353" t="str">
        <f ca="1">IF(PROFGEBGENE="Goetter",IF(HLOOKUP(PROFGENE,INDIRECT(PROFGEBIET),IDX_LEIT+6,FALSE)="","","GE, "),"")</f>
        <v/>
      </c>
      <c r="AA25" s="353" t="str">
        <f ca="1">IF(PROFGEBGENE="Goetter",IF(HLOOKUP(PROFGENE,INDIRECT(PROFGEBIET),IDX_LEIT+7,FALSE)="","","KO, "),"")</f>
        <v/>
      </c>
      <c r="AB25" s="353" t="str">
        <f ca="1">IF(PROFGEBGENE="Goetter",IF(HLOOKUP(PROFGENE,INDIRECT(PROFGEBIET),IDX_LEIT+8,FALSE)="","","KK, "),"")</f>
        <v/>
      </c>
      <c r="AC25" s="353"/>
    </row>
    <row r="26" spans="1:29" x14ac:dyDescent="0.2">
      <c r="A26" s="259"/>
      <c r="B26" s="2536" t="str">
        <f ca="1">IF(PROFGRDGENE="Schamane",IF(Zauber!X187="","",LEFT(Zauber!X187,LEN(Zauber!X187)-2)),IF(AND(MIRAKEL_PLUS="",Q28=""),"","Mirakel+ Talente: "&amp;MIRAKEL_PLUS&amp;IF(Q28="","",","&amp;Q28)))</f>
        <v/>
      </c>
      <c r="C26" s="2536"/>
      <c r="D26" s="2536"/>
      <c r="E26" s="2536"/>
      <c r="F26" s="18"/>
      <c r="G26" s="1513"/>
      <c r="H26" s="1515" t="str">
        <f t="shared" ca="1" si="5"/>
        <v/>
      </c>
      <c r="I26" s="1516" t="str">
        <f t="shared" ca="1" si="7"/>
        <v/>
      </c>
      <c r="J26" s="1516" t="str">
        <f t="shared" ca="1" si="0"/>
        <v/>
      </c>
      <c r="K26" s="1516" t="str">
        <f t="shared" ca="1" si="1"/>
        <v/>
      </c>
      <c r="L26" s="1515" t="str">
        <f t="shared" ca="1" si="2"/>
        <v/>
      </c>
      <c r="M26" s="1515" t="str">
        <f t="shared" ca="1" si="3"/>
        <v/>
      </c>
      <c r="N26" s="1516" t="str">
        <f t="shared" ca="1" si="4"/>
        <v/>
      </c>
      <c r="O26" s="1514"/>
      <c r="P26" s="78"/>
      <c r="Q26" s="2533"/>
      <c r="S26" s="353" t="str">
        <f t="shared" ca="1" si="6"/>
        <v/>
      </c>
      <c r="T26" t="str">
        <f ca="1">HLOOKUP(RASSEGENE,RASSE,IDX_MIRAKEL,FALSE)&amp;
HLOOKUP(KULTURGENE,KULTUR,IDX_MIRAKEL,FALSE)&amp;
HLOOKUP(PROFGENE,INDIRECT(PROFGEBIET),IDX_MIRAKEL,FALSE)&amp;
IF(LEN(PROFZWEITE)&lt;1,"",HLOOKUP(PROFZWEITE,INDIRECT(PROFGEBIET2),IDX_MIRAKEL,FALSE))</f>
        <v/>
      </c>
    </row>
    <row r="27" spans="1:29" x14ac:dyDescent="0.2">
      <c r="A27" s="259"/>
      <c r="B27" s="2536"/>
      <c r="C27" s="2536"/>
      <c r="D27" s="2536"/>
      <c r="E27" s="2536"/>
      <c r="F27" s="18"/>
      <c r="G27" s="1513"/>
      <c r="H27" s="1515" t="str">
        <f t="shared" ca="1" si="5"/>
        <v/>
      </c>
      <c r="I27" s="1516" t="str">
        <f t="shared" ca="1" si="7"/>
        <v/>
      </c>
      <c r="J27" s="1516" t="str">
        <f t="shared" ca="1" si="0"/>
        <v/>
      </c>
      <c r="K27" s="1516" t="str">
        <f t="shared" ca="1" si="1"/>
        <v/>
      </c>
      <c r="L27" s="1515" t="str">
        <f t="shared" ca="1" si="2"/>
        <v/>
      </c>
      <c r="M27" s="1515" t="str">
        <f t="shared" ca="1" si="3"/>
        <v/>
      </c>
      <c r="N27" s="1516" t="str">
        <f t="shared" ca="1" si="4"/>
        <v/>
      </c>
      <c r="O27" s="1514"/>
      <c r="P27" s="78"/>
      <c r="Q27" s="164" t="s">
        <v>7096</v>
      </c>
      <c r="S27" s="353" t="str">
        <f t="shared" ca="1" si="6"/>
        <v/>
      </c>
    </row>
    <row r="28" spans="1:29" x14ac:dyDescent="0.2">
      <c r="A28" s="259"/>
      <c r="B28" s="2536"/>
      <c r="C28" s="2536"/>
      <c r="D28" s="2536"/>
      <c r="E28" s="2536"/>
      <c r="F28" s="18"/>
      <c r="G28" s="1513"/>
      <c r="H28" s="1515" t="str">
        <f t="shared" ca="1" si="5"/>
        <v/>
      </c>
      <c r="I28" s="1516" t="str">
        <f t="shared" ca="1" si="7"/>
        <v/>
      </c>
      <c r="J28" s="1516" t="str">
        <f t="shared" ca="1" si="0"/>
        <v/>
      </c>
      <c r="K28" s="1516" t="str">
        <f t="shared" ca="1" si="1"/>
        <v/>
      </c>
      <c r="L28" s="1515" t="str">
        <f t="shared" ca="1" si="2"/>
        <v/>
      </c>
      <c r="M28" s="1515" t="str">
        <f t="shared" ca="1" si="3"/>
        <v/>
      </c>
      <c r="N28" s="1516" t="str">
        <f t="shared" ca="1" si="4"/>
        <v/>
      </c>
      <c r="O28" s="1514"/>
      <c r="P28" s="78"/>
      <c r="Q28" s="1288"/>
      <c r="S28" s="353" t="str">
        <f t="shared" ca="1" si="6"/>
        <v/>
      </c>
    </row>
    <row r="29" spans="1:29" x14ac:dyDescent="0.2">
      <c r="A29" s="259"/>
      <c r="B29" s="2536"/>
      <c r="C29" s="2536"/>
      <c r="D29" s="2536"/>
      <c r="E29" s="2536"/>
      <c r="F29" s="18"/>
      <c r="G29" s="1513"/>
      <c r="H29" s="1515" t="str">
        <f t="shared" ca="1" si="5"/>
        <v/>
      </c>
      <c r="I29" s="1516" t="str">
        <f t="shared" ca="1" si="7"/>
        <v/>
      </c>
      <c r="J29" s="1516" t="str">
        <f t="shared" ca="1" si="0"/>
        <v/>
      </c>
      <c r="K29" s="1516" t="str">
        <f t="shared" ca="1" si="1"/>
        <v/>
      </c>
      <c r="L29" s="1515" t="str">
        <f t="shared" ca="1" si="2"/>
        <v/>
      </c>
      <c r="M29" s="1515" t="str">
        <f t="shared" ca="1" si="3"/>
        <v/>
      </c>
      <c r="N29" s="1516" t="str">
        <f t="shared" ca="1" si="4"/>
        <v/>
      </c>
      <c r="O29" s="1514"/>
      <c r="P29" s="78"/>
      <c r="S29" s="353" t="str">
        <f t="shared" ca="1" si="6"/>
        <v/>
      </c>
    </row>
    <row r="30" spans="1:29" ht="12.75" customHeight="1" x14ac:dyDescent="0.2">
      <c r="A30" s="259"/>
      <c r="B30" s="2534" t="str">
        <f ca="1">IF(AND(MIRAKEL_MIN="",Q31=""),"","Mirakel- Talente: "&amp;MIRAKEL_MIN&amp;IF(Q31="","",","&amp;Q31))</f>
        <v/>
      </c>
      <c r="C30" s="2534"/>
      <c r="D30" s="2534"/>
      <c r="E30" s="2534"/>
      <c r="F30" s="18"/>
      <c r="G30" s="1513"/>
      <c r="H30" s="1515" t="str">
        <f t="shared" ca="1" si="5"/>
        <v/>
      </c>
      <c r="I30" s="1516" t="str">
        <f t="shared" ca="1" si="7"/>
        <v/>
      </c>
      <c r="J30" s="1516" t="str">
        <f t="shared" ca="1" si="0"/>
        <v/>
      </c>
      <c r="K30" s="1516" t="str">
        <f t="shared" ca="1" si="1"/>
        <v/>
      </c>
      <c r="L30" s="1515" t="str">
        <f t="shared" ca="1" si="2"/>
        <v/>
      </c>
      <c r="M30" s="1515" t="str">
        <f t="shared" ca="1" si="3"/>
        <v/>
      </c>
      <c r="N30" s="1516" t="str">
        <f t="shared" ca="1" si="4"/>
        <v/>
      </c>
      <c r="O30" s="1514"/>
      <c r="P30" s="78"/>
      <c r="Q30" s="164" t="s">
        <v>7097</v>
      </c>
      <c r="S30" s="353" t="str">
        <f t="shared" ca="1" si="6"/>
        <v/>
      </c>
    </row>
    <row r="31" spans="1:29" x14ac:dyDescent="0.2">
      <c r="A31" s="259"/>
      <c r="B31" s="2534"/>
      <c r="C31" s="2534"/>
      <c r="D31" s="2534"/>
      <c r="E31" s="2534"/>
      <c r="F31" s="18"/>
      <c r="G31" s="1513"/>
      <c r="H31" s="1515" t="str">
        <f t="shared" ca="1" si="5"/>
        <v/>
      </c>
      <c r="I31" s="1516" t="str">
        <f t="shared" ca="1" si="7"/>
        <v/>
      </c>
      <c r="J31" s="1516" t="str">
        <f t="shared" ca="1" si="0"/>
        <v/>
      </c>
      <c r="K31" s="1516" t="str">
        <f t="shared" ca="1" si="1"/>
        <v/>
      </c>
      <c r="L31" s="1515" t="str">
        <f t="shared" ca="1" si="2"/>
        <v/>
      </c>
      <c r="M31" s="1515" t="str">
        <f t="shared" ca="1" si="3"/>
        <v/>
      </c>
      <c r="N31" s="1516" t="str">
        <f t="shared" ca="1" si="4"/>
        <v/>
      </c>
      <c r="O31" s="1514"/>
      <c r="P31" s="78"/>
      <c r="Q31" s="1236"/>
      <c r="S31" s="353" t="str">
        <f t="shared" ca="1" si="6"/>
        <v/>
      </c>
    </row>
    <row r="32" spans="1:29" ht="13.5" thickBot="1" x14ac:dyDescent="0.25">
      <c r="A32" s="261"/>
      <c r="B32" s="2535"/>
      <c r="C32" s="2535"/>
      <c r="D32" s="2535"/>
      <c r="E32" s="2535"/>
      <c r="F32" s="263"/>
      <c r="G32" s="1513"/>
      <c r="H32" s="1515" t="str">
        <f t="shared" ca="1" si="5"/>
        <v/>
      </c>
      <c r="I32" s="1516" t="str">
        <f t="shared" ca="1" si="7"/>
        <v/>
      </c>
      <c r="J32" s="1516" t="str">
        <f t="shared" ca="1" si="0"/>
        <v/>
      </c>
      <c r="K32" s="1516" t="str">
        <f t="shared" ca="1" si="1"/>
        <v/>
      </c>
      <c r="L32" s="1515" t="str">
        <f t="shared" ca="1" si="2"/>
        <v/>
      </c>
      <c r="M32" s="1515" t="str">
        <f t="shared" ca="1" si="3"/>
        <v/>
      </c>
      <c r="N32" s="1516" t="str">
        <f t="shared" ca="1" si="4"/>
        <v/>
      </c>
      <c r="O32" s="1514"/>
      <c r="P32" s="78"/>
      <c r="S32" s="353" t="str">
        <f t="shared" ca="1" si="6"/>
        <v/>
      </c>
    </row>
    <row r="33" spans="1:19" ht="14.25" thickTop="1" x14ac:dyDescent="0.25">
      <c r="A33" s="259"/>
      <c r="B33" s="265" t="str">
        <f>IF(PROFGRDGENE="Schamane","Modifikatoren der Ritualprobe","Modifikatoren der Mirakelprobe")</f>
        <v>Modifikatoren der Mirakelprobe</v>
      </c>
      <c r="C33" s="365"/>
      <c r="D33" s="365"/>
      <c r="E33" s="365"/>
      <c r="F33" s="18"/>
      <c r="G33" s="1513"/>
      <c r="H33" s="1515" t="str">
        <f t="shared" ca="1" si="5"/>
        <v/>
      </c>
      <c r="I33" s="1516" t="str">
        <f t="shared" ca="1" si="7"/>
        <v/>
      </c>
      <c r="J33" s="1516" t="str">
        <f t="shared" ca="1" si="0"/>
        <v/>
      </c>
      <c r="K33" s="1516" t="str">
        <f t="shared" ca="1" si="1"/>
        <v/>
      </c>
      <c r="L33" s="1515" t="str">
        <f t="shared" ca="1" si="2"/>
        <v/>
      </c>
      <c r="M33" s="1515" t="str">
        <f t="shared" ca="1" si="3"/>
        <v/>
      </c>
      <c r="N33" s="1516" t="str">
        <f t="shared" ca="1" si="4"/>
        <v/>
      </c>
      <c r="O33" s="1514"/>
      <c r="P33" s="78"/>
      <c r="S33" s="353" t="str">
        <f t="shared" ca="1" si="6"/>
        <v/>
      </c>
    </row>
    <row r="34" spans="1:19" x14ac:dyDescent="0.2">
      <c r="A34" s="259"/>
      <c r="B34" s="1" t="str">
        <f>IF(PROFGRDGENE="Schamane",IF(B75="","",B75),IF(B98="","",B98))</f>
        <v>nach Motivation/Seelenlaage:</v>
      </c>
      <c r="C34" s="1038"/>
      <c r="D34" s="1038" t="str">
        <f>IF(PROFGRDGENE="Schamane",IF(D75="","",D75),IF(D98="","",D98))</f>
        <v/>
      </c>
      <c r="E34" s="1038"/>
      <c r="F34" s="18"/>
      <c r="G34" s="1513"/>
      <c r="H34" s="1515" t="str">
        <f t="shared" ca="1" si="5"/>
        <v/>
      </c>
      <c r="I34" s="1516" t="str">
        <f t="shared" ca="1" si="7"/>
        <v/>
      </c>
      <c r="J34" s="1516" t="str">
        <f t="shared" ca="1" si="0"/>
        <v/>
      </c>
      <c r="K34" s="1516" t="str">
        <f t="shared" ca="1" si="1"/>
        <v/>
      </c>
      <c r="L34" s="1515" t="str">
        <f t="shared" ca="1" si="2"/>
        <v/>
      </c>
      <c r="M34" s="1515" t="str">
        <f t="shared" ca="1" si="3"/>
        <v/>
      </c>
      <c r="N34" s="1516" t="str">
        <f t="shared" ca="1" si="4"/>
        <v/>
      </c>
      <c r="O34" s="1514"/>
      <c r="P34" s="78"/>
      <c r="S34" s="353" t="str">
        <f t="shared" ca="1" si="6"/>
        <v/>
      </c>
    </row>
    <row r="35" spans="1:19" x14ac:dyDescent="0.2">
      <c r="A35" s="259"/>
      <c r="B35" s="1" t="str">
        <f t="shared" ref="B35:B55" si="8">IF(PROFGRDGENE="Schamane",IF(B76="","",B76),IF(B99="","",B99))</f>
        <v xml:space="preserve"> - Notlage</v>
      </c>
      <c r="C35" s="1038"/>
      <c r="D35" s="1038" t="str">
        <f t="shared" ref="D35:D55" si="9">IF(PROFGRDGENE="Schamane",IF(D76="","",D76),IF(D99="","",D99))</f>
        <v>-3</v>
      </c>
      <c r="E35" s="1038"/>
      <c r="F35" s="18"/>
      <c r="G35" s="1513"/>
      <c r="H35" s="1515" t="str">
        <f t="shared" ca="1" si="5"/>
        <v/>
      </c>
      <c r="I35" s="1516" t="str">
        <f t="shared" ca="1" si="7"/>
        <v/>
      </c>
      <c r="J35" s="1516" t="str">
        <f t="shared" ca="1" si="0"/>
        <v/>
      </c>
      <c r="K35" s="1516" t="str">
        <f t="shared" ca="1" si="1"/>
        <v/>
      </c>
      <c r="L35" s="1515" t="str">
        <f t="shared" ca="1" si="2"/>
        <v/>
      </c>
      <c r="M35" s="1515" t="str">
        <f t="shared" ca="1" si="3"/>
        <v/>
      </c>
      <c r="N35" s="1516" t="str">
        <f t="shared" ca="1" si="4"/>
        <v/>
      </c>
      <c r="O35" s="1514"/>
      <c r="P35" s="78"/>
      <c r="S35" s="353" t="str">
        <f t="shared" ca="1" si="6"/>
        <v/>
      </c>
    </row>
    <row r="36" spans="1:19" x14ac:dyDescent="0.2">
      <c r="A36" s="259"/>
      <c r="B36" s="1" t="str">
        <f t="shared" si="8"/>
        <v xml:space="preserve"> - Erfüllung kirchl/göttl. Auftrag</v>
      </c>
      <c r="C36" s="1038"/>
      <c r="D36" s="1038" t="str">
        <f t="shared" si="9"/>
        <v>bis zu -7</v>
      </c>
      <c r="E36" s="1038"/>
      <c r="F36" s="18"/>
      <c r="G36" s="1513"/>
      <c r="H36" s="1515" t="str">
        <f t="shared" ca="1" si="5"/>
        <v/>
      </c>
      <c r="I36" s="1516" t="str">
        <f t="shared" ca="1" si="7"/>
        <v/>
      </c>
      <c r="J36" s="1516" t="str">
        <f t="shared" ca="1" si="0"/>
        <v/>
      </c>
      <c r="K36" s="1516" t="str">
        <f t="shared" ca="1" si="1"/>
        <v/>
      </c>
      <c r="L36" s="1515" t="str">
        <f t="shared" ca="1" si="2"/>
        <v/>
      </c>
      <c r="M36" s="1515" t="str">
        <f t="shared" ca="1" si="3"/>
        <v/>
      </c>
      <c r="N36" s="1516" t="str">
        <f t="shared" ca="1" si="4"/>
        <v/>
      </c>
      <c r="O36" s="1514"/>
      <c r="P36" s="78"/>
      <c r="S36" s="353" t="str">
        <f t="shared" ca="1" si="6"/>
        <v/>
      </c>
    </row>
    <row r="37" spans="1:19" x14ac:dyDescent="0.2">
      <c r="A37" s="259"/>
      <c r="B37" s="1" t="str">
        <f t="shared" si="8"/>
        <v xml:space="preserve"> - eigensüchtiger Motivation</v>
      </c>
      <c r="C37" s="1038"/>
      <c r="D37" s="1038" t="str">
        <f t="shared" si="9"/>
        <v>bis zu +7</v>
      </c>
      <c r="E37" s="1038"/>
      <c r="F37" s="18"/>
      <c r="G37" s="1513"/>
      <c r="H37" s="1515" t="str">
        <f t="shared" ca="1" si="5"/>
        <v/>
      </c>
      <c r="I37" s="1516" t="str">
        <f t="shared" ca="1" si="7"/>
        <v/>
      </c>
      <c r="J37" s="1516" t="str">
        <f t="shared" ca="1" si="0"/>
        <v/>
      </c>
      <c r="K37" s="1516" t="str">
        <f t="shared" ca="1" si="1"/>
        <v/>
      </c>
      <c r="L37" s="1515" t="str">
        <f t="shared" ca="1" si="2"/>
        <v/>
      </c>
      <c r="M37" s="1515" t="str">
        <f t="shared" ca="1" si="3"/>
        <v/>
      </c>
      <c r="N37" s="1516" t="str">
        <f t="shared" ca="1" si="4"/>
        <v/>
      </c>
      <c r="O37" s="1514"/>
      <c r="P37" s="78"/>
      <c r="S37" s="353" t="str">
        <f t="shared" ca="1" si="6"/>
        <v/>
      </c>
    </row>
    <row r="38" spans="1:19" x14ac:dyDescent="0.2">
      <c r="A38" s="259"/>
      <c r="B38" s="1" t="str">
        <f t="shared" si="8"/>
        <v xml:space="preserve"> - unter mag. Beeinflussung</v>
      </c>
      <c r="C38" s="1038"/>
      <c r="D38" s="1038" t="str">
        <f t="shared" si="9"/>
        <v>+12</v>
      </c>
      <c r="E38" s="1038"/>
      <c r="F38" s="18"/>
      <c r="G38" s="1513"/>
      <c r="H38" s="1515" t="str">
        <f t="shared" ca="1" si="5"/>
        <v/>
      </c>
      <c r="I38" s="1516" t="str">
        <f t="shared" ca="1" si="7"/>
        <v/>
      </c>
      <c r="J38" s="1516" t="str">
        <f t="shared" ca="1" si="0"/>
        <v/>
      </c>
      <c r="K38" s="1516" t="str">
        <f t="shared" ca="1" si="1"/>
        <v/>
      </c>
      <c r="L38" s="1515" t="str">
        <f t="shared" ca="1" si="2"/>
        <v/>
      </c>
      <c r="M38" s="1515" t="str">
        <f t="shared" ca="1" si="3"/>
        <v/>
      </c>
      <c r="N38" s="1516" t="str">
        <f t="shared" ca="1" si="4"/>
        <v/>
      </c>
      <c r="O38" s="1514"/>
      <c r="P38" s="78"/>
      <c r="S38" s="353" t="str">
        <f t="shared" ca="1" si="6"/>
        <v/>
      </c>
    </row>
    <row r="39" spans="1:19" x14ac:dyDescent="0.2">
      <c r="A39" s="259"/>
      <c r="B39" s="1" t="str">
        <f t="shared" si="8"/>
        <v xml:space="preserve"> - frisch konvertierter Geweihte</v>
      </c>
      <c r="C39" s="1038"/>
      <c r="D39" s="1038" t="str">
        <f t="shared" si="9"/>
        <v>+3</v>
      </c>
      <c r="E39" s="1038"/>
      <c r="F39" s="18"/>
      <c r="G39" s="1513"/>
      <c r="H39" s="1515" t="str">
        <f t="shared" ca="1" si="5"/>
        <v/>
      </c>
      <c r="I39" s="1516" t="str">
        <f t="shared" ca="1" si="7"/>
        <v/>
      </c>
      <c r="J39" s="1516" t="str">
        <f t="shared" ca="1" si="0"/>
        <v/>
      </c>
      <c r="K39" s="1516" t="str">
        <f t="shared" ca="1" si="1"/>
        <v/>
      </c>
      <c r="L39" s="1515" t="str">
        <f t="shared" ca="1" si="2"/>
        <v/>
      </c>
      <c r="M39" s="1515" t="str">
        <f t="shared" ca="1" si="3"/>
        <v/>
      </c>
      <c r="N39" s="1516" t="str">
        <f t="shared" ca="1" si="4"/>
        <v/>
      </c>
      <c r="O39" s="1514"/>
      <c r="P39" s="78"/>
      <c r="S39" s="353" t="str">
        <f t="shared" ca="1" si="6"/>
        <v/>
      </c>
    </row>
    <row r="40" spans="1:19" x14ac:dyDescent="0.2">
      <c r="A40" s="259"/>
      <c r="B40" s="1" t="str">
        <f t="shared" si="8"/>
        <v>nach dem Ort:</v>
      </c>
      <c r="C40" s="1038"/>
      <c r="D40" s="1038" t="str">
        <f t="shared" si="9"/>
        <v/>
      </c>
      <c r="E40" s="1038"/>
      <c r="F40" s="18"/>
      <c r="G40" s="1513"/>
      <c r="H40" s="1515" t="str">
        <f t="shared" ca="1" si="5"/>
        <v/>
      </c>
      <c r="I40" s="1516" t="str">
        <f t="shared" ca="1" si="7"/>
        <v/>
      </c>
      <c r="J40" s="1516" t="str">
        <f t="shared" ca="1" si="0"/>
        <v/>
      </c>
      <c r="K40" s="1516" t="str">
        <f t="shared" ca="1" si="1"/>
        <v/>
      </c>
      <c r="L40" s="1515" t="str">
        <f t="shared" ca="1" si="2"/>
        <v/>
      </c>
      <c r="M40" s="1515" t="str">
        <f t="shared" ca="1" si="3"/>
        <v/>
      </c>
      <c r="N40" s="1516" t="str">
        <f t="shared" ca="1" si="4"/>
        <v/>
      </c>
      <c r="O40" s="1514"/>
      <c r="P40" s="78"/>
      <c r="S40" s="353" t="str">
        <f t="shared" ca="1" si="6"/>
        <v/>
      </c>
    </row>
    <row r="41" spans="1:19" x14ac:dyDescent="0.2">
      <c r="A41" s="259"/>
      <c r="B41" s="1" t="str">
        <f t="shared" si="8"/>
        <v xml:space="preserve"> - geweihter Boden 12-Gott</v>
      </c>
      <c r="C41" s="1038"/>
      <c r="D41" s="1038" t="str">
        <f t="shared" si="9"/>
        <v>-1</v>
      </c>
      <c r="E41" s="1038"/>
      <c r="F41" s="18"/>
      <c r="G41" s="1513"/>
      <c r="H41" s="1515" t="str">
        <f t="shared" ca="1" si="5"/>
        <v/>
      </c>
      <c r="I41" s="1516" t="str">
        <f t="shared" ca="1" si="7"/>
        <v/>
      </c>
      <c r="J41" s="1516" t="str">
        <f t="shared" ca="1" si="0"/>
        <v/>
      </c>
      <c r="K41" s="1516" t="str">
        <f t="shared" ca="1" si="1"/>
        <v/>
      </c>
      <c r="L41" s="1515" t="str">
        <f t="shared" ca="1" si="2"/>
        <v/>
      </c>
      <c r="M41" s="1515" t="str">
        <f t="shared" ca="1" si="3"/>
        <v/>
      </c>
      <c r="N41" s="1516" t="str">
        <f t="shared" ca="1" si="4"/>
        <v/>
      </c>
      <c r="O41" s="1514"/>
      <c r="P41" s="78"/>
      <c r="S41" s="353" t="str">
        <f t="shared" ca="1" si="6"/>
        <v/>
      </c>
    </row>
    <row r="42" spans="1:19" x14ac:dyDescent="0.2">
      <c r="A42" s="259"/>
      <c r="B42" s="1" t="str">
        <f t="shared" si="8"/>
        <v xml:space="preserve"> - Kapelle/Schrein</v>
      </c>
      <c r="C42" s="1038"/>
      <c r="D42" s="1038" t="str">
        <f t="shared" si="9"/>
        <v>-2</v>
      </c>
      <c r="E42" s="1038"/>
      <c r="F42" s="18"/>
      <c r="G42" s="1513"/>
      <c r="H42" s="1515" t="str">
        <f t="shared" ca="1" si="5"/>
        <v/>
      </c>
      <c r="I42" s="1516" t="str">
        <f t="shared" ca="1" si="7"/>
        <v/>
      </c>
      <c r="J42" s="1516" t="str">
        <f t="shared" ca="1" si="0"/>
        <v/>
      </c>
      <c r="K42" s="1516" t="str">
        <f t="shared" ca="1" si="1"/>
        <v/>
      </c>
      <c r="L42" s="1515" t="str">
        <f t="shared" ca="1" si="2"/>
        <v/>
      </c>
      <c r="M42" s="1515" t="str">
        <f t="shared" ca="1" si="3"/>
        <v/>
      </c>
      <c r="N42" s="1516" t="str">
        <f t="shared" ca="1" si="4"/>
        <v/>
      </c>
      <c r="O42" s="1514"/>
      <c r="P42" s="78"/>
      <c r="S42" s="353" t="str">
        <f t="shared" ca="1" si="6"/>
        <v/>
      </c>
    </row>
    <row r="43" spans="1:19" x14ac:dyDescent="0.2">
      <c r="A43" s="259"/>
      <c r="B43" s="1" t="str">
        <f t="shared" si="8"/>
        <v xml:space="preserve"> - Tempel der Gottheit</v>
      </c>
      <c r="C43" s="1038"/>
      <c r="D43" s="1038" t="str">
        <f t="shared" si="9"/>
        <v>-3</v>
      </c>
      <c r="E43" s="1038"/>
      <c r="F43" s="18"/>
      <c r="G43" s="1513"/>
      <c r="H43" s="1515" t="str">
        <f t="shared" ca="1" si="5"/>
        <v/>
      </c>
      <c r="I43" s="1516" t="str">
        <f t="shared" ca="1" si="7"/>
        <v/>
      </c>
      <c r="J43" s="1516" t="str">
        <f t="shared" ca="1" si="0"/>
        <v/>
      </c>
      <c r="K43" s="1516" t="str">
        <f t="shared" ca="1" si="1"/>
        <v/>
      </c>
      <c r="L43" s="1515" t="str">
        <f t="shared" ca="1" si="2"/>
        <v/>
      </c>
      <c r="M43" s="1515" t="str">
        <f t="shared" ca="1" si="3"/>
        <v/>
      </c>
      <c r="N43" s="1516" t="str">
        <f t="shared" ca="1" si="4"/>
        <v/>
      </c>
      <c r="O43" s="1514"/>
      <c r="P43" s="78"/>
      <c r="S43" s="353" t="str">
        <f t="shared" ca="1" si="6"/>
        <v/>
      </c>
    </row>
    <row r="44" spans="1:19" x14ac:dyDescent="0.2">
      <c r="A44" s="259"/>
      <c r="B44" s="1" t="str">
        <f t="shared" si="8"/>
        <v xml:space="preserve"> - Heiligen Ort der Gottheit</v>
      </c>
      <c r="C44" s="1038"/>
      <c r="D44" s="1038" t="str">
        <f t="shared" si="9"/>
        <v>-4</v>
      </c>
      <c r="E44" s="1038"/>
      <c r="F44" s="18"/>
      <c r="G44" s="1513"/>
      <c r="H44" s="1515" t="str">
        <f t="shared" ca="1" si="5"/>
        <v/>
      </c>
      <c r="I44" s="1516" t="str">
        <f t="shared" ca="1" si="7"/>
        <v/>
      </c>
      <c r="J44" s="1516" t="str">
        <f t="shared" ca="1" si="0"/>
        <v/>
      </c>
      <c r="K44" s="1516" t="str">
        <f t="shared" ca="1" si="1"/>
        <v/>
      </c>
      <c r="L44" s="1515" t="str">
        <f t="shared" ca="1" si="2"/>
        <v/>
      </c>
      <c r="M44" s="1515" t="str">
        <f t="shared" ca="1" si="3"/>
        <v/>
      </c>
      <c r="N44" s="1516" t="str">
        <f t="shared" ca="1" si="4"/>
        <v/>
      </c>
      <c r="O44" s="1514"/>
      <c r="P44" s="78"/>
      <c r="S44" s="353" t="str">
        <f t="shared" ca="1" si="6"/>
        <v/>
      </c>
    </row>
    <row r="45" spans="1:19" x14ac:dyDescent="0.2">
      <c r="A45" s="259"/>
      <c r="B45" s="1" t="str">
        <f t="shared" si="8"/>
        <v xml:space="preserve"> - tief unter Ungläubigen</v>
      </c>
      <c r="C45" s="1038"/>
      <c r="D45" s="1038" t="str">
        <f t="shared" si="9"/>
        <v>+3</v>
      </c>
      <c r="E45" s="1038"/>
      <c r="F45" s="18"/>
      <c r="G45" s="1513"/>
      <c r="H45" s="1515" t="str">
        <f t="shared" ca="1" si="5"/>
        <v/>
      </c>
      <c r="I45" s="1516" t="str">
        <f t="shared" ca="1" si="7"/>
        <v/>
      </c>
      <c r="J45" s="1516" t="str">
        <f t="shared" ca="1" si="0"/>
        <v/>
      </c>
      <c r="K45" s="1516" t="str">
        <f t="shared" ca="1" si="1"/>
        <v/>
      </c>
      <c r="L45" s="1515" t="str">
        <f t="shared" ca="1" si="2"/>
        <v/>
      </c>
      <c r="M45" s="1515" t="str">
        <f t="shared" ca="1" si="3"/>
        <v/>
      </c>
      <c r="N45" s="1516" t="str">
        <f t="shared" ca="1" si="4"/>
        <v/>
      </c>
      <c r="O45" s="1514"/>
      <c r="P45" s="78"/>
      <c r="S45" s="353" t="str">
        <f t="shared" ca="1" si="6"/>
        <v/>
      </c>
    </row>
    <row r="46" spans="1:19" x14ac:dyDescent="0.2">
      <c r="A46" s="259"/>
      <c r="B46" s="1" t="str">
        <f t="shared" si="8"/>
        <v xml:space="preserve"> - Gegenwart viele Ungläubige</v>
      </c>
      <c r="C46" s="1038"/>
      <c r="D46" s="1038" t="str">
        <f t="shared" si="9"/>
        <v>+3</v>
      </c>
      <c r="E46" s="1038"/>
      <c r="F46" s="18"/>
      <c r="G46" s="1513"/>
      <c r="H46" s="1515" t="str">
        <f t="shared" ca="1" si="5"/>
        <v/>
      </c>
      <c r="I46" s="1516" t="str">
        <f t="shared" ca="1" si="7"/>
        <v/>
      </c>
      <c r="J46" s="1516" t="str">
        <f t="shared" ca="1" si="0"/>
        <v/>
      </c>
      <c r="K46" s="1516" t="str">
        <f t="shared" ca="1" si="1"/>
        <v/>
      </c>
      <c r="L46" s="1515" t="str">
        <f t="shared" ca="1" si="2"/>
        <v/>
      </c>
      <c r="M46" s="1515" t="str">
        <f t="shared" ca="1" si="3"/>
        <v/>
      </c>
      <c r="N46" s="1516" t="str">
        <f t="shared" ca="1" si="4"/>
        <v/>
      </c>
      <c r="O46" s="1514"/>
      <c r="P46" s="78"/>
      <c r="S46" s="353" t="str">
        <f t="shared" ca="1" si="6"/>
        <v/>
      </c>
    </row>
    <row r="47" spans="1:19" x14ac:dyDescent="0.2">
      <c r="A47" s="259"/>
      <c r="B47" s="1" t="str">
        <f t="shared" si="8"/>
        <v xml:space="preserve"> - andere Welt/Globule/Limbus</v>
      </c>
      <c r="C47" s="1038"/>
      <c r="D47" s="1038" t="str">
        <f t="shared" si="9"/>
        <v>mind. +7</v>
      </c>
      <c r="E47" s="1038"/>
      <c r="F47" s="18"/>
      <c r="G47" s="1513"/>
      <c r="H47" s="1515" t="str">
        <f t="shared" ca="1" si="5"/>
        <v/>
      </c>
      <c r="I47" s="1516" t="str">
        <f t="shared" ca="1" si="7"/>
        <v/>
      </c>
      <c r="J47" s="1516" t="str">
        <f t="shared" ca="1" si="0"/>
        <v/>
      </c>
      <c r="K47" s="1516" t="str">
        <f t="shared" ca="1" si="1"/>
        <v/>
      </c>
      <c r="L47" s="1515" t="str">
        <f t="shared" ca="1" si="2"/>
        <v/>
      </c>
      <c r="M47" s="1515" t="str">
        <f t="shared" ca="1" si="3"/>
        <v/>
      </c>
      <c r="N47" s="1516" t="str">
        <f t="shared" ca="1" si="4"/>
        <v/>
      </c>
      <c r="O47" s="1514"/>
      <c r="P47" s="78"/>
      <c r="S47" s="353" t="str">
        <f t="shared" ca="1" si="6"/>
        <v/>
      </c>
    </row>
    <row r="48" spans="1:19" x14ac:dyDescent="0.2">
      <c r="A48" s="259"/>
      <c r="B48" s="1" t="str">
        <f t="shared" si="8"/>
        <v xml:space="preserve"> - däm. verzerrtem Grund</v>
      </c>
      <c r="C48" s="1038"/>
      <c r="D48" s="1038" t="str">
        <f t="shared" si="9"/>
        <v>mind. +7</v>
      </c>
      <c r="E48" s="1038"/>
      <c r="F48" s="18"/>
      <c r="G48" s="1513"/>
      <c r="H48" s="1042" t="str">
        <f>IF(PROFGRDGENE="Schamane","Angehobene Rituale","Eigene Liturgien")</f>
        <v>Eigene Liturgien</v>
      </c>
      <c r="I48" s="1042" t="s">
        <v>119</v>
      </c>
      <c r="J48" s="1042" t="s">
        <v>120</v>
      </c>
      <c r="K48" s="1042" t="s">
        <v>3076</v>
      </c>
      <c r="L48" s="1042" t="s">
        <v>3075</v>
      </c>
      <c r="M48" s="1042" t="s">
        <v>566</v>
      </c>
      <c r="N48" s="1042" t="s">
        <v>121</v>
      </c>
      <c r="O48" s="1514"/>
      <c r="P48" s="78"/>
      <c r="S48" s="353"/>
    </row>
    <row r="49" spans="1:19" x14ac:dyDescent="0.2">
      <c r="A49" s="259"/>
      <c r="B49" s="1" t="str">
        <f t="shared" si="8"/>
        <v>nach der Zeit:</v>
      </c>
      <c r="C49" s="1038"/>
      <c r="D49" s="1038" t="str">
        <f t="shared" si="9"/>
        <v/>
      </c>
      <c r="E49" s="1038"/>
      <c r="F49" s="18"/>
      <c r="G49" s="1513"/>
      <c r="H49" s="1515" t="str">
        <f>IF(PROFGRDGENE="Schamane",IF(Goetter!A269="","",Goetter!A269),IF(Goetter!A154="","",Goetter!A154))</f>
        <v/>
      </c>
      <c r="I49" s="1516" t="str">
        <f>IF(NOT(EXACT(H49,"")),IF(PROFGRDGENE="Schamane",Goetter!D269,Goetter!D154),"")</f>
        <v/>
      </c>
      <c r="J49" s="1516" t="str">
        <f>IF(NOT(EXACT(H49,"")),IF(PROFGRDGENE="Schamane",IF(Goetter!I269="",VLOOKUP(H49,Schamanen_Rituale_all,4,FALSE),Goetter!I269),IF(Goetter!J154="",VLOOKUP(H49,Liturgien_all,4,FALSE),Goetter!J154)),"")</f>
        <v/>
      </c>
      <c r="K49" s="1516" t="str">
        <f>IF(NOT(EXACT(H49,"")),IF(PROFGRDGENE="Schamane",IF(Goetter!J269="",VLOOKUP(H49,Schamanen_Rituale_all,12,FALSE),Goetter!J269),IF(Goetter!K154="",VLOOKUP(H49,Liturgien_all,5,FALSE),Goetter!K154)),"")</f>
        <v/>
      </c>
      <c r="L49" s="1516" t="str">
        <f>IF(NOT(EXACT(H49,"")),IF(PROFGRDGENE="Schamane",IF(Goetter!K269="",VLOOKUP(H49,Schamanen_Rituale_all,13,FALSE),Goetter!K269),IF(Goetter!L154="",VLOOKUP(H49,Liturgien_all,6,FALSE),Goetter!L154)),"")</f>
        <v/>
      </c>
      <c r="M49" s="1516" t="str">
        <f>IF(NOT(EXACT(H49,"")),IF(PROFGRDGENE="Schamane",IF(Goetter!L269="",VLOOKUP(H49,Schamanen_Rituale_all,7,FALSE),Goetter!L269),IF(Goetter!M154="",VLOOKUP(H49,Liturgien_all,7,FALSE),Goetter!M154)),"")</f>
        <v/>
      </c>
      <c r="N49" s="1516" t="str">
        <f t="shared" ref="N49:N59" ca="1" si="10">IF(NOT(ISERR(FIND("Grad",H49))),"",IF(NOT(EXACT(H49,"")),VLOOKUP(H49,INDIRECT(LIT_RIT_ALL),IF(AND(SEITE_BUCH=1,LIT_RIT_ALL="Liturgien_all"),9,8),FALSE),""))</f>
        <v/>
      </c>
      <c r="O49" s="1514"/>
      <c r="P49" s="78"/>
      <c r="S49" s="353"/>
    </row>
    <row r="50" spans="1:19" x14ac:dyDescent="0.2">
      <c r="A50" s="259"/>
      <c r="B50" s="1" t="str">
        <f t="shared" si="8"/>
        <v xml:space="preserve"> - Monat des Zwölfgottes</v>
      </c>
      <c r="C50" s="1038"/>
      <c r="D50" s="1038" t="str">
        <f t="shared" si="9"/>
        <v>-1</v>
      </c>
      <c r="E50" s="1038"/>
      <c r="F50" s="18"/>
      <c r="G50" s="1513"/>
      <c r="H50" s="1515" t="str">
        <f>IF(PROFGRDGENE="Schamane",IF(Goetter!A270="","",Goetter!A270),IF(Goetter!A155="","",Goetter!A155))</f>
        <v/>
      </c>
      <c r="I50" s="1516" t="str">
        <f>IF(NOT(EXACT(H50,"")),IF(PROFGRDGENE="Schamane",Goetter!D270,Goetter!D155),"")</f>
        <v/>
      </c>
      <c r="J50" s="1516" t="str">
        <f>IF(NOT(EXACT(H50,"")),IF(PROFGRDGENE="Schamane",IF(Goetter!I270="",VLOOKUP(H50,Schamanen_Rituale_all,4,FALSE),Goetter!I270),IF(Goetter!J155="",VLOOKUP(H50,Liturgien_all,4,FALSE),Goetter!J155)),"")</f>
        <v/>
      </c>
      <c r="K50" s="1516" t="str">
        <f>IF(NOT(EXACT(H50,"")),IF(PROFGRDGENE="Schamane",IF(Goetter!J270="",VLOOKUP(H50,Schamanen_Rituale_all,12,FALSE),Goetter!J270),IF(Goetter!K155="",VLOOKUP(H50,Liturgien_all,5,FALSE),Goetter!K155)),"")</f>
        <v/>
      </c>
      <c r="L50" s="1516" t="str">
        <f>IF(NOT(EXACT(H50,"")),IF(PROFGRDGENE="Schamane",IF(Goetter!K270="",VLOOKUP(H50,Schamanen_Rituale_all,13,FALSE),Goetter!K270),IF(Goetter!L155="",VLOOKUP(H50,Liturgien_all,6,FALSE),Goetter!L155)),"")</f>
        <v/>
      </c>
      <c r="M50" s="1516" t="str">
        <f>IF(NOT(EXACT(H50,"")),IF(PROFGRDGENE="Schamane",IF(Goetter!L270="",VLOOKUP(H50,Schamanen_Rituale_all,7,FALSE),Goetter!L270),IF(Goetter!M155="",VLOOKUP(H50,Liturgien_all,7,FALSE),Goetter!M155)),"")</f>
        <v/>
      </c>
      <c r="N50" s="1516" t="str">
        <f t="shared" ca="1" si="10"/>
        <v/>
      </c>
      <c r="O50" s="1514"/>
      <c r="P50" s="78"/>
      <c r="S50" s="353"/>
    </row>
    <row r="51" spans="1:19" x14ac:dyDescent="0.2">
      <c r="A51" s="259"/>
      <c r="B51" s="1" t="str">
        <f t="shared" si="8"/>
        <v xml:space="preserve"> - Feiertag der Gottheit</v>
      </c>
      <c r="C51" s="1038"/>
      <c r="D51" s="1038" t="str">
        <f t="shared" si="9"/>
        <v>-3</v>
      </c>
      <c r="E51" s="1038"/>
      <c r="F51" s="18"/>
      <c r="G51" s="1513"/>
      <c r="H51" s="1515" t="str">
        <f>IF(PROFGRDGENE="Schamane",IF(Goetter!A271="","",Goetter!A271),IF(Goetter!A156="","",Goetter!A156))</f>
        <v/>
      </c>
      <c r="I51" s="1516" t="str">
        <f>IF(NOT(EXACT(H51,"")),IF(PROFGRDGENE="Schamane",Goetter!D271,Goetter!D156),"")</f>
        <v/>
      </c>
      <c r="J51" s="1516" t="str">
        <f>IF(NOT(EXACT(H51,"")),IF(PROFGRDGENE="Schamane",IF(Goetter!I271="",VLOOKUP(H51,Schamanen_Rituale_all,4,FALSE),Goetter!I271),IF(Goetter!J156="",VLOOKUP(H51,Liturgien_all,4,FALSE),Goetter!J156)),"")</f>
        <v/>
      </c>
      <c r="K51" s="1516" t="str">
        <f>IF(NOT(EXACT(H51,"")),IF(PROFGRDGENE="Schamane",IF(Goetter!J271="",VLOOKUP(H51,Schamanen_Rituale_all,12,FALSE),Goetter!J271),IF(Goetter!K156="",VLOOKUP(H51,Liturgien_all,5,FALSE),Goetter!K156)),"")</f>
        <v/>
      </c>
      <c r="L51" s="1516" t="str">
        <f>IF(NOT(EXACT(H51,"")),IF(PROFGRDGENE="Schamane",IF(Goetter!K271="",VLOOKUP(H51,Schamanen_Rituale_all,13,FALSE),Goetter!K271),IF(Goetter!L156="",VLOOKUP(H51,Liturgien_all,6,FALSE),Goetter!L156)),"")</f>
        <v/>
      </c>
      <c r="M51" s="1516" t="str">
        <f>IF(NOT(EXACT(H51,"")),IF(PROFGRDGENE="Schamane",IF(Goetter!L271="",VLOOKUP(H51,Schamanen_Rituale_all,7,FALSE),Goetter!L271),IF(Goetter!M156="",VLOOKUP(H51,Liturgien_all,7,FALSE),Goetter!M156)),"")</f>
        <v/>
      </c>
      <c r="N51" s="1516" t="str">
        <f t="shared" ca="1" si="10"/>
        <v/>
      </c>
      <c r="O51" s="1514"/>
      <c r="P51" s="78"/>
      <c r="S51" s="353"/>
    </row>
    <row r="52" spans="1:19" x14ac:dyDescent="0.2">
      <c r="A52" s="259"/>
      <c r="B52" s="1" t="str">
        <f t="shared" si="8"/>
        <v xml:space="preserve"> - Namenlose Tage</v>
      </c>
      <c r="C52" s="1038"/>
      <c r="D52" s="1038" t="str">
        <f t="shared" si="9"/>
        <v>+7</v>
      </c>
      <c r="E52" s="1038"/>
      <c r="F52" s="18"/>
      <c r="G52" s="1513"/>
      <c r="H52" s="1515" t="str">
        <f>IF(PROFGRDGENE="Schamane",IF(Goetter!A272="","",Goetter!A272),IF(Goetter!A157="","",Goetter!A157))</f>
        <v/>
      </c>
      <c r="I52" s="1516" t="str">
        <f>IF(NOT(EXACT(H52,"")),IF(PROFGRDGENE="Schamane",Goetter!D272,Goetter!D157),"")</f>
        <v/>
      </c>
      <c r="J52" s="1516" t="str">
        <f>IF(NOT(EXACT(H52,"")),IF(PROFGRDGENE="Schamane",IF(Goetter!I272="",VLOOKUP(H52,Schamanen_Rituale_all,4,FALSE),Goetter!I272),IF(Goetter!J157="",VLOOKUP(H52,Liturgien_all,4,FALSE),Goetter!J157)),"")</f>
        <v/>
      </c>
      <c r="K52" s="1516" t="str">
        <f>IF(NOT(EXACT(H52,"")),IF(PROFGRDGENE="Schamane",IF(Goetter!J272="",VLOOKUP(H52,Schamanen_Rituale_all,12,FALSE),Goetter!J272),IF(Goetter!K157="",VLOOKUP(H52,Liturgien_all,5,FALSE),Goetter!K157)),"")</f>
        <v/>
      </c>
      <c r="L52" s="1516" t="str">
        <f>IF(NOT(EXACT(H52,"")),IF(PROFGRDGENE="Schamane",IF(Goetter!K272="",VLOOKUP(H52,Schamanen_Rituale_all,13,FALSE),Goetter!K272),IF(Goetter!L157="",VLOOKUP(H52,Liturgien_all,6,FALSE),Goetter!L157)),"")</f>
        <v/>
      </c>
      <c r="M52" s="1516" t="str">
        <f>IF(NOT(EXACT(H52,"")),IF(PROFGRDGENE="Schamane",IF(Goetter!L272="",VLOOKUP(H52,Schamanen_Rituale_all,7,FALSE),Goetter!L272),IF(Goetter!M157="",VLOOKUP(H52,Liturgien_all,7,FALSE),Goetter!M157)),"")</f>
        <v/>
      </c>
      <c r="N52" s="1516" t="str">
        <f t="shared" ca="1" si="10"/>
        <v/>
      </c>
      <c r="O52" s="1514"/>
      <c r="P52" s="78"/>
      <c r="S52" s="353"/>
    </row>
    <row r="53" spans="1:19" x14ac:dyDescent="0.2">
      <c r="A53" s="259"/>
      <c r="B53" s="1" t="str">
        <f t="shared" si="8"/>
        <v>nach Umständen:</v>
      </c>
      <c r="C53" s="1038"/>
      <c r="D53" s="1038" t="str">
        <f t="shared" si="9"/>
        <v/>
      </c>
      <c r="E53" s="1038"/>
      <c r="F53" s="18"/>
      <c r="G53" s="1513"/>
      <c r="H53" s="1515" t="str">
        <f>IF(PROFGRDGENE="Schamane",IF(Goetter!A273="","",Goetter!A273),IF(Goetter!A158="","",Goetter!A158))</f>
        <v/>
      </c>
      <c r="I53" s="1516" t="str">
        <f>IF(NOT(EXACT(H53,"")),IF(PROFGRDGENE="Schamane",Goetter!D273,Goetter!D158),"")</f>
        <v/>
      </c>
      <c r="J53" s="1516" t="str">
        <f>IF(NOT(EXACT(H53,"")),IF(PROFGRDGENE="Schamane",IF(Goetter!I273="",VLOOKUP(H53,Schamanen_Rituale_all,4,FALSE),Goetter!I273),IF(Goetter!J158="",VLOOKUP(H53,Liturgien_all,4,FALSE),Goetter!J158)),"")</f>
        <v/>
      </c>
      <c r="K53" s="1516" t="str">
        <f>IF(NOT(EXACT(H53,"")),IF(PROFGRDGENE="Schamane",IF(Goetter!J273="",VLOOKUP(H53,Schamanen_Rituale_all,12,FALSE),Goetter!J273),IF(Goetter!K158="",VLOOKUP(H53,Liturgien_all,5,FALSE),Goetter!K158)),"")</f>
        <v/>
      </c>
      <c r="L53" s="1516" t="str">
        <f>IF(NOT(EXACT(H53,"")),IF(PROFGRDGENE="Schamane",IF(Goetter!K273="",VLOOKUP(H53,Schamanen_Rituale_all,13,FALSE),Goetter!K273),IF(Goetter!L158="",VLOOKUP(H53,Liturgien_all,6,FALSE),Goetter!L158)),"")</f>
        <v/>
      </c>
      <c r="M53" s="1516" t="str">
        <f>IF(NOT(EXACT(H53,"")),IF(PROFGRDGENE="Schamane",IF(Goetter!L273="",VLOOKUP(H53,Schamanen_Rituale_all,7,FALSE),Goetter!L273),IF(Goetter!M158="",VLOOKUP(H53,Liturgien_all,7,FALSE),Goetter!M158)),"")</f>
        <v/>
      </c>
      <c r="N53" s="1516" t="str">
        <f t="shared" ca="1" si="10"/>
        <v/>
      </c>
      <c r="O53" s="1514"/>
      <c r="P53" s="78"/>
      <c r="S53" s="353"/>
    </row>
    <row r="54" spans="1:19" x14ac:dyDescent="0.2">
      <c r="A54" s="259"/>
      <c r="B54" s="1" t="str">
        <f t="shared" si="8"/>
        <v xml:space="preserve"> - Harmonie</v>
      </c>
      <c r="C54" s="1038"/>
      <c r="D54" s="1038" t="str">
        <f t="shared" si="9"/>
        <v>-2 bis +7</v>
      </c>
      <c r="E54" s="1038"/>
      <c r="F54" s="18"/>
      <c r="G54" s="1513"/>
      <c r="H54" s="1515" t="str">
        <f>IF(PROFGRDGENE="Schamane",IF(Goetter!A274="","",Goetter!A274),IF(Goetter!A159="","",Goetter!A159))</f>
        <v/>
      </c>
      <c r="I54" s="1516" t="str">
        <f>IF(NOT(EXACT(H54,"")),IF(PROFGRDGENE="Schamane",Goetter!D274,Goetter!D159),"")</f>
        <v/>
      </c>
      <c r="J54" s="1516" t="str">
        <f>IF(NOT(EXACT(H54,"")),IF(PROFGRDGENE="Schamane",IF(Goetter!I274="",VLOOKUP(H54,Schamanen_Rituale_all,4,FALSE),Goetter!I274),IF(Goetter!J159="",VLOOKUP(H54,Liturgien_all,4,FALSE),Goetter!J159)),"")</f>
        <v/>
      </c>
      <c r="K54" s="1516" t="str">
        <f>IF(NOT(EXACT(H54,"")),IF(PROFGRDGENE="Schamane",IF(Goetter!J274="",VLOOKUP(H54,Schamanen_Rituale_all,12,FALSE),Goetter!J274),IF(Goetter!K159="",VLOOKUP(H54,Liturgien_all,5,FALSE),Goetter!K159)),"")</f>
        <v/>
      </c>
      <c r="L54" s="1516" t="str">
        <f>IF(NOT(EXACT(H54,"")),IF(PROFGRDGENE="Schamane",IF(Goetter!K274="",VLOOKUP(H54,Schamanen_Rituale_all,13,FALSE),Goetter!K274),IF(Goetter!L159="",VLOOKUP(H54,Liturgien_all,6,FALSE),Goetter!L159)),"")</f>
        <v/>
      </c>
      <c r="M54" s="1516" t="str">
        <f>IF(NOT(EXACT(H54,"")),IF(PROFGRDGENE="Schamane",IF(Goetter!L274="",VLOOKUP(H54,Schamanen_Rituale_all,7,FALSE),Goetter!L274),IF(Goetter!M159="",VLOOKUP(H54,Liturgien_all,7,FALSE),Goetter!M159)),"")</f>
        <v/>
      </c>
      <c r="N54" s="1516" t="str">
        <f t="shared" ca="1" si="10"/>
        <v/>
      </c>
      <c r="O54" s="1514"/>
      <c r="P54" s="78"/>
      <c r="S54" s="353"/>
    </row>
    <row r="55" spans="1:19" x14ac:dyDescent="0.2">
      <c r="A55" s="259"/>
      <c r="B55" s="1" t="str">
        <f t="shared" si="8"/>
        <v xml:space="preserve"> - Ziel ist Frevler/Verdammter</v>
      </c>
      <c r="C55" s="1038"/>
      <c r="D55" s="1038" t="str">
        <f t="shared" si="9"/>
        <v>+7/+12</v>
      </c>
      <c r="E55" s="1038"/>
      <c r="F55" s="18"/>
      <c r="G55" s="1513"/>
      <c r="H55" s="1515" t="str">
        <f>IF(PROFGRDGENE="Schamane",IF(Goetter!A275="","",Goetter!A275),IF(Goetter!A160="","",Goetter!A160))</f>
        <v/>
      </c>
      <c r="I55" s="1516" t="str">
        <f>IF(NOT(EXACT(H55,"")),IF(PROFGRDGENE="Schamane",Goetter!D275,Goetter!D160),"")</f>
        <v/>
      </c>
      <c r="J55" s="1516" t="str">
        <f>IF(NOT(EXACT(H55,"")),IF(PROFGRDGENE="Schamane",IF(Goetter!I275="",VLOOKUP(H55,Schamanen_Rituale_all,4,FALSE),Goetter!I275),IF(Goetter!J160="",VLOOKUP(H55,Liturgien_all,4,FALSE),Goetter!J160)),"")</f>
        <v/>
      </c>
      <c r="K55" s="1516" t="str">
        <f>IF(NOT(EXACT(H55,"")),IF(PROFGRDGENE="Schamane",IF(Goetter!J275="",VLOOKUP(H55,Schamanen_Rituale_all,12,FALSE),Goetter!J275),IF(Goetter!K160="",VLOOKUP(H55,Liturgien_all,5,FALSE),Goetter!K160)),"")</f>
        <v/>
      </c>
      <c r="L55" s="1516" t="str">
        <f>IF(NOT(EXACT(H55,"")),IF(PROFGRDGENE="Schamane",IF(Goetter!K275="",VLOOKUP(H55,Schamanen_Rituale_all,13,FALSE),Goetter!K275),IF(Goetter!L160="",VLOOKUP(H55,Liturgien_all,6,FALSE),Goetter!L160)),"")</f>
        <v/>
      </c>
      <c r="M55" s="1516" t="str">
        <f>IF(NOT(EXACT(H55,"")),IF(PROFGRDGENE="Schamane",IF(Goetter!L275="",VLOOKUP(H55,Schamanen_Rituale_all,7,FALSE),Goetter!L275),IF(Goetter!M160="",VLOOKUP(H55,Liturgien_all,7,FALSE),Goetter!M160)),"")</f>
        <v/>
      </c>
      <c r="N55" s="1516" t="str">
        <f t="shared" ca="1" si="10"/>
        <v/>
      </c>
      <c r="O55" s="1514"/>
      <c r="P55" s="78"/>
      <c r="S55" s="353"/>
    </row>
    <row r="56" spans="1:19" ht="13.5" thickBot="1" x14ac:dyDescent="0.25">
      <c r="A56" s="374"/>
      <c r="B56" s="1039"/>
      <c r="C56" s="1039"/>
      <c r="D56" s="1039"/>
      <c r="E56" s="1039"/>
      <c r="F56" s="375"/>
      <c r="G56" s="1513"/>
      <c r="H56" s="1515" t="str">
        <f>IF(PROFGRDGENE="Schamane",IF(Goetter!A276="","",Goetter!A276),IF(Goetter!A161="","",Goetter!A161))</f>
        <v/>
      </c>
      <c r="I56" s="1516" t="str">
        <f>IF(NOT(EXACT(H56,"")),IF(PROFGRDGENE="Schamane",Goetter!D276,Goetter!D161),"")</f>
        <v/>
      </c>
      <c r="J56" s="1516" t="str">
        <f>IF(NOT(EXACT(H56,"")),IF(PROFGRDGENE="Schamane",IF(Goetter!I276="",VLOOKUP(H56,Schamanen_Rituale_all,4,FALSE),Goetter!I276),IF(Goetter!J161="",VLOOKUP(H56,Liturgien_all,4,FALSE),Goetter!J161)),"")</f>
        <v/>
      </c>
      <c r="K56" s="1516" t="str">
        <f>IF(NOT(EXACT(H56,"")),IF(PROFGRDGENE="Schamane",IF(Goetter!J276="",VLOOKUP(H56,Schamanen_Rituale_all,12,FALSE),Goetter!J276),IF(Goetter!K161="",VLOOKUP(H56,Liturgien_all,5,FALSE),Goetter!K161)),"")</f>
        <v/>
      </c>
      <c r="L56" s="1516" t="str">
        <f>IF(NOT(EXACT(H56,"")),IF(PROFGRDGENE="Schamane",IF(Goetter!K276="",VLOOKUP(H56,Schamanen_Rituale_all,13,FALSE),Goetter!K276),IF(Goetter!L161="",VLOOKUP(H56,Liturgien_all,6,FALSE),Goetter!L161)),"")</f>
        <v/>
      </c>
      <c r="M56" s="1516" t="str">
        <f>IF(NOT(EXACT(H56,"")),IF(PROFGRDGENE="Schamane",IF(Goetter!L276="",VLOOKUP(H56,Schamanen_Rituale_all,7,FALSE),Goetter!L276),IF(Goetter!M161="",VLOOKUP(H56,Liturgien_all,7,FALSE),Goetter!M161)),"")</f>
        <v/>
      </c>
      <c r="N56" s="1516" t="str">
        <f t="shared" ca="1" si="10"/>
        <v/>
      </c>
      <c r="O56" s="1514"/>
      <c r="P56" s="78"/>
      <c r="S56" s="353"/>
    </row>
    <row r="57" spans="1:19" ht="14.25" thickTop="1" x14ac:dyDescent="0.25">
      <c r="A57" s="259"/>
      <c r="B57" s="265" t="str">
        <f>IF(PROFGRDGENE="Schamane","Kosten pro Ritual-Grad","Kosten pro Liturgie-Grad")</f>
        <v>Kosten pro Liturgie-Grad</v>
      </c>
      <c r="C57" s="18"/>
      <c r="D57" s="18"/>
      <c r="E57" s="18"/>
      <c r="F57" s="18"/>
      <c r="G57" s="1513"/>
      <c r="H57" s="1515" t="str">
        <f>IF(PROFGRDGENE="Schamane",IF(Goetter!A277="","",Goetter!A277),IF(Goetter!A162="","",Goetter!A162))</f>
        <v/>
      </c>
      <c r="I57" s="1516" t="str">
        <f>IF(NOT(EXACT(H57,"")),IF(PROFGRDGENE="Schamane",Goetter!D277,Goetter!D162),"")</f>
        <v/>
      </c>
      <c r="J57" s="1516" t="str">
        <f>IF(NOT(EXACT(H57,"")),IF(PROFGRDGENE="Schamane",IF(Goetter!I277="",VLOOKUP(H57,Schamanen_Rituale_all,4,FALSE),Goetter!I277),IF(Goetter!J162="",VLOOKUP(H57,Liturgien_all,4,FALSE),Goetter!J162)),"")</f>
        <v/>
      </c>
      <c r="K57" s="1516" t="str">
        <f>IF(NOT(EXACT(H57,"")),IF(PROFGRDGENE="Schamane",IF(Goetter!J277="",VLOOKUP(H57,Schamanen_Rituale_all,12,FALSE),Goetter!J277),IF(Goetter!K162="",VLOOKUP(H57,Liturgien_all,5,FALSE),Goetter!K162)),"")</f>
        <v/>
      </c>
      <c r="L57" s="1516" t="str">
        <f>IF(NOT(EXACT(H57,"")),IF(PROFGRDGENE="Schamane",IF(Goetter!K277="",VLOOKUP(H57,Schamanen_Rituale_all,13,FALSE),Goetter!K277),IF(Goetter!L162="",VLOOKUP(H57,Liturgien_all,6,FALSE),Goetter!L162)),"")</f>
        <v/>
      </c>
      <c r="M57" s="1516" t="str">
        <f>IF(NOT(EXACT(H57,"")),IF(PROFGRDGENE="Schamane",IF(Goetter!L277="",VLOOKUP(H57,Schamanen_Rituale_all,7,FALSE),Goetter!L277),IF(Goetter!M162="",VLOOKUP(H57,Liturgien_all,7,FALSE),Goetter!M162)),"")</f>
        <v/>
      </c>
      <c r="N57" s="1516" t="str">
        <f t="shared" ca="1" si="10"/>
        <v/>
      </c>
      <c r="O57" s="1514"/>
      <c r="P57" s="78"/>
      <c r="S57" s="353"/>
    </row>
    <row r="58" spans="1:19" x14ac:dyDescent="0.2">
      <c r="A58" s="259"/>
      <c r="B58" s="30" t="str">
        <f>IF(PROFGRDGENE="Schamane","","Grad 0")</f>
        <v>Grad 0</v>
      </c>
      <c r="C58" s="1038" t="str">
        <f t="shared" ref="C58:C64" si="11">IF(PROFGRDGENE="Schamane",K74,H74)</f>
        <v xml:space="preserve"> 2 KaP</v>
      </c>
      <c r="D58" s="20"/>
      <c r="E58" s="1525" t="str">
        <f>IF(PROFGRDGENE="Schamane",K74,J74)</f>
        <v>-2</v>
      </c>
      <c r="F58" s="18"/>
      <c r="G58" s="1513"/>
      <c r="H58" s="1515" t="str">
        <f>IF(PROFGRDGENE="Schamane",IF(Goetter!A278="","",Goetter!A278),IF(Goetter!A163="","",Goetter!A163))</f>
        <v/>
      </c>
      <c r="I58" s="1516" t="str">
        <f>IF(NOT(EXACT(H58,"")),IF(PROFGRDGENE="Schamane",Goetter!D278,Goetter!D163),"")</f>
        <v/>
      </c>
      <c r="J58" s="1516" t="str">
        <f>IF(NOT(EXACT(H58,"")),IF(PROFGRDGENE="Schamane",IF(Goetter!I278="",VLOOKUP(H58,Schamanen_Rituale_all,4,FALSE),Goetter!I278),IF(Goetter!J163="",VLOOKUP(H58,Liturgien_all,4,FALSE),Goetter!J163)),"")</f>
        <v/>
      </c>
      <c r="K58" s="1516" t="str">
        <f>IF(NOT(EXACT(H58,"")),IF(PROFGRDGENE="Schamane",IF(Goetter!J278="",VLOOKUP(H58,Schamanen_Rituale_all,12,FALSE),Goetter!J278),IF(Goetter!K163="",VLOOKUP(H58,Liturgien_all,5,FALSE),Goetter!K163)),"")</f>
        <v/>
      </c>
      <c r="L58" s="1516" t="str">
        <f>IF(NOT(EXACT(H58,"")),IF(PROFGRDGENE="Schamane",IF(Goetter!K278="",VLOOKUP(H58,Schamanen_Rituale_all,13,FALSE),Goetter!K278),IF(Goetter!L163="",VLOOKUP(H58,Liturgien_all,6,FALSE),Goetter!L163)),"")</f>
        <v/>
      </c>
      <c r="M58" s="1516" t="str">
        <f>IF(NOT(EXACT(H58,"")),IF(PROFGRDGENE="Schamane",IF(Goetter!L278="",VLOOKUP(H58,Schamanen_Rituale_all,7,FALSE),Goetter!L278),IF(Goetter!M163="",VLOOKUP(H58,Liturgien_all,7,FALSE),Goetter!M163)),"")</f>
        <v/>
      </c>
      <c r="N58" s="1516" t="str">
        <f t="shared" ca="1" si="10"/>
        <v/>
      </c>
      <c r="O58" s="1514"/>
      <c r="P58" s="78"/>
      <c r="S58" s="353"/>
    </row>
    <row r="59" spans="1:19" x14ac:dyDescent="0.2">
      <c r="A59" s="259"/>
      <c r="B59" s="30" t="s">
        <v>829</v>
      </c>
      <c r="C59" s="1038" t="str">
        <f t="shared" si="11"/>
        <v xml:space="preserve"> 5 KaP</v>
      </c>
      <c r="D59" s="1038"/>
      <c r="E59" s="1041" t="s">
        <v>4985</v>
      </c>
      <c r="F59" s="18"/>
      <c r="G59" s="1513"/>
      <c r="H59" s="1515" t="str">
        <f>IF(PROFGRDGENE="Schamane",IF(Goetter!A279="","",Goetter!A279),IF(Goetter!A164="","",Goetter!A164))</f>
        <v/>
      </c>
      <c r="I59" s="1516" t="str">
        <f>IF(NOT(EXACT(H59,"")),IF(PROFGRDGENE="Schamane",Goetter!D279,Goetter!D164),"")</f>
        <v/>
      </c>
      <c r="J59" s="1516" t="str">
        <f>IF(NOT(EXACT(H59,"")),IF(PROFGRDGENE="Schamane",IF(Goetter!I279="",VLOOKUP(H59,Schamanen_Rituale_all,4,FALSE),Goetter!I279),IF(Goetter!J164="",VLOOKUP(H59,Liturgien_all,4,FALSE),Goetter!J164)),"")</f>
        <v/>
      </c>
      <c r="K59" s="1516" t="str">
        <f>IF(NOT(EXACT(H59,"")),IF(PROFGRDGENE="Schamane",IF(Goetter!J279="",VLOOKUP(H59,Schamanen_Rituale_all,12,FALSE),Goetter!J279),IF(Goetter!K164="",VLOOKUP(H59,Liturgien_all,5,FALSE),Goetter!K164)),"")</f>
        <v/>
      </c>
      <c r="L59" s="1516" t="str">
        <f>IF(NOT(EXACT(H59,"")),IF(PROFGRDGENE="Schamane",IF(Goetter!K279="",VLOOKUP(H59,Schamanen_Rituale_all,13,FALSE),Goetter!K279),IF(Goetter!L164="",VLOOKUP(H59,Liturgien_all,6,FALSE),Goetter!L164)),"")</f>
        <v/>
      </c>
      <c r="M59" s="1516" t="str">
        <f>IF(NOT(EXACT(H59,"")),IF(PROFGRDGENE="Schamane",IF(Goetter!L279="",VLOOKUP(H59,Schamanen_Rituale_all,7,FALSE),Goetter!L279),IF(Goetter!M164="",VLOOKUP(H59,Liturgien_all,7,FALSE),Goetter!M164)),"")</f>
        <v/>
      </c>
      <c r="N59" s="1516" t="str">
        <f t="shared" ca="1" si="10"/>
        <v/>
      </c>
      <c r="O59" s="1514"/>
      <c r="P59" s="78"/>
      <c r="S59" s="353"/>
    </row>
    <row r="60" spans="1:19" x14ac:dyDescent="0.2">
      <c r="A60" s="259"/>
      <c r="B60" s="1042" t="s">
        <v>3122</v>
      </c>
      <c r="C60" s="1038" t="str">
        <f t="shared" si="11"/>
        <v>10 KaP</v>
      </c>
      <c r="D60" s="1038"/>
      <c r="E60" s="1041" t="s">
        <v>2989</v>
      </c>
      <c r="F60" s="18"/>
      <c r="G60" s="1513"/>
      <c r="H60" s="1042" t="str">
        <f>IF(PROFGRDGENE="Schamane","Weitere Rituale","Weitere Liturgien")</f>
        <v>Weitere Liturgien</v>
      </c>
      <c r="I60" s="1042" t="s">
        <v>119</v>
      </c>
      <c r="J60" s="1042" t="s">
        <v>120</v>
      </c>
      <c r="K60" s="1042" t="s">
        <v>3076</v>
      </c>
      <c r="L60" s="1042" t="s">
        <v>3075</v>
      </c>
      <c r="M60" s="1042" t="s">
        <v>566</v>
      </c>
      <c r="N60" s="1042" t="s">
        <v>121</v>
      </c>
      <c r="O60" s="1514"/>
      <c r="P60" s="78"/>
      <c r="S60" s="353"/>
    </row>
    <row r="61" spans="1:19" x14ac:dyDescent="0.2">
      <c r="A61" s="259"/>
      <c r="B61" s="1043" t="s">
        <v>3123</v>
      </c>
      <c r="C61" s="1038" t="str">
        <f t="shared" si="11"/>
        <v>15 KaP</v>
      </c>
      <c r="D61" s="1038"/>
      <c r="E61" s="1041" t="s">
        <v>1160</v>
      </c>
      <c r="F61" s="18"/>
      <c r="G61" s="1513"/>
      <c r="H61" s="1515" t="str">
        <f ca="1">IF(NOT(Goetter!Y139=""),LEFT(Goetter!Y139,FIND(",",Goetter!Y139)-1),"")</f>
        <v/>
      </c>
      <c r="I61" s="1516" t="str">
        <f ca="1">IF(NOT(EXACT(H61,"")),Goetter!AH139,"")</f>
        <v/>
      </c>
      <c r="J61" s="1516" t="str">
        <f ca="1">IF(NOT(EXACT(H61,"")),IF(Goetter!J165="",VLOOKUP(H61,Liturgien_all,4,FALSE),Goetter!J165),"")</f>
        <v/>
      </c>
      <c r="K61" s="1516" t="str">
        <f ca="1">IF(NOT(EXACT(H61,"")),IF(Goetter!K165="",VLOOKUP(H61,Liturgien_all,5,FALSE),Goetter!K165),"")</f>
        <v/>
      </c>
      <c r="L61" s="1515" t="str">
        <f ca="1">IF(NOT(EXACT(H61,"")),IF(Goetter!L165="",VLOOKUP(H61,Liturgien_all,6,FALSE),Goetter!L165),"")</f>
        <v/>
      </c>
      <c r="M61" s="1515" t="str">
        <f ca="1">IF(NOT(EXACT($H61,"")),IF(Goetter!M165="",VLOOKUP($H61,Liturgien_all,7,FALSE),Goetter!M165),"")</f>
        <v/>
      </c>
      <c r="N61" s="1516" t="str">
        <f ca="1">IF(NOT(ISERR(FIND("Grad",H61))),"",IF(NOT(EXACT(H61,"")),VLOOKUP(H61,INDIRECT(LIT_RIT_ALL),IF(AND(SEITE_BUCH=1,LIT_RIT_ALL="Liturgien_all"),9,8),FALSE),""))</f>
        <v/>
      </c>
      <c r="O61" s="1514"/>
      <c r="P61" s="78"/>
      <c r="S61" s="353" t="str">
        <f ca="1">IF(NOT(Goetter!$Y$139=""),RIGHT(Goetter!$Y$139,LEN(Goetter!$Y$139)-LEN(H61)-1),"")</f>
        <v/>
      </c>
    </row>
    <row r="62" spans="1:19" x14ac:dyDescent="0.2">
      <c r="A62" s="259"/>
      <c r="B62" s="1043" t="s">
        <v>2069</v>
      </c>
      <c r="C62" s="1038" t="str">
        <f t="shared" si="11"/>
        <v>20 KaP</v>
      </c>
      <c r="D62" s="20"/>
      <c r="E62" s="1044" t="s">
        <v>2572</v>
      </c>
      <c r="F62" s="18"/>
      <c r="G62" s="1513"/>
      <c r="H62" s="1515" t="str">
        <f ca="1">IF(NOT(S61=""),LEFT(S61,FIND(",",S61)-1),"")</f>
        <v/>
      </c>
      <c r="I62" s="1516" t="str">
        <f ca="1">IF(NOT(EXACT(H62,"")),Goetter!AH140,"")</f>
        <v/>
      </c>
      <c r="J62" s="1516" t="str">
        <f ca="1">IF(NOT(EXACT(H62,"")),IF(Goetter!J166="",VLOOKUP(H62,Liturgien_all,4,FALSE),Goetter!J166),"")</f>
        <v/>
      </c>
      <c r="K62" s="1516" t="str">
        <f ca="1">IF(NOT(EXACT(H62,"")),IF(Goetter!K166="",VLOOKUP(H62,Liturgien_all,5,FALSE),Goetter!K166),"")</f>
        <v/>
      </c>
      <c r="L62" s="1515" t="str">
        <f ca="1">IF(NOT(EXACT(H62,"")),IF(Goetter!L166="",VLOOKUP(H62,Liturgien_all,6,FALSE),Goetter!L166),"")</f>
        <v/>
      </c>
      <c r="M62" s="1515" t="str">
        <f ca="1">IF(NOT(EXACT($H62,"")),IF(Goetter!M166="",VLOOKUP($H62,Liturgien_all,7,FALSE),Goetter!M166),"")</f>
        <v/>
      </c>
      <c r="N62" s="1516" t="str">
        <f ca="1">IF(NOT(ISERR(FIND("Grad",H62))),"",IF(NOT(EXACT(H62,"")),VLOOKUP(H62,INDIRECT(LIT_RIT_ALL),IF(AND(SEITE_BUCH=1,LIT_RIT_ALL="Liturgien_all"),9,8),FALSE),""))</f>
        <v/>
      </c>
      <c r="O62" s="1514"/>
      <c r="P62" s="78"/>
      <c r="S62" s="353" t="str">
        <f ca="1">IF(NOT(S61=""),RIGHT(S61,LEN(S61)-LEN(H62)-1),"")</f>
        <v/>
      </c>
    </row>
    <row r="63" spans="1:19" x14ac:dyDescent="0.2">
      <c r="A63" s="259"/>
      <c r="B63" s="1043" t="s">
        <v>2067</v>
      </c>
      <c r="C63" s="1038" t="str">
        <f t="shared" si="11"/>
        <v>25 KaP (1 perm.)</v>
      </c>
      <c r="D63" s="20"/>
      <c r="E63" s="1044" t="s">
        <v>3520</v>
      </c>
      <c r="F63" s="18"/>
      <c r="G63" s="1513"/>
      <c r="H63" s="1515" t="str">
        <f ca="1">IF(NOT(S62=""),LEFT(S62,FIND(",",S62)-1),"")</f>
        <v/>
      </c>
      <c r="I63" s="1516" t="str">
        <f ca="1">IF(NOT(EXACT(H63,"")),Goetter!AH141,"")</f>
        <v/>
      </c>
      <c r="J63" s="1516" t="str">
        <f ca="1">IF(NOT(EXACT(H63,"")),IF(Goetter!J167="",VLOOKUP(H63,Liturgien_all,4,FALSE),Goetter!J167),"")</f>
        <v/>
      </c>
      <c r="K63" s="1516" t="str">
        <f ca="1">IF(NOT(EXACT(H63,"")),IF(Goetter!K167="",VLOOKUP(H63,Liturgien_all,5,FALSE),Goetter!K167),"")</f>
        <v/>
      </c>
      <c r="L63" s="1515" t="str">
        <f ca="1">IF(NOT(EXACT(H63,"")),IF(Goetter!L167="",VLOOKUP(H63,Liturgien_all,6,FALSE),Goetter!L167),"")</f>
        <v/>
      </c>
      <c r="M63" s="1515" t="str">
        <f ca="1">IF(NOT(EXACT($H63,"")),IF(Goetter!M167="",VLOOKUP($H63,Liturgien_all,7,FALSE),Goetter!M167),"")</f>
        <v/>
      </c>
      <c r="N63" s="1516" t="str">
        <f ca="1">IF(NOT(ISERR(FIND("Grad",H63))),"",IF(NOT(EXACT(H63,"")),VLOOKUP(H63,INDIRECT(LIT_RIT_ALL),IF(AND(SEITE_BUCH=1,LIT_RIT_ALL="Liturgien_all"),9,8),FALSE),""))</f>
        <v/>
      </c>
      <c r="O63" s="1514"/>
      <c r="P63" s="78"/>
      <c r="S63" s="353" t="str">
        <f ca="1">IF(NOT(S62=""),RIGHT(S62,LEN(S62)-LEN(H63)-1),"")</f>
        <v/>
      </c>
    </row>
    <row r="64" spans="1:19" ht="13.5" thickBot="1" x14ac:dyDescent="0.25">
      <c r="A64" s="259"/>
      <c r="B64" s="1043" t="s">
        <v>2068</v>
      </c>
      <c r="C64" s="20" t="str">
        <f t="shared" si="11"/>
        <v>30 KaP (3 perm.)</v>
      </c>
      <c r="D64" s="20"/>
      <c r="E64" s="1044" t="s">
        <v>3521</v>
      </c>
      <c r="F64" s="18"/>
      <c r="G64" s="1513"/>
      <c r="H64" s="1518" t="str">
        <f ca="1">IF(NOT(S63=""),LEFT(S63,FIND(",",S63)-1),"")</f>
        <v/>
      </c>
      <c r="I64" s="1519" t="str">
        <f ca="1">IF(NOT(EXACT(H64,"")),Goetter!AH142,"")</f>
        <v/>
      </c>
      <c r="J64" s="1519" t="str">
        <f ca="1">IF(NOT(EXACT(H64,"")),IF(Goetter!J168="",VLOOKUP(H64,Liturgien_all,4,FALSE),Goetter!J168),"")</f>
        <v/>
      </c>
      <c r="K64" s="1519" t="str">
        <f ca="1">IF(NOT(EXACT(H64,"")),IF(Goetter!K168="",VLOOKUP(H64,Liturgien_all,5,FALSE),Goetter!K168),"")</f>
        <v/>
      </c>
      <c r="L64" s="1518" t="str">
        <f ca="1">IF(NOT(EXACT(H64,"")),IF(Goetter!L168="",VLOOKUP(H64,Liturgien_all,6,FALSE),Goetter!L168),"")</f>
        <v/>
      </c>
      <c r="M64" s="1515" t="str">
        <f ca="1">IF(NOT(EXACT($H64,"")),IF(Goetter!M168="",VLOOKUP($H64,Liturgien_all,7,FALSE),Goetter!M168),"")</f>
        <v/>
      </c>
      <c r="N64" s="1516" t="str">
        <f ca="1">IF(NOT(ISERR(FIND("Grad",H64))),"",IF(NOT(EXACT(H64,"")),VLOOKUP(H64,INDIRECT(LIT_RIT_ALL),IF(AND(SEITE_BUCH=1,LIT_RIT_ALL="Liturgien_all"),9,8),FALSE),""))</f>
        <v/>
      </c>
      <c r="O64" s="1514"/>
      <c r="P64" s="78"/>
      <c r="S64" s="353" t="str">
        <f ca="1">IF(NOT(S63=""),RIGHT(S63,LEN(S63)-LEN(H64)-1),"")</f>
        <v/>
      </c>
    </row>
    <row r="65" spans="1:19" ht="13.5" thickTop="1" x14ac:dyDescent="0.2">
      <c r="A65" s="256"/>
      <c r="B65" s="366" t="s">
        <v>629</v>
      </c>
      <c r="C65" s="257"/>
      <c r="D65" s="257"/>
      <c r="E65" s="257"/>
      <c r="F65" s="257"/>
      <c r="G65" s="257"/>
      <c r="H65" s="467"/>
      <c r="I65" s="467"/>
      <c r="J65" s="467"/>
      <c r="K65" s="467"/>
      <c r="L65" s="467"/>
      <c r="M65" s="467"/>
      <c r="N65" s="467"/>
      <c r="O65" s="258"/>
      <c r="S65" s="353"/>
    </row>
    <row r="66" spans="1:19" x14ac:dyDescent="0.2">
      <c r="A66" s="259"/>
      <c r="B66" s="347" t="s">
        <v>630</v>
      </c>
      <c r="C66" s="18"/>
      <c r="D66" s="18"/>
      <c r="E66" s="18"/>
      <c r="F66" s="18"/>
      <c r="H66" s="18"/>
      <c r="I66" s="18"/>
      <c r="J66" s="18"/>
      <c r="K66" s="18"/>
      <c r="L66" s="18"/>
      <c r="M66" s="18"/>
      <c r="N66" s="18"/>
      <c r="O66" s="260"/>
      <c r="S66" s="353"/>
    </row>
    <row r="67" spans="1:19" x14ac:dyDescent="0.2">
      <c r="A67" s="259"/>
      <c r="B67" s="347" t="s">
        <v>3363</v>
      </c>
      <c r="C67" s="18"/>
      <c r="D67" s="18"/>
      <c r="E67" s="18"/>
      <c r="F67" s="18"/>
      <c r="H67" s="18"/>
      <c r="I67" s="18"/>
      <c r="J67" s="18"/>
      <c r="K67" s="18"/>
      <c r="L67" s="18"/>
      <c r="M67" s="18"/>
      <c r="N67" s="18"/>
      <c r="O67" s="260"/>
      <c r="S67" s="353"/>
    </row>
    <row r="68" spans="1:19" x14ac:dyDescent="0.2">
      <c r="A68" s="259"/>
      <c r="B68" s="347" t="s">
        <v>4357</v>
      </c>
      <c r="C68" s="18"/>
      <c r="D68" s="18"/>
      <c r="E68" s="18"/>
      <c r="F68" s="18"/>
      <c r="H68" s="18"/>
      <c r="I68" s="18"/>
      <c r="J68" s="18"/>
      <c r="K68" s="18"/>
      <c r="L68" s="18"/>
      <c r="M68" s="18"/>
      <c r="N68" s="18"/>
      <c r="O68" s="260"/>
      <c r="S68" s="353"/>
    </row>
    <row r="69" spans="1:19" x14ac:dyDescent="0.2">
      <c r="A69" s="259"/>
      <c r="B69" s="347" t="s">
        <v>2399</v>
      </c>
      <c r="C69" s="18"/>
      <c r="D69" s="18"/>
      <c r="E69" s="18"/>
      <c r="F69" s="18"/>
      <c r="H69" s="18"/>
      <c r="I69" s="18"/>
      <c r="J69" s="18"/>
      <c r="K69" s="18"/>
      <c r="L69" s="18"/>
      <c r="M69" s="18"/>
      <c r="N69" s="18"/>
      <c r="O69" s="260"/>
      <c r="S69" s="353"/>
    </row>
    <row r="70" spans="1:19" ht="13.5" thickBot="1" x14ac:dyDescent="0.25">
      <c r="A70" s="261"/>
      <c r="B70" s="367" t="s">
        <v>1370</v>
      </c>
      <c r="C70" s="262"/>
      <c r="D70" s="262"/>
      <c r="E70" s="262"/>
      <c r="F70" s="262"/>
      <c r="G70" s="262"/>
      <c r="H70" s="262"/>
      <c r="I70" s="262"/>
      <c r="J70" s="262"/>
      <c r="K70" s="262"/>
      <c r="L70" s="262"/>
      <c r="M70" s="262"/>
      <c r="N70" s="262"/>
      <c r="O70" s="263"/>
      <c r="S70" s="353"/>
    </row>
    <row r="71" spans="1:19" ht="13.5" thickTop="1" x14ac:dyDescent="0.2">
      <c r="S71" s="353"/>
    </row>
    <row r="72" spans="1:19" x14ac:dyDescent="0.2">
      <c r="S72" s="353"/>
    </row>
    <row r="73" spans="1:19" x14ac:dyDescent="0.2">
      <c r="S73" s="353"/>
    </row>
    <row r="74" spans="1:19" x14ac:dyDescent="0.2">
      <c r="H74" s="164" t="s">
        <v>8770</v>
      </c>
      <c r="I74" s="353"/>
      <c r="J74" s="1526" t="s">
        <v>1283</v>
      </c>
      <c r="S74" s="353"/>
    </row>
    <row r="75" spans="1:19" x14ac:dyDescent="0.2">
      <c r="B75" s="353" t="s">
        <v>1735</v>
      </c>
      <c r="C75" s="353"/>
      <c r="D75" s="353"/>
      <c r="H75" s="353" t="s">
        <v>4184</v>
      </c>
      <c r="I75" s="353"/>
      <c r="J75" s="353" t="s">
        <v>4985</v>
      </c>
      <c r="K75" s="353" t="s">
        <v>4784</v>
      </c>
      <c r="L75" s="353"/>
      <c r="M75" s="353"/>
      <c r="S75" s="353"/>
    </row>
    <row r="76" spans="1:19" x14ac:dyDescent="0.2">
      <c r="B76" s="353" t="s">
        <v>1736</v>
      </c>
      <c r="C76" s="353"/>
      <c r="D76" s="353" t="s">
        <v>539</v>
      </c>
      <c r="H76" s="353" t="s">
        <v>3518</v>
      </c>
      <c r="I76" s="353"/>
      <c r="J76" s="353" t="s">
        <v>2989</v>
      </c>
      <c r="K76" s="353" t="s">
        <v>4785</v>
      </c>
      <c r="L76" s="353"/>
      <c r="M76" s="353"/>
      <c r="S76" s="353"/>
    </row>
    <row r="77" spans="1:19" x14ac:dyDescent="0.2">
      <c r="B77" s="353" t="s">
        <v>536</v>
      </c>
      <c r="C77" s="353"/>
      <c r="D77" s="353" t="s">
        <v>540</v>
      </c>
      <c r="H77" s="353" t="s">
        <v>3519</v>
      </c>
      <c r="I77" s="353"/>
      <c r="J77" s="353" t="s">
        <v>1160</v>
      </c>
      <c r="K77" s="353" t="s">
        <v>163</v>
      </c>
      <c r="L77" s="353"/>
      <c r="M77" s="353"/>
      <c r="S77" s="353"/>
    </row>
    <row r="78" spans="1:19" x14ac:dyDescent="0.2">
      <c r="B78" s="353" t="s">
        <v>46</v>
      </c>
      <c r="C78" s="353"/>
      <c r="D78" s="353" t="s">
        <v>1281</v>
      </c>
      <c r="H78" s="353" t="s">
        <v>3522</v>
      </c>
      <c r="I78" s="353"/>
      <c r="J78" s="353" t="s">
        <v>2572</v>
      </c>
      <c r="K78" s="353" t="s">
        <v>164</v>
      </c>
      <c r="L78" s="353"/>
      <c r="M78" s="353"/>
      <c r="S78" s="353"/>
    </row>
    <row r="79" spans="1:19" x14ac:dyDescent="0.2">
      <c r="B79" s="353" t="s">
        <v>537</v>
      </c>
      <c r="C79" s="353"/>
      <c r="D79" s="353" t="s">
        <v>541</v>
      </c>
      <c r="H79" s="353" t="s">
        <v>4786</v>
      </c>
      <c r="I79" s="353"/>
      <c r="J79" s="353" t="s">
        <v>3520</v>
      </c>
      <c r="K79" s="353" t="s">
        <v>165</v>
      </c>
      <c r="L79" s="353"/>
      <c r="M79" s="353"/>
      <c r="S79" s="353"/>
    </row>
    <row r="80" spans="1:19" x14ac:dyDescent="0.2">
      <c r="B80" s="353" t="s">
        <v>538</v>
      </c>
      <c r="C80" s="353"/>
      <c r="D80" s="353" t="s">
        <v>4396</v>
      </c>
      <c r="H80" s="353" t="s">
        <v>4787</v>
      </c>
      <c r="I80" s="353"/>
      <c r="J80" s="353" t="s">
        <v>3521</v>
      </c>
      <c r="K80" s="353" t="s">
        <v>1637</v>
      </c>
      <c r="L80" s="353"/>
      <c r="M80" s="353"/>
      <c r="S80" s="353"/>
    </row>
    <row r="81" spans="2:19" x14ac:dyDescent="0.2">
      <c r="B81" s="353" t="s">
        <v>4397</v>
      </c>
      <c r="C81" s="353"/>
      <c r="D81" s="353"/>
      <c r="S81" s="353"/>
    </row>
    <row r="82" spans="2:19" x14ac:dyDescent="0.2">
      <c r="B82" s="353" t="s">
        <v>4398</v>
      </c>
      <c r="C82" s="353"/>
      <c r="D82" s="353" t="s">
        <v>4399</v>
      </c>
      <c r="S82" s="353"/>
    </row>
    <row r="83" spans="2:19" x14ac:dyDescent="0.2">
      <c r="B83" s="353" t="s">
        <v>4400</v>
      </c>
      <c r="C83" s="353"/>
      <c r="D83" s="353" t="s">
        <v>4401</v>
      </c>
      <c r="S83" s="353"/>
    </row>
    <row r="84" spans="2:19" x14ac:dyDescent="0.2">
      <c r="B84" s="353" t="s">
        <v>4402</v>
      </c>
      <c r="C84" s="353"/>
      <c r="D84" s="353" t="s">
        <v>1283</v>
      </c>
      <c r="S84" s="353"/>
    </row>
    <row r="85" spans="2:19" x14ac:dyDescent="0.2">
      <c r="B85" s="353" t="s">
        <v>4403</v>
      </c>
      <c r="C85" s="353"/>
      <c r="D85" s="353"/>
      <c r="S85" s="353"/>
    </row>
    <row r="86" spans="2:19" x14ac:dyDescent="0.2">
      <c r="B86" s="353" t="s">
        <v>4404</v>
      </c>
      <c r="C86" s="353"/>
      <c r="D86" s="353" t="s">
        <v>1662</v>
      </c>
      <c r="S86" s="353"/>
    </row>
    <row r="87" spans="2:19" x14ac:dyDescent="0.2">
      <c r="B87" s="353" t="s">
        <v>4405</v>
      </c>
      <c r="C87" s="353"/>
      <c r="D87" s="353" t="s">
        <v>2571</v>
      </c>
      <c r="S87" s="353"/>
    </row>
    <row r="88" spans="2:19" x14ac:dyDescent="0.2">
      <c r="B88" s="353" t="s">
        <v>856</v>
      </c>
      <c r="C88" s="353"/>
      <c r="D88" s="353" t="s">
        <v>1663</v>
      </c>
      <c r="S88" s="353"/>
    </row>
    <row r="89" spans="2:19" x14ac:dyDescent="0.2">
      <c r="B89" s="353" t="s">
        <v>1664</v>
      </c>
      <c r="C89" s="353"/>
      <c r="D89" s="353" t="s">
        <v>2246</v>
      </c>
      <c r="S89" s="353"/>
    </row>
    <row r="90" spans="2:19" x14ac:dyDescent="0.2">
      <c r="B90" s="353" t="s">
        <v>1426</v>
      </c>
      <c r="C90" s="353"/>
      <c r="D90" s="353" t="s">
        <v>1281</v>
      </c>
      <c r="S90" s="353"/>
    </row>
    <row r="91" spans="2:19" x14ac:dyDescent="0.2">
      <c r="B91" s="353" t="s">
        <v>1558</v>
      </c>
      <c r="C91" s="353"/>
      <c r="D91" s="353" t="s">
        <v>2054</v>
      </c>
      <c r="S91" s="353"/>
    </row>
    <row r="92" spans="2:19" x14ac:dyDescent="0.2">
      <c r="B92" s="353" t="s">
        <v>2053</v>
      </c>
      <c r="C92" s="353"/>
      <c r="D92" s="353" t="s">
        <v>2055</v>
      </c>
      <c r="S92" s="353"/>
    </row>
    <row r="93" spans="2:19" x14ac:dyDescent="0.2">
      <c r="B93" s="353" t="s">
        <v>1559</v>
      </c>
      <c r="C93" s="353"/>
      <c r="D93" s="353" t="s">
        <v>2056</v>
      </c>
      <c r="S93" s="353"/>
    </row>
    <row r="94" spans="2:19" x14ac:dyDescent="0.2">
      <c r="B94" s="353" t="s">
        <v>1065</v>
      </c>
      <c r="C94" s="353"/>
      <c r="D94" s="353" t="s">
        <v>2072</v>
      </c>
      <c r="S94" s="353"/>
    </row>
    <row r="95" spans="2:19" x14ac:dyDescent="0.2">
      <c r="B95" s="353"/>
      <c r="C95" s="353"/>
      <c r="D95" s="353"/>
      <c r="S95" s="353"/>
    </row>
    <row r="96" spans="2:19" x14ac:dyDescent="0.2">
      <c r="B96" s="353"/>
      <c r="C96" s="353"/>
      <c r="D96" s="353"/>
      <c r="S96" s="353"/>
    </row>
    <row r="97" spans="2:19" x14ac:dyDescent="0.2">
      <c r="B97" s="353"/>
      <c r="C97" s="353"/>
      <c r="D97" s="353"/>
      <c r="S97" s="353"/>
    </row>
    <row r="98" spans="2:19" x14ac:dyDescent="0.2">
      <c r="B98" s="353" t="s">
        <v>45</v>
      </c>
      <c r="C98" s="353"/>
      <c r="D98" s="353"/>
      <c r="S98" s="353"/>
    </row>
    <row r="99" spans="2:19" x14ac:dyDescent="0.2">
      <c r="B99" s="353" t="s">
        <v>2073</v>
      </c>
      <c r="C99" s="353"/>
      <c r="D99" s="353" t="s">
        <v>4141</v>
      </c>
      <c r="S99" s="353"/>
    </row>
    <row r="100" spans="2:19" x14ac:dyDescent="0.2">
      <c r="B100" s="353" t="s">
        <v>2074</v>
      </c>
      <c r="C100" s="353"/>
      <c r="D100" s="353" t="s">
        <v>4142</v>
      </c>
      <c r="S100" s="353"/>
    </row>
    <row r="101" spans="2:19" x14ac:dyDescent="0.2">
      <c r="B101" s="353" t="s">
        <v>2075</v>
      </c>
      <c r="C101" s="353"/>
      <c r="D101" s="353" t="s">
        <v>4143</v>
      </c>
      <c r="S101" s="353"/>
    </row>
    <row r="102" spans="2:19" x14ac:dyDescent="0.2">
      <c r="B102" s="353" t="s">
        <v>3119</v>
      </c>
      <c r="C102" s="353"/>
      <c r="D102" s="353" t="s">
        <v>4144</v>
      </c>
      <c r="S102" s="353"/>
    </row>
    <row r="103" spans="2:19" x14ac:dyDescent="0.2">
      <c r="B103" s="353" t="s">
        <v>3120</v>
      </c>
      <c r="C103" s="353"/>
      <c r="D103" s="353" t="s">
        <v>1281</v>
      </c>
      <c r="S103" s="353"/>
    </row>
    <row r="104" spans="2:19" x14ac:dyDescent="0.2">
      <c r="B104" s="353" t="s">
        <v>1735</v>
      </c>
      <c r="C104" s="353"/>
      <c r="D104" s="353"/>
      <c r="S104" s="353"/>
    </row>
    <row r="105" spans="2:19" x14ac:dyDescent="0.2">
      <c r="B105" s="353" t="s">
        <v>3121</v>
      </c>
      <c r="C105" s="353"/>
      <c r="D105" s="353" t="s">
        <v>4145</v>
      </c>
      <c r="S105" s="353"/>
    </row>
    <row r="106" spans="2:19" x14ac:dyDescent="0.2">
      <c r="B106" s="353" t="s">
        <v>1021</v>
      </c>
      <c r="C106" s="353"/>
      <c r="D106" s="353" t="s">
        <v>1283</v>
      </c>
      <c r="S106" s="353"/>
    </row>
    <row r="107" spans="2:19" x14ac:dyDescent="0.2">
      <c r="B107" s="353" t="s">
        <v>4139</v>
      </c>
      <c r="C107" s="353"/>
      <c r="D107" s="353" t="s">
        <v>4141</v>
      </c>
      <c r="S107" s="353"/>
    </row>
    <row r="108" spans="2:19" x14ac:dyDescent="0.2">
      <c r="B108" s="164" t="s">
        <v>7817</v>
      </c>
      <c r="C108" s="353"/>
      <c r="D108" s="353" t="s">
        <v>4146</v>
      </c>
      <c r="S108" s="353"/>
    </row>
    <row r="109" spans="2:19" x14ac:dyDescent="0.2">
      <c r="B109" s="353" t="s">
        <v>4140</v>
      </c>
      <c r="C109" s="353"/>
      <c r="D109" s="353" t="s">
        <v>1281</v>
      </c>
      <c r="S109" s="353"/>
    </row>
    <row r="110" spans="2:19" x14ac:dyDescent="0.2">
      <c r="B110" s="353" t="s">
        <v>4136</v>
      </c>
      <c r="C110" s="353"/>
      <c r="D110" s="353" t="s">
        <v>1281</v>
      </c>
      <c r="S110" s="353"/>
    </row>
    <row r="111" spans="2:19" x14ac:dyDescent="0.2">
      <c r="B111" s="353" t="s">
        <v>4137</v>
      </c>
      <c r="C111" s="353"/>
      <c r="D111" s="353" t="s">
        <v>4396</v>
      </c>
      <c r="S111" s="353"/>
    </row>
    <row r="112" spans="2:19" x14ac:dyDescent="0.2">
      <c r="B112" s="353" t="s">
        <v>4138</v>
      </c>
      <c r="C112" s="353"/>
      <c r="D112" s="353" t="s">
        <v>4396</v>
      </c>
      <c r="S112" s="353"/>
    </row>
    <row r="113" spans="2:19" x14ac:dyDescent="0.2">
      <c r="B113" s="353" t="s">
        <v>4397</v>
      </c>
      <c r="C113" s="353"/>
      <c r="D113" s="353"/>
      <c r="S113" s="353"/>
    </row>
    <row r="114" spans="2:19" x14ac:dyDescent="0.2">
      <c r="B114" s="353" t="s">
        <v>4147</v>
      </c>
      <c r="C114" s="353"/>
      <c r="D114" s="353" t="s">
        <v>4145</v>
      </c>
      <c r="S114" s="353"/>
    </row>
    <row r="115" spans="2:19" x14ac:dyDescent="0.2">
      <c r="B115" s="353" t="s">
        <v>4148</v>
      </c>
      <c r="C115" s="353"/>
      <c r="D115" s="353" t="s">
        <v>4141</v>
      </c>
      <c r="S115" s="353"/>
    </row>
    <row r="116" spans="2:19" x14ac:dyDescent="0.2">
      <c r="B116" s="353" t="s">
        <v>3534</v>
      </c>
      <c r="C116" s="353"/>
      <c r="D116" s="353" t="s">
        <v>2340</v>
      </c>
      <c r="S116" s="353"/>
    </row>
    <row r="117" spans="2:19" x14ac:dyDescent="0.2">
      <c r="B117" s="353" t="s">
        <v>3535</v>
      </c>
      <c r="C117" s="353"/>
      <c r="D117" s="353"/>
      <c r="S117" s="353"/>
    </row>
    <row r="118" spans="2:19" x14ac:dyDescent="0.2">
      <c r="B118" s="353" t="s">
        <v>3536</v>
      </c>
      <c r="C118" s="353"/>
      <c r="D118" s="353" t="s">
        <v>43</v>
      </c>
      <c r="S118" s="353"/>
    </row>
    <row r="119" spans="2:19" x14ac:dyDescent="0.2">
      <c r="B119" s="353" t="s">
        <v>42</v>
      </c>
      <c r="C119" s="353"/>
      <c r="D119" s="353" t="s">
        <v>44</v>
      </c>
      <c r="S119" s="353"/>
    </row>
    <row r="120" spans="2:19" x14ac:dyDescent="0.2">
      <c r="S120" s="353"/>
    </row>
    <row r="121" spans="2:19" x14ac:dyDescent="0.2">
      <c r="S121" s="353"/>
    </row>
    <row r="122" spans="2:19" x14ac:dyDescent="0.2">
      <c r="S122" s="353"/>
    </row>
    <row r="123" spans="2:19" x14ac:dyDescent="0.2">
      <c r="S123" s="353"/>
    </row>
    <row r="124" spans="2:19" x14ac:dyDescent="0.2">
      <c r="S124" s="353"/>
    </row>
    <row r="125" spans="2:19" x14ac:dyDescent="0.2">
      <c r="S125" s="353"/>
    </row>
    <row r="126" spans="2:19" x14ac:dyDescent="0.2">
      <c r="S126" s="353"/>
    </row>
    <row r="127" spans="2:19" x14ac:dyDescent="0.2">
      <c r="S127" s="353"/>
    </row>
    <row r="128" spans="2:19" x14ac:dyDescent="0.2">
      <c r="S128" s="353"/>
    </row>
    <row r="129" spans="19:19" x14ac:dyDescent="0.2">
      <c r="S129" s="353"/>
    </row>
    <row r="130" spans="19:19" x14ac:dyDescent="0.2">
      <c r="S130" s="353"/>
    </row>
    <row r="131" spans="19:19" x14ac:dyDescent="0.2">
      <c r="S131" s="353"/>
    </row>
    <row r="132" spans="19:19" x14ac:dyDescent="0.2">
      <c r="S132" s="353"/>
    </row>
    <row r="133" spans="19:19" x14ac:dyDescent="0.2">
      <c r="S133" s="353"/>
    </row>
    <row r="134" spans="19:19" x14ac:dyDescent="0.2">
      <c r="S134" s="353"/>
    </row>
    <row r="135" spans="19:19" x14ac:dyDescent="0.2">
      <c r="S135" s="353"/>
    </row>
    <row r="136" spans="19:19" x14ac:dyDescent="0.2">
      <c r="S136" s="353"/>
    </row>
    <row r="137" spans="19:19" x14ac:dyDescent="0.2">
      <c r="S137" s="353"/>
    </row>
    <row r="138" spans="19:19" x14ac:dyDescent="0.2">
      <c r="S138" s="353"/>
    </row>
    <row r="139" spans="19:19" x14ac:dyDescent="0.2">
      <c r="S139" s="353"/>
    </row>
    <row r="140" spans="19:19" x14ac:dyDescent="0.2">
      <c r="S140" s="353"/>
    </row>
    <row r="141" spans="19:19" x14ac:dyDescent="0.2">
      <c r="S141" s="353"/>
    </row>
    <row r="142" spans="19:19" x14ac:dyDescent="0.2">
      <c r="S142" s="353"/>
    </row>
    <row r="143" spans="19:19" x14ac:dyDescent="0.2">
      <c r="S143" s="353"/>
    </row>
    <row r="144" spans="19:19" x14ac:dyDescent="0.2">
      <c r="S144" s="353"/>
    </row>
    <row r="145" spans="19:19" x14ac:dyDescent="0.2">
      <c r="S145" s="353"/>
    </row>
    <row r="146" spans="19:19" x14ac:dyDescent="0.2">
      <c r="S146" s="353"/>
    </row>
    <row r="147" spans="19:19" x14ac:dyDescent="0.2">
      <c r="S147" s="353"/>
    </row>
    <row r="148" spans="19:19" x14ac:dyDescent="0.2">
      <c r="S148" s="353"/>
    </row>
    <row r="149" spans="19:19" x14ac:dyDescent="0.2">
      <c r="S149" s="353"/>
    </row>
    <row r="150" spans="19:19" x14ac:dyDescent="0.2">
      <c r="S150" s="353"/>
    </row>
    <row r="151" spans="19:19" x14ac:dyDescent="0.2">
      <c r="S151" s="353"/>
    </row>
    <row r="152" spans="19:19" x14ac:dyDescent="0.2">
      <c r="S152" s="353"/>
    </row>
    <row r="153" spans="19:19" x14ac:dyDescent="0.2">
      <c r="S153" s="353"/>
    </row>
    <row r="154" spans="19:19" x14ac:dyDescent="0.2">
      <c r="S154" s="353"/>
    </row>
    <row r="155" spans="19:19" x14ac:dyDescent="0.2">
      <c r="S155" s="353"/>
    </row>
    <row r="156" spans="19:19" x14ac:dyDescent="0.2">
      <c r="S156" s="353"/>
    </row>
    <row r="157" spans="19:19" x14ac:dyDescent="0.2">
      <c r="S157" s="353"/>
    </row>
    <row r="158" spans="19:19" x14ac:dyDescent="0.2">
      <c r="S158" s="353"/>
    </row>
    <row r="159" spans="19:19" x14ac:dyDescent="0.2">
      <c r="S159" s="353"/>
    </row>
    <row r="160" spans="19:19" x14ac:dyDescent="0.2">
      <c r="S160" s="353"/>
    </row>
    <row r="161" spans="19:19" x14ac:dyDescent="0.2">
      <c r="S161" s="353"/>
    </row>
    <row r="162" spans="19:19" x14ac:dyDescent="0.2">
      <c r="S162" s="353"/>
    </row>
    <row r="163" spans="19:19" x14ac:dyDescent="0.2">
      <c r="S163" s="353"/>
    </row>
    <row r="164" spans="19:19" x14ac:dyDescent="0.2">
      <c r="S164" s="353"/>
    </row>
    <row r="165" spans="19:19" x14ac:dyDescent="0.2">
      <c r="S165" s="353"/>
    </row>
    <row r="166" spans="19:19" x14ac:dyDescent="0.2">
      <c r="S166" s="353"/>
    </row>
    <row r="167" spans="19:19" x14ac:dyDescent="0.2">
      <c r="S167" s="353"/>
    </row>
    <row r="168" spans="19:19" x14ac:dyDescent="0.2">
      <c r="S168" s="353"/>
    </row>
    <row r="169" spans="19:19" x14ac:dyDescent="0.2">
      <c r="S169" s="353"/>
    </row>
    <row r="170" spans="19:19" x14ac:dyDescent="0.2">
      <c r="S170" s="353"/>
    </row>
    <row r="171" spans="19:19" x14ac:dyDescent="0.2">
      <c r="S171" s="353"/>
    </row>
    <row r="172" spans="19:19" x14ac:dyDescent="0.2">
      <c r="S172" s="353"/>
    </row>
    <row r="173" spans="19:19" x14ac:dyDescent="0.2">
      <c r="S173" s="353"/>
    </row>
    <row r="174" spans="19:19" x14ac:dyDescent="0.2">
      <c r="S174" s="353"/>
    </row>
    <row r="175" spans="19:19" x14ac:dyDescent="0.2">
      <c r="S175" s="353"/>
    </row>
    <row r="176" spans="19:19" x14ac:dyDescent="0.2">
      <c r="S176" s="353"/>
    </row>
    <row r="177" spans="19:19" x14ac:dyDescent="0.2">
      <c r="S177" s="353"/>
    </row>
    <row r="178" spans="19:19" x14ac:dyDescent="0.2">
      <c r="S178" s="353"/>
    </row>
    <row r="179" spans="19:19" x14ac:dyDescent="0.2">
      <c r="S179" s="353"/>
    </row>
    <row r="180" spans="19:19" x14ac:dyDescent="0.2">
      <c r="S180" s="353"/>
    </row>
    <row r="181" spans="19:19" x14ac:dyDescent="0.2">
      <c r="S181" s="353"/>
    </row>
    <row r="182" spans="19:19" x14ac:dyDescent="0.2">
      <c r="S182" s="353"/>
    </row>
  </sheetData>
  <mergeCells count="3">
    <mergeCell ref="Q20:Q26"/>
    <mergeCell ref="B30:E32"/>
    <mergeCell ref="B26:E29"/>
  </mergeCells>
  <phoneticPr fontId="3" type="noConversion"/>
  <pageMargins left="0.31496062992125984" right="0.31496062992125984" top="0.59055118110236227" bottom="0.39370078740157483" header="0.51181102362204722" footer="0.51181102362204722"/>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7173" r:id="rId4" name="Seitenzahlen Liber Liturgium">
              <controlPr defaultSize="0" autoFill="0" autoLine="0" autoPict="0">
                <anchor moveWithCells="1">
                  <from>
                    <xdr:col>16</xdr:col>
                    <xdr:colOff>190500</xdr:colOff>
                    <xdr:row>3</xdr:row>
                    <xdr:rowOff>38100</xdr:rowOff>
                  </from>
                  <to>
                    <xdr:col>16</xdr:col>
                    <xdr:colOff>1895475</xdr:colOff>
                    <xdr:row>4</xdr:row>
                    <xdr:rowOff>66675</xdr:rowOff>
                  </to>
                </anchor>
              </controlPr>
            </control>
          </mc:Choice>
        </mc:AlternateContent>
        <mc:AlternateContent xmlns:mc="http://schemas.openxmlformats.org/markup-compatibility/2006">
          <mc:Choice Requires="x14">
            <control shapeId="227174" r:id="rId5" name="Option_WDG">
              <controlPr defaultSize="0" autoFill="0" autoLine="0" autoPict="0">
                <anchor moveWithCells="1">
                  <from>
                    <xdr:col>16</xdr:col>
                    <xdr:colOff>190500</xdr:colOff>
                    <xdr:row>4</xdr:row>
                    <xdr:rowOff>76200</xdr:rowOff>
                  </from>
                  <to>
                    <xdr:col>16</xdr:col>
                    <xdr:colOff>1981200</xdr:colOff>
                    <xdr:row>5</xdr:row>
                    <xdr:rowOff>104775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4"/>
  </sheetPr>
  <dimension ref="A1:I43"/>
  <sheetViews>
    <sheetView showGridLines="0" zoomScaleNormal="100" zoomScaleSheetLayoutView="100" workbookViewId="0">
      <selection activeCell="P22" sqref="P22"/>
    </sheetView>
  </sheetViews>
  <sheetFormatPr baseColWidth="10" defaultColWidth="11.42578125" defaultRowHeight="12.75" x14ac:dyDescent="0.2"/>
  <cols>
    <col min="1" max="1" width="26" customWidth="1"/>
    <col min="2" max="2" width="7.140625" customWidth="1"/>
    <col min="3" max="3" width="17.85546875" customWidth="1"/>
    <col min="4" max="4" width="1.42578125" customWidth="1"/>
    <col min="5" max="5" width="22.85546875" customWidth="1"/>
    <col min="6" max="6" width="7.140625" customWidth="1"/>
    <col min="7" max="7" width="5.7109375" customWidth="1"/>
    <col min="8" max="8" width="5" customWidth="1"/>
    <col min="9" max="9" width="7.140625" customWidth="1"/>
  </cols>
  <sheetData>
    <row r="1" spans="1:9" ht="33.75" customHeight="1" thickBot="1" x14ac:dyDescent="0.25"/>
    <row r="2" spans="1:9" ht="12.75" customHeight="1" thickTop="1" x14ac:dyDescent="0.25">
      <c r="A2" s="951" t="s">
        <v>738</v>
      </c>
      <c r="B2" s="182" t="s">
        <v>4525</v>
      </c>
      <c r="C2" s="182" t="s">
        <v>739</v>
      </c>
      <c r="D2" s="2539" t="s">
        <v>786</v>
      </c>
      <c r="E2" s="2540"/>
      <c r="F2" s="2540"/>
      <c r="G2" s="2540"/>
      <c r="H2" s="2540"/>
      <c r="I2" s="2541"/>
    </row>
    <row r="3" spans="1:9" ht="12.75" customHeight="1" x14ac:dyDescent="0.2">
      <c r="A3" s="468"/>
      <c r="B3" s="471"/>
      <c r="C3" s="472"/>
      <c r="D3" s="2537"/>
      <c r="E3" s="2359"/>
      <c r="F3" s="2359"/>
      <c r="G3" s="2359"/>
      <c r="H3" s="2359"/>
      <c r="I3" s="2538"/>
    </row>
    <row r="4" spans="1:9" ht="12.75" customHeight="1" x14ac:dyDescent="0.2">
      <c r="A4" s="468"/>
      <c r="B4" s="471"/>
      <c r="C4" s="472"/>
      <c r="D4" s="2537"/>
      <c r="E4" s="2359"/>
      <c r="F4" s="2359"/>
      <c r="G4" s="2359"/>
      <c r="H4" s="2359"/>
      <c r="I4" s="2538"/>
    </row>
    <row r="5" spans="1:9" ht="12.75" customHeight="1" x14ac:dyDescent="0.2">
      <c r="A5" s="468"/>
      <c r="B5" s="471"/>
      <c r="C5" s="472"/>
      <c r="D5" s="2537"/>
      <c r="E5" s="2359"/>
      <c r="F5" s="2359"/>
      <c r="G5" s="2359"/>
      <c r="H5" s="2359"/>
      <c r="I5" s="2538"/>
    </row>
    <row r="6" spans="1:9" ht="12.75" customHeight="1" x14ac:dyDescent="0.2">
      <c r="A6" s="468"/>
      <c r="B6" s="471"/>
      <c r="C6" s="472"/>
      <c r="D6" s="2537"/>
      <c r="E6" s="2359"/>
      <c r="F6" s="2359"/>
      <c r="G6" s="2359"/>
      <c r="H6" s="2359"/>
      <c r="I6" s="2538"/>
    </row>
    <row r="7" spans="1:9" ht="12.75" customHeight="1" x14ac:dyDescent="0.2">
      <c r="A7" s="468"/>
      <c r="B7" s="471"/>
      <c r="C7" s="472"/>
      <c r="D7" s="2537"/>
      <c r="E7" s="2359"/>
      <c r="F7" s="2359"/>
      <c r="G7" s="2359"/>
      <c r="H7" s="2359"/>
      <c r="I7" s="2538"/>
    </row>
    <row r="8" spans="1:9" ht="12.75" customHeight="1" x14ac:dyDescent="0.2">
      <c r="A8" s="468"/>
      <c r="B8" s="471"/>
      <c r="C8" s="472"/>
      <c r="D8" s="2537"/>
      <c r="E8" s="2359"/>
      <c r="F8" s="2359"/>
      <c r="G8" s="2359"/>
      <c r="H8" s="2359"/>
      <c r="I8" s="2538"/>
    </row>
    <row r="9" spans="1:9" ht="12.75" customHeight="1" x14ac:dyDescent="0.2">
      <c r="A9" s="468"/>
      <c r="B9" s="471"/>
      <c r="C9" s="472"/>
      <c r="D9" s="2537"/>
      <c r="E9" s="2359"/>
      <c r="F9" s="2359"/>
      <c r="G9" s="2359"/>
      <c r="H9" s="2359"/>
      <c r="I9" s="2538"/>
    </row>
    <row r="10" spans="1:9" ht="12.75" customHeight="1" x14ac:dyDescent="0.2">
      <c r="A10" s="468"/>
      <c r="B10" s="471"/>
      <c r="C10" s="472"/>
      <c r="D10" s="2537"/>
      <c r="E10" s="2359"/>
      <c r="F10" s="2359"/>
      <c r="G10" s="2359"/>
      <c r="H10" s="2359"/>
      <c r="I10" s="2538"/>
    </row>
    <row r="11" spans="1:9" ht="12.75" customHeight="1" x14ac:dyDescent="0.2">
      <c r="A11" s="468"/>
      <c r="B11" s="471"/>
      <c r="C11" s="472"/>
      <c r="D11" s="2537"/>
      <c r="E11" s="2359"/>
      <c r="F11" s="2359"/>
      <c r="G11" s="2359"/>
      <c r="H11" s="2359"/>
      <c r="I11" s="2538"/>
    </row>
    <row r="12" spans="1:9" ht="12.75" customHeight="1" thickBot="1" x14ac:dyDescent="0.25">
      <c r="A12" s="470"/>
      <c r="B12" s="473"/>
      <c r="C12" s="474"/>
      <c r="D12" s="2542"/>
      <c r="E12" s="2377"/>
      <c r="F12" s="2377"/>
      <c r="G12" s="2377"/>
      <c r="H12" s="2377"/>
      <c r="I12" s="2378"/>
    </row>
    <row r="13" spans="1:9" ht="12.75" customHeight="1" thickTop="1" thickBot="1" x14ac:dyDescent="0.25"/>
    <row r="14" spans="1:9" ht="12.75" customHeight="1" thickTop="1" x14ac:dyDescent="0.25">
      <c r="A14" s="950" t="s">
        <v>740</v>
      </c>
      <c r="B14" s="2539" t="s">
        <v>786</v>
      </c>
      <c r="C14" s="2540"/>
      <c r="D14" s="2540"/>
      <c r="E14" s="2540"/>
      <c r="F14" s="2540"/>
      <c r="G14" s="2543"/>
      <c r="H14" s="2539" t="s">
        <v>2232</v>
      </c>
      <c r="I14" s="2541"/>
    </row>
    <row r="15" spans="1:9" ht="12.75" customHeight="1" x14ac:dyDescent="0.2">
      <c r="A15" s="468"/>
      <c r="B15" s="2537"/>
      <c r="C15" s="2359"/>
      <c r="D15" s="2359"/>
      <c r="E15" s="2359"/>
      <c r="F15" s="2359"/>
      <c r="G15" s="2360"/>
      <c r="H15" s="2537"/>
      <c r="I15" s="2538"/>
    </row>
    <row r="16" spans="1:9" ht="12.75" customHeight="1" x14ac:dyDescent="0.2">
      <c r="A16" s="468"/>
      <c r="B16" s="2537"/>
      <c r="C16" s="2359"/>
      <c r="D16" s="2359"/>
      <c r="E16" s="2359"/>
      <c r="F16" s="2359"/>
      <c r="G16" s="2360"/>
      <c r="H16" s="2537"/>
      <c r="I16" s="2538"/>
    </row>
    <row r="17" spans="1:9" ht="12.75" customHeight="1" x14ac:dyDescent="0.2">
      <c r="A17" s="468"/>
      <c r="B17" s="2537"/>
      <c r="C17" s="2359"/>
      <c r="D17" s="2359"/>
      <c r="E17" s="2359"/>
      <c r="F17" s="2359"/>
      <c r="G17" s="2360"/>
      <c r="H17" s="2537"/>
      <c r="I17" s="2538"/>
    </row>
    <row r="18" spans="1:9" ht="12.75" customHeight="1" x14ac:dyDescent="0.2">
      <c r="A18" s="468"/>
      <c r="B18" s="2537"/>
      <c r="C18" s="2359"/>
      <c r="D18" s="2359"/>
      <c r="E18" s="2359"/>
      <c r="F18" s="2359"/>
      <c r="G18" s="2360"/>
      <c r="H18" s="2537"/>
      <c r="I18" s="2538"/>
    </row>
    <row r="19" spans="1:9" ht="12.75" customHeight="1" x14ac:dyDescent="0.2">
      <c r="A19" s="468"/>
      <c r="B19" s="2537"/>
      <c r="C19" s="2359"/>
      <c r="D19" s="2359"/>
      <c r="E19" s="2359"/>
      <c r="F19" s="2359"/>
      <c r="G19" s="2360"/>
      <c r="H19" s="2537"/>
      <c r="I19" s="2538"/>
    </row>
    <row r="20" spans="1:9" ht="12.75" customHeight="1" x14ac:dyDescent="0.2">
      <c r="A20" s="468"/>
      <c r="B20" s="2537"/>
      <c r="C20" s="2359"/>
      <c r="D20" s="2359"/>
      <c r="E20" s="2359"/>
      <c r="F20" s="2359"/>
      <c r="G20" s="2360"/>
      <c r="H20" s="2537"/>
      <c r="I20" s="2538"/>
    </row>
    <row r="21" spans="1:9" ht="12.75" customHeight="1" x14ac:dyDescent="0.2">
      <c r="A21" s="468"/>
      <c r="B21" s="2537"/>
      <c r="C21" s="2359"/>
      <c r="D21" s="2359"/>
      <c r="E21" s="2359"/>
      <c r="F21" s="2359"/>
      <c r="G21" s="2360"/>
      <c r="H21" s="2537"/>
      <c r="I21" s="2538"/>
    </row>
    <row r="22" spans="1:9" ht="12.75" customHeight="1" thickBot="1" x14ac:dyDescent="0.25">
      <c r="A22" s="470"/>
      <c r="B22" s="2542"/>
      <c r="C22" s="2377"/>
      <c r="D22" s="2377"/>
      <c r="E22" s="2377"/>
      <c r="F22" s="2377"/>
      <c r="G22" s="2392"/>
      <c r="H22" s="2542"/>
      <c r="I22" s="2378"/>
    </row>
    <row r="23" spans="1:9" ht="12.75" customHeight="1" thickTop="1" thickBot="1" x14ac:dyDescent="0.25"/>
    <row r="24" spans="1:9" ht="12.75" customHeight="1" thickTop="1" x14ac:dyDescent="0.25">
      <c r="A24" s="950" t="s">
        <v>1127</v>
      </c>
      <c r="B24" s="2539" t="s">
        <v>786</v>
      </c>
      <c r="C24" s="2541"/>
      <c r="D24" s="181"/>
      <c r="E24" s="950" t="s">
        <v>1127</v>
      </c>
      <c r="F24" s="2539" t="s">
        <v>786</v>
      </c>
      <c r="G24" s="2540"/>
      <c r="H24" s="2540"/>
      <c r="I24" s="2541"/>
    </row>
    <row r="25" spans="1:9" ht="12.75" customHeight="1" x14ac:dyDescent="0.2">
      <c r="A25" s="468"/>
      <c r="B25" s="2537"/>
      <c r="C25" s="2538"/>
      <c r="D25" s="469"/>
      <c r="E25" s="468"/>
      <c r="F25" s="2537"/>
      <c r="G25" s="2359"/>
      <c r="H25" s="2359"/>
      <c r="I25" s="2538"/>
    </row>
    <row r="26" spans="1:9" ht="12.75" customHeight="1" x14ac:dyDescent="0.2">
      <c r="A26" s="468"/>
      <c r="B26" s="2537"/>
      <c r="C26" s="2538"/>
      <c r="D26" s="469"/>
      <c r="E26" s="468"/>
      <c r="F26" s="2537"/>
      <c r="G26" s="2359"/>
      <c r="H26" s="2359"/>
      <c r="I26" s="2538"/>
    </row>
    <row r="27" spans="1:9" ht="12.75" customHeight="1" x14ac:dyDescent="0.2">
      <c r="A27" s="468"/>
      <c r="B27" s="2537"/>
      <c r="C27" s="2538"/>
      <c r="D27" s="469"/>
      <c r="E27" s="468"/>
      <c r="F27" s="2537"/>
      <c r="G27" s="2359"/>
      <c r="H27" s="2359"/>
      <c r="I27" s="2538"/>
    </row>
    <row r="28" spans="1:9" ht="12.75" customHeight="1" x14ac:dyDescent="0.2">
      <c r="A28" s="468"/>
      <c r="B28" s="2537"/>
      <c r="C28" s="2538"/>
      <c r="D28" s="469"/>
      <c r="E28" s="468"/>
      <c r="F28" s="2537"/>
      <c r="G28" s="2359"/>
      <c r="H28" s="2359"/>
      <c r="I28" s="2538"/>
    </row>
    <row r="29" spans="1:9" ht="12.75" customHeight="1" x14ac:dyDescent="0.2">
      <c r="A29" s="468"/>
      <c r="B29" s="2537"/>
      <c r="C29" s="2538"/>
      <c r="D29" s="469"/>
      <c r="E29" s="468"/>
      <c r="F29" s="2537"/>
      <c r="G29" s="2359"/>
      <c r="H29" s="2359"/>
      <c r="I29" s="2538"/>
    </row>
    <row r="30" spans="1:9" ht="12.75" customHeight="1" x14ac:dyDescent="0.2">
      <c r="A30" s="468"/>
      <c r="B30" s="2537"/>
      <c r="C30" s="2538"/>
      <c r="D30" s="469"/>
      <c r="E30" s="468"/>
      <c r="F30" s="2537"/>
      <c r="G30" s="2359"/>
      <c r="H30" s="2359"/>
      <c r="I30" s="2538"/>
    </row>
    <row r="31" spans="1:9" ht="12.75" customHeight="1" x14ac:dyDescent="0.2">
      <c r="A31" s="468"/>
      <c r="B31" s="2537"/>
      <c r="C31" s="2538"/>
      <c r="D31" s="469"/>
      <c r="E31" s="468"/>
      <c r="F31" s="2537"/>
      <c r="G31" s="2359"/>
      <c r="H31" s="2359"/>
      <c r="I31" s="2538"/>
    </row>
    <row r="32" spans="1:9" ht="12.75" customHeight="1" x14ac:dyDescent="0.2">
      <c r="A32" s="468"/>
      <c r="B32" s="2537"/>
      <c r="C32" s="2538"/>
      <c r="D32" s="469"/>
      <c r="E32" s="468"/>
      <c r="F32" s="2537"/>
      <c r="G32" s="2359"/>
      <c r="H32" s="2359"/>
      <c r="I32" s="2538"/>
    </row>
    <row r="33" spans="1:9" ht="12.75" customHeight="1" thickBot="1" x14ac:dyDescent="0.25">
      <c r="A33" s="470"/>
      <c r="B33" s="2542"/>
      <c r="C33" s="2378"/>
      <c r="D33" s="469"/>
      <c r="E33" s="470"/>
      <c r="F33" s="2542"/>
      <c r="G33" s="2377"/>
      <c r="H33" s="2377"/>
      <c r="I33" s="2378"/>
    </row>
    <row r="34" spans="1:9" ht="12.75" customHeight="1" thickTop="1" thickBot="1" x14ac:dyDescent="0.25"/>
    <row r="35" spans="1:9" ht="12.75" customHeight="1" thickTop="1" x14ac:dyDescent="0.25">
      <c r="A35" s="950" t="s">
        <v>885</v>
      </c>
      <c r="B35" s="182" t="s">
        <v>4526</v>
      </c>
      <c r="C35" s="2539" t="s">
        <v>79</v>
      </c>
      <c r="D35" s="2540"/>
      <c r="E35" s="2540"/>
      <c r="F35" s="2543"/>
      <c r="G35" s="182" t="s">
        <v>4523</v>
      </c>
      <c r="H35" s="182" t="s">
        <v>4006</v>
      </c>
      <c r="I35" s="183" t="s">
        <v>4524</v>
      </c>
    </row>
    <row r="36" spans="1:9" ht="12.75" customHeight="1" x14ac:dyDescent="0.2">
      <c r="A36" s="454"/>
      <c r="B36" s="455" t="s">
        <v>599</v>
      </c>
      <c r="C36" s="2550"/>
      <c r="D36" s="2551"/>
      <c r="E36" s="2551"/>
      <c r="F36" s="2552"/>
      <c r="G36" s="456"/>
      <c r="H36" s="456"/>
      <c r="I36" s="457"/>
    </row>
    <row r="37" spans="1:9" ht="12.75" customHeight="1" x14ac:dyDescent="0.2">
      <c r="A37" s="454"/>
      <c r="B37" s="455" t="s">
        <v>600</v>
      </c>
      <c r="C37" s="2550"/>
      <c r="D37" s="2551"/>
      <c r="E37" s="2551"/>
      <c r="F37" s="2552"/>
      <c r="G37" s="456"/>
      <c r="H37" s="456"/>
      <c r="I37" s="458"/>
    </row>
    <row r="38" spans="1:9" ht="12.75" customHeight="1" x14ac:dyDescent="0.2">
      <c r="A38" s="454"/>
      <c r="B38" s="455" t="s">
        <v>598</v>
      </c>
      <c r="C38" s="2550"/>
      <c r="D38" s="2553"/>
      <c r="E38" s="2553"/>
      <c r="F38" s="2554"/>
      <c r="G38" s="456"/>
      <c r="H38" s="456"/>
      <c r="I38" s="458"/>
    </row>
    <row r="39" spans="1:9" ht="12.75" customHeight="1" x14ac:dyDescent="0.2">
      <c r="A39" s="454"/>
      <c r="B39" s="455" t="s">
        <v>601</v>
      </c>
      <c r="C39" s="2544"/>
      <c r="D39" s="2545"/>
      <c r="E39" s="2545"/>
      <c r="F39" s="2546"/>
      <c r="G39" s="456"/>
      <c r="H39" s="456"/>
      <c r="I39" s="458"/>
    </row>
    <row r="40" spans="1:9" ht="12.75" customHeight="1" thickBot="1" x14ac:dyDescent="0.25">
      <c r="A40" s="459"/>
      <c r="B40" s="460" t="s">
        <v>345</v>
      </c>
      <c r="C40" s="2547"/>
      <c r="D40" s="2548"/>
      <c r="E40" s="2548"/>
      <c r="F40" s="2549"/>
      <c r="G40" s="461"/>
      <c r="H40" s="461"/>
      <c r="I40" s="462"/>
    </row>
    <row r="41" spans="1:9" ht="12.75" customHeight="1" thickTop="1" x14ac:dyDescent="0.2"/>
    <row r="42" spans="1:9" ht="12.75" customHeight="1" x14ac:dyDescent="0.2"/>
    <row r="43" spans="1:9" ht="12.75" customHeight="1" x14ac:dyDescent="0.2"/>
  </sheetData>
  <sheetProtection selectLockedCells="1"/>
  <mergeCells count="55">
    <mergeCell ref="C39:F39"/>
    <mergeCell ref="C40:F40"/>
    <mergeCell ref="B20:G20"/>
    <mergeCell ref="B21:G21"/>
    <mergeCell ref="B22:G22"/>
    <mergeCell ref="C35:F35"/>
    <mergeCell ref="B24:C24"/>
    <mergeCell ref="F33:I33"/>
    <mergeCell ref="C36:F36"/>
    <mergeCell ref="C37:F37"/>
    <mergeCell ref="B27:C27"/>
    <mergeCell ref="C38:F38"/>
    <mergeCell ref="B32:C32"/>
    <mergeCell ref="B33:C33"/>
    <mergeCell ref="F25:I25"/>
    <mergeCell ref="F26:I26"/>
    <mergeCell ref="F27:I27"/>
    <mergeCell ref="F28:I28"/>
    <mergeCell ref="F29:I29"/>
    <mergeCell ref="F30:I30"/>
    <mergeCell ref="F31:I31"/>
    <mergeCell ref="F32:I32"/>
    <mergeCell ref="B28:C28"/>
    <mergeCell ref="B29:C29"/>
    <mergeCell ref="B30:C30"/>
    <mergeCell ref="B31:C31"/>
    <mergeCell ref="H18:I18"/>
    <mergeCell ref="D10:I10"/>
    <mergeCell ref="D11:I11"/>
    <mergeCell ref="D12:I12"/>
    <mergeCell ref="B14:G14"/>
    <mergeCell ref="B15:G15"/>
    <mergeCell ref="H14:I14"/>
    <mergeCell ref="D8:I8"/>
    <mergeCell ref="D9:I9"/>
    <mergeCell ref="B25:C25"/>
    <mergeCell ref="B26:C26"/>
    <mergeCell ref="B16:G16"/>
    <mergeCell ref="B17:G17"/>
    <mergeCell ref="B18:G18"/>
    <mergeCell ref="B19:G19"/>
    <mergeCell ref="F24:I24"/>
    <mergeCell ref="H19:I19"/>
    <mergeCell ref="H20:I20"/>
    <mergeCell ref="H21:I21"/>
    <mergeCell ref="H22:I22"/>
    <mergeCell ref="H15:I15"/>
    <mergeCell ref="H16:I16"/>
    <mergeCell ref="H17:I17"/>
    <mergeCell ref="D6:I6"/>
    <mergeCell ref="D7:I7"/>
    <mergeCell ref="D2:I2"/>
    <mergeCell ref="D3:I3"/>
    <mergeCell ref="D4:I4"/>
    <mergeCell ref="D5:I5"/>
  </mergeCells>
  <phoneticPr fontId="3" type="noConversion"/>
  <pageMargins left="0.39370078740157483" right="0.39370078740157483" top="0.39370078740157483" bottom="0.39370078740157483" header="0.51181102362204722" footer="0.51181102362204722"/>
  <pageSetup paperSize="9" scale="95" orientation="portrait"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44"/>
  </sheetPr>
  <dimension ref="A1:E41"/>
  <sheetViews>
    <sheetView zoomScaleNormal="100" workbookViewId="0">
      <selection activeCell="P22" sqref="P22"/>
    </sheetView>
  </sheetViews>
  <sheetFormatPr baseColWidth="10" defaultColWidth="8.85546875" defaultRowHeight="12.75" x14ac:dyDescent="0.2"/>
  <cols>
    <col min="1" max="1" width="0.85546875" customWidth="1"/>
    <col min="2" max="2" width="2.42578125" customWidth="1"/>
    <col min="3" max="3" width="62.85546875" customWidth="1"/>
    <col min="4" max="4" width="37.85546875" customWidth="1"/>
    <col min="5" max="5" width="0.85546875" customWidth="1"/>
    <col min="6" max="12" width="8.85546875" customWidth="1"/>
    <col min="13" max="13" width="1.7109375" customWidth="1"/>
  </cols>
  <sheetData>
    <row r="1" spans="1:5" ht="29.25" customHeight="1" thickBot="1" x14ac:dyDescent="0.25"/>
    <row r="2" spans="1:5" ht="14.25" thickTop="1" x14ac:dyDescent="0.25">
      <c r="A2" s="256"/>
      <c r="B2" s="264" t="s">
        <v>1291</v>
      </c>
      <c r="C2" s="257"/>
      <c r="D2" s="257"/>
      <c r="E2" s="258"/>
    </row>
    <row r="3" spans="1:5" ht="53.25" customHeight="1" x14ac:dyDescent="0.2">
      <c r="A3" s="259"/>
      <c r="C3" s="2555"/>
      <c r="D3" s="2555"/>
      <c r="E3" s="260"/>
    </row>
    <row r="4" spans="1:5" ht="13.5" x14ac:dyDescent="0.25">
      <c r="A4" s="259"/>
      <c r="B4" s="265" t="s">
        <v>1292</v>
      </c>
      <c r="C4" s="18"/>
      <c r="D4" s="18"/>
      <c r="E4" s="260"/>
    </row>
    <row r="5" spans="1:5" ht="54" customHeight="1" x14ac:dyDescent="0.2">
      <c r="A5" s="259"/>
      <c r="C5" s="2555"/>
      <c r="D5" s="2555"/>
      <c r="E5" s="260"/>
    </row>
    <row r="6" spans="1:5" ht="13.5" x14ac:dyDescent="0.25">
      <c r="A6" s="259"/>
      <c r="B6" s="265" t="s">
        <v>1840</v>
      </c>
      <c r="C6" s="18"/>
      <c r="D6" s="18"/>
      <c r="E6" s="260"/>
    </row>
    <row r="7" spans="1:5" ht="23.25" customHeight="1" x14ac:dyDescent="0.2">
      <c r="A7" s="259"/>
      <c r="C7" s="2555"/>
      <c r="D7" s="2555"/>
      <c r="E7" s="260"/>
    </row>
    <row r="8" spans="1:5" ht="13.5" x14ac:dyDescent="0.25">
      <c r="A8" s="259"/>
      <c r="B8" s="266" t="s">
        <v>1941</v>
      </c>
      <c r="C8" s="18"/>
      <c r="D8" s="18"/>
      <c r="E8" s="260"/>
    </row>
    <row r="9" spans="1:5" ht="27" customHeight="1" x14ac:dyDescent="0.2">
      <c r="A9" s="259"/>
      <c r="C9" s="2555"/>
      <c r="D9" s="2555"/>
      <c r="E9" s="260"/>
    </row>
    <row r="10" spans="1:5" ht="13.5" x14ac:dyDescent="0.25">
      <c r="A10" s="259"/>
      <c r="B10" s="266" t="s">
        <v>4068</v>
      </c>
      <c r="C10" s="18"/>
      <c r="D10" s="18"/>
      <c r="E10" s="260"/>
    </row>
    <row r="11" spans="1:5" ht="28.5" customHeight="1" x14ac:dyDescent="0.2">
      <c r="A11" s="259"/>
      <c r="C11" s="2555"/>
      <c r="D11" s="2555"/>
      <c r="E11" s="260"/>
    </row>
    <row r="12" spans="1:5" ht="13.5" x14ac:dyDescent="0.25">
      <c r="A12" s="259"/>
      <c r="B12" s="266" t="s">
        <v>4069</v>
      </c>
      <c r="C12" s="18"/>
      <c r="D12" s="18"/>
      <c r="E12" s="260"/>
    </row>
    <row r="13" spans="1:5" ht="27" customHeight="1" x14ac:dyDescent="0.2">
      <c r="A13" s="259"/>
      <c r="C13" s="2555"/>
      <c r="D13" s="2555"/>
      <c r="E13" s="260"/>
    </row>
    <row r="14" spans="1:5" ht="13.5" x14ac:dyDescent="0.25">
      <c r="A14" s="259"/>
      <c r="B14" s="266" t="s">
        <v>1109</v>
      </c>
      <c r="C14" s="18"/>
      <c r="D14" s="18"/>
      <c r="E14" s="260"/>
    </row>
    <row r="15" spans="1:5" ht="25.5" customHeight="1" x14ac:dyDescent="0.2">
      <c r="A15" s="259"/>
      <c r="C15" s="2555"/>
      <c r="D15" s="2555"/>
      <c r="E15" s="260"/>
    </row>
    <row r="16" spans="1:5" ht="13.5" x14ac:dyDescent="0.25">
      <c r="A16" s="259"/>
      <c r="B16" s="266" t="s">
        <v>4070</v>
      </c>
      <c r="C16" s="18"/>
      <c r="D16" s="18"/>
      <c r="E16" s="260"/>
    </row>
    <row r="17" spans="1:5" ht="25.5" customHeight="1" x14ac:dyDescent="0.2">
      <c r="A17" s="259"/>
      <c r="C17" s="2555"/>
      <c r="D17" s="2555"/>
      <c r="E17" s="260"/>
    </row>
    <row r="18" spans="1:5" ht="13.5" x14ac:dyDescent="0.25">
      <c r="A18" s="259"/>
      <c r="B18" s="266" t="s">
        <v>4071</v>
      </c>
      <c r="C18" s="18"/>
      <c r="D18" s="18"/>
      <c r="E18" s="260"/>
    </row>
    <row r="19" spans="1:5" ht="26.25" customHeight="1" x14ac:dyDescent="0.2">
      <c r="A19" s="259"/>
      <c r="C19" s="2555"/>
      <c r="D19" s="2555"/>
      <c r="E19" s="260"/>
    </row>
    <row r="20" spans="1:5" ht="13.5" x14ac:dyDescent="0.25">
      <c r="A20" s="259"/>
      <c r="B20" s="266" t="s">
        <v>4638</v>
      </c>
      <c r="C20" s="18"/>
      <c r="D20" s="18"/>
      <c r="E20" s="260"/>
    </row>
    <row r="21" spans="1:5" ht="25.5" customHeight="1" x14ac:dyDescent="0.2">
      <c r="A21" s="259"/>
      <c r="C21" s="2555"/>
      <c r="D21" s="2555"/>
      <c r="E21" s="260"/>
    </row>
    <row r="22" spans="1:5" ht="13.5" x14ac:dyDescent="0.25">
      <c r="A22" s="259"/>
      <c r="B22" s="266" t="s">
        <v>4691</v>
      </c>
      <c r="C22" s="18"/>
      <c r="D22" s="18"/>
      <c r="E22" s="260"/>
    </row>
    <row r="23" spans="1:5" ht="27" customHeight="1" x14ac:dyDescent="0.2">
      <c r="A23" s="259"/>
      <c r="C23" s="2555"/>
      <c r="D23" s="2555"/>
      <c r="E23" s="260"/>
    </row>
    <row r="24" spans="1:5" ht="13.5" x14ac:dyDescent="0.25">
      <c r="A24" s="259"/>
      <c r="B24" s="266" t="s">
        <v>2953</v>
      </c>
      <c r="C24" s="18"/>
      <c r="D24" s="18"/>
      <c r="E24" s="260"/>
    </row>
    <row r="25" spans="1:5" ht="27" customHeight="1" x14ac:dyDescent="0.2">
      <c r="A25" s="259"/>
      <c r="B25" s="18"/>
      <c r="C25" s="2555"/>
      <c r="D25" s="2555"/>
      <c r="E25" s="260"/>
    </row>
    <row r="26" spans="1:5" ht="13.5" x14ac:dyDescent="0.25">
      <c r="A26" s="259"/>
      <c r="B26" s="266" t="s">
        <v>2954</v>
      </c>
      <c r="C26" s="18"/>
      <c r="D26" s="18"/>
      <c r="E26" s="260"/>
    </row>
    <row r="27" spans="1:5" ht="26.25" customHeight="1" x14ac:dyDescent="0.2">
      <c r="A27" s="259"/>
      <c r="B27" s="18"/>
      <c r="C27" s="2555"/>
      <c r="D27" s="2555"/>
      <c r="E27" s="260"/>
    </row>
    <row r="28" spans="1:5" ht="13.5" x14ac:dyDescent="0.25">
      <c r="A28" s="259"/>
      <c r="B28" s="266" t="s">
        <v>2955</v>
      </c>
      <c r="C28" s="18"/>
      <c r="D28" s="18"/>
      <c r="E28" s="260"/>
    </row>
    <row r="29" spans="1:5" ht="27" customHeight="1" x14ac:dyDescent="0.2">
      <c r="A29" s="259"/>
      <c r="B29" s="18"/>
      <c r="C29" s="2555"/>
      <c r="D29" s="2555"/>
      <c r="E29" s="260"/>
    </row>
    <row r="30" spans="1:5" ht="13.5" x14ac:dyDescent="0.25">
      <c r="A30" s="259"/>
      <c r="B30" s="266" t="s">
        <v>1110</v>
      </c>
      <c r="C30" s="18"/>
      <c r="D30" s="18"/>
      <c r="E30" s="260"/>
    </row>
    <row r="31" spans="1:5" ht="26.25" customHeight="1" x14ac:dyDescent="0.2">
      <c r="A31" s="259"/>
      <c r="B31" s="18"/>
      <c r="C31" s="2555"/>
      <c r="D31" s="2555"/>
      <c r="E31" s="260"/>
    </row>
    <row r="32" spans="1:5" ht="13.5" x14ac:dyDescent="0.25">
      <c r="A32" s="259"/>
      <c r="B32" s="266" t="s">
        <v>3600</v>
      </c>
      <c r="C32" s="18"/>
      <c r="D32" s="18"/>
      <c r="E32" s="260"/>
    </row>
    <row r="33" spans="1:5" ht="26.25" customHeight="1" x14ac:dyDescent="0.2">
      <c r="A33" s="259"/>
      <c r="B33" s="18"/>
      <c r="C33" s="2555"/>
      <c r="D33" s="2555"/>
      <c r="E33" s="260"/>
    </row>
    <row r="34" spans="1:5" ht="13.5" x14ac:dyDescent="0.25">
      <c r="A34" s="259"/>
      <c r="B34" s="266" t="s">
        <v>3601</v>
      </c>
      <c r="C34" s="18"/>
      <c r="D34" s="18"/>
      <c r="E34" s="260"/>
    </row>
    <row r="35" spans="1:5" ht="27" customHeight="1" x14ac:dyDescent="0.2">
      <c r="A35" s="259"/>
      <c r="B35" s="18"/>
      <c r="C35" s="2555"/>
      <c r="D35" s="2555"/>
      <c r="E35" s="260"/>
    </row>
    <row r="36" spans="1:5" ht="13.5" x14ac:dyDescent="0.25">
      <c r="A36" s="259"/>
      <c r="B36" s="266" t="s">
        <v>3602</v>
      </c>
      <c r="C36" s="18"/>
      <c r="D36" s="18"/>
      <c r="E36" s="260"/>
    </row>
    <row r="37" spans="1:5" ht="25.5" customHeight="1" x14ac:dyDescent="0.2">
      <c r="A37" s="259"/>
      <c r="B37" s="18"/>
      <c r="C37" s="2555"/>
      <c r="D37" s="2555"/>
      <c r="E37" s="260"/>
    </row>
    <row r="38" spans="1:5" ht="13.5" x14ac:dyDescent="0.25">
      <c r="A38" s="259"/>
      <c r="B38" s="266" t="s">
        <v>1108</v>
      </c>
      <c r="C38" s="18"/>
      <c r="D38" s="18"/>
      <c r="E38" s="260"/>
    </row>
    <row r="39" spans="1:5" ht="41.25" customHeight="1" x14ac:dyDescent="0.2">
      <c r="A39" s="259"/>
      <c r="B39" s="18"/>
      <c r="C39" s="2555"/>
      <c r="D39" s="2555"/>
      <c r="E39" s="260"/>
    </row>
    <row r="40" spans="1:5" ht="6" customHeight="1" thickBot="1" x14ac:dyDescent="0.25">
      <c r="A40" s="261"/>
      <c r="B40" s="262"/>
      <c r="C40" s="262"/>
      <c r="D40" s="262"/>
      <c r="E40" s="263"/>
    </row>
    <row r="41" spans="1:5" ht="13.5" thickTop="1" x14ac:dyDescent="0.2"/>
  </sheetData>
  <mergeCells count="19">
    <mergeCell ref="C23:D23"/>
    <mergeCell ref="C25:D25"/>
    <mergeCell ref="C35:D35"/>
    <mergeCell ref="C37:D37"/>
    <mergeCell ref="C39:D39"/>
    <mergeCell ref="C27:D27"/>
    <mergeCell ref="C29:D29"/>
    <mergeCell ref="C31:D31"/>
    <mergeCell ref="C33:D33"/>
    <mergeCell ref="C21:D21"/>
    <mergeCell ref="C3:D3"/>
    <mergeCell ref="C5:D5"/>
    <mergeCell ref="C7:D7"/>
    <mergeCell ref="C9:D9"/>
    <mergeCell ref="C11:D11"/>
    <mergeCell ref="C13:D13"/>
    <mergeCell ref="C15:D15"/>
    <mergeCell ref="C17:D17"/>
    <mergeCell ref="C19:D19"/>
  </mergeCells>
  <phoneticPr fontId="3" type="noConversion"/>
  <pageMargins left="0.39370078740157483" right="0.39370078740157483" top="0.39370078740157483" bottom="0.39370078740157483" header="0.51181102362204722" footer="0.51181102362204722"/>
  <pageSetup paperSize="9" scale="91"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M823"/>
  <sheetViews>
    <sheetView workbookViewId="0">
      <selection activeCell="P22" sqref="P22"/>
    </sheetView>
  </sheetViews>
  <sheetFormatPr baseColWidth="10" defaultRowHeight="12.75" x14ac:dyDescent="0.2"/>
  <cols>
    <col min="1" max="1" width="26.5703125" customWidth="1"/>
    <col min="2" max="2" width="9" customWidth="1"/>
    <col min="3" max="3" width="2.7109375" customWidth="1"/>
    <col min="4" max="4" width="6.85546875" customWidth="1"/>
    <col min="5" max="5" width="4.28515625" style="78" customWidth="1"/>
    <col min="6" max="6" width="28.5703125" style="78" customWidth="1"/>
    <col min="7" max="7" width="25.85546875" style="1167" customWidth="1"/>
    <col min="8" max="8" width="4" customWidth="1"/>
    <col min="9" max="9" width="47.5703125" style="47" customWidth="1"/>
  </cols>
  <sheetData>
    <row r="1" spans="1:9" ht="30.75" customHeight="1" x14ac:dyDescent="0.25">
      <c r="A1" s="1214" t="s">
        <v>6722</v>
      </c>
      <c r="E1" s="930"/>
      <c r="F1" s="1234" t="s">
        <v>6736</v>
      </c>
      <c r="G1" s="1235" t="s">
        <v>6737</v>
      </c>
      <c r="I1" s="1270" t="s">
        <v>6721</v>
      </c>
    </row>
    <row r="2" spans="1:9" ht="15.75" x14ac:dyDescent="0.25">
      <c r="A2" s="1214" t="s">
        <v>6723</v>
      </c>
      <c r="D2" s="1250" t="b">
        <f>IF(AND(EXACT(Generierung!$P$7,"Eigene"),$A$14="Magie"),TRUE,FALSE)</f>
        <v>0</v>
      </c>
      <c r="E2" s="1249"/>
      <c r="F2" s="1217" t="s">
        <v>1783</v>
      </c>
      <c r="G2" s="1181"/>
      <c r="I2" s="1271" t="s">
        <v>6724</v>
      </c>
    </row>
    <row r="3" spans="1:9" x14ac:dyDescent="0.2">
      <c r="D3" s="1251" t="b">
        <f>IF(AND(EXACT(Generierung!$P$7,"Eigene"),$A$14="Goetter"),TRUE,FALSE)</f>
        <v>0</v>
      </c>
      <c r="E3" s="1248"/>
      <c r="F3" s="1218" t="s">
        <v>2138</v>
      </c>
      <c r="G3" s="1182"/>
      <c r="I3" s="1271" t="s">
        <v>6725</v>
      </c>
    </row>
    <row r="4" spans="1:9" x14ac:dyDescent="0.2">
      <c r="A4" s="1705" t="s">
        <v>6719</v>
      </c>
      <c r="E4" s="1164"/>
      <c r="F4" s="1219" t="s">
        <v>564</v>
      </c>
      <c r="G4" s="1183"/>
      <c r="H4" s="18"/>
      <c r="I4" s="1271" t="s">
        <v>6726</v>
      </c>
    </row>
    <row r="5" spans="1:9" x14ac:dyDescent="0.2">
      <c r="A5" s="1705"/>
      <c r="E5" s="1164"/>
      <c r="F5" s="1220" t="s">
        <v>3604</v>
      </c>
      <c r="G5" s="1184"/>
      <c r="I5" s="1271" t="s">
        <v>6727</v>
      </c>
    </row>
    <row r="6" spans="1:9" x14ac:dyDescent="0.2">
      <c r="A6" s="1705"/>
      <c r="E6" s="1164"/>
      <c r="F6" s="1221" t="s">
        <v>3605</v>
      </c>
      <c r="G6" s="1185"/>
      <c r="I6" s="1271" t="s">
        <v>6728</v>
      </c>
    </row>
    <row r="7" spans="1:9" x14ac:dyDescent="0.2">
      <c r="A7" s="1705" t="s">
        <v>6720</v>
      </c>
      <c r="E7" s="1165"/>
      <c r="F7" s="1222" t="s">
        <v>74</v>
      </c>
      <c r="G7" s="137"/>
      <c r="I7" s="1272" t="s">
        <v>6760</v>
      </c>
    </row>
    <row r="8" spans="1:9" x14ac:dyDescent="0.2">
      <c r="A8" s="1705"/>
      <c r="E8" s="1165"/>
      <c r="F8" s="1223" t="s">
        <v>75</v>
      </c>
      <c r="G8" s="138"/>
      <c r="I8" s="1271"/>
    </row>
    <row r="9" spans="1:9" x14ac:dyDescent="0.2">
      <c r="A9" s="1705"/>
      <c r="E9" s="1165"/>
      <c r="F9" s="1222" t="s">
        <v>76</v>
      </c>
      <c r="G9" s="137"/>
      <c r="I9" s="1271"/>
    </row>
    <row r="10" spans="1:9" x14ac:dyDescent="0.2">
      <c r="A10" s="1705"/>
      <c r="E10" s="1165"/>
      <c r="F10" s="1223" t="s">
        <v>77</v>
      </c>
      <c r="G10" s="138"/>
      <c r="I10" s="1271"/>
    </row>
    <row r="11" spans="1:9" ht="12.75" customHeight="1" x14ac:dyDescent="0.2">
      <c r="A11" s="2572" t="s">
        <v>6790</v>
      </c>
      <c r="E11" s="1165"/>
      <c r="F11" s="1222" t="s">
        <v>750</v>
      </c>
      <c r="G11" s="137"/>
      <c r="I11" s="1271"/>
    </row>
    <row r="12" spans="1:9" x14ac:dyDescent="0.2">
      <c r="A12" s="2572"/>
      <c r="E12" s="1165"/>
      <c r="F12" s="1223" t="s">
        <v>751</v>
      </c>
      <c r="G12" s="138"/>
      <c r="I12" s="1271"/>
    </row>
    <row r="13" spans="1:9" x14ac:dyDescent="0.2">
      <c r="A13" s="2573"/>
      <c r="E13" s="1165"/>
      <c r="F13" s="1222" t="s">
        <v>5030</v>
      </c>
      <c r="G13" s="137"/>
      <c r="I13" s="1271"/>
    </row>
    <row r="14" spans="1:9" x14ac:dyDescent="0.2">
      <c r="A14" s="1216" t="s">
        <v>7664</v>
      </c>
      <c r="B14" s="1215"/>
      <c r="C14" s="1215"/>
      <c r="E14" s="1165"/>
      <c r="F14" s="1223" t="s">
        <v>752</v>
      </c>
      <c r="G14" s="138"/>
      <c r="I14" s="1271"/>
    </row>
    <row r="15" spans="1:9" x14ac:dyDescent="0.2">
      <c r="A15" s="78"/>
      <c r="E15" s="1164"/>
      <c r="F15" s="542" t="s">
        <v>1900</v>
      </c>
      <c r="G15" s="1186"/>
      <c r="I15" s="1271" t="s">
        <v>6729</v>
      </c>
    </row>
    <row r="16" spans="1:9" x14ac:dyDescent="0.2">
      <c r="E16" s="1164"/>
      <c r="F16" s="541" t="s">
        <v>1901</v>
      </c>
      <c r="G16" s="1187"/>
      <c r="I16" s="1271" t="s">
        <v>6730</v>
      </c>
    </row>
    <row r="17" spans="1:13" x14ac:dyDescent="0.2">
      <c r="E17" s="1164"/>
      <c r="F17" s="540" t="s">
        <v>74</v>
      </c>
      <c r="G17" s="1188"/>
      <c r="I17" s="1272" t="s">
        <v>6731</v>
      </c>
    </row>
    <row r="18" spans="1:13" x14ac:dyDescent="0.2">
      <c r="A18" s="78"/>
      <c r="E18" s="1164"/>
      <c r="F18" s="539" t="s">
        <v>75</v>
      </c>
      <c r="G18" s="1189"/>
      <c r="I18" s="1271"/>
    </row>
    <row r="19" spans="1:13" x14ac:dyDescent="0.2">
      <c r="E19" s="1164"/>
      <c r="F19" s="540" t="s">
        <v>76</v>
      </c>
      <c r="G19" s="1188"/>
      <c r="I19" s="1271"/>
    </row>
    <row r="20" spans="1:13" x14ac:dyDescent="0.2">
      <c r="E20" s="1164"/>
      <c r="F20" s="539" t="s">
        <v>77</v>
      </c>
      <c r="G20" s="1189"/>
      <c r="I20" s="1271"/>
    </row>
    <row r="21" spans="1:13" x14ac:dyDescent="0.2">
      <c r="E21" s="1164"/>
      <c r="F21" s="540" t="s">
        <v>750</v>
      </c>
      <c r="G21" s="1188"/>
      <c r="I21" s="1271"/>
    </row>
    <row r="22" spans="1:13" x14ac:dyDescent="0.2">
      <c r="E22" s="1164"/>
      <c r="F22" s="539" t="s">
        <v>751</v>
      </c>
      <c r="G22" s="1189"/>
      <c r="I22" s="1271"/>
    </row>
    <row r="23" spans="1:13" x14ac:dyDescent="0.2">
      <c r="E23" s="1164"/>
      <c r="F23" s="540" t="s">
        <v>5030</v>
      </c>
      <c r="G23" s="1188"/>
      <c r="I23" s="1271"/>
    </row>
    <row r="24" spans="1:13" x14ac:dyDescent="0.2">
      <c r="E24" s="1164"/>
      <c r="F24" s="539" t="s">
        <v>752</v>
      </c>
      <c r="G24" s="1189"/>
      <c r="I24" s="1271"/>
      <c r="L24" s="18"/>
    </row>
    <row r="25" spans="1:13" ht="13.5" thickBot="1" x14ac:dyDescent="0.25">
      <c r="A25" s="30" t="s">
        <v>6738</v>
      </c>
      <c r="E25" s="1164"/>
      <c r="F25" s="538" t="s">
        <v>2139</v>
      </c>
      <c r="G25" s="1252"/>
      <c r="I25" s="1271"/>
      <c r="L25" s="18"/>
    </row>
    <row r="26" spans="1:13" x14ac:dyDescent="0.2">
      <c r="A26" s="1237"/>
      <c r="B26" s="1238"/>
      <c r="E26" s="2566"/>
      <c r="F26" s="2574" t="s">
        <v>2116</v>
      </c>
      <c r="G26" s="1253"/>
      <c r="I26" s="1272" t="s">
        <v>3918</v>
      </c>
      <c r="L26" s="545"/>
      <c r="M26" s="83"/>
    </row>
    <row r="27" spans="1:13" x14ac:dyDescent="0.2">
      <c r="A27" s="1237"/>
      <c r="B27" s="1238"/>
      <c r="E27" s="2567"/>
      <c r="F27" s="2575"/>
      <c r="G27" s="1254"/>
      <c r="I27" s="1271" t="s">
        <v>6733</v>
      </c>
      <c r="L27" s="18"/>
    </row>
    <row r="28" spans="1:13" x14ac:dyDescent="0.2">
      <c r="A28" s="1237"/>
      <c r="B28" s="1238"/>
      <c r="E28" s="2567"/>
      <c r="F28" s="2575"/>
      <c r="G28" s="1254" t="str">
        <f t="shared" ref="G28:G38" si="0">A28&amp;" "&amp;B28</f>
        <v xml:space="preserve"> </v>
      </c>
      <c r="I28" s="1273" t="s">
        <v>6783</v>
      </c>
      <c r="L28" s="18"/>
    </row>
    <row r="29" spans="1:13" x14ac:dyDescent="0.2">
      <c r="A29" s="1237"/>
      <c r="B29" s="1238"/>
      <c r="E29" s="2567"/>
      <c r="F29" s="2575"/>
      <c r="G29" s="1254" t="str">
        <f t="shared" si="0"/>
        <v xml:space="preserve"> </v>
      </c>
      <c r="I29" s="1271"/>
    </row>
    <row r="30" spans="1:13" x14ac:dyDescent="0.2">
      <c r="A30" s="1237"/>
      <c r="B30" s="1238"/>
      <c r="E30" s="2567"/>
      <c r="F30" s="2575"/>
      <c r="G30" s="1254" t="str">
        <f t="shared" si="0"/>
        <v xml:space="preserve"> </v>
      </c>
      <c r="I30" s="1271"/>
    </row>
    <row r="31" spans="1:13" x14ac:dyDescent="0.2">
      <c r="A31" s="1237"/>
      <c r="B31" s="1238"/>
      <c r="E31" s="2567"/>
      <c r="F31" s="2575"/>
      <c r="G31" s="1254" t="str">
        <f t="shared" si="0"/>
        <v xml:space="preserve"> </v>
      </c>
      <c r="I31" s="1271"/>
    </row>
    <row r="32" spans="1:13" x14ac:dyDescent="0.2">
      <c r="A32" s="1237"/>
      <c r="B32" s="1238"/>
      <c r="E32" s="2567"/>
      <c r="F32" s="2575"/>
      <c r="G32" s="1254" t="str">
        <f t="shared" si="0"/>
        <v xml:space="preserve"> </v>
      </c>
      <c r="I32" s="1271"/>
    </row>
    <row r="33" spans="1:12" ht="13.5" thickBot="1" x14ac:dyDescent="0.25">
      <c r="A33" s="1237"/>
      <c r="B33" s="1238"/>
      <c r="E33" s="2567"/>
      <c r="F33" s="2576"/>
      <c r="G33" s="1255" t="str">
        <f t="shared" si="0"/>
        <v xml:space="preserve"> </v>
      </c>
      <c r="I33" s="1271"/>
      <c r="K33" s="18"/>
      <c r="L33" s="18"/>
    </row>
    <row r="34" spans="1:12" x14ac:dyDescent="0.2">
      <c r="A34" s="55"/>
      <c r="B34" s="1244"/>
      <c r="E34" s="2567"/>
      <c r="F34" s="2574" t="s">
        <v>2140</v>
      </c>
      <c r="G34" s="1253" t="str">
        <f>A34&amp;" "&amp;B34</f>
        <v xml:space="preserve"> </v>
      </c>
      <c r="I34" s="1272" t="s">
        <v>3996</v>
      </c>
      <c r="K34" s="1243"/>
      <c r="L34" s="1243"/>
    </row>
    <row r="35" spans="1:12" x14ac:dyDescent="0.2">
      <c r="A35" s="55"/>
      <c r="B35" s="1244"/>
      <c r="E35" s="2567"/>
      <c r="F35" s="2575"/>
      <c r="G35" s="1254" t="str">
        <f t="shared" si="0"/>
        <v xml:space="preserve"> </v>
      </c>
      <c r="I35" s="1271" t="s">
        <v>6733</v>
      </c>
      <c r="K35" s="18"/>
      <c r="L35" s="18"/>
    </row>
    <row r="36" spans="1:12" x14ac:dyDescent="0.2">
      <c r="A36" s="55"/>
      <c r="B36" s="1244"/>
      <c r="E36" s="2567"/>
      <c r="F36" s="2575"/>
      <c r="G36" s="1254" t="str">
        <f t="shared" si="0"/>
        <v xml:space="preserve"> </v>
      </c>
      <c r="I36" s="1271" t="s">
        <v>6732</v>
      </c>
    </row>
    <row r="37" spans="1:12" x14ac:dyDescent="0.2">
      <c r="A37" s="55"/>
      <c r="B37" s="1244"/>
      <c r="E37" s="2567"/>
      <c r="F37" s="2575"/>
      <c r="G37" s="1254" t="str">
        <f t="shared" si="0"/>
        <v xml:space="preserve"> </v>
      </c>
      <c r="I37" s="1271"/>
    </row>
    <row r="38" spans="1:12" ht="13.5" thickBot="1" x14ac:dyDescent="0.25">
      <c r="A38" s="55"/>
      <c r="B38" s="1244"/>
      <c r="E38" s="2567"/>
      <c r="F38" s="2576"/>
      <c r="G38" s="1255" t="str">
        <f t="shared" si="0"/>
        <v xml:space="preserve"> </v>
      </c>
      <c r="I38" s="1271"/>
    </row>
    <row r="39" spans="1:12" ht="13.5" thickBot="1" x14ac:dyDescent="0.25">
      <c r="E39" s="2567"/>
      <c r="F39" s="537" t="s">
        <v>6739</v>
      </c>
      <c r="G39" s="1256"/>
      <c r="I39" s="1272" t="s">
        <v>6761</v>
      </c>
    </row>
    <row r="40" spans="1:12" x14ac:dyDescent="0.2">
      <c r="E40" s="2567"/>
      <c r="F40" s="2574" t="s">
        <v>156</v>
      </c>
      <c r="G40" s="1257"/>
      <c r="I40" s="1271"/>
    </row>
    <row r="41" spans="1:12" x14ac:dyDescent="0.2">
      <c r="E41" s="2567"/>
      <c r="F41" s="2575"/>
      <c r="G41" s="1257"/>
      <c r="I41" s="1271"/>
    </row>
    <row r="42" spans="1:12" ht="13.5" thickBot="1" x14ac:dyDescent="0.25">
      <c r="E42" s="2568"/>
      <c r="F42" s="2576"/>
      <c r="G42" s="1258"/>
      <c r="I42" s="1271"/>
    </row>
    <row r="43" spans="1:12" x14ac:dyDescent="0.2">
      <c r="E43" s="2569" t="s">
        <v>1608</v>
      </c>
      <c r="F43" s="1168" t="str">
        <f>INDEX(TL_KPF,ROW()-41)</f>
        <v>Anderthalbhänder</v>
      </c>
      <c r="G43" s="1086"/>
      <c r="I43" s="1272" t="s">
        <v>6762</v>
      </c>
    </row>
    <row r="44" spans="1:12" x14ac:dyDescent="0.2">
      <c r="E44" s="2570"/>
      <c r="F44" s="1169" t="str">
        <f t="shared" ref="F44:F69" si="1">INDEX(TL_KPF,ROW()-41)</f>
        <v>Armbrust</v>
      </c>
      <c r="G44" s="1155"/>
      <c r="I44" s="1271" t="s">
        <v>6734</v>
      </c>
    </row>
    <row r="45" spans="1:12" x14ac:dyDescent="0.2">
      <c r="E45" s="2570"/>
      <c r="F45" s="1168" t="str">
        <f t="shared" si="1"/>
        <v>Belagerungswaffen</v>
      </c>
      <c r="G45" s="1086"/>
      <c r="I45" s="1271"/>
    </row>
    <row r="46" spans="1:12" x14ac:dyDescent="0.2">
      <c r="E46" s="2570"/>
      <c r="F46" s="1169" t="str">
        <f t="shared" si="1"/>
        <v>Blasrohr</v>
      </c>
      <c r="G46" s="1155"/>
      <c r="I46" s="1271"/>
    </row>
    <row r="47" spans="1:12" x14ac:dyDescent="0.2">
      <c r="E47" s="2570"/>
      <c r="F47" s="1168" t="str">
        <f t="shared" si="1"/>
        <v>Bogen</v>
      </c>
      <c r="G47" s="1086"/>
      <c r="I47" s="1271" t="s">
        <v>6735</v>
      </c>
    </row>
    <row r="48" spans="1:12" x14ac:dyDescent="0.2">
      <c r="E48" s="2570"/>
      <c r="F48" s="1169" t="str">
        <f t="shared" si="1"/>
        <v>Diskus</v>
      </c>
      <c r="G48" s="1155"/>
      <c r="I48" s="1274" t="s">
        <v>6763</v>
      </c>
    </row>
    <row r="49" spans="5:9" x14ac:dyDescent="0.2">
      <c r="E49" s="2570"/>
      <c r="F49" s="1170" t="str">
        <f t="shared" si="1"/>
        <v>Dolche</v>
      </c>
      <c r="G49" s="1156"/>
      <c r="I49" s="1271" t="s">
        <v>6764</v>
      </c>
    </row>
    <row r="50" spans="5:9" x14ac:dyDescent="0.2">
      <c r="E50" s="2570"/>
      <c r="F50" s="1168" t="str">
        <f t="shared" si="1"/>
        <v>Fechtwaffen</v>
      </c>
      <c r="G50" s="1086"/>
      <c r="I50" s="1273" t="s">
        <v>6775</v>
      </c>
    </row>
    <row r="51" spans="5:9" x14ac:dyDescent="0.2">
      <c r="E51" s="2570"/>
      <c r="F51" s="1170" t="str">
        <f t="shared" si="1"/>
        <v>Hiebwaffen</v>
      </c>
      <c r="G51" s="1156"/>
      <c r="I51" s="1273" t="s">
        <v>6776</v>
      </c>
    </row>
    <row r="52" spans="5:9" ht="12" customHeight="1" x14ac:dyDescent="0.2">
      <c r="E52" s="2570"/>
      <c r="F52" s="1168" t="str">
        <f t="shared" si="1"/>
        <v>Infanteriewaffen</v>
      </c>
      <c r="G52" s="1086"/>
      <c r="I52" s="1271"/>
    </row>
    <row r="53" spans="5:9" x14ac:dyDescent="0.2">
      <c r="E53" s="2570"/>
      <c r="F53" s="1169" t="str">
        <f t="shared" si="1"/>
        <v>Kettenstäbe</v>
      </c>
      <c r="G53" s="1155"/>
      <c r="I53" s="1271"/>
    </row>
    <row r="54" spans="5:9" x14ac:dyDescent="0.2">
      <c r="E54" s="2570"/>
      <c r="F54" s="1168" t="str">
        <f t="shared" si="1"/>
        <v>Kettenwaffen</v>
      </c>
      <c r="G54" s="1086"/>
      <c r="I54" s="1271"/>
    </row>
    <row r="55" spans="5:9" x14ac:dyDescent="0.2">
      <c r="E55" s="2570"/>
      <c r="F55" s="1169" t="str">
        <f t="shared" si="1"/>
        <v>Lanzenreiten</v>
      </c>
      <c r="G55" s="1155"/>
      <c r="I55" s="1273" t="s">
        <v>6765</v>
      </c>
    </row>
    <row r="56" spans="5:9" x14ac:dyDescent="0.2">
      <c r="E56" s="2570"/>
      <c r="F56" s="1168" t="str">
        <f t="shared" si="1"/>
        <v>Peitsche</v>
      </c>
      <c r="G56" s="1086"/>
      <c r="I56" s="1273" t="s">
        <v>6766</v>
      </c>
    </row>
    <row r="57" spans="5:9" x14ac:dyDescent="0.2">
      <c r="E57" s="2570"/>
      <c r="F57" s="1170" t="str">
        <f t="shared" si="1"/>
        <v>Raufen</v>
      </c>
      <c r="G57" s="1156"/>
      <c r="I57" s="1271"/>
    </row>
    <row r="58" spans="5:9" x14ac:dyDescent="0.2">
      <c r="E58" s="2570"/>
      <c r="F58" s="1169" t="str">
        <f t="shared" si="1"/>
        <v>Ringen</v>
      </c>
      <c r="G58" s="1155"/>
      <c r="I58" s="1271"/>
    </row>
    <row r="59" spans="5:9" x14ac:dyDescent="0.2">
      <c r="E59" s="2570"/>
      <c r="F59" s="1170" t="str">
        <f t="shared" si="1"/>
        <v>Säbel</v>
      </c>
      <c r="G59" s="1156"/>
      <c r="I59" s="1271"/>
    </row>
    <row r="60" spans="5:9" x14ac:dyDescent="0.2">
      <c r="E60" s="2570"/>
      <c r="F60" s="1168" t="str">
        <f t="shared" si="1"/>
        <v>Schleuder</v>
      </c>
      <c r="G60" s="1086"/>
      <c r="I60" s="1271"/>
    </row>
    <row r="61" spans="5:9" x14ac:dyDescent="0.2">
      <c r="E61" s="2570"/>
      <c r="F61" s="1169" t="str">
        <f t="shared" si="1"/>
        <v>Schwerter</v>
      </c>
      <c r="G61" s="1155"/>
      <c r="I61" s="1271"/>
    </row>
    <row r="62" spans="5:9" x14ac:dyDescent="0.2">
      <c r="E62" s="2570"/>
      <c r="F62" s="1168" t="str">
        <f t="shared" si="1"/>
        <v>Speere</v>
      </c>
      <c r="G62" s="1086"/>
      <c r="I62" s="1271"/>
    </row>
    <row r="63" spans="5:9" x14ac:dyDescent="0.2">
      <c r="E63" s="2570"/>
      <c r="F63" s="1169" t="str">
        <f t="shared" si="1"/>
        <v>Stäbe</v>
      </c>
      <c r="G63" s="1155"/>
      <c r="I63" s="1271"/>
    </row>
    <row r="64" spans="5:9" x14ac:dyDescent="0.2">
      <c r="E64" s="2570"/>
      <c r="F64" s="1168" t="str">
        <f t="shared" si="1"/>
        <v>Wurfbeile</v>
      </c>
      <c r="G64" s="1086"/>
      <c r="I64" s="1271"/>
    </row>
    <row r="65" spans="5:9" x14ac:dyDescent="0.2">
      <c r="E65" s="2570"/>
      <c r="F65" s="1170" t="str">
        <f t="shared" si="1"/>
        <v>Wurfmesser</v>
      </c>
      <c r="G65" s="1156"/>
      <c r="I65" s="1271"/>
    </row>
    <row r="66" spans="5:9" x14ac:dyDescent="0.2">
      <c r="E66" s="2570"/>
      <c r="F66" s="1169" t="str">
        <f t="shared" si="1"/>
        <v>Wurfspeere</v>
      </c>
      <c r="G66" s="1155"/>
      <c r="I66" s="1271"/>
    </row>
    <row r="67" spans="5:9" x14ac:dyDescent="0.2">
      <c r="E67" s="2570"/>
      <c r="F67" s="1168" t="str">
        <f t="shared" si="1"/>
        <v>Zweihandflegel</v>
      </c>
      <c r="G67" s="1086"/>
      <c r="I67" s="1271"/>
    </row>
    <row r="68" spans="5:9" x14ac:dyDescent="0.2">
      <c r="E68" s="2570"/>
      <c r="F68" s="1169" t="str">
        <f t="shared" si="1"/>
        <v>Zweihand-Hiebwaffen</v>
      </c>
      <c r="G68" s="1155"/>
      <c r="I68" s="1271"/>
    </row>
    <row r="69" spans="5:9" x14ac:dyDescent="0.2">
      <c r="E69" s="2571"/>
      <c r="F69" s="1171" t="str">
        <f t="shared" si="1"/>
        <v>Zweihandschwerter/-säbel</v>
      </c>
      <c r="G69" s="1157"/>
      <c r="I69" s="1271"/>
    </row>
    <row r="70" spans="5:9" x14ac:dyDescent="0.2">
      <c r="E70" s="2569" t="s">
        <v>3311</v>
      </c>
      <c r="F70" s="1169" t="str">
        <f>INDEX(TL_KRP,ROW()-69)</f>
        <v>Akrobatik</v>
      </c>
      <c r="G70" s="1155"/>
      <c r="I70" s="1271"/>
    </row>
    <row r="71" spans="5:9" x14ac:dyDescent="0.2">
      <c r="E71" s="2570"/>
      <c r="F71" s="1168" t="str">
        <f t="shared" ref="F71:F87" si="2">INDEX(TL_KRP,ROW()-69)</f>
        <v>Athletik</v>
      </c>
      <c r="G71" s="1086"/>
      <c r="I71" s="1271"/>
    </row>
    <row r="72" spans="5:9" x14ac:dyDescent="0.2">
      <c r="E72" s="2570"/>
      <c r="F72" s="1169" t="str">
        <f t="shared" si="2"/>
        <v>Fliegen</v>
      </c>
      <c r="G72" s="1155"/>
      <c r="I72" s="1271"/>
    </row>
    <row r="73" spans="5:9" x14ac:dyDescent="0.2">
      <c r="E73" s="2570"/>
      <c r="F73" s="1168" t="str">
        <f t="shared" si="2"/>
        <v>Gaukeleien</v>
      </c>
      <c r="G73" s="1086"/>
      <c r="I73" s="1271"/>
    </row>
    <row r="74" spans="5:9" x14ac:dyDescent="0.2">
      <c r="E74" s="2570"/>
      <c r="F74" s="1170" t="str">
        <f t="shared" si="2"/>
        <v>Klettern</v>
      </c>
      <c r="G74" s="1156"/>
      <c r="I74" s="1271"/>
    </row>
    <row r="75" spans="5:9" x14ac:dyDescent="0.2">
      <c r="E75" s="2570"/>
      <c r="F75" s="1170" t="str">
        <f t="shared" si="2"/>
        <v>Körperbeherrschung</v>
      </c>
      <c r="G75" s="1156"/>
      <c r="I75" s="1271"/>
    </row>
    <row r="76" spans="5:9" x14ac:dyDescent="0.2">
      <c r="E76" s="2570"/>
      <c r="F76" s="1169" t="str">
        <f t="shared" si="2"/>
        <v>Reiten</v>
      </c>
      <c r="G76" s="1155"/>
      <c r="I76" s="1271"/>
    </row>
    <row r="77" spans="5:9" x14ac:dyDescent="0.2">
      <c r="E77" s="2570"/>
      <c r="F77" s="1170" t="str">
        <f t="shared" si="2"/>
        <v>Schleichen</v>
      </c>
      <c r="G77" s="1156"/>
      <c r="I77" s="1271"/>
    </row>
    <row r="78" spans="5:9" x14ac:dyDescent="0.2">
      <c r="E78" s="2570"/>
      <c r="F78" s="1170" t="str">
        <f t="shared" si="2"/>
        <v>Schwimmen</v>
      </c>
      <c r="G78" s="1156"/>
      <c r="I78" s="1271"/>
    </row>
    <row r="79" spans="5:9" x14ac:dyDescent="0.2">
      <c r="E79" s="2570"/>
      <c r="F79" s="1170" t="str">
        <f t="shared" si="2"/>
        <v>Selbstbeherrschung</v>
      </c>
      <c r="G79" s="1156"/>
      <c r="I79" s="1271"/>
    </row>
    <row r="80" spans="5:9" x14ac:dyDescent="0.2">
      <c r="E80" s="2570"/>
      <c r="F80" s="1170" t="str">
        <f t="shared" si="2"/>
        <v>Sich Verstecken</v>
      </c>
      <c r="G80" s="1156"/>
      <c r="I80" s="1271"/>
    </row>
    <row r="81" spans="5:9" x14ac:dyDescent="0.2">
      <c r="E81" s="2570"/>
      <c r="F81" s="1170" t="str">
        <f t="shared" si="2"/>
        <v>Singen</v>
      </c>
      <c r="G81" s="1156"/>
      <c r="I81" s="1271"/>
    </row>
    <row r="82" spans="5:9" x14ac:dyDescent="0.2">
      <c r="E82" s="2570"/>
      <c r="F82" s="1170" t="str">
        <f t="shared" si="2"/>
        <v>Sinnenschärfe</v>
      </c>
      <c r="G82" s="1156"/>
      <c r="I82" s="1271"/>
    </row>
    <row r="83" spans="5:9" x14ac:dyDescent="0.2">
      <c r="E83" s="2570"/>
      <c r="F83" s="1168" t="str">
        <f t="shared" si="2"/>
        <v>Skifahren</v>
      </c>
      <c r="G83" s="1086"/>
      <c r="I83" s="1271"/>
    </row>
    <row r="84" spans="5:9" x14ac:dyDescent="0.2">
      <c r="E84" s="2570"/>
      <c r="F84" s="1169" t="str">
        <f t="shared" si="2"/>
        <v>Stimmen imitieren</v>
      </c>
      <c r="G84" s="1155"/>
      <c r="I84" s="1271"/>
    </row>
    <row r="85" spans="5:9" x14ac:dyDescent="0.2">
      <c r="E85" s="2570"/>
      <c r="F85" s="1170" t="str">
        <f t="shared" si="2"/>
        <v>Tanzen</v>
      </c>
      <c r="G85" s="1156"/>
      <c r="I85" s="1271"/>
    </row>
    <row r="86" spans="5:9" x14ac:dyDescent="0.2">
      <c r="E86" s="2570"/>
      <c r="F86" s="1168" t="str">
        <f t="shared" si="2"/>
        <v>Taschendiebstahl</v>
      </c>
      <c r="G86" s="1086"/>
      <c r="I86" s="1271"/>
    </row>
    <row r="87" spans="5:9" x14ac:dyDescent="0.2">
      <c r="E87" s="2571"/>
      <c r="F87" s="1172" t="str">
        <f t="shared" si="2"/>
        <v>Zechen</v>
      </c>
      <c r="G87" s="1259"/>
      <c r="I87" s="1271"/>
    </row>
    <row r="88" spans="5:9" x14ac:dyDescent="0.2">
      <c r="E88" s="2569" t="s">
        <v>3310</v>
      </c>
      <c r="F88" s="1169" t="str">
        <f>INDEX(TL_GES,ROW()-87)</f>
        <v>Betören</v>
      </c>
      <c r="G88" s="1155"/>
      <c r="I88" s="1271"/>
    </row>
    <row r="89" spans="5:9" x14ac:dyDescent="0.2">
      <c r="E89" s="2570"/>
      <c r="F89" s="1168" t="str">
        <f t="shared" ref="F89:F98" si="3">INDEX(TL_GES,ROW()-87)</f>
        <v>Etikette</v>
      </c>
      <c r="G89" s="1086"/>
      <c r="I89" s="1271"/>
    </row>
    <row r="90" spans="5:9" x14ac:dyDescent="0.2">
      <c r="E90" s="2570"/>
      <c r="F90" s="1169" t="str">
        <f t="shared" si="3"/>
        <v>Galanterie</v>
      </c>
      <c r="G90" s="1155"/>
      <c r="I90" s="1271"/>
    </row>
    <row r="91" spans="5:9" x14ac:dyDescent="0.2">
      <c r="E91" s="2570"/>
      <c r="F91" s="1168" t="str">
        <f t="shared" si="3"/>
        <v>Gassenwissen</v>
      </c>
      <c r="G91" s="1086"/>
      <c r="I91" s="1271"/>
    </row>
    <row r="92" spans="5:9" x14ac:dyDescent="0.2">
      <c r="E92" s="2570"/>
      <c r="F92" s="1169" t="str">
        <f t="shared" si="3"/>
        <v>Lehren</v>
      </c>
      <c r="G92" s="1155"/>
      <c r="I92" s="1271"/>
    </row>
    <row r="93" spans="5:9" x14ac:dyDescent="0.2">
      <c r="E93" s="2570"/>
      <c r="F93" s="1170" t="str">
        <f t="shared" si="3"/>
        <v>Menschenkenntnis</v>
      </c>
      <c r="G93" s="1156"/>
      <c r="I93" s="1271"/>
    </row>
    <row r="94" spans="5:9" x14ac:dyDescent="0.2">
      <c r="E94" s="2570"/>
      <c r="F94" s="1168" t="str">
        <f t="shared" si="3"/>
        <v>Schauspielerei</v>
      </c>
      <c r="G94" s="1086"/>
      <c r="I94" s="1271"/>
    </row>
    <row r="95" spans="5:9" x14ac:dyDescent="0.2">
      <c r="E95" s="2570"/>
      <c r="F95" s="1169" t="str">
        <f t="shared" si="3"/>
        <v>Schriftl. Ausdruck</v>
      </c>
      <c r="G95" s="1155"/>
      <c r="I95" s="1271"/>
    </row>
    <row r="96" spans="5:9" x14ac:dyDescent="0.2">
      <c r="E96" s="2570"/>
      <c r="F96" s="1168" t="str">
        <f t="shared" si="3"/>
        <v>Sich Verkleiden</v>
      </c>
      <c r="G96" s="1086"/>
      <c r="I96" s="1271"/>
    </row>
    <row r="97" spans="5:9" x14ac:dyDescent="0.2">
      <c r="E97" s="2570"/>
      <c r="F97" s="1170" t="str">
        <f t="shared" si="3"/>
        <v>Überreden</v>
      </c>
      <c r="G97" s="1156"/>
      <c r="I97" s="1271"/>
    </row>
    <row r="98" spans="5:9" x14ac:dyDescent="0.2">
      <c r="E98" s="2570"/>
      <c r="F98" s="1173" t="str">
        <f t="shared" si="3"/>
        <v>Überzeugen</v>
      </c>
      <c r="G98" s="1159"/>
      <c r="I98" s="1271"/>
    </row>
    <row r="99" spans="5:9" x14ac:dyDescent="0.2">
      <c r="E99" s="2570" t="s">
        <v>3997</v>
      </c>
      <c r="F99" s="1170" t="str">
        <f>INDEX(TL_NAT,ROW()-98)</f>
        <v>Fährtensuchen</v>
      </c>
      <c r="G99" s="1156"/>
      <c r="I99" s="1271"/>
    </row>
    <row r="100" spans="5:9" x14ac:dyDescent="0.2">
      <c r="E100" s="2570"/>
      <c r="F100" s="1169" t="str">
        <f t="shared" ref="F100:F106" si="4">INDEX(TL_NAT,ROW()-98)</f>
        <v>Fallenstellen</v>
      </c>
      <c r="G100" s="1155"/>
      <c r="I100" s="1271"/>
    </row>
    <row r="101" spans="5:9" x14ac:dyDescent="0.2">
      <c r="E101" s="2570"/>
      <c r="F101" s="1168" t="str">
        <f t="shared" si="4"/>
        <v>Fesseln/Entfesseln</v>
      </c>
      <c r="G101" s="1086"/>
      <c r="I101" s="1271"/>
    </row>
    <row r="102" spans="5:9" x14ac:dyDescent="0.2">
      <c r="E102" s="2570"/>
      <c r="F102" s="1169" t="str">
        <f t="shared" si="4"/>
        <v>Fischen/Angeln</v>
      </c>
      <c r="G102" s="1155"/>
      <c r="I102" s="1271"/>
    </row>
    <row r="103" spans="5:9" x14ac:dyDescent="0.2">
      <c r="E103" s="2570"/>
      <c r="F103" s="1170" t="str">
        <f t="shared" si="4"/>
        <v>Orientierung</v>
      </c>
      <c r="G103" s="1156"/>
      <c r="I103" s="1271"/>
    </row>
    <row r="104" spans="5:9" x14ac:dyDescent="0.2">
      <c r="E104" s="2570"/>
      <c r="F104" s="1168" t="str">
        <f t="shared" si="4"/>
        <v>Seefischerei</v>
      </c>
      <c r="G104" s="1086"/>
      <c r="I104" s="1271"/>
    </row>
    <row r="105" spans="5:9" x14ac:dyDescent="0.2">
      <c r="E105" s="2570"/>
      <c r="F105" s="1169" t="str">
        <f t="shared" si="4"/>
        <v>Wettervorhersage</v>
      </c>
      <c r="G105" s="1155"/>
      <c r="I105" s="1271"/>
    </row>
    <row r="106" spans="5:9" x14ac:dyDescent="0.2">
      <c r="E106" s="2571"/>
      <c r="F106" s="1174" t="str">
        <f t="shared" si="4"/>
        <v>Wildnisleben</v>
      </c>
      <c r="G106" s="1158"/>
      <c r="I106" s="1271"/>
    </row>
    <row r="107" spans="5:9" x14ac:dyDescent="0.2">
      <c r="E107" s="2569" t="s">
        <v>3321</v>
      </c>
      <c r="F107" s="1168" t="str">
        <f>INDEX(TL_WIS,ROW()-106)</f>
        <v>Anatomie</v>
      </c>
      <c r="G107" s="1086"/>
      <c r="I107" s="1271"/>
    </row>
    <row r="108" spans="5:9" x14ac:dyDescent="0.2">
      <c r="E108" s="2570"/>
      <c r="F108" s="1169" t="str">
        <f t="shared" ref="F108:F130" si="5">INDEX(TL_WIS,ROW()-106)</f>
        <v>Baukunst</v>
      </c>
      <c r="G108" s="1155"/>
      <c r="I108" s="1271"/>
    </row>
    <row r="109" spans="5:9" x14ac:dyDescent="0.2">
      <c r="E109" s="2570"/>
      <c r="F109" s="1168" t="str">
        <f t="shared" si="5"/>
        <v>Brett-/Kartenspiel</v>
      </c>
      <c r="G109" s="1086"/>
      <c r="I109" s="1271"/>
    </row>
    <row r="110" spans="5:9" x14ac:dyDescent="0.2">
      <c r="E110" s="2570"/>
      <c r="F110" s="1169" t="str">
        <f t="shared" si="5"/>
        <v>Geographie</v>
      </c>
      <c r="G110" s="1155"/>
      <c r="I110" s="1271"/>
    </row>
    <row r="111" spans="5:9" x14ac:dyDescent="0.2">
      <c r="E111" s="2570"/>
      <c r="F111" s="1168" t="str">
        <f t="shared" si="5"/>
        <v>Geschichtswissen</v>
      </c>
      <c r="G111" s="1086"/>
      <c r="I111" s="1271"/>
    </row>
    <row r="112" spans="5:9" x14ac:dyDescent="0.2">
      <c r="E112" s="2570"/>
      <c r="F112" s="1169" t="str">
        <f t="shared" si="5"/>
        <v>Gesteinskunde</v>
      </c>
      <c r="G112" s="1155"/>
      <c r="I112" s="1271"/>
    </row>
    <row r="113" spans="5:9" x14ac:dyDescent="0.2">
      <c r="E113" s="2570"/>
      <c r="F113" s="1170" t="str">
        <f t="shared" si="5"/>
        <v>Götter/Kulte</v>
      </c>
      <c r="G113" s="1156"/>
      <c r="I113" s="1271"/>
    </row>
    <row r="114" spans="5:9" x14ac:dyDescent="0.2">
      <c r="E114" s="2570"/>
      <c r="F114" s="1168" t="str">
        <f t="shared" si="5"/>
        <v>Heraldik</v>
      </c>
      <c r="G114" s="1086"/>
      <c r="I114" s="1271"/>
    </row>
    <row r="115" spans="5:9" x14ac:dyDescent="0.2">
      <c r="E115" s="2570"/>
      <c r="F115" s="1169" t="str">
        <f t="shared" si="5"/>
        <v>Hüttenkunde</v>
      </c>
      <c r="G115" s="1155"/>
      <c r="I115" s="1271"/>
    </row>
    <row r="116" spans="5:9" x14ac:dyDescent="0.2">
      <c r="E116" s="2570"/>
      <c r="F116" s="1168" t="str">
        <f t="shared" si="5"/>
        <v>Kriegskunst</v>
      </c>
      <c r="G116" s="1086"/>
      <c r="I116" s="1271"/>
    </row>
    <row r="117" spans="5:9" x14ac:dyDescent="0.2">
      <c r="E117" s="2570"/>
      <c r="F117" s="1169" t="str">
        <f t="shared" si="5"/>
        <v>Kryptographie</v>
      </c>
      <c r="G117" s="1155"/>
      <c r="I117" s="1271"/>
    </row>
    <row r="118" spans="5:9" x14ac:dyDescent="0.2">
      <c r="E118" s="2570"/>
      <c r="F118" s="1168" t="str">
        <f t="shared" si="5"/>
        <v>Magiekunde</v>
      </c>
      <c r="G118" s="1086"/>
      <c r="I118" s="1271"/>
    </row>
    <row r="119" spans="5:9" x14ac:dyDescent="0.2">
      <c r="E119" s="2570"/>
      <c r="F119" s="1169" t="str">
        <f t="shared" si="5"/>
        <v>Mechanik</v>
      </c>
      <c r="G119" s="1155"/>
      <c r="I119" s="1271"/>
    </row>
    <row r="120" spans="5:9" x14ac:dyDescent="0.2">
      <c r="E120" s="2570"/>
      <c r="F120" s="1168" t="str">
        <f t="shared" si="5"/>
        <v>Pflanzenkunde</v>
      </c>
      <c r="G120" s="1086"/>
      <c r="I120" s="1271"/>
    </row>
    <row r="121" spans="5:9" x14ac:dyDescent="0.2">
      <c r="E121" s="2570"/>
      <c r="F121" s="1169" t="str">
        <f t="shared" si="5"/>
        <v>Philosophie</v>
      </c>
      <c r="G121" s="1155"/>
      <c r="I121" s="1271"/>
    </row>
    <row r="122" spans="5:9" x14ac:dyDescent="0.2">
      <c r="E122" s="2570"/>
      <c r="F122" s="1170" t="str">
        <f t="shared" si="5"/>
        <v>Rechnen</v>
      </c>
      <c r="G122" s="1156"/>
      <c r="I122" s="1271"/>
    </row>
    <row r="123" spans="5:9" x14ac:dyDescent="0.2">
      <c r="E123" s="2570"/>
      <c r="F123" s="1168" t="str">
        <f t="shared" si="5"/>
        <v>Rechtskunde</v>
      </c>
      <c r="G123" s="1086"/>
      <c r="I123" s="1271"/>
    </row>
    <row r="124" spans="5:9" x14ac:dyDescent="0.2">
      <c r="E124" s="2570"/>
      <c r="F124" s="1170" t="str">
        <f t="shared" si="5"/>
        <v>Sagen/Legenden</v>
      </c>
      <c r="G124" s="1156"/>
      <c r="I124" s="1271"/>
    </row>
    <row r="125" spans="5:9" x14ac:dyDescent="0.2">
      <c r="E125" s="2570"/>
      <c r="F125" s="1169" t="str">
        <f t="shared" si="5"/>
        <v>Schätzen</v>
      </c>
      <c r="G125" s="1155"/>
      <c r="I125" s="1271"/>
    </row>
    <row r="126" spans="5:9" x14ac:dyDescent="0.2">
      <c r="E126" s="2570"/>
      <c r="F126" s="1168" t="str">
        <f t="shared" si="5"/>
        <v>Schiffbau</v>
      </c>
      <c r="G126" s="1086"/>
      <c r="I126" s="1271"/>
    </row>
    <row r="127" spans="5:9" x14ac:dyDescent="0.2">
      <c r="E127" s="2570"/>
      <c r="F127" s="1169" t="str">
        <f t="shared" si="5"/>
        <v>Sprachenkunde</v>
      </c>
      <c r="G127" s="1155"/>
      <c r="I127" s="1271"/>
    </row>
    <row r="128" spans="5:9" x14ac:dyDescent="0.2">
      <c r="E128" s="2570"/>
      <c r="F128" s="1168" t="str">
        <f t="shared" si="5"/>
        <v>Staatskunst</v>
      </c>
      <c r="G128" s="1086"/>
      <c r="I128" s="1271"/>
    </row>
    <row r="129" spans="5:9" x14ac:dyDescent="0.2">
      <c r="E129" s="2570"/>
      <c r="F129" s="1169" t="str">
        <f t="shared" si="5"/>
        <v>Sternkunde</v>
      </c>
      <c r="G129" s="1155"/>
      <c r="I129" s="1271"/>
    </row>
    <row r="130" spans="5:9" x14ac:dyDescent="0.2">
      <c r="E130" s="2571"/>
      <c r="F130" s="1171" t="str">
        <f t="shared" si="5"/>
        <v>Tierkunde</v>
      </c>
      <c r="G130" s="1157"/>
      <c r="I130" s="1271"/>
    </row>
    <row r="131" spans="5:9" x14ac:dyDescent="0.2">
      <c r="E131" s="2569" t="s">
        <v>3309</v>
      </c>
      <c r="F131" s="1169" t="str">
        <f>INDEX(TL_HWK,ROW()-130)</f>
        <v>Abrichten</v>
      </c>
      <c r="G131" s="1155"/>
      <c r="I131" s="1271"/>
    </row>
    <row r="132" spans="5:9" x14ac:dyDescent="0.2">
      <c r="E132" s="2570"/>
      <c r="F132" s="1168" t="str">
        <f t="shared" ref="F132:F181" si="6">INDEX(TL_HWK,ROW()-130)</f>
        <v>Ackerbau</v>
      </c>
      <c r="G132" s="1086"/>
      <c r="I132" s="1271"/>
    </row>
    <row r="133" spans="5:9" x14ac:dyDescent="0.2">
      <c r="E133" s="2570"/>
      <c r="F133" s="1169" t="str">
        <f t="shared" si="6"/>
        <v>Alchimie</v>
      </c>
      <c r="G133" s="1155"/>
      <c r="I133" s="1271"/>
    </row>
    <row r="134" spans="5:9" x14ac:dyDescent="0.2">
      <c r="E134" s="2570"/>
      <c r="F134" s="1168" t="str">
        <f t="shared" si="6"/>
        <v>Bergbau</v>
      </c>
      <c r="G134" s="1086"/>
      <c r="I134" s="1271"/>
    </row>
    <row r="135" spans="5:9" x14ac:dyDescent="0.2">
      <c r="E135" s="2570"/>
      <c r="F135" s="1169" t="str">
        <f t="shared" si="6"/>
        <v>Bogenbau</v>
      </c>
      <c r="G135" s="1155"/>
      <c r="I135" s="1271"/>
    </row>
    <row r="136" spans="5:9" x14ac:dyDescent="0.2">
      <c r="E136" s="2570"/>
      <c r="F136" s="1168" t="str">
        <f t="shared" si="6"/>
        <v>Boote Fahren</v>
      </c>
      <c r="G136" s="1086"/>
      <c r="I136" s="1271"/>
    </row>
    <row r="137" spans="5:9" x14ac:dyDescent="0.2">
      <c r="E137" s="2570"/>
      <c r="F137" s="1169" t="str">
        <f t="shared" si="6"/>
        <v>Brauer</v>
      </c>
      <c r="G137" s="1155"/>
      <c r="I137" s="1271"/>
    </row>
    <row r="138" spans="5:9" x14ac:dyDescent="0.2">
      <c r="E138" s="2570"/>
      <c r="F138" s="1168" t="str">
        <f t="shared" si="6"/>
        <v>Drucker</v>
      </c>
      <c r="G138" s="1086"/>
      <c r="I138" s="1271"/>
    </row>
    <row r="139" spans="5:9" x14ac:dyDescent="0.2">
      <c r="E139" s="2570"/>
      <c r="F139" s="1169" t="str">
        <f t="shared" si="6"/>
        <v>Eissegler Fahren</v>
      </c>
      <c r="G139" s="1155"/>
      <c r="I139" s="1271"/>
    </row>
    <row r="140" spans="5:9" x14ac:dyDescent="0.2">
      <c r="E140" s="2570"/>
      <c r="F140" s="1168" t="str">
        <f t="shared" si="6"/>
        <v>Fahrzeug Lenken</v>
      </c>
      <c r="G140" s="1086"/>
      <c r="I140" s="1271"/>
    </row>
    <row r="141" spans="5:9" x14ac:dyDescent="0.2">
      <c r="E141" s="2570"/>
      <c r="F141" s="1169" t="str">
        <f t="shared" si="6"/>
        <v>Falschspiel</v>
      </c>
      <c r="G141" s="1155"/>
      <c r="I141" s="1271"/>
    </row>
    <row r="142" spans="5:9" x14ac:dyDescent="0.2">
      <c r="E142" s="2570"/>
      <c r="F142" s="1168" t="str">
        <f t="shared" si="6"/>
        <v>Feinmechanik</v>
      </c>
      <c r="G142" s="1086"/>
      <c r="I142" s="1271"/>
    </row>
    <row r="143" spans="5:9" x14ac:dyDescent="0.2">
      <c r="E143" s="2570"/>
      <c r="F143" s="1169" t="str">
        <f t="shared" si="6"/>
        <v>Feuersteinbearbeitung</v>
      </c>
      <c r="G143" s="1155"/>
      <c r="I143" s="1271"/>
    </row>
    <row r="144" spans="5:9" x14ac:dyDescent="0.2">
      <c r="E144" s="2570"/>
      <c r="F144" s="1168" t="str">
        <f t="shared" si="6"/>
        <v>Fleischer</v>
      </c>
      <c r="G144" s="1086"/>
      <c r="I144" s="1271"/>
    </row>
    <row r="145" spans="5:9" x14ac:dyDescent="0.2">
      <c r="E145" s="2570"/>
      <c r="F145" s="1169" t="str">
        <f t="shared" si="6"/>
        <v>Gerber/Kürschner</v>
      </c>
      <c r="G145" s="1155"/>
      <c r="I145" s="1271"/>
    </row>
    <row r="146" spans="5:9" x14ac:dyDescent="0.2">
      <c r="E146" s="2570"/>
      <c r="F146" s="1168" t="str">
        <f t="shared" si="6"/>
        <v>Glaskunst</v>
      </c>
      <c r="G146" s="1086"/>
      <c r="I146" s="1271"/>
    </row>
    <row r="147" spans="5:9" x14ac:dyDescent="0.2">
      <c r="E147" s="2570"/>
      <c r="F147" s="1169" t="str">
        <f t="shared" si="6"/>
        <v>Grobschmied</v>
      </c>
      <c r="G147" s="1155"/>
      <c r="I147" s="1271"/>
    </row>
    <row r="148" spans="5:9" x14ac:dyDescent="0.2">
      <c r="E148" s="2570"/>
      <c r="F148" s="1168" t="str">
        <f t="shared" si="6"/>
        <v>Handel</v>
      </c>
      <c r="G148" s="1086"/>
      <c r="I148" s="1271"/>
    </row>
    <row r="149" spans="5:9" x14ac:dyDescent="0.2">
      <c r="E149" s="2570"/>
      <c r="F149" s="1169" t="str">
        <f t="shared" si="6"/>
        <v>Hauswirtschaft</v>
      </c>
      <c r="G149" s="1155"/>
      <c r="I149" s="1271"/>
    </row>
    <row r="150" spans="5:9" x14ac:dyDescent="0.2">
      <c r="E150" s="2570"/>
      <c r="F150" s="1168" t="str">
        <f t="shared" si="6"/>
        <v>Heilkunde Gift</v>
      </c>
      <c r="G150" s="1086"/>
      <c r="I150" s="1271"/>
    </row>
    <row r="151" spans="5:9" x14ac:dyDescent="0.2">
      <c r="E151" s="2570"/>
      <c r="F151" s="1169" t="str">
        <f t="shared" si="6"/>
        <v>Heilkunde Krankheiten</v>
      </c>
      <c r="G151" s="1155"/>
      <c r="I151" s="1271"/>
    </row>
    <row r="152" spans="5:9" x14ac:dyDescent="0.2">
      <c r="E152" s="2570"/>
      <c r="F152" s="1168" t="str">
        <f t="shared" si="6"/>
        <v>Heilkunde Seele</v>
      </c>
      <c r="G152" s="1086"/>
      <c r="I152" s="1271"/>
    </row>
    <row r="153" spans="5:9" x14ac:dyDescent="0.2">
      <c r="E153" s="2570"/>
      <c r="F153" s="1170" t="str">
        <f t="shared" si="6"/>
        <v>Heilkunde Wunden</v>
      </c>
      <c r="G153" s="1156"/>
      <c r="I153" s="1271"/>
    </row>
    <row r="154" spans="5:9" x14ac:dyDescent="0.2">
      <c r="E154" s="2570"/>
      <c r="F154" s="1170" t="str">
        <f t="shared" si="6"/>
        <v>Holzbearbeitung</v>
      </c>
      <c r="G154" s="1156"/>
      <c r="I154" s="1271"/>
    </row>
    <row r="155" spans="5:9" x14ac:dyDescent="0.2">
      <c r="E155" s="2570"/>
      <c r="F155" s="1169" t="str">
        <f t="shared" si="6"/>
        <v>Hundeschlitten Fahren</v>
      </c>
      <c r="G155" s="1155"/>
      <c r="I155" s="1271"/>
    </row>
    <row r="156" spans="5:9" x14ac:dyDescent="0.2">
      <c r="E156" s="2570"/>
      <c r="F156" s="1168" t="str">
        <f t="shared" si="6"/>
        <v>Instrumentenbauer</v>
      </c>
      <c r="G156" s="1086"/>
      <c r="I156" s="1271"/>
    </row>
    <row r="157" spans="5:9" x14ac:dyDescent="0.2">
      <c r="E157" s="2570"/>
      <c r="F157" s="1169" t="str">
        <f t="shared" si="6"/>
        <v>Kapellmeister</v>
      </c>
      <c r="G157" s="1155"/>
      <c r="I157" s="1271"/>
    </row>
    <row r="158" spans="5:9" x14ac:dyDescent="0.2">
      <c r="E158" s="2570"/>
      <c r="F158" s="1168" t="str">
        <f t="shared" si="6"/>
        <v>Kartographie</v>
      </c>
      <c r="G158" s="1086"/>
      <c r="I158" s="1271"/>
    </row>
    <row r="159" spans="5:9" x14ac:dyDescent="0.2">
      <c r="E159" s="2570"/>
      <c r="F159" s="1170" t="str">
        <f t="shared" si="6"/>
        <v>Kochen</v>
      </c>
      <c r="G159" s="1156"/>
      <c r="I159" s="1271"/>
    </row>
    <row r="160" spans="5:9" x14ac:dyDescent="0.2">
      <c r="E160" s="2570"/>
      <c r="F160" s="1169" t="str">
        <f t="shared" si="6"/>
        <v>Kristallzüchter</v>
      </c>
      <c r="G160" s="1155"/>
      <c r="I160" s="1271"/>
    </row>
    <row r="161" spans="5:9" x14ac:dyDescent="0.2">
      <c r="E161" s="2570"/>
      <c r="F161" s="1170" t="str">
        <f t="shared" si="6"/>
        <v>Lederarbeiten</v>
      </c>
      <c r="G161" s="1156"/>
      <c r="I161" s="1271"/>
    </row>
    <row r="162" spans="5:9" x14ac:dyDescent="0.2">
      <c r="E162" s="2570"/>
      <c r="F162" s="1170" t="str">
        <f t="shared" si="6"/>
        <v>Malen/Zeichnen</v>
      </c>
      <c r="G162" s="1156"/>
      <c r="I162" s="1271"/>
    </row>
    <row r="163" spans="5:9" x14ac:dyDescent="0.2">
      <c r="E163" s="2570"/>
      <c r="F163" s="1168" t="str">
        <f t="shared" si="6"/>
        <v>Maurer</v>
      </c>
      <c r="G163" s="1086"/>
      <c r="I163" s="1271"/>
    </row>
    <row r="164" spans="5:9" x14ac:dyDescent="0.2">
      <c r="E164" s="2570"/>
      <c r="F164" s="1169" t="str">
        <f t="shared" si="6"/>
        <v>Metallguss</v>
      </c>
      <c r="G164" s="1155"/>
      <c r="I164" s="1271"/>
    </row>
    <row r="165" spans="5:9" x14ac:dyDescent="0.2">
      <c r="E165" s="2570"/>
      <c r="F165" s="1168" t="str">
        <f t="shared" si="6"/>
        <v>Musizieren</v>
      </c>
      <c r="G165" s="1086"/>
      <c r="I165" s="1271"/>
    </row>
    <row r="166" spans="5:9" x14ac:dyDescent="0.2">
      <c r="E166" s="2570"/>
      <c r="F166" s="1169" t="str">
        <f t="shared" si="6"/>
        <v>Schlösser Knacken</v>
      </c>
      <c r="G166" s="1155"/>
      <c r="I166" s="1271"/>
    </row>
    <row r="167" spans="5:9" x14ac:dyDescent="0.2">
      <c r="E167" s="2570"/>
      <c r="F167" s="1168" t="str">
        <f t="shared" si="6"/>
        <v>Schnaps Brennen</v>
      </c>
      <c r="G167" s="1086"/>
      <c r="I167" s="1271"/>
    </row>
    <row r="168" spans="5:9" x14ac:dyDescent="0.2">
      <c r="E168" s="2570"/>
      <c r="F168" s="1170" t="str">
        <f t="shared" si="6"/>
        <v>Schneidern</v>
      </c>
      <c r="G168" s="1156"/>
      <c r="I168" s="1271"/>
    </row>
    <row r="169" spans="5:9" x14ac:dyDescent="0.2">
      <c r="E169" s="2570"/>
      <c r="F169" s="1169" t="str">
        <f t="shared" si="6"/>
        <v>Seefahrt</v>
      </c>
      <c r="G169" s="1155"/>
      <c r="I169" s="1271"/>
    </row>
    <row r="170" spans="5:9" x14ac:dyDescent="0.2">
      <c r="E170" s="2570"/>
      <c r="F170" s="1168" t="str">
        <f t="shared" si="6"/>
        <v>Seiler</v>
      </c>
      <c r="G170" s="1086"/>
      <c r="I170" s="1271"/>
    </row>
    <row r="171" spans="5:9" x14ac:dyDescent="0.2">
      <c r="E171" s="2570"/>
      <c r="F171" s="1169" t="str">
        <f t="shared" si="6"/>
        <v>Steinmetz</v>
      </c>
      <c r="G171" s="1155"/>
      <c r="I171" s="1271"/>
    </row>
    <row r="172" spans="5:9" x14ac:dyDescent="0.2">
      <c r="E172" s="2570"/>
      <c r="F172" s="1168" t="str">
        <f t="shared" si="6"/>
        <v>Steinschneider/Juwelier</v>
      </c>
      <c r="G172" s="1086"/>
      <c r="I172" s="1271"/>
    </row>
    <row r="173" spans="5:9" x14ac:dyDescent="0.2">
      <c r="E173" s="2570"/>
      <c r="F173" s="1169" t="str">
        <f t="shared" si="6"/>
        <v>Stellmacher</v>
      </c>
      <c r="G173" s="1155"/>
      <c r="I173" s="1271"/>
    </row>
    <row r="174" spans="5:9" x14ac:dyDescent="0.2">
      <c r="E174" s="2570"/>
      <c r="F174" s="1168" t="str">
        <f t="shared" si="6"/>
        <v>Steuermann</v>
      </c>
      <c r="G174" s="1086"/>
      <c r="I174" s="1271"/>
    </row>
    <row r="175" spans="5:9" x14ac:dyDescent="0.2">
      <c r="E175" s="2570"/>
      <c r="F175" s="1169" t="str">
        <f t="shared" si="6"/>
        <v>Stoffe Färben</v>
      </c>
      <c r="G175" s="1155"/>
      <c r="I175" s="1271"/>
    </row>
    <row r="176" spans="5:9" x14ac:dyDescent="0.2">
      <c r="E176" s="2570"/>
      <c r="F176" s="1168" t="str">
        <f t="shared" si="6"/>
        <v>Tätowieren</v>
      </c>
      <c r="G176" s="1086"/>
      <c r="I176" s="1271"/>
    </row>
    <row r="177" spans="5:9" x14ac:dyDescent="0.2">
      <c r="E177" s="2570"/>
      <c r="F177" s="1169" t="str">
        <f t="shared" si="6"/>
        <v>Töpfern</v>
      </c>
      <c r="G177" s="1155"/>
      <c r="I177" s="1271"/>
    </row>
    <row r="178" spans="5:9" x14ac:dyDescent="0.2">
      <c r="E178" s="2570"/>
      <c r="F178" s="1168" t="str">
        <f t="shared" si="6"/>
        <v>Viehzucht</v>
      </c>
      <c r="G178" s="1086"/>
      <c r="I178" s="1271"/>
    </row>
    <row r="179" spans="5:9" x14ac:dyDescent="0.2">
      <c r="E179" s="2570"/>
      <c r="F179" s="1169" t="str">
        <f t="shared" si="6"/>
        <v>Webkunst</v>
      </c>
      <c r="G179" s="1155"/>
      <c r="I179" s="1271"/>
    </row>
    <row r="180" spans="5:9" x14ac:dyDescent="0.2">
      <c r="E180" s="2570"/>
      <c r="F180" s="1168" t="str">
        <f t="shared" si="6"/>
        <v>Winzer</v>
      </c>
      <c r="G180" s="1086"/>
      <c r="I180" s="1271"/>
    </row>
    <row r="181" spans="5:9" x14ac:dyDescent="0.2">
      <c r="E181" s="2571"/>
      <c r="F181" s="1173" t="str">
        <f t="shared" si="6"/>
        <v>Zimmermann</v>
      </c>
      <c r="G181" s="1159"/>
      <c r="I181" s="1271"/>
    </row>
    <row r="182" spans="5:9" ht="12.75" customHeight="1" x14ac:dyDescent="0.2">
      <c r="E182" s="2569" t="s">
        <v>1642</v>
      </c>
      <c r="F182" s="1224" t="str">
        <f t="shared" ref="F182:F227" si="7">INDEX(SPRACHEN,ROW()-IDX_S+1)</f>
        <v>Alaani ('Norbardisch')</v>
      </c>
      <c r="G182" s="1140"/>
      <c r="I182" s="1272" t="s">
        <v>1515</v>
      </c>
    </row>
    <row r="183" spans="5:9" x14ac:dyDescent="0.2">
      <c r="E183" s="2570"/>
      <c r="F183" s="1225" t="str">
        <f t="shared" si="7"/>
        <v>Alberned (Dialekt)</v>
      </c>
      <c r="G183" s="1163"/>
      <c r="I183" s="1273" t="s">
        <v>6773</v>
      </c>
    </row>
    <row r="184" spans="5:9" x14ac:dyDescent="0.2">
      <c r="E184" s="2570"/>
      <c r="F184" s="1224" t="str">
        <f t="shared" si="7"/>
        <v>Andergastisch (Dialekt)</v>
      </c>
      <c r="G184" s="1140"/>
      <c r="I184" s="1271"/>
    </row>
    <row r="185" spans="5:9" x14ac:dyDescent="0.2">
      <c r="E185" s="2570"/>
      <c r="F185" s="1225" t="str">
        <f t="shared" si="7"/>
        <v>Angram</v>
      </c>
      <c r="G185" s="1163"/>
      <c r="I185" s="1271"/>
    </row>
    <row r="186" spans="5:9" x14ac:dyDescent="0.2">
      <c r="E186" s="2570"/>
      <c r="F186" s="1224" t="str">
        <f t="shared" si="7"/>
        <v>Asdharia</v>
      </c>
      <c r="G186" s="1140"/>
      <c r="I186" s="1273" t="s">
        <v>6771</v>
      </c>
    </row>
    <row r="187" spans="5:9" x14ac:dyDescent="0.2">
      <c r="E187" s="2570"/>
      <c r="F187" s="1225" t="str">
        <f t="shared" si="7"/>
        <v>Atak (inkl.  Schrift)</v>
      </c>
      <c r="G187" s="1163"/>
      <c r="I187" s="1273" t="s">
        <v>6772</v>
      </c>
    </row>
    <row r="188" spans="5:9" x14ac:dyDescent="0.2">
      <c r="E188" s="2570"/>
      <c r="F188" s="1224" t="str">
        <f t="shared" si="7"/>
        <v>Aureliani ('Altgüldenländisch')</v>
      </c>
      <c r="G188" s="1140"/>
      <c r="I188" s="1273" t="s">
        <v>6769</v>
      </c>
    </row>
    <row r="189" spans="5:9" x14ac:dyDescent="0.2">
      <c r="E189" s="2570"/>
      <c r="F189" s="1225" t="str">
        <f t="shared" si="7"/>
        <v>Bornländisch  (Dialekt)</v>
      </c>
      <c r="G189" s="1163"/>
      <c r="I189" s="1273" t="s">
        <v>6770</v>
      </c>
    </row>
    <row r="190" spans="5:9" x14ac:dyDescent="0.2">
      <c r="E190" s="2570"/>
      <c r="F190" s="1224" t="str">
        <f t="shared" si="7"/>
        <v>Bosparano</v>
      </c>
      <c r="G190" s="1140"/>
      <c r="I190" s="1271"/>
    </row>
    <row r="191" spans="5:9" x14ac:dyDescent="0.2">
      <c r="E191" s="2570"/>
      <c r="F191" s="1225" t="str">
        <f t="shared" si="7"/>
        <v>Brabaci  (Dialekt)</v>
      </c>
      <c r="G191" s="1163"/>
      <c r="I191" s="1271"/>
    </row>
    <row r="192" spans="5:9" x14ac:dyDescent="0.2">
      <c r="E192" s="2570"/>
      <c r="F192" s="1224" t="str">
        <f t="shared" si="7"/>
        <v>Charypto  (Dialekt)</v>
      </c>
      <c r="G192" s="1140"/>
      <c r="I192" s="1271"/>
    </row>
    <row r="193" spans="5:9" x14ac:dyDescent="0.2">
      <c r="E193" s="2570"/>
      <c r="F193" s="1225" t="str">
        <f t="shared" si="7"/>
        <v>Drachisch</v>
      </c>
      <c r="G193" s="1163"/>
      <c r="I193" s="1271"/>
    </row>
    <row r="194" spans="5:9" x14ac:dyDescent="0.2">
      <c r="E194" s="2570"/>
      <c r="F194" s="1224" t="str">
        <f t="shared" si="7"/>
        <v>Ferkina</v>
      </c>
      <c r="G194" s="1140"/>
      <c r="I194" s="1271"/>
    </row>
    <row r="195" spans="5:9" x14ac:dyDescent="0.2">
      <c r="E195" s="2570"/>
      <c r="F195" s="1225" t="str">
        <f t="shared" si="7"/>
        <v>Fjarningsch</v>
      </c>
      <c r="G195" s="1163"/>
      <c r="I195" s="1271"/>
    </row>
    <row r="196" spans="5:9" x14ac:dyDescent="0.2">
      <c r="E196" s="2570"/>
      <c r="F196" s="1224" t="str">
        <f t="shared" si="7"/>
        <v>Füchsisch (inkl. 'Schrift')</v>
      </c>
      <c r="G196" s="1140"/>
      <c r="I196" s="1271"/>
    </row>
    <row r="197" spans="5:9" x14ac:dyDescent="0.2">
      <c r="E197" s="2570"/>
      <c r="F197" s="1225" t="str">
        <f t="shared" si="7"/>
        <v>Garethi</v>
      </c>
      <c r="G197" s="1163"/>
      <c r="I197" s="1271"/>
    </row>
    <row r="198" spans="5:9" x14ac:dyDescent="0.2">
      <c r="E198" s="2570"/>
      <c r="F198" s="1224" t="str">
        <f t="shared" si="7"/>
        <v>Gatamo  (Dialekt)</v>
      </c>
      <c r="G198" s="1140"/>
      <c r="I198" s="1271"/>
    </row>
    <row r="199" spans="5:9" x14ac:dyDescent="0.2">
      <c r="E199" s="2570"/>
      <c r="F199" s="1225" t="str">
        <f t="shared" si="7"/>
        <v>Gjalskisch</v>
      </c>
      <c r="G199" s="1163"/>
      <c r="I199" s="1271"/>
    </row>
    <row r="200" spans="5:9" x14ac:dyDescent="0.2">
      <c r="E200" s="2570"/>
      <c r="F200" s="1224" t="str">
        <f t="shared" si="7"/>
        <v>Goblinisch</v>
      </c>
      <c r="G200" s="1140"/>
      <c r="I200" s="1271"/>
    </row>
    <row r="201" spans="5:9" x14ac:dyDescent="0.2">
      <c r="E201" s="2570"/>
      <c r="F201" s="1225" t="str">
        <f t="shared" si="7"/>
        <v>Grolmisch</v>
      </c>
      <c r="G201" s="1163"/>
      <c r="I201" s="1271"/>
    </row>
    <row r="202" spans="5:9" x14ac:dyDescent="0.2">
      <c r="E202" s="2570"/>
      <c r="F202" s="1224" t="str">
        <f t="shared" si="7"/>
        <v>Hjaldingsch ('Saga-Thorwalsch')</v>
      </c>
      <c r="G202" s="1140"/>
      <c r="I202" s="1271"/>
    </row>
    <row r="203" spans="5:9" x14ac:dyDescent="0.2">
      <c r="E203" s="2570"/>
      <c r="F203" s="1225" t="str">
        <f t="shared" si="7"/>
        <v>Horathi  (Dialekt)</v>
      </c>
      <c r="G203" s="1163"/>
      <c r="I203" s="1271"/>
    </row>
    <row r="204" spans="5:9" x14ac:dyDescent="0.2">
      <c r="E204" s="2570"/>
      <c r="F204" s="1224" t="str">
        <f t="shared" si="7"/>
        <v>Isdira</v>
      </c>
      <c r="G204" s="1140"/>
      <c r="I204" s="1271"/>
    </row>
    <row r="205" spans="5:9" x14ac:dyDescent="0.2">
      <c r="E205" s="2570"/>
      <c r="F205" s="1225" t="str">
        <f t="shared" si="7"/>
        <v>Koboldisch</v>
      </c>
      <c r="G205" s="1163"/>
      <c r="I205" s="1271"/>
    </row>
    <row r="206" spans="5:9" x14ac:dyDescent="0.2">
      <c r="E206" s="2570"/>
      <c r="F206" s="1224" t="str">
        <f t="shared" si="7"/>
        <v>Mahrisch</v>
      </c>
      <c r="G206" s="1140"/>
      <c r="I206" s="1271"/>
    </row>
    <row r="207" spans="5:9" x14ac:dyDescent="0.2">
      <c r="E207" s="2570"/>
      <c r="F207" s="1225" t="str">
        <f t="shared" si="7"/>
        <v>Maraskani  (Dialekt)</v>
      </c>
      <c r="G207" s="1163"/>
      <c r="I207" s="1271"/>
    </row>
    <row r="208" spans="5:9" x14ac:dyDescent="0.2">
      <c r="E208" s="2570"/>
      <c r="F208" s="1224" t="str">
        <f t="shared" si="7"/>
        <v>Mohisch</v>
      </c>
      <c r="G208" s="1140"/>
      <c r="I208" s="1271"/>
    </row>
    <row r="209" spans="5:9" x14ac:dyDescent="0.2">
      <c r="E209" s="2570"/>
      <c r="F209" s="1225" t="str">
        <f t="shared" si="7"/>
        <v>Molochisch</v>
      </c>
      <c r="G209" s="1163"/>
      <c r="I209" s="1271"/>
    </row>
    <row r="210" spans="5:9" x14ac:dyDescent="0.2">
      <c r="E210" s="2570"/>
      <c r="F210" s="1224" t="str">
        <f t="shared" si="7"/>
        <v>Neckergesang</v>
      </c>
      <c r="G210" s="1140"/>
      <c r="I210" s="1271"/>
    </row>
    <row r="211" spans="5:9" x14ac:dyDescent="0.2">
      <c r="E211" s="2570"/>
      <c r="F211" s="1225" t="str">
        <f t="shared" si="7"/>
        <v>Nujuka ('Nivesisch')</v>
      </c>
      <c r="G211" s="1163"/>
      <c r="I211" s="1271"/>
    </row>
    <row r="212" spans="5:9" x14ac:dyDescent="0.2">
      <c r="E212" s="2570"/>
      <c r="F212" s="1224" t="str">
        <f t="shared" si="7"/>
        <v>Oloarkh</v>
      </c>
      <c r="G212" s="1140"/>
      <c r="I212" s="1271"/>
    </row>
    <row r="213" spans="5:9" x14ac:dyDescent="0.2">
      <c r="E213" s="2570"/>
      <c r="F213" s="1225" t="str">
        <f t="shared" si="7"/>
        <v>Ologhaijan ('Hochorkisch')</v>
      </c>
      <c r="G213" s="1163"/>
      <c r="I213" s="1271"/>
    </row>
    <row r="214" spans="5:9" x14ac:dyDescent="0.2">
      <c r="E214" s="2570"/>
      <c r="F214" s="1224" t="str">
        <f t="shared" si="7"/>
        <v>Rabensprache</v>
      </c>
      <c r="G214" s="1140"/>
      <c r="I214" s="1271"/>
    </row>
    <row r="215" spans="5:9" x14ac:dyDescent="0.2">
      <c r="E215" s="2570"/>
      <c r="F215" s="1225" t="str">
        <f t="shared" si="7"/>
        <v>Rissoal</v>
      </c>
      <c r="G215" s="1163"/>
      <c r="I215" s="1271"/>
    </row>
    <row r="216" spans="5:9" x14ac:dyDescent="0.2">
      <c r="E216" s="2570"/>
      <c r="F216" s="1224" t="str">
        <f t="shared" si="7"/>
        <v>Rogolan</v>
      </c>
      <c r="G216" s="1140"/>
      <c r="I216" s="1271"/>
    </row>
    <row r="217" spans="5:9" x14ac:dyDescent="0.2">
      <c r="E217" s="2570"/>
      <c r="F217" s="1225" t="str">
        <f t="shared" si="7"/>
        <v>Rssahh</v>
      </c>
      <c r="G217" s="1163"/>
      <c r="I217" s="1271"/>
    </row>
    <row r="218" spans="5:9" x14ac:dyDescent="0.2">
      <c r="E218" s="2570"/>
      <c r="F218" s="1224" t="str">
        <f t="shared" si="7"/>
        <v>Ruuz ('Ur-Maraskanisch' )</v>
      </c>
      <c r="G218" s="1140"/>
      <c r="I218" s="1271"/>
    </row>
    <row r="219" spans="5:9" x14ac:dyDescent="0.2">
      <c r="E219" s="2570"/>
      <c r="F219" s="1225" t="str">
        <f t="shared" si="7"/>
        <v>Thorwalsch</v>
      </c>
      <c r="G219" s="1163"/>
      <c r="I219" s="1271"/>
    </row>
    <row r="220" spans="5:9" x14ac:dyDescent="0.2">
      <c r="E220" s="2570"/>
      <c r="F220" s="1224" t="str">
        <f t="shared" si="7"/>
        <v>Trollisch</v>
      </c>
      <c r="G220" s="1140"/>
      <c r="I220" s="1271"/>
    </row>
    <row r="221" spans="5:9" x14ac:dyDescent="0.2">
      <c r="E221" s="2570"/>
      <c r="F221" s="1225" t="str">
        <f t="shared" si="7"/>
        <v>Tulamidya</v>
      </c>
      <c r="G221" s="1163"/>
      <c r="I221" s="1271"/>
    </row>
    <row r="222" spans="5:9" x14ac:dyDescent="0.2">
      <c r="E222" s="2570"/>
      <c r="F222" s="1224" t="str">
        <f t="shared" si="7"/>
        <v>Ur-Tulamidya</v>
      </c>
      <c r="G222" s="1140"/>
      <c r="I222" s="1271"/>
    </row>
    <row r="223" spans="5:9" x14ac:dyDescent="0.2">
      <c r="E223" s="2570"/>
      <c r="F223" s="1225" t="str">
        <f t="shared" si="7"/>
        <v>Zelemja</v>
      </c>
      <c r="G223" s="1163"/>
      <c r="I223" s="1271"/>
    </row>
    <row r="224" spans="5:9" x14ac:dyDescent="0.2">
      <c r="E224" s="2570"/>
      <c r="F224" s="1224" t="str">
        <f t="shared" si="7"/>
        <v>Zhayad</v>
      </c>
      <c r="G224" s="1140"/>
      <c r="I224" s="1271"/>
    </row>
    <row r="225" spans="5:9" x14ac:dyDescent="0.2">
      <c r="E225" s="2570"/>
      <c r="F225" s="1225" t="str">
        <f t="shared" si="7"/>
        <v>Zhulchammaqra ('Trollzackisch')</v>
      </c>
      <c r="G225" s="1163"/>
      <c r="I225" s="1271"/>
    </row>
    <row r="226" spans="5:9" x14ac:dyDescent="0.2">
      <c r="E226" s="2570"/>
      <c r="F226" s="1224" t="str">
        <f t="shared" si="7"/>
        <v>Z'Lit</v>
      </c>
      <c r="G226" s="1140"/>
      <c r="I226" s="1271"/>
    </row>
    <row r="227" spans="5:9" x14ac:dyDescent="0.2">
      <c r="E227" s="2571"/>
      <c r="F227" s="1242" t="str">
        <f t="shared" si="7"/>
        <v>Zyklopäisch</v>
      </c>
      <c r="G227" s="1260"/>
      <c r="I227" s="1271"/>
    </row>
    <row r="228" spans="5:9" x14ac:dyDescent="0.2">
      <c r="E228" s="2570" t="s">
        <v>578</v>
      </c>
      <c r="F228" s="1225" t="str">
        <f t="shared" ref="F228:F249" si="8">INDEX(SCHRIFTEN,ROW()-ROW($B$228)+1)</f>
        <v>Altes Alaani</v>
      </c>
      <c r="G228" s="1163"/>
      <c r="I228" s="1272" t="s">
        <v>3262</v>
      </c>
    </row>
    <row r="229" spans="5:9" x14ac:dyDescent="0.2">
      <c r="E229" s="2570"/>
      <c r="F229" s="1226" t="str">
        <f t="shared" si="8"/>
        <v>Amulashtra (mod./hist.)</v>
      </c>
      <c r="G229" s="1175"/>
      <c r="I229" s="1273" t="s">
        <v>6774</v>
      </c>
    </row>
    <row r="230" spans="5:9" x14ac:dyDescent="0.2">
      <c r="E230" s="2570"/>
      <c r="F230" s="1225" t="str">
        <f t="shared" si="8"/>
        <v>Angram</v>
      </c>
      <c r="G230" s="1163"/>
      <c r="I230" s="1271"/>
    </row>
    <row r="231" spans="5:9" x14ac:dyDescent="0.2">
      <c r="E231" s="2570"/>
      <c r="F231" s="1226" t="str">
        <f t="shared" si="8"/>
        <v>Arkanil ('Rohalsschrift')</v>
      </c>
      <c r="G231" s="1175"/>
      <c r="I231" s="1271"/>
    </row>
    <row r="232" spans="5:9" x14ac:dyDescent="0.2">
      <c r="E232" s="2570"/>
      <c r="F232" s="1225" t="str">
        <f t="shared" si="8"/>
        <v>Chrmk ('Zelemja')</v>
      </c>
      <c r="G232" s="1163"/>
      <c r="I232" s="1271"/>
    </row>
    <row r="233" spans="5:9" x14ac:dyDescent="0.2">
      <c r="E233" s="2570"/>
      <c r="F233" s="1226" t="str">
        <f t="shared" si="8"/>
        <v>Chuchas ('Protozelemja')</v>
      </c>
      <c r="G233" s="1175"/>
      <c r="I233" s="1271"/>
    </row>
    <row r="234" spans="5:9" x14ac:dyDescent="0.2">
      <c r="E234" s="2570"/>
      <c r="F234" s="1225" t="str">
        <f t="shared" si="8"/>
        <v>Drakhard-Zinken</v>
      </c>
      <c r="G234" s="1163"/>
      <c r="I234" s="1271"/>
    </row>
    <row r="235" spans="5:9" x14ac:dyDescent="0.2">
      <c r="E235" s="2570"/>
      <c r="F235" s="1226" t="str">
        <f t="shared" si="8"/>
        <v>Drakned-Glyphen</v>
      </c>
      <c r="G235" s="1175"/>
      <c r="I235" s="1271"/>
    </row>
    <row r="236" spans="5:9" x14ac:dyDescent="0.2">
      <c r="E236" s="2570"/>
      <c r="F236" s="1225" t="str">
        <f t="shared" si="8"/>
        <v>Gimaril</v>
      </c>
      <c r="G236" s="1163"/>
      <c r="I236" s="1271"/>
    </row>
    <row r="237" spans="5:9" x14ac:dyDescent="0.2">
      <c r="E237" s="2570"/>
      <c r="F237" s="1226" t="str">
        <f t="shared" si="8"/>
        <v>Gjalskisch</v>
      </c>
      <c r="G237" s="1175"/>
      <c r="I237" s="1271"/>
    </row>
    <row r="238" spans="5:9" x14ac:dyDescent="0.2">
      <c r="E238" s="2570"/>
      <c r="F238" s="1225" t="str">
        <f t="shared" si="8"/>
        <v>Hjaldingsche Runen</v>
      </c>
      <c r="G238" s="1163"/>
      <c r="I238" s="1271"/>
    </row>
    <row r="239" spans="5:9" x14ac:dyDescent="0.2">
      <c r="E239" s="2570"/>
      <c r="F239" s="1226" t="str">
        <f t="shared" si="8"/>
        <v>Imperiale Zeichen ('Altgüldenländisch')</v>
      </c>
      <c r="G239" s="1175"/>
      <c r="I239" s="1271"/>
    </row>
    <row r="240" spans="5:9" x14ac:dyDescent="0.2">
      <c r="E240" s="2570"/>
      <c r="F240" s="1225" t="str">
        <f t="shared" si="8"/>
        <v>Isdira / Asdharia</v>
      </c>
      <c r="G240" s="1163"/>
      <c r="I240" s="1271"/>
    </row>
    <row r="241" spans="5:9" x14ac:dyDescent="0.2">
      <c r="E241" s="2570"/>
      <c r="F241" s="1226" t="str">
        <f t="shared" si="8"/>
        <v>Kusliker Zeichen</v>
      </c>
      <c r="G241" s="1175"/>
      <c r="I241" s="1271"/>
    </row>
    <row r="242" spans="5:9" x14ac:dyDescent="0.2">
      <c r="E242" s="2570"/>
      <c r="F242" s="1225" t="str">
        <f t="shared" si="8"/>
        <v>Mahrische Glyphen</v>
      </c>
      <c r="G242" s="1163"/>
      <c r="I242" s="1271"/>
    </row>
    <row r="243" spans="5:9" x14ac:dyDescent="0.2">
      <c r="E243" s="2570"/>
      <c r="F243" s="1226" t="str">
        <f t="shared" si="8"/>
        <v>Nanduria</v>
      </c>
      <c r="G243" s="1175"/>
      <c r="I243" s="1271"/>
    </row>
    <row r="244" spans="5:9" x14ac:dyDescent="0.2">
      <c r="E244" s="2570"/>
      <c r="F244" s="1225" t="str">
        <f t="shared" si="8"/>
        <v>Rogolan</v>
      </c>
      <c r="G244" s="1163"/>
      <c r="I244" s="1271"/>
    </row>
    <row r="245" spans="5:9" x14ac:dyDescent="0.2">
      <c r="E245" s="2570"/>
      <c r="F245" s="1226" t="str">
        <f t="shared" si="8"/>
        <v>Trollische Raumbilderschrift</v>
      </c>
      <c r="G245" s="1175"/>
      <c r="I245" s="1271"/>
    </row>
    <row r="246" spans="5:9" x14ac:dyDescent="0.2">
      <c r="E246" s="2570"/>
      <c r="F246" s="1225" t="str">
        <f t="shared" si="8"/>
        <v>Tulamidya</v>
      </c>
      <c r="G246" s="1163"/>
      <c r="I246" s="1271"/>
    </row>
    <row r="247" spans="5:9" x14ac:dyDescent="0.2">
      <c r="E247" s="2570"/>
      <c r="F247" s="1226" t="str">
        <f t="shared" si="8"/>
        <v>Unauer Glyphen</v>
      </c>
      <c r="G247" s="1175"/>
      <c r="I247" s="1271"/>
    </row>
    <row r="248" spans="5:9" x14ac:dyDescent="0.2">
      <c r="E248" s="2570"/>
      <c r="F248" s="1225" t="str">
        <f t="shared" si="8"/>
        <v>Ur-Tulamidya</v>
      </c>
      <c r="G248" s="1163"/>
      <c r="I248" s="1271"/>
    </row>
    <row r="249" spans="5:9" x14ac:dyDescent="0.2">
      <c r="E249" s="2570"/>
      <c r="F249" s="1226" t="str">
        <f t="shared" si="8"/>
        <v>Zhayad</v>
      </c>
      <c r="G249" s="1261"/>
      <c r="I249" s="1271"/>
    </row>
    <row r="250" spans="5:9" x14ac:dyDescent="0.2">
      <c r="E250" s="1164"/>
      <c r="F250" s="2560" t="s">
        <v>1319</v>
      </c>
      <c r="G250" s="1156"/>
      <c r="I250" s="1272" t="s">
        <v>2502</v>
      </c>
    </row>
    <row r="251" spans="5:9" x14ac:dyDescent="0.2">
      <c r="E251" s="1164"/>
      <c r="F251" s="2561"/>
      <c r="G251" s="1156"/>
      <c r="I251" s="1273" t="s">
        <v>6777</v>
      </c>
    </row>
    <row r="252" spans="5:9" x14ac:dyDescent="0.2">
      <c r="E252" s="1164"/>
      <c r="F252" s="1227"/>
      <c r="G252" s="1156"/>
      <c r="I252" s="1271"/>
    </row>
    <row r="253" spans="5:9" x14ac:dyDescent="0.2">
      <c r="E253" s="1164"/>
      <c r="F253" s="2556" t="s">
        <v>3592</v>
      </c>
      <c r="G253" s="1176"/>
      <c r="I253" s="1271"/>
    </row>
    <row r="254" spans="5:9" x14ac:dyDescent="0.2">
      <c r="E254" s="1164"/>
      <c r="F254" s="2556"/>
      <c r="G254" s="1176"/>
      <c r="I254" s="1271"/>
    </row>
    <row r="255" spans="5:9" x14ac:dyDescent="0.2">
      <c r="E255" s="1164"/>
      <c r="F255" s="2556"/>
      <c r="G255" s="1176"/>
      <c r="I255" s="1271"/>
    </row>
    <row r="256" spans="5:9" x14ac:dyDescent="0.2">
      <c r="E256" s="1164"/>
      <c r="F256" s="2556"/>
      <c r="G256" s="1176"/>
      <c r="I256" s="1271"/>
    </row>
    <row r="257" spans="5:9" x14ac:dyDescent="0.2">
      <c r="E257" s="1164"/>
      <c r="F257" s="2556"/>
      <c r="G257" s="1176"/>
      <c r="I257" s="1271"/>
    </row>
    <row r="258" spans="5:9" x14ac:dyDescent="0.2">
      <c r="E258" s="1164"/>
      <c r="F258" s="2556"/>
      <c r="G258" s="1176"/>
      <c r="I258" s="1271"/>
    </row>
    <row r="259" spans="5:9" x14ac:dyDescent="0.2">
      <c r="E259" s="1164"/>
      <c r="F259" s="2556"/>
      <c r="G259" s="1176"/>
      <c r="I259" s="1271"/>
    </row>
    <row r="260" spans="5:9" x14ac:dyDescent="0.2">
      <c r="E260" s="1164"/>
      <c r="F260" s="2556"/>
      <c r="G260" s="1176"/>
      <c r="I260" s="1271"/>
    </row>
    <row r="261" spans="5:9" x14ac:dyDescent="0.2">
      <c r="E261" s="1164"/>
      <c r="F261" s="1228"/>
      <c r="G261" s="1176"/>
      <c r="I261" s="1271"/>
    </row>
    <row r="262" spans="5:9" x14ac:dyDescent="0.2">
      <c r="E262" s="1164"/>
      <c r="F262" s="1228"/>
      <c r="G262" s="1176"/>
      <c r="I262" s="1271"/>
    </row>
    <row r="263" spans="5:9" x14ac:dyDescent="0.2">
      <c r="E263" s="1164"/>
      <c r="F263" s="2561" t="s">
        <v>3630</v>
      </c>
      <c r="G263" s="1156"/>
      <c r="I263" s="1271"/>
    </row>
    <row r="264" spans="5:9" x14ac:dyDescent="0.2">
      <c r="E264" s="1164"/>
      <c r="F264" s="2561"/>
      <c r="G264" s="1156"/>
      <c r="I264" s="1271"/>
    </row>
    <row r="265" spans="5:9" x14ac:dyDescent="0.2">
      <c r="E265" s="1164"/>
      <c r="F265" s="2561"/>
      <c r="G265" s="1156"/>
      <c r="I265" s="1271"/>
    </row>
    <row r="266" spans="5:9" x14ac:dyDescent="0.2">
      <c r="E266" s="1164"/>
      <c r="F266" s="2562" t="s">
        <v>3798</v>
      </c>
      <c r="G266" s="1176"/>
      <c r="I266" s="1271"/>
    </row>
    <row r="267" spans="5:9" x14ac:dyDescent="0.2">
      <c r="E267" s="1164"/>
      <c r="F267" s="2562"/>
      <c r="G267" s="1176"/>
      <c r="I267" s="1271"/>
    </row>
    <row r="268" spans="5:9" x14ac:dyDescent="0.2">
      <c r="E268" s="1164"/>
      <c r="F268" s="2562"/>
      <c r="G268" s="1176"/>
      <c r="I268" s="1271"/>
    </row>
    <row r="269" spans="5:9" x14ac:dyDescent="0.2">
      <c r="E269" s="1164"/>
      <c r="F269" s="1229"/>
      <c r="G269" s="1176"/>
      <c r="I269" s="1271"/>
    </row>
    <row r="270" spans="5:9" x14ac:dyDescent="0.2">
      <c r="E270" s="1164"/>
      <c r="F270" s="1229"/>
      <c r="G270" s="1241"/>
      <c r="I270" s="1271"/>
    </row>
    <row r="271" spans="5:9" x14ac:dyDescent="0.2">
      <c r="E271" s="1164"/>
      <c r="F271" s="2558" t="s">
        <v>320</v>
      </c>
      <c r="G271" s="1240"/>
      <c r="I271" s="1271"/>
    </row>
    <row r="272" spans="5:9" x14ac:dyDescent="0.2">
      <c r="E272" s="1164"/>
      <c r="F272" s="2559"/>
      <c r="G272" s="1240"/>
      <c r="I272" s="1271"/>
    </row>
    <row r="273" spans="5:9" x14ac:dyDescent="0.2">
      <c r="E273" s="1164"/>
      <c r="F273" s="2559"/>
      <c r="G273" s="1240"/>
      <c r="I273" s="1271"/>
    </row>
    <row r="274" spans="5:9" x14ac:dyDescent="0.2">
      <c r="E274" s="1164"/>
      <c r="F274" s="2559"/>
      <c r="G274" s="1240"/>
      <c r="I274" s="1271"/>
    </row>
    <row r="275" spans="5:9" x14ac:dyDescent="0.2">
      <c r="E275" s="1164"/>
      <c r="F275" s="2559"/>
      <c r="G275" s="1240"/>
      <c r="I275" s="1271"/>
    </row>
    <row r="276" spans="5:9" x14ac:dyDescent="0.2">
      <c r="E276" s="1164"/>
      <c r="F276" s="2559"/>
      <c r="G276" s="1240"/>
      <c r="I276" s="1271"/>
    </row>
    <row r="277" spans="5:9" x14ac:dyDescent="0.2">
      <c r="E277" s="1164"/>
      <c r="F277" s="2559"/>
      <c r="G277" s="1240"/>
      <c r="I277" s="1271"/>
    </row>
    <row r="278" spans="5:9" x14ac:dyDescent="0.2">
      <c r="E278" s="1164"/>
      <c r="F278" s="1228" t="s">
        <v>782</v>
      </c>
      <c r="G278" s="1176"/>
      <c r="I278" s="1271"/>
    </row>
    <row r="279" spans="5:9" x14ac:dyDescent="0.2">
      <c r="E279" s="1164"/>
      <c r="F279" s="1228"/>
      <c r="G279" s="1241"/>
      <c r="I279" s="1271"/>
    </row>
    <row r="280" spans="5:9" x14ac:dyDescent="0.2">
      <c r="E280" s="1164"/>
      <c r="F280" s="2560" t="s">
        <v>2755</v>
      </c>
      <c r="G280" s="1240"/>
      <c r="I280" s="1271"/>
    </row>
    <row r="281" spans="5:9" x14ac:dyDescent="0.2">
      <c r="E281" s="1164"/>
      <c r="F281" s="2561"/>
      <c r="G281" s="1240"/>
      <c r="I281" s="1271"/>
    </row>
    <row r="282" spans="5:9" x14ac:dyDescent="0.2">
      <c r="E282" s="1164"/>
      <c r="F282" s="2563" t="s">
        <v>2768</v>
      </c>
      <c r="G282" s="135"/>
      <c r="I282" s="1272" t="s">
        <v>6778</v>
      </c>
    </row>
    <row r="283" spans="5:9" x14ac:dyDescent="0.2">
      <c r="E283" s="1164"/>
      <c r="F283" s="2563"/>
      <c r="G283" s="135"/>
      <c r="I283" s="1273" t="s">
        <v>6777</v>
      </c>
    </row>
    <row r="284" spans="5:9" x14ac:dyDescent="0.2">
      <c r="E284" s="1164"/>
      <c r="F284" s="1230"/>
      <c r="G284" s="135"/>
      <c r="I284" s="1271"/>
    </row>
    <row r="285" spans="5:9" x14ac:dyDescent="0.2">
      <c r="E285" s="1164"/>
      <c r="F285" s="2557" t="s">
        <v>3257</v>
      </c>
      <c r="G285" s="1128"/>
      <c r="I285" s="1271"/>
    </row>
    <row r="286" spans="5:9" x14ac:dyDescent="0.2">
      <c r="E286" s="1164"/>
      <c r="F286" s="2557"/>
      <c r="G286" s="1128"/>
      <c r="I286" s="1271"/>
    </row>
    <row r="287" spans="5:9" x14ac:dyDescent="0.2">
      <c r="E287" s="1164"/>
      <c r="F287" s="2557"/>
      <c r="G287" s="1128"/>
      <c r="I287" s="1271"/>
    </row>
    <row r="288" spans="5:9" x14ac:dyDescent="0.2">
      <c r="E288" s="1164"/>
      <c r="F288" s="2557"/>
      <c r="G288" s="1128"/>
      <c r="I288" s="1271"/>
    </row>
    <row r="289" spans="5:9" x14ac:dyDescent="0.2">
      <c r="E289" s="1164"/>
      <c r="F289" s="2557"/>
      <c r="G289" s="1128"/>
      <c r="I289" s="1271"/>
    </row>
    <row r="290" spans="5:9" x14ac:dyDescent="0.2">
      <c r="E290" s="1164"/>
      <c r="F290" s="2557"/>
      <c r="G290" s="1128"/>
      <c r="I290" s="1271"/>
    </row>
    <row r="291" spans="5:9" x14ac:dyDescent="0.2">
      <c r="E291" s="1164"/>
      <c r="F291" s="2557"/>
      <c r="G291" s="1128"/>
      <c r="I291" s="1271"/>
    </row>
    <row r="292" spans="5:9" x14ac:dyDescent="0.2">
      <c r="E292" s="1164"/>
      <c r="F292" s="1231"/>
      <c r="G292" s="1128"/>
      <c r="I292" s="1271"/>
    </row>
    <row r="293" spans="5:9" x14ac:dyDescent="0.2">
      <c r="E293" s="1164"/>
      <c r="F293" s="1231"/>
      <c r="G293" s="1128"/>
      <c r="I293" s="1271"/>
    </row>
    <row r="294" spans="5:9" x14ac:dyDescent="0.2">
      <c r="E294" s="1164"/>
      <c r="F294" s="1231"/>
      <c r="G294" s="1128"/>
      <c r="I294" s="1271"/>
    </row>
    <row r="295" spans="5:9" x14ac:dyDescent="0.2">
      <c r="E295" s="1164"/>
      <c r="F295" s="1231"/>
      <c r="G295" s="1128"/>
      <c r="I295" s="1271"/>
    </row>
    <row r="296" spans="5:9" x14ac:dyDescent="0.2">
      <c r="E296" s="1164"/>
      <c r="F296" s="1231"/>
      <c r="G296" s="1128"/>
      <c r="I296" s="1271"/>
    </row>
    <row r="297" spans="5:9" x14ac:dyDescent="0.2">
      <c r="E297" s="1164"/>
      <c r="F297" s="1231"/>
      <c r="G297" s="1128"/>
      <c r="I297" s="1271"/>
    </row>
    <row r="298" spans="5:9" x14ac:dyDescent="0.2">
      <c r="E298" s="1164"/>
      <c r="F298" s="1231"/>
      <c r="G298" s="1128"/>
      <c r="I298" s="1271"/>
    </row>
    <row r="299" spans="5:9" x14ac:dyDescent="0.2">
      <c r="E299" s="1164"/>
      <c r="F299" s="2563" t="s">
        <v>3258</v>
      </c>
      <c r="G299" s="1086"/>
      <c r="I299" s="1271"/>
    </row>
    <row r="300" spans="5:9" x14ac:dyDescent="0.2">
      <c r="E300" s="1164"/>
      <c r="F300" s="2563"/>
      <c r="G300" s="1086"/>
      <c r="I300" s="1271"/>
    </row>
    <row r="301" spans="5:9" x14ac:dyDescent="0.2">
      <c r="E301" s="1164"/>
      <c r="F301" s="2563"/>
      <c r="G301" s="1086"/>
      <c r="I301" s="1271"/>
    </row>
    <row r="302" spans="5:9" x14ac:dyDescent="0.2">
      <c r="E302" s="1164"/>
      <c r="F302" s="1230"/>
      <c r="G302" s="1086"/>
      <c r="I302" s="1271"/>
    </row>
    <row r="303" spans="5:9" x14ac:dyDescent="0.2">
      <c r="E303" s="1164"/>
      <c r="F303" s="2557" t="s">
        <v>3807</v>
      </c>
      <c r="G303" s="136"/>
      <c r="I303" s="1271"/>
    </row>
    <row r="304" spans="5:9" x14ac:dyDescent="0.2">
      <c r="E304" s="1164"/>
      <c r="F304" s="2557"/>
      <c r="G304" s="136"/>
      <c r="I304" s="1271"/>
    </row>
    <row r="305" spans="5:9" x14ac:dyDescent="0.2">
      <c r="E305" s="1164"/>
      <c r="F305" s="2557"/>
      <c r="G305" s="136"/>
      <c r="I305" s="1271"/>
    </row>
    <row r="306" spans="5:9" x14ac:dyDescent="0.2">
      <c r="E306" s="1164"/>
      <c r="F306" s="1231"/>
      <c r="G306" s="136"/>
      <c r="I306" s="1271"/>
    </row>
    <row r="307" spans="5:9" x14ac:dyDescent="0.2">
      <c r="E307" s="1164"/>
      <c r="F307" s="1231"/>
      <c r="G307" s="136"/>
      <c r="I307" s="1271"/>
    </row>
    <row r="308" spans="5:9" x14ac:dyDescent="0.2">
      <c r="E308" s="1164"/>
      <c r="F308" s="2563" t="s">
        <v>2767</v>
      </c>
      <c r="G308" s="1239"/>
      <c r="I308" s="1271"/>
    </row>
    <row r="309" spans="5:9" x14ac:dyDescent="0.2">
      <c r="E309" s="1164"/>
      <c r="F309" s="2563"/>
      <c r="G309" s="1239"/>
      <c r="I309" s="1271"/>
    </row>
    <row r="310" spans="5:9" x14ac:dyDescent="0.2">
      <c r="E310" s="1164"/>
      <c r="F310" s="2563"/>
      <c r="G310" s="1239"/>
      <c r="I310" s="1271"/>
    </row>
    <row r="311" spans="5:9" x14ac:dyDescent="0.2">
      <c r="E311" s="1164"/>
      <c r="F311" s="2563"/>
      <c r="G311" s="1239"/>
      <c r="I311" s="1271"/>
    </row>
    <row r="312" spans="5:9" x14ac:dyDescent="0.2">
      <c r="E312" s="1164"/>
      <c r="F312" s="2563"/>
      <c r="G312" s="1239"/>
      <c r="I312" s="1271"/>
    </row>
    <row r="313" spans="5:9" x14ac:dyDescent="0.2">
      <c r="E313" s="1164"/>
      <c r="F313" s="2563"/>
      <c r="G313" s="1239"/>
      <c r="I313" s="1271"/>
    </row>
    <row r="314" spans="5:9" x14ac:dyDescent="0.2">
      <c r="E314" s="1164"/>
      <c r="F314" s="2563"/>
      <c r="G314" s="1239"/>
      <c r="I314" s="1271"/>
    </row>
    <row r="315" spans="5:9" x14ac:dyDescent="0.2">
      <c r="E315" s="1164"/>
      <c r="F315" s="1230"/>
      <c r="G315" s="1239"/>
      <c r="I315" s="1271"/>
    </row>
    <row r="316" spans="5:9" x14ac:dyDescent="0.2">
      <c r="E316" s="1164"/>
      <c r="F316" s="2557" t="s">
        <v>2766</v>
      </c>
      <c r="G316" s="1128"/>
      <c r="I316" s="1271"/>
    </row>
    <row r="317" spans="5:9" x14ac:dyDescent="0.2">
      <c r="E317" s="1164"/>
      <c r="F317" s="2557"/>
      <c r="G317" s="1128"/>
      <c r="I317" s="1271"/>
    </row>
    <row r="318" spans="5:9" x14ac:dyDescent="0.2">
      <c r="E318" s="1164"/>
      <c r="F318" s="2557"/>
      <c r="G318" s="1128"/>
      <c r="I318" s="1271"/>
    </row>
    <row r="319" spans="5:9" x14ac:dyDescent="0.2">
      <c r="E319" s="1164"/>
      <c r="F319" s="2564" t="s">
        <v>2513</v>
      </c>
      <c r="G319" s="1086"/>
      <c r="I319" s="1271"/>
    </row>
    <row r="320" spans="5:9" x14ac:dyDescent="0.2">
      <c r="E320" s="1164"/>
      <c r="F320" s="2565"/>
      <c r="G320" s="1157"/>
      <c r="I320" s="1271"/>
    </row>
    <row r="321" spans="5:9" x14ac:dyDescent="0.2">
      <c r="E321" s="1164"/>
      <c r="F321" s="1232" t="s">
        <v>1713</v>
      </c>
      <c r="G321" s="1262"/>
      <c r="I321" s="1273" t="s">
        <v>6767</v>
      </c>
    </row>
    <row r="322" spans="5:9" x14ac:dyDescent="0.2">
      <c r="E322" s="1164"/>
      <c r="F322" s="1233" t="s">
        <v>3906</v>
      </c>
      <c r="G322" s="1263"/>
      <c r="I322" s="1271"/>
    </row>
    <row r="323" spans="5:9" x14ac:dyDescent="0.2">
      <c r="E323" s="1164"/>
      <c r="F323" s="1589" t="s">
        <v>3907</v>
      </c>
      <c r="G323" s="1590"/>
      <c r="I323" s="1273" t="s">
        <v>6768</v>
      </c>
    </row>
    <row r="324" spans="5:9" x14ac:dyDescent="0.2">
      <c r="E324" s="1164"/>
      <c r="F324" s="1473" t="str">
        <f>IF(IF($A$14="Goetter",Tabellen_Goetter!A324,Tabellen_Magie!A324)=0,"",IF($A$14="Goetter",Tabellen_Goetter!A324,Tabellen_Magie!A324))</f>
        <v>Abvenenum reine Speise</v>
      </c>
      <c r="G324" s="1129"/>
      <c r="I324" s="1273" t="str">
        <f>IF($A$14="Goetter","Karma-Energie (Meistens 12 oder 24)","")</f>
        <v/>
      </c>
    </row>
    <row r="325" spans="5:9" x14ac:dyDescent="0.2">
      <c r="E325" s="1164"/>
      <c r="F325" s="1588" t="str">
        <f>IF(IF($A$14="Goetter",Tabellen_Goetter!A325,Tabellen_Magie!A325)=0,"",IF($A$14="Goetter",Tabellen_Goetter!A325,Tabellen_Magie!A325))</f>
        <v>Accuratum Zaubernadel</v>
      </c>
      <c r="G325" s="1264"/>
      <c r="I325" s="1272" t="str">
        <f>IF($A$14="Goetter","Leiteigenschaften","Zauberfertigkeiten")</f>
        <v>Zauberfertigkeiten</v>
      </c>
    </row>
    <row r="326" spans="5:9" x14ac:dyDescent="0.2">
      <c r="E326" s="1164"/>
      <c r="F326" s="1473" t="str">
        <f>IF(IF($A$14="Goetter",Tabellen_Goetter!A326,Tabellen_Magie!A326)=0,"",IF($A$14="Goetter",Tabellen_Goetter!A326,Tabellen_Magie!A326))</f>
        <v>Adamantium Erzstruktur</v>
      </c>
      <c r="G326" s="1129"/>
      <c r="I326" s="1273" t="str">
        <f>IF($A$14="Goetter","X eintragen, falls Leiteigenschaft","")</f>
        <v/>
      </c>
    </row>
    <row r="327" spans="5:9" x14ac:dyDescent="0.2">
      <c r="E327" s="1164"/>
      <c r="F327" s="1588" t="str">
        <f>IF(IF($A$14="Goetter",Tabellen_Goetter!A327,Tabellen_Magie!A327)=0,"",IF($A$14="Goetter",Tabellen_Goetter!A327,Tabellen_Magie!A327))</f>
        <v>Adlerauge Luchsenohr</v>
      </c>
      <c r="G327" s="1264"/>
      <c r="I327" s="1271"/>
    </row>
    <row r="328" spans="5:9" x14ac:dyDescent="0.2">
      <c r="E328" s="1164"/>
      <c r="F328" s="1473" t="str">
        <f>IF(IF($A$14="Goetter",Tabellen_Goetter!A328,Tabellen_Magie!A328)=0,"",IF($A$14="Goetter",Tabellen_Goetter!A328,Tabellen_Magie!A328))</f>
        <v>Adlerschwinge (V1: Text1 eingeben)</v>
      </c>
      <c r="G328" s="1129"/>
      <c r="I328" s="1271"/>
    </row>
    <row r="329" spans="5:9" x14ac:dyDescent="0.2">
      <c r="E329" s="1164"/>
      <c r="F329" s="1588" t="str">
        <f>IF(IF($A$14="Goetter",Tabellen_Goetter!A329,Tabellen_Magie!A329)=0,"",IF($A$14="Goetter",Tabellen_Goetter!A329,Tabellen_Magie!A329))</f>
        <v>Adlerschwinge (V2: Text2 eingeben)</v>
      </c>
      <c r="G329" s="1264"/>
      <c r="I329" s="1271"/>
    </row>
    <row r="330" spans="5:9" x14ac:dyDescent="0.2">
      <c r="E330" s="1164"/>
      <c r="F330" s="1473" t="str">
        <f>IF(IF($A$14="Goetter",Tabellen_Goetter!A330,Tabellen_Magie!A330)=0,"",IF($A$14="Goetter",Tabellen_Goetter!A330,Tabellen_Magie!A330))</f>
        <v>Adlerschwinge (V3: Text3 eingeben)</v>
      </c>
      <c r="G330" s="1129"/>
      <c r="I330" s="1271"/>
    </row>
    <row r="331" spans="5:9" x14ac:dyDescent="0.2">
      <c r="E331" s="1164"/>
      <c r="F331" s="1588" t="str">
        <f>IF(IF($A$14="Goetter",Tabellen_Goetter!A331,Tabellen_Magie!A331)=0,"",IF($A$14="Goetter",Tabellen_Goetter!A331,Tabellen_Magie!A331))</f>
        <v>Aeolitus Windgebraus</v>
      </c>
      <c r="G331" s="1264"/>
      <c r="I331" s="1271"/>
    </row>
    <row r="332" spans="5:9" x14ac:dyDescent="0.2">
      <c r="E332" s="1164"/>
      <c r="F332" s="1473" t="str">
        <f>IF(IF($A$14="Goetter",Tabellen_Goetter!A332,Tabellen_Magie!A332)=0,"",IF($A$14="Goetter",Tabellen_Goetter!A332,Tabellen_Magie!A332))</f>
        <v>Aerofugo Vakuum</v>
      </c>
      <c r="G332" s="1129"/>
      <c r="I332" s="1271"/>
    </row>
    <row r="333" spans="5:9" x14ac:dyDescent="0.2">
      <c r="E333" s="1164"/>
      <c r="F333" s="1588" t="str">
        <f>IF(IF($A$14="Goetter",Tabellen_Goetter!A333,Tabellen_Magie!A333)=0,"",IF($A$14="Goetter",Tabellen_Goetter!A333,Tabellen_Magie!A333))</f>
        <v>Aerogelo Atemqual</v>
      </c>
      <c r="G333" s="1264"/>
      <c r="I333" s="1271"/>
    </row>
    <row r="334" spans="5:9" x14ac:dyDescent="0.2">
      <c r="E334" s="1164"/>
      <c r="F334" s="1473" t="str">
        <f>IF(IF($A$14="Goetter",Tabellen_Goetter!A334,Tabellen_Magie!A334)=0,"",IF($A$14="Goetter",Tabellen_Goetter!A334,Tabellen_Magie!A334))</f>
        <v>Aeropulvis sanfter Fall</v>
      </c>
      <c r="G334" s="1129"/>
      <c r="I334" s="1272" t="str">
        <f>IF($A$14="Goetter","Karmale &amp; Schamanistische SF","")</f>
        <v/>
      </c>
    </row>
    <row r="335" spans="5:9" x14ac:dyDescent="0.2">
      <c r="E335" s="1164"/>
      <c r="F335" s="1588" t="str">
        <f>IF(IF($A$14="Goetter",Tabellen_Goetter!A335,Tabellen_Magie!A335)=0,"",IF($A$14="Goetter",Tabellen_Goetter!A335,Tabellen_Magie!A335))</f>
        <v>Agrimothbann</v>
      </c>
      <c r="G335" s="1264"/>
      <c r="I335" s="1273" t="str">
        <f>IF($A$14="Goetter","Aus Dropdown-Liste auswählen","")</f>
        <v/>
      </c>
    </row>
    <row r="336" spans="5:9" x14ac:dyDescent="0.2">
      <c r="E336" s="1164"/>
      <c r="F336" s="1473" t="str">
        <f>IF(IF($A$14="Goetter",Tabellen_Goetter!A336,Tabellen_Magie!A336)=0,"",IF($A$14="Goetter",Tabellen_Goetter!A336,Tabellen_Magie!A336))</f>
        <v>Alpgestalt</v>
      </c>
      <c r="G336" s="1129"/>
      <c r="I336" s="1271"/>
    </row>
    <row r="337" spans="5:9" x14ac:dyDescent="0.2">
      <c r="E337" s="1164"/>
      <c r="F337" s="1588" t="str">
        <f>IF(IF($A$14="Goetter",Tabellen_Goetter!A337,Tabellen_Magie!A337)=0,"",IF($A$14="Goetter",Tabellen_Goetter!A337,Tabellen_Magie!A337))</f>
        <v>Amazerothbann</v>
      </c>
      <c r="G337" s="1264"/>
      <c r="I337" s="1271"/>
    </row>
    <row r="338" spans="5:9" x14ac:dyDescent="0.2">
      <c r="E338" s="1164"/>
      <c r="F338" s="1473" t="str">
        <f>IF(IF($A$14="Goetter",Tabellen_Goetter!A338,Tabellen_Magie!A338)=0,"",IF($A$14="Goetter",Tabellen_Goetter!A338,Tabellen_Magie!A338))</f>
        <v>Analys Arcanstructur</v>
      </c>
      <c r="G338" s="1129"/>
      <c r="I338" s="1271"/>
    </row>
    <row r="339" spans="5:9" x14ac:dyDescent="0.2">
      <c r="E339" s="1164"/>
      <c r="F339" s="1588" t="str">
        <f>IF(IF($A$14="Goetter",Tabellen_Goetter!A339,Tabellen_Magie!A339)=0,"",IF($A$14="Goetter",Tabellen_Goetter!A339,Tabellen_Magie!A339))</f>
        <v>Ängste lindern</v>
      </c>
      <c r="G339" s="1264"/>
      <c r="I339" s="1272" t="str">
        <f>IF($A$14="Goetter","Verbilligte Karmale &amp; Schamanistische SF","")</f>
        <v/>
      </c>
    </row>
    <row r="340" spans="5:9" x14ac:dyDescent="0.2">
      <c r="E340" s="1164"/>
      <c r="F340" s="1473" t="str">
        <f>IF(IF($A$14="Goetter",Tabellen_Goetter!A340,Tabellen_Magie!A340)=0,"",IF($A$14="Goetter",Tabellen_Goetter!A340,Tabellen_Magie!A340))</f>
        <v>Animatio stummer Diener</v>
      </c>
      <c r="G340" s="1129"/>
      <c r="I340" s="1273" t="str">
        <f>IF($A$14="Goetter","Aus Dropdown-Liste auswählen","")</f>
        <v/>
      </c>
    </row>
    <row r="341" spans="5:9" x14ac:dyDescent="0.2">
      <c r="E341" s="1164"/>
      <c r="F341" s="1588" t="str">
        <f>IF(IF($A$14="Goetter",Tabellen_Goetter!A341,Tabellen_Magie!A341)=0,"",IF($A$14="Goetter",Tabellen_Goetter!A341,Tabellen_Magie!A341))</f>
        <v>Applicatus Zauberspeicher</v>
      </c>
      <c r="G341" s="1264"/>
      <c r="I341" s="1271"/>
    </row>
    <row r="342" spans="5:9" x14ac:dyDescent="0.2">
      <c r="E342" s="1164"/>
      <c r="F342" s="1473" t="str">
        <f>IF(IF($A$14="Goetter",Tabellen_Goetter!A342,Tabellen_Magie!A342)=0,"",IF($A$14="Goetter",Tabellen_Goetter!A342,Tabellen_Magie!A342))</f>
        <v>Aquafaxius</v>
      </c>
      <c r="G342" s="1129"/>
      <c r="I342" s="1271"/>
    </row>
    <row r="343" spans="5:9" x14ac:dyDescent="0.2">
      <c r="E343" s="1164"/>
      <c r="F343" s="1588" t="str">
        <f>IF(IF($A$14="Goetter",Tabellen_Goetter!A343,Tabellen_Magie!A343)=0,"",IF($A$14="Goetter",Tabellen_Goetter!A343,Tabellen_Magie!A343))</f>
        <v>Aquaqueris Wasserfluch</v>
      </c>
      <c r="G343" s="1264"/>
      <c r="I343" s="1272" t="str">
        <f>IF($A$14="Goetter","Liturgiekenntnis - Götterdiener","")</f>
        <v/>
      </c>
    </row>
    <row r="344" spans="5:9" x14ac:dyDescent="0.2">
      <c r="E344" s="1164"/>
      <c r="F344" s="1473" t="str">
        <f>IF(IF($A$14="Goetter",Tabellen_Goetter!A344,Tabellen_Magie!A344)=0,"",IF($A$14="Goetter",Tabellen_Goetter!A344,Tabellen_Magie!A344))</f>
        <v>Aquasphaero</v>
      </c>
      <c r="G344" s="1129"/>
      <c r="I344" s="1273" t="str">
        <f>IF($A$14="Goetter","Normalerweise 3","")</f>
        <v/>
      </c>
    </row>
    <row r="345" spans="5:9" x14ac:dyDescent="0.2">
      <c r="E345" s="1164"/>
      <c r="F345" s="1588" t="str">
        <f>IF(IF($A$14="Goetter",Tabellen_Goetter!A345,Tabellen_Magie!A345)=0,"",IF($A$14="Goetter",Tabellen_Goetter!A345,Tabellen_Magie!A345))</f>
        <v>Arachnea Krabbeltier</v>
      </c>
      <c r="G345" s="1264"/>
      <c r="I345" s="1271"/>
    </row>
    <row r="346" spans="5:9" x14ac:dyDescent="0.2">
      <c r="E346" s="1164"/>
      <c r="F346" s="1473" t="str">
        <f>IF(IF($A$14="Goetter",Tabellen_Goetter!A346,Tabellen_Magie!A346)=0,"",IF($A$14="Goetter",Tabellen_Goetter!A346,Tabellen_Magie!A346))</f>
        <v>Arcanovi Artefakt</v>
      </c>
      <c r="G346" s="1129"/>
      <c r="I346" s="1272" t="str">
        <f>IF($A$14="Goetter","Ritualkenntnis Schamane","")</f>
        <v/>
      </c>
    </row>
    <row r="347" spans="5:9" x14ac:dyDescent="0.2">
      <c r="E347" s="1164"/>
      <c r="F347" s="1588" t="str">
        <f>IF(IF($A$14="Goetter",Tabellen_Goetter!A347,Tabellen_Magie!A347)=0,"",IF($A$14="Goetter",Tabellen_Goetter!A347,Tabellen_Magie!A347))</f>
        <v>Archofaxius</v>
      </c>
      <c r="G347" s="1264"/>
      <c r="I347" s="1273" t="str">
        <f>IF($A$14="Goetter","Normalerweise leer","")</f>
        <v/>
      </c>
    </row>
    <row r="348" spans="5:9" x14ac:dyDescent="0.2">
      <c r="E348" s="1164"/>
      <c r="F348" s="1473" t="str">
        <f>IF(IF($A$14="Goetter",Tabellen_Goetter!A348,Tabellen_Magie!A348)=0,"",IF($A$14="Goetter",Tabellen_Goetter!A348,Tabellen_Magie!A348))</f>
        <v>Archosphaero</v>
      </c>
      <c r="G348" s="1129"/>
      <c r="I348" s="1272" t="str">
        <f>IF($A$14="Goetter","Startwerte Rituale","")</f>
        <v/>
      </c>
    </row>
    <row r="349" spans="5:9" x14ac:dyDescent="0.2">
      <c r="E349" s="1164"/>
      <c r="F349" s="1588" t="str">
        <f>IF(IF($A$14="Goetter",Tabellen_Goetter!A349,Tabellen_Magie!A349)=0,"",IF($A$14="Goetter",Tabellen_Goetter!A349,Tabellen_Magie!A349))</f>
        <v>Armatrutz</v>
      </c>
      <c r="G349" s="1264"/>
      <c r="I349" s="1273"/>
    </row>
    <row r="350" spans="5:9" x14ac:dyDescent="0.2">
      <c r="E350" s="1164"/>
      <c r="F350" s="1473" t="str">
        <f>IF(IF($A$14="Goetter",Tabellen_Goetter!A350,Tabellen_Magie!A350)=0,"",IF($A$14="Goetter",Tabellen_Goetter!A350,Tabellen_Magie!A350))</f>
        <v>Atemnot</v>
      </c>
      <c r="G350" s="1129"/>
      <c r="I350" s="1273"/>
    </row>
    <row r="351" spans="5:9" x14ac:dyDescent="0.2">
      <c r="E351" s="1164"/>
      <c r="F351" s="1588" t="str">
        <f>IF(IF($A$14="Goetter",Tabellen_Goetter!A351,Tabellen_Magie!A351)=0,"",IF($A$14="Goetter",Tabellen_Goetter!A351,Tabellen_Magie!A351))</f>
        <v>Attributo</v>
      </c>
      <c r="G351" s="1264"/>
      <c r="I351" s="1273"/>
    </row>
    <row r="352" spans="5:9" x14ac:dyDescent="0.2">
      <c r="E352" s="1164"/>
      <c r="F352" s="1473" t="str">
        <f>IF(IF($A$14="Goetter",Tabellen_Goetter!A352,Tabellen_Magie!A352)=0,"",IF($A$14="Goetter",Tabellen_Goetter!A352,Tabellen_Magie!A352))</f>
        <v>Aufgeblasen abgehoben</v>
      </c>
      <c r="G352" s="1129"/>
      <c r="I352" s="1272" t="str">
        <f>IF($A$14="Goetter","Liturgien - nach Grad geordnet","")</f>
        <v/>
      </c>
    </row>
    <row r="353" spans="5:9" x14ac:dyDescent="0.2">
      <c r="E353" s="1164"/>
      <c r="F353" s="1588" t="str">
        <f>IF(IF($A$14="Goetter",Tabellen_Goetter!A353,Tabellen_Magie!A353)=0,"",IF($A$14="Goetter",Tabellen_Goetter!A353,Tabellen_Magie!A353))</f>
        <v>Auge des Limbus</v>
      </c>
      <c r="G353" s="1264"/>
      <c r="I353" s="1271"/>
    </row>
    <row r="354" spans="5:9" x14ac:dyDescent="0.2">
      <c r="E354" s="1164"/>
      <c r="F354" s="1473" t="str">
        <f>IF(IF($A$14="Goetter",Tabellen_Goetter!A355,Tabellen_Magie!A354)=0,"",IF($A$14="Goetter",Tabellen_Goetter!A355,Tabellen_Magie!A354))</f>
        <v>Aureolus Güldenglanz</v>
      </c>
      <c r="G354" s="1129"/>
      <c r="I354" s="1273" t="str">
        <f>IF($A$14="Goetter","Folgende Buchstaben eintragen:","")</f>
        <v/>
      </c>
    </row>
    <row r="355" spans="5:9" x14ac:dyDescent="0.2">
      <c r="E355" s="1164"/>
      <c r="F355" s="1588" t="str">
        <f>IF(IF($A$14="Goetter",Tabellen_Goetter!A357,Tabellen_Magie!A355)=0,"",IF($A$14="Goetter",Tabellen_Goetter!A357,Tabellen_Magie!A355))</f>
        <v>Auris Nasus Oculus</v>
      </c>
      <c r="G355" s="1264"/>
      <c r="I355" s="1273" t="str">
        <f>IF($A$14="Goetter","X: Startliturgie","")</f>
        <v/>
      </c>
    </row>
    <row r="356" spans="5:9" x14ac:dyDescent="0.2">
      <c r="E356" s="1164"/>
      <c r="F356" s="1473" t="str">
        <f>IF(IF($A$14="Goetter",Tabellen_Goetter!A358,Tabellen_Magie!A356)=0,"",IF($A$14="Goetter",Tabellen_Goetter!A358,Tabellen_Magie!A356))</f>
        <v>Axxeleratus Blitzgeschwind</v>
      </c>
      <c r="G356" s="1129"/>
      <c r="I356" s="1273" t="str">
        <f>IF($A$14="Goetter","V: Liturgie ist verbilligt erlernbar","")</f>
        <v/>
      </c>
    </row>
    <row r="357" spans="5:9" x14ac:dyDescent="0.2">
      <c r="E357" s="1164"/>
      <c r="F357" s="1588" t="str">
        <f>IF(IF($A$14="Goetter",Tabellen_Goetter!A359,Tabellen_Magie!A357)=0,"",IF($A$14="Goetter",Tabellen_Goetter!A359,Tabellen_Magie!A357))</f>
        <v>Balsam Salabunde</v>
      </c>
      <c r="G357" s="1264"/>
      <c r="I357" s="1273" t="str">
        <f>IF($A$14="Goetter","B: Liturgie grundsätzlich bekannt aber noch nicht gelernt","")</f>
        <v/>
      </c>
    </row>
    <row r="358" spans="5:9" x14ac:dyDescent="0.2">
      <c r="E358" s="1164"/>
      <c r="F358" s="1473" t="str">
        <f>IF(IF($A$14="Goetter",Tabellen_Goetter!A360,Tabellen_Magie!A358)=0,"",IF($A$14="Goetter",Tabellen_Goetter!A360,Tabellen_Magie!A358))</f>
        <v>Band und Fessel</v>
      </c>
      <c r="G358" s="1129"/>
      <c r="I358" s="1271"/>
    </row>
    <row r="359" spans="5:9" x14ac:dyDescent="0.2">
      <c r="E359" s="1164"/>
      <c r="F359" s="1588" t="str">
        <f>IF(IF($A$14="Goetter",Tabellen_Goetter!A361,Tabellen_Magie!A359)=0,"",IF($A$14="Goetter",Tabellen_Goetter!A361,Tabellen_Magie!A359))</f>
        <v>Bannbaladin</v>
      </c>
      <c r="G359" s="1264"/>
      <c r="I359" s="1271"/>
    </row>
    <row r="360" spans="5:9" x14ac:dyDescent="0.2">
      <c r="E360" s="1164"/>
      <c r="F360" s="1473" t="str">
        <f>IF(IF($A$14="Goetter",Tabellen_Goetter!A362,Tabellen_Magie!A360)=0,"",IF($A$14="Goetter",Tabellen_Goetter!A362,Tabellen_Magie!A360))</f>
        <v>Bärenruhe Winterschlaf</v>
      </c>
      <c r="G360" s="1129"/>
      <c r="I360" s="1271"/>
    </row>
    <row r="361" spans="5:9" x14ac:dyDescent="0.2">
      <c r="E361" s="1164"/>
      <c r="F361" s="1588" t="str">
        <f>IF(IF($A$14="Goetter",Tabellen_Goetter!A363,Tabellen_Magie!A361)=0,"",IF($A$14="Goetter",Tabellen_Goetter!A363,Tabellen_Magie!A361))</f>
        <v>Beherrschung brechen</v>
      </c>
      <c r="G361" s="1264"/>
      <c r="I361" s="1271"/>
    </row>
    <row r="362" spans="5:9" x14ac:dyDescent="0.2">
      <c r="E362" s="1164"/>
      <c r="F362" s="1473" t="str">
        <f>IF(IF($A$14="Goetter",Tabellen_Goetter!A364,Tabellen_Magie!A362)=0,"",IF($A$14="Goetter",Tabellen_Goetter!A364,Tabellen_Magie!A362))</f>
        <v>Belhalharbann</v>
      </c>
      <c r="G362" s="1129"/>
      <c r="I362" s="1271"/>
    </row>
    <row r="363" spans="5:9" x14ac:dyDescent="0.2">
      <c r="E363" s="1164"/>
      <c r="F363" s="1588" t="str">
        <f>IF(IF($A$14="Goetter",Tabellen_Goetter!A365,Tabellen_Magie!A363)=0,"",IF($A$14="Goetter",Tabellen_Goetter!A365,Tabellen_Magie!A363))</f>
        <v>Belkelelbann</v>
      </c>
      <c r="G363" s="1264"/>
      <c r="I363" s="1271"/>
    </row>
    <row r="364" spans="5:9" x14ac:dyDescent="0.2">
      <c r="E364" s="1164"/>
      <c r="F364" s="1473" t="str">
        <f>IF(IF($A$14="Goetter",Tabellen_Goetter!A366,Tabellen_Magie!A364)=0,"",IF($A$14="Goetter",Tabellen_Goetter!A366,Tabellen_Magie!A364))</f>
        <v>Beschwörung vereiteln</v>
      </c>
      <c r="G364" s="1129"/>
      <c r="I364" s="1271"/>
    </row>
    <row r="365" spans="5:9" x14ac:dyDescent="0.2">
      <c r="E365" s="1164"/>
      <c r="F365" s="1588" t="str">
        <f>IF(IF($A$14="Goetter",Tabellen_Goetter!A367,Tabellen_Magie!A365)=0,"",IF($A$14="Goetter",Tabellen_Goetter!A367,Tabellen_Magie!A365))</f>
        <v>Bewegung stören</v>
      </c>
      <c r="G365" s="1264"/>
      <c r="I365" s="1271"/>
    </row>
    <row r="366" spans="5:9" x14ac:dyDescent="0.2">
      <c r="E366" s="1164"/>
      <c r="F366" s="1473" t="str">
        <f>IF(IF($A$14="Goetter",Tabellen_Goetter!A368,Tabellen_Magie!A366)=0,"",IF($A$14="Goetter",Tabellen_Goetter!A368,Tabellen_Magie!A366))</f>
        <v>Blakharaz-Bann</v>
      </c>
      <c r="G366" s="1129"/>
      <c r="I366" s="1271"/>
    </row>
    <row r="367" spans="5:9" x14ac:dyDescent="0.2">
      <c r="E367" s="1164"/>
      <c r="F367" s="1588" t="str">
        <f>IF(IF($A$14="Goetter",Tabellen_Goetter!A369,Tabellen_Magie!A367)=0,"",IF($A$14="Goetter",Tabellen_Goetter!A369,Tabellen_Magie!A367))</f>
        <v>Blendwerk</v>
      </c>
      <c r="G367" s="1264"/>
      <c r="I367" s="1271"/>
    </row>
    <row r="368" spans="5:9" x14ac:dyDescent="0.2">
      <c r="E368" s="1164"/>
      <c r="F368" s="1473" t="str">
        <f>IF(IF($A$14="Goetter",Tabellen_Goetter!A370,Tabellen_Magie!A368)=0,"",IF($A$14="Goetter",Tabellen_Goetter!A370,Tabellen_Magie!A368))</f>
        <v>Blick aufs Wesen</v>
      </c>
      <c r="G368" s="1129"/>
      <c r="I368" s="1271"/>
    </row>
    <row r="369" spans="5:9" x14ac:dyDescent="0.2">
      <c r="E369" s="1164"/>
      <c r="F369" s="1588" t="str">
        <f>IF(IF($A$14="Goetter",Tabellen_Goetter!A371,Tabellen_Magie!A369)=0,"",IF($A$14="Goetter",Tabellen_Goetter!A371,Tabellen_Magie!A369))</f>
        <v>Blick durch fremde Augen</v>
      </c>
      <c r="G369" s="1264"/>
      <c r="I369" s="1271"/>
    </row>
    <row r="370" spans="5:9" x14ac:dyDescent="0.2">
      <c r="E370" s="1164"/>
      <c r="F370" s="1473" t="str">
        <f>IF(IF($A$14="Goetter",Tabellen_Goetter!A372,Tabellen_Magie!A370)=0,"",IF($A$14="Goetter",Tabellen_Goetter!A372,Tabellen_Magie!A370))</f>
        <v>Blick in die Gedanken</v>
      </c>
      <c r="G370" s="1129"/>
      <c r="I370" s="1271"/>
    </row>
    <row r="371" spans="5:9" x14ac:dyDescent="0.2">
      <c r="E371" s="1164"/>
      <c r="F371" s="1588" t="str">
        <f>IF(IF($A$14="Goetter",Tabellen_Goetter!A373,Tabellen_Magie!A371)=0,"",IF($A$14="Goetter",Tabellen_Goetter!A373,Tabellen_Magie!A371))</f>
        <v>Blick in die Vergangenheit</v>
      </c>
      <c r="G371" s="1264"/>
      <c r="I371" s="1271"/>
    </row>
    <row r="372" spans="5:9" x14ac:dyDescent="0.2">
      <c r="E372" s="1164"/>
      <c r="F372" s="1473" t="str">
        <f>IF(IF($A$14="Goetter",Tabellen_Goetter!A374,Tabellen_Magie!A372)=0,"",IF($A$14="Goetter",Tabellen_Goetter!A374,Tabellen_Magie!A372))</f>
        <v>Blitz dich find</v>
      </c>
      <c r="G372" s="1129"/>
      <c r="I372" s="1271"/>
    </row>
    <row r="373" spans="5:9" x14ac:dyDescent="0.2">
      <c r="E373" s="1164"/>
      <c r="F373" s="1588" t="str">
        <f>IF(IF($A$14="Goetter",Tabellen_Goetter!A375,Tabellen_Magie!A373)=0,"",IF($A$14="Goetter",Tabellen_Goetter!A375,Tabellen_Magie!A373))</f>
        <v>Böser Blick</v>
      </c>
      <c r="G373" s="1264"/>
      <c r="I373" s="1271"/>
    </row>
    <row r="374" spans="5:9" x14ac:dyDescent="0.2">
      <c r="E374" s="1164"/>
      <c r="F374" s="1473" t="str">
        <f>IF(IF($A$14="Goetter",Tabellen_Goetter!A377,Tabellen_Magie!A374)=0,"",IF($A$14="Goetter",Tabellen_Goetter!A377,Tabellen_Magie!A374))</f>
        <v>Brenne toter Stoff !</v>
      </c>
      <c r="G374" s="1129"/>
      <c r="I374" s="1271"/>
    </row>
    <row r="375" spans="5:9" x14ac:dyDescent="0.2">
      <c r="E375" s="1164"/>
      <c r="F375" s="1588" t="str">
        <f>IF(IF($A$14="Goetter",Tabellen_Goetter!A378,Tabellen_Magie!A375)=0,"",IF($A$14="Goetter",Tabellen_Goetter!A378,Tabellen_Magie!A375))</f>
        <v>Caldofrigo heiss und kalt</v>
      </c>
      <c r="G375" s="1264"/>
      <c r="I375" s="1271"/>
    </row>
    <row r="376" spans="5:9" x14ac:dyDescent="0.2">
      <c r="E376" s="1164"/>
      <c r="F376" s="1473" t="str">
        <f>IF(IF($A$14="Goetter",Tabellen_Goetter!A380,Tabellen_Magie!A376)=0,"",IF($A$14="Goetter",Tabellen_Goetter!A380,Tabellen_Magie!A376))</f>
        <v>Chamaelioni</v>
      </c>
      <c r="G376" s="1129"/>
      <c r="I376" s="1271"/>
    </row>
    <row r="377" spans="5:9" x14ac:dyDescent="0.2">
      <c r="E377" s="1164"/>
      <c r="F377" s="1588" t="str">
        <f>IF(IF($A$14="Goetter",Tabellen_Goetter!A381,Tabellen_Magie!A377)=0,"",IF($A$14="Goetter",Tabellen_Goetter!A381,Tabellen_Magie!A377))</f>
        <v>Chimaeroform Hybridgestalt</v>
      </c>
      <c r="G377" s="1264"/>
      <c r="I377" s="1271"/>
    </row>
    <row r="378" spans="5:9" x14ac:dyDescent="0.2">
      <c r="E378" s="1164"/>
      <c r="F378" s="1473" t="str">
        <f>IF(IF($A$14="Goetter",Tabellen_Goetter!A382,Tabellen_Magie!A378)=0,"",IF($A$14="Goetter",Tabellen_Goetter!A382,Tabellen_Magie!A378))</f>
        <v>Chronoklassis Urfossil</v>
      </c>
      <c r="G378" s="1129"/>
      <c r="I378" s="1271"/>
    </row>
    <row r="379" spans="5:9" x14ac:dyDescent="0.2">
      <c r="E379" s="1164"/>
      <c r="F379" s="1588" t="str">
        <f>IF(IF($A$14="Goetter",Tabellen_Goetter!A383,Tabellen_Magie!A379)=0,"",IF($A$14="Goetter",Tabellen_Goetter!A383,Tabellen_Magie!A379))</f>
        <v>Chrononautus Zeitenfahrt</v>
      </c>
      <c r="G379" s="1264"/>
      <c r="I379" s="1271"/>
    </row>
    <row r="380" spans="5:9" x14ac:dyDescent="0.2">
      <c r="E380" s="1164"/>
      <c r="F380" s="1473" t="str">
        <f>IF(IF($A$14="Goetter",Tabellen_Goetter!A384,Tabellen_Magie!A380)=0,"",IF($A$14="Goetter",Tabellen_Goetter!A384,Tabellen_Magie!A380))</f>
        <v>Claudibus Clavistibor</v>
      </c>
      <c r="G380" s="1129"/>
      <c r="I380" s="1271"/>
    </row>
    <row r="381" spans="5:9" x14ac:dyDescent="0.2">
      <c r="E381" s="1164"/>
      <c r="F381" s="1588" t="str">
        <f>IF(IF($A$14="Goetter",Tabellen_Goetter!A385,Tabellen_Magie!A381)=0,"",IF($A$14="Goetter",Tabellen_Goetter!A385,Tabellen_Magie!A381))</f>
        <v>Corpofesso Gliederschmerz</v>
      </c>
      <c r="G381" s="1264"/>
      <c r="I381" s="1271"/>
    </row>
    <row r="382" spans="5:9" x14ac:dyDescent="0.2">
      <c r="E382" s="1164"/>
      <c r="F382" s="1473" t="str">
        <f>IF(IF($A$14="Goetter",Tabellen_Goetter!A386,Tabellen_Magie!A382)=0,"",IF($A$14="Goetter",Tabellen_Goetter!A386,Tabellen_Magie!A382))</f>
        <v>Corpofrigo Kälteschock</v>
      </c>
      <c r="G382" s="1129"/>
      <c r="I382" s="1271"/>
    </row>
    <row r="383" spans="5:9" x14ac:dyDescent="0.2">
      <c r="E383" s="1164"/>
      <c r="F383" s="1588" t="str">
        <f>IF(IF($A$14="Goetter",Tabellen_Goetter!A387,Tabellen_Magie!A383)=0,"",IF($A$14="Goetter",Tabellen_Goetter!A387,Tabellen_Magie!A383))</f>
        <v>Cryptographo Zauberschrift</v>
      </c>
      <c r="G383" s="1264"/>
      <c r="I383" s="1271"/>
    </row>
    <row r="384" spans="5:9" x14ac:dyDescent="0.2">
      <c r="E384" s="1164"/>
      <c r="F384" s="1473" t="str">
        <f>IF(IF($A$14="Goetter",Tabellen_Goetter!A388,Tabellen_Magie!A384)=0,"",IF($A$14="Goetter",Tabellen_Goetter!A388,Tabellen_Magie!A384))</f>
        <v>Custodosigil Diebesbann</v>
      </c>
      <c r="G384" s="1129"/>
      <c r="I384" s="1271"/>
    </row>
    <row r="385" spans="5:9" x14ac:dyDescent="0.2">
      <c r="E385" s="1164"/>
      <c r="F385" s="1588" t="str">
        <f>IF(IF($A$14="Goetter",Tabellen_Goetter!A389,Tabellen_Magie!A385)=0,"",IF($A$14="Goetter",Tabellen_Goetter!A389,Tabellen_Magie!A385))</f>
        <v>Dämonenbann</v>
      </c>
      <c r="G385" s="1264"/>
      <c r="I385" s="1271"/>
    </row>
    <row r="386" spans="5:9" x14ac:dyDescent="0.2">
      <c r="E386" s="1164"/>
      <c r="F386" s="1473" t="str">
        <f>IF(IF($A$14="Goetter",Tabellen_Goetter!A390,Tabellen_Magie!A386)=0,"",IF($A$14="Goetter",Tabellen_Goetter!A390,Tabellen_Magie!A386))</f>
        <v>Deliciosi Gaumenschmaus</v>
      </c>
      <c r="G386" s="1129"/>
      <c r="I386" s="1271"/>
    </row>
    <row r="387" spans="5:9" x14ac:dyDescent="0.2">
      <c r="E387" s="1164"/>
      <c r="F387" s="1588" t="str">
        <f>IF(IF($A$14="Goetter",Tabellen_Goetter!A391,Tabellen_Magie!A387)=0,"",IF($A$14="Goetter",Tabellen_Goetter!A391,Tabellen_Magie!A387))</f>
        <v>Desintegratus Pulverstaub</v>
      </c>
      <c r="G387" s="1264"/>
      <c r="I387" s="1271"/>
    </row>
    <row r="388" spans="5:9" x14ac:dyDescent="0.2">
      <c r="E388" s="1164"/>
      <c r="F388" s="1473" t="str">
        <f>IF(IF($A$14="Goetter",Tabellen_Goetter!A392,Tabellen_Magie!A388)=0,"",IF($A$14="Goetter",Tabellen_Goetter!A392,Tabellen_Magie!A388))</f>
        <v>Destructibo Arcanitas</v>
      </c>
      <c r="G388" s="1129"/>
      <c r="I388" s="1271"/>
    </row>
    <row r="389" spans="5:9" x14ac:dyDescent="0.2">
      <c r="E389" s="1164"/>
      <c r="F389" s="1588" t="str">
        <f>IF(IF($A$14="Goetter",Tabellen_Goetter!A393,Tabellen_Magie!A389)=0,"",IF($A$14="Goetter",Tabellen_Goetter!A393,Tabellen_Magie!A389))</f>
        <v>Dichter und Denker</v>
      </c>
      <c r="G389" s="1264"/>
      <c r="I389" s="1271"/>
    </row>
    <row r="390" spans="5:9" x14ac:dyDescent="0.2">
      <c r="E390" s="1164"/>
      <c r="F390" s="1473" t="str">
        <f>IF(IF($A$14="Goetter",Tabellen_Goetter!A395,Tabellen_Magie!A390)=0,"",IF($A$14="Goetter",Tabellen_Goetter!A395,Tabellen_Magie!A390))</f>
        <v>Dschinnenruf</v>
      </c>
      <c r="G390" s="1129"/>
      <c r="I390" s="1271"/>
    </row>
    <row r="391" spans="5:9" x14ac:dyDescent="0.2">
      <c r="E391" s="1164"/>
      <c r="F391" s="1588" t="str">
        <f>IF(IF($A$14="Goetter",Tabellen_Goetter!A396,Tabellen_Magie!A391)=0,"",IF($A$14="Goetter",Tabellen_Goetter!A396,Tabellen_Magie!A391))</f>
        <v>Dunkelheit</v>
      </c>
      <c r="G391" s="1264"/>
      <c r="I391" s="1271"/>
    </row>
    <row r="392" spans="5:9" x14ac:dyDescent="0.2">
      <c r="E392" s="1164"/>
      <c r="F392" s="1473" t="str">
        <f>IF(IF($A$14="Goetter",Tabellen_Goetter!A397,Tabellen_Magie!A392)=0,"",IF($A$14="Goetter",Tabellen_Goetter!A397,Tabellen_Magie!A392))</f>
        <v>Duplicatus Doppelbild</v>
      </c>
      <c r="G392" s="1129"/>
      <c r="I392" s="1271"/>
    </row>
    <row r="393" spans="5:9" x14ac:dyDescent="0.2">
      <c r="E393" s="1164"/>
      <c r="F393" s="1588" t="str">
        <f>IF(IF($A$14="Goetter",Tabellen_Goetter!A398,Tabellen_Magie!A393)=0,"",IF($A$14="Goetter",Tabellen_Goetter!A398,Tabellen_Magie!A393))</f>
        <v>Durch Marmorstein und Eisenwand</v>
      </c>
      <c r="G393" s="1264"/>
      <c r="I393" s="1271"/>
    </row>
    <row r="394" spans="5:9" x14ac:dyDescent="0.2">
      <c r="E394" s="1164"/>
      <c r="F394" s="1473" t="str">
        <f>IF(IF($A$14="Goetter",Tabellen_Goetter!A399,Tabellen_Magie!A394)=0,"",IF($A$14="Goetter",Tabellen_Goetter!A399,Tabellen_Magie!A394))</f>
        <v>Ecliptifactus Schattenkraft</v>
      </c>
      <c r="G394" s="1129"/>
      <c r="I394" s="1271"/>
    </row>
    <row r="395" spans="5:9" x14ac:dyDescent="0.2">
      <c r="E395" s="1164"/>
      <c r="F395" s="1588" t="str">
        <f>IF(IF($A$14="Goetter",Tabellen_Goetter!A400,Tabellen_Magie!A395)=0,"",IF($A$14="Goetter",Tabellen_Goetter!A400,Tabellen_Magie!A395))</f>
        <v>Eigenschaften wiederherst.</v>
      </c>
      <c r="G395" s="1264"/>
      <c r="I395" s="1271"/>
    </row>
    <row r="396" spans="5:9" x14ac:dyDescent="0.2">
      <c r="E396" s="1164"/>
      <c r="F396" s="1473" t="str">
        <f>IF(IF($A$14="Goetter",Tabellen_Goetter!A401,Tabellen_Magie!A396)=0,"",IF($A$14="Goetter",Tabellen_Goetter!A401,Tabellen_Magie!A396))</f>
        <v>Eigne Ängste quälen dich!</v>
      </c>
      <c r="G396" s="1129"/>
      <c r="I396" s="1271"/>
    </row>
    <row r="397" spans="5:9" x14ac:dyDescent="0.2">
      <c r="E397" s="1164"/>
      <c r="F397" s="1588" t="str">
        <f>IF(IF($A$14="Goetter",Tabellen_Goetter!A402,Tabellen_Magie!A397)=0,"",IF($A$14="Goetter",Tabellen_Goetter!A402,Tabellen_Magie!A397))</f>
        <v>Einfluss bannen</v>
      </c>
      <c r="G397" s="1264"/>
      <c r="I397" s="1271"/>
    </row>
    <row r="398" spans="5:9" x14ac:dyDescent="0.2">
      <c r="E398" s="1164"/>
      <c r="F398" s="1473" t="str">
        <f>IF(IF($A$14="Goetter",Tabellen_Goetter!A403,Tabellen_Magie!A398)=0,"",IF($A$14="Goetter",Tabellen_Goetter!A403,Tabellen_Magie!A398))</f>
        <v>Eins mit der Natur</v>
      </c>
      <c r="G398" s="1129"/>
      <c r="I398" s="1271"/>
    </row>
    <row r="399" spans="5:9" x14ac:dyDescent="0.2">
      <c r="E399" s="1164"/>
      <c r="F399" s="1588" t="str">
        <f>IF(IF($A$14="Goetter",Tabellen_Goetter!A404,Tabellen_Magie!A399)=0,"",IF($A$14="Goetter",Tabellen_Goetter!A404,Tabellen_Magie!A399))</f>
        <v>Eisbann</v>
      </c>
      <c r="G399" s="1264"/>
      <c r="I399" s="1271"/>
    </row>
    <row r="400" spans="5:9" x14ac:dyDescent="0.2">
      <c r="E400" s="1164"/>
      <c r="F400" s="1473" t="str">
        <f>IF(IF($A$14="Goetter",Tabellen_Goetter!A405,Tabellen_Magie!A400)=0,"",IF($A$14="Goetter",Tabellen_Goetter!A405,Tabellen_Magie!A400))</f>
        <v>Eisenrost und Patina</v>
      </c>
      <c r="G400" s="1129"/>
      <c r="I400" s="1271"/>
    </row>
    <row r="401" spans="5:9" x14ac:dyDescent="0.2">
      <c r="E401" s="1164"/>
      <c r="F401" s="1588" t="str">
        <f>IF(IF($A$14="Goetter",Tabellen_Goetter!A406,Tabellen_Magie!A401)=0,"",IF($A$14="Goetter",Tabellen_Goetter!A406,Tabellen_Magie!A401))</f>
        <v>Eiseskälte Kämpferherz</v>
      </c>
      <c r="G401" s="1264"/>
      <c r="I401" s="1271"/>
    </row>
    <row r="402" spans="5:9" x14ac:dyDescent="0.2">
      <c r="E402" s="1164"/>
      <c r="F402" s="1473" t="str">
        <f>IF(IF($A$14="Goetter",Tabellen_Goetter!A408,Tabellen_Magie!A402)=0,"",IF($A$14="Goetter",Tabellen_Goetter!A408,Tabellen_Magie!A402))</f>
        <v>Eiswirbel</v>
      </c>
      <c r="G402" s="1129"/>
      <c r="I402" s="1271"/>
    </row>
    <row r="403" spans="5:9" x14ac:dyDescent="0.2">
      <c r="E403" s="1164"/>
      <c r="F403" s="1588" t="str">
        <f>IF(IF($A$14="Goetter",Tabellen_Goetter!A409,Tabellen_Magie!A403)=0,"",IF($A$14="Goetter",Tabellen_Goetter!A409,Tabellen_Magie!A403))</f>
        <v>Elementarbann</v>
      </c>
      <c r="G403" s="1264"/>
      <c r="I403" s="1271"/>
    </row>
    <row r="404" spans="5:9" x14ac:dyDescent="0.2">
      <c r="E404" s="1164"/>
      <c r="F404" s="1473" t="str">
        <f>IF(IF($A$14="Goetter",Tabellen_Goetter!A410,Tabellen_Magie!A404)=0,"",IF($A$14="Goetter",Tabellen_Goetter!A410,Tabellen_Magie!A404))</f>
        <v>Elementarer Diener</v>
      </c>
      <c r="G404" s="1129"/>
      <c r="I404" s="1271"/>
    </row>
    <row r="405" spans="5:9" x14ac:dyDescent="0.2">
      <c r="E405" s="1164"/>
      <c r="F405" s="1588" t="str">
        <f>IF(IF($A$14="Goetter",Tabellen_Goetter!A411,Tabellen_Magie!A405)=0,"",IF($A$14="Goetter",Tabellen_Goetter!A411,Tabellen_Magie!A405))</f>
        <v>Elementarer Wirbel</v>
      </c>
      <c r="G405" s="1264"/>
      <c r="I405" s="1271"/>
    </row>
    <row r="406" spans="5:9" x14ac:dyDescent="0.2">
      <c r="E406" s="1164"/>
      <c r="F406" s="1473" t="str">
        <f>IF(IF($A$14="Goetter",Tabellen_Goetter!A412,Tabellen_Magie!A406)=0,"",IF($A$14="Goetter",Tabellen_Goetter!A412,Tabellen_Magie!A406))</f>
        <v>Elfenstimme Flötenton</v>
      </c>
      <c r="G406" s="1129"/>
      <c r="I406" s="1271"/>
    </row>
    <row r="407" spans="5:9" x14ac:dyDescent="0.2">
      <c r="E407" s="1164"/>
      <c r="F407" s="1588" t="str">
        <f>IF(IF($A$14="Goetter",Tabellen_Goetter!A413,Tabellen_Magie!A407)=0,"",IF($A$14="Goetter",Tabellen_Goetter!A413,Tabellen_Magie!A407))</f>
        <v>Erinnerung verlasse dich!</v>
      </c>
      <c r="G407" s="1264"/>
      <c r="I407" s="1271"/>
    </row>
    <row r="408" spans="5:9" x14ac:dyDescent="0.2">
      <c r="E408" s="1164"/>
      <c r="F408" s="1473" t="str">
        <f>IF(IF($A$14="Goetter",Tabellen_Goetter!A414,Tabellen_Magie!A408)=0,"",IF($A$14="Goetter",Tabellen_Goetter!A414,Tabellen_Magie!A408))</f>
        <v>Erzbann</v>
      </c>
      <c r="G408" s="1129"/>
      <c r="I408" s="1271"/>
    </row>
    <row r="409" spans="5:9" x14ac:dyDescent="0.2">
      <c r="E409" s="1164"/>
      <c r="F409" s="1588" t="str">
        <f>IF(IF($A$14="Goetter",Tabellen_Goetter!A415,Tabellen_Magie!A409)=0,"",IF($A$14="Goetter",Tabellen_Goetter!A415,Tabellen_Magie!A409))</f>
        <v>Exposami Lebenskraft</v>
      </c>
      <c r="G409" s="1264"/>
      <c r="I409" s="1271"/>
    </row>
    <row r="410" spans="5:9" x14ac:dyDescent="0.2">
      <c r="E410" s="1164"/>
      <c r="F410" s="1473" t="str">
        <f>IF(IF($A$14="Goetter",Tabellen_Goetter!A416,Tabellen_Magie!A410)=0,"",IF($A$14="Goetter",Tabellen_Goetter!A416,Tabellen_Magie!A410))</f>
        <v>Falkenauge Meisterschuss</v>
      </c>
      <c r="G410" s="1129"/>
      <c r="I410" s="1271"/>
    </row>
    <row r="411" spans="5:9" x14ac:dyDescent="0.2">
      <c r="E411" s="1164"/>
      <c r="F411" s="1588" t="str">
        <f>IF(IF($A$14="Goetter",Tabellen_Goetter!A417,Tabellen_Magie!A411)=0,"",IF($A$14="Goetter",Tabellen_Goetter!A417,Tabellen_Magie!A411))</f>
        <v>Favilludo Funkentanz</v>
      </c>
      <c r="G411" s="1264"/>
      <c r="I411" s="1271"/>
    </row>
    <row r="412" spans="5:9" x14ac:dyDescent="0.2">
      <c r="E412" s="1164"/>
      <c r="F412" s="1473" t="str">
        <f>IF(IF($A$14="Goetter",Tabellen_Goetter!A418,Tabellen_Magie!A412)=0,"",IF($A$14="Goetter",Tabellen_Goetter!A418,Tabellen_Magie!A412))</f>
        <v>Fesselranken</v>
      </c>
      <c r="G412" s="1129"/>
      <c r="I412" s="1271"/>
    </row>
    <row r="413" spans="5:9" x14ac:dyDescent="0.2">
      <c r="E413" s="1164"/>
      <c r="F413" s="1588" t="str">
        <f>IF(IF($A$14="Goetter",Tabellen_Goetter!A419,Tabellen_Magie!A413)=0,"",IF($A$14="Goetter",Tabellen_Goetter!A419,Tabellen_Magie!A413))</f>
        <v>Feuerbann (I) (=Elementarbann)</v>
      </c>
      <c r="G413" s="1264"/>
      <c r="I413" s="1271"/>
    </row>
    <row r="414" spans="5:9" x14ac:dyDescent="0.2">
      <c r="E414" s="1164"/>
      <c r="F414" s="1473" t="str">
        <f>IF(IF($A$14="Goetter",Tabellen_Goetter!A420,Tabellen_Magie!A414)=0,"",IF($A$14="Goetter",Tabellen_Goetter!A420,Tabellen_Magie!A414))</f>
        <v>Feuerbann (II) (=Leib d. Feuers)</v>
      </c>
      <c r="G414" s="1129"/>
      <c r="I414" s="1271"/>
    </row>
    <row r="415" spans="5:9" x14ac:dyDescent="0.2">
      <c r="E415" s="1164"/>
      <c r="F415" s="1588" t="str">
        <f>IF(IF($A$14="Goetter",Tabellen_Goetter!A421,Tabellen_Magie!A415)=0,"",IF($A$14="Goetter",Tabellen_Goetter!A421,Tabellen_Magie!A415))</f>
        <v>Feuermähne Flammenhuf</v>
      </c>
      <c r="G415" s="1264"/>
      <c r="I415" s="1271"/>
    </row>
    <row r="416" spans="5:9" x14ac:dyDescent="0.2">
      <c r="E416" s="1164"/>
      <c r="F416" s="1473" t="str">
        <f>IF(IF($A$14="Goetter",Tabellen_Goetter!A422,Tabellen_Magie!A416)=0,"",IF($A$14="Goetter",Tabellen_Goetter!A422,Tabellen_Magie!A416))</f>
        <v>Feuersturm</v>
      </c>
      <c r="G416" s="1129"/>
      <c r="I416" s="1271"/>
    </row>
    <row r="417" spans="5:9" x14ac:dyDescent="0.2">
      <c r="E417" s="1164"/>
      <c r="F417" s="1588" t="str">
        <f>IF(IF($A$14="Goetter",Tabellen_Goetter!A423,Tabellen_Magie!A417)=0,"",IF($A$14="Goetter",Tabellen_Goetter!A423,Tabellen_Magie!A417))</f>
        <v>Firnlauf</v>
      </c>
      <c r="G417" s="1264"/>
      <c r="I417" s="1271"/>
    </row>
    <row r="418" spans="5:9" x14ac:dyDescent="0.2">
      <c r="E418" s="1164"/>
      <c r="F418" s="1473" t="str">
        <f>IF(IF($A$14="Goetter",Tabellen_Goetter!A424,Tabellen_Magie!A418)=0,"",IF($A$14="Goetter",Tabellen_Goetter!A424,Tabellen_Magie!A418))</f>
        <v>Fledermausruf</v>
      </c>
      <c r="G418" s="1129"/>
      <c r="I418" s="1271"/>
    </row>
    <row r="419" spans="5:9" x14ac:dyDescent="0.2">
      <c r="E419" s="1164"/>
      <c r="F419" s="1588" t="str">
        <f>IF(IF($A$14="Goetter",Tabellen_Goetter!A425,Tabellen_Magie!A419)=0,"",IF($A$14="Goetter",Tabellen_Goetter!A425,Tabellen_Magie!A419))</f>
        <v>Flim Flam Funkel</v>
      </c>
      <c r="G419" s="1264"/>
      <c r="I419" s="1271"/>
    </row>
    <row r="420" spans="5:9" x14ac:dyDescent="0.2">
      <c r="E420" s="1164"/>
      <c r="F420" s="1473" t="str">
        <f>IF(IF($A$14="Goetter",Tabellen_Goetter!A426,Tabellen_Magie!A420)=0,"",IF($A$14="Goetter",Tabellen_Goetter!A426,Tabellen_Magie!A420))</f>
        <v>Fluch der Pestilenz</v>
      </c>
      <c r="G420" s="1129"/>
      <c r="I420" s="1271"/>
    </row>
    <row r="421" spans="5:9" x14ac:dyDescent="0.2">
      <c r="E421" s="1164"/>
      <c r="F421" s="1588" t="str">
        <f>IF(IF($A$14="Goetter",Tabellen_Goetter!A427,Tabellen_Magie!A421)=0,"",IF($A$14="Goetter",Tabellen_Goetter!A427,Tabellen_Magie!A421))</f>
        <v>Foramen Foraminor</v>
      </c>
      <c r="G421" s="1264"/>
      <c r="I421" s="1271"/>
    </row>
    <row r="422" spans="5:9" x14ac:dyDescent="0.2">
      <c r="E422" s="1164"/>
      <c r="F422" s="1473" t="str">
        <f>IF(IF($A$14="Goetter",Tabellen_Goetter!A428,Tabellen_Magie!A422)=0,"",IF($A$14="Goetter",Tabellen_Goetter!A428,Tabellen_Magie!A422))</f>
        <v>Fortifex arkane Wand</v>
      </c>
      <c r="G422" s="1129"/>
      <c r="I422" s="1271"/>
    </row>
    <row r="423" spans="5:9" x14ac:dyDescent="0.2">
      <c r="E423" s="1164"/>
      <c r="F423" s="1588" t="str">
        <f>IF(IF($A$14="Goetter",Tabellen_Goetter!A430,Tabellen_Magie!A423)=0,"",IF($A$14="Goetter",Tabellen_Goetter!A430,Tabellen_Magie!A423))</f>
        <v>Frigifaxius</v>
      </c>
      <c r="G423" s="1264"/>
      <c r="I423" s="1271"/>
    </row>
    <row r="424" spans="5:9" x14ac:dyDescent="0.2">
      <c r="E424" s="1164"/>
      <c r="F424" s="1473" t="str">
        <f>IF(IF($A$14="Goetter",Tabellen_Goetter!A431,Tabellen_Magie!A424)=0,"",IF($A$14="Goetter",Tabellen_Goetter!A431,Tabellen_Magie!A424))</f>
        <v>Frigosphaero</v>
      </c>
      <c r="G424" s="1129"/>
      <c r="I424" s="1271"/>
    </row>
    <row r="425" spans="5:9" x14ac:dyDescent="0.2">
      <c r="E425" s="1164"/>
      <c r="F425" s="1588" t="str">
        <f>IF(IF($A$14="Goetter",Tabellen_Goetter!A432,Tabellen_Magie!A425)=0,"",IF($A$14="Goetter",Tabellen_Goetter!A432,Tabellen_Magie!A425))</f>
        <v>Fulminictus Donnerkeil</v>
      </c>
      <c r="G425" s="1264"/>
      <c r="I425" s="1271"/>
    </row>
    <row r="426" spans="5:9" x14ac:dyDescent="0.2">
      <c r="E426" s="1164"/>
      <c r="F426" s="1473" t="str">
        <f>IF(IF($A$14="Goetter",Tabellen_Goetter!A433,Tabellen_Magie!A426)=0,"",IF($A$14="Goetter",Tabellen_Goetter!A433,Tabellen_Magie!A426))</f>
        <v>Gardianum Zauberschild</v>
      </c>
      <c r="G426" s="1129"/>
      <c r="I426" s="1271"/>
    </row>
    <row r="427" spans="5:9" x14ac:dyDescent="0.2">
      <c r="E427" s="1164"/>
      <c r="F427" s="1588" t="str">
        <f>IF(IF($A$14="Goetter",Tabellen_Goetter!A434,Tabellen_Magie!A427)=0,"",IF($A$14="Goetter",Tabellen_Goetter!A434,Tabellen_Magie!A427))</f>
        <v>Gedankenbilder Elfenruf</v>
      </c>
      <c r="G427" s="1264"/>
      <c r="I427" s="1271"/>
    </row>
    <row r="428" spans="5:9" x14ac:dyDescent="0.2">
      <c r="E428" s="1164"/>
      <c r="F428" s="1473" t="str">
        <f>IF(IF($A$14="Goetter",Tabellen_Goetter!A435,Tabellen_Magie!A428)=0,"",IF($A$14="Goetter",Tabellen_Goetter!A435,Tabellen_Magie!A428))</f>
        <v>Gefäß der Jahre</v>
      </c>
      <c r="G428" s="1129"/>
      <c r="I428" s="1271"/>
    </row>
    <row r="429" spans="5:9" x14ac:dyDescent="0.2">
      <c r="E429" s="1164"/>
      <c r="F429" s="1588" t="str">
        <f>IF(IF($A$14="Goetter",Tabellen_Goetter!A436,Tabellen_Magie!A429)=0,"",IF($A$14="Goetter",Tabellen_Goetter!A436,Tabellen_Magie!A429))</f>
        <v>Gefunden</v>
      </c>
      <c r="G429" s="1264"/>
      <c r="I429" s="1271"/>
    </row>
    <row r="430" spans="5:9" x14ac:dyDescent="0.2">
      <c r="E430" s="1164"/>
      <c r="F430" s="1473" t="str">
        <f>IF(IF($A$14="Goetter",Tabellen_Goetter!A437,Tabellen_Magie!A430)=0,"",IF($A$14="Goetter",Tabellen_Goetter!A437,Tabellen_Magie!A430))</f>
        <v>Geister beschwören</v>
      </c>
      <c r="G430" s="1129"/>
      <c r="I430" s="1271"/>
    </row>
    <row r="431" spans="5:9" x14ac:dyDescent="0.2">
      <c r="E431" s="1164"/>
      <c r="F431" s="1588" t="str">
        <f>IF(IF($A$14="Goetter",Tabellen_Goetter!A439,Tabellen_Magie!A431)=0,"",IF($A$14="Goetter",Tabellen_Goetter!A439,Tabellen_Magie!A431))</f>
        <v>Geisterbann</v>
      </c>
      <c r="G431" s="1264"/>
      <c r="I431" s="1271"/>
    </row>
    <row r="432" spans="5:9" x14ac:dyDescent="0.2">
      <c r="E432" s="1164"/>
      <c r="F432" s="1473" t="str">
        <f>IF(IF($A$14="Goetter",Tabellen_Goetter!A440,Tabellen_Magie!A432)=0,"",IF($A$14="Goetter",Tabellen_Goetter!A440,Tabellen_Magie!A432))</f>
        <v>Geisterruf</v>
      </c>
      <c r="G432" s="1129"/>
      <c r="I432" s="1271"/>
    </row>
    <row r="433" spans="5:9" x14ac:dyDescent="0.2">
      <c r="E433" s="1164"/>
      <c r="F433" s="1588" t="str">
        <f>IF(IF($A$14="Goetter",Tabellen_Goetter!A441,Tabellen_Magie!A433)=0,"",IF($A$14="Goetter",Tabellen_Goetter!A441,Tabellen_Magie!A433))</f>
        <v>Glacoflumen Fluss aus Eis</v>
      </c>
      <c r="G433" s="1264"/>
      <c r="I433" s="1271"/>
    </row>
    <row r="434" spans="5:9" x14ac:dyDescent="0.2">
      <c r="E434" s="1164"/>
      <c r="F434" s="1473" t="str">
        <f>IF(IF($A$14="Goetter",Tabellen_Goetter!A442,Tabellen_Magie!A434)=0,"",IF($A$14="Goetter",Tabellen_Goetter!A442,Tabellen_Magie!A434))</f>
        <v>Gletscherwand</v>
      </c>
      <c r="G434" s="1129"/>
      <c r="I434" s="1271"/>
    </row>
    <row r="435" spans="5:9" x14ac:dyDescent="0.2">
      <c r="E435" s="1164"/>
      <c r="F435" s="1588" t="str">
        <f>IF(IF($A$14="Goetter",Tabellen_Goetter!A443,Tabellen_Magie!A435)=0,"",IF($A$14="Goetter",Tabellen_Goetter!A443,Tabellen_Magie!A435))</f>
        <v>Granit und Marmor</v>
      </c>
      <c r="G435" s="1264"/>
      <c r="I435" s="1271"/>
    </row>
    <row r="436" spans="5:9" x14ac:dyDescent="0.2">
      <c r="E436" s="1164"/>
      <c r="F436" s="1473" t="str">
        <f>IF(IF($A$14="Goetter",Tabellen_Goetter!A444,Tabellen_Magie!A436)=0,"",IF($A$14="Goetter",Tabellen_Goetter!A444,Tabellen_Magie!A436))</f>
        <v>Große Gier</v>
      </c>
      <c r="G436" s="1129"/>
      <c r="I436" s="1271"/>
    </row>
    <row r="437" spans="5:9" x14ac:dyDescent="0.2">
      <c r="E437" s="1164"/>
      <c r="F437" s="1588" t="str">
        <f>IF(IF($A$14="Goetter",Tabellen_Goetter!A445,Tabellen_Magie!A437)=0,"",IF($A$14="Goetter",Tabellen_Goetter!A445,Tabellen_Magie!A437))</f>
        <v>Große Verwirrung</v>
      </c>
      <c r="G437" s="1264"/>
      <c r="I437" s="1271"/>
    </row>
    <row r="438" spans="5:9" x14ac:dyDescent="0.2">
      <c r="E438" s="1164"/>
      <c r="F438" s="1473" t="str">
        <f>IF(IF($A$14="Goetter",Tabellen_Goetter!A446,Tabellen_Magie!A438)=0,"",IF($A$14="Goetter",Tabellen_Goetter!A446,Tabellen_Magie!A438))</f>
        <v>Halluzination</v>
      </c>
      <c r="G438" s="1129"/>
      <c r="I438" s="1271"/>
    </row>
    <row r="439" spans="5:9" x14ac:dyDescent="0.2">
      <c r="E439" s="1164"/>
      <c r="F439" s="1588" t="str">
        <f>IF(IF($A$14="Goetter",Tabellen_Goetter!A447,Tabellen_Magie!A439)=0,"",IF($A$14="Goetter",Tabellen_Goetter!A447,Tabellen_Magie!A439))</f>
        <v>Harmlose Gestalt</v>
      </c>
      <c r="G439" s="1264"/>
      <c r="I439" s="1271"/>
    </row>
    <row r="440" spans="5:9" x14ac:dyDescent="0.2">
      <c r="E440" s="1164"/>
      <c r="F440" s="1473" t="str">
        <f>IF(IF($A$14="Goetter",Tabellen_Goetter!A448,Tabellen_Magie!A440)=0,"",IF($A$14="Goetter",Tabellen_Goetter!A448,Tabellen_Magie!A440))</f>
        <v>Hartes schmelze!</v>
      </c>
      <c r="G440" s="1129"/>
      <c r="I440" s="1271"/>
    </row>
    <row r="441" spans="5:9" x14ac:dyDescent="0.2">
      <c r="E441" s="1164"/>
      <c r="F441" s="1588" t="str">
        <f>IF(IF($A$14="Goetter",Tabellen_Goetter!A449,Tabellen_Magie!A441)=0,"",IF($A$14="Goetter",Tabellen_Goetter!A449,Tabellen_Magie!A441))</f>
        <v>Haselbusch und Ginsterkraut</v>
      </c>
      <c r="G441" s="1264"/>
      <c r="I441" s="1271"/>
    </row>
    <row r="442" spans="5:9" x14ac:dyDescent="0.2">
      <c r="E442" s="1164"/>
      <c r="F442" s="1473" t="str">
        <f>IF(IF($A$14="Goetter",Tabellen_Goetter!A452,Tabellen_Magie!A442)=0,"",IF($A$14="Goetter",Tabellen_Goetter!A452,Tabellen_Magie!A442))</f>
        <v>Heilkraft bannen</v>
      </c>
      <c r="G442" s="1129"/>
      <c r="I442" s="1271"/>
    </row>
    <row r="443" spans="5:9" x14ac:dyDescent="0.2">
      <c r="E443" s="1164"/>
      <c r="F443" s="1588" t="str">
        <f>IF(IF($A$14="Goetter",Tabellen_Goetter!A453,Tabellen_Magie!A443)=0,"",IF($A$14="Goetter",Tabellen_Goetter!A453,Tabellen_Magie!A443))</f>
        <v>Hellsicht trüben</v>
      </c>
      <c r="G443" s="1264"/>
      <c r="I443" s="1271"/>
    </row>
    <row r="444" spans="5:9" x14ac:dyDescent="0.2">
      <c r="E444" s="1164"/>
      <c r="F444" s="1473" t="str">
        <f>IF(IF($A$14="Goetter",Tabellen_Goetter!A455,Tabellen_Magie!A444)=0,"",IF($A$14="Goetter",Tabellen_Goetter!A455,Tabellen_Magie!A444))</f>
        <v>Herbeirufung vereiteln</v>
      </c>
      <c r="G444" s="1129"/>
      <c r="I444" s="1271"/>
    </row>
    <row r="445" spans="5:9" x14ac:dyDescent="0.2">
      <c r="E445" s="1164"/>
      <c r="F445" s="1588" t="str">
        <f>IF(IF($A$14="Goetter",Tabellen_Goetter!A456,Tabellen_Magie!A445)=0,"",IF($A$14="Goetter",Tabellen_Goetter!A456,Tabellen_Magie!A445))</f>
        <v>Herr über das Tierreich</v>
      </c>
      <c r="G445" s="1264"/>
      <c r="I445" s="1271"/>
    </row>
    <row r="446" spans="5:9" x14ac:dyDescent="0.2">
      <c r="E446" s="1164"/>
      <c r="F446" s="1473" t="str">
        <f>IF(IF($A$14="Goetter",Tabellen_Goetter!A458,Tabellen_Magie!A446)=0,"",IF($A$14="Goetter",Tabellen_Goetter!A458,Tabellen_Magie!A446))</f>
        <v>Herzschlag ruhe</v>
      </c>
      <c r="G446" s="1129"/>
      <c r="I446" s="1271"/>
    </row>
    <row r="447" spans="5:9" x14ac:dyDescent="0.2">
      <c r="E447" s="1164"/>
      <c r="F447" s="1588" t="str">
        <f>IF(IF($A$14="Goetter",Tabellen_Goetter!A459,Tabellen_Magie!A447)=0,"",IF($A$14="Goetter",Tabellen_Goetter!A459,Tabellen_Magie!A447))</f>
        <v>Hexenblick</v>
      </c>
      <c r="G447" s="1264"/>
      <c r="I447" s="1271"/>
    </row>
    <row r="448" spans="5:9" x14ac:dyDescent="0.2">
      <c r="E448" s="1164"/>
      <c r="F448" s="1473" t="str">
        <f>IF(IF($A$14="Goetter",Tabellen_Goetter!A460,Tabellen_Magie!A448)=0,"",IF($A$14="Goetter",Tabellen_Goetter!A460,Tabellen_Magie!A448))</f>
        <v>Hexengalle</v>
      </c>
      <c r="G448" s="1129"/>
      <c r="I448" s="1271"/>
    </row>
    <row r="449" spans="5:9" x14ac:dyDescent="0.2">
      <c r="E449" s="1164"/>
      <c r="F449" s="1588" t="str">
        <f>IF(IF($A$14="Goetter",Tabellen_Goetter!A462,Tabellen_Magie!A449)=0,"",IF($A$14="Goetter",Tabellen_Goetter!A462,Tabellen_Magie!A449))</f>
        <v>Hexenholz</v>
      </c>
      <c r="G449" s="1264"/>
      <c r="I449" s="1271"/>
    </row>
    <row r="450" spans="5:9" x14ac:dyDescent="0.2">
      <c r="E450" s="1164"/>
      <c r="F450" s="1473" t="str">
        <f>IF(IF($A$14="Goetter",Tabellen_Goetter!A463,Tabellen_Magie!A450)=0,"",IF($A$14="Goetter",Tabellen_Goetter!A463,Tabellen_Magie!A450))</f>
        <v>Hexenknoten</v>
      </c>
      <c r="G450" s="1129"/>
      <c r="I450" s="1271"/>
    </row>
    <row r="451" spans="5:9" x14ac:dyDescent="0.2">
      <c r="E451" s="1164"/>
      <c r="F451" s="1588" t="str">
        <f>IF(IF($A$14="Goetter",Tabellen_Goetter!A465,Tabellen_Magie!A451)=0,"",IF($A$14="Goetter",Tabellen_Goetter!A465,Tabellen_Magie!A451))</f>
        <v>Hexenkrallen</v>
      </c>
      <c r="G451" s="1264"/>
      <c r="I451" s="1271"/>
    </row>
    <row r="452" spans="5:9" x14ac:dyDescent="0.2">
      <c r="E452" s="1164"/>
      <c r="F452" s="1473" t="str">
        <f>IF(IF($A$14="Goetter",Tabellen_Goetter!A467,Tabellen_Magie!A452)=0,"",IF($A$14="Goetter",Tabellen_Goetter!A467,Tabellen_Magie!A452))</f>
        <v>Hexenspeichel</v>
      </c>
      <c r="G452" s="1129"/>
      <c r="I452" s="1271"/>
    </row>
    <row r="453" spans="5:9" x14ac:dyDescent="0.2">
      <c r="E453" s="1164"/>
      <c r="F453" s="1588" t="str">
        <f>IF(IF($A$14="Goetter",Tabellen_Goetter!A468,Tabellen_Magie!A453)=0,"",IF($A$14="Goetter",Tabellen_Goetter!A468,Tabellen_Magie!A453))</f>
        <v>Hilfreiche Tatze-rettende Schwinge</v>
      </c>
      <c r="G453" s="1264"/>
      <c r="I453" s="1271"/>
    </row>
    <row r="454" spans="5:9" x14ac:dyDescent="0.2">
      <c r="E454" s="1164"/>
      <c r="F454" s="1473" t="str">
        <f>IF(IF($A$14="Goetter",Tabellen_Goetter!A471,Tabellen_Magie!A454)=0,"",IF($A$14="Goetter",Tabellen_Goetter!A471,Tabellen_Magie!A454))</f>
        <v>Höllenpein zerreisse dich!</v>
      </c>
      <c r="G454" s="1129"/>
      <c r="I454" s="1271"/>
    </row>
    <row r="455" spans="5:9" x14ac:dyDescent="0.2">
      <c r="E455" s="1164"/>
      <c r="F455" s="1588" t="str">
        <f>IF(IF($A$14="Goetter",Tabellen_Goetter!A472,Tabellen_Magie!A455)=0,"",IF($A$14="Goetter",Tabellen_Goetter!A472,Tabellen_Magie!A455))</f>
        <v>Holterdipolter</v>
      </c>
      <c r="G455" s="1264"/>
      <c r="I455" s="1271"/>
    </row>
    <row r="456" spans="5:9" x14ac:dyDescent="0.2">
      <c r="E456" s="1164"/>
      <c r="F456" s="1473" t="str">
        <f>IF(IF($A$14="Goetter",Tabellen_Goetter!A473,Tabellen_Magie!A456)=0,"",IF($A$14="Goetter",Tabellen_Goetter!A473,Tabellen_Magie!A456))</f>
        <v>Hornissenruf</v>
      </c>
      <c r="G456" s="1129"/>
      <c r="I456" s="1271"/>
    </row>
    <row r="457" spans="5:9" x14ac:dyDescent="0.2">
      <c r="E457" s="1164"/>
      <c r="F457" s="1588" t="str">
        <f>IF(IF($A$14="Goetter",Tabellen_Goetter!A474,Tabellen_Magie!A457)=0,"",IF($A$14="Goetter",Tabellen_Goetter!A474,Tabellen_Magie!A457))</f>
        <v>Horriphobus Schreckgestalt</v>
      </c>
      <c r="G457" s="1264"/>
      <c r="I457" s="1271"/>
    </row>
    <row r="458" spans="5:9" x14ac:dyDescent="0.2">
      <c r="E458" s="1164"/>
      <c r="F458" s="1473" t="str">
        <f>IF(IF($A$14="Goetter",Tabellen_Goetter!A475,Tabellen_Magie!A458)=0,"",IF($A$14="Goetter",Tabellen_Goetter!A475,Tabellen_Magie!A458))</f>
        <v>Humofaxius</v>
      </c>
      <c r="G458" s="1129"/>
      <c r="I458" s="1271"/>
    </row>
    <row r="459" spans="5:9" x14ac:dyDescent="0.2">
      <c r="E459" s="1164"/>
      <c r="F459" s="1588" t="str">
        <f>IF(IF($A$14="Goetter",Tabellen_Goetter!A476,Tabellen_Magie!A459)=0,"",IF($A$14="Goetter",Tabellen_Goetter!A476,Tabellen_Magie!A459))</f>
        <v>Humosphaero</v>
      </c>
      <c r="G459" s="1264"/>
      <c r="I459" s="1271"/>
    </row>
    <row r="460" spans="5:9" x14ac:dyDescent="0.2">
      <c r="E460" s="1164"/>
      <c r="F460" s="1473" t="str">
        <f>IF(IF($A$14="Goetter",Tabellen_Goetter!A477,Tabellen_Magie!A460)=0,"",IF($A$14="Goetter",Tabellen_Goetter!A477,Tabellen_Magie!A460))</f>
        <v>Humusbann</v>
      </c>
      <c r="G460" s="1129"/>
      <c r="I460" s="1271"/>
    </row>
    <row r="461" spans="5:9" x14ac:dyDescent="0.2">
      <c r="E461" s="1164"/>
      <c r="F461" s="1588" t="str">
        <f>IF(IF($A$14="Goetter",Tabellen_Goetter!A478,Tabellen_Magie!A461)=0,"",IF($A$14="Goetter",Tabellen_Goetter!A478,Tabellen_Magie!A461))</f>
        <v>Ignifaxius Flammenstrahl</v>
      </c>
      <c r="G461" s="1264"/>
      <c r="I461" s="1271"/>
    </row>
    <row r="462" spans="5:9" x14ac:dyDescent="0.2">
      <c r="E462" s="1164"/>
      <c r="F462" s="1473" t="str">
        <f>IF(IF($A$14="Goetter",Tabellen_Goetter!A480,Tabellen_Magie!A462)=0,"",IF($A$14="Goetter",Tabellen_Goetter!A480,Tabellen_Magie!A462))</f>
        <v>Ignifugo Feuerbann</v>
      </c>
      <c r="G462" s="1129"/>
      <c r="I462" s="1271"/>
    </row>
    <row r="463" spans="5:9" x14ac:dyDescent="0.2">
      <c r="E463" s="1164"/>
      <c r="F463" s="1588" t="str">
        <f>IF(IF($A$14="Goetter",Tabellen_Goetter!A481,Tabellen_Magie!A463)=0,"",IF($A$14="Goetter",Tabellen_Goetter!A481,Tabellen_Magie!A463))</f>
        <v>Ignimorpho Feuerform</v>
      </c>
      <c r="G463" s="1264"/>
      <c r="I463" s="1271"/>
    </row>
    <row r="464" spans="5:9" x14ac:dyDescent="0.2">
      <c r="E464" s="1164"/>
      <c r="F464" s="1473" t="str">
        <f>IF(IF($A$14="Goetter",Tabellen_Goetter!A482,Tabellen_Magie!A464)=0,"",IF($A$14="Goetter",Tabellen_Goetter!A482,Tabellen_Magie!A464))</f>
        <v>Igniplano Flächenbrand</v>
      </c>
      <c r="G464" s="1129"/>
      <c r="I464" s="1271"/>
    </row>
    <row r="465" spans="5:9" x14ac:dyDescent="0.2">
      <c r="E465" s="1164"/>
      <c r="F465" s="1588" t="str">
        <f>IF(IF($A$14="Goetter",Tabellen_Goetter!A483,Tabellen_Magie!A465)=0,"",IF($A$14="Goetter",Tabellen_Goetter!A483,Tabellen_Magie!A465))</f>
        <v>Ignisphaero Feuerball</v>
      </c>
      <c r="G465" s="1264"/>
      <c r="I465" s="1271"/>
    </row>
    <row r="466" spans="5:9" x14ac:dyDescent="0.2">
      <c r="E466" s="1164"/>
      <c r="F466" s="1473" t="str">
        <f>IF(IF($A$14="Goetter",Tabellen_Goetter!A484,Tabellen_Magie!A466)=0,"",IF($A$14="Goetter",Tabellen_Goetter!A484,Tabellen_Magie!A466))</f>
        <v>Ignorantia Ungesehn</v>
      </c>
      <c r="G466" s="1129"/>
      <c r="I466" s="1271"/>
    </row>
    <row r="467" spans="5:9" x14ac:dyDescent="0.2">
      <c r="E467" s="1164"/>
      <c r="F467" s="1588" t="str">
        <f>IF(IF($A$14="Goetter",Tabellen_Goetter!A486,Tabellen_Magie!A467)=0,"",IF($A$14="Goetter",Tabellen_Goetter!A486,Tabellen_Magie!A467))</f>
        <v>Illusion auflösen</v>
      </c>
      <c r="G467" s="1264"/>
      <c r="I467" s="1271"/>
    </row>
    <row r="468" spans="5:9" x14ac:dyDescent="0.2">
      <c r="E468" s="1164"/>
      <c r="F468" s="1473" t="str">
        <f>IF(IF($A$14="Goetter",Tabellen_Goetter!A487,Tabellen_Magie!A468)=0,"",IF($A$14="Goetter",Tabellen_Goetter!A487,Tabellen_Magie!A468))</f>
        <v>Immortalis Lebenszeit</v>
      </c>
      <c r="G468" s="1129"/>
      <c r="I468" s="1271"/>
    </row>
    <row r="469" spans="5:9" x14ac:dyDescent="0.2">
      <c r="E469" s="1164"/>
      <c r="F469" s="1588" t="str">
        <f>IF(IF($A$14="Goetter",Tabellen_Goetter!A488,Tabellen_Magie!A469)=0,"",IF($A$14="Goetter",Tabellen_Goetter!A488,Tabellen_Magie!A469))</f>
        <v>Imperavi Handlungszwang</v>
      </c>
      <c r="G469" s="1264"/>
      <c r="I469" s="1271"/>
    </row>
    <row r="470" spans="5:9" x14ac:dyDescent="0.2">
      <c r="E470" s="1164"/>
      <c r="F470" s="1473" t="str">
        <f>IF(IF($A$14="Goetter",Tabellen_Goetter!A490,Tabellen_Magie!A470)=0,"",IF($A$14="Goetter",Tabellen_Goetter!A490,Tabellen_Magie!A470))</f>
        <v>Impersona Maskenbild</v>
      </c>
      <c r="G470" s="1129"/>
      <c r="I470" s="1271"/>
    </row>
    <row r="471" spans="5:9" x14ac:dyDescent="0.2">
      <c r="E471" s="1164"/>
      <c r="F471" s="1588" t="str">
        <f>IF(IF($A$14="Goetter",Tabellen_Goetter!A491,Tabellen_Magie!A471)=0,"",IF($A$14="Goetter",Tabellen_Goetter!A491,Tabellen_Magie!A471))</f>
        <v>Infinitum immerdar</v>
      </c>
      <c r="G471" s="1264"/>
      <c r="I471" s="1271"/>
    </row>
    <row r="472" spans="5:9" x14ac:dyDescent="0.2">
      <c r="E472" s="1164"/>
      <c r="F472" s="1473" t="str">
        <f>IF(IF($A$14="Goetter",Tabellen_Goetter!A492,Tabellen_Magie!A472)=0,"",IF($A$14="Goetter",Tabellen_Goetter!A492,Tabellen_Magie!A472))</f>
        <v>Invercano Spiegeltrick</v>
      </c>
      <c r="G472" s="1129"/>
      <c r="I472" s="1271"/>
    </row>
    <row r="473" spans="5:9" x14ac:dyDescent="0.2">
      <c r="E473" s="1164"/>
      <c r="F473" s="1588" t="str">
        <f>IF(IF($A$14="Goetter",Tabellen_Goetter!A493,Tabellen_Magie!A473)=0,"",IF($A$14="Goetter",Tabellen_Goetter!A493,Tabellen_Magie!A473))</f>
        <v>Invocatio maior</v>
      </c>
      <c r="G473" s="1264"/>
      <c r="I473" s="1271"/>
    </row>
    <row r="474" spans="5:9" x14ac:dyDescent="0.2">
      <c r="E474" s="1164"/>
      <c r="F474" s="1473" t="str">
        <f>IF(IF($A$14="Goetter",Tabellen_Goetter!A494,Tabellen_Magie!A474)=0,"",IF($A$14="Goetter",Tabellen_Goetter!A494,Tabellen_Magie!A474))</f>
        <v>Invocatio minor</v>
      </c>
      <c r="G474" s="1129"/>
      <c r="I474" s="1271"/>
    </row>
    <row r="475" spans="5:9" x14ac:dyDescent="0.2">
      <c r="E475" s="1164"/>
      <c r="F475" s="1588" t="str">
        <f>IF(IF($A$14="Goetter",Tabellen_Goetter!A495,Tabellen_Magie!A475)=0,"",IF($A$14="Goetter",Tabellen_Goetter!A495,Tabellen_Magie!A475))</f>
        <v>Iribaars Hand</v>
      </c>
      <c r="G475" s="1264"/>
      <c r="I475" s="1271"/>
    </row>
    <row r="476" spans="5:9" x14ac:dyDescent="0.2">
      <c r="E476" s="1164"/>
      <c r="F476" s="1473" t="str">
        <f>IF(IF($A$14="Goetter",Tabellen_Goetter!A496,Tabellen_Magie!A476)=0,"",IF($A$14="Goetter",Tabellen_Goetter!A496,Tabellen_Magie!A476))</f>
        <v>Juckreiz dämlicher!</v>
      </c>
      <c r="G476" s="1129"/>
      <c r="I476" s="1271"/>
    </row>
    <row r="477" spans="5:9" x14ac:dyDescent="0.2">
      <c r="E477" s="1164"/>
      <c r="F477" s="1588" t="str">
        <f>IF(IF($A$14="Goetter",Tabellen_Goetter!A497,Tabellen_Magie!A477)=0,"",IF($A$14="Goetter",Tabellen_Goetter!A497,Tabellen_Magie!A477))</f>
        <v>Karnifilo Raserei</v>
      </c>
      <c r="G477" s="1264"/>
      <c r="I477" s="1271"/>
    </row>
    <row r="478" spans="5:9" x14ac:dyDescent="0.2">
      <c r="E478" s="1164"/>
      <c r="F478" s="1473" t="str">
        <f>IF(IF($A$14="Goetter",Tabellen_Goetter!A498,Tabellen_Magie!A478)=0,"",IF($A$14="Goetter",Tabellen_Goetter!A498,Tabellen_Magie!A478))</f>
        <v>Katzenaugen</v>
      </c>
      <c r="G478" s="1129"/>
      <c r="I478" s="1271"/>
    </row>
    <row r="479" spans="5:9" x14ac:dyDescent="0.2">
      <c r="E479" s="1164"/>
      <c r="F479" s="1588" t="str">
        <f>IF(IF($A$14="Goetter",Tabellen_Goetter!A499,Tabellen_Magie!A479)=0,"",IF($A$14="Goetter",Tabellen_Goetter!A499,Tabellen_Magie!A479))</f>
        <v>Klarum Purum</v>
      </c>
      <c r="G479" s="1264"/>
      <c r="I479" s="1271"/>
    </row>
    <row r="480" spans="5:9" x14ac:dyDescent="0.2">
      <c r="E480" s="1164"/>
      <c r="F480" s="1473" t="str">
        <f>IF(IF($A$14="Goetter",Tabellen_Goetter!A500,Tabellen_Magie!A480)=0,"",IF($A$14="Goetter",Tabellen_Goetter!A500,Tabellen_Magie!A480))</f>
        <v>Klickeradomms</v>
      </c>
      <c r="G480" s="1129"/>
      <c r="I480" s="1271"/>
    </row>
    <row r="481" spans="5:9" x14ac:dyDescent="0.2">
      <c r="E481" s="1164"/>
      <c r="F481" s="1588" t="str">
        <f>IF(IF($A$14="Goetter",Tabellen_Goetter!A501,Tabellen_Magie!A481)=0,"",IF($A$14="Goetter",Tabellen_Goetter!A501,Tabellen_Magie!A481))</f>
        <v>Koboldgeschenk</v>
      </c>
      <c r="G481" s="1264"/>
      <c r="I481" s="1271"/>
    </row>
    <row r="482" spans="5:9" x14ac:dyDescent="0.2">
      <c r="E482" s="1164"/>
      <c r="F482" s="1473" t="str">
        <f>IF(IF($A$14="Goetter",Tabellen_Goetter!A502,Tabellen_Magie!A482)=0,"",IF($A$14="Goetter",Tabellen_Goetter!A502,Tabellen_Magie!A482))</f>
        <v>Koboldovision</v>
      </c>
      <c r="G482" s="1129"/>
      <c r="I482" s="1271"/>
    </row>
    <row r="483" spans="5:9" x14ac:dyDescent="0.2">
      <c r="E483" s="1164"/>
      <c r="F483" s="1588" t="str">
        <f>IF(IF($A$14="Goetter",Tabellen_Goetter!A503,Tabellen_Magie!A483)=0,"",IF($A$14="Goetter",Tabellen_Goetter!A503,Tabellen_Magie!A483))</f>
        <v>Komm Kobold komm</v>
      </c>
      <c r="G483" s="1264"/>
      <c r="I483" s="1271"/>
    </row>
    <row r="484" spans="5:9" x14ac:dyDescent="0.2">
      <c r="E484" s="1164"/>
      <c r="F484" s="1473" t="str">
        <f>IF(IF($A$14="Goetter",Tabellen_Goetter!A504,Tabellen_Magie!A484)=0,"",IF($A$14="Goetter",Tabellen_Goetter!A504,Tabellen_Magie!A484))</f>
        <v>Körperlose Reise</v>
      </c>
      <c r="G484" s="1129"/>
      <c r="I484" s="1271"/>
    </row>
    <row r="485" spans="5:9" x14ac:dyDescent="0.2">
      <c r="E485" s="1164"/>
      <c r="F485" s="1588" t="str">
        <f>IF(IF($A$14="Goetter",Tabellen_Goetter!A506,Tabellen_Magie!A485)=0,"",IF($A$14="Goetter",Tabellen_Goetter!A506,Tabellen_Magie!A485))</f>
        <v>Krabbelnder Schrecken</v>
      </c>
      <c r="G485" s="1264"/>
      <c r="I485" s="1271"/>
    </row>
    <row r="486" spans="5:9" x14ac:dyDescent="0.2">
      <c r="E486" s="1164"/>
      <c r="F486" s="1473" t="str">
        <f>IF(IF($A$14="Goetter",Tabellen_Goetter!A507,Tabellen_Magie!A486)=0,"",IF($A$14="Goetter",Tabellen_Goetter!A507,Tabellen_Magie!A486))</f>
        <v>Kraft des Erzes</v>
      </c>
      <c r="G486" s="1129"/>
      <c r="I486" s="1271"/>
    </row>
    <row r="487" spans="5:9" x14ac:dyDescent="0.2">
      <c r="E487" s="1164"/>
      <c r="F487" s="1588" t="str">
        <f>IF(IF($A$14="Goetter",Tabellen_Goetter!A508,Tabellen_Magie!A487)=0,"",IF($A$14="Goetter",Tabellen_Goetter!A508,Tabellen_Magie!A487))</f>
        <v>Kraft des Humus</v>
      </c>
      <c r="G487" s="1264"/>
      <c r="I487" s="1271"/>
    </row>
    <row r="488" spans="5:9" x14ac:dyDescent="0.2">
      <c r="E488" s="1164"/>
      <c r="F488" s="1473" t="str">
        <f>IF(IF($A$14="Goetter",Tabellen_Goetter!A509,Tabellen_Magie!A488)=0,"",IF($A$14="Goetter",Tabellen_Goetter!A509,Tabellen_Magie!A488))</f>
        <v>Krähenruf</v>
      </c>
      <c r="G488" s="1129"/>
      <c r="I488" s="1271"/>
    </row>
    <row r="489" spans="5:9" x14ac:dyDescent="0.2">
      <c r="E489" s="1164"/>
      <c r="F489" s="1588" t="str">
        <f>IF(IF($A$14="Goetter",Tabellen_Goetter!A513,Tabellen_Magie!A489)=0,"",IF($A$14="Goetter",Tabellen_Goetter!A513,Tabellen_Magie!A489))</f>
        <v>Krötensprung</v>
      </c>
      <c r="G489" s="1264"/>
      <c r="I489" s="1271"/>
    </row>
    <row r="490" spans="5:9" x14ac:dyDescent="0.2">
      <c r="E490" s="1164"/>
      <c r="F490" s="1473" t="str">
        <f>IF(IF($A$14="Goetter",Tabellen_Goetter!A514,Tabellen_Magie!A490)=0,"",IF($A$14="Goetter",Tabellen_Goetter!A514,Tabellen_Magie!A490))</f>
        <v>Kulminatio Kugelblitz</v>
      </c>
      <c r="G490" s="1129"/>
      <c r="I490" s="1271"/>
    </row>
    <row r="491" spans="5:9" x14ac:dyDescent="0.2">
      <c r="E491" s="1164"/>
      <c r="F491" s="1588" t="str">
        <f>IF(IF($A$14="Goetter",Tabellen_Goetter!A515,Tabellen_Magie!A491)=0,"",IF($A$14="Goetter",Tabellen_Goetter!A515,Tabellen_Magie!A491))</f>
        <v>Kusch!</v>
      </c>
      <c r="G491" s="1264"/>
      <c r="I491" s="1271"/>
    </row>
    <row r="492" spans="5:9" x14ac:dyDescent="0.2">
      <c r="E492" s="1164"/>
      <c r="F492" s="1473" t="str">
        <f>IF(IF($A$14="Goetter",Tabellen_Goetter!A517,Tabellen_Magie!A492)=0,"",IF($A$14="Goetter",Tabellen_Goetter!A517,Tabellen_Magie!A492))</f>
        <v>Lach dich gesund!</v>
      </c>
      <c r="G492" s="1129"/>
      <c r="I492" s="1271"/>
    </row>
    <row r="493" spans="5:9" x14ac:dyDescent="0.2">
      <c r="E493" s="1164"/>
      <c r="F493" s="1588" t="str">
        <f>IF(IF($A$14="Goetter",Tabellen_Goetter!A518,Tabellen_Magie!A493)=0,"",IF($A$14="Goetter",Tabellen_Goetter!A518,Tabellen_Magie!A493))</f>
        <v>Lachkrampf</v>
      </c>
      <c r="G493" s="1264"/>
      <c r="I493" s="1271"/>
    </row>
    <row r="494" spans="5:9" x14ac:dyDescent="0.2">
      <c r="E494" s="1164"/>
      <c r="F494" s="1473" t="str">
        <f>IF(IF($A$14="Goetter",Tabellen_Goetter!A519,Tabellen_Magie!A494)=0,"",IF($A$14="Goetter",Tabellen_Goetter!A519,Tabellen_Magie!A494))</f>
        <v>Langer Lulatsch</v>
      </c>
      <c r="G494" s="1129"/>
      <c r="I494" s="1271"/>
    </row>
    <row r="495" spans="5:9" x14ac:dyDescent="0.2">
      <c r="E495" s="1164"/>
      <c r="F495" s="1588" t="str">
        <f>IF(IF($A$14="Goetter",Tabellen_Goetter!A520,Tabellen_Magie!A495)=0,"",IF($A$14="Goetter",Tabellen_Goetter!A520,Tabellen_Magie!A495))</f>
        <v>Last des Alters</v>
      </c>
      <c r="G495" s="1264"/>
      <c r="I495" s="1271"/>
    </row>
    <row r="496" spans="5:9" x14ac:dyDescent="0.2">
      <c r="E496" s="1164"/>
      <c r="F496" s="1473" t="str">
        <f>IF(IF($A$14="Goetter",Tabellen_Goetter!A523,Tabellen_Magie!A496)=0,"",IF($A$14="Goetter",Tabellen_Goetter!A523,Tabellen_Magie!A496))</f>
        <v>Leib der Erde</v>
      </c>
      <c r="G496" s="1129"/>
      <c r="I496" s="1271"/>
    </row>
    <row r="497" spans="5:9" x14ac:dyDescent="0.2">
      <c r="E497" s="1164"/>
      <c r="F497" s="1588" t="str">
        <f>IF(IF($A$14="Goetter",Tabellen_Goetter!A525,Tabellen_Magie!A497)=0,"",IF($A$14="Goetter",Tabellen_Goetter!A525,Tabellen_Magie!A497))</f>
        <v>Leib der Wogen</v>
      </c>
      <c r="G497" s="1264"/>
      <c r="I497" s="1271"/>
    </row>
    <row r="498" spans="5:9" x14ac:dyDescent="0.2">
      <c r="E498" s="1164"/>
      <c r="F498" s="1473" t="str">
        <f>IF(IF($A$14="Goetter",Tabellen_Goetter!A526,Tabellen_Magie!A498)=0,"",IF($A$14="Goetter",Tabellen_Goetter!A526,Tabellen_Magie!A498))</f>
        <v>Leib des Eises</v>
      </c>
      <c r="G498" s="1129"/>
      <c r="I498" s="1271"/>
    </row>
    <row r="499" spans="5:9" x14ac:dyDescent="0.2">
      <c r="E499" s="1164"/>
      <c r="F499" s="1588" t="str">
        <f>IF(IF($A$14="Goetter",Tabellen_Goetter!A527,Tabellen_Magie!A499)=0,"",IF($A$14="Goetter",Tabellen_Goetter!A527,Tabellen_Magie!A499))</f>
        <v>Leib des Erzes</v>
      </c>
      <c r="G499" s="1264"/>
      <c r="I499" s="1271"/>
    </row>
    <row r="500" spans="5:9" x14ac:dyDescent="0.2">
      <c r="E500" s="1164"/>
      <c r="F500" s="1473" t="str">
        <f>IF(IF($A$14="Goetter",Tabellen_Goetter!A528,Tabellen_Magie!A500)=0,"",IF($A$14="Goetter",Tabellen_Goetter!A528,Tabellen_Magie!A500))</f>
        <v>Leib des Feuers</v>
      </c>
      <c r="G500" s="1129"/>
      <c r="I500" s="1271"/>
    </row>
    <row r="501" spans="5:9" x14ac:dyDescent="0.2">
      <c r="E501" s="1164"/>
      <c r="F501" s="1588" t="str">
        <f>IF(IF($A$14="Goetter",Tabellen_Goetter!A529,Tabellen_Magie!A501)=0,"",IF($A$14="Goetter",Tabellen_Goetter!A529,Tabellen_Magie!A501))</f>
        <v>Leib des Windes</v>
      </c>
      <c r="G501" s="1264"/>
      <c r="I501" s="1271"/>
    </row>
    <row r="502" spans="5:9" x14ac:dyDescent="0.2">
      <c r="E502" s="1164"/>
      <c r="F502" s="1473" t="str">
        <f>IF(IF($A$14="Goetter",Tabellen_Goetter!A530,Tabellen_Magie!A502)=0,"",IF($A$14="Goetter",Tabellen_Goetter!A530,Tabellen_Magie!A502))</f>
        <v>Leidensbote</v>
      </c>
      <c r="G502" s="1129"/>
      <c r="I502" s="1271"/>
    </row>
    <row r="503" spans="5:9" x14ac:dyDescent="0.2">
      <c r="E503" s="1164"/>
      <c r="F503" s="1588" t="str">
        <f>IF(IF($A$14="Goetter",Tabellen_Goetter!A531,Tabellen_Magie!A503)=0,"",IF($A$14="Goetter",Tabellen_Goetter!A531,Tabellen_Magie!A503))</f>
        <v>Leidensbund</v>
      </c>
      <c r="G503" s="1264"/>
      <c r="I503" s="1271"/>
    </row>
    <row r="504" spans="5:9" x14ac:dyDescent="0.2">
      <c r="E504" s="1164"/>
      <c r="F504" s="1473" t="str">
        <f>IF(IF($A$14="Goetter",Tabellen_Goetter!A532,Tabellen_Magie!A504)=0,"",IF($A$14="Goetter",Tabellen_Goetter!A532,Tabellen_Magie!A504))</f>
        <v>Levthans Feuer</v>
      </c>
      <c r="G504" s="1129"/>
      <c r="I504" s="1271"/>
    </row>
    <row r="505" spans="5:9" x14ac:dyDescent="0.2">
      <c r="E505" s="1164"/>
      <c r="F505" s="1588" t="str">
        <f>IF(IF($A$14="Goetter",Tabellen_Goetter!A533,Tabellen_Magie!A505)=0,"",IF($A$14="Goetter",Tabellen_Goetter!A533,Tabellen_Magie!A505))</f>
        <v>Limbus versiegeln</v>
      </c>
      <c r="G505" s="1264"/>
      <c r="I505" s="1271"/>
    </row>
    <row r="506" spans="5:9" x14ac:dyDescent="0.2">
      <c r="E506" s="1164"/>
      <c r="F506" s="1473" t="str">
        <f>IF(IF($A$14="Goetter",Tabellen_Goetter!A534,Tabellen_Magie!A506)=0,"",IF($A$14="Goetter",Tabellen_Goetter!A534,Tabellen_Magie!A506))</f>
        <v>Lockruf und Feenfüße</v>
      </c>
      <c r="G506" s="1129"/>
      <c r="I506" s="1271"/>
    </row>
    <row r="507" spans="5:9" x14ac:dyDescent="0.2">
      <c r="E507" s="1164"/>
      <c r="F507" s="1588" t="str">
        <f>IF(IF($A$14="Goetter",Tabellen_Goetter!A535,Tabellen_Magie!A507)=0,"",IF($A$14="Goetter",Tabellen_Goetter!A535,Tabellen_Magie!A507))</f>
        <v>Lolgramothbann</v>
      </c>
      <c r="G507" s="1264"/>
      <c r="I507" s="1271"/>
    </row>
    <row r="508" spans="5:9" x14ac:dyDescent="0.2">
      <c r="E508" s="1164"/>
      <c r="F508" s="1473" t="str">
        <f>IF(IF($A$14="Goetter",Tabellen_Goetter!A536,Tabellen_Magie!A508)=0,"",IF($A$14="Goetter",Tabellen_Goetter!A536,Tabellen_Magie!A508))</f>
        <v>Luftbann</v>
      </c>
      <c r="G508" s="1129"/>
      <c r="I508" s="1271"/>
    </row>
    <row r="509" spans="5:9" x14ac:dyDescent="0.2">
      <c r="E509" s="1164"/>
      <c r="F509" s="1588" t="str">
        <f>IF(IF($A$14="Goetter",Tabellen_Goetter!A537,Tabellen_Magie!A509)=0,"",IF($A$14="Goetter",Tabellen_Goetter!A537,Tabellen_Magie!A509))</f>
        <v>Lunge des Leviatan</v>
      </c>
      <c r="G509" s="1264"/>
      <c r="I509" s="1271"/>
    </row>
    <row r="510" spans="5:9" x14ac:dyDescent="0.2">
      <c r="E510" s="1164"/>
      <c r="F510" s="1473" t="str">
        <f>IF(IF($A$14="Goetter",Tabellen_Goetter!A538,Tabellen_Magie!A510)=0,"",IF($A$14="Goetter",Tabellen_Goetter!A538,Tabellen_Magie!A510))</f>
        <v>Madas Spiegel</v>
      </c>
      <c r="G510" s="1129"/>
      <c r="I510" s="1271"/>
    </row>
    <row r="511" spans="5:9" x14ac:dyDescent="0.2">
      <c r="E511" s="1164"/>
      <c r="F511" s="1588" t="str">
        <f>IF(IF($A$14="Goetter",Tabellen_Goetter!A539,Tabellen_Magie!A511)=0,"",IF($A$14="Goetter",Tabellen_Goetter!A539,Tabellen_Magie!A511))</f>
        <v>Magischer Raub</v>
      </c>
      <c r="G511" s="1264"/>
      <c r="I511" s="1271"/>
    </row>
    <row r="512" spans="5:9" x14ac:dyDescent="0.2">
      <c r="E512" s="1164"/>
      <c r="F512" s="1473" t="str">
        <f>IF(IF($A$14="Goetter",Tabellen_Goetter!A540,Tabellen_Magie!A512)=0,"",IF($A$14="Goetter",Tabellen_Goetter!A540,Tabellen_Magie!A512))</f>
        <v>Mahlstrom</v>
      </c>
      <c r="G512" s="1129"/>
      <c r="I512" s="1271"/>
    </row>
    <row r="513" spans="5:9" x14ac:dyDescent="0.2">
      <c r="E513" s="1164"/>
      <c r="F513" s="1588" t="str">
        <f>IF(IF($A$14="Goetter",Tabellen_Goetter!A542,Tabellen_Magie!A513)=0,"",IF($A$14="Goetter",Tabellen_Goetter!A542,Tabellen_Magie!A513))</f>
        <v>Malmkreis</v>
      </c>
      <c r="G513" s="1264"/>
      <c r="I513" s="1271"/>
    </row>
    <row r="514" spans="5:9" x14ac:dyDescent="0.2">
      <c r="E514" s="1164"/>
      <c r="F514" s="1473" t="str">
        <f>IF(IF($A$14="Goetter",Tabellen_Goetter!A543,Tabellen_Magie!A514)=0,"",IF($A$14="Goetter",Tabellen_Goetter!A543,Tabellen_Magie!A514))</f>
        <v>Manifesto Element</v>
      </c>
      <c r="G514" s="1129"/>
      <c r="I514" s="1271"/>
    </row>
    <row r="515" spans="5:9" x14ac:dyDescent="0.2">
      <c r="E515" s="1164"/>
      <c r="F515" s="1588" t="str">
        <f>IF(IF($A$14="Goetter",Tabellen_Goetter!A544,Tabellen_Magie!A515)=0,"",IF($A$14="Goetter",Tabellen_Goetter!A544,Tabellen_Magie!A515))</f>
        <v>Meister der Elemente</v>
      </c>
      <c r="G515" s="1264"/>
      <c r="I515" s="1271"/>
    </row>
    <row r="516" spans="5:9" x14ac:dyDescent="0.2">
      <c r="E516" s="1164"/>
      <c r="F516" s="1473" t="str">
        <f>IF(IF($A$14="Goetter",Tabellen_Goetter!A545,Tabellen_Magie!A516)=0,"",IF($A$14="Goetter",Tabellen_Goetter!A545,Tabellen_Magie!A516))</f>
        <v>Meister minderer Geister</v>
      </c>
      <c r="G516" s="1129"/>
      <c r="I516" s="1271"/>
    </row>
    <row r="517" spans="5:9" x14ac:dyDescent="0.2">
      <c r="E517" s="1164"/>
      <c r="F517" s="1588" t="str">
        <f>IF(IF($A$14="Goetter",Tabellen_Goetter!A546,Tabellen_Magie!A517)=0,"",IF($A$14="Goetter",Tabellen_Goetter!A546,Tabellen_Magie!A517))</f>
        <v>Memorabia Falsifir</v>
      </c>
      <c r="G517" s="1264"/>
      <c r="I517" s="1271"/>
    </row>
    <row r="518" spans="5:9" x14ac:dyDescent="0.2">
      <c r="E518" s="1164"/>
      <c r="F518" s="1473" t="str">
        <f>IF(IF($A$14="Goetter",Tabellen_Goetter!A547,Tabellen_Magie!A518)=0,"",IF($A$14="Goetter",Tabellen_Goetter!A547,Tabellen_Magie!A518))</f>
        <v>Memorans Gedächtniskraft</v>
      </c>
      <c r="G518" s="1129"/>
      <c r="I518" s="1271"/>
    </row>
    <row r="519" spans="5:9" x14ac:dyDescent="0.2">
      <c r="E519" s="1164"/>
      <c r="F519" s="1588" t="str">
        <f>IF(IF($A$14="Goetter",Tabellen_Goetter!A549,Tabellen_Magie!A519)=0,"",IF($A$14="Goetter",Tabellen_Goetter!A549,Tabellen_Magie!A519))</f>
        <v>Menetekel Flammenschrift</v>
      </c>
      <c r="G519" s="1264"/>
      <c r="I519" s="1271"/>
    </row>
    <row r="520" spans="5:9" x14ac:dyDescent="0.2">
      <c r="E520" s="1164"/>
      <c r="F520" s="1473" t="str">
        <f>IF(IF($A$14="Goetter",Tabellen_Goetter!A552,Tabellen_Magie!A520)=0,"",IF($A$14="Goetter",Tabellen_Goetter!A552,Tabellen_Magie!A520))</f>
        <v>Metamagie neutralisieren</v>
      </c>
      <c r="G520" s="1129"/>
      <c r="I520" s="1271"/>
    </row>
    <row r="521" spans="5:9" x14ac:dyDescent="0.2">
      <c r="E521" s="1164"/>
      <c r="F521" s="1588" t="str">
        <f>IF(IF($A$14="Goetter",Tabellen_Goetter!A553,Tabellen_Magie!A521)=0,"",IF($A$14="Goetter",Tabellen_Goetter!A553,Tabellen_Magie!A521))</f>
        <v>Metamorpho Felsenform</v>
      </c>
      <c r="G521" s="1264"/>
      <c r="I521" s="1271"/>
    </row>
    <row r="522" spans="5:9" x14ac:dyDescent="0.2">
      <c r="E522" s="1164"/>
      <c r="F522" s="1473" t="str">
        <f>IF(IF($A$14="Goetter",Tabellen_Goetter!A554,Tabellen_Magie!A522)=0,"",IF($A$14="Goetter",Tabellen_Goetter!A554,Tabellen_Magie!A522))</f>
        <v>Metamorpho Gletscherform</v>
      </c>
      <c r="G522" s="1129"/>
      <c r="I522" s="1271"/>
    </row>
    <row r="523" spans="5:9" x14ac:dyDescent="0.2">
      <c r="E523" s="1164"/>
      <c r="F523" s="1588" t="str">
        <f>IF(IF($A$14="Goetter",Tabellen_Goetter!A555,Tabellen_Magie!A523)=0,"",IF($A$14="Goetter",Tabellen_Goetter!A555,Tabellen_Magie!A523))</f>
        <v>Motoricus</v>
      </c>
      <c r="G523" s="1264"/>
      <c r="I523" s="1271"/>
    </row>
    <row r="524" spans="5:9" x14ac:dyDescent="0.2">
      <c r="E524" s="1164"/>
      <c r="F524" s="1473" t="str">
        <f>IF(IF($A$14="Goetter",Tabellen_Goetter!A556,Tabellen_Magie!A524)=0,"",IF($A$14="Goetter",Tabellen_Goetter!A556,Tabellen_Magie!A524))</f>
        <v>Movimento Dauerlauf</v>
      </c>
      <c r="G524" s="1129"/>
      <c r="I524" s="1271"/>
    </row>
    <row r="525" spans="5:9" x14ac:dyDescent="0.2">
      <c r="E525" s="1164"/>
      <c r="F525" s="1588" t="str">
        <f>IF(IF($A$14="Goetter",Tabellen_Goetter!A557,Tabellen_Magie!A525)=0,"",IF($A$14="Goetter",Tabellen_Goetter!A557,Tabellen_Magie!A525))</f>
        <v>Murks und Patz!</v>
      </c>
      <c r="G525" s="1264"/>
      <c r="I525" s="1271"/>
    </row>
    <row r="526" spans="5:9" x14ac:dyDescent="0.2">
      <c r="E526" s="1164"/>
      <c r="F526" s="1473" t="str">
        <f>IF(IF($A$14="Goetter",Tabellen_Goetter!A558,Tabellen_Magie!A526)=0,"",IF($A$14="Goetter",Tabellen_Goetter!A558,Tabellen_Magie!A526))</f>
        <v>Nackedei</v>
      </c>
      <c r="G526" s="1129"/>
      <c r="I526" s="1271"/>
    </row>
    <row r="527" spans="5:9" x14ac:dyDescent="0.2">
      <c r="E527" s="1164"/>
      <c r="F527" s="1588" t="str">
        <f>IF(IF($A$14="Goetter",Tabellen_Goetter!A559,Tabellen_Magie!A527)=0,"",IF($A$14="Goetter",Tabellen_Goetter!A559,Tabellen_Magie!A527))</f>
        <v>Nebelleib</v>
      </c>
      <c r="G527" s="1264"/>
      <c r="I527" s="1271"/>
    </row>
    <row r="528" spans="5:9" x14ac:dyDescent="0.2">
      <c r="E528" s="1164"/>
      <c r="F528" s="1473" t="str">
        <f>IF(IF($A$14="Goetter",Tabellen_Goetter!A560,Tabellen_Magie!A528)=0,"",IF($A$14="Goetter",Tabellen_Goetter!A560,Tabellen_Magie!A528))</f>
        <v>Nebelwand und Morgendunst</v>
      </c>
      <c r="G528" s="1129"/>
      <c r="I528" s="1271"/>
    </row>
    <row r="529" spans="5:9" x14ac:dyDescent="0.2">
      <c r="E529" s="1164"/>
      <c r="F529" s="1588" t="str">
        <f>IF(IF($A$14="Goetter",Tabellen_Goetter!A561,Tabellen_Magie!A529)=0,"",IF($A$14="Goetter",Tabellen_Goetter!A561,Tabellen_Magie!A529))</f>
        <v>Nekropathia Seelenreise</v>
      </c>
      <c r="G529" s="1264"/>
      <c r="I529" s="1271"/>
    </row>
    <row r="530" spans="5:9" x14ac:dyDescent="0.2">
      <c r="E530" s="1164"/>
      <c r="F530" s="1473" t="str">
        <f>IF(IF($A$14="Goetter",Tabellen_Goetter!A562,Tabellen_Magie!A530)=0,"",IF($A$14="Goetter",Tabellen_Goetter!A562,Tabellen_Magie!A530))</f>
        <v>Niederhöllen Eisgestalt</v>
      </c>
      <c r="G530" s="1129"/>
      <c r="I530" s="1271"/>
    </row>
    <row r="531" spans="5:9" x14ac:dyDescent="0.2">
      <c r="E531" s="1164"/>
      <c r="F531" s="1588" t="str">
        <f>IF(IF($A$14="Goetter",Tabellen_Goetter!A564,Tabellen_Magie!A531)=0,"",IF($A$14="Goetter",Tabellen_Goetter!A564,Tabellen_Magie!A531))</f>
        <v>Nihilgravo Schwerelos</v>
      </c>
      <c r="G531" s="1264"/>
      <c r="I531" s="1271"/>
    </row>
    <row r="532" spans="5:9" x14ac:dyDescent="0.2">
      <c r="E532" s="1164"/>
      <c r="F532" s="1473" t="str">
        <f>IF(IF($A$14="Goetter",Tabellen_Goetter!A566,Tabellen_Magie!A532)=0,"",IF($A$14="Goetter",Tabellen_Goetter!A566,Tabellen_Magie!A532))</f>
        <v>Nuntiovolo Botenvogel</v>
      </c>
      <c r="G532" s="1129"/>
      <c r="I532" s="1271"/>
    </row>
    <row r="533" spans="5:9" x14ac:dyDescent="0.2">
      <c r="E533" s="1164"/>
      <c r="F533" s="1588" t="str">
        <f>IF(IF($A$14="Goetter",Tabellen_Goetter!A568,Tabellen_Magie!A533)=0,"",IF($A$14="Goetter",Tabellen_Goetter!A568,Tabellen_Magie!A533))</f>
        <v>Objecto Obscuro</v>
      </c>
      <c r="G533" s="1264"/>
      <c r="I533" s="1271"/>
    </row>
    <row r="534" spans="5:9" x14ac:dyDescent="0.2">
      <c r="E534" s="1164"/>
      <c r="F534" s="1473" t="str">
        <f>IF(IF($A$14="Goetter",Tabellen_Goetter!A569,Tabellen_Magie!A534)=0,"",IF($A$14="Goetter",Tabellen_Goetter!A569,Tabellen_Magie!A534))</f>
        <v>Objectofixo</v>
      </c>
      <c r="G534" s="1129"/>
      <c r="I534" s="1271"/>
    </row>
    <row r="535" spans="5:9" x14ac:dyDescent="0.2">
      <c r="E535" s="1164"/>
      <c r="F535" s="1588" t="str">
        <f>IF(IF($A$14="Goetter",Tabellen_Goetter!A570,Tabellen_Magie!A535)=0,"",IF($A$14="Goetter",Tabellen_Goetter!A570,Tabellen_Magie!A535))</f>
        <v>Objectovoco</v>
      </c>
      <c r="G535" s="1264"/>
      <c r="I535" s="1271"/>
    </row>
    <row r="536" spans="5:9" x14ac:dyDescent="0.2">
      <c r="E536" s="1164"/>
      <c r="F536" s="1473" t="str">
        <f>IF(IF($A$14="Goetter",Tabellen_Goetter!A571,Tabellen_Magie!A536)=0,"",IF($A$14="Goetter",Tabellen_Goetter!A571,Tabellen_Magie!A536))</f>
        <v>Objekt entzaubern</v>
      </c>
      <c r="G536" s="1129"/>
      <c r="I536" s="1271"/>
    </row>
    <row r="537" spans="5:9" x14ac:dyDescent="0.2">
      <c r="E537" s="1164"/>
      <c r="F537" s="1588" t="str">
        <f>IF(IF($A$14="Goetter",Tabellen_Goetter!A572,Tabellen_Magie!A537)=0,"",IF($A$14="Goetter",Tabellen_Goetter!A572,Tabellen_Magie!A537))</f>
        <v>Oculus Astralis</v>
      </c>
      <c r="G537" s="1264"/>
      <c r="I537" s="1271"/>
    </row>
    <row r="538" spans="5:9" x14ac:dyDescent="0.2">
      <c r="E538" s="1164"/>
      <c r="F538" s="1473" t="str">
        <f>IF(IF($A$14="Goetter",Tabellen_Goetter!A573,Tabellen_Magie!A538)=0,"",IF($A$14="Goetter",Tabellen_Goetter!A573,Tabellen_Magie!A538))</f>
        <v>Odem Arcanum</v>
      </c>
      <c r="G538" s="1129"/>
      <c r="I538" s="1271"/>
    </row>
    <row r="539" spans="5:9" x14ac:dyDescent="0.2">
      <c r="E539" s="1164"/>
      <c r="F539" s="1588" t="str">
        <f>IF(IF($A$14="Goetter",Tabellen_Goetter!A574,Tabellen_Magie!A539)=0,"",IF($A$14="Goetter",Tabellen_Goetter!A574,Tabellen_Magie!A539))</f>
        <v>Orcanofaxius</v>
      </c>
      <c r="G539" s="1264"/>
      <c r="I539" s="1271"/>
    </row>
    <row r="540" spans="5:9" x14ac:dyDescent="0.2">
      <c r="E540" s="1164"/>
      <c r="F540" s="1473" t="str">
        <f>IF(IF($A$14="Goetter",Tabellen_Goetter!A575,Tabellen_Magie!A540)=0,"",IF($A$14="Goetter",Tabellen_Goetter!A575,Tabellen_Magie!A540))</f>
        <v>Orcanosphaero</v>
      </c>
      <c r="G540" s="1129"/>
      <c r="I540" s="1271"/>
    </row>
    <row r="541" spans="5:9" x14ac:dyDescent="0.2">
      <c r="E541" s="1164"/>
      <c r="F541" s="1588" t="str">
        <f>IF(IF($A$14="Goetter",Tabellen_Goetter!A576,Tabellen_Magie!A541)=0,"",IF($A$14="Goetter",Tabellen_Goetter!A576,Tabellen_Magie!A541))</f>
        <v>Orkanwand</v>
      </c>
      <c r="G541" s="1264"/>
      <c r="I541" s="1271"/>
    </row>
    <row r="542" spans="5:9" x14ac:dyDescent="0.2">
      <c r="E542" s="1164"/>
      <c r="F542" s="1473" t="str">
        <f>IF(IF($A$14="Goetter",Tabellen_Goetter!A577,Tabellen_Magie!A542)=0,"",IF($A$14="Goetter",Tabellen_Goetter!A577,Tabellen_Magie!A542))</f>
        <v>Pandaemonium</v>
      </c>
      <c r="G542" s="1129"/>
      <c r="I542" s="1271"/>
    </row>
    <row r="543" spans="5:9" x14ac:dyDescent="0.2">
      <c r="E543" s="1164"/>
      <c r="F543" s="1588" t="str">
        <f>IF(IF($A$14="Goetter",Tabellen_Goetter!A578,Tabellen_Magie!A543)=0,"",IF($A$14="Goetter",Tabellen_Goetter!A578,Tabellen_Magie!A543))</f>
        <v>Panik überkomme euch</v>
      </c>
      <c r="G543" s="1264"/>
      <c r="I543" s="1271"/>
    </row>
    <row r="544" spans="5:9" x14ac:dyDescent="0.2">
      <c r="E544" s="1164"/>
      <c r="F544" s="1473" t="str">
        <f>IF(IF($A$14="Goetter",Tabellen_Goetter!A579,Tabellen_Magie!A544)=0,"",IF($A$14="Goetter",Tabellen_Goetter!A579,Tabellen_Magie!A544))</f>
        <v>Papperlapapp</v>
      </c>
      <c r="G544" s="1129"/>
      <c r="I544" s="1271"/>
    </row>
    <row r="545" spans="5:9" x14ac:dyDescent="0.2">
      <c r="E545" s="1164"/>
      <c r="F545" s="1588" t="str">
        <f>IF(IF($A$14="Goetter",Tabellen_Goetter!A580,Tabellen_Magie!A545)=0,"",IF($A$14="Goetter",Tabellen_Goetter!A580,Tabellen_Magie!A545))</f>
        <v>Paralysis starr wie Stein</v>
      </c>
      <c r="G545" s="1264"/>
      <c r="I545" s="1271"/>
    </row>
    <row r="546" spans="5:9" x14ac:dyDescent="0.2">
      <c r="E546" s="1164"/>
      <c r="F546" s="1473" t="str">
        <f>IF(IF($A$14="Goetter",Tabellen_Goetter!A581,Tabellen_Magie!A546)=0,"",IF($A$14="Goetter",Tabellen_Goetter!A581,Tabellen_Magie!A546))</f>
        <v>Pectetondo Zauberhaar</v>
      </c>
      <c r="G546" s="1129"/>
      <c r="I546" s="1271"/>
    </row>
    <row r="547" spans="5:9" x14ac:dyDescent="0.2">
      <c r="E547" s="1164"/>
      <c r="F547" s="1588" t="str">
        <f>IF(IF($A$14="Goetter",Tabellen_Goetter!A582,Tabellen_Magie!A547)=0,"",IF($A$14="Goetter",Tabellen_Goetter!A582,Tabellen_Magie!A547))</f>
        <v>Penetrizzel Tiefenblick</v>
      </c>
      <c r="G547" s="1264"/>
      <c r="I547" s="1271"/>
    </row>
    <row r="548" spans="5:9" x14ac:dyDescent="0.2">
      <c r="E548" s="1164"/>
      <c r="F548" s="1473" t="str">
        <f>IF(IF($A$14="Goetter",Tabellen_Goetter!A583,Tabellen_Magie!A548)=0,"",IF($A$14="Goetter",Tabellen_Goetter!A583,Tabellen_Magie!A548))</f>
        <v>Pentagramma Sphärenbann</v>
      </c>
      <c r="G548" s="1129"/>
      <c r="I548" s="1271"/>
    </row>
    <row r="549" spans="5:9" x14ac:dyDescent="0.2">
      <c r="E549" s="1164"/>
      <c r="F549" s="1588" t="str">
        <f>IF(IF($A$14="Goetter",Tabellen_Goetter!A584,Tabellen_Magie!A549)=0,"",IF($A$14="Goetter",Tabellen_Goetter!A584,Tabellen_Magie!A549))</f>
        <v>Pestilenz erspüren</v>
      </c>
      <c r="G549" s="1264"/>
      <c r="I549" s="1271"/>
    </row>
    <row r="550" spans="5:9" x14ac:dyDescent="0.2">
      <c r="E550" s="1164"/>
      <c r="F550" s="1473" t="str">
        <f>IF(IF($A$14="Goetter",Tabellen_Goetter!A585,Tabellen_Magie!A550)=0,"",IF($A$14="Goetter",Tabellen_Goetter!A585,Tabellen_Magie!A550))</f>
        <v>Pfeil der Luft</v>
      </c>
      <c r="G550" s="1129"/>
      <c r="I550" s="1271"/>
    </row>
    <row r="551" spans="5:9" x14ac:dyDescent="0.2">
      <c r="E551" s="1164"/>
      <c r="F551" s="1588" t="str">
        <f>IF(IF($A$14="Goetter",Tabellen_Goetter!A586,Tabellen_Magie!A551)=0,"",IF($A$14="Goetter",Tabellen_Goetter!A586,Tabellen_Magie!A551))</f>
        <v>Pfeil des Eises</v>
      </c>
      <c r="G551" s="1264"/>
      <c r="I551" s="1271"/>
    </row>
    <row r="552" spans="5:9" x14ac:dyDescent="0.2">
      <c r="E552" s="1164"/>
      <c r="F552" s="1473" t="str">
        <f>IF(IF($A$14="Goetter",Tabellen_Goetter!A587,Tabellen_Magie!A552)=0,"",IF($A$14="Goetter",Tabellen_Goetter!A587,Tabellen_Magie!A552))</f>
        <v>Pfeil des Erzes</v>
      </c>
      <c r="G552" s="1129"/>
      <c r="I552" s="1271"/>
    </row>
    <row r="553" spans="5:9" x14ac:dyDescent="0.2">
      <c r="E553" s="1164"/>
      <c r="F553" s="1588" t="str">
        <f>IF(IF($A$14="Goetter",Tabellen_Goetter!A589,Tabellen_Magie!A553)=0,"",IF($A$14="Goetter",Tabellen_Goetter!A589,Tabellen_Magie!A553))</f>
        <v>Pfeil des Feuers</v>
      </c>
      <c r="G553" s="1264"/>
      <c r="I553" s="1271"/>
    </row>
    <row r="554" spans="5:9" x14ac:dyDescent="0.2">
      <c r="E554" s="1164"/>
      <c r="F554" s="1473" t="str">
        <f>IF(IF($A$14="Goetter",Tabellen_Goetter!A590,Tabellen_Magie!A554)=0,"",IF($A$14="Goetter",Tabellen_Goetter!A590,Tabellen_Magie!A554))</f>
        <v>Pfeil des Humus</v>
      </c>
      <c r="G554" s="1129"/>
      <c r="I554" s="1271"/>
    </row>
    <row r="555" spans="5:9" x14ac:dyDescent="0.2">
      <c r="E555" s="1164"/>
      <c r="F555" s="1588" t="str">
        <f>IF(IF($A$14="Goetter",Tabellen_Goetter!A591,Tabellen_Magie!A555)=0,"",IF($A$14="Goetter",Tabellen_Goetter!A591,Tabellen_Magie!A555))</f>
        <v>Pfeil des Wassers</v>
      </c>
      <c r="G555" s="1264"/>
      <c r="I555" s="1271"/>
    </row>
    <row r="556" spans="5:9" x14ac:dyDescent="0.2">
      <c r="E556" s="1164"/>
      <c r="F556" s="1473" t="str">
        <f>IF(IF($A$14="Goetter",Tabellen_Goetter!A592,Tabellen_Magie!A556)=0,"",IF($A$14="Goetter",Tabellen_Goetter!A592,Tabellen_Magie!A556))</f>
        <v>Planastrale Anderwelt</v>
      </c>
      <c r="G556" s="1129"/>
      <c r="I556" s="1271"/>
    </row>
    <row r="557" spans="5:9" x14ac:dyDescent="0.2">
      <c r="E557" s="1164"/>
      <c r="F557" s="1588" t="str">
        <f>IF(IF($A$14="Goetter",Tabellen_Goetter!A593,Tabellen_Magie!A557)=0,"",IF($A$14="Goetter",Tabellen_Goetter!A593,Tabellen_Magie!A557))</f>
        <v>Plumbumbarum schwerer Arm</v>
      </c>
      <c r="G557" s="1264"/>
      <c r="I557" s="1271"/>
    </row>
    <row r="558" spans="5:9" x14ac:dyDescent="0.2">
      <c r="E558" s="1164"/>
      <c r="F558" s="1473" t="str">
        <f>IF(IF($A$14="Goetter",Tabellen_Goetter!A594,Tabellen_Magie!A558)=0,"",IF($A$14="Goetter",Tabellen_Goetter!A594,Tabellen_Magie!A558))</f>
        <v>Projektimago Ebenbild</v>
      </c>
      <c r="G558" s="1129"/>
      <c r="I558" s="1271"/>
    </row>
    <row r="559" spans="5:9" x14ac:dyDescent="0.2">
      <c r="E559" s="1164"/>
      <c r="F559" s="1588" t="str">
        <f>IF(IF($A$14="Goetter",Tabellen_Goetter!A595,Tabellen_Magie!A559)=0,"",IF($A$14="Goetter",Tabellen_Goetter!A595,Tabellen_Magie!A559))</f>
        <v>Protectionis Kontrabann</v>
      </c>
      <c r="G559" s="1264"/>
      <c r="I559" s="1271"/>
    </row>
    <row r="560" spans="5:9" x14ac:dyDescent="0.2">
      <c r="E560" s="1164"/>
      <c r="F560" s="1473" t="str">
        <f>IF(IF($A$14="Goetter",Tabellen_Goetter!A597,Tabellen_Magie!A560)=0,"",IF($A$14="Goetter",Tabellen_Goetter!A597,Tabellen_Magie!A560))</f>
        <v>Psychostabilis</v>
      </c>
      <c r="G560" s="1129"/>
      <c r="I560" s="1271"/>
    </row>
    <row r="561" spans="5:9" x14ac:dyDescent="0.2">
      <c r="E561" s="1164"/>
      <c r="F561" s="1588" t="str">
        <f>IF(IF($A$14="Goetter",Tabellen_Goetter!A598,Tabellen_Magie!A561)=0,"",IF($A$14="Goetter",Tabellen_Goetter!A598,Tabellen_Magie!A561))</f>
        <v>Radau</v>
      </c>
      <c r="G561" s="1264"/>
      <c r="I561" s="1271"/>
    </row>
    <row r="562" spans="5:9" x14ac:dyDescent="0.2">
      <c r="E562" s="1164"/>
      <c r="F562" s="1473" t="str">
        <f>IF(IF($A$14="Goetter",Tabellen_Goetter!A600,Tabellen_Magie!A562)=0,"",IF($A$14="Goetter",Tabellen_Goetter!A600,Tabellen_Magie!A562))</f>
        <v>Reflectimago Spiegelschein</v>
      </c>
      <c r="G562" s="1129"/>
      <c r="I562" s="1271"/>
    </row>
    <row r="563" spans="5:9" x14ac:dyDescent="0.2">
      <c r="E563" s="1164"/>
      <c r="F563" s="1588" t="str">
        <f>IF(IF($A$14="Goetter",Tabellen_Goetter!A601,Tabellen_Magie!A563)=0,"",IF($A$14="Goetter",Tabellen_Goetter!A601,Tabellen_Magie!A563))</f>
        <v>Reptilea Natternnest</v>
      </c>
      <c r="G563" s="1264"/>
      <c r="I563" s="1271"/>
    </row>
    <row r="564" spans="5:9" x14ac:dyDescent="0.2">
      <c r="E564" s="1164"/>
      <c r="F564" s="1473" t="str">
        <f>IF(IF($A$14="Goetter",Tabellen_Goetter!A602,Tabellen_Magie!A564)=0,"",IF($A$14="Goetter",Tabellen_Goetter!A602,Tabellen_Magie!A564))</f>
        <v>Respondami Wahrheitszwang</v>
      </c>
      <c r="G564" s="1129"/>
      <c r="I564" s="1271"/>
    </row>
    <row r="565" spans="5:9" x14ac:dyDescent="0.2">
      <c r="E565" s="1164"/>
      <c r="F565" s="1588" t="str">
        <f>IF(IF($A$14="Goetter",Tabellen_Goetter!A603,Tabellen_Magie!A565)=0,"",IF($A$14="Goetter",Tabellen_Goetter!A603,Tabellen_Magie!A565))</f>
        <v>Reversalis Revidum</v>
      </c>
      <c r="G565" s="1264"/>
      <c r="I565" s="1271"/>
    </row>
    <row r="566" spans="5:9" x14ac:dyDescent="0.2">
      <c r="E566" s="1164"/>
      <c r="F566" s="1473" t="str">
        <f>IF(IF($A$14="Goetter",Tabellen_Goetter!A605,Tabellen_Magie!A566)=0,"",IF($A$14="Goetter",Tabellen_Goetter!A605,Tabellen_Magie!A566))</f>
        <v>Ruhe Körper - ruhe Geist</v>
      </c>
      <c r="G566" s="1129"/>
      <c r="I566" s="1271"/>
    </row>
    <row r="567" spans="5:9" x14ac:dyDescent="0.2">
      <c r="E567" s="1164"/>
      <c r="F567" s="1588" t="str">
        <f>IF(IF($A$14="Goetter",Tabellen_Goetter!A606,Tabellen_Magie!A567)=0,"",IF($A$14="Goetter",Tabellen_Goetter!A606,Tabellen_Magie!A567))</f>
        <v>Saft Kraft Monstermacht</v>
      </c>
      <c r="G567" s="1264"/>
      <c r="I567" s="1271"/>
    </row>
    <row r="568" spans="5:9" x14ac:dyDescent="0.2">
      <c r="E568" s="1164"/>
      <c r="F568" s="1473" t="str">
        <f>IF(IF($A$14="Goetter",Tabellen_Goetter!A607,Tabellen_Magie!A568)=0,"",IF($A$14="Goetter",Tabellen_Goetter!A607,Tabellen_Magie!A568))</f>
        <v>Salander Mutander</v>
      </c>
      <c r="G568" s="1129"/>
      <c r="I568" s="1271"/>
    </row>
    <row r="569" spans="5:9" x14ac:dyDescent="0.2">
      <c r="E569" s="1164"/>
      <c r="F569" s="1588" t="str">
        <f>IF(IF($A$14="Goetter",Tabellen_Goetter!A608,Tabellen_Magie!A569)=0,"",IF($A$14="Goetter",Tabellen_Goetter!A608,Tabellen_Magie!A569))</f>
        <v>Sanftmut</v>
      </c>
      <c r="G569" s="1264"/>
      <c r="I569" s="1271"/>
    </row>
    <row r="570" spans="5:9" x14ac:dyDescent="0.2">
      <c r="E570" s="1164"/>
      <c r="F570" s="1473" t="str">
        <f>IF(IF($A$14="Goetter",Tabellen_Goetter!A609,Tabellen_Magie!A570)=0,"",IF($A$14="Goetter",Tabellen_Goetter!A609,Tabellen_Magie!A570))</f>
        <v>Sapefacta Zauberschwamm</v>
      </c>
      <c r="G570" s="1129"/>
      <c r="I570" s="1271"/>
    </row>
    <row r="571" spans="5:9" x14ac:dyDescent="0.2">
      <c r="E571" s="1164"/>
      <c r="F571" s="1588" t="str">
        <f>IF(IF($A$14="Goetter",Tabellen_Goetter!A610,Tabellen_Magie!A571)=0,"",IF($A$14="Goetter",Tabellen_Goetter!A610,Tabellen_Magie!A571))</f>
        <v>Satuarias Herrlichkeit</v>
      </c>
      <c r="G571" s="1264"/>
      <c r="I571" s="1271"/>
    </row>
    <row r="572" spans="5:9" x14ac:dyDescent="0.2">
      <c r="E572" s="1164"/>
      <c r="F572" s="1473" t="str">
        <f>IF(IF($A$14="Goetter",Tabellen_Goetter!A611,Tabellen_Magie!A572)=0,"",IF($A$14="Goetter",Tabellen_Goetter!A611,Tabellen_Magie!A572))</f>
        <v>Schabernack</v>
      </c>
      <c r="G572" s="1129"/>
      <c r="I572" s="1271"/>
    </row>
    <row r="573" spans="5:9" x14ac:dyDescent="0.2">
      <c r="E573" s="1164"/>
      <c r="F573" s="1588" t="str">
        <f>IF(IF($A$14="Goetter",Tabellen_Goetter!A613,Tabellen_Magie!A573)=0,"",IF($A$14="Goetter",Tabellen_Goetter!A613,Tabellen_Magie!A573))</f>
        <v>Schadenszauber bannen</v>
      </c>
      <c r="G573" s="1264"/>
      <c r="I573" s="1271"/>
    </row>
    <row r="574" spans="5:9" x14ac:dyDescent="0.2">
      <c r="E574" s="1164"/>
      <c r="F574" s="1473" t="str">
        <f>IF(IF($A$14="Goetter",Tabellen_Goetter!A614,Tabellen_Magie!A574)=0,"",IF($A$14="Goetter",Tabellen_Goetter!A614,Tabellen_Magie!A574))</f>
        <v>Schelmenkleister</v>
      </c>
      <c r="G574" s="1129"/>
      <c r="I574" s="1271"/>
    </row>
    <row r="575" spans="5:9" x14ac:dyDescent="0.2">
      <c r="E575" s="1164"/>
      <c r="F575" s="1588" t="str">
        <f>IF(IF($A$14="Goetter",Tabellen_Goetter!A615,Tabellen_Magie!A575)=0,"",IF($A$14="Goetter",Tabellen_Goetter!A615,Tabellen_Magie!A575))</f>
        <v>Schelmenlaune</v>
      </c>
      <c r="G575" s="1264"/>
      <c r="I575" s="1271"/>
    </row>
    <row r="576" spans="5:9" x14ac:dyDescent="0.2">
      <c r="E576" s="1164"/>
      <c r="F576" s="1473" t="str">
        <f>IF(IF($A$14="Goetter",Tabellen_Goetter!A616,Tabellen_Magie!A576)=0,"",IF($A$14="Goetter",Tabellen_Goetter!A616,Tabellen_Magie!A576))</f>
        <v>Schelmenmaske</v>
      </c>
      <c r="G576" s="1129"/>
      <c r="I576" s="1271"/>
    </row>
    <row r="577" spans="5:9" x14ac:dyDescent="0.2">
      <c r="E577" s="1164"/>
      <c r="F577" s="1588" t="str">
        <f>IF(IF($A$14="Goetter",Tabellen_Goetter!A617,Tabellen_Magie!A577)=0,"",IF($A$14="Goetter",Tabellen_Goetter!A617,Tabellen_Magie!A577))</f>
        <v>Schelmenrausch</v>
      </c>
      <c r="G577" s="1264"/>
      <c r="I577" s="1271"/>
    </row>
    <row r="578" spans="5:9" x14ac:dyDescent="0.2">
      <c r="E578" s="1164"/>
      <c r="F578" s="1473" t="str">
        <f>IF(IF($A$14="Goetter",Tabellen_Goetter!A618,Tabellen_Magie!A578)=0,"",IF($A$14="Goetter",Tabellen_Goetter!A618,Tabellen_Magie!A578))</f>
        <v>Schlangenruf</v>
      </c>
      <c r="G578" s="1129"/>
      <c r="I578" s="1271"/>
    </row>
    <row r="579" spans="5:9" x14ac:dyDescent="0.2">
      <c r="E579" s="1164"/>
      <c r="F579" s="1588" t="str">
        <f>IF(IF($A$14="Goetter",Tabellen_Goetter!A619,Tabellen_Magie!A579)=0,"",IF($A$14="Goetter",Tabellen_Goetter!A619,Tabellen_Magie!A579))</f>
        <v>Schleier der Unwissenheit</v>
      </c>
      <c r="G579" s="1264"/>
      <c r="I579" s="1271"/>
    </row>
    <row r="580" spans="5:9" x14ac:dyDescent="0.2">
      <c r="E580" s="1164"/>
      <c r="F580" s="1473" t="str">
        <f>IF(IF($A$14="Goetter",Tabellen_Goetter!A620,Tabellen_Magie!A580)=0,"",IF($A$14="Goetter",Tabellen_Goetter!A620,Tabellen_Magie!A580))</f>
        <v>Schwarz und Rot</v>
      </c>
      <c r="G580" s="1129"/>
      <c r="I580" s="1271"/>
    </row>
    <row r="581" spans="5:9" x14ac:dyDescent="0.2">
      <c r="E581" s="1164"/>
      <c r="F581" s="1588" t="str">
        <f>IF(IF($A$14="Goetter",Tabellen_Goetter!A621,Tabellen_Magie!A581)=0,"",IF($A$14="Goetter",Tabellen_Goetter!A621,Tabellen_Magie!A581))</f>
        <v>Schwarzer Schrecken</v>
      </c>
      <c r="G581" s="1264"/>
      <c r="I581" s="1271"/>
    </row>
    <row r="582" spans="5:9" x14ac:dyDescent="0.2">
      <c r="E582" s="1164"/>
      <c r="F582" s="1473" t="str">
        <f>IF(IF($A$14="Goetter",Tabellen_Goetter!A622,Tabellen_Magie!A582)=0,"",IF($A$14="Goetter",Tabellen_Goetter!A622,Tabellen_Magie!A582))</f>
        <v>Seelenfeuer lichterloh</v>
      </c>
      <c r="G582" s="1129"/>
      <c r="I582" s="1271"/>
    </row>
    <row r="583" spans="5:9" x14ac:dyDescent="0.2">
      <c r="E583" s="1164"/>
      <c r="F583" s="1588" t="str">
        <f>IF(IF($A$14="Goetter",Tabellen_Goetter!A623,Tabellen_Magie!A583)=0,"",IF($A$14="Goetter",Tabellen_Goetter!A623,Tabellen_Magie!A583))</f>
        <v>Seelentier erkennen</v>
      </c>
      <c r="G583" s="1264"/>
      <c r="I583" s="1271"/>
    </row>
    <row r="584" spans="5:9" x14ac:dyDescent="0.2">
      <c r="E584" s="1164"/>
      <c r="F584" s="1473" t="str">
        <f>IF(IF($A$14="Goetter",Tabellen_Goetter!A629,Tabellen_Magie!A584)=0,"",IF($A$14="Goetter",Tabellen_Goetter!A629,Tabellen_Magie!A584))</f>
        <v>Seelenwanderung</v>
      </c>
      <c r="G584" s="1129"/>
      <c r="I584" s="1271"/>
    </row>
    <row r="585" spans="5:9" x14ac:dyDescent="0.2">
      <c r="E585" s="1164"/>
      <c r="F585" s="1588" t="str">
        <f>IF(IF($A$14="Goetter",Tabellen_Goetter!A630,Tabellen_Magie!A585)=0,"",IF($A$14="Goetter",Tabellen_Goetter!A630,Tabellen_Magie!A585))</f>
        <v>Seidenweich Schuppengleich</v>
      </c>
      <c r="G585" s="1264"/>
      <c r="I585" s="1271"/>
    </row>
    <row r="586" spans="5:9" x14ac:dyDescent="0.2">
      <c r="E586" s="1164"/>
      <c r="F586" s="1473" t="str">
        <f>IF(IF($A$14="Goetter",Tabellen_Goetter!A632,Tabellen_Magie!A586)=0,"",IF($A$14="Goetter",Tabellen_Goetter!A632,Tabellen_Magie!A586))</f>
        <v>Seidenzunge Elfenwort</v>
      </c>
      <c r="G586" s="1129"/>
      <c r="I586" s="1271"/>
    </row>
    <row r="587" spans="5:9" x14ac:dyDescent="0.2">
      <c r="E587" s="1164"/>
      <c r="F587" s="1588" t="str">
        <f>IF(IF($A$14="Goetter",Tabellen_Goetter!A633,Tabellen_Magie!A587)=0,"",IF($A$14="Goetter",Tabellen_Goetter!A633,Tabellen_Magie!A587))</f>
        <v>Sensattacco Meisterstreich</v>
      </c>
      <c r="G587" s="1264"/>
      <c r="I587" s="1271"/>
    </row>
    <row r="588" spans="5:9" x14ac:dyDescent="0.2">
      <c r="E588" s="1164"/>
      <c r="F588" s="1473" t="str">
        <f>IF(IF($A$14="Goetter",Tabellen_Goetter!A634,Tabellen_Magie!A588)=0,"",IF($A$14="Goetter",Tabellen_Goetter!A634,Tabellen_Magie!A588))</f>
        <v>Sensibar Empathicus</v>
      </c>
      <c r="G588" s="1129"/>
      <c r="I588" s="1271"/>
    </row>
    <row r="589" spans="5:9" x14ac:dyDescent="0.2">
      <c r="E589" s="1164"/>
      <c r="F589" s="1588" t="str">
        <f>IF(IF($A$14="Goetter",Tabellen_Goetter!A635,Tabellen_Magie!A589)=0,"",IF($A$14="Goetter",Tabellen_Goetter!A635,Tabellen_Magie!A589))</f>
        <v>Serpentialis Schlangenleib</v>
      </c>
      <c r="G589" s="1264"/>
      <c r="I589" s="1271"/>
    </row>
    <row r="590" spans="5:9" x14ac:dyDescent="0.2">
      <c r="E590" s="1164"/>
      <c r="F590" s="1473" t="str">
        <f>IF(IF($A$14="Goetter",Tabellen_Goetter!A636,Tabellen_Magie!A590)=0,"",IF($A$14="Goetter",Tabellen_Goetter!A636,Tabellen_Magie!A590))</f>
        <v>Silentium Silentille</v>
      </c>
      <c r="G590" s="1129"/>
      <c r="I590" s="1271"/>
    </row>
    <row r="591" spans="5:9" x14ac:dyDescent="0.2">
      <c r="E591" s="1164"/>
      <c r="F591" s="1588" t="str">
        <f>IF(IF($A$14="Goetter",Tabellen_Goetter!A637,Tabellen_Magie!A591)=0,"",IF($A$14="Goetter",Tabellen_Goetter!A637,Tabellen_Magie!A591))</f>
        <v>Sinesigil unerkannt</v>
      </c>
      <c r="G591" s="1264"/>
      <c r="I591" s="1271"/>
    </row>
    <row r="592" spans="5:9" x14ac:dyDescent="0.2">
      <c r="E592" s="1164"/>
      <c r="F592" s="1473" t="str">
        <f>IF(IF($A$14="Goetter",Tabellen_Goetter!A638,Tabellen_Magie!A592)=0,"",IF($A$14="Goetter",Tabellen_Goetter!A638,Tabellen_Magie!A592))</f>
        <v>Skelettarius Totenherr</v>
      </c>
      <c r="G592" s="1129"/>
      <c r="I592" s="1271"/>
    </row>
    <row r="593" spans="5:9" x14ac:dyDescent="0.2">
      <c r="E593" s="1164"/>
      <c r="F593" s="1588" t="str">
        <f>IF(IF($A$14="Goetter",Tabellen_Goetter!A639,Tabellen_Magie!A593)=0,"",IF($A$14="Goetter",Tabellen_Goetter!A639,Tabellen_Magie!A593))</f>
        <v>Solidirid Weg aus Licht</v>
      </c>
      <c r="G593" s="1264"/>
      <c r="I593" s="1271"/>
    </row>
    <row r="594" spans="5:9" x14ac:dyDescent="0.2">
      <c r="E594" s="1164"/>
      <c r="F594" s="1473" t="str">
        <f>IF(IF($A$14="Goetter",Tabellen_Goetter!A640,Tabellen_Magie!A594)=0,"",IF($A$14="Goetter",Tabellen_Goetter!A640,Tabellen_Magie!A594))</f>
        <v>Somnigravis tiefer Schlaf</v>
      </c>
      <c r="G594" s="1129"/>
      <c r="I594" s="1271"/>
    </row>
    <row r="595" spans="5:9" x14ac:dyDescent="0.2">
      <c r="E595" s="1164"/>
      <c r="F595" s="1588" t="str">
        <f>IF(IF($A$14="Goetter",Tabellen_Goetter!A641,Tabellen_Magie!A595)=0,"",IF($A$14="Goetter",Tabellen_Goetter!A641,Tabellen_Magie!A595))</f>
        <v>Spinnenlauf</v>
      </c>
      <c r="G595" s="1264"/>
      <c r="I595" s="1271"/>
    </row>
    <row r="596" spans="5:9" x14ac:dyDescent="0.2">
      <c r="E596" s="1164"/>
      <c r="F596" s="1473" t="str">
        <f>IF(IF($A$14="Goetter",Tabellen_Goetter!A643,Tabellen_Magie!A596)=0,"",IF($A$14="Goetter",Tabellen_Goetter!A643,Tabellen_Magie!A596))</f>
        <v>Spinnenruf</v>
      </c>
      <c r="G596" s="1129"/>
      <c r="I596" s="1271"/>
    </row>
    <row r="597" spans="5:9" x14ac:dyDescent="0.2">
      <c r="E597" s="1164"/>
      <c r="F597" s="1588" t="str">
        <f>IF(IF($A$14="Goetter",Tabellen_Goetter!A644,Tabellen_Magie!A597)=0,"",IF($A$14="Goetter",Tabellen_Goetter!A644,Tabellen_Magie!A597))</f>
        <v>Spurlos Trittlos</v>
      </c>
      <c r="G597" s="1264"/>
      <c r="I597" s="1271"/>
    </row>
    <row r="598" spans="5:9" x14ac:dyDescent="0.2">
      <c r="E598" s="1164"/>
      <c r="F598" s="1473" t="str">
        <f>IF(IF($A$14="Goetter",Tabellen_Goetter!A645,Tabellen_Magie!A598)=0,"",IF($A$14="Goetter",Tabellen_Goetter!A645,Tabellen_Magie!A598))</f>
        <v>Standfest Katzengleich</v>
      </c>
      <c r="G598" s="1129"/>
      <c r="I598" s="1271"/>
    </row>
    <row r="599" spans="5:9" x14ac:dyDescent="0.2">
      <c r="E599" s="1164"/>
      <c r="F599" s="1588" t="str">
        <f>IF(IF($A$14="Goetter",Tabellen_Goetter!A648,Tabellen_Magie!A599)=0,"",IF($A$14="Goetter",Tabellen_Goetter!A648,Tabellen_Magie!A599))</f>
        <v>Staub wandle!</v>
      </c>
      <c r="G599" s="1264"/>
      <c r="I599" s="1271"/>
    </row>
    <row r="600" spans="5:9" x14ac:dyDescent="0.2">
      <c r="E600" s="1164"/>
      <c r="F600" s="1473" t="str">
        <f>IF(IF($A$14="Goetter",Tabellen_Goetter!A649,Tabellen_Magie!A600)=0,"",IF($A$14="Goetter",Tabellen_Goetter!A649,Tabellen_Magie!A600))</f>
        <v>Stein wandle!</v>
      </c>
      <c r="G600" s="1129"/>
      <c r="I600" s="1271"/>
    </row>
    <row r="601" spans="5:9" x14ac:dyDescent="0.2">
      <c r="E601" s="1164"/>
      <c r="F601" s="1588" t="str">
        <f>IF(IF($A$14="Goetter",Tabellen_Goetter!A651,Tabellen_Magie!A601)=0,"",IF($A$14="Goetter",Tabellen_Goetter!A651,Tabellen_Magie!A601))</f>
        <v>Steinmauer</v>
      </c>
      <c r="G601" s="1264"/>
      <c r="I601" s="1271"/>
    </row>
    <row r="602" spans="5:9" x14ac:dyDescent="0.2">
      <c r="E602" s="1164"/>
      <c r="F602" s="1473" t="str">
        <f>IF(IF($A$14="Goetter",Tabellen_Goetter!A652,Tabellen_Magie!A602)=0,"",IF($A$14="Goetter",Tabellen_Goetter!A652,Tabellen_Magie!A602))</f>
        <v>Stillstand</v>
      </c>
      <c r="G602" s="1129"/>
      <c r="I602" s="1271"/>
    </row>
    <row r="603" spans="5:9" x14ac:dyDescent="0.2">
      <c r="E603" s="1164"/>
      <c r="F603" s="1588" t="str">
        <f>IF(IF($A$14="Goetter",Tabellen_Goetter!A653,Tabellen_Magie!A603)=0,"",IF($A$14="Goetter",Tabellen_Goetter!A653,Tabellen_Magie!A603))</f>
        <v>Stimme des Windes</v>
      </c>
      <c r="G603" s="1264"/>
      <c r="I603" s="1271"/>
    </row>
    <row r="604" spans="5:9" x14ac:dyDescent="0.2">
      <c r="E604" s="1164"/>
      <c r="F604" s="1473" t="str">
        <f>IF(IF($A$14="Goetter",Tabellen_Goetter!A654,Tabellen_Magie!A604)=0,"",IF($A$14="Goetter",Tabellen_Goetter!A654,Tabellen_Magie!A604))</f>
        <v>Sumpfstrudel</v>
      </c>
      <c r="G604" s="1129"/>
      <c r="I604" s="1271"/>
    </row>
    <row r="605" spans="5:9" x14ac:dyDescent="0.2">
      <c r="E605" s="1164"/>
      <c r="F605" s="1588" t="str">
        <f>IF(IF($A$14="Goetter",Tabellen_Goetter!A655,Tabellen_Magie!A605)=0,"",IF($A$14="Goetter",Tabellen_Goetter!A655,Tabellen_Magie!A605))</f>
        <v>Sumus Elixiere</v>
      </c>
      <c r="G605" s="1264"/>
      <c r="I605" s="1271"/>
    </row>
    <row r="606" spans="5:9" x14ac:dyDescent="0.2">
      <c r="E606" s="1164"/>
      <c r="F606" s="1473" t="str">
        <f>IF(IF($A$14="Goetter",Tabellen_Goetter!A656,Tabellen_Magie!A606)=0,"",IF($A$14="Goetter",Tabellen_Goetter!A656,Tabellen_Magie!A606))</f>
        <v>Tauschrausch</v>
      </c>
      <c r="G606" s="1129"/>
      <c r="I606" s="1271"/>
    </row>
    <row r="607" spans="5:9" x14ac:dyDescent="0.2">
      <c r="E607" s="1164"/>
      <c r="F607" s="1588" t="str">
        <f>IF(IF($A$14="Goetter",Tabellen_Goetter!A657,Tabellen_Magie!A607)=0,"",IF($A$14="Goetter",Tabellen_Goetter!A657,Tabellen_Magie!A607))</f>
        <v>Tempus Stasis</v>
      </c>
      <c r="G607" s="1264"/>
      <c r="I607" s="1271"/>
    </row>
    <row r="608" spans="5:9" x14ac:dyDescent="0.2">
      <c r="E608" s="1164"/>
      <c r="F608" s="1473" t="str">
        <f>IF(IF($A$14="Goetter",Tabellen_Goetter!A658,Tabellen_Magie!A608)=0,"",IF($A$14="Goetter",Tabellen_Goetter!A658,Tabellen_Magie!A608))</f>
        <v>Targunitothbann</v>
      </c>
      <c r="G608" s="1129"/>
      <c r="I608" s="1271"/>
    </row>
    <row r="609" spans="5:9" x14ac:dyDescent="0.2">
      <c r="E609" s="1164"/>
      <c r="F609" s="1588" t="str">
        <f>IF(IF($A$14="Goetter",Tabellen_Goetter!A659,Tabellen_Magie!A609)=0,"",IF($A$14="Goetter",Tabellen_Goetter!A659,Tabellen_Magie!A609))</f>
        <v>Tiere besprechen</v>
      </c>
      <c r="G609" s="1264"/>
      <c r="I609" s="1271"/>
    </row>
    <row r="610" spans="5:9" x14ac:dyDescent="0.2">
      <c r="E610" s="1164"/>
      <c r="F610" s="1473" t="str">
        <f>IF(IF($A$14="Goetter",Tabellen_Goetter!A660,Tabellen_Magie!A610)=0,"",IF($A$14="Goetter",Tabellen_Goetter!A660,Tabellen_Magie!A610))</f>
        <v>Tiergedanken</v>
      </c>
      <c r="G610" s="1129"/>
      <c r="I610" s="1271"/>
    </row>
    <row r="611" spans="5:9" x14ac:dyDescent="0.2">
      <c r="E611" s="1164"/>
      <c r="F611" s="1588" t="str">
        <f>IF(IF($A$14="Goetter",Tabellen_Goetter!A661,Tabellen_Magie!A611)=0,"",IF($A$14="Goetter",Tabellen_Goetter!A661,Tabellen_Magie!A611))</f>
        <v>Tlalucs Odem Pestgestank</v>
      </c>
      <c r="G611" s="1264"/>
      <c r="I611" s="1271"/>
    </row>
    <row r="612" spans="5:9" x14ac:dyDescent="0.2">
      <c r="E612" s="1164"/>
      <c r="F612" s="1473" t="str">
        <f>IF(IF($A$14="Goetter",Tabellen_Goetter!A662,Tabellen_Magie!A612)=0,"",IF($A$14="Goetter",Tabellen_Goetter!A662,Tabellen_Magie!A612))</f>
        <v>Totes handle!</v>
      </c>
      <c r="G612" s="1129"/>
      <c r="I612" s="1271"/>
    </row>
    <row r="613" spans="5:9" x14ac:dyDescent="0.2">
      <c r="E613" s="1164"/>
      <c r="F613" s="1588" t="str">
        <f>IF(IF($A$14="Goetter",Tabellen_Goetter!A663,Tabellen_Magie!A613)=0,"",IF($A$14="Goetter",Tabellen_Goetter!A663,Tabellen_Magie!A613))</f>
        <v>Transformatio Formgestalt</v>
      </c>
      <c r="G613" s="1264"/>
      <c r="I613" s="1271"/>
    </row>
    <row r="614" spans="5:9" x14ac:dyDescent="0.2">
      <c r="E614" s="1164"/>
      <c r="F614" s="1473" t="str">
        <f>IF(IF($A$14="Goetter",Tabellen_Goetter!A664,Tabellen_Magie!A614)=0,"",IF($A$14="Goetter",Tabellen_Goetter!A664,Tabellen_Magie!A614))</f>
        <v>Transmutare Körperform</v>
      </c>
      <c r="G614" s="1129"/>
      <c r="I614" s="1271"/>
    </row>
    <row r="615" spans="5:9" x14ac:dyDescent="0.2">
      <c r="E615" s="1164"/>
      <c r="F615" s="1588" t="str">
        <f>IF(IF($A$14="Goetter",Tabellen_Goetter!A665,Tabellen_Magie!A615)=0,"",IF($A$14="Goetter",Tabellen_Goetter!A665,Tabellen_Magie!A615))</f>
        <v>Transversalis Teleport</v>
      </c>
      <c r="G615" s="1264"/>
      <c r="I615" s="1271"/>
    </row>
    <row r="616" spans="5:9" x14ac:dyDescent="0.2">
      <c r="E616" s="1164"/>
      <c r="F616" s="1473" t="str">
        <f>IF(IF($A$14="Goetter",Tabellen_Goetter!A667,Tabellen_Magie!A616)=0,"",IF($A$14="Goetter",Tabellen_Goetter!A667,Tabellen_Magie!A616))</f>
        <v>Traumgestalt</v>
      </c>
      <c r="G616" s="1129"/>
      <c r="I616" s="1271"/>
    </row>
    <row r="617" spans="5:9" x14ac:dyDescent="0.2">
      <c r="E617" s="1164"/>
      <c r="F617" s="1588" t="str">
        <f>IF(IF($A$14="Goetter",Tabellen_Goetter!A668,Tabellen_Magie!A617)=0,"",IF($A$14="Goetter",Tabellen_Goetter!A668,Tabellen_Magie!A617))</f>
        <v>Unberührt von Satinav</v>
      </c>
      <c r="G617" s="1264"/>
      <c r="I617" s="1271"/>
    </row>
    <row r="618" spans="5:9" x14ac:dyDescent="0.2">
      <c r="E618" s="1164"/>
      <c r="F618" s="1473" t="str">
        <f>IF(IF($A$14="Goetter",Tabellen_Goetter!A669,Tabellen_Magie!A618)=0,"",IF($A$14="Goetter",Tabellen_Goetter!A669,Tabellen_Magie!A618))</f>
        <v>Unbraporta Schattentür</v>
      </c>
      <c r="G618" s="1129"/>
      <c r="I618" s="1271"/>
    </row>
    <row r="619" spans="5:9" x14ac:dyDescent="0.2">
      <c r="E619" s="1164"/>
      <c r="F619" s="1588" t="str">
        <f>IF(IF($A$14="Goetter",Tabellen_Goetter!A670,Tabellen_Magie!A619)=0,"",IF($A$14="Goetter",Tabellen_Goetter!A670,Tabellen_Magie!A619))</f>
        <v>Unitatio Geistesbund</v>
      </c>
      <c r="G619" s="1264"/>
      <c r="I619" s="1271"/>
    </row>
    <row r="620" spans="5:9" x14ac:dyDescent="0.2">
      <c r="E620" s="1164"/>
      <c r="F620" s="1473" t="str">
        <f>IF(IF($A$14="Goetter",Tabellen_Goetter!A671,Tabellen_Magie!A620)=0,"",IF($A$14="Goetter",Tabellen_Goetter!A671,Tabellen_Magie!A620))</f>
        <v>Unsichtbarer Jäger</v>
      </c>
      <c r="G620" s="1129"/>
      <c r="I620" s="1271"/>
    </row>
    <row r="621" spans="5:9" x14ac:dyDescent="0.2">
      <c r="E621" s="1164"/>
      <c r="F621" s="1588" t="str">
        <f>IF(IF($A$14="Goetter",Tabellen_Goetter!A672,Tabellen_Magie!A621)=0,"",IF($A$14="Goetter",Tabellen_Goetter!A672,Tabellen_Magie!A621))</f>
        <v>Valetudo Lebenskraft</v>
      </c>
      <c r="G621" s="1264"/>
      <c r="I621" s="1271"/>
    </row>
    <row r="622" spans="5:9" x14ac:dyDescent="0.2">
      <c r="E622" s="1164"/>
      <c r="F622" s="1473" t="str">
        <f>IF(IF($A$14="Goetter",Tabellen_Goetter!A673,Tabellen_Magie!A622)=0,"",IF($A$14="Goetter",Tabellen_Goetter!A673,Tabellen_Magie!A622))</f>
        <v>Veränderung aufheben</v>
      </c>
      <c r="G622" s="1129"/>
      <c r="I622" s="1271"/>
    </row>
    <row r="623" spans="5:9" x14ac:dyDescent="0.2">
      <c r="E623" s="1164"/>
      <c r="F623" s="1588" t="str">
        <f>IF(IF($A$14="Goetter",Tabellen_Goetter!A674,Tabellen_Magie!A623)=0,"",IF($A$14="Goetter",Tabellen_Goetter!A674,Tabellen_Magie!A623))</f>
        <v>Verschwindibus</v>
      </c>
      <c r="G623" s="1264"/>
      <c r="I623" s="1271"/>
    </row>
    <row r="624" spans="5:9" x14ac:dyDescent="0.2">
      <c r="E624" s="1164"/>
      <c r="F624" s="1473" t="str">
        <f>IF(IF($A$14="Goetter",Tabellen_Goetter!A675,Tabellen_Magie!A624)=0,"",IF($A$14="Goetter",Tabellen_Goetter!A675,Tabellen_Magie!A624))</f>
        <v>Verständigung stören</v>
      </c>
      <c r="G624" s="1129"/>
      <c r="I624" s="1271"/>
    </row>
    <row r="625" spans="5:9" x14ac:dyDescent="0.2">
      <c r="E625" s="1164"/>
      <c r="F625" s="1588" t="str">
        <f>IF(IF($A$14="Goetter",Tabellen_Goetter!A676,Tabellen_Magie!A625)=0,"",IF($A$14="Goetter",Tabellen_Goetter!A676,Tabellen_Magie!A625))</f>
        <v>Verwandlung beenden</v>
      </c>
      <c r="G625" s="1264"/>
      <c r="I625" s="1271"/>
    </row>
    <row r="626" spans="5:9" x14ac:dyDescent="0.2">
      <c r="E626" s="1164"/>
      <c r="F626" s="1473" t="str">
        <f>IF(IF($A$14="Goetter",Tabellen_Goetter!A677,Tabellen_Magie!A626)=0,"",IF($A$14="Goetter",Tabellen_Goetter!A677,Tabellen_Magie!A626))</f>
        <v>Vipernblick</v>
      </c>
      <c r="G626" s="1129"/>
      <c r="I626" s="1271"/>
    </row>
    <row r="627" spans="5:9" x14ac:dyDescent="0.2">
      <c r="E627" s="1164"/>
      <c r="F627" s="1588" t="str">
        <f>IF(IF($A$14="Goetter",Tabellen_Goetter!A678,Tabellen_Magie!A627)=0,"",IF($A$14="Goetter",Tabellen_Goetter!A678,Tabellen_Magie!A627))</f>
        <v>Visibili Vanitar</v>
      </c>
      <c r="G627" s="1264"/>
      <c r="I627" s="1271"/>
    </row>
    <row r="628" spans="5:9" x14ac:dyDescent="0.2">
      <c r="E628" s="1164"/>
      <c r="F628" s="1473" t="str">
        <f>IF(IF($A$14="Goetter",Tabellen_Goetter!A679,Tabellen_Magie!A628)=0,"",IF($A$14="Goetter",Tabellen_Goetter!A679,Tabellen_Magie!A628))</f>
        <v>Vocolimbo hohler Klang</v>
      </c>
      <c r="G628" s="1129"/>
      <c r="I628" s="1271"/>
    </row>
    <row r="629" spans="5:9" x14ac:dyDescent="0.2">
      <c r="E629" s="1164"/>
      <c r="F629" s="1588" t="str">
        <f>IF(IF($A$14="Goetter",Tabellen_Goetter!A680,Tabellen_Magie!A629)=0,"",IF($A$14="Goetter",Tabellen_Goetter!A680,Tabellen_Magie!A629))</f>
        <v>Vogelzwitschern Glockenspiel</v>
      </c>
      <c r="G629" s="1264"/>
      <c r="I629" s="1271"/>
    </row>
    <row r="630" spans="5:9" x14ac:dyDescent="0.2">
      <c r="E630" s="1164"/>
      <c r="F630" s="1473" t="str">
        <f>IF(IF($A$14="Goetter",Tabellen_Goetter!A681,Tabellen_Magie!A630)=0,"",IF($A$14="Goetter",Tabellen_Goetter!A681,Tabellen_Magie!A630))</f>
        <v>Wand aus Dornen</v>
      </c>
      <c r="G630" s="1129"/>
      <c r="I630" s="1271"/>
    </row>
    <row r="631" spans="5:9" x14ac:dyDescent="0.2">
      <c r="E631" s="1164"/>
      <c r="F631" s="1588" t="str">
        <f>IF(IF($A$14="Goetter",Tabellen_Goetter!A682,Tabellen_Magie!A631)=0,"",IF($A$14="Goetter",Tabellen_Goetter!A682,Tabellen_Magie!A631))</f>
        <v>Wand aus Erz</v>
      </c>
      <c r="G631" s="1264"/>
      <c r="I631" s="1271"/>
    </row>
    <row r="632" spans="5:9" x14ac:dyDescent="0.2">
      <c r="E632" s="1164"/>
      <c r="F632" s="1473" t="str">
        <f>IF(IF($A$14="Goetter",Tabellen_Goetter!A683,Tabellen_Magie!A632)=0,"",IF($A$14="Goetter",Tabellen_Goetter!A683,Tabellen_Magie!A632))</f>
        <v>Wand aus Flammen</v>
      </c>
      <c r="G632" s="1129"/>
      <c r="I632" s="1271"/>
    </row>
    <row r="633" spans="5:9" x14ac:dyDescent="0.2">
      <c r="E633" s="1164"/>
      <c r="F633" s="1588" t="str">
        <f>IF(IF($A$14="Goetter",Tabellen_Goetter!A684,Tabellen_Magie!A633)=0,"",IF($A$14="Goetter",Tabellen_Goetter!A684,Tabellen_Magie!A633))</f>
        <v>Wand aus Wogen</v>
      </c>
      <c r="G633" s="1264"/>
      <c r="I633" s="1271"/>
    </row>
    <row r="634" spans="5:9" x14ac:dyDescent="0.2">
      <c r="E634" s="1164"/>
      <c r="F634" s="1473" t="str">
        <f>IF(IF($A$14="Goetter",Tabellen_Goetter!A685,Tabellen_Magie!A634)=0,"",IF($A$14="Goetter",Tabellen_Goetter!A685,Tabellen_Magie!A634))</f>
        <v>Warmes Blut</v>
      </c>
      <c r="G634" s="1129"/>
      <c r="I634" s="1271"/>
    </row>
    <row r="635" spans="5:9" x14ac:dyDescent="0.2">
      <c r="E635" s="1164"/>
      <c r="F635" s="1588" t="str">
        <f>IF(IF($A$14="Goetter",Tabellen_Goetter!A686,Tabellen_Magie!A635)=0,"",IF($A$14="Goetter",Tabellen_Goetter!A686,Tabellen_Magie!A635))</f>
        <v>Warmes Gefriere</v>
      </c>
      <c r="G635" s="1264"/>
      <c r="I635" s="1271"/>
    </row>
    <row r="636" spans="5:9" x14ac:dyDescent="0.2">
      <c r="E636" s="1164"/>
      <c r="F636" s="1473" t="str">
        <f>IF(IF($A$14="Goetter",Tabellen_Goetter!A688,Tabellen_Magie!A636)=0,"",IF($A$14="Goetter",Tabellen_Goetter!A688,Tabellen_Magie!A636))</f>
        <v>Wasseratem</v>
      </c>
      <c r="G636" s="1129"/>
      <c r="I636" s="1271"/>
    </row>
    <row r="637" spans="5:9" x14ac:dyDescent="0.2">
      <c r="E637" s="1164"/>
      <c r="F637" s="1588" t="str">
        <f>IF(IF($A$14="Goetter",Tabellen_Goetter!A689,Tabellen_Magie!A637)=0,"",IF($A$14="Goetter",Tabellen_Goetter!A689,Tabellen_Magie!A637))</f>
        <v>Wasserbann</v>
      </c>
      <c r="G637" s="1264"/>
      <c r="I637" s="1271"/>
    </row>
    <row r="638" spans="5:9" x14ac:dyDescent="0.2">
      <c r="E638" s="1164"/>
      <c r="F638" s="1473" t="str">
        <f>IF(IF($A$14="Goetter",Tabellen_Goetter!A690,Tabellen_Magie!A638)=0,"",IF($A$14="Goetter",Tabellen_Goetter!A690,Tabellen_Magie!A638))</f>
        <v>Wasserwall</v>
      </c>
      <c r="G638" s="1129"/>
      <c r="I638" s="1271"/>
    </row>
    <row r="639" spans="5:9" x14ac:dyDescent="0.2">
      <c r="E639" s="1164"/>
      <c r="F639" s="1588" t="str">
        <f>IF(IF($A$14="Goetter",Tabellen_Goetter!A691,Tabellen_Magie!A639)=0,"",IF($A$14="Goetter",Tabellen_Goetter!A691,Tabellen_Magie!A639))</f>
        <v>Weiches erstarre!</v>
      </c>
      <c r="G639" s="1264"/>
      <c r="I639" s="1271"/>
    </row>
    <row r="640" spans="5:9" x14ac:dyDescent="0.2">
      <c r="E640" s="1164"/>
      <c r="F640" s="1473" t="str">
        <f>IF(IF($A$14="Goetter",Tabellen_Goetter!A692,Tabellen_Magie!A640)=0,"",IF($A$14="Goetter",Tabellen_Goetter!A692,Tabellen_Magie!A640))</f>
        <v>Weihrauchwolke Wohlgeruch</v>
      </c>
      <c r="G640" s="1129"/>
      <c r="I640" s="1271"/>
    </row>
    <row r="641" spans="5:9" x14ac:dyDescent="0.2">
      <c r="E641" s="1164"/>
      <c r="F641" s="1588" t="str">
        <f>IF(IF($A$14="Goetter",Tabellen_Goetter!A693,Tabellen_Magie!A641)=0,"",IF($A$14="Goetter",Tabellen_Goetter!A693,Tabellen_Magie!A641))</f>
        <v>Weisheit der Bäume</v>
      </c>
      <c r="G641" s="1264"/>
      <c r="I641" s="1271"/>
    </row>
    <row r="642" spans="5:9" x14ac:dyDescent="0.2">
      <c r="E642" s="1164"/>
      <c r="F642" s="1473" t="str">
        <f>IF(IF($A$14="Goetter",Tabellen_Goetter!#REF!,Tabellen_Magie!A642)=0,"",IF($A$14="Goetter",Tabellen_Goetter!#REF!,Tabellen_Magie!A642))</f>
        <v>Weisse Mähn' und gold'ner Huf</v>
      </c>
      <c r="G642" s="1129"/>
      <c r="I642" s="1271"/>
    </row>
    <row r="643" spans="5:9" x14ac:dyDescent="0.2">
      <c r="E643" s="1164"/>
      <c r="F643" s="1588" t="str">
        <f>IF(IF($A$14="Goetter",Tabellen_Goetter!#REF!,Tabellen_Magie!A643)=0,"",IF($A$14="Goetter",Tabellen_Goetter!#REF!,Tabellen_Magie!A643))</f>
        <v>Wellenlauf</v>
      </c>
      <c r="G643" s="1264"/>
      <c r="I643" s="1271"/>
    </row>
    <row r="644" spans="5:9" x14ac:dyDescent="0.2">
      <c r="E644" s="1164"/>
      <c r="F644" s="1473" t="str">
        <f>IF(IF($A$14="Goetter",Tabellen_Goetter!#REF!,Tabellen_Magie!A644)=0,"",IF($A$14="Goetter",Tabellen_Goetter!#REF!,Tabellen_Magie!A644))</f>
        <v>Wettermeisterschaft</v>
      </c>
      <c r="G644" s="1129"/>
      <c r="I644" s="1271"/>
    </row>
    <row r="645" spans="5:9" x14ac:dyDescent="0.2">
      <c r="E645" s="1164"/>
      <c r="F645" s="1588" t="str">
        <f>IF(IF($A$14="Goetter",Tabellen_Goetter!#REF!,Tabellen_Magie!A645)=0,"",IF($A$14="Goetter",Tabellen_Goetter!#REF!,Tabellen_Magie!A645))</f>
        <v>Widerwille Ungemach</v>
      </c>
      <c r="G645" s="1264"/>
      <c r="I645" s="1271"/>
    </row>
    <row r="646" spans="5:9" x14ac:dyDescent="0.2">
      <c r="E646" s="1164"/>
      <c r="F646" s="1473" t="str">
        <f>IF(IF($A$14="Goetter",Tabellen_Goetter!#REF!,Tabellen_Magie!A646)=0,"",IF($A$14="Goetter",Tabellen_Goetter!#REF!,Tabellen_Magie!A646))</f>
        <v>Windbarriere</v>
      </c>
      <c r="G646" s="1129"/>
      <c r="I646" s="1271"/>
    </row>
    <row r="647" spans="5:9" x14ac:dyDescent="0.2">
      <c r="E647" s="1164"/>
      <c r="F647" s="1588" t="str">
        <f>IF(IF($A$14="Goetter",Tabellen_Goetter!#REF!,Tabellen_Magie!A647)=0,"",IF($A$14="Goetter",Tabellen_Goetter!#REF!,Tabellen_Magie!A647))</f>
        <v>Windgeflüster</v>
      </c>
      <c r="G647" s="1264"/>
      <c r="I647" s="1271"/>
    </row>
    <row r="648" spans="5:9" x14ac:dyDescent="0.2">
      <c r="E648" s="1164"/>
      <c r="F648" s="1473" t="str">
        <f>IF(IF($A$14="Goetter",Tabellen_Goetter!#REF!,Tabellen_Magie!A648)=0,"",IF($A$14="Goetter",Tabellen_Goetter!#REF!,Tabellen_Magie!A648))</f>
        <v>Windhose</v>
      </c>
      <c r="G648" s="1129"/>
      <c r="I648" s="1271"/>
    </row>
    <row r="649" spans="5:9" x14ac:dyDescent="0.2">
      <c r="E649" s="1164"/>
      <c r="F649" s="1588" t="str">
        <f>IF(IF($A$14="Goetter",Tabellen_Goetter!#REF!,Tabellen_Magie!A649)=0,"",IF($A$14="Goetter",Tabellen_Goetter!#REF!,Tabellen_Magie!A649))</f>
        <v>Windstille</v>
      </c>
      <c r="G649" s="1264"/>
      <c r="I649" s="1271"/>
    </row>
    <row r="650" spans="5:9" x14ac:dyDescent="0.2">
      <c r="E650" s="1164"/>
      <c r="F650" s="1473" t="str">
        <f>IF(IF($A$14="Goetter",Tabellen_Goetter!#REF!,Tabellen_Magie!A650)=0,"",IF($A$14="Goetter",Tabellen_Goetter!#REF!,Tabellen_Magie!A650))</f>
        <v>Wipfellauf</v>
      </c>
      <c r="G650" s="1129"/>
      <c r="I650" s="1271"/>
    </row>
    <row r="651" spans="5:9" x14ac:dyDescent="0.2">
      <c r="E651" s="1164"/>
      <c r="F651" s="1588" t="str">
        <f>IF(IF($A$14="Goetter",Tabellen_Goetter!#REF!,Tabellen_Magie!A651)=0,"",IF($A$14="Goetter",Tabellen_Goetter!#REF!,Tabellen_Magie!A651))</f>
        <v>Xenographus Schriftenkunde</v>
      </c>
      <c r="G651" s="1264"/>
      <c r="I651" s="1271"/>
    </row>
    <row r="652" spans="5:9" x14ac:dyDescent="0.2">
      <c r="E652" s="1164"/>
      <c r="F652" s="1473" t="str">
        <f>IF(IF($A$14="Goetter",Tabellen_Goetter!#REF!,Tabellen_Magie!A652)=0,"",IF($A$14="Goetter",Tabellen_Goetter!#REF!,Tabellen_Magie!A652))</f>
        <v>Zagibu Ubigaz</v>
      </c>
      <c r="G652" s="1129"/>
      <c r="I652" s="1271"/>
    </row>
    <row r="653" spans="5:9" x14ac:dyDescent="0.2">
      <c r="E653" s="1164"/>
      <c r="F653" s="1588" t="str">
        <f>IF(IF($A$14="Goetter",Tabellen_Goetter!#REF!,Tabellen_Magie!A653)=0,"",IF($A$14="Goetter",Tabellen_Goetter!#REF!,Tabellen_Magie!A653))</f>
        <v>Zappenduster</v>
      </c>
      <c r="G653" s="1264"/>
      <c r="I653" s="1271"/>
    </row>
    <row r="654" spans="5:9" x14ac:dyDescent="0.2">
      <c r="E654" s="1164"/>
      <c r="F654" s="1473" t="str">
        <f>IF(IF($A$14="Goetter",Tabellen_Goetter!#REF!,Tabellen_Magie!A654)=0,"",IF($A$14="Goetter",Tabellen_Goetter!#REF!,Tabellen_Magie!A654))</f>
        <v>Zauberklinge Geisterspeer</v>
      </c>
      <c r="G654" s="1129"/>
      <c r="I654" s="1271"/>
    </row>
    <row r="655" spans="5:9" x14ac:dyDescent="0.2">
      <c r="E655" s="1164"/>
      <c r="F655" s="1588" t="str">
        <f>IF(IF($A$14="Goetter",Tabellen_Goetter!#REF!,Tabellen_Magie!A655)=0,"",IF($A$14="Goetter",Tabellen_Goetter!#REF!,Tabellen_Magie!A655))</f>
        <v>Zaubernahrung Hungerbann</v>
      </c>
      <c r="G655" s="1264"/>
      <c r="I655" s="1271"/>
    </row>
    <row r="656" spans="5:9" x14ac:dyDescent="0.2">
      <c r="E656" s="1164"/>
      <c r="F656" s="1473" t="str">
        <f>IF(IF($A$14="Goetter",Tabellen_Goetter!#REF!,Tabellen_Magie!A656)=0,"",IF($A$14="Goetter",Tabellen_Goetter!#REF!,Tabellen_Magie!A656))</f>
        <v>Zauberwesen der Natur</v>
      </c>
      <c r="G656" s="1129"/>
      <c r="I656" s="1271"/>
    </row>
    <row r="657" spans="5:9" x14ac:dyDescent="0.2">
      <c r="E657" s="1164"/>
      <c r="F657" s="1588" t="str">
        <f>IF(IF($A$14="Goetter",Tabellen_Goetter!#REF!,Tabellen_Magie!A657)=0,"",IF($A$14="Goetter",Tabellen_Goetter!#REF!,Tabellen_Magie!A657))</f>
        <v>Zauberzwang</v>
      </c>
      <c r="G657" s="1264"/>
      <c r="I657" s="1271"/>
    </row>
    <row r="658" spans="5:9" x14ac:dyDescent="0.2">
      <c r="E658" s="1164"/>
      <c r="F658" s="1473" t="str">
        <f>IF(IF($A$14="Goetter",Tabellen_Goetter!#REF!,Tabellen_Magie!A658)=0,"",IF($A$14="Goetter",Tabellen_Goetter!#REF!,Tabellen_Magie!A658))</f>
        <v>Zorn der Elemente</v>
      </c>
      <c r="G658" s="1129"/>
      <c r="I658" s="1271"/>
    </row>
    <row r="659" spans="5:9" x14ac:dyDescent="0.2">
      <c r="E659" s="1164"/>
      <c r="F659" s="1588" t="str">
        <f>IF(IF($A$14="Goetter",Tabellen_Goetter!#REF!,Tabellen_Magie!A659)=0,"",IF($A$14="Goetter",Tabellen_Goetter!#REF!,Tabellen_Magie!A659))</f>
        <v>Zunge lähmen</v>
      </c>
      <c r="G659" s="1264"/>
      <c r="I659" s="1271"/>
    </row>
    <row r="660" spans="5:9" x14ac:dyDescent="0.2">
      <c r="E660" s="1164"/>
      <c r="F660" s="1473" t="str">
        <f>IF(IF($A$14="Goetter",Tabellen_Goetter!#REF!,Tabellen_Magie!A660)=0,"",IF($A$14="Goetter",Tabellen_Goetter!#REF!,Tabellen_Magie!A660))</f>
        <v>Zwang zur Wahrheit</v>
      </c>
      <c r="G660" s="1129"/>
      <c r="I660" s="1271"/>
    </row>
    <row r="661" spans="5:9" x14ac:dyDescent="0.2">
      <c r="E661" s="1164"/>
      <c r="F661" s="1588" t="str">
        <f>IF(IF($A$14="Goetter",Tabellen_Goetter!#REF!,Tabellen_Magie!A661)=0,"",IF($A$14="Goetter",Tabellen_Goetter!#REF!,Tabellen_Magie!A661))</f>
        <v>Zwingtanz</v>
      </c>
      <c r="G661" s="1264"/>
      <c r="I661" s="1271"/>
    </row>
    <row r="662" spans="5:9" x14ac:dyDescent="0.2">
      <c r="E662" s="1164"/>
      <c r="F662" s="1245" t="str">
        <f>IF(IF($A$14="Goetter",Tabellen_Goetter!A696,Tabellen_Magie!A696)=0,"",IF($A$14="Goetter",Tabellen_Goetter!A696,Tabellen_Magie!A696))</f>
        <v>Rituale</v>
      </c>
      <c r="G662" s="1265"/>
      <c r="I662" s="1271"/>
    </row>
    <row r="663" spans="5:9" x14ac:dyDescent="0.2">
      <c r="E663" s="1164"/>
      <c r="F663" s="543" t="str">
        <f>IF(IF($A$14="Goetter",Tabellen_Goetter!A697,Tabellen_Magie!A697)=0,"",IF($A$14="Goetter",Tabellen_Goetter!A697,Tabellen_Magie!A697))</f>
        <v/>
      </c>
      <c r="G663" s="1166"/>
      <c r="I663" s="1271"/>
    </row>
    <row r="664" spans="5:9" x14ac:dyDescent="0.2">
      <c r="E664" s="1164"/>
      <c r="F664" s="543" t="str">
        <f>IF(IF($A$14="Goetter",Tabellen_Goetter!A698,Tabellen_Magie!A698)=0,"",IF($A$14="Goetter",Tabellen_Goetter!A698,Tabellen_Magie!A698))</f>
        <v/>
      </c>
      <c r="G664" s="1166"/>
      <c r="I664" s="1271"/>
    </row>
    <row r="665" spans="5:9" x14ac:dyDescent="0.2">
      <c r="E665" s="1164"/>
      <c r="F665" s="543" t="str">
        <f>IF(IF($A$14="Goetter",Tabellen_Goetter!A699,Tabellen_Magie!A699)=0,"",IF($A$14="Goetter",Tabellen_Goetter!A699,Tabellen_Magie!A699))</f>
        <v/>
      </c>
      <c r="G665" s="1166"/>
      <c r="I665" s="1271"/>
    </row>
    <row r="666" spans="5:9" x14ac:dyDescent="0.2">
      <c r="E666" s="1164"/>
      <c r="F666" s="543" t="str">
        <f>IF(IF($A$14="Goetter",Tabellen_Goetter!A700,Tabellen_Magie!A700)=0,"",IF($A$14="Goetter",Tabellen_Goetter!A700,Tabellen_Magie!A700))</f>
        <v/>
      </c>
      <c r="G666" s="1166"/>
      <c r="I666" s="1271"/>
    </row>
    <row r="667" spans="5:9" x14ac:dyDescent="0.2">
      <c r="E667" s="1164"/>
      <c r="F667" s="543"/>
      <c r="G667" s="1166"/>
      <c r="I667" s="1271"/>
    </row>
    <row r="668" spans="5:9" x14ac:dyDescent="0.2">
      <c r="E668" s="1164"/>
      <c r="F668" s="543"/>
      <c r="G668" s="1166"/>
      <c r="I668" s="1271"/>
    </row>
    <row r="669" spans="5:9" x14ac:dyDescent="0.2">
      <c r="E669" s="1164"/>
      <c r="F669" s="543"/>
      <c r="G669" s="1166"/>
      <c r="I669" s="1271"/>
    </row>
    <row r="670" spans="5:9" x14ac:dyDescent="0.2">
      <c r="E670" s="1164"/>
      <c r="F670" s="543" t="str">
        <f>IF(IF($A$14="Goetter",Tabellen_Goetter!A704,Tabellen_Magie!A704)=0,"",IF($A$14="Goetter",Tabellen_Goetter!A704,Tabellen_Magie!A704))</f>
        <v/>
      </c>
      <c r="G670" s="1166"/>
      <c r="I670" s="1271"/>
    </row>
    <row r="671" spans="5:9" x14ac:dyDescent="0.2">
      <c r="E671" s="1164"/>
      <c r="F671" s="543" t="str">
        <f>IF(IF($A$14="Goetter",Tabellen_Goetter!A705,Tabellen_Magie!A705)=0,"",IF($A$14="Goetter",Tabellen_Goetter!A705,Tabellen_Magie!A705))</f>
        <v/>
      </c>
      <c r="G671" s="1166"/>
      <c r="I671" s="1271"/>
    </row>
    <row r="672" spans="5:9" x14ac:dyDescent="0.2">
      <c r="E672" s="1164"/>
      <c r="F672" s="920" t="str">
        <f>IF(IF($A$14="Goetter",Tabellen_Goetter!A706,Tabellen_Magie!A706)=0,"",IF($A$14="Goetter",Tabellen_Goetter!A706,Tabellen_Magie!A706))</f>
        <v>Ritualkenntnis</v>
      </c>
      <c r="G672" s="1070"/>
      <c r="I672" s="1271"/>
    </row>
    <row r="673" spans="5:9" x14ac:dyDescent="0.2">
      <c r="E673" s="1164"/>
      <c r="F673" s="923" t="str">
        <f>IF(IF($A$14="Goetter",Tabellen_Goetter!A707,Tabellen_Magie!A707)=0,"",IF($A$14="Goetter",Tabellen_Goetter!A707,Tabellen_Magie!A707))</f>
        <v>Ritualkenntniswert</v>
      </c>
      <c r="G673" s="1178"/>
      <c r="I673" s="1271"/>
    </row>
    <row r="674" spans="5:9" x14ac:dyDescent="0.2">
      <c r="E674" s="1164"/>
      <c r="F674" s="922" t="str">
        <f>IF(IF($A$14="Goetter",Tabellen_Goetter!A708,Tabellen_Magie!A708)=0,"",IF($A$14="Goetter",Tabellen_Goetter!A708,Tabellen_Magie!A708))</f>
        <v>Verbilligte Rituale</v>
      </c>
      <c r="G674" s="1179"/>
      <c r="I674" s="1271"/>
    </row>
    <row r="675" spans="5:9" x14ac:dyDescent="0.2">
      <c r="E675" s="1164"/>
      <c r="F675" s="924" t="str">
        <f>IF(IF($A$14="Goetter",Tabellen_Goetter!A709,Tabellen_Magie!A709)=0,"",IF($A$14="Goetter",Tabellen_Goetter!A709,Tabellen_Magie!A709))</f>
        <v/>
      </c>
      <c r="G675" s="1179"/>
      <c r="I675" s="1271"/>
    </row>
    <row r="676" spans="5:9" x14ac:dyDescent="0.2">
      <c r="E676" s="1164"/>
      <c r="F676" s="924" t="str">
        <f>IF(IF($A$14="Goetter",Tabellen_Goetter!A710,Tabellen_Magie!A710)=0,"",IF($A$14="Goetter",Tabellen_Goetter!A710,Tabellen_Magie!A710))</f>
        <v/>
      </c>
      <c r="G676" s="1179"/>
      <c r="I676" s="1271"/>
    </row>
    <row r="677" spans="5:9" x14ac:dyDescent="0.2">
      <c r="E677" s="1164"/>
      <c r="F677" s="924" t="str">
        <f>IF(IF($A$14="Goetter",Tabellen_Goetter!A711,Tabellen_Magie!A711)=0,"",IF($A$14="Goetter",Tabellen_Goetter!A711,Tabellen_Magie!A711))</f>
        <v/>
      </c>
      <c r="G677" s="1179"/>
      <c r="I677" s="1271"/>
    </row>
    <row r="678" spans="5:9" x14ac:dyDescent="0.2">
      <c r="E678" s="1164"/>
      <c r="F678" s="924" t="str">
        <f>IF(IF($A$14="Goetter",Tabellen_Goetter!A712,Tabellen_Magie!A712)=0,"",IF($A$14="Goetter",Tabellen_Goetter!A712,Tabellen_Magie!A712))</f>
        <v/>
      </c>
      <c r="G678" s="1179"/>
      <c r="I678" s="1271"/>
    </row>
    <row r="679" spans="5:9" x14ac:dyDescent="0.2">
      <c r="E679" s="1164"/>
      <c r="F679" s="924" t="str">
        <f>IF(IF($A$14="Goetter",Tabellen_Goetter!A713,Tabellen_Magie!A713)=0,"",IF($A$14="Goetter",Tabellen_Goetter!A713,Tabellen_Magie!A713))</f>
        <v/>
      </c>
      <c r="G679" s="1179"/>
      <c r="I679" s="1271"/>
    </row>
    <row r="680" spans="5:9" x14ac:dyDescent="0.2">
      <c r="E680" s="1164"/>
      <c r="F680" s="924" t="str">
        <f>IF(IF($A$14="Goetter",Tabellen_Goetter!A714,Tabellen_Magie!A714)=0,"",IF($A$14="Goetter",Tabellen_Goetter!A714,Tabellen_Magie!A714))</f>
        <v/>
      </c>
      <c r="G680" s="1179"/>
      <c r="I680" s="1271"/>
    </row>
    <row r="681" spans="5:9" x14ac:dyDescent="0.2">
      <c r="E681" s="1164"/>
      <c r="F681" s="927" t="str">
        <f>IF(IF($A$14="Goetter",Tabellen_Goetter!A715,Tabellen_Magie!A715)=0,"",IF($A$14="Goetter",Tabellen_Goetter!A715,Tabellen_Magie!A715))</f>
        <v/>
      </c>
      <c r="G681" s="1266"/>
      <c r="I681" s="1271"/>
    </row>
    <row r="682" spans="5:9" x14ac:dyDescent="0.2">
      <c r="E682" s="1164"/>
      <c r="F682" s="928" t="str">
        <f>IF(IF($A$14="Goetter",Tabellen_Goetter!A716,Tabellen_Magie!A716)=0,"",IF($A$14="Goetter",Tabellen_Goetter!A716,Tabellen_Magie!A716))</f>
        <v/>
      </c>
      <c r="G682" s="1267"/>
      <c r="I682" s="1272" t="str">
        <f>IF($A$14="Goetter","Rituale - nach Grad geordnet","")</f>
        <v/>
      </c>
    </row>
    <row r="683" spans="5:9" x14ac:dyDescent="0.2">
      <c r="E683" s="1164"/>
      <c r="F683" s="929" t="str">
        <f>IF(IF($A$14="Goetter",Tabellen_Goetter!A717,Tabellen_Magie!A717)=0,"",IF($A$14="Goetter",Tabellen_Goetter!A717,Tabellen_Magie!A717))</f>
        <v/>
      </c>
      <c r="G683" s="1140"/>
      <c r="I683" s="1271"/>
    </row>
    <row r="684" spans="5:9" x14ac:dyDescent="0.2">
      <c r="E684" s="1164"/>
      <c r="F684" s="928" t="str">
        <f>IF(IF($A$14="Goetter",Tabellen_Goetter!A718,Tabellen_Magie!A718)=0,"",IF($A$14="Goetter",Tabellen_Goetter!A718,Tabellen_Magie!A718))</f>
        <v/>
      </c>
      <c r="G684" s="1267"/>
      <c r="I684" s="1273" t="str">
        <f>IF($A$14="Goetter","Folgende Buchstaben eintragen:","")</f>
        <v/>
      </c>
    </row>
    <row r="685" spans="5:9" x14ac:dyDescent="0.2">
      <c r="E685" s="1164"/>
      <c r="F685" s="929" t="str">
        <f>IF(IF($A$14="Goetter",Tabellen_Goetter!A719,Tabellen_Magie!A719)=0,"",IF($A$14="Goetter",Tabellen_Goetter!A719,Tabellen_Magie!A719))</f>
        <v/>
      </c>
      <c r="G685" s="1140"/>
      <c r="I685" s="1273" t="str">
        <f>IF($A$14="Goetter","X: Startritual","")</f>
        <v/>
      </c>
    </row>
    <row r="686" spans="5:9" x14ac:dyDescent="0.2">
      <c r="E686" s="1164"/>
      <c r="F686" s="928" t="str">
        <f>IF(IF($A$14="Goetter",Tabellen_Goetter!A720,Tabellen_Magie!A720)=0,"",IF($A$14="Goetter",Tabellen_Goetter!A720,Tabellen_Magie!A720))</f>
        <v/>
      </c>
      <c r="G686" s="1267"/>
      <c r="I686" s="1273" t="str">
        <f>IF($A$14="Goetter","V: Ritual ist verbilligt erlernbar","")</f>
        <v/>
      </c>
    </row>
    <row r="687" spans="5:9" x14ac:dyDescent="0.2">
      <c r="E687" s="1164"/>
      <c r="F687" s="929" t="str">
        <f>IF(IF($A$14="Goetter",Tabellen_Goetter!A721,Tabellen_Magie!A721)=0,"",IF($A$14="Goetter",Tabellen_Goetter!A721,Tabellen_Magie!A721))</f>
        <v/>
      </c>
      <c r="G687" s="1140"/>
      <c r="I687" s="1273" t="str">
        <f>IF($A$14="Goetter","B: Ritual grundsätzlich bekannt aber noch nicht gelernt","")</f>
        <v/>
      </c>
    </row>
    <row r="688" spans="5:9" x14ac:dyDescent="0.2">
      <c r="E688" s="1164"/>
      <c r="F688" s="928" t="str">
        <f>IF(IF($A$14="Goetter",Tabellen_Goetter!A722,Tabellen_Magie!A722)=0,"",IF($A$14="Goetter",Tabellen_Goetter!A722,Tabellen_Magie!A722))</f>
        <v/>
      </c>
      <c r="G688" s="1267"/>
      <c r="I688" s="1271"/>
    </row>
    <row r="689" spans="5:9" x14ac:dyDescent="0.2">
      <c r="E689" s="1164"/>
      <c r="F689" s="929" t="str">
        <f>IF(IF($A$14="Goetter",Tabellen_Goetter!A723,Tabellen_Magie!A723)=0,"",IF($A$14="Goetter",Tabellen_Goetter!A723,Tabellen_Magie!A723))</f>
        <v/>
      </c>
      <c r="G689" s="1140"/>
      <c r="I689" s="1271"/>
    </row>
    <row r="690" spans="5:9" x14ac:dyDescent="0.2">
      <c r="E690" s="1164"/>
      <c r="F690" s="928" t="str">
        <f>IF(IF($A$14="Goetter",Tabellen_Goetter!A724,Tabellen_Magie!A724)=0,"",IF($A$14="Goetter",Tabellen_Goetter!A724,Tabellen_Magie!A724))</f>
        <v/>
      </c>
      <c r="G690" s="1267"/>
      <c r="I690" s="1271"/>
    </row>
    <row r="691" spans="5:9" x14ac:dyDescent="0.2">
      <c r="E691" s="1164"/>
      <c r="F691" s="929" t="str">
        <f>IF(IF($A$14="Goetter",Tabellen_Goetter!A725,Tabellen_Magie!A725)=0,"",IF($A$14="Goetter",Tabellen_Goetter!A725,Tabellen_Magie!A725))</f>
        <v/>
      </c>
      <c r="G691" s="1140"/>
      <c r="I691" s="1271"/>
    </row>
    <row r="692" spans="5:9" x14ac:dyDescent="0.2">
      <c r="E692" s="1164"/>
      <c r="F692" s="928" t="str">
        <f>IF(IF($A$14="Goetter",Tabellen_Goetter!A726,Tabellen_Magie!A726)=0,"",IF($A$14="Goetter",Tabellen_Goetter!A726,Tabellen_Magie!A726))</f>
        <v/>
      </c>
      <c r="G692" s="1267"/>
      <c r="I692" s="1271"/>
    </row>
    <row r="693" spans="5:9" x14ac:dyDescent="0.2">
      <c r="E693" s="1164"/>
      <c r="F693" s="929" t="str">
        <f>IF(IF($A$14="Goetter",Tabellen_Goetter!A727,Tabellen_Magie!A727)=0,"",IF($A$14="Goetter",Tabellen_Goetter!A727,Tabellen_Magie!A727))</f>
        <v/>
      </c>
      <c r="G693" s="1140"/>
      <c r="I693" s="1271"/>
    </row>
    <row r="694" spans="5:9" x14ac:dyDescent="0.2">
      <c r="E694" s="1164"/>
      <c r="F694" s="928" t="str">
        <f>IF(IF($A$14="Goetter",Tabellen_Goetter!A728,Tabellen_Magie!A728)=0,"",IF($A$14="Goetter",Tabellen_Goetter!A728,Tabellen_Magie!A728))</f>
        <v/>
      </c>
      <c r="G694" s="1267"/>
      <c r="I694" s="1271"/>
    </row>
    <row r="695" spans="5:9" x14ac:dyDescent="0.2">
      <c r="E695" s="1164"/>
      <c r="F695" s="929" t="str">
        <f>IF(IF($A$14="Goetter",Tabellen_Goetter!A729,Tabellen_Magie!A729)=0,"",IF($A$14="Goetter",Tabellen_Goetter!A729,Tabellen_Magie!A729))</f>
        <v/>
      </c>
      <c r="G695" s="1140"/>
      <c r="I695" s="1271"/>
    </row>
    <row r="696" spans="5:9" x14ac:dyDescent="0.2">
      <c r="E696" s="1164"/>
      <c r="F696" s="928" t="str">
        <f>IF(IF($A$14="Goetter",Tabellen_Goetter!A730,Tabellen_Magie!A730)=0,"",IF($A$14="Goetter",Tabellen_Goetter!A730,Tabellen_Magie!A730))</f>
        <v/>
      </c>
      <c r="G696" s="1267"/>
      <c r="I696" s="1271"/>
    </row>
    <row r="697" spans="5:9" x14ac:dyDescent="0.2">
      <c r="E697" s="1164"/>
      <c r="F697" s="929" t="str">
        <f>IF(IF($A$14="Goetter",Tabellen_Goetter!A731,Tabellen_Magie!A731)=0,"",IF($A$14="Goetter",Tabellen_Goetter!A731,Tabellen_Magie!A731))</f>
        <v/>
      </c>
      <c r="G697" s="1140"/>
      <c r="I697" s="1271"/>
    </row>
    <row r="698" spans="5:9" x14ac:dyDescent="0.2">
      <c r="E698" s="1164"/>
      <c r="F698" s="928" t="str">
        <f>IF(IF($A$14="Goetter",Tabellen_Goetter!A732,Tabellen_Magie!A732)=0,"",IF($A$14="Goetter",Tabellen_Goetter!A732,Tabellen_Magie!A732))</f>
        <v/>
      </c>
      <c r="G698" s="1267"/>
      <c r="I698" s="1271"/>
    </row>
    <row r="699" spans="5:9" x14ac:dyDescent="0.2">
      <c r="E699" s="1164"/>
      <c r="F699" s="929" t="str">
        <f>IF(IF($A$14="Goetter",Tabellen_Goetter!A733,Tabellen_Magie!A733)=0,"",IF($A$14="Goetter",Tabellen_Goetter!A733,Tabellen_Magie!A733))</f>
        <v/>
      </c>
      <c r="G699" s="1140"/>
      <c r="I699" s="1271"/>
    </row>
    <row r="700" spans="5:9" x14ac:dyDescent="0.2">
      <c r="E700" s="1164"/>
      <c r="F700" s="928" t="str">
        <f>IF(IF($A$14="Goetter",Tabellen_Goetter!A734,Tabellen_Magie!A734)=0,"",IF($A$14="Goetter",Tabellen_Goetter!A734,Tabellen_Magie!A734))</f>
        <v/>
      </c>
      <c r="G700" s="1267"/>
      <c r="I700" s="1271"/>
    </row>
    <row r="701" spans="5:9" x14ac:dyDescent="0.2">
      <c r="E701" s="1164"/>
      <c r="F701" s="929" t="str">
        <f>IF(IF($A$14="Goetter",Tabellen_Goetter!A735,Tabellen_Magie!A735)=0,"",IF($A$14="Goetter",Tabellen_Goetter!A735,Tabellen_Magie!A735))</f>
        <v/>
      </c>
      <c r="G701" s="1140"/>
      <c r="I701" s="1271"/>
    </row>
    <row r="702" spans="5:9" x14ac:dyDescent="0.2">
      <c r="E702" s="1164"/>
      <c r="F702" s="928" t="str">
        <f>IF(IF($A$14="Goetter",Tabellen_Goetter!A736,Tabellen_Magie!A736)=0,"",IF($A$14="Goetter",Tabellen_Goetter!A736,Tabellen_Magie!A736))</f>
        <v/>
      </c>
      <c r="G702" s="1267"/>
      <c r="I702" s="1271"/>
    </row>
    <row r="703" spans="5:9" x14ac:dyDescent="0.2">
      <c r="E703" s="1164"/>
      <c r="F703" s="929" t="str">
        <f>IF(IF($A$14="Goetter",Tabellen_Goetter!A737,Tabellen_Magie!A737)=0,"",IF($A$14="Goetter",Tabellen_Goetter!A737,Tabellen_Magie!A737))</f>
        <v/>
      </c>
      <c r="G703" s="1140"/>
      <c r="I703" s="1271"/>
    </row>
    <row r="704" spans="5:9" x14ac:dyDescent="0.2">
      <c r="E704" s="1164"/>
      <c r="F704" s="928" t="str">
        <f>IF(IF($A$14="Goetter",Tabellen_Goetter!A738,Tabellen_Magie!A738)=0,"",IF($A$14="Goetter",Tabellen_Goetter!A738,Tabellen_Magie!A738))</f>
        <v/>
      </c>
      <c r="G704" s="1267"/>
      <c r="I704" s="1271"/>
    </row>
    <row r="705" spans="5:9" x14ac:dyDescent="0.2">
      <c r="E705" s="1164"/>
      <c r="F705" s="929" t="str">
        <f>IF(IF($A$14="Goetter",Tabellen_Goetter!A739,Tabellen_Magie!A739)=0,"",IF($A$14="Goetter",Tabellen_Goetter!A739,Tabellen_Magie!A739))</f>
        <v/>
      </c>
      <c r="G705" s="1140"/>
      <c r="I705" s="1271"/>
    </row>
    <row r="706" spans="5:9" x14ac:dyDescent="0.2">
      <c r="E706" s="1164"/>
      <c r="F706" s="928" t="str">
        <f>IF(IF($A$14="Goetter",Tabellen_Goetter!A740,Tabellen_Magie!A740)=0,"",IF($A$14="Goetter",Tabellen_Goetter!A740,Tabellen_Magie!A740))</f>
        <v/>
      </c>
      <c r="G706" s="1267"/>
      <c r="I706" s="1271"/>
    </row>
    <row r="707" spans="5:9" x14ac:dyDescent="0.2">
      <c r="E707" s="1164"/>
      <c r="F707" s="929" t="str">
        <f>IF(IF($A$14="Goetter",Tabellen_Goetter!A741,Tabellen_Magie!A741)=0,"",IF($A$14="Goetter",Tabellen_Goetter!A741,Tabellen_Magie!A741))</f>
        <v/>
      </c>
      <c r="G707" s="1140"/>
      <c r="I707" s="1271"/>
    </row>
    <row r="708" spans="5:9" x14ac:dyDescent="0.2">
      <c r="E708" s="1164"/>
      <c r="F708" s="928" t="str">
        <f>IF(IF($A$14="Goetter",Tabellen_Goetter!A742,Tabellen_Magie!A742)=0,"",IF($A$14="Goetter",Tabellen_Goetter!A742,Tabellen_Magie!A742))</f>
        <v/>
      </c>
      <c r="G708" s="1267"/>
      <c r="I708" s="1271"/>
    </row>
    <row r="709" spans="5:9" x14ac:dyDescent="0.2">
      <c r="E709" s="1164"/>
      <c r="F709" s="929" t="str">
        <f>IF(IF($A$14="Goetter",Tabellen_Goetter!A743,Tabellen_Magie!A743)=0,"",IF($A$14="Goetter",Tabellen_Goetter!A743,Tabellen_Magie!A743))</f>
        <v/>
      </c>
      <c r="G709" s="1140"/>
      <c r="I709" s="1271"/>
    </row>
    <row r="710" spans="5:9" x14ac:dyDescent="0.2">
      <c r="E710" s="1164"/>
      <c r="F710" s="928" t="str">
        <f>IF(IF($A$14="Goetter",Tabellen_Goetter!A744,Tabellen_Magie!A744)=0,"",IF($A$14="Goetter",Tabellen_Goetter!A744,Tabellen_Magie!A744))</f>
        <v/>
      </c>
      <c r="G710" s="1267"/>
      <c r="I710" s="1271"/>
    </row>
    <row r="711" spans="5:9" x14ac:dyDescent="0.2">
      <c r="E711" s="1164"/>
      <c r="F711" s="929" t="str">
        <f>IF(IF($A$14="Goetter",Tabellen_Goetter!A745,Tabellen_Magie!A745)=0,"",IF($A$14="Goetter",Tabellen_Goetter!A745,Tabellen_Magie!A745))</f>
        <v/>
      </c>
      <c r="G711" s="1140"/>
      <c r="I711" s="1271"/>
    </row>
    <row r="712" spans="5:9" x14ac:dyDescent="0.2">
      <c r="E712" s="1164"/>
      <c r="F712" s="928" t="str">
        <f>IF(IF($A$14="Goetter",Tabellen_Goetter!A746,Tabellen_Magie!A746)=0,"",IF($A$14="Goetter",Tabellen_Goetter!A746,Tabellen_Magie!A746))</f>
        <v/>
      </c>
      <c r="G712" s="1267"/>
      <c r="I712" s="1271"/>
    </row>
    <row r="713" spans="5:9" x14ac:dyDescent="0.2">
      <c r="E713" s="1164"/>
      <c r="F713" s="929" t="str">
        <f>IF(IF($A$14="Goetter",Tabellen_Goetter!A747,Tabellen_Magie!A747)=0,"",IF($A$14="Goetter",Tabellen_Goetter!A747,Tabellen_Magie!A747))</f>
        <v/>
      </c>
      <c r="G713" s="1140"/>
      <c r="I713" s="1271"/>
    </row>
    <row r="714" spans="5:9" x14ac:dyDescent="0.2">
      <c r="E714" s="1164"/>
      <c r="F714" s="928" t="str">
        <f>IF(IF($A$14="Goetter",Tabellen_Goetter!A748,Tabellen_Magie!A748)=0,"",IF($A$14="Goetter",Tabellen_Goetter!A748,Tabellen_Magie!A748))</f>
        <v/>
      </c>
      <c r="G714" s="1267"/>
      <c r="I714" s="1271"/>
    </row>
    <row r="715" spans="5:9" x14ac:dyDescent="0.2">
      <c r="E715" s="1164"/>
      <c r="F715" s="929" t="str">
        <f>IF(IF($A$14="Goetter",Tabellen_Goetter!A749,Tabellen_Magie!A749)=0,"",IF($A$14="Goetter",Tabellen_Goetter!A749,Tabellen_Magie!A749))</f>
        <v/>
      </c>
      <c r="G715" s="1140"/>
      <c r="I715" s="1271"/>
    </row>
    <row r="716" spans="5:9" x14ac:dyDescent="0.2">
      <c r="E716" s="1164"/>
      <c r="F716" s="928" t="str">
        <f>IF(IF($A$14="Goetter",Tabellen_Goetter!A750,Tabellen_Magie!A750)=0,"",IF($A$14="Goetter",Tabellen_Goetter!A750,Tabellen_Magie!A750))</f>
        <v/>
      </c>
      <c r="G716" s="1267"/>
      <c r="I716" s="1271"/>
    </row>
    <row r="717" spans="5:9" x14ac:dyDescent="0.2">
      <c r="E717" s="1164"/>
      <c r="F717" s="929" t="str">
        <f>IF(IF($A$14="Goetter",Tabellen_Goetter!A751,Tabellen_Magie!A751)=0,"",IF($A$14="Goetter",Tabellen_Goetter!A751,Tabellen_Magie!A751))</f>
        <v/>
      </c>
      <c r="G717" s="1140"/>
      <c r="I717" s="1271"/>
    </row>
    <row r="718" spans="5:9" x14ac:dyDescent="0.2">
      <c r="E718" s="1164"/>
      <c r="F718" s="928" t="str">
        <f>IF(IF($A$14="Goetter",Tabellen_Goetter!A752,Tabellen_Magie!A752)=0,"",IF($A$14="Goetter",Tabellen_Goetter!A752,Tabellen_Magie!A752))</f>
        <v/>
      </c>
      <c r="G718" s="1267"/>
      <c r="I718" s="1271"/>
    </row>
    <row r="719" spans="5:9" x14ac:dyDescent="0.2">
      <c r="E719" s="1164"/>
      <c r="F719" s="929" t="str">
        <f>IF(IF($A$14="Goetter",Tabellen_Goetter!A753,Tabellen_Magie!A753)=0,"",IF($A$14="Goetter",Tabellen_Goetter!A753,Tabellen_Magie!A753))</f>
        <v/>
      </c>
      <c r="G719" s="1140"/>
      <c r="I719" s="1271"/>
    </row>
    <row r="720" spans="5:9" x14ac:dyDescent="0.2">
      <c r="E720" s="1164"/>
      <c r="F720" s="928" t="str">
        <f>IF(IF($A$14="Goetter",Tabellen_Goetter!A754,Tabellen_Magie!A754)=0,"",IF($A$14="Goetter",Tabellen_Goetter!A754,Tabellen_Magie!A754))</f>
        <v/>
      </c>
      <c r="G720" s="1267"/>
      <c r="I720" s="1271"/>
    </row>
    <row r="721" spans="5:9" x14ac:dyDescent="0.2">
      <c r="E721" s="1164"/>
      <c r="F721" s="929" t="str">
        <f>IF(IF($A$14="Goetter",Tabellen_Goetter!A755,Tabellen_Magie!A755)=0,"",IF($A$14="Goetter",Tabellen_Goetter!A755,Tabellen_Magie!A755))</f>
        <v/>
      </c>
      <c r="G721" s="1140"/>
      <c r="I721" s="1271"/>
    </row>
    <row r="722" spans="5:9" x14ac:dyDescent="0.2">
      <c r="E722" s="1164"/>
      <c r="F722" s="928" t="str">
        <f>IF(IF($A$14="Goetter",Tabellen_Goetter!A756,Tabellen_Magie!A756)=0,"",IF($A$14="Goetter",Tabellen_Goetter!A756,Tabellen_Magie!A756))</f>
        <v/>
      </c>
      <c r="G722" s="1267"/>
      <c r="I722" s="1271"/>
    </row>
    <row r="723" spans="5:9" x14ac:dyDescent="0.2">
      <c r="E723" s="1164"/>
      <c r="F723" s="929" t="str">
        <f>IF(IF($A$14="Goetter",Tabellen_Goetter!A757,Tabellen_Magie!A757)=0,"",IF($A$14="Goetter",Tabellen_Goetter!A757,Tabellen_Magie!A757))</f>
        <v/>
      </c>
      <c r="G723" s="1140"/>
      <c r="I723" s="1271"/>
    </row>
    <row r="724" spans="5:9" x14ac:dyDescent="0.2">
      <c r="E724" s="1164"/>
      <c r="F724" s="928" t="str">
        <f>IF(IF($A$14="Goetter",Tabellen_Goetter!A758,Tabellen_Magie!A758)=0,"",IF($A$14="Goetter",Tabellen_Goetter!A758,Tabellen_Magie!A758))</f>
        <v/>
      </c>
      <c r="G724" s="1267"/>
      <c r="I724" s="1271"/>
    </row>
    <row r="725" spans="5:9" x14ac:dyDescent="0.2">
      <c r="E725" s="1164"/>
      <c r="F725" s="929" t="str">
        <f>IF(IF($A$14="Goetter",Tabellen_Goetter!A759,Tabellen_Magie!A759)=0,"",IF($A$14="Goetter",Tabellen_Goetter!A759,Tabellen_Magie!A759))</f>
        <v/>
      </c>
      <c r="G725" s="1140"/>
      <c r="I725" s="1271"/>
    </row>
    <row r="726" spans="5:9" x14ac:dyDescent="0.2">
      <c r="E726" s="1164"/>
      <c r="F726" s="928" t="str">
        <f>IF(IF($A$14="Goetter",Tabellen_Goetter!A760,Tabellen_Magie!A760)=0,"",IF($A$14="Goetter",Tabellen_Goetter!A760,Tabellen_Magie!A760))</f>
        <v/>
      </c>
      <c r="G726" s="1267"/>
      <c r="I726" s="1271"/>
    </row>
    <row r="727" spans="5:9" x14ac:dyDescent="0.2">
      <c r="E727" s="1164"/>
      <c r="F727" s="929" t="str">
        <f>IF(IF($A$14="Goetter",Tabellen_Goetter!A761,Tabellen_Magie!A761)=0,"",IF($A$14="Goetter",Tabellen_Goetter!A761,Tabellen_Magie!A761))</f>
        <v/>
      </c>
      <c r="G727" s="1140"/>
      <c r="I727" s="1271"/>
    </row>
    <row r="728" spans="5:9" x14ac:dyDescent="0.2">
      <c r="E728" s="1164"/>
      <c r="F728" s="928" t="str">
        <f>IF(IF($A$14="Goetter",Tabellen_Goetter!A762,Tabellen_Magie!A762)=0,"",IF($A$14="Goetter",Tabellen_Goetter!A762,Tabellen_Magie!A762))</f>
        <v/>
      </c>
      <c r="G728" s="1267"/>
      <c r="I728" s="1271"/>
    </row>
    <row r="729" spans="5:9" x14ac:dyDescent="0.2">
      <c r="E729" s="1164"/>
      <c r="F729" s="929" t="str">
        <f>IF(IF($A$14="Goetter",Tabellen_Goetter!A763,Tabellen_Magie!A763)=0,"",IF($A$14="Goetter",Tabellen_Goetter!A763,Tabellen_Magie!A763))</f>
        <v/>
      </c>
      <c r="G729" s="1140"/>
      <c r="I729" s="1271"/>
    </row>
    <row r="730" spans="5:9" x14ac:dyDescent="0.2">
      <c r="E730" s="1164"/>
      <c r="F730" s="928" t="str">
        <f>IF(IF($A$14="Goetter",Tabellen_Goetter!A764,Tabellen_Magie!A764)=0,"",IF($A$14="Goetter",Tabellen_Goetter!A764,Tabellen_Magie!A764))</f>
        <v/>
      </c>
      <c r="G730" s="1267"/>
      <c r="I730" s="1271"/>
    </row>
    <row r="731" spans="5:9" x14ac:dyDescent="0.2">
      <c r="E731" s="1164"/>
      <c r="F731" s="929" t="str">
        <f>IF(IF($A$14="Goetter",Tabellen_Goetter!A765,Tabellen_Magie!A765)=0,"",IF($A$14="Goetter",Tabellen_Goetter!A765,Tabellen_Magie!A765))</f>
        <v/>
      </c>
      <c r="G731" s="1140"/>
      <c r="I731" s="1271"/>
    </row>
    <row r="732" spans="5:9" x14ac:dyDescent="0.2">
      <c r="E732" s="1164"/>
      <c r="F732" s="928" t="str">
        <f>IF(IF($A$14="Goetter",Tabellen_Goetter!A766,Tabellen_Magie!A766)=0,"",IF($A$14="Goetter",Tabellen_Goetter!A766,Tabellen_Magie!A766))</f>
        <v/>
      </c>
      <c r="G732" s="1267"/>
      <c r="I732" s="1271"/>
    </row>
    <row r="733" spans="5:9" x14ac:dyDescent="0.2">
      <c r="E733" s="1164"/>
      <c r="F733" s="929" t="str">
        <f>IF(IF($A$14="Goetter",Tabellen_Goetter!A767,Tabellen_Magie!A767)=0,"",IF($A$14="Goetter",Tabellen_Goetter!A767,Tabellen_Magie!A767))</f>
        <v/>
      </c>
      <c r="G733" s="1140"/>
      <c r="I733" s="1271"/>
    </row>
    <row r="734" spans="5:9" x14ac:dyDescent="0.2">
      <c r="E734" s="1164"/>
      <c r="F734" s="928" t="str">
        <f>IF(IF($A$14="Goetter",Tabellen_Goetter!A768,Tabellen_Magie!A768)=0,"",IF($A$14="Goetter",Tabellen_Goetter!A768,Tabellen_Magie!A768))</f>
        <v/>
      </c>
      <c r="G734" s="1267"/>
      <c r="I734" s="1271"/>
    </row>
    <row r="735" spans="5:9" x14ac:dyDescent="0.2">
      <c r="E735" s="1164"/>
      <c r="F735" s="929" t="str">
        <f>IF(IF($A$14="Goetter",Tabellen_Goetter!A769,Tabellen_Magie!A769)=0,"",IF($A$14="Goetter",Tabellen_Goetter!A769,Tabellen_Magie!A769))</f>
        <v/>
      </c>
      <c r="G735" s="1140"/>
      <c r="I735" s="1271"/>
    </row>
    <row r="736" spans="5:9" x14ac:dyDescent="0.2">
      <c r="E736" s="1164"/>
      <c r="F736" s="928" t="str">
        <f>IF(IF($A$14="Goetter",Tabellen_Goetter!A770,Tabellen_Magie!A770)=0,"",IF($A$14="Goetter",Tabellen_Goetter!A770,Tabellen_Magie!A770))</f>
        <v/>
      </c>
      <c r="G736" s="1267"/>
      <c r="I736" s="1271"/>
    </row>
    <row r="737" spans="5:9" x14ac:dyDescent="0.2">
      <c r="E737" s="1164"/>
      <c r="F737" s="929" t="str">
        <f>IF(IF($A$14="Goetter",Tabellen_Goetter!A771,Tabellen_Magie!A771)=0,"",IF($A$14="Goetter",Tabellen_Goetter!A771,Tabellen_Magie!A771))</f>
        <v/>
      </c>
      <c r="G737" s="1140"/>
      <c r="I737" s="1271"/>
    </row>
    <row r="738" spans="5:9" x14ac:dyDescent="0.2">
      <c r="E738" s="1164"/>
      <c r="F738" s="928" t="str">
        <f>IF(IF($A$14="Goetter",Tabellen_Goetter!A772,Tabellen_Magie!A772)=0,"",IF($A$14="Goetter",Tabellen_Goetter!A772,Tabellen_Magie!A772))</f>
        <v/>
      </c>
      <c r="G738" s="1267"/>
      <c r="I738" s="1271"/>
    </row>
    <row r="739" spans="5:9" x14ac:dyDescent="0.2">
      <c r="E739" s="1164"/>
      <c r="F739" s="929" t="str">
        <f>IF(IF($A$14="Goetter",Tabellen_Goetter!A773,Tabellen_Magie!A773)=0,"",IF($A$14="Goetter",Tabellen_Goetter!A773,Tabellen_Magie!A773))</f>
        <v/>
      </c>
      <c r="G739" s="1140"/>
      <c r="I739" s="1271"/>
    </row>
    <row r="740" spans="5:9" x14ac:dyDescent="0.2">
      <c r="E740" s="1164"/>
      <c r="F740" s="928" t="str">
        <f>IF(IF($A$14="Goetter",Tabellen_Goetter!A774,Tabellen_Magie!A774)=0,"",IF($A$14="Goetter",Tabellen_Goetter!A774,Tabellen_Magie!A774))</f>
        <v/>
      </c>
      <c r="G740" s="1267"/>
      <c r="I740" s="1271"/>
    </row>
    <row r="741" spans="5:9" x14ac:dyDescent="0.2">
      <c r="E741" s="1164"/>
      <c r="F741" s="929" t="str">
        <f>IF(IF($A$14="Goetter",Tabellen_Goetter!A775,Tabellen_Magie!A775)=0,"",IF($A$14="Goetter",Tabellen_Goetter!A775,Tabellen_Magie!A775))</f>
        <v/>
      </c>
      <c r="G741" s="1140"/>
      <c r="I741" s="1271"/>
    </row>
    <row r="742" spans="5:9" x14ac:dyDescent="0.2">
      <c r="E742" s="1164"/>
      <c r="F742" s="928" t="str">
        <f>IF(IF($A$14="Goetter",Tabellen_Goetter!A776,Tabellen_Magie!A776)=0,"",IF($A$14="Goetter",Tabellen_Goetter!A776,Tabellen_Magie!A776))</f>
        <v/>
      </c>
      <c r="G742" s="1267"/>
      <c r="I742" s="1271"/>
    </row>
    <row r="743" spans="5:9" x14ac:dyDescent="0.2">
      <c r="E743" s="1164"/>
      <c r="F743" s="929" t="str">
        <f>IF(IF($A$14="Goetter",Tabellen_Goetter!A777,Tabellen_Magie!A777)=0,"",IF($A$14="Goetter",Tabellen_Goetter!A777,Tabellen_Magie!A777))</f>
        <v/>
      </c>
      <c r="G743" s="1140"/>
      <c r="I743" s="1271"/>
    </row>
    <row r="744" spans="5:9" x14ac:dyDescent="0.2">
      <c r="E744" s="1164"/>
      <c r="F744" s="928" t="str">
        <f>IF(IF($A$14="Goetter",Tabellen_Goetter!A778,Tabellen_Magie!A778)=0,"",IF($A$14="Goetter",Tabellen_Goetter!A778,Tabellen_Magie!A778))</f>
        <v/>
      </c>
      <c r="G744" s="1267"/>
      <c r="I744" s="1271"/>
    </row>
    <row r="745" spans="5:9" x14ac:dyDescent="0.2">
      <c r="E745" s="1164"/>
      <c r="F745" s="929" t="str">
        <f>IF(IF($A$14="Goetter",Tabellen_Goetter!A779,Tabellen_Magie!A779)=0,"",IF($A$14="Goetter",Tabellen_Goetter!A779,Tabellen_Magie!A779))</f>
        <v/>
      </c>
      <c r="G745" s="1140"/>
      <c r="I745" s="1271"/>
    </row>
    <row r="746" spans="5:9" x14ac:dyDescent="0.2">
      <c r="E746" s="1164"/>
      <c r="F746" s="928" t="str">
        <f>IF(IF($A$14="Goetter",Tabellen_Goetter!A780,Tabellen_Magie!A780)=0,"",IF($A$14="Goetter",Tabellen_Goetter!A780,Tabellen_Magie!A780))</f>
        <v/>
      </c>
      <c r="G746" s="1267"/>
      <c r="I746" s="1271"/>
    </row>
    <row r="747" spans="5:9" x14ac:dyDescent="0.2">
      <c r="E747" s="1164"/>
      <c r="F747" s="929" t="str">
        <f>IF(IF($A$14="Goetter",Tabellen_Goetter!A781,Tabellen_Magie!A781)=0,"",IF($A$14="Goetter",Tabellen_Goetter!A781,Tabellen_Magie!A781))</f>
        <v/>
      </c>
      <c r="G747" s="1140"/>
      <c r="I747" s="1271"/>
    </row>
    <row r="748" spans="5:9" x14ac:dyDescent="0.2">
      <c r="E748" s="1164"/>
      <c r="F748" s="928" t="str">
        <f>IF(IF($A$14="Goetter",Tabellen_Goetter!A782,Tabellen_Magie!A782)=0,"",IF($A$14="Goetter",Tabellen_Goetter!A782,Tabellen_Magie!A782))</f>
        <v/>
      </c>
      <c r="G748" s="1267"/>
      <c r="I748" s="1271"/>
    </row>
    <row r="749" spans="5:9" x14ac:dyDescent="0.2">
      <c r="E749" s="1164"/>
      <c r="F749" s="929" t="str">
        <f>IF(IF($A$14="Goetter",Tabellen_Goetter!A783,Tabellen_Magie!A783)=0,"",IF($A$14="Goetter",Tabellen_Goetter!A783,Tabellen_Magie!A783))</f>
        <v/>
      </c>
      <c r="G749" s="1140"/>
      <c r="I749" s="1271"/>
    </row>
    <row r="750" spans="5:9" x14ac:dyDescent="0.2">
      <c r="E750" s="1164"/>
      <c r="F750" s="928" t="str">
        <f>IF(IF($A$14="Goetter",Tabellen_Goetter!A784,Tabellen_Magie!A784)=0,"",IF($A$14="Goetter",Tabellen_Goetter!A784,Tabellen_Magie!A784))</f>
        <v/>
      </c>
      <c r="G750" s="1267"/>
      <c r="I750" s="1271"/>
    </row>
    <row r="751" spans="5:9" x14ac:dyDescent="0.2">
      <c r="E751" s="1164"/>
      <c r="F751" s="929" t="str">
        <f>IF(IF($A$14="Goetter",Tabellen_Goetter!A785,Tabellen_Magie!A785)=0,"",IF($A$14="Goetter",Tabellen_Goetter!A785,Tabellen_Magie!A785))</f>
        <v/>
      </c>
      <c r="G751" s="1140"/>
      <c r="I751" s="1271"/>
    </row>
    <row r="752" spans="5:9" x14ac:dyDescent="0.2">
      <c r="E752" s="1164"/>
      <c r="F752" s="928" t="str">
        <f>IF(IF($A$14="Goetter",Tabellen_Goetter!A786,Tabellen_Magie!A786)=0,"",IF($A$14="Goetter",Tabellen_Goetter!A786,Tabellen_Magie!A786))</f>
        <v/>
      </c>
      <c r="G752" s="1267"/>
      <c r="I752" s="1271"/>
    </row>
    <row r="753" spans="5:9" x14ac:dyDescent="0.2">
      <c r="E753" s="1164"/>
      <c r="F753" s="929" t="str">
        <f>IF(IF($A$14="Goetter",Tabellen_Goetter!A787,Tabellen_Magie!A787)=0,"",IF($A$14="Goetter",Tabellen_Goetter!A787,Tabellen_Magie!A787))</f>
        <v/>
      </c>
      <c r="G753" s="1140"/>
      <c r="I753" s="1271"/>
    </row>
    <row r="754" spans="5:9" x14ac:dyDescent="0.2">
      <c r="E754" s="1164"/>
      <c r="F754" s="928" t="str">
        <f>IF(IF($A$14="Goetter",Tabellen_Goetter!A788,Tabellen_Magie!A788)=0,"",IF($A$14="Goetter",Tabellen_Goetter!A788,Tabellen_Magie!A788))</f>
        <v/>
      </c>
      <c r="G754" s="1267"/>
      <c r="I754" s="1271"/>
    </row>
    <row r="755" spans="5:9" x14ac:dyDescent="0.2">
      <c r="E755" s="1164"/>
      <c r="F755" s="929" t="str">
        <f>IF(IF($A$14="Goetter",Tabellen_Goetter!A789,Tabellen_Magie!A789)=0,"",IF($A$14="Goetter",Tabellen_Goetter!A789,Tabellen_Magie!A789))</f>
        <v/>
      </c>
      <c r="G755" s="1140"/>
      <c r="I755" s="1271"/>
    </row>
    <row r="756" spans="5:9" x14ac:dyDescent="0.2">
      <c r="E756" s="1164"/>
      <c r="F756" s="928" t="str">
        <f>IF(IF($A$14="Goetter",Tabellen_Goetter!A790,Tabellen_Magie!A790)=0,"",IF($A$14="Goetter",Tabellen_Goetter!A790,Tabellen_Magie!A790))</f>
        <v/>
      </c>
      <c r="G756" s="1267"/>
      <c r="I756" s="1271"/>
    </row>
    <row r="757" spans="5:9" x14ac:dyDescent="0.2">
      <c r="E757" s="1164"/>
      <c r="F757" s="929" t="str">
        <f>IF(IF($A$14="Goetter",Tabellen_Goetter!A791,Tabellen_Magie!A791)=0,"",IF($A$14="Goetter",Tabellen_Goetter!A791,Tabellen_Magie!A791))</f>
        <v/>
      </c>
      <c r="G757" s="1140"/>
      <c r="I757" s="1271"/>
    </row>
    <row r="758" spans="5:9" x14ac:dyDescent="0.2">
      <c r="E758" s="1164"/>
      <c r="F758" s="928" t="str">
        <f>IF(IF($A$14="Goetter",Tabellen_Goetter!A792,Tabellen_Magie!A792)=0,"",IF($A$14="Goetter",Tabellen_Goetter!A792,Tabellen_Magie!A792))</f>
        <v/>
      </c>
      <c r="G758" s="1267"/>
      <c r="I758" s="1271"/>
    </row>
    <row r="759" spans="5:9" x14ac:dyDescent="0.2">
      <c r="E759" s="1164"/>
      <c r="F759" s="929" t="str">
        <f>IF(IF($A$14="Goetter",Tabellen_Goetter!A793,Tabellen_Magie!A793)=0,"",IF($A$14="Goetter",Tabellen_Goetter!A793,Tabellen_Magie!A793))</f>
        <v/>
      </c>
      <c r="G759" s="1140"/>
      <c r="I759" s="1271"/>
    </row>
    <row r="760" spans="5:9" x14ac:dyDescent="0.2">
      <c r="E760" s="1164"/>
      <c r="F760" s="928" t="str">
        <f>IF(IF($A$14="Goetter",Tabellen_Goetter!A794,Tabellen_Magie!A794)=0,"",IF($A$14="Goetter",Tabellen_Goetter!A794,Tabellen_Magie!A794))</f>
        <v/>
      </c>
      <c r="G760" s="1267"/>
      <c r="I760" s="1271"/>
    </row>
    <row r="761" spans="5:9" x14ac:dyDescent="0.2">
      <c r="E761" s="1164"/>
      <c r="F761" s="929" t="str">
        <f>IF(IF($A$14="Goetter",Tabellen_Goetter!A795,Tabellen_Magie!A795)=0,"",IF($A$14="Goetter",Tabellen_Goetter!A795,Tabellen_Magie!A795))</f>
        <v/>
      </c>
      <c r="G761" s="1140"/>
      <c r="I761" s="1271"/>
    </row>
    <row r="762" spans="5:9" x14ac:dyDescent="0.2">
      <c r="E762" s="1164"/>
      <c r="F762" s="928" t="str">
        <f>IF(IF($A$14="Goetter",Tabellen_Goetter!A796,Tabellen_Magie!A796)=0,"",IF($A$14="Goetter",Tabellen_Goetter!A796,Tabellen_Magie!A796))</f>
        <v/>
      </c>
      <c r="G762" s="1267"/>
      <c r="I762" s="1271"/>
    </row>
    <row r="763" spans="5:9" x14ac:dyDescent="0.2">
      <c r="E763" s="1164"/>
      <c r="F763" s="929" t="str">
        <f>IF(IF($A$14="Goetter",Tabellen_Goetter!A797,Tabellen_Magie!A797)=0,"",IF($A$14="Goetter",Tabellen_Goetter!A797,Tabellen_Magie!A797))</f>
        <v/>
      </c>
      <c r="G763" s="1140"/>
      <c r="I763" s="1271"/>
    </row>
    <row r="764" spans="5:9" x14ac:dyDescent="0.2">
      <c r="E764" s="1164"/>
      <c r="F764" s="928" t="str">
        <f>IF(IF($A$14="Goetter",Tabellen_Goetter!A798,Tabellen_Magie!A798)=0,"",IF($A$14="Goetter",Tabellen_Goetter!A798,Tabellen_Magie!A798))</f>
        <v/>
      </c>
      <c r="G764" s="1267"/>
      <c r="I764" s="1271"/>
    </row>
    <row r="765" spans="5:9" x14ac:dyDescent="0.2">
      <c r="E765" s="1164"/>
      <c r="F765" s="929" t="str">
        <f>IF(IF($A$14="Goetter",Tabellen_Goetter!A799,Tabellen_Magie!A799)=0,"",IF($A$14="Goetter",Tabellen_Goetter!A799,Tabellen_Magie!A799))</f>
        <v/>
      </c>
      <c r="G765" s="1140"/>
      <c r="I765" s="1271"/>
    </row>
    <row r="766" spans="5:9" x14ac:dyDescent="0.2">
      <c r="E766" s="1164"/>
      <c r="F766" s="928" t="str">
        <f>IF(IF($A$14="Goetter",Tabellen_Goetter!A800,Tabellen_Magie!A800)=0,"",IF($A$14="Goetter",Tabellen_Goetter!A800,Tabellen_Magie!A800))</f>
        <v/>
      </c>
      <c r="G766" s="1267"/>
      <c r="I766" s="1271"/>
    </row>
    <row r="767" spans="5:9" x14ac:dyDescent="0.2">
      <c r="E767" s="1164"/>
      <c r="F767" s="929" t="str">
        <f>IF(IF($A$14="Goetter",Tabellen_Goetter!A801,Tabellen_Magie!A801)=0,"",IF($A$14="Goetter",Tabellen_Goetter!A801,Tabellen_Magie!A801))</f>
        <v/>
      </c>
      <c r="G767" s="1140"/>
      <c r="I767" s="1271"/>
    </row>
    <row r="768" spans="5:9" x14ac:dyDescent="0.2">
      <c r="E768" s="1164"/>
      <c r="F768" s="928" t="str">
        <f>IF(IF($A$14="Goetter",Tabellen_Goetter!A802,Tabellen_Magie!A802)=0,"",IF($A$14="Goetter",Tabellen_Goetter!A802,Tabellen_Magie!A802))</f>
        <v/>
      </c>
      <c r="G768" s="1267"/>
      <c r="I768" s="1271"/>
    </row>
    <row r="769" spans="5:9" x14ac:dyDescent="0.2">
      <c r="E769" s="1164"/>
      <c r="F769" s="929" t="str">
        <f>IF(IF($A$14="Goetter",Tabellen_Goetter!A803,Tabellen_Magie!A803)=0,"",IF($A$14="Goetter",Tabellen_Goetter!A803,Tabellen_Magie!A803))</f>
        <v/>
      </c>
      <c r="G769" s="1140"/>
      <c r="I769" s="1271"/>
    </row>
    <row r="770" spans="5:9" x14ac:dyDescent="0.2">
      <c r="E770" s="1164"/>
      <c r="F770" s="928" t="str">
        <f>IF(IF($A$14="Goetter",Tabellen_Goetter!A804,Tabellen_Magie!A804)=0,"",IF($A$14="Goetter",Tabellen_Goetter!A804,Tabellen_Magie!A804))</f>
        <v/>
      </c>
      <c r="G770" s="1267"/>
      <c r="I770" s="1271"/>
    </row>
    <row r="771" spans="5:9" x14ac:dyDescent="0.2">
      <c r="E771" s="1164"/>
      <c r="F771" s="929" t="str">
        <f>IF(IF($A$14="Goetter",Tabellen_Goetter!A805,Tabellen_Magie!A805)=0,"",IF($A$14="Goetter",Tabellen_Goetter!A805,Tabellen_Magie!A805))</f>
        <v/>
      </c>
      <c r="G771" s="1140"/>
      <c r="I771" s="1271"/>
    </row>
    <row r="772" spans="5:9" x14ac:dyDescent="0.2">
      <c r="E772" s="1164"/>
      <c r="F772" s="91" t="str">
        <f>IF(IF($A$14="Goetter",Tabellen_Goetter!A806,Tabellen_Magie!A806)=0,"",IF($A$14="Goetter",Tabellen_Goetter!A806,Tabellen_Magie!A806))</f>
        <v/>
      </c>
      <c r="G772" s="1206"/>
      <c r="I772" s="1271"/>
    </row>
    <row r="773" spans="5:9" x14ac:dyDescent="0.2">
      <c r="E773" s="1164"/>
      <c r="F773" s="91" t="str">
        <f>IF(IF($A$14="Goetter",Tabellen_Goetter!A807,Tabellen_Magie!A807)=0,"",IF($A$14="Goetter",Tabellen_Goetter!A807,Tabellen_Magie!A807))</f>
        <v/>
      </c>
      <c r="G773" s="1206"/>
      <c r="I773" s="1271"/>
    </row>
    <row r="774" spans="5:9" x14ac:dyDescent="0.2">
      <c r="E774" s="1164"/>
      <c r="F774" s="91" t="str">
        <f>IF(IF($A$14="Goetter",Tabellen_Goetter!A808,Tabellen_Magie!A808)=0,"",IF($A$14="Goetter",Tabellen_Goetter!A808,Tabellen_Magie!A808))</f>
        <v/>
      </c>
      <c r="G774" s="1206"/>
      <c r="I774" s="1271"/>
    </row>
    <row r="775" spans="5:9" x14ac:dyDescent="0.2">
      <c r="E775" s="1164"/>
      <c r="F775" s="91" t="str">
        <f>IF(IF($A$14="Goetter",Tabellen_Goetter!A809,Tabellen_Magie!A809)=0,"",IF($A$14="Goetter",Tabellen_Goetter!A809,Tabellen_Magie!A809))</f>
        <v/>
      </c>
      <c r="G775" s="1206"/>
      <c r="I775" s="1271"/>
    </row>
    <row r="776" spans="5:9" x14ac:dyDescent="0.2">
      <c r="E776" s="1164"/>
      <c r="F776" s="91" t="str">
        <f>IF(IF($A$14="Goetter",Tabellen_Goetter!A810,Tabellen_Magie!A810)=0,"",IF($A$14="Goetter",Tabellen_Goetter!A810,Tabellen_Magie!A810))</f>
        <v/>
      </c>
      <c r="G776" s="1206"/>
      <c r="I776" s="1271"/>
    </row>
    <row r="777" spans="5:9" x14ac:dyDescent="0.2">
      <c r="E777" s="1164"/>
      <c r="F777" s="91" t="str">
        <f>IF(IF($A$14="Goetter",Tabellen_Goetter!A811,Tabellen_Magie!A811)=0,"",IF($A$14="Goetter",Tabellen_Goetter!A811,Tabellen_Magie!A811))</f>
        <v/>
      </c>
      <c r="G777" s="1206"/>
      <c r="I777" s="1271"/>
    </row>
    <row r="778" spans="5:9" x14ac:dyDescent="0.2">
      <c r="E778" s="1164"/>
      <c r="F778" s="1246" t="s">
        <v>3046</v>
      </c>
      <c r="G778" s="1268"/>
      <c r="I778" s="1272" t="s">
        <v>3046</v>
      </c>
    </row>
    <row r="779" spans="5:9" x14ac:dyDescent="0.2">
      <c r="E779" s="1164"/>
      <c r="F779" s="926" t="s">
        <v>3918</v>
      </c>
      <c r="G779" s="1155"/>
      <c r="I779" s="1271"/>
    </row>
    <row r="780" spans="5:9" ht="25.5" x14ac:dyDescent="0.2">
      <c r="E780" s="1164"/>
      <c r="F780" s="29"/>
      <c r="G780" s="1206"/>
      <c r="I780" s="1567" t="s">
        <v>6779</v>
      </c>
    </row>
    <row r="781" spans="5:9" x14ac:dyDescent="0.2">
      <c r="E781" s="1164"/>
      <c r="F781" s="29"/>
      <c r="G781" s="1206"/>
      <c r="I781" s="1567"/>
    </row>
    <row r="782" spans="5:9" x14ac:dyDescent="0.2">
      <c r="E782" s="1164"/>
      <c r="F782" s="29"/>
      <c r="G782" s="1206"/>
      <c r="I782" s="1567"/>
    </row>
    <row r="783" spans="5:9" ht="38.25" x14ac:dyDescent="0.2">
      <c r="E783" s="1164"/>
      <c r="F783" s="926" t="s">
        <v>3996</v>
      </c>
      <c r="G783" s="1155"/>
      <c r="I783" s="1567" t="s">
        <v>6782</v>
      </c>
    </row>
    <row r="784" spans="5:9" x14ac:dyDescent="0.2">
      <c r="E784" s="1164"/>
      <c r="F784" s="29"/>
      <c r="G784" s="1206"/>
      <c r="I784" s="1567"/>
    </row>
    <row r="785" spans="5:9" ht="12.75" customHeight="1" x14ac:dyDescent="0.2">
      <c r="E785" s="1164"/>
      <c r="F785" s="29"/>
      <c r="G785" s="1206"/>
      <c r="I785" s="1567"/>
    </row>
    <row r="786" spans="5:9" x14ac:dyDescent="0.2">
      <c r="E786" s="1164"/>
      <c r="F786" s="1093" t="s">
        <v>1646</v>
      </c>
      <c r="G786" s="1086"/>
      <c r="I786" s="1271"/>
    </row>
    <row r="787" spans="5:9" x14ac:dyDescent="0.2">
      <c r="E787" s="1164"/>
      <c r="F787" s="926" t="s">
        <v>2663</v>
      </c>
      <c r="G787" s="1155"/>
      <c r="I787" s="1271"/>
    </row>
    <row r="788" spans="5:9" ht="12.75" customHeight="1" x14ac:dyDescent="0.2">
      <c r="E788" s="1164"/>
      <c r="F788" s="925" t="s">
        <v>1515</v>
      </c>
      <c r="G788" s="1086"/>
      <c r="I788" s="1271"/>
    </row>
    <row r="789" spans="5:9" x14ac:dyDescent="0.2">
      <c r="E789" s="1164"/>
      <c r="F789" s="926" t="s">
        <v>2664</v>
      </c>
      <c r="G789" s="1155"/>
      <c r="I789" s="1271"/>
    </row>
    <row r="790" spans="5:9" x14ac:dyDescent="0.2">
      <c r="E790" s="1164"/>
      <c r="F790" s="1093" t="s">
        <v>4245</v>
      </c>
      <c r="G790" s="1086"/>
      <c r="I790" s="1271"/>
    </row>
    <row r="791" spans="5:9" x14ac:dyDescent="0.2">
      <c r="E791" s="1164"/>
      <c r="F791" s="926" t="s">
        <v>2665</v>
      </c>
      <c r="G791" s="1155"/>
      <c r="I791" s="1271"/>
    </row>
    <row r="792" spans="5:9" x14ac:dyDescent="0.2">
      <c r="E792" s="1164"/>
      <c r="F792" s="1093" t="s">
        <v>4246</v>
      </c>
      <c r="G792" s="1086"/>
      <c r="I792" s="1271"/>
    </row>
    <row r="793" spans="5:9" x14ac:dyDescent="0.2">
      <c r="E793" s="1164"/>
      <c r="F793" s="926" t="s">
        <v>2666</v>
      </c>
      <c r="G793" s="1155"/>
      <c r="I793" s="1271"/>
    </row>
    <row r="794" spans="5:9" x14ac:dyDescent="0.2">
      <c r="E794" s="1164"/>
      <c r="F794" s="925" t="s">
        <v>2667</v>
      </c>
      <c r="G794" s="1086"/>
      <c r="I794" s="1271"/>
    </row>
    <row r="795" spans="5:9" x14ac:dyDescent="0.2">
      <c r="E795" s="1164"/>
      <c r="F795" s="926" t="s">
        <v>2755</v>
      </c>
      <c r="G795" s="1155"/>
      <c r="I795" s="1271"/>
    </row>
    <row r="796" spans="5:9" x14ac:dyDescent="0.2">
      <c r="E796" s="1164"/>
      <c r="F796" s="1093" t="s">
        <v>6614</v>
      </c>
      <c r="G796" s="1086"/>
      <c r="I796" s="1271"/>
    </row>
    <row r="797" spans="5:9" x14ac:dyDescent="0.2">
      <c r="E797" s="1164"/>
      <c r="F797" s="1094" t="s">
        <v>6615</v>
      </c>
      <c r="G797" s="1155"/>
      <c r="I797" s="1271"/>
    </row>
    <row r="798" spans="5:9" x14ac:dyDescent="0.2">
      <c r="E798" s="1164"/>
      <c r="F798" s="1093" t="s">
        <v>6616</v>
      </c>
      <c r="G798" s="1086"/>
      <c r="I798" s="1271"/>
    </row>
    <row r="799" spans="5:9" x14ac:dyDescent="0.2">
      <c r="E799" s="1164"/>
      <c r="F799" s="1094" t="s">
        <v>6617</v>
      </c>
      <c r="G799" s="1155"/>
      <c r="I799" s="1271"/>
    </row>
    <row r="800" spans="5:9" x14ac:dyDescent="0.2">
      <c r="E800" s="1164"/>
      <c r="F800" s="1093" t="s">
        <v>6618</v>
      </c>
      <c r="G800" s="1086"/>
      <c r="I800" s="1271"/>
    </row>
    <row r="801" spans="5:9" x14ac:dyDescent="0.2">
      <c r="E801" s="1164"/>
      <c r="F801" s="1094" t="s">
        <v>6619</v>
      </c>
      <c r="G801" s="1155"/>
      <c r="I801" s="1271"/>
    </row>
    <row r="802" spans="5:9" x14ac:dyDescent="0.2">
      <c r="E802" s="1164"/>
      <c r="F802" s="1093" t="s">
        <v>6620</v>
      </c>
      <c r="G802" s="1086"/>
      <c r="I802" s="1271"/>
    </row>
    <row r="803" spans="5:9" x14ac:dyDescent="0.2">
      <c r="E803" s="1164"/>
      <c r="F803" s="1094" t="s">
        <v>4247</v>
      </c>
      <c r="G803" s="1155"/>
      <c r="I803" s="1271"/>
    </row>
    <row r="804" spans="5:9" x14ac:dyDescent="0.2">
      <c r="E804" s="1164"/>
      <c r="F804" s="1093" t="s">
        <v>4248</v>
      </c>
      <c r="G804" s="1086"/>
      <c r="I804" s="1273"/>
    </row>
    <row r="805" spans="5:9" x14ac:dyDescent="0.2">
      <c r="E805" s="1164"/>
      <c r="F805" s="926" t="s">
        <v>4976</v>
      </c>
      <c r="G805" s="1155"/>
      <c r="I805" s="1271"/>
    </row>
    <row r="806" spans="5:9" x14ac:dyDescent="0.2">
      <c r="E806" s="1164"/>
      <c r="F806" s="925" t="s">
        <v>3596</v>
      </c>
      <c r="G806" s="1086"/>
      <c r="I806" s="1271"/>
    </row>
    <row r="807" spans="5:9" x14ac:dyDescent="0.2">
      <c r="E807" s="1164"/>
      <c r="F807" s="29"/>
      <c r="G807" s="1206"/>
      <c r="I807" s="1271"/>
    </row>
    <row r="808" spans="5:9" x14ac:dyDescent="0.2">
      <c r="E808" s="1164"/>
      <c r="F808" s="29"/>
      <c r="G808" s="1206"/>
      <c r="I808" s="1273"/>
    </row>
    <row r="809" spans="5:9" x14ac:dyDescent="0.2">
      <c r="E809" s="1164"/>
      <c r="F809" s="1094" t="s">
        <v>6711</v>
      </c>
      <c r="G809" s="1155"/>
      <c r="I809" s="1273" t="s">
        <v>6781</v>
      </c>
    </row>
    <row r="810" spans="5:9" x14ac:dyDescent="0.2">
      <c r="E810" s="1164"/>
      <c r="F810" s="925" t="s">
        <v>4852</v>
      </c>
      <c r="G810" s="1086"/>
      <c r="I810" s="1271"/>
    </row>
    <row r="811" spans="5:9" x14ac:dyDescent="0.2">
      <c r="E811" s="1164"/>
      <c r="F811" s="1094" t="s">
        <v>6740</v>
      </c>
      <c r="G811" s="1155"/>
      <c r="I811" s="1271"/>
    </row>
    <row r="812" spans="5:9" x14ac:dyDescent="0.2">
      <c r="E812" s="1164"/>
      <c r="F812" s="925" t="s">
        <v>7075</v>
      </c>
      <c r="G812" s="1086"/>
      <c r="I812" s="1271"/>
    </row>
    <row r="813" spans="5:9" x14ac:dyDescent="0.2">
      <c r="E813" s="1164"/>
      <c r="F813" s="1094" t="s">
        <v>6479</v>
      </c>
      <c r="G813" s="1155"/>
      <c r="I813" s="1273" t="s">
        <v>6780</v>
      </c>
    </row>
    <row r="814" spans="5:9" x14ac:dyDescent="0.2">
      <c r="E814" s="1164"/>
      <c r="F814" s="925" t="s">
        <v>2668</v>
      </c>
      <c r="G814" s="1086"/>
      <c r="I814" s="1271"/>
    </row>
    <row r="815" spans="5:9" x14ac:dyDescent="0.2">
      <c r="E815" s="1164"/>
      <c r="F815" s="926" t="s">
        <v>4194</v>
      </c>
      <c r="G815" s="1155"/>
      <c r="I815" s="1271"/>
    </row>
    <row r="816" spans="5:9" x14ac:dyDescent="0.2">
      <c r="E816" s="1164"/>
      <c r="F816" s="925" t="s">
        <v>3882</v>
      </c>
      <c r="G816" s="1086"/>
      <c r="I816" s="1271"/>
    </row>
    <row r="817" spans="5:9" x14ac:dyDescent="0.2">
      <c r="E817" s="1164"/>
      <c r="F817" s="926" t="s">
        <v>7073</v>
      </c>
      <c r="G817" s="1155"/>
      <c r="I817" s="1271"/>
    </row>
    <row r="818" spans="5:9" x14ac:dyDescent="0.2">
      <c r="E818" s="1177"/>
      <c r="F818" s="1247" t="s">
        <v>8476</v>
      </c>
      <c r="G818" s="1157"/>
      <c r="I818" s="1275"/>
    </row>
    <row r="819" spans="5:9" x14ac:dyDescent="0.2">
      <c r="E819"/>
    </row>
    <row r="820" spans="5:9" x14ac:dyDescent="0.2">
      <c r="E820"/>
    </row>
    <row r="821" spans="5:9" x14ac:dyDescent="0.2">
      <c r="E821"/>
    </row>
    <row r="822" spans="5:9" x14ac:dyDescent="0.2">
      <c r="E822"/>
    </row>
    <row r="823" spans="5:9" x14ac:dyDescent="0.2">
      <c r="E823"/>
    </row>
  </sheetData>
  <mergeCells count="29">
    <mergeCell ref="F26:F33"/>
    <mergeCell ref="F34:F38"/>
    <mergeCell ref="F40:F42"/>
    <mergeCell ref="E107:E130"/>
    <mergeCell ref="F250:F251"/>
    <mergeCell ref="E70:E87"/>
    <mergeCell ref="E88:E98"/>
    <mergeCell ref="E99:E106"/>
    <mergeCell ref="E228:E249"/>
    <mergeCell ref="E131:E181"/>
    <mergeCell ref="E182:E227"/>
    <mergeCell ref="A4:A6"/>
    <mergeCell ref="A7:A10"/>
    <mergeCell ref="E26:E42"/>
    <mergeCell ref="E43:E69"/>
    <mergeCell ref="A11:A13"/>
    <mergeCell ref="F308:F310"/>
    <mergeCell ref="F311:F314"/>
    <mergeCell ref="F316:F318"/>
    <mergeCell ref="F319:F320"/>
    <mergeCell ref="F282:F283"/>
    <mergeCell ref="F285:F291"/>
    <mergeCell ref="F299:F301"/>
    <mergeCell ref="F253:F260"/>
    <mergeCell ref="F303:F305"/>
    <mergeCell ref="F271:F277"/>
    <mergeCell ref="F280:F281"/>
    <mergeCell ref="F266:F268"/>
    <mergeCell ref="F263:F265"/>
  </mergeCells>
  <conditionalFormatting sqref="F612:G612 F614:G614 F616:G616 F618:G618 F620:G620 F624:G624 F626:G626 F628:G628 F630:G630 F632:G632 F634:G634 F636:G636 F638:G638 F640:G640 F622:G622 F354:G354 F356:G356 F358:G358 F360:G360 F362:G362 F364:G364 F366:G366 F368:G368 F370:G370 F372:G372 F374:G374 F376:G376 F378:G378 F380:G380 F382:G382 F384:G384 F386:G386 F388:G388 F390:G390 F392:G392 F394:G394 F396:G396 F398:G398 F400:G400 F402:G402 F404:G404 F406:G406 F408:G408 F410:G410 F412:G412 F414:G414 F416:G416 F418:G418 F420:G420 F422:G422 F424:G424 F426:G426 F428:G428 F430:G430 F432:G432 F434:G434 F436:G436 F438:G438 F440:G440 F442:G442 F444:G444 F446:G446 F448:G448 F450:G450 F452:G452 F454:G454 F456:G456 F458:G458 F460:G460 F462:G462 F464:G464 F466:G466 F468:G468 F470:G470 F472:G472 F474:G474 F476:G476 F478:G478 F480:G480 F482:G482 F484:G484 F486:G486 F488:G488 F490:G490 F492:G492 F494:G494 F496:G496 F498:G498 F500:G500 F502:G502 F504:G504 F506:G506 F508:G508 F510:G510 F512:G512 F514:G514 F516:G516 F518:G518 F520:G520 F522:G522 F524:G524 F526:G526 F528:G528 F530:G530 F532:G532 F534:G534 F536:G536 F538:G538 F540:G540 F542:G542 F544:G544 F546:G546 F548:G548 F550:G550 F552:G552 F554:G554 F556:G556 F558:G558 F560:G560 F562:G562 F564:G564 F566:G566 F568:G568 F570:G570 F572:G572 F574:G574 F576:G576 F578:G578 F580:G580 F582:G582 F584:G584 F586:G586 F588:G588 F590:G590 F592:G592 F594:G594 F596:G596 F598:G598 F600:G600 F602:G602 F604:G604 F606:G606 F608:G608 F610:G610">
    <cfRule type="expression" dxfId="5" priority="33" stopIfTrue="1">
      <formula>EXACT($A$14,"Goetter")</formula>
    </cfRule>
  </conditionalFormatting>
  <conditionalFormatting sqref="F631:G631 F633:G633 F625:G625 F627:G627 F629:G629 F353:G353 F355:G355 F357:G357 F359:G359 F361:G361 F363:G363 F365:G365 F367:G367 F369:G369 F371:G371 F373:G373 F375:G375 F377:G377 F379:G379 F381:G381 F383:G383 F385:G385 F387:G387 F389:G389 F391:G391 F393:G393 F395:G395 F397:G397 F399:G399 F401:G401 F403:G403 F405:G405 F407:G407 F409:G409 F411:G411 F413:G413 F415:G415 F417:G417 F419:G419 F421:G421 F423:G423 F425:G425 F427:G427 F429:G429 F431:G431 F433:G433 F435:G435 F437:G437 F439:G439 F441:G441 F443:G443 F445:G445 F447:G447 F449:G449 F451:G451 F453:G453 F455:G455 F457:G457 F459:G459 F461:G461 F463:G463 F465:G465 F467:G467 F469:G469 F471:G471 F473:G473 F475:G475 F477:G477 F479:G479 F481:G481 F483:G483 F485:G485 F487:G487 F489:G489 F491:G491 F493:G493 F495:G495 F497:G497 F499:G499 F501:G501 F503:G503 F505:G505 F507:G507 F509:G509 F511:G511 F513:G513 F515:G515 F517:G517 F519:G519 F521:G521 F523:G523 F525:G525 F527:G527 F529:G529 F531:G531 F533:G533 F535:G535 F537:G537 F539:G539 F541:G541 F543:G543 F545:G545 F547:G547 F549:G549 F551:G551 F553:G553 F555:G555 F557:G557 F559:G559 F561:G561 F563:G563 F565:G565 F567:G567 F569:G569 F571:G571 F573:G573 F575:G575 F577:G577 F579:G579 F581:G581 F583:G583 F585:G585 F587:G587 F589:G589 F591:G591 F593:G593 F595:G595 F597:G597 F599:G599 F601:G601 F603:G603 F605:G605 F607:G607 F609:G609 F611:G611 F613:G613 F615:G615 F617:G617 F619:G619 F621:G621 F623:G623 F635:G635 F637:G637 F639:G639">
    <cfRule type="expression" dxfId="4" priority="24" stopIfTrue="1">
      <formula>EXACT($A$14,"Goetter")</formula>
    </cfRule>
  </conditionalFormatting>
  <conditionalFormatting sqref="F642:G642 F644:G644 F646:G646 F648:G648 F650:G650 F652:G652 F654:G654 F656:G656 F658:G658 F660:G660">
    <cfRule type="expression" dxfId="3" priority="5" stopIfTrue="1">
      <formula>EXACT($A$14,"Goetter")</formula>
    </cfRule>
  </conditionalFormatting>
  <conditionalFormatting sqref="F641:G641 F643:G643 F645:G645 F647:G647 F649:G649 F651:G651 F653:G653 F655:G655 F657:G657 F659:G659 F661:G661">
    <cfRule type="expression" dxfId="2" priority="4" stopIfTrue="1">
      <formula>EXACT($A$14,"Goetter")</formula>
    </cfRule>
  </conditionalFormatting>
  <conditionalFormatting sqref="F324:G324 F326:G326 F328:G328 F330:G330 F332:G332 F334:G334 F336:G336 F338:G338 F340:G340 F342:G342 F344:G344 F346:G346 F348:G348 F350:G350 F352:G352">
    <cfRule type="expression" dxfId="1" priority="2" stopIfTrue="1">
      <formula>EXACT($A$14,"Goetter")</formula>
    </cfRule>
  </conditionalFormatting>
  <conditionalFormatting sqref="F351:G351 F325:G325 F327:G327 F329:G329 F331:G331 F333:G333 F335:G335 F337:G337 F339:G339 F341:G341 F343:G343 F345:G345 F347:G347 F349:G349">
    <cfRule type="expression" dxfId="0" priority="1" stopIfTrue="1">
      <formula>EXACT($A$14,"Goetter")</formula>
    </cfRule>
  </conditionalFormatting>
  <dataValidations count="16">
    <dataValidation type="list" allowBlank="1" showInputMessage="1" showErrorMessage="1" sqref="B26:B33">
      <formula1>IF(NOT(ISNA(VLOOKUP($A26,VORTEILEVARGP,1,FALSE))),INDIRECT(VLOOKUP($A26,VORTEILEVARGP,2,FALSE)),ZAHLEN)</formula1>
    </dataValidation>
    <dataValidation type="list" allowBlank="1" showInputMessage="1" showErrorMessage="1" sqref="B34:B38">
      <formula1>IF(NOT(ISNA(VLOOKUP($A34,NACHTEILEVARGP,1,FALSE))),INDIRECT(VLOOKUP($A34,NACHTEILEVARGP,2,FALSE)),ZAHLEN)</formula1>
    </dataValidation>
    <dataValidation type="list" allowBlank="1" showInputMessage="1" showErrorMessage="1" sqref="A26:A33">
      <formula1>VORTEILE</formula1>
    </dataValidation>
    <dataValidation type="list" allowBlank="1" showInputMessage="1" showErrorMessage="1" sqref="A14">
      <formula1>"Kampf,Gesellschaft,Wildnis,Handwerk,Magie,Goetter"</formula1>
    </dataValidation>
    <dataValidation type="list" allowBlank="1" showInputMessage="1" showErrorMessage="1" sqref="A34:A38">
      <formula1>NACHTEILE</formula1>
    </dataValidation>
    <dataValidation type="whole" allowBlank="1" showInputMessage="1" showErrorMessage="1" sqref="G2:G25">
      <formula1>0</formula1>
      <formula2>50</formula2>
    </dataValidation>
    <dataValidation type="list" allowBlank="1" showInputMessage="1" showErrorMessage="1" sqref="G316:G318 G278:G279">
      <formula1>MERKMALE</formula1>
    </dataValidation>
    <dataValidation type="list" allowBlank="1" showInputMessage="1" showErrorMessage="1" sqref="G266:G270 G303:G307">
      <formula1>SF_ANDERE</formula1>
    </dataValidation>
    <dataValidation type="list" allowBlank="1" showInputMessage="1" showErrorMessage="1" sqref="G299:G302 G263:G265">
      <formula1>KPFFERNSON</formula1>
    </dataValidation>
    <dataValidation type="list" allowBlank="1" showInputMessage="1" showErrorMessage="1" sqref="G285:G298 G253:G262">
      <formula1>KPFNAHSON</formula1>
    </dataValidation>
    <dataValidation type="list" allowBlank="1" showInputMessage="1" showErrorMessage="1" sqref="G250:G252 G282:G284">
      <formula1>SF_WLOS</formula1>
    </dataValidation>
    <dataValidation type="list" allowBlank="1" showInputMessage="1" showErrorMessage="1" sqref="G280:G281 G319:G320 G672">
      <formula1>REPRAES</formula1>
    </dataValidation>
    <dataValidation type="list" allowBlank="1" showInputMessage="1" showErrorMessage="1" sqref="G308:G315 G271:G277">
      <formula1>SF_MAGIE</formula1>
    </dataValidation>
    <dataValidation type="list" allowBlank="1" showInputMessage="1" showErrorMessage="1" sqref="G662:G671 G674:G680">
      <formula1>RITUALE</formula1>
    </dataValidation>
    <dataValidation type="list" allowBlank="1" showInputMessage="1" showErrorMessage="1" sqref="G39:G42">
      <formula1>BASISINKLGRP</formula1>
    </dataValidation>
    <dataValidation type="list" allowBlank="1" showInputMessage="1" showErrorMessage="1" sqref="G323">
      <formula1>"x"</formula1>
    </dataValidation>
  </dataValidations>
  <pageMargins left="0.7" right="0.7" top="0.78740157499999996" bottom="0.78740157499999996"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tabColor indexed="9"/>
  </sheetPr>
  <dimension ref="A1:HM381"/>
  <sheetViews>
    <sheetView topLeftCell="GI321" zoomScale="70" zoomScaleNormal="70" zoomScaleSheetLayoutView="40" workbookViewId="0">
      <selection activeCell="GM23" sqref="GM23"/>
    </sheetView>
  </sheetViews>
  <sheetFormatPr baseColWidth="10" defaultColWidth="9.140625" defaultRowHeight="12.75" x14ac:dyDescent="0.2"/>
  <cols>
    <col min="1" max="1" width="22.7109375" customWidth="1"/>
    <col min="2" max="4" width="6.5703125" customWidth="1"/>
    <col min="5" max="5" width="5" customWidth="1"/>
    <col min="6" max="6" width="8.140625" customWidth="1"/>
    <col min="7" max="7" width="5.7109375" customWidth="1"/>
    <col min="8" max="13" width="14.28515625" customWidth="1"/>
    <col min="14" max="14" width="31.140625" customWidth="1"/>
    <col min="15" max="15" width="3.5703125" customWidth="1"/>
    <col min="16" max="16" width="5.85546875" bestFit="1" customWidth="1"/>
    <col min="17" max="17" width="7.140625" customWidth="1"/>
    <col min="18" max="18" width="31.85546875" bestFit="1" customWidth="1"/>
    <col min="19" max="19" width="14.7109375" customWidth="1"/>
    <col min="20" max="20" width="20.42578125" customWidth="1"/>
    <col min="21" max="21" width="7.85546875" customWidth="1"/>
    <col min="22" max="23" width="8.85546875" customWidth="1"/>
    <col min="24" max="24" width="13" bestFit="1" customWidth="1"/>
    <col min="25" max="25" width="7.140625" customWidth="1"/>
    <col min="26" max="26" width="35.42578125" bestFit="1" customWidth="1"/>
    <col min="27" max="28" width="5" customWidth="1"/>
    <col min="29" max="29" width="7.85546875" customWidth="1"/>
    <col min="30" max="32" width="8.85546875" customWidth="1"/>
    <col min="33" max="33" width="38.140625" customWidth="1"/>
    <col min="34" max="42" width="5" customWidth="1"/>
    <col min="43" max="43" width="5.5703125" customWidth="1"/>
    <col min="44" max="44" width="5" customWidth="1"/>
    <col min="45" max="45" width="20.85546875" bestFit="1" customWidth="1"/>
    <col min="46" max="46" width="7.42578125" customWidth="1"/>
    <col min="47" max="47" width="6.42578125" bestFit="1" customWidth="1"/>
    <col min="48" max="48" width="8.7109375" customWidth="1"/>
    <col min="49" max="49" width="6.28515625" customWidth="1"/>
    <col min="50" max="50" width="26.7109375" customWidth="1"/>
    <col min="51" max="52" width="6.42578125" bestFit="1" customWidth="1"/>
    <col min="53" max="58" width="6.42578125" customWidth="1"/>
    <col min="59" max="59" width="6.42578125" bestFit="1" customWidth="1"/>
    <col min="60" max="60" width="15" customWidth="1"/>
    <col min="61" max="61" width="29.7109375" bestFit="1" customWidth="1"/>
    <col min="62" max="62" width="4.28515625" customWidth="1"/>
    <col min="63" max="63" width="22" customWidth="1"/>
    <col min="64" max="64" width="4.28515625" customWidth="1"/>
    <col min="65" max="68" width="4.5703125" customWidth="1"/>
    <col min="69" max="69" width="8.5703125" customWidth="1"/>
    <col min="70" max="70" width="5.7109375" customWidth="1"/>
    <col min="71" max="71" width="5.5703125" bestFit="1" customWidth="1"/>
    <col min="72" max="72" width="7.140625" customWidth="1"/>
    <col min="73" max="73" width="4" customWidth="1"/>
    <col min="74" max="78" width="7.140625" customWidth="1"/>
    <col min="79" max="79" width="13" customWidth="1"/>
    <col min="80" max="80" width="5.7109375" customWidth="1"/>
    <col min="81" max="81" width="3.42578125" customWidth="1"/>
    <col min="82" max="82" width="36.140625" customWidth="1"/>
    <col min="83" max="83" width="11.28515625" customWidth="1"/>
    <col min="84" max="85" width="7.140625" customWidth="1"/>
    <col min="86" max="88" width="5" customWidth="1"/>
    <col min="89" max="90" width="22.5703125" bestFit="1" customWidth="1"/>
    <col min="91" max="91" width="18.28515625" bestFit="1" customWidth="1"/>
    <col min="92" max="92" width="22.5703125" bestFit="1" customWidth="1"/>
    <col min="93" max="93" width="4.28515625" customWidth="1"/>
    <col min="94" max="94" width="21.140625" customWidth="1"/>
    <col min="95" max="95" width="8.5703125" customWidth="1"/>
    <col min="96" max="96" width="15.7109375" customWidth="1"/>
    <col min="97" max="97" width="14.28515625" customWidth="1"/>
    <col min="98" max="98" width="17.7109375" customWidth="1"/>
    <col min="99" max="99" width="10.7109375" customWidth="1"/>
    <col min="100" max="100" width="11.85546875" customWidth="1"/>
    <col min="101" max="101" width="12.85546875" customWidth="1"/>
    <col min="102" max="102" width="55" customWidth="1"/>
    <col min="103" max="106" width="5.7109375" customWidth="1"/>
    <col min="107" max="107" width="12.85546875" bestFit="1" customWidth="1"/>
    <col min="108" max="108" width="12.140625" bestFit="1" customWidth="1"/>
    <col min="109" max="109" width="11.140625" bestFit="1" customWidth="1"/>
    <col min="110" max="110" width="15.140625" bestFit="1" customWidth="1"/>
    <col min="111" max="111" width="7.42578125" bestFit="1" customWidth="1"/>
    <col min="112" max="113" width="21.42578125" customWidth="1"/>
    <col min="114" max="114" width="6.42578125" bestFit="1" customWidth="1"/>
    <col min="115" max="115" width="7.85546875" customWidth="1"/>
    <col min="116" max="117" width="8" customWidth="1"/>
    <col min="118" max="118" width="45.140625" customWidth="1"/>
    <col min="119" max="119" width="21.42578125" customWidth="1"/>
    <col min="120" max="120" width="48.5703125" customWidth="1"/>
    <col min="121" max="124" width="21.42578125" customWidth="1"/>
    <col min="125" max="125" width="21.28515625" customWidth="1"/>
    <col min="126" max="126" width="4.7109375" customWidth="1"/>
    <col min="127" max="127" width="28.5703125" customWidth="1"/>
    <col min="128" max="130" width="5.7109375" customWidth="1"/>
    <col min="131" max="131" width="10" customWidth="1"/>
    <col min="132" max="132" width="12.42578125" customWidth="1"/>
    <col min="133" max="133" width="14.28515625" customWidth="1"/>
    <col min="134" max="134" width="7.140625" customWidth="1"/>
    <col min="135" max="137" width="5.7109375" customWidth="1"/>
    <col min="138" max="138" width="6.42578125" bestFit="1" customWidth="1"/>
    <col min="139" max="139" width="7.140625" customWidth="1"/>
    <col min="140" max="140" width="11.42578125" customWidth="1"/>
    <col min="141" max="141" width="29" bestFit="1" customWidth="1"/>
    <col min="142" max="152" width="8.5703125" customWidth="1"/>
    <col min="153" max="153" width="4.28515625" customWidth="1"/>
    <col min="154" max="154" width="24.28515625" customWidth="1"/>
    <col min="155" max="155" width="6" customWidth="1"/>
    <col min="156" max="158" width="5.7109375" customWidth="1"/>
    <col min="159" max="159" width="4.28515625" customWidth="1"/>
    <col min="160" max="160" width="25.28515625" bestFit="1" customWidth="1"/>
    <col min="161" max="161" width="8.28515625" customWidth="1"/>
    <col min="162" max="167" width="5" customWidth="1"/>
    <col min="168" max="168" width="7.5703125" customWidth="1"/>
    <col min="169" max="170" width="9.28515625" customWidth="1"/>
    <col min="171" max="171" width="19.7109375" customWidth="1"/>
    <col min="172" max="172" width="15.28515625" customWidth="1"/>
    <col min="173" max="173" width="5.5703125" customWidth="1"/>
    <col min="174" max="174" width="5.28515625" customWidth="1"/>
    <col min="175" max="175" width="5.7109375" customWidth="1"/>
    <col min="176" max="176" width="5.140625" customWidth="1"/>
    <col min="177" max="177" width="5.85546875" customWidth="1"/>
    <col min="178" max="179" width="5" customWidth="1"/>
    <col min="180" max="183" width="5.28515625" customWidth="1"/>
    <col min="184" max="184" width="5" customWidth="1"/>
    <col min="185" max="186" width="6.42578125" customWidth="1"/>
    <col min="187" max="187" width="5.5703125" customWidth="1"/>
    <col min="188" max="188" width="2.7109375" customWidth="1"/>
    <col min="189" max="189" width="11.42578125" customWidth="1"/>
    <col min="190" max="190" width="35.7109375" customWidth="1"/>
    <col min="191" max="191" width="5.85546875" customWidth="1"/>
    <col min="192" max="192" width="6.140625" customWidth="1"/>
    <col min="193" max="193" width="8.42578125" customWidth="1"/>
    <col min="194" max="194" width="13.140625" customWidth="1"/>
    <col min="195" max="195" width="17" customWidth="1"/>
    <col min="196" max="196" width="11.7109375" customWidth="1"/>
    <col min="197" max="197" width="11.42578125" customWidth="1"/>
    <col min="198" max="198" width="6.85546875" customWidth="1"/>
    <col min="199" max="199" width="8" customWidth="1"/>
    <col min="200" max="200" width="7.28515625" customWidth="1"/>
    <col min="201" max="201" width="15.7109375" customWidth="1"/>
    <col min="202" max="202" width="17.85546875" customWidth="1"/>
    <col min="203" max="203" width="14" customWidth="1"/>
    <col min="204" max="204" width="9.5703125" customWidth="1"/>
    <col min="205" max="205" width="9.28515625" customWidth="1"/>
    <col min="206" max="206" width="21" customWidth="1"/>
    <col min="207" max="207" width="2.42578125" customWidth="1"/>
    <col min="208" max="208" width="8.85546875" customWidth="1"/>
    <col min="209" max="209" width="22.85546875" customWidth="1"/>
    <col min="210" max="210" width="5.140625" customWidth="1"/>
    <col min="211" max="211" width="4.7109375" customWidth="1"/>
    <col min="212" max="212" width="6.28515625" customWidth="1"/>
    <col min="213" max="213" width="15" customWidth="1"/>
    <col min="214" max="214" width="10.42578125" customWidth="1"/>
    <col min="215" max="215" width="6.5703125" customWidth="1"/>
    <col min="216" max="216" width="4.5703125" customWidth="1"/>
    <col min="217" max="217" width="3.85546875" customWidth="1"/>
    <col min="218" max="218" width="7.85546875" customWidth="1"/>
    <col min="219" max="219" width="40.5703125" customWidth="1"/>
    <col min="221" max="221" width="12" customWidth="1"/>
    <col min="222" max="222" width="11.42578125" customWidth="1"/>
  </cols>
  <sheetData>
    <row r="1" spans="1:221" ht="13.5" customHeight="1" x14ac:dyDescent="0.2">
      <c r="A1" t="s">
        <v>1608</v>
      </c>
      <c r="B1" t="s">
        <v>4860</v>
      </c>
      <c r="E1" t="s">
        <v>5029</v>
      </c>
      <c r="F1" t="s">
        <v>3904</v>
      </c>
      <c r="G1" t="s">
        <v>3905</v>
      </c>
      <c r="H1" t="s">
        <v>1824</v>
      </c>
      <c r="N1" t="s">
        <v>3917</v>
      </c>
      <c r="O1" t="s">
        <v>4000</v>
      </c>
      <c r="R1" t="s">
        <v>3918</v>
      </c>
      <c r="S1" t="s">
        <v>1783</v>
      </c>
      <c r="V1" t="s">
        <v>3994</v>
      </c>
      <c r="W1" t="s">
        <v>5029</v>
      </c>
      <c r="Z1" t="s">
        <v>3996</v>
      </c>
      <c r="AA1" t="s">
        <v>1783</v>
      </c>
      <c r="AD1" t="s">
        <v>2204</v>
      </c>
      <c r="AE1" t="s">
        <v>5029</v>
      </c>
      <c r="AF1" t="s">
        <v>1407</v>
      </c>
      <c r="AH1" t="s">
        <v>3998</v>
      </c>
      <c r="AS1" t="s">
        <v>4373</v>
      </c>
      <c r="AT1" t="s">
        <v>158</v>
      </c>
      <c r="AU1" t="s">
        <v>159</v>
      </c>
      <c r="AV1" t="s">
        <v>4006</v>
      </c>
      <c r="AX1" t="s">
        <v>481</v>
      </c>
      <c r="AY1" t="s">
        <v>158</v>
      </c>
      <c r="AZ1" t="s">
        <v>159</v>
      </c>
      <c r="BA1" t="s">
        <v>3170</v>
      </c>
      <c r="BB1" t="s">
        <v>3170</v>
      </c>
      <c r="BC1" t="s">
        <v>3170</v>
      </c>
      <c r="BD1" t="s">
        <v>3170</v>
      </c>
      <c r="BE1" t="s">
        <v>3170</v>
      </c>
      <c r="BF1" t="s">
        <v>3170</v>
      </c>
      <c r="BG1" t="s">
        <v>3760</v>
      </c>
      <c r="BI1" t="s">
        <v>2071</v>
      </c>
      <c r="BK1" t="s">
        <v>1453</v>
      </c>
      <c r="CD1" t="s">
        <v>3461</v>
      </c>
      <c r="CP1" t="s">
        <v>281</v>
      </c>
      <c r="CX1" t="s">
        <v>1588</v>
      </c>
      <c r="DW1" t="s">
        <v>4299</v>
      </c>
      <c r="EK1" t="s">
        <v>504</v>
      </c>
      <c r="EX1" t="s">
        <v>1330</v>
      </c>
      <c r="FD1" t="s">
        <v>2502</v>
      </c>
      <c r="FP1" t="s">
        <v>2489</v>
      </c>
      <c r="FS1" t="s">
        <v>1651</v>
      </c>
      <c r="FT1" t="s">
        <v>245</v>
      </c>
      <c r="FU1" t="s">
        <v>246</v>
      </c>
      <c r="FV1" t="s">
        <v>4590</v>
      </c>
      <c r="FW1" t="s">
        <v>824</v>
      </c>
      <c r="FX1" t="s">
        <v>4075</v>
      </c>
      <c r="FY1" t="s">
        <v>4076</v>
      </c>
      <c r="FZ1" t="s">
        <v>1726</v>
      </c>
      <c r="GA1" t="s">
        <v>4591</v>
      </c>
      <c r="GB1" t="s">
        <v>243</v>
      </c>
      <c r="GC1" t="s">
        <v>244</v>
      </c>
      <c r="GD1" t="s">
        <v>823</v>
      </c>
      <c r="GE1" t="s">
        <v>4592</v>
      </c>
      <c r="GH1" t="s">
        <v>4976</v>
      </c>
      <c r="HA1" t="s">
        <v>117</v>
      </c>
    </row>
    <row r="2" spans="1:221" ht="14.25" x14ac:dyDescent="0.25">
      <c r="A2" t="s">
        <v>1676</v>
      </c>
      <c r="N2" t="s">
        <v>1676</v>
      </c>
      <c r="S2" t="s">
        <v>3919</v>
      </c>
      <c r="T2" t="s">
        <v>408</v>
      </c>
      <c r="U2" t="s">
        <v>3920</v>
      </c>
      <c r="AA2" t="s">
        <v>3919</v>
      </c>
      <c r="AB2" t="s">
        <v>408</v>
      </c>
      <c r="AC2" t="s">
        <v>3920</v>
      </c>
      <c r="AH2" t="s">
        <v>4000</v>
      </c>
      <c r="AI2" t="s">
        <v>4894</v>
      </c>
      <c r="AJ2" t="s">
        <v>1433</v>
      </c>
      <c r="AK2" t="s">
        <v>1321</v>
      </c>
      <c r="AL2" t="s">
        <v>1956</v>
      </c>
      <c r="AM2" t="s">
        <v>1955</v>
      </c>
      <c r="AN2" t="s">
        <v>1828</v>
      </c>
      <c r="AO2" t="s">
        <v>3916</v>
      </c>
      <c r="AP2" t="s">
        <v>4116</v>
      </c>
      <c r="AQ2" t="s">
        <v>4001</v>
      </c>
      <c r="AS2" t="s">
        <v>1608</v>
      </c>
      <c r="AT2">
        <v>30</v>
      </c>
      <c r="AU2">
        <v>15</v>
      </c>
      <c r="AX2" t="s">
        <v>4536</v>
      </c>
      <c r="AY2">
        <v>4</v>
      </c>
      <c r="AZ2">
        <v>1</v>
      </c>
      <c r="BA2" t="s">
        <v>2003</v>
      </c>
      <c r="BB2" t="s">
        <v>4476</v>
      </c>
      <c r="BC2" t="s">
        <v>4477</v>
      </c>
      <c r="BD2" t="s">
        <v>5015</v>
      </c>
      <c r="BG2">
        <v>5</v>
      </c>
      <c r="BI2" t="s">
        <v>1784</v>
      </c>
      <c r="BK2" t="s">
        <v>1419</v>
      </c>
      <c r="BL2" t="s">
        <v>74</v>
      </c>
      <c r="BM2" t="s">
        <v>5030</v>
      </c>
      <c r="BN2" t="s">
        <v>716</v>
      </c>
      <c r="BO2" t="s">
        <v>717</v>
      </c>
      <c r="BP2" t="s">
        <v>6796</v>
      </c>
      <c r="BQ2" t="s">
        <v>406</v>
      </c>
      <c r="BR2" t="s">
        <v>2138</v>
      </c>
      <c r="BS2" t="s">
        <v>3605</v>
      </c>
      <c r="BT2" t="s">
        <v>3603</v>
      </c>
      <c r="BU2" t="s">
        <v>3604</v>
      </c>
      <c r="BV2" t="s">
        <v>5123</v>
      </c>
      <c r="BW2" t="s">
        <v>3606</v>
      </c>
      <c r="BX2" t="s">
        <v>752</v>
      </c>
      <c r="BY2" t="s">
        <v>3607</v>
      </c>
      <c r="BZ2" t="s">
        <v>2903</v>
      </c>
      <c r="CA2" t="s">
        <v>5124</v>
      </c>
      <c r="CB2" t="s">
        <v>1454</v>
      </c>
      <c r="CD2" t="s">
        <v>4804</v>
      </c>
      <c r="CE2" t="s">
        <v>2497</v>
      </c>
      <c r="CF2" t="s">
        <v>2498</v>
      </c>
      <c r="CG2" t="s">
        <v>2500</v>
      </c>
      <c r="CH2" t="s">
        <v>2499</v>
      </c>
      <c r="CI2" t="s">
        <v>4984</v>
      </c>
      <c r="CJ2" t="s">
        <v>2496</v>
      </c>
      <c r="CK2" t="s">
        <v>4805</v>
      </c>
      <c r="CN2" t="s">
        <v>3584</v>
      </c>
      <c r="CP2" t="s">
        <v>278</v>
      </c>
      <c r="CQ2" t="s">
        <v>2497</v>
      </c>
      <c r="CR2" t="s">
        <v>279</v>
      </c>
      <c r="CS2" t="s">
        <v>280</v>
      </c>
      <c r="CT2" t="s">
        <v>2495</v>
      </c>
      <c r="CU2" t="s">
        <v>7542</v>
      </c>
      <c r="CV2" t="s">
        <v>7551</v>
      </c>
      <c r="CX2" t="s">
        <v>403</v>
      </c>
      <c r="CY2" t="s">
        <v>4266</v>
      </c>
      <c r="DB2" t="s">
        <v>658</v>
      </c>
      <c r="DC2" t="s">
        <v>1589</v>
      </c>
      <c r="DD2" t="s">
        <v>4268</v>
      </c>
      <c r="DE2" t="s">
        <v>279</v>
      </c>
      <c r="DF2" t="s">
        <v>1590</v>
      </c>
      <c r="DG2" t="s">
        <v>1950</v>
      </c>
      <c r="DH2" t="s">
        <v>2755</v>
      </c>
      <c r="DI2" t="s">
        <v>782</v>
      </c>
      <c r="DJ2" t="s">
        <v>158</v>
      </c>
      <c r="DK2" t="s">
        <v>3805</v>
      </c>
      <c r="DL2" t="s">
        <v>3806</v>
      </c>
      <c r="DM2" t="s">
        <v>121</v>
      </c>
      <c r="DN2" t="s">
        <v>7185</v>
      </c>
      <c r="DO2" t="s">
        <v>7186</v>
      </c>
      <c r="DP2" t="s">
        <v>7187</v>
      </c>
      <c r="DQ2" t="s">
        <v>3550</v>
      </c>
      <c r="DR2" t="s">
        <v>7183</v>
      </c>
      <c r="DS2" t="s">
        <v>7194</v>
      </c>
      <c r="DT2" t="s">
        <v>7195</v>
      </c>
      <c r="DU2" t="s">
        <v>7184</v>
      </c>
      <c r="DW2" t="s">
        <v>403</v>
      </c>
      <c r="DX2" t="s">
        <v>4266</v>
      </c>
      <c r="EA2" t="s">
        <v>658</v>
      </c>
      <c r="EB2" t="s">
        <v>1942</v>
      </c>
      <c r="EC2" t="s">
        <v>4268</v>
      </c>
      <c r="ED2" t="s">
        <v>6691</v>
      </c>
      <c r="EE2" t="s">
        <v>4420</v>
      </c>
      <c r="EH2" t="s">
        <v>158</v>
      </c>
      <c r="EI2" t="s">
        <v>6690</v>
      </c>
      <c r="EK2" t="s">
        <v>278</v>
      </c>
      <c r="EL2" t="s">
        <v>1990</v>
      </c>
      <c r="EM2" t="s">
        <v>1991</v>
      </c>
      <c r="EN2" t="s">
        <v>1992</v>
      </c>
      <c r="EO2" t="s">
        <v>1993</v>
      </c>
      <c r="EP2" t="s">
        <v>1994</v>
      </c>
      <c r="EQ2" t="s">
        <v>1995</v>
      </c>
      <c r="ER2" t="s">
        <v>1996</v>
      </c>
      <c r="ES2" t="s">
        <v>4202</v>
      </c>
      <c r="ET2" t="s">
        <v>4201</v>
      </c>
      <c r="EU2" t="s">
        <v>406</v>
      </c>
      <c r="EV2" t="s">
        <v>715</v>
      </c>
      <c r="EX2" t="s">
        <v>278</v>
      </c>
      <c r="EY2" t="s">
        <v>404</v>
      </c>
      <c r="EZ2" t="s">
        <v>2500</v>
      </c>
      <c r="FA2" t="s">
        <v>2499</v>
      </c>
      <c r="FB2" t="s">
        <v>4984</v>
      </c>
      <c r="FD2" t="s">
        <v>2198</v>
      </c>
      <c r="FE2" t="s">
        <v>4006</v>
      </c>
      <c r="FF2" t="s">
        <v>1783</v>
      </c>
      <c r="FG2" t="s">
        <v>2191</v>
      </c>
      <c r="FI2" t="s">
        <v>1528</v>
      </c>
      <c r="FK2" t="s">
        <v>4006</v>
      </c>
      <c r="FL2" t="s">
        <v>4912</v>
      </c>
      <c r="FM2" t="s">
        <v>4644</v>
      </c>
      <c r="FN2" t="s">
        <v>7268</v>
      </c>
      <c r="GH2" t="s">
        <v>118</v>
      </c>
      <c r="GI2" t="s">
        <v>119</v>
      </c>
      <c r="GJ2" t="s">
        <v>119</v>
      </c>
      <c r="GK2" t="s">
        <v>120</v>
      </c>
      <c r="GL2" t="s">
        <v>4544</v>
      </c>
      <c r="GM2" t="s">
        <v>1590</v>
      </c>
      <c r="GN2" t="s">
        <v>279</v>
      </c>
      <c r="GO2" t="s">
        <v>8809</v>
      </c>
      <c r="GP2" t="s">
        <v>9315</v>
      </c>
      <c r="GR2" t="s">
        <v>4779</v>
      </c>
      <c r="GS2" t="s">
        <v>9141</v>
      </c>
      <c r="GT2" t="s">
        <v>9142</v>
      </c>
      <c r="GU2" t="s">
        <v>7</v>
      </c>
      <c r="GV2" t="s">
        <v>4644</v>
      </c>
      <c r="GW2" t="s">
        <v>4260</v>
      </c>
      <c r="GX2" t="s">
        <v>4780</v>
      </c>
      <c r="HA2" t="s">
        <v>403</v>
      </c>
      <c r="HB2" t="s">
        <v>119</v>
      </c>
      <c r="HC2" t="s">
        <v>119</v>
      </c>
      <c r="HD2" t="s">
        <v>120</v>
      </c>
      <c r="HE2" t="s">
        <v>4266</v>
      </c>
      <c r="HF2" t="s">
        <v>4546</v>
      </c>
      <c r="HG2" t="s">
        <v>566</v>
      </c>
      <c r="HH2" t="s">
        <v>121</v>
      </c>
      <c r="HI2" t="s">
        <v>1783</v>
      </c>
      <c r="HJ2" t="s">
        <v>4006</v>
      </c>
      <c r="HK2" t="s">
        <v>4545</v>
      </c>
      <c r="HL2" t="s">
        <v>3076</v>
      </c>
      <c r="HM2" t="s">
        <v>3075</v>
      </c>
    </row>
    <row r="3" spans="1:221" ht="12.75" customHeight="1" x14ac:dyDescent="0.2">
      <c r="A3" t="s">
        <v>1829</v>
      </c>
      <c r="B3" t="s">
        <v>1826</v>
      </c>
      <c r="E3" t="s">
        <v>1827</v>
      </c>
      <c r="F3" t="s">
        <v>1828</v>
      </c>
      <c r="G3">
        <v>-2</v>
      </c>
      <c r="H3" t="s">
        <v>1938</v>
      </c>
      <c r="I3" t="s">
        <v>1825</v>
      </c>
      <c r="L3" t="str">
        <f t="shared" ref="L3:L16" si="0">IF(VLOOKUP(A3,TL_SPEZ,18,FALSE)="","",VLOOKUP(A3,TL_SPEZ,18,FALSE))</f>
        <v/>
      </c>
      <c r="M3" t="str">
        <f t="shared" ref="M3:M16" si="1">IF(VLOOKUP($A3,TL_SPEZ,19,FALSE)="","",VLOOKUP($A3,TL_SPEZ,19,FALSE))</f>
        <v/>
      </c>
      <c r="N3" t="str">
        <f t="shared" ref="N3:N29" si="2">CONCATENATE(A3,IF(L3="",""," ("&amp;L3),IF(M3="","","¦"&amp;M3),IF(L3="","",")"))</f>
        <v>Anderthalbhänder</v>
      </c>
      <c r="P3">
        <f t="shared" ref="P3:P29" si="3">VLOOKUP($A3,ZEILENBEZUG,2,FALSE)</f>
        <v>43</v>
      </c>
      <c r="R3" t="s">
        <v>6713</v>
      </c>
      <c r="U3">
        <v>5</v>
      </c>
      <c r="Z3" t="s">
        <v>4897</v>
      </c>
      <c r="AA3">
        <v>1</v>
      </c>
      <c r="AB3">
        <v>12</v>
      </c>
      <c r="AD3" t="s">
        <v>3995</v>
      </c>
      <c r="AH3" t="s">
        <v>3999</v>
      </c>
      <c r="AI3">
        <v>1</v>
      </c>
      <c r="AJ3">
        <v>1</v>
      </c>
      <c r="AK3">
        <v>2</v>
      </c>
      <c r="AL3">
        <v>3</v>
      </c>
      <c r="AM3">
        <v>4</v>
      </c>
      <c r="AN3">
        <v>5</v>
      </c>
      <c r="AO3">
        <v>8</v>
      </c>
      <c r="AP3">
        <v>10</v>
      </c>
      <c r="AQ3">
        <v>20</v>
      </c>
      <c r="AS3" t="s">
        <v>3592</v>
      </c>
      <c r="AT3">
        <v>20</v>
      </c>
      <c r="AU3">
        <v>10</v>
      </c>
      <c r="AX3" t="s">
        <v>4537</v>
      </c>
      <c r="AY3">
        <v>4</v>
      </c>
      <c r="AZ3">
        <v>1</v>
      </c>
      <c r="BA3" t="s">
        <v>5081</v>
      </c>
      <c r="BB3" t="s">
        <v>5082</v>
      </c>
      <c r="BC3" t="s">
        <v>5083</v>
      </c>
      <c r="BD3" t="s">
        <v>4463</v>
      </c>
      <c r="BE3" t="s">
        <v>212</v>
      </c>
      <c r="BG3">
        <v>5</v>
      </c>
      <c r="BI3" t="s">
        <v>73</v>
      </c>
      <c r="BK3" t="s">
        <v>1455</v>
      </c>
      <c r="BL3">
        <v>17</v>
      </c>
      <c r="BM3">
        <v>20</v>
      </c>
      <c r="BN3">
        <v>10</v>
      </c>
      <c r="BO3">
        <v>11</v>
      </c>
      <c r="BP3" t="s">
        <v>5091</v>
      </c>
      <c r="BQ3">
        <v>1</v>
      </c>
      <c r="BR3">
        <v>60</v>
      </c>
      <c r="BS3">
        <v>-2</v>
      </c>
      <c r="BT3" t="s">
        <v>5092</v>
      </c>
      <c r="BU3" t="s">
        <v>5093</v>
      </c>
      <c r="BY3">
        <v>180</v>
      </c>
      <c r="BZ3">
        <v>500</v>
      </c>
      <c r="CB3">
        <v>150</v>
      </c>
      <c r="CX3" t="s">
        <v>301</v>
      </c>
      <c r="CY3" t="s">
        <v>75</v>
      </c>
      <c r="CZ3" t="s">
        <v>75</v>
      </c>
      <c r="DA3" t="s">
        <v>750</v>
      </c>
      <c r="DB3" t="s">
        <v>1613</v>
      </c>
      <c r="DC3" t="s">
        <v>7287</v>
      </c>
      <c r="DD3" t="s">
        <v>7387</v>
      </c>
      <c r="DE3" t="s">
        <v>3591</v>
      </c>
      <c r="DF3" t="s">
        <v>81</v>
      </c>
      <c r="DG3" t="s">
        <v>1956</v>
      </c>
      <c r="DH3" t="s">
        <v>6839</v>
      </c>
      <c r="DI3" t="s">
        <v>1615</v>
      </c>
      <c r="DJ3">
        <v>2</v>
      </c>
      <c r="DK3">
        <f>VLOOKUP($CX3,ZEILENBEZUG,2,FALSE)</f>
        <v>324</v>
      </c>
      <c r="DL3">
        <f>ROW()-2</f>
        <v>1</v>
      </c>
      <c r="DM3">
        <v>11</v>
      </c>
      <c r="DN3" t="str">
        <f ca="1">IF(VT_VRTLZBR,
IF(NOT(ISERROR(FIND($CX3,VT_UEBERBEG,1))),CONCATENATE($CX3,","),""),
IF(OR(MAGISCH,MAGISCH_EIGN),
IF(OR(EXACT(RIGHT(HLOOKUP(PROFGENE,INDIRECT(PROFGEBIET),$DK3,FALSE)),"H"),EXACT(RIGHT(HLOOKUP(KULTURGENE,KULTUR,$DK3,FALSE)),"H"),IF(EXACT(DQ3,""),FALSE,TRUE),IF(EXACT(DS3,""),FALSE,TRUE)),CONCATENATE($CX3,","),
IF(ISERROR(VLOOKUP(CX3,ZAUBER_HAUS_NEU,1,FALSE)),"",CONCATENATE($CX3,","))
),""))</f>
        <v/>
      </c>
      <c r="DO3" t="str">
        <f ca="1">IF(AND(OR(MAGISCH,MAGISCH_EIGN),DN3=""),IF(AND(OR(PROFGEBGENE="Goetter",EXACT(RIGHT(HLOOKUP(PROFGENE,INDIRECT(PROFGEBIET),$DK3,FALSE)),"B"),EXACT(RIGHT(HLOOKUP(PROFGENE,INDIRECT(PROFGEBIET),$DK3,FALSE)),"")),OR(PROFGEBGENE="Goetter",EXACT(RIGHT(HLOOKUP(KULTURGENE,KULTUR,$DK3,FALSE)),"B"),EXACT(RIGHT(HLOOKUP(KULTURGENE,KULTUR,$DK3,FALSE)),""))),
IF(ISERROR(VLOOKUP(CX3,ZAUBER_START_NEU,1,FALSE)),"",CONCATENATE($CX3,",")),
CONCATENATE($CX3,",")),
"")</f>
        <v/>
      </c>
      <c r="DP3" t="str">
        <f ca="1">IF(AND(OR(MAGISCH,MAGISCH_EIGN),DN3="",DO3="",
OR(EXACT(RIGHT(HLOOKUP(KULTURGENE,KULTUR,$DK3,FALSE)),"B"),IF(PROFGEBGENE="Goetter",FALSE,EXACT(HLOOKUP(PROFGENE,INDIRECT(PROFGEBIET),$DK3,FALSE),"B")),IF(EXACT(DR3,""),FALSE,TRUE),IF(EXACT(DT3,""),FALSE,TRUE),IF(EXACT(DU3,""),FALSE,TRUE))),CONCATENATE($CX3,","),"")</f>
        <v/>
      </c>
      <c r="DQ3" t="str">
        <f>IF(EXACT(Zauber!$A$250,""),"",IF(EXACT(RIGHT(HLOOKUP(Zauber!$A$250,PROFMAGIE,$DK3,FALSE)),"H"),CONCATENATE($CX3,","),""))</f>
        <v/>
      </c>
      <c r="DR3" t="str">
        <f>IF(EXACT(ZS_AKADEMIE,""),"",IF(NOT(DQ3=""),"",IF(OR(EXACT(RIGHT(HLOOKUP(ZS_AKADEMIE,PROFMAGIE,$DK3,FALSE)),"B"),EXACT(HLOOKUP(ZS_AKADEMIE,PROFMAGIE,$DK3,FALSE),"")),"",CONCATENATE($CX3,","))))</f>
        <v/>
      </c>
      <c r="DS3" t="str">
        <f>IF(ZS_IAAK="Ja",IF(EXACT(RIGHT(HLOOKUP(Tabellen_Magie!$IK$1,PROFMAGIE,$DK3,FALSE)),"H"),CONCATENATE($CX3,","),""),"")</f>
        <v/>
      </c>
      <c r="DT3" t="str">
        <f>IF(ZS_IAAK="Ja",IF(NOT(DS3=""),"",IF(OR(EXACT(RIGHT(HLOOKUP(Tabellen_Magie!$IK$1,PROFMAGIE,$DK3,FALSE)),"B"),EXACT(HLOOKUP(Tabellen_Magie!$IK$1,PROFMAGIE,$DK3,FALSE),"")),"",CONCATENATE($CX3,","))),"")</f>
        <v/>
      </c>
      <c r="DU3" t="str">
        <f>IF(EXACT(ZS_AKADEMIE,""),"",IF(NOT(DQ3=""),"",IF(EXACT(RIGHT(HLOOKUP(ZS_AKADEMIE,PROFMAGIE,$DK3,FALSE)),"B"),CONCATENATE($CX3,","),"")))</f>
        <v/>
      </c>
      <c r="DV3" t="s">
        <v>2347</v>
      </c>
      <c r="DW3" t="s">
        <v>2536</v>
      </c>
      <c r="FN3" t="s">
        <v>7269</v>
      </c>
      <c r="GG3" t="s">
        <v>829</v>
      </c>
      <c r="GH3" t="s">
        <v>2096</v>
      </c>
      <c r="GI3" t="s">
        <v>4483</v>
      </c>
      <c r="GJ3">
        <v>1</v>
      </c>
      <c r="GK3" t="s">
        <v>1320</v>
      </c>
      <c r="GL3" t="s">
        <v>1976</v>
      </c>
      <c r="GM3" t="s">
        <v>1980</v>
      </c>
      <c r="GN3" t="s">
        <v>1690</v>
      </c>
      <c r="GO3">
        <v>259</v>
      </c>
      <c r="GP3">
        <v>114</v>
      </c>
      <c r="GR3">
        <f>IDX_L</f>
        <v>352</v>
      </c>
      <c r="GU3" t="str">
        <f t="shared" ref="GU3:GU4" ca="1" si="4">IF(OR(EXACT(PROFGEBGENE,"Goetter"),GOETTER_EIGN),IF(AND(NOT(GH3=LIT_0),EXACT(UPPER(HLOOKUP(PROFGENE,INDIRECT(PROFGEBIET),$GR3,FALSE)),"X")),"x",""),IF(AKTIV_SPTWHE,IF(EXACT(UPPER(HLOOKUP(PROFSPTWHE,SPTWHE,$GR3,FALSE)),"X"),"x",""),""))</f>
        <v/>
      </c>
      <c r="GV3" t="str">
        <f t="shared" ref="GV3:GV4" ca="1" si="5">IF(OR(EXACT(PROFGEBGENE,"Goetter"),GOETTER_EIGN),IF(AND(NOT(GH3=LIT_0),EXACT(UPPER(HLOOKUP(PROFGENE,INDIRECT(PROFGEBIET),$GR3,FALSE)),"V")),"x",""),IF(AKTIV_SPTWHE,IF(EXACT(UPPER(HLOOKUP(PROFSPTWHE,SPTWHE,$GR3,FALSE)),"V"),"x",""),""))&amp;
IF(PROFGEBZWEITE="Goetter (BGB)",IF(AND(NOT(GH3=LIT_0),OR(EXACT(UPPER(HLOOKUP(PROFZWEITE,INDIRECT(PROFGEBIET2),$GR3,FALSE)),"V"),EXACT(UPPER(HLOOKUP(PROFZWEITE,INDIRECT(PROFGEBIET2),$GR3,FALSE)),"X"))),"x",""),"")</f>
        <v/>
      </c>
      <c r="GW3" t="str">
        <f t="shared" ref="GW3:GW4" ca="1" si="6">IF(OR(EXACT(PROFGEBGENE,"Goetter"),GOETTER_EIGN),IF(AND(GU3="",GV3="",NOT(GH3=LIT_0),EXACT(UPPER(HLOOKUP(PROFGENE,INDIRECT(PROFGEBIET),$GR3,FALSE)),"B")),"x",""),IF(AKTIV_SPTWHE,IF(EXACT(UPPER(HLOOKUP(PROFSPTWHE,SPTWHE,$GR3,FALSE)),"B"),"x",""),""))&amp;
IF(PROFGEBZWEITE="Goetter (BGB)",IF(AND(GU3="",GV3="",NOT(GH3=LIT_0),EXACT(UPPER(HLOOKUP(PROFZWEITE,INDIRECT(PROFGEBIET2),$GR3,FALSE)),"B")),"x",""),"")</f>
        <v/>
      </c>
      <c r="GX3" t="str">
        <f t="shared" ref="GX3:GX4" ca="1" si="7">IF(OR(NOT(GW3=""),NOT(GU3=""),NOT(GV3="")),CONCATENATE($GH3,","),"")</f>
        <v/>
      </c>
      <c r="HA3" t="s">
        <v>4547</v>
      </c>
      <c r="HB3" t="s">
        <v>4483</v>
      </c>
      <c r="HC3">
        <f>IF(HB3="I",1,IF(HB3="II",2,IF(HB3="III",3,IF(HB3="IV",4,IF(HB3="V",5,IF(HB3="VI",6,"nichts"))))))</f>
        <v>1</v>
      </c>
      <c r="HD3" t="s">
        <v>1396</v>
      </c>
      <c r="HE3" t="s">
        <v>4548</v>
      </c>
      <c r="HG3" t="s">
        <v>1974</v>
      </c>
      <c r="HH3">
        <v>152</v>
      </c>
      <c r="HI3">
        <f t="shared" ref="HI3:HI35" si="8">HC3</f>
        <v>1</v>
      </c>
      <c r="HJ3">
        <f t="shared" ref="HJ3:HJ35" si="9">HC3*50</f>
        <v>50</v>
      </c>
      <c r="HK3" t="s">
        <v>1327</v>
      </c>
      <c r="HL3" t="s">
        <v>2369</v>
      </c>
      <c r="HM3" t="s">
        <v>1369</v>
      </c>
    </row>
    <row r="4" spans="1:221" ht="12.75" customHeight="1" x14ac:dyDescent="0.2">
      <c r="A4" t="s">
        <v>1939</v>
      </c>
      <c r="B4" t="s">
        <v>3630</v>
      </c>
      <c r="E4" t="s">
        <v>1827</v>
      </c>
      <c r="F4" t="s">
        <v>1956</v>
      </c>
      <c r="G4">
        <v>-5</v>
      </c>
      <c r="H4" t="s">
        <v>3041</v>
      </c>
      <c r="L4" t="str">
        <f t="shared" si="0"/>
        <v/>
      </c>
      <c r="M4" t="str">
        <f t="shared" si="1"/>
        <v/>
      </c>
      <c r="N4" t="str">
        <f t="shared" si="2"/>
        <v>Armbrust</v>
      </c>
      <c r="P4">
        <f t="shared" si="3"/>
        <v>44</v>
      </c>
      <c r="R4" t="s">
        <v>2209</v>
      </c>
      <c r="U4">
        <v>7</v>
      </c>
      <c r="Z4" t="s">
        <v>254</v>
      </c>
      <c r="AA4">
        <v>1</v>
      </c>
      <c r="AB4">
        <v>12</v>
      </c>
      <c r="AD4" t="s">
        <v>3995</v>
      </c>
      <c r="AH4">
        <v>0</v>
      </c>
      <c r="AI4">
        <v>1</v>
      </c>
      <c r="AJ4">
        <v>1</v>
      </c>
      <c r="AK4">
        <v>2</v>
      </c>
      <c r="AL4">
        <v>3</v>
      </c>
      <c r="AM4">
        <v>4</v>
      </c>
      <c r="AN4">
        <v>5</v>
      </c>
      <c r="AO4">
        <v>8</v>
      </c>
      <c r="AP4">
        <v>10</v>
      </c>
      <c r="AQ4">
        <v>20</v>
      </c>
      <c r="AS4" t="s">
        <v>3630</v>
      </c>
      <c r="AT4">
        <v>15</v>
      </c>
      <c r="AU4">
        <v>5</v>
      </c>
      <c r="AX4" t="s">
        <v>1323</v>
      </c>
      <c r="AY4">
        <v>6</v>
      </c>
      <c r="AZ4">
        <v>2</v>
      </c>
      <c r="BA4" t="s">
        <v>2248</v>
      </c>
      <c r="BB4" t="s">
        <v>2249</v>
      </c>
      <c r="BC4" t="s">
        <v>2250</v>
      </c>
      <c r="BD4" t="s">
        <v>2251</v>
      </c>
      <c r="BE4" t="s">
        <v>2252</v>
      </c>
      <c r="BG4">
        <v>5</v>
      </c>
      <c r="BI4" t="s">
        <v>4318</v>
      </c>
      <c r="BK4" t="s">
        <v>1456</v>
      </c>
      <c r="BL4">
        <v>20</v>
      </c>
      <c r="BM4">
        <v>18</v>
      </c>
      <c r="BN4">
        <v>12</v>
      </c>
      <c r="BO4">
        <v>11</v>
      </c>
      <c r="BP4" t="s">
        <v>5091</v>
      </c>
      <c r="BQ4">
        <v>1</v>
      </c>
      <c r="BR4">
        <v>60</v>
      </c>
      <c r="BS4">
        <v>-1</v>
      </c>
      <c r="BT4" t="s">
        <v>5096</v>
      </c>
      <c r="BU4" t="s">
        <v>4004</v>
      </c>
      <c r="BY4">
        <v>130</v>
      </c>
      <c r="CB4">
        <v>640</v>
      </c>
      <c r="CD4" t="s">
        <v>1572</v>
      </c>
      <c r="CE4" t="s">
        <v>5091</v>
      </c>
      <c r="CF4" t="s">
        <v>3231</v>
      </c>
      <c r="CG4" t="s">
        <v>1573</v>
      </c>
      <c r="CH4">
        <v>0</v>
      </c>
      <c r="CI4">
        <v>4</v>
      </c>
      <c r="CJ4" t="s">
        <v>1827</v>
      </c>
      <c r="CK4" t="s">
        <v>1530</v>
      </c>
      <c r="CN4" t="str">
        <f ca="1">IF(AND(ISERR(FIND($CK4,Talente!$CI$41)),ISNA(VLOOKUP($CK4,$AH$51:$AH$55,1))),IF(AND(ISERR(FIND($CL4,Talente!$CI$41)),ISNA(VLOOKUP($CL4,$AH$51:$AH$55,1))),$CM4,$CL4),$CK4)</f>
        <v>Speere</v>
      </c>
      <c r="CP4" t="s">
        <v>286</v>
      </c>
      <c r="CQ4" t="s">
        <v>4658</v>
      </c>
      <c r="CR4" t="s">
        <v>1657</v>
      </c>
      <c r="CS4" t="s">
        <v>4008</v>
      </c>
      <c r="CT4" t="s">
        <v>1939</v>
      </c>
      <c r="CU4">
        <v>30</v>
      </c>
      <c r="CV4" t="s">
        <v>7543</v>
      </c>
      <c r="CX4" t="s">
        <v>302</v>
      </c>
      <c r="CY4" t="s">
        <v>75</v>
      </c>
      <c r="CZ4" t="s">
        <v>77</v>
      </c>
      <c r="DA4" t="s">
        <v>750</v>
      </c>
      <c r="DB4" t="s">
        <v>1613</v>
      </c>
      <c r="DC4" t="s">
        <v>7288</v>
      </c>
      <c r="DD4" t="s">
        <v>7317</v>
      </c>
      <c r="DE4" t="s">
        <v>1321</v>
      </c>
      <c r="DF4" t="s">
        <v>822</v>
      </c>
      <c r="DG4" t="s">
        <v>1956</v>
      </c>
      <c r="DH4" t="s">
        <v>6840</v>
      </c>
      <c r="DI4" t="s">
        <v>1615</v>
      </c>
      <c r="DJ4">
        <v>2</v>
      </c>
      <c r="DK4">
        <f t="shared" ref="DK4:DK72" si="10">VLOOKUP($CX4,ZEILENBEZUG,2,FALSE)</f>
        <v>325</v>
      </c>
      <c r="DL4">
        <f t="shared" ref="DL4:DL73" si="11">ROW()-2</f>
        <v>2</v>
      </c>
      <c r="DM4">
        <v>12</v>
      </c>
      <c r="DN4" t="str">
        <f t="shared" ref="DN4:DN67" ca="1" si="12">IF(VT_VRTLZBR,
IF(NOT(ISERROR(FIND($CX4,VT_UEBERBEG,1))),CONCATENATE($CX4,","),""),
IF(OR(MAGISCH,MAGISCH_EIGN),
IF(OR(EXACT(RIGHT(HLOOKUP(PROFGENE,INDIRECT(PROFGEBIET),$DK4,FALSE)),"H"),EXACT(RIGHT(HLOOKUP(KULTURGENE,KULTUR,$DK4,FALSE)),"H"),IF(EXACT(DQ4,""),FALSE,TRUE),IF(EXACT(DS4,""),FALSE,TRUE)),CONCATENATE($CX4,","),
IF(ISERROR(VLOOKUP(CX4,ZAUBER_HAUS_NEU,1,FALSE)),"",CONCATENATE($CX4,","))
),""))</f>
        <v/>
      </c>
      <c r="DO4" t="str">
        <f t="shared" ref="DO4:DO67" ca="1" si="13">IF(AND(OR(MAGISCH,MAGISCH_EIGN),DN4=""),IF(AND(OR(PROFGEBGENE="Goetter",EXACT(RIGHT(HLOOKUP(PROFGENE,INDIRECT(PROFGEBIET),$DK4,FALSE)),"B"),EXACT(RIGHT(HLOOKUP(PROFGENE,INDIRECT(PROFGEBIET),$DK4,FALSE)),"")),OR(PROFGEBGENE="Goetter",EXACT(RIGHT(HLOOKUP(KULTURGENE,KULTUR,$DK4,FALSE)),"B"),EXACT(RIGHT(HLOOKUP(KULTURGENE,KULTUR,$DK4,FALSE)),""))),
IF(ISERROR(VLOOKUP(CX4,ZAUBER_START_NEU,1,FALSE)),"",CONCATENATE($CX4,",")),
CONCATENATE($CX4,",")),
"")</f>
        <v/>
      </c>
      <c r="DP4" t="str">
        <f t="shared" ref="DP4:DP67" ca="1" si="14">IF(AND(OR(MAGISCH,MAGISCH_EIGN),DN4="",DO4="",
OR(EXACT(RIGHT(HLOOKUP(KULTURGENE,KULTUR,$DK4,FALSE)),"B"),IF(PROFGEBGENE="Goetter",FALSE,EXACT(HLOOKUP(PROFGENE,INDIRECT(PROFGEBIET),$DK4,FALSE),"B")),IF(EXACT(DR4,""),FALSE,TRUE),IF(EXACT(DT4,""),FALSE,TRUE),IF(EXACT(DU4,""),FALSE,TRUE))),CONCATENATE($CX4,","),"")</f>
        <v/>
      </c>
      <c r="DQ4" t="str">
        <f>IF(EXACT(Zauber!$A$250,""),"",IF(EXACT(RIGHT(HLOOKUP(Zauber!$A$250,PROFMAGIE,$DK4,FALSE)),"H"),CONCATENATE($CX4,","),""))</f>
        <v/>
      </c>
      <c r="DR4" t="str">
        <f t="shared" ref="DR4:DR67" si="15">IF(EXACT(ZS_AKADEMIE,""),"",IF(NOT(DQ4=""),"",IF(OR(EXACT(RIGHT(HLOOKUP(ZS_AKADEMIE,PROFMAGIE,$DK4,FALSE)),"B"),EXACT(HLOOKUP(ZS_AKADEMIE,PROFMAGIE,$DK4,FALSE),"")),"",CONCATENATE($CX4,","))))</f>
        <v/>
      </c>
      <c r="DS4" t="str">
        <f>IF(ZS_IAAK="Ja",IF(EXACT(RIGHT(HLOOKUP(Tabellen_Magie!$IK$1,PROFMAGIE,$DK4,FALSE)),"H"),CONCATENATE($CX4,","),""),"")</f>
        <v/>
      </c>
      <c r="DT4" t="str">
        <f>IF(ZS_IAAK="Ja",IF(NOT(DS4=""),"",IF(OR(EXACT(RIGHT(HLOOKUP(Tabellen_Magie!$IK$1,PROFMAGIE,$DK4,FALSE)),"B"),EXACT(HLOOKUP(Tabellen_Magie!$IK$1,PROFMAGIE,$DK4,FALSE),"")),"",CONCATENATE($CX4,","))),"")</f>
        <v/>
      </c>
      <c r="DU4" t="str">
        <f t="shared" ref="DU4:DU67" si="16">IF(EXACT(ZS_AKADEMIE,""),"",IF(NOT(DQ4=""),"",IF(EXACT(RIGHT(HLOOKUP(ZS_AKADEMIE,PROFMAGIE,$DK4,FALSE)),"B"),CONCATENATE($CX4,","),"")))</f>
        <v/>
      </c>
      <c r="DW4" t="s">
        <v>2045</v>
      </c>
      <c r="DX4" t="s">
        <v>74</v>
      </c>
      <c r="DY4" t="s">
        <v>75</v>
      </c>
      <c r="DZ4" t="s">
        <v>76</v>
      </c>
      <c r="EA4" t="s">
        <v>2042</v>
      </c>
      <c r="EB4" t="s">
        <v>2043</v>
      </c>
      <c r="EC4">
        <v>17</v>
      </c>
      <c r="ED4">
        <f t="shared" ref="ED4:ED21" si="17">ROUND(EI4*IF(VT_EIDGED,0.5,IF(VT_GUTGED,0.75,1)),0)</f>
        <v>200</v>
      </c>
      <c r="EE4" t="s">
        <v>1250</v>
      </c>
      <c r="EH4">
        <v>4</v>
      </c>
      <c r="EI4">
        <v>200</v>
      </c>
      <c r="EK4" t="s">
        <v>1473</v>
      </c>
      <c r="EL4">
        <v>3</v>
      </c>
      <c r="EM4">
        <v>5</v>
      </c>
      <c r="EN4">
        <v>3</v>
      </c>
      <c r="EO4">
        <v>5</v>
      </c>
      <c r="EP4">
        <v>2</v>
      </c>
      <c r="EQ4">
        <v>2</v>
      </c>
      <c r="ER4">
        <v>3</v>
      </c>
      <c r="ES4">
        <v>3.7</v>
      </c>
      <c r="ET4">
        <v>1.7</v>
      </c>
      <c r="EU4">
        <v>5</v>
      </c>
      <c r="EV4">
        <v>3</v>
      </c>
      <c r="EX4" t="s">
        <v>4987</v>
      </c>
      <c r="EY4" t="s">
        <v>2538</v>
      </c>
      <c r="EZ4" t="s">
        <v>503</v>
      </c>
      <c r="FA4">
        <v>0</v>
      </c>
      <c r="FB4">
        <v>0</v>
      </c>
      <c r="FD4" t="s">
        <v>4007</v>
      </c>
      <c r="FE4">
        <f t="shared" ref="FE4:FE38" si="18">ROUND(FK4*IF(VT_AKADKRI,3/4,1)*IF(NT_ELFWELT,IF(FN4,1,1.5),1),0)</f>
        <v>30</v>
      </c>
      <c r="FF4">
        <v>1</v>
      </c>
      <c r="FH4" t="s">
        <v>717</v>
      </c>
      <c r="FJ4" t="s">
        <v>717</v>
      </c>
      <c r="FK4">
        <v>30</v>
      </c>
      <c r="FL4">
        <v>4</v>
      </c>
      <c r="FM4" t="b">
        <f t="shared" ref="FM4:FM39" ca="1" si="19">IF(OR(IF(NOT(ISNA(VLOOKUP(FD4,SF_Verbilligt_Left,3,FALSE))),VLOOKUP(FD4,SF_Verbilligt_Left,3,FALSE)="x",FALSE),IF(NOT(ISNA(VLOOKUP(FD4,SF_Verbilligt_Right,8,FALSE))),VLOOKUP(FD4,SF_Verbilligt_Right,8,FALSE)="x",FALSE)),TRUE,FALSE)</f>
        <v>0</v>
      </c>
      <c r="FN4" t="b">
        <f t="shared" ref="FN4:FN39" ca="1" si="20">OR(FM4,NOT(ISERROR(FIND(FD4,$FN$3,1))))</f>
        <v>0</v>
      </c>
      <c r="FQ4" t="s">
        <v>4006</v>
      </c>
      <c r="FS4">
        <v>80</v>
      </c>
      <c r="FT4">
        <v>80</v>
      </c>
      <c r="FU4">
        <v>80</v>
      </c>
      <c r="FV4">
        <v>80</v>
      </c>
      <c r="FW4">
        <v>80</v>
      </c>
      <c r="FX4">
        <v>80</v>
      </c>
      <c r="FY4">
        <v>100</v>
      </c>
      <c r="FZ4">
        <v>80</v>
      </c>
      <c r="GA4">
        <v>80</v>
      </c>
      <c r="GB4">
        <v>80</v>
      </c>
      <c r="GC4">
        <v>100</v>
      </c>
      <c r="GD4">
        <v>80</v>
      </c>
      <c r="GE4">
        <v>100</v>
      </c>
      <c r="GH4" t="s">
        <v>742</v>
      </c>
      <c r="GI4" t="s">
        <v>4483</v>
      </c>
      <c r="GJ4">
        <v>1</v>
      </c>
      <c r="GK4" t="s">
        <v>4116</v>
      </c>
      <c r="GL4" t="s">
        <v>567</v>
      </c>
      <c r="GM4" t="s">
        <v>1983</v>
      </c>
      <c r="GN4" t="s">
        <v>1973</v>
      </c>
      <c r="GO4">
        <v>269</v>
      </c>
      <c r="GP4">
        <v>296</v>
      </c>
      <c r="GR4">
        <f>GR3+1</f>
        <v>353</v>
      </c>
      <c r="GU4" t="str">
        <f t="shared" ca="1" si="4"/>
        <v/>
      </c>
      <c r="GV4" t="str">
        <f t="shared" ca="1" si="5"/>
        <v/>
      </c>
      <c r="GW4" t="str">
        <f t="shared" ca="1" si="6"/>
        <v/>
      </c>
      <c r="GX4" t="str">
        <f t="shared" ca="1" si="7"/>
        <v/>
      </c>
      <c r="HA4" t="s">
        <v>3289</v>
      </c>
      <c r="HB4" t="s">
        <v>3290</v>
      </c>
      <c r="HC4">
        <f t="shared" ref="HC4:HC68" si="21">IF(HB4="I",1,IF(HB4="II",2,IF(HB4="III",3,IF(HB4="IV",4,IF(HB4="V",5,IF(HB4="VI",6,"nichts"))))))</f>
        <v>3</v>
      </c>
      <c r="HD4" t="s">
        <v>1827</v>
      </c>
      <c r="HE4" t="s">
        <v>3291</v>
      </c>
      <c r="HG4" t="s">
        <v>1973</v>
      </c>
      <c r="HH4">
        <v>152</v>
      </c>
      <c r="HI4">
        <f t="shared" si="8"/>
        <v>3</v>
      </c>
      <c r="HJ4">
        <f t="shared" si="9"/>
        <v>150</v>
      </c>
      <c r="HK4" t="s">
        <v>1327</v>
      </c>
      <c r="HL4" t="s">
        <v>2369</v>
      </c>
      <c r="HM4" t="s">
        <v>2991</v>
      </c>
    </row>
    <row r="5" spans="1:221" ht="12.75" customHeight="1" x14ac:dyDescent="0.2">
      <c r="A5" t="s">
        <v>1940</v>
      </c>
      <c r="B5" t="s">
        <v>3630</v>
      </c>
      <c r="E5" t="s">
        <v>1827</v>
      </c>
      <c r="F5" t="s">
        <v>1955</v>
      </c>
      <c r="G5">
        <v>10</v>
      </c>
      <c r="L5" t="str">
        <f t="shared" si="0"/>
        <v/>
      </c>
      <c r="M5" t="str">
        <f t="shared" si="1"/>
        <v/>
      </c>
      <c r="N5" t="str">
        <f t="shared" si="2"/>
        <v>Belagerungswaffen</v>
      </c>
      <c r="P5">
        <f t="shared" si="3"/>
        <v>45</v>
      </c>
      <c r="R5" t="s">
        <v>2210</v>
      </c>
      <c r="U5">
        <v>13</v>
      </c>
      <c r="Z5" t="s">
        <v>3462</v>
      </c>
      <c r="AC5">
        <v>7</v>
      </c>
      <c r="AH5">
        <v>1</v>
      </c>
      <c r="AI5">
        <v>1</v>
      </c>
      <c r="AJ5">
        <v>1</v>
      </c>
      <c r="AK5">
        <v>2</v>
      </c>
      <c r="AL5">
        <v>2</v>
      </c>
      <c r="AM5">
        <v>3</v>
      </c>
      <c r="AN5">
        <v>4</v>
      </c>
      <c r="AO5">
        <v>6</v>
      </c>
      <c r="AP5">
        <v>8</v>
      </c>
      <c r="AQ5">
        <v>16</v>
      </c>
      <c r="AS5" t="s">
        <v>1322</v>
      </c>
      <c r="AT5">
        <v>30</v>
      </c>
      <c r="AU5">
        <v>15</v>
      </c>
      <c r="AX5" t="s">
        <v>8394</v>
      </c>
      <c r="AY5">
        <v>4</v>
      </c>
      <c r="AZ5">
        <v>1</v>
      </c>
      <c r="BA5" t="s">
        <v>2076</v>
      </c>
      <c r="BB5" t="s">
        <v>2077</v>
      </c>
      <c r="BC5" t="s">
        <v>2078</v>
      </c>
      <c r="BD5" t="s">
        <v>2079</v>
      </c>
      <c r="BE5" t="s">
        <v>2080</v>
      </c>
      <c r="BF5" t="s">
        <v>2081</v>
      </c>
      <c r="BG5">
        <v>5</v>
      </c>
      <c r="BI5" t="s">
        <v>1155</v>
      </c>
      <c r="BK5" t="s">
        <v>1410</v>
      </c>
      <c r="BL5">
        <v>21</v>
      </c>
      <c r="BM5">
        <v>25</v>
      </c>
      <c r="BN5">
        <v>15</v>
      </c>
      <c r="BO5">
        <v>10</v>
      </c>
      <c r="BP5" t="s">
        <v>5094</v>
      </c>
      <c r="BQ5">
        <v>1</v>
      </c>
      <c r="BR5">
        <v>85</v>
      </c>
      <c r="BS5">
        <v>-1</v>
      </c>
      <c r="BT5" t="s">
        <v>5097</v>
      </c>
      <c r="BU5" t="s">
        <v>4005</v>
      </c>
      <c r="BY5">
        <v>230</v>
      </c>
      <c r="BZ5">
        <v>750</v>
      </c>
      <c r="CB5">
        <v>500</v>
      </c>
      <c r="CD5" t="s">
        <v>896</v>
      </c>
      <c r="CE5" t="s">
        <v>5091</v>
      </c>
      <c r="CF5" t="s">
        <v>897</v>
      </c>
      <c r="CG5" t="s">
        <v>898</v>
      </c>
      <c r="CH5">
        <v>1</v>
      </c>
      <c r="CI5">
        <v>2</v>
      </c>
      <c r="CJ5" t="s">
        <v>899</v>
      </c>
      <c r="CK5" t="s">
        <v>2192</v>
      </c>
      <c r="CL5" t="s">
        <v>1938</v>
      </c>
      <c r="CN5" t="str">
        <f ca="1">IF(AND(ISERR(FIND($CK5,Talente!$CI$41)),ISNA(VLOOKUP($CK5,$AH$51:$AH$55,1))),IF(AND(ISERR(FIND($CL5,Talente!$CI$41)),ISNA(VLOOKUP($CL5,$AH$51:$AH$55,1))),$CM5,$CL5),$CK5)</f>
        <v>Säbel</v>
      </c>
      <c r="CP5" t="s">
        <v>287</v>
      </c>
      <c r="CQ5" t="s">
        <v>4659</v>
      </c>
      <c r="CR5" t="s">
        <v>7544</v>
      </c>
      <c r="CS5" t="s">
        <v>4016</v>
      </c>
      <c r="CT5" t="s">
        <v>1939</v>
      </c>
      <c r="CU5">
        <v>40</v>
      </c>
      <c r="CV5" t="s">
        <v>7543</v>
      </c>
      <c r="CX5" t="s">
        <v>8402</v>
      </c>
      <c r="CY5" t="s">
        <v>75</v>
      </c>
      <c r="CZ5" t="s">
        <v>750</v>
      </c>
      <c r="DA5" t="s">
        <v>5030</v>
      </c>
      <c r="DC5" t="s">
        <v>7288</v>
      </c>
      <c r="DD5" t="s">
        <v>1616</v>
      </c>
      <c r="DE5" t="s">
        <v>1321</v>
      </c>
      <c r="DF5" t="s">
        <v>1617</v>
      </c>
      <c r="DG5" t="s">
        <v>1956</v>
      </c>
      <c r="DH5" t="s">
        <v>8408</v>
      </c>
      <c r="DI5" t="s">
        <v>1618</v>
      </c>
      <c r="DJ5">
        <v>2</v>
      </c>
      <c r="DK5">
        <f t="shared" si="10"/>
        <v>326</v>
      </c>
      <c r="DL5">
        <f t="shared" si="11"/>
        <v>3</v>
      </c>
      <c r="DM5">
        <v>13</v>
      </c>
      <c r="DN5" t="str">
        <f t="shared" ca="1" si="12"/>
        <v/>
      </c>
      <c r="DO5" t="str">
        <f t="shared" ca="1" si="13"/>
        <v/>
      </c>
      <c r="DP5" t="str">
        <f t="shared" ca="1" si="14"/>
        <v/>
      </c>
      <c r="DQ5" t="str">
        <f>IF(EXACT(Zauber!$A$250,""),"",IF(EXACT(RIGHT(HLOOKUP(Zauber!$A$250,PROFMAGIE,$DK5,FALSE)),"H"),CONCATENATE($CX5,","),""))</f>
        <v/>
      </c>
      <c r="DR5" t="str">
        <f t="shared" si="15"/>
        <v/>
      </c>
      <c r="DS5" t="str">
        <f>IF(ZS_IAAK="Ja",IF(EXACT(RIGHT(HLOOKUP(Tabellen_Magie!$IK$1,PROFMAGIE,$DK5,FALSE)),"H"),CONCATENATE($CX5,","),""),"")</f>
        <v/>
      </c>
      <c r="DT5" t="str">
        <f>IF(ZS_IAAK="Ja",IF(NOT(DS5=""),"",IF(OR(EXACT(RIGHT(HLOOKUP(Tabellen_Magie!$IK$1,PROFMAGIE,$DK5,FALSE)),"B"),EXACT(HLOOKUP(Tabellen_Magie!$IK$1,PROFMAGIE,$DK5,FALSE),"")),"",CONCATENATE($CX5,","))),"")</f>
        <v/>
      </c>
      <c r="DU5" t="str">
        <f t="shared" si="16"/>
        <v/>
      </c>
      <c r="DW5" t="s">
        <v>2044</v>
      </c>
      <c r="DX5" t="s">
        <v>74</v>
      </c>
      <c r="DY5" t="s">
        <v>75</v>
      </c>
      <c r="DZ5" t="s">
        <v>76</v>
      </c>
      <c r="EA5" t="s">
        <v>2042</v>
      </c>
      <c r="EB5" t="s">
        <v>2043</v>
      </c>
      <c r="EC5">
        <v>13</v>
      </c>
      <c r="ED5">
        <f t="shared" si="17"/>
        <v>150</v>
      </c>
      <c r="EE5" t="s">
        <v>1250</v>
      </c>
      <c r="EH5">
        <v>3</v>
      </c>
      <c r="EI5">
        <v>150</v>
      </c>
      <c r="EK5" t="s">
        <v>5037</v>
      </c>
      <c r="EL5">
        <v>1</v>
      </c>
      <c r="EM5">
        <v>1</v>
      </c>
      <c r="EN5">
        <v>1</v>
      </c>
      <c r="EO5">
        <v>1</v>
      </c>
      <c r="EP5">
        <v>1</v>
      </c>
      <c r="EQ5">
        <v>1</v>
      </c>
      <c r="ER5">
        <v>1</v>
      </c>
      <c r="ES5">
        <v>1</v>
      </c>
      <c r="ET5">
        <v>4</v>
      </c>
      <c r="EU5">
        <v>1</v>
      </c>
      <c r="EV5">
        <v>4</v>
      </c>
      <c r="EX5" t="s">
        <v>1042</v>
      </c>
      <c r="EY5" t="s">
        <v>2538</v>
      </c>
      <c r="EZ5" t="s">
        <v>3237</v>
      </c>
      <c r="FA5">
        <v>0</v>
      </c>
      <c r="FB5">
        <v>0</v>
      </c>
      <c r="FD5" t="s">
        <v>787</v>
      </c>
      <c r="FE5">
        <f t="shared" si="18"/>
        <v>30</v>
      </c>
      <c r="FF5">
        <v>1</v>
      </c>
      <c r="FH5" t="s">
        <v>717</v>
      </c>
      <c r="FJ5" t="s">
        <v>717</v>
      </c>
      <c r="FK5">
        <v>30</v>
      </c>
      <c r="FL5">
        <v>4</v>
      </c>
      <c r="FM5" t="b">
        <f t="shared" ca="1" si="19"/>
        <v>0</v>
      </c>
      <c r="FN5" t="b">
        <f t="shared" ca="1" si="20"/>
        <v>0</v>
      </c>
      <c r="FQ5" t="s">
        <v>74</v>
      </c>
      <c r="FR5" t="s">
        <v>2491</v>
      </c>
      <c r="FS5">
        <v>4</v>
      </c>
      <c r="FT5">
        <v>5</v>
      </c>
      <c r="FU5">
        <v>6</v>
      </c>
      <c r="FV5">
        <v>7</v>
      </c>
      <c r="FW5">
        <v>8</v>
      </c>
      <c r="FX5">
        <v>7</v>
      </c>
      <c r="FY5">
        <v>5</v>
      </c>
      <c r="FZ5">
        <v>8</v>
      </c>
      <c r="GA5">
        <v>6</v>
      </c>
      <c r="GB5">
        <v>3</v>
      </c>
      <c r="GC5">
        <v>7</v>
      </c>
      <c r="GD5">
        <v>8</v>
      </c>
      <c r="GE5">
        <v>8</v>
      </c>
      <c r="GH5" t="s">
        <v>9312</v>
      </c>
      <c r="GI5" t="s">
        <v>4483</v>
      </c>
      <c r="GJ5">
        <v>1</v>
      </c>
      <c r="GK5" t="s">
        <v>4116</v>
      </c>
      <c r="GL5" t="s">
        <v>1976</v>
      </c>
      <c r="GM5" t="s">
        <v>9313</v>
      </c>
      <c r="GN5" t="s">
        <v>1973</v>
      </c>
      <c r="GO5" t="s">
        <v>9314</v>
      </c>
      <c r="GP5">
        <v>126</v>
      </c>
      <c r="GR5">
        <f t="shared" ref="GR5:GR68" si="22">GR4+1</f>
        <v>354</v>
      </c>
      <c r="GU5" t="str">
        <f t="shared" ref="GU5:GU68" ca="1" si="23">IF(OR(EXACT(PROFGEBGENE,"Goetter"),GOETTER_EIGN),IF(AND(NOT(GH5=LIT_0),EXACT(UPPER(HLOOKUP(PROFGENE,INDIRECT(PROFGEBIET),$GR5,FALSE)),"X")),"x",""),IF(AKTIV_SPTWHE,IF(EXACT(UPPER(HLOOKUP(PROFSPTWHE,SPTWHE,$GR5,FALSE)),"X"),"x",""),""))</f>
        <v/>
      </c>
      <c r="GV5" t="str">
        <f t="shared" ref="GV5:GV68" ca="1" si="24">IF(OR(EXACT(PROFGEBGENE,"Goetter"),GOETTER_EIGN),IF(AND(NOT(GH5=LIT_0),EXACT(UPPER(HLOOKUP(PROFGENE,INDIRECT(PROFGEBIET),$GR5,FALSE)),"V")),"x",""),IF(AKTIV_SPTWHE,IF(EXACT(UPPER(HLOOKUP(PROFSPTWHE,SPTWHE,$GR5,FALSE)),"V"),"x",""),""))&amp;
IF(PROFGEBZWEITE="Goetter (BGB)",IF(AND(NOT(GH5=LIT_0),OR(EXACT(UPPER(HLOOKUP(PROFZWEITE,INDIRECT(PROFGEBIET2),$GR5,FALSE)),"V"),EXACT(UPPER(HLOOKUP(PROFZWEITE,INDIRECT(PROFGEBIET2),$GR5,FALSE)),"X"))),"x",""),"")</f>
        <v/>
      </c>
      <c r="GW5" t="str">
        <f t="shared" ref="GW5:GW68" ca="1" si="25">IF(OR(EXACT(PROFGEBGENE,"Goetter"),GOETTER_EIGN),IF(AND(GU5="",GV5="",NOT(GH5=LIT_0),EXACT(UPPER(HLOOKUP(PROFGENE,INDIRECT(PROFGEBIET),$GR5,FALSE)),"B")),"x",""),IF(AKTIV_SPTWHE,IF(EXACT(UPPER(HLOOKUP(PROFSPTWHE,SPTWHE,$GR5,FALSE)),"B"),"x",""),""))&amp;
IF(PROFGEBZWEITE="Goetter (BGB)",IF(AND(GU5="",GV5="",NOT(GH5=LIT_0),EXACT(UPPER(HLOOKUP(PROFZWEITE,INDIRECT(PROFGEBIET2),$GR5,FALSE)),"B")),"x",""),"")</f>
        <v/>
      </c>
      <c r="GX5" t="str">
        <f t="shared" ref="GX5:GX68" ca="1" si="26">IF(OR(NOT(GW5=""),NOT(GU5=""),NOT(GV5="")),CONCATENATE($GH5,","),"")</f>
        <v/>
      </c>
      <c r="HA5" t="s">
        <v>3292</v>
      </c>
      <c r="HB5" t="s">
        <v>1119</v>
      </c>
      <c r="HC5">
        <f t="shared" si="21"/>
        <v>2</v>
      </c>
      <c r="HD5" t="s">
        <v>4484</v>
      </c>
      <c r="HE5" t="s">
        <v>4548</v>
      </c>
      <c r="HG5" t="s">
        <v>1974</v>
      </c>
      <c r="HH5">
        <v>144</v>
      </c>
      <c r="HI5">
        <f t="shared" si="8"/>
        <v>2</v>
      </c>
      <c r="HJ5">
        <f t="shared" si="9"/>
        <v>100</v>
      </c>
      <c r="HK5" t="s">
        <v>3293</v>
      </c>
      <c r="HL5" t="s">
        <v>2369</v>
      </c>
      <c r="HM5" t="s">
        <v>1284</v>
      </c>
    </row>
    <row r="6" spans="1:221" x14ac:dyDescent="0.2">
      <c r="A6" t="s">
        <v>3040</v>
      </c>
      <c r="B6" t="s">
        <v>3630</v>
      </c>
      <c r="E6" t="s">
        <v>1827</v>
      </c>
      <c r="F6" t="s">
        <v>1955</v>
      </c>
      <c r="G6">
        <v>-5</v>
      </c>
      <c r="L6" t="str">
        <f t="shared" si="0"/>
        <v/>
      </c>
      <c r="M6" t="str">
        <f t="shared" si="1"/>
        <v/>
      </c>
      <c r="N6" t="str">
        <f t="shared" si="2"/>
        <v>Blasrohr</v>
      </c>
      <c r="P6">
        <f t="shared" si="3"/>
        <v>46</v>
      </c>
      <c r="R6" t="s">
        <v>1650</v>
      </c>
      <c r="U6">
        <f>IF(PROFGEBGENE="Magie",5,2)</f>
        <v>2</v>
      </c>
      <c r="Z6" t="s">
        <v>7104</v>
      </c>
      <c r="AA6">
        <v>1.5</v>
      </c>
      <c r="AB6">
        <v>12</v>
      </c>
      <c r="AD6" t="s">
        <v>3995</v>
      </c>
      <c r="AH6">
        <v>2</v>
      </c>
      <c r="AI6">
        <v>1</v>
      </c>
      <c r="AJ6">
        <v>2</v>
      </c>
      <c r="AK6">
        <v>4</v>
      </c>
      <c r="AL6">
        <v>6</v>
      </c>
      <c r="AM6">
        <v>7</v>
      </c>
      <c r="AN6">
        <v>9</v>
      </c>
      <c r="AO6">
        <v>14</v>
      </c>
      <c r="AP6">
        <v>18</v>
      </c>
      <c r="AQ6">
        <v>35</v>
      </c>
      <c r="AS6" t="s">
        <v>4118</v>
      </c>
      <c r="AT6">
        <v>20</v>
      </c>
      <c r="AU6">
        <v>10</v>
      </c>
      <c r="AX6" t="s">
        <v>3322</v>
      </c>
      <c r="AY6">
        <v>4</v>
      </c>
      <c r="AZ6">
        <v>1</v>
      </c>
      <c r="BA6" t="s">
        <v>217</v>
      </c>
      <c r="BB6" t="s">
        <v>218</v>
      </c>
      <c r="BC6" t="s">
        <v>219</v>
      </c>
      <c r="BD6" t="s">
        <v>220</v>
      </c>
      <c r="BE6" t="s">
        <v>3281</v>
      </c>
      <c r="BF6" t="s">
        <v>221</v>
      </c>
      <c r="BG6">
        <v>5</v>
      </c>
      <c r="BI6" t="s">
        <v>4301</v>
      </c>
      <c r="BK6" t="s">
        <v>1411</v>
      </c>
      <c r="BL6">
        <v>21</v>
      </c>
      <c r="BM6">
        <v>20</v>
      </c>
      <c r="BN6">
        <v>12</v>
      </c>
      <c r="BO6">
        <v>12</v>
      </c>
      <c r="BP6" t="s">
        <v>5091</v>
      </c>
      <c r="BQ6">
        <v>1</v>
      </c>
      <c r="BR6">
        <v>50</v>
      </c>
      <c r="BS6">
        <v>2</v>
      </c>
      <c r="BT6" t="s">
        <v>3329</v>
      </c>
      <c r="BU6" t="s">
        <v>5093</v>
      </c>
      <c r="BY6">
        <v>110</v>
      </c>
      <c r="BZ6">
        <v>350</v>
      </c>
      <c r="CB6">
        <v>160</v>
      </c>
      <c r="CD6" t="s">
        <v>900</v>
      </c>
      <c r="CE6" t="s">
        <v>901</v>
      </c>
      <c r="CF6" t="s">
        <v>902</v>
      </c>
      <c r="CG6" t="s">
        <v>903</v>
      </c>
      <c r="CH6">
        <v>-3</v>
      </c>
      <c r="CI6">
        <v>3</v>
      </c>
      <c r="CJ6" t="s">
        <v>1827</v>
      </c>
      <c r="CK6" t="s">
        <v>1825</v>
      </c>
      <c r="CN6" t="str">
        <f ca="1">IF(AND(ISERR(FIND($CK6,Talente!$CI$41)),ISNA(VLOOKUP($CK6,$AH$51:$AH$55,1))),IF(AND(ISERR(FIND($CL6,Talente!$CI$41)),ISNA(VLOOKUP($CL6,$AH$51:$AH$55,1))),$CM6,$CL6),$CK6)</f>
        <v>Zweihandschwerter/-säbel</v>
      </c>
      <c r="CP6" t="s">
        <v>288</v>
      </c>
      <c r="CQ6" t="s">
        <v>5095</v>
      </c>
      <c r="CR6" t="s">
        <v>7545</v>
      </c>
      <c r="CS6" t="s">
        <v>4012</v>
      </c>
      <c r="CT6" t="s">
        <v>1939</v>
      </c>
      <c r="CU6">
        <v>12</v>
      </c>
      <c r="CV6" t="s">
        <v>7543</v>
      </c>
      <c r="CX6" t="s">
        <v>303</v>
      </c>
      <c r="CY6" t="s">
        <v>75</v>
      </c>
      <c r="CZ6" t="s">
        <v>76</v>
      </c>
      <c r="DA6" t="s">
        <v>750</v>
      </c>
      <c r="DC6" t="s">
        <v>7289</v>
      </c>
      <c r="DD6">
        <v>4</v>
      </c>
      <c r="DE6" t="s">
        <v>4484</v>
      </c>
      <c r="DF6" t="s">
        <v>1619</v>
      </c>
      <c r="DG6" t="s">
        <v>1321</v>
      </c>
      <c r="DH6" t="s">
        <v>6841</v>
      </c>
      <c r="DI6" t="s">
        <v>1621</v>
      </c>
      <c r="DJ6">
        <v>2</v>
      </c>
      <c r="DK6">
        <f t="shared" si="10"/>
        <v>327</v>
      </c>
      <c r="DL6">
        <f t="shared" si="11"/>
        <v>4</v>
      </c>
      <c r="DM6">
        <v>15</v>
      </c>
      <c r="DN6" t="str">
        <f t="shared" ca="1" si="12"/>
        <v/>
      </c>
      <c r="DO6" t="str">
        <f t="shared" ca="1" si="13"/>
        <v/>
      </c>
      <c r="DP6" t="str">
        <f t="shared" ca="1" si="14"/>
        <v/>
      </c>
      <c r="DQ6" t="str">
        <f>IF(EXACT(Zauber!$A$250,""),"",IF(EXACT(RIGHT(HLOOKUP(Zauber!$A$250,PROFMAGIE,$DK6,FALSE)),"H"),CONCATENATE($CX6,","),""))</f>
        <v/>
      </c>
      <c r="DR6" t="str">
        <f t="shared" si="15"/>
        <v/>
      </c>
      <c r="DS6" t="str">
        <f>IF(ZS_IAAK="Ja",IF(EXACT(RIGHT(HLOOKUP(Tabellen_Magie!$IK$1,PROFMAGIE,$DK6,FALSE)),"H"),CONCATENATE($CX6,","),""),"")</f>
        <v/>
      </c>
      <c r="DT6" t="str">
        <f>IF(ZS_IAAK="Ja",IF(NOT(DS6=""),"",IF(OR(EXACT(RIGHT(HLOOKUP(Tabellen_Magie!$IK$1,PROFMAGIE,$DK6,FALSE)),"B"),EXACT(HLOOKUP(Tabellen_Magie!$IK$1,PROFMAGIE,$DK6,FALSE),"")),"",CONCATENATE($CX6,","))),"")</f>
        <v/>
      </c>
      <c r="DU6" t="str">
        <f t="shared" si="16"/>
        <v/>
      </c>
      <c r="DW6" t="s">
        <v>2041</v>
      </c>
      <c r="DX6" t="s">
        <v>74</v>
      </c>
      <c r="DY6" t="s">
        <v>75</v>
      </c>
      <c r="DZ6" t="s">
        <v>76</v>
      </c>
      <c r="EA6" t="s">
        <v>2042</v>
      </c>
      <c r="EB6" t="s">
        <v>2043</v>
      </c>
      <c r="EC6">
        <v>13</v>
      </c>
      <c r="ED6">
        <f t="shared" si="17"/>
        <v>150</v>
      </c>
      <c r="EE6" t="s">
        <v>1250</v>
      </c>
      <c r="EH6">
        <v>3</v>
      </c>
      <c r="EI6">
        <v>150</v>
      </c>
      <c r="EK6" t="s">
        <v>7819</v>
      </c>
      <c r="EL6">
        <v>0</v>
      </c>
      <c r="EM6">
        <v>0</v>
      </c>
      <c r="EN6">
        <v>0</v>
      </c>
      <c r="EO6">
        <v>0</v>
      </c>
      <c r="EP6">
        <v>2</v>
      </c>
      <c r="EQ6">
        <v>2</v>
      </c>
      <c r="ER6">
        <v>0</v>
      </c>
      <c r="ES6">
        <v>0.2</v>
      </c>
      <c r="ET6">
        <v>0.2</v>
      </c>
      <c r="EU6">
        <v>0</v>
      </c>
      <c r="EV6">
        <v>0</v>
      </c>
      <c r="EX6" t="s">
        <v>4273</v>
      </c>
      <c r="EY6" t="s">
        <v>2538</v>
      </c>
      <c r="EZ6" t="s">
        <v>2285</v>
      </c>
      <c r="FA6">
        <v>0</v>
      </c>
      <c r="FB6">
        <v>0</v>
      </c>
      <c r="FD6" t="s">
        <v>788</v>
      </c>
      <c r="FE6">
        <f t="shared" si="18"/>
        <v>40</v>
      </c>
      <c r="FF6">
        <v>1</v>
      </c>
      <c r="FG6" t="s">
        <v>716</v>
      </c>
      <c r="FK6">
        <v>40</v>
      </c>
      <c r="FL6">
        <v>4</v>
      </c>
      <c r="FM6" t="b">
        <f t="shared" ca="1" si="19"/>
        <v>0</v>
      </c>
      <c r="FN6" t="b">
        <f t="shared" ca="1" si="20"/>
        <v>0</v>
      </c>
      <c r="FR6" t="s">
        <v>408</v>
      </c>
      <c r="FS6">
        <v>10</v>
      </c>
      <c r="FT6">
        <v>14</v>
      </c>
      <c r="FU6">
        <v>16</v>
      </c>
      <c r="FV6">
        <v>14</v>
      </c>
      <c r="FW6">
        <v>10</v>
      </c>
      <c r="FX6">
        <v>9</v>
      </c>
      <c r="FY6">
        <v>10</v>
      </c>
      <c r="FZ6">
        <v>12</v>
      </c>
      <c r="GA6">
        <v>11</v>
      </c>
      <c r="GB6">
        <v>8</v>
      </c>
      <c r="GC6">
        <v>14</v>
      </c>
      <c r="GD6">
        <v>14</v>
      </c>
      <c r="GE6">
        <v>10</v>
      </c>
      <c r="GH6" t="s">
        <v>2097</v>
      </c>
      <c r="GI6" t="s">
        <v>4483</v>
      </c>
      <c r="GJ6">
        <v>1</v>
      </c>
      <c r="GK6" t="s">
        <v>4116</v>
      </c>
      <c r="GL6" t="s">
        <v>567</v>
      </c>
      <c r="GM6" t="s">
        <v>1982</v>
      </c>
      <c r="GN6" t="s">
        <v>1973</v>
      </c>
      <c r="GO6">
        <v>259</v>
      </c>
      <c r="GP6">
        <v>336</v>
      </c>
      <c r="GR6">
        <f t="shared" si="22"/>
        <v>355</v>
      </c>
      <c r="GU6" t="str">
        <f t="shared" ca="1" si="23"/>
        <v/>
      </c>
      <c r="GV6" t="str">
        <f t="shared" ca="1" si="24"/>
        <v/>
      </c>
      <c r="GW6" t="str">
        <f t="shared" ca="1" si="25"/>
        <v/>
      </c>
      <c r="GX6" t="str">
        <f t="shared" ca="1" si="26"/>
        <v/>
      </c>
      <c r="HA6" t="s">
        <v>3294</v>
      </c>
      <c r="HB6" t="s">
        <v>1119</v>
      </c>
      <c r="HC6">
        <f t="shared" si="21"/>
        <v>2</v>
      </c>
      <c r="HD6" t="s">
        <v>1320</v>
      </c>
      <c r="HE6" t="s">
        <v>3295</v>
      </c>
      <c r="HG6" t="s">
        <v>1974</v>
      </c>
      <c r="HH6">
        <v>152</v>
      </c>
      <c r="HI6">
        <f t="shared" si="8"/>
        <v>2</v>
      </c>
      <c r="HJ6">
        <f t="shared" si="9"/>
        <v>100</v>
      </c>
      <c r="HK6" t="s">
        <v>1327</v>
      </c>
      <c r="HL6" t="s">
        <v>2369</v>
      </c>
      <c r="HM6" t="s">
        <v>1284</v>
      </c>
    </row>
    <row r="7" spans="1:221" x14ac:dyDescent="0.2">
      <c r="A7" t="s">
        <v>3041</v>
      </c>
      <c r="B7" t="s">
        <v>3630</v>
      </c>
      <c r="E7" t="s">
        <v>1827</v>
      </c>
      <c r="F7" t="s">
        <v>1828</v>
      </c>
      <c r="G7">
        <v>-3</v>
      </c>
      <c r="L7" t="str">
        <f t="shared" si="0"/>
        <v/>
      </c>
      <c r="M7" t="str">
        <f t="shared" si="1"/>
        <v/>
      </c>
      <c r="N7" t="str">
        <f t="shared" si="2"/>
        <v>Bogen</v>
      </c>
      <c r="P7">
        <f t="shared" si="3"/>
        <v>47</v>
      </c>
      <c r="R7" t="s">
        <v>1649</v>
      </c>
      <c r="U7">
        <f>IF(PROFGEBGENE="Magie",5,2)</f>
        <v>2</v>
      </c>
      <c r="Z7" t="s">
        <v>7105</v>
      </c>
      <c r="AA7">
        <v>1.5</v>
      </c>
      <c r="AB7">
        <v>12</v>
      </c>
      <c r="AD7" t="s">
        <v>3995</v>
      </c>
      <c r="AH7">
        <v>3</v>
      </c>
      <c r="AI7">
        <v>1</v>
      </c>
      <c r="AJ7">
        <v>3</v>
      </c>
      <c r="AK7">
        <v>6</v>
      </c>
      <c r="AL7">
        <v>9</v>
      </c>
      <c r="AM7">
        <v>12</v>
      </c>
      <c r="AN7">
        <v>15</v>
      </c>
      <c r="AO7">
        <v>22</v>
      </c>
      <c r="AP7">
        <v>30</v>
      </c>
      <c r="AQ7">
        <v>60</v>
      </c>
      <c r="AS7" t="s">
        <v>4186</v>
      </c>
      <c r="AT7">
        <v>20</v>
      </c>
      <c r="AU7">
        <v>10</v>
      </c>
      <c r="AX7" t="s">
        <v>1829</v>
      </c>
      <c r="AY7">
        <v>6</v>
      </c>
      <c r="AZ7">
        <v>2</v>
      </c>
      <c r="BA7" t="s">
        <v>255</v>
      </c>
      <c r="BG7">
        <v>5</v>
      </c>
      <c r="BI7" t="s">
        <v>72</v>
      </c>
      <c r="BK7" t="s">
        <v>5125</v>
      </c>
      <c r="CD7" t="s">
        <v>1829</v>
      </c>
      <c r="CE7" t="s">
        <v>904</v>
      </c>
      <c r="CF7" t="s">
        <v>897</v>
      </c>
      <c r="CG7" t="s">
        <v>898</v>
      </c>
      <c r="CH7">
        <v>1</v>
      </c>
      <c r="CI7">
        <v>1</v>
      </c>
      <c r="CJ7" t="s">
        <v>905</v>
      </c>
      <c r="CK7" t="s">
        <v>1829</v>
      </c>
      <c r="CL7" t="s">
        <v>1825</v>
      </c>
      <c r="CN7" t="str">
        <f ca="1">IF(AND(ISERR(FIND($CK7,Talente!$CI$41)),ISNA(VLOOKUP($CK7,$AH$51:$AH$55,1))),IF(AND(ISERR(FIND($CL7,Talente!$CI$41)),ISNA(VLOOKUP($CL7,$AH$51:$AH$55,1))),$CM7,$CL7),$CK7)</f>
        <v>Zweihandschwerter/-säbel</v>
      </c>
      <c r="CP7" t="s">
        <v>289</v>
      </c>
      <c r="CQ7" t="s">
        <v>5091</v>
      </c>
      <c r="CR7" t="s">
        <v>2835</v>
      </c>
      <c r="CS7" t="s">
        <v>4012</v>
      </c>
      <c r="CT7" t="s">
        <v>1939</v>
      </c>
      <c r="CU7">
        <v>4</v>
      </c>
      <c r="CX7" t="str">
        <f>"Adlerschwinge (V1: "&amp;Zauber!B177&amp;")"</f>
        <v>Adlerschwinge (V1: Text1 eingeben)</v>
      </c>
      <c r="CY7" t="s">
        <v>74</v>
      </c>
      <c r="CZ7" t="s">
        <v>76</v>
      </c>
      <c r="DA7" t="s">
        <v>751</v>
      </c>
      <c r="DB7" t="s">
        <v>1613</v>
      </c>
      <c r="DC7" t="s">
        <v>7290</v>
      </c>
      <c r="DD7" t="s">
        <v>1118</v>
      </c>
      <c r="DE7" t="s">
        <v>4484</v>
      </c>
      <c r="DF7" t="s">
        <v>1622</v>
      </c>
      <c r="DG7" t="s">
        <v>1955</v>
      </c>
      <c r="DH7" t="s">
        <v>8409</v>
      </c>
      <c r="DI7" t="s">
        <v>1647</v>
      </c>
      <c r="DJ7">
        <v>2</v>
      </c>
      <c r="DK7">
        <f t="shared" si="10"/>
        <v>328</v>
      </c>
      <c r="DL7">
        <f t="shared" si="11"/>
        <v>5</v>
      </c>
      <c r="DM7">
        <v>16</v>
      </c>
      <c r="DN7" t="str">
        <f t="shared" ca="1" si="12"/>
        <v/>
      </c>
      <c r="DO7" t="str">
        <f t="shared" ca="1" si="13"/>
        <v/>
      </c>
      <c r="DP7" t="str">
        <f t="shared" ca="1" si="14"/>
        <v/>
      </c>
      <c r="DQ7" t="str">
        <f>IF(EXACT(Zauber!$A$250,""),"",IF(EXACT(RIGHT(HLOOKUP(Zauber!$A$250,PROFMAGIE,$DK7,FALSE)),"H"),CONCATENATE($CX7,","),""))</f>
        <v/>
      </c>
      <c r="DR7" t="str">
        <f t="shared" si="15"/>
        <v/>
      </c>
      <c r="DS7" t="str">
        <f>IF(ZS_IAAK="Ja",IF(EXACT(RIGHT(HLOOKUP(Tabellen_Magie!$IK$1,PROFMAGIE,$DK7,FALSE)),"H"),CONCATENATE($CX7,","),""),"")</f>
        <v/>
      </c>
      <c r="DT7" t="str">
        <f>IF(ZS_IAAK="Ja",IF(NOT(DS7=""),"",IF(OR(EXACT(RIGHT(HLOOKUP(Tabellen_Magie!$IK$1,PROFMAGIE,$DK7,FALSE)),"B"),EXACT(HLOOKUP(Tabellen_Magie!$IK$1,PROFMAGIE,$DK7,FALSE),"")),"",CONCATENATE($CX7,","))),"")</f>
        <v/>
      </c>
      <c r="DU7" t="str">
        <f t="shared" si="16"/>
        <v/>
      </c>
      <c r="DW7" t="s">
        <v>1126</v>
      </c>
      <c r="DX7" t="s">
        <v>74</v>
      </c>
      <c r="DY7" t="s">
        <v>75</v>
      </c>
      <c r="DZ7" t="s">
        <v>76</v>
      </c>
      <c r="EA7" t="s">
        <v>8563</v>
      </c>
      <c r="EB7" t="s">
        <v>2043</v>
      </c>
      <c r="EC7" t="s">
        <v>8564</v>
      </c>
      <c r="ED7">
        <f t="shared" si="17"/>
        <v>100</v>
      </c>
      <c r="EE7" t="s">
        <v>1250</v>
      </c>
      <c r="EH7">
        <v>2</v>
      </c>
      <c r="EI7">
        <v>100</v>
      </c>
      <c r="EK7" t="s">
        <v>1135</v>
      </c>
      <c r="EL7">
        <v>0</v>
      </c>
      <c r="EM7">
        <v>0</v>
      </c>
      <c r="EN7">
        <v>0</v>
      </c>
      <c r="EO7">
        <v>0</v>
      </c>
      <c r="EP7">
        <v>1</v>
      </c>
      <c r="EQ7">
        <v>1</v>
      </c>
      <c r="ER7">
        <v>0</v>
      </c>
      <c r="ES7">
        <v>0.1</v>
      </c>
      <c r="ET7">
        <v>0.1</v>
      </c>
      <c r="EU7">
        <v>0</v>
      </c>
      <c r="EV7">
        <v>0</v>
      </c>
      <c r="EX7" t="s">
        <v>1332</v>
      </c>
      <c r="EY7" t="s">
        <v>1827</v>
      </c>
      <c r="EZ7" t="s">
        <v>1043</v>
      </c>
      <c r="FA7">
        <v>-1</v>
      </c>
      <c r="FB7">
        <v>3</v>
      </c>
      <c r="FD7" t="s">
        <v>789</v>
      </c>
      <c r="FE7">
        <f t="shared" si="18"/>
        <v>30</v>
      </c>
      <c r="FF7">
        <v>1</v>
      </c>
      <c r="FH7" t="s">
        <v>717</v>
      </c>
      <c r="FK7">
        <v>30</v>
      </c>
      <c r="FL7">
        <v>4</v>
      </c>
      <c r="FM7" t="b">
        <f t="shared" ca="1" si="19"/>
        <v>0</v>
      </c>
      <c r="FN7" t="b">
        <f t="shared" ca="1" si="20"/>
        <v>0</v>
      </c>
      <c r="FQ7" t="s">
        <v>75</v>
      </c>
      <c r="FR7" t="s">
        <v>2491</v>
      </c>
      <c r="FS7">
        <v>3</v>
      </c>
      <c r="FT7">
        <v>4</v>
      </c>
      <c r="FU7">
        <v>2</v>
      </c>
      <c r="FV7">
        <v>3</v>
      </c>
      <c r="FW7">
        <v>2</v>
      </c>
      <c r="FX7">
        <v>4</v>
      </c>
      <c r="FY7">
        <v>4</v>
      </c>
      <c r="FZ7">
        <v>2</v>
      </c>
      <c r="GA7">
        <v>4</v>
      </c>
      <c r="GB7">
        <v>2</v>
      </c>
      <c r="GC7">
        <v>2</v>
      </c>
      <c r="GD7">
        <v>2</v>
      </c>
      <c r="GE7">
        <v>2</v>
      </c>
      <c r="GH7" t="s">
        <v>9316</v>
      </c>
      <c r="GI7" t="s">
        <v>4483</v>
      </c>
      <c r="GJ7">
        <v>1</v>
      </c>
      <c r="GK7" t="s">
        <v>1320</v>
      </c>
      <c r="GL7" t="s">
        <v>1976</v>
      </c>
      <c r="GM7" t="s">
        <v>1982</v>
      </c>
      <c r="GN7" t="s">
        <v>1974</v>
      </c>
      <c r="GO7" t="s">
        <v>9314</v>
      </c>
      <c r="GP7">
        <v>128</v>
      </c>
      <c r="GR7">
        <f t="shared" si="22"/>
        <v>356</v>
      </c>
      <c r="GU7" t="str">
        <f t="shared" ca="1" si="23"/>
        <v/>
      </c>
      <c r="GV7" t="str">
        <f t="shared" ca="1" si="24"/>
        <v/>
      </c>
      <c r="GW7" t="str">
        <f t="shared" ca="1" si="25"/>
        <v/>
      </c>
      <c r="GX7" t="str">
        <f t="shared" ca="1" si="26"/>
        <v/>
      </c>
      <c r="HA7" t="s">
        <v>3296</v>
      </c>
      <c r="HB7" t="s">
        <v>1119</v>
      </c>
      <c r="HC7">
        <f t="shared" si="21"/>
        <v>2</v>
      </c>
      <c r="HD7" t="s">
        <v>1320</v>
      </c>
      <c r="HE7" t="s">
        <v>3295</v>
      </c>
      <c r="HG7" t="s">
        <v>1974</v>
      </c>
      <c r="HH7">
        <v>144</v>
      </c>
      <c r="HI7">
        <f t="shared" si="8"/>
        <v>2</v>
      </c>
      <c r="HJ7">
        <f t="shared" si="9"/>
        <v>100</v>
      </c>
      <c r="HK7" t="s">
        <v>3297</v>
      </c>
      <c r="HL7" t="s">
        <v>3397</v>
      </c>
      <c r="HM7" t="s">
        <v>1284</v>
      </c>
    </row>
    <row r="8" spans="1:221" x14ac:dyDescent="0.2">
      <c r="A8" t="s">
        <v>3042</v>
      </c>
      <c r="B8" t="s">
        <v>3630</v>
      </c>
      <c r="E8" t="s">
        <v>1827</v>
      </c>
      <c r="F8" t="s">
        <v>1955</v>
      </c>
      <c r="G8">
        <v>-2</v>
      </c>
      <c r="L8" t="str">
        <f t="shared" si="0"/>
        <v/>
      </c>
      <c r="M8" t="str">
        <f t="shared" si="1"/>
        <v/>
      </c>
      <c r="N8" t="str">
        <f t="shared" si="2"/>
        <v>Diskus</v>
      </c>
      <c r="P8">
        <f t="shared" si="3"/>
        <v>48</v>
      </c>
      <c r="R8" t="s">
        <v>1648</v>
      </c>
      <c r="U8">
        <f>IF(PROFGEBGENE="Magie",5,2)</f>
        <v>2</v>
      </c>
      <c r="Z8" t="s">
        <v>7106</v>
      </c>
      <c r="AA8">
        <v>1.5</v>
      </c>
      <c r="AB8">
        <v>12</v>
      </c>
      <c r="AD8" t="s">
        <v>3995</v>
      </c>
      <c r="AH8">
        <v>4</v>
      </c>
      <c r="AI8">
        <v>2</v>
      </c>
      <c r="AJ8">
        <v>4</v>
      </c>
      <c r="AK8">
        <v>8</v>
      </c>
      <c r="AL8">
        <v>13</v>
      </c>
      <c r="AM8">
        <v>17</v>
      </c>
      <c r="AN8">
        <v>21</v>
      </c>
      <c r="AO8">
        <v>32</v>
      </c>
      <c r="AP8">
        <v>42</v>
      </c>
      <c r="AQ8">
        <v>85</v>
      </c>
      <c r="AS8" t="s">
        <v>3321</v>
      </c>
      <c r="AT8">
        <v>20</v>
      </c>
      <c r="AU8">
        <v>10</v>
      </c>
      <c r="AX8" t="s">
        <v>1939</v>
      </c>
      <c r="AY8">
        <v>6</v>
      </c>
      <c r="AZ8">
        <v>2</v>
      </c>
      <c r="BG8">
        <v>5</v>
      </c>
      <c r="BI8" t="s">
        <v>4304</v>
      </c>
      <c r="BK8" t="s">
        <v>5126</v>
      </c>
      <c r="BL8">
        <v>19</v>
      </c>
      <c r="BM8">
        <v>18</v>
      </c>
      <c r="BN8" t="s">
        <v>5127</v>
      </c>
      <c r="BO8">
        <v>6</v>
      </c>
      <c r="BP8" t="s">
        <v>5128</v>
      </c>
      <c r="BQ8">
        <v>1</v>
      </c>
      <c r="BR8">
        <v>45</v>
      </c>
      <c r="BS8" t="s">
        <v>5129</v>
      </c>
      <c r="BT8" t="s">
        <v>5130</v>
      </c>
      <c r="BU8" t="s">
        <v>5131</v>
      </c>
      <c r="BW8">
        <v>7</v>
      </c>
      <c r="BX8">
        <v>15</v>
      </c>
      <c r="BY8">
        <f>BX8*7.5</f>
        <v>112.5</v>
      </c>
      <c r="BZ8">
        <f>BX8*10</f>
        <v>150</v>
      </c>
      <c r="CA8" t="s">
        <v>5132</v>
      </c>
      <c r="CB8" t="s">
        <v>5133</v>
      </c>
      <c r="CD8" t="s">
        <v>3565</v>
      </c>
      <c r="CE8" t="s">
        <v>904</v>
      </c>
      <c r="CF8" t="s">
        <v>919</v>
      </c>
      <c r="CG8" t="s">
        <v>898</v>
      </c>
      <c r="CH8">
        <v>0</v>
      </c>
      <c r="CI8">
        <v>0</v>
      </c>
      <c r="CJ8" t="s">
        <v>899</v>
      </c>
      <c r="CK8" t="s">
        <v>2192</v>
      </c>
      <c r="CL8" t="s">
        <v>1938</v>
      </c>
      <c r="CN8" t="str">
        <f ca="1">IF(ISBLANK($CK8),"",IF(AND(ISERR(FIND($CK8,Talente!$CI$41)),ISNA(VLOOKUP($CK8,$AH$51:$AH$55,1))),IF(AND(ISERR(FIND($CL8,Talente!$CI$41)),ISNA(VLOOKUP($CL8,$AH$51:$AH$55,1))),$CM8,$CL8),$CK8))</f>
        <v>Säbel</v>
      </c>
      <c r="CP8" t="s">
        <v>290</v>
      </c>
      <c r="CQ8" t="s">
        <v>5091</v>
      </c>
      <c r="CR8" t="s">
        <v>1657</v>
      </c>
      <c r="CS8" t="s">
        <v>4011</v>
      </c>
      <c r="CT8" t="s">
        <v>1939</v>
      </c>
      <c r="CU8">
        <v>8</v>
      </c>
      <c r="CX8" t="str">
        <f>"Adlerschwinge (V2: "&amp;Zauber!B178&amp;")"</f>
        <v>Adlerschwinge (V2: Text2 eingeben)</v>
      </c>
      <c r="CY8" t="s">
        <v>74</v>
      </c>
      <c r="CZ8" t="s">
        <v>76</v>
      </c>
      <c r="DA8" t="s">
        <v>751</v>
      </c>
      <c r="DB8" t="s">
        <v>1613</v>
      </c>
      <c r="DC8" t="s">
        <v>7290</v>
      </c>
      <c r="DD8" t="s">
        <v>1118</v>
      </c>
      <c r="DE8" t="s">
        <v>4484</v>
      </c>
      <c r="DF8" t="s">
        <v>1622</v>
      </c>
      <c r="DG8" t="s">
        <v>1955</v>
      </c>
      <c r="DH8" t="s">
        <v>8409</v>
      </c>
      <c r="DI8" t="s">
        <v>1647</v>
      </c>
      <c r="DJ8">
        <v>2</v>
      </c>
      <c r="DK8">
        <f t="shared" si="10"/>
        <v>329</v>
      </c>
      <c r="DL8">
        <f t="shared" si="11"/>
        <v>6</v>
      </c>
      <c r="DM8">
        <v>16</v>
      </c>
      <c r="DN8" t="str">
        <f t="shared" ca="1" si="12"/>
        <v/>
      </c>
      <c r="DO8" t="str">
        <f t="shared" ca="1" si="13"/>
        <v/>
      </c>
      <c r="DP8" t="str">
        <f t="shared" ca="1" si="14"/>
        <v/>
      </c>
      <c r="DQ8" t="str">
        <f>IF(EXACT(Zauber!$A$250,""),"",IF(EXACT(RIGHT(HLOOKUP(Zauber!$A$250,PROFMAGIE,$DK8,FALSE)),"H"),CONCATENATE($CX8,","),""))</f>
        <v/>
      </c>
      <c r="DR8" t="str">
        <f t="shared" si="15"/>
        <v/>
      </c>
      <c r="DS8" t="str">
        <f>IF(ZS_IAAK="Ja",IF(EXACT(RIGHT(HLOOKUP(Tabellen_Magie!$IK$1,PROFMAGIE,$DK8,FALSE)),"H"),CONCATENATE($CX8,","),""),"")</f>
        <v/>
      </c>
      <c r="DT8" t="str">
        <f>IF(ZS_IAAK="Ja",IF(NOT(DS8=""),"",IF(OR(EXACT(RIGHT(HLOOKUP(Tabellen_Magie!$IK$1,PROFMAGIE,$DK8,FALSE)),"B"),EXACT(HLOOKUP(Tabellen_Magie!$IK$1,PROFMAGIE,$DK8,FALSE),"")),"",CONCATENATE($CX8,","))),"")</f>
        <v/>
      </c>
      <c r="DU8" t="str">
        <f t="shared" si="16"/>
        <v/>
      </c>
      <c r="DW8" t="s">
        <v>2046</v>
      </c>
      <c r="DX8" t="s">
        <v>74</v>
      </c>
      <c r="DY8" t="s">
        <v>75</v>
      </c>
      <c r="DZ8" t="s">
        <v>76</v>
      </c>
      <c r="EA8" t="s">
        <v>2042</v>
      </c>
      <c r="EB8" t="s">
        <v>2043</v>
      </c>
      <c r="EC8">
        <v>13</v>
      </c>
      <c r="ED8">
        <f t="shared" si="17"/>
        <v>100</v>
      </c>
      <c r="EE8" t="s">
        <v>1250</v>
      </c>
      <c r="EH8">
        <v>2</v>
      </c>
      <c r="EI8">
        <v>100</v>
      </c>
      <c r="EK8" t="s">
        <v>7820</v>
      </c>
      <c r="EL8">
        <v>0</v>
      </c>
      <c r="EM8">
        <v>0</v>
      </c>
      <c r="EN8">
        <v>0</v>
      </c>
      <c r="EO8">
        <v>0</v>
      </c>
      <c r="EP8">
        <v>3</v>
      </c>
      <c r="EQ8">
        <v>3</v>
      </c>
      <c r="ER8">
        <v>0</v>
      </c>
      <c r="ES8">
        <v>0.3</v>
      </c>
      <c r="ET8">
        <v>0.3</v>
      </c>
      <c r="EU8">
        <v>0</v>
      </c>
      <c r="EV8">
        <v>0</v>
      </c>
      <c r="EX8" t="s">
        <v>1039</v>
      </c>
      <c r="EY8" t="s">
        <v>1827</v>
      </c>
      <c r="EZ8" t="s">
        <v>1046</v>
      </c>
      <c r="FA8">
        <v>-1</v>
      </c>
      <c r="FB8">
        <v>6</v>
      </c>
      <c r="FD8" t="s">
        <v>790</v>
      </c>
      <c r="FE8">
        <f t="shared" si="18"/>
        <v>50</v>
      </c>
      <c r="FF8">
        <v>1</v>
      </c>
      <c r="FG8" t="s">
        <v>716</v>
      </c>
      <c r="FK8">
        <v>50</v>
      </c>
      <c r="FL8">
        <v>4</v>
      </c>
      <c r="FM8" t="b">
        <f t="shared" ca="1" si="19"/>
        <v>0</v>
      </c>
      <c r="FN8" t="b">
        <f t="shared" ca="1" si="20"/>
        <v>0</v>
      </c>
      <c r="FR8" t="s">
        <v>408</v>
      </c>
      <c r="FS8">
        <v>8</v>
      </c>
      <c r="FT8">
        <v>9</v>
      </c>
      <c r="FU8">
        <v>5</v>
      </c>
      <c r="FV8">
        <v>8</v>
      </c>
      <c r="FW8">
        <v>5</v>
      </c>
      <c r="FX8">
        <v>6</v>
      </c>
      <c r="FY8">
        <v>9</v>
      </c>
      <c r="FZ8">
        <v>5</v>
      </c>
      <c r="GA8">
        <v>9</v>
      </c>
      <c r="GB8">
        <v>6</v>
      </c>
      <c r="GC8">
        <v>6</v>
      </c>
      <c r="GD8">
        <v>4</v>
      </c>
      <c r="GE8">
        <v>4</v>
      </c>
      <c r="GH8" t="s">
        <v>2098</v>
      </c>
      <c r="GI8" t="s">
        <v>4483</v>
      </c>
      <c r="GJ8">
        <v>1</v>
      </c>
      <c r="GK8" t="s">
        <v>1320</v>
      </c>
      <c r="GL8" t="s">
        <v>567</v>
      </c>
      <c r="GM8" t="s">
        <v>1685</v>
      </c>
      <c r="GN8" t="s">
        <v>1974</v>
      </c>
      <c r="GO8">
        <v>251</v>
      </c>
      <c r="GP8">
        <v>74</v>
      </c>
      <c r="GR8">
        <f t="shared" si="22"/>
        <v>357</v>
      </c>
      <c r="GS8">
        <v>2</v>
      </c>
      <c r="GU8" t="str">
        <f t="shared" ca="1" si="23"/>
        <v/>
      </c>
      <c r="GV8" t="str">
        <f t="shared" ca="1" si="24"/>
        <v/>
      </c>
      <c r="GW8" t="str">
        <f t="shared" ca="1" si="25"/>
        <v/>
      </c>
      <c r="GX8" t="str">
        <f t="shared" ca="1" si="26"/>
        <v/>
      </c>
      <c r="HA8" t="s">
        <v>8392</v>
      </c>
      <c r="HB8" t="s">
        <v>4121</v>
      </c>
      <c r="HC8">
        <f t="shared" si="21"/>
        <v>4</v>
      </c>
      <c r="HD8" t="s">
        <v>4122</v>
      </c>
      <c r="HE8" t="s">
        <v>4123</v>
      </c>
      <c r="HG8" t="s">
        <v>1690</v>
      </c>
      <c r="HH8">
        <v>152</v>
      </c>
      <c r="HI8">
        <f t="shared" si="8"/>
        <v>4</v>
      </c>
      <c r="HJ8">
        <f t="shared" si="9"/>
        <v>200</v>
      </c>
      <c r="HK8" t="s">
        <v>2905</v>
      </c>
      <c r="HL8" t="s">
        <v>2369</v>
      </c>
      <c r="HM8" t="s">
        <v>1284</v>
      </c>
    </row>
    <row r="9" spans="1:221" x14ac:dyDescent="0.2">
      <c r="A9" t="s">
        <v>1957</v>
      </c>
      <c r="B9" t="s">
        <v>1826</v>
      </c>
      <c r="E9" t="s">
        <v>1321</v>
      </c>
      <c r="F9" t="s">
        <v>1955</v>
      </c>
      <c r="G9">
        <v>-1</v>
      </c>
      <c r="H9" t="s">
        <v>3043</v>
      </c>
      <c r="I9" t="s">
        <v>2191</v>
      </c>
      <c r="L9" t="str">
        <f t="shared" si="0"/>
        <v/>
      </c>
      <c r="M9" t="str">
        <f t="shared" si="1"/>
        <v/>
      </c>
      <c r="N9" t="str">
        <f t="shared" si="2"/>
        <v>Dolche</v>
      </c>
      <c r="P9">
        <f t="shared" si="3"/>
        <v>49</v>
      </c>
      <c r="R9" t="s">
        <v>3045</v>
      </c>
      <c r="U9">
        <v>7</v>
      </c>
      <c r="W9" t="s">
        <v>3610</v>
      </c>
      <c r="Z9" t="s">
        <v>4899</v>
      </c>
      <c r="AA9">
        <f ca="1">IF(LEITEIGENSCHAFT="IN",0.5,1)</f>
        <v>1</v>
      </c>
      <c r="AB9">
        <v>5</v>
      </c>
      <c r="AE9" t="s">
        <v>1571</v>
      </c>
      <c r="AH9">
        <v>5</v>
      </c>
      <c r="AI9">
        <v>4</v>
      </c>
      <c r="AJ9">
        <v>6</v>
      </c>
      <c r="AK9">
        <v>11</v>
      </c>
      <c r="AL9">
        <v>17</v>
      </c>
      <c r="AM9">
        <v>22</v>
      </c>
      <c r="AN9">
        <v>28</v>
      </c>
      <c r="AO9">
        <v>41</v>
      </c>
      <c r="AP9">
        <v>55</v>
      </c>
      <c r="AQ9">
        <v>110</v>
      </c>
      <c r="AS9" t="s">
        <v>3915</v>
      </c>
      <c r="AT9">
        <v>20</v>
      </c>
      <c r="AU9">
        <v>10</v>
      </c>
      <c r="AX9" t="s">
        <v>3059</v>
      </c>
      <c r="AY9">
        <v>6</v>
      </c>
      <c r="AZ9">
        <v>2</v>
      </c>
      <c r="BA9" t="s">
        <v>2253</v>
      </c>
      <c r="BB9" t="s">
        <v>1658</v>
      </c>
      <c r="BC9" t="s">
        <v>1659</v>
      </c>
      <c r="BD9" t="s">
        <v>1660</v>
      </c>
      <c r="BE9" t="s">
        <v>1661</v>
      </c>
      <c r="BG9">
        <v>5</v>
      </c>
      <c r="BI9" t="s">
        <v>1154</v>
      </c>
      <c r="BK9" t="s">
        <v>5134</v>
      </c>
      <c r="BL9">
        <v>19</v>
      </c>
      <c r="BM9">
        <v>18</v>
      </c>
      <c r="BN9" t="s">
        <v>5127</v>
      </c>
      <c r="BO9">
        <v>6</v>
      </c>
      <c r="BP9" t="s">
        <v>5128</v>
      </c>
      <c r="BQ9">
        <v>1</v>
      </c>
      <c r="BR9">
        <v>35</v>
      </c>
      <c r="BS9" t="s">
        <v>5135</v>
      </c>
      <c r="BT9" t="s">
        <v>5130</v>
      </c>
      <c r="BU9" t="s">
        <v>5131</v>
      </c>
      <c r="BW9">
        <v>7</v>
      </c>
      <c r="BX9">
        <v>12</v>
      </c>
      <c r="BY9">
        <f>BX9*8</f>
        <v>96</v>
      </c>
      <c r="BZ9">
        <f>BX9*10</f>
        <v>120</v>
      </c>
      <c r="CA9" t="s">
        <v>5136</v>
      </c>
      <c r="CB9" t="s">
        <v>5137</v>
      </c>
      <c r="CD9" t="s">
        <v>906</v>
      </c>
      <c r="CE9" t="s">
        <v>5091</v>
      </c>
      <c r="CF9" t="s">
        <v>907</v>
      </c>
      <c r="CG9" t="s">
        <v>908</v>
      </c>
      <c r="CH9">
        <v>0</v>
      </c>
      <c r="CI9">
        <v>2</v>
      </c>
      <c r="CJ9" t="s">
        <v>899</v>
      </c>
      <c r="CK9" t="s">
        <v>2192</v>
      </c>
      <c r="CL9" t="s">
        <v>1938</v>
      </c>
      <c r="CN9" t="str">
        <f ca="1">IF(AND(ISERR(FIND($CK9,Talente!$CI$41)),ISNA(VLOOKUP($CK9,$AH$51:$AH$55,1))),IF(AND(ISERR(FIND($CL9,Talente!$CI$41)),ISNA(VLOOKUP($CL9,$AH$51:$AH$55,1))),$CM9,$CL9),$CK9)</f>
        <v>Säbel</v>
      </c>
      <c r="CP9" t="s">
        <v>3040</v>
      </c>
      <c r="CQ9" t="s">
        <v>375</v>
      </c>
      <c r="CR9" t="s">
        <v>4661</v>
      </c>
      <c r="CS9" t="s">
        <v>3368</v>
      </c>
      <c r="CT9" t="s">
        <v>3040</v>
      </c>
      <c r="CU9">
        <v>2</v>
      </c>
      <c r="CX9" t="str">
        <f>"Adlerschwinge (V3: "&amp;Zauber!B179&amp;")"</f>
        <v>Adlerschwinge (V3: Text3 eingeben)</v>
      </c>
      <c r="CY9" t="s">
        <v>74</v>
      </c>
      <c r="CZ9" t="s">
        <v>76</v>
      </c>
      <c r="DA9" t="s">
        <v>751</v>
      </c>
      <c r="DB9" t="s">
        <v>1613</v>
      </c>
      <c r="DC9" t="s">
        <v>7290</v>
      </c>
      <c r="DD9" t="s">
        <v>1118</v>
      </c>
      <c r="DE9" t="s">
        <v>4484</v>
      </c>
      <c r="DF9" t="s">
        <v>1622</v>
      </c>
      <c r="DG9" t="s">
        <v>1955</v>
      </c>
      <c r="DH9" t="s">
        <v>8409</v>
      </c>
      <c r="DI9" t="s">
        <v>1647</v>
      </c>
      <c r="DJ9">
        <v>2</v>
      </c>
      <c r="DK9">
        <v>330</v>
      </c>
      <c r="DL9">
        <f t="shared" si="11"/>
        <v>7</v>
      </c>
      <c r="DM9">
        <v>16</v>
      </c>
      <c r="DN9" t="str">
        <f t="shared" ca="1" si="12"/>
        <v/>
      </c>
      <c r="DO9" t="str">
        <f t="shared" ca="1" si="13"/>
        <v/>
      </c>
      <c r="DP9" t="str">
        <f t="shared" ca="1" si="14"/>
        <v/>
      </c>
      <c r="DQ9" t="str">
        <f>IF(EXACT(Zauber!$A$250,""),"",IF(EXACT(RIGHT(HLOOKUP(Zauber!$A$250,PROFMAGIE,$DK9,FALSE)),"H"),CONCATENATE($CX9,","),""))</f>
        <v/>
      </c>
      <c r="DR9" t="str">
        <f t="shared" si="15"/>
        <v/>
      </c>
      <c r="DS9" t="str">
        <f>IF(ZS_IAAK="Ja",IF(EXACT(RIGHT(HLOOKUP(Tabellen_Magie!$IK$1,PROFMAGIE,$DK9,FALSE)),"H"),CONCATENATE($CX9,","),""),"")</f>
        <v/>
      </c>
      <c r="DT9" t="str">
        <f>IF(ZS_IAAK="Ja",IF(NOT(DS9=""),"",IF(OR(EXACT(RIGHT(HLOOKUP(Tabellen_Magie!$IK$1,PROFMAGIE,$DK9,FALSE)),"B"),EXACT(HLOOKUP(Tabellen_Magie!$IK$1,PROFMAGIE,$DK9,FALSE),"")),"",CONCATENATE($CX9,","))),"")</f>
        <v/>
      </c>
      <c r="DU9" t="str">
        <f t="shared" si="16"/>
        <v/>
      </c>
      <c r="DW9" t="s">
        <v>2047</v>
      </c>
      <c r="DX9" t="s">
        <v>4985</v>
      </c>
      <c r="DY9" t="s">
        <v>4985</v>
      </c>
      <c r="DZ9" t="s">
        <v>4985</v>
      </c>
      <c r="EB9" t="s">
        <v>4472</v>
      </c>
      <c r="ED9">
        <f t="shared" si="17"/>
        <v>100</v>
      </c>
      <c r="EE9" t="s">
        <v>1250</v>
      </c>
      <c r="EF9" t="s">
        <v>3282</v>
      </c>
      <c r="EH9">
        <v>2</v>
      </c>
      <c r="EI9">
        <v>100</v>
      </c>
      <c r="EK9" t="s">
        <v>7818</v>
      </c>
      <c r="EL9">
        <v>4</v>
      </c>
      <c r="EM9">
        <v>0</v>
      </c>
      <c r="EN9">
        <v>1</v>
      </c>
      <c r="EO9">
        <v>0</v>
      </c>
      <c r="EP9">
        <v>0</v>
      </c>
      <c r="EQ9">
        <v>0</v>
      </c>
      <c r="ER9">
        <v>0</v>
      </c>
      <c r="ES9">
        <v>0.6</v>
      </c>
      <c r="ET9">
        <v>0.3</v>
      </c>
      <c r="EU9">
        <v>2</v>
      </c>
      <c r="EV9">
        <v>1</v>
      </c>
      <c r="EX9" t="s">
        <v>1040</v>
      </c>
      <c r="EY9" t="s">
        <v>1827</v>
      </c>
      <c r="EZ9" t="s">
        <v>500</v>
      </c>
      <c r="FA9">
        <v>-2</v>
      </c>
      <c r="FB9">
        <v>2</v>
      </c>
      <c r="FD9" t="s">
        <v>791</v>
      </c>
      <c r="FE9">
        <f t="shared" si="18"/>
        <v>60</v>
      </c>
      <c r="FF9">
        <v>1</v>
      </c>
      <c r="FH9" t="s">
        <v>717</v>
      </c>
      <c r="FK9">
        <v>60</v>
      </c>
      <c r="FL9">
        <v>4</v>
      </c>
      <c r="FM9" t="b">
        <f t="shared" ca="1" si="19"/>
        <v>0</v>
      </c>
      <c r="FN9" t="b">
        <f t="shared" ca="1" si="20"/>
        <v>0</v>
      </c>
      <c r="FQ9" t="s">
        <v>76</v>
      </c>
      <c r="FR9" t="s">
        <v>2491</v>
      </c>
      <c r="FS9">
        <v>5</v>
      </c>
      <c r="FT9">
        <v>4</v>
      </c>
      <c r="FU9">
        <v>3</v>
      </c>
      <c r="FV9">
        <v>3</v>
      </c>
      <c r="FW9">
        <v>4</v>
      </c>
      <c r="FX9">
        <v>5</v>
      </c>
      <c r="FY9">
        <v>3</v>
      </c>
      <c r="FZ9">
        <v>4</v>
      </c>
      <c r="GA9">
        <v>3</v>
      </c>
      <c r="GB9">
        <v>3</v>
      </c>
      <c r="GC9">
        <v>2</v>
      </c>
      <c r="GD9">
        <v>4</v>
      </c>
      <c r="GE9">
        <v>5</v>
      </c>
      <c r="GH9" t="s">
        <v>2099</v>
      </c>
      <c r="GI9" t="s">
        <v>4483</v>
      </c>
      <c r="GJ9">
        <v>1</v>
      </c>
      <c r="GK9" t="s">
        <v>1320</v>
      </c>
      <c r="GL9" t="s">
        <v>1977</v>
      </c>
      <c r="GM9" t="s">
        <v>1369</v>
      </c>
      <c r="GN9" t="s">
        <v>1974</v>
      </c>
      <c r="GO9">
        <v>278</v>
      </c>
      <c r="GP9">
        <v>139</v>
      </c>
      <c r="GR9">
        <f t="shared" si="22"/>
        <v>358</v>
      </c>
      <c r="GU9" t="str">
        <f t="shared" ca="1" si="23"/>
        <v/>
      </c>
      <c r="GV9" t="str">
        <f t="shared" ca="1" si="24"/>
        <v/>
      </c>
      <c r="GW9" t="str">
        <f t="shared" ca="1" si="25"/>
        <v/>
      </c>
      <c r="GX9" t="str">
        <f t="shared" ca="1" si="26"/>
        <v/>
      </c>
      <c r="HA9" t="s">
        <v>5040</v>
      </c>
      <c r="HB9" t="s">
        <v>1119</v>
      </c>
      <c r="HC9">
        <f t="shared" si="21"/>
        <v>2</v>
      </c>
      <c r="HD9" t="s">
        <v>1827</v>
      </c>
      <c r="HE9" t="s">
        <v>4123</v>
      </c>
      <c r="HG9" t="s">
        <v>1973</v>
      </c>
      <c r="HH9">
        <v>144</v>
      </c>
      <c r="HI9">
        <f t="shared" si="8"/>
        <v>2</v>
      </c>
      <c r="HJ9">
        <f t="shared" si="9"/>
        <v>100</v>
      </c>
      <c r="HK9" t="s">
        <v>1327</v>
      </c>
      <c r="HL9" t="s">
        <v>3397</v>
      </c>
      <c r="HM9" t="s">
        <v>2685</v>
      </c>
    </row>
    <row r="10" spans="1:221" x14ac:dyDescent="0.2">
      <c r="A10" t="s">
        <v>3043</v>
      </c>
      <c r="B10" t="s">
        <v>1826</v>
      </c>
      <c r="E10" t="s">
        <v>1827</v>
      </c>
      <c r="F10" t="s">
        <v>1828</v>
      </c>
      <c r="G10">
        <v>-1</v>
      </c>
      <c r="H10" t="s">
        <v>1957</v>
      </c>
      <c r="I10" t="s">
        <v>1938</v>
      </c>
      <c r="L10" t="str">
        <f t="shared" si="0"/>
        <v/>
      </c>
      <c r="M10" t="str">
        <f t="shared" si="1"/>
        <v/>
      </c>
      <c r="N10" t="str">
        <f t="shared" si="2"/>
        <v>Fechtwaffen</v>
      </c>
      <c r="P10">
        <f t="shared" si="3"/>
        <v>50</v>
      </c>
      <c r="R10" t="s">
        <v>663</v>
      </c>
      <c r="U10">
        <v>20</v>
      </c>
      <c r="W10" t="s">
        <v>899</v>
      </c>
      <c r="Z10" t="s">
        <v>4460</v>
      </c>
      <c r="AA10">
        <v>1.5</v>
      </c>
      <c r="AB10">
        <v>12</v>
      </c>
      <c r="AD10" t="s">
        <v>3995</v>
      </c>
      <c r="AH10">
        <v>6</v>
      </c>
      <c r="AI10">
        <v>5</v>
      </c>
      <c r="AJ10">
        <v>7</v>
      </c>
      <c r="AK10">
        <v>14</v>
      </c>
      <c r="AL10">
        <v>21</v>
      </c>
      <c r="AM10">
        <v>27</v>
      </c>
      <c r="AN10">
        <v>34</v>
      </c>
      <c r="AO10">
        <v>50</v>
      </c>
      <c r="AP10">
        <v>70</v>
      </c>
      <c r="AQ10">
        <v>140</v>
      </c>
      <c r="AS10" t="s">
        <v>1515</v>
      </c>
      <c r="AT10">
        <v>10</v>
      </c>
      <c r="AU10">
        <v>7</v>
      </c>
      <c r="AX10" t="s">
        <v>3323</v>
      </c>
      <c r="AY10">
        <v>4</v>
      </c>
      <c r="AZ10">
        <v>1</v>
      </c>
      <c r="BA10" t="s">
        <v>222</v>
      </c>
      <c r="BB10" t="s">
        <v>223</v>
      </c>
      <c r="BC10" t="s">
        <v>224</v>
      </c>
      <c r="BG10">
        <v>5</v>
      </c>
      <c r="BI10" t="s">
        <v>1153</v>
      </c>
      <c r="BK10" t="s">
        <v>5138</v>
      </c>
      <c r="BL10">
        <v>19</v>
      </c>
      <c r="BM10">
        <v>15</v>
      </c>
      <c r="BN10" t="s">
        <v>5127</v>
      </c>
      <c r="BO10">
        <v>6</v>
      </c>
      <c r="BP10" t="s">
        <v>5128</v>
      </c>
      <c r="BQ10">
        <v>1</v>
      </c>
      <c r="BR10">
        <v>45</v>
      </c>
      <c r="BS10" t="s">
        <v>5129</v>
      </c>
      <c r="BT10" t="s">
        <v>5130</v>
      </c>
      <c r="BU10" t="s">
        <v>5131</v>
      </c>
      <c r="BW10">
        <v>7</v>
      </c>
      <c r="BX10">
        <v>14</v>
      </c>
      <c r="BY10">
        <f>BX10*8</f>
        <v>112</v>
      </c>
      <c r="BZ10">
        <f>BX10*10</f>
        <v>140</v>
      </c>
      <c r="CA10" t="s">
        <v>5139</v>
      </c>
      <c r="CB10">
        <v>20</v>
      </c>
      <c r="CD10" t="s">
        <v>4134</v>
      </c>
      <c r="CE10" t="s">
        <v>5091</v>
      </c>
      <c r="CF10" t="s">
        <v>917</v>
      </c>
      <c r="CG10" t="s">
        <v>903</v>
      </c>
      <c r="CH10">
        <v>-1</v>
      </c>
      <c r="CI10">
        <v>5</v>
      </c>
      <c r="CJ10" t="s">
        <v>899</v>
      </c>
      <c r="CK10" t="s">
        <v>2190</v>
      </c>
      <c r="CN10" t="str">
        <f ca="1">IF(AND(ISERR(FIND($CK10,Talente!$CI$41)),ISNA(VLOOKUP($CK10,$AH$51:$AH$55,1))),IF(AND(ISERR(FIND($CL10,Talente!$CI$41)),ISNA(VLOOKUP($CL10,$AH$51:$AH$55,1))),$CM10,$CL10),$CK10)</f>
        <v>Hiebwaffen</v>
      </c>
      <c r="CP10" t="s">
        <v>4551</v>
      </c>
      <c r="CQ10" t="s">
        <v>916</v>
      </c>
      <c r="CR10" t="s">
        <v>4662</v>
      </c>
      <c r="CS10" t="s">
        <v>3367</v>
      </c>
      <c r="CT10" t="s">
        <v>2193</v>
      </c>
      <c r="CX10" t="s">
        <v>9123</v>
      </c>
      <c r="CY10" t="s">
        <v>75</v>
      </c>
      <c r="CZ10" t="s">
        <v>77</v>
      </c>
      <c r="DA10" t="s">
        <v>5030</v>
      </c>
      <c r="DC10" t="s">
        <v>7291</v>
      </c>
      <c r="DD10">
        <v>4</v>
      </c>
      <c r="DE10" t="s">
        <v>7319</v>
      </c>
      <c r="DF10" t="s">
        <v>81</v>
      </c>
      <c r="DG10" t="s">
        <v>1321</v>
      </c>
      <c r="DH10" t="s">
        <v>6842</v>
      </c>
      <c r="DI10" t="s">
        <v>3541</v>
      </c>
      <c r="DJ10">
        <v>2</v>
      </c>
      <c r="DK10">
        <f t="shared" si="10"/>
        <v>331</v>
      </c>
      <c r="DL10">
        <f t="shared" si="11"/>
        <v>8</v>
      </c>
      <c r="DM10">
        <v>18</v>
      </c>
      <c r="DN10" t="str">
        <f t="shared" ca="1" si="12"/>
        <v/>
      </c>
      <c r="DO10" t="str">
        <f t="shared" ca="1" si="13"/>
        <v/>
      </c>
      <c r="DP10" t="str">
        <f t="shared" ca="1" si="14"/>
        <v/>
      </c>
      <c r="DQ10" t="str">
        <f>IF(EXACT(Zauber!$A$250,""),"",IF(EXACT(RIGHT(HLOOKUP(Zauber!$A$250,PROFMAGIE,$DK10,FALSE)),"H"),CONCATENATE($CX10,","),""))</f>
        <v/>
      </c>
      <c r="DR10" t="str">
        <f t="shared" si="15"/>
        <v/>
      </c>
      <c r="DS10" t="str">
        <f>IF(ZS_IAAK="Ja",IF(EXACT(RIGHT(HLOOKUP(Tabellen_Magie!$IK$1,PROFMAGIE,$DK10,FALSE)),"H"),CONCATENATE($CX10,","),""),"")</f>
        <v/>
      </c>
      <c r="DT10" t="str">
        <f>IF(ZS_IAAK="Ja",IF(NOT(DS10=""),"",IF(OR(EXACT(RIGHT(HLOOKUP(Tabellen_Magie!$IK$1,PROFMAGIE,$DK10,FALSE)),"B"),EXACT(HLOOKUP(Tabellen_Magie!$IK$1,PROFMAGIE,$DK10,FALSE),"")),"",CONCATENATE($CX10,","))),"")</f>
        <v/>
      </c>
      <c r="DU10" t="str">
        <f t="shared" si="16"/>
        <v/>
      </c>
      <c r="DW10" t="s">
        <v>2050</v>
      </c>
      <c r="DX10" t="s">
        <v>74</v>
      </c>
      <c r="DY10" t="s">
        <v>74</v>
      </c>
      <c r="DZ10" t="s">
        <v>77</v>
      </c>
      <c r="EB10" t="s">
        <v>8565</v>
      </c>
      <c r="EC10" t="s">
        <v>2338</v>
      </c>
      <c r="ED10">
        <f t="shared" si="17"/>
        <v>100</v>
      </c>
      <c r="EE10" t="s">
        <v>1250</v>
      </c>
      <c r="EH10">
        <v>2</v>
      </c>
      <c r="EI10">
        <v>100</v>
      </c>
      <c r="EK10" t="s">
        <v>2736</v>
      </c>
      <c r="EL10">
        <v>2</v>
      </c>
      <c r="EM10">
        <v>1</v>
      </c>
      <c r="EN10">
        <v>1</v>
      </c>
      <c r="EO10">
        <v>0</v>
      </c>
      <c r="EP10">
        <v>0</v>
      </c>
      <c r="EQ10">
        <v>0</v>
      </c>
      <c r="ER10">
        <v>0</v>
      </c>
      <c r="ES10">
        <v>0.6</v>
      </c>
      <c r="ET10">
        <v>0.6</v>
      </c>
      <c r="EU10">
        <v>0</v>
      </c>
      <c r="EV10">
        <v>0</v>
      </c>
      <c r="EX10" t="s">
        <v>3019</v>
      </c>
      <c r="EY10" t="s">
        <v>1320</v>
      </c>
      <c r="EZ10" t="s">
        <v>1043</v>
      </c>
      <c r="FA10">
        <v>0</v>
      </c>
      <c r="FB10">
        <v>-2</v>
      </c>
      <c r="FD10" t="s">
        <v>792</v>
      </c>
      <c r="FE10">
        <f t="shared" si="18"/>
        <v>40</v>
      </c>
      <c r="FF10">
        <v>1</v>
      </c>
      <c r="FG10" t="s">
        <v>716</v>
      </c>
      <c r="FK10">
        <v>40</v>
      </c>
      <c r="FL10">
        <v>4</v>
      </c>
      <c r="FM10" t="b">
        <f t="shared" ca="1" si="19"/>
        <v>0</v>
      </c>
      <c r="FN10" t="b">
        <f t="shared" ca="1" si="20"/>
        <v>0</v>
      </c>
      <c r="FR10" t="s">
        <v>408</v>
      </c>
      <c r="FS10">
        <v>8</v>
      </c>
      <c r="FT10">
        <v>9</v>
      </c>
      <c r="FU10">
        <v>7</v>
      </c>
      <c r="FV10">
        <v>8</v>
      </c>
      <c r="FW10">
        <v>9</v>
      </c>
      <c r="FX10">
        <v>10</v>
      </c>
      <c r="FY10">
        <v>8</v>
      </c>
      <c r="FZ10">
        <v>8</v>
      </c>
      <c r="GA10">
        <v>8</v>
      </c>
      <c r="GB10">
        <v>7</v>
      </c>
      <c r="GC10">
        <v>7</v>
      </c>
      <c r="GD10">
        <v>8</v>
      </c>
      <c r="GE10">
        <v>10</v>
      </c>
      <c r="GH10" t="s">
        <v>2783</v>
      </c>
      <c r="GI10" t="s">
        <v>4483</v>
      </c>
      <c r="GJ10">
        <v>1</v>
      </c>
      <c r="GK10" t="s">
        <v>1320</v>
      </c>
      <c r="GL10" t="s">
        <v>1976</v>
      </c>
      <c r="GM10" t="s">
        <v>1985</v>
      </c>
      <c r="GN10" t="s">
        <v>1690</v>
      </c>
      <c r="GO10">
        <v>267</v>
      </c>
      <c r="GP10">
        <v>262</v>
      </c>
      <c r="GR10">
        <f t="shared" si="22"/>
        <v>359</v>
      </c>
      <c r="GU10" t="str">
        <f t="shared" ca="1" si="23"/>
        <v/>
      </c>
      <c r="GV10" t="str">
        <f t="shared" ca="1" si="24"/>
        <v/>
      </c>
      <c r="GW10" t="str">
        <f t="shared" ca="1" si="25"/>
        <v/>
      </c>
      <c r="GX10" t="str">
        <f t="shared" ca="1" si="26"/>
        <v/>
      </c>
      <c r="HA10" t="s">
        <v>5041</v>
      </c>
      <c r="HB10" t="s">
        <v>4483</v>
      </c>
      <c r="HC10">
        <f t="shared" si="21"/>
        <v>1</v>
      </c>
      <c r="HD10" t="s">
        <v>1827</v>
      </c>
      <c r="HE10" t="s">
        <v>4123</v>
      </c>
      <c r="HG10" t="s">
        <v>1973</v>
      </c>
      <c r="HH10">
        <v>144</v>
      </c>
      <c r="HI10">
        <f t="shared" si="8"/>
        <v>1</v>
      </c>
      <c r="HJ10">
        <f t="shared" si="9"/>
        <v>50</v>
      </c>
      <c r="HK10" t="s">
        <v>1327</v>
      </c>
      <c r="HL10" t="s">
        <v>2369</v>
      </c>
      <c r="HM10" t="s">
        <v>1196</v>
      </c>
    </row>
    <row r="11" spans="1:221" x14ac:dyDescent="0.2">
      <c r="A11" t="s">
        <v>2190</v>
      </c>
      <c r="B11" t="s">
        <v>1826</v>
      </c>
      <c r="E11" t="s">
        <v>1321</v>
      </c>
      <c r="F11" t="s">
        <v>1955</v>
      </c>
      <c r="G11">
        <v>-4</v>
      </c>
      <c r="H11" t="s">
        <v>2192</v>
      </c>
      <c r="L11" t="str">
        <f t="shared" si="0"/>
        <v/>
      </c>
      <c r="M11" t="str">
        <f t="shared" si="1"/>
        <v/>
      </c>
      <c r="N11" t="str">
        <f t="shared" si="2"/>
        <v>Hiebwaffen</v>
      </c>
      <c r="P11">
        <f t="shared" si="3"/>
        <v>51</v>
      </c>
      <c r="R11" t="s">
        <v>116</v>
      </c>
      <c r="U11">
        <v>25</v>
      </c>
      <c r="W11" t="s">
        <v>4484</v>
      </c>
      <c r="Z11" t="s">
        <v>4946</v>
      </c>
      <c r="AA11">
        <v>1</v>
      </c>
      <c r="AB11">
        <v>12</v>
      </c>
      <c r="AD11" t="s">
        <v>3995</v>
      </c>
      <c r="AH11">
        <v>7</v>
      </c>
      <c r="AI11">
        <v>6</v>
      </c>
      <c r="AJ11">
        <v>8</v>
      </c>
      <c r="AK11">
        <v>17</v>
      </c>
      <c r="AL11">
        <v>25</v>
      </c>
      <c r="AM11">
        <v>33</v>
      </c>
      <c r="AN11">
        <v>41</v>
      </c>
      <c r="AO11">
        <v>60</v>
      </c>
      <c r="AP11">
        <v>85</v>
      </c>
      <c r="AQ11">
        <v>165</v>
      </c>
      <c r="AX11" t="s">
        <v>1940</v>
      </c>
      <c r="AY11">
        <v>6</v>
      </c>
      <c r="AZ11">
        <v>2</v>
      </c>
      <c r="BG11">
        <v>5</v>
      </c>
      <c r="BI11" t="s">
        <v>2906</v>
      </c>
      <c r="BK11" t="s">
        <v>5140</v>
      </c>
      <c r="CD11" t="s">
        <v>7568</v>
      </c>
      <c r="CE11" t="s">
        <v>5091</v>
      </c>
      <c r="CF11" t="s">
        <v>917</v>
      </c>
      <c r="CG11" t="s">
        <v>903</v>
      </c>
      <c r="CH11">
        <v>-1</v>
      </c>
      <c r="CI11">
        <v>4</v>
      </c>
      <c r="CJ11" t="s">
        <v>899</v>
      </c>
      <c r="CK11" t="s">
        <v>2190</v>
      </c>
      <c r="CN11" t="str">
        <f ca="1">IF(AND(ISERR(FIND($CK11,Talente!$CI$41)),ISNA(VLOOKUP($CK11,$AH$51:$AH$55,1))),IF(AND(ISERR(FIND($CL11,Talente!$CI$41)),ISNA(VLOOKUP($CL11,$AH$51:$AH$55,1))),$CM11,$CL11),$CK11)</f>
        <v>Hiebwaffen</v>
      </c>
      <c r="CP11" t="s">
        <v>3042</v>
      </c>
      <c r="CQ11" t="s">
        <v>4549</v>
      </c>
      <c r="CR11" t="s">
        <v>3365</v>
      </c>
      <c r="CS11" t="s">
        <v>3367</v>
      </c>
      <c r="CT11" t="s">
        <v>3042</v>
      </c>
      <c r="CX11" t="s">
        <v>304</v>
      </c>
      <c r="CY11" t="s">
        <v>74</v>
      </c>
      <c r="CZ11" t="s">
        <v>5030</v>
      </c>
      <c r="DA11" t="s">
        <v>752</v>
      </c>
      <c r="DC11" t="s">
        <v>7292</v>
      </c>
      <c r="DD11" t="s">
        <v>1245</v>
      </c>
      <c r="DE11" t="s">
        <v>2254</v>
      </c>
      <c r="DF11" t="s">
        <v>1246</v>
      </c>
      <c r="DG11" t="s">
        <v>1955</v>
      </c>
      <c r="DH11" t="s">
        <v>6843</v>
      </c>
      <c r="DI11" t="s">
        <v>3541</v>
      </c>
      <c r="DJ11">
        <v>2</v>
      </c>
      <c r="DK11">
        <f t="shared" si="10"/>
        <v>332</v>
      </c>
      <c r="DL11">
        <f t="shared" si="11"/>
        <v>9</v>
      </c>
      <c r="DM11">
        <v>19</v>
      </c>
      <c r="DN11" t="str">
        <f t="shared" ca="1" si="12"/>
        <v/>
      </c>
      <c r="DO11" t="str">
        <f t="shared" ca="1" si="13"/>
        <v/>
      </c>
      <c r="DP11" t="str">
        <f t="shared" ca="1" si="14"/>
        <v/>
      </c>
      <c r="DQ11" t="str">
        <f>IF(EXACT(Zauber!$A$250,""),"",IF(EXACT(RIGHT(HLOOKUP(Zauber!$A$250,PROFMAGIE,$DK11,FALSE)),"H"),CONCATENATE($CX11,","),""))</f>
        <v/>
      </c>
      <c r="DR11" t="str">
        <f t="shared" si="15"/>
        <v/>
      </c>
      <c r="DS11" t="str">
        <f>IF(ZS_IAAK="Ja",IF(EXACT(RIGHT(HLOOKUP(Tabellen_Magie!$IK$1,PROFMAGIE,$DK11,FALSE)),"H"),CONCATENATE($CX11,","),""),"")</f>
        <v/>
      </c>
      <c r="DT11" t="str">
        <f>IF(ZS_IAAK="Ja",IF(NOT(DS11=""),"",IF(OR(EXACT(RIGHT(HLOOKUP(Tabellen_Magie!$IK$1,PROFMAGIE,$DK11,FALSE)),"B"),EXACT(HLOOKUP(Tabellen_Magie!$IK$1,PROFMAGIE,$DK11,FALSE),"")),"",CONCATENATE($CX11,","))),"")</f>
        <v/>
      </c>
      <c r="DU11" t="str">
        <f t="shared" si="16"/>
        <v/>
      </c>
      <c r="DW11" t="s">
        <v>1081</v>
      </c>
      <c r="DX11" t="s">
        <v>4985</v>
      </c>
      <c r="DY11" t="s">
        <v>4985</v>
      </c>
      <c r="DZ11" t="s">
        <v>4985</v>
      </c>
      <c r="EB11" t="s">
        <v>4472</v>
      </c>
      <c r="ED11">
        <f t="shared" si="17"/>
        <v>25</v>
      </c>
      <c r="EE11" t="s">
        <v>1250</v>
      </c>
      <c r="EF11" t="s">
        <v>3282</v>
      </c>
      <c r="EH11">
        <v>1</v>
      </c>
      <c r="EI11">
        <v>25</v>
      </c>
      <c r="EK11" t="s">
        <v>4336</v>
      </c>
      <c r="EL11">
        <v>0</v>
      </c>
      <c r="EM11">
        <v>0</v>
      </c>
      <c r="EN11">
        <v>0</v>
      </c>
      <c r="EO11">
        <v>0</v>
      </c>
      <c r="EP11">
        <v>0</v>
      </c>
      <c r="EQ11">
        <v>0</v>
      </c>
      <c r="ER11">
        <v>2</v>
      </c>
      <c r="ES11">
        <v>0.4</v>
      </c>
      <c r="ET11" t="s">
        <v>4212</v>
      </c>
      <c r="EU11">
        <v>1</v>
      </c>
      <c r="EV11">
        <v>1</v>
      </c>
      <c r="EX11" t="s">
        <v>4272</v>
      </c>
      <c r="EY11" t="s">
        <v>1320</v>
      </c>
      <c r="EZ11" t="s">
        <v>502</v>
      </c>
      <c r="FA11">
        <v>1</v>
      </c>
      <c r="FB11">
        <v>3</v>
      </c>
      <c r="FD11" t="s">
        <v>793</v>
      </c>
      <c r="FE11">
        <f t="shared" si="18"/>
        <v>30</v>
      </c>
      <c r="FF11">
        <v>1</v>
      </c>
      <c r="FG11" t="s">
        <v>716</v>
      </c>
      <c r="FK11">
        <v>30</v>
      </c>
      <c r="FL11">
        <v>4</v>
      </c>
      <c r="FM11" t="b">
        <f t="shared" ca="1" si="19"/>
        <v>0</v>
      </c>
      <c r="FN11" t="b">
        <f t="shared" ca="1" si="20"/>
        <v>0</v>
      </c>
      <c r="FQ11" t="s">
        <v>77</v>
      </c>
      <c r="FR11" t="s">
        <v>2491</v>
      </c>
      <c r="FS11">
        <v>6</v>
      </c>
      <c r="FT11">
        <v>6</v>
      </c>
      <c r="FU11">
        <v>4</v>
      </c>
      <c r="FV11">
        <v>5</v>
      </c>
      <c r="FW11">
        <v>3</v>
      </c>
      <c r="FX11">
        <v>7</v>
      </c>
      <c r="FY11">
        <v>4</v>
      </c>
      <c r="FZ11">
        <v>4</v>
      </c>
      <c r="GA11">
        <v>4</v>
      </c>
      <c r="GB11">
        <v>4</v>
      </c>
      <c r="GC11">
        <v>5</v>
      </c>
      <c r="GD11">
        <v>4</v>
      </c>
      <c r="GE11">
        <v>7</v>
      </c>
      <c r="GH11" t="s">
        <v>2594</v>
      </c>
      <c r="GI11" t="s">
        <v>4483</v>
      </c>
      <c r="GJ11">
        <v>1</v>
      </c>
      <c r="GK11" t="s">
        <v>4116</v>
      </c>
      <c r="GL11" t="s">
        <v>1976</v>
      </c>
      <c r="GM11" t="s">
        <v>1981</v>
      </c>
      <c r="GN11" t="s">
        <v>1974</v>
      </c>
      <c r="GO11">
        <v>251</v>
      </c>
      <c r="GP11">
        <v>76</v>
      </c>
      <c r="GR11">
        <f t="shared" si="22"/>
        <v>360</v>
      </c>
      <c r="GU11" t="str">
        <f t="shared" ca="1" si="23"/>
        <v/>
      </c>
      <c r="GV11" t="str">
        <f t="shared" ca="1" si="24"/>
        <v/>
      </c>
      <c r="GW11" t="str">
        <f t="shared" ca="1" si="25"/>
        <v/>
      </c>
      <c r="GX11" t="str">
        <f t="shared" ca="1" si="26"/>
        <v/>
      </c>
      <c r="HA11" t="s">
        <v>5042</v>
      </c>
      <c r="HB11" t="s">
        <v>4483</v>
      </c>
      <c r="HC11">
        <f t="shared" si="21"/>
        <v>1</v>
      </c>
      <c r="HD11" t="s">
        <v>1549</v>
      </c>
      <c r="HE11" t="s">
        <v>3295</v>
      </c>
      <c r="HG11" t="s">
        <v>1974</v>
      </c>
      <c r="HH11">
        <v>145</v>
      </c>
      <c r="HI11">
        <f t="shared" si="8"/>
        <v>1</v>
      </c>
      <c r="HJ11">
        <f t="shared" si="9"/>
        <v>50</v>
      </c>
      <c r="HK11" t="s">
        <v>527</v>
      </c>
      <c r="HL11" t="s">
        <v>3396</v>
      </c>
      <c r="HM11" t="s">
        <v>3961</v>
      </c>
    </row>
    <row r="12" spans="1:221" x14ac:dyDescent="0.2">
      <c r="A12" t="s">
        <v>3044</v>
      </c>
      <c r="B12" t="s">
        <v>1826</v>
      </c>
      <c r="E12" t="s">
        <v>1827</v>
      </c>
      <c r="F12" t="s">
        <v>1955</v>
      </c>
      <c r="G12">
        <v>-3</v>
      </c>
      <c r="H12" t="s">
        <v>1530</v>
      </c>
      <c r="I12" t="s">
        <v>3629</v>
      </c>
      <c r="L12" t="str">
        <f t="shared" si="0"/>
        <v/>
      </c>
      <c r="M12" t="str">
        <f t="shared" si="1"/>
        <v/>
      </c>
      <c r="N12" t="str">
        <f t="shared" si="2"/>
        <v>Infanteriewaffen</v>
      </c>
      <c r="P12">
        <f t="shared" si="3"/>
        <v>52</v>
      </c>
      <c r="R12" t="s">
        <v>314</v>
      </c>
      <c r="U12">
        <v>3</v>
      </c>
      <c r="Z12" t="s">
        <v>4461</v>
      </c>
      <c r="AC12">
        <v>7</v>
      </c>
      <c r="AE12" t="s">
        <v>1571</v>
      </c>
      <c r="AH12">
        <v>8</v>
      </c>
      <c r="AI12">
        <v>8</v>
      </c>
      <c r="AJ12">
        <v>10</v>
      </c>
      <c r="AK12">
        <v>19</v>
      </c>
      <c r="AL12">
        <v>29</v>
      </c>
      <c r="AM12">
        <v>39</v>
      </c>
      <c r="AN12">
        <v>48</v>
      </c>
      <c r="AO12">
        <v>75</v>
      </c>
      <c r="AP12">
        <v>95</v>
      </c>
      <c r="AQ12">
        <v>195</v>
      </c>
      <c r="AX12" t="s">
        <v>4538</v>
      </c>
      <c r="AY12">
        <v>4</v>
      </c>
      <c r="AZ12">
        <v>1</v>
      </c>
      <c r="BA12" t="s">
        <v>2082</v>
      </c>
      <c r="BB12" t="s">
        <v>2083</v>
      </c>
      <c r="BC12" t="s">
        <v>2084</v>
      </c>
      <c r="BD12" t="s">
        <v>2085</v>
      </c>
      <c r="BE12" t="s">
        <v>2086</v>
      </c>
      <c r="BG12">
        <v>5</v>
      </c>
      <c r="BI12" t="s">
        <v>4305</v>
      </c>
      <c r="BK12" t="s">
        <v>5141</v>
      </c>
      <c r="CD12" t="s">
        <v>909</v>
      </c>
      <c r="CE12" t="s">
        <v>904</v>
      </c>
      <c r="CF12" t="s">
        <v>910</v>
      </c>
      <c r="CG12" t="s">
        <v>908</v>
      </c>
      <c r="CH12">
        <v>-1</v>
      </c>
      <c r="CI12">
        <v>4</v>
      </c>
      <c r="CJ12" t="s">
        <v>899</v>
      </c>
      <c r="CK12" t="s">
        <v>1938</v>
      </c>
      <c r="CL12" t="s">
        <v>2190</v>
      </c>
      <c r="CN12" t="str">
        <f ca="1">IF(AND(ISERR(FIND($CK12,Talente!$CI$41)),ISNA(VLOOKUP($CK12,$AH$51:$AH$55,1))),IF(AND(ISERR(FIND($CL12,Talente!$CI$41)),ISNA(VLOOKUP($CL12,$AH$51:$AH$55,1))),$CM12,$CL12),$CK12)</f>
        <v>Schwerter</v>
      </c>
      <c r="CP12" t="s">
        <v>4599</v>
      </c>
      <c r="CQ12" t="s">
        <v>1209</v>
      </c>
      <c r="CR12" t="s">
        <v>2769</v>
      </c>
      <c r="CS12" t="s">
        <v>3369</v>
      </c>
      <c r="CT12" t="s">
        <v>2193</v>
      </c>
      <c r="CX12" t="s">
        <v>677</v>
      </c>
      <c r="CY12" t="s">
        <v>74</v>
      </c>
      <c r="CZ12" t="s">
        <v>76</v>
      </c>
      <c r="DA12" t="s">
        <v>5030</v>
      </c>
      <c r="DC12" t="s">
        <v>7292</v>
      </c>
      <c r="DD12" t="s">
        <v>1247</v>
      </c>
      <c r="DE12" t="s">
        <v>4359</v>
      </c>
      <c r="DF12" t="s">
        <v>1617</v>
      </c>
      <c r="DG12" t="s">
        <v>1955</v>
      </c>
      <c r="DH12" t="s">
        <v>6844</v>
      </c>
      <c r="DI12" t="s">
        <v>3541</v>
      </c>
      <c r="DJ12">
        <v>2</v>
      </c>
      <c r="DK12">
        <f t="shared" si="10"/>
        <v>333</v>
      </c>
      <c r="DL12">
        <f t="shared" si="11"/>
        <v>10</v>
      </c>
      <c r="DM12">
        <v>20</v>
      </c>
      <c r="DN12" t="str">
        <f t="shared" ca="1" si="12"/>
        <v/>
      </c>
      <c r="DO12" t="str">
        <f t="shared" ca="1" si="13"/>
        <v/>
      </c>
      <c r="DP12" t="str">
        <f t="shared" ca="1" si="14"/>
        <v/>
      </c>
      <c r="DQ12" t="str">
        <f>IF(EXACT(Zauber!$A$250,""),"",IF(EXACT(RIGHT(HLOOKUP(Zauber!$A$250,PROFMAGIE,$DK12,FALSE)),"H"),CONCATENATE($CX12,","),""))</f>
        <v/>
      </c>
      <c r="DR12" t="str">
        <f t="shared" si="15"/>
        <v/>
      </c>
      <c r="DS12" t="str">
        <f>IF(ZS_IAAK="Ja",IF(EXACT(RIGHT(HLOOKUP(Tabellen_Magie!$IK$1,PROFMAGIE,$DK12,FALSE)),"H"),CONCATENATE($CX12,","),""),"")</f>
        <v/>
      </c>
      <c r="DT12" t="str">
        <f>IF(ZS_IAAK="Ja",IF(NOT(DS12=""),"",IF(OR(EXACT(RIGHT(HLOOKUP(Tabellen_Magie!$IK$1,PROFMAGIE,$DK12,FALSE)),"B"),EXACT(HLOOKUP(Tabellen_Magie!$IK$1,PROFMAGIE,$DK12,FALSE),"")),"",CONCATENATE($CX12,","))),"")</f>
        <v/>
      </c>
      <c r="DU12" t="str">
        <f t="shared" si="16"/>
        <v/>
      </c>
      <c r="DW12" t="s">
        <v>2048</v>
      </c>
      <c r="DX12" t="s">
        <v>74</v>
      </c>
      <c r="DY12" t="s">
        <v>75</v>
      </c>
      <c r="DZ12" t="s">
        <v>76</v>
      </c>
      <c r="EB12" t="s">
        <v>81</v>
      </c>
      <c r="EC12" t="s">
        <v>2990</v>
      </c>
      <c r="ED12">
        <f t="shared" si="17"/>
        <v>25</v>
      </c>
      <c r="EE12" t="s">
        <v>1250</v>
      </c>
      <c r="EF12" t="s">
        <v>3282</v>
      </c>
      <c r="EH12">
        <v>1</v>
      </c>
      <c r="EI12">
        <v>25</v>
      </c>
      <c r="EK12" t="s">
        <v>2011</v>
      </c>
      <c r="EL12">
        <v>0</v>
      </c>
      <c r="EM12">
        <v>0</v>
      </c>
      <c r="EN12">
        <v>0</v>
      </c>
      <c r="EO12">
        <v>0</v>
      </c>
      <c r="EP12">
        <v>0</v>
      </c>
      <c r="EQ12">
        <v>0</v>
      </c>
      <c r="ER12">
        <v>1</v>
      </c>
      <c r="ES12">
        <v>0.2</v>
      </c>
      <c r="ET12">
        <v>0.2</v>
      </c>
      <c r="EU12">
        <v>0</v>
      </c>
      <c r="EV12">
        <v>0</v>
      </c>
      <c r="EX12" t="s">
        <v>3494</v>
      </c>
      <c r="EY12" t="s">
        <v>1320</v>
      </c>
      <c r="EZ12" t="s">
        <v>3237</v>
      </c>
      <c r="FA12">
        <v>0</v>
      </c>
      <c r="FB12">
        <v>1</v>
      </c>
      <c r="FD12" t="s">
        <v>794</v>
      </c>
      <c r="FE12">
        <f t="shared" si="18"/>
        <v>30</v>
      </c>
      <c r="FF12">
        <v>1</v>
      </c>
      <c r="FI12" t="s">
        <v>716</v>
      </c>
      <c r="FK12">
        <v>30</v>
      </c>
      <c r="FL12">
        <v>4</v>
      </c>
      <c r="FM12" t="b">
        <f t="shared" ca="1" si="19"/>
        <v>0</v>
      </c>
      <c r="FN12" t="b">
        <f t="shared" ca="1" si="20"/>
        <v>0</v>
      </c>
      <c r="FR12" t="s">
        <v>408</v>
      </c>
      <c r="FS12">
        <v>9</v>
      </c>
      <c r="FT12">
        <v>10</v>
      </c>
      <c r="FU12">
        <v>8</v>
      </c>
      <c r="FV12">
        <v>10</v>
      </c>
      <c r="FW12">
        <v>8</v>
      </c>
      <c r="FX12">
        <v>12</v>
      </c>
      <c r="FY12">
        <v>10</v>
      </c>
      <c r="FZ12">
        <v>10</v>
      </c>
      <c r="GA12">
        <v>10</v>
      </c>
      <c r="GB12">
        <v>9</v>
      </c>
      <c r="GC12">
        <v>6</v>
      </c>
      <c r="GD12">
        <v>10</v>
      </c>
      <c r="GE12">
        <v>12</v>
      </c>
      <c r="GH12" t="s">
        <v>2595</v>
      </c>
      <c r="GI12" t="s">
        <v>4483</v>
      </c>
      <c r="GJ12">
        <v>1</v>
      </c>
      <c r="GK12" t="s">
        <v>4484</v>
      </c>
      <c r="GL12" t="s">
        <v>567</v>
      </c>
      <c r="GM12" t="s">
        <v>1982</v>
      </c>
      <c r="GN12" t="s">
        <v>1690</v>
      </c>
      <c r="GO12">
        <v>282</v>
      </c>
      <c r="GP12">
        <v>152</v>
      </c>
      <c r="GR12">
        <f t="shared" si="22"/>
        <v>361</v>
      </c>
      <c r="GU12" t="str">
        <f t="shared" ca="1" si="23"/>
        <v/>
      </c>
      <c r="GV12" t="str">
        <f t="shared" ca="1" si="24"/>
        <v/>
      </c>
      <c r="GW12" t="str">
        <f t="shared" ca="1" si="25"/>
        <v/>
      </c>
      <c r="GX12" t="str">
        <f t="shared" ca="1" si="26"/>
        <v/>
      </c>
      <c r="HA12" t="s">
        <v>4884</v>
      </c>
      <c r="HB12" t="s">
        <v>3290</v>
      </c>
      <c r="HC12">
        <f t="shared" si="21"/>
        <v>3</v>
      </c>
      <c r="HD12" t="s">
        <v>4885</v>
      </c>
      <c r="HE12" t="s">
        <v>3295</v>
      </c>
      <c r="HG12" t="s">
        <v>1974</v>
      </c>
      <c r="HH12">
        <v>145</v>
      </c>
      <c r="HI12">
        <f t="shared" si="8"/>
        <v>3</v>
      </c>
      <c r="HJ12">
        <f t="shared" si="9"/>
        <v>150</v>
      </c>
      <c r="HK12" t="s">
        <v>4886</v>
      </c>
      <c r="HL12" t="s">
        <v>3397</v>
      </c>
      <c r="HM12" t="s">
        <v>1284</v>
      </c>
    </row>
    <row r="13" spans="1:221" x14ac:dyDescent="0.2">
      <c r="A13" t="s">
        <v>1524</v>
      </c>
      <c r="B13" t="s">
        <v>1826</v>
      </c>
      <c r="E13" t="s">
        <v>1827</v>
      </c>
      <c r="F13" t="s">
        <v>1828</v>
      </c>
      <c r="G13">
        <v>-1</v>
      </c>
      <c r="H13" t="s">
        <v>1525</v>
      </c>
      <c r="I13" t="s">
        <v>1534</v>
      </c>
      <c r="L13" t="str">
        <f t="shared" si="0"/>
        <v/>
      </c>
      <c r="M13" t="str">
        <f t="shared" si="1"/>
        <v/>
      </c>
      <c r="N13" t="str">
        <f t="shared" si="2"/>
        <v>Kettenstäbe</v>
      </c>
      <c r="P13">
        <f t="shared" si="3"/>
        <v>53</v>
      </c>
      <c r="R13" t="s">
        <v>4368</v>
      </c>
      <c r="U13">
        <v>4</v>
      </c>
      <c r="W13" t="s">
        <v>2070</v>
      </c>
      <c r="Z13" t="s">
        <v>4541</v>
      </c>
      <c r="AC13">
        <v>5</v>
      </c>
      <c r="AE13" t="s">
        <v>4588</v>
      </c>
      <c r="AH13">
        <v>9</v>
      </c>
      <c r="AI13">
        <v>9</v>
      </c>
      <c r="AJ13">
        <v>11</v>
      </c>
      <c r="AK13">
        <v>22</v>
      </c>
      <c r="AL13">
        <v>34</v>
      </c>
      <c r="AM13">
        <v>45</v>
      </c>
      <c r="AN13">
        <v>55</v>
      </c>
      <c r="AO13">
        <v>85</v>
      </c>
      <c r="AP13">
        <v>110</v>
      </c>
      <c r="AQ13">
        <v>220</v>
      </c>
      <c r="AX13" t="s">
        <v>4119</v>
      </c>
      <c r="AY13">
        <v>4</v>
      </c>
      <c r="AZ13">
        <v>1</v>
      </c>
      <c r="BA13" t="s">
        <v>4985</v>
      </c>
      <c r="BG13">
        <v>5</v>
      </c>
      <c r="BI13" t="s">
        <v>3400</v>
      </c>
      <c r="BK13" t="s">
        <v>5142</v>
      </c>
      <c r="CD13" t="s">
        <v>911</v>
      </c>
      <c r="CE13" t="s">
        <v>901</v>
      </c>
      <c r="CF13" t="s">
        <v>913</v>
      </c>
      <c r="CG13" t="s">
        <v>914</v>
      </c>
      <c r="CH13">
        <v>-2</v>
      </c>
      <c r="CI13">
        <v>3</v>
      </c>
      <c r="CJ13" t="s">
        <v>899</v>
      </c>
      <c r="CK13" t="s">
        <v>3629</v>
      </c>
      <c r="CN13" t="str">
        <f ca="1">IF(AND(ISERR(FIND($CK13,Talente!$CI$41)),ISNA(VLOOKUP($CK13,$AH$51:$AH$55,1))),IF(AND(ISERR(FIND($CL13,Talente!$CI$41)),ISNA(VLOOKUP($CL13,$AH$51:$AH$55,1))),$CM13,$CL13),$CK13)</f>
        <v>Zweihand-Hiebwaffen</v>
      </c>
      <c r="CP13" t="s">
        <v>4605</v>
      </c>
      <c r="CQ13" t="s">
        <v>5091</v>
      </c>
      <c r="CR13" t="s">
        <v>2773</v>
      </c>
      <c r="CS13" t="s">
        <v>4980</v>
      </c>
      <c r="CT13" t="s">
        <v>1533</v>
      </c>
      <c r="CX13" t="s">
        <v>8920</v>
      </c>
      <c r="CY13" t="s">
        <v>75</v>
      </c>
      <c r="CZ13" t="s">
        <v>76</v>
      </c>
      <c r="DA13" t="s">
        <v>751</v>
      </c>
      <c r="DC13" t="s">
        <v>7294</v>
      </c>
      <c r="DD13" t="s">
        <v>2727</v>
      </c>
      <c r="DE13" t="s">
        <v>1835</v>
      </c>
      <c r="DF13" t="s">
        <v>8921</v>
      </c>
      <c r="DG13" t="s">
        <v>1956</v>
      </c>
      <c r="DH13" t="s">
        <v>8922</v>
      </c>
      <c r="DI13" t="s">
        <v>8923</v>
      </c>
      <c r="DJ13">
        <v>2</v>
      </c>
      <c r="DK13">
        <f t="shared" si="10"/>
        <v>334</v>
      </c>
      <c r="DL13">
        <f t="shared" si="11"/>
        <v>11</v>
      </c>
      <c r="DN13" t="str">
        <f t="shared" ca="1" si="12"/>
        <v/>
      </c>
      <c r="DO13" t="str">
        <f t="shared" ca="1" si="13"/>
        <v/>
      </c>
      <c r="DP13" t="str">
        <f t="shared" ca="1" si="14"/>
        <v/>
      </c>
      <c r="DQ13" t="str">
        <f>IF(EXACT(Zauber!$A$250,""),"",IF(EXACT(RIGHT(HLOOKUP(Zauber!$A$250,PROFMAGIE,$DK13,FALSE)),"H"),CONCATENATE($CX13,","),""))</f>
        <v/>
      </c>
      <c r="DR13" t="str">
        <f t="shared" si="15"/>
        <v/>
      </c>
      <c r="DS13" t="str">
        <f>IF(ZS_IAAK="Ja",IF(EXACT(RIGHT(HLOOKUP(Tabellen_Magie!$IK$1,PROFMAGIE,$DK13,FALSE)),"H"),CONCATENATE($CX13,","),""),"")</f>
        <v/>
      </c>
      <c r="DT13" t="str">
        <f>IF(ZS_IAAK="Ja",IF(NOT(DS13=""),"",IF(OR(EXACT(RIGHT(HLOOKUP(Tabellen_Magie!$IK$1,PROFMAGIE,$DK13,FALSE)),"B"),EXACT(HLOOKUP(Tabellen_Magie!$IK$1,PROFMAGIE,$DK13,FALSE),"")),"",CONCATENATE($CX13,","))),"")</f>
        <v/>
      </c>
      <c r="DU13" t="str">
        <f t="shared" si="16"/>
        <v/>
      </c>
      <c r="DW13" t="s">
        <v>1035</v>
      </c>
      <c r="DX13" t="s">
        <v>76</v>
      </c>
      <c r="DY13" t="s">
        <v>5030</v>
      </c>
      <c r="DZ13" t="s">
        <v>752</v>
      </c>
      <c r="EB13" t="s">
        <v>81</v>
      </c>
      <c r="EC13" t="s">
        <v>2992</v>
      </c>
      <c r="ED13">
        <f t="shared" si="17"/>
        <v>100</v>
      </c>
      <c r="EE13" t="s">
        <v>1250</v>
      </c>
      <c r="EF13" t="s">
        <v>3282</v>
      </c>
      <c r="EH13">
        <v>2</v>
      </c>
      <c r="EI13">
        <v>100</v>
      </c>
      <c r="EK13" t="s">
        <v>415</v>
      </c>
      <c r="EL13">
        <v>0</v>
      </c>
      <c r="EM13">
        <v>0</v>
      </c>
      <c r="EN13">
        <v>0</v>
      </c>
      <c r="EO13">
        <v>0</v>
      </c>
      <c r="EP13">
        <v>0</v>
      </c>
      <c r="EQ13">
        <v>0</v>
      </c>
      <c r="ER13">
        <v>3</v>
      </c>
      <c r="ES13">
        <v>0.6</v>
      </c>
      <c r="ET13">
        <v>0.6</v>
      </c>
      <c r="EU13">
        <v>1</v>
      </c>
      <c r="EV13">
        <v>1</v>
      </c>
      <c r="EX13" t="s">
        <v>1334</v>
      </c>
      <c r="EY13" t="s">
        <v>1827</v>
      </c>
      <c r="EZ13" t="s">
        <v>1043</v>
      </c>
      <c r="FA13">
        <v>0</v>
      </c>
      <c r="FB13">
        <v>5</v>
      </c>
      <c r="FD13" t="s">
        <v>795</v>
      </c>
      <c r="FE13">
        <f t="shared" si="18"/>
        <v>40</v>
      </c>
      <c r="FF13">
        <v>1</v>
      </c>
      <c r="FI13" t="s">
        <v>716</v>
      </c>
      <c r="FJ13" t="s">
        <v>717</v>
      </c>
      <c r="FK13">
        <v>40</v>
      </c>
      <c r="FL13">
        <v>4</v>
      </c>
      <c r="FM13" t="b">
        <f t="shared" ca="1" si="19"/>
        <v>0</v>
      </c>
      <c r="FN13" t="b">
        <f t="shared" ca="1" si="20"/>
        <v>0</v>
      </c>
      <c r="FQ13" t="s">
        <v>750</v>
      </c>
      <c r="FR13" t="s">
        <v>2491</v>
      </c>
      <c r="FS13">
        <v>10</v>
      </c>
      <c r="FT13">
        <v>4</v>
      </c>
      <c r="FU13">
        <v>3</v>
      </c>
      <c r="FV13">
        <v>2</v>
      </c>
      <c r="FW13">
        <v>3</v>
      </c>
      <c r="FX13">
        <v>2</v>
      </c>
      <c r="FY13">
        <v>1</v>
      </c>
      <c r="FZ13">
        <v>3</v>
      </c>
      <c r="GA13">
        <v>3</v>
      </c>
      <c r="GB13">
        <v>1</v>
      </c>
      <c r="GC13">
        <v>5</v>
      </c>
      <c r="GD13">
        <v>3</v>
      </c>
      <c r="GE13">
        <v>2</v>
      </c>
      <c r="GH13" t="s">
        <v>2596</v>
      </c>
      <c r="GI13" t="s">
        <v>4483</v>
      </c>
      <c r="GJ13">
        <v>1</v>
      </c>
      <c r="GK13" t="s">
        <v>1320</v>
      </c>
      <c r="GL13" t="s">
        <v>567</v>
      </c>
      <c r="GM13" t="s">
        <v>2685</v>
      </c>
      <c r="GN13" t="s">
        <v>1974</v>
      </c>
      <c r="GO13">
        <v>252</v>
      </c>
      <c r="GP13">
        <v>77</v>
      </c>
      <c r="GR13">
        <f t="shared" si="22"/>
        <v>362</v>
      </c>
      <c r="GU13" t="str">
        <f t="shared" ca="1" si="23"/>
        <v/>
      </c>
      <c r="GV13" t="str">
        <f t="shared" ca="1" si="24"/>
        <v/>
      </c>
      <c r="GW13" t="str">
        <f t="shared" ca="1" si="25"/>
        <v/>
      </c>
      <c r="GX13" t="str">
        <f t="shared" ca="1" si="26"/>
        <v/>
      </c>
      <c r="HA13" t="s">
        <v>4887</v>
      </c>
      <c r="HB13" t="s">
        <v>4121</v>
      </c>
      <c r="HC13">
        <f t="shared" si="21"/>
        <v>4</v>
      </c>
      <c r="HD13" t="s">
        <v>1320</v>
      </c>
      <c r="HE13" t="s">
        <v>3295</v>
      </c>
      <c r="HG13" t="s">
        <v>1974</v>
      </c>
      <c r="HH13">
        <v>145</v>
      </c>
      <c r="HI13">
        <f t="shared" si="8"/>
        <v>4</v>
      </c>
      <c r="HJ13">
        <f t="shared" si="9"/>
        <v>200</v>
      </c>
      <c r="HK13" t="s">
        <v>4886</v>
      </c>
      <c r="HL13" t="s">
        <v>3396</v>
      </c>
      <c r="HM13" t="s">
        <v>1284</v>
      </c>
    </row>
    <row r="14" spans="1:221" x14ac:dyDescent="0.2">
      <c r="A14" t="s">
        <v>1525</v>
      </c>
      <c r="B14" t="s">
        <v>1826</v>
      </c>
      <c r="E14" t="s">
        <v>1827</v>
      </c>
      <c r="F14" t="s">
        <v>1955</v>
      </c>
      <c r="G14">
        <v>-3</v>
      </c>
      <c r="H14" t="s">
        <v>1524</v>
      </c>
      <c r="I14" t="s">
        <v>1534</v>
      </c>
      <c r="L14" t="str">
        <f t="shared" si="0"/>
        <v/>
      </c>
      <c r="M14" t="str">
        <f t="shared" si="1"/>
        <v/>
      </c>
      <c r="N14" t="str">
        <f t="shared" si="2"/>
        <v>Kettenwaffen</v>
      </c>
      <c r="P14">
        <f t="shared" si="3"/>
        <v>54</v>
      </c>
      <c r="R14" t="s">
        <v>4370</v>
      </c>
      <c r="U14">
        <v>8</v>
      </c>
      <c r="W14" t="s">
        <v>2070</v>
      </c>
      <c r="Z14" t="s">
        <v>4540</v>
      </c>
      <c r="AC14">
        <v>10</v>
      </c>
      <c r="AE14" t="s">
        <v>1571</v>
      </c>
      <c r="AH14">
        <v>10</v>
      </c>
      <c r="AI14">
        <v>11</v>
      </c>
      <c r="AJ14">
        <v>13</v>
      </c>
      <c r="AK14">
        <v>25</v>
      </c>
      <c r="AL14">
        <v>38</v>
      </c>
      <c r="AM14">
        <v>50</v>
      </c>
      <c r="AN14">
        <v>65</v>
      </c>
      <c r="AO14">
        <v>95</v>
      </c>
      <c r="AP14">
        <v>125</v>
      </c>
      <c r="AQ14">
        <v>250</v>
      </c>
      <c r="AS14" t="s">
        <v>1165</v>
      </c>
      <c r="AT14" t="s">
        <v>158</v>
      </c>
      <c r="AU14" t="s">
        <v>159</v>
      </c>
      <c r="AV14" t="s">
        <v>4006</v>
      </c>
      <c r="AX14" t="s">
        <v>3040</v>
      </c>
      <c r="AY14">
        <v>6</v>
      </c>
      <c r="AZ14">
        <v>2</v>
      </c>
      <c r="BG14">
        <v>5</v>
      </c>
      <c r="BI14" t="s">
        <v>4316</v>
      </c>
      <c r="BK14" t="s">
        <v>5143</v>
      </c>
      <c r="BL14">
        <v>21</v>
      </c>
      <c r="BM14">
        <v>19</v>
      </c>
      <c r="BN14" t="s">
        <v>5144</v>
      </c>
      <c r="BO14">
        <v>8</v>
      </c>
      <c r="BP14" t="s">
        <v>5145</v>
      </c>
      <c r="BQ14">
        <v>1</v>
      </c>
      <c r="BR14">
        <v>40</v>
      </c>
      <c r="BS14" t="s">
        <v>5146</v>
      </c>
      <c r="BT14" t="s">
        <v>5147</v>
      </c>
      <c r="BU14" t="s">
        <v>5148</v>
      </c>
      <c r="BW14">
        <v>7</v>
      </c>
      <c r="BX14">
        <v>12</v>
      </c>
      <c r="BY14">
        <f>BX14*4</f>
        <v>48</v>
      </c>
      <c r="BZ14">
        <f>BX14*10</f>
        <v>120</v>
      </c>
      <c r="CA14" t="s">
        <v>5149</v>
      </c>
      <c r="CB14" t="s">
        <v>5150</v>
      </c>
      <c r="CD14" t="s">
        <v>7151</v>
      </c>
      <c r="CE14" t="s">
        <v>901</v>
      </c>
      <c r="CF14" t="s">
        <v>7152</v>
      </c>
      <c r="CG14" t="s">
        <v>914</v>
      </c>
      <c r="CH14">
        <v>-2</v>
      </c>
      <c r="CI14">
        <v>3</v>
      </c>
      <c r="CJ14" t="s">
        <v>899</v>
      </c>
      <c r="CK14" t="s">
        <v>2190</v>
      </c>
      <c r="CN14" t="str">
        <f ca="1">IF(AND(ISERR(FIND($CK14,Talente!$CI$41)),ISNA(VLOOKUP($CK14,$AH$51:$AH$55,1))),IF(AND(ISERR(FIND($CL14,Talente!$CI$41)),ISNA(VLOOKUP($CL14,$AH$51:$AH$55,1))),$CM14,$CL14),$CK14)</f>
        <v>Hiebwaffen</v>
      </c>
      <c r="CP14" t="s">
        <v>4608</v>
      </c>
      <c r="CQ14" t="s">
        <v>4549</v>
      </c>
      <c r="CR14" t="s">
        <v>2771</v>
      </c>
      <c r="CS14" t="s">
        <v>4008</v>
      </c>
      <c r="CT14" t="s">
        <v>1533</v>
      </c>
      <c r="CX14" t="s">
        <v>2033</v>
      </c>
      <c r="CY14" t="s">
        <v>74</v>
      </c>
      <c r="CZ14" t="s">
        <v>77</v>
      </c>
      <c r="DA14" t="s">
        <v>5030</v>
      </c>
      <c r="DB14" t="s">
        <v>1613</v>
      </c>
      <c r="DC14" t="s">
        <v>7288</v>
      </c>
      <c r="DD14" t="s">
        <v>124</v>
      </c>
      <c r="DE14" t="s">
        <v>2254</v>
      </c>
      <c r="DF14" t="s">
        <v>81</v>
      </c>
      <c r="DG14" t="s">
        <v>1956</v>
      </c>
      <c r="DH14" t="s">
        <v>6844</v>
      </c>
      <c r="DI14" t="s">
        <v>1289</v>
      </c>
      <c r="DJ14">
        <v>2</v>
      </c>
      <c r="DK14">
        <f t="shared" si="10"/>
        <v>335</v>
      </c>
      <c r="DL14">
        <f t="shared" si="11"/>
        <v>12</v>
      </c>
      <c r="DM14">
        <v>63</v>
      </c>
      <c r="DN14" t="str">
        <f t="shared" ca="1" si="12"/>
        <v/>
      </c>
      <c r="DO14" t="str">
        <f t="shared" ca="1" si="13"/>
        <v/>
      </c>
      <c r="DP14" t="str">
        <f t="shared" ca="1" si="14"/>
        <v/>
      </c>
      <c r="DQ14" t="str">
        <f>IF(EXACT(Zauber!$A$250,""),"",IF(EXACT(RIGHT(HLOOKUP(Zauber!$A$250,PROFMAGIE,$DK14,FALSE)),"H"),CONCATENATE($CX14,","),""))</f>
        <v/>
      </c>
      <c r="DR14" t="str">
        <f t="shared" si="15"/>
        <v/>
      </c>
      <c r="DS14" t="str">
        <f>IF(ZS_IAAK="Ja",IF(EXACT(RIGHT(HLOOKUP(Tabellen_Magie!$IK$1,PROFMAGIE,$DK14,FALSE)),"H"),CONCATENATE($CX14,","),""),"")</f>
        <v/>
      </c>
      <c r="DT14" t="str">
        <f>IF(ZS_IAAK="Ja",IF(NOT(DS14=""),"",IF(OR(EXACT(RIGHT(HLOOKUP(Tabellen_Magie!$IK$1,PROFMAGIE,$DK14,FALSE)),"B"),EXACT(HLOOKUP(Tabellen_Magie!$IK$1,PROFMAGIE,$DK14,FALSE),"")),"",CONCATENATE($CX14,","))),"")</f>
        <v/>
      </c>
      <c r="DU14" t="str">
        <f t="shared" si="16"/>
        <v/>
      </c>
      <c r="DW14" t="s">
        <v>2051</v>
      </c>
      <c r="DX14" t="s">
        <v>4985</v>
      </c>
      <c r="DY14" t="s">
        <v>4985</v>
      </c>
      <c r="DZ14" t="s">
        <v>4985</v>
      </c>
      <c r="EB14" t="s">
        <v>4472</v>
      </c>
      <c r="ED14">
        <f t="shared" si="17"/>
        <v>25</v>
      </c>
      <c r="EE14" t="s">
        <v>1250</v>
      </c>
      <c r="EH14">
        <v>1</v>
      </c>
      <c r="EI14">
        <v>25</v>
      </c>
      <c r="EK14" t="s">
        <v>4213</v>
      </c>
      <c r="EL14">
        <v>0</v>
      </c>
      <c r="EM14">
        <v>0</v>
      </c>
      <c r="EN14">
        <v>0</v>
      </c>
      <c r="EO14">
        <v>2</v>
      </c>
      <c r="EP14">
        <v>0</v>
      </c>
      <c r="EQ14">
        <v>0</v>
      </c>
      <c r="ER14">
        <v>2</v>
      </c>
      <c r="ES14">
        <v>0.8</v>
      </c>
      <c r="ET14">
        <v>0.8</v>
      </c>
      <c r="EU14">
        <v>0</v>
      </c>
      <c r="EV14">
        <v>0</v>
      </c>
      <c r="EX14" t="s">
        <v>3250</v>
      </c>
      <c r="EY14" t="s">
        <v>1320</v>
      </c>
      <c r="EZ14" t="s">
        <v>502</v>
      </c>
      <c r="FA14">
        <v>1</v>
      </c>
      <c r="FB14">
        <v>0</v>
      </c>
      <c r="FD14" t="s">
        <v>796</v>
      </c>
      <c r="FE14">
        <f t="shared" si="18"/>
        <v>60</v>
      </c>
      <c r="FF14">
        <v>1</v>
      </c>
      <c r="FG14" t="s">
        <v>716</v>
      </c>
      <c r="FK14">
        <v>60</v>
      </c>
      <c r="FL14">
        <v>4</v>
      </c>
      <c r="FM14" t="b">
        <f t="shared" ca="1" si="19"/>
        <v>0</v>
      </c>
      <c r="FN14" t="b">
        <f t="shared" ca="1" si="20"/>
        <v>0</v>
      </c>
      <c r="FR14" t="s">
        <v>408</v>
      </c>
      <c r="FS14">
        <v>17</v>
      </c>
      <c r="FT14">
        <v>10</v>
      </c>
      <c r="FU14">
        <v>7</v>
      </c>
      <c r="FV14">
        <v>5</v>
      </c>
      <c r="FW14">
        <v>8</v>
      </c>
      <c r="FX14">
        <v>5</v>
      </c>
      <c r="FY14">
        <v>2</v>
      </c>
      <c r="FZ14">
        <v>7</v>
      </c>
      <c r="GA14">
        <v>8</v>
      </c>
      <c r="GB14">
        <v>2</v>
      </c>
      <c r="GC14">
        <v>10</v>
      </c>
      <c r="GD14">
        <v>7</v>
      </c>
      <c r="GE14">
        <v>5</v>
      </c>
      <c r="GH14" t="s">
        <v>2591</v>
      </c>
      <c r="GI14" t="s">
        <v>4483</v>
      </c>
      <c r="GJ14">
        <v>1</v>
      </c>
      <c r="GK14" t="s">
        <v>1320</v>
      </c>
      <c r="GL14" t="s">
        <v>567</v>
      </c>
      <c r="GM14" t="s">
        <v>1980</v>
      </c>
      <c r="GN14" t="s">
        <v>1974</v>
      </c>
      <c r="GO14">
        <v>276</v>
      </c>
      <c r="GP14">
        <v>164</v>
      </c>
      <c r="GR14">
        <f t="shared" si="22"/>
        <v>363</v>
      </c>
      <c r="GU14" t="str">
        <f t="shared" ca="1" si="23"/>
        <v/>
      </c>
      <c r="GV14" t="str">
        <f t="shared" ca="1" si="24"/>
        <v/>
      </c>
      <c r="GW14" t="str">
        <f t="shared" ca="1" si="25"/>
        <v/>
      </c>
      <c r="GX14" t="str">
        <f t="shared" ca="1" si="26"/>
        <v/>
      </c>
      <c r="HA14" t="s">
        <v>4531</v>
      </c>
      <c r="HB14" t="s">
        <v>1119</v>
      </c>
      <c r="HC14">
        <f t="shared" si="21"/>
        <v>2</v>
      </c>
      <c r="HD14" t="s">
        <v>1320</v>
      </c>
      <c r="HE14" t="s">
        <v>4548</v>
      </c>
      <c r="HF14" t="s">
        <v>4888</v>
      </c>
      <c r="HG14" t="s">
        <v>1974</v>
      </c>
      <c r="HH14">
        <v>145</v>
      </c>
      <c r="HI14">
        <f t="shared" si="8"/>
        <v>2</v>
      </c>
      <c r="HJ14">
        <f t="shared" si="9"/>
        <v>100</v>
      </c>
      <c r="HK14" t="s">
        <v>1327</v>
      </c>
      <c r="HL14" t="s">
        <v>3396</v>
      </c>
      <c r="HM14" t="s">
        <v>1369</v>
      </c>
    </row>
    <row r="15" spans="1:221" ht="12.75" customHeight="1" x14ac:dyDescent="0.2">
      <c r="A15" t="s">
        <v>1526</v>
      </c>
      <c r="B15" t="s">
        <v>1318</v>
      </c>
      <c r="E15" t="s">
        <v>1827</v>
      </c>
      <c r="F15" t="s">
        <v>1828</v>
      </c>
      <c r="G15">
        <v>0</v>
      </c>
      <c r="L15" t="str">
        <f t="shared" si="0"/>
        <v/>
      </c>
      <c r="M15" t="str">
        <f t="shared" si="1"/>
        <v/>
      </c>
      <c r="N15" t="str">
        <f t="shared" si="2"/>
        <v>Lanzenreiten</v>
      </c>
      <c r="P15">
        <f t="shared" si="3"/>
        <v>55</v>
      </c>
      <c r="R15" t="s">
        <v>4369</v>
      </c>
      <c r="U15">
        <v>12</v>
      </c>
      <c r="W15" t="s">
        <v>2070</v>
      </c>
      <c r="Z15" t="s">
        <v>252</v>
      </c>
      <c r="AA15">
        <v>0.5</v>
      </c>
      <c r="AB15">
        <v>12</v>
      </c>
      <c r="AD15" t="s">
        <v>3995</v>
      </c>
      <c r="AH15">
        <v>11</v>
      </c>
      <c r="AI15">
        <v>12</v>
      </c>
      <c r="AJ15">
        <v>14</v>
      </c>
      <c r="AK15">
        <v>28</v>
      </c>
      <c r="AL15">
        <v>43</v>
      </c>
      <c r="AM15">
        <v>55</v>
      </c>
      <c r="AN15">
        <v>70</v>
      </c>
      <c r="AO15">
        <v>105</v>
      </c>
      <c r="AP15">
        <v>140</v>
      </c>
      <c r="AQ15">
        <v>280</v>
      </c>
      <c r="AS15" t="s">
        <v>1166</v>
      </c>
      <c r="AT15">
        <v>12</v>
      </c>
      <c r="AU15">
        <v>3</v>
      </c>
      <c r="AV15">
        <v>200</v>
      </c>
      <c r="AX15" t="s">
        <v>3041</v>
      </c>
      <c r="AY15">
        <v>6</v>
      </c>
      <c r="AZ15">
        <v>2</v>
      </c>
      <c r="BG15">
        <v>5</v>
      </c>
      <c r="BI15" t="s">
        <v>1557</v>
      </c>
      <c r="BK15" t="s">
        <v>5151</v>
      </c>
      <c r="BL15">
        <v>21</v>
      </c>
      <c r="BM15">
        <v>18</v>
      </c>
      <c r="BN15" t="s">
        <v>5152</v>
      </c>
      <c r="BO15">
        <v>8</v>
      </c>
      <c r="BP15" t="s">
        <v>5153</v>
      </c>
      <c r="BQ15">
        <v>1</v>
      </c>
      <c r="BR15">
        <v>45</v>
      </c>
      <c r="BS15" t="s">
        <v>5146</v>
      </c>
      <c r="BT15" t="s">
        <v>5147</v>
      </c>
      <c r="BU15" t="s">
        <v>5154</v>
      </c>
      <c r="BW15">
        <v>6</v>
      </c>
      <c r="BX15">
        <v>14</v>
      </c>
      <c r="BY15">
        <f>BX15*5</f>
        <v>70</v>
      </c>
      <c r="BZ15" t="s">
        <v>5155</v>
      </c>
      <c r="CA15" t="s">
        <v>5156</v>
      </c>
      <c r="CB15" t="s">
        <v>5157</v>
      </c>
      <c r="CD15" t="s">
        <v>915</v>
      </c>
      <c r="CE15" t="s">
        <v>916</v>
      </c>
      <c r="CF15" t="s">
        <v>917</v>
      </c>
      <c r="CG15" t="s">
        <v>908</v>
      </c>
      <c r="CH15">
        <v>-1</v>
      </c>
      <c r="CI15">
        <v>4</v>
      </c>
      <c r="CJ15" t="s">
        <v>4001</v>
      </c>
      <c r="CK15" t="s">
        <v>1957</v>
      </c>
      <c r="CN15" t="str">
        <f ca="1">IF(AND(ISERR(FIND($CK15,Talente!$CI$41)),ISNA(VLOOKUP($CK15,$AH$51:$AH$55,1))),IF(AND(ISERR(FIND($CL15,Talente!$CI$41)),ISNA(VLOOKUP($CL15,$AH$51:$AH$55,1))),$CM15,$CL15),$CK15)</f>
        <v>Dolche</v>
      </c>
      <c r="CP15" t="s">
        <v>4715</v>
      </c>
      <c r="CQ15" t="s">
        <v>4549</v>
      </c>
      <c r="CR15" t="s">
        <v>2836</v>
      </c>
      <c r="CS15" t="s">
        <v>3367</v>
      </c>
      <c r="CT15" t="s">
        <v>1939</v>
      </c>
      <c r="CU15" t="s">
        <v>7546</v>
      </c>
      <c r="CV15" t="s">
        <v>7543</v>
      </c>
      <c r="CX15" t="s">
        <v>1861</v>
      </c>
      <c r="CY15" t="s">
        <v>74</v>
      </c>
      <c r="CZ15" t="s">
        <v>77</v>
      </c>
      <c r="DA15" t="s">
        <v>751</v>
      </c>
      <c r="DB15" t="s">
        <v>2042</v>
      </c>
      <c r="DC15" t="s">
        <v>7290</v>
      </c>
      <c r="DD15" t="s">
        <v>7320</v>
      </c>
      <c r="DE15" t="s">
        <v>2254</v>
      </c>
      <c r="DF15" t="s">
        <v>1249</v>
      </c>
      <c r="DG15" t="s">
        <v>1956</v>
      </c>
      <c r="DH15" t="s">
        <v>6845</v>
      </c>
      <c r="DI15" t="s">
        <v>3577</v>
      </c>
      <c r="DJ15">
        <v>2</v>
      </c>
      <c r="DK15">
        <f t="shared" si="10"/>
        <v>336</v>
      </c>
      <c r="DL15">
        <f t="shared" si="11"/>
        <v>13</v>
      </c>
      <c r="DM15">
        <v>22</v>
      </c>
      <c r="DN15" t="str">
        <f t="shared" ca="1" si="12"/>
        <v/>
      </c>
      <c r="DO15" t="str">
        <f t="shared" ca="1" si="13"/>
        <v/>
      </c>
      <c r="DP15" t="str">
        <f t="shared" ca="1" si="14"/>
        <v/>
      </c>
      <c r="DQ15" t="str">
        <f>IF(EXACT(Zauber!$A$250,""),"",IF(EXACT(RIGHT(HLOOKUP(Zauber!$A$250,PROFMAGIE,$DK15,FALSE)),"H"),CONCATENATE($CX15,","),""))</f>
        <v/>
      </c>
      <c r="DR15" t="str">
        <f t="shared" si="15"/>
        <v/>
      </c>
      <c r="DS15" t="str">
        <f>IF(ZS_IAAK="Ja",IF(EXACT(RIGHT(HLOOKUP(Tabellen_Magie!$IK$1,PROFMAGIE,$DK15,FALSE)),"H"),CONCATENATE($CX15,","),""),"")</f>
        <v/>
      </c>
      <c r="DT15" t="str">
        <f>IF(ZS_IAAK="Ja",IF(NOT(DS15=""),"",IF(OR(EXACT(RIGHT(HLOOKUP(Tabellen_Magie!$IK$1,PROFMAGIE,$DK15,FALSE)),"B"),EXACT(HLOOKUP(Tabellen_Magie!$IK$1,PROFMAGIE,$DK15,FALSE),"")),"",CONCATENATE($CX15,","))),"")</f>
        <v/>
      </c>
      <c r="DU15" t="str">
        <f t="shared" si="16"/>
        <v/>
      </c>
      <c r="DW15" t="s">
        <v>2049</v>
      </c>
      <c r="DX15" t="s">
        <v>74</v>
      </c>
      <c r="DY15" t="s">
        <v>75</v>
      </c>
      <c r="DZ15" t="s">
        <v>76</v>
      </c>
      <c r="EB15" t="s">
        <v>2991</v>
      </c>
      <c r="EC15" t="s">
        <v>2992</v>
      </c>
      <c r="ED15">
        <f t="shared" si="17"/>
        <v>50</v>
      </c>
      <c r="EE15" t="s">
        <v>1250</v>
      </c>
      <c r="EF15" t="s">
        <v>3282</v>
      </c>
      <c r="EH15">
        <v>1</v>
      </c>
      <c r="EI15">
        <v>50</v>
      </c>
      <c r="EK15" t="s">
        <v>4207</v>
      </c>
      <c r="EL15">
        <v>0</v>
      </c>
      <c r="EM15">
        <v>3</v>
      </c>
      <c r="EN15">
        <v>3</v>
      </c>
      <c r="EO15">
        <v>3</v>
      </c>
      <c r="EP15">
        <v>2</v>
      </c>
      <c r="EQ15">
        <v>2</v>
      </c>
      <c r="ER15">
        <v>2</v>
      </c>
      <c r="ES15">
        <v>2.4</v>
      </c>
      <c r="ET15">
        <v>1.4</v>
      </c>
      <c r="EU15">
        <v>3</v>
      </c>
      <c r="EV15">
        <v>3</v>
      </c>
      <c r="EX15" t="s">
        <v>1932</v>
      </c>
      <c r="EY15" t="s">
        <v>1827</v>
      </c>
      <c r="EZ15" t="s">
        <v>1046</v>
      </c>
      <c r="FA15">
        <v>0</v>
      </c>
      <c r="FB15">
        <v>6</v>
      </c>
      <c r="FD15" t="s">
        <v>797</v>
      </c>
      <c r="FE15">
        <f t="shared" si="18"/>
        <v>40</v>
      </c>
      <c r="FF15">
        <v>1</v>
      </c>
      <c r="FG15" t="s">
        <v>716</v>
      </c>
      <c r="FK15">
        <v>40</v>
      </c>
      <c r="FL15">
        <v>3</v>
      </c>
      <c r="FM15" t="b">
        <f t="shared" ca="1" si="19"/>
        <v>0</v>
      </c>
      <c r="FN15" t="b">
        <f t="shared" ca="1" si="20"/>
        <v>0</v>
      </c>
      <c r="FQ15" t="s">
        <v>751</v>
      </c>
      <c r="FR15" t="s">
        <v>2491</v>
      </c>
      <c r="FS15">
        <v>12</v>
      </c>
      <c r="FT15">
        <v>4</v>
      </c>
      <c r="FU15">
        <v>6</v>
      </c>
      <c r="FV15">
        <v>7</v>
      </c>
      <c r="FW15">
        <v>9</v>
      </c>
      <c r="FX15">
        <v>11</v>
      </c>
      <c r="FY15">
        <v>2</v>
      </c>
      <c r="FZ15">
        <v>9</v>
      </c>
      <c r="GA15">
        <v>5</v>
      </c>
      <c r="GB15">
        <v>9</v>
      </c>
      <c r="GC15">
        <v>8</v>
      </c>
      <c r="GD15">
        <v>10</v>
      </c>
      <c r="GE15">
        <v>12</v>
      </c>
      <c r="GH15" t="s">
        <v>2592</v>
      </c>
      <c r="GI15" t="s">
        <v>4483</v>
      </c>
      <c r="GJ15">
        <v>1</v>
      </c>
      <c r="GK15" t="s">
        <v>1320</v>
      </c>
      <c r="GL15" t="s">
        <v>1976</v>
      </c>
      <c r="GM15" t="s">
        <v>1981</v>
      </c>
      <c r="GN15" t="s">
        <v>1974</v>
      </c>
      <c r="GO15">
        <v>252</v>
      </c>
      <c r="GP15">
        <v>78</v>
      </c>
      <c r="GR15">
        <f t="shared" si="22"/>
        <v>364</v>
      </c>
      <c r="GU15" t="str">
        <f t="shared" ca="1" si="23"/>
        <v/>
      </c>
      <c r="GV15" t="str">
        <f t="shared" ca="1" si="24"/>
        <v/>
      </c>
      <c r="GW15" t="str">
        <f t="shared" ca="1" si="25"/>
        <v/>
      </c>
      <c r="GX15" t="str">
        <f t="shared" ca="1" si="26"/>
        <v/>
      </c>
      <c r="HA15" t="s">
        <v>269</v>
      </c>
      <c r="HB15" t="s">
        <v>3290</v>
      </c>
      <c r="HC15">
        <f t="shared" si="21"/>
        <v>3</v>
      </c>
      <c r="HD15" t="s">
        <v>4854</v>
      </c>
      <c r="HE15" t="s">
        <v>3295</v>
      </c>
      <c r="HG15" t="s">
        <v>1974</v>
      </c>
      <c r="HH15">
        <v>145</v>
      </c>
      <c r="HI15">
        <f t="shared" si="8"/>
        <v>3</v>
      </c>
      <c r="HJ15">
        <f t="shared" si="9"/>
        <v>150</v>
      </c>
      <c r="HK15" t="s">
        <v>270</v>
      </c>
      <c r="HL15" t="s">
        <v>3396</v>
      </c>
      <c r="HM15" t="s">
        <v>2043</v>
      </c>
    </row>
    <row r="16" spans="1:221" x14ac:dyDescent="0.2">
      <c r="A16" t="s">
        <v>1527</v>
      </c>
      <c r="B16" t="s">
        <v>1318</v>
      </c>
      <c r="E16" t="s">
        <v>1827</v>
      </c>
      <c r="F16" t="s">
        <v>1828</v>
      </c>
      <c r="G16">
        <v>-1</v>
      </c>
      <c r="L16" t="str">
        <f t="shared" si="0"/>
        <v/>
      </c>
      <c r="M16" t="str">
        <f t="shared" si="1"/>
        <v/>
      </c>
      <c r="N16" t="str">
        <f t="shared" si="2"/>
        <v>Peitsche</v>
      </c>
      <c r="P16">
        <f t="shared" si="3"/>
        <v>56</v>
      </c>
      <c r="R16" t="s">
        <v>4371</v>
      </c>
      <c r="S16">
        <v>1</v>
      </c>
      <c r="T16">
        <v>6</v>
      </c>
      <c r="W16" t="s">
        <v>2070</v>
      </c>
      <c r="Z16" t="s">
        <v>3648</v>
      </c>
      <c r="AC16">
        <v>5</v>
      </c>
      <c r="AH16">
        <v>12</v>
      </c>
      <c r="AI16">
        <v>14</v>
      </c>
      <c r="AJ16">
        <v>16</v>
      </c>
      <c r="AK16">
        <v>32</v>
      </c>
      <c r="AL16">
        <v>47</v>
      </c>
      <c r="AM16">
        <v>65</v>
      </c>
      <c r="AN16">
        <v>80</v>
      </c>
      <c r="AO16">
        <v>120</v>
      </c>
      <c r="AP16">
        <v>160</v>
      </c>
      <c r="AQ16">
        <v>320</v>
      </c>
      <c r="AS16" t="s">
        <v>1629</v>
      </c>
      <c r="AT16">
        <v>12</v>
      </c>
      <c r="AU16">
        <v>3</v>
      </c>
      <c r="AV16">
        <v>200</v>
      </c>
      <c r="AX16" t="s">
        <v>3239</v>
      </c>
      <c r="AY16">
        <v>4</v>
      </c>
      <c r="AZ16">
        <v>1</v>
      </c>
      <c r="BA16" t="s">
        <v>1939</v>
      </c>
      <c r="BB16" t="s">
        <v>3041</v>
      </c>
      <c r="BC16" t="s">
        <v>2087</v>
      </c>
      <c r="BD16" t="s">
        <v>7636</v>
      </c>
      <c r="BG16">
        <v>5</v>
      </c>
      <c r="BI16" t="s">
        <v>4423</v>
      </c>
      <c r="BK16" t="s">
        <v>5158</v>
      </c>
      <c r="BL16">
        <v>21</v>
      </c>
      <c r="BM16">
        <v>20</v>
      </c>
      <c r="BN16" t="s">
        <v>5159</v>
      </c>
      <c r="BO16">
        <v>7</v>
      </c>
      <c r="BP16" t="s">
        <v>5160</v>
      </c>
      <c r="BQ16">
        <v>1</v>
      </c>
      <c r="BR16">
        <v>42</v>
      </c>
      <c r="BS16" t="s">
        <v>5161</v>
      </c>
      <c r="BT16" t="s">
        <v>5162</v>
      </c>
      <c r="BU16" t="s">
        <v>5148</v>
      </c>
      <c r="BW16">
        <v>7</v>
      </c>
      <c r="BX16">
        <v>13</v>
      </c>
      <c r="BY16">
        <f>BX16*5</f>
        <v>65</v>
      </c>
      <c r="BZ16">
        <f>BX16*11</f>
        <v>143</v>
      </c>
      <c r="CA16" t="s">
        <v>5163</v>
      </c>
      <c r="CB16" t="s">
        <v>5137</v>
      </c>
      <c r="CD16" t="s">
        <v>918</v>
      </c>
      <c r="CE16" t="s">
        <v>904</v>
      </c>
      <c r="CF16" t="s">
        <v>919</v>
      </c>
      <c r="CG16" t="s">
        <v>908</v>
      </c>
      <c r="CH16">
        <v>0</v>
      </c>
      <c r="CI16">
        <v>2</v>
      </c>
      <c r="CJ16" t="s">
        <v>899</v>
      </c>
      <c r="CK16" t="s">
        <v>1829</v>
      </c>
      <c r="CL16" t="s">
        <v>1938</v>
      </c>
      <c r="CN16" t="str">
        <f ca="1">IF(AND(ISERR(FIND($CK16,Talente!$CI$41)),ISNA(VLOOKUP($CK16,$AH$51:$AH$55,1))),IF(AND(ISERR(FIND($CL16,Talente!$CI$41)),ISNA(VLOOKUP($CL16,$AH$51:$AH$55,1))),$CM16,$CL16),$CK16)</f>
        <v>Schwerter</v>
      </c>
      <c r="CP16" t="s">
        <v>4166</v>
      </c>
      <c r="CQ16" t="s">
        <v>904</v>
      </c>
      <c r="CR16" t="s">
        <v>2839</v>
      </c>
      <c r="CS16" t="s">
        <v>4978</v>
      </c>
      <c r="CT16" t="s">
        <v>3041</v>
      </c>
      <c r="CU16">
        <v>3</v>
      </c>
      <c r="CV16" t="s">
        <v>7543</v>
      </c>
      <c r="CX16" t="s">
        <v>1099</v>
      </c>
      <c r="CY16" t="s">
        <v>74</v>
      </c>
      <c r="CZ16" t="s">
        <v>77</v>
      </c>
      <c r="DA16" t="s">
        <v>5030</v>
      </c>
      <c r="DB16" t="s">
        <v>1613</v>
      </c>
      <c r="DC16" t="s">
        <v>7288</v>
      </c>
      <c r="DD16" t="s">
        <v>124</v>
      </c>
      <c r="DE16" t="s">
        <v>2254</v>
      </c>
      <c r="DF16" t="s">
        <v>81</v>
      </c>
      <c r="DG16" t="s">
        <v>1956</v>
      </c>
      <c r="DH16" t="s">
        <v>6844</v>
      </c>
      <c r="DI16" t="s">
        <v>1290</v>
      </c>
      <c r="DJ16">
        <v>2</v>
      </c>
      <c r="DK16">
        <f t="shared" si="10"/>
        <v>337</v>
      </c>
      <c r="DL16">
        <f t="shared" si="11"/>
        <v>14</v>
      </c>
      <c r="DM16">
        <v>63</v>
      </c>
      <c r="DN16" t="str">
        <f t="shared" ca="1" si="12"/>
        <v/>
      </c>
      <c r="DO16" t="str">
        <f t="shared" ca="1" si="13"/>
        <v/>
      </c>
      <c r="DP16" t="str">
        <f t="shared" ca="1" si="14"/>
        <v/>
      </c>
      <c r="DQ16" t="str">
        <f>IF(EXACT(Zauber!$A$250,""),"",IF(EXACT(RIGHT(HLOOKUP(Zauber!$A$250,PROFMAGIE,$DK16,FALSE)),"H"),CONCATENATE($CX16,","),""))</f>
        <v/>
      </c>
      <c r="DR16" t="str">
        <f t="shared" si="15"/>
        <v/>
      </c>
      <c r="DS16" t="str">
        <f>IF(ZS_IAAK="Ja",IF(EXACT(RIGHT(HLOOKUP(Tabellen_Magie!$IK$1,PROFMAGIE,$DK16,FALSE)),"H"),CONCATENATE($CX16,","),""),"")</f>
        <v/>
      </c>
      <c r="DT16" t="str">
        <f>IF(ZS_IAAK="Ja",IF(NOT(DS16=""),"",IF(OR(EXACT(RIGHT(HLOOKUP(Tabellen_Magie!$IK$1,PROFMAGIE,$DK16,FALSE)),"B"),EXACT(HLOOKUP(Tabellen_Magie!$IK$1,PROFMAGIE,$DK16,FALSE),"")),"",CONCATENATE($CX16,","))),"")</f>
        <v/>
      </c>
      <c r="DU16" t="str">
        <f t="shared" si="16"/>
        <v/>
      </c>
      <c r="DW16" t="s">
        <v>1036</v>
      </c>
      <c r="DX16" t="s">
        <v>4985</v>
      </c>
      <c r="DY16" t="s">
        <v>4985</v>
      </c>
      <c r="DZ16" t="s">
        <v>4985</v>
      </c>
      <c r="EB16" t="s">
        <v>4472</v>
      </c>
      <c r="ED16">
        <f t="shared" si="17"/>
        <v>100</v>
      </c>
      <c r="EE16" t="s">
        <v>1250</v>
      </c>
      <c r="EH16">
        <v>2</v>
      </c>
      <c r="EI16">
        <v>100</v>
      </c>
      <c r="EK16" t="s">
        <v>4208</v>
      </c>
      <c r="EL16">
        <v>0</v>
      </c>
      <c r="EM16">
        <v>5</v>
      </c>
      <c r="EN16">
        <v>4</v>
      </c>
      <c r="EO16">
        <v>4</v>
      </c>
      <c r="EP16">
        <v>2</v>
      </c>
      <c r="EQ16">
        <v>2</v>
      </c>
      <c r="ER16">
        <v>0</v>
      </c>
      <c r="ES16">
        <v>2.8</v>
      </c>
      <c r="ET16">
        <v>2.8</v>
      </c>
      <c r="EU16">
        <v>3</v>
      </c>
      <c r="EV16">
        <v>2</v>
      </c>
      <c r="EX16" t="s">
        <v>4989</v>
      </c>
      <c r="EY16" t="s">
        <v>2538</v>
      </c>
      <c r="EZ16" t="s">
        <v>2285</v>
      </c>
      <c r="FA16">
        <v>0</v>
      </c>
      <c r="FB16">
        <v>-2</v>
      </c>
      <c r="FD16" t="s">
        <v>798</v>
      </c>
      <c r="FE16">
        <f t="shared" si="18"/>
        <v>40</v>
      </c>
      <c r="FF16">
        <v>1</v>
      </c>
      <c r="FI16" t="s">
        <v>716</v>
      </c>
      <c r="FK16">
        <v>40</v>
      </c>
      <c r="FL16">
        <v>4</v>
      </c>
      <c r="FM16" t="b">
        <f t="shared" ca="1" si="19"/>
        <v>0</v>
      </c>
      <c r="FN16" t="b">
        <f t="shared" ca="1" si="20"/>
        <v>0</v>
      </c>
      <c r="FR16" t="s">
        <v>408</v>
      </c>
      <c r="FS16">
        <v>16</v>
      </c>
      <c r="FT16">
        <v>8</v>
      </c>
      <c r="FU16">
        <v>12</v>
      </c>
      <c r="FV16">
        <v>13</v>
      </c>
      <c r="FW16">
        <v>13</v>
      </c>
      <c r="FX16">
        <v>16</v>
      </c>
      <c r="FY16">
        <v>3</v>
      </c>
      <c r="FZ16">
        <v>14</v>
      </c>
      <c r="GA16">
        <v>9</v>
      </c>
      <c r="GB16">
        <v>15</v>
      </c>
      <c r="GC16">
        <v>14</v>
      </c>
      <c r="GD16">
        <v>15</v>
      </c>
      <c r="GE16">
        <v>17</v>
      </c>
      <c r="GH16" t="s">
        <v>3038</v>
      </c>
      <c r="GI16" t="s">
        <v>4483</v>
      </c>
      <c r="GJ16">
        <v>1</v>
      </c>
      <c r="GK16" t="s">
        <v>122</v>
      </c>
      <c r="GL16" t="s">
        <v>1976</v>
      </c>
      <c r="GM16" t="s">
        <v>1369</v>
      </c>
      <c r="GN16" t="s">
        <v>1690</v>
      </c>
      <c r="GO16">
        <v>255</v>
      </c>
      <c r="GP16">
        <v>167</v>
      </c>
      <c r="GR16">
        <f t="shared" si="22"/>
        <v>365</v>
      </c>
      <c r="GS16">
        <v>3</v>
      </c>
      <c r="GU16" t="str">
        <f t="shared" ca="1" si="23"/>
        <v/>
      </c>
      <c r="GV16" t="str">
        <f t="shared" ca="1" si="24"/>
        <v/>
      </c>
      <c r="GW16" t="str">
        <f t="shared" ca="1" si="25"/>
        <v/>
      </c>
      <c r="GX16" t="str">
        <f t="shared" ca="1" si="26"/>
        <v/>
      </c>
      <c r="HA16" t="s">
        <v>1885</v>
      </c>
      <c r="HB16" t="s">
        <v>1119</v>
      </c>
      <c r="HC16">
        <f t="shared" si="21"/>
        <v>2</v>
      </c>
      <c r="HD16" t="s">
        <v>1320</v>
      </c>
      <c r="HE16" t="s">
        <v>3295</v>
      </c>
      <c r="HF16" t="s">
        <v>3605</v>
      </c>
      <c r="HG16" t="s">
        <v>1690</v>
      </c>
      <c r="HH16">
        <v>152</v>
      </c>
      <c r="HI16">
        <f t="shared" si="8"/>
        <v>2</v>
      </c>
      <c r="HJ16">
        <f t="shared" si="9"/>
        <v>100</v>
      </c>
      <c r="HK16" t="s">
        <v>1886</v>
      </c>
      <c r="HL16" t="s">
        <v>2369</v>
      </c>
      <c r="HM16" t="s">
        <v>1369</v>
      </c>
    </row>
    <row r="17" spans="1:221" x14ac:dyDescent="0.2">
      <c r="A17" t="s">
        <v>2191</v>
      </c>
      <c r="B17" t="s">
        <v>1319</v>
      </c>
      <c r="E17" t="s">
        <v>1321</v>
      </c>
      <c r="F17" t="s">
        <v>1956</v>
      </c>
      <c r="G17">
        <v>0</v>
      </c>
      <c r="N17" t="str">
        <f t="shared" si="2"/>
        <v>Raufen</v>
      </c>
      <c r="P17">
        <f t="shared" si="3"/>
        <v>57</v>
      </c>
      <c r="R17" t="s">
        <v>2874</v>
      </c>
      <c r="S17">
        <v>0.5</v>
      </c>
      <c r="T17">
        <v>6</v>
      </c>
      <c r="Z17" t="s">
        <v>627</v>
      </c>
      <c r="AA17">
        <v>0.5</v>
      </c>
      <c r="AB17">
        <v>12</v>
      </c>
      <c r="AD17" t="s">
        <v>3995</v>
      </c>
      <c r="AH17">
        <v>13</v>
      </c>
      <c r="AI17">
        <v>15</v>
      </c>
      <c r="AJ17">
        <v>17</v>
      </c>
      <c r="AK17">
        <v>35</v>
      </c>
      <c r="AL17">
        <v>51</v>
      </c>
      <c r="AM17">
        <v>70</v>
      </c>
      <c r="AN17">
        <v>85</v>
      </c>
      <c r="AO17">
        <v>130</v>
      </c>
      <c r="AP17">
        <v>175</v>
      </c>
      <c r="AQ17">
        <v>350</v>
      </c>
      <c r="AS17" t="s">
        <v>1630</v>
      </c>
      <c r="AT17">
        <v>16</v>
      </c>
      <c r="AU17">
        <v>4</v>
      </c>
      <c r="AV17">
        <v>300</v>
      </c>
      <c r="AX17" t="s">
        <v>1457</v>
      </c>
      <c r="AY17">
        <v>4</v>
      </c>
      <c r="AZ17">
        <v>1</v>
      </c>
      <c r="BA17" t="s">
        <v>2088</v>
      </c>
      <c r="BB17" t="s">
        <v>2090</v>
      </c>
      <c r="BC17" t="s">
        <v>2089</v>
      </c>
      <c r="BD17" t="s">
        <v>2091</v>
      </c>
      <c r="BG17">
        <v>5</v>
      </c>
      <c r="BI17" t="s">
        <v>3404</v>
      </c>
      <c r="BK17" t="s">
        <v>5164</v>
      </c>
      <c r="CD17" t="s">
        <v>7153</v>
      </c>
      <c r="CE17" t="s">
        <v>904</v>
      </c>
      <c r="CF17" t="s">
        <v>917</v>
      </c>
      <c r="CG17" t="s">
        <v>908</v>
      </c>
      <c r="CH17">
        <v>-1</v>
      </c>
      <c r="CI17">
        <v>2</v>
      </c>
      <c r="CJ17" t="s">
        <v>899</v>
      </c>
      <c r="CK17" t="s">
        <v>1938</v>
      </c>
      <c r="CN17" t="str">
        <f ca="1">IF(AND(ISERR(FIND($CK17,Talente!$CI$41)),ISNA(VLOOKUP($CK17,$AH$51:$AH$55,1))),IF(AND(ISERR(FIND($CL17,Talente!$CI$41)),ISNA(VLOOKUP($CL17,$AH$51:$AH$55,1))),$CM17,$CL17),$CK17)</f>
        <v>Schwerter</v>
      </c>
      <c r="CP17" t="s">
        <v>2270</v>
      </c>
      <c r="CQ17" t="s">
        <v>5091</v>
      </c>
      <c r="CR17" t="s">
        <v>1203</v>
      </c>
      <c r="CS17" t="s">
        <v>1204</v>
      </c>
      <c r="CT17" t="s">
        <v>1533</v>
      </c>
      <c r="CX17" t="s">
        <v>678</v>
      </c>
      <c r="CY17" t="s">
        <v>75</v>
      </c>
      <c r="CZ17" t="s">
        <v>75</v>
      </c>
      <c r="DA17" t="s">
        <v>76</v>
      </c>
      <c r="DB17" t="s">
        <v>1613</v>
      </c>
      <c r="DC17" t="s">
        <v>3578</v>
      </c>
      <c r="DD17" t="s">
        <v>7321</v>
      </c>
      <c r="DE17" t="s">
        <v>3591</v>
      </c>
      <c r="DF17" t="s">
        <v>1622</v>
      </c>
      <c r="DG17" t="s">
        <v>1955</v>
      </c>
      <c r="DH17" t="s">
        <v>8410</v>
      </c>
      <c r="DI17" t="s">
        <v>821</v>
      </c>
      <c r="DJ17">
        <v>2</v>
      </c>
      <c r="DK17">
        <f t="shared" si="10"/>
        <v>338</v>
      </c>
      <c r="DL17">
        <f t="shared" si="11"/>
        <v>15</v>
      </c>
      <c r="DM17">
        <v>22</v>
      </c>
      <c r="DN17" t="str">
        <f t="shared" ca="1" si="12"/>
        <v/>
      </c>
      <c r="DO17" t="str">
        <f t="shared" ca="1" si="13"/>
        <v/>
      </c>
      <c r="DP17" t="str">
        <f t="shared" ca="1" si="14"/>
        <v/>
      </c>
      <c r="DQ17" t="str">
        <f>IF(EXACT(Zauber!$A$250,""),"",IF(EXACT(RIGHT(HLOOKUP(Zauber!$A$250,PROFMAGIE,$DK17,FALSE)),"H"),CONCATENATE($CX17,","),""))</f>
        <v/>
      </c>
      <c r="DR17" t="str">
        <f t="shared" si="15"/>
        <v/>
      </c>
      <c r="DS17" t="str">
        <f>IF(ZS_IAAK="Ja",IF(EXACT(RIGHT(HLOOKUP(Tabellen_Magie!$IK$1,PROFMAGIE,$DK17,FALSE)),"H"),CONCATENATE($CX17,","),""),"")</f>
        <v/>
      </c>
      <c r="DT17" t="str">
        <f>IF(ZS_IAAK="Ja",IF(NOT(DS17=""),"",IF(OR(EXACT(RIGHT(HLOOKUP(Tabellen_Magie!$IK$1,PROFMAGIE,$DK17,FALSE)),"B"),EXACT(HLOOKUP(Tabellen_Magie!$IK$1,PROFMAGIE,$DK17,FALSE),"")),"",CONCATENATE($CX17,","))),"")</f>
        <v/>
      </c>
      <c r="DU17" t="str">
        <f t="shared" si="16"/>
        <v/>
      </c>
      <c r="DW17" t="s">
        <v>1037</v>
      </c>
      <c r="DX17" t="s">
        <v>76</v>
      </c>
      <c r="DY17" t="s">
        <v>77</v>
      </c>
      <c r="DZ17" t="s">
        <v>752</v>
      </c>
      <c r="EB17" t="s">
        <v>2345</v>
      </c>
      <c r="EC17" t="s">
        <v>2344</v>
      </c>
      <c r="ED17">
        <f t="shared" si="17"/>
        <v>150</v>
      </c>
      <c r="EE17" t="s">
        <v>1250</v>
      </c>
      <c r="EF17" t="s">
        <v>3282</v>
      </c>
      <c r="EH17">
        <v>3</v>
      </c>
      <c r="EI17">
        <v>150</v>
      </c>
      <c r="EK17" t="s">
        <v>505</v>
      </c>
      <c r="EL17">
        <v>0</v>
      </c>
      <c r="EM17">
        <v>5</v>
      </c>
      <c r="EN17">
        <v>4</v>
      </c>
      <c r="EO17">
        <v>4</v>
      </c>
      <c r="EP17">
        <v>0</v>
      </c>
      <c r="EQ17">
        <v>0</v>
      </c>
      <c r="ER17">
        <v>0</v>
      </c>
      <c r="ES17">
        <v>2.6</v>
      </c>
      <c r="ET17">
        <v>2.6</v>
      </c>
      <c r="EU17">
        <v>3</v>
      </c>
      <c r="EV17">
        <v>3</v>
      </c>
      <c r="EX17" t="s">
        <v>2818</v>
      </c>
      <c r="EY17" t="s">
        <v>1827</v>
      </c>
      <c r="EZ17" t="s">
        <v>1045</v>
      </c>
      <c r="FA17">
        <v>-1</v>
      </c>
      <c r="FB17">
        <v>3</v>
      </c>
      <c r="FD17" t="s">
        <v>799</v>
      </c>
      <c r="FE17">
        <f t="shared" si="18"/>
        <v>50</v>
      </c>
      <c r="FF17">
        <v>1</v>
      </c>
      <c r="FG17" t="s">
        <v>716</v>
      </c>
      <c r="FK17">
        <v>50</v>
      </c>
      <c r="FL17">
        <v>4</v>
      </c>
      <c r="FM17" t="b">
        <f t="shared" ca="1" si="19"/>
        <v>0</v>
      </c>
      <c r="FN17" t="b">
        <f t="shared" ca="1" si="20"/>
        <v>0</v>
      </c>
      <c r="FQ17" t="s">
        <v>5030</v>
      </c>
      <c r="FR17" t="s">
        <v>2491</v>
      </c>
      <c r="FS17">
        <v>7</v>
      </c>
      <c r="FT17">
        <v>7</v>
      </c>
      <c r="FU17">
        <v>5</v>
      </c>
      <c r="FV17">
        <v>8</v>
      </c>
      <c r="FW17">
        <v>7</v>
      </c>
      <c r="FX17">
        <v>5</v>
      </c>
      <c r="FY17">
        <v>7</v>
      </c>
      <c r="FZ17">
        <v>4</v>
      </c>
      <c r="GA17">
        <v>7</v>
      </c>
      <c r="GB17">
        <v>6</v>
      </c>
      <c r="GC17">
        <v>4</v>
      </c>
      <c r="GD17">
        <v>4</v>
      </c>
      <c r="GE17">
        <v>7</v>
      </c>
      <c r="GH17" t="s">
        <v>3039</v>
      </c>
      <c r="GI17" t="s">
        <v>4483</v>
      </c>
      <c r="GJ17">
        <v>1</v>
      </c>
      <c r="GK17" t="s">
        <v>1320</v>
      </c>
      <c r="GL17" t="s">
        <v>567</v>
      </c>
      <c r="GM17" t="s">
        <v>3961</v>
      </c>
      <c r="GN17" t="s">
        <v>1974</v>
      </c>
      <c r="GO17">
        <v>252</v>
      </c>
      <c r="GP17">
        <v>79</v>
      </c>
      <c r="GR17">
        <f t="shared" si="22"/>
        <v>366</v>
      </c>
      <c r="GU17" t="str">
        <f t="shared" ca="1" si="23"/>
        <v/>
      </c>
      <c r="GV17" t="str">
        <f t="shared" ca="1" si="24"/>
        <v/>
      </c>
      <c r="GW17" t="str">
        <f t="shared" ca="1" si="25"/>
        <v/>
      </c>
      <c r="GX17" t="str">
        <f t="shared" ca="1" si="26"/>
        <v/>
      </c>
      <c r="HA17" t="s">
        <v>1887</v>
      </c>
      <c r="HB17" t="s">
        <v>3290</v>
      </c>
      <c r="HC17">
        <f t="shared" si="21"/>
        <v>3</v>
      </c>
      <c r="HD17" t="s">
        <v>1320</v>
      </c>
      <c r="HE17" t="s">
        <v>4123</v>
      </c>
      <c r="HG17" t="s">
        <v>1690</v>
      </c>
      <c r="HH17">
        <v>145</v>
      </c>
      <c r="HI17">
        <f t="shared" si="8"/>
        <v>3</v>
      </c>
      <c r="HJ17">
        <f t="shared" si="9"/>
        <v>150</v>
      </c>
      <c r="HK17" t="s">
        <v>1888</v>
      </c>
      <c r="HL17" t="s">
        <v>106</v>
      </c>
      <c r="HM17" t="s">
        <v>1196</v>
      </c>
    </row>
    <row r="18" spans="1:221" x14ac:dyDescent="0.2">
      <c r="A18" t="s">
        <v>1528</v>
      </c>
      <c r="B18" t="s">
        <v>1319</v>
      </c>
      <c r="E18" t="s">
        <v>1321</v>
      </c>
      <c r="F18" t="s">
        <v>1955</v>
      </c>
      <c r="G18">
        <v>0</v>
      </c>
      <c r="N18" t="str">
        <f t="shared" si="2"/>
        <v>Ringen</v>
      </c>
      <c r="P18">
        <f t="shared" si="3"/>
        <v>58</v>
      </c>
      <c r="R18" t="s">
        <v>300</v>
      </c>
      <c r="U18">
        <v>3</v>
      </c>
      <c r="W18" t="s">
        <v>1571</v>
      </c>
      <c r="Z18" t="s">
        <v>4947</v>
      </c>
      <c r="AC18">
        <v>15</v>
      </c>
      <c r="AH18">
        <v>14</v>
      </c>
      <c r="AI18">
        <v>17</v>
      </c>
      <c r="AJ18">
        <v>19</v>
      </c>
      <c r="AK18">
        <v>38</v>
      </c>
      <c r="AL18">
        <v>55</v>
      </c>
      <c r="AM18">
        <v>75</v>
      </c>
      <c r="AN18">
        <v>95</v>
      </c>
      <c r="AO18">
        <v>140</v>
      </c>
      <c r="AP18">
        <v>190</v>
      </c>
      <c r="AQ18">
        <v>380</v>
      </c>
      <c r="AS18" t="s">
        <v>4352</v>
      </c>
      <c r="AT18">
        <v>8</v>
      </c>
      <c r="AU18">
        <v>0</v>
      </c>
      <c r="AV18">
        <v>100</v>
      </c>
      <c r="AX18" t="s">
        <v>1116</v>
      </c>
      <c r="AY18">
        <v>4</v>
      </c>
      <c r="AZ18">
        <v>1</v>
      </c>
      <c r="BA18" t="s">
        <v>4985</v>
      </c>
      <c r="BG18">
        <v>5</v>
      </c>
      <c r="BI18" t="s">
        <v>2908</v>
      </c>
      <c r="BK18" t="s">
        <v>5165</v>
      </c>
      <c r="BL18">
        <v>17</v>
      </c>
      <c r="BM18">
        <v>18</v>
      </c>
      <c r="BN18" t="s">
        <v>5152</v>
      </c>
      <c r="BO18">
        <v>8</v>
      </c>
      <c r="BP18" t="s">
        <v>5153</v>
      </c>
      <c r="BQ18">
        <v>1</v>
      </c>
      <c r="BR18">
        <v>60</v>
      </c>
      <c r="BS18" t="s">
        <v>5166</v>
      </c>
      <c r="BT18" t="s">
        <v>5167</v>
      </c>
      <c r="BU18" t="s">
        <v>5168</v>
      </c>
      <c r="BW18">
        <v>9</v>
      </c>
      <c r="BX18">
        <v>19</v>
      </c>
      <c r="BY18">
        <f>BX18*5</f>
        <v>95</v>
      </c>
      <c r="BZ18">
        <f>BX18*10</f>
        <v>190</v>
      </c>
      <c r="CA18" t="s">
        <v>5169</v>
      </c>
      <c r="CB18" t="s">
        <v>5170</v>
      </c>
      <c r="CD18" t="s">
        <v>920</v>
      </c>
      <c r="CE18" t="s">
        <v>4549</v>
      </c>
      <c r="CF18" t="s">
        <v>897</v>
      </c>
      <c r="CG18" t="s">
        <v>4550</v>
      </c>
      <c r="CH18">
        <v>-1</v>
      </c>
      <c r="CI18">
        <v>5</v>
      </c>
      <c r="CJ18" t="s">
        <v>899</v>
      </c>
      <c r="CK18" t="s">
        <v>2190</v>
      </c>
      <c r="CN18" t="str">
        <f ca="1">IF(AND(ISERR(FIND($CK18,Talente!$CI$41)),ISNA(VLOOKUP($CK18,$AH$51:$AH$55,1))),IF(AND(ISERR(FIND($CL18,Talente!$CI$41)),ISNA(VLOOKUP($CL18,$AH$51:$AH$55,1))),$CM18,$CL18),$CK18)</f>
        <v>Hiebwaffen</v>
      </c>
      <c r="CP18" t="s">
        <v>5031</v>
      </c>
      <c r="CQ18" t="s">
        <v>916</v>
      </c>
      <c r="CR18" t="s">
        <v>1655</v>
      </c>
      <c r="CS18" t="s">
        <v>4982</v>
      </c>
      <c r="CT18" t="s">
        <v>1529</v>
      </c>
      <c r="CU18">
        <v>1</v>
      </c>
      <c r="CX18" t="s">
        <v>1100</v>
      </c>
      <c r="CY18" t="s">
        <v>74</v>
      </c>
      <c r="CZ18" t="s">
        <v>76</v>
      </c>
      <c r="DA18" t="s">
        <v>77</v>
      </c>
      <c r="DC18" t="s">
        <v>7290</v>
      </c>
      <c r="DD18">
        <v>5</v>
      </c>
      <c r="DE18" t="s">
        <v>1321</v>
      </c>
      <c r="DF18" t="s">
        <v>81</v>
      </c>
      <c r="DG18" t="s">
        <v>1956</v>
      </c>
      <c r="DH18" t="s">
        <v>6846</v>
      </c>
      <c r="DI18" t="s">
        <v>2940</v>
      </c>
      <c r="DJ18">
        <v>2</v>
      </c>
      <c r="DK18">
        <f t="shared" si="10"/>
        <v>339</v>
      </c>
      <c r="DL18">
        <f t="shared" si="11"/>
        <v>16</v>
      </c>
      <c r="DM18">
        <v>23</v>
      </c>
      <c r="DN18" t="str">
        <f t="shared" ca="1" si="12"/>
        <v/>
      </c>
      <c r="DO18" t="str">
        <f t="shared" ca="1" si="13"/>
        <v/>
      </c>
      <c r="DP18" t="str">
        <f t="shared" ca="1" si="14"/>
        <v/>
      </c>
      <c r="DQ18" t="str">
        <f>IF(EXACT(Zauber!$A$250,""),"",IF(EXACT(RIGHT(HLOOKUP(Zauber!$A$250,PROFMAGIE,$DK18,FALSE)),"H"),CONCATENATE($CX18,","),""))</f>
        <v/>
      </c>
      <c r="DR18" t="str">
        <f t="shared" si="15"/>
        <v/>
      </c>
      <c r="DS18" t="str">
        <f>IF(ZS_IAAK="Ja",IF(EXACT(RIGHT(HLOOKUP(Tabellen_Magie!$IK$1,PROFMAGIE,$DK18,FALSE)),"H"),CONCATENATE($CX18,","),""),"")</f>
        <v/>
      </c>
      <c r="DT18" t="str">
        <f>IF(ZS_IAAK="Ja",IF(NOT(DS18=""),"",IF(OR(EXACT(RIGHT(HLOOKUP(Tabellen_Magie!$IK$1,PROFMAGIE,$DK18,FALSE)),"B"),EXACT(HLOOKUP(Tabellen_Magie!$IK$1,PROFMAGIE,$DK18,FALSE),"")),"",CONCATENATE($CX18,","))),"")</f>
        <v/>
      </c>
      <c r="DU18" t="str">
        <f t="shared" si="16"/>
        <v/>
      </c>
      <c r="DW18" t="s">
        <v>2052</v>
      </c>
      <c r="DX18" t="s">
        <v>76</v>
      </c>
      <c r="DY18" t="s">
        <v>77</v>
      </c>
      <c r="DZ18" t="s">
        <v>77</v>
      </c>
      <c r="EB18" t="s">
        <v>2991</v>
      </c>
      <c r="EC18" t="s">
        <v>2339</v>
      </c>
      <c r="ED18">
        <f t="shared" si="17"/>
        <v>75</v>
      </c>
      <c r="EE18" t="s">
        <v>1250</v>
      </c>
      <c r="EF18" t="s">
        <v>3282</v>
      </c>
      <c r="EH18">
        <v>2</v>
      </c>
      <c r="EI18">
        <v>75</v>
      </c>
      <c r="EK18" t="s">
        <v>506</v>
      </c>
      <c r="EL18">
        <v>0</v>
      </c>
      <c r="EM18">
        <v>2</v>
      </c>
      <c r="EN18">
        <v>0</v>
      </c>
      <c r="EO18">
        <v>1</v>
      </c>
      <c r="EP18">
        <v>0</v>
      </c>
      <c r="EQ18">
        <v>0</v>
      </c>
      <c r="ER18">
        <v>0</v>
      </c>
      <c r="ES18">
        <v>0.6</v>
      </c>
      <c r="ET18">
        <v>0.6</v>
      </c>
      <c r="EU18">
        <v>1</v>
      </c>
      <c r="EV18">
        <v>1</v>
      </c>
      <c r="EX18" t="s">
        <v>1041</v>
      </c>
      <c r="EY18" t="s">
        <v>1827</v>
      </c>
      <c r="EZ18" t="s">
        <v>501</v>
      </c>
      <c r="FA18">
        <v>-3</v>
      </c>
      <c r="FB18">
        <v>1</v>
      </c>
      <c r="FD18" t="s">
        <v>800</v>
      </c>
      <c r="FE18">
        <f t="shared" si="18"/>
        <v>30</v>
      </c>
      <c r="FF18">
        <v>1</v>
      </c>
      <c r="FG18" t="s">
        <v>716</v>
      </c>
      <c r="FK18">
        <v>30</v>
      </c>
      <c r="FL18">
        <v>4</v>
      </c>
      <c r="FM18" t="b">
        <f t="shared" ca="1" si="19"/>
        <v>0</v>
      </c>
      <c r="FN18" t="b">
        <f t="shared" ca="1" si="20"/>
        <v>0</v>
      </c>
      <c r="FR18" t="s">
        <v>408</v>
      </c>
      <c r="FS18">
        <v>11</v>
      </c>
      <c r="FT18">
        <v>10</v>
      </c>
      <c r="FU18">
        <v>10</v>
      </c>
      <c r="FV18">
        <v>14</v>
      </c>
      <c r="FW18">
        <v>10</v>
      </c>
      <c r="FX18">
        <v>10</v>
      </c>
      <c r="FY18">
        <v>10</v>
      </c>
      <c r="FZ18">
        <v>10</v>
      </c>
      <c r="GA18">
        <v>10</v>
      </c>
      <c r="GB18">
        <v>10</v>
      </c>
      <c r="GC18">
        <v>9</v>
      </c>
      <c r="GD18">
        <v>9</v>
      </c>
      <c r="GE18">
        <v>12</v>
      </c>
      <c r="GH18" t="s">
        <v>3409</v>
      </c>
      <c r="GI18" t="s">
        <v>4483</v>
      </c>
      <c r="GJ18">
        <v>1</v>
      </c>
      <c r="GK18" t="s">
        <v>1320</v>
      </c>
      <c r="GL18" t="s">
        <v>1976</v>
      </c>
      <c r="GM18" t="s">
        <v>1982</v>
      </c>
      <c r="GN18" t="s">
        <v>1974</v>
      </c>
      <c r="GO18">
        <v>252</v>
      </c>
      <c r="GP18">
        <v>80</v>
      </c>
      <c r="GR18">
        <f t="shared" si="22"/>
        <v>367</v>
      </c>
      <c r="GU18" t="str">
        <f t="shared" ca="1" si="23"/>
        <v/>
      </c>
      <c r="GV18" t="str">
        <f t="shared" ca="1" si="24"/>
        <v/>
      </c>
      <c r="GW18" t="str">
        <f t="shared" ca="1" si="25"/>
        <v/>
      </c>
      <c r="GX18" t="str">
        <f t="shared" ca="1" si="26"/>
        <v/>
      </c>
      <c r="HA18" t="s">
        <v>1889</v>
      </c>
      <c r="HB18" t="s">
        <v>3290</v>
      </c>
      <c r="HC18">
        <f t="shared" si="21"/>
        <v>3</v>
      </c>
      <c r="HD18" t="s">
        <v>1827</v>
      </c>
      <c r="HE18" t="s">
        <v>4123</v>
      </c>
      <c r="HG18" t="s">
        <v>1973</v>
      </c>
      <c r="HH18">
        <v>146</v>
      </c>
      <c r="HI18">
        <f t="shared" si="8"/>
        <v>3</v>
      </c>
      <c r="HJ18">
        <f t="shared" si="9"/>
        <v>150</v>
      </c>
      <c r="HK18" t="s">
        <v>1327</v>
      </c>
      <c r="HL18" t="s">
        <v>3397</v>
      </c>
      <c r="HM18" t="s">
        <v>1369</v>
      </c>
    </row>
    <row r="19" spans="1:221" x14ac:dyDescent="0.2">
      <c r="A19" t="s">
        <v>2192</v>
      </c>
      <c r="B19" t="s">
        <v>1826</v>
      </c>
      <c r="E19" t="s">
        <v>1321</v>
      </c>
      <c r="F19" t="s">
        <v>1955</v>
      </c>
      <c r="G19">
        <v>-2</v>
      </c>
      <c r="H19" t="s">
        <v>2190</v>
      </c>
      <c r="I19" t="s">
        <v>1938</v>
      </c>
      <c r="L19" t="str">
        <f t="shared" ref="L19:L29" si="27">IF(VLOOKUP(A19,TL_SPEZ,18,FALSE)="","",VLOOKUP(A19,TL_SPEZ,18,FALSE))</f>
        <v/>
      </c>
      <c r="M19" t="str">
        <f t="shared" ref="M19:M29" si="28">IF(VLOOKUP($A19,TL_SPEZ,19,FALSE)="","",VLOOKUP($A19,TL_SPEZ,19,FALSE))</f>
        <v/>
      </c>
      <c r="N19" t="str">
        <f t="shared" si="2"/>
        <v>Säbel</v>
      </c>
      <c r="P19">
        <f t="shared" si="3"/>
        <v>59</v>
      </c>
      <c r="R19" t="s">
        <v>4768</v>
      </c>
      <c r="S19">
        <v>1</v>
      </c>
      <c r="T19">
        <f ca="1">SO</f>
        <v>0</v>
      </c>
      <c r="Z19" t="s">
        <v>628</v>
      </c>
      <c r="AA19">
        <v>0.5</v>
      </c>
      <c r="AB19">
        <v>12</v>
      </c>
      <c r="AD19" t="s">
        <v>3995</v>
      </c>
      <c r="AH19">
        <v>15</v>
      </c>
      <c r="AI19">
        <v>19</v>
      </c>
      <c r="AJ19">
        <v>21</v>
      </c>
      <c r="AK19">
        <v>41</v>
      </c>
      <c r="AL19">
        <v>60</v>
      </c>
      <c r="AM19">
        <v>85</v>
      </c>
      <c r="AN19">
        <v>105</v>
      </c>
      <c r="AO19">
        <v>155</v>
      </c>
      <c r="AP19">
        <v>210</v>
      </c>
      <c r="AQ19">
        <v>410</v>
      </c>
      <c r="AS19" t="s">
        <v>961</v>
      </c>
      <c r="AT19">
        <v>8</v>
      </c>
      <c r="AU19">
        <v>0</v>
      </c>
      <c r="AV19">
        <v>100</v>
      </c>
      <c r="AX19" t="s">
        <v>8395</v>
      </c>
      <c r="AY19">
        <v>4</v>
      </c>
      <c r="AZ19">
        <v>1</v>
      </c>
      <c r="BA19" t="s">
        <v>225</v>
      </c>
      <c r="BB19" t="s">
        <v>226</v>
      </c>
      <c r="BG19">
        <v>5</v>
      </c>
      <c r="BI19" t="s">
        <v>2909</v>
      </c>
      <c r="BK19" t="s">
        <v>5171</v>
      </c>
      <c r="BL19">
        <v>17</v>
      </c>
      <c r="BM19">
        <v>19</v>
      </c>
      <c r="BN19" t="s">
        <v>5152</v>
      </c>
      <c r="BO19">
        <v>8</v>
      </c>
      <c r="BP19" t="s">
        <v>5153</v>
      </c>
      <c r="BQ19">
        <v>1</v>
      </c>
      <c r="BR19">
        <v>57</v>
      </c>
      <c r="BS19" t="s">
        <v>5166</v>
      </c>
      <c r="BT19" t="s">
        <v>5172</v>
      </c>
      <c r="BU19" t="s">
        <v>5148</v>
      </c>
      <c r="BW19">
        <v>9</v>
      </c>
      <c r="BX19">
        <v>22</v>
      </c>
      <c r="BY19">
        <f>BX19*5</f>
        <v>110</v>
      </c>
      <c r="BZ19" t="s">
        <v>255</v>
      </c>
      <c r="CA19" t="s">
        <v>5173</v>
      </c>
      <c r="CB19" t="s">
        <v>5174</v>
      </c>
      <c r="CD19" t="s">
        <v>4551</v>
      </c>
      <c r="CE19" t="s">
        <v>916</v>
      </c>
      <c r="CF19" t="s">
        <v>4552</v>
      </c>
      <c r="CG19" t="s">
        <v>908</v>
      </c>
      <c r="CH19">
        <v>0</v>
      </c>
      <c r="CI19">
        <v>1</v>
      </c>
      <c r="CJ19" t="s">
        <v>4001</v>
      </c>
      <c r="CK19" t="s">
        <v>1957</v>
      </c>
      <c r="CN19" t="str">
        <f ca="1">IF(AND(ISERR(FIND($CK19,Talente!$CI$41)),ISNA(VLOOKUP($CK19,$AH$51:$AH$55,1))),IF(AND(ISERR(FIND($CL19,Talente!$CI$41)),ISNA(VLOOKUP($CL19,$AH$51:$AH$55,1))),$CM19,$CL19),$CK19)</f>
        <v>Dolche</v>
      </c>
      <c r="CP19" t="s">
        <v>1933</v>
      </c>
      <c r="CQ19" t="s">
        <v>1935</v>
      </c>
      <c r="CR19" t="s">
        <v>1936</v>
      </c>
      <c r="CS19" t="s">
        <v>1937</v>
      </c>
      <c r="CT19" t="s">
        <v>1939</v>
      </c>
      <c r="CU19">
        <v>30</v>
      </c>
      <c r="CV19" t="s">
        <v>7543</v>
      </c>
      <c r="CX19" t="s">
        <v>679</v>
      </c>
      <c r="CY19" t="s">
        <v>75</v>
      </c>
      <c r="CZ19" t="s">
        <v>750</v>
      </c>
      <c r="DA19" t="s">
        <v>751</v>
      </c>
      <c r="DC19" t="s">
        <v>7293</v>
      </c>
      <c r="DD19" t="s">
        <v>7322</v>
      </c>
      <c r="DE19" t="s">
        <v>1321</v>
      </c>
      <c r="DF19" t="s">
        <v>2941</v>
      </c>
      <c r="DG19" t="s">
        <v>1828</v>
      </c>
      <c r="DH19" t="s">
        <v>6847</v>
      </c>
      <c r="DI19" t="s">
        <v>2942</v>
      </c>
      <c r="DJ19">
        <v>2</v>
      </c>
      <c r="DK19">
        <f t="shared" si="10"/>
        <v>340</v>
      </c>
      <c r="DL19">
        <f t="shared" si="11"/>
        <v>17</v>
      </c>
      <c r="DM19">
        <v>24</v>
      </c>
      <c r="DN19" t="str">
        <f t="shared" ca="1" si="12"/>
        <v/>
      </c>
      <c r="DO19" t="str">
        <f t="shared" ca="1" si="13"/>
        <v/>
      </c>
      <c r="DP19" t="str">
        <f t="shared" ca="1" si="14"/>
        <v/>
      </c>
      <c r="DQ19" t="str">
        <f>IF(EXACT(Zauber!$A$250,""),"",IF(EXACT(RIGHT(HLOOKUP(Zauber!$A$250,PROFMAGIE,$DK19,FALSE)),"H"),CONCATENATE($CX19,","),""))</f>
        <v/>
      </c>
      <c r="DR19" t="str">
        <f t="shared" si="15"/>
        <v/>
      </c>
      <c r="DS19" t="str">
        <f>IF(ZS_IAAK="Ja",IF(EXACT(RIGHT(HLOOKUP(Tabellen_Magie!$IK$1,PROFMAGIE,$DK19,FALSE)),"H"),CONCATENATE($CX19,","),""),"")</f>
        <v/>
      </c>
      <c r="DT19" t="str">
        <f>IF(ZS_IAAK="Ja",IF(NOT(DS19=""),"",IF(OR(EXACT(RIGHT(HLOOKUP(Tabellen_Magie!$IK$1,PROFMAGIE,$DK19,FALSE)),"B"),EXACT(HLOOKUP(Tabellen_Magie!$IK$1,PROFMAGIE,$DK19,FALSE),"")),"",CONCATENATE($CX19,","))),"")</f>
        <v/>
      </c>
      <c r="DU19" t="str">
        <f t="shared" si="16"/>
        <v/>
      </c>
      <c r="DW19" t="s">
        <v>1080</v>
      </c>
      <c r="DX19" t="s">
        <v>75</v>
      </c>
      <c r="DY19" t="s">
        <v>76</v>
      </c>
      <c r="DZ19" t="s">
        <v>750</v>
      </c>
      <c r="EB19" t="s">
        <v>1196</v>
      </c>
      <c r="EC19" t="s">
        <v>2990</v>
      </c>
      <c r="ED19">
        <f t="shared" si="17"/>
        <v>25</v>
      </c>
      <c r="EE19" t="s">
        <v>1250</v>
      </c>
      <c r="EF19" t="s">
        <v>3282</v>
      </c>
      <c r="EH19">
        <v>1</v>
      </c>
      <c r="EI19">
        <v>25</v>
      </c>
      <c r="EK19" t="s">
        <v>507</v>
      </c>
      <c r="EL19">
        <v>0</v>
      </c>
      <c r="EM19">
        <v>2</v>
      </c>
      <c r="EN19">
        <v>0</v>
      </c>
      <c r="EO19">
        <v>0</v>
      </c>
      <c r="EP19">
        <v>0</v>
      </c>
      <c r="EQ19">
        <v>0</v>
      </c>
      <c r="ER19">
        <v>0</v>
      </c>
      <c r="ES19">
        <v>0.4</v>
      </c>
      <c r="ET19">
        <v>0.4</v>
      </c>
      <c r="EU19">
        <v>1</v>
      </c>
      <c r="EV19">
        <v>0</v>
      </c>
      <c r="EX19" t="s">
        <v>1333</v>
      </c>
      <c r="EY19" t="s">
        <v>1827</v>
      </c>
      <c r="EZ19" t="s">
        <v>1044</v>
      </c>
      <c r="FA19">
        <v>-1</v>
      </c>
      <c r="FB19">
        <v>0</v>
      </c>
      <c r="FD19" t="s">
        <v>801</v>
      </c>
      <c r="FE19">
        <f t="shared" si="18"/>
        <v>40</v>
      </c>
      <c r="FF19">
        <v>1</v>
      </c>
      <c r="FG19" t="s">
        <v>716</v>
      </c>
      <c r="FK19">
        <v>40</v>
      </c>
      <c r="FL19">
        <v>4</v>
      </c>
      <c r="FM19" t="b">
        <f t="shared" ca="1" si="19"/>
        <v>0</v>
      </c>
      <c r="FN19" t="b">
        <f t="shared" ca="1" si="20"/>
        <v>0</v>
      </c>
      <c r="FQ19" t="s">
        <v>752</v>
      </c>
      <c r="FR19" t="s">
        <v>2491</v>
      </c>
      <c r="FS19">
        <v>3</v>
      </c>
      <c r="FT19">
        <v>2</v>
      </c>
      <c r="FU19">
        <v>2</v>
      </c>
      <c r="FV19">
        <v>8</v>
      </c>
      <c r="FW19">
        <v>3</v>
      </c>
      <c r="FX19">
        <v>2</v>
      </c>
      <c r="FY19">
        <v>1</v>
      </c>
      <c r="FZ19">
        <v>2</v>
      </c>
      <c r="GA19">
        <v>2</v>
      </c>
      <c r="GB19">
        <v>2</v>
      </c>
      <c r="GC19">
        <v>1</v>
      </c>
      <c r="GD19">
        <v>2</v>
      </c>
      <c r="GE19">
        <v>3</v>
      </c>
      <c r="GH19" t="s">
        <v>3410</v>
      </c>
      <c r="GI19" t="s">
        <v>4483</v>
      </c>
      <c r="GJ19">
        <v>1</v>
      </c>
      <c r="GK19" t="s">
        <v>1320</v>
      </c>
      <c r="GL19" t="s">
        <v>567</v>
      </c>
      <c r="GM19" t="s">
        <v>1984</v>
      </c>
      <c r="GN19" t="s">
        <v>1974</v>
      </c>
      <c r="GO19">
        <v>280</v>
      </c>
      <c r="GP19">
        <v>178</v>
      </c>
      <c r="GR19">
        <f t="shared" si="22"/>
        <v>368</v>
      </c>
      <c r="GU19" t="str">
        <f t="shared" ca="1" si="23"/>
        <v/>
      </c>
      <c r="GV19" t="str">
        <f t="shared" ca="1" si="24"/>
        <v/>
      </c>
      <c r="GW19" t="str">
        <f t="shared" ca="1" si="25"/>
        <v/>
      </c>
      <c r="GX19" t="str">
        <f t="shared" ca="1" si="26"/>
        <v/>
      </c>
      <c r="HA19" t="s">
        <v>1890</v>
      </c>
      <c r="HB19" t="s">
        <v>3290</v>
      </c>
      <c r="HC19">
        <f t="shared" si="21"/>
        <v>3</v>
      </c>
      <c r="HD19" t="s">
        <v>1827</v>
      </c>
      <c r="HE19" t="s">
        <v>4123</v>
      </c>
      <c r="HG19" t="s">
        <v>1975</v>
      </c>
      <c r="HH19">
        <v>146</v>
      </c>
      <c r="HI19">
        <f t="shared" si="8"/>
        <v>3</v>
      </c>
      <c r="HJ19">
        <f t="shared" si="9"/>
        <v>150</v>
      </c>
      <c r="HK19" t="s">
        <v>1891</v>
      </c>
      <c r="HL19" t="s">
        <v>3396</v>
      </c>
      <c r="HM19" t="s">
        <v>1369</v>
      </c>
    </row>
    <row r="20" spans="1:221" x14ac:dyDescent="0.2">
      <c r="A20" t="s">
        <v>1529</v>
      </c>
      <c r="B20" t="s">
        <v>3630</v>
      </c>
      <c r="E20" t="s">
        <v>1827</v>
      </c>
      <c r="F20" t="s">
        <v>1828</v>
      </c>
      <c r="G20">
        <v>-2</v>
      </c>
      <c r="L20" t="str">
        <f t="shared" si="27"/>
        <v/>
      </c>
      <c r="M20" t="str">
        <f t="shared" si="28"/>
        <v/>
      </c>
      <c r="N20" t="str">
        <f t="shared" si="2"/>
        <v>Schleuder</v>
      </c>
      <c r="P20">
        <f t="shared" si="3"/>
        <v>60</v>
      </c>
      <c r="R20" t="s">
        <v>4296</v>
      </c>
      <c r="U20">
        <f ca="1">10-IF(SF_STANDFEST_GEN="x",4,0)</f>
        <v>10</v>
      </c>
      <c r="Z20" t="s">
        <v>4839</v>
      </c>
      <c r="AA20">
        <v>1</v>
      </c>
      <c r="AB20">
        <v>12</v>
      </c>
      <c r="AD20" t="s">
        <v>3995</v>
      </c>
      <c r="AH20">
        <v>16</v>
      </c>
      <c r="AI20">
        <v>20</v>
      </c>
      <c r="AJ20">
        <v>22</v>
      </c>
      <c r="AK20">
        <v>45</v>
      </c>
      <c r="AL20">
        <v>65</v>
      </c>
      <c r="AM20">
        <v>90</v>
      </c>
      <c r="AN20">
        <v>110</v>
      </c>
      <c r="AO20">
        <v>165</v>
      </c>
      <c r="AP20">
        <v>220</v>
      </c>
      <c r="AQ20">
        <v>450</v>
      </c>
      <c r="AS20" t="s">
        <v>963</v>
      </c>
      <c r="AT20">
        <v>8</v>
      </c>
      <c r="AU20">
        <v>0</v>
      </c>
      <c r="AV20">
        <v>100</v>
      </c>
      <c r="AX20" t="s">
        <v>3042</v>
      </c>
      <c r="AY20">
        <v>6</v>
      </c>
      <c r="AZ20">
        <v>2</v>
      </c>
      <c r="BG20">
        <v>5</v>
      </c>
      <c r="BI20" t="s">
        <v>2905</v>
      </c>
      <c r="BK20" t="s">
        <v>5175</v>
      </c>
      <c r="BL20">
        <v>17</v>
      </c>
      <c r="BM20">
        <v>20</v>
      </c>
      <c r="BN20" t="s">
        <v>5176</v>
      </c>
      <c r="BO20">
        <v>7</v>
      </c>
      <c r="BP20" t="s">
        <v>5128</v>
      </c>
      <c r="BQ20">
        <v>1</v>
      </c>
      <c r="BR20">
        <v>50</v>
      </c>
      <c r="BS20" t="s">
        <v>5177</v>
      </c>
      <c r="BT20" t="s">
        <v>5178</v>
      </c>
      <c r="BU20" t="s">
        <v>5179</v>
      </c>
      <c r="BW20">
        <v>5</v>
      </c>
      <c r="BX20">
        <v>14</v>
      </c>
      <c r="BY20">
        <f>BX20*5</f>
        <v>70</v>
      </c>
      <c r="BZ20">
        <f>BX20*10</f>
        <v>140</v>
      </c>
      <c r="CA20" t="s">
        <v>5180</v>
      </c>
      <c r="CB20" t="s">
        <v>5157</v>
      </c>
      <c r="CD20" t="s">
        <v>4553</v>
      </c>
      <c r="CE20" t="s">
        <v>5094</v>
      </c>
      <c r="CF20" t="s">
        <v>4554</v>
      </c>
      <c r="CG20" t="s">
        <v>4555</v>
      </c>
      <c r="CH20">
        <v>-2</v>
      </c>
      <c r="CI20">
        <v>3</v>
      </c>
      <c r="CJ20" t="s">
        <v>1827</v>
      </c>
      <c r="CK20" t="s">
        <v>1825</v>
      </c>
      <c r="CN20" t="str">
        <f ca="1">IF(AND(ISERR(FIND($CK20,Talente!$CI$41)),ISNA(VLOOKUP($CK20,$AH$51:$AH$55,1))),IF(AND(ISERR(FIND($CL20,Talente!$CI$41)),ISNA(VLOOKUP($CL20,$AH$51:$AH$55,1))),$CM20,$CL20),$CK20)</f>
        <v>Zweihandschwerter/-säbel</v>
      </c>
      <c r="CP20" t="s">
        <v>7553</v>
      </c>
      <c r="CQ20" t="s">
        <v>7244</v>
      </c>
      <c r="CR20" t="s">
        <v>2772</v>
      </c>
      <c r="CS20" t="s">
        <v>4009</v>
      </c>
      <c r="CT20" t="s">
        <v>1529</v>
      </c>
      <c r="CX20" t="s">
        <v>2641</v>
      </c>
      <c r="CY20" t="s">
        <v>75</v>
      </c>
      <c r="CZ20" t="s">
        <v>750</v>
      </c>
      <c r="DA20" t="s">
        <v>750</v>
      </c>
      <c r="DC20" t="s">
        <v>7288</v>
      </c>
      <c r="DD20" t="s">
        <v>7323</v>
      </c>
      <c r="DE20" t="s">
        <v>1321</v>
      </c>
      <c r="DF20" t="s">
        <v>2943</v>
      </c>
      <c r="DG20" t="s">
        <v>1956</v>
      </c>
      <c r="DH20" t="s">
        <v>6848</v>
      </c>
      <c r="DI20" t="s">
        <v>2944</v>
      </c>
      <c r="DJ20">
        <v>2</v>
      </c>
      <c r="DK20">
        <f t="shared" si="10"/>
        <v>341</v>
      </c>
      <c r="DL20">
        <f t="shared" si="11"/>
        <v>18</v>
      </c>
      <c r="DM20">
        <v>25</v>
      </c>
      <c r="DN20" t="str">
        <f t="shared" ca="1" si="12"/>
        <v/>
      </c>
      <c r="DO20" t="str">
        <f t="shared" ca="1" si="13"/>
        <v/>
      </c>
      <c r="DP20" t="str">
        <f t="shared" ca="1" si="14"/>
        <v/>
      </c>
      <c r="DQ20" t="str">
        <f>IF(EXACT(Zauber!$A$250,""),"",IF(EXACT(RIGHT(HLOOKUP(Zauber!$A$250,PROFMAGIE,$DK20,FALSE)),"H"),CONCATENATE($CX20,","),""))</f>
        <v/>
      </c>
      <c r="DR20" t="str">
        <f t="shared" si="15"/>
        <v/>
      </c>
      <c r="DS20" t="str">
        <f>IF(ZS_IAAK="Ja",IF(EXACT(RIGHT(HLOOKUP(Tabellen_Magie!$IK$1,PROFMAGIE,$DK20,FALSE)),"H"),CONCATENATE($CX20,","),""),"")</f>
        <v/>
      </c>
      <c r="DT20" t="str">
        <f>IF(ZS_IAAK="Ja",IF(NOT(DS20=""),"",IF(OR(EXACT(RIGHT(HLOOKUP(Tabellen_Magie!$IK$1,PROFMAGIE,$DK20,FALSE)),"B"),EXACT(HLOOKUP(Tabellen_Magie!$IK$1,PROFMAGIE,$DK20,FALSE),"")),"",CONCATENATE($CX20,","))),"")</f>
        <v/>
      </c>
      <c r="DU20" t="str">
        <f t="shared" si="16"/>
        <v/>
      </c>
      <c r="DW20" t="s">
        <v>1029</v>
      </c>
      <c r="DX20" t="s">
        <v>76</v>
      </c>
      <c r="DY20" t="s">
        <v>76</v>
      </c>
      <c r="DZ20" t="s">
        <v>77</v>
      </c>
      <c r="EB20" t="s">
        <v>2345</v>
      </c>
      <c r="EC20" t="s">
        <v>2344</v>
      </c>
      <c r="ED20">
        <f t="shared" si="17"/>
        <v>50</v>
      </c>
      <c r="EE20" t="s">
        <v>1250</v>
      </c>
      <c r="EF20" t="s">
        <v>3282</v>
      </c>
      <c r="EH20">
        <v>1</v>
      </c>
      <c r="EI20">
        <v>50</v>
      </c>
      <c r="EK20" t="s">
        <v>508</v>
      </c>
      <c r="EL20">
        <v>0</v>
      </c>
      <c r="EM20">
        <v>1</v>
      </c>
      <c r="EN20">
        <v>1</v>
      </c>
      <c r="EO20">
        <v>1</v>
      </c>
      <c r="EP20">
        <v>1</v>
      </c>
      <c r="EQ20">
        <v>1</v>
      </c>
      <c r="ER20">
        <v>1</v>
      </c>
      <c r="ES20">
        <v>0.9</v>
      </c>
      <c r="ET20">
        <v>0.9</v>
      </c>
      <c r="EU20">
        <v>1</v>
      </c>
      <c r="EV20">
        <v>1</v>
      </c>
      <c r="EX20" t="s">
        <v>6679</v>
      </c>
      <c r="EY20" t="s">
        <v>2538</v>
      </c>
      <c r="EZ20" t="s">
        <v>502</v>
      </c>
      <c r="FA20">
        <v>0</v>
      </c>
      <c r="FB20">
        <v>-2</v>
      </c>
      <c r="FD20" t="s">
        <v>802</v>
      </c>
      <c r="FE20">
        <f t="shared" si="18"/>
        <v>50</v>
      </c>
      <c r="FF20">
        <v>1</v>
      </c>
      <c r="FG20" t="s">
        <v>716</v>
      </c>
      <c r="FK20">
        <v>50</v>
      </c>
      <c r="FL20">
        <v>4</v>
      </c>
      <c r="FM20" t="b">
        <f t="shared" ca="1" si="19"/>
        <v>0</v>
      </c>
      <c r="FN20" t="b">
        <f t="shared" ca="1" si="20"/>
        <v>0</v>
      </c>
      <c r="FR20" t="s">
        <v>408</v>
      </c>
      <c r="FS20">
        <v>6</v>
      </c>
      <c r="FT20">
        <v>4</v>
      </c>
      <c r="FU20">
        <v>4</v>
      </c>
      <c r="FV20">
        <v>14</v>
      </c>
      <c r="FW20">
        <v>7</v>
      </c>
      <c r="FX20">
        <v>4</v>
      </c>
      <c r="FY20">
        <v>2</v>
      </c>
      <c r="FZ20">
        <v>4</v>
      </c>
      <c r="GA20">
        <v>4</v>
      </c>
      <c r="GB20">
        <v>5</v>
      </c>
      <c r="GC20">
        <v>2</v>
      </c>
      <c r="GD20">
        <v>4</v>
      </c>
      <c r="GE20">
        <v>9</v>
      </c>
      <c r="GH20" t="s">
        <v>3411</v>
      </c>
      <c r="GI20" t="s">
        <v>4483</v>
      </c>
      <c r="GJ20">
        <v>1</v>
      </c>
      <c r="GK20" t="s">
        <v>1320</v>
      </c>
      <c r="GL20" t="s">
        <v>567</v>
      </c>
      <c r="GM20" t="s">
        <v>1982</v>
      </c>
      <c r="GN20" t="s">
        <v>1974</v>
      </c>
      <c r="GO20">
        <v>278</v>
      </c>
      <c r="GP20">
        <v>182</v>
      </c>
      <c r="GR20">
        <f t="shared" si="22"/>
        <v>369</v>
      </c>
      <c r="GU20" t="str">
        <f t="shared" ca="1" si="23"/>
        <v/>
      </c>
      <c r="GV20" t="str">
        <f t="shared" ca="1" si="24"/>
        <v/>
      </c>
      <c r="GW20" t="str">
        <f t="shared" ca="1" si="25"/>
        <v/>
      </c>
      <c r="GX20" t="str">
        <f t="shared" ca="1" si="26"/>
        <v/>
      </c>
      <c r="HA20" t="s">
        <v>1892</v>
      </c>
      <c r="HB20" t="s">
        <v>1119</v>
      </c>
      <c r="HC20">
        <f t="shared" si="21"/>
        <v>2</v>
      </c>
      <c r="HD20" t="s">
        <v>1320</v>
      </c>
      <c r="HE20" t="s">
        <v>4123</v>
      </c>
      <c r="HF20" t="s">
        <v>1893</v>
      </c>
      <c r="HG20" t="s">
        <v>1974</v>
      </c>
      <c r="HH20">
        <v>146</v>
      </c>
      <c r="HI20">
        <f t="shared" si="8"/>
        <v>2</v>
      </c>
      <c r="HJ20">
        <f t="shared" si="9"/>
        <v>100</v>
      </c>
      <c r="HK20" t="s">
        <v>1327</v>
      </c>
      <c r="HL20" t="s">
        <v>3397</v>
      </c>
      <c r="HM20" t="s">
        <v>2685</v>
      </c>
    </row>
    <row r="21" spans="1:221" ht="12.75" customHeight="1" x14ac:dyDescent="0.2">
      <c r="A21" t="s">
        <v>1938</v>
      </c>
      <c r="B21" t="s">
        <v>1826</v>
      </c>
      <c r="E21" t="s">
        <v>1827</v>
      </c>
      <c r="F21" t="s">
        <v>1828</v>
      </c>
      <c r="G21">
        <v>-2</v>
      </c>
      <c r="H21" t="s">
        <v>1829</v>
      </c>
      <c r="I21" t="s">
        <v>3043</v>
      </c>
      <c r="J21" t="s">
        <v>2192</v>
      </c>
      <c r="L21" t="str">
        <f t="shared" si="27"/>
        <v/>
      </c>
      <c r="M21" t="str">
        <f t="shared" si="28"/>
        <v/>
      </c>
      <c r="N21" t="str">
        <f t="shared" si="2"/>
        <v>Schwerter</v>
      </c>
      <c r="P21">
        <f t="shared" si="3"/>
        <v>61</v>
      </c>
      <c r="R21" t="s">
        <v>152</v>
      </c>
      <c r="Z21" t="s">
        <v>4948</v>
      </c>
      <c r="AA21">
        <v>2</v>
      </c>
      <c r="AB21">
        <v>12</v>
      </c>
      <c r="AD21" t="s">
        <v>3995</v>
      </c>
      <c r="AH21">
        <v>17</v>
      </c>
      <c r="AI21">
        <v>22</v>
      </c>
      <c r="AJ21">
        <v>24</v>
      </c>
      <c r="AK21">
        <v>48</v>
      </c>
      <c r="AL21">
        <v>70</v>
      </c>
      <c r="AM21">
        <v>95</v>
      </c>
      <c r="AN21">
        <v>120</v>
      </c>
      <c r="AO21">
        <v>180</v>
      </c>
      <c r="AP21">
        <v>240</v>
      </c>
      <c r="AQ21">
        <v>480</v>
      </c>
      <c r="AS21" t="s">
        <v>966</v>
      </c>
      <c r="AT21">
        <v>8</v>
      </c>
      <c r="AU21">
        <v>0</v>
      </c>
      <c r="AV21">
        <v>100</v>
      </c>
      <c r="AX21" t="s">
        <v>1957</v>
      </c>
      <c r="AY21">
        <v>6</v>
      </c>
      <c r="AZ21">
        <v>2</v>
      </c>
      <c r="BG21">
        <v>5</v>
      </c>
      <c r="BI21" t="s">
        <v>1156</v>
      </c>
      <c r="BK21" t="s">
        <v>5181</v>
      </c>
      <c r="BL21">
        <v>17</v>
      </c>
      <c r="BM21">
        <v>18</v>
      </c>
      <c r="BN21" t="s">
        <v>5152</v>
      </c>
      <c r="BO21">
        <v>8</v>
      </c>
      <c r="BP21" t="s">
        <v>5153</v>
      </c>
      <c r="BQ21">
        <v>1</v>
      </c>
      <c r="BR21">
        <v>57</v>
      </c>
      <c r="BS21" t="s">
        <v>5182</v>
      </c>
      <c r="BT21" t="s">
        <v>5172</v>
      </c>
      <c r="BU21" t="s">
        <v>5148</v>
      </c>
      <c r="BW21">
        <v>10</v>
      </c>
      <c r="BX21">
        <v>21</v>
      </c>
      <c r="BY21">
        <f>BX21*5</f>
        <v>105</v>
      </c>
      <c r="BZ21" t="s">
        <v>255</v>
      </c>
      <c r="CA21" t="s">
        <v>5183</v>
      </c>
      <c r="CB21" t="s">
        <v>5184</v>
      </c>
      <c r="CD21" t="s">
        <v>4556</v>
      </c>
      <c r="CE21" t="s">
        <v>904</v>
      </c>
      <c r="CF21" t="s">
        <v>4554</v>
      </c>
      <c r="CG21" t="s">
        <v>908</v>
      </c>
      <c r="CH21">
        <v>0</v>
      </c>
      <c r="CI21">
        <v>1</v>
      </c>
      <c r="CJ21" t="s">
        <v>899</v>
      </c>
      <c r="CK21" t="s">
        <v>2190</v>
      </c>
      <c r="CN21" t="str">
        <f ca="1">IF(AND(ISERR(FIND($CK21,Talente!$CI$41)),ISNA(VLOOKUP($CK21,$AH$51:$AH$55,1))),IF(AND(ISERR(FIND($CL21,Talente!$CI$41)),ISNA(VLOOKUP($CL21,$AH$51:$AH$55,1))),$CM21,$CL21),$CK21)</f>
        <v>Hiebwaffen</v>
      </c>
      <c r="CP21" t="s">
        <v>7552</v>
      </c>
      <c r="CQ21" t="s">
        <v>7244</v>
      </c>
      <c r="CR21" t="s">
        <v>2772</v>
      </c>
      <c r="CS21" t="s">
        <v>4009</v>
      </c>
      <c r="CT21" t="s">
        <v>1533</v>
      </c>
      <c r="CX21" t="s">
        <v>1101</v>
      </c>
      <c r="CY21" t="s">
        <v>75</v>
      </c>
      <c r="CZ21" t="s">
        <v>750</v>
      </c>
      <c r="DA21" t="s">
        <v>5030</v>
      </c>
      <c r="DC21" t="s">
        <v>7294</v>
      </c>
      <c r="DD21" t="s">
        <v>6793</v>
      </c>
      <c r="DE21" t="s">
        <v>655</v>
      </c>
      <c r="DF21" t="s">
        <v>81</v>
      </c>
      <c r="DG21" t="s">
        <v>1956</v>
      </c>
      <c r="DH21" t="s">
        <v>8411</v>
      </c>
      <c r="DI21" t="s">
        <v>6794</v>
      </c>
      <c r="DJ21">
        <v>2</v>
      </c>
      <c r="DK21">
        <f t="shared" si="10"/>
        <v>342</v>
      </c>
      <c r="DL21">
        <f t="shared" si="11"/>
        <v>19</v>
      </c>
      <c r="DM21">
        <v>122</v>
      </c>
      <c r="DN21" t="str">
        <f t="shared" ca="1" si="12"/>
        <v/>
      </c>
      <c r="DO21" t="str">
        <f t="shared" ca="1" si="13"/>
        <v/>
      </c>
      <c r="DP21" t="str">
        <f t="shared" ca="1" si="14"/>
        <v/>
      </c>
      <c r="DQ21" t="str">
        <f>IF(EXACT(Zauber!$A$250,""),"",IF(EXACT(RIGHT(HLOOKUP(Zauber!$A$250,PROFMAGIE,$DK21,FALSE)),"H"),CONCATENATE($CX21,","),""))</f>
        <v/>
      </c>
      <c r="DR21" t="str">
        <f t="shared" si="15"/>
        <v/>
      </c>
      <c r="DS21" t="str">
        <f>IF(ZS_IAAK="Ja",IF(EXACT(RIGHT(HLOOKUP(Tabellen_Magie!$IK$1,PROFMAGIE,$DK21,FALSE)),"H"),CONCATENATE($CX21,","),""),"")</f>
        <v/>
      </c>
      <c r="DT21" t="str">
        <f>IF(ZS_IAAK="Ja",IF(NOT(DS21=""),"",IF(OR(EXACT(RIGHT(HLOOKUP(Tabellen_Magie!$IK$1,PROFMAGIE,$DK21,FALSE)),"B"),EXACT(HLOOKUP(Tabellen_Magie!$IK$1,PROFMAGIE,$DK21,FALSE),"")),"",CONCATENATE($CX21,","))),"")</f>
        <v/>
      </c>
      <c r="DU21" t="str">
        <f t="shared" si="16"/>
        <v/>
      </c>
      <c r="DW21" t="s">
        <v>2988</v>
      </c>
      <c r="DX21" t="s">
        <v>74</v>
      </c>
      <c r="DY21" t="s">
        <v>74</v>
      </c>
      <c r="DZ21" t="s">
        <v>5030</v>
      </c>
      <c r="EB21" t="s">
        <v>7290</v>
      </c>
      <c r="EC21" t="s">
        <v>2346</v>
      </c>
      <c r="ED21">
        <f t="shared" si="17"/>
        <v>100</v>
      </c>
      <c r="EE21" t="s">
        <v>1250</v>
      </c>
      <c r="EH21">
        <v>2</v>
      </c>
      <c r="EI21">
        <v>100</v>
      </c>
      <c r="EK21" t="s">
        <v>4214</v>
      </c>
      <c r="EL21">
        <v>3</v>
      </c>
      <c r="EM21">
        <v>0</v>
      </c>
      <c r="EN21">
        <v>1</v>
      </c>
      <c r="EO21">
        <v>0</v>
      </c>
      <c r="EP21">
        <v>0</v>
      </c>
      <c r="EQ21">
        <v>0</v>
      </c>
      <c r="ER21">
        <v>0</v>
      </c>
      <c r="ES21">
        <v>0.5</v>
      </c>
      <c r="ET21">
        <v>0.5</v>
      </c>
      <c r="EU21">
        <v>2</v>
      </c>
      <c r="EV21">
        <v>1</v>
      </c>
      <c r="FD21" t="s">
        <v>803</v>
      </c>
      <c r="FE21">
        <f t="shared" si="18"/>
        <v>40</v>
      </c>
      <c r="FF21">
        <v>1</v>
      </c>
      <c r="FI21" t="s">
        <v>716</v>
      </c>
      <c r="FK21">
        <v>40</v>
      </c>
      <c r="FL21">
        <v>4</v>
      </c>
      <c r="FM21" t="b">
        <f t="shared" ca="1" si="19"/>
        <v>0</v>
      </c>
      <c r="FN21" t="b">
        <f t="shared" ca="1" si="20"/>
        <v>0</v>
      </c>
      <c r="FQ21" t="s">
        <v>2499</v>
      </c>
      <c r="FS21" t="s">
        <v>443</v>
      </c>
      <c r="FT21">
        <v>9</v>
      </c>
      <c r="FU21">
        <v>12</v>
      </c>
      <c r="FV21">
        <v>8</v>
      </c>
      <c r="FW21">
        <v>9</v>
      </c>
      <c r="FX21">
        <v>13</v>
      </c>
      <c r="FY21">
        <v>1</v>
      </c>
      <c r="FZ21">
        <v>10</v>
      </c>
      <c r="GA21">
        <v>8</v>
      </c>
      <c r="GB21">
        <v>7</v>
      </c>
      <c r="GC21" t="s">
        <v>446</v>
      </c>
      <c r="GD21">
        <v>11</v>
      </c>
      <c r="GE21">
        <v>13</v>
      </c>
      <c r="GH21" t="s">
        <v>3412</v>
      </c>
      <c r="GI21" t="s">
        <v>4483</v>
      </c>
      <c r="GJ21">
        <v>1</v>
      </c>
      <c r="GK21" t="s">
        <v>1320</v>
      </c>
      <c r="GL21" t="s">
        <v>567</v>
      </c>
      <c r="GM21" t="s">
        <v>1369</v>
      </c>
      <c r="GN21" t="s">
        <v>1974</v>
      </c>
      <c r="GO21">
        <v>253</v>
      </c>
      <c r="GP21">
        <v>81</v>
      </c>
      <c r="GR21">
        <f t="shared" si="22"/>
        <v>370</v>
      </c>
      <c r="GU21" t="str">
        <f t="shared" ca="1" si="23"/>
        <v/>
      </c>
      <c r="GV21" t="str">
        <f t="shared" ca="1" si="24"/>
        <v/>
      </c>
      <c r="GW21" t="str">
        <f t="shared" ca="1" si="25"/>
        <v/>
      </c>
      <c r="GX21" t="str">
        <f t="shared" ca="1" si="26"/>
        <v/>
      </c>
      <c r="HA21" t="s">
        <v>1894</v>
      </c>
      <c r="HB21" t="s">
        <v>1119</v>
      </c>
      <c r="HC21">
        <f t="shared" si="21"/>
        <v>2</v>
      </c>
      <c r="HD21" t="s">
        <v>1320</v>
      </c>
      <c r="HE21" t="s">
        <v>4123</v>
      </c>
      <c r="HF21" t="s">
        <v>1893</v>
      </c>
      <c r="HG21" t="s">
        <v>1690</v>
      </c>
      <c r="HH21">
        <v>146</v>
      </c>
      <c r="HI21">
        <f t="shared" si="8"/>
        <v>2</v>
      </c>
      <c r="HJ21">
        <f t="shared" si="9"/>
        <v>100</v>
      </c>
      <c r="HK21" t="s">
        <v>1327</v>
      </c>
      <c r="HL21" t="s">
        <v>2369</v>
      </c>
      <c r="HM21" t="s">
        <v>2043</v>
      </c>
    </row>
    <row r="22" spans="1:221" ht="17.25" customHeight="1" x14ac:dyDescent="0.2">
      <c r="A22" t="s">
        <v>1530</v>
      </c>
      <c r="B22" t="s">
        <v>1826</v>
      </c>
      <c r="E22" t="s">
        <v>1827</v>
      </c>
      <c r="F22" t="s">
        <v>1955</v>
      </c>
      <c r="G22">
        <v>-3</v>
      </c>
      <c r="H22" t="s">
        <v>3044</v>
      </c>
      <c r="L22" t="str">
        <f t="shared" si="27"/>
        <v/>
      </c>
      <c r="M22" t="str">
        <f t="shared" si="28"/>
        <v/>
      </c>
      <c r="N22" t="str">
        <f t="shared" si="2"/>
        <v>Speere</v>
      </c>
      <c r="P22">
        <f t="shared" si="3"/>
        <v>62</v>
      </c>
      <c r="R22" t="s">
        <v>153</v>
      </c>
      <c r="Z22" t="s">
        <v>1640</v>
      </c>
      <c r="AC22">
        <v>15</v>
      </c>
      <c r="AH22">
        <v>18</v>
      </c>
      <c r="AI22">
        <v>24</v>
      </c>
      <c r="AJ22">
        <v>26</v>
      </c>
      <c r="AK22">
        <v>51</v>
      </c>
      <c r="AL22">
        <v>75</v>
      </c>
      <c r="AM22">
        <v>105</v>
      </c>
      <c r="AN22">
        <v>130</v>
      </c>
      <c r="AO22">
        <v>195</v>
      </c>
      <c r="AP22">
        <v>260</v>
      </c>
      <c r="AQ22">
        <v>510</v>
      </c>
      <c r="AS22" t="s">
        <v>4353</v>
      </c>
      <c r="AT22">
        <v>8</v>
      </c>
      <c r="AU22">
        <v>0</v>
      </c>
      <c r="AV22">
        <v>100</v>
      </c>
      <c r="AX22" t="s">
        <v>4671</v>
      </c>
      <c r="AY22">
        <v>4</v>
      </c>
      <c r="AZ22">
        <v>1</v>
      </c>
      <c r="BA22" t="s">
        <v>2092</v>
      </c>
      <c r="BB22" t="s">
        <v>967</v>
      </c>
      <c r="BC22" t="s">
        <v>968</v>
      </c>
      <c r="BD22" t="s">
        <v>969</v>
      </c>
      <c r="BG22">
        <v>5</v>
      </c>
      <c r="BI22" t="s">
        <v>2529</v>
      </c>
      <c r="BK22" t="s">
        <v>5185</v>
      </c>
      <c r="BL22">
        <v>17</v>
      </c>
      <c r="BM22">
        <v>23</v>
      </c>
      <c r="BN22" t="s">
        <v>5152</v>
      </c>
      <c r="BO22">
        <v>6</v>
      </c>
      <c r="BP22" t="s">
        <v>5186</v>
      </c>
      <c r="BQ22">
        <v>1</v>
      </c>
      <c r="BR22">
        <v>82</v>
      </c>
      <c r="BS22" t="s">
        <v>5187</v>
      </c>
      <c r="BT22" t="s">
        <v>5188</v>
      </c>
      <c r="BU22" t="s">
        <v>5168</v>
      </c>
      <c r="BW22">
        <v>8</v>
      </c>
      <c r="BX22">
        <v>28</v>
      </c>
      <c r="BY22">
        <f>BX22*6</f>
        <v>168</v>
      </c>
      <c r="BZ22">
        <f>BX22*15</f>
        <v>420</v>
      </c>
      <c r="CA22" t="s">
        <v>5189</v>
      </c>
      <c r="CB22" t="s">
        <v>5190</v>
      </c>
      <c r="CD22" t="s">
        <v>4557</v>
      </c>
      <c r="CE22" t="s">
        <v>5091</v>
      </c>
      <c r="CF22" t="s">
        <v>907</v>
      </c>
      <c r="CG22" t="s">
        <v>908</v>
      </c>
      <c r="CH22">
        <v>0</v>
      </c>
      <c r="CI22">
        <v>1</v>
      </c>
      <c r="CJ22" t="s">
        <v>899</v>
      </c>
      <c r="CK22" t="s">
        <v>1938</v>
      </c>
      <c r="CN22" t="str">
        <f ca="1">IF(AND(ISERR(FIND($CK22,Talente!$CI$41)),ISNA(VLOOKUP($CK22,$AH$51:$AH$55,1))),IF(AND(ISERR(FIND($CL22,Talente!$CI$41)),ISNA(VLOOKUP($CL22,$AH$51:$AH$55,1))),$CM22,$CL22),$CK22)</f>
        <v>Schwerter</v>
      </c>
      <c r="CP22" t="s">
        <v>3024</v>
      </c>
      <c r="CQ22" t="s">
        <v>916</v>
      </c>
      <c r="CR22" t="s">
        <v>2773</v>
      </c>
      <c r="CS22" t="s">
        <v>4010</v>
      </c>
      <c r="CT22" t="s">
        <v>1533</v>
      </c>
      <c r="CX22" t="s">
        <v>8924</v>
      </c>
      <c r="CY22" t="s">
        <v>74</v>
      </c>
      <c r="CZ22" t="s">
        <v>76</v>
      </c>
      <c r="DA22" t="s">
        <v>752</v>
      </c>
      <c r="DB22" t="s">
        <v>2042</v>
      </c>
      <c r="DC22" t="s">
        <v>7292</v>
      </c>
      <c r="DD22" t="s">
        <v>8925</v>
      </c>
      <c r="DE22" t="s">
        <v>1321</v>
      </c>
      <c r="DF22" t="s">
        <v>1358</v>
      </c>
      <c r="DG22" t="s">
        <v>1955</v>
      </c>
      <c r="DH22" t="s">
        <v>8926</v>
      </c>
      <c r="DI22" t="s">
        <v>8927</v>
      </c>
      <c r="DJ22">
        <v>2</v>
      </c>
      <c r="DK22">
        <f t="shared" si="10"/>
        <v>343</v>
      </c>
      <c r="DL22">
        <f t="shared" si="11"/>
        <v>20</v>
      </c>
      <c r="DN22" t="str">
        <f t="shared" ca="1" si="12"/>
        <v/>
      </c>
      <c r="DO22" t="str">
        <f t="shared" ca="1" si="13"/>
        <v/>
      </c>
      <c r="DP22" t="str">
        <f t="shared" ca="1" si="14"/>
        <v/>
      </c>
      <c r="DQ22" t="str">
        <f>IF(EXACT(Zauber!$A$250,""),"",IF(EXACT(RIGHT(HLOOKUP(Zauber!$A$250,PROFMAGIE,$DK22,FALSE)),"H"),CONCATENATE($CX22,","),""))</f>
        <v/>
      </c>
      <c r="DR22" t="str">
        <f t="shared" si="15"/>
        <v/>
      </c>
      <c r="DS22" t="str">
        <f>IF(ZS_IAAK="Ja",IF(EXACT(RIGHT(HLOOKUP(Tabellen_Magie!$IK$1,PROFMAGIE,$DK22,FALSE)),"H"),CONCATENATE($CX22,","),""),"")</f>
        <v/>
      </c>
      <c r="DT22" t="str">
        <f>IF(ZS_IAAK="Ja",IF(NOT(DS22=""),"",IF(OR(EXACT(RIGHT(HLOOKUP(Tabellen_Magie!$IK$1,PROFMAGIE,$DK22,FALSE)),"B"),EXACT(HLOOKUP(Tabellen_Magie!$IK$1,PROFMAGIE,$DK22,FALSE),"")),"",CONCATENATE($CX22,","))),"")</f>
        <v/>
      </c>
      <c r="DU22" t="str">
        <f t="shared" si="16"/>
        <v/>
      </c>
      <c r="DW22" t="s">
        <v>2354</v>
      </c>
      <c r="EK22" t="s">
        <v>1737</v>
      </c>
      <c r="EL22">
        <v>0</v>
      </c>
      <c r="EM22">
        <v>5</v>
      </c>
      <c r="EN22">
        <v>5</v>
      </c>
      <c r="EO22">
        <v>5</v>
      </c>
      <c r="EP22">
        <v>2</v>
      </c>
      <c r="EQ22">
        <v>2</v>
      </c>
      <c r="ER22">
        <v>2</v>
      </c>
      <c r="ES22">
        <v>3.6</v>
      </c>
      <c r="ET22">
        <v>2.6</v>
      </c>
      <c r="EU22">
        <v>4</v>
      </c>
      <c r="EV22">
        <v>3</v>
      </c>
      <c r="FD22" t="s">
        <v>804</v>
      </c>
      <c r="FE22">
        <f t="shared" si="18"/>
        <v>50</v>
      </c>
      <c r="FF22">
        <v>1</v>
      </c>
      <c r="FG22" t="s">
        <v>716</v>
      </c>
      <c r="FK22">
        <v>50</v>
      </c>
      <c r="FL22">
        <v>4</v>
      </c>
      <c r="FM22" t="b">
        <f t="shared" ca="1" si="19"/>
        <v>0</v>
      </c>
      <c r="FN22" t="b">
        <f t="shared" ca="1" si="20"/>
        <v>0</v>
      </c>
      <c r="FQ22" t="s">
        <v>2138</v>
      </c>
      <c r="FS22">
        <v>10</v>
      </c>
      <c r="FT22">
        <v>8</v>
      </c>
      <c r="FU22">
        <v>12</v>
      </c>
      <c r="FV22">
        <v>24</v>
      </c>
      <c r="FW22">
        <v>6</v>
      </c>
      <c r="FX22">
        <v>11</v>
      </c>
      <c r="FY22">
        <v>4</v>
      </c>
      <c r="FZ22">
        <v>6</v>
      </c>
      <c r="GA22">
        <v>8</v>
      </c>
      <c r="GB22">
        <v>7</v>
      </c>
      <c r="GC22">
        <v>6</v>
      </c>
      <c r="GD22">
        <v>8</v>
      </c>
      <c r="GE22">
        <v>10</v>
      </c>
      <c r="GH22" t="s">
        <v>3413</v>
      </c>
      <c r="GI22" t="s">
        <v>4483</v>
      </c>
      <c r="GJ22">
        <v>1</v>
      </c>
      <c r="GK22" t="s">
        <v>4116</v>
      </c>
      <c r="GL22" t="s">
        <v>1976</v>
      </c>
      <c r="GM22" t="s">
        <v>1982</v>
      </c>
      <c r="GN22" t="s">
        <v>1974</v>
      </c>
      <c r="GO22">
        <v>259</v>
      </c>
      <c r="GP22">
        <v>194</v>
      </c>
      <c r="GR22">
        <f t="shared" si="22"/>
        <v>371</v>
      </c>
      <c r="GU22" t="str">
        <f t="shared" ca="1" si="23"/>
        <v/>
      </c>
      <c r="GV22" t="str">
        <f t="shared" ca="1" si="24"/>
        <v/>
      </c>
      <c r="GW22" t="str">
        <f t="shared" ca="1" si="25"/>
        <v/>
      </c>
      <c r="GX22" t="str">
        <f t="shared" ca="1" si="26"/>
        <v/>
      </c>
      <c r="HA22" t="s">
        <v>998</v>
      </c>
      <c r="HB22" t="s">
        <v>1119</v>
      </c>
      <c r="HC22">
        <f t="shared" si="21"/>
        <v>2</v>
      </c>
      <c r="HD22" t="s">
        <v>1320</v>
      </c>
      <c r="HE22" t="s">
        <v>4548</v>
      </c>
      <c r="HF22" t="s">
        <v>1893</v>
      </c>
      <c r="HG22" t="s">
        <v>1974</v>
      </c>
      <c r="HH22">
        <v>146</v>
      </c>
      <c r="HI22">
        <f t="shared" si="8"/>
        <v>2</v>
      </c>
      <c r="HJ22">
        <f t="shared" si="9"/>
        <v>100</v>
      </c>
      <c r="HK22" t="s">
        <v>1327</v>
      </c>
      <c r="HL22" t="s">
        <v>3397</v>
      </c>
      <c r="HM22" t="s">
        <v>1369</v>
      </c>
    </row>
    <row r="23" spans="1:221" x14ac:dyDescent="0.2">
      <c r="A23" t="s">
        <v>1531</v>
      </c>
      <c r="B23" t="s">
        <v>1826</v>
      </c>
      <c r="E23" t="s">
        <v>1827</v>
      </c>
      <c r="F23" t="s">
        <v>1955</v>
      </c>
      <c r="G23">
        <v>-2</v>
      </c>
      <c r="H23" t="s">
        <v>1530</v>
      </c>
      <c r="L23" t="str">
        <f t="shared" si="27"/>
        <v/>
      </c>
      <c r="M23" t="str">
        <f t="shared" si="28"/>
        <v/>
      </c>
      <c r="N23" t="str">
        <f t="shared" si="2"/>
        <v>Stäbe</v>
      </c>
      <c r="P23">
        <f t="shared" si="3"/>
        <v>63</v>
      </c>
      <c r="R23" t="s">
        <v>151</v>
      </c>
      <c r="Z23" t="s">
        <v>1639</v>
      </c>
      <c r="AC23">
        <v>5</v>
      </c>
      <c r="AH23">
        <v>19</v>
      </c>
      <c r="AI23">
        <v>25</v>
      </c>
      <c r="AJ23">
        <v>27</v>
      </c>
      <c r="AK23">
        <v>55</v>
      </c>
      <c r="AL23">
        <v>80</v>
      </c>
      <c r="AM23">
        <v>110</v>
      </c>
      <c r="AN23">
        <v>135</v>
      </c>
      <c r="AO23">
        <v>210</v>
      </c>
      <c r="AP23">
        <v>270</v>
      </c>
      <c r="AQ23">
        <v>550</v>
      </c>
      <c r="AS23" t="s">
        <v>4354</v>
      </c>
      <c r="AT23">
        <v>8</v>
      </c>
      <c r="AU23">
        <v>0</v>
      </c>
      <c r="AV23">
        <v>100</v>
      </c>
      <c r="AX23" t="s">
        <v>1458</v>
      </c>
      <c r="AY23">
        <v>4</v>
      </c>
      <c r="AZ23">
        <v>1</v>
      </c>
      <c r="BA23" t="s">
        <v>4985</v>
      </c>
      <c r="BG23">
        <v>5</v>
      </c>
      <c r="BI23" t="s">
        <v>4943</v>
      </c>
      <c r="BK23" t="s">
        <v>5191</v>
      </c>
      <c r="BL23">
        <v>17</v>
      </c>
      <c r="BM23">
        <v>20</v>
      </c>
      <c r="BN23" t="s">
        <v>5152</v>
      </c>
      <c r="BO23">
        <v>7</v>
      </c>
      <c r="BP23" t="s">
        <v>5192</v>
      </c>
      <c r="BQ23">
        <v>1</v>
      </c>
      <c r="BR23">
        <v>65</v>
      </c>
      <c r="BS23" t="s">
        <v>5193</v>
      </c>
      <c r="BT23" t="s">
        <v>5194</v>
      </c>
      <c r="BU23" t="s">
        <v>5148</v>
      </c>
      <c r="BW23">
        <v>7</v>
      </c>
      <c r="BX23">
        <v>24</v>
      </c>
      <c r="BY23">
        <f>BX23*6</f>
        <v>144</v>
      </c>
      <c r="BZ23">
        <f>BX23*13</f>
        <v>312</v>
      </c>
      <c r="CA23" t="s">
        <v>5195</v>
      </c>
      <c r="CB23" t="s">
        <v>5196</v>
      </c>
      <c r="CD23" t="s">
        <v>4597</v>
      </c>
      <c r="CE23" t="s">
        <v>904</v>
      </c>
      <c r="CF23" t="s">
        <v>902</v>
      </c>
      <c r="CG23" t="s">
        <v>903</v>
      </c>
      <c r="CH23">
        <v>-1</v>
      </c>
      <c r="CI23">
        <v>3</v>
      </c>
      <c r="CJ23" t="s">
        <v>899</v>
      </c>
      <c r="CK23" t="s">
        <v>2190</v>
      </c>
      <c r="CN23" t="str">
        <f ca="1">IF(ISBLANK($CK23),"",IF(AND(ISERR(FIND($CK23,Talente!$CI$41)),ISNA(VLOOKUP($CK23,$AH$51:$AH$55,1))),IF(AND(ISERR(FIND($CL23,Talente!$CI$41)),ISNA(VLOOKUP($CL23,$AH$51:$AH$55,1))),$CM23,$CL23),$CK23))</f>
        <v>Hiebwaffen</v>
      </c>
      <c r="CP23" t="s">
        <v>1934</v>
      </c>
      <c r="CQ23" t="s">
        <v>7245</v>
      </c>
      <c r="CR23" t="s">
        <v>3365</v>
      </c>
      <c r="CS23" t="s">
        <v>3367</v>
      </c>
      <c r="CT23" t="s">
        <v>3042</v>
      </c>
      <c r="CX23" t="s">
        <v>8398</v>
      </c>
      <c r="CY23" t="s">
        <v>74</v>
      </c>
      <c r="CZ23" t="s">
        <v>76</v>
      </c>
      <c r="DA23" t="s">
        <v>5030</v>
      </c>
      <c r="DC23" t="s">
        <v>7297</v>
      </c>
      <c r="DD23" t="s">
        <v>656</v>
      </c>
      <c r="DE23" t="s">
        <v>657</v>
      </c>
      <c r="DF23" t="s">
        <v>81</v>
      </c>
      <c r="DG23" t="s">
        <v>1955</v>
      </c>
      <c r="DH23" t="s">
        <v>8412</v>
      </c>
      <c r="DI23" t="s">
        <v>8449</v>
      </c>
      <c r="DJ23">
        <v>2</v>
      </c>
      <c r="DK23">
        <f>VLOOKUP($CX23,ZEILENBEZUG,2,FALSE)</f>
        <v>344</v>
      </c>
      <c r="DL23">
        <f t="shared" si="11"/>
        <v>21</v>
      </c>
      <c r="DM23">
        <v>124</v>
      </c>
      <c r="DN23" t="str">
        <f t="shared" ca="1" si="12"/>
        <v/>
      </c>
      <c r="DO23" t="str">
        <f t="shared" ca="1" si="13"/>
        <v/>
      </c>
      <c r="DP23" t="str">
        <f t="shared" ca="1" si="14"/>
        <v/>
      </c>
      <c r="DQ23" t="str">
        <f>IF(EXACT(Zauber!$A$250,""),"",IF(EXACT(RIGHT(HLOOKUP(Zauber!$A$250,PROFMAGIE,$DK23,FALSE)),"H"),CONCATENATE($CX23,","),""))</f>
        <v/>
      </c>
      <c r="DR23" t="str">
        <f t="shared" si="15"/>
        <v/>
      </c>
      <c r="DS23" t="str">
        <f>IF(ZS_IAAK="Ja",IF(EXACT(RIGHT(HLOOKUP(Tabellen_Magie!$IK$1,PROFMAGIE,$DK23,FALSE)),"H"),CONCATENATE($CX23,","),""),"")</f>
        <v/>
      </c>
      <c r="DT23" t="str">
        <f>IF(ZS_IAAK="Ja",IF(NOT(DS23=""),"",IF(OR(EXACT(RIGHT(HLOOKUP(Tabellen_Magie!$IK$1,PROFMAGIE,$DK23,FALSE)),"B"),EXACT(HLOOKUP(Tabellen_Magie!$IK$1,PROFMAGIE,$DK23,FALSE),"")),"",CONCATENATE($CX23,","))),"")</f>
        <v/>
      </c>
      <c r="DU23" t="str">
        <f t="shared" si="16"/>
        <v/>
      </c>
      <c r="DV23" t="s">
        <v>3281</v>
      </c>
      <c r="DW23" t="s">
        <v>2567</v>
      </c>
      <c r="DX23" t="s">
        <v>2876</v>
      </c>
      <c r="DY23" t="s">
        <v>4109</v>
      </c>
      <c r="DZ23" t="s">
        <v>895</v>
      </c>
      <c r="EA23" t="s">
        <v>8566</v>
      </c>
      <c r="EB23" t="s">
        <v>2875</v>
      </c>
      <c r="EC23" t="s">
        <v>8567</v>
      </c>
      <c r="ED23">
        <f t="shared" ref="ED23:ED32" si="29">ROUND(EI23*IF(VT_EIDGED,0.5,IF(VT_GUTGED,0.75,1)),0)</f>
        <v>150</v>
      </c>
      <c r="EE23" t="s">
        <v>3281</v>
      </c>
      <c r="EH23">
        <f t="shared" ref="EH23:EH32" si="30">ROUNDUP($ED23/50,0)</f>
        <v>3</v>
      </c>
      <c r="EI23">
        <v>150</v>
      </c>
      <c r="EK23" t="s">
        <v>2000</v>
      </c>
      <c r="EL23">
        <v>0</v>
      </c>
      <c r="EM23">
        <v>1</v>
      </c>
      <c r="EN23">
        <v>2</v>
      </c>
      <c r="EO23">
        <v>0</v>
      </c>
      <c r="EP23">
        <v>1</v>
      </c>
      <c r="EQ23">
        <v>1</v>
      </c>
      <c r="ER23">
        <v>1</v>
      </c>
      <c r="ES23">
        <v>0.9</v>
      </c>
      <c r="ET23">
        <v>0.9</v>
      </c>
      <c r="EU23">
        <v>1</v>
      </c>
      <c r="EV23">
        <v>1</v>
      </c>
      <c r="FD23" t="s">
        <v>805</v>
      </c>
      <c r="FE23">
        <f t="shared" si="18"/>
        <v>60</v>
      </c>
      <c r="FF23">
        <v>1</v>
      </c>
      <c r="FG23" t="s">
        <v>716</v>
      </c>
      <c r="FI23" t="s">
        <v>716</v>
      </c>
      <c r="FK23">
        <v>60</v>
      </c>
      <c r="FL23">
        <v>4</v>
      </c>
      <c r="FM23" t="b">
        <f t="shared" ca="1" si="19"/>
        <v>0</v>
      </c>
      <c r="FN23" t="b">
        <f t="shared" ca="1" si="20"/>
        <v>0</v>
      </c>
      <c r="FQ23" t="s">
        <v>313</v>
      </c>
      <c r="FS23">
        <v>4</v>
      </c>
      <c r="FT23">
        <v>7</v>
      </c>
      <c r="FU23">
        <v>4</v>
      </c>
      <c r="FV23">
        <v>4</v>
      </c>
      <c r="FW23">
        <v>4</v>
      </c>
      <c r="FX23">
        <v>5</v>
      </c>
      <c r="FY23">
        <v>15</v>
      </c>
      <c r="FZ23">
        <v>4</v>
      </c>
      <c r="GA23">
        <v>6</v>
      </c>
      <c r="GB23">
        <v>8</v>
      </c>
      <c r="GC23">
        <v>7</v>
      </c>
      <c r="GD23">
        <v>4</v>
      </c>
      <c r="GE23">
        <v>4</v>
      </c>
      <c r="GH23" t="s">
        <v>3414</v>
      </c>
      <c r="GI23" t="s">
        <v>4483</v>
      </c>
      <c r="GJ23">
        <v>1</v>
      </c>
      <c r="GK23" t="s">
        <v>1320</v>
      </c>
      <c r="GL23" t="s">
        <v>567</v>
      </c>
      <c r="GM23" t="s">
        <v>1985</v>
      </c>
      <c r="GN23" t="s">
        <v>1974</v>
      </c>
      <c r="GO23">
        <v>277</v>
      </c>
      <c r="GP23">
        <v>196</v>
      </c>
      <c r="GR23">
        <f t="shared" si="22"/>
        <v>372</v>
      </c>
      <c r="GU23" t="str">
        <f t="shared" ca="1" si="23"/>
        <v/>
      </c>
      <c r="GV23" t="str">
        <f t="shared" ca="1" si="24"/>
        <v/>
      </c>
      <c r="GW23" t="str">
        <f t="shared" ca="1" si="25"/>
        <v/>
      </c>
      <c r="GX23" t="str">
        <f t="shared" ca="1" si="26"/>
        <v/>
      </c>
      <c r="HA23" t="s">
        <v>999</v>
      </c>
      <c r="HB23" t="s">
        <v>4483</v>
      </c>
      <c r="HC23">
        <f t="shared" si="21"/>
        <v>1</v>
      </c>
      <c r="HD23" t="s">
        <v>1320</v>
      </c>
      <c r="HE23" t="s">
        <v>4548</v>
      </c>
      <c r="HG23" t="s">
        <v>1974</v>
      </c>
      <c r="HH23">
        <v>146</v>
      </c>
      <c r="HI23">
        <f t="shared" si="8"/>
        <v>1</v>
      </c>
      <c r="HJ23">
        <f t="shared" si="9"/>
        <v>50</v>
      </c>
      <c r="HK23" t="s">
        <v>1886</v>
      </c>
      <c r="HL23" t="s">
        <v>3397</v>
      </c>
      <c r="HM23" t="s">
        <v>3961</v>
      </c>
    </row>
    <row r="24" spans="1:221" ht="13.5" customHeight="1" x14ac:dyDescent="0.2">
      <c r="A24" t="s">
        <v>1532</v>
      </c>
      <c r="B24" t="s">
        <v>3630</v>
      </c>
      <c r="E24" t="s">
        <v>1827</v>
      </c>
      <c r="F24" t="s">
        <v>1955</v>
      </c>
      <c r="G24">
        <v>-2</v>
      </c>
      <c r="H24" t="s">
        <v>1533</v>
      </c>
      <c r="I24" t="s">
        <v>2193</v>
      </c>
      <c r="L24" t="str">
        <f t="shared" si="27"/>
        <v/>
      </c>
      <c r="M24" t="str">
        <f t="shared" si="28"/>
        <v/>
      </c>
      <c r="N24" t="str">
        <f t="shared" si="2"/>
        <v>Wurfbeile</v>
      </c>
      <c r="P24">
        <f t="shared" si="3"/>
        <v>64</v>
      </c>
      <c r="R24" t="s">
        <v>1062</v>
      </c>
      <c r="Z24" t="s">
        <v>1641</v>
      </c>
      <c r="AC24">
        <v>25</v>
      </c>
      <c r="AH24">
        <v>20</v>
      </c>
      <c r="AI24">
        <v>27</v>
      </c>
      <c r="AJ24">
        <v>29</v>
      </c>
      <c r="AK24">
        <v>58</v>
      </c>
      <c r="AL24">
        <v>85</v>
      </c>
      <c r="AM24">
        <v>115</v>
      </c>
      <c r="AN24">
        <v>145</v>
      </c>
      <c r="AO24">
        <v>220</v>
      </c>
      <c r="AP24">
        <v>290</v>
      </c>
      <c r="AQ24">
        <v>580</v>
      </c>
      <c r="AS24" t="s">
        <v>4355</v>
      </c>
      <c r="AT24">
        <v>8</v>
      </c>
      <c r="AU24">
        <v>0</v>
      </c>
      <c r="AV24">
        <v>100</v>
      </c>
      <c r="AX24" t="s">
        <v>4120</v>
      </c>
      <c r="AY24">
        <v>4</v>
      </c>
      <c r="AZ24">
        <v>1</v>
      </c>
      <c r="BA24" t="s">
        <v>699</v>
      </c>
      <c r="BG24">
        <v>5</v>
      </c>
      <c r="BI24" t="s">
        <v>2036</v>
      </c>
      <c r="BK24" t="s">
        <v>3774</v>
      </c>
      <c r="BL24">
        <v>17</v>
      </c>
      <c r="BM24">
        <v>25</v>
      </c>
      <c r="BN24" t="s">
        <v>5152</v>
      </c>
      <c r="BO24">
        <v>6</v>
      </c>
      <c r="BP24" t="s">
        <v>5186</v>
      </c>
      <c r="BQ24">
        <v>1</v>
      </c>
      <c r="BR24">
        <v>85</v>
      </c>
      <c r="BS24" t="s">
        <v>5187</v>
      </c>
      <c r="BT24" t="s">
        <v>5197</v>
      </c>
      <c r="BU24" t="s">
        <v>5168</v>
      </c>
      <c r="BW24">
        <v>9</v>
      </c>
      <c r="BX24">
        <v>30</v>
      </c>
      <c r="BY24">
        <f>BX24*6</f>
        <v>180</v>
      </c>
      <c r="BZ24">
        <f>BX24*16</f>
        <v>480</v>
      </c>
      <c r="CA24" t="s">
        <v>5198</v>
      </c>
      <c r="CB24" t="s">
        <v>5199</v>
      </c>
      <c r="CD24" t="s">
        <v>3566</v>
      </c>
      <c r="CE24" t="s">
        <v>912</v>
      </c>
      <c r="CF24" t="s">
        <v>907</v>
      </c>
      <c r="CG24" t="s">
        <v>3567</v>
      </c>
      <c r="CH24">
        <v>0</v>
      </c>
      <c r="CI24">
        <v>0</v>
      </c>
      <c r="CJ24" t="s">
        <v>905</v>
      </c>
      <c r="CK24" t="s">
        <v>1829</v>
      </c>
      <c r="CL24" t="s">
        <v>1825</v>
      </c>
      <c r="CN24" t="str">
        <f ca="1">IF(AND(ISERR(FIND($CK24,Talente!$CI$41)),ISNA(VLOOKUP($CK24,$AH$51:$AH$55,1))),IF(AND(ISERR(FIND($CL24,Talente!$CI$41)),ISNA(VLOOKUP($CL24,$AH$51:$AH$55,1))),$CM24,$CL24),$CK24)</f>
        <v>Zweihandschwerter/-säbel</v>
      </c>
      <c r="CP24" t="s">
        <v>3026</v>
      </c>
      <c r="CQ24" t="s">
        <v>5091</v>
      </c>
      <c r="CR24" t="s">
        <v>1201</v>
      </c>
      <c r="CS24" t="s">
        <v>1202</v>
      </c>
      <c r="CT24" t="s">
        <v>1533</v>
      </c>
      <c r="CX24" t="s">
        <v>2642</v>
      </c>
      <c r="CY24" t="s">
        <v>74</v>
      </c>
      <c r="CZ24" t="s">
        <v>76</v>
      </c>
      <c r="DA24" t="s">
        <v>77</v>
      </c>
      <c r="DC24" t="s">
        <v>7288</v>
      </c>
      <c r="DD24" t="s">
        <v>2945</v>
      </c>
      <c r="DE24" t="s">
        <v>7324</v>
      </c>
      <c r="DF24" t="s">
        <v>4733</v>
      </c>
      <c r="DG24" t="s">
        <v>1955</v>
      </c>
      <c r="DH24" t="s">
        <v>6849</v>
      </c>
      <c r="DI24" t="s">
        <v>3451</v>
      </c>
      <c r="DJ24">
        <v>2</v>
      </c>
      <c r="DK24">
        <f t="shared" si="10"/>
        <v>345</v>
      </c>
      <c r="DL24">
        <f t="shared" si="11"/>
        <v>22</v>
      </c>
      <c r="DM24">
        <v>26</v>
      </c>
      <c r="DN24" t="str">
        <f t="shared" ca="1" si="12"/>
        <v/>
      </c>
      <c r="DO24" t="str">
        <f t="shared" ca="1" si="13"/>
        <v/>
      </c>
      <c r="DP24" t="str">
        <f t="shared" ca="1" si="14"/>
        <v/>
      </c>
      <c r="DQ24" t="str">
        <f>IF(EXACT(Zauber!$A$250,""),"",IF(EXACT(RIGHT(HLOOKUP(Zauber!$A$250,PROFMAGIE,$DK24,FALSE)),"H"),CONCATENATE($CX24,","),""))</f>
        <v/>
      </c>
      <c r="DR24" t="str">
        <f t="shared" si="15"/>
        <v/>
      </c>
      <c r="DS24" t="str">
        <f>IF(ZS_IAAK="Ja",IF(EXACT(RIGHT(HLOOKUP(Tabellen_Magie!$IK$1,PROFMAGIE,$DK24,FALSE)),"H"),CONCATENATE($CX24,","),""),"")</f>
        <v/>
      </c>
      <c r="DT24" t="str">
        <f>IF(ZS_IAAK="Ja",IF(NOT(DS24=""),"",IF(OR(EXACT(RIGHT(HLOOKUP(Tabellen_Magie!$IK$1,PROFMAGIE,$DK24,FALSE)),"B"),EXACT(HLOOKUP(Tabellen_Magie!$IK$1,PROFMAGIE,$DK24,FALSE),"")),"",CONCATENATE($CX24,","))),"")</f>
        <v/>
      </c>
      <c r="DU24" t="str">
        <f t="shared" si="16"/>
        <v/>
      </c>
      <c r="DW24" t="s">
        <v>4302</v>
      </c>
      <c r="DX24" t="s">
        <v>2876</v>
      </c>
      <c r="DY24" t="s">
        <v>4109</v>
      </c>
      <c r="DZ24" t="s">
        <v>895</v>
      </c>
      <c r="EA24" t="s">
        <v>1281</v>
      </c>
      <c r="EB24" t="s">
        <v>3016</v>
      </c>
      <c r="EC24" t="s">
        <v>8568</v>
      </c>
      <c r="ED24">
        <f t="shared" si="29"/>
        <v>50</v>
      </c>
      <c r="EE24" t="s">
        <v>3281</v>
      </c>
      <c r="EH24">
        <f t="shared" si="30"/>
        <v>1</v>
      </c>
      <c r="EI24">
        <v>50</v>
      </c>
      <c r="EK24" t="s">
        <v>1738</v>
      </c>
      <c r="EL24">
        <v>0</v>
      </c>
      <c r="EM24">
        <v>5</v>
      </c>
      <c r="EN24">
        <v>5</v>
      </c>
      <c r="EO24">
        <v>4</v>
      </c>
      <c r="EP24">
        <v>0</v>
      </c>
      <c r="EQ24">
        <v>0</v>
      </c>
      <c r="ER24">
        <v>1</v>
      </c>
      <c r="ES24">
        <v>3</v>
      </c>
      <c r="ET24">
        <v>3</v>
      </c>
      <c r="EU24">
        <v>3</v>
      </c>
      <c r="EV24">
        <v>2</v>
      </c>
      <c r="FD24" t="s">
        <v>3682</v>
      </c>
      <c r="FE24">
        <f t="shared" si="18"/>
        <v>20</v>
      </c>
      <c r="FF24">
        <v>1</v>
      </c>
      <c r="FG24" t="s">
        <v>716</v>
      </c>
      <c r="FI24" t="s">
        <v>716</v>
      </c>
      <c r="FK24">
        <v>20</v>
      </c>
      <c r="FL24">
        <v>4</v>
      </c>
      <c r="FM24" t="b">
        <f t="shared" ca="1" si="19"/>
        <v>0</v>
      </c>
      <c r="FN24" t="b">
        <f t="shared" ca="1" si="20"/>
        <v>0</v>
      </c>
      <c r="FQ24" t="s">
        <v>3604</v>
      </c>
      <c r="FS24">
        <v>15</v>
      </c>
      <c r="FT24">
        <v>35</v>
      </c>
      <c r="FU24">
        <v>90</v>
      </c>
      <c r="FV24">
        <v>65</v>
      </c>
      <c r="FW24">
        <v>25</v>
      </c>
      <c r="FX24">
        <v>45</v>
      </c>
      <c r="FY24">
        <v>15</v>
      </c>
      <c r="FZ24">
        <v>20</v>
      </c>
      <c r="GA24">
        <v>40</v>
      </c>
      <c r="GB24">
        <v>15</v>
      </c>
      <c r="GC24">
        <v>25</v>
      </c>
      <c r="GD24">
        <v>20</v>
      </c>
      <c r="GE24">
        <v>25</v>
      </c>
      <c r="GH24" t="s">
        <v>3415</v>
      </c>
      <c r="GI24" t="s">
        <v>4483</v>
      </c>
      <c r="GJ24">
        <v>1</v>
      </c>
      <c r="GK24" t="s">
        <v>1320</v>
      </c>
      <c r="GL24" t="s">
        <v>1976</v>
      </c>
      <c r="GM24" t="s">
        <v>1985</v>
      </c>
      <c r="GN24" t="s">
        <v>1690</v>
      </c>
      <c r="GO24">
        <v>289</v>
      </c>
      <c r="GP24">
        <v>261</v>
      </c>
      <c r="GR24">
        <f t="shared" si="22"/>
        <v>373</v>
      </c>
      <c r="GU24" t="str">
        <f t="shared" ca="1" si="23"/>
        <v/>
      </c>
      <c r="GV24" t="str">
        <f t="shared" ca="1" si="24"/>
        <v/>
      </c>
      <c r="GW24" t="str">
        <f t="shared" ca="1" si="25"/>
        <v/>
      </c>
      <c r="GX24" t="str">
        <f t="shared" ca="1" si="26"/>
        <v/>
      </c>
      <c r="HA24" t="s">
        <v>1000</v>
      </c>
      <c r="HB24" t="s">
        <v>4483</v>
      </c>
      <c r="HC24">
        <f t="shared" si="21"/>
        <v>1</v>
      </c>
      <c r="HD24" t="s">
        <v>1320</v>
      </c>
      <c r="HG24" t="s">
        <v>1975</v>
      </c>
      <c r="HH24">
        <v>147</v>
      </c>
      <c r="HI24">
        <f t="shared" si="8"/>
        <v>1</v>
      </c>
      <c r="HJ24">
        <f t="shared" si="9"/>
        <v>50</v>
      </c>
      <c r="HK24" t="s">
        <v>1001</v>
      </c>
      <c r="HL24" t="s">
        <v>2369</v>
      </c>
      <c r="HM24" t="s">
        <v>2400</v>
      </c>
    </row>
    <row r="25" spans="1:221" ht="16.5" customHeight="1" x14ac:dyDescent="0.2">
      <c r="A25" t="s">
        <v>2193</v>
      </c>
      <c r="B25" t="s">
        <v>3630</v>
      </c>
      <c r="E25" t="s">
        <v>1321</v>
      </c>
      <c r="F25" t="s">
        <v>1956</v>
      </c>
      <c r="G25">
        <v>-3</v>
      </c>
      <c r="H25" t="s">
        <v>1533</v>
      </c>
      <c r="I25" t="s">
        <v>1532</v>
      </c>
      <c r="L25" t="str">
        <f t="shared" si="27"/>
        <v/>
      </c>
      <c r="M25" t="str">
        <f t="shared" si="28"/>
        <v/>
      </c>
      <c r="N25" t="str">
        <f t="shared" si="2"/>
        <v>Wurfmesser</v>
      </c>
      <c r="P25">
        <f t="shared" si="3"/>
        <v>65</v>
      </c>
      <c r="R25" t="s">
        <v>154</v>
      </c>
      <c r="Z25" t="s">
        <v>3312</v>
      </c>
      <c r="AC25">
        <v>5</v>
      </c>
      <c r="AH25">
        <v>21</v>
      </c>
      <c r="AI25">
        <v>29</v>
      </c>
      <c r="AJ25">
        <v>31</v>
      </c>
      <c r="AK25">
        <v>62</v>
      </c>
      <c r="AL25">
        <v>95</v>
      </c>
      <c r="AM25">
        <v>125</v>
      </c>
      <c r="AN25">
        <v>155</v>
      </c>
      <c r="AO25">
        <v>230</v>
      </c>
      <c r="AP25">
        <v>310</v>
      </c>
      <c r="AQ25">
        <v>620</v>
      </c>
      <c r="AS25" t="s">
        <v>4356</v>
      </c>
      <c r="AT25">
        <v>8</v>
      </c>
      <c r="AU25">
        <v>0</v>
      </c>
      <c r="AV25">
        <v>100</v>
      </c>
      <c r="AX25" t="s">
        <v>3313</v>
      </c>
      <c r="AY25">
        <v>4</v>
      </c>
      <c r="AZ25">
        <v>1</v>
      </c>
      <c r="BA25" t="s">
        <v>3178</v>
      </c>
      <c r="BB25" t="s">
        <v>3193</v>
      </c>
      <c r="BC25" t="s">
        <v>3192</v>
      </c>
      <c r="BD25" t="s">
        <v>3191</v>
      </c>
      <c r="BE25" t="s">
        <v>3182</v>
      </c>
      <c r="BF25" t="s">
        <v>196</v>
      </c>
      <c r="BG25">
        <v>5</v>
      </c>
      <c r="BI25" t="s">
        <v>3405</v>
      </c>
      <c r="BK25" t="s">
        <v>2907</v>
      </c>
      <c r="BL25">
        <v>17</v>
      </c>
      <c r="BM25">
        <v>19</v>
      </c>
      <c r="BN25" t="s">
        <v>5152</v>
      </c>
      <c r="BO25">
        <v>7</v>
      </c>
      <c r="BP25" t="s">
        <v>5153</v>
      </c>
      <c r="BQ25">
        <v>1</v>
      </c>
      <c r="BR25">
        <v>60</v>
      </c>
      <c r="BS25" t="s">
        <v>5182</v>
      </c>
      <c r="BT25" t="s">
        <v>5200</v>
      </c>
      <c r="BU25" t="s">
        <v>5148</v>
      </c>
      <c r="BW25">
        <v>9</v>
      </c>
      <c r="BX25">
        <v>22</v>
      </c>
      <c r="BY25">
        <f>BX25*5</f>
        <v>110</v>
      </c>
      <c r="BZ25">
        <f>BX25*12</f>
        <v>264</v>
      </c>
      <c r="CA25" t="s">
        <v>5201</v>
      </c>
      <c r="CB25" t="s">
        <v>5202</v>
      </c>
      <c r="CD25" t="s">
        <v>4598</v>
      </c>
      <c r="CE25" t="s">
        <v>4549</v>
      </c>
      <c r="CF25" t="s">
        <v>4552</v>
      </c>
      <c r="CG25" t="s">
        <v>908</v>
      </c>
      <c r="CH25">
        <v>2</v>
      </c>
      <c r="CI25">
        <v>3</v>
      </c>
      <c r="CJ25" t="s">
        <v>899</v>
      </c>
      <c r="CK25" t="s">
        <v>3043</v>
      </c>
      <c r="CN25" t="str">
        <f ca="1">IF(AND(ISERR(FIND($CK25,Talente!$CI$41)),ISNA(VLOOKUP($CK25,$AH$51:$AH$55,1))),IF(AND(ISERR(FIND($CL25,Talente!$CI$41)),ISNA(VLOOKUP($CL25,$AH$51:$AH$55,1))),$CM25,$CL25),$CK25)</f>
        <v>Fechtwaffen</v>
      </c>
      <c r="CP25" t="s">
        <v>4657</v>
      </c>
      <c r="CQ25" t="s">
        <v>904</v>
      </c>
      <c r="CR25" t="s">
        <v>3366</v>
      </c>
      <c r="CS25" t="s">
        <v>3370</v>
      </c>
      <c r="CT25" t="s">
        <v>3042</v>
      </c>
      <c r="CV25" t="s">
        <v>7543</v>
      </c>
      <c r="CX25" t="s">
        <v>2643</v>
      </c>
      <c r="CY25" t="s">
        <v>75</v>
      </c>
      <c r="CZ25" t="s">
        <v>75</v>
      </c>
      <c r="DA25" t="s">
        <v>750</v>
      </c>
      <c r="DC25" t="s">
        <v>3452</v>
      </c>
      <c r="DD25">
        <v>10</v>
      </c>
      <c r="DE25" t="s">
        <v>1321</v>
      </c>
      <c r="DF25" t="s">
        <v>2993</v>
      </c>
      <c r="DG25" t="s">
        <v>1828</v>
      </c>
      <c r="DH25" t="s">
        <v>6850</v>
      </c>
      <c r="DI25" t="s">
        <v>2944</v>
      </c>
      <c r="DJ25">
        <v>2</v>
      </c>
      <c r="DK25">
        <f t="shared" si="10"/>
        <v>346</v>
      </c>
      <c r="DL25">
        <f t="shared" si="11"/>
        <v>23</v>
      </c>
      <c r="DM25">
        <v>27</v>
      </c>
      <c r="DN25" t="str">
        <f t="shared" ca="1" si="12"/>
        <v/>
      </c>
      <c r="DO25" t="str">
        <f t="shared" ca="1" si="13"/>
        <v/>
      </c>
      <c r="DP25" t="str">
        <f t="shared" ca="1" si="14"/>
        <v/>
      </c>
      <c r="DQ25" t="str">
        <f>IF(EXACT(Zauber!$A$250,""),"",IF(EXACT(RIGHT(HLOOKUP(Zauber!$A$250,PROFMAGIE,$DK25,FALSE)),"H"),CONCATENATE($CX25,","),""))</f>
        <v/>
      </c>
      <c r="DR25" t="str">
        <f t="shared" si="15"/>
        <v/>
      </c>
      <c r="DS25" t="str">
        <f>IF(ZS_IAAK="Ja",IF(EXACT(RIGHT(HLOOKUP(Tabellen_Magie!$IK$1,PROFMAGIE,$DK25,FALSE)),"H"),CONCATENATE($CX25,","),""),"")</f>
        <v/>
      </c>
      <c r="DT25" t="str">
        <f>IF(ZS_IAAK="Ja",IF(NOT(DS25=""),"",IF(OR(EXACT(RIGHT(HLOOKUP(Tabellen_Magie!$IK$1,PROFMAGIE,$DK25,FALSE)),"B"),EXACT(HLOOKUP(Tabellen_Magie!$IK$1,PROFMAGIE,$DK25,FALSE),"")),"",CONCATENATE($CX25,","))),"")</f>
        <v/>
      </c>
      <c r="DU25" t="str">
        <f t="shared" si="16"/>
        <v/>
      </c>
      <c r="DW25" t="s">
        <v>2564</v>
      </c>
      <c r="DX25" t="s">
        <v>76</v>
      </c>
      <c r="DY25" t="s">
        <v>77</v>
      </c>
      <c r="DZ25" t="s">
        <v>750</v>
      </c>
      <c r="EA25" t="s">
        <v>2815</v>
      </c>
      <c r="EB25" t="s">
        <v>2915</v>
      </c>
      <c r="EC25" t="s">
        <v>2816</v>
      </c>
      <c r="ED25">
        <f t="shared" si="29"/>
        <v>250</v>
      </c>
      <c r="EE25" t="s">
        <v>3281</v>
      </c>
      <c r="EH25">
        <f t="shared" si="30"/>
        <v>5</v>
      </c>
      <c r="EI25">
        <v>250</v>
      </c>
      <c r="EK25" t="s">
        <v>7821</v>
      </c>
      <c r="EL25">
        <v>0</v>
      </c>
      <c r="EM25">
        <v>1</v>
      </c>
      <c r="EN25">
        <v>2</v>
      </c>
      <c r="EO25">
        <v>0</v>
      </c>
      <c r="EP25">
        <v>1</v>
      </c>
      <c r="EQ25">
        <v>1</v>
      </c>
      <c r="ER25">
        <v>1</v>
      </c>
      <c r="ES25">
        <v>0.9</v>
      </c>
      <c r="ET25">
        <v>0.9</v>
      </c>
      <c r="EU25">
        <v>1</v>
      </c>
      <c r="EV25">
        <v>1</v>
      </c>
      <c r="FD25" t="s">
        <v>4063</v>
      </c>
      <c r="FE25">
        <f t="shared" si="18"/>
        <v>10</v>
      </c>
      <c r="FF25">
        <v>1</v>
      </c>
      <c r="FG25" t="s">
        <v>716</v>
      </c>
      <c r="FK25">
        <v>10</v>
      </c>
      <c r="FL25">
        <v>4</v>
      </c>
      <c r="FM25" t="b">
        <f t="shared" ca="1" si="19"/>
        <v>0</v>
      </c>
      <c r="FN25" t="b">
        <f t="shared" ca="1" si="20"/>
        <v>0</v>
      </c>
      <c r="FQ25" t="s">
        <v>406</v>
      </c>
      <c r="FS25">
        <v>1</v>
      </c>
      <c r="FT25">
        <v>2</v>
      </c>
      <c r="FU25">
        <v>1</v>
      </c>
      <c r="FV25">
        <v>2</v>
      </c>
      <c r="FW25">
        <v>2</v>
      </c>
      <c r="FX25">
        <v>1</v>
      </c>
      <c r="FY25">
        <v>0</v>
      </c>
      <c r="FZ25">
        <v>2</v>
      </c>
      <c r="GA25">
        <v>1</v>
      </c>
      <c r="GB25">
        <v>0</v>
      </c>
      <c r="GC25">
        <v>0</v>
      </c>
      <c r="GD25">
        <v>2</v>
      </c>
      <c r="GE25">
        <v>1</v>
      </c>
      <c r="GH25" t="s">
        <v>3416</v>
      </c>
      <c r="GI25" t="s">
        <v>4483</v>
      </c>
      <c r="GJ25">
        <v>1</v>
      </c>
      <c r="GK25" t="s">
        <v>4116</v>
      </c>
      <c r="GL25" t="s">
        <v>1976</v>
      </c>
      <c r="GM25" t="s">
        <v>1982</v>
      </c>
      <c r="GN25" t="s">
        <v>1973</v>
      </c>
      <c r="GO25">
        <v>253</v>
      </c>
      <c r="GP25">
        <v>82</v>
      </c>
      <c r="GR25">
        <f t="shared" si="22"/>
        <v>374</v>
      </c>
      <c r="GU25" t="str">
        <f t="shared" ca="1" si="23"/>
        <v/>
      </c>
      <c r="GV25" t="str">
        <f t="shared" ca="1" si="24"/>
        <v/>
      </c>
      <c r="GW25" t="str">
        <f t="shared" ca="1" si="25"/>
        <v/>
      </c>
      <c r="GX25" t="str">
        <f t="shared" ca="1" si="26"/>
        <v/>
      </c>
      <c r="HA25" t="s">
        <v>1002</v>
      </c>
      <c r="HB25" t="s">
        <v>3290</v>
      </c>
      <c r="HC25">
        <f t="shared" si="21"/>
        <v>3</v>
      </c>
      <c r="HD25" t="s">
        <v>1320</v>
      </c>
      <c r="HE25" t="s">
        <v>3295</v>
      </c>
      <c r="HG25" t="s">
        <v>1974</v>
      </c>
      <c r="HH25">
        <v>147</v>
      </c>
      <c r="HI25">
        <f t="shared" si="8"/>
        <v>3</v>
      </c>
      <c r="HJ25">
        <f t="shared" si="9"/>
        <v>150</v>
      </c>
      <c r="HK25" t="s">
        <v>4886</v>
      </c>
      <c r="HL25" t="s">
        <v>3396</v>
      </c>
      <c r="HM25" t="s">
        <v>1279</v>
      </c>
    </row>
    <row r="26" spans="1:221" ht="12.75" customHeight="1" x14ac:dyDescent="0.2">
      <c r="A26" t="s">
        <v>1533</v>
      </c>
      <c r="B26" t="s">
        <v>3630</v>
      </c>
      <c r="E26" t="s">
        <v>1827</v>
      </c>
      <c r="F26" t="s">
        <v>1956</v>
      </c>
      <c r="G26">
        <v>-2</v>
      </c>
      <c r="H26" t="s">
        <v>1532</v>
      </c>
      <c r="L26" t="str">
        <f t="shared" si="27"/>
        <v/>
      </c>
      <c r="M26" t="str">
        <f t="shared" si="28"/>
        <v/>
      </c>
      <c r="N26" t="str">
        <f t="shared" si="2"/>
        <v>Wurfspeere</v>
      </c>
      <c r="P26">
        <f t="shared" si="3"/>
        <v>66</v>
      </c>
      <c r="R26" t="s">
        <v>4297</v>
      </c>
      <c r="U26">
        <v>12</v>
      </c>
      <c r="Z26" t="s">
        <v>4610</v>
      </c>
      <c r="AC26">
        <v>5</v>
      </c>
      <c r="AH26">
        <v>22</v>
      </c>
      <c r="AI26">
        <v>31</v>
      </c>
      <c r="AJ26">
        <v>33</v>
      </c>
      <c r="AK26">
        <v>65</v>
      </c>
      <c r="AL26">
        <v>100</v>
      </c>
      <c r="AM26">
        <v>130</v>
      </c>
      <c r="AN26">
        <v>165</v>
      </c>
      <c r="AO26">
        <v>250</v>
      </c>
      <c r="AP26">
        <v>330</v>
      </c>
      <c r="AQ26">
        <v>650</v>
      </c>
      <c r="AS26" t="s">
        <v>965</v>
      </c>
      <c r="AT26">
        <v>8</v>
      </c>
      <c r="AU26">
        <v>0</v>
      </c>
      <c r="AV26">
        <v>100</v>
      </c>
      <c r="AX26" t="s">
        <v>1459</v>
      </c>
      <c r="AY26">
        <v>4</v>
      </c>
      <c r="AZ26">
        <v>1</v>
      </c>
      <c r="BA26" t="s">
        <v>970</v>
      </c>
      <c r="BB26" t="s">
        <v>971</v>
      </c>
      <c r="BC26" t="s">
        <v>972</v>
      </c>
      <c r="BD26" t="s">
        <v>9166</v>
      </c>
      <c r="BG26">
        <v>5</v>
      </c>
      <c r="BI26" t="s">
        <v>2904</v>
      </c>
      <c r="BK26" t="s">
        <v>5203</v>
      </c>
      <c r="BL26">
        <v>17</v>
      </c>
      <c r="BM26" t="s">
        <v>5204</v>
      </c>
      <c r="BN26" t="s">
        <v>5152</v>
      </c>
      <c r="BO26">
        <v>8</v>
      </c>
      <c r="BP26" t="s">
        <v>5192</v>
      </c>
      <c r="BQ26">
        <v>1</v>
      </c>
      <c r="BR26" t="s">
        <v>5205</v>
      </c>
      <c r="BS26" t="s">
        <v>5166</v>
      </c>
      <c r="BT26" t="s">
        <v>5206</v>
      </c>
      <c r="BU26" t="s">
        <v>5148</v>
      </c>
      <c r="BW26" t="s">
        <v>5207</v>
      </c>
      <c r="BX26">
        <v>22</v>
      </c>
      <c r="BY26">
        <f>BX26*6</f>
        <v>132</v>
      </c>
      <c r="BZ26">
        <f>BX26*11</f>
        <v>242</v>
      </c>
      <c r="CA26" t="s">
        <v>5208</v>
      </c>
      <c r="CB26" t="s">
        <v>5202</v>
      </c>
      <c r="CD26" t="s">
        <v>4599</v>
      </c>
      <c r="CE26" t="s">
        <v>4558</v>
      </c>
      <c r="CF26" t="s">
        <v>4552</v>
      </c>
      <c r="CG26" t="s">
        <v>908</v>
      </c>
      <c r="CH26">
        <v>0</v>
      </c>
      <c r="CI26">
        <v>2</v>
      </c>
      <c r="CJ26" t="s">
        <v>4001</v>
      </c>
      <c r="CK26" t="s">
        <v>1957</v>
      </c>
      <c r="CN26" t="str">
        <f ca="1">IF(AND(ISERR(FIND($CK26,Talente!$CI$41)),ISNA(VLOOKUP($CK26,$AH$51:$AH$55,1))),IF(AND(ISERR(FIND($CL26,Talente!$CI$41)),ISNA(VLOOKUP($CL26,$AH$51:$AH$55,1))),$CM26,$CL26),$CK26)</f>
        <v>Dolche</v>
      </c>
      <c r="CP26" t="s">
        <v>7547</v>
      </c>
      <c r="CQ26" t="s">
        <v>5095</v>
      </c>
      <c r="CR26" t="s">
        <v>7548</v>
      </c>
      <c r="CS26" t="s">
        <v>7549</v>
      </c>
      <c r="CT26" t="s">
        <v>1529</v>
      </c>
      <c r="CU26">
        <v>2</v>
      </c>
      <c r="CX26" t="s">
        <v>2507</v>
      </c>
      <c r="CY26" t="s">
        <v>75</v>
      </c>
      <c r="CZ26" t="s">
        <v>750</v>
      </c>
      <c r="DA26" t="s">
        <v>5030</v>
      </c>
      <c r="DC26" t="s">
        <v>7294</v>
      </c>
      <c r="DD26" t="s">
        <v>6793</v>
      </c>
      <c r="DE26" t="s">
        <v>655</v>
      </c>
      <c r="DF26" t="s">
        <v>81</v>
      </c>
      <c r="DG26" t="s">
        <v>1956</v>
      </c>
      <c r="DH26" t="s">
        <v>8411</v>
      </c>
      <c r="DI26" t="s">
        <v>6795</v>
      </c>
      <c r="DJ26">
        <v>2</v>
      </c>
      <c r="DK26">
        <f t="shared" si="10"/>
        <v>347</v>
      </c>
      <c r="DL26">
        <f t="shared" si="11"/>
        <v>24</v>
      </c>
      <c r="DM26">
        <v>122</v>
      </c>
      <c r="DN26" t="str">
        <f t="shared" ca="1" si="12"/>
        <v/>
      </c>
      <c r="DO26" t="str">
        <f t="shared" ca="1" si="13"/>
        <v/>
      </c>
      <c r="DP26" t="str">
        <f t="shared" ca="1" si="14"/>
        <v/>
      </c>
      <c r="DQ26" t="str">
        <f>IF(EXACT(Zauber!$A$250,""),"",IF(EXACT(RIGHT(HLOOKUP(Zauber!$A$250,PROFMAGIE,$DK26,FALSE)),"H"),CONCATENATE($CX26,","),""))</f>
        <v/>
      </c>
      <c r="DR26" t="str">
        <f t="shared" si="15"/>
        <v/>
      </c>
      <c r="DS26" t="str">
        <f>IF(ZS_IAAK="Ja",IF(EXACT(RIGHT(HLOOKUP(Tabellen_Magie!$IK$1,PROFMAGIE,$DK26,FALSE)),"H"),CONCATENATE($CX26,","),""),"")</f>
        <v/>
      </c>
      <c r="DT26" t="str">
        <f>IF(ZS_IAAK="Ja",IF(NOT(DS26=""),"",IF(OR(EXACT(RIGHT(HLOOKUP(Tabellen_Magie!$IK$1,PROFMAGIE,$DK26,FALSE)),"B"),EXACT(HLOOKUP(Tabellen_Magie!$IK$1,PROFMAGIE,$DK26,FALSE),"")),"",CONCATENATE($CX26,","))),"")</f>
        <v/>
      </c>
      <c r="DU26" t="str">
        <f t="shared" si="16"/>
        <v/>
      </c>
      <c r="DW26" t="s">
        <v>2566</v>
      </c>
      <c r="DX26" t="s">
        <v>3016</v>
      </c>
      <c r="DY26" t="s">
        <v>4985</v>
      </c>
      <c r="DZ26" t="s">
        <v>4985</v>
      </c>
      <c r="EA26" t="s">
        <v>8569</v>
      </c>
      <c r="EB26" t="s">
        <v>1193</v>
      </c>
      <c r="EC26" t="s">
        <v>8570</v>
      </c>
      <c r="ED26">
        <f t="shared" si="29"/>
        <v>150</v>
      </c>
      <c r="EE26" t="s">
        <v>3281</v>
      </c>
      <c r="EH26">
        <f t="shared" si="30"/>
        <v>3</v>
      </c>
      <c r="EI26">
        <v>150</v>
      </c>
      <c r="EK26" t="s">
        <v>3079</v>
      </c>
      <c r="EL26">
        <v>0</v>
      </c>
      <c r="EM26">
        <v>2</v>
      </c>
      <c r="EN26">
        <v>2</v>
      </c>
      <c r="EO26">
        <v>2</v>
      </c>
      <c r="EP26">
        <v>1</v>
      </c>
      <c r="EQ26">
        <v>1</v>
      </c>
      <c r="ER26">
        <v>1</v>
      </c>
      <c r="ES26">
        <v>1.5</v>
      </c>
      <c r="ET26">
        <v>1.5</v>
      </c>
      <c r="EU26">
        <v>2</v>
      </c>
      <c r="EV26">
        <v>2</v>
      </c>
      <c r="FD26" t="s">
        <v>806</v>
      </c>
      <c r="FE26">
        <f t="shared" si="18"/>
        <v>30</v>
      </c>
      <c r="FF26">
        <v>1</v>
      </c>
      <c r="FG26" t="s">
        <v>716</v>
      </c>
      <c r="FK26">
        <v>30</v>
      </c>
      <c r="FL26">
        <v>4</v>
      </c>
      <c r="FM26" t="b">
        <f t="shared" ca="1" si="19"/>
        <v>0</v>
      </c>
      <c r="FN26" t="b">
        <f t="shared" ca="1" si="20"/>
        <v>0</v>
      </c>
      <c r="FQ26" t="s">
        <v>716</v>
      </c>
      <c r="FS26">
        <v>8</v>
      </c>
      <c r="FT26">
        <v>12</v>
      </c>
      <c r="FU26">
        <v>15</v>
      </c>
      <c r="FV26">
        <v>11</v>
      </c>
      <c r="FW26">
        <v>11</v>
      </c>
      <c r="FX26">
        <v>11</v>
      </c>
      <c r="FY26">
        <v>0</v>
      </c>
      <c r="FZ26">
        <v>11</v>
      </c>
      <c r="GA26">
        <v>11</v>
      </c>
      <c r="GB26">
        <v>12</v>
      </c>
      <c r="GC26">
        <v>12</v>
      </c>
      <c r="GD26">
        <v>13</v>
      </c>
      <c r="GE26">
        <v>12</v>
      </c>
      <c r="GH26" t="s">
        <v>9317</v>
      </c>
      <c r="GI26" t="s">
        <v>4483</v>
      </c>
      <c r="GJ26">
        <v>1</v>
      </c>
      <c r="GK26" t="s">
        <v>1320</v>
      </c>
      <c r="GL26" t="s">
        <v>567</v>
      </c>
      <c r="GM26" t="s">
        <v>1984</v>
      </c>
      <c r="GN26" t="s">
        <v>1974</v>
      </c>
      <c r="GO26" t="s">
        <v>9314</v>
      </c>
      <c r="GP26">
        <v>218</v>
      </c>
      <c r="GR26">
        <f t="shared" si="22"/>
        <v>375</v>
      </c>
      <c r="GU26" t="str">
        <f t="shared" ca="1" si="23"/>
        <v/>
      </c>
      <c r="GV26" t="str">
        <f t="shared" ca="1" si="24"/>
        <v/>
      </c>
      <c r="GW26" t="str">
        <f t="shared" ca="1" si="25"/>
        <v/>
      </c>
      <c r="GX26" t="str">
        <f t="shared" ca="1" si="26"/>
        <v/>
      </c>
      <c r="HA26" t="s">
        <v>7391</v>
      </c>
      <c r="HB26" t="s">
        <v>1119</v>
      </c>
      <c r="HC26">
        <f t="shared" si="21"/>
        <v>2</v>
      </c>
      <c r="HD26" t="s">
        <v>1320</v>
      </c>
      <c r="HE26" t="s">
        <v>4548</v>
      </c>
      <c r="HG26" t="s">
        <v>1690</v>
      </c>
      <c r="HH26">
        <v>159</v>
      </c>
      <c r="HI26">
        <f t="shared" si="8"/>
        <v>2</v>
      </c>
      <c r="HJ26">
        <f t="shared" si="9"/>
        <v>100</v>
      </c>
      <c r="HK26" t="s">
        <v>7392</v>
      </c>
      <c r="HL26" t="s">
        <v>106</v>
      </c>
      <c r="HM26" t="s">
        <v>1369</v>
      </c>
    </row>
    <row r="27" spans="1:221" ht="12.75" customHeight="1" x14ac:dyDescent="0.2">
      <c r="A27" t="s">
        <v>1534</v>
      </c>
      <c r="B27" t="s">
        <v>1826</v>
      </c>
      <c r="E27" t="s">
        <v>1827</v>
      </c>
      <c r="F27" t="s">
        <v>1955</v>
      </c>
      <c r="G27">
        <v>-3</v>
      </c>
      <c r="H27" t="s">
        <v>3044</v>
      </c>
      <c r="I27" t="s">
        <v>1525</v>
      </c>
      <c r="L27" t="str">
        <f t="shared" si="27"/>
        <v/>
      </c>
      <c r="M27" t="str">
        <f t="shared" si="28"/>
        <v/>
      </c>
      <c r="N27" t="str">
        <f t="shared" si="2"/>
        <v>Zweihandflegel</v>
      </c>
      <c r="P27">
        <f t="shared" si="3"/>
        <v>67</v>
      </c>
      <c r="R27" t="s">
        <v>1734</v>
      </c>
      <c r="S27">
        <v>3</v>
      </c>
      <c r="T27">
        <v>24</v>
      </c>
      <c r="Z27" t="s">
        <v>251</v>
      </c>
      <c r="AC27">
        <v>3</v>
      </c>
      <c r="AE27" t="s">
        <v>4001</v>
      </c>
      <c r="AH27">
        <v>23</v>
      </c>
      <c r="AI27">
        <v>32</v>
      </c>
      <c r="AJ27">
        <v>34</v>
      </c>
      <c r="AK27">
        <v>69</v>
      </c>
      <c r="AL27">
        <v>105</v>
      </c>
      <c r="AM27">
        <v>140</v>
      </c>
      <c r="AN27">
        <v>170</v>
      </c>
      <c r="AO27">
        <v>260</v>
      </c>
      <c r="AP27">
        <v>340</v>
      </c>
      <c r="AQ27">
        <v>690</v>
      </c>
      <c r="AS27" t="s">
        <v>962</v>
      </c>
      <c r="AT27">
        <v>8</v>
      </c>
      <c r="AU27">
        <v>0</v>
      </c>
      <c r="AV27">
        <v>100</v>
      </c>
      <c r="AX27" t="s">
        <v>3314</v>
      </c>
      <c r="AY27">
        <v>4</v>
      </c>
      <c r="AZ27">
        <v>1</v>
      </c>
      <c r="BA27" t="s">
        <v>197</v>
      </c>
      <c r="BB27" t="s">
        <v>198</v>
      </c>
      <c r="BC27" t="s">
        <v>1530</v>
      </c>
      <c r="BG27">
        <v>5</v>
      </c>
      <c r="BI27" t="s">
        <v>2907</v>
      </c>
      <c r="BK27" t="s">
        <v>5209</v>
      </c>
      <c r="BL27">
        <v>17</v>
      </c>
      <c r="BM27">
        <v>20</v>
      </c>
      <c r="BN27" t="s">
        <v>5152</v>
      </c>
      <c r="BO27">
        <v>8</v>
      </c>
      <c r="BP27" t="s">
        <v>5153</v>
      </c>
      <c r="BQ27">
        <v>1</v>
      </c>
      <c r="BR27">
        <v>55</v>
      </c>
      <c r="BS27" t="s">
        <v>5182</v>
      </c>
      <c r="BT27" t="s">
        <v>5206</v>
      </c>
      <c r="BU27" t="s">
        <v>5148</v>
      </c>
      <c r="BW27">
        <v>9</v>
      </c>
      <c r="BX27">
        <v>25</v>
      </c>
      <c r="BY27">
        <f>BX27*6</f>
        <v>150</v>
      </c>
      <c r="BZ27">
        <f>BX27*12</f>
        <v>300</v>
      </c>
      <c r="CA27" t="s">
        <v>5210</v>
      </c>
      <c r="CB27" t="s">
        <v>5211</v>
      </c>
      <c r="CD27" t="s">
        <v>4600</v>
      </c>
      <c r="CE27" t="s">
        <v>4647</v>
      </c>
      <c r="CF27" t="s">
        <v>3232</v>
      </c>
      <c r="CG27" t="s">
        <v>908</v>
      </c>
      <c r="CH27">
        <v>-1</v>
      </c>
      <c r="CI27">
        <v>2</v>
      </c>
      <c r="CJ27" t="s">
        <v>905</v>
      </c>
      <c r="CK27" t="s">
        <v>1825</v>
      </c>
      <c r="CN27" t="str">
        <f ca="1">IF(AND(ISERR(FIND($CK27,Talente!$CI$41)),ISNA(VLOOKUP($CK27,$AH$51:$AH$55,1))),IF(AND(ISERR(FIND($CL27,Talente!$CI$41)),ISNA(VLOOKUP($CL27,$AH$51:$AH$55,1))),$CM27,$CL27),$CK27)</f>
        <v>Zweihandschwerter/-säbel</v>
      </c>
      <c r="CP27" t="s">
        <v>4167</v>
      </c>
      <c r="CQ27" t="s">
        <v>904</v>
      </c>
      <c r="CR27" t="s">
        <v>2840</v>
      </c>
      <c r="CS27" t="s">
        <v>4979</v>
      </c>
      <c r="CT27" t="s">
        <v>3041</v>
      </c>
      <c r="CU27">
        <v>3</v>
      </c>
      <c r="CV27" t="s">
        <v>7543</v>
      </c>
      <c r="CX27" t="s">
        <v>8399</v>
      </c>
      <c r="CY27" t="s">
        <v>74</v>
      </c>
      <c r="CZ27" t="s">
        <v>76</v>
      </c>
      <c r="DA27" t="s">
        <v>5030</v>
      </c>
      <c r="DC27" t="s">
        <v>7297</v>
      </c>
      <c r="DD27" t="s">
        <v>656</v>
      </c>
      <c r="DE27" t="s">
        <v>657</v>
      </c>
      <c r="DF27" t="s">
        <v>81</v>
      </c>
      <c r="DG27" t="s">
        <v>1955</v>
      </c>
      <c r="DH27" t="s">
        <v>8412</v>
      </c>
      <c r="DI27" t="s">
        <v>8450</v>
      </c>
      <c r="DJ27">
        <v>2</v>
      </c>
      <c r="DK27">
        <f t="shared" si="10"/>
        <v>348</v>
      </c>
      <c r="DL27">
        <f t="shared" si="11"/>
        <v>25</v>
      </c>
      <c r="DM27">
        <v>124</v>
      </c>
      <c r="DN27" t="str">
        <f t="shared" ca="1" si="12"/>
        <v/>
      </c>
      <c r="DO27" t="str">
        <f t="shared" ca="1" si="13"/>
        <v/>
      </c>
      <c r="DP27" t="str">
        <f t="shared" ca="1" si="14"/>
        <v/>
      </c>
      <c r="DQ27" t="str">
        <f>IF(EXACT(Zauber!$A$250,""),"",IF(EXACT(RIGHT(HLOOKUP(Zauber!$A$250,PROFMAGIE,$DK27,FALSE)),"H"),CONCATENATE($CX27,","),""))</f>
        <v/>
      </c>
      <c r="DR27" t="str">
        <f t="shared" si="15"/>
        <v/>
      </c>
      <c r="DS27" t="str">
        <f>IF(ZS_IAAK="Ja",IF(EXACT(RIGHT(HLOOKUP(Tabellen_Magie!$IK$1,PROFMAGIE,$DK27,FALSE)),"H"),CONCATENATE($CX27,","),""),"")</f>
        <v/>
      </c>
      <c r="DT27" t="str">
        <f>IF(ZS_IAAK="Ja",IF(NOT(DS27=""),"",IF(OR(EXACT(RIGHT(HLOOKUP(Tabellen_Magie!$IK$1,PROFMAGIE,$DK27,FALSE)),"B"),EXACT(HLOOKUP(Tabellen_Magie!$IK$1,PROFMAGIE,$DK27,FALSE),"")),"",CONCATENATE($CX27,","))),"")</f>
        <v/>
      </c>
      <c r="DU27" t="str">
        <f t="shared" si="16"/>
        <v/>
      </c>
      <c r="DW27" t="s">
        <v>2570</v>
      </c>
      <c r="DX27" t="s">
        <v>2876</v>
      </c>
      <c r="DY27" t="s">
        <v>4109</v>
      </c>
      <c r="DZ27" t="s">
        <v>895</v>
      </c>
      <c r="EA27" t="s">
        <v>2341</v>
      </c>
      <c r="EB27" t="s">
        <v>8571</v>
      </c>
      <c r="EC27" t="s">
        <v>8572</v>
      </c>
      <c r="ED27">
        <f t="shared" si="29"/>
        <v>150</v>
      </c>
      <c r="EE27" t="s">
        <v>3281</v>
      </c>
      <c r="EH27">
        <f t="shared" si="30"/>
        <v>3</v>
      </c>
      <c r="EI27">
        <v>150</v>
      </c>
      <c r="EK27" t="s">
        <v>1739</v>
      </c>
      <c r="EL27">
        <v>0</v>
      </c>
      <c r="EM27">
        <v>6</v>
      </c>
      <c r="EN27">
        <v>5</v>
      </c>
      <c r="EO27">
        <v>6</v>
      </c>
      <c r="EP27">
        <v>5</v>
      </c>
      <c r="EQ27">
        <v>5</v>
      </c>
      <c r="ER27">
        <v>4</v>
      </c>
      <c r="ES27">
        <v>4.7</v>
      </c>
      <c r="ET27">
        <v>3.7</v>
      </c>
      <c r="EU27">
        <v>6</v>
      </c>
      <c r="EV27">
        <v>4</v>
      </c>
      <c r="FD27" t="s">
        <v>807</v>
      </c>
      <c r="FE27">
        <f t="shared" si="18"/>
        <v>20</v>
      </c>
      <c r="FF27">
        <v>1</v>
      </c>
      <c r="FI27" t="s">
        <v>716</v>
      </c>
      <c r="FK27">
        <v>20</v>
      </c>
      <c r="FL27">
        <v>4</v>
      </c>
      <c r="FM27" t="b">
        <f t="shared" ca="1" si="19"/>
        <v>0</v>
      </c>
      <c r="FN27" t="b">
        <f t="shared" ca="1" si="20"/>
        <v>0</v>
      </c>
      <c r="FQ27" t="s">
        <v>717</v>
      </c>
      <c r="FS27">
        <v>11</v>
      </c>
      <c r="FT27">
        <v>5</v>
      </c>
      <c r="FU27">
        <v>7</v>
      </c>
      <c r="FV27">
        <v>6</v>
      </c>
      <c r="FW27">
        <v>8</v>
      </c>
      <c r="FX27">
        <v>11</v>
      </c>
      <c r="FY27">
        <v>0</v>
      </c>
      <c r="FZ27">
        <v>8</v>
      </c>
      <c r="GA27">
        <v>7</v>
      </c>
      <c r="GB27">
        <v>3</v>
      </c>
      <c r="GC27">
        <v>3</v>
      </c>
      <c r="GD27">
        <v>10</v>
      </c>
      <c r="GE27">
        <v>11</v>
      </c>
      <c r="GH27" t="s">
        <v>3417</v>
      </c>
      <c r="GI27" t="s">
        <v>4483</v>
      </c>
      <c r="GJ27">
        <v>1</v>
      </c>
      <c r="GK27" t="s">
        <v>4116</v>
      </c>
      <c r="GL27" t="s">
        <v>1976</v>
      </c>
      <c r="GM27" t="s">
        <v>1981</v>
      </c>
      <c r="GN27" t="s">
        <v>1973</v>
      </c>
      <c r="GO27">
        <v>283</v>
      </c>
      <c r="GP27">
        <v>221</v>
      </c>
      <c r="GR27">
        <f t="shared" si="22"/>
        <v>376</v>
      </c>
      <c r="GU27" t="str">
        <f t="shared" ca="1" si="23"/>
        <v/>
      </c>
      <c r="GV27" t="str">
        <f t="shared" ca="1" si="24"/>
        <v/>
      </c>
      <c r="GW27" t="str">
        <f t="shared" ca="1" si="25"/>
        <v/>
      </c>
      <c r="GX27" t="str">
        <f t="shared" ca="1" si="26"/>
        <v/>
      </c>
      <c r="HA27" t="s">
        <v>1003</v>
      </c>
      <c r="HB27" t="s">
        <v>4121</v>
      </c>
      <c r="HC27">
        <f t="shared" si="21"/>
        <v>4</v>
      </c>
      <c r="HD27" t="s">
        <v>1396</v>
      </c>
      <c r="HE27" t="s">
        <v>4123</v>
      </c>
      <c r="HG27" t="s">
        <v>1975</v>
      </c>
      <c r="HH27">
        <v>147</v>
      </c>
      <c r="HI27">
        <f t="shared" si="8"/>
        <v>4</v>
      </c>
      <c r="HJ27">
        <f t="shared" si="9"/>
        <v>200</v>
      </c>
      <c r="HK27" t="s">
        <v>1004</v>
      </c>
      <c r="HL27" t="s">
        <v>2369</v>
      </c>
      <c r="HM27" t="s">
        <v>2991</v>
      </c>
    </row>
    <row r="28" spans="1:221" x14ac:dyDescent="0.2">
      <c r="A28" t="s">
        <v>3629</v>
      </c>
      <c r="B28" t="s">
        <v>1826</v>
      </c>
      <c r="E28" t="s">
        <v>1827</v>
      </c>
      <c r="F28" t="s">
        <v>1955</v>
      </c>
      <c r="G28">
        <v>-3</v>
      </c>
      <c r="H28" t="s">
        <v>2190</v>
      </c>
      <c r="I28" t="s">
        <v>3044</v>
      </c>
      <c r="L28" t="str">
        <f t="shared" si="27"/>
        <v/>
      </c>
      <c r="M28" t="str">
        <f t="shared" si="28"/>
        <v/>
      </c>
      <c r="N28" t="str">
        <f t="shared" si="2"/>
        <v>Zweihand-Hiebwaffen</v>
      </c>
      <c r="P28">
        <f t="shared" si="3"/>
        <v>68</v>
      </c>
      <c r="R28" t="s">
        <v>1733</v>
      </c>
      <c r="S28">
        <v>3</v>
      </c>
      <c r="T28">
        <v>24</v>
      </c>
      <c r="Z28" t="s">
        <v>4611</v>
      </c>
      <c r="AC28">
        <v>10</v>
      </c>
      <c r="AH28">
        <v>24</v>
      </c>
      <c r="AI28">
        <v>34</v>
      </c>
      <c r="AJ28">
        <v>36</v>
      </c>
      <c r="AK28">
        <v>73</v>
      </c>
      <c r="AL28">
        <v>110</v>
      </c>
      <c r="AM28">
        <v>145</v>
      </c>
      <c r="AN28">
        <v>180</v>
      </c>
      <c r="AO28">
        <v>270</v>
      </c>
      <c r="AP28">
        <v>360</v>
      </c>
      <c r="AQ28">
        <v>720</v>
      </c>
      <c r="AS28" t="s">
        <v>964</v>
      </c>
      <c r="AT28">
        <v>8</v>
      </c>
      <c r="AU28">
        <v>0</v>
      </c>
      <c r="AV28">
        <v>100</v>
      </c>
      <c r="AX28" t="s">
        <v>1460</v>
      </c>
      <c r="AY28">
        <v>4</v>
      </c>
      <c r="AZ28">
        <v>1</v>
      </c>
      <c r="BA28" t="s">
        <v>973</v>
      </c>
      <c r="BB28" t="s">
        <v>974</v>
      </c>
      <c r="BG28">
        <v>5</v>
      </c>
      <c r="BI28" t="s">
        <v>1782</v>
      </c>
      <c r="BK28" t="s">
        <v>5212</v>
      </c>
      <c r="CD28" t="s">
        <v>4601</v>
      </c>
      <c r="CE28" t="s">
        <v>373</v>
      </c>
      <c r="CF28" t="s">
        <v>377</v>
      </c>
      <c r="CG28" t="s">
        <v>3233</v>
      </c>
      <c r="CH28">
        <v>-3</v>
      </c>
      <c r="CI28">
        <v>3</v>
      </c>
      <c r="CJ28" t="s">
        <v>1320</v>
      </c>
      <c r="CK28" t="s">
        <v>1530</v>
      </c>
      <c r="CN28" t="str">
        <f ca="1">IF(AND(ISERR(FIND($CK28,Talente!$CI$41)),ISNA(VLOOKUP($CK28,$AH$51:$AH$55,1))),IF(AND(ISERR(FIND($CL28,Talente!$CI$41)),ISNA(VLOOKUP($CL28,$AH$51:$AH$55,1))),$CM28,$CL28),$CK28)</f>
        <v>Speere</v>
      </c>
      <c r="CP28" t="s">
        <v>2789</v>
      </c>
      <c r="CQ28" t="s">
        <v>4660</v>
      </c>
      <c r="CR28" t="s">
        <v>2746</v>
      </c>
      <c r="CS28" t="s">
        <v>4980</v>
      </c>
      <c r="CT28" t="s">
        <v>3041</v>
      </c>
      <c r="CU28">
        <v>4</v>
      </c>
      <c r="CV28" t="s">
        <v>7543</v>
      </c>
      <c r="CX28" t="s">
        <v>2508</v>
      </c>
      <c r="CY28" t="s">
        <v>76</v>
      </c>
      <c r="CZ28" t="s">
        <v>751</v>
      </c>
      <c r="DA28" t="s">
        <v>5030</v>
      </c>
      <c r="DC28" t="s">
        <v>7291</v>
      </c>
      <c r="DD28" t="s">
        <v>7325</v>
      </c>
      <c r="DE28" t="s">
        <v>4484</v>
      </c>
      <c r="DF28" t="s">
        <v>1619</v>
      </c>
      <c r="DG28" t="s">
        <v>1321</v>
      </c>
      <c r="DH28" t="s">
        <v>6851</v>
      </c>
      <c r="DI28" t="s">
        <v>1541</v>
      </c>
      <c r="DJ28">
        <v>2</v>
      </c>
      <c r="DK28">
        <f t="shared" si="10"/>
        <v>349</v>
      </c>
      <c r="DL28">
        <f t="shared" si="11"/>
        <v>26</v>
      </c>
      <c r="DM28">
        <v>28</v>
      </c>
      <c r="DN28" t="str">
        <f t="shared" ca="1" si="12"/>
        <v/>
      </c>
      <c r="DO28" t="str">
        <f t="shared" ca="1" si="13"/>
        <v/>
      </c>
      <c r="DP28" t="str">
        <f t="shared" ca="1" si="14"/>
        <v/>
      </c>
      <c r="DQ28" t="str">
        <f>IF(EXACT(Zauber!$A$250,""),"",IF(EXACT(RIGHT(HLOOKUP(Zauber!$A$250,PROFMAGIE,$DK28,FALSE)),"H"),CONCATENATE($CX28,","),""))</f>
        <v/>
      </c>
      <c r="DR28" t="str">
        <f t="shared" si="15"/>
        <v/>
      </c>
      <c r="DS28" t="str">
        <f>IF(ZS_IAAK="Ja",IF(EXACT(RIGHT(HLOOKUP(Tabellen_Magie!$IK$1,PROFMAGIE,$DK28,FALSE)),"H"),CONCATENATE($CX28,","),""),"")</f>
        <v/>
      </c>
      <c r="DT28" t="str">
        <f>IF(ZS_IAAK="Ja",IF(NOT(DS28=""),"",IF(OR(EXACT(RIGHT(HLOOKUP(Tabellen_Magie!$IK$1,PROFMAGIE,$DK28,FALSE)),"B"),EXACT(HLOOKUP(Tabellen_Magie!$IK$1,PROFMAGIE,$DK28,FALSE),"")),"",CONCATENATE($CX28,","))),"")</f>
        <v/>
      </c>
      <c r="DU28" t="str">
        <f t="shared" si="16"/>
        <v/>
      </c>
      <c r="DW28" t="s">
        <v>2569</v>
      </c>
      <c r="DX28" t="s">
        <v>2876</v>
      </c>
      <c r="DY28" t="s">
        <v>4109</v>
      </c>
      <c r="DZ28" t="s">
        <v>895</v>
      </c>
      <c r="EA28" t="s">
        <v>1613</v>
      </c>
      <c r="EB28" t="s">
        <v>256</v>
      </c>
      <c r="EC28" t="s">
        <v>8573</v>
      </c>
      <c r="ED28">
        <f t="shared" si="29"/>
        <v>150</v>
      </c>
      <c r="EE28" t="s">
        <v>3281</v>
      </c>
      <c r="EH28">
        <f t="shared" si="30"/>
        <v>3</v>
      </c>
      <c r="EI28">
        <v>150</v>
      </c>
      <c r="EK28" t="s">
        <v>1474</v>
      </c>
      <c r="EL28">
        <v>8</v>
      </c>
      <c r="EM28">
        <v>8</v>
      </c>
      <c r="EN28">
        <v>7</v>
      </c>
      <c r="EO28">
        <v>8</v>
      </c>
      <c r="EP28">
        <v>7</v>
      </c>
      <c r="EQ28">
        <v>7</v>
      </c>
      <c r="ER28">
        <v>7</v>
      </c>
      <c r="ES28">
        <v>7.5</v>
      </c>
      <c r="ET28">
        <v>7.5</v>
      </c>
      <c r="EU28">
        <v>12</v>
      </c>
      <c r="EV28">
        <v>10</v>
      </c>
      <c r="FD28" t="s">
        <v>808</v>
      </c>
      <c r="FE28">
        <f t="shared" si="18"/>
        <v>50</v>
      </c>
      <c r="FF28">
        <v>1</v>
      </c>
      <c r="FH28" t="s">
        <v>717</v>
      </c>
      <c r="FK28">
        <v>50</v>
      </c>
      <c r="FL28">
        <v>4</v>
      </c>
      <c r="FM28" t="b">
        <f t="shared" ca="1" si="19"/>
        <v>0</v>
      </c>
      <c r="FN28" t="b">
        <f t="shared" ca="1" si="20"/>
        <v>0</v>
      </c>
      <c r="FQ28" t="s">
        <v>2497</v>
      </c>
      <c r="FS28" t="s">
        <v>3569</v>
      </c>
      <c r="FT28" t="s">
        <v>444</v>
      </c>
      <c r="FU28" t="s">
        <v>4746</v>
      </c>
      <c r="FV28" t="s">
        <v>4747</v>
      </c>
      <c r="FW28" t="s">
        <v>3569</v>
      </c>
      <c r="FX28" t="s">
        <v>445</v>
      </c>
      <c r="FY28">
        <v>0</v>
      </c>
      <c r="FZ28" t="s">
        <v>87</v>
      </c>
      <c r="GA28" t="s">
        <v>4746</v>
      </c>
      <c r="GB28" t="s">
        <v>4746</v>
      </c>
      <c r="GC28" t="s">
        <v>447</v>
      </c>
      <c r="GD28" t="s">
        <v>3570</v>
      </c>
      <c r="GE28" t="s">
        <v>448</v>
      </c>
      <c r="GH28" t="s">
        <v>3418</v>
      </c>
      <c r="GI28" t="s">
        <v>4483</v>
      </c>
      <c r="GJ28">
        <v>1</v>
      </c>
      <c r="GK28" t="s">
        <v>1320</v>
      </c>
      <c r="GL28" t="s">
        <v>567</v>
      </c>
      <c r="GM28" t="s">
        <v>1984</v>
      </c>
      <c r="GN28" t="s">
        <v>1974</v>
      </c>
      <c r="GO28">
        <v>257</v>
      </c>
      <c r="GP28">
        <v>223</v>
      </c>
      <c r="GR28">
        <f t="shared" si="22"/>
        <v>377</v>
      </c>
      <c r="GS28">
        <v>4</v>
      </c>
      <c r="GU28" t="str">
        <f t="shared" ca="1" si="23"/>
        <v/>
      </c>
      <c r="GV28" t="str">
        <f t="shared" ca="1" si="24"/>
        <v/>
      </c>
      <c r="GW28" t="str">
        <f t="shared" ca="1" si="25"/>
        <v/>
      </c>
      <c r="GX28" t="str">
        <f t="shared" ca="1" si="26"/>
        <v/>
      </c>
      <c r="HA28" t="s">
        <v>1005</v>
      </c>
      <c r="HB28" t="s">
        <v>3290</v>
      </c>
      <c r="HC28">
        <f t="shared" si="21"/>
        <v>3</v>
      </c>
      <c r="HD28" t="s">
        <v>1320</v>
      </c>
      <c r="HE28" t="s">
        <v>4123</v>
      </c>
      <c r="HF28" t="s">
        <v>3605</v>
      </c>
      <c r="HG28" t="s">
        <v>1974</v>
      </c>
      <c r="HH28">
        <v>152</v>
      </c>
      <c r="HI28">
        <f t="shared" si="8"/>
        <v>3</v>
      </c>
      <c r="HJ28">
        <f t="shared" si="9"/>
        <v>150</v>
      </c>
      <c r="HK28" t="s">
        <v>528</v>
      </c>
      <c r="HL28" t="s">
        <v>2369</v>
      </c>
      <c r="HM28" t="s">
        <v>2991</v>
      </c>
    </row>
    <row r="29" spans="1:221" ht="12.75" customHeight="1" x14ac:dyDescent="0.2">
      <c r="A29" t="s">
        <v>1825</v>
      </c>
      <c r="B29" t="s">
        <v>1826</v>
      </c>
      <c r="E29" t="s">
        <v>1827</v>
      </c>
      <c r="F29" t="s">
        <v>1828</v>
      </c>
      <c r="G29">
        <v>-2</v>
      </c>
      <c r="H29" t="s">
        <v>1829</v>
      </c>
      <c r="I29" t="s">
        <v>1938</v>
      </c>
      <c r="J29" t="s">
        <v>2192</v>
      </c>
      <c r="L29" t="str">
        <f t="shared" si="27"/>
        <v/>
      </c>
      <c r="M29" t="str">
        <f t="shared" si="28"/>
        <v/>
      </c>
      <c r="N29" t="str">
        <f t="shared" si="2"/>
        <v>Zweihandschwerter/-säbel</v>
      </c>
      <c r="P29">
        <f t="shared" si="3"/>
        <v>69</v>
      </c>
      <c r="R29" t="s">
        <v>1732</v>
      </c>
      <c r="S29">
        <v>2</v>
      </c>
      <c r="T29">
        <v>24</v>
      </c>
      <c r="Z29" t="s">
        <v>4612</v>
      </c>
      <c r="AA29">
        <v>1</v>
      </c>
      <c r="AB29">
        <v>12</v>
      </c>
      <c r="AD29" t="s">
        <v>3995</v>
      </c>
      <c r="AH29">
        <v>25</v>
      </c>
      <c r="AI29">
        <v>36</v>
      </c>
      <c r="AJ29">
        <v>38</v>
      </c>
      <c r="AK29">
        <v>76</v>
      </c>
      <c r="AL29">
        <v>115</v>
      </c>
      <c r="AM29">
        <v>150</v>
      </c>
      <c r="AN29">
        <v>190</v>
      </c>
      <c r="AO29">
        <v>290</v>
      </c>
      <c r="AP29">
        <v>380</v>
      </c>
      <c r="AQ29">
        <v>760</v>
      </c>
      <c r="AS29" t="s">
        <v>512</v>
      </c>
      <c r="AT29">
        <v>8</v>
      </c>
      <c r="AU29">
        <v>0</v>
      </c>
      <c r="AV29">
        <v>100</v>
      </c>
      <c r="AX29" t="s">
        <v>3043</v>
      </c>
      <c r="AY29">
        <v>6</v>
      </c>
      <c r="AZ29">
        <v>2</v>
      </c>
      <c r="BG29">
        <v>5</v>
      </c>
      <c r="BI29" t="s">
        <v>1157</v>
      </c>
      <c r="BK29" t="s">
        <v>5213</v>
      </c>
      <c r="CA29" t="s">
        <v>5214</v>
      </c>
      <c r="CD29" t="s">
        <v>4602</v>
      </c>
      <c r="CE29" t="s">
        <v>916</v>
      </c>
      <c r="CF29" t="s">
        <v>897</v>
      </c>
      <c r="CG29" t="s">
        <v>898</v>
      </c>
      <c r="CH29">
        <v>0</v>
      </c>
      <c r="CI29">
        <v>0</v>
      </c>
      <c r="CJ29" t="s">
        <v>4001</v>
      </c>
      <c r="CK29" t="s">
        <v>1957</v>
      </c>
      <c r="CN29" t="str">
        <f ca="1">IF(AND(ISERR(FIND($CK29,Talente!$CI$41)),ISNA(VLOOKUP($CK29,$AH$51:$AH$55,1))),IF(AND(ISERR(FIND($CL29,Talente!$CI$41)),ISNA(VLOOKUP($CL29,$AH$51:$AH$55,1))),$CM29,$CL29),$CK29)</f>
        <v>Dolche</v>
      </c>
      <c r="CP29" t="s">
        <v>2790</v>
      </c>
      <c r="CQ29" t="s">
        <v>5091</v>
      </c>
      <c r="CR29" t="s">
        <v>391</v>
      </c>
      <c r="CS29" t="s">
        <v>4977</v>
      </c>
      <c r="CT29" t="s">
        <v>3041</v>
      </c>
      <c r="CU29">
        <v>2</v>
      </c>
      <c r="CV29" t="s">
        <v>7543</v>
      </c>
      <c r="CX29" t="s">
        <v>2509</v>
      </c>
      <c r="CY29" t="s">
        <v>74</v>
      </c>
      <c r="CZ29" t="s">
        <v>5030</v>
      </c>
      <c r="DA29" t="s">
        <v>752</v>
      </c>
      <c r="DB29" t="s">
        <v>2042</v>
      </c>
      <c r="DC29" t="s">
        <v>7295</v>
      </c>
      <c r="DD29">
        <v>7</v>
      </c>
      <c r="DE29" t="s">
        <v>3142</v>
      </c>
      <c r="DF29" t="s">
        <v>7326</v>
      </c>
      <c r="DG29" t="s">
        <v>1956</v>
      </c>
      <c r="DH29" t="s">
        <v>6852</v>
      </c>
      <c r="DI29" t="s">
        <v>1543</v>
      </c>
      <c r="DJ29">
        <v>2</v>
      </c>
      <c r="DK29">
        <f t="shared" si="10"/>
        <v>350</v>
      </c>
      <c r="DL29">
        <f t="shared" si="11"/>
        <v>27</v>
      </c>
      <c r="DM29">
        <v>29</v>
      </c>
      <c r="DN29" t="str">
        <f t="shared" ca="1" si="12"/>
        <v/>
      </c>
      <c r="DO29" t="str">
        <f t="shared" ca="1" si="13"/>
        <v/>
      </c>
      <c r="DP29" t="str">
        <f t="shared" ca="1" si="14"/>
        <v/>
      </c>
      <c r="DQ29" t="str">
        <f>IF(EXACT(Zauber!$A$250,""),"",IF(EXACT(RIGHT(HLOOKUP(Zauber!$A$250,PROFMAGIE,$DK29,FALSE)),"H"),CONCATENATE($CX29,","),""))</f>
        <v/>
      </c>
      <c r="DR29" t="str">
        <f t="shared" si="15"/>
        <v/>
      </c>
      <c r="DS29" t="str">
        <f>IF(ZS_IAAK="Ja",IF(EXACT(RIGHT(HLOOKUP(Tabellen_Magie!$IK$1,PROFMAGIE,$DK29,FALSE)),"H"),CONCATENATE($CX29,","),""),"")</f>
        <v/>
      </c>
      <c r="DT29" t="str">
        <f>IF(ZS_IAAK="Ja",IF(NOT(DS29=""),"",IF(OR(EXACT(RIGHT(HLOOKUP(Tabellen_Magie!$IK$1,PROFMAGIE,$DK29,FALSE)),"B"),EXACT(HLOOKUP(Tabellen_Magie!$IK$1,PROFMAGIE,$DK29,FALSE),"")),"",CONCATENATE($CX29,","))),"")</f>
        <v/>
      </c>
      <c r="DU29" t="str">
        <f t="shared" si="16"/>
        <v/>
      </c>
      <c r="DW29" t="s">
        <v>2568</v>
      </c>
      <c r="DX29" t="s">
        <v>76</v>
      </c>
      <c r="DY29" t="s">
        <v>77</v>
      </c>
      <c r="DZ29" t="s">
        <v>77</v>
      </c>
      <c r="EA29" t="s">
        <v>8574</v>
      </c>
      <c r="EB29" t="s">
        <v>2915</v>
      </c>
      <c r="EC29" t="s">
        <v>8575</v>
      </c>
      <c r="ED29">
        <f t="shared" si="29"/>
        <v>250</v>
      </c>
      <c r="EE29" t="s">
        <v>3281</v>
      </c>
      <c r="EH29">
        <f t="shared" si="30"/>
        <v>5</v>
      </c>
      <c r="EI29">
        <v>250</v>
      </c>
      <c r="EK29" t="s">
        <v>1740</v>
      </c>
      <c r="EL29">
        <v>0</v>
      </c>
      <c r="EM29">
        <v>3</v>
      </c>
      <c r="EN29">
        <v>2</v>
      </c>
      <c r="EO29">
        <v>0</v>
      </c>
      <c r="EP29">
        <v>3</v>
      </c>
      <c r="EQ29">
        <v>0</v>
      </c>
      <c r="ER29">
        <v>0</v>
      </c>
      <c r="ES29">
        <v>1.1499999999999999</v>
      </c>
      <c r="ET29">
        <v>0.15</v>
      </c>
      <c r="EU29">
        <v>2</v>
      </c>
      <c r="EV29">
        <v>1</v>
      </c>
      <c r="FD29" t="s">
        <v>809</v>
      </c>
      <c r="FE29">
        <f t="shared" si="18"/>
        <v>50</v>
      </c>
      <c r="FF29">
        <v>1</v>
      </c>
      <c r="FG29" t="s">
        <v>716</v>
      </c>
      <c r="FK29">
        <v>50</v>
      </c>
      <c r="FL29">
        <v>3</v>
      </c>
      <c r="FM29" t="b">
        <f t="shared" ca="1" si="19"/>
        <v>0</v>
      </c>
      <c r="FN29" t="b">
        <f t="shared" ca="1" si="20"/>
        <v>0</v>
      </c>
      <c r="FQ29" t="s">
        <v>3603</v>
      </c>
      <c r="FS29">
        <v>8</v>
      </c>
      <c r="FT29">
        <v>12</v>
      </c>
      <c r="FU29">
        <v>30</v>
      </c>
      <c r="FV29">
        <v>10</v>
      </c>
      <c r="FW29">
        <v>6</v>
      </c>
      <c r="FX29">
        <v>10</v>
      </c>
      <c r="FY29">
        <v>0.3</v>
      </c>
      <c r="FZ29">
        <v>8</v>
      </c>
      <c r="GA29">
        <v>13</v>
      </c>
      <c r="GB29">
        <v>2</v>
      </c>
      <c r="GC29">
        <v>2</v>
      </c>
      <c r="GD29">
        <v>10</v>
      </c>
      <c r="GE29">
        <v>10</v>
      </c>
      <c r="GH29" t="s">
        <v>3419</v>
      </c>
      <c r="GI29" t="s">
        <v>4483</v>
      </c>
      <c r="GJ29">
        <v>1</v>
      </c>
      <c r="GK29" t="s">
        <v>4116</v>
      </c>
      <c r="GL29" t="s">
        <v>567</v>
      </c>
      <c r="GM29" t="s">
        <v>1369</v>
      </c>
      <c r="GN29" t="s">
        <v>1974</v>
      </c>
      <c r="GO29">
        <v>258</v>
      </c>
      <c r="GP29">
        <v>239</v>
      </c>
      <c r="GR29">
        <f t="shared" si="22"/>
        <v>378</v>
      </c>
      <c r="GU29" t="str">
        <f t="shared" ca="1" si="23"/>
        <v/>
      </c>
      <c r="GV29" t="str">
        <f t="shared" ca="1" si="24"/>
        <v/>
      </c>
      <c r="GW29" t="str">
        <f t="shared" ca="1" si="25"/>
        <v/>
      </c>
      <c r="GX29" t="str">
        <f t="shared" ca="1" si="26"/>
        <v/>
      </c>
      <c r="HA29" t="s">
        <v>1006</v>
      </c>
      <c r="HB29" t="s">
        <v>1119</v>
      </c>
      <c r="HC29">
        <f t="shared" si="21"/>
        <v>2</v>
      </c>
      <c r="HD29" t="s">
        <v>1827</v>
      </c>
      <c r="HE29" t="s">
        <v>3291</v>
      </c>
      <c r="HG29" t="s">
        <v>1973</v>
      </c>
      <c r="HH29">
        <v>152</v>
      </c>
      <c r="HI29">
        <f t="shared" si="8"/>
        <v>2</v>
      </c>
      <c r="HJ29">
        <f t="shared" si="9"/>
        <v>100</v>
      </c>
      <c r="HK29" t="s">
        <v>1007</v>
      </c>
      <c r="HL29" t="s">
        <v>2369</v>
      </c>
      <c r="HM29" t="s">
        <v>1284</v>
      </c>
    </row>
    <row r="30" spans="1:221" ht="12.75" customHeight="1" x14ac:dyDescent="0.2">
      <c r="A30" t="s">
        <v>1322</v>
      </c>
      <c r="B30" t="s">
        <v>1609</v>
      </c>
      <c r="C30" t="s">
        <v>1610</v>
      </c>
      <c r="D30" t="s">
        <v>1611</v>
      </c>
      <c r="E30" t="s">
        <v>5029</v>
      </c>
      <c r="F30" t="s">
        <v>3904</v>
      </c>
      <c r="G30" t="s">
        <v>3905</v>
      </c>
      <c r="N30" t="s">
        <v>3917</v>
      </c>
      <c r="R30" t="s">
        <v>565</v>
      </c>
      <c r="S30">
        <v>1</v>
      </c>
      <c r="T30">
        <v>24</v>
      </c>
      <c r="Z30" t="s">
        <v>318</v>
      </c>
      <c r="AC30">
        <v>30</v>
      </c>
      <c r="AE30" t="str">
        <f>INDEX(PERSONEN,5)</f>
        <v>Elfen</v>
      </c>
      <c r="AG30" t="s">
        <v>3649</v>
      </c>
      <c r="AH30">
        <v>26</v>
      </c>
      <c r="AI30">
        <v>38</v>
      </c>
      <c r="AJ30">
        <v>40</v>
      </c>
      <c r="AK30">
        <v>80</v>
      </c>
      <c r="AL30">
        <v>120</v>
      </c>
      <c r="AM30">
        <v>160</v>
      </c>
      <c r="AN30">
        <v>200</v>
      </c>
      <c r="AO30">
        <v>300</v>
      </c>
      <c r="AP30">
        <v>400</v>
      </c>
      <c r="AQ30">
        <v>800</v>
      </c>
      <c r="AS30" t="s">
        <v>1543</v>
      </c>
      <c r="AT30">
        <v>12</v>
      </c>
      <c r="AU30">
        <v>3</v>
      </c>
      <c r="AV30">
        <v>200</v>
      </c>
      <c r="AX30" t="s">
        <v>1461</v>
      </c>
      <c r="AY30">
        <v>4</v>
      </c>
      <c r="AZ30">
        <v>1</v>
      </c>
      <c r="BA30" t="s">
        <v>975</v>
      </c>
      <c r="BB30" t="s">
        <v>976</v>
      </c>
      <c r="BC30" t="s">
        <v>977</v>
      </c>
      <c r="BD30" t="s">
        <v>978</v>
      </c>
      <c r="BE30" t="s">
        <v>979</v>
      </c>
      <c r="BF30" t="s">
        <v>980</v>
      </c>
      <c r="BG30">
        <v>5</v>
      </c>
      <c r="BI30" t="s">
        <v>3049</v>
      </c>
      <c r="BK30" t="s">
        <v>5215</v>
      </c>
      <c r="BT30" t="s">
        <v>5216</v>
      </c>
      <c r="BU30" t="s">
        <v>5217</v>
      </c>
      <c r="CA30" t="s">
        <v>5218</v>
      </c>
      <c r="CD30" t="s">
        <v>1205</v>
      </c>
      <c r="CE30" t="s">
        <v>916</v>
      </c>
      <c r="CF30" t="s">
        <v>3231</v>
      </c>
      <c r="CG30" t="s">
        <v>1206</v>
      </c>
      <c r="CH30">
        <v>2</v>
      </c>
      <c r="CI30">
        <v>3</v>
      </c>
      <c r="CJ30" t="s">
        <v>3586</v>
      </c>
      <c r="CK30" t="s">
        <v>1524</v>
      </c>
      <c r="CN30" t="str">
        <f ca="1">IF(AND(ISERR(FIND($CK30,Talente!$CI$41)),ISNA(VLOOKUP($CK30,$AH$51:$AH$55,1))),IF(AND(ISERR(FIND($CL30,Talente!$CI$41)),ISNA(VLOOKUP($CL30,$AH$51:$AH$55,1))),$CM30,$CL30),$CK30)</f>
        <v>Kettenstäbe</v>
      </c>
      <c r="CP30" t="s">
        <v>2791</v>
      </c>
      <c r="CQ30" t="s">
        <v>4647</v>
      </c>
      <c r="CR30" t="s">
        <v>2839</v>
      </c>
      <c r="CS30" t="s">
        <v>7550</v>
      </c>
      <c r="CT30" t="s">
        <v>3041</v>
      </c>
      <c r="CU30">
        <v>4</v>
      </c>
      <c r="CV30" t="s">
        <v>7543</v>
      </c>
      <c r="CX30" t="s">
        <v>3082</v>
      </c>
      <c r="CY30" t="s">
        <v>75</v>
      </c>
      <c r="CZ30" t="s">
        <v>77</v>
      </c>
      <c r="DA30" t="s">
        <v>1543</v>
      </c>
      <c r="DC30" t="s">
        <v>7296</v>
      </c>
      <c r="DD30">
        <v>7</v>
      </c>
      <c r="DE30" t="s">
        <v>1321</v>
      </c>
      <c r="DF30" t="s">
        <v>1729</v>
      </c>
      <c r="DG30" t="s">
        <v>1321</v>
      </c>
      <c r="DH30" t="s">
        <v>6853</v>
      </c>
      <c r="DI30" t="s">
        <v>1543</v>
      </c>
      <c r="DJ30">
        <v>2</v>
      </c>
      <c r="DK30">
        <f t="shared" si="10"/>
        <v>351</v>
      </c>
      <c r="DL30">
        <f t="shared" si="11"/>
        <v>28</v>
      </c>
      <c r="DM30">
        <v>30</v>
      </c>
      <c r="DN30" t="str">
        <f t="shared" ca="1" si="12"/>
        <v/>
      </c>
      <c r="DO30" t="str">
        <f t="shared" ca="1" si="13"/>
        <v/>
      </c>
      <c r="DP30" t="str">
        <f t="shared" ca="1" si="14"/>
        <v/>
      </c>
      <c r="DQ30" t="str">
        <f>IF(EXACT(Zauber!$A$250,""),"",IF(EXACT(RIGHT(HLOOKUP(Zauber!$A$250,PROFMAGIE,$DK30,FALSE)),"H"),CONCATENATE($CX30,","),""))</f>
        <v/>
      </c>
      <c r="DR30" t="str">
        <f t="shared" si="15"/>
        <v/>
      </c>
      <c r="DS30" t="str">
        <f>IF(ZS_IAAK="Ja",IF(EXACT(RIGHT(HLOOKUP(Tabellen_Magie!$IK$1,PROFMAGIE,$DK30,FALSE)),"H"),CONCATENATE($CX30,","),""),"")</f>
        <v/>
      </c>
      <c r="DT30" t="str">
        <f>IF(ZS_IAAK="Ja",IF(NOT(DS30=""),"",IF(OR(EXACT(RIGHT(HLOOKUP(Tabellen_Magie!$IK$1,PROFMAGIE,$DK30,FALSE)),"B"),EXACT(HLOOKUP(Tabellen_Magie!$IK$1,PROFMAGIE,$DK30,FALSE),"")),"",CONCATENATE($CX30,","))),"")</f>
        <v/>
      </c>
      <c r="DU30" t="str">
        <f t="shared" si="16"/>
        <v/>
      </c>
      <c r="DW30" t="s">
        <v>2348</v>
      </c>
      <c r="DX30" t="s">
        <v>2876</v>
      </c>
      <c r="DY30" t="s">
        <v>4109</v>
      </c>
      <c r="DZ30" t="s">
        <v>895</v>
      </c>
      <c r="EA30" t="s">
        <v>2571</v>
      </c>
      <c r="EB30" t="s">
        <v>4563</v>
      </c>
      <c r="EC30" t="s">
        <v>2573</v>
      </c>
      <c r="ED30">
        <f t="shared" si="29"/>
        <v>75</v>
      </c>
      <c r="EE30" t="s">
        <v>3281</v>
      </c>
      <c r="EH30">
        <f t="shared" si="30"/>
        <v>2</v>
      </c>
      <c r="EI30">
        <v>75</v>
      </c>
      <c r="EK30" t="s">
        <v>1999</v>
      </c>
      <c r="EL30">
        <v>0</v>
      </c>
      <c r="EM30">
        <v>0</v>
      </c>
      <c r="EN30">
        <v>0</v>
      </c>
      <c r="EO30">
        <v>0</v>
      </c>
      <c r="EP30">
        <v>0</v>
      </c>
      <c r="EQ30">
        <v>0</v>
      </c>
      <c r="ER30">
        <v>1</v>
      </c>
      <c r="ES30">
        <v>0.2</v>
      </c>
      <c r="ET30">
        <v>0.2</v>
      </c>
      <c r="EU30">
        <v>0</v>
      </c>
      <c r="EV30">
        <v>0</v>
      </c>
      <c r="FD30" t="s">
        <v>810</v>
      </c>
      <c r="FE30">
        <f t="shared" si="18"/>
        <v>30</v>
      </c>
      <c r="FF30">
        <v>1</v>
      </c>
      <c r="FG30" t="s">
        <v>716</v>
      </c>
      <c r="FK30">
        <v>30</v>
      </c>
      <c r="FL30">
        <v>4</v>
      </c>
      <c r="FM30" t="b">
        <f t="shared" ca="1" si="19"/>
        <v>0</v>
      </c>
      <c r="FN30" t="b">
        <f t="shared" ca="1" si="20"/>
        <v>0</v>
      </c>
      <c r="FQ30" t="s">
        <v>3605</v>
      </c>
      <c r="FS30">
        <v>1</v>
      </c>
      <c r="FT30">
        <v>4</v>
      </c>
      <c r="FU30">
        <v>2</v>
      </c>
      <c r="FV30">
        <v>1</v>
      </c>
      <c r="FW30">
        <v>3</v>
      </c>
      <c r="FX30">
        <v>4</v>
      </c>
      <c r="FY30">
        <v>6</v>
      </c>
      <c r="FZ30">
        <v>3</v>
      </c>
      <c r="GA30">
        <v>4</v>
      </c>
      <c r="GB30">
        <v>6</v>
      </c>
      <c r="GC30">
        <v>8</v>
      </c>
      <c r="GD30">
        <v>3</v>
      </c>
      <c r="GE30">
        <v>3</v>
      </c>
      <c r="GH30" t="s">
        <v>9318</v>
      </c>
      <c r="GI30" t="s">
        <v>4483</v>
      </c>
      <c r="GJ30">
        <v>1</v>
      </c>
      <c r="GK30" t="s">
        <v>1320</v>
      </c>
      <c r="GL30" t="s">
        <v>567</v>
      </c>
      <c r="GM30" t="s">
        <v>3961</v>
      </c>
      <c r="GN30" t="s">
        <v>1974</v>
      </c>
      <c r="GO30" t="s">
        <v>9314</v>
      </c>
      <c r="GP30">
        <v>242</v>
      </c>
      <c r="GR30">
        <f t="shared" si="22"/>
        <v>379</v>
      </c>
      <c r="GU30" t="str">
        <f t="shared" ca="1" si="23"/>
        <v/>
      </c>
      <c r="GV30" t="str">
        <f t="shared" ca="1" si="24"/>
        <v/>
      </c>
      <c r="GW30" t="str">
        <f t="shared" ca="1" si="25"/>
        <v/>
      </c>
      <c r="GX30" t="str">
        <f t="shared" ca="1" si="26"/>
        <v/>
      </c>
      <c r="HA30" t="s">
        <v>4168</v>
      </c>
      <c r="HB30" t="s">
        <v>3290</v>
      </c>
      <c r="HC30">
        <f t="shared" si="21"/>
        <v>3</v>
      </c>
      <c r="HD30" t="s">
        <v>1320</v>
      </c>
      <c r="HE30" t="s">
        <v>4548</v>
      </c>
      <c r="HG30" t="s">
        <v>1974</v>
      </c>
      <c r="HH30">
        <v>152</v>
      </c>
      <c r="HI30">
        <f t="shared" si="8"/>
        <v>3</v>
      </c>
      <c r="HJ30">
        <f t="shared" si="9"/>
        <v>150</v>
      </c>
      <c r="HK30" t="s">
        <v>3279</v>
      </c>
      <c r="HL30" t="s">
        <v>3396</v>
      </c>
      <c r="HM30" t="s">
        <v>1369</v>
      </c>
    </row>
    <row r="31" spans="1:221" x14ac:dyDescent="0.2">
      <c r="N31" t="s">
        <v>1676</v>
      </c>
      <c r="R31" t="s">
        <v>4769</v>
      </c>
      <c r="U31">
        <f>IF(VT_ADLIGERBE,0,IF(OR(VT_ADLIGABST,VT_ADLIG),IF(OR(VT_VETERAN,VT_BBILDUNG),2,3),IF(OR(VT_VETERAN,VT_BBILDUNG),5,7)))</f>
        <v>7</v>
      </c>
      <c r="Z31" t="s">
        <v>4613</v>
      </c>
      <c r="AC31">
        <v>5</v>
      </c>
      <c r="AH31">
        <v>27</v>
      </c>
      <c r="AI31">
        <v>40</v>
      </c>
      <c r="AJ31">
        <v>42</v>
      </c>
      <c r="AK31">
        <v>84</v>
      </c>
      <c r="AL31">
        <v>125</v>
      </c>
      <c r="AM31">
        <v>165</v>
      </c>
      <c r="AN31">
        <v>210</v>
      </c>
      <c r="AO31">
        <v>310</v>
      </c>
      <c r="AP31">
        <v>420</v>
      </c>
      <c r="AQ31">
        <v>830</v>
      </c>
      <c r="AS31" t="s">
        <v>2940</v>
      </c>
      <c r="AT31">
        <v>12</v>
      </c>
      <c r="AU31">
        <v>3</v>
      </c>
      <c r="AV31">
        <v>200</v>
      </c>
      <c r="AX31" t="s">
        <v>3315</v>
      </c>
      <c r="AY31">
        <v>4</v>
      </c>
      <c r="AZ31">
        <v>1</v>
      </c>
      <c r="BA31" t="s">
        <v>199</v>
      </c>
      <c r="BB31" t="s">
        <v>7637</v>
      </c>
      <c r="BC31" t="s">
        <v>200</v>
      </c>
      <c r="BD31" t="s">
        <v>201</v>
      </c>
      <c r="BE31" t="s">
        <v>202</v>
      </c>
      <c r="BG31">
        <v>5</v>
      </c>
      <c r="BI31" t="s">
        <v>1192</v>
      </c>
      <c r="BK31" t="s">
        <v>5219</v>
      </c>
      <c r="BT31" t="s">
        <v>5220</v>
      </c>
      <c r="CA31" t="s">
        <v>5221</v>
      </c>
      <c r="CD31" t="s">
        <v>4603</v>
      </c>
      <c r="CE31" t="s">
        <v>5091</v>
      </c>
      <c r="CF31" t="s">
        <v>4554</v>
      </c>
      <c r="CG31" t="s">
        <v>908</v>
      </c>
      <c r="CH31">
        <v>0</v>
      </c>
      <c r="CI31">
        <v>5</v>
      </c>
      <c r="CJ31" t="s">
        <v>1827</v>
      </c>
      <c r="CK31" t="s">
        <v>1530</v>
      </c>
      <c r="CN31" t="str">
        <f ca="1">IF(AND(ISERR(FIND($CK31,Talente!$CI$41)),ISNA(VLOOKUP($CK31,$AH$51:$AH$55,1))),IF(AND(ISERR(FIND($CL31,Talente!$CI$41)),ISNA(VLOOKUP($CL31,$AH$51:$AH$55,1))),$CM31,$CL31),$CK31)</f>
        <v>Speere</v>
      </c>
      <c r="CP31" t="s">
        <v>4654</v>
      </c>
      <c r="CQ31" t="s">
        <v>5091</v>
      </c>
      <c r="CR31" t="s">
        <v>393</v>
      </c>
      <c r="CS31" t="s">
        <v>4983</v>
      </c>
      <c r="CT31" t="s">
        <v>1529</v>
      </c>
      <c r="CU31">
        <v>1</v>
      </c>
      <c r="CX31" t="s">
        <v>9125</v>
      </c>
      <c r="CY31" t="s">
        <v>77</v>
      </c>
      <c r="CZ31" t="s">
        <v>5030</v>
      </c>
      <c r="DA31" t="s">
        <v>752</v>
      </c>
      <c r="DB31" t="s">
        <v>2042</v>
      </c>
      <c r="DC31" t="s">
        <v>7297</v>
      </c>
      <c r="DD31">
        <v>15</v>
      </c>
      <c r="DE31" t="s">
        <v>3380</v>
      </c>
      <c r="DF31" t="s">
        <v>1730</v>
      </c>
      <c r="DG31" t="s">
        <v>1956</v>
      </c>
      <c r="DH31" t="s">
        <v>6854</v>
      </c>
      <c r="DI31" t="s">
        <v>2393</v>
      </c>
      <c r="DJ31">
        <v>2</v>
      </c>
      <c r="DK31">
        <f t="shared" si="10"/>
        <v>352</v>
      </c>
      <c r="DL31">
        <f t="shared" si="11"/>
        <v>29</v>
      </c>
      <c r="DM31">
        <v>31</v>
      </c>
      <c r="DN31" t="str">
        <f t="shared" ca="1" si="12"/>
        <v/>
      </c>
      <c r="DO31" t="str">
        <f t="shared" ca="1" si="13"/>
        <v/>
      </c>
      <c r="DP31" t="str">
        <f t="shared" ca="1" si="14"/>
        <v/>
      </c>
      <c r="DQ31" t="str">
        <f>IF(EXACT(Zauber!$A$250,""),"",IF(EXACT(RIGHT(HLOOKUP(Zauber!$A$250,PROFMAGIE,$DK31,FALSE)),"H"),CONCATENATE($CX31,","),""))</f>
        <v/>
      </c>
      <c r="DR31" t="str">
        <f t="shared" si="15"/>
        <v/>
      </c>
      <c r="DS31" t="str">
        <f>IF(ZS_IAAK="Ja",IF(EXACT(RIGHT(HLOOKUP(Tabellen_Magie!$IK$1,PROFMAGIE,$DK31,FALSE)),"H"),CONCATENATE($CX31,","),""),"")</f>
        <v/>
      </c>
      <c r="DT31" t="str">
        <f>IF(ZS_IAAK="Ja",IF(NOT(DS31=""),"",IF(OR(EXACT(RIGHT(HLOOKUP(Tabellen_Magie!$IK$1,PROFMAGIE,$DK31,FALSE)),"B"),EXACT(HLOOKUP(Tabellen_Magie!$IK$1,PROFMAGIE,$DK31,FALSE),"")),"",CONCATENATE($CX31,","))),"")</f>
        <v/>
      </c>
      <c r="DU31" t="str">
        <f t="shared" si="16"/>
        <v/>
      </c>
      <c r="DW31" t="s">
        <v>2565</v>
      </c>
      <c r="DX31" t="s">
        <v>2876</v>
      </c>
      <c r="DY31" t="s">
        <v>4109</v>
      </c>
      <c r="DZ31" t="s">
        <v>895</v>
      </c>
      <c r="EA31" t="s">
        <v>8576</v>
      </c>
      <c r="EB31" t="s">
        <v>2915</v>
      </c>
      <c r="EC31" t="s">
        <v>8577</v>
      </c>
      <c r="ED31">
        <f t="shared" si="29"/>
        <v>100</v>
      </c>
      <c r="EE31" t="s">
        <v>3281</v>
      </c>
      <c r="EH31">
        <f t="shared" si="30"/>
        <v>2</v>
      </c>
      <c r="EI31">
        <v>100</v>
      </c>
      <c r="EK31" t="s">
        <v>2537</v>
      </c>
      <c r="EL31">
        <v>3</v>
      </c>
      <c r="EM31">
        <v>7</v>
      </c>
      <c r="EN31">
        <v>5</v>
      </c>
      <c r="EO31">
        <v>7</v>
      </c>
      <c r="EP31">
        <v>5</v>
      </c>
      <c r="EQ31">
        <v>5</v>
      </c>
      <c r="ER31">
        <v>5</v>
      </c>
      <c r="ES31">
        <v>5.6</v>
      </c>
      <c r="ET31">
        <v>3.6</v>
      </c>
      <c r="EU31">
        <v>8</v>
      </c>
      <c r="EV31">
        <v>5</v>
      </c>
      <c r="FD31" t="s">
        <v>811</v>
      </c>
      <c r="FE31">
        <f t="shared" si="18"/>
        <v>50</v>
      </c>
      <c r="FF31">
        <v>1</v>
      </c>
      <c r="FG31" t="s">
        <v>716</v>
      </c>
      <c r="FK31">
        <v>50</v>
      </c>
      <c r="FL31">
        <v>4</v>
      </c>
      <c r="FM31" t="b">
        <f t="shared" ca="1" si="19"/>
        <v>0</v>
      </c>
      <c r="FN31" t="b">
        <f t="shared" ca="1" si="20"/>
        <v>0</v>
      </c>
      <c r="FQ31" t="s">
        <v>2018</v>
      </c>
      <c r="FS31" t="s">
        <v>2019</v>
      </c>
      <c r="FT31" t="s">
        <v>2020</v>
      </c>
      <c r="FU31" t="s">
        <v>2021</v>
      </c>
      <c r="FV31" t="s">
        <v>2022</v>
      </c>
      <c r="FW31" t="s">
        <v>4238</v>
      </c>
      <c r="FX31" t="s">
        <v>2023</v>
      </c>
      <c r="FY31" t="s">
        <v>1244</v>
      </c>
      <c r="FZ31" t="s">
        <v>3886</v>
      </c>
      <c r="GA31" t="s">
        <v>2482</v>
      </c>
      <c r="GB31" t="s">
        <v>2483</v>
      </c>
      <c r="GC31" t="s">
        <v>2484</v>
      </c>
      <c r="GD31" t="s">
        <v>4237</v>
      </c>
      <c r="GE31" t="s">
        <v>2485</v>
      </c>
      <c r="GH31" t="s">
        <v>3420</v>
      </c>
      <c r="GI31" t="s">
        <v>4483</v>
      </c>
      <c r="GJ31">
        <v>1</v>
      </c>
      <c r="GK31" t="s">
        <v>1320</v>
      </c>
      <c r="GL31" t="s">
        <v>567</v>
      </c>
      <c r="GM31" t="s">
        <v>1983</v>
      </c>
      <c r="GN31" t="s">
        <v>1974</v>
      </c>
      <c r="GO31">
        <v>281</v>
      </c>
      <c r="GP31">
        <v>264</v>
      </c>
      <c r="GR31">
        <f t="shared" si="22"/>
        <v>380</v>
      </c>
      <c r="GU31" t="str">
        <f t="shared" ca="1" si="23"/>
        <v/>
      </c>
      <c r="GV31" t="str">
        <f t="shared" ca="1" si="24"/>
        <v/>
      </c>
      <c r="GW31" t="str">
        <f t="shared" ca="1" si="25"/>
        <v/>
      </c>
      <c r="GX31" t="str">
        <f t="shared" ca="1" si="26"/>
        <v/>
      </c>
      <c r="HA31" t="s">
        <v>670</v>
      </c>
      <c r="HB31" t="s">
        <v>4483</v>
      </c>
      <c r="HC31">
        <f t="shared" si="21"/>
        <v>1</v>
      </c>
      <c r="HD31" t="s">
        <v>1320</v>
      </c>
      <c r="HE31" t="s">
        <v>3295</v>
      </c>
      <c r="HG31" t="s">
        <v>1974</v>
      </c>
      <c r="HH31">
        <v>147</v>
      </c>
      <c r="HI31">
        <f t="shared" si="8"/>
        <v>1</v>
      </c>
      <c r="HJ31">
        <f t="shared" si="9"/>
        <v>50</v>
      </c>
      <c r="HK31" t="s">
        <v>1327</v>
      </c>
      <c r="HL31" t="s">
        <v>2369</v>
      </c>
      <c r="HM31" t="s">
        <v>2991</v>
      </c>
    </row>
    <row r="32" spans="1:221" ht="12.75" customHeight="1" x14ac:dyDescent="0.2">
      <c r="A32" t="s">
        <v>1323</v>
      </c>
      <c r="B32" t="s">
        <v>74</v>
      </c>
      <c r="C32" t="s">
        <v>751</v>
      </c>
      <c r="D32" t="s">
        <v>752</v>
      </c>
      <c r="E32" t="s">
        <v>1827</v>
      </c>
      <c r="F32" t="s">
        <v>1955</v>
      </c>
      <c r="G32" t="s">
        <v>4117</v>
      </c>
      <c r="L32" t="str">
        <f t="shared" ref="L32:L49" si="31">IF(VLOOKUP(A32,TL_SPEZ,18,FALSE)="","",VLOOKUP(A32,TL_SPEZ,18,FALSE))</f>
        <v/>
      </c>
      <c r="M32" t="str">
        <f t="shared" ref="M32:M49" si="32">IF(VLOOKUP($A32,TL_SPEZ,19,FALSE)="","",VLOOKUP($A32,TL_SPEZ,19,FALSE))</f>
        <v/>
      </c>
      <c r="N32" t="str">
        <f>CONCATENATE(A32,IF(L32="",""," ("&amp;L32),IF(M32="","","¦"&amp;M32),IF(L32="","",")"))</f>
        <v>Akrobatik</v>
      </c>
      <c r="O32" t="s">
        <v>4117</v>
      </c>
      <c r="P32">
        <f t="shared" ref="P32:P49" si="33">VLOOKUP($A32,ZEILENBEZUG,2,FALSE)</f>
        <v>70</v>
      </c>
      <c r="R32" t="s">
        <v>2316</v>
      </c>
      <c r="U32">
        <v>7</v>
      </c>
      <c r="Z32" t="s">
        <v>3650</v>
      </c>
      <c r="AA32">
        <v>0.5</v>
      </c>
      <c r="AB32">
        <v>16</v>
      </c>
      <c r="AH32">
        <v>28</v>
      </c>
      <c r="AI32">
        <v>42</v>
      </c>
      <c r="AJ32">
        <v>44</v>
      </c>
      <c r="AK32">
        <v>87</v>
      </c>
      <c r="AL32">
        <v>130</v>
      </c>
      <c r="AM32">
        <v>170</v>
      </c>
      <c r="AN32">
        <v>220</v>
      </c>
      <c r="AO32">
        <v>330</v>
      </c>
      <c r="AP32">
        <v>440</v>
      </c>
      <c r="AQ32">
        <v>870</v>
      </c>
      <c r="AS32" t="s">
        <v>1631</v>
      </c>
      <c r="AT32">
        <v>16</v>
      </c>
      <c r="AU32">
        <v>4</v>
      </c>
      <c r="AV32">
        <v>300</v>
      </c>
      <c r="AX32" t="s">
        <v>1462</v>
      </c>
      <c r="AY32">
        <v>4</v>
      </c>
      <c r="AZ32">
        <v>1</v>
      </c>
      <c r="BA32" t="s">
        <v>4985</v>
      </c>
      <c r="BG32">
        <v>5</v>
      </c>
      <c r="BI32" t="s">
        <v>4721</v>
      </c>
      <c r="BK32" t="s">
        <v>5222</v>
      </c>
      <c r="BX32" t="s">
        <v>2246</v>
      </c>
      <c r="BY32" t="s">
        <v>5223</v>
      </c>
      <c r="CA32" t="s">
        <v>5224</v>
      </c>
      <c r="CD32" t="s">
        <v>7154</v>
      </c>
      <c r="CE32" t="s">
        <v>4549</v>
      </c>
      <c r="CF32" t="s">
        <v>272</v>
      </c>
      <c r="CG32" t="s">
        <v>3235</v>
      </c>
      <c r="CH32">
        <v>0</v>
      </c>
      <c r="CI32">
        <v>5</v>
      </c>
      <c r="CJ32" t="s">
        <v>1827</v>
      </c>
      <c r="CK32" t="s">
        <v>1530</v>
      </c>
      <c r="CN32" t="str">
        <f ca="1">IF(AND(ISERR(FIND($CK32,Talente!$CI$41)),ISNA(VLOOKUP($CK32,$AH$51:$AH$55,1))),IF(AND(ISERR(FIND($CL32,Talente!$CI$41)),ISNA(VLOOKUP($CL32,$AH$51:$AH$55,1))),$CM32,$CL32),$CK32)</f>
        <v>Speere</v>
      </c>
      <c r="CP32" t="s">
        <v>4716</v>
      </c>
      <c r="CQ32" t="s">
        <v>4647</v>
      </c>
      <c r="CR32" t="s">
        <v>2837</v>
      </c>
      <c r="CS32" t="s">
        <v>4977</v>
      </c>
      <c r="CT32" t="s">
        <v>1939</v>
      </c>
      <c r="CU32">
        <v>15</v>
      </c>
      <c r="CV32" t="s">
        <v>7543</v>
      </c>
      <c r="CX32" t="s">
        <v>1170</v>
      </c>
      <c r="CY32" t="s">
        <v>74</v>
      </c>
      <c r="CZ32" t="s">
        <v>5030</v>
      </c>
      <c r="DA32" t="s">
        <v>752</v>
      </c>
      <c r="DC32" t="s">
        <v>7287</v>
      </c>
      <c r="DD32" t="s">
        <v>2394</v>
      </c>
      <c r="DE32" t="s">
        <v>7318</v>
      </c>
      <c r="DF32" t="s">
        <v>1246</v>
      </c>
      <c r="DG32" t="s">
        <v>1828</v>
      </c>
      <c r="DH32" t="s">
        <v>6855</v>
      </c>
      <c r="DI32" t="s">
        <v>2395</v>
      </c>
      <c r="DJ32">
        <v>2</v>
      </c>
      <c r="DK32">
        <f t="shared" si="10"/>
        <v>353</v>
      </c>
      <c r="DL32">
        <f t="shared" si="11"/>
        <v>30</v>
      </c>
      <c r="DM32">
        <v>32</v>
      </c>
      <c r="DN32" t="str">
        <f t="shared" ca="1" si="12"/>
        <v/>
      </c>
      <c r="DO32" t="str">
        <f t="shared" ca="1" si="13"/>
        <v/>
      </c>
      <c r="DP32" t="str">
        <f t="shared" ca="1" si="14"/>
        <v/>
      </c>
      <c r="DQ32" t="str">
        <f>IF(EXACT(Zauber!$A$250,""),"",IF(EXACT(RIGHT(HLOOKUP(Zauber!$A$250,PROFMAGIE,$DK32,FALSE)),"H"),CONCATENATE($CX32,","),""))</f>
        <v/>
      </c>
      <c r="DR32" t="str">
        <f t="shared" si="15"/>
        <v/>
      </c>
      <c r="DS32" t="str">
        <f>IF(ZS_IAAK="Ja",IF(EXACT(RIGHT(HLOOKUP(Tabellen_Magie!$IK$1,PROFMAGIE,$DK32,FALSE)),"H"),CONCATENATE($CX32,","),""),"")</f>
        <v/>
      </c>
      <c r="DT32" t="str">
        <f>IF(ZS_IAAK="Ja",IF(NOT(DS32=""),"",IF(OR(EXACT(RIGHT(HLOOKUP(Tabellen_Magie!$IK$1,PROFMAGIE,$DK32,FALSE)),"B"),EXACT(HLOOKUP(Tabellen_Magie!$IK$1,PROFMAGIE,$DK32,FALSE),"")),"",CONCATENATE($CX32,","))),"")</f>
        <v/>
      </c>
      <c r="DU32" t="str">
        <f t="shared" si="16"/>
        <v/>
      </c>
      <c r="DW32" t="s">
        <v>2349</v>
      </c>
      <c r="DX32" t="s">
        <v>2876</v>
      </c>
      <c r="DY32" t="s">
        <v>4109</v>
      </c>
      <c r="DZ32" t="s">
        <v>895</v>
      </c>
      <c r="EA32" t="s">
        <v>2572</v>
      </c>
      <c r="EB32" t="s">
        <v>4564</v>
      </c>
      <c r="EC32" t="s">
        <v>4565</v>
      </c>
      <c r="ED32">
        <f t="shared" si="29"/>
        <v>150</v>
      </c>
      <c r="EE32" t="s">
        <v>3281</v>
      </c>
      <c r="EH32">
        <f t="shared" si="30"/>
        <v>3</v>
      </c>
      <c r="EI32">
        <v>150</v>
      </c>
      <c r="EK32" t="s">
        <v>1741</v>
      </c>
      <c r="EL32">
        <v>0</v>
      </c>
      <c r="EM32">
        <v>3</v>
      </c>
      <c r="EN32">
        <v>2</v>
      </c>
      <c r="EO32">
        <v>2</v>
      </c>
      <c r="EP32">
        <v>0</v>
      </c>
      <c r="EQ32">
        <v>0</v>
      </c>
      <c r="ER32">
        <v>1</v>
      </c>
      <c r="ES32">
        <v>1.6</v>
      </c>
      <c r="ET32">
        <v>0.6</v>
      </c>
      <c r="EU32">
        <v>3</v>
      </c>
      <c r="EV32">
        <v>2</v>
      </c>
      <c r="FD32" t="s">
        <v>3110</v>
      </c>
      <c r="FE32">
        <f t="shared" si="18"/>
        <v>30</v>
      </c>
      <c r="FF32">
        <v>1</v>
      </c>
      <c r="FI32" t="s">
        <v>716</v>
      </c>
      <c r="FK32">
        <v>30</v>
      </c>
      <c r="FL32">
        <v>4</v>
      </c>
      <c r="FM32" t="b">
        <f t="shared" ca="1" si="19"/>
        <v>0</v>
      </c>
      <c r="FN32" t="b">
        <f t="shared" ca="1" si="20"/>
        <v>0</v>
      </c>
      <c r="FQ32" t="s">
        <v>5029</v>
      </c>
      <c r="FS32" t="s">
        <v>4867</v>
      </c>
      <c r="FT32" t="s">
        <v>4098</v>
      </c>
      <c r="FU32" t="s">
        <v>887</v>
      </c>
      <c r="FV32" t="s">
        <v>4409</v>
      </c>
      <c r="FW32" t="s">
        <v>824</v>
      </c>
      <c r="FX32" t="s">
        <v>2292</v>
      </c>
      <c r="FY32" t="s">
        <v>4866</v>
      </c>
      <c r="FZ32" t="s">
        <v>1726</v>
      </c>
      <c r="GA32" t="s">
        <v>3484</v>
      </c>
      <c r="GB32" t="s">
        <v>2298</v>
      </c>
      <c r="GC32" t="s">
        <v>2016</v>
      </c>
      <c r="GD32" t="s">
        <v>823</v>
      </c>
      <c r="GE32" t="s">
        <v>4592</v>
      </c>
      <c r="GH32" t="s">
        <v>3524</v>
      </c>
      <c r="GI32" t="s">
        <v>4483</v>
      </c>
      <c r="GJ32">
        <v>1</v>
      </c>
      <c r="GK32" t="s">
        <v>1320</v>
      </c>
      <c r="GL32" t="s">
        <v>567</v>
      </c>
      <c r="GM32" t="s">
        <v>1369</v>
      </c>
      <c r="GN32" t="s">
        <v>1974</v>
      </c>
      <c r="GO32">
        <v>281</v>
      </c>
      <c r="GP32">
        <v>252</v>
      </c>
      <c r="GR32">
        <f t="shared" si="22"/>
        <v>381</v>
      </c>
      <c r="GS32">
        <v>5</v>
      </c>
      <c r="GU32" t="str">
        <f t="shared" ca="1" si="23"/>
        <v/>
      </c>
      <c r="GV32" t="str">
        <f t="shared" ca="1" si="24"/>
        <v/>
      </c>
      <c r="GW32" t="str">
        <f t="shared" ca="1" si="25"/>
        <v/>
      </c>
      <c r="GX32" t="str">
        <f t="shared" ca="1" si="26"/>
        <v/>
      </c>
      <c r="HA32" t="s">
        <v>2613</v>
      </c>
      <c r="HB32" t="s">
        <v>3290</v>
      </c>
      <c r="HC32">
        <f t="shared" si="21"/>
        <v>3</v>
      </c>
      <c r="HD32" t="s">
        <v>4854</v>
      </c>
      <c r="HE32" t="s">
        <v>4123</v>
      </c>
      <c r="HF32" t="s">
        <v>2808</v>
      </c>
      <c r="HG32" t="s">
        <v>1975</v>
      </c>
      <c r="HH32">
        <v>147</v>
      </c>
      <c r="HI32">
        <f t="shared" si="8"/>
        <v>3</v>
      </c>
      <c r="HJ32">
        <f t="shared" si="9"/>
        <v>150</v>
      </c>
      <c r="HK32" t="s">
        <v>1329</v>
      </c>
      <c r="HL32" t="s">
        <v>3397</v>
      </c>
      <c r="HM32" t="s">
        <v>1284</v>
      </c>
    </row>
    <row r="33" spans="1:221" x14ac:dyDescent="0.2">
      <c r="A33" t="s">
        <v>3059</v>
      </c>
      <c r="B33" t="s">
        <v>751</v>
      </c>
      <c r="C33" t="s">
        <v>5030</v>
      </c>
      <c r="D33" t="s">
        <v>752</v>
      </c>
      <c r="E33" t="s">
        <v>1827</v>
      </c>
      <c r="F33" t="s">
        <v>1955</v>
      </c>
      <c r="G33" t="s">
        <v>4117</v>
      </c>
      <c r="L33" t="str">
        <f t="shared" si="31"/>
        <v/>
      </c>
      <c r="M33" t="str">
        <f t="shared" si="32"/>
        <v/>
      </c>
      <c r="N33" t="str">
        <f t="shared" ref="N33:N49" si="34">CONCATENATE(A33,IF(L33="",""," ("&amp;L33),IF(M33="","","¦"&amp;M33),IF(L33="","",")"))</f>
        <v>Athletik</v>
      </c>
      <c r="O33" t="s">
        <v>4117</v>
      </c>
      <c r="P33">
        <f t="shared" si="33"/>
        <v>71</v>
      </c>
      <c r="R33" t="s">
        <v>2120</v>
      </c>
      <c r="U33">
        <v>10</v>
      </c>
      <c r="Z33" t="s">
        <v>4462</v>
      </c>
      <c r="AC33">
        <v>10</v>
      </c>
      <c r="AE33" t="s">
        <v>1571</v>
      </c>
      <c r="AH33">
        <v>29</v>
      </c>
      <c r="AI33">
        <v>43</v>
      </c>
      <c r="AJ33">
        <v>45</v>
      </c>
      <c r="AK33">
        <v>91</v>
      </c>
      <c r="AL33">
        <v>135</v>
      </c>
      <c r="AM33">
        <v>180</v>
      </c>
      <c r="AN33">
        <v>230</v>
      </c>
      <c r="AO33">
        <v>340</v>
      </c>
      <c r="AP33">
        <v>460</v>
      </c>
      <c r="AQ33">
        <v>910</v>
      </c>
      <c r="AS33" t="s">
        <v>4339</v>
      </c>
      <c r="AT33">
        <v>8</v>
      </c>
      <c r="AU33">
        <v>0</v>
      </c>
      <c r="AV33">
        <v>100</v>
      </c>
      <c r="AX33" t="s">
        <v>3316</v>
      </c>
      <c r="AY33">
        <v>4</v>
      </c>
      <c r="AZ33">
        <v>1</v>
      </c>
      <c r="BA33" t="s">
        <v>203</v>
      </c>
      <c r="BB33" t="s">
        <v>204</v>
      </c>
      <c r="BC33" t="s">
        <v>205</v>
      </c>
      <c r="BD33" t="s">
        <v>206</v>
      </c>
      <c r="BG33">
        <v>5</v>
      </c>
      <c r="BK33" t="s">
        <v>5225</v>
      </c>
      <c r="BU33" t="s">
        <v>5226</v>
      </c>
      <c r="CA33" t="s">
        <v>5227</v>
      </c>
      <c r="CD33" t="s">
        <v>4604</v>
      </c>
      <c r="CE33" t="s">
        <v>4549</v>
      </c>
      <c r="CF33" t="s">
        <v>907</v>
      </c>
      <c r="CG33" t="s">
        <v>3234</v>
      </c>
      <c r="CH33">
        <v>-2</v>
      </c>
      <c r="CI33">
        <v>6</v>
      </c>
      <c r="CJ33" t="s">
        <v>1827</v>
      </c>
      <c r="CK33" t="s">
        <v>1534</v>
      </c>
      <c r="CN33" t="str">
        <f ca="1">IF(AND(ISERR(FIND($CK33,Talente!$CI$41)),ISNA(VLOOKUP($CK33,$AH$51:$AH$55,1))),IF(AND(ISERR(FIND($CL33,Talente!$CI$41)),ISNA(VLOOKUP($CL33,$AH$51:$AH$55,1))),$CM33,$CL33),$CK33)</f>
        <v>Zweihandflegel</v>
      </c>
      <c r="CP33" t="s">
        <v>2792</v>
      </c>
      <c r="CQ33" t="s">
        <v>904</v>
      </c>
      <c r="CR33" t="s">
        <v>392</v>
      </c>
      <c r="CS33" t="s">
        <v>4981</v>
      </c>
      <c r="CT33" t="s">
        <v>3041</v>
      </c>
      <c r="CU33">
        <v>3</v>
      </c>
      <c r="CV33" t="s">
        <v>7543</v>
      </c>
      <c r="CX33" t="s">
        <v>2644</v>
      </c>
      <c r="CY33" t="s">
        <v>76</v>
      </c>
      <c r="CZ33" t="s">
        <v>77</v>
      </c>
      <c r="DA33" t="s">
        <v>750</v>
      </c>
      <c r="DC33" t="s">
        <v>7289</v>
      </c>
      <c r="DD33" t="s">
        <v>2396</v>
      </c>
      <c r="DE33" t="s">
        <v>2397</v>
      </c>
      <c r="DF33" t="s">
        <v>2398</v>
      </c>
      <c r="DG33" t="s">
        <v>1433</v>
      </c>
      <c r="DH33" t="s">
        <v>6856</v>
      </c>
      <c r="DI33" t="s">
        <v>2793</v>
      </c>
      <c r="DJ33">
        <v>2</v>
      </c>
      <c r="DK33">
        <f t="shared" si="10"/>
        <v>354</v>
      </c>
      <c r="DL33">
        <f t="shared" si="11"/>
        <v>31</v>
      </c>
      <c r="DM33">
        <v>33</v>
      </c>
      <c r="DN33" t="str">
        <f t="shared" ca="1" si="12"/>
        <v/>
      </c>
      <c r="DO33" t="str">
        <f t="shared" ca="1" si="13"/>
        <v/>
      </c>
      <c r="DP33" t="str">
        <f t="shared" ca="1" si="14"/>
        <v/>
      </c>
      <c r="DQ33" t="str">
        <f>IF(EXACT(Zauber!$A$250,""),"",IF(EXACT(RIGHT(HLOOKUP(Zauber!$A$250,PROFMAGIE,$DK33,FALSE)),"H"),CONCATENATE($CX33,","),""))</f>
        <v/>
      </c>
      <c r="DR33" t="str">
        <f t="shared" si="15"/>
        <v/>
      </c>
      <c r="DS33" t="str">
        <f>IF(ZS_IAAK="Ja",IF(EXACT(RIGHT(HLOOKUP(Tabellen_Magie!$IK$1,PROFMAGIE,$DK33,FALSE)),"H"),CONCATENATE($CX33,","),""),"")</f>
        <v/>
      </c>
      <c r="DT33" t="str">
        <f>IF(ZS_IAAK="Ja",IF(NOT(DS33=""),"",IF(OR(EXACT(RIGHT(HLOOKUP(Tabellen_Magie!$IK$1,PROFMAGIE,$DK33,FALSE)),"B"),EXACT(HLOOKUP(Tabellen_Magie!$IK$1,PROFMAGIE,$DK33,FALSE),"")),"",CONCATENATE($CX33,","))),"")</f>
        <v/>
      </c>
      <c r="DU33" t="str">
        <f t="shared" si="16"/>
        <v/>
      </c>
      <c r="DW33" t="s">
        <v>6702</v>
      </c>
      <c r="EK33" t="s">
        <v>2009</v>
      </c>
      <c r="EL33">
        <v>0</v>
      </c>
      <c r="EM33">
        <v>0</v>
      </c>
      <c r="EN33">
        <v>0</v>
      </c>
      <c r="EO33">
        <v>0</v>
      </c>
      <c r="EP33">
        <v>0</v>
      </c>
      <c r="EQ33">
        <v>0</v>
      </c>
      <c r="ER33">
        <v>4</v>
      </c>
      <c r="ES33">
        <v>0.8</v>
      </c>
      <c r="ET33">
        <v>0.8</v>
      </c>
      <c r="EU33">
        <v>0</v>
      </c>
      <c r="EV33">
        <v>0</v>
      </c>
      <c r="FD33" t="s">
        <v>3111</v>
      </c>
      <c r="FE33">
        <f t="shared" si="18"/>
        <v>40</v>
      </c>
      <c r="FF33">
        <v>1</v>
      </c>
      <c r="FI33" t="s">
        <v>716</v>
      </c>
      <c r="FK33">
        <v>40</v>
      </c>
      <c r="FL33">
        <v>4</v>
      </c>
      <c r="FM33" t="b">
        <f t="shared" ca="1" si="19"/>
        <v>0</v>
      </c>
      <c r="FN33" t="b">
        <f t="shared" ca="1" si="20"/>
        <v>0</v>
      </c>
      <c r="FS33" t="s">
        <v>3478</v>
      </c>
      <c r="FT33" t="s">
        <v>4099</v>
      </c>
      <c r="FU33" t="s">
        <v>3134</v>
      </c>
      <c r="FV33" t="s">
        <v>3489</v>
      </c>
      <c r="FW33" t="s">
        <v>825</v>
      </c>
      <c r="FX33" t="s">
        <v>3135</v>
      </c>
      <c r="GA33" t="s">
        <v>3485</v>
      </c>
      <c r="GB33" t="s">
        <v>3136</v>
      </c>
      <c r="GC33" t="s">
        <v>4315</v>
      </c>
      <c r="GH33" t="s">
        <v>2226</v>
      </c>
      <c r="GI33" t="s">
        <v>4483</v>
      </c>
      <c r="GJ33">
        <v>1</v>
      </c>
      <c r="GK33" t="s">
        <v>1320</v>
      </c>
      <c r="GL33" t="s">
        <v>1976</v>
      </c>
      <c r="GM33" t="s">
        <v>1985</v>
      </c>
      <c r="GN33" t="s">
        <v>1690</v>
      </c>
      <c r="GO33">
        <v>268</v>
      </c>
      <c r="GP33">
        <v>261</v>
      </c>
      <c r="GR33">
        <f t="shared" si="22"/>
        <v>382</v>
      </c>
      <c r="GU33" t="str">
        <f t="shared" ca="1" si="23"/>
        <v/>
      </c>
      <c r="GV33" t="str">
        <f t="shared" ca="1" si="24"/>
        <v/>
      </c>
      <c r="GW33" t="str">
        <f t="shared" ca="1" si="25"/>
        <v/>
      </c>
      <c r="GX33" t="str">
        <f t="shared" ca="1" si="26"/>
        <v/>
      </c>
      <c r="HA33" t="s">
        <v>2809</v>
      </c>
      <c r="HB33" t="s">
        <v>1119</v>
      </c>
      <c r="HC33">
        <f t="shared" si="21"/>
        <v>2</v>
      </c>
      <c r="HD33" t="s">
        <v>1320</v>
      </c>
      <c r="HE33" t="s">
        <v>4548</v>
      </c>
      <c r="HF33" t="s">
        <v>3605</v>
      </c>
      <c r="HG33" t="s">
        <v>1690</v>
      </c>
      <c r="HH33">
        <v>152</v>
      </c>
      <c r="HI33">
        <f t="shared" si="8"/>
        <v>2</v>
      </c>
      <c r="HJ33">
        <f t="shared" si="9"/>
        <v>100</v>
      </c>
      <c r="HK33" t="s">
        <v>529</v>
      </c>
      <c r="HL33" t="s">
        <v>2369</v>
      </c>
      <c r="HM33" t="s">
        <v>2991</v>
      </c>
    </row>
    <row r="34" spans="1:221" ht="12.75" customHeight="1" x14ac:dyDescent="0.2">
      <c r="A34" t="s">
        <v>1912</v>
      </c>
      <c r="B34" t="s">
        <v>74</v>
      </c>
      <c r="C34" t="s">
        <v>76</v>
      </c>
      <c r="D34" t="s">
        <v>751</v>
      </c>
      <c r="E34" t="s">
        <v>1827</v>
      </c>
      <c r="F34" t="s">
        <v>1955</v>
      </c>
      <c r="L34" t="str">
        <f t="shared" si="31"/>
        <v/>
      </c>
      <c r="M34" t="str">
        <f t="shared" si="32"/>
        <v/>
      </c>
      <c r="N34" t="str">
        <f t="shared" si="34"/>
        <v>Fliegen</v>
      </c>
      <c r="P34">
        <f t="shared" si="33"/>
        <v>72</v>
      </c>
      <c r="R34" t="s">
        <v>2317</v>
      </c>
      <c r="U34">
        <f ca="1">IF(Abfragen!U67&gt;0,35-U72,35)</f>
        <v>35</v>
      </c>
      <c r="Z34" t="s">
        <v>3945</v>
      </c>
      <c r="AA34">
        <v>1</v>
      </c>
      <c r="AB34">
        <v>5</v>
      </c>
      <c r="AE34" t="s">
        <v>1571</v>
      </c>
      <c r="AH34">
        <v>30</v>
      </c>
      <c r="AI34">
        <v>45</v>
      </c>
      <c r="AJ34">
        <v>47</v>
      </c>
      <c r="AK34">
        <v>95</v>
      </c>
      <c r="AL34">
        <v>140</v>
      </c>
      <c r="AM34">
        <v>190</v>
      </c>
      <c r="AN34">
        <v>240</v>
      </c>
      <c r="AO34">
        <v>350</v>
      </c>
      <c r="AP34">
        <v>480</v>
      </c>
      <c r="AQ34">
        <v>950</v>
      </c>
      <c r="AS34" t="s">
        <v>1634</v>
      </c>
      <c r="AT34">
        <v>8</v>
      </c>
      <c r="AU34">
        <v>0</v>
      </c>
      <c r="AV34">
        <v>100</v>
      </c>
      <c r="AX34" t="s">
        <v>1463</v>
      </c>
      <c r="AY34">
        <v>4</v>
      </c>
      <c r="AZ34">
        <v>1</v>
      </c>
      <c r="BA34" t="s">
        <v>981</v>
      </c>
      <c r="BB34" t="s">
        <v>982</v>
      </c>
      <c r="BC34" t="s">
        <v>983</v>
      </c>
      <c r="BD34" t="s">
        <v>984</v>
      </c>
      <c r="BG34">
        <v>5</v>
      </c>
      <c r="BK34" t="s">
        <v>5228</v>
      </c>
      <c r="BN34" t="s">
        <v>5229</v>
      </c>
      <c r="BP34" t="s">
        <v>5230</v>
      </c>
      <c r="BW34" t="s">
        <v>5231</v>
      </c>
      <c r="CA34" t="s">
        <v>5232</v>
      </c>
      <c r="CD34" t="s">
        <v>4605</v>
      </c>
      <c r="CE34" t="s">
        <v>904</v>
      </c>
      <c r="CF34" t="s">
        <v>917</v>
      </c>
      <c r="CG34" t="s">
        <v>4555</v>
      </c>
      <c r="CH34">
        <v>-1</v>
      </c>
      <c r="CI34">
        <v>6</v>
      </c>
      <c r="CJ34" t="s">
        <v>1827</v>
      </c>
      <c r="CK34" t="s">
        <v>1530</v>
      </c>
      <c r="CL34" t="s">
        <v>1526</v>
      </c>
      <c r="CN34" t="str">
        <f ca="1">IF(AND(ISERR(FIND($CK34,Talente!$CI$41)),ISNA(VLOOKUP($CK34,$AH$51:$AH$55,1))),IF(AND(ISERR(FIND($CL34,Talente!$CI$41)),ISNA(VLOOKUP($CL34,$AH$51:$AH$55,1))),$CM34,$CL34),$CK34)</f>
        <v>Speere</v>
      </c>
      <c r="CP34" t="s">
        <v>1529</v>
      </c>
      <c r="CQ34" t="s">
        <v>916</v>
      </c>
      <c r="CR34" t="s">
        <v>1656</v>
      </c>
      <c r="CS34" t="s">
        <v>4013</v>
      </c>
      <c r="CT34" t="s">
        <v>1529</v>
      </c>
      <c r="CU34">
        <v>2</v>
      </c>
      <c r="CX34" t="s">
        <v>2645</v>
      </c>
      <c r="CY34" t="s">
        <v>75</v>
      </c>
      <c r="CZ34" t="s">
        <v>77</v>
      </c>
      <c r="DA34" t="s">
        <v>750</v>
      </c>
      <c r="DC34" t="s">
        <v>7298</v>
      </c>
      <c r="DD34" t="s">
        <v>4791</v>
      </c>
      <c r="DE34" t="s">
        <v>4359</v>
      </c>
      <c r="DF34" t="s">
        <v>5062</v>
      </c>
      <c r="DG34" t="s">
        <v>1955</v>
      </c>
      <c r="DH34" t="s">
        <v>6857</v>
      </c>
      <c r="DI34" t="s">
        <v>2793</v>
      </c>
      <c r="DJ34">
        <v>2</v>
      </c>
      <c r="DK34">
        <f t="shared" si="10"/>
        <v>355</v>
      </c>
      <c r="DL34">
        <f t="shared" si="11"/>
        <v>32</v>
      </c>
      <c r="DM34">
        <v>35</v>
      </c>
      <c r="DN34" t="str">
        <f t="shared" ca="1" si="12"/>
        <v/>
      </c>
      <c r="DO34" t="str">
        <f t="shared" ca="1" si="13"/>
        <v/>
      </c>
      <c r="DP34" t="str">
        <f t="shared" ca="1" si="14"/>
        <v/>
      </c>
      <c r="DQ34" t="str">
        <f>IF(EXACT(Zauber!$A$250,""),"",IF(EXACT(RIGHT(HLOOKUP(Zauber!$A$250,PROFMAGIE,$DK34,FALSE)),"H"),CONCATENATE($CX34,","),""))</f>
        <v/>
      </c>
      <c r="DR34" t="str">
        <f t="shared" si="15"/>
        <v/>
      </c>
      <c r="DS34" t="str">
        <f>IF(ZS_IAAK="Ja",IF(EXACT(RIGHT(HLOOKUP(Tabellen_Magie!$IK$1,PROFMAGIE,$DK34,FALSE)),"H"),CONCATENATE($CX34,","),""),"")</f>
        <v/>
      </c>
      <c r="DT34" t="str">
        <f>IF(ZS_IAAK="Ja",IF(NOT(DS34=""),"",IF(OR(EXACT(RIGHT(HLOOKUP(Tabellen_Magie!$IK$1,PROFMAGIE,$DK34,FALSE)),"B"),EXACT(HLOOKUP(Tabellen_Magie!$IK$1,PROFMAGIE,$DK34,FALSE),"")),"",CONCATENATE($CX34,","))),"")</f>
        <v/>
      </c>
      <c r="DU34" t="str">
        <f t="shared" si="16"/>
        <v/>
      </c>
      <c r="DV34" t="s">
        <v>1088</v>
      </c>
      <c r="DW34" t="s">
        <v>5017</v>
      </c>
      <c r="DX34" t="s">
        <v>74</v>
      </c>
      <c r="DY34" t="s">
        <v>76</v>
      </c>
      <c r="DZ34" t="s">
        <v>77</v>
      </c>
      <c r="EA34" t="s">
        <v>1160</v>
      </c>
      <c r="EB34" t="s">
        <v>2043</v>
      </c>
      <c r="EC34" t="s">
        <v>1443</v>
      </c>
      <c r="ED34">
        <f t="shared" ref="ED34:ED49" si="35">ROUND(EI34*IF(VT_EIDGED,0.5,IF(VT_GUTGED,0.75,1)),0)</f>
        <v>75</v>
      </c>
      <c r="EE34" t="s">
        <v>3283</v>
      </c>
      <c r="EH34">
        <f t="shared" ref="EH34:EH49" si="36">ROUNDUP($ED34/50,0)</f>
        <v>2</v>
      </c>
      <c r="EI34">
        <v>75</v>
      </c>
      <c r="EK34" t="s">
        <v>3581</v>
      </c>
      <c r="EL34">
        <v>4</v>
      </c>
      <c r="EM34">
        <v>1</v>
      </c>
      <c r="EN34">
        <v>1</v>
      </c>
      <c r="EO34">
        <v>0</v>
      </c>
      <c r="EP34">
        <v>0</v>
      </c>
      <c r="EQ34">
        <v>0</v>
      </c>
      <c r="ER34">
        <v>0</v>
      </c>
      <c r="ES34">
        <v>0.8</v>
      </c>
      <c r="ET34">
        <v>0.8</v>
      </c>
      <c r="EU34">
        <v>1</v>
      </c>
      <c r="EV34">
        <v>1</v>
      </c>
      <c r="FD34" t="s">
        <v>3112</v>
      </c>
      <c r="FE34">
        <f t="shared" si="18"/>
        <v>100</v>
      </c>
      <c r="FF34">
        <f>ROUND(FE34/50,0)</f>
        <v>2</v>
      </c>
      <c r="FK34">
        <v>100</v>
      </c>
      <c r="FL34">
        <v>6</v>
      </c>
      <c r="FM34" t="b">
        <f t="shared" ca="1" si="19"/>
        <v>0</v>
      </c>
      <c r="FN34" t="b">
        <f t="shared" ca="1" si="20"/>
        <v>0</v>
      </c>
      <c r="FS34" t="s">
        <v>3479</v>
      </c>
      <c r="FT34" t="s">
        <v>4101</v>
      </c>
      <c r="FU34" t="s">
        <v>3488</v>
      </c>
      <c r="FV34" t="s">
        <v>4408</v>
      </c>
      <c r="FX34" t="s">
        <v>2293</v>
      </c>
      <c r="GA34" t="s">
        <v>3487</v>
      </c>
      <c r="GB34" t="s">
        <v>2299</v>
      </c>
      <c r="GC34" t="s">
        <v>2297</v>
      </c>
      <c r="GH34" t="s">
        <v>2227</v>
      </c>
      <c r="GI34" t="s">
        <v>4483</v>
      </c>
      <c r="GJ34">
        <v>1</v>
      </c>
      <c r="GK34" t="s">
        <v>1320</v>
      </c>
      <c r="GL34" t="s">
        <v>567</v>
      </c>
      <c r="GM34" t="s">
        <v>1983</v>
      </c>
      <c r="GN34" t="s">
        <v>1974</v>
      </c>
      <c r="GO34">
        <v>268</v>
      </c>
      <c r="GP34">
        <v>264</v>
      </c>
      <c r="GR34">
        <f t="shared" si="22"/>
        <v>383</v>
      </c>
      <c r="GU34" t="str">
        <f t="shared" ca="1" si="23"/>
        <v/>
      </c>
      <c r="GV34" t="str">
        <f t="shared" ca="1" si="24"/>
        <v/>
      </c>
      <c r="GW34" t="str">
        <f t="shared" ca="1" si="25"/>
        <v/>
      </c>
      <c r="GX34" t="str">
        <f t="shared" ca="1" si="26"/>
        <v/>
      </c>
      <c r="HA34" t="s">
        <v>2810</v>
      </c>
      <c r="HB34" t="s">
        <v>4121</v>
      </c>
      <c r="HC34">
        <f t="shared" si="21"/>
        <v>4</v>
      </c>
      <c r="HD34" t="s">
        <v>1396</v>
      </c>
      <c r="HE34" t="s">
        <v>3291</v>
      </c>
      <c r="HG34" t="s">
        <v>1974</v>
      </c>
      <c r="HH34">
        <v>147</v>
      </c>
      <c r="HI34">
        <f t="shared" si="8"/>
        <v>4</v>
      </c>
      <c r="HJ34">
        <f t="shared" si="9"/>
        <v>200</v>
      </c>
      <c r="HK34" t="s">
        <v>13</v>
      </c>
      <c r="HL34" t="s">
        <v>3396</v>
      </c>
      <c r="HM34" t="s">
        <v>2043</v>
      </c>
    </row>
    <row r="35" spans="1:221" x14ac:dyDescent="0.2">
      <c r="A35" t="s">
        <v>3010</v>
      </c>
      <c r="B35" t="s">
        <v>74</v>
      </c>
      <c r="C35" t="s">
        <v>77</v>
      </c>
      <c r="D35" t="s">
        <v>750</v>
      </c>
      <c r="E35" t="s">
        <v>1827</v>
      </c>
      <c r="F35" t="s">
        <v>1955</v>
      </c>
      <c r="G35" t="s">
        <v>4117</v>
      </c>
      <c r="L35" t="str">
        <f t="shared" si="31"/>
        <v/>
      </c>
      <c r="M35" t="str">
        <f t="shared" si="32"/>
        <v/>
      </c>
      <c r="N35" t="str">
        <f t="shared" si="34"/>
        <v>Gaukeleien</v>
      </c>
      <c r="O35" t="s">
        <v>4117</v>
      </c>
      <c r="P35">
        <f t="shared" si="33"/>
        <v>73</v>
      </c>
      <c r="R35" t="s">
        <v>2747</v>
      </c>
      <c r="U35">
        <v>20</v>
      </c>
      <c r="W35" t="s">
        <v>4484</v>
      </c>
      <c r="Z35" t="s">
        <v>4614</v>
      </c>
      <c r="AC35">
        <v>15</v>
      </c>
      <c r="AH35">
        <v>31</v>
      </c>
      <c r="AI35">
        <v>48</v>
      </c>
      <c r="AJ35">
        <v>50</v>
      </c>
      <c r="AK35">
        <v>100</v>
      </c>
      <c r="AL35">
        <v>150</v>
      </c>
      <c r="AM35">
        <v>200</v>
      </c>
      <c r="AN35">
        <v>250</v>
      </c>
      <c r="AO35">
        <v>375</v>
      </c>
      <c r="AP35">
        <v>500</v>
      </c>
      <c r="AQ35">
        <v>1000</v>
      </c>
      <c r="AS35" t="s">
        <v>2996</v>
      </c>
      <c r="AT35">
        <v>8</v>
      </c>
      <c r="AU35">
        <v>0</v>
      </c>
      <c r="AV35">
        <v>100</v>
      </c>
      <c r="AX35" t="s">
        <v>1912</v>
      </c>
      <c r="AY35">
        <v>6</v>
      </c>
      <c r="AZ35">
        <v>2</v>
      </c>
      <c r="BA35" t="s">
        <v>3377</v>
      </c>
      <c r="BB35" t="s">
        <v>233</v>
      </c>
      <c r="BG35">
        <v>5</v>
      </c>
      <c r="BK35" t="s">
        <v>5233</v>
      </c>
      <c r="BN35" t="s">
        <v>5229</v>
      </c>
      <c r="BP35" t="s">
        <v>5234</v>
      </c>
      <c r="BW35" t="s">
        <v>5231</v>
      </c>
      <c r="CA35" t="s">
        <v>5235</v>
      </c>
      <c r="CD35" t="s">
        <v>7155</v>
      </c>
      <c r="CE35" t="s">
        <v>5091</v>
      </c>
      <c r="CF35" t="s">
        <v>379</v>
      </c>
      <c r="CG35" t="s">
        <v>7569</v>
      </c>
      <c r="CH35">
        <v>-1</v>
      </c>
      <c r="CI35">
        <v>6</v>
      </c>
      <c r="CJ35" t="s">
        <v>1827</v>
      </c>
      <c r="CK35" t="s">
        <v>1530</v>
      </c>
      <c r="CN35" t="str">
        <f ca="1">IF(AND(ISERR(FIND($CK35,Talente!$CI$41)),ISNA(VLOOKUP($CK35,$AH$51:$AH$55,1))),IF(AND(ISERR(FIND($CL35,Talente!$CI$41)),ISNA(VLOOKUP($CL35,$AH$51:$AH$55,1))),$CM35,$CL35),$CK35)</f>
        <v>Speere</v>
      </c>
      <c r="CP35" t="s">
        <v>285</v>
      </c>
      <c r="CQ35" t="s">
        <v>5091</v>
      </c>
      <c r="CR35" t="s">
        <v>149</v>
      </c>
      <c r="CS35" t="s">
        <v>4014</v>
      </c>
      <c r="CT35" t="s">
        <v>1532</v>
      </c>
      <c r="CX35" t="s">
        <v>2646</v>
      </c>
      <c r="CY35" t="s">
        <v>75</v>
      </c>
      <c r="CZ35" t="s">
        <v>751</v>
      </c>
      <c r="DA35" t="s">
        <v>5030</v>
      </c>
      <c r="DC35" t="s">
        <v>7299</v>
      </c>
      <c r="DD35">
        <v>7</v>
      </c>
      <c r="DE35" t="s">
        <v>7327</v>
      </c>
      <c r="DF35" t="s">
        <v>5063</v>
      </c>
      <c r="DG35" t="s">
        <v>1956</v>
      </c>
      <c r="DH35" t="s">
        <v>6858</v>
      </c>
      <c r="DI35" t="s">
        <v>1543</v>
      </c>
      <c r="DJ35">
        <v>2</v>
      </c>
      <c r="DK35">
        <f t="shared" si="10"/>
        <v>356</v>
      </c>
      <c r="DL35">
        <f t="shared" si="11"/>
        <v>33</v>
      </c>
      <c r="DM35">
        <v>36</v>
      </c>
      <c r="DN35" t="str">
        <f t="shared" ca="1" si="12"/>
        <v/>
      </c>
      <c r="DO35" t="str">
        <f t="shared" ca="1" si="13"/>
        <v/>
      </c>
      <c r="DP35" t="str">
        <f t="shared" ca="1" si="14"/>
        <v/>
      </c>
      <c r="DQ35" t="str">
        <f>IF(EXACT(Zauber!$A$250,""),"",IF(EXACT(RIGHT(HLOOKUP(Zauber!$A$250,PROFMAGIE,$DK35,FALSE)),"H"),CONCATENATE($CX35,","),""))</f>
        <v/>
      </c>
      <c r="DR35" t="str">
        <f t="shared" si="15"/>
        <v/>
      </c>
      <c r="DS35" t="str">
        <f>IF(ZS_IAAK="Ja",IF(EXACT(RIGHT(HLOOKUP(Tabellen_Magie!$IK$1,PROFMAGIE,$DK35,FALSE)),"H"),CONCATENATE($CX35,","),""),"")</f>
        <v/>
      </c>
      <c r="DT35" t="str">
        <f>IF(ZS_IAAK="Ja",IF(NOT(DS35=""),"",IF(OR(EXACT(RIGHT(HLOOKUP(Tabellen_Magie!$IK$1,PROFMAGIE,$DK35,FALSE)),"B"),EXACT(HLOOKUP(Tabellen_Magie!$IK$1,PROFMAGIE,$DK35,FALSE),"")),"",CONCATENATE($CX35,","))),"")</f>
        <v/>
      </c>
      <c r="DU35" t="str">
        <f t="shared" si="16"/>
        <v/>
      </c>
      <c r="DW35" t="s">
        <v>5018</v>
      </c>
      <c r="DX35" t="s">
        <v>74</v>
      </c>
      <c r="DY35" t="s">
        <v>76</v>
      </c>
      <c r="DZ35" t="s">
        <v>752</v>
      </c>
      <c r="EA35" t="s">
        <v>1160</v>
      </c>
      <c r="EB35" t="s">
        <v>2043</v>
      </c>
      <c r="EC35" t="s">
        <v>1444</v>
      </c>
      <c r="ED35">
        <f t="shared" si="35"/>
        <v>150</v>
      </c>
      <c r="EE35" t="s">
        <v>3283</v>
      </c>
      <c r="EH35">
        <f t="shared" si="36"/>
        <v>3</v>
      </c>
      <c r="EI35">
        <v>150</v>
      </c>
      <c r="EK35" t="s">
        <v>2010</v>
      </c>
      <c r="EL35">
        <v>0</v>
      </c>
      <c r="EM35">
        <v>0</v>
      </c>
      <c r="EN35">
        <v>0</v>
      </c>
      <c r="EO35">
        <v>0</v>
      </c>
      <c r="EP35">
        <v>1</v>
      </c>
      <c r="EQ35">
        <v>1</v>
      </c>
      <c r="ER35">
        <v>0</v>
      </c>
      <c r="ES35">
        <v>0.1</v>
      </c>
      <c r="ET35">
        <v>0.1</v>
      </c>
      <c r="EU35">
        <v>0</v>
      </c>
      <c r="EV35">
        <v>0</v>
      </c>
      <c r="FD35" t="s">
        <v>3113</v>
      </c>
      <c r="FE35">
        <f t="shared" si="18"/>
        <v>150</v>
      </c>
      <c r="FF35">
        <f t="shared" ref="FF35:FF101" si="37">ROUND(FE35/50,0)</f>
        <v>3</v>
      </c>
      <c r="FK35">
        <v>150</v>
      </c>
      <c r="FL35">
        <v>3</v>
      </c>
      <c r="FM35" t="b">
        <f t="shared" ca="1" si="19"/>
        <v>0</v>
      </c>
      <c r="FN35" t="b">
        <f t="shared" ca="1" si="20"/>
        <v>0</v>
      </c>
      <c r="FS35" t="s">
        <v>3480</v>
      </c>
      <c r="FT35" t="s">
        <v>4102</v>
      </c>
      <c r="FV35" t="s">
        <v>2286</v>
      </c>
      <c r="FX35" t="s">
        <v>2294</v>
      </c>
      <c r="GA35" t="s">
        <v>3486</v>
      </c>
      <c r="GC35" t="s">
        <v>4869</v>
      </c>
      <c r="GH35" t="s">
        <v>2228</v>
      </c>
      <c r="GI35" t="s">
        <v>4483</v>
      </c>
      <c r="GJ35">
        <v>1</v>
      </c>
      <c r="GK35" t="s">
        <v>4484</v>
      </c>
      <c r="GL35" t="s">
        <v>1976</v>
      </c>
      <c r="GM35" t="s">
        <v>1982</v>
      </c>
      <c r="GN35" t="s">
        <v>1974</v>
      </c>
      <c r="GO35">
        <v>253</v>
      </c>
      <c r="GP35">
        <v>83</v>
      </c>
      <c r="GR35">
        <f t="shared" si="22"/>
        <v>384</v>
      </c>
      <c r="GS35">
        <v>3</v>
      </c>
      <c r="GU35" t="str">
        <f t="shared" ca="1" si="23"/>
        <v/>
      </c>
      <c r="GV35" t="str">
        <f t="shared" ca="1" si="24"/>
        <v/>
      </c>
      <c r="GW35" t="str">
        <f t="shared" ca="1" si="25"/>
        <v/>
      </c>
      <c r="GX35" t="str">
        <f t="shared" ca="1" si="26"/>
        <v/>
      </c>
      <c r="HA35" t="s">
        <v>2811</v>
      </c>
      <c r="HB35" t="s">
        <v>1119</v>
      </c>
      <c r="HC35">
        <f t="shared" si="21"/>
        <v>2</v>
      </c>
      <c r="HD35" t="s">
        <v>1320</v>
      </c>
      <c r="HE35" t="s">
        <v>4123</v>
      </c>
      <c r="HG35" t="s">
        <v>1975</v>
      </c>
      <c r="HH35">
        <v>147</v>
      </c>
      <c r="HI35">
        <f t="shared" si="8"/>
        <v>2</v>
      </c>
      <c r="HJ35">
        <f t="shared" si="9"/>
        <v>100</v>
      </c>
      <c r="HK35" t="s">
        <v>1327</v>
      </c>
      <c r="HL35" t="s">
        <v>106</v>
      </c>
      <c r="HM35" t="s">
        <v>2400</v>
      </c>
    </row>
    <row r="36" spans="1:221" ht="12.75" customHeight="1" x14ac:dyDescent="0.2">
      <c r="A36" t="s">
        <v>891</v>
      </c>
      <c r="B36" t="s">
        <v>74</v>
      </c>
      <c r="C36" t="s">
        <v>751</v>
      </c>
      <c r="D36" t="s">
        <v>752</v>
      </c>
      <c r="E36" t="s">
        <v>1321</v>
      </c>
      <c r="F36" t="s">
        <v>1955</v>
      </c>
      <c r="G36" t="s">
        <v>4117</v>
      </c>
      <c r="L36" t="str">
        <f t="shared" si="31"/>
        <v/>
      </c>
      <c r="M36" t="str">
        <f t="shared" si="32"/>
        <v/>
      </c>
      <c r="N36" t="str">
        <f t="shared" si="34"/>
        <v>Klettern</v>
      </c>
      <c r="O36" t="s">
        <v>4117</v>
      </c>
      <c r="P36">
        <f t="shared" si="33"/>
        <v>74</v>
      </c>
      <c r="R36" t="s">
        <v>2748</v>
      </c>
      <c r="U36">
        <v>7</v>
      </c>
      <c r="W36" t="s">
        <v>2070</v>
      </c>
      <c r="Z36" t="s">
        <v>9013</v>
      </c>
      <c r="AC36">
        <v>2</v>
      </c>
      <c r="AE36" t="s">
        <v>2070</v>
      </c>
      <c r="AH36">
        <v>32</v>
      </c>
      <c r="AI36">
        <v>48</v>
      </c>
      <c r="AJ36">
        <v>50</v>
      </c>
      <c r="AK36">
        <v>100</v>
      </c>
      <c r="AL36">
        <v>150</v>
      </c>
      <c r="AM36">
        <v>200</v>
      </c>
      <c r="AN36">
        <v>250</v>
      </c>
      <c r="AO36">
        <v>375</v>
      </c>
      <c r="AP36">
        <v>500</v>
      </c>
      <c r="AQ36">
        <v>1000</v>
      </c>
      <c r="AS36" t="s">
        <v>4338</v>
      </c>
      <c r="AT36">
        <v>8</v>
      </c>
      <c r="AU36">
        <v>0</v>
      </c>
      <c r="AV36">
        <v>100</v>
      </c>
      <c r="AX36" t="s">
        <v>1586</v>
      </c>
      <c r="AY36">
        <v>4</v>
      </c>
      <c r="AZ36">
        <v>1</v>
      </c>
      <c r="BA36" t="s">
        <v>172</v>
      </c>
      <c r="BB36" t="s">
        <v>173</v>
      </c>
      <c r="BC36" t="s">
        <v>174</v>
      </c>
      <c r="BD36" t="s">
        <v>175</v>
      </c>
      <c r="BG36">
        <v>5</v>
      </c>
      <c r="BK36" t="s">
        <v>5236</v>
      </c>
      <c r="BN36" t="s">
        <v>5229</v>
      </c>
      <c r="BP36" t="s">
        <v>5237</v>
      </c>
      <c r="BW36" t="s">
        <v>5238</v>
      </c>
      <c r="CA36" t="s">
        <v>5239</v>
      </c>
      <c r="CD36" t="s">
        <v>7570</v>
      </c>
      <c r="CE36" t="s">
        <v>904</v>
      </c>
      <c r="CF36" t="s">
        <v>379</v>
      </c>
      <c r="CG36" t="s">
        <v>7569</v>
      </c>
      <c r="CH36">
        <v>-1</v>
      </c>
      <c r="CI36">
        <v>6</v>
      </c>
      <c r="CJ36" t="s">
        <v>1827</v>
      </c>
      <c r="CK36" t="s">
        <v>1526</v>
      </c>
      <c r="CN36" t="str">
        <f ca="1">IF(AND(ISERR(FIND($CK36,Talente!$CI$41)),ISNA(VLOOKUP($CK36,$AH$51:$AH$55,1))),IF(AND(ISERR(FIND($CL36,Talente!$CI$41)),ISNA(VLOOKUP($CL36,$AH$51:$AH$55,1))),$CM36,$CL36),$CK36)</f>
        <v>Lanzenreiten</v>
      </c>
      <c r="CP36" t="s">
        <v>4656</v>
      </c>
      <c r="CQ36" t="s">
        <v>4647</v>
      </c>
      <c r="CR36" t="s">
        <v>394</v>
      </c>
      <c r="CS36" t="s">
        <v>4009</v>
      </c>
      <c r="CT36" t="s">
        <v>1529</v>
      </c>
      <c r="CU36">
        <v>1</v>
      </c>
      <c r="CX36" t="s">
        <v>2647</v>
      </c>
      <c r="CY36" t="s">
        <v>75</v>
      </c>
      <c r="CZ36" t="s">
        <v>76</v>
      </c>
      <c r="DA36" t="s">
        <v>77</v>
      </c>
      <c r="DB36" t="s">
        <v>1613</v>
      </c>
      <c r="DC36" t="s">
        <v>544</v>
      </c>
      <c r="DD36" t="s">
        <v>7328</v>
      </c>
      <c r="DE36" t="s">
        <v>2397</v>
      </c>
      <c r="DF36" t="s">
        <v>81</v>
      </c>
      <c r="DG36" t="s">
        <v>1956</v>
      </c>
      <c r="DH36" t="s">
        <v>6859</v>
      </c>
      <c r="DI36" t="s">
        <v>4506</v>
      </c>
      <c r="DJ36">
        <v>2</v>
      </c>
      <c r="DK36">
        <f t="shared" si="10"/>
        <v>357</v>
      </c>
      <c r="DL36">
        <f t="shared" si="11"/>
        <v>34</v>
      </c>
      <c r="DM36">
        <v>37</v>
      </c>
      <c r="DN36" t="str">
        <f t="shared" ca="1" si="12"/>
        <v/>
      </c>
      <c r="DO36" t="str">
        <f t="shared" ca="1" si="13"/>
        <v/>
      </c>
      <c r="DP36" t="str">
        <f t="shared" ca="1" si="14"/>
        <v/>
      </c>
      <c r="DQ36" t="str">
        <f>IF(EXACT(Zauber!$A$250,""),"",IF(EXACT(RIGHT(HLOOKUP(Zauber!$A$250,PROFMAGIE,$DK36,FALSE)),"H"),CONCATENATE($CX36,","),""))</f>
        <v/>
      </c>
      <c r="DR36" t="str">
        <f t="shared" si="15"/>
        <v/>
      </c>
      <c r="DS36" t="str">
        <f>IF(ZS_IAAK="Ja",IF(EXACT(RIGHT(HLOOKUP(Tabellen_Magie!$IK$1,PROFMAGIE,$DK36,FALSE)),"H"),CONCATENATE($CX36,","),""),"")</f>
        <v/>
      </c>
      <c r="DT36" t="str">
        <f>IF(ZS_IAAK="Ja",IF(NOT(DS36=""),"",IF(OR(EXACT(RIGHT(HLOOKUP(Tabellen_Magie!$IK$1,PROFMAGIE,$DK36,FALSE)),"B"),EXACT(HLOOKUP(Tabellen_Magie!$IK$1,PROFMAGIE,$DK36,FALSE),"")),"",CONCATENATE($CX36,","))),"")</f>
        <v/>
      </c>
      <c r="DU36" t="str">
        <f t="shared" si="16"/>
        <v/>
      </c>
      <c r="DW36" t="s">
        <v>5019</v>
      </c>
      <c r="DX36" t="s">
        <v>76</v>
      </c>
      <c r="DY36" t="s">
        <v>77</v>
      </c>
      <c r="DZ36" t="s">
        <v>77</v>
      </c>
      <c r="EA36" t="s">
        <v>2341</v>
      </c>
      <c r="EB36" t="s">
        <v>2300</v>
      </c>
      <c r="EC36" t="s">
        <v>1445</v>
      </c>
      <c r="ED36">
        <f t="shared" si="35"/>
        <v>75</v>
      </c>
      <c r="EE36" t="s">
        <v>3283</v>
      </c>
      <c r="EH36">
        <f t="shared" si="36"/>
        <v>2</v>
      </c>
      <c r="EI36">
        <v>75</v>
      </c>
      <c r="EK36" t="s">
        <v>1587</v>
      </c>
      <c r="EL36">
        <v>3</v>
      </c>
      <c r="EM36">
        <v>1</v>
      </c>
      <c r="EN36">
        <v>1</v>
      </c>
      <c r="EO36">
        <v>0</v>
      </c>
      <c r="EP36">
        <v>0</v>
      </c>
      <c r="EQ36">
        <v>0</v>
      </c>
      <c r="ER36">
        <v>0</v>
      </c>
      <c r="ES36">
        <v>0.7</v>
      </c>
      <c r="ET36">
        <v>0.7</v>
      </c>
      <c r="EU36">
        <v>1</v>
      </c>
      <c r="EV36">
        <v>1</v>
      </c>
      <c r="EX36" t="s">
        <v>278</v>
      </c>
      <c r="EY36" t="s">
        <v>404</v>
      </c>
      <c r="EZ36" t="s">
        <v>2500</v>
      </c>
      <c r="FA36" t="s">
        <v>2499</v>
      </c>
      <c r="FB36" t="s">
        <v>4984</v>
      </c>
      <c r="FD36" t="s">
        <v>3114</v>
      </c>
      <c r="FE36">
        <f t="shared" si="18"/>
        <v>150</v>
      </c>
      <c r="FF36">
        <f t="shared" si="37"/>
        <v>3</v>
      </c>
      <c r="FK36">
        <v>150</v>
      </c>
      <c r="FL36">
        <v>4</v>
      </c>
      <c r="FM36" t="b">
        <f t="shared" ca="1" si="19"/>
        <v>0</v>
      </c>
      <c r="FN36" t="b">
        <f t="shared" ca="1" si="20"/>
        <v>0</v>
      </c>
      <c r="FS36" t="s">
        <v>3481</v>
      </c>
      <c r="FT36" t="s">
        <v>3482</v>
      </c>
      <c r="FV36" t="s">
        <v>2288</v>
      </c>
      <c r="FX36" t="s">
        <v>2295</v>
      </c>
      <c r="GA36" t="s">
        <v>3490</v>
      </c>
      <c r="GH36" t="s">
        <v>2229</v>
      </c>
      <c r="GI36" t="s">
        <v>4483</v>
      </c>
      <c r="GJ36">
        <v>1</v>
      </c>
      <c r="GK36" t="s">
        <v>1320</v>
      </c>
      <c r="GL36" t="s">
        <v>567</v>
      </c>
      <c r="GM36" t="s">
        <v>1983</v>
      </c>
      <c r="GN36" t="s">
        <v>1974</v>
      </c>
      <c r="GO36">
        <v>262</v>
      </c>
      <c r="GP36">
        <v>285</v>
      </c>
      <c r="GR36">
        <f t="shared" si="22"/>
        <v>385</v>
      </c>
      <c r="GU36" t="str">
        <f t="shared" ca="1" si="23"/>
        <v/>
      </c>
      <c r="GV36" t="str">
        <f t="shared" ca="1" si="24"/>
        <v/>
      </c>
      <c r="GW36" t="str">
        <f t="shared" ca="1" si="25"/>
        <v/>
      </c>
      <c r="GX36" t="str">
        <f t="shared" ca="1" si="26"/>
        <v/>
      </c>
      <c r="HA36" t="s">
        <v>2812</v>
      </c>
      <c r="HB36" t="s">
        <v>3290</v>
      </c>
      <c r="HC36">
        <f t="shared" si="21"/>
        <v>3</v>
      </c>
      <c r="HD36" t="s">
        <v>1320</v>
      </c>
      <c r="HE36" t="s">
        <v>4123</v>
      </c>
      <c r="HG36" t="s">
        <v>1690</v>
      </c>
      <c r="HH36">
        <v>152</v>
      </c>
      <c r="HI36">
        <f t="shared" ref="HI36:HI67" si="38">HC36</f>
        <v>3</v>
      </c>
      <c r="HJ36">
        <f t="shared" ref="HJ36:HJ67" si="39">HC36*50</f>
        <v>150</v>
      </c>
      <c r="HK36" t="s">
        <v>2813</v>
      </c>
      <c r="HL36" t="s">
        <v>3397</v>
      </c>
      <c r="HM36" t="s">
        <v>2685</v>
      </c>
    </row>
    <row r="37" spans="1:221" x14ac:dyDescent="0.2">
      <c r="A37" t="s">
        <v>892</v>
      </c>
      <c r="B37" t="s">
        <v>74</v>
      </c>
      <c r="C37" t="s">
        <v>76</v>
      </c>
      <c r="D37" t="s">
        <v>751</v>
      </c>
      <c r="E37" t="s">
        <v>1321</v>
      </c>
      <c r="F37" t="s">
        <v>1955</v>
      </c>
      <c r="G37" t="s">
        <v>4117</v>
      </c>
      <c r="L37" t="str">
        <f t="shared" si="31"/>
        <v/>
      </c>
      <c r="M37" t="str">
        <f t="shared" si="32"/>
        <v/>
      </c>
      <c r="N37" t="str">
        <f t="shared" si="34"/>
        <v>Körperbeherrschung</v>
      </c>
      <c r="O37" t="s">
        <v>4117</v>
      </c>
      <c r="P37">
        <f t="shared" si="33"/>
        <v>75</v>
      </c>
      <c r="R37" t="s">
        <v>1429</v>
      </c>
      <c r="U37">
        <v>7</v>
      </c>
      <c r="Z37" t="s">
        <v>8077</v>
      </c>
      <c r="AC37">
        <v>4</v>
      </c>
      <c r="AE37" t="s">
        <v>2070</v>
      </c>
      <c r="AH37">
        <v>33</v>
      </c>
      <c r="AI37">
        <v>48</v>
      </c>
      <c r="AJ37">
        <v>50</v>
      </c>
      <c r="AK37">
        <v>100</v>
      </c>
      <c r="AL37">
        <v>150</v>
      </c>
      <c r="AM37">
        <v>200</v>
      </c>
      <c r="AN37">
        <v>250</v>
      </c>
      <c r="AO37">
        <v>375</v>
      </c>
      <c r="AP37">
        <v>500</v>
      </c>
      <c r="AQ37">
        <v>1000</v>
      </c>
      <c r="AS37" t="s">
        <v>1633</v>
      </c>
      <c r="AT37">
        <v>8</v>
      </c>
      <c r="AU37">
        <v>0</v>
      </c>
      <c r="AV37">
        <v>100</v>
      </c>
      <c r="AX37" t="s">
        <v>4796</v>
      </c>
      <c r="AY37">
        <v>4</v>
      </c>
      <c r="AZ37">
        <v>1</v>
      </c>
      <c r="BA37" t="s">
        <v>176</v>
      </c>
      <c r="BB37" t="s">
        <v>177</v>
      </c>
      <c r="BC37" t="s">
        <v>178</v>
      </c>
      <c r="BD37" t="s">
        <v>179</v>
      </c>
      <c r="BG37">
        <v>5</v>
      </c>
      <c r="BK37" t="s">
        <v>5240</v>
      </c>
      <c r="BN37" t="s">
        <v>5229</v>
      </c>
      <c r="BT37" t="s">
        <v>5229</v>
      </c>
      <c r="BU37" t="s">
        <v>5241</v>
      </c>
      <c r="BW37" t="s">
        <v>5242</v>
      </c>
      <c r="CA37" t="s">
        <v>5243</v>
      </c>
      <c r="CD37" t="s">
        <v>4606</v>
      </c>
      <c r="CE37" t="s">
        <v>916</v>
      </c>
      <c r="CF37" t="s">
        <v>917</v>
      </c>
      <c r="CG37" t="s">
        <v>908</v>
      </c>
      <c r="CH37">
        <v>0</v>
      </c>
      <c r="CI37">
        <v>1</v>
      </c>
      <c r="CJ37" t="s">
        <v>4001</v>
      </c>
      <c r="CK37" t="s">
        <v>1957</v>
      </c>
      <c r="CN37" t="str">
        <f ca="1">IF(AND(ISERR(FIND($CK37,Talente!$CI$41)),ISNA(VLOOKUP($CK37,$AH$51:$AH$55,1))),IF(AND(ISERR(FIND($CL37,Talente!$CI$41)),ISNA(VLOOKUP($CL37,$AH$51:$AH$55,1))),$CM37,$CL37),$CK37)</f>
        <v>Dolche</v>
      </c>
      <c r="CP37" t="s">
        <v>4761</v>
      </c>
      <c r="CQ37" t="s">
        <v>4549</v>
      </c>
      <c r="CR37" t="s">
        <v>2773</v>
      </c>
      <c r="CS37" t="s">
        <v>4010</v>
      </c>
      <c r="CT37" t="s">
        <v>1533</v>
      </c>
      <c r="CX37" t="s">
        <v>4489</v>
      </c>
      <c r="CY37" t="s">
        <v>75</v>
      </c>
      <c r="CZ37" t="s">
        <v>77</v>
      </c>
      <c r="DA37" t="s">
        <v>752</v>
      </c>
      <c r="DB37" t="s">
        <v>2042</v>
      </c>
      <c r="DC37" t="s">
        <v>7300</v>
      </c>
      <c r="DD37" t="s">
        <v>836</v>
      </c>
      <c r="DE37" t="s">
        <v>2254</v>
      </c>
      <c r="DF37" t="s">
        <v>7329</v>
      </c>
      <c r="DG37" t="s">
        <v>1956</v>
      </c>
      <c r="DH37" t="s">
        <v>6860</v>
      </c>
      <c r="DI37" t="s">
        <v>2940</v>
      </c>
      <c r="DJ37">
        <v>2</v>
      </c>
      <c r="DK37">
        <f t="shared" si="10"/>
        <v>358</v>
      </c>
      <c r="DL37">
        <f t="shared" si="11"/>
        <v>35</v>
      </c>
      <c r="DM37">
        <v>38</v>
      </c>
      <c r="DN37" t="str">
        <f t="shared" ca="1" si="12"/>
        <v/>
      </c>
      <c r="DO37" t="str">
        <f t="shared" ca="1" si="13"/>
        <v/>
      </c>
      <c r="DP37" t="str">
        <f t="shared" ca="1" si="14"/>
        <v/>
      </c>
      <c r="DQ37" t="str">
        <f>IF(EXACT(Zauber!$A$250,""),"",IF(EXACT(RIGHT(HLOOKUP(Zauber!$A$250,PROFMAGIE,$DK37,FALSE)),"H"),CONCATENATE($CX37,","),""))</f>
        <v/>
      </c>
      <c r="DR37" t="str">
        <f t="shared" si="15"/>
        <v/>
      </c>
      <c r="DS37" t="str">
        <f>IF(ZS_IAAK="Ja",IF(EXACT(RIGHT(HLOOKUP(Tabellen_Magie!$IK$1,PROFMAGIE,$DK37,FALSE)),"H"),CONCATENATE($CX37,","),""),"")</f>
        <v/>
      </c>
      <c r="DT37" t="str">
        <f>IF(ZS_IAAK="Ja",IF(NOT(DS37=""),"",IF(OR(EXACT(RIGHT(HLOOKUP(Tabellen_Magie!$IK$1,PROFMAGIE,$DK37,FALSE)),"B"),EXACT(HLOOKUP(Tabellen_Magie!$IK$1,PROFMAGIE,$DK37,FALSE),"")),"",CONCATENATE($CX37,","))),"")</f>
        <v/>
      </c>
      <c r="DU37" t="str">
        <f t="shared" si="16"/>
        <v/>
      </c>
      <c r="DW37" t="s">
        <v>5020</v>
      </c>
      <c r="DX37" t="s">
        <v>75</v>
      </c>
      <c r="DY37" t="s">
        <v>76</v>
      </c>
      <c r="DZ37" t="s">
        <v>752</v>
      </c>
      <c r="EA37" t="s">
        <v>2572</v>
      </c>
      <c r="EB37" t="s">
        <v>2991</v>
      </c>
      <c r="EC37" t="s">
        <v>2301</v>
      </c>
      <c r="ED37">
        <f t="shared" si="35"/>
        <v>150</v>
      </c>
      <c r="EE37" t="s">
        <v>3283</v>
      </c>
      <c r="EH37">
        <f t="shared" si="36"/>
        <v>3</v>
      </c>
      <c r="EI37">
        <v>150</v>
      </c>
      <c r="EK37" t="s">
        <v>1742</v>
      </c>
      <c r="EL37">
        <v>0</v>
      </c>
      <c r="EM37">
        <v>4</v>
      </c>
      <c r="EN37">
        <v>4</v>
      </c>
      <c r="EO37">
        <v>4</v>
      </c>
      <c r="EP37">
        <v>2</v>
      </c>
      <c r="EQ37">
        <v>2</v>
      </c>
      <c r="ER37">
        <v>1</v>
      </c>
      <c r="ES37">
        <v>2.8</v>
      </c>
      <c r="ET37">
        <v>1.8</v>
      </c>
      <c r="EU37">
        <v>3</v>
      </c>
      <c r="EV37">
        <v>3</v>
      </c>
      <c r="FD37" t="s">
        <v>3115</v>
      </c>
      <c r="FE37">
        <f t="shared" si="18"/>
        <v>200</v>
      </c>
      <c r="FF37">
        <f t="shared" si="37"/>
        <v>4</v>
      </c>
      <c r="FK37">
        <v>200</v>
      </c>
      <c r="FL37">
        <v>3</v>
      </c>
      <c r="FM37" t="b">
        <f t="shared" ca="1" si="19"/>
        <v>0</v>
      </c>
      <c r="FN37" t="b">
        <f t="shared" ca="1" si="20"/>
        <v>0</v>
      </c>
      <c r="FT37" t="s">
        <v>3483</v>
      </c>
      <c r="FV37" t="s">
        <v>2289</v>
      </c>
      <c r="FX37" t="s">
        <v>2296</v>
      </c>
      <c r="GA37" t="s">
        <v>88</v>
      </c>
      <c r="GH37" t="s">
        <v>2230</v>
      </c>
      <c r="GI37" t="s">
        <v>4483</v>
      </c>
      <c r="GJ37">
        <v>1</v>
      </c>
      <c r="GK37" t="s">
        <v>1320</v>
      </c>
      <c r="GL37" t="s">
        <v>1976</v>
      </c>
      <c r="GM37" t="s">
        <v>1369</v>
      </c>
      <c r="GN37" t="s">
        <v>1974</v>
      </c>
      <c r="GO37">
        <v>253</v>
      </c>
      <c r="GP37">
        <v>84</v>
      </c>
      <c r="GR37">
        <f t="shared" si="22"/>
        <v>386</v>
      </c>
      <c r="GU37" t="str">
        <f t="shared" ca="1" si="23"/>
        <v/>
      </c>
      <c r="GV37" t="str">
        <f t="shared" ca="1" si="24"/>
        <v/>
      </c>
      <c r="GW37" t="str">
        <f t="shared" ca="1" si="25"/>
        <v/>
      </c>
      <c r="GX37" t="str">
        <f t="shared" ca="1" si="26"/>
        <v/>
      </c>
      <c r="HA37" t="s">
        <v>2814</v>
      </c>
      <c r="HB37" t="s">
        <v>4483</v>
      </c>
      <c r="HC37">
        <f t="shared" si="21"/>
        <v>1</v>
      </c>
      <c r="HD37" t="s">
        <v>1827</v>
      </c>
      <c r="HE37" t="s">
        <v>3295</v>
      </c>
      <c r="HG37" t="s">
        <v>1973</v>
      </c>
      <c r="HH37">
        <v>147</v>
      </c>
      <c r="HI37">
        <f t="shared" si="38"/>
        <v>1</v>
      </c>
      <c r="HJ37">
        <f t="shared" si="39"/>
        <v>50</v>
      </c>
      <c r="HK37" t="s">
        <v>14</v>
      </c>
      <c r="HL37" t="s">
        <v>3397</v>
      </c>
      <c r="HM37" t="s">
        <v>1284</v>
      </c>
    </row>
    <row r="38" spans="1:221" ht="12.75" customHeight="1" x14ac:dyDescent="0.2">
      <c r="A38" t="s">
        <v>78</v>
      </c>
      <c r="B38" t="s">
        <v>77</v>
      </c>
      <c r="C38" t="s">
        <v>751</v>
      </c>
      <c r="D38" t="s">
        <v>752</v>
      </c>
      <c r="E38" t="s">
        <v>1827</v>
      </c>
      <c r="F38" t="s">
        <v>1955</v>
      </c>
      <c r="G38">
        <v>-2</v>
      </c>
      <c r="L38" t="str">
        <f t="shared" si="31"/>
        <v/>
      </c>
      <c r="M38" t="str">
        <f t="shared" si="32"/>
        <v/>
      </c>
      <c r="N38" t="str">
        <f t="shared" si="34"/>
        <v>Reiten</v>
      </c>
      <c r="O38">
        <v>-2</v>
      </c>
      <c r="P38">
        <f t="shared" si="33"/>
        <v>76</v>
      </c>
      <c r="R38" t="s">
        <v>3637</v>
      </c>
      <c r="U38">
        <v>30</v>
      </c>
      <c r="V38" t="s">
        <v>3995</v>
      </c>
      <c r="Z38" t="s">
        <v>9014</v>
      </c>
      <c r="AC38">
        <v>6</v>
      </c>
      <c r="AE38" t="s">
        <v>2070</v>
      </c>
      <c r="AH38">
        <v>34</v>
      </c>
      <c r="AI38">
        <v>48</v>
      </c>
      <c r="AJ38">
        <v>50</v>
      </c>
      <c r="AK38">
        <v>100</v>
      </c>
      <c r="AL38">
        <v>150</v>
      </c>
      <c r="AM38">
        <v>200</v>
      </c>
      <c r="AN38">
        <v>250</v>
      </c>
      <c r="AO38">
        <v>375</v>
      </c>
      <c r="AP38">
        <v>500</v>
      </c>
      <c r="AQ38">
        <v>1000</v>
      </c>
      <c r="AS38" t="s">
        <v>1632</v>
      </c>
      <c r="AT38">
        <v>8</v>
      </c>
      <c r="AU38">
        <v>0</v>
      </c>
      <c r="AV38">
        <v>100</v>
      </c>
      <c r="AX38" t="s">
        <v>3010</v>
      </c>
      <c r="AY38">
        <v>6</v>
      </c>
      <c r="AZ38">
        <v>2</v>
      </c>
      <c r="BA38" t="s">
        <v>234</v>
      </c>
      <c r="BB38" t="s">
        <v>235</v>
      </c>
      <c r="BC38" t="s">
        <v>236</v>
      </c>
      <c r="BD38" t="s">
        <v>237</v>
      </c>
      <c r="BE38" t="s">
        <v>238</v>
      </c>
      <c r="BG38">
        <v>5</v>
      </c>
      <c r="BK38" t="s">
        <v>5244</v>
      </c>
      <c r="BN38" t="s">
        <v>5229</v>
      </c>
      <c r="BT38" t="s">
        <v>5229</v>
      </c>
      <c r="BU38" t="s">
        <v>5241</v>
      </c>
      <c r="BW38" t="s">
        <v>5238</v>
      </c>
      <c r="CA38" t="s">
        <v>5245</v>
      </c>
      <c r="CD38" t="s">
        <v>4607</v>
      </c>
      <c r="CE38" t="s">
        <v>904</v>
      </c>
      <c r="CF38" t="s">
        <v>917</v>
      </c>
      <c r="CG38" t="s">
        <v>908</v>
      </c>
      <c r="CH38">
        <v>0</v>
      </c>
      <c r="CI38">
        <v>3</v>
      </c>
      <c r="CJ38" t="s">
        <v>905</v>
      </c>
      <c r="CK38" t="s">
        <v>3629</v>
      </c>
      <c r="CN38" t="str">
        <f ca="1">IF(ISBLANK($CK38),"",IF(AND(ISERR(FIND($CK38,Talente!$CI$41)),ISNA(VLOOKUP($CK38,$AH$51:$AH$55,1))),IF(AND(ISERR(FIND($CL38,Talente!$CI$41)),ISNA(VLOOKUP($CL38,$AH$51:$AH$55,1))),$CM38,$CL38),$CK38))</f>
        <v>Zweihand-Hiebwaffen</v>
      </c>
      <c r="CP38" t="s">
        <v>283</v>
      </c>
      <c r="CQ38" t="s">
        <v>4549</v>
      </c>
      <c r="CR38" t="s">
        <v>480</v>
      </c>
      <c r="CS38" t="s">
        <v>479</v>
      </c>
      <c r="CT38" t="s">
        <v>1533</v>
      </c>
      <c r="CU38">
        <v>2</v>
      </c>
      <c r="CV38" t="s">
        <v>7543</v>
      </c>
      <c r="CX38" t="s">
        <v>2541</v>
      </c>
      <c r="CY38" t="s">
        <v>76</v>
      </c>
      <c r="CZ38" t="s">
        <v>77</v>
      </c>
      <c r="DA38" t="s">
        <v>77</v>
      </c>
      <c r="DB38" t="s">
        <v>2042</v>
      </c>
      <c r="DC38" t="s">
        <v>7289</v>
      </c>
      <c r="DD38" t="s">
        <v>3141</v>
      </c>
      <c r="DE38" t="s">
        <v>3142</v>
      </c>
      <c r="DF38" t="s">
        <v>1617</v>
      </c>
      <c r="DG38" t="s">
        <v>1321</v>
      </c>
      <c r="DH38" t="s">
        <v>6861</v>
      </c>
      <c r="DI38" t="s">
        <v>2940</v>
      </c>
      <c r="DJ38">
        <v>2</v>
      </c>
      <c r="DK38">
        <f t="shared" si="10"/>
        <v>359</v>
      </c>
      <c r="DL38">
        <f t="shared" si="11"/>
        <v>36</v>
      </c>
      <c r="DM38">
        <v>39</v>
      </c>
      <c r="DN38" t="str">
        <f t="shared" ca="1" si="12"/>
        <v/>
      </c>
      <c r="DO38" t="str">
        <f t="shared" ca="1" si="13"/>
        <v/>
      </c>
      <c r="DP38" t="str">
        <f t="shared" ca="1" si="14"/>
        <v/>
      </c>
      <c r="DQ38" t="str">
        <f>IF(EXACT(Zauber!$A$250,""),"",IF(EXACT(RIGHT(HLOOKUP(Zauber!$A$250,PROFMAGIE,$DK38,FALSE)),"H"),CONCATENATE($CX38,","),""))</f>
        <v/>
      </c>
      <c r="DR38" t="str">
        <f t="shared" si="15"/>
        <v/>
      </c>
      <c r="DS38" t="str">
        <f>IF(ZS_IAAK="Ja",IF(EXACT(RIGHT(HLOOKUP(Tabellen_Magie!$IK$1,PROFMAGIE,$DK38,FALSE)),"H"),CONCATENATE($CX38,","),""),"")</f>
        <v/>
      </c>
      <c r="DT38" t="str">
        <f>IF(ZS_IAAK="Ja",IF(NOT(DS38=""),"",IF(OR(EXACT(RIGHT(HLOOKUP(Tabellen_Magie!$IK$1,PROFMAGIE,$DK38,FALSE)),"B"),EXACT(HLOOKUP(Tabellen_Magie!$IK$1,PROFMAGIE,$DK38,FALSE),"")),"",CONCATENATE($CX38,","))),"")</f>
        <v/>
      </c>
      <c r="DU38" t="str">
        <f t="shared" si="16"/>
        <v/>
      </c>
      <c r="DW38" t="s">
        <v>5021</v>
      </c>
      <c r="DX38" t="s">
        <v>76</v>
      </c>
      <c r="DY38" t="s">
        <v>77</v>
      </c>
      <c r="DZ38" t="s">
        <v>752</v>
      </c>
      <c r="EB38" t="s">
        <v>1277</v>
      </c>
      <c r="EC38" t="s">
        <v>2302</v>
      </c>
      <c r="ED38">
        <f t="shared" si="35"/>
        <v>75</v>
      </c>
      <c r="EE38" t="s">
        <v>3283</v>
      </c>
      <c r="EH38">
        <f t="shared" si="36"/>
        <v>2</v>
      </c>
      <c r="EI38">
        <v>75</v>
      </c>
      <c r="EK38" t="s">
        <v>1743</v>
      </c>
      <c r="EL38">
        <v>0</v>
      </c>
      <c r="EM38">
        <v>4</v>
      </c>
      <c r="EN38">
        <v>4</v>
      </c>
      <c r="EO38">
        <v>4</v>
      </c>
      <c r="EP38">
        <v>3</v>
      </c>
      <c r="EQ38">
        <v>3</v>
      </c>
      <c r="ER38">
        <v>2</v>
      </c>
      <c r="ES38">
        <v>3.1</v>
      </c>
      <c r="ET38">
        <v>2.1</v>
      </c>
      <c r="EU38">
        <v>4</v>
      </c>
      <c r="EV38">
        <v>4</v>
      </c>
      <c r="FD38" t="s">
        <v>3116</v>
      </c>
      <c r="FE38">
        <f t="shared" si="18"/>
        <v>200</v>
      </c>
      <c r="FF38">
        <f t="shared" si="37"/>
        <v>4</v>
      </c>
      <c r="FK38">
        <v>200</v>
      </c>
      <c r="FL38">
        <v>4</v>
      </c>
      <c r="FM38" t="b">
        <f t="shared" ca="1" si="19"/>
        <v>0</v>
      </c>
      <c r="FN38" t="b">
        <f t="shared" ca="1" si="20"/>
        <v>0</v>
      </c>
      <c r="FQ38" t="s">
        <v>4620</v>
      </c>
      <c r="FS38" t="s">
        <v>2013</v>
      </c>
      <c r="FT38" t="s">
        <v>2013</v>
      </c>
      <c r="FU38" t="s">
        <v>2013</v>
      </c>
      <c r="FV38" t="s">
        <v>2013</v>
      </c>
      <c r="FW38" t="s">
        <v>2013</v>
      </c>
      <c r="FX38" t="s">
        <v>2013</v>
      </c>
      <c r="FY38" t="s">
        <v>2013</v>
      </c>
      <c r="FZ38" t="s">
        <v>2013</v>
      </c>
      <c r="GA38" t="s">
        <v>2013</v>
      </c>
      <c r="GB38" t="s">
        <v>2013</v>
      </c>
      <c r="GC38" t="s">
        <v>2013</v>
      </c>
      <c r="GD38" t="s">
        <v>2013</v>
      </c>
      <c r="GE38" t="s">
        <v>2013</v>
      </c>
      <c r="GH38" t="s">
        <v>2466</v>
      </c>
      <c r="GI38" t="s">
        <v>4483</v>
      </c>
      <c r="GJ38">
        <v>1</v>
      </c>
      <c r="GK38" t="s">
        <v>1320</v>
      </c>
      <c r="GL38" t="s">
        <v>567</v>
      </c>
      <c r="GM38" t="s">
        <v>1983</v>
      </c>
      <c r="GN38" t="s">
        <v>1974</v>
      </c>
      <c r="GO38">
        <v>277</v>
      </c>
      <c r="GP38">
        <v>293</v>
      </c>
      <c r="GR38">
        <f t="shared" si="22"/>
        <v>387</v>
      </c>
      <c r="GU38" t="str">
        <f t="shared" ca="1" si="23"/>
        <v/>
      </c>
      <c r="GV38" t="str">
        <f t="shared" ca="1" si="24"/>
        <v/>
      </c>
      <c r="GW38" t="str">
        <f t="shared" ca="1" si="25"/>
        <v/>
      </c>
      <c r="GX38" t="str">
        <f t="shared" ca="1" si="26"/>
        <v/>
      </c>
      <c r="HA38" t="s">
        <v>2153</v>
      </c>
      <c r="HB38" t="s">
        <v>3290</v>
      </c>
      <c r="HC38">
        <f t="shared" si="21"/>
        <v>3</v>
      </c>
      <c r="HD38" t="s">
        <v>1396</v>
      </c>
      <c r="HE38" t="s">
        <v>4123</v>
      </c>
      <c r="HG38" t="s">
        <v>1974</v>
      </c>
      <c r="HH38">
        <v>147</v>
      </c>
      <c r="HI38">
        <f t="shared" si="38"/>
        <v>3</v>
      </c>
      <c r="HJ38">
        <f t="shared" si="39"/>
        <v>150</v>
      </c>
      <c r="HK38" t="s">
        <v>130</v>
      </c>
      <c r="HL38" t="s">
        <v>2369</v>
      </c>
      <c r="HM38" t="s">
        <v>1284</v>
      </c>
    </row>
    <row r="39" spans="1:221" ht="12" customHeight="1" x14ac:dyDescent="0.2">
      <c r="A39" t="s">
        <v>4106</v>
      </c>
      <c r="B39" t="s">
        <v>74</v>
      </c>
      <c r="C39" t="s">
        <v>76</v>
      </c>
      <c r="D39" t="s">
        <v>751</v>
      </c>
      <c r="E39" t="s">
        <v>1321</v>
      </c>
      <c r="F39" t="s">
        <v>1955</v>
      </c>
      <c r="L39" t="str">
        <f t="shared" si="31"/>
        <v/>
      </c>
      <c r="M39" t="str">
        <f t="shared" si="32"/>
        <v/>
      </c>
      <c r="N39" t="str">
        <f t="shared" si="34"/>
        <v>Schleichen</v>
      </c>
      <c r="P39">
        <f t="shared" si="33"/>
        <v>77</v>
      </c>
      <c r="R39" t="s">
        <v>4085</v>
      </c>
      <c r="U39">
        <v>10</v>
      </c>
      <c r="Z39" t="s">
        <v>4840</v>
      </c>
      <c r="AA39">
        <v>0.5</v>
      </c>
      <c r="AB39">
        <v>12</v>
      </c>
      <c r="AD39" t="s">
        <v>3995</v>
      </c>
      <c r="AH39">
        <v>35</v>
      </c>
      <c r="AI39">
        <v>48</v>
      </c>
      <c r="AJ39">
        <v>50</v>
      </c>
      <c r="AK39">
        <v>100</v>
      </c>
      <c r="AL39">
        <v>150</v>
      </c>
      <c r="AM39">
        <v>200</v>
      </c>
      <c r="AN39">
        <v>250</v>
      </c>
      <c r="AO39">
        <v>375</v>
      </c>
      <c r="AP39">
        <v>500</v>
      </c>
      <c r="AQ39">
        <v>1000</v>
      </c>
      <c r="AS39" t="s">
        <v>1647</v>
      </c>
      <c r="AT39">
        <v>12</v>
      </c>
      <c r="AU39">
        <v>3</v>
      </c>
      <c r="AV39">
        <v>200</v>
      </c>
      <c r="AX39" t="s">
        <v>3324</v>
      </c>
      <c r="AY39">
        <v>4</v>
      </c>
      <c r="AZ39">
        <v>1</v>
      </c>
      <c r="BA39" t="s">
        <v>212</v>
      </c>
      <c r="BG39">
        <v>5</v>
      </c>
      <c r="BK39" t="s">
        <v>5246</v>
      </c>
      <c r="CA39" t="s">
        <v>5247</v>
      </c>
      <c r="CD39" t="s">
        <v>7157</v>
      </c>
      <c r="CE39" t="s">
        <v>904</v>
      </c>
      <c r="CF39" t="s">
        <v>379</v>
      </c>
      <c r="CG39" t="s">
        <v>908</v>
      </c>
      <c r="CH39">
        <v>0</v>
      </c>
      <c r="CI39">
        <v>3</v>
      </c>
      <c r="CJ39" t="s">
        <v>905</v>
      </c>
      <c r="CK39" t="s">
        <v>2190</v>
      </c>
      <c r="CN39" t="str">
        <f ca="1">IF(AND(ISERR(FIND($CK39,Talente!$CI$41)),ISNA(VLOOKUP($CK39,$AH$51:$AH$55,1))),IF(AND(ISERR(FIND($CL39,Talente!$CI$41)),ISNA(VLOOKUP($CL39,$AH$51:$AH$55,1))),$CM39,$CL39),$CK39)</f>
        <v>Hiebwaffen</v>
      </c>
      <c r="CP39" t="s">
        <v>284</v>
      </c>
      <c r="CQ39" t="s">
        <v>4549</v>
      </c>
      <c r="CR39" t="s">
        <v>2774</v>
      </c>
      <c r="CS39" t="s">
        <v>4013</v>
      </c>
      <c r="CT39" t="s">
        <v>1533</v>
      </c>
      <c r="CU39">
        <v>2</v>
      </c>
      <c r="CX39" t="s">
        <v>2648</v>
      </c>
      <c r="CY39" t="s">
        <v>74</v>
      </c>
      <c r="CZ39" t="s">
        <v>752</v>
      </c>
      <c r="DA39" t="s">
        <v>5030</v>
      </c>
      <c r="DB39" t="s">
        <v>1613</v>
      </c>
      <c r="DC39" t="s">
        <v>2365</v>
      </c>
      <c r="DD39" t="s">
        <v>7330</v>
      </c>
      <c r="DE39" t="s">
        <v>2397</v>
      </c>
      <c r="DF39" t="s">
        <v>7331</v>
      </c>
      <c r="DG39" t="s">
        <v>1955</v>
      </c>
      <c r="DH39" t="s">
        <v>6862</v>
      </c>
      <c r="DI39" t="s">
        <v>1647</v>
      </c>
      <c r="DJ39">
        <v>2</v>
      </c>
      <c r="DK39">
        <f t="shared" si="10"/>
        <v>360</v>
      </c>
      <c r="DL39">
        <f t="shared" si="11"/>
        <v>37</v>
      </c>
      <c r="DM39">
        <v>40</v>
      </c>
      <c r="DN39" t="str">
        <f t="shared" ca="1" si="12"/>
        <v/>
      </c>
      <c r="DO39" t="str">
        <f t="shared" ca="1" si="13"/>
        <v/>
      </c>
      <c r="DP39" t="str">
        <f t="shared" ca="1" si="14"/>
        <v/>
      </c>
      <c r="DQ39" t="str">
        <f>IF(EXACT(Zauber!$A$250,""),"",IF(EXACT(RIGHT(HLOOKUP(Zauber!$A$250,PROFMAGIE,$DK39,FALSE)),"H"),CONCATENATE($CX39,","),""))</f>
        <v/>
      </c>
      <c r="DR39" t="str">
        <f t="shared" si="15"/>
        <v/>
      </c>
      <c r="DS39" t="str">
        <f>IF(ZS_IAAK="Ja",IF(EXACT(RIGHT(HLOOKUP(Tabellen_Magie!$IK$1,PROFMAGIE,$DK39,FALSE)),"H"),CONCATENATE($CX39,","),""),"")</f>
        <v/>
      </c>
      <c r="DT39" t="str">
        <f>IF(ZS_IAAK="Ja",IF(NOT(DS39=""),"",IF(OR(EXACT(RIGHT(HLOOKUP(Tabellen_Magie!$IK$1,PROFMAGIE,$DK39,FALSE)),"B"),EXACT(HLOOKUP(Tabellen_Magie!$IK$1,PROFMAGIE,$DK39,FALSE),"")),"",CONCATENATE($CX39,","))),"")</f>
        <v/>
      </c>
      <c r="DU39" t="str">
        <f t="shared" si="16"/>
        <v/>
      </c>
      <c r="DW39" t="s">
        <v>5022</v>
      </c>
      <c r="DX39" t="s">
        <v>75</v>
      </c>
      <c r="DY39" t="s">
        <v>76</v>
      </c>
      <c r="DZ39" t="s">
        <v>752</v>
      </c>
      <c r="EA39" t="s">
        <v>1281</v>
      </c>
      <c r="EB39" t="s">
        <v>1614</v>
      </c>
      <c r="EC39" t="s">
        <v>2343</v>
      </c>
      <c r="ED39">
        <f t="shared" si="35"/>
        <v>125</v>
      </c>
      <c r="EE39" t="s">
        <v>3283</v>
      </c>
      <c r="EH39">
        <f t="shared" si="36"/>
        <v>3</v>
      </c>
      <c r="EI39">
        <v>125</v>
      </c>
      <c r="EK39" t="s">
        <v>4209</v>
      </c>
      <c r="EL39">
        <v>2</v>
      </c>
      <c r="EM39">
        <v>1</v>
      </c>
      <c r="EN39">
        <v>1</v>
      </c>
      <c r="EO39">
        <v>0</v>
      </c>
      <c r="EP39">
        <v>0</v>
      </c>
      <c r="EQ39">
        <v>0</v>
      </c>
      <c r="ER39">
        <v>0</v>
      </c>
      <c r="ES39">
        <v>0.6</v>
      </c>
      <c r="ET39">
        <v>0.3</v>
      </c>
      <c r="EU39">
        <v>0</v>
      </c>
      <c r="EV39">
        <v>0</v>
      </c>
      <c r="FD39" t="s">
        <v>90</v>
      </c>
      <c r="FE39">
        <f>ROUND(FK39*IF(VT_AKADKRI,3/4,1)*IF(NT_ELFWELT,IF(FN39,1,1.5),1)*IF(VT_SCHLANGENMENSCH,0.5,1),0)</f>
        <v>150</v>
      </c>
      <c r="FF39">
        <f t="shared" si="37"/>
        <v>3</v>
      </c>
      <c r="FK39">
        <v>150</v>
      </c>
      <c r="FL39">
        <v>4</v>
      </c>
      <c r="FM39" t="b">
        <f t="shared" ca="1" si="19"/>
        <v>0</v>
      </c>
      <c r="FN39" t="b">
        <f t="shared" ca="1" si="20"/>
        <v>0</v>
      </c>
      <c r="FS39" t="s">
        <v>2290</v>
      </c>
      <c r="FT39" t="s">
        <v>3133</v>
      </c>
      <c r="FU39" t="s">
        <v>1725</v>
      </c>
      <c r="FV39" t="s">
        <v>2014</v>
      </c>
      <c r="FW39" t="s">
        <v>85</v>
      </c>
      <c r="FX39" t="s">
        <v>2015</v>
      </c>
      <c r="FY39" t="s">
        <v>4870</v>
      </c>
      <c r="FZ39" t="s">
        <v>826</v>
      </c>
      <c r="GA39" t="s">
        <v>1600</v>
      </c>
      <c r="GB39" t="s">
        <v>2490</v>
      </c>
      <c r="GC39" t="s">
        <v>1602</v>
      </c>
      <c r="GD39" t="s">
        <v>85</v>
      </c>
      <c r="GE39" t="s">
        <v>2015</v>
      </c>
      <c r="GH39" t="s">
        <v>3271</v>
      </c>
      <c r="GI39" t="s">
        <v>4483</v>
      </c>
      <c r="GJ39">
        <v>1</v>
      </c>
      <c r="GK39" t="s">
        <v>4116</v>
      </c>
      <c r="GL39" t="s">
        <v>567</v>
      </c>
      <c r="GM39" t="s">
        <v>1369</v>
      </c>
      <c r="GN39" t="s">
        <v>1973</v>
      </c>
      <c r="GO39">
        <v>270</v>
      </c>
      <c r="GP39">
        <v>295</v>
      </c>
      <c r="GR39">
        <f t="shared" si="22"/>
        <v>388</v>
      </c>
      <c r="GU39" t="str">
        <f t="shared" ca="1" si="23"/>
        <v/>
      </c>
      <c r="GV39" t="str">
        <f t="shared" ca="1" si="24"/>
        <v/>
      </c>
      <c r="GW39" t="str">
        <f t="shared" ca="1" si="25"/>
        <v/>
      </c>
      <c r="GX39" t="str">
        <f t="shared" ca="1" si="26"/>
        <v/>
      </c>
      <c r="HA39" t="s">
        <v>131</v>
      </c>
      <c r="HB39" t="s">
        <v>3290</v>
      </c>
      <c r="HC39">
        <f t="shared" si="21"/>
        <v>3</v>
      </c>
      <c r="HD39" t="s">
        <v>4854</v>
      </c>
      <c r="HE39" t="s">
        <v>4123</v>
      </c>
      <c r="HG39" t="s">
        <v>1690</v>
      </c>
      <c r="HH39">
        <v>148</v>
      </c>
      <c r="HI39">
        <f t="shared" si="38"/>
        <v>3</v>
      </c>
      <c r="HJ39">
        <f t="shared" si="39"/>
        <v>150</v>
      </c>
      <c r="HK39" t="s">
        <v>1886</v>
      </c>
      <c r="HL39" t="s">
        <v>3396</v>
      </c>
      <c r="HM39" t="s">
        <v>2043</v>
      </c>
    </row>
    <row r="40" spans="1:221" ht="12.75" customHeight="1" x14ac:dyDescent="0.2">
      <c r="A40" t="s">
        <v>4107</v>
      </c>
      <c r="B40" t="s">
        <v>751</v>
      </c>
      <c r="C40" t="s">
        <v>5030</v>
      </c>
      <c r="D40" t="s">
        <v>752</v>
      </c>
      <c r="E40" t="s">
        <v>1321</v>
      </c>
      <c r="F40" t="s">
        <v>1955</v>
      </c>
      <c r="G40" t="s">
        <v>4117</v>
      </c>
      <c r="L40" t="str">
        <f t="shared" si="31"/>
        <v/>
      </c>
      <c r="M40" t="str">
        <f t="shared" si="32"/>
        <v/>
      </c>
      <c r="N40" t="str">
        <f t="shared" si="34"/>
        <v>Schwimmen</v>
      </c>
      <c r="O40" t="s">
        <v>4117</v>
      </c>
      <c r="P40">
        <f t="shared" si="33"/>
        <v>78</v>
      </c>
      <c r="R40" t="s">
        <v>4283</v>
      </c>
      <c r="S40">
        <v>2</v>
      </c>
      <c r="T40">
        <v>10</v>
      </c>
      <c r="Z40" t="s">
        <v>4841</v>
      </c>
      <c r="AA40">
        <v>0.5</v>
      </c>
      <c r="AB40">
        <v>12</v>
      </c>
      <c r="AD40" t="s">
        <v>3995</v>
      </c>
      <c r="AH40">
        <v>36</v>
      </c>
      <c r="AI40">
        <v>48</v>
      </c>
      <c r="AJ40">
        <v>50</v>
      </c>
      <c r="AK40">
        <v>100</v>
      </c>
      <c r="AL40">
        <v>150</v>
      </c>
      <c r="AM40">
        <v>200</v>
      </c>
      <c r="AN40">
        <v>250</v>
      </c>
      <c r="AO40">
        <v>375</v>
      </c>
      <c r="AP40">
        <v>500</v>
      </c>
      <c r="AQ40">
        <v>1000</v>
      </c>
      <c r="AS40" t="s">
        <v>4340</v>
      </c>
      <c r="AT40">
        <v>8</v>
      </c>
      <c r="AU40">
        <v>2</v>
      </c>
      <c r="AV40">
        <v>100</v>
      </c>
      <c r="AX40" t="s">
        <v>2582</v>
      </c>
      <c r="AY40">
        <v>4</v>
      </c>
      <c r="AZ40">
        <v>1</v>
      </c>
      <c r="BA40" t="s">
        <v>985</v>
      </c>
      <c r="BB40" t="s">
        <v>986</v>
      </c>
      <c r="BC40" t="s">
        <v>987</v>
      </c>
      <c r="BG40">
        <v>5</v>
      </c>
      <c r="BK40" t="s">
        <v>5248</v>
      </c>
      <c r="CA40" t="s">
        <v>5249</v>
      </c>
      <c r="CD40" t="s">
        <v>4281</v>
      </c>
      <c r="CE40" t="s">
        <v>4549</v>
      </c>
      <c r="CF40" t="s">
        <v>919</v>
      </c>
      <c r="CG40" t="s">
        <v>908</v>
      </c>
      <c r="CH40">
        <v>-1</v>
      </c>
      <c r="CI40">
        <v>4</v>
      </c>
      <c r="CJ40" t="s">
        <v>899</v>
      </c>
      <c r="CK40" t="s">
        <v>2190</v>
      </c>
      <c r="CN40" t="str">
        <f ca="1">IF(AND(ISERR(FIND($CK40,Talente!$CI$41)),ISNA(VLOOKUP($CK40,$AH$51:$AH$55,1))),IF(AND(ISERR(FIND($CL40,Talente!$CI$41)),ISNA(VLOOKUP($CL40,$AH$51:$AH$55,1))),$CM40,$CL40),$CK40)</f>
        <v>Hiebwaffen</v>
      </c>
      <c r="CP40" t="s">
        <v>1208</v>
      </c>
      <c r="CQ40" t="s">
        <v>374</v>
      </c>
      <c r="CR40" t="s">
        <v>150</v>
      </c>
      <c r="CS40" t="s">
        <v>3369</v>
      </c>
      <c r="CT40" t="s">
        <v>1532</v>
      </c>
      <c r="CX40" t="s">
        <v>9124</v>
      </c>
      <c r="CY40" t="s">
        <v>75</v>
      </c>
      <c r="CZ40" t="s">
        <v>76</v>
      </c>
      <c r="DA40" t="s">
        <v>77</v>
      </c>
      <c r="DB40" t="s">
        <v>1613</v>
      </c>
      <c r="DC40" t="s">
        <v>7288</v>
      </c>
      <c r="DD40" t="s">
        <v>2452</v>
      </c>
      <c r="DE40" t="s">
        <v>1321</v>
      </c>
      <c r="DF40" t="s">
        <v>81</v>
      </c>
      <c r="DG40" t="s">
        <v>1956</v>
      </c>
      <c r="DH40" t="s">
        <v>6863</v>
      </c>
      <c r="DI40" t="s">
        <v>4514</v>
      </c>
      <c r="DJ40">
        <v>2</v>
      </c>
      <c r="DK40">
        <f t="shared" si="10"/>
        <v>361</v>
      </c>
      <c r="DL40">
        <f t="shared" si="11"/>
        <v>38</v>
      </c>
      <c r="DM40">
        <v>41</v>
      </c>
      <c r="DN40" t="str">
        <f t="shared" ca="1" si="12"/>
        <v/>
      </c>
      <c r="DO40" t="str">
        <f t="shared" ca="1" si="13"/>
        <v/>
      </c>
      <c r="DP40" t="str">
        <f t="shared" ca="1" si="14"/>
        <v/>
      </c>
      <c r="DQ40" t="str">
        <f>IF(EXACT(Zauber!$A$250,""),"",IF(EXACT(RIGHT(HLOOKUP(Zauber!$A$250,PROFMAGIE,$DK40,FALSE)),"H"),CONCATENATE($CX40,","),""))</f>
        <v/>
      </c>
      <c r="DR40" t="str">
        <f t="shared" si="15"/>
        <v/>
      </c>
      <c r="DS40" t="str">
        <f>IF(ZS_IAAK="Ja",IF(EXACT(RIGHT(HLOOKUP(Tabellen_Magie!$IK$1,PROFMAGIE,$DK40,FALSE)),"H"),CONCATENATE($CX40,","),""),"")</f>
        <v/>
      </c>
      <c r="DT40" t="str">
        <f>IF(ZS_IAAK="Ja",IF(NOT(DS40=""),"",IF(OR(EXACT(RIGHT(HLOOKUP(Tabellen_Magie!$IK$1,PROFMAGIE,$DK40,FALSE)),"B"),EXACT(HLOOKUP(Tabellen_Magie!$IK$1,PROFMAGIE,$DK40,FALSE),"")),"",CONCATENATE($CX40,","))),"")</f>
        <v/>
      </c>
      <c r="DU40" t="str">
        <f t="shared" si="16"/>
        <v/>
      </c>
      <c r="DW40" t="s">
        <v>2233</v>
      </c>
      <c r="DX40" t="s">
        <v>74</v>
      </c>
      <c r="DY40" t="s">
        <v>77</v>
      </c>
      <c r="DZ40" t="s">
        <v>77</v>
      </c>
      <c r="EA40" t="s">
        <v>1160</v>
      </c>
      <c r="EB40" t="s">
        <v>2300</v>
      </c>
      <c r="EC40" t="s">
        <v>2303</v>
      </c>
      <c r="ED40">
        <f t="shared" si="35"/>
        <v>100</v>
      </c>
      <c r="EE40" t="s">
        <v>3283</v>
      </c>
      <c r="EH40">
        <f t="shared" si="36"/>
        <v>2</v>
      </c>
      <c r="EI40">
        <v>100</v>
      </c>
      <c r="EK40" t="s">
        <v>1744</v>
      </c>
      <c r="EL40">
        <v>0</v>
      </c>
      <c r="EM40">
        <v>4</v>
      </c>
      <c r="EN40">
        <v>4</v>
      </c>
      <c r="EO40">
        <v>4</v>
      </c>
      <c r="EP40">
        <v>3</v>
      </c>
      <c r="EQ40">
        <v>3</v>
      </c>
      <c r="ER40">
        <v>3</v>
      </c>
      <c r="ES40">
        <v>3.3</v>
      </c>
      <c r="ET40">
        <v>2.2999999999999998</v>
      </c>
      <c r="EU40">
        <v>5</v>
      </c>
      <c r="EV40">
        <v>5</v>
      </c>
      <c r="FD40" t="s">
        <v>1117</v>
      </c>
      <c r="FE40" t="s">
        <v>4006</v>
      </c>
      <c r="FG40" t="s">
        <v>2863</v>
      </c>
      <c r="FK40" t="s">
        <v>4006</v>
      </c>
      <c r="FL40" t="s">
        <v>4912</v>
      </c>
      <c r="FS40" t="s">
        <v>2291</v>
      </c>
      <c r="FT40" t="s">
        <v>4100</v>
      </c>
      <c r="FU40" t="s">
        <v>4104</v>
      </c>
      <c r="FV40" t="s">
        <v>4407</v>
      </c>
      <c r="FW40" t="s">
        <v>86</v>
      </c>
      <c r="FX40" t="s">
        <v>2017</v>
      </c>
      <c r="FY40" t="s">
        <v>1603</v>
      </c>
      <c r="GA40" t="s">
        <v>1598</v>
      </c>
      <c r="GB40" t="s">
        <v>3132</v>
      </c>
      <c r="GC40" t="s">
        <v>4868</v>
      </c>
      <c r="GD40" t="s">
        <v>86</v>
      </c>
      <c r="GE40" t="s">
        <v>2017</v>
      </c>
      <c r="GH40" t="s">
        <v>3272</v>
      </c>
      <c r="GI40" t="s">
        <v>4483</v>
      </c>
      <c r="GJ40">
        <v>1</v>
      </c>
      <c r="GK40" t="s">
        <v>4116</v>
      </c>
      <c r="GL40" t="s">
        <v>567</v>
      </c>
      <c r="GM40" t="s">
        <v>1983</v>
      </c>
      <c r="GN40" t="s">
        <v>1973</v>
      </c>
      <c r="GO40">
        <v>275</v>
      </c>
      <c r="GP40">
        <v>296</v>
      </c>
      <c r="GR40">
        <f t="shared" si="22"/>
        <v>389</v>
      </c>
      <c r="GU40" t="str">
        <f t="shared" ca="1" si="23"/>
        <v/>
      </c>
      <c r="GV40" t="str">
        <f t="shared" ca="1" si="24"/>
        <v/>
      </c>
      <c r="GW40" t="str">
        <f t="shared" ca="1" si="25"/>
        <v/>
      </c>
      <c r="GX40" t="str">
        <f t="shared" ca="1" si="26"/>
        <v/>
      </c>
      <c r="HA40" t="s">
        <v>132</v>
      </c>
      <c r="HB40" t="s">
        <v>1119</v>
      </c>
      <c r="HC40">
        <f t="shared" si="21"/>
        <v>2</v>
      </c>
      <c r="HD40" t="s">
        <v>1827</v>
      </c>
      <c r="HE40" t="s">
        <v>3291</v>
      </c>
      <c r="HG40" t="s">
        <v>1690</v>
      </c>
      <c r="HH40">
        <v>148</v>
      </c>
      <c r="HI40">
        <f t="shared" si="38"/>
        <v>2</v>
      </c>
      <c r="HJ40">
        <f t="shared" si="39"/>
        <v>100</v>
      </c>
      <c r="HK40" t="s">
        <v>15</v>
      </c>
      <c r="HL40" t="s">
        <v>2369</v>
      </c>
      <c r="HM40" t="s">
        <v>2991</v>
      </c>
    </row>
    <row r="41" spans="1:221" ht="12.75" customHeight="1" x14ac:dyDescent="0.2">
      <c r="A41" t="s">
        <v>4108</v>
      </c>
      <c r="B41" t="s">
        <v>74</v>
      </c>
      <c r="C41" t="s">
        <v>5030</v>
      </c>
      <c r="D41" t="s">
        <v>752</v>
      </c>
      <c r="E41" t="s">
        <v>1321</v>
      </c>
      <c r="F41" t="s">
        <v>1955</v>
      </c>
      <c r="G41" t="s">
        <v>2194</v>
      </c>
      <c r="L41" t="str">
        <f t="shared" si="31"/>
        <v/>
      </c>
      <c r="M41" t="str">
        <f t="shared" si="32"/>
        <v/>
      </c>
      <c r="N41" t="str">
        <f t="shared" si="34"/>
        <v>Selbstbeherrschung</v>
      </c>
      <c r="O41" t="s">
        <v>2194</v>
      </c>
      <c r="P41">
        <f t="shared" si="33"/>
        <v>79</v>
      </c>
      <c r="R41" t="s">
        <v>2318</v>
      </c>
      <c r="U41">
        <v>7</v>
      </c>
      <c r="Z41" t="s">
        <v>4615</v>
      </c>
      <c r="AC41">
        <v>5</v>
      </c>
      <c r="AH41">
        <v>37</v>
      </c>
      <c r="AI41">
        <v>48</v>
      </c>
      <c r="AJ41">
        <v>50</v>
      </c>
      <c r="AK41">
        <v>100</v>
      </c>
      <c r="AL41">
        <v>150</v>
      </c>
      <c r="AM41">
        <v>200</v>
      </c>
      <c r="AN41">
        <v>250</v>
      </c>
      <c r="AO41">
        <v>375</v>
      </c>
      <c r="AP41">
        <v>500</v>
      </c>
      <c r="AQ41">
        <v>1000</v>
      </c>
      <c r="AS41" t="s">
        <v>4341</v>
      </c>
      <c r="AT41">
        <v>8</v>
      </c>
      <c r="AU41">
        <v>2</v>
      </c>
      <c r="AV41">
        <v>100</v>
      </c>
      <c r="AX41" t="s">
        <v>3325</v>
      </c>
      <c r="AY41">
        <v>4</v>
      </c>
      <c r="AZ41">
        <v>1</v>
      </c>
      <c r="BA41" t="s">
        <v>227</v>
      </c>
      <c r="BB41" t="s">
        <v>144</v>
      </c>
      <c r="BC41" t="s">
        <v>228</v>
      </c>
      <c r="BD41" t="s">
        <v>134</v>
      </c>
      <c r="BE41" t="s">
        <v>212</v>
      </c>
      <c r="BG41">
        <v>5</v>
      </c>
      <c r="BK41" t="s">
        <v>5250</v>
      </c>
      <c r="CA41" t="s">
        <v>5251</v>
      </c>
      <c r="CD41" t="s">
        <v>4608</v>
      </c>
      <c r="CE41" t="s">
        <v>5091</v>
      </c>
      <c r="CF41" t="s">
        <v>4554</v>
      </c>
      <c r="CG41" t="s">
        <v>908</v>
      </c>
      <c r="CH41">
        <v>0</v>
      </c>
      <c r="CI41">
        <v>3</v>
      </c>
      <c r="CJ41" t="s">
        <v>905</v>
      </c>
      <c r="CK41" t="s">
        <v>1530</v>
      </c>
      <c r="CN41" t="str">
        <f ca="1">IF(AND(ISERR(FIND($CK41,Talente!$CI$41)),ISNA(VLOOKUP($CK41,$AH$51:$AH$55,1))),IF(AND(ISERR(FIND($CL41,Talente!$CI$41)),ISNA(VLOOKUP($CL41,$AH$51:$AH$55,1))),$CM41,$CL41),$CK41)</f>
        <v>Speere</v>
      </c>
      <c r="CP41" t="s">
        <v>4717</v>
      </c>
      <c r="CQ41" t="s">
        <v>5094</v>
      </c>
      <c r="CR41" t="s">
        <v>2838</v>
      </c>
      <c r="CS41" t="s">
        <v>4016</v>
      </c>
      <c r="CT41" t="s">
        <v>1939</v>
      </c>
      <c r="CU41">
        <v>30</v>
      </c>
      <c r="CV41" t="s">
        <v>7543</v>
      </c>
      <c r="CX41" t="s">
        <v>2542</v>
      </c>
      <c r="CY41" t="s">
        <v>74</v>
      </c>
      <c r="CZ41" t="s">
        <v>77</v>
      </c>
      <c r="DA41" t="s">
        <v>5030</v>
      </c>
      <c r="DB41" t="s">
        <v>1613</v>
      </c>
      <c r="DC41" t="s">
        <v>7288</v>
      </c>
      <c r="DD41" t="s">
        <v>124</v>
      </c>
      <c r="DE41" t="s">
        <v>2254</v>
      </c>
      <c r="DF41" t="s">
        <v>81</v>
      </c>
      <c r="DG41" t="s">
        <v>1956</v>
      </c>
      <c r="DH41" t="s">
        <v>6844</v>
      </c>
      <c r="DI41" t="s">
        <v>1049</v>
      </c>
      <c r="DJ41">
        <v>2</v>
      </c>
      <c r="DK41">
        <f t="shared" si="10"/>
        <v>362</v>
      </c>
      <c r="DL41">
        <f t="shared" si="11"/>
        <v>39</v>
      </c>
      <c r="DM41">
        <v>63</v>
      </c>
      <c r="DN41" t="str">
        <f t="shared" ca="1" si="12"/>
        <v/>
      </c>
      <c r="DO41" t="str">
        <f t="shared" ca="1" si="13"/>
        <v/>
      </c>
      <c r="DP41" t="str">
        <f t="shared" ca="1" si="14"/>
        <v/>
      </c>
      <c r="DQ41" t="str">
        <f>IF(EXACT(Zauber!$A$250,""),"",IF(EXACT(RIGHT(HLOOKUP(Zauber!$A$250,PROFMAGIE,$DK41,FALSE)),"H"),CONCATENATE($CX41,","),""))</f>
        <v/>
      </c>
      <c r="DR41" t="str">
        <f t="shared" si="15"/>
        <v/>
      </c>
      <c r="DS41" t="str">
        <f>IF(ZS_IAAK="Ja",IF(EXACT(RIGHT(HLOOKUP(Tabellen_Magie!$IK$1,PROFMAGIE,$DK41,FALSE)),"H"),CONCATENATE($CX41,","),""),"")</f>
        <v/>
      </c>
      <c r="DT41" t="str">
        <f>IF(ZS_IAAK="Ja",IF(NOT(DS41=""),"",IF(OR(EXACT(RIGHT(HLOOKUP(Tabellen_Magie!$IK$1,PROFMAGIE,$DK41,FALSE)),"B"),EXACT(HLOOKUP(Tabellen_Magie!$IK$1,PROFMAGIE,$DK41,FALSE),"")),"",CONCATENATE($CX41,","))),"")</f>
        <v/>
      </c>
      <c r="DU41" t="str">
        <f t="shared" si="16"/>
        <v/>
      </c>
      <c r="DW41" t="s">
        <v>2234</v>
      </c>
      <c r="DX41" t="s">
        <v>74</v>
      </c>
      <c r="DY41" t="s">
        <v>75</v>
      </c>
      <c r="DZ41" t="s">
        <v>76</v>
      </c>
      <c r="EA41" t="s">
        <v>1281</v>
      </c>
      <c r="EB41" t="s">
        <v>8578</v>
      </c>
      <c r="EC41" t="s">
        <v>1443</v>
      </c>
      <c r="ED41">
        <f t="shared" si="35"/>
        <v>100</v>
      </c>
      <c r="EE41" t="s">
        <v>3283</v>
      </c>
      <c r="EH41">
        <f t="shared" si="36"/>
        <v>2</v>
      </c>
      <c r="EI41">
        <v>100</v>
      </c>
      <c r="EK41" t="s">
        <v>1745</v>
      </c>
      <c r="EL41">
        <v>0</v>
      </c>
      <c r="EM41">
        <v>4</v>
      </c>
      <c r="EN41">
        <v>4</v>
      </c>
      <c r="EO41">
        <v>4</v>
      </c>
      <c r="EP41">
        <v>0</v>
      </c>
      <c r="EQ41">
        <v>0</v>
      </c>
      <c r="ER41">
        <v>0</v>
      </c>
      <c r="ES41">
        <v>2.4</v>
      </c>
      <c r="ET41">
        <v>1.4</v>
      </c>
      <c r="EU41">
        <v>2</v>
      </c>
      <c r="EV41">
        <v>2</v>
      </c>
      <c r="FD41" t="s">
        <v>3254</v>
      </c>
      <c r="FE41">
        <f t="shared" ref="FE41:FE72" si="40">ROUND(FK41*IF(VT_AKADKRI,3/4,1)*IF(NT_ELFWELT,IF(FN41,1,1.5),1),0)</f>
        <v>200</v>
      </c>
      <c r="FF41">
        <f t="shared" si="37"/>
        <v>4</v>
      </c>
      <c r="FK41">
        <v>200</v>
      </c>
      <c r="FL41">
        <v>4</v>
      </c>
      <c r="FM41" t="b">
        <f t="shared" ref="FM41:FM72" ca="1" si="41">IF(OR(IF(NOT(ISNA(VLOOKUP(FD41,SF_Verbilligt_Left,3,FALSE))),VLOOKUP(FD41,SF_Verbilligt_Left,3,FALSE)="x",FALSE),IF(NOT(ISNA(VLOOKUP(FD41,SF_Verbilligt_Right,8,FALSE))),VLOOKUP(FD41,SF_Verbilligt_Right,8,FALSE)="x",FALSE)),TRUE,FALSE)</f>
        <v>0</v>
      </c>
      <c r="FN41" t="b">
        <f t="shared" ref="FN41:FN72" ca="1" si="42">OR(FM41,NOT(ISERROR(FIND(FD41,$FN$3,1))))</f>
        <v>0</v>
      </c>
      <c r="FT41" t="s">
        <v>1597</v>
      </c>
      <c r="FU41" t="s">
        <v>4103</v>
      </c>
      <c r="FV41" t="s">
        <v>2287</v>
      </c>
      <c r="FW41" t="s">
        <v>827</v>
      </c>
      <c r="FX41" t="s">
        <v>1601</v>
      </c>
      <c r="FY41" t="s">
        <v>1604</v>
      </c>
      <c r="GA41" t="s">
        <v>89</v>
      </c>
      <c r="GC41" t="s">
        <v>1723</v>
      </c>
      <c r="GD41" t="s">
        <v>827</v>
      </c>
      <c r="GE41" t="s">
        <v>1601</v>
      </c>
      <c r="GH41" t="s">
        <v>3273</v>
      </c>
      <c r="GI41" t="s">
        <v>4483</v>
      </c>
      <c r="GJ41">
        <v>1</v>
      </c>
      <c r="GK41" t="s">
        <v>1320</v>
      </c>
      <c r="GL41" t="s">
        <v>567</v>
      </c>
      <c r="GM41" t="s">
        <v>1982</v>
      </c>
      <c r="GN41" t="s">
        <v>1974</v>
      </c>
      <c r="GO41">
        <v>285</v>
      </c>
      <c r="GP41">
        <v>302</v>
      </c>
      <c r="GR41">
        <f t="shared" si="22"/>
        <v>390</v>
      </c>
      <c r="GU41" t="str">
        <f t="shared" ca="1" si="23"/>
        <v/>
      </c>
      <c r="GV41" t="str">
        <f t="shared" ca="1" si="24"/>
        <v/>
      </c>
      <c r="GW41" t="str">
        <f t="shared" ca="1" si="25"/>
        <v/>
      </c>
      <c r="GX41" t="str">
        <f t="shared" ca="1" si="26"/>
        <v/>
      </c>
      <c r="HA41" t="s">
        <v>2044</v>
      </c>
      <c r="HG41" t="s">
        <v>784</v>
      </c>
      <c r="HH41">
        <v>152</v>
      </c>
      <c r="HI41">
        <f t="shared" si="38"/>
        <v>0</v>
      </c>
      <c r="HJ41">
        <f t="shared" si="39"/>
        <v>0</v>
      </c>
      <c r="HK41" t="s">
        <v>3620</v>
      </c>
    </row>
    <row r="42" spans="1:221" ht="12.75" customHeight="1" x14ac:dyDescent="0.2">
      <c r="A42" t="s">
        <v>4039</v>
      </c>
      <c r="B42" t="s">
        <v>74</v>
      </c>
      <c r="C42" t="s">
        <v>76</v>
      </c>
      <c r="D42" t="s">
        <v>751</v>
      </c>
      <c r="E42" t="s">
        <v>1321</v>
      </c>
      <c r="F42" t="s">
        <v>1955</v>
      </c>
      <c r="G42">
        <v>-2</v>
      </c>
      <c r="L42" t="str">
        <f t="shared" si="31"/>
        <v/>
      </c>
      <c r="M42" t="str">
        <f t="shared" si="32"/>
        <v/>
      </c>
      <c r="N42" t="str">
        <f t="shared" si="34"/>
        <v>Sich Verstecken</v>
      </c>
      <c r="O42">
        <v>-2</v>
      </c>
      <c r="P42">
        <f t="shared" si="33"/>
        <v>80</v>
      </c>
      <c r="R42" t="s">
        <v>2749</v>
      </c>
      <c r="U42">
        <v>5</v>
      </c>
      <c r="W42" t="s">
        <v>1571</v>
      </c>
      <c r="Z42" t="s">
        <v>4616</v>
      </c>
      <c r="AC42">
        <v>10</v>
      </c>
      <c r="AI42">
        <v>1</v>
      </c>
      <c r="AJ42">
        <v>1</v>
      </c>
      <c r="AK42">
        <v>2</v>
      </c>
      <c r="AL42">
        <v>3</v>
      </c>
      <c r="AM42">
        <v>4</v>
      </c>
      <c r="AN42">
        <v>5</v>
      </c>
      <c r="AO42">
        <v>8</v>
      </c>
      <c r="AP42">
        <v>10</v>
      </c>
      <c r="AQ42">
        <v>20</v>
      </c>
      <c r="AS42" t="s">
        <v>4342</v>
      </c>
      <c r="AT42">
        <v>12</v>
      </c>
      <c r="AU42">
        <v>3</v>
      </c>
      <c r="AV42">
        <v>200</v>
      </c>
      <c r="AX42" t="s">
        <v>3326</v>
      </c>
      <c r="AY42">
        <v>4</v>
      </c>
      <c r="AZ42">
        <v>1</v>
      </c>
      <c r="BA42" t="s">
        <v>135</v>
      </c>
      <c r="BB42" t="s">
        <v>136</v>
      </c>
      <c r="BC42" t="s">
        <v>137</v>
      </c>
      <c r="BG42">
        <v>5</v>
      </c>
      <c r="BK42" t="s">
        <v>5252</v>
      </c>
      <c r="BT42" t="s">
        <v>5253</v>
      </c>
      <c r="BU42" t="s">
        <v>5254</v>
      </c>
      <c r="CA42" t="s">
        <v>784</v>
      </c>
      <c r="CD42" t="s">
        <v>7158</v>
      </c>
      <c r="CE42" t="s">
        <v>4549</v>
      </c>
      <c r="CF42" t="s">
        <v>272</v>
      </c>
      <c r="CG42" t="s">
        <v>3235</v>
      </c>
      <c r="CH42">
        <v>0</v>
      </c>
      <c r="CI42">
        <v>3</v>
      </c>
      <c r="CJ42" t="s">
        <v>905</v>
      </c>
      <c r="CK42" t="s">
        <v>1530</v>
      </c>
      <c r="CN42" t="str">
        <f ca="1">IF(AND(ISERR(FIND($CK42,Talente!$CI$41)),ISNA(VLOOKUP($CK42,$AH$51:$AH$55,1))),IF(AND(ISERR(FIND($CL42,Talente!$CI$41)),ISNA(VLOOKUP($CL42,$AH$51:$AH$55,1))),$CM42,$CL42),$CK42)</f>
        <v>Speere</v>
      </c>
      <c r="CP42" t="s">
        <v>332</v>
      </c>
      <c r="CQ42" t="s">
        <v>4549</v>
      </c>
      <c r="CR42" t="s">
        <v>1655</v>
      </c>
      <c r="CS42" t="s">
        <v>4014</v>
      </c>
      <c r="CT42" t="s">
        <v>1532</v>
      </c>
      <c r="CX42" t="s">
        <v>1234</v>
      </c>
      <c r="CY42" t="s">
        <v>74</v>
      </c>
      <c r="CZ42" t="s">
        <v>77</v>
      </c>
      <c r="DA42" t="s">
        <v>5030</v>
      </c>
      <c r="DB42" t="s">
        <v>1613</v>
      </c>
      <c r="DC42" t="s">
        <v>7288</v>
      </c>
      <c r="DD42" t="s">
        <v>124</v>
      </c>
      <c r="DE42" t="s">
        <v>2254</v>
      </c>
      <c r="DF42" t="s">
        <v>81</v>
      </c>
      <c r="DG42" t="s">
        <v>1956</v>
      </c>
      <c r="DH42" t="s">
        <v>6844</v>
      </c>
      <c r="DI42" t="s">
        <v>1050</v>
      </c>
      <c r="DJ42">
        <v>2</v>
      </c>
      <c r="DK42">
        <f t="shared" si="10"/>
        <v>363</v>
      </c>
      <c r="DL42">
        <f t="shared" si="11"/>
        <v>40</v>
      </c>
      <c r="DM42">
        <v>63</v>
      </c>
      <c r="DN42" t="str">
        <f t="shared" ca="1" si="12"/>
        <v/>
      </c>
      <c r="DO42" t="str">
        <f t="shared" ca="1" si="13"/>
        <v/>
      </c>
      <c r="DP42" t="str">
        <f t="shared" ca="1" si="14"/>
        <v/>
      </c>
      <c r="DQ42" t="str">
        <f>IF(EXACT(Zauber!$A$250,""),"",IF(EXACT(RIGHT(HLOOKUP(Zauber!$A$250,PROFMAGIE,$DK42,FALSE)),"H"),CONCATENATE($CX42,","),""))</f>
        <v/>
      </c>
      <c r="DR42" t="str">
        <f t="shared" si="15"/>
        <v/>
      </c>
      <c r="DS42" t="str">
        <f>IF(ZS_IAAK="Ja",IF(EXACT(RIGHT(HLOOKUP(Tabellen_Magie!$IK$1,PROFMAGIE,$DK42,FALSE)),"H"),CONCATENATE($CX42,","),""),"")</f>
        <v/>
      </c>
      <c r="DT42" t="str">
        <f>IF(ZS_IAAK="Ja",IF(NOT(DS42=""),"",IF(OR(EXACT(RIGHT(HLOOKUP(Tabellen_Magie!$IK$1,PROFMAGIE,$DK42,FALSE)),"B"),EXACT(HLOOKUP(Tabellen_Magie!$IK$1,PROFMAGIE,$DK42,FALSE),"")),"",CONCATENATE($CX42,","))),"")</f>
        <v/>
      </c>
      <c r="DU42" t="str">
        <f t="shared" si="16"/>
        <v/>
      </c>
      <c r="DW42" t="s">
        <v>2235</v>
      </c>
      <c r="DX42" t="s">
        <v>74</v>
      </c>
      <c r="DY42" t="s">
        <v>76</v>
      </c>
      <c r="DZ42" t="s">
        <v>76</v>
      </c>
      <c r="EB42" t="s">
        <v>2043</v>
      </c>
      <c r="EC42" t="s">
        <v>2304</v>
      </c>
      <c r="ED42">
        <f t="shared" si="35"/>
        <v>100</v>
      </c>
      <c r="EE42" t="s">
        <v>3283</v>
      </c>
      <c r="EH42">
        <f t="shared" si="36"/>
        <v>2</v>
      </c>
      <c r="EI42">
        <v>100</v>
      </c>
      <c r="EK42" t="s">
        <v>1591</v>
      </c>
      <c r="EL42">
        <v>2</v>
      </c>
      <c r="EM42">
        <v>1</v>
      </c>
      <c r="EN42">
        <v>1</v>
      </c>
      <c r="EO42">
        <v>0</v>
      </c>
      <c r="EP42">
        <v>1</v>
      </c>
      <c r="EQ42">
        <v>1</v>
      </c>
      <c r="ER42">
        <v>4</v>
      </c>
      <c r="ES42">
        <v>1.5</v>
      </c>
      <c r="ET42">
        <v>1.2</v>
      </c>
      <c r="EU42">
        <v>1</v>
      </c>
      <c r="EV42">
        <v>1</v>
      </c>
      <c r="FD42" t="s">
        <v>1395</v>
      </c>
      <c r="FE42">
        <f t="shared" si="40"/>
        <v>200</v>
      </c>
      <c r="FF42">
        <f>ROUND(FE42/50,0)</f>
        <v>4</v>
      </c>
      <c r="FG42" t="s">
        <v>716</v>
      </c>
      <c r="FK42">
        <v>200</v>
      </c>
      <c r="FL42">
        <v>4</v>
      </c>
      <c r="FM42" t="b">
        <f t="shared" ca="1" si="41"/>
        <v>0</v>
      </c>
      <c r="FN42" t="b">
        <f t="shared" ca="1" si="42"/>
        <v>0</v>
      </c>
      <c r="FT42" t="s">
        <v>1599</v>
      </c>
      <c r="FU42" t="s">
        <v>1605</v>
      </c>
      <c r="GC42" t="s">
        <v>1724</v>
      </c>
      <c r="GH42" t="s">
        <v>3274</v>
      </c>
      <c r="GI42" t="s">
        <v>4483</v>
      </c>
      <c r="GJ42">
        <v>1</v>
      </c>
      <c r="GK42" t="s">
        <v>1320</v>
      </c>
      <c r="GL42" t="s">
        <v>567</v>
      </c>
      <c r="GM42" t="s">
        <v>1369</v>
      </c>
      <c r="GN42" t="s">
        <v>1690</v>
      </c>
      <c r="GO42">
        <v>277</v>
      </c>
      <c r="GP42">
        <v>305</v>
      </c>
      <c r="GR42">
        <f t="shared" si="22"/>
        <v>391</v>
      </c>
      <c r="GU42" t="str">
        <f t="shared" ca="1" si="23"/>
        <v/>
      </c>
      <c r="GV42" t="str">
        <f t="shared" ca="1" si="24"/>
        <v/>
      </c>
      <c r="GW42" t="str">
        <f t="shared" ca="1" si="25"/>
        <v/>
      </c>
      <c r="GX42" t="str">
        <f t="shared" ca="1" si="26"/>
        <v/>
      </c>
      <c r="HA42" t="s">
        <v>133</v>
      </c>
      <c r="HC42" t="str">
        <f t="shared" si="21"/>
        <v>nichts</v>
      </c>
      <c r="HG42" t="s">
        <v>784</v>
      </c>
      <c r="HI42">
        <v>0</v>
      </c>
      <c r="HJ42">
        <v>0</v>
      </c>
    </row>
    <row r="43" spans="1:221" ht="15.75" customHeight="1" x14ac:dyDescent="0.2">
      <c r="A43" t="s">
        <v>4109</v>
      </c>
      <c r="B43" t="s">
        <v>76</v>
      </c>
      <c r="C43" t="s">
        <v>77</v>
      </c>
      <c r="D43" t="s">
        <v>77</v>
      </c>
      <c r="E43" t="s">
        <v>1321</v>
      </c>
      <c r="F43" t="s">
        <v>1955</v>
      </c>
      <c r="G43">
        <v>-3</v>
      </c>
      <c r="L43" t="str">
        <f t="shared" si="31"/>
        <v/>
      </c>
      <c r="M43" t="str">
        <f t="shared" si="32"/>
        <v/>
      </c>
      <c r="N43" t="str">
        <f t="shared" si="34"/>
        <v>Singen</v>
      </c>
      <c r="O43">
        <v>-3</v>
      </c>
      <c r="P43">
        <f t="shared" si="33"/>
        <v>81</v>
      </c>
      <c r="R43" t="s">
        <v>3638</v>
      </c>
      <c r="U43">
        <v>10</v>
      </c>
      <c r="Z43" t="s">
        <v>4617</v>
      </c>
      <c r="AC43">
        <v>15</v>
      </c>
      <c r="AS43" t="s">
        <v>4343</v>
      </c>
      <c r="AT43">
        <v>12</v>
      </c>
      <c r="AU43">
        <v>3</v>
      </c>
      <c r="AV43">
        <v>200</v>
      </c>
      <c r="AX43" t="s">
        <v>1464</v>
      </c>
      <c r="AY43">
        <v>4</v>
      </c>
      <c r="AZ43">
        <v>1</v>
      </c>
      <c r="BA43" t="s">
        <v>988</v>
      </c>
      <c r="BB43" t="s">
        <v>989</v>
      </c>
      <c r="BC43" t="s">
        <v>990</v>
      </c>
      <c r="BD43" t="s">
        <v>2583</v>
      </c>
      <c r="BG43">
        <v>5</v>
      </c>
      <c r="BK43" t="s">
        <v>5255</v>
      </c>
      <c r="BT43" t="s">
        <v>5256</v>
      </c>
      <c r="BU43" t="s">
        <v>5241</v>
      </c>
      <c r="CA43" t="s">
        <v>784</v>
      </c>
      <c r="CD43" t="s">
        <v>2270</v>
      </c>
      <c r="CE43" t="s">
        <v>4647</v>
      </c>
      <c r="CF43" t="s">
        <v>917</v>
      </c>
      <c r="CG43" t="s">
        <v>908</v>
      </c>
      <c r="CH43">
        <v>-1</v>
      </c>
      <c r="CI43">
        <v>2</v>
      </c>
      <c r="CJ43" t="s">
        <v>1827</v>
      </c>
      <c r="CK43" t="s">
        <v>1530</v>
      </c>
      <c r="CN43" t="str">
        <f ca="1">IF(AND(ISERR(FIND($CK43,Talente!$CI$41)),ISNA(VLOOKUP($CK43,$AH$51:$AH$55,1))),IF(AND(ISERR(FIND($CL43,Talente!$CI$41)),ISNA(VLOOKUP($CL43,$AH$51:$AH$55,1))),$CM43,$CL43),$CK43)</f>
        <v>Speere</v>
      </c>
      <c r="CP43" t="s">
        <v>2631</v>
      </c>
      <c r="CQ43" t="s">
        <v>4558</v>
      </c>
      <c r="CR43" t="s">
        <v>4662</v>
      </c>
      <c r="CS43" t="s">
        <v>3367</v>
      </c>
      <c r="CT43" t="s">
        <v>2193</v>
      </c>
      <c r="CX43" t="s">
        <v>2543</v>
      </c>
      <c r="CY43" t="s">
        <v>74</v>
      </c>
      <c r="CZ43" t="s">
        <v>76</v>
      </c>
      <c r="DA43" t="s">
        <v>2726</v>
      </c>
      <c r="DB43" t="s">
        <v>1613</v>
      </c>
      <c r="DC43" t="s">
        <v>7287</v>
      </c>
      <c r="DD43" t="s">
        <v>2452</v>
      </c>
      <c r="DE43" t="s">
        <v>3380</v>
      </c>
      <c r="DF43" t="s">
        <v>81</v>
      </c>
      <c r="DG43" t="s">
        <v>1956</v>
      </c>
      <c r="DH43" t="s">
        <v>8413</v>
      </c>
      <c r="DI43" t="s">
        <v>4438</v>
      </c>
      <c r="DJ43">
        <v>2</v>
      </c>
      <c r="DK43">
        <f t="shared" si="10"/>
        <v>364</v>
      </c>
      <c r="DL43">
        <f t="shared" si="11"/>
        <v>41</v>
      </c>
      <c r="DM43">
        <v>42</v>
      </c>
      <c r="DN43" t="str">
        <f t="shared" ca="1" si="12"/>
        <v/>
      </c>
      <c r="DO43" t="str">
        <f t="shared" ca="1" si="13"/>
        <v/>
      </c>
      <c r="DP43" t="str">
        <f t="shared" ca="1" si="14"/>
        <v/>
      </c>
      <c r="DQ43" t="str">
        <f>IF(EXACT(Zauber!$A$250,""),"",IF(EXACT(RIGHT(HLOOKUP(Zauber!$A$250,PROFMAGIE,$DK43,FALSE)),"H"),CONCATENATE($CX43,","),""))</f>
        <v/>
      </c>
      <c r="DR43" t="str">
        <f t="shared" si="15"/>
        <v/>
      </c>
      <c r="DS43" t="str">
        <f>IF(ZS_IAAK="Ja",IF(EXACT(RIGHT(HLOOKUP(Tabellen_Magie!$IK$1,PROFMAGIE,$DK43,FALSE)),"H"),CONCATENATE($CX43,","),""),"")</f>
        <v/>
      </c>
      <c r="DT43" t="str">
        <f>IF(ZS_IAAK="Ja",IF(NOT(DS43=""),"",IF(OR(EXACT(RIGHT(HLOOKUP(Tabellen_Magie!$IK$1,PROFMAGIE,$DK43,FALSE)),"B"),EXACT(HLOOKUP(Tabellen_Magie!$IK$1,PROFMAGIE,$DK43,FALSE),"")),"",CONCATENATE($CX43,","))),"")</f>
        <v/>
      </c>
      <c r="DU43" t="str">
        <f t="shared" si="16"/>
        <v/>
      </c>
      <c r="DW43" t="s">
        <v>2236</v>
      </c>
      <c r="DX43" t="s">
        <v>74</v>
      </c>
      <c r="DY43" t="s">
        <v>75</v>
      </c>
      <c r="DZ43" t="s">
        <v>77</v>
      </c>
      <c r="EA43" t="s">
        <v>1282</v>
      </c>
      <c r="EB43" t="s">
        <v>2305</v>
      </c>
      <c r="EC43" t="s">
        <v>8579</v>
      </c>
      <c r="ED43">
        <f t="shared" si="35"/>
        <v>100</v>
      </c>
      <c r="EE43" t="s">
        <v>3283</v>
      </c>
      <c r="EH43">
        <f t="shared" si="36"/>
        <v>2</v>
      </c>
      <c r="EI43">
        <v>100</v>
      </c>
      <c r="EK43" t="s">
        <v>1746</v>
      </c>
      <c r="EL43">
        <v>0</v>
      </c>
      <c r="EM43">
        <v>3</v>
      </c>
      <c r="EN43">
        <v>2</v>
      </c>
      <c r="EO43">
        <v>2</v>
      </c>
      <c r="EP43">
        <v>1</v>
      </c>
      <c r="EQ43">
        <v>1</v>
      </c>
      <c r="ER43">
        <v>0</v>
      </c>
      <c r="ES43">
        <v>1.5</v>
      </c>
      <c r="ET43">
        <v>0.5</v>
      </c>
      <c r="EU43">
        <v>3</v>
      </c>
      <c r="EV43">
        <v>2</v>
      </c>
      <c r="FD43" t="s">
        <v>3249</v>
      </c>
      <c r="FE43">
        <f t="shared" si="40"/>
        <v>300</v>
      </c>
      <c r="FF43">
        <f t="shared" si="37"/>
        <v>6</v>
      </c>
      <c r="FI43">
        <v>3</v>
      </c>
      <c r="FK43">
        <v>300</v>
      </c>
      <c r="FL43">
        <v>5</v>
      </c>
      <c r="FM43" t="b">
        <f t="shared" ca="1" si="41"/>
        <v>0</v>
      </c>
      <c r="FN43" t="b">
        <f t="shared" ca="1" si="42"/>
        <v>1</v>
      </c>
      <c r="GH43" t="s">
        <v>3275</v>
      </c>
      <c r="GI43" t="s">
        <v>4483</v>
      </c>
      <c r="GJ43">
        <v>1</v>
      </c>
      <c r="GK43" t="s">
        <v>1396</v>
      </c>
      <c r="GL43" t="s">
        <v>1976</v>
      </c>
      <c r="GM43" t="s">
        <v>1369</v>
      </c>
      <c r="GN43" t="s">
        <v>1974</v>
      </c>
      <c r="GO43">
        <v>253</v>
      </c>
      <c r="GP43">
        <v>85</v>
      </c>
      <c r="GR43">
        <f t="shared" si="22"/>
        <v>392</v>
      </c>
      <c r="GU43" t="str">
        <f t="shared" ca="1" si="23"/>
        <v/>
      </c>
      <c r="GV43" t="str">
        <f t="shared" ca="1" si="24"/>
        <v/>
      </c>
      <c r="GW43" t="str">
        <f t="shared" ca="1" si="25"/>
        <v/>
      </c>
      <c r="GX43" t="str">
        <f t="shared" ca="1" si="26"/>
        <v/>
      </c>
      <c r="HA43" t="s">
        <v>1697</v>
      </c>
      <c r="HB43" t="s">
        <v>1119</v>
      </c>
      <c r="HC43">
        <f t="shared" si="21"/>
        <v>2</v>
      </c>
      <c r="HD43" t="s">
        <v>4484</v>
      </c>
      <c r="HE43" t="s">
        <v>4123</v>
      </c>
      <c r="HF43" t="s">
        <v>1699</v>
      </c>
      <c r="HG43" t="s">
        <v>1690</v>
      </c>
      <c r="HH43">
        <v>148</v>
      </c>
      <c r="HI43">
        <f t="shared" si="38"/>
        <v>2</v>
      </c>
      <c r="HJ43">
        <f t="shared" si="39"/>
        <v>100</v>
      </c>
      <c r="HK43" t="s">
        <v>1698</v>
      </c>
      <c r="HL43" t="s">
        <v>106</v>
      </c>
      <c r="HM43" t="s">
        <v>3961</v>
      </c>
    </row>
    <row r="44" spans="1:221" ht="12.75" customHeight="1" x14ac:dyDescent="0.2">
      <c r="A44" t="s">
        <v>4110</v>
      </c>
      <c r="B44" t="s">
        <v>75</v>
      </c>
      <c r="C44" t="s">
        <v>76</v>
      </c>
      <c r="D44" t="s">
        <v>76</v>
      </c>
      <c r="E44" t="s">
        <v>1321</v>
      </c>
      <c r="F44" t="s">
        <v>1955</v>
      </c>
      <c r="G44" t="s">
        <v>3016</v>
      </c>
      <c r="L44" t="str">
        <f t="shared" si="31"/>
        <v/>
      </c>
      <c r="M44" t="str">
        <f t="shared" si="32"/>
        <v/>
      </c>
      <c r="N44" t="str">
        <f t="shared" si="34"/>
        <v>Sinnenschärfe</v>
      </c>
      <c r="O44" t="s">
        <v>3016</v>
      </c>
      <c r="P44">
        <f t="shared" si="33"/>
        <v>82</v>
      </c>
      <c r="R44" t="s">
        <v>2319</v>
      </c>
      <c r="S44">
        <v>1</v>
      </c>
      <c r="T44">
        <v>5</v>
      </c>
      <c r="Z44" t="s">
        <v>3343</v>
      </c>
      <c r="AC44">
        <v>7</v>
      </c>
      <c r="AM44" t="s">
        <v>3593</v>
      </c>
      <c r="AS44" t="s">
        <v>2793</v>
      </c>
      <c r="AT44">
        <v>8</v>
      </c>
      <c r="AU44">
        <v>2</v>
      </c>
      <c r="AV44">
        <v>100</v>
      </c>
      <c r="AX44" t="s">
        <v>2732</v>
      </c>
      <c r="AY44">
        <v>4</v>
      </c>
      <c r="AZ44">
        <v>1</v>
      </c>
      <c r="BA44" t="s">
        <v>138</v>
      </c>
      <c r="BG44">
        <v>5</v>
      </c>
      <c r="BK44" t="s">
        <v>5257</v>
      </c>
      <c r="BT44" t="s">
        <v>5216</v>
      </c>
      <c r="BU44" t="s">
        <v>5217</v>
      </c>
      <c r="CA44" t="s">
        <v>5258</v>
      </c>
      <c r="CD44" t="s">
        <v>7159</v>
      </c>
      <c r="CE44" t="s">
        <v>904</v>
      </c>
      <c r="CF44" t="s">
        <v>379</v>
      </c>
      <c r="CG44" t="s">
        <v>3235</v>
      </c>
      <c r="CH44">
        <v>-1</v>
      </c>
      <c r="CI44">
        <v>2</v>
      </c>
      <c r="CJ44" t="s">
        <v>1827</v>
      </c>
      <c r="CK44" t="s">
        <v>1530</v>
      </c>
      <c r="CN44" t="str">
        <f ca="1">IF(AND(ISERR(FIND($CK44,Talente!$CI$41)),ISNA(VLOOKUP($CK44,$AH$51:$AH$55,1))),IF(AND(ISERR(FIND($CL44,Talente!$CI$41)),ISNA(VLOOKUP($CL44,$AH$51:$AH$55,1))),$CM44,$CL44),$CK44)</f>
        <v>Speere</v>
      </c>
      <c r="CP44" t="s">
        <v>2632</v>
      </c>
      <c r="CQ44" t="s">
        <v>7246</v>
      </c>
      <c r="CR44" t="s">
        <v>1656</v>
      </c>
      <c r="CS44" t="s">
        <v>4015</v>
      </c>
      <c r="CT44" t="s">
        <v>1532</v>
      </c>
      <c r="CX44" t="s">
        <v>2544</v>
      </c>
      <c r="CY44" t="s">
        <v>75</v>
      </c>
      <c r="CZ44" t="s">
        <v>76</v>
      </c>
      <c r="DA44" t="s">
        <v>750</v>
      </c>
      <c r="DB44" t="s">
        <v>1613</v>
      </c>
      <c r="DC44" t="s">
        <v>7294</v>
      </c>
      <c r="DD44" t="s">
        <v>2451</v>
      </c>
      <c r="DE44" t="s">
        <v>4358</v>
      </c>
      <c r="DF44" t="s">
        <v>81</v>
      </c>
      <c r="DG44" t="s">
        <v>1956</v>
      </c>
      <c r="DH44" t="s">
        <v>6864</v>
      </c>
      <c r="DI44" t="s">
        <v>3208</v>
      </c>
      <c r="DJ44">
        <v>2</v>
      </c>
      <c r="DK44">
        <f t="shared" si="10"/>
        <v>365</v>
      </c>
      <c r="DL44">
        <f t="shared" si="11"/>
        <v>42</v>
      </c>
      <c r="DM44">
        <v>43</v>
      </c>
      <c r="DN44" t="str">
        <f t="shared" ca="1" si="12"/>
        <v/>
      </c>
      <c r="DO44" t="str">
        <f t="shared" ca="1" si="13"/>
        <v/>
      </c>
      <c r="DP44" t="str">
        <f t="shared" ca="1" si="14"/>
        <v/>
      </c>
      <c r="DQ44" t="str">
        <f>IF(EXACT(Zauber!$A$250,""),"",IF(EXACT(RIGHT(HLOOKUP(Zauber!$A$250,PROFMAGIE,$DK44,FALSE)),"H"),CONCATENATE($CX44,","),""))</f>
        <v/>
      </c>
      <c r="DR44" t="str">
        <f t="shared" si="15"/>
        <v/>
      </c>
      <c r="DS44" t="str">
        <f>IF(ZS_IAAK="Ja",IF(EXACT(RIGHT(HLOOKUP(Tabellen_Magie!$IK$1,PROFMAGIE,$DK44,FALSE)),"H"),CONCATENATE($CX44,","),""),"")</f>
        <v/>
      </c>
      <c r="DT44" t="str">
        <f>IF(ZS_IAAK="Ja",IF(NOT(DS44=""),"",IF(OR(EXACT(RIGHT(HLOOKUP(Tabellen_Magie!$IK$1,PROFMAGIE,$DK44,FALSE)),"B"),EXACT(HLOOKUP(Tabellen_Magie!$IK$1,PROFMAGIE,$DK44,FALSE),"")),"",CONCATENATE($CX44,","))),"")</f>
        <v/>
      </c>
      <c r="DU44" t="str">
        <f t="shared" si="16"/>
        <v/>
      </c>
      <c r="DW44" t="s">
        <v>2237</v>
      </c>
      <c r="DX44" t="s">
        <v>75</v>
      </c>
      <c r="DY44" t="s">
        <v>77</v>
      </c>
      <c r="DZ44" t="s">
        <v>77</v>
      </c>
      <c r="EA44" t="s">
        <v>2341</v>
      </c>
      <c r="EB44" t="s">
        <v>2043</v>
      </c>
      <c r="EC44" t="s">
        <v>2303</v>
      </c>
      <c r="ED44">
        <f t="shared" si="35"/>
        <v>100</v>
      </c>
      <c r="EE44" t="s">
        <v>3283</v>
      </c>
      <c r="EH44">
        <f t="shared" si="36"/>
        <v>2</v>
      </c>
      <c r="EI44">
        <v>100</v>
      </c>
      <c r="EK44" t="s">
        <v>1747</v>
      </c>
      <c r="EL44">
        <v>0</v>
      </c>
      <c r="EM44">
        <v>5</v>
      </c>
      <c r="EN44">
        <v>1</v>
      </c>
      <c r="EO44">
        <v>2</v>
      </c>
      <c r="EP44">
        <v>0</v>
      </c>
      <c r="EQ44">
        <v>0</v>
      </c>
      <c r="ER44">
        <v>0</v>
      </c>
      <c r="ES44">
        <v>1.6</v>
      </c>
      <c r="ET44">
        <v>0.6</v>
      </c>
      <c r="EU44">
        <v>3</v>
      </c>
      <c r="EV44">
        <v>2</v>
      </c>
      <c r="FD44" t="s">
        <v>91</v>
      </c>
      <c r="FE44">
        <f t="shared" si="40"/>
        <v>200</v>
      </c>
      <c r="FF44">
        <f t="shared" si="37"/>
        <v>4</v>
      </c>
      <c r="FI44">
        <v>6</v>
      </c>
      <c r="FK44">
        <v>200</v>
      </c>
      <c r="FL44">
        <v>4</v>
      </c>
      <c r="FM44" t="b">
        <f t="shared" ca="1" si="41"/>
        <v>0</v>
      </c>
      <c r="FN44" t="b">
        <f t="shared" ca="1" si="42"/>
        <v>1</v>
      </c>
      <c r="GH44" t="s">
        <v>3276</v>
      </c>
      <c r="GI44" t="s">
        <v>4483</v>
      </c>
      <c r="GJ44">
        <v>1</v>
      </c>
      <c r="GK44" t="s">
        <v>4116</v>
      </c>
      <c r="GL44" t="s">
        <v>1976</v>
      </c>
      <c r="GM44" t="s">
        <v>1982</v>
      </c>
      <c r="GN44" t="s">
        <v>1973</v>
      </c>
      <c r="GO44">
        <v>276</v>
      </c>
      <c r="GP44">
        <v>332</v>
      </c>
      <c r="GR44">
        <f t="shared" si="22"/>
        <v>393</v>
      </c>
      <c r="GU44" t="str">
        <f t="shared" ca="1" si="23"/>
        <v/>
      </c>
      <c r="GV44" t="str">
        <f t="shared" ca="1" si="24"/>
        <v/>
      </c>
      <c r="GW44" t="str">
        <f t="shared" ca="1" si="25"/>
        <v/>
      </c>
      <c r="GX44" t="str">
        <f t="shared" ca="1" si="26"/>
        <v/>
      </c>
      <c r="HA44" t="s">
        <v>1700</v>
      </c>
      <c r="HB44" t="s">
        <v>3290</v>
      </c>
      <c r="HC44">
        <f t="shared" si="21"/>
        <v>3</v>
      </c>
      <c r="HD44" t="s">
        <v>1701</v>
      </c>
      <c r="HE44" t="s">
        <v>4123</v>
      </c>
      <c r="HG44" t="s">
        <v>1690</v>
      </c>
      <c r="HH44">
        <v>148</v>
      </c>
      <c r="HI44">
        <f t="shared" si="38"/>
        <v>3</v>
      </c>
      <c r="HJ44">
        <f t="shared" si="39"/>
        <v>150</v>
      </c>
      <c r="HK44" t="s">
        <v>1327</v>
      </c>
      <c r="HL44" t="s">
        <v>2369</v>
      </c>
      <c r="HM44" t="s">
        <v>2685</v>
      </c>
    </row>
    <row r="45" spans="1:221" ht="12.75" customHeight="1" x14ac:dyDescent="0.2">
      <c r="A45" t="s">
        <v>4111</v>
      </c>
      <c r="B45" t="s">
        <v>751</v>
      </c>
      <c r="C45" t="s">
        <v>751</v>
      </c>
      <c r="D45" t="s">
        <v>5030</v>
      </c>
      <c r="E45" t="s">
        <v>1827</v>
      </c>
      <c r="F45" t="s">
        <v>1955</v>
      </c>
      <c r="G45">
        <v>-2</v>
      </c>
      <c r="L45" t="str">
        <f t="shared" si="31"/>
        <v/>
      </c>
      <c r="M45" t="str">
        <f t="shared" si="32"/>
        <v/>
      </c>
      <c r="N45" t="str">
        <f t="shared" si="34"/>
        <v>Skifahren</v>
      </c>
      <c r="O45">
        <v>-2</v>
      </c>
      <c r="P45">
        <f t="shared" si="33"/>
        <v>83</v>
      </c>
      <c r="R45" t="s">
        <v>4293</v>
      </c>
      <c r="U45">
        <v>12</v>
      </c>
      <c r="V45" t="s">
        <v>3995</v>
      </c>
      <c r="Z45" t="s">
        <v>3344</v>
      </c>
      <c r="AA45">
        <v>1</v>
      </c>
      <c r="AB45">
        <v>12</v>
      </c>
      <c r="AD45" t="s">
        <v>3995</v>
      </c>
      <c r="AP45" t="s">
        <v>3086</v>
      </c>
      <c r="AQ45" t="s">
        <v>3905</v>
      </c>
      <c r="AS45" t="s">
        <v>4344</v>
      </c>
      <c r="AT45">
        <v>12</v>
      </c>
      <c r="AU45">
        <v>3</v>
      </c>
      <c r="AV45">
        <v>200</v>
      </c>
      <c r="AX45" t="s">
        <v>514</v>
      </c>
      <c r="AY45">
        <v>4</v>
      </c>
      <c r="AZ45">
        <v>1</v>
      </c>
      <c r="BA45" t="s">
        <v>991</v>
      </c>
      <c r="BB45" t="s">
        <v>992</v>
      </c>
      <c r="BC45" t="s">
        <v>993</v>
      </c>
      <c r="BD45" t="s">
        <v>1553</v>
      </c>
      <c r="BE45" t="s">
        <v>994</v>
      </c>
      <c r="BF45" t="s">
        <v>1447</v>
      </c>
      <c r="BG45">
        <v>5</v>
      </c>
      <c r="BK45" t="s">
        <v>5259</v>
      </c>
      <c r="BT45" t="s">
        <v>5260</v>
      </c>
      <c r="BU45" t="s">
        <v>5226</v>
      </c>
      <c r="CA45" t="s">
        <v>5261</v>
      </c>
      <c r="CD45" t="s">
        <v>2271</v>
      </c>
      <c r="CE45" t="s">
        <v>4647</v>
      </c>
      <c r="CF45" t="s">
        <v>917</v>
      </c>
      <c r="CG45" t="s">
        <v>4550</v>
      </c>
      <c r="CH45">
        <v>-1</v>
      </c>
      <c r="CI45">
        <v>2</v>
      </c>
      <c r="CJ45" t="s">
        <v>1827</v>
      </c>
      <c r="CK45" t="s">
        <v>1530</v>
      </c>
      <c r="CN45" t="str">
        <f ca="1">IF(AND(ISERR(FIND($CK45,Talente!$CI$41)),ISNA(VLOOKUP($CK45,$AH$51:$AH$55,1))),IF(AND(ISERR(FIND($CL45,Talente!$CI$41)),ISNA(VLOOKUP($CL45,$AH$51:$AH$55,1))),$CM45,$CL45),$CK45)</f>
        <v>Speere</v>
      </c>
      <c r="CP45" t="s">
        <v>2193</v>
      </c>
      <c r="CQ45" t="s">
        <v>1209</v>
      </c>
      <c r="CR45" t="s">
        <v>4662</v>
      </c>
      <c r="CS45" t="s">
        <v>3367</v>
      </c>
      <c r="CT45" t="s">
        <v>2193</v>
      </c>
      <c r="CX45" t="s">
        <v>2545</v>
      </c>
      <c r="CY45" t="s">
        <v>74</v>
      </c>
      <c r="CZ45" t="s">
        <v>77</v>
      </c>
      <c r="DA45" t="s">
        <v>5030</v>
      </c>
      <c r="DB45" t="s">
        <v>1613</v>
      </c>
      <c r="DC45" t="s">
        <v>7288</v>
      </c>
      <c r="DD45" t="s">
        <v>124</v>
      </c>
      <c r="DE45" t="s">
        <v>2254</v>
      </c>
      <c r="DF45" t="s">
        <v>81</v>
      </c>
      <c r="DG45" t="s">
        <v>1956</v>
      </c>
      <c r="DH45" t="s">
        <v>6844</v>
      </c>
      <c r="DI45" t="s">
        <v>812</v>
      </c>
      <c r="DJ45">
        <v>2</v>
      </c>
      <c r="DK45">
        <f t="shared" si="10"/>
        <v>366</v>
      </c>
      <c r="DL45">
        <f t="shared" si="11"/>
        <v>43</v>
      </c>
      <c r="DM45">
        <v>63</v>
      </c>
      <c r="DN45" t="str">
        <f t="shared" ca="1" si="12"/>
        <v/>
      </c>
      <c r="DO45" t="str">
        <f t="shared" ca="1" si="13"/>
        <v/>
      </c>
      <c r="DP45" t="str">
        <f t="shared" ca="1" si="14"/>
        <v/>
      </c>
      <c r="DQ45" t="str">
        <f>IF(EXACT(Zauber!$A$250,""),"",IF(EXACT(RIGHT(HLOOKUP(Zauber!$A$250,PROFMAGIE,$DK45,FALSE)),"H"),CONCATENATE($CX45,","),""))</f>
        <v/>
      </c>
      <c r="DR45" t="str">
        <f t="shared" si="15"/>
        <v/>
      </c>
      <c r="DS45" t="str">
        <f>IF(ZS_IAAK="Ja",IF(EXACT(RIGHT(HLOOKUP(Tabellen_Magie!$IK$1,PROFMAGIE,$DK45,FALSE)),"H"),CONCATENATE($CX45,","),""),"")</f>
        <v/>
      </c>
      <c r="DT45" t="str">
        <f>IF(ZS_IAAK="Ja",IF(NOT(DS45=""),"",IF(OR(EXACT(RIGHT(HLOOKUP(Tabellen_Magie!$IK$1,PROFMAGIE,$DK45,FALSE)),"B"),EXACT(HLOOKUP(Tabellen_Magie!$IK$1,PROFMAGIE,$DK45,FALSE),"")),"",CONCATENATE($CX45,","))),"")</f>
        <v/>
      </c>
      <c r="DU45" t="str">
        <f t="shared" si="16"/>
        <v/>
      </c>
      <c r="DW45" t="s">
        <v>2238</v>
      </c>
      <c r="DX45" t="s">
        <v>74</v>
      </c>
      <c r="DY45" t="s">
        <v>77</v>
      </c>
      <c r="DZ45" t="s">
        <v>5030</v>
      </c>
      <c r="EA45" t="s">
        <v>2341</v>
      </c>
      <c r="EB45" t="s">
        <v>2300</v>
      </c>
      <c r="EC45" t="s">
        <v>2303</v>
      </c>
      <c r="ED45">
        <f t="shared" si="35"/>
        <v>100</v>
      </c>
      <c r="EE45" t="s">
        <v>3283</v>
      </c>
      <c r="EH45">
        <f t="shared" si="36"/>
        <v>2</v>
      </c>
      <c r="EI45">
        <v>100</v>
      </c>
      <c r="EK45" t="s">
        <v>4065</v>
      </c>
      <c r="EL45">
        <v>0</v>
      </c>
      <c r="EM45">
        <v>5</v>
      </c>
      <c r="EN45">
        <v>4</v>
      </c>
      <c r="EO45">
        <v>4</v>
      </c>
      <c r="EP45">
        <v>1</v>
      </c>
      <c r="EQ45">
        <v>1</v>
      </c>
      <c r="ER45">
        <v>1</v>
      </c>
      <c r="ES45">
        <v>2.9</v>
      </c>
      <c r="ET45">
        <v>2.9</v>
      </c>
      <c r="EU45">
        <v>4</v>
      </c>
      <c r="EV45">
        <v>3</v>
      </c>
      <c r="FD45" t="s">
        <v>92</v>
      </c>
      <c r="FE45">
        <f t="shared" si="40"/>
        <v>200</v>
      </c>
      <c r="FF45">
        <f t="shared" si="37"/>
        <v>4</v>
      </c>
      <c r="FI45">
        <v>9</v>
      </c>
      <c r="FK45">
        <v>200</v>
      </c>
      <c r="FL45">
        <v>3</v>
      </c>
      <c r="FM45" t="b">
        <f t="shared" ca="1" si="41"/>
        <v>0</v>
      </c>
      <c r="FN45" t="b">
        <f t="shared" ca="1" si="42"/>
        <v>1</v>
      </c>
      <c r="GH45" t="s">
        <v>9319</v>
      </c>
      <c r="GI45" t="s">
        <v>4483</v>
      </c>
      <c r="GJ45">
        <v>1</v>
      </c>
      <c r="GK45" t="s">
        <v>1320</v>
      </c>
      <c r="GL45" t="s">
        <v>1976</v>
      </c>
      <c r="GM45" t="s">
        <v>1369</v>
      </c>
      <c r="GN45" t="s">
        <v>1974</v>
      </c>
      <c r="GO45" t="s">
        <v>9314</v>
      </c>
      <c r="GP45">
        <v>333</v>
      </c>
      <c r="GR45">
        <f t="shared" si="22"/>
        <v>394</v>
      </c>
      <c r="GU45" t="str">
        <f t="shared" ca="1" si="23"/>
        <v/>
      </c>
      <c r="GV45" t="str">
        <f t="shared" ca="1" si="24"/>
        <v/>
      </c>
      <c r="GW45" t="str">
        <f t="shared" ca="1" si="25"/>
        <v/>
      </c>
      <c r="GX45" t="str">
        <f t="shared" ca="1" si="26"/>
        <v/>
      </c>
      <c r="HA45" t="s">
        <v>1702</v>
      </c>
      <c r="HB45" t="s">
        <v>1119</v>
      </c>
      <c r="HC45">
        <f t="shared" si="21"/>
        <v>2</v>
      </c>
      <c r="HD45" t="s">
        <v>1320</v>
      </c>
      <c r="HE45" t="s">
        <v>4548</v>
      </c>
      <c r="HF45" t="s">
        <v>3605</v>
      </c>
      <c r="HG45" t="s">
        <v>1690</v>
      </c>
      <c r="HH45">
        <v>148</v>
      </c>
      <c r="HI45">
        <f t="shared" si="38"/>
        <v>2</v>
      </c>
      <c r="HJ45">
        <f t="shared" si="39"/>
        <v>100</v>
      </c>
      <c r="HK45" t="s">
        <v>16</v>
      </c>
      <c r="HL45" t="s">
        <v>106</v>
      </c>
      <c r="HM45" t="s">
        <v>1196</v>
      </c>
    </row>
    <row r="46" spans="1:221" ht="15.75" customHeight="1" x14ac:dyDescent="0.2">
      <c r="A46" t="s">
        <v>4112</v>
      </c>
      <c r="B46" t="s">
        <v>75</v>
      </c>
      <c r="C46" t="s">
        <v>76</v>
      </c>
      <c r="D46" t="s">
        <v>77</v>
      </c>
      <c r="E46" t="s">
        <v>1827</v>
      </c>
      <c r="F46" t="s">
        <v>1955</v>
      </c>
      <c r="G46">
        <v>-4</v>
      </c>
      <c r="L46" t="str">
        <f t="shared" si="31"/>
        <v/>
      </c>
      <c r="M46" t="str">
        <f t="shared" si="32"/>
        <v/>
      </c>
      <c r="N46" t="str">
        <f t="shared" si="34"/>
        <v>Stimmen imitieren</v>
      </c>
      <c r="O46">
        <v>-4</v>
      </c>
      <c r="P46">
        <f t="shared" si="33"/>
        <v>84</v>
      </c>
      <c r="R46" t="s">
        <v>4154</v>
      </c>
      <c r="U46">
        <v>3</v>
      </c>
      <c r="V46" t="s">
        <v>3995</v>
      </c>
      <c r="Z46" t="s">
        <v>3240</v>
      </c>
      <c r="AA46">
        <v>0.5</v>
      </c>
      <c r="AD46" t="s">
        <v>3995</v>
      </c>
      <c r="AM46" t="str">
        <f>INDEX(TL_KPF,ROW()-44)</f>
        <v>Anderthalbhänder</v>
      </c>
      <c r="AP46" t="str">
        <f t="shared" ref="AP46:AP51" si="43">VLOOKUP(AM46,TL_KPF_WERTE,6,FALSE)</f>
        <v>E</v>
      </c>
      <c r="AQ46">
        <v>-2</v>
      </c>
      <c r="AS46" t="s">
        <v>4345</v>
      </c>
      <c r="AT46">
        <v>16</v>
      </c>
      <c r="AU46">
        <v>4</v>
      </c>
      <c r="AV46">
        <v>300</v>
      </c>
      <c r="AX46" t="s">
        <v>1465</v>
      </c>
      <c r="AY46">
        <v>4</v>
      </c>
      <c r="AZ46">
        <v>1</v>
      </c>
      <c r="BA46" t="s">
        <v>995</v>
      </c>
      <c r="BB46" t="s">
        <v>996</v>
      </c>
      <c r="BC46" t="s">
        <v>4618</v>
      </c>
      <c r="BD46" t="s">
        <v>4619</v>
      </c>
      <c r="BE46" t="s">
        <v>212</v>
      </c>
      <c r="BG46">
        <v>5</v>
      </c>
      <c r="BK46" t="s">
        <v>5262</v>
      </c>
      <c r="BX46" t="s">
        <v>2989</v>
      </c>
      <c r="BY46" t="s">
        <v>5263</v>
      </c>
      <c r="BZ46" t="s">
        <v>5264</v>
      </c>
      <c r="CA46" t="s">
        <v>5265</v>
      </c>
      <c r="CD46" t="s">
        <v>7571</v>
      </c>
      <c r="CE46" t="s">
        <v>916</v>
      </c>
      <c r="CF46" t="s">
        <v>4552</v>
      </c>
      <c r="CG46" t="s">
        <v>903</v>
      </c>
      <c r="CH46">
        <v>-1</v>
      </c>
      <c r="CI46">
        <v>1</v>
      </c>
      <c r="CJ46" t="s">
        <v>4001</v>
      </c>
      <c r="CK46" t="s">
        <v>1957</v>
      </c>
      <c r="CN46" t="str">
        <f ca="1">IF(AND(ISERR(FIND($CK46,Talente!$CI$41)),ISNA(VLOOKUP($CK46,$AH$51:$AH$55,1))),IF(AND(ISERR(FIND($CL46,Talente!$CI$41)),ISNA(VLOOKUP($CL46,$AH$51:$AH$55,1))),$CM46,$CL46),$CK46)</f>
        <v>Dolche</v>
      </c>
      <c r="CP46" t="s">
        <v>4655</v>
      </c>
      <c r="CQ46" t="s">
        <v>916</v>
      </c>
      <c r="CR46" t="s">
        <v>394</v>
      </c>
      <c r="CS46" t="s">
        <v>4009</v>
      </c>
      <c r="CT46" t="s">
        <v>1529</v>
      </c>
      <c r="CU46">
        <v>1</v>
      </c>
      <c r="CX46" t="s">
        <v>2546</v>
      </c>
      <c r="CY46" t="s">
        <v>76</v>
      </c>
      <c r="CZ46" t="s">
        <v>77</v>
      </c>
      <c r="DA46" t="s">
        <v>751</v>
      </c>
      <c r="DC46" t="s">
        <v>7301</v>
      </c>
      <c r="DD46" t="s">
        <v>7332</v>
      </c>
      <c r="DE46" t="s">
        <v>4359</v>
      </c>
      <c r="DF46" t="s">
        <v>564</v>
      </c>
      <c r="DG46" t="s">
        <v>1956</v>
      </c>
      <c r="DH46" t="s">
        <v>8414</v>
      </c>
      <c r="DI46" t="s">
        <v>2793</v>
      </c>
      <c r="DJ46">
        <v>2</v>
      </c>
      <c r="DK46">
        <f t="shared" si="10"/>
        <v>367</v>
      </c>
      <c r="DL46">
        <f t="shared" si="11"/>
        <v>44</v>
      </c>
      <c r="DM46">
        <v>44</v>
      </c>
      <c r="DN46" t="str">
        <f t="shared" ca="1" si="12"/>
        <v/>
      </c>
      <c r="DO46" t="str">
        <f t="shared" ca="1" si="13"/>
        <v/>
      </c>
      <c r="DP46" t="str">
        <f t="shared" ca="1" si="14"/>
        <v/>
      </c>
      <c r="DQ46" t="str">
        <f>IF(EXACT(Zauber!$A$250,""),"",IF(EXACT(RIGHT(HLOOKUP(Zauber!$A$250,PROFMAGIE,$DK46,FALSE)),"H"),CONCATENATE($CX46,","),""))</f>
        <v/>
      </c>
      <c r="DR46" t="str">
        <f t="shared" si="15"/>
        <v/>
      </c>
      <c r="DS46" t="str">
        <f>IF(ZS_IAAK="Ja",IF(EXACT(RIGHT(HLOOKUP(Tabellen_Magie!$IK$1,PROFMAGIE,$DK46,FALSE)),"H"),CONCATENATE($CX46,","),""),"")</f>
        <v/>
      </c>
      <c r="DT46" t="str">
        <f>IF(ZS_IAAK="Ja",IF(NOT(DS46=""),"",IF(OR(EXACT(RIGHT(HLOOKUP(Tabellen_Magie!$IK$1,PROFMAGIE,$DK46,FALSE)),"B"),EXACT(HLOOKUP(Tabellen_Magie!$IK$1,PROFMAGIE,$DK46,FALSE),"")),"",CONCATENATE($CX46,","))),"")</f>
        <v/>
      </c>
      <c r="DU46" t="str">
        <f t="shared" si="16"/>
        <v/>
      </c>
      <c r="DW46" t="s">
        <v>2239</v>
      </c>
      <c r="DX46" t="s">
        <v>76</v>
      </c>
      <c r="DY46" t="s">
        <v>5030</v>
      </c>
      <c r="DZ46" t="s">
        <v>5030</v>
      </c>
      <c r="EA46" t="s">
        <v>2341</v>
      </c>
      <c r="EB46" t="s">
        <v>8580</v>
      </c>
      <c r="EC46" t="s">
        <v>1444</v>
      </c>
      <c r="ED46">
        <f t="shared" si="35"/>
        <v>50</v>
      </c>
      <c r="EE46" t="s">
        <v>3283</v>
      </c>
      <c r="EH46">
        <f t="shared" si="36"/>
        <v>1</v>
      </c>
      <c r="EI46">
        <v>50</v>
      </c>
      <c r="EK46" t="s">
        <v>4788</v>
      </c>
      <c r="EL46">
        <v>0</v>
      </c>
      <c r="EM46">
        <v>3</v>
      </c>
      <c r="EN46">
        <v>3</v>
      </c>
      <c r="EO46">
        <v>3</v>
      </c>
      <c r="EP46">
        <v>0</v>
      </c>
      <c r="EQ46">
        <v>0</v>
      </c>
      <c r="ER46">
        <v>0</v>
      </c>
      <c r="ES46">
        <v>1.8</v>
      </c>
      <c r="ET46">
        <v>1.8</v>
      </c>
      <c r="EU46">
        <v>3</v>
      </c>
      <c r="EV46">
        <v>3</v>
      </c>
      <c r="FD46" t="s">
        <v>5002</v>
      </c>
      <c r="FE46">
        <f t="shared" si="40"/>
        <v>100</v>
      </c>
      <c r="FF46">
        <f t="shared" si="37"/>
        <v>2</v>
      </c>
      <c r="FG46" t="s">
        <v>716</v>
      </c>
      <c r="FK46">
        <v>100</v>
      </c>
      <c r="FL46">
        <v>3</v>
      </c>
      <c r="FM46" t="b">
        <f t="shared" ca="1" si="41"/>
        <v>0</v>
      </c>
      <c r="FN46" t="b">
        <f t="shared" ca="1" si="42"/>
        <v>0</v>
      </c>
      <c r="FR46" t="s">
        <v>158</v>
      </c>
      <c r="FS46" t="s">
        <v>159</v>
      </c>
      <c r="GH46" t="s">
        <v>3277</v>
      </c>
      <c r="GI46" t="s">
        <v>4483</v>
      </c>
      <c r="GJ46">
        <v>1</v>
      </c>
      <c r="GK46" t="s">
        <v>1397</v>
      </c>
      <c r="GL46" t="s">
        <v>1976</v>
      </c>
      <c r="GM46" t="s">
        <v>1983</v>
      </c>
      <c r="GN46" t="s">
        <v>1974</v>
      </c>
      <c r="GO46">
        <v>253</v>
      </c>
      <c r="GP46">
        <v>86</v>
      </c>
      <c r="GR46">
        <f t="shared" si="22"/>
        <v>395</v>
      </c>
      <c r="GU46" t="str">
        <f t="shared" ca="1" si="23"/>
        <v/>
      </c>
      <c r="GV46" t="str">
        <f t="shared" ca="1" si="24"/>
        <v/>
      </c>
      <c r="GW46" t="str">
        <f t="shared" ca="1" si="25"/>
        <v/>
      </c>
      <c r="GX46" t="str">
        <f t="shared" ca="1" si="26"/>
        <v/>
      </c>
      <c r="HA46" t="s">
        <v>1703</v>
      </c>
      <c r="HB46" t="s">
        <v>1119</v>
      </c>
      <c r="HC46">
        <f t="shared" si="21"/>
        <v>2</v>
      </c>
      <c r="HD46" t="s">
        <v>1320</v>
      </c>
      <c r="HE46" t="s">
        <v>3291</v>
      </c>
      <c r="HG46" t="s">
        <v>1974</v>
      </c>
      <c r="HH46">
        <v>152</v>
      </c>
      <c r="HI46">
        <f t="shared" si="38"/>
        <v>2</v>
      </c>
      <c r="HJ46">
        <f t="shared" si="39"/>
        <v>100</v>
      </c>
      <c r="HK46" t="s">
        <v>17</v>
      </c>
      <c r="HL46" t="s">
        <v>2369</v>
      </c>
      <c r="HM46" t="s">
        <v>1284</v>
      </c>
    </row>
    <row r="47" spans="1:221" ht="12.75" customHeight="1" x14ac:dyDescent="0.2">
      <c r="A47" t="s">
        <v>4113</v>
      </c>
      <c r="B47" t="s">
        <v>77</v>
      </c>
      <c r="C47" t="s">
        <v>751</v>
      </c>
      <c r="D47" t="s">
        <v>751</v>
      </c>
      <c r="E47" t="s">
        <v>1321</v>
      </c>
      <c r="F47" t="s">
        <v>1955</v>
      </c>
      <c r="G47" t="s">
        <v>4117</v>
      </c>
      <c r="L47" t="str">
        <f t="shared" si="31"/>
        <v/>
      </c>
      <c r="M47" t="str">
        <f t="shared" si="32"/>
        <v/>
      </c>
      <c r="N47" t="str">
        <f t="shared" si="34"/>
        <v>Tanzen</v>
      </c>
      <c r="O47" t="s">
        <v>4117</v>
      </c>
      <c r="P47">
        <f t="shared" si="33"/>
        <v>85</v>
      </c>
      <c r="R47" t="s">
        <v>4284</v>
      </c>
      <c r="U47">
        <v>10</v>
      </c>
      <c r="Z47" t="s">
        <v>4842</v>
      </c>
      <c r="AA47">
        <v>0.5</v>
      </c>
      <c r="AB47">
        <v>12</v>
      </c>
      <c r="AD47" t="s">
        <v>3995</v>
      </c>
      <c r="AM47" t="str">
        <f t="shared" ref="AM47:AM72" si="44">INDEX(TL_KPF,ROW()-44)</f>
        <v>Armbrust</v>
      </c>
      <c r="AP47" t="str">
        <f t="shared" si="43"/>
        <v>C</v>
      </c>
      <c r="AQ47">
        <v>-5</v>
      </c>
      <c r="AS47" t="s">
        <v>4346</v>
      </c>
      <c r="AT47">
        <v>16</v>
      </c>
      <c r="AU47">
        <v>4</v>
      </c>
      <c r="AV47">
        <v>300</v>
      </c>
      <c r="AX47" t="s">
        <v>1466</v>
      </c>
      <c r="AY47">
        <v>4</v>
      </c>
      <c r="AZ47">
        <v>1</v>
      </c>
      <c r="BA47" t="s">
        <v>1069</v>
      </c>
      <c r="BB47" t="s">
        <v>1070</v>
      </c>
      <c r="BC47" t="s">
        <v>55</v>
      </c>
      <c r="BG47">
        <v>5</v>
      </c>
      <c r="BK47" t="s">
        <v>5266</v>
      </c>
      <c r="CA47" t="s">
        <v>5267</v>
      </c>
      <c r="CD47" t="s">
        <v>4609</v>
      </c>
      <c r="CE47" t="s">
        <v>4549</v>
      </c>
      <c r="CF47" t="s">
        <v>917</v>
      </c>
      <c r="CG47" t="s">
        <v>898</v>
      </c>
      <c r="CH47">
        <v>0</v>
      </c>
      <c r="CI47">
        <v>2</v>
      </c>
      <c r="CJ47" t="s">
        <v>899</v>
      </c>
      <c r="CK47" t="s">
        <v>2192</v>
      </c>
      <c r="CN47" t="str">
        <f ca="1">IF(AND(ISERR(FIND($CK47,Talente!$CI$41)),ISNA(VLOOKUP($CK47,$AH$51:$AH$55,1))),IF(AND(ISERR(FIND($CL47,Talente!$CI$41)),ISNA(VLOOKUP($CL47,$AH$51:$AH$55,1))),$CM47,$CL47),$CK47)</f>
        <v>Säbel</v>
      </c>
      <c r="CP47" t="s">
        <v>282</v>
      </c>
      <c r="CQ47" t="s">
        <v>4558</v>
      </c>
      <c r="CR47" t="s">
        <v>2770</v>
      </c>
      <c r="CS47" t="s">
        <v>3370</v>
      </c>
      <c r="CT47" t="s">
        <v>2193</v>
      </c>
      <c r="CX47" t="s">
        <v>1198</v>
      </c>
      <c r="CY47" t="s">
        <v>75</v>
      </c>
      <c r="CZ47" t="s">
        <v>76</v>
      </c>
      <c r="DA47" t="s">
        <v>77</v>
      </c>
      <c r="DB47" t="s">
        <v>2042</v>
      </c>
      <c r="DC47" t="s">
        <v>7296</v>
      </c>
      <c r="DD47" t="s">
        <v>4360</v>
      </c>
      <c r="DE47" t="s">
        <v>4361</v>
      </c>
      <c r="DF47" t="s">
        <v>7296</v>
      </c>
      <c r="DG47" t="s">
        <v>1956</v>
      </c>
      <c r="DH47" t="s">
        <v>6865</v>
      </c>
      <c r="DI47" t="s">
        <v>4342</v>
      </c>
      <c r="DJ47">
        <v>2</v>
      </c>
      <c r="DK47">
        <f t="shared" si="10"/>
        <v>368</v>
      </c>
      <c r="DL47">
        <f t="shared" si="11"/>
        <v>45</v>
      </c>
      <c r="DM47">
        <v>45</v>
      </c>
      <c r="DN47" t="str">
        <f t="shared" ca="1" si="12"/>
        <v/>
      </c>
      <c r="DO47" t="str">
        <f t="shared" ca="1" si="13"/>
        <v/>
      </c>
      <c r="DP47" t="str">
        <f t="shared" ca="1" si="14"/>
        <v/>
      </c>
      <c r="DQ47" t="str">
        <f>IF(EXACT(Zauber!$A$250,""),"",IF(EXACT(RIGHT(HLOOKUP(Zauber!$A$250,PROFMAGIE,$DK47,FALSE)),"H"),CONCATENATE($CX47,","),""))</f>
        <v/>
      </c>
      <c r="DR47" t="str">
        <f t="shared" si="15"/>
        <v/>
      </c>
      <c r="DS47" t="str">
        <f>IF(ZS_IAAK="Ja",IF(EXACT(RIGHT(HLOOKUP(Tabellen_Magie!$IK$1,PROFMAGIE,$DK47,FALSE)),"H"),CONCATENATE($CX47,","),""),"")</f>
        <v/>
      </c>
      <c r="DT47" t="str">
        <f>IF(ZS_IAAK="Ja",IF(NOT(DS47=""),"",IF(OR(EXACT(RIGHT(HLOOKUP(Tabellen_Magie!$IK$1,PROFMAGIE,$DK47,FALSE)),"B"),EXACT(HLOOKUP(Tabellen_Magie!$IK$1,PROFMAGIE,$DK47,FALSE),"")),"",CONCATENATE($CX47,","))),"")</f>
        <v/>
      </c>
      <c r="DU47" t="str">
        <f t="shared" si="16"/>
        <v/>
      </c>
      <c r="DW47" t="s">
        <v>3195</v>
      </c>
      <c r="DX47" t="s">
        <v>76</v>
      </c>
      <c r="DY47" t="s">
        <v>5030</v>
      </c>
      <c r="DZ47" t="s">
        <v>5030</v>
      </c>
      <c r="EA47" t="s">
        <v>1281</v>
      </c>
      <c r="EB47" t="s">
        <v>1360</v>
      </c>
      <c r="EC47" t="s">
        <v>1444</v>
      </c>
      <c r="ED47">
        <f t="shared" si="35"/>
        <v>75</v>
      </c>
      <c r="EE47" t="s">
        <v>3283</v>
      </c>
      <c r="EH47">
        <f t="shared" si="36"/>
        <v>2</v>
      </c>
      <c r="EI47">
        <v>75</v>
      </c>
      <c r="EK47" t="s">
        <v>1592</v>
      </c>
      <c r="EL47">
        <v>2</v>
      </c>
      <c r="EM47">
        <v>0</v>
      </c>
      <c r="EN47">
        <v>0</v>
      </c>
      <c r="EO47">
        <v>0</v>
      </c>
      <c r="EP47">
        <v>0</v>
      </c>
      <c r="EQ47">
        <v>0</v>
      </c>
      <c r="ER47">
        <v>0</v>
      </c>
      <c r="ES47">
        <v>0.2</v>
      </c>
      <c r="ET47">
        <v>0.2</v>
      </c>
      <c r="EU47">
        <v>1</v>
      </c>
      <c r="EV47">
        <v>1</v>
      </c>
      <c r="FD47" t="s">
        <v>5004</v>
      </c>
      <c r="FE47">
        <f t="shared" si="40"/>
        <v>100</v>
      </c>
      <c r="FF47">
        <f t="shared" si="37"/>
        <v>2</v>
      </c>
      <c r="FG47" t="s">
        <v>716</v>
      </c>
      <c r="FH47" t="s">
        <v>717</v>
      </c>
      <c r="FK47">
        <v>100</v>
      </c>
      <c r="FL47">
        <v>3</v>
      </c>
      <c r="FM47" t="b">
        <f t="shared" ca="1" si="41"/>
        <v>0</v>
      </c>
      <c r="FN47" t="b">
        <f t="shared" ca="1" si="42"/>
        <v>0</v>
      </c>
      <c r="GH47" t="s">
        <v>2693</v>
      </c>
      <c r="GI47" t="s">
        <v>4483</v>
      </c>
      <c r="GJ47">
        <v>1</v>
      </c>
      <c r="GK47" t="s">
        <v>4116</v>
      </c>
      <c r="GL47" t="s">
        <v>567</v>
      </c>
      <c r="GM47" t="s">
        <v>1982</v>
      </c>
      <c r="GN47" t="s">
        <v>1973</v>
      </c>
      <c r="GO47">
        <v>271</v>
      </c>
      <c r="GP47">
        <v>336</v>
      </c>
      <c r="GR47">
        <f t="shared" si="22"/>
        <v>396</v>
      </c>
      <c r="GU47" t="str">
        <f t="shared" ca="1" si="23"/>
        <v/>
      </c>
      <c r="GV47" t="str">
        <f t="shared" ca="1" si="24"/>
        <v/>
      </c>
      <c r="GW47" t="str">
        <f t="shared" ca="1" si="25"/>
        <v/>
      </c>
      <c r="GX47" t="str">
        <f t="shared" ca="1" si="26"/>
        <v/>
      </c>
      <c r="HA47" t="s">
        <v>1704</v>
      </c>
      <c r="HB47" t="s">
        <v>4121</v>
      </c>
      <c r="HC47">
        <f t="shared" si="21"/>
        <v>4</v>
      </c>
      <c r="HD47" t="s">
        <v>4854</v>
      </c>
      <c r="HE47" t="s">
        <v>4123</v>
      </c>
      <c r="HG47" t="s">
        <v>1974</v>
      </c>
      <c r="HH47">
        <v>148</v>
      </c>
      <c r="HI47">
        <f t="shared" si="38"/>
        <v>4</v>
      </c>
      <c r="HJ47">
        <f t="shared" si="39"/>
        <v>200</v>
      </c>
      <c r="HK47" t="s">
        <v>1705</v>
      </c>
      <c r="HL47" t="s">
        <v>3396</v>
      </c>
      <c r="HM47" t="s">
        <v>1284</v>
      </c>
    </row>
    <row r="48" spans="1:221" ht="15" customHeight="1" x14ac:dyDescent="0.2">
      <c r="A48" t="s">
        <v>4114</v>
      </c>
      <c r="B48" t="s">
        <v>74</v>
      </c>
      <c r="C48" t="s">
        <v>76</v>
      </c>
      <c r="D48" t="s">
        <v>750</v>
      </c>
      <c r="E48" t="s">
        <v>1827</v>
      </c>
      <c r="F48" t="s">
        <v>1955</v>
      </c>
      <c r="G48" t="s">
        <v>4117</v>
      </c>
      <c r="L48" t="str">
        <f t="shared" si="31"/>
        <v/>
      </c>
      <c r="M48" t="str">
        <f t="shared" si="32"/>
        <v/>
      </c>
      <c r="N48" t="str">
        <f t="shared" si="34"/>
        <v>Taschendiebstahl</v>
      </c>
      <c r="O48" t="s">
        <v>4117</v>
      </c>
      <c r="P48">
        <f t="shared" si="33"/>
        <v>86</v>
      </c>
      <c r="R48" t="s">
        <v>4285</v>
      </c>
      <c r="U48">
        <v>10</v>
      </c>
      <c r="Z48" t="s">
        <v>3946</v>
      </c>
      <c r="AC48">
        <v>10</v>
      </c>
      <c r="AE48" t="str">
        <f>INDEX(PERSONEN,5)</f>
        <v>Elfen</v>
      </c>
      <c r="AM48" t="str">
        <f t="shared" si="44"/>
        <v>Belagerungswaffen</v>
      </c>
      <c r="AP48" t="str">
        <f t="shared" si="43"/>
        <v>D</v>
      </c>
      <c r="AQ48">
        <v>10</v>
      </c>
      <c r="AS48" t="s">
        <v>1615</v>
      </c>
      <c r="AT48">
        <v>12</v>
      </c>
      <c r="AU48">
        <v>3</v>
      </c>
      <c r="AV48">
        <v>200</v>
      </c>
      <c r="AX48" t="s">
        <v>1467</v>
      </c>
      <c r="AY48">
        <v>4</v>
      </c>
      <c r="AZ48">
        <v>1</v>
      </c>
      <c r="BA48" t="s">
        <v>56</v>
      </c>
      <c r="BB48" t="s">
        <v>1471</v>
      </c>
      <c r="BC48" t="s">
        <v>1472</v>
      </c>
      <c r="BD48" t="s">
        <v>333</v>
      </c>
      <c r="BE48" t="s">
        <v>7638</v>
      </c>
      <c r="BG48">
        <v>5</v>
      </c>
      <c r="BK48" t="s">
        <v>5268</v>
      </c>
      <c r="BT48" t="s">
        <v>5229</v>
      </c>
      <c r="BU48" t="s">
        <v>5229</v>
      </c>
      <c r="BW48" t="s">
        <v>5238</v>
      </c>
      <c r="CA48" t="s">
        <v>5265</v>
      </c>
      <c r="CD48" t="s">
        <v>2172</v>
      </c>
      <c r="CE48" t="s">
        <v>1209</v>
      </c>
      <c r="CF48" t="s">
        <v>378</v>
      </c>
      <c r="CG48" t="s">
        <v>3234</v>
      </c>
      <c r="CH48">
        <v>-2</v>
      </c>
      <c r="CI48">
        <v>8</v>
      </c>
      <c r="CJ48" t="s">
        <v>3586</v>
      </c>
      <c r="CK48" t="s">
        <v>2190</v>
      </c>
      <c r="CN48" t="str">
        <f ca="1">IF(AND(ISERR(FIND($CK48,Talente!$CI$41)),ISNA(VLOOKUP($CK48,$AH$51:$AH$55,1))),IF(AND(ISERR(FIND($CL48,Talente!$CI$41)),ISNA(VLOOKUP($CL48,$AH$51:$AH$55,1))),$CM48,$CL48),$CK48)</f>
        <v>Hiebwaffen</v>
      </c>
      <c r="CP48" t="s">
        <v>2633</v>
      </c>
      <c r="CQ48" t="s">
        <v>5091</v>
      </c>
      <c r="CR48" t="s">
        <v>2773</v>
      </c>
      <c r="CS48" t="s">
        <v>4011</v>
      </c>
      <c r="CT48" t="s">
        <v>1533</v>
      </c>
      <c r="CV48" t="s">
        <v>7543</v>
      </c>
      <c r="CX48" t="s">
        <v>1199</v>
      </c>
      <c r="CY48" t="s">
        <v>74</v>
      </c>
      <c r="CZ48" t="s">
        <v>76</v>
      </c>
      <c r="DA48" t="s">
        <v>77</v>
      </c>
      <c r="DB48" t="s">
        <v>2042</v>
      </c>
      <c r="DC48" t="s">
        <v>1362</v>
      </c>
      <c r="DD48" t="s">
        <v>1363</v>
      </c>
      <c r="DE48" t="s">
        <v>1364</v>
      </c>
      <c r="DF48" t="s">
        <v>1358</v>
      </c>
      <c r="DG48" t="s">
        <v>1828</v>
      </c>
      <c r="DH48" t="s">
        <v>6866</v>
      </c>
      <c r="DI48" t="s">
        <v>3501</v>
      </c>
      <c r="DJ48">
        <v>2</v>
      </c>
      <c r="DK48">
        <f t="shared" si="10"/>
        <v>369</v>
      </c>
      <c r="DL48">
        <f t="shared" si="11"/>
        <v>46</v>
      </c>
      <c r="DM48">
        <v>46</v>
      </c>
      <c r="DN48" t="str">
        <f t="shared" ca="1" si="12"/>
        <v/>
      </c>
      <c r="DO48" t="str">
        <f t="shared" ca="1" si="13"/>
        <v/>
      </c>
      <c r="DP48" t="str">
        <f t="shared" ca="1" si="14"/>
        <v/>
      </c>
      <c r="DQ48" t="str">
        <f>IF(EXACT(Zauber!$A$250,""),"",IF(EXACT(RIGHT(HLOOKUP(Zauber!$A$250,PROFMAGIE,$DK48,FALSE)),"H"),CONCATENATE($CX48,","),""))</f>
        <v/>
      </c>
      <c r="DR48" t="str">
        <f t="shared" si="15"/>
        <v/>
      </c>
      <c r="DS48" t="str">
        <f>IF(ZS_IAAK="Ja",IF(EXACT(RIGHT(HLOOKUP(Tabellen_Magie!$IK$1,PROFMAGIE,$DK48,FALSE)),"H"),CONCATENATE($CX48,","),""),"")</f>
        <v/>
      </c>
      <c r="DT48" t="str">
        <f>IF(ZS_IAAK="Ja",IF(NOT(DS48=""),"",IF(OR(EXACT(RIGHT(HLOOKUP(Tabellen_Magie!$IK$1,PROFMAGIE,$DK48,FALSE)),"B"),EXACT(HLOOKUP(Tabellen_Magie!$IK$1,PROFMAGIE,$DK48,FALSE),"")),"",CONCATENATE($CX48,","))),"")</f>
        <v/>
      </c>
      <c r="DU48" t="str">
        <f t="shared" si="16"/>
        <v/>
      </c>
      <c r="DW48" t="s">
        <v>3196</v>
      </c>
      <c r="DX48" t="s">
        <v>76</v>
      </c>
      <c r="DY48" t="s">
        <v>77</v>
      </c>
      <c r="DZ48" t="s">
        <v>77</v>
      </c>
      <c r="EA48" t="s">
        <v>1283</v>
      </c>
      <c r="EB48" t="s">
        <v>2043</v>
      </c>
      <c r="EC48" t="s">
        <v>1280</v>
      </c>
      <c r="ED48">
        <f t="shared" si="35"/>
        <v>50</v>
      </c>
      <c r="EE48" t="s">
        <v>3283</v>
      </c>
      <c r="EH48">
        <f t="shared" si="36"/>
        <v>1</v>
      </c>
      <c r="EI48">
        <v>50</v>
      </c>
      <c r="EK48" t="s">
        <v>4206</v>
      </c>
      <c r="EL48">
        <v>3</v>
      </c>
      <c r="EM48">
        <v>0</v>
      </c>
      <c r="EN48">
        <v>0</v>
      </c>
      <c r="EO48">
        <v>0</v>
      </c>
      <c r="EP48">
        <v>0</v>
      </c>
      <c r="EQ48">
        <v>0</v>
      </c>
      <c r="ER48">
        <v>0</v>
      </c>
      <c r="ES48">
        <v>0.3</v>
      </c>
      <c r="ET48">
        <v>0.3</v>
      </c>
      <c r="EU48">
        <v>1</v>
      </c>
      <c r="EV48">
        <v>1</v>
      </c>
      <c r="FD48" t="s">
        <v>5005</v>
      </c>
      <c r="FE48">
        <f t="shared" si="40"/>
        <v>400</v>
      </c>
      <c r="FF48">
        <f t="shared" si="37"/>
        <v>8</v>
      </c>
      <c r="FG48" t="s">
        <v>716</v>
      </c>
      <c r="FH48" t="s">
        <v>717</v>
      </c>
      <c r="FK48">
        <v>400</v>
      </c>
      <c r="FL48">
        <v>2</v>
      </c>
      <c r="FM48" t="b">
        <f t="shared" ca="1" si="41"/>
        <v>0</v>
      </c>
      <c r="FN48" t="b">
        <f t="shared" ca="1" si="42"/>
        <v>0</v>
      </c>
      <c r="FQ48" t="s">
        <v>1651</v>
      </c>
      <c r="FR48">
        <v>3</v>
      </c>
      <c r="FS48">
        <v>0</v>
      </c>
      <c r="GG48" t="s">
        <v>4483</v>
      </c>
      <c r="GH48" t="s">
        <v>2694</v>
      </c>
      <c r="GI48" t="s">
        <v>4483</v>
      </c>
      <c r="GJ48">
        <v>1</v>
      </c>
      <c r="GK48" t="s">
        <v>4484</v>
      </c>
      <c r="GL48" t="s">
        <v>567</v>
      </c>
      <c r="GM48" t="s">
        <v>1980</v>
      </c>
      <c r="GN48" t="s">
        <v>1690</v>
      </c>
      <c r="GO48">
        <v>273</v>
      </c>
      <c r="GP48">
        <v>340</v>
      </c>
      <c r="GR48">
        <f t="shared" si="22"/>
        <v>397</v>
      </c>
      <c r="GU48" t="str">
        <f t="shared" ca="1" si="23"/>
        <v/>
      </c>
      <c r="GV48" t="str">
        <f t="shared" ca="1" si="24"/>
        <v/>
      </c>
      <c r="GW48" t="str">
        <f t="shared" ca="1" si="25"/>
        <v/>
      </c>
      <c r="GX48" t="str">
        <f t="shared" ca="1" si="26"/>
        <v/>
      </c>
      <c r="HA48" t="s">
        <v>1706</v>
      </c>
      <c r="HB48" t="s">
        <v>4121</v>
      </c>
      <c r="HC48">
        <f t="shared" si="21"/>
        <v>4</v>
      </c>
      <c r="HD48" t="s">
        <v>1396</v>
      </c>
      <c r="HE48" t="s">
        <v>4123</v>
      </c>
      <c r="HG48" t="s">
        <v>1975</v>
      </c>
      <c r="HH48">
        <v>148</v>
      </c>
      <c r="HI48">
        <f t="shared" si="38"/>
        <v>4</v>
      </c>
      <c r="HJ48">
        <f t="shared" si="39"/>
        <v>200</v>
      </c>
      <c r="HK48" t="s">
        <v>1054</v>
      </c>
      <c r="HL48" t="s">
        <v>2369</v>
      </c>
      <c r="HM48" t="s">
        <v>2991</v>
      </c>
    </row>
    <row r="49" spans="1:221" ht="12.75" customHeight="1" x14ac:dyDescent="0.2">
      <c r="A49" t="s">
        <v>4115</v>
      </c>
      <c r="B49" t="s">
        <v>76</v>
      </c>
      <c r="C49" t="s">
        <v>5030</v>
      </c>
      <c r="D49" t="s">
        <v>752</v>
      </c>
      <c r="E49" t="s">
        <v>1321</v>
      </c>
      <c r="F49" t="s">
        <v>1955</v>
      </c>
      <c r="G49" t="s">
        <v>2194</v>
      </c>
      <c r="L49" t="str">
        <f t="shared" si="31"/>
        <v/>
      </c>
      <c r="M49" t="str">
        <f t="shared" si="32"/>
        <v/>
      </c>
      <c r="N49" t="str">
        <f t="shared" si="34"/>
        <v>Zechen</v>
      </c>
      <c r="O49" t="s">
        <v>2194</v>
      </c>
      <c r="P49">
        <f t="shared" si="33"/>
        <v>87</v>
      </c>
      <c r="R49" t="s">
        <v>4286</v>
      </c>
      <c r="U49">
        <v>18</v>
      </c>
      <c r="Z49" t="s">
        <v>2187</v>
      </c>
      <c r="AA49">
        <v>0.5</v>
      </c>
      <c r="AD49" t="s">
        <v>3995</v>
      </c>
      <c r="AM49" t="str">
        <f t="shared" si="44"/>
        <v>Blasrohr</v>
      </c>
      <c r="AP49" t="str">
        <f t="shared" si="43"/>
        <v>D</v>
      </c>
      <c r="AQ49">
        <v>-5</v>
      </c>
      <c r="AS49" t="s">
        <v>4347</v>
      </c>
      <c r="AT49">
        <v>8</v>
      </c>
      <c r="AU49">
        <v>2</v>
      </c>
      <c r="AV49">
        <v>100</v>
      </c>
      <c r="AX49" t="s">
        <v>2616</v>
      </c>
      <c r="AY49">
        <v>4</v>
      </c>
      <c r="AZ49">
        <v>1</v>
      </c>
      <c r="BA49" t="s">
        <v>212</v>
      </c>
      <c r="BG49">
        <v>5</v>
      </c>
      <c r="BK49" t="s">
        <v>5269</v>
      </c>
      <c r="CD49" t="s">
        <v>2173</v>
      </c>
      <c r="CE49" t="s">
        <v>5095</v>
      </c>
      <c r="CF49" t="s">
        <v>902</v>
      </c>
      <c r="CG49" t="s">
        <v>903</v>
      </c>
      <c r="CH49">
        <v>-1</v>
      </c>
      <c r="CI49">
        <v>2</v>
      </c>
      <c r="CJ49" t="s">
        <v>899</v>
      </c>
      <c r="CK49" t="s">
        <v>3629</v>
      </c>
      <c r="CN49" t="str">
        <f ca="1">IF(AND(ISERR(FIND($CK49,Talente!$CI$41)),ISNA(VLOOKUP($CK49,$AH$51:$AH$55,1))),IF(AND(ISERR(FIND($CL49,Talente!$CI$41)),ISNA(VLOOKUP($CL49,$AH$51:$AH$55,1))),$CM49,$CL49),$CK49)</f>
        <v>Zweihand-Hiebwaffen</v>
      </c>
      <c r="CX49" t="s">
        <v>1200</v>
      </c>
      <c r="CY49" t="s">
        <v>75</v>
      </c>
      <c r="CZ49" t="s">
        <v>75</v>
      </c>
      <c r="DA49" t="s">
        <v>77</v>
      </c>
      <c r="DB49" t="s">
        <v>2042</v>
      </c>
      <c r="DC49" t="s">
        <v>7292</v>
      </c>
      <c r="DD49" t="s">
        <v>7333</v>
      </c>
      <c r="DE49" t="s">
        <v>3142</v>
      </c>
      <c r="DF49" t="s">
        <v>1358</v>
      </c>
      <c r="DG49" t="s">
        <v>1955</v>
      </c>
      <c r="DH49" t="s">
        <v>6867</v>
      </c>
      <c r="DI49" t="s">
        <v>4342</v>
      </c>
      <c r="DJ49">
        <v>2</v>
      </c>
      <c r="DK49">
        <f t="shared" si="10"/>
        <v>370</v>
      </c>
      <c r="DL49">
        <f t="shared" si="11"/>
        <v>47</v>
      </c>
      <c r="DM49">
        <v>47</v>
      </c>
      <c r="DN49" t="str">
        <f t="shared" ca="1" si="12"/>
        <v/>
      </c>
      <c r="DO49" t="str">
        <f t="shared" ca="1" si="13"/>
        <v/>
      </c>
      <c r="DP49" t="str">
        <f t="shared" ca="1" si="14"/>
        <v/>
      </c>
      <c r="DQ49" t="str">
        <f>IF(EXACT(Zauber!$A$250,""),"",IF(EXACT(RIGHT(HLOOKUP(Zauber!$A$250,PROFMAGIE,$DK49,FALSE)),"H"),CONCATENATE($CX49,","),""))</f>
        <v/>
      </c>
      <c r="DR49" t="str">
        <f t="shared" si="15"/>
        <v/>
      </c>
      <c r="DS49" t="str">
        <f>IF(ZS_IAAK="Ja",IF(EXACT(RIGHT(HLOOKUP(Tabellen_Magie!$IK$1,PROFMAGIE,$DK49,FALSE)),"H"),CONCATENATE($CX49,","),""),"")</f>
        <v/>
      </c>
      <c r="DT49" t="str">
        <f>IF(ZS_IAAK="Ja",IF(NOT(DS49=""),"",IF(OR(EXACT(RIGHT(HLOOKUP(Tabellen_Magie!$IK$1,PROFMAGIE,$DK49,FALSE)),"B"),EXACT(HLOOKUP(Tabellen_Magie!$IK$1,PROFMAGIE,$DK49,FALSE),"")),"",CONCATENATE($CX49,","))),"")</f>
        <v/>
      </c>
      <c r="DU49" t="str">
        <f t="shared" si="16"/>
        <v/>
      </c>
      <c r="DW49" t="s">
        <v>1897</v>
      </c>
      <c r="DX49" t="s">
        <v>76</v>
      </c>
      <c r="DY49" t="s">
        <v>77</v>
      </c>
      <c r="DZ49" t="s">
        <v>750</v>
      </c>
      <c r="EB49" t="s">
        <v>8581</v>
      </c>
      <c r="EC49" t="s">
        <v>1444</v>
      </c>
      <c r="ED49">
        <f t="shared" si="35"/>
        <v>50</v>
      </c>
      <c r="EE49" t="s">
        <v>3283</v>
      </c>
      <c r="EH49">
        <f t="shared" si="36"/>
        <v>1</v>
      </c>
      <c r="EI49">
        <v>50</v>
      </c>
      <c r="EK49" t="s">
        <v>1998</v>
      </c>
      <c r="EL49">
        <v>0</v>
      </c>
      <c r="EM49">
        <v>0</v>
      </c>
      <c r="EN49">
        <v>0</v>
      </c>
      <c r="EO49">
        <v>1</v>
      </c>
      <c r="EP49">
        <v>0</v>
      </c>
      <c r="EQ49">
        <v>0</v>
      </c>
      <c r="ER49">
        <v>1</v>
      </c>
      <c r="ES49">
        <v>0.4</v>
      </c>
      <c r="ET49">
        <v>0.4</v>
      </c>
      <c r="EU49">
        <v>0</v>
      </c>
      <c r="EV49">
        <v>0</v>
      </c>
      <c r="FD49" t="s">
        <v>5003</v>
      </c>
      <c r="FE49">
        <f t="shared" si="40"/>
        <v>200</v>
      </c>
      <c r="FF49">
        <f t="shared" si="37"/>
        <v>4</v>
      </c>
      <c r="FG49" t="s">
        <v>716</v>
      </c>
      <c r="FK49">
        <v>200</v>
      </c>
      <c r="FL49">
        <v>3</v>
      </c>
      <c r="FM49" t="b">
        <f t="shared" ca="1" si="41"/>
        <v>0</v>
      </c>
      <c r="FN49" t="b">
        <f t="shared" ca="1" si="42"/>
        <v>0</v>
      </c>
      <c r="FQ49" t="s">
        <v>245</v>
      </c>
      <c r="FR49">
        <v>4</v>
      </c>
      <c r="FS49">
        <v>0</v>
      </c>
      <c r="GG49" t="s">
        <v>3122</v>
      </c>
      <c r="GH49" t="s">
        <v>2695</v>
      </c>
      <c r="GI49" t="s">
        <v>1119</v>
      </c>
      <c r="GJ49">
        <v>2</v>
      </c>
      <c r="GK49" t="s">
        <v>1398</v>
      </c>
      <c r="GL49" t="s">
        <v>1977</v>
      </c>
      <c r="GM49" t="s">
        <v>1982</v>
      </c>
      <c r="GN49" t="s">
        <v>1974</v>
      </c>
      <c r="GO49">
        <v>278</v>
      </c>
      <c r="GP49">
        <v>89</v>
      </c>
      <c r="GR49">
        <f t="shared" si="22"/>
        <v>398</v>
      </c>
      <c r="GU49" t="str">
        <f t="shared" ca="1" si="23"/>
        <v/>
      </c>
      <c r="GV49" t="str">
        <f t="shared" ca="1" si="24"/>
        <v/>
      </c>
      <c r="GW49" t="str">
        <f t="shared" ca="1" si="25"/>
        <v/>
      </c>
      <c r="GX49" t="str">
        <f t="shared" ca="1" si="26"/>
        <v/>
      </c>
      <c r="HA49" t="s">
        <v>1055</v>
      </c>
      <c r="HB49" t="s">
        <v>4483</v>
      </c>
      <c r="HC49">
        <f t="shared" si="21"/>
        <v>1</v>
      </c>
      <c r="HD49" t="s">
        <v>4484</v>
      </c>
      <c r="HE49" t="s">
        <v>4123</v>
      </c>
      <c r="HG49" t="s">
        <v>1690</v>
      </c>
      <c r="HH49">
        <v>152</v>
      </c>
      <c r="HI49">
        <f t="shared" si="38"/>
        <v>1</v>
      </c>
      <c r="HJ49">
        <f t="shared" si="39"/>
        <v>50</v>
      </c>
      <c r="HK49" t="s">
        <v>1327</v>
      </c>
      <c r="HL49" t="s">
        <v>2369</v>
      </c>
      <c r="HM49" t="s">
        <v>2991</v>
      </c>
    </row>
    <row r="50" spans="1:221" ht="12.75" customHeight="1" x14ac:dyDescent="0.2">
      <c r="A50" t="s">
        <v>4118</v>
      </c>
      <c r="B50" t="s">
        <v>1609</v>
      </c>
      <c r="C50" t="s">
        <v>1610</v>
      </c>
      <c r="D50" t="s">
        <v>1611</v>
      </c>
      <c r="E50" t="s">
        <v>5029</v>
      </c>
      <c r="F50" t="s">
        <v>3904</v>
      </c>
      <c r="G50" t="s">
        <v>3905</v>
      </c>
      <c r="R50" t="s">
        <v>4287</v>
      </c>
      <c r="U50">
        <v>18</v>
      </c>
      <c r="Z50" t="s">
        <v>3947</v>
      </c>
      <c r="AC50">
        <v>7</v>
      </c>
      <c r="AH50" t="s">
        <v>2844</v>
      </c>
      <c r="AK50">
        <f>ROW()</f>
        <v>50</v>
      </c>
      <c r="AM50" t="str">
        <f t="shared" si="44"/>
        <v>Bogen</v>
      </c>
      <c r="AP50" t="str">
        <f t="shared" si="43"/>
        <v>E</v>
      </c>
      <c r="AQ50">
        <v>-3</v>
      </c>
      <c r="AS50" t="s">
        <v>4348</v>
      </c>
      <c r="AT50">
        <v>8</v>
      </c>
      <c r="AU50">
        <v>2</v>
      </c>
      <c r="AV50">
        <v>100</v>
      </c>
      <c r="AX50" t="s">
        <v>1022</v>
      </c>
      <c r="AY50">
        <v>4</v>
      </c>
      <c r="AZ50">
        <v>1</v>
      </c>
      <c r="BA50" t="s">
        <v>9279</v>
      </c>
      <c r="BG50">
        <v>5</v>
      </c>
      <c r="BK50" t="s">
        <v>5270</v>
      </c>
      <c r="BL50">
        <v>18</v>
      </c>
      <c r="BM50">
        <v>20</v>
      </c>
      <c r="BN50" t="s">
        <v>5271</v>
      </c>
      <c r="BO50">
        <v>5</v>
      </c>
      <c r="BP50" t="s">
        <v>5272</v>
      </c>
      <c r="BQ50">
        <v>1</v>
      </c>
      <c r="BR50">
        <v>70</v>
      </c>
      <c r="BS50" t="s">
        <v>5166</v>
      </c>
      <c r="BT50" t="s">
        <v>5273</v>
      </c>
      <c r="BU50" t="s">
        <v>5274</v>
      </c>
      <c r="BW50">
        <v>7</v>
      </c>
      <c r="BX50">
        <v>28</v>
      </c>
      <c r="BY50">
        <f>BX50*9</f>
        <v>252</v>
      </c>
      <c r="BZ50" t="s">
        <v>4985</v>
      </c>
      <c r="CA50" t="s">
        <v>5275</v>
      </c>
      <c r="CB50">
        <v>70</v>
      </c>
      <c r="CD50" t="s">
        <v>7179</v>
      </c>
      <c r="CE50" t="s">
        <v>5095</v>
      </c>
      <c r="CF50" t="s">
        <v>7160</v>
      </c>
      <c r="CG50" t="s">
        <v>903</v>
      </c>
      <c r="CH50">
        <v>-1</v>
      </c>
      <c r="CI50">
        <v>2</v>
      </c>
      <c r="CJ50" t="s">
        <v>899</v>
      </c>
      <c r="CK50" t="s">
        <v>2190</v>
      </c>
      <c r="CN50" t="str">
        <f ca="1">IF(AND(ISERR(FIND($CK50,Talente!$CI$41)),ISNA(VLOOKUP($CK50,$AH$51:$AH$55,1))),IF(AND(ISERR(FIND($CL50,Talente!$CI$41)),ISNA(VLOOKUP($CL50,$AH$51:$AH$55,1))),$CM50,$CL50),$CK50)</f>
        <v>Hiebwaffen</v>
      </c>
      <c r="CX50" t="s">
        <v>3450</v>
      </c>
      <c r="CY50" t="s">
        <v>75</v>
      </c>
      <c r="CZ50" t="s">
        <v>75</v>
      </c>
      <c r="DA50" t="s">
        <v>76</v>
      </c>
      <c r="DC50" t="s">
        <v>4183</v>
      </c>
      <c r="DD50" t="s">
        <v>7334</v>
      </c>
      <c r="DE50" t="s">
        <v>2884</v>
      </c>
      <c r="DF50" t="s">
        <v>1358</v>
      </c>
      <c r="DG50" t="s">
        <v>1955</v>
      </c>
      <c r="DH50" t="s">
        <v>6868</v>
      </c>
      <c r="DI50" t="s">
        <v>3361</v>
      </c>
      <c r="DJ50">
        <v>2</v>
      </c>
      <c r="DK50">
        <f t="shared" si="10"/>
        <v>371</v>
      </c>
      <c r="DL50">
        <f t="shared" si="11"/>
        <v>48</v>
      </c>
      <c r="DM50">
        <v>48</v>
      </c>
      <c r="DN50" t="str">
        <f t="shared" ca="1" si="12"/>
        <v/>
      </c>
      <c r="DO50" t="str">
        <f t="shared" ca="1" si="13"/>
        <v/>
      </c>
      <c r="DP50" t="str">
        <f t="shared" ca="1" si="14"/>
        <v/>
      </c>
      <c r="DQ50" t="str">
        <f>IF(EXACT(Zauber!$A$250,""),"",IF(EXACT(RIGHT(HLOOKUP(Zauber!$A$250,PROFMAGIE,$DK50,FALSE)),"H"),CONCATENATE($CX50,","),""))</f>
        <v/>
      </c>
      <c r="DR50" t="str">
        <f t="shared" si="15"/>
        <v/>
      </c>
      <c r="DS50" t="str">
        <f>IF(ZS_IAAK="Ja",IF(EXACT(RIGHT(HLOOKUP(Tabellen_Magie!$IK$1,PROFMAGIE,$DK50,FALSE)),"H"),CONCATENATE($CX50,","),""),"")</f>
        <v/>
      </c>
      <c r="DT50" t="str">
        <f>IF(ZS_IAAK="Ja",IF(NOT(DS50=""),"",IF(OR(EXACT(RIGHT(HLOOKUP(Tabellen_Magie!$IK$1,PROFMAGIE,$DK50,FALSE)),"B"),EXACT(HLOOKUP(Tabellen_Magie!$IK$1,PROFMAGIE,$DK50,FALSE),"")),"",CONCATENATE($CX50,","))),"")</f>
        <v/>
      </c>
      <c r="DU50" t="str">
        <f t="shared" si="16"/>
        <v/>
      </c>
      <c r="DW50" t="s">
        <v>2356</v>
      </c>
      <c r="EK50" t="s">
        <v>5036</v>
      </c>
      <c r="EL50">
        <v>0</v>
      </c>
      <c r="EM50">
        <v>1</v>
      </c>
      <c r="EN50">
        <v>1</v>
      </c>
      <c r="EO50">
        <v>1</v>
      </c>
      <c r="EP50">
        <v>0</v>
      </c>
      <c r="EQ50">
        <v>0</v>
      </c>
      <c r="ER50">
        <v>0</v>
      </c>
      <c r="ES50">
        <v>0.6</v>
      </c>
      <c r="ET50">
        <v>0.6</v>
      </c>
      <c r="EU50">
        <v>1</v>
      </c>
      <c r="EV50">
        <v>1</v>
      </c>
      <c r="FD50" t="s">
        <v>5006</v>
      </c>
      <c r="FE50">
        <f t="shared" si="40"/>
        <v>200</v>
      </c>
      <c r="FF50">
        <f t="shared" si="37"/>
        <v>4</v>
      </c>
      <c r="FG50" t="s">
        <v>716</v>
      </c>
      <c r="FH50" t="s">
        <v>717</v>
      </c>
      <c r="FK50">
        <v>200</v>
      </c>
      <c r="FL50">
        <v>4</v>
      </c>
      <c r="FM50" t="b">
        <f t="shared" ca="1" si="41"/>
        <v>0</v>
      </c>
      <c r="FN50" t="b">
        <f t="shared" ca="1" si="42"/>
        <v>0</v>
      </c>
      <c r="FQ50" t="s">
        <v>246</v>
      </c>
      <c r="FR50">
        <v>4</v>
      </c>
      <c r="FS50">
        <v>0</v>
      </c>
      <c r="GH50" t="s">
        <v>2696</v>
      </c>
      <c r="GI50" t="s">
        <v>1119</v>
      </c>
      <c r="GJ50">
        <v>2</v>
      </c>
      <c r="GK50" t="s">
        <v>4116</v>
      </c>
      <c r="GL50" t="s">
        <v>567</v>
      </c>
      <c r="GM50" t="s">
        <v>1983</v>
      </c>
      <c r="GN50" t="s">
        <v>1973</v>
      </c>
      <c r="GO50">
        <v>282</v>
      </c>
      <c r="GP50">
        <v>344</v>
      </c>
      <c r="GR50">
        <f t="shared" si="22"/>
        <v>399</v>
      </c>
      <c r="GU50" t="str">
        <f t="shared" ca="1" si="23"/>
        <v/>
      </c>
      <c r="GV50" t="str">
        <f t="shared" ca="1" si="24"/>
        <v/>
      </c>
      <c r="GW50" t="str">
        <f t="shared" ca="1" si="25"/>
        <v/>
      </c>
      <c r="GX50" t="str">
        <f t="shared" ca="1" si="26"/>
        <v/>
      </c>
      <c r="HA50" t="s">
        <v>2041</v>
      </c>
      <c r="HG50" t="s">
        <v>784</v>
      </c>
      <c r="HH50">
        <v>152</v>
      </c>
      <c r="HI50">
        <f t="shared" si="38"/>
        <v>0</v>
      </c>
      <c r="HJ50">
        <f t="shared" si="39"/>
        <v>0</v>
      </c>
      <c r="HK50" t="s">
        <v>3620</v>
      </c>
    </row>
    <row r="51" spans="1:221" ht="12.75" customHeight="1" x14ac:dyDescent="0.2">
      <c r="N51" t="s">
        <v>1676</v>
      </c>
      <c r="R51" t="s">
        <v>4288</v>
      </c>
      <c r="U51">
        <v>18</v>
      </c>
      <c r="Z51" t="s">
        <v>2574</v>
      </c>
      <c r="AA51">
        <v>1.5</v>
      </c>
      <c r="AB51">
        <v>12</v>
      </c>
      <c r="AD51" t="s">
        <v>3995</v>
      </c>
      <c r="AH51" t="str">
        <f>A9</f>
        <v>Dolche</v>
      </c>
      <c r="AJ51">
        <f t="shared" ref="AJ51:AJ79" si="45">ROW()-$AK$50</f>
        <v>1</v>
      </c>
      <c r="AK51" t="s">
        <v>1955</v>
      </c>
      <c r="AM51" t="str">
        <f t="shared" si="44"/>
        <v>Diskus</v>
      </c>
      <c r="AP51" t="str">
        <f t="shared" si="43"/>
        <v>D</v>
      </c>
      <c r="AQ51">
        <v>-2</v>
      </c>
      <c r="AS51" t="s">
        <v>2942</v>
      </c>
      <c r="AT51">
        <v>8</v>
      </c>
      <c r="AU51">
        <v>2</v>
      </c>
      <c r="AV51">
        <v>100</v>
      </c>
      <c r="AX51" t="s">
        <v>1023</v>
      </c>
      <c r="AY51">
        <v>4</v>
      </c>
      <c r="AZ51">
        <v>1</v>
      </c>
      <c r="BA51" t="s">
        <v>334</v>
      </c>
      <c r="BB51" t="s">
        <v>335</v>
      </c>
      <c r="BC51" t="s">
        <v>336</v>
      </c>
      <c r="BD51" t="s">
        <v>337</v>
      </c>
      <c r="BG51">
        <v>5</v>
      </c>
      <c r="BK51" t="s">
        <v>5276</v>
      </c>
      <c r="BL51">
        <v>18</v>
      </c>
      <c r="BM51">
        <v>20</v>
      </c>
      <c r="BN51" t="s">
        <v>5271</v>
      </c>
      <c r="BO51">
        <v>5</v>
      </c>
      <c r="BP51" t="s">
        <v>5272</v>
      </c>
      <c r="BQ51">
        <v>1</v>
      </c>
      <c r="BR51">
        <v>70</v>
      </c>
      <c r="BS51" t="s">
        <v>5166</v>
      </c>
      <c r="BT51" t="s">
        <v>5273</v>
      </c>
      <c r="BU51" t="s">
        <v>5274</v>
      </c>
      <c r="BW51">
        <v>7</v>
      </c>
      <c r="BX51">
        <v>28</v>
      </c>
      <c r="BY51">
        <f>BX51*9</f>
        <v>252</v>
      </c>
      <c r="BZ51" t="s">
        <v>4985</v>
      </c>
      <c r="CA51" t="s">
        <v>5275</v>
      </c>
      <c r="CB51">
        <v>70</v>
      </c>
      <c r="CD51" t="s">
        <v>2174</v>
      </c>
      <c r="CE51" t="s">
        <v>916</v>
      </c>
      <c r="CF51" t="s">
        <v>897</v>
      </c>
      <c r="CG51" t="s">
        <v>3234</v>
      </c>
      <c r="CH51">
        <v>-1</v>
      </c>
      <c r="CI51">
        <v>2</v>
      </c>
      <c r="CJ51" t="s">
        <v>4001</v>
      </c>
      <c r="CK51" t="s">
        <v>2190</v>
      </c>
      <c r="CN51" t="str">
        <f ca="1">IF(AND(ISERR(FIND($CK51,Talente!$CI$41)),ISNA(VLOOKUP($CK51,$AH$51:$AH$55,1))),IF(AND(ISERR(FIND($CL51,Talente!$CI$41)),ISNA(VLOOKUP($CL51,$AH$51:$AH$55,1))),$CM51,$CL51),$CK51)</f>
        <v>Hiebwaffen</v>
      </c>
      <c r="CX51" t="s">
        <v>4528</v>
      </c>
      <c r="CY51" t="s">
        <v>75</v>
      </c>
      <c r="CZ51" t="s">
        <v>76</v>
      </c>
      <c r="DA51" t="s">
        <v>751</v>
      </c>
      <c r="DB51" t="s">
        <v>2042</v>
      </c>
      <c r="DC51" t="s">
        <v>7302</v>
      </c>
      <c r="DD51" t="s">
        <v>4127</v>
      </c>
      <c r="DE51" t="s">
        <v>2254</v>
      </c>
      <c r="DF51" t="s">
        <v>7335</v>
      </c>
      <c r="DG51" t="s">
        <v>1321</v>
      </c>
      <c r="DH51" t="s">
        <v>6869</v>
      </c>
      <c r="DI51" t="s">
        <v>2940</v>
      </c>
      <c r="DJ51">
        <v>2</v>
      </c>
      <c r="DK51">
        <f t="shared" si="10"/>
        <v>372</v>
      </c>
      <c r="DL51">
        <f t="shared" si="11"/>
        <v>49</v>
      </c>
      <c r="DM51">
        <v>49</v>
      </c>
      <c r="DN51" t="str">
        <f t="shared" ca="1" si="12"/>
        <v/>
      </c>
      <c r="DO51" t="str">
        <f t="shared" ca="1" si="13"/>
        <v/>
      </c>
      <c r="DP51" t="str">
        <f t="shared" ca="1" si="14"/>
        <v/>
      </c>
      <c r="DQ51" t="str">
        <f>IF(EXACT(Zauber!$A$250,""),"",IF(EXACT(RIGHT(HLOOKUP(Zauber!$A$250,PROFMAGIE,$DK51,FALSE)),"H"),CONCATENATE($CX51,","),""))</f>
        <v/>
      </c>
      <c r="DR51" t="str">
        <f t="shared" si="15"/>
        <v/>
      </c>
      <c r="DS51" t="str">
        <f>IF(ZS_IAAK="Ja",IF(EXACT(RIGHT(HLOOKUP(Tabellen_Magie!$IK$1,PROFMAGIE,$DK51,FALSE)),"H"),CONCATENATE($CX51,","),""),"")</f>
        <v/>
      </c>
      <c r="DT51" t="str">
        <f>IF(ZS_IAAK="Ja",IF(NOT(DS51=""),"",IF(OR(EXACT(RIGHT(HLOOKUP(Tabellen_Magie!$IK$1,PROFMAGIE,$DK51,FALSE)),"B"),EXACT(HLOOKUP(Tabellen_Magie!$IK$1,PROFMAGIE,$DK51,FALSE),"")),"",CONCATENATE($CX51,","))),"")</f>
        <v/>
      </c>
      <c r="DU51" t="str">
        <f t="shared" si="16"/>
        <v/>
      </c>
      <c r="DV51" t="s">
        <v>2355</v>
      </c>
      <c r="DW51" t="s">
        <v>3197</v>
      </c>
      <c r="DX51" t="s">
        <v>75</v>
      </c>
      <c r="DY51" t="s">
        <v>76</v>
      </c>
      <c r="DZ51" t="s">
        <v>750</v>
      </c>
      <c r="EA51" t="s">
        <v>1613</v>
      </c>
      <c r="EC51" t="s">
        <v>2266</v>
      </c>
      <c r="ED51">
        <f t="shared" ref="ED51:ED56" si="46">ROUND(EI51*IF(VT_EIDGED,0.5,IF(VT_GUTGED,0.75,1)),0)</f>
        <v>100</v>
      </c>
      <c r="EE51" t="s">
        <v>3279</v>
      </c>
      <c r="EH51">
        <f t="shared" ref="EH51:EH56" si="47">ROUNDUP($ED51/50,0)</f>
        <v>2</v>
      </c>
      <c r="EI51">
        <v>100</v>
      </c>
      <c r="EK51" t="s">
        <v>1593</v>
      </c>
      <c r="EL51">
        <v>0</v>
      </c>
      <c r="EM51">
        <v>0</v>
      </c>
      <c r="EN51">
        <v>0</v>
      </c>
      <c r="EO51">
        <v>0</v>
      </c>
      <c r="EP51">
        <v>1</v>
      </c>
      <c r="EQ51">
        <v>1</v>
      </c>
      <c r="ER51">
        <v>1</v>
      </c>
      <c r="ES51">
        <v>0.3</v>
      </c>
      <c r="ET51">
        <v>0.3</v>
      </c>
      <c r="EU51">
        <v>1</v>
      </c>
      <c r="EV51">
        <v>1</v>
      </c>
      <c r="FD51" t="s">
        <v>5007</v>
      </c>
      <c r="FE51">
        <f t="shared" si="40"/>
        <v>200</v>
      </c>
      <c r="FF51">
        <f t="shared" si="37"/>
        <v>4</v>
      </c>
      <c r="FG51" t="s">
        <v>716</v>
      </c>
      <c r="FH51" t="s">
        <v>717</v>
      </c>
      <c r="FK51">
        <v>200</v>
      </c>
      <c r="FL51">
        <v>1</v>
      </c>
      <c r="FM51" t="b">
        <f t="shared" ca="1" si="41"/>
        <v>0</v>
      </c>
      <c r="FN51" t="b">
        <f t="shared" ca="1" si="42"/>
        <v>0</v>
      </c>
      <c r="FQ51" t="s">
        <v>4590</v>
      </c>
      <c r="FR51">
        <v>4</v>
      </c>
      <c r="FS51">
        <v>0</v>
      </c>
      <c r="GH51" t="s">
        <v>2697</v>
      </c>
      <c r="GI51" t="s">
        <v>1119</v>
      </c>
      <c r="GJ51">
        <v>2</v>
      </c>
      <c r="GK51" t="s">
        <v>1320</v>
      </c>
      <c r="GL51" t="s">
        <v>567</v>
      </c>
      <c r="GM51" t="s">
        <v>1369</v>
      </c>
      <c r="GN51" t="s">
        <v>1974</v>
      </c>
      <c r="GO51">
        <v>285</v>
      </c>
      <c r="GP51">
        <v>92</v>
      </c>
      <c r="GR51">
        <f t="shared" si="22"/>
        <v>400</v>
      </c>
      <c r="GU51" t="str">
        <f t="shared" ca="1" si="23"/>
        <v/>
      </c>
      <c r="GV51" t="str">
        <f t="shared" ca="1" si="24"/>
        <v/>
      </c>
      <c r="GW51" t="str">
        <f t="shared" ca="1" si="25"/>
        <v/>
      </c>
      <c r="GX51" t="str">
        <f t="shared" ca="1" si="26"/>
        <v/>
      </c>
      <c r="HA51" t="s">
        <v>1056</v>
      </c>
      <c r="HB51" t="s">
        <v>4121</v>
      </c>
      <c r="HC51">
        <f t="shared" si="21"/>
        <v>4</v>
      </c>
      <c r="HD51" t="s">
        <v>1396</v>
      </c>
      <c r="HE51" t="s">
        <v>4123</v>
      </c>
      <c r="HG51" t="s">
        <v>1975</v>
      </c>
      <c r="HH51">
        <v>148</v>
      </c>
      <c r="HI51">
        <f t="shared" si="38"/>
        <v>4</v>
      </c>
      <c r="HJ51">
        <f t="shared" si="39"/>
        <v>200</v>
      </c>
      <c r="HK51" t="s">
        <v>2905</v>
      </c>
      <c r="HL51" t="s">
        <v>2369</v>
      </c>
      <c r="HM51" t="s">
        <v>2991</v>
      </c>
    </row>
    <row r="52" spans="1:221" ht="12.75" customHeight="1" x14ac:dyDescent="0.2">
      <c r="A52" t="s">
        <v>4119</v>
      </c>
      <c r="B52" t="s">
        <v>76</v>
      </c>
      <c r="C52" t="s">
        <v>77</v>
      </c>
      <c r="D52" t="s">
        <v>77</v>
      </c>
      <c r="E52" t="s">
        <v>1827</v>
      </c>
      <c r="F52" t="s">
        <v>1321</v>
      </c>
      <c r="L52" t="str">
        <f t="shared" ref="L52:L62" si="48">IF(VLOOKUP(A52,TL_SPEZ,18,FALSE)="","",VLOOKUP(A52,TL_SPEZ,18,FALSE))</f>
        <v/>
      </c>
      <c r="M52" t="str">
        <f t="shared" ref="M52:M62" si="49">IF(VLOOKUP($A52,TL_SPEZ,19,FALSE)="","",VLOOKUP($A52,TL_SPEZ,19,FALSE))</f>
        <v/>
      </c>
      <c r="N52" t="str">
        <f t="shared" ref="N52:N62" si="50">CONCATENATE(A52,IF(L52="",""," ("&amp;L52),IF(M52="","","¦"&amp;M52),IF(L52="","",")"))</f>
        <v>Betören</v>
      </c>
      <c r="P52">
        <f t="shared" ref="P52:P62" si="51">VLOOKUP($A52,ZEILENBEZUG,2,FALSE)</f>
        <v>88</v>
      </c>
      <c r="R52" t="s">
        <v>4289</v>
      </c>
      <c r="U52">
        <v>10</v>
      </c>
      <c r="Z52" t="s">
        <v>3651</v>
      </c>
      <c r="AC52">
        <v>5</v>
      </c>
      <c r="AH52" t="str">
        <f>A11</f>
        <v>Hiebwaffen</v>
      </c>
      <c r="AJ52">
        <f t="shared" si="45"/>
        <v>2</v>
      </c>
      <c r="AK52" t="s">
        <v>1955</v>
      </c>
      <c r="AM52" t="str">
        <f t="shared" si="44"/>
        <v>Dolche</v>
      </c>
      <c r="AP52" t="str">
        <f>VLOOKUP(AM52,BASISSKT,4,FALSE)</f>
        <v>D</v>
      </c>
      <c r="AQ52">
        <v>-1</v>
      </c>
      <c r="AS52" t="s">
        <v>4349</v>
      </c>
      <c r="AT52">
        <v>16</v>
      </c>
      <c r="AU52">
        <v>4</v>
      </c>
      <c r="AV52">
        <v>300</v>
      </c>
      <c r="AX52" t="s">
        <v>3327</v>
      </c>
      <c r="AY52">
        <v>4</v>
      </c>
      <c r="AZ52">
        <v>1</v>
      </c>
      <c r="BA52" t="s">
        <v>139</v>
      </c>
      <c r="BG52">
        <v>5</v>
      </c>
      <c r="BK52" t="s">
        <v>5277</v>
      </c>
      <c r="BL52">
        <v>18</v>
      </c>
      <c r="BM52">
        <v>20</v>
      </c>
      <c r="BN52" t="s">
        <v>5271</v>
      </c>
      <c r="BO52">
        <v>5</v>
      </c>
      <c r="BP52" t="s">
        <v>5272</v>
      </c>
      <c r="BQ52">
        <v>1</v>
      </c>
      <c r="BR52">
        <v>70</v>
      </c>
      <c r="BS52" t="s">
        <v>5166</v>
      </c>
      <c r="BT52" t="s">
        <v>5278</v>
      </c>
      <c r="BU52" t="s">
        <v>5274</v>
      </c>
      <c r="BW52">
        <v>7</v>
      </c>
      <c r="BX52">
        <v>28</v>
      </c>
      <c r="BY52">
        <f>BX52*7</f>
        <v>196</v>
      </c>
      <c r="BZ52" t="s">
        <v>4985</v>
      </c>
      <c r="CA52" t="s">
        <v>5275</v>
      </c>
      <c r="CB52">
        <v>110</v>
      </c>
      <c r="CD52" t="s">
        <v>8808</v>
      </c>
      <c r="CE52" t="s">
        <v>5091</v>
      </c>
      <c r="CF52" t="s">
        <v>897</v>
      </c>
      <c r="CG52" t="s">
        <v>898</v>
      </c>
      <c r="CH52">
        <v>0</v>
      </c>
      <c r="CI52" t="s">
        <v>4985</v>
      </c>
      <c r="CJ52" t="s">
        <v>3586</v>
      </c>
      <c r="CK52" t="s">
        <v>2350</v>
      </c>
      <c r="CX52" t="s">
        <v>532</v>
      </c>
      <c r="CY52" t="s">
        <v>74</v>
      </c>
      <c r="CZ52" t="s">
        <v>77</v>
      </c>
      <c r="DA52" t="s">
        <v>77</v>
      </c>
      <c r="DB52" t="s">
        <v>2042</v>
      </c>
      <c r="DC52" t="s">
        <v>7294</v>
      </c>
      <c r="DD52" t="s">
        <v>7336</v>
      </c>
      <c r="DE52" t="s">
        <v>3591</v>
      </c>
      <c r="DF52" t="s">
        <v>1574</v>
      </c>
      <c r="DG52" t="s">
        <v>1956</v>
      </c>
      <c r="DH52" t="s">
        <v>8415</v>
      </c>
      <c r="DI52" t="s">
        <v>2940</v>
      </c>
      <c r="DJ52">
        <v>2</v>
      </c>
      <c r="DK52">
        <f t="shared" si="10"/>
        <v>373</v>
      </c>
      <c r="DL52">
        <f t="shared" si="11"/>
        <v>50</v>
      </c>
      <c r="DM52">
        <v>50</v>
      </c>
      <c r="DN52" t="str">
        <f t="shared" ca="1" si="12"/>
        <v/>
      </c>
      <c r="DO52" t="str">
        <f t="shared" ca="1" si="13"/>
        <v/>
      </c>
      <c r="DP52" t="str">
        <f t="shared" ca="1" si="14"/>
        <v/>
      </c>
      <c r="DQ52" t="str">
        <f>IF(EXACT(Zauber!$A$250,""),"",IF(EXACT(RIGHT(HLOOKUP(Zauber!$A$250,PROFMAGIE,$DK52,FALSE)),"H"),CONCATENATE($CX52,","),""))</f>
        <v/>
      </c>
      <c r="DR52" t="str">
        <f t="shared" si="15"/>
        <v/>
      </c>
      <c r="DS52" t="str">
        <f>IF(ZS_IAAK="Ja",IF(EXACT(RIGHT(HLOOKUP(Tabellen_Magie!$IK$1,PROFMAGIE,$DK52,FALSE)),"H"),CONCATENATE($CX52,","),""),"")</f>
        <v/>
      </c>
      <c r="DT52" t="str">
        <f>IF(ZS_IAAK="Ja",IF(NOT(DS52=""),"",IF(OR(EXACT(RIGHT(HLOOKUP(Tabellen_Magie!$IK$1,PROFMAGIE,$DK52,FALSE)),"B"),EXACT(HLOOKUP(Tabellen_Magie!$IK$1,PROFMAGIE,$DK52,FALSE),"")),"",CONCATENATE($CX52,","))),"")</f>
        <v/>
      </c>
      <c r="DU52" t="str">
        <f t="shared" si="16"/>
        <v/>
      </c>
      <c r="DW52" t="s">
        <v>3198</v>
      </c>
      <c r="DX52" t="s">
        <v>75</v>
      </c>
      <c r="DY52" t="s">
        <v>750</v>
      </c>
      <c r="DZ52" t="s">
        <v>752</v>
      </c>
      <c r="EA52" t="s">
        <v>1613</v>
      </c>
      <c r="EB52" t="s">
        <v>8582</v>
      </c>
      <c r="EC52" t="s">
        <v>2267</v>
      </c>
      <c r="ED52">
        <f t="shared" si="46"/>
        <v>250</v>
      </c>
      <c r="EE52" t="s">
        <v>3279</v>
      </c>
      <c r="EH52">
        <f t="shared" si="47"/>
        <v>5</v>
      </c>
      <c r="EI52">
        <v>250</v>
      </c>
      <c r="EK52" t="s">
        <v>4789</v>
      </c>
      <c r="EL52">
        <v>0</v>
      </c>
      <c r="EM52">
        <v>5</v>
      </c>
      <c r="EN52">
        <v>4</v>
      </c>
      <c r="EO52">
        <v>5</v>
      </c>
      <c r="EP52">
        <v>0</v>
      </c>
      <c r="EQ52">
        <v>0</v>
      </c>
      <c r="ER52">
        <v>2</v>
      </c>
      <c r="ES52">
        <v>3.2</v>
      </c>
      <c r="ET52">
        <v>2.2000000000000002</v>
      </c>
      <c r="EU52">
        <v>4</v>
      </c>
      <c r="EV52">
        <v>3</v>
      </c>
      <c r="FD52" t="s">
        <v>5008</v>
      </c>
      <c r="FE52">
        <f t="shared" si="40"/>
        <v>100</v>
      </c>
      <c r="FF52">
        <f t="shared" si="37"/>
        <v>2</v>
      </c>
      <c r="FK52">
        <v>100</v>
      </c>
      <c r="FL52">
        <v>4</v>
      </c>
      <c r="FM52" t="b">
        <f t="shared" ca="1" si="41"/>
        <v>0</v>
      </c>
      <c r="FN52" t="b">
        <f t="shared" ca="1" si="42"/>
        <v>0</v>
      </c>
      <c r="FQ52" t="s">
        <v>824</v>
      </c>
      <c r="FR52">
        <v>4</v>
      </c>
      <c r="FS52">
        <v>0</v>
      </c>
      <c r="GH52" t="s">
        <v>2698</v>
      </c>
      <c r="GI52" t="s">
        <v>1119</v>
      </c>
      <c r="GJ52">
        <v>2</v>
      </c>
      <c r="GK52" t="s">
        <v>1320</v>
      </c>
      <c r="GL52" t="s">
        <v>1977</v>
      </c>
      <c r="GM52" t="s">
        <v>1983</v>
      </c>
      <c r="GN52" t="s">
        <v>1974</v>
      </c>
      <c r="GO52">
        <v>276</v>
      </c>
      <c r="GP52">
        <v>93</v>
      </c>
      <c r="GR52">
        <f t="shared" si="22"/>
        <v>401</v>
      </c>
      <c r="GU52" t="str">
        <f t="shared" ca="1" si="23"/>
        <v/>
      </c>
      <c r="GV52" t="str">
        <f t="shared" ca="1" si="24"/>
        <v/>
      </c>
      <c r="GW52" t="str">
        <f t="shared" ca="1" si="25"/>
        <v/>
      </c>
      <c r="GX52" t="str">
        <f t="shared" ca="1" si="26"/>
        <v/>
      </c>
      <c r="HA52" t="s">
        <v>346</v>
      </c>
      <c r="HB52" t="s">
        <v>4121</v>
      </c>
      <c r="HC52">
        <f t="shared" si="21"/>
        <v>4</v>
      </c>
      <c r="HD52" t="s">
        <v>4885</v>
      </c>
      <c r="HE52" t="s">
        <v>4123</v>
      </c>
      <c r="HF52" t="s">
        <v>1893</v>
      </c>
      <c r="HG52" t="s">
        <v>1975</v>
      </c>
      <c r="HH52">
        <v>148</v>
      </c>
      <c r="HI52">
        <f t="shared" si="38"/>
        <v>4</v>
      </c>
      <c r="HJ52">
        <f t="shared" si="39"/>
        <v>200</v>
      </c>
      <c r="HK52" t="s">
        <v>347</v>
      </c>
      <c r="HL52" t="s">
        <v>1979</v>
      </c>
      <c r="HM52" t="s">
        <v>2401</v>
      </c>
    </row>
    <row r="53" spans="1:221" ht="15.75" customHeight="1" x14ac:dyDescent="0.2">
      <c r="A53" t="s">
        <v>4120</v>
      </c>
      <c r="B53" t="s">
        <v>75</v>
      </c>
      <c r="C53" t="s">
        <v>76</v>
      </c>
      <c r="D53" t="s">
        <v>77</v>
      </c>
      <c r="E53" t="s">
        <v>1827</v>
      </c>
      <c r="F53" t="s">
        <v>1321</v>
      </c>
      <c r="L53" t="str">
        <f t="shared" si="48"/>
        <v/>
      </c>
      <c r="M53" t="str">
        <f t="shared" si="49"/>
        <v/>
      </c>
      <c r="N53" t="str">
        <f t="shared" si="50"/>
        <v>Etikette</v>
      </c>
      <c r="P53">
        <f t="shared" si="51"/>
        <v>89</v>
      </c>
      <c r="R53" t="s">
        <v>4290</v>
      </c>
      <c r="U53">
        <v>18</v>
      </c>
      <c r="Z53" t="s">
        <v>3241</v>
      </c>
      <c r="AA53">
        <v>0.5</v>
      </c>
      <c r="AD53" t="s">
        <v>3995</v>
      </c>
      <c r="AH53" t="str">
        <f>A17</f>
        <v>Raufen</v>
      </c>
      <c r="AJ53">
        <f t="shared" si="45"/>
        <v>3</v>
      </c>
      <c r="AK53" t="s">
        <v>1956</v>
      </c>
      <c r="AM53" t="str">
        <f t="shared" si="44"/>
        <v>Fechtwaffen</v>
      </c>
      <c r="AP53" t="str">
        <f>VLOOKUP(AM53,TL_KPF_WERTE,6,FALSE)</f>
        <v>E</v>
      </c>
      <c r="AQ53">
        <v>-1</v>
      </c>
      <c r="AS53" t="s">
        <v>4350</v>
      </c>
      <c r="AT53">
        <v>12</v>
      </c>
      <c r="AU53">
        <v>3</v>
      </c>
      <c r="AV53">
        <v>200</v>
      </c>
      <c r="AX53" t="s">
        <v>2190</v>
      </c>
      <c r="AY53">
        <v>6</v>
      </c>
      <c r="AZ53">
        <v>2</v>
      </c>
      <c r="BG53">
        <v>5</v>
      </c>
      <c r="BK53" t="s">
        <v>5279</v>
      </c>
      <c r="BL53">
        <v>18</v>
      </c>
      <c r="BM53">
        <v>20</v>
      </c>
      <c r="BN53" t="s">
        <v>5152</v>
      </c>
      <c r="BO53">
        <v>6</v>
      </c>
      <c r="BP53" t="s">
        <v>5272</v>
      </c>
      <c r="BQ53">
        <v>1</v>
      </c>
      <c r="BR53">
        <v>65</v>
      </c>
      <c r="BS53" t="s">
        <v>5166</v>
      </c>
      <c r="BT53" t="s">
        <v>5200</v>
      </c>
      <c r="BU53" t="s">
        <v>5274</v>
      </c>
      <c r="BW53">
        <v>7</v>
      </c>
      <c r="BX53">
        <v>26</v>
      </c>
      <c r="BY53">
        <f>BX53*9</f>
        <v>234</v>
      </c>
      <c r="BZ53" t="s">
        <v>4985</v>
      </c>
      <c r="CA53" t="s">
        <v>5275</v>
      </c>
      <c r="CB53">
        <v>70</v>
      </c>
      <c r="CD53" t="s">
        <v>8807</v>
      </c>
      <c r="CE53" t="s">
        <v>5091</v>
      </c>
      <c r="CF53" t="s">
        <v>897</v>
      </c>
      <c r="CG53" t="s">
        <v>898</v>
      </c>
      <c r="CH53">
        <v>0</v>
      </c>
      <c r="CI53" t="s">
        <v>4985</v>
      </c>
      <c r="CJ53" t="s">
        <v>3586</v>
      </c>
      <c r="CK53" t="s">
        <v>1938</v>
      </c>
      <c r="CX53" t="s">
        <v>2467</v>
      </c>
      <c r="CY53" t="s">
        <v>74</v>
      </c>
      <c r="CZ53" t="s">
        <v>75</v>
      </c>
      <c r="DA53" t="s">
        <v>5030</v>
      </c>
      <c r="DC53" t="s">
        <v>7291</v>
      </c>
      <c r="DD53" t="s">
        <v>3138</v>
      </c>
      <c r="DE53" t="s">
        <v>1321</v>
      </c>
      <c r="DF53" t="s">
        <v>1246</v>
      </c>
      <c r="DG53" t="s">
        <v>1956</v>
      </c>
      <c r="DH53" t="s">
        <v>6870</v>
      </c>
      <c r="DI53" t="s">
        <v>8451</v>
      </c>
      <c r="DJ53">
        <v>2</v>
      </c>
      <c r="DK53">
        <f t="shared" si="10"/>
        <v>374</v>
      </c>
      <c r="DL53">
        <f t="shared" si="11"/>
        <v>51</v>
      </c>
      <c r="DM53">
        <v>51</v>
      </c>
      <c r="DN53" t="str">
        <f t="shared" ca="1" si="12"/>
        <v/>
      </c>
      <c r="DO53" t="str">
        <f t="shared" ca="1" si="13"/>
        <v/>
      </c>
      <c r="DP53" t="str">
        <f t="shared" ca="1" si="14"/>
        <v/>
      </c>
      <c r="DQ53" t="str">
        <f>IF(EXACT(Zauber!$A$250,""),"",IF(EXACT(RIGHT(HLOOKUP(Zauber!$A$250,PROFMAGIE,$DK53,FALSE)),"H"),CONCATENATE($CX53,","),""))</f>
        <v/>
      </c>
      <c r="DR53" t="str">
        <f t="shared" si="15"/>
        <v/>
      </c>
      <c r="DS53" t="str">
        <f>IF(ZS_IAAK="Ja",IF(EXACT(RIGHT(HLOOKUP(Tabellen_Magie!$IK$1,PROFMAGIE,$DK53,FALSE)),"H"),CONCATENATE($CX53,","),""),"")</f>
        <v/>
      </c>
      <c r="DT53" t="str">
        <f>IF(ZS_IAAK="Ja",IF(NOT(DS53=""),"",IF(OR(EXACT(RIGHT(HLOOKUP(Tabellen_Magie!$IK$1,PROFMAGIE,$DK53,FALSE)),"B"),EXACT(HLOOKUP(Tabellen_Magie!$IK$1,PROFMAGIE,$DK53,FALSE),"")),"",CONCATENATE($CX53,","))),"")</f>
        <v/>
      </c>
      <c r="DU53" t="str">
        <f t="shared" si="16"/>
        <v/>
      </c>
      <c r="DW53" t="s">
        <v>1470</v>
      </c>
      <c r="DX53" t="s">
        <v>74</v>
      </c>
      <c r="DY53" t="s">
        <v>76</v>
      </c>
      <c r="DZ53" t="s">
        <v>77</v>
      </c>
      <c r="ED53">
        <f t="shared" si="46"/>
        <v>150</v>
      </c>
      <c r="EE53" t="s">
        <v>3279</v>
      </c>
      <c r="EH53">
        <f t="shared" si="47"/>
        <v>3</v>
      </c>
      <c r="EI53">
        <v>150</v>
      </c>
      <c r="EK53" t="s">
        <v>4210</v>
      </c>
      <c r="EL53">
        <v>2</v>
      </c>
      <c r="EM53">
        <v>2</v>
      </c>
      <c r="EN53">
        <v>2</v>
      </c>
      <c r="EO53">
        <v>0</v>
      </c>
      <c r="EP53">
        <v>1</v>
      </c>
      <c r="EQ53">
        <v>1</v>
      </c>
      <c r="ER53">
        <v>0</v>
      </c>
      <c r="ES53">
        <v>1.1000000000000001</v>
      </c>
      <c r="ET53">
        <v>0.55000000000000004</v>
      </c>
      <c r="EU53">
        <v>1</v>
      </c>
      <c r="EV53">
        <v>1</v>
      </c>
      <c r="FD53" t="s">
        <v>5009</v>
      </c>
      <c r="FE53">
        <f t="shared" si="40"/>
        <v>100</v>
      </c>
      <c r="FF53">
        <f t="shared" si="37"/>
        <v>2</v>
      </c>
      <c r="FK53">
        <v>100</v>
      </c>
      <c r="FL53">
        <v>3</v>
      </c>
      <c r="FM53" t="b">
        <f t="shared" ca="1" si="41"/>
        <v>0</v>
      </c>
      <c r="FN53" t="b">
        <f t="shared" ca="1" si="42"/>
        <v>0</v>
      </c>
      <c r="FQ53" t="s">
        <v>4075</v>
      </c>
      <c r="FR53">
        <v>3</v>
      </c>
      <c r="FS53">
        <v>0</v>
      </c>
      <c r="GH53" t="s">
        <v>2376</v>
      </c>
      <c r="GI53" t="s">
        <v>1119</v>
      </c>
      <c r="GJ53">
        <v>2</v>
      </c>
      <c r="GK53" t="s">
        <v>4484</v>
      </c>
      <c r="GL53" t="s">
        <v>567</v>
      </c>
      <c r="GM53" t="s">
        <v>1983</v>
      </c>
      <c r="GN53" t="s">
        <v>1975</v>
      </c>
      <c r="GO53">
        <v>262</v>
      </c>
      <c r="GP53">
        <v>94</v>
      </c>
      <c r="GR53">
        <f t="shared" si="22"/>
        <v>402</v>
      </c>
      <c r="GS53">
        <v>5</v>
      </c>
      <c r="GU53" t="str">
        <f t="shared" ca="1" si="23"/>
        <v/>
      </c>
      <c r="GV53" t="str">
        <f t="shared" ca="1" si="24"/>
        <v/>
      </c>
      <c r="GW53" t="str">
        <f t="shared" ca="1" si="25"/>
        <v/>
      </c>
      <c r="GX53" t="str">
        <f t="shared" ca="1" si="26"/>
        <v/>
      </c>
      <c r="HA53" t="s">
        <v>348</v>
      </c>
      <c r="HB53" t="s">
        <v>4483</v>
      </c>
      <c r="HC53">
        <f t="shared" si="21"/>
        <v>1</v>
      </c>
      <c r="HD53" t="s">
        <v>1549</v>
      </c>
      <c r="HE53" t="s">
        <v>3295</v>
      </c>
      <c r="HG53" t="s">
        <v>1974</v>
      </c>
      <c r="HH53">
        <v>145</v>
      </c>
      <c r="HI53">
        <f t="shared" si="38"/>
        <v>1</v>
      </c>
      <c r="HJ53">
        <f t="shared" si="39"/>
        <v>50</v>
      </c>
      <c r="HK53" t="s">
        <v>1001</v>
      </c>
      <c r="HL53" t="s">
        <v>3396</v>
      </c>
      <c r="HM53" t="s">
        <v>3961</v>
      </c>
    </row>
    <row r="54" spans="1:221" ht="12.75" customHeight="1" x14ac:dyDescent="0.2">
      <c r="A54" t="s">
        <v>1586</v>
      </c>
      <c r="B54" t="s">
        <v>76</v>
      </c>
      <c r="C54" t="s">
        <v>77</v>
      </c>
      <c r="D54" t="s">
        <v>750</v>
      </c>
      <c r="E54" t="s">
        <v>1320</v>
      </c>
      <c r="F54" t="s">
        <v>1321</v>
      </c>
      <c r="L54" t="str">
        <f t="shared" si="48"/>
        <v/>
      </c>
      <c r="M54" t="str">
        <f t="shared" si="49"/>
        <v/>
      </c>
      <c r="N54" t="str">
        <f t="shared" si="50"/>
        <v>Galanterie</v>
      </c>
      <c r="P54">
        <f t="shared" si="51"/>
        <v>90</v>
      </c>
      <c r="R54" t="s">
        <v>700</v>
      </c>
      <c r="U54">
        <v>16</v>
      </c>
      <c r="Z54" t="s">
        <v>2575</v>
      </c>
      <c r="AA54">
        <v>1.5</v>
      </c>
      <c r="AB54">
        <v>12</v>
      </c>
      <c r="AD54" t="s">
        <v>3995</v>
      </c>
      <c r="AH54" t="str">
        <f>A19</f>
        <v>Säbel</v>
      </c>
      <c r="AJ54">
        <f t="shared" si="45"/>
        <v>4</v>
      </c>
      <c r="AK54" t="s">
        <v>1955</v>
      </c>
      <c r="AM54" t="str">
        <f t="shared" si="44"/>
        <v>Hiebwaffen</v>
      </c>
      <c r="AP54" t="str">
        <f>VLOOKUP(AM54,BASISSKT,4,FALSE)</f>
        <v>D</v>
      </c>
      <c r="AQ54">
        <v>-4</v>
      </c>
      <c r="AS54" t="s">
        <v>4351</v>
      </c>
      <c r="AT54">
        <v>8</v>
      </c>
      <c r="AU54">
        <v>2</v>
      </c>
      <c r="AV54">
        <v>100</v>
      </c>
      <c r="AX54" t="s">
        <v>1024</v>
      </c>
      <c r="AY54">
        <v>4</v>
      </c>
      <c r="AZ54">
        <v>1</v>
      </c>
      <c r="BA54" t="s">
        <v>3089</v>
      </c>
      <c r="BB54" t="s">
        <v>338</v>
      </c>
      <c r="BC54" t="s">
        <v>3088</v>
      </c>
      <c r="BD54" t="s">
        <v>3090</v>
      </c>
      <c r="BE54" t="s">
        <v>3091</v>
      </c>
      <c r="BF54" t="s">
        <v>3092</v>
      </c>
      <c r="BG54">
        <v>5</v>
      </c>
      <c r="BK54" t="s">
        <v>5280</v>
      </c>
      <c r="BL54">
        <v>18</v>
      </c>
      <c r="BM54">
        <v>15</v>
      </c>
      <c r="BN54" t="s">
        <v>5281</v>
      </c>
      <c r="BO54">
        <v>8</v>
      </c>
      <c r="BP54" t="s">
        <v>5145</v>
      </c>
      <c r="BQ54">
        <v>2</v>
      </c>
      <c r="BR54">
        <v>35</v>
      </c>
      <c r="BS54" t="s">
        <v>5135</v>
      </c>
      <c r="BT54" t="s">
        <v>5282</v>
      </c>
      <c r="BU54" t="s">
        <v>5283</v>
      </c>
      <c r="BW54">
        <v>7</v>
      </c>
      <c r="BX54">
        <v>14</v>
      </c>
      <c r="BY54">
        <f>BX54*7</f>
        <v>98</v>
      </c>
      <c r="BZ54" t="s">
        <v>4985</v>
      </c>
      <c r="CA54" t="s">
        <v>5284</v>
      </c>
      <c r="CB54">
        <v>25</v>
      </c>
      <c r="CD54" t="s">
        <v>2175</v>
      </c>
      <c r="CE54" t="s">
        <v>4549</v>
      </c>
      <c r="CF54" t="s">
        <v>379</v>
      </c>
      <c r="CG54" t="s">
        <v>3238</v>
      </c>
      <c r="CH54">
        <v>3</v>
      </c>
      <c r="CI54">
        <v>4</v>
      </c>
      <c r="CJ54" t="s">
        <v>899</v>
      </c>
      <c r="CK54" t="s">
        <v>3043</v>
      </c>
      <c r="CN54" t="str">
        <f ca="1">IF(AND(ISERR(FIND($CK54,Talente!$CI$41)),ISNA(VLOOKUP($CK54,$AH$51:$AH$55,1))),IF(AND(ISERR(FIND($CL54,Talente!$CI$41)),ISNA(VLOOKUP($CL54,$AH$51:$AH$55,1))),$CM54,$CL54),$CK54)</f>
        <v>Fechtwaffen</v>
      </c>
      <c r="CX54" t="s">
        <v>2468</v>
      </c>
      <c r="CY54" t="s">
        <v>76</v>
      </c>
      <c r="CZ54" t="s">
        <v>77</v>
      </c>
      <c r="DA54" t="s">
        <v>5030</v>
      </c>
      <c r="DC54" t="s">
        <v>7288</v>
      </c>
      <c r="DD54" t="s">
        <v>1134</v>
      </c>
      <c r="DE54" t="s">
        <v>1321</v>
      </c>
      <c r="DF54" t="s">
        <v>1617</v>
      </c>
      <c r="DG54" t="s">
        <v>1828</v>
      </c>
      <c r="DH54" t="s">
        <v>6871</v>
      </c>
      <c r="DI54" t="s">
        <v>2197</v>
      </c>
      <c r="DJ54">
        <v>2</v>
      </c>
      <c r="DK54">
        <f t="shared" si="10"/>
        <v>375</v>
      </c>
      <c r="DL54">
        <f t="shared" si="11"/>
        <v>52</v>
      </c>
      <c r="DM54">
        <v>52</v>
      </c>
      <c r="DN54" t="str">
        <f t="shared" ca="1" si="12"/>
        <v/>
      </c>
      <c r="DO54" t="str">
        <f t="shared" ca="1" si="13"/>
        <v/>
      </c>
      <c r="DP54" t="str">
        <f t="shared" ca="1" si="14"/>
        <v/>
      </c>
      <c r="DQ54" t="str">
        <f>IF(EXACT(Zauber!$A$250,""),"",IF(EXACT(RIGHT(HLOOKUP(Zauber!$A$250,PROFMAGIE,$DK54,FALSE)),"H"),CONCATENATE($CX54,","),""))</f>
        <v/>
      </c>
      <c r="DR54" t="str">
        <f t="shared" si="15"/>
        <v/>
      </c>
      <c r="DS54" t="str">
        <f>IF(ZS_IAAK="Ja",IF(EXACT(RIGHT(HLOOKUP(Tabellen_Magie!$IK$1,PROFMAGIE,$DK54,FALSE)),"H"),CONCATENATE($CX54,","),""),"")</f>
        <v/>
      </c>
      <c r="DT54" t="str">
        <f>IF(ZS_IAAK="Ja",IF(NOT(DS54=""),"",IF(OR(EXACT(RIGHT(HLOOKUP(Tabellen_Magie!$IK$1,PROFMAGIE,$DK54,FALSE)),"B"),EXACT(HLOOKUP(Tabellen_Magie!$IK$1,PROFMAGIE,$DK54,FALSE),"")),"",CONCATENATE($CX54,","))),"")</f>
        <v/>
      </c>
      <c r="DU54" t="str">
        <f t="shared" si="16"/>
        <v/>
      </c>
      <c r="DW54" t="s">
        <v>3200</v>
      </c>
      <c r="DX54" t="s">
        <v>4985</v>
      </c>
      <c r="DY54" t="s">
        <v>4985</v>
      </c>
      <c r="DZ54" t="s">
        <v>4985</v>
      </c>
      <c r="EA54" t="s">
        <v>4985</v>
      </c>
      <c r="EB54" t="s">
        <v>3016</v>
      </c>
      <c r="ED54">
        <f t="shared" si="46"/>
        <v>300</v>
      </c>
      <c r="EE54" t="s">
        <v>3279</v>
      </c>
      <c r="EH54">
        <f t="shared" si="47"/>
        <v>6</v>
      </c>
      <c r="EI54">
        <v>300</v>
      </c>
      <c r="EK54" t="s">
        <v>4790</v>
      </c>
      <c r="EL54">
        <v>0</v>
      </c>
      <c r="EM54">
        <v>4</v>
      </c>
      <c r="EN54">
        <v>4</v>
      </c>
      <c r="EO54">
        <v>4</v>
      </c>
      <c r="EP54">
        <v>2</v>
      </c>
      <c r="EQ54">
        <v>2</v>
      </c>
      <c r="ER54">
        <v>2</v>
      </c>
      <c r="ES54">
        <v>3</v>
      </c>
      <c r="ET54">
        <v>2</v>
      </c>
      <c r="EU54">
        <v>5</v>
      </c>
      <c r="EV54">
        <v>3</v>
      </c>
      <c r="FD54" t="s">
        <v>1394</v>
      </c>
      <c r="FE54">
        <f t="shared" si="40"/>
        <v>200</v>
      </c>
      <c r="FF54">
        <f t="shared" si="37"/>
        <v>4</v>
      </c>
      <c r="FK54">
        <v>200</v>
      </c>
      <c r="FL54">
        <v>3</v>
      </c>
      <c r="FM54" t="b">
        <f t="shared" ca="1" si="41"/>
        <v>0</v>
      </c>
      <c r="FN54" t="b">
        <f t="shared" ca="1" si="42"/>
        <v>0</v>
      </c>
      <c r="FQ54" t="s">
        <v>4076</v>
      </c>
      <c r="FR54">
        <v>3</v>
      </c>
      <c r="FS54">
        <v>0</v>
      </c>
      <c r="GH54" t="s">
        <v>4366</v>
      </c>
      <c r="GI54" t="s">
        <v>1119</v>
      </c>
      <c r="GJ54">
        <v>2</v>
      </c>
      <c r="GK54" t="s">
        <v>4116</v>
      </c>
      <c r="GL54" t="s">
        <v>567</v>
      </c>
      <c r="GM54" t="s">
        <v>1982</v>
      </c>
      <c r="GN54" t="s">
        <v>1690</v>
      </c>
      <c r="GO54">
        <v>288</v>
      </c>
      <c r="GP54">
        <v>219</v>
      </c>
      <c r="GR54">
        <f t="shared" si="22"/>
        <v>403</v>
      </c>
      <c r="GU54" t="str">
        <f t="shared" ca="1" si="23"/>
        <v/>
      </c>
      <c r="GV54" t="str">
        <f t="shared" ca="1" si="24"/>
        <v/>
      </c>
      <c r="GW54" t="str">
        <f t="shared" ca="1" si="25"/>
        <v/>
      </c>
      <c r="GX54" t="str">
        <f t="shared" ca="1" si="26"/>
        <v/>
      </c>
      <c r="HA54" t="s">
        <v>3924</v>
      </c>
      <c r="HB54" t="s">
        <v>4483</v>
      </c>
      <c r="HC54">
        <f t="shared" si="21"/>
        <v>1</v>
      </c>
      <c r="HD54" t="s">
        <v>4885</v>
      </c>
      <c r="HE54" t="s">
        <v>4123</v>
      </c>
      <c r="HF54" t="s">
        <v>1893</v>
      </c>
      <c r="HG54" t="s">
        <v>1974</v>
      </c>
      <c r="HH54">
        <v>148</v>
      </c>
      <c r="HI54">
        <f t="shared" si="38"/>
        <v>1</v>
      </c>
      <c r="HJ54">
        <f t="shared" si="39"/>
        <v>50</v>
      </c>
      <c r="HK54" t="s">
        <v>18</v>
      </c>
      <c r="HL54" t="s">
        <v>3396</v>
      </c>
      <c r="HM54" t="s">
        <v>2685</v>
      </c>
    </row>
    <row r="55" spans="1:221" x14ac:dyDescent="0.2">
      <c r="A55" t="s">
        <v>4796</v>
      </c>
      <c r="B55" t="s">
        <v>75</v>
      </c>
      <c r="C55" t="s">
        <v>76</v>
      </c>
      <c r="D55" t="s">
        <v>77</v>
      </c>
      <c r="E55" t="s">
        <v>1827</v>
      </c>
      <c r="F55" t="s">
        <v>1321</v>
      </c>
      <c r="L55" t="str">
        <f t="shared" si="48"/>
        <v/>
      </c>
      <c r="M55" t="str">
        <f t="shared" si="49"/>
        <v/>
      </c>
      <c r="N55" t="str">
        <f t="shared" si="50"/>
        <v>Gassenwissen</v>
      </c>
      <c r="P55">
        <f t="shared" si="51"/>
        <v>91</v>
      </c>
      <c r="R55" t="s">
        <v>701</v>
      </c>
      <c r="U55">
        <v>10</v>
      </c>
      <c r="Z55" t="s">
        <v>3652</v>
      </c>
      <c r="AC55">
        <v>7</v>
      </c>
      <c r="AH55" t="str">
        <f>A25</f>
        <v>Wurfmesser</v>
      </c>
      <c r="AJ55">
        <f t="shared" si="45"/>
        <v>5</v>
      </c>
      <c r="AK55" t="s">
        <v>1956</v>
      </c>
      <c r="AM55" t="str">
        <f t="shared" si="44"/>
        <v>Infanteriewaffen</v>
      </c>
      <c r="AP55" t="str">
        <f>VLOOKUP(AM55,TL_KPF_WERTE,6,FALSE)</f>
        <v>D</v>
      </c>
      <c r="AQ55">
        <v>-3</v>
      </c>
      <c r="AS55" t="s">
        <v>321</v>
      </c>
      <c r="AX55" t="s">
        <v>1025</v>
      </c>
      <c r="AY55">
        <v>4</v>
      </c>
      <c r="AZ55">
        <v>1</v>
      </c>
      <c r="BA55" t="s">
        <v>4985</v>
      </c>
      <c r="BG55">
        <v>5</v>
      </c>
      <c r="BK55" t="s">
        <v>5285</v>
      </c>
      <c r="CD55" t="s">
        <v>2176</v>
      </c>
      <c r="CE55" t="s">
        <v>375</v>
      </c>
      <c r="CF55" t="s">
        <v>380</v>
      </c>
      <c r="CG55" t="s">
        <v>3235</v>
      </c>
      <c r="CH55">
        <v>-1</v>
      </c>
      <c r="CI55">
        <v>5</v>
      </c>
      <c r="CJ55" t="s">
        <v>899</v>
      </c>
      <c r="CK55" t="s">
        <v>1525</v>
      </c>
      <c r="CN55" t="str">
        <f ca="1">IF(AND(ISERR(FIND($CK55,Talente!$CI$41)),ISNA(VLOOKUP($CK55,$AH$51:$AH$55,1))),IF(AND(ISERR(FIND($CL55,Talente!$CI$41)),ISNA(VLOOKUP($CL55,$AH$51:$AH$55,1))),$CM55,$CL55),$CK55)</f>
        <v>Kettenwaffen</v>
      </c>
      <c r="CP55" t="s">
        <v>278</v>
      </c>
      <c r="CQ55" t="s">
        <v>2497</v>
      </c>
      <c r="CR55" t="s">
        <v>279</v>
      </c>
      <c r="CS55" t="s">
        <v>280</v>
      </c>
      <c r="CT55" t="s">
        <v>2495</v>
      </c>
      <c r="CU55" t="s">
        <v>7542</v>
      </c>
      <c r="CV55" t="s">
        <v>7551</v>
      </c>
      <c r="CX55" t="s">
        <v>533</v>
      </c>
      <c r="CY55" t="s">
        <v>76</v>
      </c>
      <c r="CZ55" t="s">
        <v>77</v>
      </c>
      <c r="DA55" t="s">
        <v>751</v>
      </c>
      <c r="DC55" t="s">
        <v>7299</v>
      </c>
      <c r="DD55" t="s">
        <v>4127</v>
      </c>
      <c r="DE55" t="s">
        <v>4484</v>
      </c>
      <c r="DF55" t="s">
        <v>8778</v>
      </c>
      <c r="DG55" t="s">
        <v>1956</v>
      </c>
      <c r="DH55" t="s">
        <v>8416</v>
      </c>
      <c r="DI55" t="s">
        <v>2793</v>
      </c>
      <c r="DJ55">
        <v>2</v>
      </c>
      <c r="DK55">
        <f t="shared" si="10"/>
        <v>376</v>
      </c>
      <c r="DL55">
        <f t="shared" si="11"/>
        <v>53</v>
      </c>
      <c r="DM55">
        <v>54</v>
      </c>
      <c r="DN55" t="str">
        <f t="shared" ca="1" si="12"/>
        <v/>
      </c>
      <c r="DO55" t="str">
        <f t="shared" ca="1" si="13"/>
        <v/>
      </c>
      <c r="DP55" t="str">
        <f t="shared" ca="1" si="14"/>
        <v/>
      </c>
      <c r="DQ55" t="str">
        <f>IF(EXACT(Zauber!$A$250,""),"",IF(EXACT(RIGHT(HLOOKUP(Zauber!$A$250,PROFMAGIE,$DK55,FALSE)),"H"),CONCATENATE($CX55,","),""))</f>
        <v/>
      </c>
      <c r="DR55" t="str">
        <f t="shared" si="15"/>
        <v/>
      </c>
      <c r="DS55" t="str">
        <f>IF(ZS_IAAK="Ja",IF(EXACT(RIGHT(HLOOKUP(Tabellen_Magie!$IK$1,PROFMAGIE,$DK55,FALSE)),"H"),CONCATENATE($CX55,","),""),"")</f>
        <v/>
      </c>
      <c r="DT55" t="str">
        <f>IF(ZS_IAAK="Ja",IF(NOT(DS55=""),"",IF(OR(EXACT(RIGHT(HLOOKUP(Tabellen_Magie!$IK$1,PROFMAGIE,$DK55,FALSE)),"B"),EXACT(HLOOKUP(Tabellen_Magie!$IK$1,PROFMAGIE,$DK55,FALSE),"")),"",CONCATENATE($CX55,","))),"")</f>
        <v/>
      </c>
      <c r="DU55" t="str">
        <f t="shared" si="16"/>
        <v/>
      </c>
      <c r="DW55" t="s">
        <v>3201</v>
      </c>
      <c r="DX55" t="s">
        <v>3016</v>
      </c>
      <c r="DY55" t="s">
        <v>4985</v>
      </c>
      <c r="DZ55" t="s">
        <v>4985</v>
      </c>
      <c r="EA55" t="s">
        <v>1281</v>
      </c>
      <c r="EB55" t="s">
        <v>2043</v>
      </c>
      <c r="EC55" t="s">
        <v>3016</v>
      </c>
      <c r="ED55">
        <f t="shared" si="46"/>
        <v>200</v>
      </c>
      <c r="EE55" t="s">
        <v>3279</v>
      </c>
      <c r="EH55">
        <f t="shared" si="47"/>
        <v>4</v>
      </c>
      <c r="EI55">
        <v>200</v>
      </c>
      <c r="EK55" t="s">
        <v>3902</v>
      </c>
      <c r="EL55">
        <v>0</v>
      </c>
      <c r="EM55">
        <v>4</v>
      </c>
      <c r="EN55">
        <v>4</v>
      </c>
      <c r="EO55">
        <v>4</v>
      </c>
      <c r="EP55">
        <v>1</v>
      </c>
      <c r="EQ55">
        <v>1</v>
      </c>
      <c r="ER55">
        <v>1</v>
      </c>
      <c r="ES55">
        <v>2.7</v>
      </c>
      <c r="ET55">
        <v>1.7</v>
      </c>
      <c r="EU55">
        <v>4</v>
      </c>
      <c r="EV55">
        <v>2</v>
      </c>
      <c r="FD55" t="s">
        <v>561</v>
      </c>
      <c r="FE55">
        <f t="shared" si="40"/>
        <v>200</v>
      </c>
      <c r="FF55">
        <f t="shared" si="37"/>
        <v>4</v>
      </c>
      <c r="FK55">
        <v>200</v>
      </c>
      <c r="FL55">
        <v>4</v>
      </c>
      <c r="FM55" t="b">
        <f t="shared" ca="1" si="41"/>
        <v>0</v>
      </c>
      <c r="FN55" t="b">
        <f t="shared" ca="1" si="42"/>
        <v>0</v>
      </c>
      <c r="FQ55" t="s">
        <v>1726</v>
      </c>
      <c r="FR55">
        <v>4</v>
      </c>
      <c r="FS55">
        <v>0</v>
      </c>
      <c r="GH55" t="s">
        <v>4367</v>
      </c>
      <c r="GI55" t="s">
        <v>1119</v>
      </c>
      <c r="GJ55">
        <v>2</v>
      </c>
      <c r="GK55" t="s">
        <v>4484</v>
      </c>
      <c r="GL55" t="s">
        <v>1977</v>
      </c>
      <c r="GM55" t="s">
        <v>1369</v>
      </c>
      <c r="GN55" t="s">
        <v>1690</v>
      </c>
      <c r="GO55">
        <v>273</v>
      </c>
      <c r="GP55">
        <v>101</v>
      </c>
      <c r="GR55">
        <f t="shared" si="22"/>
        <v>404</v>
      </c>
      <c r="GU55" t="str">
        <f t="shared" ca="1" si="23"/>
        <v/>
      </c>
      <c r="GV55" t="str">
        <f t="shared" ca="1" si="24"/>
        <v/>
      </c>
      <c r="GW55" t="str">
        <f t="shared" ca="1" si="25"/>
        <v/>
      </c>
      <c r="GX55" t="str">
        <f t="shared" ca="1" si="26"/>
        <v/>
      </c>
      <c r="HA55" t="s">
        <v>3925</v>
      </c>
      <c r="HB55" t="s">
        <v>4121</v>
      </c>
      <c r="HC55">
        <f t="shared" si="21"/>
        <v>4</v>
      </c>
      <c r="HD55" t="s">
        <v>4529</v>
      </c>
      <c r="HE55" t="s">
        <v>4123</v>
      </c>
      <c r="HF55" t="s">
        <v>1893</v>
      </c>
      <c r="HG55" t="s">
        <v>1690</v>
      </c>
      <c r="HH55">
        <v>149</v>
      </c>
      <c r="HI55">
        <f t="shared" si="38"/>
        <v>4</v>
      </c>
      <c r="HJ55">
        <f t="shared" si="39"/>
        <v>200</v>
      </c>
      <c r="HK55" t="s">
        <v>19</v>
      </c>
      <c r="HL55" t="s">
        <v>3396</v>
      </c>
      <c r="HM55" t="s">
        <v>1284</v>
      </c>
    </row>
    <row r="56" spans="1:221" ht="12.75" customHeight="1" x14ac:dyDescent="0.2">
      <c r="A56" t="s">
        <v>4797</v>
      </c>
      <c r="B56" t="s">
        <v>75</v>
      </c>
      <c r="C56" t="s">
        <v>76</v>
      </c>
      <c r="D56" t="s">
        <v>77</v>
      </c>
      <c r="E56" t="s">
        <v>1827</v>
      </c>
      <c r="F56" t="s">
        <v>1321</v>
      </c>
      <c r="L56" t="str">
        <f t="shared" si="48"/>
        <v/>
      </c>
      <c r="M56" t="str">
        <f t="shared" si="49"/>
        <v/>
      </c>
      <c r="N56" t="str">
        <f t="shared" si="50"/>
        <v>Lehren</v>
      </c>
      <c r="P56">
        <f t="shared" si="51"/>
        <v>92</v>
      </c>
      <c r="R56" t="s">
        <v>702</v>
      </c>
      <c r="U56">
        <v>18</v>
      </c>
      <c r="Z56" t="s">
        <v>2576</v>
      </c>
      <c r="AC56">
        <v>10</v>
      </c>
      <c r="AH56" t="str">
        <f>A36</f>
        <v>Klettern</v>
      </c>
      <c r="AJ56">
        <f t="shared" si="45"/>
        <v>6</v>
      </c>
      <c r="AK56" t="s">
        <v>1955</v>
      </c>
      <c r="AM56" t="str">
        <f t="shared" si="44"/>
        <v>Kettenstäbe</v>
      </c>
      <c r="AP56" t="str">
        <f>VLOOKUP(AM56,TL_KPF_WERTE,6,FALSE)</f>
        <v>E</v>
      </c>
      <c r="AQ56">
        <v>-1</v>
      </c>
      <c r="AS56" t="s">
        <v>3279</v>
      </c>
      <c r="AT56" t="s">
        <v>7203</v>
      </c>
      <c r="AX56" t="s">
        <v>2448</v>
      </c>
      <c r="AY56">
        <v>4</v>
      </c>
      <c r="AZ56">
        <v>1</v>
      </c>
      <c r="BA56" t="s">
        <v>136</v>
      </c>
      <c r="BB56" t="s">
        <v>140</v>
      </c>
      <c r="BC56" t="s">
        <v>141</v>
      </c>
      <c r="BD56" t="s">
        <v>142</v>
      </c>
      <c r="BG56">
        <v>5</v>
      </c>
      <c r="BK56" t="s">
        <v>5286</v>
      </c>
      <c r="BN56" t="s">
        <v>5231</v>
      </c>
      <c r="BP56" t="s">
        <v>5234</v>
      </c>
      <c r="CA56" t="s">
        <v>5287</v>
      </c>
      <c r="CD56" t="s">
        <v>2177</v>
      </c>
      <c r="CE56" t="s">
        <v>5091</v>
      </c>
      <c r="CF56" t="s">
        <v>4554</v>
      </c>
      <c r="CG56" t="s">
        <v>903</v>
      </c>
      <c r="CH56">
        <v>-1</v>
      </c>
      <c r="CI56">
        <v>5</v>
      </c>
      <c r="CJ56" t="s">
        <v>1827</v>
      </c>
      <c r="CK56" t="s">
        <v>3044</v>
      </c>
      <c r="CN56" t="str">
        <f ca="1">IF(AND(ISERR(FIND($CK56,Talente!$CI$41)),ISNA(VLOOKUP($CK56,$AH$51:$AH$55,1))),IF(AND(ISERR(FIND($CL56,Talente!$CI$41)),ISNA(VLOOKUP($CL56,$AH$51:$AH$55,1))),$CM56,$CL56),$CK56)</f>
        <v>Infanteriewaffen</v>
      </c>
      <c r="CX56" t="s">
        <v>2469</v>
      </c>
      <c r="CY56" t="s">
        <v>75</v>
      </c>
      <c r="CZ56" t="s">
        <v>76</v>
      </c>
      <c r="DA56" t="s">
        <v>5030</v>
      </c>
      <c r="DB56" t="s">
        <v>1613</v>
      </c>
      <c r="DC56" t="s">
        <v>1542</v>
      </c>
      <c r="DD56" t="s">
        <v>7337</v>
      </c>
      <c r="DE56" t="s">
        <v>3591</v>
      </c>
      <c r="DF56" t="s">
        <v>4472</v>
      </c>
      <c r="DG56" t="s">
        <v>3916</v>
      </c>
      <c r="DH56" t="s">
        <v>6872</v>
      </c>
      <c r="DI56" t="s">
        <v>3555</v>
      </c>
      <c r="DJ56">
        <v>2</v>
      </c>
      <c r="DK56">
        <f t="shared" si="10"/>
        <v>377</v>
      </c>
      <c r="DL56">
        <f t="shared" si="11"/>
        <v>54</v>
      </c>
      <c r="DM56">
        <v>55</v>
      </c>
      <c r="DN56" t="str">
        <f t="shared" ca="1" si="12"/>
        <v/>
      </c>
      <c r="DO56" t="str">
        <f t="shared" ca="1" si="13"/>
        <v/>
      </c>
      <c r="DP56" t="str">
        <f t="shared" ca="1" si="14"/>
        <v/>
      </c>
      <c r="DQ56" t="str">
        <f>IF(EXACT(Zauber!$A$250,""),"",IF(EXACT(RIGHT(HLOOKUP(Zauber!$A$250,PROFMAGIE,$DK56,FALSE)),"H"),CONCATENATE($CX56,","),""))</f>
        <v/>
      </c>
      <c r="DR56" t="str">
        <f t="shared" si="15"/>
        <v/>
      </c>
      <c r="DS56" t="str">
        <f>IF(ZS_IAAK="Ja",IF(EXACT(RIGHT(HLOOKUP(Tabellen_Magie!$IK$1,PROFMAGIE,$DK56,FALSE)),"H"),CONCATENATE($CX56,","),""),"")</f>
        <v/>
      </c>
      <c r="DT56" t="str">
        <f>IF(ZS_IAAK="Ja",IF(NOT(DS56=""),"",IF(OR(EXACT(RIGHT(HLOOKUP(Tabellen_Magie!$IK$1,PROFMAGIE,$DK56,FALSE)),"B"),EXACT(HLOOKUP(Tabellen_Magie!$IK$1,PROFMAGIE,$DK56,FALSE),"")),"",CONCATENATE($CX56,","))),"")</f>
        <v/>
      </c>
      <c r="DU56" t="str">
        <f t="shared" si="16"/>
        <v/>
      </c>
      <c r="DW56" t="s">
        <v>3199</v>
      </c>
      <c r="DX56" t="s">
        <v>75</v>
      </c>
      <c r="DY56" t="s">
        <v>76</v>
      </c>
      <c r="DZ56" t="s">
        <v>750</v>
      </c>
      <c r="EA56" t="s">
        <v>1613</v>
      </c>
      <c r="EC56" t="s">
        <v>8583</v>
      </c>
      <c r="ED56">
        <f t="shared" si="46"/>
        <v>250</v>
      </c>
      <c r="EE56" t="s">
        <v>3279</v>
      </c>
      <c r="EH56">
        <f t="shared" si="47"/>
        <v>5</v>
      </c>
      <c r="EI56">
        <v>250</v>
      </c>
      <c r="EK56" t="s">
        <v>4204</v>
      </c>
      <c r="EL56">
        <v>1</v>
      </c>
      <c r="EM56">
        <v>1</v>
      </c>
      <c r="EN56">
        <v>3</v>
      </c>
      <c r="EO56">
        <v>0</v>
      </c>
      <c r="EP56">
        <v>0</v>
      </c>
      <c r="EQ56">
        <v>0</v>
      </c>
      <c r="ER56">
        <v>0</v>
      </c>
      <c r="ES56">
        <v>0.9</v>
      </c>
      <c r="ET56">
        <v>0.9</v>
      </c>
      <c r="EU56">
        <v>1</v>
      </c>
      <c r="EV56">
        <v>1</v>
      </c>
      <c r="FD56" t="s">
        <v>2211</v>
      </c>
      <c r="FE56">
        <f t="shared" si="40"/>
        <v>200</v>
      </c>
      <c r="FF56">
        <f t="shared" si="37"/>
        <v>4</v>
      </c>
      <c r="FK56">
        <v>200</v>
      </c>
      <c r="FL56">
        <v>6</v>
      </c>
      <c r="FM56" t="b">
        <f t="shared" ca="1" si="41"/>
        <v>0</v>
      </c>
      <c r="FN56" t="b">
        <f t="shared" ca="1" si="42"/>
        <v>0</v>
      </c>
      <c r="FQ56" t="s">
        <v>4591</v>
      </c>
      <c r="FR56">
        <v>4</v>
      </c>
      <c r="FS56">
        <v>0</v>
      </c>
      <c r="GH56" t="s">
        <v>4495</v>
      </c>
      <c r="GI56" t="s">
        <v>1119</v>
      </c>
      <c r="GJ56">
        <v>2</v>
      </c>
      <c r="GK56" t="s">
        <v>4116</v>
      </c>
      <c r="GL56" t="s">
        <v>567</v>
      </c>
      <c r="GM56" t="s">
        <v>1983</v>
      </c>
      <c r="GN56" t="s">
        <v>1973</v>
      </c>
      <c r="GO56">
        <v>274</v>
      </c>
      <c r="GP56">
        <v>102</v>
      </c>
      <c r="GR56">
        <f t="shared" si="22"/>
        <v>405</v>
      </c>
      <c r="GU56" t="str">
        <f t="shared" ca="1" si="23"/>
        <v/>
      </c>
      <c r="GV56" t="str">
        <f t="shared" ca="1" si="24"/>
        <v/>
      </c>
      <c r="GW56" t="str">
        <f t="shared" ca="1" si="25"/>
        <v/>
      </c>
      <c r="GX56" t="str">
        <f t="shared" ca="1" si="26"/>
        <v/>
      </c>
      <c r="HA56" t="s">
        <v>4848</v>
      </c>
      <c r="HB56" t="s">
        <v>1119</v>
      </c>
      <c r="HC56">
        <f t="shared" si="21"/>
        <v>2</v>
      </c>
      <c r="HD56" t="s">
        <v>1320</v>
      </c>
      <c r="HE56" t="s">
        <v>4548</v>
      </c>
      <c r="HF56" t="s">
        <v>4850</v>
      </c>
      <c r="HG56" t="s">
        <v>1974</v>
      </c>
      <c r="HH56">
        <v>149</v>
      </c>
      <c r="HI56">
        <f t="shared" si="38"/>
        <v>2</v>
      </c>
      <c r="HJ56">
        <f t="shared" si="39"/>
        <v>100</v>
      </c>
      <c r="HK56" t="s">
        <v>4849</v>
      </c>
      <c r="HL56" t="s">
        <v>3397</v>
      </c>
      <c r="HM56" t="s">
        <v>1369</v>
      </c>
    </row>
    <row r="57" spans="1:221" ht="17.25" customHeight="1" x14ac:dyDescent="0.2">
      <c r="A57" t="s">
        <v>4798</v>
      </c>
      <c r="B57" t="s">
        <v>75</v>
      </c>
      <c r="C57" t="s">
        <v>76</v>
      </c>
      <c r="D57" t="s">
        <v>77</v>
      </c>
      <c r="E57" t="s">
        <v>1321</v>
      </c>
      <c r="F57" t="s">
        <v>1321</v>
      </c>
      <c r="L57" t="str">
        <f t="shared" si="48"/>
        <v/>
      </c>
      <c r="M57" t="str">
        <f t="shared" si="49"/>
        <v/>
      </c>
      <c r="N57" t="str">
        <f t="shared" si="50"/>
        <v>Menschenkenntnis</v>
      </c>
      <c r="P57">
        <f t="shared" si="51"/>
        <v>93</v>
      </c>
      <c r="R57" t="s">
        <v>703</v>
      </c>
      <c r="U57">
        <v>10</v>
      </c>
      <c r="Z57" t="s">
        <v>3948</v>
      </c>
      <c r="AC57">
        <v>3</v>
      </c>
      <c r="AE57" t="str">
        <f>INDEX(PERSONEN,11)</f>
        <v>Hexen</v>
      </c>
      <c r="AH57" t="str">
        <f>A37</f>
        <v>Körperbeherrschung</v>
      </c>
      <c r="AJ57">
        <f t="shared" si="45"/>
        <v>7</v>
      </c>
      <c r="AK57" t="s">
        <v>1955</v>
      </c>
      <c r="AM57" t="str">
        <f t="shared" si="44"/>
        <v>Kettenwaffen</v>
      </c>
      <c r="AP57" t="str">
        <f>VLOOKUP(AM57,TL_KPF_WERTE,6,FALSE)</f>
        <v>D</v>
      </c>
      <c r="AQ57">
        <v>-3</v>
      </c>
      <c r="AS57" t="s">
        <v>3280</v>
      </c>
      <c r="AT57" t="s">
        <v>7204</v>
      </c>
      <c r="AX57" t="s">
        <v>3044</v>
      </c>
      <c r="AY57">
        <v>6</v>
      </c>
      <c r="AZ57">
        <v>2</v>
      </c>
      <c r="BG57">
        <v>5</v>
      </c>
      <c r="BK57" t="s">
        <v>5288</v>
      </c>
      <c r="BT57" t="s">
        <v>5289</v>
      </c>
      <c r="BU57" t="s">
        <v>5254</v>
      </c>
      <c r="CD57" t="s">
        <v>1207</v>
      </c>
      <c r="CE57" t="s">
        <v>912</v>
      </c>
      <c r="CF57" t="s">
        <v>910</v>
      </c>
      <c r="CG57" t="s">
        <v>903</v>
      </c>
      <c r="CH57">
        <v>-2</v>
      </c>
      <c r="CI57">
        <v>3</v>
      </c>
      <c r="CJ57" t="s">
        <v>905</v>
      </c>
      <c r="CK57" t="s">
        <v>1825</v>
      </c>
      <c r="CN57" t="str">
        <f ca="1">IF(AND(ISERR(FIND($CK57,Talente!$CI$41)),ISNA(VLOOKUP($CK57,$AH$51:$AH$55,1))),IF(AND(ISERR(FIND($CL57,Talente!$CI$41)),ISNA(VLOOKUP($CL57,$AH$51:$AH$55,1))),$CM57,$CL57),$CK57)</f>
        <v>Zweihandschwerter/-säbel</v>
      </c>
      <c r="CP57" t="s">
        <v>3083</v>
      </c>
      <c r="CU57" t="s">
        <v>7586</v>
      </c>
      <c r="CW57" t="s">
        <v>2785</v>
      </c>
      <c r="CX57" t="s">
        <v>2470</v>
      </c>
      <c r="CY57" t="s">
        <v>75</v>
      </c>
      <c r="CZ57" t="s">
        <v>76</v>
      </c>
      <c r="DA57" t="s">
        <v>5030</v>
      </c>
      <c r="DB57" t="s">
        <v>1613</v>
      </c>
      <c r="DC57" t="s">
        <v>7338</v>
      </c>
      <c r="DD57" t="s">
        <v>1134</v>
      </c>
      <c r="DE57" t="s">
        <v>1134</v>
      </c>
      <c r="DF57" t="s">
        <v>1622</v>
      </c>
      <c r="DG57" t="s">
        <v>3916</v>
      </c>
      <c r="DH57" t="s">
        <v>6873</v>
      </c>
      <c r="DI57" t="s">
        <v>3362</v>
      </c>
      <c r="DJ57">
        <v>2</v>
      </c>
      <c r="DK57">
        <f t="shared" si="10"/>
        <v>378</v>
      </c>
      <c r="DL57">
        <f t="shared" si="11"/>
        <v>55</v>
      </c>
      <c r="DM57">
        <v>56</v>
      </c>
      <c r="DN57" t="str">
        <f t="shared" ca="1" si="12"/>
        <v/>
      </c>
      <c r="DO57" t="str">
        <f t="shared" ca="1" si="13"/>
        <v/>
      </c>
      <c r="DP57" t="str">
        <f t="shared" ca="1" si="14"/>
        <v/>
      </c>
      <c r="DQ57" t="str">
        <f>IF(EXACT(Zauber!$A$250,""),"",IF(EXACT(RIGHT(HLOOKUP(Zauber!$A$250,PROFMAGIE,$DK57,FALSE)),"H"),CONCATENATE($CX57,","),""))</f>
        <v/>
      </c>
      <c r="DR57" t="str">
        <f t="shared" si="15"/>
        <v/>
      </c>
      <c r="DS57" t="str">
        <f>IF(ZS_IAAK="Ja",IF(EXACT(RIGHT(HLOOKUP(Tabellen_Magie!$IK$1,PROFMAGIE,$DK57,FALSE)),"H"),CONCATENATE($CX57,","),""),"")</f>
        <v/>
      </c>
      <c r="DT57" t="str">
        <f>IF(ZS_IAAK="Ja",IF(NOT(DS57=""),"",IF(OR(EXACT(RIGHT(HLOOKUP(Tabellen_Magie!$IK$1,PROFMAGIE,$DK57,FALSE)),"B"),EXACT(HLOOKUP(Tabellen_Magie!$IK$1,PROFMAGIE,$DK57,FALSE),"")),"",CONCATENATE($CX57,","))),"")</f>
        <v/>
      </c>
      <c r="DU57" t="str">
        <f t="shared" si="16"/>
        <v/>
      </c>
      <c r="DW57" t="s">
        <v>2357</v>
      </c>
      <c r="EK57" t="s">
        <v>1594</v>
      </c>
      <c r="EL57">
        <v>3</v>
      </c>
      <c r="EM57">
        <v>0</v>
      </c>
      <c r="EN57">
        <v>0</v>
      </c>
      <c r="EO57">
        <v>0</v>
      </c>
      <c r="EP57">
        <v>0</v>
      </c>
      <c r="EQ57">
        <v>0</v>
      </c>
      <c r="ER57">
        <v>0</v>
      </c>
      <c r="ES57">
        <v>0.3</v>
      </c>
      <c r="ET57">
        <v>0.15</v>
      </c>
      <c r="EU57">
        <v>2</v>
      </c>
      <c r="EV57">
        <v>1</v>
      </c>
      <c r="FD57" t="s">
        <v>5050</v>
      </c>
      <c r="FE57">
        <f t="shared" si="40"/>
        <v>100</v>
      </c>
      <c r="FF57">
        <f t="shared" si="37"/>
        <v>2</v>
      </c>
      <c r="FK57">
        <v>100</v>
      </c>
      <c r="FL57">
        <v>5</v>
      </c>
      <c r="FM57" t="b">
        <f t="shared" ca="1" si="41"/>
        <v>0</v>
      </c>
      <c r="FN57" t="b">
        <f t="shared" ca="1" si="42"/>
        <v>0</v>
      </c>
      <c r="FQ57" t="s">
        <v>243</v>
      </c>
      <c r="FR57">
        <v>3</v>
      </c>
      <c r="FS57">
        <v>0</v>
      </c>
      <c r="GH57" t="s">
        <v>4496</v>
      </c>
      <c r="GI57" t="s">
        <v>1119</v>
      </c>
      <c r="GJ57">
        <v>2</v>
      </c>
      <c r="GK57" t="s">
        <v>1320</v>
      </c>
      <c r="GL57" t="s">
        <v>1978</v>
      </c>
      <c r="GM57" t="s">
        <v>1685</v>
      </c>
      <c r="GN57" t="s">
        <v>1974</v>
      </c>
      <c r="GO57">
        <v>286</v>
      </c>
      <c r="GP57">
        <v>110</v>
      </c>
      <c r="GR57">
        <f t="shared" si="22"/>
        <v>406</v>
      </c>
      <c r="GU57" t="str">
        <f t="shared" ca="1" si="23"/>
        <v/>
      </c>
      <c r="GV57" t="str">
        <f t="shared" ca="1" si="24"/>
        <v/>
      </c>
      <c r="GW57" t="str">
        <f t="shared" ca="1" si="25"/>
        <v/>
      </c>
      <c r="GX57" t="str">
        <f t="shared" ca="1" si="26"/>
        <v/>
      </c>
      <c r="HA57" t="s">
        <v>486</v>
      </c>
      <c r="HB57" t="s">
        <v>1119</v>
      </c>
      <c r="HC57">
        <f t="shared" si="21"/>
        <v>2</v>
      </c>
      <c r="HD57" t="s">
        <v>4885</v>
      </c>
      <c r="HE57" t="s">
        <v>3295</v>
      </c>
      <c r="HG57" t="s">
        <v>1973</v>
      </c>
      <c r="HH57">
        <v>149</v>
      </c>
      <c r="HI57">
        <f t="shared" si="38"/>
        <v>2</v>
      </c>
      <c r="HJ57">
        <f t="shared" si="39"/>
        <v>100</v>
      </c>
      <c r="HK57" t="s">
        <v>1001</v>
      </c>
      <c r="HL57" t="s">
        <v>3397</v>
      </c>
      <c r="HM57" t="s">
        <v>1284</v>
      </c>
    </row>
    <row r="58" spans="1:221" ht="12.75" customHeight="1" x14ac:dyDescent="0.2">
      <c r="A58" t="s">
        <v>4799</v>
      </c>
      <c r="B58" t="s">
        <v>74</v>
      </c>
      <c r="C58" t="s">
        <v>75</v>
      </c>
      <c r="D58" t="s">
        <v>77</v>
      </c>
      <c r="E58" t="s">
        <v>1320</v>
      </c>
      <c r="F58" t="s">
        <v>1321</v>
      </c>
      <c r="L58" t="str">
        <f t="shared" si="48"/>
        <v/>
      </c>
      <c r="M58" t="str">
        <f t="shared" si="49"/>
        <v/>
      </c>
      <c r="N58" t="str">
        <f t="shared" si="50"/>
        <v>Schauspielerei</v>
      </c>
      <c r="P58">
        <f t="shared" si="51"/>
        <v>94</v>
      </c>
      <c r="R58" t="s">
        <v>704</v>
      </c>
      <c r="U58">
        <v>10</v>
      </c>
      <c r="Z58" t="s">
        <v>3653</v>
      </c>
      <c r="AC58">
        <v>5</v>
      </c>
      <c r="AH58" t="str">
        <f t="shared" ref="AH58:AH63" si="52">A39</f>
        <v>Schleichen</v>
      </c>
      <c r="AJ58">
        <f t="shared" si="45"/>
        <v>8</v>
      </c>
      <c r="AK58" t="s">
        <v>1955</v>
      </c>
      <c r="AM58" t="str">
        <f t="shared" si="44"/>
        <v>Lanzenreiten</v>
      </c>
      <c r="AP58" t="str">
        <f>VLOOKUP(AM58,TL_KPF_WERTE,6,FALSE)</f>
        <v>E</v>
      </c>
      <c r="AQ58">
        <v>0</v>
      </c>
      <c r="AS58" t="s">
        <v>1250</v>
      </c>
      <c r="AT58" t="s">
        <v>7205</v>
      </c>
      <c r="AX58" t="s">
        <v>2585</v>
      </c>
      <c r="AY58">
        <v>4</v>
      </c>
      <c r="AZ58">
        <v>1</v>
      </c>
      <c r="BA58" t="s">
        <v>7639</v>
      </c>
      <c r="BB58" t="s">
        <v>3093</v>
      </c>
      <c r="BC58" t="s">
        <v>3094</v>
      </c>
      <c r="BD58" t="s">
        <v>3095</v>
      </c>
      <c r="BG58">
        <v>5</v>
      </c>
      <c r="BK58" t="s">
        <v>5290</v>
      </c>
      <c r="CD58" t="s">
        <v>3018</v>
      </c>
      <c r="CE58" t="s">
        <v>4647</v>
      </c>
      <c r="CF58" t="s">
        <v>902</v>
      </c>
      <c r="CG58" t="s">
        <v>3236</v>
      </c>
      <c r="CH58">
        <v>-2</v>
      </c>
      <c r="CI58">
        <v>3</v>
      </c>
      <c r="CJ58" t="s">
        <v>899</v>
      </c>
      <c r="CK58" t="s">
        <v>3629</v>
      </c>
      <c r="CN58" t="str">
        <f ca="1">IF(AND(ISERR(FIND($CK58,Talente!$CI$41)),ISNA(VLOOKUP($CK58,$AH$51:$AH$55,1))),IF(AND(ISERR(FIND($CL58,Talente!$CI$41)),ISNA(VLOOKUP($CL58,$AH$51:$AH$55,1))),$CM58,$CL58),$CK58)</f>
        <v>Zweihand-Hiebwaffen</v>
      </c>
      <c r="CP58" t="s">
        <v>4581</v>
      </c>
      <c r="CU58" t="s">
        <v>1572</v>
      </c>
      <c r="CW58" t="s">
        <v>303</v>
      </c>
      <c r="CX58" t="s">
        <v>2471</v>
      </c>
      <c r="CY58" t="s">
        <v>74</v>
      </c>
      <c r="CZ58" t="s">
        <v>77</v>
      </c>
      <c r="DA58" t="s">
        <v>5030</v>
      </c>
      <c r="DB58" t="s">
        <v>1613</v>
      </c>
      <c r="DC58" t="s">
        <v>7339</v>
      </c>
      <c r="DD58" t="s">
        <v>1134</v>
      </c>
      <c r="DE58" t="s">
        <v>1134</v>
      </c>
      <c r="DF58" t="s">
        <v>2993</v>
      </c>
      <c r="DG58" t="s">
        <v>3916</v>
      </c>
      <c r="DH58" t="s">
        <v>6874</v>
      </c>
      <c r="DI58" t="s">
        <v>4349</v>
      </c>
      <c r="DJ58">
        <v>2</v>
      </c>
      <c r="DK58">
        <f t="shared" si="10"/>
        <v>379</v>
      </c>
      <c r="DL58">
        <f t="shared" si="11"/>
        <v>56</v>
      </c>
      <c r="DM58">
        <v>57</v>
      </c>
      <c r="DN58" t="str">
        <f t="shared" ca="1" si="12"/>
        <v/>
      </c>
      <c r="DO58" t="str">
        <f t="shared" ca="1" si="13"/>
        <v/>
      </c>
      <c r="DP58" t="str">
        <f t="shared" ca="1" si="14"/>
        <v/>
      </c>
      <c r="DQ58" t="str">
        <f>IF(EXACT(Zauber!$A$250,""),"",IF(EXACT(RIGHT(HLOOKUP(Zauber!$A$250,PROFMAGIE,$DK58,FALSE)),"H"),CONCATENATE($CX58,","),""))</f>
        <v/>
      </c>
      <c r="DR58" t="str">
        <f t="shared" si="15"/>
        <v/>
      </c>
      <c r="DS58" t="str">
        <f>IF(ZS_IAAK="Ja",IF(EXACT(RIGHT(HLOOKUP(Tabellen_Magie!$IK$1,PROFMAGIE,$DK58,FALSE)),"H"),CONCATENATE($CX58,","),""),"")</f>
        <v/>
      </c>
      <c r="DT58" t="str">
        <f>IF(ZS_IAAK="Ja",IF(NOT(DS58=""),"",IF(OR(EXACT(RIGHT(HLOOKUP(Tabellen_Magie!$IK$1,PROFMAGIE,$DK58,FALSE)),"B"),EXACT(HLOOKUP(Tabellen_Magie!$IK$1,PROFMAGIE,$DK58,FALSE),"")),"",CONCATENATE($CX58,","))),"")</f>
        <v/>
      </c>
      <c r="DU58" t="str">
        <f t="shared" si="16"/>
        <v/>
      </c>
      <c r="DV58" t="s">
        <v>1089</v>
      </c>
      <c r="DW58" t="s">
        <v>3003</v>
      </c>
      <c r="EB58" t="s">
        <v>4472</v>
      </c>
      <c r="ED58">
        <f t="shared" ref="ED58:ED71" si="53">ROUND(EI58*IF(VT_AKADMAG,3/4,1)*IF(VT_EIDGED,0.5,IF(VT_GUTGED,0.75,1)),0)</f>
        <v>100</v>
      </c>
      <c r="EE58" t="s">
        <v>3279</v>
      </c>
      <c r="EF58" t="s">
        <v>1248</v>
      </c>
      <c r="EG58" t="s">
        <v>3284</v>
      </c>
      <c r="EH58">
        <f t="shared" ref="EH58:EH71" si="54">ROUNDUP($ED58/50,0)</f>
        <v>2</v>
      </c>
      <c r="EI58">
        <v>100</v>
      </c>
      <c r="EK58" t="s">
        <v>3987</v>
      </c>
      <c r="EL58">
        <v>0</v>
      </c>
      <c r="EM58">
        <v>0</v>
      </c>
      <c r="EN58">
        <v>0</v>
      </c>
      <c r="EO58">
        <v>0</v>
      </c>
      <c r="EP58">
        <v>0</v>
      </c>
      <c r="EQ58">
        <v>0</v>
      </c>
      <c r="ER58">
        <v>0</v>
      </c>
      <c r="ES58">
        <v>0</v>
      </c>
      <c r="ET58">
        <v>0</v>
      </c>
      <c r="EU58">
        <v>0</v>
      </c>
      <c r="EV58">
        <v>0</v>
      </c>
      <c r="FD58" t="s">
        <v>5011</v>
      </c>
      <c r="FE58">
        <f t="shared" si="40"/>
        <v>200</v>
      </c>
      <c r="FF58">
        <f t="shared" si="37"/>
        <v>4</v>
      </c>
      <c r="FK58">
        <v>200</v>
      </c>
      <c r="FL58">
        <v>3</v>
      </c>
      <c r="FM58" t="b">
        <f t="shared" ca="1" si="41"/>
        <v>0</v>
      </c>
      <c r="FN58" t="b">
        <f t="shared" ca="1" si="42"/>
        <v>0</v>
      </c>
      <c r="FQ58" t="s">
        <v>244</v>
      </c>
      <c r="FR58">
        <v>3</v>
      </c>
      <c r="FS58">
        <v>0</v>
      </c>
      <c r="GH58" t="s">
        <v>9320</v>
      </c>
      <c r="GI58" t="s">
        <v>1119</v>
      </c>
      <c r="GJ58">
        <v>2</v>
      </c>
      <c r="GK58" t="s">
        <v>4116</v>
      </c>
      <c r="GL58" t="s">
        <v>1976</v>
      </c>
      <c r="GM58" t="s">
        <v>1981</v>
      </c>
      <c r="GN58" t="s">
        <v>1973</v>
      </c>
      <c r="GO58" t="s">
        <v>9314</v>
      </c>
      <c r="GP58">
        <v>111</v>
      </c>
      <c r="GR58">
        <f t="shared" si="22"/>
        <v>407</v>
      </c>
      <c r="GU58" t="str">
        <f t="shared" ca="1" si="23"/>
        <v/>
      </c>
      <c r="GV58" t="str">
        <f t="shared" ca="1" si="24"/>
        <v/>
      </c>
      <c r="GW58" t="str">
        <f t="shared" ca="1" si="25"/>
        <v/>
      </c>
      <c r="GX58" t="str">
        <f t="shared" ca="1" si="26"/>
        <v/>
      </c>
      <c r="HA58" t="s">
        <v>487</v>
      </c>
      <c r="HB58" t="s">
        <v>3290</v>
      </c>
      <c r="HC58">
        <f t="shared" si="21"/>
        <v>3</v>
      </c>
      <c r="HD58" t="s">
        <v>488</v>
      </c>
      <c r="HE58" t="s">
        <v>3295</v>
      </c>
      <c r="HG58" t="s">
        <v>1974</v>
      </c>
      <c r="HH58">
        <v>149</v>
      </c>
      <c r="HI58">
        <f t="shared" si="38"/>
        <v>3</v>
      </c>
      <c r="HJ58">
        <f t="shared" si="39"/>
        <v>150</v>
      </c>
      <c r="HK58" t="s">
        <v>3617</v>
      </c>
      <c r="HL58" t="s">
        <v>3396</v>
      </c>
      <c r="HM58" t="s">
        <v>1279</v>
      </c>
    </row>
    <row r="59" spans="1:221" x14ac:dyDescent="0.2">
      <c r="A59" t="s">
        <v>4800</v>
      </c>
      <c r="B59" t="s">
        <v>75</v>
      </c>
      <c r="C59" t="s">
        <v>76</v>
      </c>
      <c r="D59" t="s">
        <v>76</v>
      </c>
      <c r="E59" t="s">
        <v>1320</v>
      </c>
      <c r="F59" t="s">
        <v>1321</v>
      </c>
      <c r="L59" t="str">
        <f t="shared" si="48"/>
        <v/>
      </c>
      <c r="M59" t="str">
        <f t="shared" si="49"/>
        <v/>
      </c>
      <c r="N59" t="str">
        <f t="shared" si="50"/>
        <v>Schriftl. Ausdruck</v>
      </c>
      <c r="P59">
        <f t="shared" si="51"/>
        <v>95</v>
      </c>
      <c r="R59" t="s">
        <v>705</v>
      </c>
      <c r="U59">
        <v>18</v>
      </c>
      <c r="Z59" t="s">
        <v>3242</v>
      </c>
      <c r="AA59">
        <v>1</v>
      </c>
      <c r="AB59">
        <v>12</v>
      </c>
      <c r="AD59" t="s">
        <v>3995</v>
      </c>
      <c r="AH59" t="str">
        <f t="shared" si="52"/>
        <v>Schwimmen</v>
      </c>
      <c r="AJ59">
        <f t="shared" si="45"/>
        <v>9</v>
      </c>
      <c r="AK59" t="s">
        <v>1955</v>
      </c>
      <c r="AM59" t="str">
        <f t="shared" si="44"/>
        <v>Peitsche</v>
      </c>
      <c r="AP59" t="str">
        <f>VLOOKUP(AM59,TL_KPF_WERTE,6,FALSE)</f>
        <v>E</v>
      </c>
      <c r="AQ59">
        <v>-1</v>
      </c>
      <c r="AS59" t="s">
        <v>3281</v>
      </c>
      <c r="AT59" t="s">
        <v>7206</v>
      </c>
      <c r="AX59" t="s">
        <v>852</v>
      </c>
      <c r="AY59">
        <v>4</v>
      </c>
      <c r="AZ59">
        <v>1</v>
      </c>
      <c r="BA59" t="s">
        <v>3096</v>
      </c>
      <c r="BB59" t="s">
        <v>3097</v>
      </c>
      <c r="BG59">
        <v>5</v>
      </c>
      <c r="BK59" t="s">
        <v>2289</v>
      </c>
      <c r="BL59">
        <v>9</v>
      </c>
      <c r="BM59">
        <v>10</v>
      </c>
      <c r="BN59">
        <v>10</v>
      </c>
      <c r="BO59">
        <v>6</v>
      </c>
      <c r="BP59" t="s">
        <v>5291</v>
      </c>
      <c r="BQ59">
        <v>2</v>
      </c>
      <c r="BR59">
        <v>25</v>
      </c>
      <c r="BS59" t="s">
        <v>5292</v>
      </c>
      <c r="BT59" t="s">
        <v>1443</v>
      </c>
      <c r="BU59" t="s">
        <v>5293</v>
      </c>
      <c r="BV59">
        <v>0</v>
      </c>
      <c r="BW59">
        <v>9</v>
      </c>
      <c r="BX59">
        <v>9</v>
      </c>
      <c r="CA59" t="s">
        <v>5294</v>
      </c>
      <c r="CD59" t="s">
        <v>7161</v>
      </c>
      <c r="CE59" t="s">
        <v>4647</v>
      </c>
      <c r="CF59" t="s">
        <v>7160</v>
      </c>
      <c r="CG59" t="s">
        <v>3236</v>
      </c>
      <c r="CH59">
        <v>-2</v>
      </c>
      <c r="CI59">
        <v>3</v>
      </c>
      <c r="CJ59" t="s">
        <v>899</v>
      </c>
      <c r="CK59" t="s">
        <v>2190</v>
      </c>
      <c r="CN59" t="str">
        <f ca="1">IF(AND(ISERR(FIND($CK59,Talente!$CI$41)),ISNA(VLOOKUP($CK59,$AH$51:$AH$55,1))),IF(AND(ISERR(FIND($CL59,Talente!$CI$41)),ISNA(VLOOKUP($CL59,$AH$51:$AH$55,1))),$CM59,$CL59),$CK59)</f>
        <v>Hiebwaffen</v>
      </c>
      <c r="CP59" t="s">
        <v>2065</v>
      </c>
      <c r="CU59" t="s">
        <v>896</v>
      </c>
      <c r="CW59" t="s">
        <v>1100</v>
      </c>
      <c r="CX59" t="s">
        <v>2472</v>
      </c>
      <c r="CY59" t="s">
        <v>75</v>
      </c>
      <c r="CZ59" t="s">
        <v>750</v>
      </c>
      <c r="DA59" t="s">
        <v>752</v>
      </c>
      <c r="DC59" t="s">
        <v>7291</v>
      </c>
      <c r="DD59" t="s">
        <v>7340</v>
      </c>
      <c r="DE59" t="s">
        <v>1321</v>
      </c>
      <c r="DF59" t="s">
        <v>1617</v>
      </c>
      <c r="DG59" t="s">
        <v>1956</v>
      </c>
      <c r="DH59" t="s">
        <v>8417</v>
      </c>
      <c r="DI59" t="s">
        <v>4434</v>
      </c>
      <c r="DJ59">
        <v>2</v>
      </c>
      <c r="DK59">
        <f t="shared" si="10"/>
        <v>380</v>
      </c>
      <c r="DL59">
        <f t="shared" si="11"/>
        <v>57</v>
      </c>
      <c r="DM59">
        <v>58</v>
      </c>
      <c r="DN59" t="str">
        <f t="shared" ca="1" si="12"/>
        <v/>
      </c>
      <c r="DO59" t="str">
        <f t="shared" ca="1" si="13"/>
        <v/>
      </c>
      <c r="DP59" t="str">
        <f t="shared" ca="1" si="14"/>
        <v/>
      </c>
      <c r="DQ59" t="str">
        <f>IF(EXACT(Zauber!$A$250,""),"",IF(EXACT(RIGHT(HLOOKUP(Zauber!$A$250,PROFMAGIE,$DK59,FALSE)),"H"),CONCATENATE($CX59,","),""))</f>
        <v/>
      </c>
      <c r="DR59" t="str">
        <f t="shared" si="15"/>
        <v/>
      </c>
      <c r="DS59" t="str">
        <f>IF(ZS_IAAK="Ja",IF(EXACT(RIGHT(HLOOKUP(Tabellen_Magie!$IK$1,PROFMAGIE,$DK59,FALSE)),"H"),CONCATENATE($CX59,","),""),"")</f>
        <v/>
      </c>
      <c r="DT59" t="str">
        <f>IF(ZS_IAAK="Ja",IF(NOT(DS59=""),"",IF(OR(EXACT(RIGHT(HLOOKUP(Tabellen_Magie!$IK$1,PROFMAGIE,$DK59,FALSE)),"B"),EXACT(HLOOKUP(Tabellen_Magie!$IK$1,PROFMAGIE,$DK59,FALSE),"")),"",CONCATENATE($CX59,","))),"")</f>
        <v/>
      </c>
      <c r="DU59" t="str">
        <f t="shared" si="16"/>
        <v/>
      </c>
      <c r="DW59" t="s">
        <v>6693</v>
      </c>
      <c r="DX59" t="s">
        <v>74</v>
      </c>
      <c r="DY59" t="s">
        <v>76</v>
      </c>
      <c r="DZ59" t="s">
        <v>77</v>
      </c>
      <c r="EB59" t="s">
        <v>8584</v>
      </c>
      <c r="EC59" t="s">
        <v>2990</v>
      </c>
      <c r="ED59">
        <f t="shared" si="53"/>
        <v>200</v>
      </c>
      <c r="EE59" t="s">
        <v>3279</v>
      </c>
      <c r="EF59" t="s">
        <v>1248</v>
      </c>
      <c r="EG59" t="s">
        <v>3284</v>
      </c>
      <c r="EH59">
        <f t="shared" si="54"/>
        <v>4</v>
      </c>
      <c r="EI59">
        <v>200</v>
      </c>
      <c r="EK59" t="s">
        <v>4335</v>
      </c>
      <c r="EL59">
        <v>0</v>
      </c>
      <c r="EM59">
        <v>0</v>
      </c>
      <c r="EN59">
        <v>0</v>
      </c>
      <c r="EO59">
        <v>0</v>
      </c>
      <c r="EP59">
        <v>0</v>
      </c>
      <c r="EQ59">
        <v>0</v>
      </c>
      <c r="ER59">
        <v>4</v>
      </c>
      <c r="ES59">
        <v>0.8</v>
      </c>
      <c r="ET59">
        <v>0.8</v>
      </c>
      <c r="EU59">
        <v>2</v>
      </c>
      <c r="EV59">
        <v>2</v>
      </c>
      <c r="FD59" t="s">
        <v>3679</v>
      </c>
      <c r="FE59">
        <f t="shared" si="40"/>
        <v>100</v>
      </c>
      <c r="FF59">
        <f>ROUND(FE59/50,0)</f>
        <v>2</v>
      </c>
      <c r="FK59">
        <v>100</v>
      </c>
      <c r="FL59">
        <v>3</v>
      </c>
      <c r="FM59" t="b">
        <f t="shared" ca="1" si="41"/>
        <v>0</v>
      </c>
      <c r="FN59" t="b">
        <f t="shared" ca="1" si="42"/>
        <v>0</v>
      </c>
      <c r="FQ59" t="s">
        <v>823</v>
      </c>
      <c r="FR59">
        <v>4</v>
      </c>
      <c r="FS59">
        <v>0</v>
      </c>
      <c r="GH59" t="s">
        <v>4497</v>
      </c>
      <c r="GI59" t="s">
        <v>1119</v>
      </c>
      <c r="GJ59">
        <v>2</v>
      </c>
      <c r="GK59" t="s">
        <v>1320</v>
      </c>
      <c r="GL59" t="s">
        <v>567</v>
      </c>
      <c r="GM59" t="s">
        <v>1982</v>
      </c>
      <c r="GN59" t="s">
        <v>1974</v>
      </c>
      <c r="GO59">
        <v>266</v>
      </c>
      <c r="GP59">
        <v>200</v>
      </c>
      <c r="GR59">
        <f t="shared" si="22"/>
        <v>408</v>
      </c>
      <c r="GU59" t="str">
        <f t="shared" ca="1" si="23"/>
        <v/>
      </c>
      <c r="GV59" t="str">
        <f t="shared" ca="1" si="24"/>
        <v/>
      </c>
      <c r="GW59" t="str">
        <f t="shared" ca="1" si="25"/>
        <v/>
      </c>
      <c r="GX59" t="str">
        <f t="shared" ca="1" si="26"/>
        <v/>
      </c>
      <c r="HA59" t="s">
        <v>489</v>
      </c>
      <c r="HB59" t="s">
        <v>4121</v>
      </c>
      <c r="HC59">
        <f t="shared" si="21"/>
        <v>4</v>
      </c>
      <c r="HD59" t="s">
        <v>4484</v>
      </c>
      <c r="HE59" t="s">
        <v>4123</v>
      </c>
      <c r="HF59" t="s">
        <v>1699</v>
      </c>
      <c r="HG59" t="s">
        <v>1690</v>
      </c>
      <c r="HH59">
        <v>149</v>
      </c>
      <c r="HI59">
        <f t="shared" si="38"/>
        <v>4</v>
      </c>
      <c r="HJ59">
        <f t="shared" si="39"/>
        <v>200</v>
      </c>
      <c r="HK59" t="s">
        <v>1698</v>
      </c>
      <c r="HL59" t="s">
        <v>106</v>
      </c>
      <c r="HM59" t="s">
        <v>1196</v>
      </c>
    </row>
    <row r="60" spans="1:221" ht="12.75" customHeight="1" x14ac:dyDescent="0.2">
      <c r="A60" t="s">
        <v>720</v>
      </c>
      <c r="B60" t="s">
        <v>74</v>
      </c>
      <c r="C60" t="s">
        <v>77</v>
      </c>
      <c r="D60" t="s">
        <v>751</v>
      </c>
      <c r="E60" t="s">
        <v>1827</v>
      </c>
      <c r="F60" t="s">
        <v>1321</v>
      </c>
      <c r="L60" t="str">
        <f t="shared" si="48"/>
        <v/>
      </c>
      <c r="M60" t="str">
        <f t="shared" si="49"/>
        <v/>
      </c>
      <c r="N60" t="str">
        <f t="shared" si="50"/>
        <v>Sich Verkleiden</v>
      </c>
      <c r="P60">
        <f t="shared" si="51"/>
        <v>96</v>
      </c>
      <c r="R60" t="s">
        <v>706</v>
      </c>
      <c r="U60">
        <v>18</v>
      </c>
      <c r="Z60" t="s">
        <v>1063</v>
      </c>
      <c r="AC60">
        <v>7</v>
      </c>
      <c r="AE60" t="s">
        <v>2070</v>
      </c>
      <c r="AH60" t="str">
        <f t="shared" si="52"/>
        <v>Selbstbeherrschung</v>
      </c>
      <c r="AJ60">
        <f t="shared" si="45"/>
        <v>10</v>
      </c>
      <c r="AK60" t="s">
        <v>1955</v>
      </c>
      <c r="AM60" t="str">
        <f t="shared" si="44"/>
        <v>Raufen</v>
      </c>
      <c r="AP60" t="str">
        <f>VLOOKUP(AM60,BASISSKT,4,FALSE)</f>
        <v>C</v>
      </c>
      <c r="AQ60">
        <v>0</v>
      </c>
      <c r="AS60" t="s">
        <v>3282</v>
      </c>
      <c r="AT60" t="s">
        <v>7207</v>
      </c>
      <c r="AX60" t="s">
        <v>853</v>
      </c>
      <c r="AY60">
        <v>4</v>
      </c>
      <c r="AZ60">
        <v>1</v>
      </c>
      <c r="BA60" t="s">
        <v>3179</v>
      </c>
      <c r="BB60" t="s">
        <v>2084</v>
      </c>
      <c r="BC60" t="s">
        <v>3098</v>
      </c>
      <c r="BD60" t="s">
        <v>3099</v>
      </c>
      <c r="BE60" t="s">
        <v>3191</v>
      </c>
      <c r="BG60">
        <v>5</v>
      </c>
      <c r="BK60" t="s">
        <v>5295</v>
      </c>
      <c r="BL60">
        <v>10</v>
      </c>
      <c r="BM60">
        <v>11</v>
      </c>
      <c r="BN60">
        <v>12</v>
      </c>
      <c r="BO60">
        <v>8</v>
      </c>
      <c r="BP60" t="s">
        <v>5296</v>
      </c>
      <c r="BQ60">
        <v>2</v>
      </c>
      <c r="BR60">
        <v>20</v>
      </c>
      <c r="BS60" t="s">
        <v>5297</v>
      </c>
      <c r="BT60" t="s">
        <v>1444</v>
      </c>
      <c r="BU60" t="s">
        <v>5298</v>
      </c>
      <c r="BV60">
        <v>0</v>
      </c>
      <c r="BW60">
        <v>5</v>
      </c>
      <c r="BX60">
        <v>7</v>
      </c>
      <c r="CA60" t="s">
        <v>5299</v>
      </c>
      <c r="CD60" t="s">
        <v>3019</v>
      </c>
      <c r="CE60" t="s">
        <v>4558</v>
      </c>
      <c r="CF60" t="s">
        <v>917</v>
      </c>
      <c r="CG60" t="s">
        <v>3237</v>
      </c>
      <c r="CH60">
        <v>0</v>
      </c>
      <c r="CI60">
        <v>-2</v>
      </c>
      <c r="CJ60" t="s">
        <v>3586</v>
      </c>
      <c r="CK60" t="s">
        <v>1957</v>
      </c>
      <c r="CN60" t="str">
        <f ca="1">IF(AND(ISERR(FIND($CK60,Talente!$CI$41)),ISNA(VLOOKUP($CK60,$AH$51:$AH$55,1))),IF(AND(ISERR(FIND($CL60,Talente!$CI$41)),ISNA(VLOOKUP($CL60,$AH$51:$AH$55,1))),$CM60,$CL60),$CK60)</f>
        <v>Dolche</v>
      </c>
      <c r="CP60" t="s">
        <v>343</v>
      </c>
      <c r="CU60" t="s">
        <v>900</v>
      </c>
      <c r="CW60" t="s">
        <v>2508</v>
      </c>
      <c r="CX60" t="s">
        <v>2473</v>
      </c>
      <c r="CY60" t="s">
        <v>75</v>
      </c>
      <c r="CZ60" t="s">
        <v>5030</v>
      </c>
      <c r="DA60" t="s">
        <v>752</v>
      </c>
      <c r="DB60" t="s">
        <v>2042</v>
      </c>
      <c r="DC60" t="s">
        <v>7289</v>
      </c>
      <c r="DD60" t="s">
        <v>2727</v>
      </c>
      <c r="DE60" t="s">
        <v>3380</v>
      </c>
      <c r="DF60" t="s">
        <v>4479</v>
      </c>
      <c r="DG60" t="s">
        <v>1956</v>
      </c>
      <c r="DH60" t="s">
        <v>8418</v>
      </c>
      <c r="DI60" t="s">
        <v>1543</v>
      </c>
      <c r="DJ60">
        <v>2</v>
      </c>
      <c r="DK60">
        <f t="shared" si="10"/>
        <v>381</v>
      </c>
      <c r="DL60">
        <f t="shared" si="11"/>
        <v>58</v>
      </c>
      <c r="DM60">
        <v>59</v>
      </c>
      <c r="DN60" t="str">
        <f t="shared" ca="1" si="12"/>
        <v/>
      </c>
      <c r="DO60" t="str">
        <f t="shared" ca="1" si="13"/>
        <v/>
      </c>
      <c r="DP60" t="str">
        <f t="shared" ca="1" si="14"/>
        <v/>
      </c>
      <c r="DQ60" t="str">
        <f>IF(EXACT(Zauber!$A$250,""),"",IF(EXACT(RIGHT(HLOOKUP(Zauber!$A$250,PROFMAGIE,$DK60,FALSE)),"H"),CONCATENATE($CX60,","),""))</f>
        <v/>
      </c>
      <c r="DR60" t="str">
        <f t="shared" si="15"/>
        <v/>
      </c>
      <c r="DS60" t="str">
        <f>IF(ZS_IAAK="Ja",IF(EXACT(RIGHT(HLOOKUP(Tabellen_Magie!$IK$1,PROFMAGIE,$DK60,FALSE)),"H"),CONCATENATE($CX60,","),""),"")</f>
        <v/>
      </c>
      <c r="DT60" t="str">
        <f>IF(ZS_IAAK="Ja",IF(NOT(DS60=""),"",IF(OR(EXACT(RIGHT(HLOOKUP(Tabellen_Magie!$IK$1,PROFMAGIE,$DK60,FALSE)),"B"),EXACT(HLOOKUP(Tabellen_Magie!$IK$1,PROFMAGIE,$DK60,FALSE),"")),"",CONCATENATE($CX60,","))),"")</f>
        <v/>
      </c>
      <c r="DU60" t="str">
        <f t="shared" si="16"/>
        <v/>
      </c>
      <c r="DW60" t="s">
        <v>421</v>
      </c>
      <c r="DX60" t="s">
        <v>74</v>
      </c>
      <c r="DY60" t="s">
        <v>76</v>
      </c>
      <c r="DZ60" t="s">
        <v>77</v>
      </c>
      <c r="EB60" t="s">
        <v>8585</v>
      </c>
      <c r="EC60" t="s">
        <v>8586</v>
      </c>
      <c r="ED60">
        <f t="shared" si="53"/>
        <v>75</v>
      </c>
      <c r="EE60" t="s">
        <v>3279</v>
      </c>
      <c r="EF60" t="s">
        <v>1248</v>
      </c>
      <c r="EG60" t="s">
        <v>3284</v>
      </c>
      <c r="EH60">
        <f t="shared" si="54"/>
        <v>2</v>
      </c>
      <c r="EI60">
        <v>75</v>
      </c>
      <c r="EK60" t="s">
        <v>499</v>
      </c>
      <c r="EL60">
        <v>0</v>
      </c>
      <c r="EM60">
        <v>0</v>
      </c>
      <c r="EN60">
        <v>0</v>
      </c>
      <c r="EO60">
        <v>0</v>
      </c>
      <c r="EP60">
        <v>2</v>
      </c>
      <c r="EQ60">
        <v>2</v>
      </c>
      <c r="ER60">
        <v>0</v>
      </c>
      <c r="ES60">
        <v>0.2</v>
      </c>
      <c r="ET60">
        <v>0.2</v>
      </c>
      <c r="EU60">
        <v>0</v>
      </c>
      <c r="EV60">
        <v>0</v>
      </c>
      <c r="FD60" t="s">
        <v>5012</v>
      </c>
      <c r="FE60">
        <f t="shared" si="40"/>
        <v>100</v>
      </c>
      <c r="FF60">
        <f t="shared" si="37"/>
        <v>2</v>
      </c>
      <c r="FK60">
        <v>100</v>
      </c>
      <c r="FL60">
        <v>4</v>
      </c>
      <c r="FM60" t="b">
        <f t="shared" ca="1" si="41"/>
        <v>0</v>
      </c>
      <c r="FN60" t="b">
        <f t="shared" ca="1" si="42"/>
        <v>0</v>
      </c>
      <c r="FQ60" t="s">
        <v>4592</v>
      </c>
      <c r="FR60">
        <v>5</v>
      </c>
      <c r="FS60">
        <v>0</v>
      </c>
      <c r="GH60" t="s">
        <v>4498</v>
      </c>
      <c r="GI60" t="s">
        <v>1119</v>
      </c>
      <c r="GJ60">
        <v>2</v>
      </c>
      <c r="GK60" t="s">
        <v>1320</v>
      </c>
      <c r="GL60" t="s">
        <v>567</v>
      </c>
      <c r="GM60" t="s">
        <v>1982</v>
      </c>
      <c r="GN60" t="s">
        <v>1974</v>
      </c>
      <c r="GO60">
        <v>266</v>
      </c>
      <c r="GP60">
        <v>112</v>
      </c>
      <c r="GR60">
        <f t="shared" si="22"/>
        <v>409</v>
      </c>
      <c r="GS60">
        <v>4</v>
      </c>
      <c r="GU60" t="str">
        <f t="shared" ca="1" si="23"/>
        <v/>
      </c>
      <c r="GV60" t="str">
        <f t="shared" ca="1" si="24"/>
        <v/>
      </c>
      <c r="GW60" t="str">
        <f t="shared" ca="1" si="25"/>
        <v/>
      </c>
      <c r="GX60" t="str">
        <f t="shared" ca="1" si="26"/>
        <v/>
      </c>
      <c r="HA60" t="s">
        <v>490</v>
      </c>
      <c r="HB60" t="s">
        <v>3290</v>
      </c>
      <c r="HC60">
        <f t="shared" si="21"/>
        <v>3</v>
      </c>
      <c r="HD60" t="s">
        <v>1396</v>
      </c>
      <c r="HE60" t="s">
        <v>4123</v>
      </c>
      <c r="HG60" t="s">
        <v>1975</v>
      </c>
      <c r="HH60">
        <v>149</v>
      </c>
      <c r="HI60">
        <f t="shared" si="38"/>
        <v>3</v>
      </c>
      <c r="HJ60">
        <f t="shared" si="39"/>
        <v>150</v>
      </c>
      <c r="HK60" t="s">
        <v>491</v>
      </c>
      <c r="HL60" t="s">
        <v>2369</v>
      </c>
      <c r="HM60" t="s">
        <v>2991</v>
      </c>
    </row>
    <row r="61" spans="1:221" ht="15.75" customHeight="1" x14ac:dyDescent="0.2">
      <c r="A61" t="s">
        <v>162</v>
      </c>
      <c r="B61" t="s">
        <v>74</v>
      </c>
      <c r="C61" t="s">
        <v>76</v>
      </c>
      <c r="D61" t="s">
        <v>77</v>
      </c>
      <c r="E61" t="s">
        <v>1321</v>
      </c>
      <c r="F61" t="s">
        <v>1321</v>
      </c>
      <c r="L61" t="str">
        <f t="shared" si="48"/>
        <v/>
      </c>
      <c r="M61" t="str">
        <f t="shared" si="49"/>
        <v/>
      </c>
      <c r="N61" t="str">
        <f t="shared" si="50"/>
        <v>Überreden</v>
      </c>
      <c r="P61">
        <f t="shared" si="51"/>
        <v>97</v>
      </c>
      <c r="R61" t="s">
        <v>707</v>
      </c>
      <c r="U61">
        <v>18</v>
      </c>
      <c r="Z61" t="s">
        <v>3243</v>
      </c>
      <c r="AA61">
        <v>1</v>
      </c>
      <c r="AB61">
        <v>12</v>
      </c>
      <c r="AD61" t="s">
        <v>3995</v>
      </c>
      <c r="AH61" t="str">
        <f t="shared" si="52"/>
        <v>Sich Verstecken</v>
      </c>
      <c r="AJ61">
        <f t="shared" si="45"/>
        <v>11</v>
      </c>
      <c r="AK61" t="s">
        <v>1955</v>
      </c>
      <c r="AM61" t="str">
        <f t="shared" si="44"/>
        <v>Ringen</v>
      </c>
      <c r="AP61" t="str">
        <f>VLOOKUP(AM61,TL_KPF_WERTE,6,FALSE)</f>
        <v>D</v>
      </c>
      <c r="AQ61">
        <v>0</v>
      </c>
      <c r="AS61" t="s">
        <v>3283</v>
      </c>
      <c r="AT61" t="s">
        <v>7208</v>
      </c>
      <c r="AX61" t="s">
        <v>1524</v>
      </c>
      <c r="AY61">
        <v>6</v>
      </c>
      <c r="AZ61">
        <v>2</v>
      </c>
      <c r="BG61">
        <v>5</v>
      </c>
      <c r="BK61" t="s">
        <v>4407</v>
      </c>
      <c r="BL61">
        <v>10</v>
      </c>
      <c r="BM61">
        <v>10</v>
      </c>
      <c r="BN61">
        <v>10</v>
      </c>
      <c r="BO61">
        <v>7</v>
      </c>
      <c r="BP61" t="s">
        <v>5296</v>
      </c>
      <c r="BQ61">
        <v>2</v>
      </c>
      <c r="BR61">
        <v>21</v>
      </c>
      <c r="BS61" t="s">
        <v>5300</v>
      </c>
      <c r="BT61" t="s">
        <v>1444</v>
      </c>
      <c r="BU61" t="s">
        <v>5301</v>
      </c>
      <c r="BV61">
        <v>0</v>
      </c>
      <c r="BW61">
        <v>2</v>
      </c>
      <c r="BX61">
        <v>9</v>
      </c>
      <c r="CA61" t="s">
        <v>5302</v>
      </c>
      <c r="CD61" t="s">
        <v>3020</v>
      </c>
      <c r="CE61" t="s">
        <v>4549</v>
      </c>
      <c r="CF61" t="s">
        <v>3231</v>
      </c>
      <c r="CG61" t="s">
        <v>4595</v>
      </c>
      <c r="CH61">
        <v>0</v>
      </c>
      <c r="CI61">
        <v>5</v>
      </c>
      <c r="CJ61" t="s">
        <v>1827</v>
      </c>
      <c r="CK61" t="s">
        <v>3044</v>
      </c>
      <c r="CN61" t="str">
        <f ca="1">IF(AND(ISERR(FIND($CK61,Talente!$CI$41)),ISNA(VLOOKUP($CK61,$AH$51:$AH$55,1))),IF(AND(ISERR(FIND($CL61,Talente!$CI$41)),ISNA(VLOOKUP($CL61,$AH$51:$AH$55,1))),$CM61,$CL61),$CK61)</f>
        <v>Infanteriewaffen</v>
      </c>
      <c r="CP61" t="s">
        <v>3001</v>
      </c>
      <c r="CU61" t="s">
        <v>1829</v>
      </c>
      <c r="CW61" t="s">
        <v>3082</v>
      </c>
      <c r="CX61" t="s">
        <v>2474</v>
      </c>
      <c r="CY61" t="s">
        <v>77</v>
      </c>
      <c r="CZ61" t="s">
        <v>751</v>
      </c>
      <c r="DA61" t="s">
        <v>5030</v>
      </c>
      <c r="DB61" t="s">
        <v>2042</v>
      </c>
      <c r="DC61" t="s">
        <v>7299</v>
      </c>
      <c r="DD61" t="s">
        <v>836</v>
      </c>
      <c r="DE61" t="s">
        <v>3380</v>
      </c>
      <c r="DF61" t="s">
        <v>81</v>
      </c>
      <c r="DG61" t="s">
        <v>1956</v>
      </c>
      <c r="DH61" t="s">
        <v>8419</v>
      </c>
      <c r="DI61" t="s">
        <v>4456</v>
      </c>
      <c r="DJ61">
        <v>2</v>
      </c>
      <c r="DK61">
        <f t="shared" si="10"/>
        <v>382</v>
      </c>
      <c r="DL61">
        <f t="shared" si="11"/>
        <v>59</v>
      </c>
      <c r="DM61">
        <v>60</v>
      </c>
      <c r="DN61" t="str">
        <f t="shared" ca="1" si="12"/>
        <v/>
      </c>
      <c r="DO61" t="str">
        <f t="shared" ca="1" si="13"/>
        <v/>
      </c>
      <c r="DP61" t="str">
        <f t="shared" ca="1" si="14"/>
        <v/>
      </c>
      <c r="DQ61" t="str">
        <f>IF(EXACT(Zauber!$A$250,""),"",IF(EXACT(RIGHT(HLOOKUP(Zauber!$A$250,PROFMAGIE,$DK61,FALSE)),"H"),CONCATENATE($CX61,","),""))</f>
        <v/>
      </c>
      <c r="DR61" t="str">
        <f t="shared" si="15"/>
        <v/>
      </c>
      <c r="DS61" t="str">
        <f>IF(ZS_IAAK="Ja",IF(EXACT(RIGHT(HLOOKUP(Tabellen_Magie!$IK$1,PROFMAGIE,$DK61,FALSE)),"H"),CONCATENATE($CX61,","),""),"")</f>
        <v/>
      </c>
      <c r="DT61" t="str">
        <f>IF(ZS_IAAK="Ja",IF(NOT(DS61=""),"",IF(OR(EXACT(RIGHT(HLOOKUP(Tabellen_Magie!$IK$1,PROFMAGIE,$DK61,FALSE)),"B"),EXACT(HLOOKUP(Tabellen_Magie!$IK$1,PROFMAGIE,$DK61,FALSE),"")),"",CONCATENATE($CX61,","))),"")</f>
        <v/>
      </c>
      <c r="DU61" t="str">
        <f t="shared" si="16"/>
        <v/>
      </c>
      <c r="DW61" t="s">
        <v>419</v>
      </c>
      <c r="DX61" t="s">
        <v>76</v>
      </c>
      <c r="DY61" t="s">
        <v>76</v>
      </c>
      <c r="DZ61" t="s">
        <v>77</v>
      </c>
      <c r="EB61" t="s">
        <v>2510</v>
      </c>
      <c r="EC61">
        <v>5</v>
      </c>
      <c r="ED61">
        <f t="shared" si="53"/>
        <v>50</v>
      </c>
      <c r="EE61" t="s">
        <v>3279</v>
      </c>
      <c r="EF61" t="s">
        <v>1248</v>
      </c>
      <c r="EG61" t="s">
        <v>3284</v>
      </c>
      <c r="EH61">
        <f t="shared" si="54"/>
        <v>1</v>
      </c>
      <c r="EI61">
        <v>50</v>
      </c>
      <c r="EK61" t="s">
        <v>416</v>
      </c>
      <c r="EL61">
        <v>0</v>
      </c>
      <c r="EM61">
        <v>0</v>
      </c>
      <c r="EN61">
        <v>0</v>
      </c>
      <c r="EO61">
        <v>0</v>
      </c>
      <c r="EP61">
        <v>0</v>
      </c>
      <c r="EQ61">
        <v>0</v>
      </c>
      <c r="ER61">
        <v>1</v>
      </c>
      <c r="ES61">
        <v>0.2</v>
      </c>
      <c r="ET61">
        <v>0.2</v>
      </c>
      <c r="EU61">
        <v>0</v>
      </c>
      <c r="EV61">
        <v>1</v>
      </c>
      <c r="FD61" t="s">
        <v>3680</v>
      </c>
      <c r="FE61">
        <f t="shared" si="40"/>
        <v>150</v>
      </c>
      <c r="FF61">
        <f>ROUND(FE61/50,0)</f>
        <v>3</v>
      </c>
      <c r="FK61">
        <v>150</v>
      </c>
      <c r="FL61">
        <v>5</v>
      </c>
      <c r="FM61" t="b">
        <f t="shared" ca="1" si="41"/>
        <v>0</v>
      </c>
      <c r="FN61" t="b">
        <f t="shared" ca="1" si="42"/>
        <v>0</v>
      </c>
      <c r="GH61" t="s">
        <v>4499</v>
      </c>
      <c r="GI61" t="s">
        <v>1119</v>
      </c>
      <c r="GJ61">
        <v>2</v>
      </c>
      <c r="GK61" t="s">
        <v>4116</v>
      </c>
      <c r="GL61" t="s">
        <v>1976</v>
      </c>
      <c r="GM61" t="s">
        <v>1369</v>
      </c>
      <c r="GN61" t="s">
        <v>1690</v>
      </c>
      <c r="GO61">
        <v>288</v>
      </c>
      <c r="GP61">
        <v>289</v>
      </c>
      <c r="GR61">
        <f t="shared" si="22"/>
        <v>410</v>
      </c>
      <c r="GU61" t="str">
        <f t="shared" ca="1" si="23"/>
        <v/>
      </c>
      <c r="GV61" t="str">
        <f t="shared" ca="1" si="24"/>
        <v/>
      </c>
      <c r="GW61" t="str">
        <f t="shared" ca="1" si="25"/>
        <v/>
      </c>
      <c r="GX61" t="str">
        <f t="shared" ca="1" si="26"/>
        <v/>
      </c>
      <c r="HA61" t="s">
        <v>492</v>
      </c>
      <c r="HB61" t="s">
        <v>3290</v>
      </c>
      <c r="HC61">
        <f t="shared" si="21"/>
        <v>3</v>
      </c>
      <c r="HD61" t="s">
        <v>4854</v>
      </c>
      <c r="HE61" t="s">
        <v>4123</v>
      </c>
      <c r="HG61" t="s">
        <v>1975</v>
      </c>
      <c r="HH61">
        <v>149</v>
      </c>
      <c r="HI61">
        <f t="shared" si="38"/>
        <v>3</v>
      </c>
      <c r="HJ61">
        <f t="shared" si="39"/>
        <v>150</v>
      </c>
      <c r="HK61" t="s">
        <v>3279</v>
      </c>
      <c r="HL61" t="s">
        <v>2369</v>
      </c>
      <c r="HM61" t="s">
        <v>1284</v>
      </c>
    </row>
    <row r="62" spans="1:221" ht="12.75" customHeight="1" x14ac:dyDescent="0.2">
      <c r="A62" t="s">
        <v>4185</v>
      </c>
      <c r="B62" t="s">
        <v>75</v>
      </c>
      <c r="C62" t="s">
        <v>76</v>
      </c>
      <c r="D62" t="s">
        <v>77</v>
      </c>
      <c r="E62" t="s">
        <v>1827</v>
      </c>
      <c r="F62" t="s">
        <v>1321</v>
      </c>
      <c r="L62" t="str">
        <f t="shared" si="48"/>
        <v/>
      </c>
      <c r="M62" t="str">
        <f t="shared" si="49"/>
        <v/>
      </c>
      <c r="N62" t="str">
        <f t="shared" si="50"/>
        <v>Überzeugen</v>
      </c>
      <c r="P62">
        <f t="shared" si="51"/>
        <v>98</v>
      </c>
      <c r="R62" t="s">
        <v>1943</v>
      </c>
      <c r="U62">
        <v>18</v>
      </c>
      <c r="Z62" t="s">
        <v>2577</v>
      </c>
      <c r="AA62">
        <v>1</v>
      </c>
      <c r="AB62">
        <v>12</v>
      </c>
      <c r="AD62" t="s">
        <v>3995</v>
      </c>
      <c r="AH62" t="str">
        <f t="shared" si="52"/>
        <v>Singen</v>
      </c>
      <c r="AJ62">
        <f t="shared" si="45"/>
        <v>12</v>
      </c>
      <c r="AK62" t="s">
        <v>1955</v>
      </c>
      <c r="AM62" t="str">
        <f t="shared" si="44"/>
        <v>Säbel</v>
      </c>
      <c r="AP62" t="str">
        <f>VLOOKUP(AM62,BASISSKT,4,FALSE)</f>
        <v>D</v>
      </c>
      <c r="AQ62">
        <v>-2</v>
      </c>
      <c r="AS62" t="s">
        <v>1248</v>
      </c>
      <c r="AT62" t="s">
        <v>7209</v>
      </c>
      <c r="AX62" t="s">
        <v>1525</v>
      </c>
      <c r="AY62">
        <v>6</v>
      </c>
      <c r="AZ62">
        <v>2</v>
      </c>
      <c r="BG62">
        <v>5</v>
      </c>
      <c r="BK62" t="s">
        <v>5303</v>
      </c>
      <c r="BL62">
        <v>9</v>
      </c>
      <c r="BM62">
        <v>12</v>
      </c>
      <c r="BN62">
        <v>11</v>
      </c>
      <c r="BO62">
        <v>8</v>
      </c>
      <c r="BP62" t="s">
        <v>5296</v>
      </c>
      <c r="BQ62">
        <v>2</v>
      </c>
      <c r="BR62">
        <v>22</v>
      </c>
      <c r="BS62" t="s">
        <v>5292</v>
      </c>
      <c r="BT62" t="s">
        <v>1443</v>
      </c>
      <c r="BU62" t="s">
        <v>5304</v>
      </c>
      <c r="BV62">
        <v>5</v>
      </c>
      <c r="BW62">
        <v>7</v>
      </c>
      <c r="BX62">
        <v>7</v>
      </c>
      <c r="CA62" t="s">
        <v>5305</v>
      </c>
      <c r="CD62" t="s">
        <v>3021</v>
      </c>
      <c r="CE62" t="s">
        <v>4549</v>
      </c>
      <c r="CF62" t="s">
        <v>4554</v>
      </c>
      <c r="CG62" t="s">
        <v>903</v>
      </c>
      <c r="CH62">
        <v>-1</v>
      </c>
      <c r="CI62">
        <v>3</v>
      </c>
      <c r="CJ62" t="s">
        <v>3586</v>
      </c>
      <c r="CK62" t="s">
        <v>2190</v>
      </c>
      <c r="CL62" t="s">
        <v>2192</v>
      </c>
      <c r="CN62" t="str">
        <f ca="1">IF(AND(ISERR(FIND($CK62,Talente!$CI$41)),ISNA(VLOOKUP($CK62,$AH$51:$AH$55,1))),IF(AND(ISERR(FIND($CL62,Talente!$CI$41)),ISNA(VLOOKUP($CL62,$AH$51:$AH$55,1))),$CM62,$CL62),$CK62)</f>
        <v>Hiebwaffen</v>
      </c>
      <c r="CP62" t="s">
        <v>2457</v>
      </c>
      <c r="CU62" t="s">
        <v>3565</v>
      </c>
      <c r="CW62" t="s">
        <v>2646</v>
      </c>
      <c r="CX62" t="s">
        <v>2475</v>
      </c>
      <c r="CY62" t="s">
        <v>75</v>
      </c>
      <c r="CZ62" t="s">
        <v>75</v>
      </c>
      <c r="DA62" t="s">
        <v>76</v>
      </c>
      <c r="DC62" t="s">
        <v>544</v>
      </c>
      <c r="DD62" t="s">
        <v>2162</v>
      </c>
      <c r="DE62" t="s">
        <v>1321</v>
      </c>
      <c r="DF62" t="s">
        <v>2163</v>
      </c>
      <c r="DG62" t="s">
        <v>1956</v>
      </c>
      <c r="DH62" t="s">
        <v>8420</v>
      </c>
      <c r="DI62" t="s">
        <v>3502</v>
      </c>
      <c r="DJ62">
        <v>2</v>
      </c>
      <c r="DK62">
        <f t="shared" si="10"/>
        <v>383</v>
      </c>
      <c r="DL62">
        <f t="shared" si="11"/>
        <v>60</v>
      </c>
      <c r="DM62">
        <v>61</v>
      </c>
      <c r="DN62" t="str">
        <f t="shared" ca="1" si="12"/>
        <v/>
      </c>
      <c r="DO62" t="str">
        <f t="shared" ca="1" si="13"/>
        <v/>
      </c>
      <c r="DP62" t="str">
        <f t="shared" ca="1" si="14"/>
        <v/>
      </c>
      <c r="DQ62" t="str">
        <f>IF(EXACT(Zauber!$A$250,""),"",IF(EXACT(RIGHT(HLOOKUP(Zauber!$A$250,PROFMAGIE,$DK62,FALSE)),"H"),CONCATENATE($CX62,","),""))</f>
        <v/>
      </c>
      <c r="DR62" t="str">
        <f t="shared" si="15"/>
        <v/>
      </c>
      <c r="DS62" t="str">
        <f>IF(ZS_IAAK="Ja",IF(EXACT(RIGHT(HLOOKUP(Tabellen_Magie!$IK$1,PROFMAGIE,$DK62,FALSE)),"H"),CONCATENATE($CX62,","),""),"")</f>
        <v/>
      </c>
      <c r="DT62" t="str">
        <f>IF(ZS_IAAK="Ja",IF(NOT(DS62=""),"",IF(OR(EXACT(RIGHT(HLOOKUP(Tabellen_Magie!$IK$1,PROFMAGIE,$DK62,FALSE)),"B"),EXACT(HLOOKUP(Tabellen_Magie!$IK$1,PROFMAGIE,$DK62,FALSE),"")),"",CONCATENATE($CX62,","))),"")</f>
        <v/>
      </c>
      <c r="DU62" t="str">
        <f t="shared" si="16"/>
        <v/>
      </c>
      <c r="DW62" t="s">
        <v>3004</v>
      </c>
      <c r="DX62" t="s">
        <v>75</v>
      </c>
      <c r="DY62" t="s">
        <v>75</v>
      </c>
      <c r="DZ62" t="s">
        <v>750</v>
      </c>
      <c r="EB62" t="s">
        <v>2991</v>
      </c>
      <c r="EC62">
        <v>1</v>
      </c>
      <c r="ED62">
        <f t="shared" si="53"/>
        <v>50</v>
      </c>
      <c r="EE62" t="s">
        <v>3279</v>
      </c>
      <c r="EF62" t="s">
        <v>1248</v>
      </c>
      <c r="EG62" t="s">
        <v>3284</v>
      </c>
      <c r="EH62">
        <f t="shared" si="54"/>
        <v>1</v>
      </c>
      <c r="EI62">
        <v>50</v>
      </c>
      <c r="EK62" t="s">
        <v>4203</v>
      </c>
      <c r="EL62">
        <v>0</v>
      </c>
      <c r="EM62">
        <v>1</v>
      </c>
      <c r="EN62">
        <v>1</v>
      </c>
      <c r="EO62">
        <v>1</v>
      </c>
      <c r="EP62">
        <v>0</v>
      </c>
      <c r="EQ62">
        <v>0</v>
      </c>
      <c r="ER62">
        <v>1</v>
      </c>
      <c r="ES62">
        <v>0.8</v>
      </c>
      <c r="ET62">
        <v>0.8</v>
      </c>
      <c r="EU62">
        <v>1</v>
      </c>
      <c r="EV62">
        <v>1</v>
      </c>
      <c r="FD62" t="s">
        <v>5000</v>
      </c>
      <c r="FE62">
        <f t="shared" si="40"/>
        <v>200</v>
      </c>
      <c r="FF62">
        <f t="shared" si="37"/>
        <v>4</v>
      </c>
      <c r="FK62">
        <v>200</v>
      </c>
      <c r="FL62">
        <v>3</v>
      </c>
      <c r="FM62" t="b">
        <f t="shared" ca="1" si="41"/>
        <v>0</v>
      </c>
      <c r="FN62" t="b">
        <f t="shared" ca="1" si="42"/>
        <v>0</v>
      </c>
      <c r="GH62" t="s">
        <v>4500</v>
      </c>
      <c r="GI62" t="s">
        <v>1119</v>
      </c>
      <c r="GJ62">
        <v>2</v>
      </c>
      <c r="GK62" t="s">
        <v>1320</v>
      </c>
      <c r="GL62" t="s">
        <v>1977</v>
      </c>
      <c r="GM62" t="s">
        <v>1369</v>
      </c>
      <c r="GN62" t="s">
        <v>1974</v>
      </c>
      <c r="GO62">
        <v>278</v>
      </c>
      <c r="GP62">
        <v>117</v>
      </c>
      <c r="GR62">
        <f t="shared" si="22"/>
        <v>411</v>
      </c>
      <c r="GU62" t="str">
        <f t="shared" ca="1" si="23"/>
        <v/>
      </c>
      <c r="GV62" t="str">
        <f t="shared" ca="1" si="24"/>
        <v/>
      </c>
      <c r="GW62" t="str">
        <f t="shared" ca="1" si="25"/>
        <v/>
      </c>
      <c r="GX62" t="str">
        <f t="shared" ca="1" si="26"/>
        <v/>
      </c>
      <c r="HA62" t="s">
        <v>493</v>
      </c>
      <c r="HB62" t="s">
        <v>1119</v>
      </c>
      <c r="HC62">
        <f t="shared" si="21"/>
        <v>2</v>
      </c>
      <c r="HD62" t="s">
        <v>1320</v>
      </c>
      <c r="HE62" t="s">
        <v>4548</v>
      </c>
      <c r="HF62" t="s">
        <v>3605</v>
      </c>
      <c r="HG62" t="s">
        <v>1690</v>
      </c>
      <c r="HH62">
        <v>152</v>
      </c>
      <c r="HI62">
        <f t="shared" si="38"/>
        <v>2</v>
      </c>
      <c r="HJ62">
        <f t="shared" si="39"/>
        <v>100</v>
      </c>
      <c r="HK62" t="s">
        <v>494</v>
      </c>
      <c r="HL62" t="s">
        <v>2369</v>
      </c>
      <c r="HM62" t="s">
        <v>2991</v>
      </c>
    </row>
    <row r="63" spans="1:221" ht="15.75" customHeight="1" x14ac:dyDescent="0.2">
      <c r="A63" t="s">
        <v>4186</v>
      </c>
      <c r="B63" t="s">
        <v>1609</v>
      </c>
      <c r="C63" t="s">
        <v>1610</v>
      </c>
      <c r="D63" t="s">
        <v>1611</v>
      </c>
      <c r="E63" t="s">
        <v>5029</v>
      </c>
      <c r="F63" t="s">
        <v>3904</v>
      </c>
      <c r="G63" t="s">
        <v>3905</v>
      </c>
      <c r="R63" t="s">
        <v>1944</v>
      </c>
      <c r="U63">
        <v>18</v>
      </c>
      <c r="Z63" t="s">
        <v>2880</v>
      </c>
      <c r="AC63">
        <v>7</v>
      </c>
      <c r="AH63" t="str">
        <f t="shared" si="52"/>
        <v>Sinnenschärfe</v>
      </c>
      <c r="AJ63">
        <f t="shared" si="45"/>
        <v>13</v>
      </c>
      <c r="AK63" t="s">
        <v>1955</v>
      </c>
      <c r="AM63" t="str">
        <f t="shared" si="44"/>
        <v>Schleuder</v>
      </c>
      <c r="AP63" t="str">
        <f>VLOOKUP(AM63,TL_KPF_WERTE,6,FALSE)</f>
        <v>E</v>
      </c>
      <c r="AQ63">
        <v>-2</v>
      </c>
      <c r="AS63" t="s">
        <v>1731</v>
      </c>
      <c r="AT63" t="s">
        <v>7210</v>
      </c>
      <c r="AX63" t="s">
        <v>891</v>
      </c>
      <c r="AY63">
        <v>6</v>
      </c>
      <c r="AZ63">
        <v>2</v>
      </c>
      <c r="BA63" t="s">
        <v>3171</v>
      </c>
      <c r="BB63" t="s">
        <v>3172</v>
      </c>
      <c r="BC63" t="s">
        <v>3173</v>
      </c>
      <c r="BD63" t="s">
        <v>3174</v>
      </c>
      <c r="BG63">
        <v>5</v>
      </c>
      <c r="BK63" t="s">
        <v>5306</v>
      </c>
      <c r="BL63">
        <v>10</v>
      </c>
      <c r="BM63">
        <v>10</v>
      </c>
      <c r="BN63">
        <v>12</v>
      </c>
      <c r="BO63">
        <v>7</v>
      </c>
      <c r="BP63" t="s">
        <v>5296</v>
      </c>
      <c r="BQ63">
        <v>2</v>
      </c>
      <c r="BR63">
        <v>18</v>
      </c>
      <c r="BS63" t="s">
        <v>5292</v>
      </c>
      <c r="BT63" t="s">
        <v>1443</v>
      </c>
      <c r="BU63" t="s">
        <v>5307</v>
      </c>
      <c r="BV63">
        <v>5</v>
      </c>
      <c r="BW63">
        <v>7</v>
      </c>
      <c r="BX63">
        <v>10</v>
      </c>
      <c r="CA63" t="s">
        <v>5308</v>
      </c>
      <c r="CD63" t="s">
        <v>3022</v>
      </c>
      <c r="CE63" t="s">
        <v>904</v>
      </c>
      <c r="CF63" t="s">
        <v>907</v>
      </c>
      <c r="CG63" t="s">
        <v>908</v>
      </c>
      <c r="CH63">
        <v>0</v>
      </c>
      <c r="CI63">
        <v>5</v>
      </c>
      <c r="CJ63" t="s">
        <v>1827</v>
      </c>
      <c r="CK63" t="s">
        <v>3044</v>
      </c>
      <c r="CN63" t="str">
        <f ca="1">IF(AND(ISERR(FIND($CK63,Talente!$CI$41)),ISNA(VLOOKUP($CK63,$AH$51:$AH$55,1))),IF(AND(ISERR(FIND($CL63,Talente!$CI$41)),ISNA(VLOOKUP($CL63,$AH$51:$AH$55,1))),$CM63,$CL63),$CK63)</f>
        <v>Infanteriewaffen</v>
      </c>
      <c r="CP63" t="s">
        <v>2800</v>
      </c>
      <c r="CU63" t="s">
        <v>906</v>
      </c>
      <c r="CW63" t="s">
        <v>2647</v>
      </c>
      <c r="CX63" t="s">
        <v>2476</v>
      </c>
      <c r="CY63" t="s">
        <v>75</v>
      </c>
      <c r="CZ63" t="s">
        <v>750</v>
      </c>
      <c r="DA63" t="s">
        <v>750</v>
      </c>
      <c r="DC63" t="s">
        <v>4872</v>
      </c>
      <c r="DD63" t="s">
        <v>123</v>
      </c>
      <c r="DE63" t="s">
        <v>1321</v>
      </c>
      <c r="DF63" t="s">
        <v>7341</v>
      </c>
      <c r="DG63" t="s">
        <v>1956</v>
      </c>
      <c r="DH63" t="s">
        <v>8421</v>
      </c>
      <c r="DI63" t="s">
        <v>552</v>
      </c>
      <c r="DJ63">
        <v>2</v>
      </c>
      <c r="DK63">
        <f t="shared" si="10"/>
        <v>384</v>
      </c>
      <c r="DL63">
        <f t="shared" si="11"/>
        <v>61</v>
      </c>
      <c r="DM63">
        <v>62</v>
      </c>
      <c r="DN63" t="str">
        <f t="shared" ca="1" si="12"/>
        <v/>
      </c>
      <c r="DO63" t="str">
        <f t="shared" ca="1" si="13"/>
        <v/>
      </c>
      <c r="DP63" t="str">
        <f t="shared" ca="1" si="14"/>
        <v/>
      </c>
      <c r="DQ63" t="str">
        <f>IF(EXACT(Zauber!$A$250,""),"",IF(EXACT(RIGHT(HLOOKUP(Zauber!$A$250,PROFMAGIE,$DK63,FALSE)),"H"),CONCATENATE($CX63,","),""))</f>
        <v/>
      </c>
      <c r="DR63" t="str">
        <f t="shared" si="15"/>
        <v/>
      </c>
      <c r="DS63" t="str">
        <f>IF(ZS_IAAK="Ja",IF(EXACT(RIGHT(HLOOKUP(Tabellen_Magie!$IK$1,PROFMAGIE,$DK63,FALSE)),"H"),CONCATENATE($CX63,","),""),"")</f>
        <v/>
      </c>
      <c r="DT63" t="str">
        <f>IF(ZS_IAAK="Ja",IF(NOT(DS63=""),"",IF(OR(EXACT(RIGHT(HLOOKUP(Tabellen_Magie!$IK$1,PROFMAGIE,$DK63,FALSE)),"B"),EXACT(HLOOKUP(Tabellen_Magie!$IK$1,PROFMAGIE,$DK63,FALSE),"")),"",CONCATENATE($CX63,","))),"")</f>
        <v/>
      </c>
      <c r="DU63" t="str">
        <f t="shared" si="16"/>
        <v/>
      </c>
      <c r="DW63" t="s">
        <v>423</v>
      </c>
      <c r="DX63" t="s">
        <v>75</v>
      </c>
      <c r="DY63" t="s">
        <v>76</v>
      </c>
      <c r="DZ63" t="s">
        <v>77</v>
      </c>
      <c r="EB63" t="s">
        <v>2991</v>
      </c>
      <c r="EC63" t="s">
        <v>8587</v>
      </c>
      <c r="ED63">
        <f t="shared" si="53"/>
        <v>75</v>
      </c>
      <c r="EE63" t="s">
        <v>3279</v>
      </c>
      <c r="EF63" t="s">
        <v>1248</v>
      </c>
      <c r="EG63" t="s">
        <v>3284</v>
      </c>
      <c r="EH63">
        <f t="shared" si="54"/>
        <v>2</v>
      </c>
      <c r="EI63">
        <v>75</v>
      </c>
      <c r="EK63" t="s">
        <v>3580</v>
      </c>
      <c r="EL63">
        <v>0</v>
      </c>
      <c r="EM63">
        <v>0</v>
      </c>
      <c r="EN63">
        <v>0</v>
      </c>
      <c r="EO63">
        <v>0</v>
      </c>
      <c r="EP63">
        <v>5</v>
      </c>
      <c r="EQ63">
        <v>5</v>
      </c>
      <c r="ER63">
        <v>0</v>
      </c>
      <c r="ES63">
        <v>0.5</v>
      </c>
      <c r="ET63">
        <v>0.5</v>
      </c>
      <c r="EU63">
        <v>0</v>
      </c>
      <c r="EV63">
        <v>0</v>
      </c>
      <c r="FD63" t="s">
        <v>1060</v>
      </c>
      <c r="FE63">
        <f t="shared" si="40"/>
        <v>100</v>
      </c>
      <c r="FF63">
        <f t="shared" si="37"/>
        <v>2</v>
      </c>
      <c r="FK63">
        <v>100</v>
      </c>
      <c r="FL63">
        <v>2</v>
      </c>
      <c r="FM63" t="b">
        <f t="shared" ca="1" si="41"/>
        <v>0</v>
      </c>
      <c r="FN63" t="b">
        <f t="shared" ca="1" si="42"/>
        <v>0</v>
      </c>
      <c r="GH63" t="s">
        <v>4501</v>
      </c>
      <c r="GI63" t="s">
        <v>1119</v>
      </c>
      <c r="GJ63">
        <v>2</v>
      </c>
      <c r="GK63" t="s">
        <v>1320</v>
      </c>
      <c r="GL63" t="s">
        <v>567</v>
      </c>
      <c r="GM63" t="s">
        <v>1982</v>
      </c>
      <c r="GN63" t="s">
        <v>1974</v>
      </c>
      <c r="GO63">
        <v>288</v>
      </c>
      <c r="GP63">
        <v>200</v>
      </c>
      <c r="GR63">
        <f t="shared" si="22"/>
        <v>412</v>
      </c>
      <c r="GU63" t="str">
        <f t="shared" ca="1" si="23"/>
        <v/>
      </c>
      <c r="GV63" t="str">
        <f t="shared" ca="1" si="24"/>
        <v/>
      </c>
      <c r="GW63" t="str">
        <f t="shared" ca="1" si="25"/>
        <v/>
      </c>
      <c r="GX63" t="str">
        <f t="shared" ca="1" si="26"/>
        <v/>
      </c>
      <c r="HA63" t="s">
        <v>495</v>
      </c>
      <c r="HB63" t="s">
        <v>4121</v>
      </c>
      <c r="HC63">
        <f t="shared" si="21"/>
        <v>4</v>
      </c>
      <c r="HD63" t="s">
        <v>1320</v>
      </c>
      <c r="HE63" t="s">
        <v>3295</v>
      </c>
      <c r="HF63" t="s">
        <v>3605</v>
      </c>
      <c r="HG63" t="s">
        <v>1974</v>
      </c>
      <c r="HH63">
        <v>149</v>
      </c>
      <c r="HI63">
        <f t="shared" si="38"/>
        <v>4</v>
      </c>
      <c r="HJ63">
        <f t="shared" si="39"/>
        <v>200</v>
      </c>
      <c r="HK63" t="s">
        <v>496</v>
      </c>
      <c r="HL63" t="s">
        <v>3397</v>
      </c>
      <c r="HM63" t="s">
        <v>1279</v>
      </c>
    </row>
    <row r="64" spans="1:221" ht="12.75" customHeight="1" x14ac:dyDescent="0.2">
      <c r="N64" t="s">
        <v>1676</v>
      </c>
      <c r="R64" t="s">
        <v>1945</v>
      </c>
      <c r="U64">
        <v>10</v>
      </c>
      <c r="Z64" t="s">
        <v>1064</v>
      </c>
      <c r="AC64">
        <v>10</v>
      </c>
      <c r="AE64" t="str">
        <f>INDEX(PERSONEN,13)</f>
        <v>Kristallomanten</v>
      </c>
      <c r="AH64" t="str">
        <f>A47</f>
        <v>Tanzen</v>
      </c>
      <c r="AJ64">
        <f t="shared" si="45"/>
        <v>14</v>
      </c>
      <c r="AK64" t="s">
        <v>1955</v>
      </c>
      <c r="AM64" t="str">
        <f t="shared" si="44"/>
        <v>Schwerter</v>
      </c>
      <c r="AP64" t="str">
        <f>VLOOKUP(AM64,TL_KPF_WERTE,6,FALSE)</f>
        <v>E</v>
      </c>
      <c r="AQ64">
        <v>-2</v>
      </c>
      <c r="AS64" t="s">
        <v>3284</v>
      </c>
      <c r="AT64" t="s">
        <v>7211</v>
      </c>
      <c r="AX64" t="s">
        <v>854</v>
      </c>
      <c r="AY64">
        <v>4</v>
      </c>
      <c r="AZ64">
        <v>1</v>
      </c>
      <c r="BA64" t="s">
        <v>3100</v>
      </c>
      <c r="BB64" t="s">
        <v>3101</v>
      </c>
      <c r="BC64" t="s">
        <v>3102</v>
      </c>
      <c r="BD64" t="s">
        <v>3103</v>
      </c>
      <c r="BE64" t="s">
        <v>3104</v>
      </c>
      <c r="BF64" t="s">
        <v>3105</v>
      </c>
      <c r="BG64">
        <v>5</v>
      </c>
      <c r="BK64" t="s">
        <v>5309</v>
      </c>
      <c r="BL64">
        <v>10</v>
      </c>
      <c r="BM64">
        <v>10</v>
      </c>
      <c r="BN64">
        <v>12</v>
      </c>
      <c r="BO64">
        <v>7</v>
      </c>
      <c r="BP64" t="s">
        <v>5296</v>
      </c>
      <c r="BQ64">
        <v>2</v>
      </c>
      <c r="BR64">
        <v>18</v>
      </c>
      <c r="BS64" t="s">
        <v>5292</v>
      </c>
      <c r="BT64" t="s">
        <v>1443</v>
      </c>
      <c r="BU64" t="s">
        <v>5307</v>
      </c>
      <c r="BV64">
        <v>5</v>
      </c>
      <c r="BW64">
        <v>7</v>
      </c>
      <c r="BX64">
        <v>12</v>
      </c>
      <c r="CA64" t="s">
        <v>5310</v>
      </c>
      <c r="CD64" t="s">
        <v>3023</v>
      </c>
      <c r="CE64" t="s">
        <v>1210</v>
      </c>
      <c r="CF64" t="s">
        <v>3232</v>
      </c>
      <c r="CG64" t="s">
        <v>914</v>
      </c>
      <c r="CH64">
        <v>-2</v>
      </c>
      <c r="CI64">
        <v>5</v>
      </c>
      <c r="CJ64" t="s">
        <v>899</v>
      </c>
      <c r="CK64" t="s">
        <v>3629</v>
      </c>
      <c r="CN64" t="str">
        <f ca="1">IF(AND(ISERR(FIND($CK64,Talente!$CI$41)),ISNA(VLOOKUP($CK64,$AH$51:$AH$55,1))),IF(AND(ISERR(FIND($CL64,Talente!$CI$41)),ISNA(VLOOKUP($CL64,$AH$51:$AH$55,1))),$CM64,$CL64),$CK64)</f>
        <v>Zweihand-Hiebwaffen</v>
      </c>
      <c r="CP64" t="s">
        <v>1490</v>
      </c>
      <c r="CU64" t="s">
        <v>286</v>
      </c>
      <c r="CW64" t="s">
        <v>2541</v>
      </c>
      <c r="CX64" t="s">
        <v>1123</v>
      </c>
      <c r="CY64" t="s">
        <v>74</v>
      </c>
      <c r="CZ64" t="s">
        <v>77</v>
      </c>
      <c r="DA64" t="s">
        <v>5030</v>
      </c>
      <c r="DB64" t="s">
        <v>1613</v>
      </c>
      <c r="DC64" t="s">
        <v>7288</v>
      </c>
      <c r="DD64" t="s">
        <v>124</v>
      </c>
      <c r="DE64" t="s">
        <v>2254</v>
      </c>
      <c r="DF64" t="s">
        <v>81</v>
      </c>
      <c r="DG64" t="s">
        <v>1956</v>
      </c>
      <c r="DH64" t="s">
        <v>6844</v>
      </c>
      <c r="DI64" t="s">
        <v>4439</v>
      </c>
      <c r="DJ64">
        <v>2</v>
      </c>
      <c r="DK64">
        <f t="shared" si="10"/>
        <v>385</v>
      </c>
      <c r="DL64">
        <f t="shared" si="11"/>
        <v>62</v>
      </c>
      <c r="DM64">
        <v>63</v>
      </c>
      <c r="DN64" t="str">
        <f t="shared" ca="1" si="12"/>
        <v/>
      </c>
      <c r="DO64" t="str">
        <f t="shared" ca="1" si="13"/>
        <v/>
      </c>
      <c r="DP64" t="str">
        <f t="shared" ca="1" si="14"/>
        <v/>
      </c>
      <c r="DQ64" t="str">
        <f>IF(EXACT(Zauber!$A$250,""),"",IF(EXACT(RIGHT(HLOOKUP(Zauber!$A$250,PROFMAGIE,$DK64,FALSE)),"H"),CONCATENATE($CX64,","),""))</f>
        <v/>
      </c>
      <c r="DR64" t="str">
        <f t="shared" si="15"/>
        <v/>
      </c>
      <c r="DS64" t="str">
        <f>IF(ZS_IAAK="Ja",IF(EXACT(RIGHT(HLOOKUP(Tabellen_Magie!$IK$1,PROFMAGIE,$DK64,FALSE)),"H"),CONCATENATE($CX64,","),""),"")</f>
        <v/>
      </c>
      <c r="DT64" t="str">
        <f>IF(ZS_IAAK="Ja",IF(NOT(DS64=""),"",IF(OR(EXACT(RIGHT(HLOOKUP(Tabellen_Magie!$IK$1,PROFMAGIE,$DK64,FALSE)),"B"),EXACT(HLOOKUP(Tabellen_Magie!$IK$1,PROFMAGIE,$DK64,FALSE),"")),"",CONCATENATE($CX64,","))),"")</f>
        <v/>
      </c>
      <c r="DU64" t="str">
        <f t="shared" si="16"/>
        <v/>
      </c>
      <c r="DW64" t="s">
        <v>420</v>
      </c>
      <c r="DX64" t="s">
        <v>74</v>
      </c>
      <c r="DY64" t="s">
        <v>76</v>
      </c>
      <c r="DZ64" t="s">
        <v>77</v>
      </c>
      <c r="EB64" t="s">
        <v>2510</v>
      </c>
      <c r="EC64" t="s">
        <v>8588</v>
      </c>
      <c r="ED64">
        <f t="shared" si="53"/>
        <v>150</v>
      </c>
      <c r="EE64" t="s">
        <v>3279</v>
      </c>
      <c r="EF64" t="s">
        <v>1248</v>
      </c>
      <c r="EG64" t="s">
        <v>3284</v>
      </c>
      <c r="EH64">
        <f t="shared" si="54"/>
        <v>3</v>
      </c>
      <c r="EI64">
        <v>150</v>
      </c>
      <c r="EK64" t="s">
        <v>3579</v>
      </c>
      <c r="EL64">
        <v>0</v>
      </c>
      <c r="EM64">
        <v>1</v>
      </c>
      <c r="EN64">
        <v>1</v>
      </c>
      <c r="EO64">
        <v>0</v>
      </c>
      <c r="EP64">
        <v>2</v>
      </c>
      <c r="EQ64">
        <v>2</v>
      </c>
      <c r="ER64">
        <v>0</v>
      </c>
      <c r="ES64">
        <v>0.6</v>
      </c>
      <c r="ET64">
        <v>0.6</v>
      </c>
      <c r="EU64">
        <v>0</v>
      </c>
      <c r="EV64">
        <v>0</v>
      </c>
      <c r="FD64" t="s">
        <v>1393</v>
      </c>
      <c r="FE64">
        <f t="shared" si="40"/>
        <v>100</v>
      </c>
      <c r="FF64">
        <f t="shared" si="37"/>
        <v>2</v>
      </c>
      <c r="FK64">
        <v>100</v>
      </c>
      <c r="FL64">
        <v>4</v>
      </c>
      <c r="FM64" t="b">
        <f t="shared" ca="1" si="41"/>
        <v>0</v>
      </c>
      <c r="FN64" t="b">
        <f t="shared" ca="1" si="42"/>
        <v>0</v>
      </c>
      <c r="GH64" t="s">
        <v>2335</v>
      </c>
      <c r="GI64" t="s">
        <v>1119</v>
      </c>
      <c r="GJ64">
        <v>2</v>
      </c>
      <c r="GK64" t="s">
        <v>1320</v>
      </c>
      <c r="GL64" t="s">
        <v>567</v>
      </c>
      <c r="GM64" t="s">
        <v>1984</v>
      </c>
      <c r="GN64" t="s">
        <v>1974</v>
      </c>
      <c r="GO64">
        <v>269</v>
      </c>
      <c r="GP64">
        <v>178</v>
      </c>
      <c r="GR64">
        <f t="shared" si="22"/>
        <v>413</v>
      </c>
      <c r="GU64" t="str">
        <f t="shared" ca="1" si="23"/>
        <v/>
      </c>
      <c r="GV64" t="str">
        <f t="shared" ca="1" si="24"/>
        <v/>
      </c>
      <c r="GW64" t="str">
        <f t="shared" ca="1" si="25"/>
        <v/>
      </c>
      <c r="GX64" t="str">
        <f t="shared" ca="1" si="26"/>
        <v/>
      </c>
      <c r="HA64" t="s">
        <v>497</v>
      </c>
      <c r="HB64" t="s">
        <v>3290</v>
      </c>
      <c r="HC64">
        <f t="shared" si="21"/>
        <v>3</v>
      </c>
      <c r="HD64" t="s">
        <v>1827</v>
      </c>
      <c r="HE64" t="s">
        <v>3291</v>
      </c>
      <c r="HG64" t="s">
        <v>1973</v>
      </c>
      <c r="HH64">
        <v>149</v>
      </c>
      <c r="HI64">
        <f t="shared" si="38"/>
        <v>3</v>
      </c>
      <c r="HJ64">
        <f t="shared" si="39"/>
        <v>150</v>
      </c>
      <c r="HK64" t="s">
        <v>3618</v>
      </c>
      <c r="HL64" t="s">
        <v>3396</v>
      </c>
      <c r="HM64" t="s">
        <v>2685</v>
      </c>
    </row>
    <row r="65" spans="1:221" ht="12.75" customHeight="1" x14ac:dyDescent="0.2">
      <c r="A65" t="s">
        <v>3313</v>
      </c>
      <c r="B65" t="s">
        <v>75</v>
      </c>
      <c r="C65" t="s">
        <v>76</v>
      </c>
      <c r="D65" t="s">
        <v>5030</v>
      </c>
      <c r="E65" t="s">
        <v>1321</v>
      </c>
      <c r="F65" t="s">
        <v>1321</v>
      </c>
      <c r="L65" t="str">
        <f t="shared" ref="L65:L72" si="55">IF(VLOOKUP(A65,TL_SPEZ,18,FALSE)="","",VLOOKUP(A65,TL_SPEZ,18,FALSE))</f>
        <v/>
      </c>
      <c r="M65" t="str">
        <f t="shared" ref="M65:M72" si="56">IF(VLOOKUP($A65,TL_SPEZ,19,FALSE)="","",VLOOKUP($A65,TL_SPEZ,19,FALSE))</f>
        <v/>
      </c>
      <c r="N65" t="str">
        <f t="shared" ref="N65:N72" si="57">CONCATENATE(A65,IF(L65="",""," ("&amp;L65),IF(M65="","","¦"&amp;M65),IF(L65="","",")"))</f>
        <v>Fährtensuchen</v>
      </c>
      <c r="P65">
        <f>VLOOKUP($A65,ZEILENBEZUG,2,FALSE)</f>
        <v>99</v>
      </c>
      <c r="R65" t="s">
        <v>1946</v>
      </c>
      <c r="U65">
        <v>18</v>
      </c>
      <c r="Z65" t="s">
        <v>2881</v>
      </c>
      <c r="AA65">
        <v>1</v>
      </c>
      <c r="AB65">
        <v>5</v>
      </c>
      <c r="AH65" t="str">
        <f>A49</f>
        <v>Zechen</v>
      </c>
      <c r="AJ65">
        <f t="shared" si="45"/>
        <v>15</v>
      </c>
      <c r="AK65" t="s">
        <v>1955</v>
      </c>
      <c r="AM65" t="str">
        <f t="shared" si="44"/>
        <v>Speere</v>
      </c>
      <c r="AP65" t="str">
        <f>VLOOKUP(AM65,TL_KPF_WERTE,6,FALSE)</f>
        <v>D</v>
      </c>
      <c r="AQ65">
        <v>-3</v>
      </c>
      <c r="AX65" t="s">
        <v>892</v>
      </c>
      <c r="AY65">
        <v>6</v>
      </c>
      <c r="AZ65">
        <v>2</v>
      </c>
      <c r="BA65" t="s">
        <v>3175</v>
      </c>
      <c r="BB65" t="s">
        <v>2251</v>
      </c>
      <c r="BC65" t="s">
        <v>3176</v>
      </c>
      <c r="BG65">
        <v>5</v>
      </c>
      <c r="BK65" t="s">
        <v>5311</v>
      </c>
      <c r="BL65">
        <v>6</v>
      </c>
      <c r="BM65">
        <v>6</v>
      </c>
      <c r="BN65">
        <v>8</v>
      </c>
      <c r="BO65">
        <v>9</v>
      </c>
      <c r="BP65" t="s">
        <v>5312</v>
      </c>
      <c r="BQ65">
        <v>1</v>
      </c>
      <c r="BR65">
        <v>8</v>
      </c>
      <c r="BS65" t="s">
        <v>5292</v>
      </c>
      <c r="BT65" t="s">
        <v>2302</v>
      </c>
      <c r="BU65" t="s">
        <v>5313</v>
      </c>
      <c r="BV65">
        <v>0</v>
      </c>
      <c r="BW65">
        <v>7</v>
      </c>
      <c r="BX65">
        <v>5</v>
      </c>
      <c r="CA65" t="s">
        <v>5314</v>
      </c>
      <c r="CD65" t="s">
        <v>7162</v>
      </c>
      <c r="CE65" t="s">
        <v>1210</v>
      </c>
      <c r="CF65" t="s">
        <v>4554</v>
      </c>
      <c r="CG65" t="s">
        <v>914</v>
      </c>
      <c r="CH65">
        <v>-2</v>
      </c>
      <c r="CI65">
        <v>5</v>
      </c>
      <c r="CJ65" t="s">
        <v>899</v>
      </c>
      <c r="CK65" t="s">
        <v>2190</v>
      </c>
      <c r="CN65" t="str">
        <f ca="1">IF(AND(ISERR(FIND($CK65,Talente!$CI$41)),ISNA(VLOOKUP($CK65,$AH$51:$AH$55,1))),IF(AND(ISERR(FIND($CL65,Talente!$CI$41)),ISNA(VLOOKUP($CL65,$AH$51:$AH$55,1))),$CM65,$CL65),$CK65)</f>
        <v>Hiebwaffen</v>
      </c>
      <c r="CP65" t="s">
        <v>2488</v>
      </c>
      <c r="CU65" t="s">
        <v>287</v>
      </c>
      <c r="CW65" t="s">
        <v>1198</v>
      </c>
      <c r="CX65" t="s">
        <v>2477</v>
      </c>
      <c r="CY65" t="s">
        <v>75</v>
      </c>
      <c r="CZ65" t="s">
        <v>77</v>
      </c>
      <c r="DA65" t="s">
        <v>750</v>
      </c>
      <c r="DC65" t="s">
        <v>7292</v>
      </c>
      <c r="DD65" t="s">
        <v>7342</v>
      </c>
      <c r="DE65" t="s">
        <v>1321</v>
      </c>
      <c r="DF65" t="s">
        <v>7343</v>
      </c>
      <c r="DG65" t="s">
        <v>1955</v>
      </c>
      <c r="DH65" t="s">
        <v>6875</v>
      </c>
      <c r="DI65" t="s">
        <v>2793</v>
      </c>
      <c r="DJ65">
        <v>2</v>
      </c>
      <c r="DK65">
        <f t="shared" si="10"/>
        <v>386</v>
      </c>
      <c r="DL65">
        <f t="shared" si="11"/>
        <v>63</v>
      </c>
      <c r="DM65">
        <v>64</v>
      </c>
      <c r="DN65" t="str">
        <f t="shared" ca="1" si="12"/>
        <v/>
      </c>
      <c r="DO65" t="str">
        <f t="shared" ca="1" si="13"/>
        <v/>
      </c>
      <c r="DP65" t="str">
        <f t="shared" ca="1" si="14"/>
        <v/>
      </c>
      <c r="DQ65" t="str">
        <f>IF(EXACT(Zauber!$A$250,""),"",IF(EXACT(RIGHT(HLOOKUP(Zauber!$A$250,PROFMAGIE,$DK65,FALSE)),"H"),CONCATENATE($CX65,","),""))</f>
        <v/>
      </c>
      <c r="DR65" t="str">
        <f t="shared" si="15"/>
        <v/>
      </c>
      <c r="DS65" t="str">
        <f>IF(ZS_IAAK="Ja",IF(EXACT(RIGHT(HLOOKUP(Tabellen_Magie!$IK$1,PROFMAGIE,$DK65,FALSE)),"H"),CONCATENATE($CX65,","),""),"")</f>
        <v/>
      </c>
      <c r="DT65" t="str">
        <f>IF(ZS_IAAK="Ja",IF(NOT(DS65=""),"",IF(OR(EXACT(RIGHT(HLOOKUP(Tabellen_Magie!$IK$1,PROFMAGIE,$DK65,FALSE)),"B"),EXACT(HLOOKUP(Tabellen_Magie!$IK$1,PROFMAGIE,$DK65,FALSE),"")),"",CONCATENATE($CX65,","))),"")</f>
        <v/>
      </c>
      <c r="DU65" t="str">
        <f t="shared" si="16"/>
        <v/>
      </c>
      <c r="DW65" t="s">
        <v>422</v>
      </c>
      <c r="DX65" t="s">
        <v>75</v>
      </c>
      <c r="DY65" t="s">
        <v>75</v>
      </c>
      <c r="DZ65" t="s">
        <v>76</v>
      </c>
      <c r="EB65" t="s">
        <v>2991</v>
      </c>
      <c r="EC65" t="s">
        <v>2326</v>
      </c>
      <c r="ED65">
        <f t="shared" si="53"/>
        <v>75</v>
      </c>
      <c r="EE65" t="s">
        <v>3279</v>
      </c>
      <c r="EF65" t="s">
        <v>1248</v>
      </c>
      <c r="EG65" t="s">
        <v>3284</v>
      </c>
      <c r="EH65">
        <f t="shared" si="54"/>
        <v>2</v>
      </c>
      <c r="EI65">
        <v>75</v>
      </c>
      <c r="EK65" t="s">
        <v>4928</v>
      </c>
      <c r="EL65">
        <v>0</v>
      </c>
      <c r="EM65">
        <v>1</v>
      </c>
      <c r="EN65">
        <v>1</v>
      </c>
      <c r="EO65">
        <v>2</v>
      </c>
      <c r="EP65">
        <v>9</v>
      </c>
      <c r="EQ65">
        <v>9</v>
      </c>
      <c r="ER65">
        <v>2</v>
      </c>
      <c r="ES65">
        <v>2.1</v>
      </c>
      <c r="ET65">
        <v>2.1</v>
      </c>
      <c r="EU65">
        <v>2</v>
      </c>
      <c r="EV65">
        <v>2</v>
      </c>
      <c r="FD65" t="s">
        <v>5013</v>
      </c>
      <c r="FE65">
        <f t="shared" si="40"/>
        <v>300</v>
      </c>
      <c r="FF65">
        <f t="shared" si="37"/>
        <v>6</v>
      </c>
      <c r="FK65">
        <v>300</v>
      </c>
      <c r="FL65">
        <v>3</v>
      </c>
      <c r="FM65" t="b">
        <f t="shared" ca="1" si="41"/>
        <v>0</v>
      </c>
      <c r="FN65" t="b">
        <f t="shared" ca="1" si="42"/>
        <v>0</v>
      </c>
      <c r="GH65" t="s">
        <v>2336</v>
      </c>
      <c r="GI65" t="s">
        <v>1119</v>
      </c>
      <c r="GJ65">
        <v>2</v>
      </c>
      <c r="GK65" t="s">
        <v>4116</v>
      </c>
      <c r="GL65" t="s">
        <v>1976</v>
      </c>
      <c r="GM65" t="s">
        <v>1980</v>
      </c>
      <c r="GN65" t="s">
        <v>1973</v>
      </c>
      <c r="GO65">
        <v>283</v>
      </c>
      <c r="GP65">
        <v>125</v>
      </c>
      <c r="GR65">
        <f t="shared" si="22"/>
        <v>414</v>
      </c>
      <c r="GU65" t="str">
        <f t="shared" ca="1" si="23"/>
        <v/>
      </c>
      <c r="GV65" t="str">
        <f t="shared" ca="1" si="24"/>
        <v/>
      </c>
      <c r="GW65" t="str">
        <f t="shared" ca="1" si="25"/>
        <v/>
      </c>
      <c r="GX65" t="str">
        <f t="shared" ca="1" si="26"/>
        <v/>
      </c>
      <c r="HA65" t="s">
        <v>1172</v>
      </c>
      <c r="HB65" t="s">
        <v>4121</v>
      </c>
      <c r="HC65">
        <f t="shared" si="21"/>
        <v>4</v>
      </c>
      <c r="HD65" t="s">
        <v>1396</v>
      </c>
      <c r="HE65" t="s">
        <v>4123</v>
      </c>
      <c r="HG65" t="s">
        <v>1975</v>
      </c>
      <c r="HH65">
        <v>149</v>
      </c>
      <c r="HI65">
        <f t="shared" si="38"/>
        <v>4</v>
      </c>
      <c r="HJ65">
        <f t="shared" si="39"/>
        <v>200</v>
      </c>
      <c r="HK65" t="s">
        <v>3279</v>
      </c>
      <c r="HL65" t="s">
        <v>2369</v>
      </c>
      <c r="HM65" t="s">
        <v>2991</v>
      </c>
    </row>
    <row r="66" spans="1:221" ht="12.75" customHeight="1" x14ac:dyDescent="0.2">
      <c r="A66" t="s">
        <v>3314</v>
      </c>
      <c r="B66" t="s">
        <v>75</v>
      </c>
      <c r="C66" t="s">
        <v>750</v>
      </c>
      <c r="D66" t="s">
        <v>752</v>
      </c>
      <c r="E66" t="s">
        <v>1827</v>
      </c>
      <c r="F66" t="s">
        <v>1321</v>
      </c>
      <c r="L66" t="str">
        <f t="shared" si="55"/>
        <v/>
      </c>
      <c r="M66" t="str">
        <f t="shared" si="56"/>
        <v/>
      </c>
      <c r="N66" t="str">
        <f t="shared" si="57"/>
        <v>Fallenstellen</v>
      </c>
      <c r="P66">
        <f>VLOOKUP($A66,ZEILENBEZUG,2,FALSE)</f>
        <v>100</v>
      </c>
      <c r="R66" t="s">
        <v>1947</v>
      </c>
      <c r="U66">
        <v>18</v>
      </c>
      <c r="Z66" t="s">
        <v>2882</v>
      </c>
      <c r="AC66">
        <v>15</v>
      </c>
      <c r="AH66" t="str">
        <f>A57</f>
        <v>Menschenkenntnis</v>
      </c>
      <c r="AJ66">
        <f t="shared" si="45"/>
        <v>16</v>
      </c>
      <c r="AK66" t="s">
        <v>1321</v>
      </c>
      <c r="AM66" t="str">
        <f t="shared" si="44"/>
        <v>Stäbe</v>
      </c>
      <c r="AP66" t="str">
        <f>VLOOKUP(AM66,TL_KPF_WERTE,6,FALSE)</f>
        <v>D</v>
      </c>
      <c r="AQ66">
        <v>-2</v>
      </c>
      <c r="AX66" t="s">
        <v>2377</v>
      </c>
      <c r="AY66">
        <v>4</v>
      </c>
      <c r="AZ66">
        <v>1</v>
      </c>
      <c r="BA66" t="s">
        <v>143</v>
      </c>
      <c r="BB66" t="s">
        <v>144</v>
      </c>
      <c r="BC66" t="s">
        <v>145</v>
      </c>
      <c r="BD66" t="s">
        <v>146</v>
      </c>
      <c r="BE66" t="s">
        <v>147</v>
      </c>
      <c r="BF66" t="s">
        <v>148</v>
      </c>
      <c r="BG66">
        <v>5</v>
      </c>
      <c r="BK66" t="s">
        <v>4409</v>
      </c>
      <c r="BL66">
        <v>9</v>
      </c>
      <c r="BM66">
        <v>10</v>
      </c>
      <c r="BN66">
        <v>10</v>
      </c>
      <c r="BO66">
        <v>6</v>
      </c>
      <c r="BP66" t="s">
        <v>5291</v>
      </c>
      <c r="BQ66">
        <v>2</v>
      </c>
      <c r="BR66">
        <v>23</v>
      </c>
      <c r="BS66" t="s">
        <v>5292</v>
      </c>
      <c r="BT66" t="s">
        <v>1443</v>
      </c>
      <c r="BU66" t="s">
        <v>5301</v>
      </c>
      <c r="BV66">
        <v>0</v>
      </c>
      <c r="BW66">
        <v>8</v>
      </c>
      <c r="BX66">
        <v>9</v>
      </c>
      <c r="CA66" t="s">
        <v>5315</v>
      </c>
      <c r="CD66" t="s">
        <v>3024</v>
      </c>
      <c r="CE66" t="s">
        <v>4549</v>
      </c>
      <c r="CF66" t="s">
        <v>4552</v>
      </c>
      <c r="CG66" t="s">
        <v>3236</v>
      </c>
      <c r="CH66">
        <v>0</v>
      </c>
      <c r="CI66">
        <v>5</v>
      </c>
      <c r="CJ66" t="s">
        <v>1827</v>
      </c>
      <c r="CK66" t="s">
        <v>1530</v>
      </c>
      <c r="CN66" t="str">
        <f ca="1">IF(AND(ISERR(FIND($CK66,Talente!$CI$41)),ISNA(VLOOKUP($CK66,$AH$51:$AH$55,1))),IF(AND(ISERR(FIND($CL66,Talente!$CI$41)),ISNA(VLOOKUP($CL66,$AH$51:$AH$55,1))),$CM66,$CL66),$CK66)</f>
        <v>Speere</v>
      </c>
      <c r="CP66" t="s">
        <v>593</v>
      </c>
      <c r="CU66" t="s">
        <v>4134</v>
      </c>
      <c r="CW66" t="s">
        <v>1200</v>
      </c>
      <c r="CX66" t="s">
        <v>2478</v>
      </c>
      <c r="CY66" t="s">
        <v>75</v>
      </c>
      <c r="CZ66" t="s">
        <v>5030</v>
      </c>
      <c r="DA66" t="s">
        <v>752</v>
      </c>
      <c r="DC66" t="s">
        <v>7297</v>
      </c>
      <c r="DD66" t="s">
        <v>1914</v>
      </c>
      <c r="DE66" t="s">
        <v>2685</v>
      </c>
      <c r="DF66" t="s">
        <v>81</v>
      </c>
      <c r="DG66" t="s">
        <v>1955</v>
      </c>
      <c r="DH66" t="s">
        <v>6847</v>
      </c>
      <c r="DI66" t="s">
        <v>3356</v>
      </c>
      <c r="DJ66">
        <v>2</v>
      </c>
      <c r="DK66">
        <f t="shared" si="10"/>
        <v>387</v>
      </c>
      <c r="DL66">
        <f t="shared" si="11"/>
        <v>64</v>
      </c>
      <c r="DM66">
        <v>65</v>
      </c>
      <c r="DN66" t="str">
        <f t="shared" ca="1" si="12"/>
        <v/>
      </c>
      <c r="DO66" t="str">
        <f t="shared" ca="1" si="13"/>
        <v/>
      </c>
      <c r="DP66" t="str">
        <f t="shared" ca="1" si="14"/>
        <v/>
      </c>
      <c r="DQ66" t="str">
        <f>IF(EXACT(Zauber!$A$250,""),"",IF(EXACT(RIGHT(HLOOKUP(Zauber!$A$250,PROFMAGIE,$DK66,FALSE)),"H"),CONCATENATE($CX66,","),""))</f>
        <v/>
      </c>
      <c r="DR66" t="str">
        <f t="shared" si="15"/>
        <v/>
      </c>
      <c r="DS66" t="str">
        <f>IF(ZS_IAAK="Ja",IF(EXACT(RIGHT(HLOOKUP(Tabellen_Magie!$IK$1,PROFMAGIE,$DK66,FALSE)),"H"),CONCATENATE($CX66,","),""),"")</f>
        <v/>
      </c>
      <c r="DT66" t="str">
        <f>IF(ZS_IAAK="Ja",IF(NOT(DS66=""),"",IF(OR(EXACT(RIGHT(HLOOKUP(Tabellen_Magie!$IK$1,PROFMAGIE,$DK66,FALSE)),"B"),EXACT(HLOOKUP(Tabellen_Magie!$IK$1,PROFMAGIE,$DK66,FALSE),"")),"",CONCATENATE($CX66,","))),"")</f>
        <v/>
      </c>
      <c r="DU66" t="str">
        <f t="shared" si="16"/>
        <v/>
      </c>
      <c r="DW66" t="s">
        <v>3007</v>
      </c>
      <c r="DX66" t="s">
        <v>74</v>
      </c>
      <c r="DY66" t="s">
        <v>76</v>
      </c>
      <c r="DZ66" t="s">
        <v>76</v>
      </c>
      <c r="EB66" t="s">
        <v>2991</v>
      </c>
      <c r="EC66">
        <v>1</v>
      </c>
      <c r="ED66">
        <f t="shared" si="53"/>
        <v>150</v>
      </c>
      <c r="EE66" t="s">
        <v>3279</v>
      </c>
      <c r="EF66" t="s">
        <v>1248</v>
      </c>
      <c r="EG66" t="s">
        <v>3284</v>
      </c>
      <c r="EH66">
        <f t="shared" si="54"/>
        <v>3</v>
      </c>
      <c r="EI66">
        <v>150</v>
      </c>
      <c r="EK66" t="s">
        <v>3903</v>
      </c>
      <c r="EL66">
        <v>0</v>
      </c>
      <c r="EM66">
        <v>4</v>
      </c>
      <c r="EN66">
        <v>4</v>
      </c>
      <c r="EO66">
        <v>4</v>
      </c>
      <c r="EP66">
        <v>3</v>
      </c>
      <c r="EQ66">
        <v>3</v>
      </c>
      <c r="ER66">
        <v>1</v>
      </c>
      <c r="ES66">
        <v>2.9</v>
      </c>
      <c r="ET66">
        <v>1.9</v>
      </c>
      <c r="EU66">
        <v>4</v>
      </c>
      <c r="EV66">
        <v>3</v>
      </c>
      <c r="FD66" t="s">
        <v>5052</v>
      </c>
      <c r="FE66">
        <f t="shared" si="40"/>
        <v>300</v>
      </c>
      <c r="FF66">
        <f t="shared" si="37"/>
        <v>6</v>
      </c>
      <c r="FK66">
        <v>300</v>
      </c>
      <c r="FL66">
        <v>4</v>
      </c>
      <c r="FM66" t="b">
        <f t="shared" ca="1" si="41"/>
        <v>0</v>
      </c>
      <c r="FN66" t="b">
        <f t="shared" ca="1" si="42"/>
        <v>0</v>
      </c>
      <c r="GH66" t="s">
        <v>2337</v>
      </c>
      <c r="GI66" t="s">
        <v>1119</v>
      </c>
      <c r="GJ66">
        <v>2</v>
      </c>
      <c r="GK66" t="s">
        <v>4116</v>
      </c>
      <c r="GL66" t="s">
        <v>567</v>
      </c>
      <c r="GM66" t="s">
        <v>1983</v>
      </c>
      <c r="GN66" t="s">
        <v>1973</v>
      </c>
      <c r="GO66">
        <v>264</v>
      </c>
      <c r="GP66">
        <v>344</v>
      </c>
      <c r="GR66">
        <f t="shared" si="22"/>
        <v>415</v>
      </c>
      <c r="GU66" t="str">
        <f t="shared" ca="1" si="23"/>
        <v/>
      </c>
      <c r="GV66" t="str">
        <f t="shared" ca="1" si="24"/>
        <v/>
      </c>
      <c r="GW66" t="str">
        <f t="shared" ca="1" si="25"/>
        <v/>
      </c>
      <c r="GX66" t="str">
        <f t="shared" ca="1" si="26"/>
        <v/>
      </c>
      <c r="HA66" t="s">
        <v>1173</v>
      </c>
      <c r="HB66" t="s">
        <v>1119</v>
      </c>
      <c r="HC66">
        <f t="shared" si="21"/>
        <v>2</v>
      </c>
      <c r="HD66" t="s">
        <v>2538</v>
      </c>
      <c r="HE66" t="s">
        <v>1174</v>
      </c>
      <c r="HG66" t="s">
        <v>1974</v>
      </c>
      <c r="HH66">
        <v>149</v>
      </c>
      <c r="HI66">
        <f t="shared" si="38"/>
        <v>2</v>
      </c>
      <c r="HJ66">
        <f t="shared" si="39"/>
        <v>100</v>
      </c>
      <c r="HK66" t="s">
        <v>1328</v>
      </c>
      <c r="HL66" t="s">
        <v>3396</v>
      </c>
      <c r="HM66" t="s">
        <v>1369</v>
      </c>
    </row>
    <row r="67" spans="1:221" x14ac:dyDescent="0.2">
      <c r="A67" t="s">
        <v>3315</v>
      </c>
      <c r="B67" t="s">
        <v>750</v>
      </c>
      <c r="C67" t="s">
        <v>751</v>
      </c>
      <c r="D67" t="s">
        <v>752</v>
      </c>
      <c r="E67" t="s">
        <v>1827</v>
      </c>
      <c r="F67" t="s">
        <v>1321</v>
      </c>
      <c r="L67" t="str">
        <f t="shared" si="55"/>
        <v/>
      </c>
      <c r="M67" t="str">
        <f t="shared" si="56"/>
        <v/>
      </c>
      <c r="N67" t="str">
        <f t="shared" si="57"/>
        <v>Fesseln/Entfesseln</v>
      </c>
      <c r="P67">
        <f t="shared" ref="P67:P72" si="58">VLOOKUP($A67,ZEILENBEZUG,2,FALSE)</f>
        <v>101</v>
      </c>
      <c r="R67" t="s">
        <v>1948</v>
      </c>
      <c r="U67">
        <v>16</v>
      </c>
      <c r="Z67" t="s">
        <v>839</v>
      </c>
      <c r="AA67">
        <v>1</v>
      </c>
      <c r="AD67" t="s">
        <v>3995</v>
      </c>
      <c r="AH67" t="str">
        <f>A61</f>
        <v>Überreden</v>
      </c>
      <c r="AJ67">
        <f t="shared" si="45"/>
        <v>17</v>
      </c>
      <c r="AK67" t="s">
        <v>1321</v>
      </c>
      <c r="AM67" t="str">
        <f t="shared" si="44"/>
        <v>Wurfbeile</v>
      </c>
      <c r="AP67" t="str">
        <f>VLOOKUP(AM67,TL_KPF_WERTE,6,FALSE)</f>
        <v>D</v>
      </c>
      <c r="AQ67">
        <v>-2</v>
      </c>
      <c r="AX67" t="s">
        <v>1718</v>
      </c>
      <c r="AY67">
        <v>4</v>
      </c>
      <c r="AZ67">
        <v>1</v>
      </c>
      <c r="BA67" t="s">
        <v>4985</v>
      </c>
      <c r="BG67">
        <v>5</v>
      </c>
      <c r="BK67" t="s">
        <v>5316</v>
      </c>
      <c r="BL67">
        <v>9</v>
      </c>
      <c r="BM67">
        <v>10</v>
      </c>
      <c r="BN67">
        <v>10</v>
      </c>
      <c r="BO67">
        <v>6</v>
      </c>
      <c r="BP67" t="s">
        <v>5291</v>
      </c>
      <c r="BQ67">
        <v>2</v>
      </c>
      <c r="BR67">
        <v>23</v>
      </c>
      <c r="BS67" t="s">
        <v>5292</v>
      </c>
      <c r="BT67" t="s">
        <v>1443</v>
      </c>
      <c r="BU67" t="s">
        <v>5301</v>
      </c>
      <c r="BV67">
        <v>0</v>
      </c>
      <c r="BW67">
        <v>8</v>
      </c>
      <c r="BX67">
        <v>9</v>
      </c>
      <c r="CA67" t="s">
        <v>5317</v>
      </c>
      <c r="CD67" t="s">
        <v>7163</v>
      </c>
      <c r="CE67" t="s">
        <v>916</v>
      </c>
      <c r="CF67" t="s">
        <v>379</v>
      </c>
      <c r="CG67" t="s">
        <v>7572</v>
      </c>
      <c r="CH67">
        <v>0</v>
      </c>
      <c r="CI67">
        <v>5</v>
      </c>
      <c r="CJ67" t="s">
        <v>1827</v>
      </c>
      <c r="CK67" t="s">
        <v>1530</v>
      </c>
      <c r="CN67" t="str">
        <f ca="1">IF(AND(ISERR(FIND($CK67,Talente!$CI$41)),ISNA(VLOOKUP($CK67,$AH$51:$AH$55,1))),IF(AND(ISERR(FIND($CL67,Talente!$CI$41)),ISNA(VLOOKUP($CL67,$AH$51:$AH$55,1))),$CM67,$CL67),$CK67)</f>
        <v>Speere</v>
      </c>
      <c r="CP67" t="s">
        <v>2064</v>
      </c>
      <c r="CU67" t="s">
        <v>7568</v>
      </c>
      <c r="CW67" t="s">
        <v>4528</v>
      </c>
      <c r="CX67" t="s">
        <v>2479</v>
      </c>
      <c r="CY67" t="s">
        <v>75</v>
      </c>
      <c r="CZ67" t="s">
        <v>75</v>
      </c>
      <c r="DA67" t="s">
        <v>750</v>
      </c>
      <c r="DB67" t="s">
        <v>1613</v>
      </c>
      <c r="DC67" t="s">
        <v>7344</v>
      </c>
      <c r="DD67" t="s">
        <v>1134</v>
      </c>
      <c r="DE67" t="s">
        <v>1321</v>
      </c>
      <c r="DF67" t="s">
        <v>81</v>
      </c>
      <c r="DG67" t="s">
        <v>1828</v>
      </c>
      <c r="DH67" t="s">
        <v>6876</v>
      </c>
      <c r="DI67" t="s">
        <v>1748</v>
      </c>
      <c r="DJ67">
        <v>2</v>
      </c>
      <c r="DK67">
        <f t="shared" si="10"/>
        <v>388</v>
      </c>
      <c r="DL67">
        <f t="shared" si="11"/>
        <v>65</v>
      </c>
      <c r="DM67">
        <v>66</v>
      </c>
      <c r="DN67" t="str">
        <f t="shared" ca="1" si="12"/>
        <v/>
      </c>
      <c r="DO67" t="str">
        <f t="shared" ca="1" si="13"/>
        <v/>
      </c>
      <c r="DP67" t="str">
        <f t="shared" ca="1" si="14"/>
        <v/>
      </c>
      <c r="DQ67" t="str">
        <f>IF(EXACT(Zauber!$A$250,""),"",IF(EXACT(RIGHT(HLOOKUP(Zauber!$A$250,PROFMAGIE,$DK67,FALSE)),"H"),CONCATENATE($CX67,","),""))</f>
        <v/>
      </c>
      <c r="DR67" t="str">
        <f t="shared" si="15"/>
        <v/>
      </c>
      <c r="DS67" t="str">
        <f>IF(ZS_IAAK="Ja",IF(EXACT(RIGHT(HLOOKUP(Tabellen_Magie!$IK$1,PROFMAGIE,$DK67,FALSE)),"H"),CONCATENATE($CX67,","),""),"")</f>
        <v/>
      </c>
      <c r="DT67" t="str">
        <f>IF(ZS_IAAK="Ja",IF(NOT(DS67=""),"",IF(OR(EXACT(RIGHT(HLOOKUP(Tabellen_Magie!$IK$1,PROFMAGIE,$DK67,FALSE)),"B"),EXACT(HLOOKUP(Tabellen_Magie!$IK$1,PROFMAGIE,$DK67,FALSE),"")),"",CONCATENATE($CX67,","))),"")</f>
        <v/>
      </c>
      <c r="DU67" t="str">
        <f t="shared" si="16"/>
        <v/>
      </c>
      <c r="DW67" t="s">
        <v>3008</v>
      </c>
      <c r="DX67" t="s">
        <v>76</v>
      </c>
      <c r="DY67" t="s">
        <v>77</v>
      </c>
      <c r="DZ67" t="s">
        <v>77</v>
      </c>
      <c r="EB67" t="s">
        <v>2991</v>
      </c>
      <c r="EC67" t="s">
        <v>2990</v>
      </c>
      <c r="ED67">
        <f t="shared" si="53"/>
        <v>200</v>
      </c>
      <c r="EE67" t="s">
        <v>3279</v>
      </c>
      <c r="EF67" t="s">
        <v>1248</v>
      </c>
      <c r="EG67" t="s">
        <v>3284</v>
      </c>
      <c r="EH67">
        <f t="shared" si="54"/>
        <v>4</v>
      </c>
      <c r="EI67">
        <v>200</v>
      </c>
      <c r="EK67" t="s">
        <v>4929</v>
      </c>
      <c r="EL67">
        <v>4</v>
      </c>
      <c r="EM67">
        <v>0</v>
      </c>
      <c r="EN67">
        <v>0</v>
      </c>
      <c r="EO67">
        <v>0</v>
      </c>
      <c r="EP67">
        <v>0</v>
      </c>
      <c r="EQ67">
        <v>0</v>
      </c>
      <c r="ER67">
        <v>0</v>
      </c>
      <c r="ES67">
        <v>0.4</v>
      </c>
      <c r="ET67">
        <v>0.2</v>
      </c>
      <c r="EU67">
        <v>2</v>
      </c>
      <c r="EV67">
        <v>1</v>
      </c>
      <c r="FD67" t="s">
        <v>5014</v>
      </c>
      <c r="FE67">
        <f t="shared" si="40"/>
        <v>100</v>
      </c>
      <c r="FF67">
        <f t="shared" si="37"/>
        <v>2</v>
      </c>
      <c r="FK67">
        <v>100</v>
      </c>
      <c r="FL67">
        <v>3</v>
      </c>
      <c r="FM67" t="b">
        <f t="shared" ca="1" si="41"/>
        <v>0</v>
      </c>
      <c r="FN67" t="b">
        <f t="shared" ca="1" si="42"/>
        <v>0</v>
      </c>
      <c r="GH67" t="s">
        <v>2427</v>
      </c>
      <c r="GI67" t="s">
        <v>1119</v>
      </c>
      <c r="GJ67">
        <v>2</v>
      </c>
      <c r="GK67" t="s">
        <v>4116</v>
      </c>
      <c r="GL67" t="s">
        <v>1976</v>
      </c>
      <c r="GM67" t="s">
        <v>1981</v>
      </c>
      <c r="GN67" t="s">
        <v>1973</v>
      </c>
      <c r="GO67">
        <v>264</v>
      </c>
      <c r="GP67">
        <v>324</v>
      </c>
      <c r="GR67">
        <f t="shared" si="22"/>
        <v>416</v>
      </c>
      <c r="GU67" t="str">
        <f t="shared" ca="1" si="23"/>
        <v/>
      </c>
      <c r="GV67" t="str">
        <f t="shared" ca="1" si="24"/>
        <v/>
      </c>
      <c r="GW67" t="str">
        <f t="shared" ca="1" si="25"/>
        <v/>
      </c>
      <c r="GX67" t="str">
        <f t="shared" ca="1" si="26"/>
        <v/>
      </c>
      <c r="HA67" t="s">
        <v>1175</v>
      </c>
      <c r="HB67" t="s">
        <v>1119</v>
      </c>
      <c r="HC67">
        <f t="shared" si="21"/>
        <v>2</v>
      </c>
      <c r="HD67" t="s">
        <v>4484</v>
      </c>
      <c r="HE67" t="s">
        <v>3295</v>
      </c>
      <c r="HG67" t="s">
        <v>1974</v>
      </c>
      <c r="HH67">
        <v>150</v>
      </c>
      <c r="HI67">
        <f t="shared" si="38"/>
        <v>2</v>
      </c>
      <c r="HJ67">
        <f t="shared" si="39"/>
        <v>100</v>
      </c>
      <c r="HK67" t="s">
        <v>1176</v>
      </c>
      <c r="HL67" t="s">
        <v>3397</v>
      </c>
      <c r="HM67" t="s">
        <v>1279</v>
      </c>
    </row>
    <row r="68" spans="1:221" ht="12.75" customHeight="1" x14ac:dyDescent="0.2">
      <c r="A68" t="s">
        <v>3316</v>
      </c>
      <c r="B68" t="s">
        <v>76</v>
      </c>
      <c r="C68" t="s">
        <v>750</v>
      </c>
      <c r="D68" t="s">
        <v>752</v>
      </c>
      <c r="E68" t="s">
        <v>1827</v>
      </c>
      <c r="F68" t="s">
        <v>1321</v>
      </c>
      <c r="L68" t="str">
        <f t="shared" si="55"/>
        <v/>
      </c>
      <c r="M68" t="str">
        <f t="shared" si="56"/>
        <v/>
      </c>
      <c r="N68" t="str">
        <f t="shared" si="57"/>
        <v>Fischen/Angeln</v>
      </c>
      <c r="P68">
        <f t="shared" si="58"/>
        <v>102</v>
      </c>
      <c r="R68" t="s">
        <v>4770</v>
      </c>
      <c r="U68">
        <v>12</v>
      </c>
      <c r="Z68" t="s">
        <v>1294</v>
      </c>
      <c r="AC68">
        <v>3</v>
      </c>
      <c r="AH68" t="str">
        <f>A65</f>
        <v>Fährtensuchen</v>
      </c>
      <c r="AJ68">
        <f t="shared" si="45"/>
        <v>18</v>
      </c>
      <c r="AK68" t="s">
        <v>1321</v>
      </c>
      <c r="AM68" t="str">
        <f t="shared" si="44"/>
        <v>Wurfmesser</v>
      </c>
      <c r="AP68" t="str">
        <f>VLOOKUP(AM68,BASISSKT,4,FALSE)</f>
        <v>C</v>
      </c>
      <c r="AQ68">
        <v>-3</v>
      </c>
      <c r="AX68" t="s">
        <v>2378</v>
      </c>
      <c r="AY68">
        <v>4</v>
      </c>
      <c r="AZ68">
        <v>1</v>
      </c>
      <c r="BA68" t="s">
        <v>4985</v>
      </c>
      <c r="BG68">
        <v>5</v>
      </c>
      <c r="BK68" t="s">
        <v>5318</v>
      </c>
      <c r="BL68">
        <v>7</v>
      </c>
      <c r="BM68">
        <v>10</v>
      </c>
      <c r="BN68">
        <v>10</v>
      </c>
      <c r="BO68">
        <v>7</v>
      </c>
      <c r="BP68" t="s">
        <v>5319</v>
      </c>
      <c r="BQ68">
        <v>2</v>
      </c>
      <c r="BR68">
        <v>22</v>
      </c>
      <c r="BS68" t="s">
        <v>5292</v>
      </c>
      <c r="BT68" t="s">
        <v>5320</v>
      </c>
      <c r="BU68" t="s">
        <v>5321</v>
      </c>
      <c r="BV68">
        <v>0</v>
      </c>
      <c r="BW68">
        <v>6</v>
      </c>
      <c r="BX68">
        <v>6</v>
      </c>
      <c r="CA68" t="s">
        <v>5322</v>
      </c>
      <c r="CD68" t="s">
        <v>3025</v>
      </c>
      <c r="CE68" t="s">
        <v>916</v>
      </c>
      <c r="CF68" t="s">
        <v>4552</v>
      </c>
      <c r="CG68" t="s">
        <v>903</v>
      </c>
      <c r="CH68">
        <v>-1</v>
      </c>
      <c r="CI68">
        <v>3</v>
      </c>
      <c r="CJ68" t="s">
        <v>4001</v>
      </c>
      <c r="CK68" t="s">
        <v>1957</v>
      </c>
      <c r="CN68" t="str">
        <f ca="1">IF(AND(ISERR(FIND($CK68,Talente!$CI$41)),ISNA(VLOOKUP($CK68,$AH$51:$AH$55,1))),IF(AND(ISERR(FIND($CL68,Talente!$CI$41)),ISNA(VLOOKUP($CL68,$AH$51:$AH$55,1))),$CM68,$CL68),$CK68)</f>
        <v>Dolche</v>
      </c>
      <c r="CP68" t="s">
        <v>3112</v>
      </c>
      <c r="CU68" t="s">
        <v>288</v>
      </c>
      <c r="CW68" t="s">
        <v>532</v>
      </c>
      <c r="CX68" t="s">
        <v>2480</v>
      </c>
      <c r="CY68" t="s">
        <v>75</v>
      </c>
      <c r="CZ68" t="s">
        <v>76</v>
      </c>
      <c r="DA68" t="s">
        <v>77</v>
      </c>
      <c r="DB68" t="s">
        <v>2042</v>
      </c>
      <c r="DC68" t="s">
        <v>7294</v>
      </c>
      <c r="DD68" t="s">
        <v>1819</v>
      </c>
      <c r="DE68" t="s">
        <v>3142</v>
      </c>
      <c r="DF68" t="s">
        <v>7345</v>
      </c>
      <c r="DG68" t="s">
        <v>1956</v>
      </c>
      <c r="DH68" t="s">
        <v>6877</v>
      </c>
      <c r="DI68" t="s">
        <v>4343</v>
      </c>
      <c r="DJ68">
        <v>2</v>
      </c>
      <c r="DK68">
        <f t="shared" si="10"/>
        <v>389</v>
      </c>
      <c r="DL68">
        <f t="shared" si="11"/>
        <v>66</v>
      </c>
      <c r="DM68">
        <v>67</v>
      </c>
      <c r="DN68" t="str">
        <f t="shared" ref="DN68:DN131" ca="1" si="59">IF(VT_VRTLZBR,
IF(NOT(ISERROR(FIND($CX68,VT_UEBERBEG,1))),CONCATENATE($CX68,","),""),
IF(OR(MAGISCH,MAGISCH_EIGN),
IF(OR(EXACT(RIGHT(HLOOKUP(PROFGENE,INDIRECT(PROFGEBIET),$DK68,FALSE)),"H"),EXACT(RIGHT(HLOOKUP(KULTURGENE,KULTUR,$DK68,FALSE)),"H"),IF(EXACT(DQ68,""),FALSE,TRUE),IF(EXACT(DS68,""),FALSE,TRUE)),CONCATENATE($CX68,","),
IF(ISERROR(VLOOKUP(CX68,ZAUBER_HAUS_NEU,1,FALSE)),"",CONCATENATE($CX68,","))
),""))</f>
        <v/>
      </c>
      <c r="DO68" t="str">
        <f t="shared" ref="DO68:DO131" ca="1" si="60">IF(AND(OR(MAGISCH,MAGISCH_EIGN),DN68=""),IF(AND(OR(PROFGEBGENE="Goetter",EXACT(RIGHT(HLOOKUP(PROFGENE,INDIRECT(PROFGEBIET),$DK68,FALSE)),"B"),EXACT(RIGHT(HLOOKUP(PROFGENE,INDIRECT(PROFGEBIET),$DK68,FALSE)),"")),OR(PROFGEBGENE="Goetter",EXACT(RIGHT(HLOOKUP(KULTURGENE,KULTUR,$DK68,FALSE)),"B"),EXACT(RIGHT(HLOOKUP(KULTURGENE,KULTUR,$DK68,FALSE)),""))),
IF(ISERROR(VLOOKUP(CX68,ZAUBER_START_NEU,1,FALSE)),"",CONCATENATE($CX68,",")),
CONCATENATE($CX68,",")),
"")</f>
        <v/>
      </c>
      <c r="DP68" t="str">
        <f t="shared" ref="DP68:DP131" ca="1" si="61">IF(AND(OR(MAGISCH,MAGISCH_EIGN),DN68="",DO68="",
OR(EXACT(RIGHT(HLOOKUP(KULTURGENE,KULTUR,$DK68,FALSE)),"B"),IF(PROFGEBGENE="Goetter",FALSE,EXACT(HLOOKUP(PROFGENE,INDIRECT(PROFGEBIET),$DK68,FALSE),"B")),IF(EXACT(DR68,""),FALSE,TRUE),IF(EXACT(DT68,""),FALSE,TRUE),IF(EXACT(DU68,""),FALSE,TRUE))),CONCATENATE($CX68,","),"")</f>
        <v/>
      </c>
      <c r="DQ68" t="str">
        <f>IF(EXACT(Zauber!$A$250,""),"",IF(EXACT(RIGHT(HLOOKUP(Zauber!$A$250,PROFMAGIE,$DK68,FALSE)),"H"),CONCATENATE($CX68,","),""))</f>
        <v/>
      </c>
      <c r="DR68" t="str">
        <f t="shared" ref="DR68:DR131" si="62">IF(EXACT(ZS_AKADEMIE,""),"",IF(NOT(DQ68=""),"",IF(OR(EXACT(RIGHT(HLOOKUP(ZS_AKADEMIE,PROFMAGIE,$DK68,FALSE)),"B"),EXACT(HLOOKUP(ZS_AKADEMIE,PROFMAGIE,$DK68,FALSE),"")),"",CONCATENATE($CX68,","))))</f>
        <v/>
      </c>
      <c r="DS68" t="str">
        <f>IF(ZS_IAAK="Ja",IF(EXACT(RIGHT(HLOOKUP(Tabellen_Magie!$IK$1,PROFMAGIE,$DK68,FALSE)),"H"),CONCATENATE($CX68,","),""),"")</f>
        <v/>
      </c>
      <c r="DT68" t="str">
        <f>IF(ZS_IAAK="Ja",IF(NOT(DS68=""),"",IF(OR(EXACT(RIGHT(HLOOKUP(Tabellen_Magie!$IK$1,PROFMAGIE,$DK68,FALSE)),"B"),EXACT(HLOOKUP(Tabellen_Magie!$IK$1,PROFMAGIE,$DK68,FALSE),"")),"",CONCATENATE($CX68,","))),"")</f>
        <v/>
      </c>
      <c r="DU68" t="str">
        <f t="shared" ref="DU68:DU131" si="63">IF(EXACT(ZS_AKADEMIE,""),"",IF(NOT(DQ68=""),"",IF(EXACT(RIGHT(HLOOKUP(ZS_AKADEMIE,PROFMAGIE,$DK68,FALSE)),"B"),CONCATENATE($CX68,","),"")))</f>
        <v/>
      </c>
      <c r="DW68" t="s">
        <v>418</v>
      </c>
      <c r="DX68" t="s">
        <v>75</v>
      </c>
      <c r="DY68" t="s">
        <v>76</v>
      </c>
      <c r="DZ68" t="s">
        <v>750</v>
      </c>
      <c r="EB68" t="s">
        <v>2991</v>
      </c>
      <c r="EC68" t="s">
        <v>8589</v>
      </c>
      <c r="ED68">
        <f t="shared" si="53"/>
        <v>100</v>
      </c>
      <c r="EE68" t="s">
        <v>3279</v>
      </c>
      <c r="EF68" t="s">
        <v>1248</v>
      </c>
      <c r="EG68" t="s">
        <v>3284</v>
      </c>
      <c r="EH68">
        <f t="shared" si="54"/>
        <v>2</v>
      </c>
      <c r="EI68">
        <v>100</v>
      </c>
      <c r="EK68" t="s">
        <v>4334</v>
      </c>
      <c r="EL68">
        <v>0</v>
      </c>
      <c r="EM68">
        <v>0</v>
      </c>
      <c r="EN68">
        <v>0</v>
      </c>
      <c r="EO68">
        <v>2</v>
      </c>
      <c r="EP68">
        <v>0</v>
      </c>
      <c r="EQ68">
        <v>0</v>
      </c>
      <c r="ER68">
        <v>2</v>
      </c>
      <c r="ES68">
        <v>0.6</v>
      </c>
      <c r="ET68">
        <v>0.6</v>
      </c>
      <c r="EU68">
        <v>0</v>
      </c>
      <c r="EV68">
        <v>0</v>
      </c>
      <c r="FD68" t="s">
        <v>3681</v>
      </c>
      <c r="FE68">
        <f t="shared" si="40"/>
        <v>400</v>
      </c>
      <c r="FF68">
        <f>ROUND(FE68/50,0)</f>
        <v>8</v>
      </c>
      <c r="FK68">
        <v>400</v>
      </c>
      <c r="FL68">
        <v>1</v>
      </c>
      <c r="FM68" t="b">
        <f t="shared" ca="1" si="41"/>
        <v>0</v>
      </c>
      <c r="FN68" t="b">
        <f t="shared" ca="1" si="42"/>
        <v>0</v>
      </c>
      <c r="GH68" t="s">
        <v>2428</v>
      </c>
      <c r="GI68" t="s">
        <v>1119</v>
      </c>
      <c r="GJ68">
        <v>2</v>
      </c>
      <c r="GK68" t="s">
        <v>1549</v>
      </c>
      <c r="GL68" t="s">
        <v>1976</v>
      </c>
      <c r="GM68" t="s">
        <v>1981</v>
      </c>
      <c r="GN68" t="s">
        <v>1690</v>
      </c>
      <c r="GO68">
        <v>261</v>
      </c>
      <c r="GP68">
        <v>133</v>
      </c>
      <c r="GR68">
        <f t="shared" si="22"/>
        <v>417</v>
      </c>
      <c r="GU68" t="str">
        <f t="shared" ca="1" si="23"/>
        <v/>
      </c>
      <c r="GV68" t="str">
        <f t="shared" ca="1" si="24"/>
        <v/>
      </c>
      <c r="GW68" t="str">
        <f t="shared" ca="1" si="25"/>
        <v/>
      </c>
      <c r="GX68" t="str">
        <f t="shared" ca="1" si="26"/>
        <v/>
      </c>
      <c r="HA68" t="s">
        <v>1177</v>
      </c>
      <c r="HB68" t="s">
        <v>1119</v>
      </c>
      <c r="HC68">
        <f t="shared" si="21"/>
        <v>2</v>
      </c>
      <c r="HD68" t="s">
        <v>1320</v>
      </c>
      <c r="HE68" t="s">
        <v>3295</v>
      </c>
      <c r="HG68" t="s">
        <v>1974</v>
      </c>
      <c r="HH68">
        <v>150</v>
      </c>
      <c r="HI68">
        <f t="shared" ref="HI68:HI92" si="64">HC68</f>
        <v>2</v>
      </c>
      <c r="HJ68">
        <f t="shared" ref="HJ68:HJ92" si="65">HC68*50</f>
        <v>100</v>
      </c>
      <c r="HK68" t="s">
        <v>1178</v>
      </c>
      <c r="HL68" t="s">
        <v>3397</v>
      </c>
      <c r="HM68" t="s">
        <v>1279</v>
      </c>
    </row>
    <row r="69" spans="1:221" ht="12.75" customHeight="1" x14ac:dyDescent="0.2">
      <c r="A69" t="s">
        <v>3317</v>
      </c>
      <c r="B69" t="s">
        <v>75</v>
      </c>
      <c r="C69" t="s">
        <v>76</v>
      </c>
      <c r="D69" t="s">
        <v>76</v>
      </c>
      <c r="E69" t="s">
        <v>1321</v>
      </c>
      <c r="F69" t="s">
        <v>1321</v>
      </c>
      <c r="L69" t="str">
        <f t="shared" si="55"/>
        <v/>
      </c>
      <c r="M69" t="str">
        <f t="shared" si="56"/>
        <v/>
      </c>
      <c r="N69" t="str">
        <f t="shared" si="57"/>
        <v>Orientierung</v>
      </c>
      <c r="P69">
        <f t="shared" si="58"/>
        <v>103</v>
      </c>
      <c r="R69" t="s">
        <v>4771</v>
      </c>
      <c r="U69">
        <v>3</v>
      </c>
      <c r="Z69" t="s">
        <v>1317</v>
      </c>
      <c r="AC69">
        <v>15</v>
      </c>
      <c r="AH69" t="str">
        <f>A69</f>
        <v>Orientierung</v>
      </c>
      <c r="AJ69">
        <f t="shared" si="45"/>
        <v>19</v>
      </c>
      <c r="AK69" t="s">
        <v>1321</v>
      </c>
      <c r="AM69" t="str">
        <f t="shared" si="44"/>
        <v>Wurfspeere</v>
      </c>
      <c r="AP69" t="str">
        <f>VLOOKUP(AM69,TL_KPF_WERTE,6,FALSE)</f>
        <v>C</v>
      </c>
      <c r="AQ69">
        <v>-2</v>
      </c>
      <c r="AX69" t="s">
        <v>1526</v>
      </c>
      <c r="AY69">
        <v>6</v>
      </c>
      <c r="AZ69">
        <v>2</v>
      </c>
      <c r="BG69">
        <v>5</v>
      </c>
      <c r="BK69" t="s">
        <v>2288</v>
      </c>
      <c r="BL69">
        <v>10</v>
      </c>
      <c r="BM69">
        <v>9</v>
      </c>
      <c r="BN69">
        <v>11</v>
      </c>
      <c r="BO69">
        <v>9</v>
      </c>
      <c r="BP69" t="s">
        <v>5319</v>
      </c>
      <c r="BQ69">
        <v>2</v>
      </c>
      <c r="BR69">
        <v>12</v>
      </c>
      <c r="BS69" t="s">
        <v>5297</v>
      </c>
      <c r="BT69" t="s">
        <v>1443</v>
      </c>
      <c r="BU69" t="s">
        <v>5301</v>
      </c>
      <c r="BV69">
        <v>5</v>
      </c>
      <c r="BW69">
        <v>6</v>
      </c>
      <c r="BX69">
        <v>7</v>
      </c>
      <c r="CA69" t="s">
        <v>5323</v>
      </c>
      <c r="CD69" t="s">
        <v>3026</v>
      </c>
      <c r="CE69" t="s">
        <v>4647</v>
      </c>
      <c r="CF69" t="s">
        <v>917</v>
      </c>
      <c r="CG69" t="s">
        <v>908</v>
      </c>
      <c r="CH69">
        <v>-1</v>
      </c>
      <c r="CI69">
        <v>3</v>
      </c>
      <c r="CJ69" t="s">
        <v>1827</v>
      </c>
      <c r="CK69" t="s">
        <v>1530</v>
      </c>
      <c r="CN69" t="str">
        <f ca="1">IF(AND(ISERR(FIND($CK69,Talente!$CI$41)),ISNA(VLOOKUP($CK69,$AH$51:$AH$55,1))),IF(AND(ISERR(FIND($CL69,Talente!$CI$41)),ISNA(VLOOKUP($CL69,$AH$51:$AH$55,1))),$CM69,$CL69),$CK69)</f>
        <v>Speere</v>
      </c>
      <c r="CP69" t="s">
        <v>3113</v>
      </c>
      <c r="CU69" t="s">
        <v>289</v>
      </c>
      <c r="CW69" t="s">
        <v>533</v>
      </c>
      <c r="CX69" t="s">
        <v>1124</v>
      </c>
      <c r="CY69" t="s">
        <v>74</v>
      </c>
      <c r="CZ69" t="s">
        <v>75</v>
      </c>
      <c r="DA69" t="s">
        <v>77</v>
      </c>
      <c r="DB69" t="s">
        <v>1613</v>
      </c>
      <c r="DC69" t="s">
        <v>2456</v>
      </c>
      <c r="DD69" t="s">
        <v>1914</v>
      </c>
      <c r="DE69" t="s">
        <v>3142</v>
      </c>
      <c r="DF69" t="s">
        <v>1134</v>
      </c>
      <c r="DG69" t="s">
        <v>1828</v>
      </c>
      <c r="DH69" t="s">
        <v>6878</v>
      </c>
      <c r="DI69" t="s">
        <v>3352</v>
      </c>
      <c r="DJ69">
        <v>2</v>
      </c>
      <c r="DK69">
        <f t="shared" si="10"/>
        <v>390</v>
      </c>
      <c r="DL69">
        <f t="shared" si="11"/>
        <v>67</v>
      </c>
      <c r="DM69">
        <v>68</v>
      </c>
      <c r="DN69" t="str">
        <f t="shared" ca="1" si="59"/>
        <v/>
      </c>
      <c r="DO69" t="str">
        <f t="shared" ca="1" si="60"/>
        <v/>
      </c>
      <c r="DP69" t="str">
        <f t="shared" ca="1" si="61"/>
        <v/>
      </c>
      <c r="DQ69" t="str">
        <f>IF(EXACT(Zauber!$A$250,""),"",IF(EXACT(RIGHT(HLOOKUP(Zauber!$A$250,PROFMAGIE,$DK69,FALSE)),"H"),CONCATENATE($CX69,","),""))</f>
        <v/>
      </c>
      <c r="DR69" t="str">
        <f t="shared" si="62"/>
        <v/>
      </c>
      <c r="DS69" t="str">
        <f>IF(ZS_IAAK="Ja",IF(EXACT(RIGHT(HLOOKUP(Tabellen_Magie!$IK$1,PROFMAGIE,$DK69,FALSE)),"H"),CONCATENATE($CX69,","),""),"")</f>
        <v/>
      </c>
      <c r="DT69" t="str">
        <f>IF(ZS_IAAK="Ja",IF(NOT(DS69=""),"",IF(OR(EXACT(RIGHT(HLOOKUP(Tabellen_Magie!$IK$1,PROFMAGIE,$DK69,FALSE)),"B"),EXACT(HLOOKUP(Tabellen_Magie!$IK$1,PROFMAGIE,$DK69,FALSE),"")),"",CONCATENATE($CX69,","))),"")</f>
        <v/>
      </c>
      <c r="DU69" t="str">
        <f t="shared" si="63"/>
        <v/>
      </c>
      <c r="DW69" t="s">
        <v>3005</v>
      </c>
      <c r="DX69" t="s">
        <v>75</v>
      </c>
      <c r="DY69" t="s">
        <v>77</v>
      </c>
      <c r="DZ69" t="s">
        <v>77</v>
      </c>
      <c r="EB69" t="s">
        <v>8590</v>
      </c>
      <c r="EC69" t="s">
        <v>8575</v>
      </c>
      <c r="ED69">
        <f t="shared" si="53"/>
        <v>150</v>
      </c>
      <c r="EE69" t="s">
        <v>3279</v>
      </c>
      <c r="EF69" t="s">
        <v>1248</v>
      </c>
      <c r="EG69" t="s">
        <v>3284</v>
      </c>
      <c r="EH69">
        <f t="shared" si="54"/>
        <v>3</v>
      </c>
      <c r="EI69">
        <v>150</v>
      </c>
      <c r="EK69" t="s">
        <v>7043</v>
      </c>
      <c r="EL69">
        <v>0</v>
      </c>
      <c r="EM69">
        <v>0</v>
      </c>
      <c r="EN69">
        <v>0</v>
      </c>
      <c r="EO69">
        <v>0</v>
      </c>
      <c r="EP69">
        <v>0</v>
      </c>
      <c r="EQ69">
        <v>0</v>
      </c>
      <c r="ER69">
        <v>0</v>
      </c>
      <c r="ES69">
        <v>0</v>
      </c>
      <c r="ET69">
        <v>0</v>
      </c>
      <c r="EU69">
        <v>0</v>
      </c>
      <c r="EV69">
        <v>0</v>
      </c>
      <c r="FD69" t="s">
        <v>3159</v>
      </c>
      <c r="FE69">
        <f t="shared" si="40"/>
        <v>100</v>
      </c>
      <c r="FF69">
        <f t="shared" si="37"/>
        <v>2</v>
      </c>
      <c r="FK69">
        <v>100</v>
      </c>
      <c r="FL69">
        <v>3</v>
      </c>
      <c r="FM69" t="b">
        <f t="shared" ca="1" si="41"/>
        <v>0</v>
      </c>
      <c r="FN69" t="b">
        <f t="shared" ca="1" si="42"/>
        <v>0</v>
      </c>
      <c r="GH69" t="s">
        <v>2429</v>
      </c>
      <c r="GI69" t="s">
        <v>1119</v>
      </c>
      <c r="GJ69">
        <v>2</v>
      </c>
      <c r="GK69" t="s">
        <v>4116</v>
      </c>
      <c r="GL69" t="s">
        <v>567</v>
      </c>
      <c r="GM69" t="s">
        <v>1981</v>
      </c>
      <c r="GN69" t="s">
        <v>1973</v>
      </c>
      <c r="GO69">
        <v>283</v>
      </c>
      <c r="GP69">
        <v>135</v>
      </c>
      <c r="GR69">
        <f t="shared" ref="GR69:GR132" si="66">GR68+1</f>
        <v>418</v>
      </c>
      <c r="GU69" t="str">
        <f t="shared" ref="GU69:GU132" ca="1" si="67">IF(OR(EXACT(PROFGEBGENE,"Goetter"),GOETTER_EIGN),IF(AND(NOT(GH69=LIT_0),EXACT(UPPER(HLOOKUP(PROFGENE,INDIRECT(PROFGEBIET),$GR69,FALSE)),"X")),"x",""),IF(AKTIV_SPTWHE,IF(EXACT(UPPER(HLOOKUP(PROFSPTWHE,SPTWHE,$GR69,FALSE)),"X"),"x",""),""))</f>
        <v/>
      </c>
      <c r="GV69" t="str">
        <f t="shared" ref="GV69:GV132" ca="1" si="68">IF(OR(EXACT(PROFGEBGENE,"Goetter"),GOETTER_EIGN),IF(AND(NOT(GH69=LIT_0),EXACT(UPPER(HLOOKUP(PROFGENE,INDIRECT(PROFGEBIET),$GR69,FALSE)),"V")),"x",""),IF(AKTIV_SPTWHE,IF(EXACT(UPPER(HLOOKUP(PROFSPTWHE,SPTWHE,$GR69,FALSE)),"V"),"x",""),""))&amp;
IF(PROFGEBZWEITE="Goetter (BGB)",IF(AND(NOT(GH69=LIT_0),OR(EXACT(UPPER(HLOOKUP(PROFZWEITE,INDIRECT(PROFGEBIET2),$GR69,FALSE)),"V"),EXACT(UPPER(HLOOKUP(PROFZWEITE,INDIRECT(PROFGEBIET2),$GR69,FALSE)),"X"))),"x",""),"")</f>
        <v/>
      </c>
      <c r="GW69" t="str">
        <f t="shared" ref="GW69:GW132" ca="1" si="69">IF(OR(EXACT(PROFGEBGENE,"Goetter"),GOETTER_EIGN),IF(AND(GU69="",GV69="",NOT(GH69=LIT_0),EXACT(UPPER(HLOOKUP(PROFGENE,INDIRECT(PROFGEBIET),$GR69,FALSE)),"B")),"x",""),IF(AKTIV_SPTWHE,IF(EXACT(UPPER(HLOOKUP(PROFSPTWHE,SPTWHE,$GR69,FALSE)),"B"),"x",""),""))&amp;
IF(PROFGEBZWEITE="Goetter (BGB)",IF(AND(GU69="",GV69="",NOT(GH69=LIT_0),EXACT(UPPER(HLOOKUP(PROFZWEITE,INDIRECT(PROFGEBIET2),$GR69,FALSE)),"B")),"x",""),"")</f>
        <v/>
      </c>
      <c r="GX69" t="str">
        <f t="shared" ref="GX69:GX132" ca="1" si="70">IF(OR(NOT(GW69=""),NOT(GU69=""),NOT(GV69="")),CONCATENATE($GH69,","),"")</f>
        <v/>
      </c>
      <c r="HA69" t="s">
        <v>1179</v>
      </c>
      <c r="HB69" t="s">
        <v>4121</v>
      </c>
      <c r="HC69">
        <f t="shared" ref="HC69:HC92" si="71">IF(HB69="I",1,IF(HB69="II",2,IF(HB69="III",3,IF(HB69="IV",4,IF(HB69="V",5,IF(HB69="VI",6,"nichts"))))))</f>
        <v>4</v>
      </c>
      <c r="HD69" t="s">
        <v>1320</v>
      </c>
      <c r="HE69" t="s">
        <v>3291</v>
      </c>
      <c r="HF69" t="s">
        <v>1893</v>
      </c>
      <c r="HG69" t="s">
        <v>1974</v>
      </c>
      <c r="HH69">
        <v>152</v>
      </c>
      <c r="HI69">
        <f t="shared" si="64"/>
        <v>4</v>
      </c>
      <c r="HJ69">
        <f t="shared" si="65"/>
        <v>200</v>
      </c>
      <c r="HK69" t="s">
        <v>1958</v>
      </c>
      <c r="HL69" t="s">
        <v>2369</v>
      </c>
      <c r="HM69" t="s">
        <v>2685</v>
      </c>
    </row>
    <row r="70" spans="1:221" ht="12.75" customHeight="1" x14ac:dyDescent="0.2">
      <c r="A70" t="s">
        <v>3318</v>
      </c>
      <c r="B70" t="s">
        <v>76</v>
      </c>
      <c r="C70" t="s">
        <v>750</v>
      </c>
      <c r="D70" t="s">
        <v>752</v>
      </c>
      <c r="E70" t="s">
        <v>1320</v>
      </c>
      <c r="F70" t="s">
        <v>1321</v>
      </c>
      <c r="L70" t="str">
        <f t="shared" si="55"/>
        <v/>
      </c>
      <c r="M70" t="str">
        <f t="shared" si="56"/>
        <v/>
      </c>
      <c r="N70" t="str">
        <f t="shared" si="57"/>
        <v>Seefischerei</v>
      </c>
      <c r="P70">
        <f t="shared" si="58"/>
        <v>104</v>
      </c>
      <c r="R70" t="s">
        <v>4772</v>
      </c>
      <c r="U70">
        <v>5</v>
      </c>
      <c r="Z70" t="s">
        <v>3980</v>
      </c>
      <c r="AC70">
        <v>10</v>
      </c>
      <c r="AH70" t="str">
        <f>A72</f>
        <v>Wildnisleben</v>
      </c>
      <c r="AJ70">
        <f t="shared" si="45"/>
        <v>20</v>
      </c>
      <c r="AK70" t="s">
        <v>1321</v>
      </c>
      <c r="AM70" t="str">
        <f t="shared" si="44"/>
        <v>Zweihandflegel</v>
      </c>
      <c r="AP70" t="str">
        <f>VLOOKUP(AM70,TL_KPF_WERTE,6,FALSE)</f>
        <v>D</v>
      </c>
      <c r="AQ70">
        <v>-3</v>
      </c>
      <c r="AX70" t="s">
        <v>855</v>
      </c>
      <c r="AY70">
        <v>4</v>
      </c>
      <c r="AZ70">
        <v>1</v>
      </c>
      <c r="BA70" t="s">
        <v>3106</v>
      </c>
      <c r="BB70" t="s">
        <v>1837</v>
      </c>
      <c r="BC70" t="s">
        <v>504</v>
      </c>
      <c r="BD70" t="s">
        <v>3107</v>
      </c>
      <c r="BE70" t="s">
        <v>3108</v>
      </c>
      <c r="BG70">
        <v>5</v>
      </c>
      <c r="BK70" t="s">
        <v>5324</v>
      </c>
      <c r="BL70">
        <v>9</v>
      </c>
      <c r="BM70">
        <v>8</v>
      </c>
      <c r="BN70">
        <v>12</v>
      </c>
      <c r="BO70">
        <v>8</v>
      </c>
      <c r="BP70" t="s">
        <v>5312</v>
      </c>
      <c r="BQ70">
        <v>2</v>
      </c>
      <c r="BR70">
        <v>19</v>
      </c>
      <c r="BS70" t="s">
        <v>5300</v>
      </c>
      <c r="BT70" t="s">
        <v>1444</v>
      </c>
      <c r="BU70" t="s">
        <v>5325</v>
      </c>
      <c r="BV70">
        <v>0</v>
      </c>
      <c r="BW70">
        <v>6</v>
      </c>
      <c r="BX70">
        <v>8</v>
      </c>
      <c r="CA70" t="s">
        <v>5326</v>
      </c>
      <c r="CD70" t="s">
        <v>7164</v>
      </c>
      <c r="CE70" t="s">
        <v>904</v>
      </c>
      <c r="CF70" t="s">
        <v>379</v>
      </c>
      <c r="CG70" t="s">
        <v>3235</v>
      </c>
      <c r="CH70">
        <v>-1</v>
      </c>
      <c r="CI70">
        <v>3</v>
      </c>
      <c r="CJ70" t="s">
        <v>1827</v>
      </c>
      <c r="CK70" t="s">
        <v>1530</v>
      </c>
      <c r="CN70" t="str">
        <f ca="1">IF(AND(ISERR(FIND($CK70,Talente!$CI$41)),ISNA(VLOOKUP($CK70,$AH$51:$AH$55,1))),IF(AND(ISERR(FIND($CL70,Talente!$CI$41)),ISNA(VLOOKUP($CL70,$AH$51:$AH$55,1))),$CM70,$CL70),$CK70)</f>
        <v>Speere</v>
      </c>
      <c r="CP70" t="s">
        <v>3114</v>
      </c>
      <c r="CU70" t="s">
        <v>290</v>
      </c>
      <c r="CW70" t="s">
        <v>2104</v>
      </c>
      <c r="CX70" t="s">
        <v>1125</v>
      </c>
      <c r="CY70" t="s">
        <v>75</v>
      </c>
      <c r="CZ70" t="s">
        <v>75</v>
      </c>
      <c r="DA70" t="s">
        <v>750</v>
      </c>
      <c r="DC70" t="s">
        <v>7289</v>
      </c>
      <c r="DD70" t="s">
        <v>370</v>
      </c>
      <c r="DE70" t="s">
        <v>1904</v>
      </c>
      <c r="DF70" t="s">
        <v>4473</v>
      </c>
      <c r="DG70" t="s">
        <v>1956</v>
      </c>
      <c r="DH70" t="s">
        <v>6879</v>
      </c>
      <c r="DI70" t="s">
        <v>4350</v>
      </c>
      <c r="DJ70">
        <v>2</v>
      </c>
      <c r="DK70">
        <f t="shared" si="10"/>
        <v>391</v>
      </c>
      <c r="DL70">
        <f t="shared" si="11"/>
        <v>68</v>
      </c>
      <c r="DM70">
        <v>69</v>
      </c>
      <c r="DN70" t="str">
        <f t="shared" ca="1" si="59"/>
        <v/>
      </c>
      <c r="DO70" t="str">
        <f t="shared" ca="1" si="60"/>
        <v/>
      </c>
      <c r="DP70" t="str">
        <f t="shared" ca="1" si="61"/>
        <v/>
      </c>
      <c r="DQ70" t="str">
        <f>IF(EXACT(Zauber!$A$250,""),"",IF(EXACT(RIGHT(HLOOKUP(Zauber!$A$250,PROFMAGIE,$DK70,FALSE)),"H"),CONCATENATE($CX70,","),""))</f>
        <v/>
      </c>
      <c r="DR70" t="str">
        <f t="shared" si="62"/>
        <v/>
      </c>
      <c r="DS70" t="str">
        <f>IF(ZS_IAAK="Ja",IF(EXACT(RIGHT(HLOOKUP(Tabellen_Magie!$IK$1,PROFMAGIE,$DK70,FALSE)),"H"),CONCATENATE($CX70,","),""),"")</f>
        <v/>
      </c>
      <c r="DT70" t="str">
        <f>IF(ZS_IAAK="Ja",IF(NOT(DS70=""),"",IF(OR(EXACT(RIGHT(HLOOKUP(Tabellen_Magie!$IK$1,PROFMAGIE,$DK70,FALSE)),"B"),EXACT(HLOOKUP(Tabellen_Magie!$IK$1,PROFMAGIE,$DK70,FALSE),"")),"",CONCATENATE($CX70,","))),"")</f>
        <v/>
      </c>
      <c r="DU70" t="str">
        <f t="shared" si="63"/>
        <v/>
      </c>
      <c r="DW70" t="s">
        <v>424</v>
      </c>
      <c r="DX70" t="s">
        <v>74</v>
      </c>
      <c r="DY70" t="s">
        <v>76</v>
      </c>
      <c r="DZ70" t="s">
        <v>75</v>
      </c>
      <c r="EB70" t="s">
        <v>8591</v>
      </c>
      <c r="EC70">
        <v>7</v>
      </c>
      <c r="ED70">
        <f t="shared" si="53"/>
        <v>200</v>
      </c>
      <c r="EE70" t="s">
        <v>3279</v>
      </c>
      <c r="EF70" t="s">
        <v>1248</v>
      </c>
      <c r="EG70" t="s">
        <v>3284</v>
      </c>
      <c r="EH70">
        <f t="shared" si="54"/>
        <v>4</v>
      </c>
      <c r="EI70">
        <v>200</v>
      </c>
      <c r="EK70" t="s">
        <v>3334</v>
      </c>
      <c r="EL70">
        <v>0</v>
      </c>
      <c r="EM70">
        <v>5</v>
      </c>
      <c r="EN70">
        <v>5</v>
      </c>
      <c r="EO70">
        <v>5</v>
      </c>
      <c r="EP70">
        <v>3</v>
      </c>
      <c r="EQ70">
        <v>3</v>
      </c>
      <c r="ER70">
        <v>3</v>
      </c>
      <c r="ES70">
        <v>3.9</v>
      </c>
      <c r="ET70">
        <v>3.9</v>
      </c>
      <c r="EU70">
        <v>5</v>
      </c>
      <c r="EV70">
        <v>5</v>
      </c>
      <c r="FD70" t="s">
        <v>5054</v>
      </c>
      <c r="FE70">
        <f t="shared" si="40"/>
        <v>300</v>
      </c>
      <c r="FF70">
        <f t="shared" si="37"/>
        <v>6</v>
      </c>
      <c r="FK70">
        <v>300</v>
      </c>
      <c r="FL70">
        <v>3</v>
      </c>
      <c r="FM70" t="b">
        <f t="shared" ca="1" si="41"/>
        <v>0</v>
      </c>
      <c r="FN70" t="b">
        <f t="shared" ca="1" si="42"/>
        <v>0</v>
      </c>
      <c r="GH70" t="s">
        <v>2430</v>
      </c>
      <c r="GI70" t="s">
        <v>1119</v>
      </c>
      <c r="GJ70">
        <v>2</v>
      </c>
      <c r="GK70" t="s">
        <v>1320</v>
      </c>
      <c r="GL70" t="s">
        <v>567</v>
      </c>
      <c r="GM70" t="s">
        <v>1369</v>
      </c>
      <c r="GN70" t="s">
        <v>1974</v>
      </c>
      <c r="GO70">
        <v>287</v>
      </c>
      <c r="GP70">
        <v>137</v>
      </c>
      <c r="GR70">
        <f t="shared" si="66"/>
        <v>419</v>
      </c>
      <c r="GU70" t="str">
        <f t="shared" ca="1" si="67"/>
        <v/>
      </c>
      <c r="GV70" t="str">
        <f t="shared" ca="1" si="68"/>
        <v/>
      </c>
      <c r="GW70" t="str">
        <f t="shared" ca="1" si="69"/>
        <v/>
      </c>
      <c r="GX70" t="str">
        <f t="shared" ca="1" si="70"/>
        <v/>
      </c>
      <c r="HA70" t="s">
        <v>1959</v>
      </c>
      <c r="HB70" t="s">
        <v>4588</v>
      </c>
      <c r="HC70">
        <f t="shared" si="71"/>
        <v>5</v>
      </c>
      <c r="HD70" t="s">
        <v>1396</v>
      </c>
      <c r="HE70" t="s">
        <v>4123</v>
      </c>
      <c r="HG70" t="s">
        <v>1975</v>
      </c>
      <c r="HH70">
        <v>150</v>
      </c>
      <c r="HI70">
        <f t="shared" si="64"/>
        <v>5</v>
      </c>
      <c r="HJ70">
        <f t="shared" si="65"/>
        <v>250</v>
      </c>
      <c r="HK70" t="s">
        <v>3279</v>
      </c>
      <c r="HL70" t="s">
        <v>2369</v>
      </c>
      <c r="HM70" t="s">
        <v>2991</v>
      </c>
    </row>
    <row r="71" spans="1:221" ht="12.75" customHeight="1" x14ac:dyDescent="0.2">
      <c r="A71" t="s">
        <v>3319</v>
      </c>
      <c r="B71" t="s">
        <v>75</v>
      </c>
      <c r="C71" t="s">
        <v>76</v>
      </c>
      <c r="D71" t="s">
        <v>76</v>
      </c>
      <c r="E71" t="s">
        <v>1827</v>
      </c>
      <c r="F71" t="s">
        <v>1321</v>
      </c>
      <c r="L71" t="str">
        <f t="shared" si="55"/>
        <v/>
      </c>
      <c r="M71" t="str">
        <f t="shared" si="56"/>
        <v/>
      </c>
      <c r="N71" t="str">
        <f t="shared" si="57"/>
        <v>Wettervorhersage</v>
      </c>
      <c r="P71">
        <f t="shared" si="58"/>
        <v>105</v>
      </c>
      <c r="R71" t="s">
        <v>3639</v>
      </c>
      <c r="S71">
        <v>1</v>
      </c>
      <c r="T71">
        <v>10</v>
      </c>
      <c r="Z71" t="s">
        <v>253</v>
      </c>
      <c r="AA71">
        <v>1</v>
      </c>
      <c r="AB71">
        <v>3</v>
      </c>
      <c r="AE71" t="s">
        <v>1571</v>
      </c>
      <c r="AH71" t="str">
        <f>A81</f>
        <v>Götter/Kulte</v>
      </c>
      <c r="AJ71">
        <f t="shared" si="45"/>
        <v>21</v>
      </c>
      <c r="AK71" t="s">
        <v>1321</v>
      </c>
      <c r="AM71" t="str">
        <f t="shared" si="44"/>
        <v>Zweihand-Hiebwaffen</v>
      </c>
      <c r="AP71" t="str">
        <f>VLOOKUP(AM71,TL_KPF_WERTE,6,FALSE)</f>
        <v>D</v>
      </c>
      <c r="AQ71">
        <v>-3</v>
      </c>
      <c r="AX71" t="s">
        <v>4797</v>
      </c>
      <c r="AY71">
        <v>4</v>
      </c>
      <c r="AZ71">
        <v>1</v>
      </c>
      <c r="BA71" t="s">
        <v>4667</v>
      </c>
      <c r="BB71" t="s">
        <v>180</v>
      </c>
      <c r="BC71" t="s">
        <v>4666</v>
      </c>
      <c r="BD71" t="s">
        <v>181</v>
      </c>
      <c r="BE71" t="s">
        <v>182</v>
      </c>
      <c r="BF71" t="s">
        <v>4036</v>
      </c>
      <c r="BG71">
        <v>5</v>
      </c>
      <c r="BK71" t="s">
        <v>5327</v>
      </c>
      <c r="BL71">
        <v>10</v>
      </c>
      <c r="BM71">
        <v>8</v>
      </c>
      <c r="BN71">
        <v>12</v>
      </c>
      <c r="BO71">
        <v>8</v>
      </c>
      <c r="BP71" t="s">
        <v>5296</v>
      </c>
      <c r="BQ71">
        <v>2</v>
      </c>
      <c r="BR71">
        <v>20</v>
      </c>
      <c r="BS71" t="s">
        <v>5297</v>
      </c>
      <c r="BT71" t="s">
        <v>5328</v>
      </c>
      <c r="BU71" t="s">
        <v>5304</v>
      </c>
      <c r="BV71">
        <v>5</v>
      </c>
      <c r="BW71">
        <v>7</v>
      </c>
      <c r="BX71">
        <v>7</v>
      </c>
      <c r="CA71" t="s">
        <v>5329</v>
      </c>
      <c r="CD71" t="s">
        <v>3027</v>
      </c>
      <c r="CE71" t="s">
        <v>4558</v>
      </c>
      <c r="CF71" t="s">
        <v>917</v>
      </c>
      <c r="CG71" t="s">
        <v>898</v>
      </c>
      <c r="CH71">
        <v>1</v>
      </c>
      <c r="CI71">
        <v>5</v>
      </c>
      <c r="CJ71" t="s">
        <v>905</v>
      </c>
      <c r="CK71" t="s">
        <v>1531</v>
      </c>
      <c r="CN71" t="str">
        <f ca="1">IF(AND(ISERR(FIND($CK71,Talente!$CI$41)),ISNA(VLOOKUP($CK71,$AH$51:$AH$55,1))),IF(AND(ISERR(FIND($CL71,Talente!$CI$41)),ISNA(VLOOKUP($CL71,$AH$51:$AH$55,1))),$CM71,$CL71),$CK71)</f>
        <v>Stäbe</v>
      </c>
      <c r="CP71" t="s">
        <v>3115</v>
      </c>
      <c r="CU71" t="s">
        <v>909</v>
      </c>
      <c r="CW71" t="s">
        <v>2107</v>
      </c>
      <c r="CX71" t="s">
        <v>2481</v>
      </c>
      <c r="CY71" t="s">
        <v>75</v>
      </c>
      <c r="CZ71" t="s">
        <v>77</v>
      </c>
      <c r="DA71" t="s">
        <v>751</v>
      </c>
      <c r="DB71" t="s">
        <v>1613</v>
      </c>
      <c r="DC71" t="s">
        <v>7289</v>
      </c>
      <c r="DD71" t="s">
        <v>2258</v>
      </c>
      <c r="DE71" t="s">
        <v>2397</v>
      </c>
      <c r="DF71" t="s">
        <v>1905</v>
      </c>
      <c r="DG71" t="s">
        <v>1956</v>
      </c>
      <c r="DH71" t="s">
        <v>6880</v>
      </c>
      <c r="DI71" t="s">
        <v>2793</v>
      </c>
      <c r="DJ71">
        <v>2</v>
      </c>
      <c r="DK71">
        <f t="shared" si="10"/>
        <v>392</v>
      </c>
      <c r="DL71">
        <f t="shared" si="11"/>
        <v>69</v>
      </c>
      <c r="DM71">
        <v>70</v>
      </c>
      <c r="DN71" t="str">
        <f t="shared" ca="1" si="59"/>
        <v/>
      </c>
      <c r="DO71" t="str">
        <f t="shared" ca="1" si="60"/>
        <v/>
      </c>
      <c r="DP71" t="str">
        <f t="shared" ca="1" si="61"/>
        <v/>
      </c>
      <c r="DQ71" t="str">
        <f>IF(EXACT(Zauber!$A$250,""),"",IF(EXACT(RIGHT(HLOOKUP(Zauber!$A$250,PROFMAGIE,$DK71,FALSE)),"H"),CONCATENATE($CX71,","),""))</f>
        <v/>
      </c>
      <c r="DR71" t="str">
        <f t="shared" si="62"/>
        <v/>
      </c>
      <c r="DS71" t="str">
        <f>IF(ZS_IAAK="Ja",IF(EXACT(RIGHT(HLOOKUP(Tabellen_Magie!$IK$1,PROFMAGIE,$DK71,FALSE)),"H"),CONCATENATE($CX71,","),""),"")</f>
        <v/>
      </c>
      <c r="DT71" t="str">
        <f>IF(ZS_IAAK="Ja",IF(NOT(DS71=""),"",IF(OR(EXACT(RIGHT(HLOOKUP(Tabellen_Magie!$IK$1,PROFMAGIE,$DK71,FALSE)),"B"),EXACT(HLOOKUP(Tabellen_Magie!$IK$1,PROFMAGIE,$DK71,FALSE),"")),"",CONCATENATE($CX71,","))),"")</f>
        <v/>
      </c>
      <c r="DU71" t="str">
        <f t="shared" si="63"/>
        <v/>
      </c>
      <c r="DW71" t="s">
        <v>3006</v>
      </c>
      <c r="DX71" t="s">
        <v>76</v>
      </c>
      <c r="DY71" t="s">
        <v>76</v>
      </c>
      <c r="DZ71" t="s">
        <v>77</v>
      </c>
      <c r="EB71" t="s">
        <v>3016</v>
      </c>
      <c r="EC71">
        <v>3</v>
      </c>
      <c r="ED71">
        <f t="shared" si="53"/>
        <v>100</v>
      </c>
      <c r="EE71" t="s">
        <v>3279</v>
      </c>
      <c r="EF71" t="s">
        <v>1248</v>
      </c>
      <c r="EG71" t="s">
        <v>3284</v>
      </c>
      <c r="EH71">
        <f t="shared" si="54"/>
        <v>2</v>
      </c>
      <c r="EI71">
        <v>100</v>
      </c>
      <c r="EK71" t="s">
        <v>4211</v>
      </c>
      <c r="EL71">
        <v>0</v>
      </c>
      <c r="EM71">
        <v>5</v>
      </c>
      <c r="EN71">
        <v>5</v>
      </c>
      <c r="EO71">
        <v>5</v>
      </c>
      <c r="EP71">
        <v>3</v>
      </c>
      <c r="EQ71">
        <v>3</v>
      </c>
      <c r="ER71">
        <v>4</v>
      </c>
      <c r="ES71">
        <v>4.0999999999999996</v>
      </c>
      <c r="ET71">
        <v>4.0999999999999996</v>
      </c>
      <c r="EU71">
        <v>6</v>
      </c>
      <c r="EV71">
        <v>6</v>
      </c>
      <c r="FD71" t="s">
        <v>3250</v>
      </c>
      <c r="FE71">
        <f t="shared" si="40"/>
        <v>300</v>
      </c>
      <c r="FF71">
        <f t="shared" si="37"/>
        <v>6</v>
      </c>
      <c r="FK71">
        <v>300</v>
      </c>
      <c r="FL71">
        <v>6</v>
      </c>
      <c r="FM71" t="b">
        <f t="shared" ca="1" si="41"/>
        <v>0</v>
      </c>
      <c r="FN71" t="b">
        <f t="shared" ca="1" si="42"/>
        <v>0</v>
      </c>
      <c r="GH71" t="s">
        <v>4372</v>
      </c>
      <c r="GI71" t="s">
        <v>1119</v>
      </c>
      <c r="GJ71">
        <v>2</v>
      </c>
      <c r="GK71" t="s">
        <v>1320</v>
      </c>
      <c r="GL71" t="s">
        <v>1976</v>
      </c>
      <c r="GM71" t="s">
        <v>1983</v>
      </c>
      <c r="GN71" t="s">
        <v>1974</v>
      </c>
      <c r="GO71">
        <v>288</v>
      </c>
      <c r="GP71">
        <v>138</v>
      </c>
      <c r="GR71">
        <f t="shared" si="66"/>
        <v>420</v>
      </c>
      <c r="GU71" t="str">
        <f t="shared" ca="1" si="67"/>
        <v/>
      </c>
      <c r="GV71" t="str">
        <f t="shared" ca="1" si="68"/>
        <v/>
      </c>
      <c r="GW71" t="str">
        <f t="shared" ca="1" si="69"/>
        <v/>
      </c>
      <c r="GX71" t="str">
        <f t="shared" ca="1" si="70"/>
        <v/>
      </c>
      <c r="HA71" t="s">
        <v>3941</v>
      </c>
      <c r="HB71" t="s">
        <v>1119</v>
      </c>
      <c r="HC71">
        <f t="shared" si="71"/>
        <v>2</v>
      </c>
      <c r="HD71" t="s">
        <v>1320</v>
      </c>
      <c r="HE71" t="s">
        <v>4123</v>
      </c>
      <c r="HF71" t="s">
        <v>1893</v>
      </c>
      <c r="HG71" t="s">
        <v>1974</v>
      </c>
      <c r="HH71">
        <v>150</v>
      </c>
      <c r="HI71">
        <f t="shared" si="64"/>
        <v>2</v>
      </c>
      <c r="HJ71">
        <f t="shared" si="65"/>
        <v>100</v>
      </c>
      <c r="HK71" t="s">
        <v>3942</v>
      </c>
      <c r="HL71" t="s">
        <v>2369</v>
      </c>
      <c r="HM71" t="s">
        <v>2991</v>
      </c>
    </row>
    <row r="72" spans="1:221" ht="12.75" customHeight="1" x14ac:dyDescent="0.2">
      <c r="A72" t="s">
        <v>3320</v>
      </c>
      <c r="B72" t="s">
        <v>76</v>
      </c>
      <c r="C72" t="s">
        <v>751</v>
      </c>
      <c r="D72" t="s">
        <v>5030</v>
      </c>
      <c r="E72" t="s">
        <v>1321</v>
      </c>
      <c r="F72" t="s">
        <v>1321</v>
      </c>
      <c r="L72" t="str">
        <f t="shared" si="55"/>
        <v/>
      </c>
      <c r="M72" t="str">
        <f t="shared" si="56"/>
        <v/>
      </c>
      <c r="N72" t="str">
        <f t="shared" si="57"/>
        <v>Wildnisleben</v>
      </c>
      <c r="P72">
        <f t="shared" si="58"/>
        <v>106</v>
      </c>
      <c r="R72" t="s">
        <v>1427</v>
      </c>
      <c r="U72">
        <f>IF(OR(VT_SPRUCHZBR,VT_GEWEIHT),12,7)</f>
        <v>7</v>
      </c>
      <c r="Z72" t="s">
        <v>1295</v>
      </c>
      <c r="AC72">
        <v>7</v>
      </c>
      <c r="AH72" t="str">
        <f>A90</f>
        <v>Rechnen</v>
      </c>
      <c r="AJ72">
        <f t="shared" si="45"/>
        <v>22</v>
      </c>
      <c r="AK72" t="s">
        <v>1321</v>
      </c>
      <c r="AM72" t="str">
        <f t="shared" si="44"/>
        <v>Zweihandschwerter/-säbel</v>
      </c>
      <c r="AP72" t="str">
        <f>VLOOKUP(AM72,TL_KPF_WERTE,6,FALSE)</f>
        <v>E</v>
      </c>
      <c r="AQ72">
        <v>-2</v>
      </c>
      <c r="AX72" t="s">
        <v>2379</v>
      </c>
      <c r="AY72">
        <v>4</v>
      </c>
      <c r="AZ72">
        <v>1</v>
      </c>
      <c r="BA72" t="s">
        <v>355</v>
      </c>
      <c r="BB72" t="s">
        <v>356</v>
      </c>
      <c r="BC72" t="s">
        <v>357</v>
      </c>
      <c r="BD72" t="s">
        <v>358</v>
      </c>
      <c r="BE72" t="s">
        <v>359</v>
      </c>
      <c r="BF72" t="s">
        <v>360</v>
      </c>
      <c r="BG72">
        <v>5</v>
      </c>
      <c r="BK72" t="s">
        <v>5330</v>
      </c>
      <c r="BL72">
        <v>11</v>
      </c>
      <c r="BM72">
        <v>10</v>
      </c>
      <c r="BN72">
        <v>13</v>
      </c>
      <c r="BO72">
        <v>8</v>
      </c>
      <c r="BP72" t="s">
        <v>5291</v>
      </c>
      <c r="BQ72">
        <v>2</v>
      </c>
      <c r="BR72">
        <v>27</v>
      </c>
      <c r="BS72" t="s">
        <v>5297</v>
      </c>
      <c r="BT72" t="s">
        <v>5328</v>
      </c>
      <c r="BU72" t="s">
        <v>5331</v>
      </c>
      <c r="BV72">
        <v>3</v>
      </c>
      <c r="BW72">
        <v>6</v>
      </c>
      <c r="BX72">
        <v>11</v>
      </c>
      <c r="CA72" t="s">
        <v>5332</v>
      </c>
      <c r="CD72" t="s">
        <v>7547</v>
      </c>
      <c r="CE72" t="s">
        <v>7573</v>
      </c>
      <c r="CF72" t="s">
        <v>7152</v>
      </c>
      <c r="CG72" t="s">
        <v>3233</v>
      </c>
      <c r="CH72">
        <v>-3</v>
      </c>
      <c r="CI72">
        <v>2</v>
      </c>
      <c r="CJ72" t="s">
        <v>1827</v>
      </c>
      <c r="CK72" t="s">
        <v>1525</v>
      </c>
      <c r="CN72" t="str">
        <f ca="1">IF(ISBLANK($CK72),"",IF(AND(ISERR(FIND($CK72,Talente!$CI$41)),ISNA(VLOOKUP($CK72,$AH$51:$AH$55,1))),IF(AND(ISERR(FIND($CL72,Talente!$CI$41)),ISNA(VLOOKUP($CL72,$AH$51:$AH$55,1))),$CM72,$CL72),$CK72))</f>
        <v>Kettenwaffen</v>
      </c>
      <c r="CP72" t="s">
        <v>3116</v>
      </c>
      <c r="CU72" t="s">
        <v>911</v>
      </c>
      <c r="CW72" t="s">
        <v>2108</v>
      </c>
      <c r="CX72" t="s">
        <v>8403</v>
      </c>
      <c r="CY72" t="s">
        <v>74</v>
      </c>
      <c r="CZ72" t="s">
        <v>75</v>
      </c>
      <c r="DA72" t="s">
        <v>751</v>
      </c>
      <c r="DC72" t="s">
        <v>7290</v>
      </c>
      <c r="DD72" t="s">
        <v>819</v>
      </c>
      <c r="DE72" t="s">
        <v>4484</v>
      </c>
      <c r="DF72" t="s">
        <v>3338</v>
      </c>
      <c r="DG72" t="s">
        <v>1828</v>
      </c>
      <c r="DH72" t="s">
        <v>6881</v>
      </c>
      <c r="DI72" t="s">
        <v>582</v>
      </c>
      <c r="DJ72">
        <v>2</v>
      </c>
      <c r="DK72">
        <f t="shared" si="10"/>
        <v>393</v>
      </c>
      <c r="DL72">
        <f t="shared" si="11"/>
        <v>70</v>
      </c>
      <c r="DM72">
        <v>160</v>
      </c>
      <c r="DN72" t="str">
        <f t="shared" ca="1" si="59"/>
        <v/>
      </c>
      <c r="DO72" t="str">
        <f t="shared" ca="1" si="60"/>
        <v/>
      </c>
      <c r="DP72" t="str">
        <f t="shared" ca="1" si="61"/>
        <v/>
      </c>
      <c r="DQ72" t="str">
        <f>IF(EXACT(Zauber!$A$250,""),"",IF(EXACT(RIGHT(HLOOKUP(Zauber!$A$250,PROFMAGIE,$DK72,FALSE)),"H"),CONCATENATE($CX72,","),""))</f>
        <v/>
      </c>
      <c r="DR72" t="str">
        <f t="shared" si="62"/>
        <v/>
      </c>
      <c r="DS72" t="str">
        <f>IF(ZS_IAAK="Ja",IF(EXACT(RIGHT(HLOOKUP(Tabellen_Magie!$IK$1,PROFMAGIE,$DK72,FALSE)),"H"),CONCATENATE($CX72,","),""),"")</f>
        <v/>
      </c>
      <c r="DT72" t="str">
        <f>IF(ZS_IAAK="Ja",IF(NOT(DS72=""),"",IF(OR(EXACT(RIGHT(HLOOKUP(Tabellen_Magie!$IK$1,PROFMAGIE,$DK72,FALSE)),"B"),EXACT(HLOOKUP(Tabellen_Magie!$IK$1,PROFMAGIE,$DK72,FALSE),"")),"",CONCATENATE($CX72,","))),"")</f>
        <v/>
      </c>
      <c r="DU72" t="str">
        <f t="shared" si="63"/>
        <v/>
      </c>
      <c r="DV72" t="s">
        <v>1090</v>
      </c>
      <c r="DW72" t="s">
        <v>2358</v>
      </c>
      <c r="EK72" t="s">
        <v>3335</v>
      </c>
      <c r="EL72">
        <v>0</v>
      </c>
      <c r="EM72">
        <v>5</v>
      </c>
      <c r="EN72">
        <v>5</v>
      </c>
      <c r="EO72">
        <v>5</v>
      </c>
      <c r="EP72">
        <v>3</v>
      </c>
      <c r="EQ72">
        <v>3</v>
      </c>
      <c r="ER72">
        <v>2</v>
      </c>
      <c r="ES72">
        <v>3.7</v>
      </c>
      <c r="ET72">
        <v>2.7</v>
      </c>
      <c r="EU72">
        <v>5</v>
      </c>
      <c r="EV72">
        <v>4</v>
      </c>
      <c r="FD72" t="s">
        <v>3160</v>
      </c>
      <c r="FE72">
        <f t="shared" si="40"/>
        <v>100</v>
      </c>
      <c r="FF72">
        <f t="shared" si="37"/>
        <v>2</v>
      </c>
      <c r="FK72">
        <v>100</v>
      </c>
      <c r="FL72">
        <v>2</v>
      </c>
      <c r="FM72" t="b">
        <f t="shared" ca="1" si="41"/>
        <v>0</v>
      </c>
      <c r="FN72" t="b">
        <f t="shared" ca="1" si="42"/>
        <v>0</v>
      </c>
      <c r="GH72" t="s">
        <v>4684</v>
      </c>
      <c r="GI72" t="s">
        <v>1119</v>
      </c>
      <c r="GJ72">
        <v>2</v>
      </c>
      <c r="GK72" t="s">
        <v>1320</v>
      </c>
      <c r="GL72" t="s">
        <v>1976</v>
      </c>
      <c r="GM72" t="s">
        <v>1983</v>
      </c>
      <c r="GN72" t="s">
        <v>1974</v>
      </c>
      <c r="GO72">
        <v>284</v>
      </c>
      <c r="GP72">
        <v>138</v>
      </c>
      <c r="GR72">
        <f t="shared" si="66"/>
        <v>421</v>
      </c>
      <c r="GU72" t="str">
        <f t="shared" ca="1" si="67"/>
        <v/>
      </c>
      <c r="GV72" t="str">
        <f t="shared" ca="1" si="68"/>
        <v/>
      </c>
      <c r="GW72" t="str">
        <f t="shared" ca="1" si="69"/>
        <v/>
      </c>
      <c r="GX72" t="str">
        <f t="shared" ca="1" si="70"/>
        <v/>
      </c>
      <c r="HA72" t="s">
        <v>3943</v>
      </c>
      <c r="HB72" t="s">
        <v>1119</v>
      </c>
      <c r="HC72">
        <f t="shared" si="71"/>
        <v>2</v>
      </c>
      <c r="HD72" t="s">
        <v>4484</v>
      </c>
      <c r="HE72" t="s">
        <v>3295</v>
      </c>
      <c r="HG72" t="s">
        <v>1690</v>
      </c>
      <c r="HH72">
        <v>150</v>
      </c>
      <c r="HI72">
        <f t="shared" si="64"/>
        <v>2</v>
      </c>
      <c r="HJ72">
        <f t="shared" si="65"/>
        <v>100</v>
      </c>
      <c r="HK72" t="s">
        <v>3944</v>
      </c>
      <c r="HL72" t="s">
        <v>3396</v>
      </c>
      <c r="HM72" t="s">
        <v>1279</v>
      </c>
    </row>
    <row r="73" spans="1:221" x14ac:dyDescent="0.2">
      <c r="A73" t="s">
        <v>3321</v>
      </c>
      <c r="B73" t="s">
        <v>1609</v>
      </c>
      <c r="C73" t="s">
        <v>1610</v>
      </c>
      <c r="D73" t="s">
        <v>1611</v>
      </c>
      <c r="E73" t="s">
        <v>5029</v>
      </c>
      <c r="F73" t="s">
        <v>3904</v>
      </c>
      <c r="G73" t="s">
        <v>3905</v>
      </c>
      <c r="R73" t="s">
        <v>4155</v>
      </c>
      <c r="U73">
        <v>10</v>
      </c>
      <c r="W73" t="s">
        <v>4001</v>
      </c>
      <c r="Z73" t="s">
        <v>3981</v>
      </c>
      <c r="AA73">
        <v>1</v>
      </c>
      <c r="AB73">
        <v>12</v>
      </c>
      <c r="AD73" t="s">
        <v>3995</v>
      </c>
      <c r="AH73" t="str">
        <f>A92</f>
        <v>Sagen/Legenden</v>
      </c>
      <c r="AJ73">
        <f t="shared" si="45"/>
        <v>23</v>
      </c>
      <c r="AK73" t="s">
        <v>1321</v>
      </c>
      <c r="AX73" t="s">
        <v>435</v>
      </c>
      <c r="AY73">
        <v>4</v>
      </c>
      <c r="AZ73">
        <v>1</v>
      </c>
      <c r="BA73" t="s">
        <v>7640</v>
      </c>
      <c r="BB73" t="s">
        <v>3099</v>
      </c>
      <c r="BC73" t="s">
        <v>3109</v>
      </c>
      <c r="BD73" t="s">
        <v>1805</v>
      </c>
      <c r="BG73">
        <v>5</v>
      </c>
      <c r="BK73" t="s">
        <v>5333</v>
      </c>
      <c r="BL73">
        <v>11</v>
      </c>
      <c r="BM73">
        <v>10</v>
      </c>
      <c r="BN73">
        <v>13</v>
      </c>
      <c r="BO73">
        <v>8</v>
      </c>
      <c r="BP73" t="s">
        <v>5291</v>
      </c>
      <c r="BQ73">
        <v>2</v>
      </c>
      <c r="BR73">
        <v>27</v>
      </c>
      <c r="BS73" t="s">
        <v>5297</v>
      </c>
      <c r="BT73" t="s">
        <v>5328</v>
      </c>
      <c r="BU73" t="s">
        <v>5331</v>
      </c>
      <c r="BV73">
        <v>3</v>
      </c>
      <c r="BW73">
        <v>6</v>
      </c>
      <c r="BX73">
        <v>10</v>
      </c>
      <c r="CA73" t="s">
        <v>5334</v>
      </c>
      <c r="CD73" t="s">
        <v>3028</v>
      </c>
      <c r="CE73" t="s">
        <v>916</v>
      </c>
      <c r="CF73" t="s">
        <v>3231</v>
      </c>
      <c r="CG73" t="s">
        <v>4596</v>
      </c>
      <c r="CH73">
        <v>2</v>
      </c>
      <c r="CI73">
        <v>2</v>
      </c>
      <c r="CJ73" t="s">
        <v>3586</v>
      </c>
      <c r="CK73" t="s">
        <v>1524</v>
      </c>
      <c r="CN73" t="str">
        <f ca="1">IF(ISBLANK($CK73),"",IF(AND(ISERR(FIND($CK73,Talente!$CI$41)),ISNA(VLOOKUP($CK73,$AH$51:$AH$55,1))),IF(AND(ISERR(FIND($CL73,Talente!$CI$41)),ISNA(VLOOKUP($CL73,$AH$51:$AH$55,1))),$CM73,$CL73),$CK73))</f>
        <v>Kettenstäbe</v>
      </c>
      <c r="CP73" t="s">
        <v>90</v>
      </c>
      <c r="CU73" t="s">
        <v>7151</v>
      </c>
      <c r="CW73" t="s">
        <v>2110</v>
      </c>
      <c r="CX73" t="s">
        <v>2101</v>
      </c>
      <c r="CY73" t="s">
        <v>74</v>
      </c>
      <c r="CZ73" t="s">
        <v>75</v>
      </c>
      <c r="DA73" t="s">
        <v>5030</v>
      </c>
      <c r="DC73" t="s">
        <v>7295</v>
      </c>
      <c r="DD73" t="s">
        <v>3949</v>
      </c>
      <c r="DE73" t="s">
        <v>3142</v>
      </c>
      <c r="DF73" t="s">
        <v>1358</v>
      </c>
      <c r="DG73" t="s">
        <v>1955</v>
      </c>
      <c r="DH73" t="s">
        <v>6882</v>
      </c>
      <c r="DI73" t="s">
        <v>3553</v>
      </c>
      <c r="DJ73">
        <v>2</v>
      </c>
      <c r="DK73">
        <f t="shared" ref="DK73:DK139" si="72">VLOOKUP($CX73,ZEILENBEZUG,2,FALSE)</f>
        <v>394</v>
      </c>
      <c r="DL73">
        <f t="shared" si="11"/>
        <v>71</v>
      </c>
      <c r="DM73">
        <v>71</v>
      </c>
      <c r="DN73" t="str">
        <f t="shared" ca="1" si="59"/>
        <v/>
      </c>
      <c r="DO73" t="str">
        <f t="shared" ca="1" si="60"/>
        <v/>
      </c>
      <c r="DP73" t="str">
        <f t="shared" ca="1" si="61"/>
        <v/>
      </c>
      <c r="DQ73" t="str">
        <f>IF(EXACT(Zauber!$A$250,""),"",IF(EXACT(RIGHT(HLOOKUP(Zauber!$A$250,PROFMAGIE,$DK73,FALSE)),"H"),CONCATENATE($CX73,","),""))</f>
        <v/>
      </c>
      <c r="DR73" t="str">
        <f t="shared" si="62"/>
        <v/>
      </c>
      <c r="DS73" t="str">
        <f>IF(ZS_IAAK="Ja",IF(EXACT(RIGHT(HLOOKUP(Tabellen_Magie!$IK$1,PROFMAGIE,$DK73,FALSE)),"H"),CONCATENATE($CX73,","),""),"")</f>
        <v/>
      </c>
      <c r="DT73" t="str">
        <f>IF(ZS_IAAK="Ja",IF(NOT(DS73=""),"",IF(OR(EXACT(RIGHT(HLOOKUP(Tabellen_Magie!$IK$1,PROFMAGIE,$DK73,FALSE)),"B"),EXACT(HLOOKUP(Tabellen_Magie!$IK$1,PROFMAGIE,$DK73,FALSE),"")),"",CONCATENATE($CX73,","))),"")</f>
        <v/>
      </c>
      <c r="DU73" t="str">
        <f t="shared" si="63"/>
        <v/>
      </c>
      <c r="DW73" t="s">
        <v>425</v>
      </c>
      <c r="DX73" t="s">
        <v>4985</v>
      </c>
      <c r="DY73" t="s">
        <v>4985</v>
      </c>
      <c r="DZ73" t="s">
        <v>4985</v>
      </c>
      <c r="EB73" t="s">
        <v>4472</v>
      </c>
      <c r="ED73">
        <f t="shared" ref="ED73:ED79" si="73">ROUND(EI73*IF(VT_AKADMAG,3/4,1)*IF(VT_EIDGED,0.5,IF(VT_GUTGED,0.75,1)),0)</f>
        <v>100</v>
      </c>
      <c r="EE73" t="s">
        <v>3283</v>
      </c>
      <c r="EF73" t="s">
        <v>1248</v>
      </c>
      <c r="EG73" t="str">
        <f ca="1">IF(MAGISCH,IF(HLOOKUP(Generierung!$P$9,INDIRECT(PROFGEBIET),IDX_RK,FALSE)="Ach","Ach","Alc"),"Alc")</f>
        <v>Alc</v>
      </c>
      <c r="EH73">
        <f>ROUNDUP($ED73/50,0)</f>
        <v>2</v>
      </c>
      <c r="EI73">
        <v>100</v>
      </c>
      <c r="EK73" t="s">
        <v>7822</v>
      </c>
      <c r="EL73">
        <v>5</v>
      </c>
      <c r="EM73">
        <v>0</v>
      </c>
      <c r="EN73">
        <v>0</v>
      </c>
      <c r="EO73">
        <v>0</v>
      </c>
      <c r="EP73">
        <v>0</v>
      </c>
      <c r="EQ73">
        <v>0</v>
      </c>
      <c r="ER73">
        <v>0</v>
      </c>
      <c r="ES73">
        <v>0.5</v>
      </c>
      <c r="ET73">
        <v>0.5</v>
      </c>
      <c r="EU73">
        <v>2</v>
      </c>
      <c r="EV73">
        <v>2</v>
      </c>
      <c r="FD73" t="s">
        <v>2039</v>
      </c>
      <c r="FE73">
        <f t="shared" ref="FE73:FE93" si="74">ROUND(FK73*IF(VT_AKADKRI,3/4,1)*IF(NT_ELFWELT,IF(FN73,1,1.5),1),0)</f>
        <v>200</v>
      </c>
      <c r="FF73">
        <f t="shared" si="37"/>
        <v>4</v>
      </c>
      <c r="FK73">
        <v>200</v>
      </c>
      <c r="FL73">
        <v>5</v>
      </c>
      <c r="FM73" t="b">
        <f t="shared" ref="FM73:FM93" ca="1" si="75">IF(OR(IF(NOT(ISNA(VLOOKUP(FD73,SF_Verbilligt_Left,3,FALSE))),VLOOKUP(FD73,SF_Verbilligt_Left,3,FALSE)="x",FALSE),IF(NOT(ISNA(VLOOKUP(FD73,SF_Verbilligt_Right,8,FALSE))),VLOOKUP(FD73,SF_Verbilligt_Right,8,FALSE)="x",FALSE)),TRUE,FALSE)</f>
        <v>0</v>
      </c>
      <c r="FN73" t="b">
        <f t="shared" ref="FN73:FN93" ca="1" si="76">OR(FM73,NOT(ISERROR(FIND(FD73,$FN$3,1))))</f>
        <v>0</v>
      </c>
      <c r="GH73" t="s">
        <v>4252</v>
      </c>
      <c r="GI73" t="s">
        <v>1119</v>
      </c>
      <c r="GJ73">
        <v>2</v>
      </c>
      <c r="GK73" t="s">
        <v>1549</v>
      </c>
      <c r="GL73" t="s">
        <v>1979</v>
      </c>
      <c r="GM73" t="s">
        <v>1685</v>
      </c>
      <c r="GN73" t="s">
        <v>1974</v>
      </c>
      <c r="GO73">
        <v>264</v>
      </c>
      <c r="GP73">
        <v>159</v>
      </c>
      <c r="GR73">
        <f t="shared" si="66"/>
        <v>422</v>
      </c>
      <c r="GU73" t="str">
        <f t="shared" ca="1" si="67"/>
        <v/>
      </c>
      <c r="GV73" t="str">
        <f t="shared" ca="1" si="68"/>
        <v/>
      </c>
      <c r="GW73" t="str">
        <f t="shared" ca="1" si="69"/>
        <v/>
      </c>
      <c r="GX73" t="str">
        <f t="shared" ca="1" si="70"/>
        <v/>
      </c>
      <c r="HA73" t="s">
        <v>862</v>
      </c>
      <c r="HB73" t="s">
        <v>3290</v>
      </c>
      <c r="HC73">
        <f t="shared" si="71"/>
        <v>3</v>
      </c>
      <c r="HD73" t="s">
        <v>1396</v>
      </c>
      <c r="HE73" t="s">
        <v>3295</v>
      </c>
      <c r="HG73" t="s">
        <v>1690</v>
      </c>
      <c r="HH73">
        <v>150</v>
      </c>
      <c r="HI73">
        <f t="shared" si="64"/>
        <v>3</v>
      </c>
      <c r="HJ73">
        <f t="shared" si="65"/>
        <v>150</v>
      </c>
      <c r="HK73" t="s">
        <v>863</v>
      </c>
      <c r="HL73" t="s">
        <v>3397</v>
      </c>
      <c r="HM73" t="s">
        <v>1284</v>
      </c>
    </row>
    <row r="74" spans="1:221" ht="12.6" customHeight="1" x14ac:dyDescent="0.2">
      <c r="N74" t="s">
        <v>1676</v>
      </c>
      <c r="R74" t="s">
        <v>2320</v>
      </c>
      <c r="U74">
        <f ca="1">IF(Abfragen!$U$64&gt;1,10,20)-IF(SF_STANDFEST_GEN="x",4,0)</f>
        <v>20</v>
      </c>
      <c r="Z74" t="s">
        <v>3982</v>
      </c>
      <c r="AC74">
        <v>8</v>
      </c>
      <c r="AG74" t="s">
        <v>3669</v>
      </c>
      <c r="AH74" t="str">
        <f>A123</f>
        <v>Heilkunde Wunden</v>
      </c>
      <c r="AJ74">
        <f t="shared" si="45"/>
        <v>24</v>
      </c>
      <c r="AK74" t="s">
        <v>1321</v>
      </c>
      <c r="AM74" t="s">
        <v>4589</v>
      </c>
      <c r="AX74" t="s">
        <v>2587</v>
      </c>
      <c r="AY74">
        <v>4</v>
      </c>
      <c r="AZ74">
        <v>1</v>
      </c>
      <c r="BA74" t="s">
        <v>1806</v>
      </c>
      <c r="BB74" t="s">
        <v>1807</v>
      </c>
      <c r="BC74" t="s">
        <v>1808</v>
      </c>
      <c r="BG74">
        <v>5</v>
      </c>
      <c r="BK74" t="s">
        <v>5335</v>
      </c>
      <c r="BL74">
        <v>11</v>
      </c>
      <c r="BM74">
        <v>14</v>
      </c>
      <c r="BN74">
        <v>12</v>
      </c>
      <c r="BO74">
        <v>8</v>
      </c>
      <c r="BP74" t="s">
        <v>5291</v>
      </c>
      <c r="BQ74">
        <v>2</v>
      </c>
      <c r="BR74">
        <v>23</v>
      </c>
      <c r="BS74" t="s">
        <v>2990</v>
      </c>
      <c r="BT74" t="s">
        <v>1445</v>
      </c>
      <c r="BU74" t="s">
        <v>5331</v>
      </c>
      <c r="BW74">
        <v>3</v>
      </c>
      <c r="BX74">
        <v>9</v>
      </c>
      <c r="CA74" t="s">
        <v>5336</v>
      </c>
      <c r="CD74" t="s">
        <v>3029</v>
      </c>
      <c r="CE74" t="s">
        <v>916</v>
      </c>
      <c r="CF74" t="s">
        <v>919</v>
      </c>
      <c r="CG74" t="s">
        <v>903</v>
      </c>
      <c r="CH74">
        <v>0</v>
      </c>
      <c r="CI74">
        <v>3</v>
      </c>
      <c r="CJ74" t="s">
        <v>899</v>
      </c>
      <c r="CK74" t="s">
        <v>2190</v>
      </c>
      <c r="CN74" t="str">
        <f ca="1">IF(ISBLANK($CK74),"",IF(AND(ISERR(FIND($CK74,Talente!$CI$41)),ISNA(VLOOKUP($CK74,$AH$51:$AH$55,1))),IF(AND(ISERR(FIND($CL74,Talente!$CI$41)),ISNA(VLOOKUP($CL74,$AH$51:$AH$55,1))),$CM74,$CL74),$CK74))</f>
        <v>Hiebwaffen</v>
      </c>
      <c r="CP74" t="s">
        <v>1712</v>
      </c>
      <c r="CU74" t="s">
        <v>915</v>
      </c>
      <c r="CW74" t="s">
        <v>2111</v>
      </c>
      <c r="CX74" t="s">
        <v>4077</v>
      </c>
      <c r="CY74" t="s">
        <v>75</v>
      </c>
      <c r="CZ74" t="s">
        <v>76</v>
      </c>
      <c r="DA74" t="s">
        <v>77</v>
      </c>
      <c r="DB74" t="s">
        <v>1613</v>
      </c>
      <c r="DC74" t="s">
        <v>7288</v>
      </c>
      <c r="DD74" t="s">
        <v>3950</v>
      </c>
      <c r="DE74" t="s">
        <v>2397</v>
      </c>
      <c r="DF74" t="s">
        <v>81</v>
      </c>
      <c r="DG74" t="s">
        <v>1956</v>
      </c>
      <c r="DH74" t="s">
        <v>6883</v>
      </c>
      <c r="DI74" t="s">
        <v>3558</v>
      </c>
      <c r="DJ74">
        <v>2</v>
      </c>
      <c r="DK74">
        <f t="shared" si="72"/>
        <v>395</v>
      </c>
      <c r="DL74">
        <f t="shared" ref="DL74:DL141" si="77">ROW()-2</f>
        <v>72</v>
      </c>
      <c r="DM74">
        <v>73</v>
      </c>
      <c r="DN74" t="str">
        <f t="shared" ca="1" si="59"/>
        <v/>
      </c>
      <c r="DO74" t="str">
        <f t="shared" ca="1" si="60"/>
        <v/>
      </c>
      <c r="DP74" t="str">
        <f t="shared" ca="1" si="61"/>
        <v/>
      </c>
      <c r="DQ74" t="str">
        <f>IF(EXACT(Zauber!$A$250,""),"",IF(EXACT(RIGHT(HLOOKUP(Zauber!$A$250,PROFMAGIE,$DK74,FALSE)),"H"),CONCATENATE($CX74,","),""))</f>
        <v/>
      </c>
      <c r="DR74" t="str">
        <f t="shared" si="62"/>
        <v/>
      </c>
      <c r="DS74" t="str">
        <f>IF(ZS_IAAK="Ja",IF(EXACT(RIGHT(HLOOKUP(Tabellen_Magie!$IK$1,PROFMAGIE,$DK74,FALSE)),"H"),CONCATENATE($CX74,","),""),"")</f>
        <v/>
      </c>
      <c r="DT74" t="str">
        <f>IF(ZS_IAAK="Ja",IF(NOT(DS74=""),"",IF(OR(EXACT(RIGHT(HLOOKUP(Tabellen_Magie!$IK$1,PROFMAGIE,$DK74,FALSE)),"B"),EXACT(HLOOKUP(Tabellen_Magie!$IK$1,PROFMAGIE,$DK74,FALSE),"")),"",CONCATENATE($CX74,","))),"")</f>
        <v/>
      </c>
      <c r="DU74" t="str">
        <f t="shared" si="63"/>
        <v/>
      </c>
      <c r="DW74" t="s">
        <v>6692</v>
      </c>
      <c r="DX74" t="s">
        <v>74</v>
      </c>
      <c r="DY74" t="s">
        <v>76</v>
      </c>
      <c r="DZ74" t="s">
        <v>77</v>
      </c>
      <c r="EB74" t="s">
        <v>8584</v>
      </c>
      <c r="EC74" t="s">
        <v>2990</v>
      </c>
      <c r="ED74">
        <f t="shared" si="73"/>
        <v>200</v>
      </c>
      <c r="EE74" t="s">
        <v>3283</v>
      </c>
      <c r="EF74" t="s">
        <v>1248</v>
      </c>
      <c r="EG74" t="str">
        <f ca="1">IF(MAGISCH,IF(HLOOKUP(Generierung!$P$9,INDIRECT(PROFGEBIET),IDX_RK,FALSE)="Ach","Ach","Alc"),"Alc")</f>
        <v>Alc</v>
      </c>
      <c r="EH74">
        <f>ROUNDUP($ED74/50,0)</f>
        <v>4</v>
      </c>
      <c r="EI74">
        <v>200</v>
      </c>
      <c r="EK74" t="s">
        <v>7042</v>
      </c>
      <c r="EL74">
        <v>0</v>
      </c>
      <c r="EM74">
        <v>0</v>
      </c>
      <c r="EN74">
        <v>0</v>
      </c>
      <c r="EO74">
        <v>0</v>
      </c>
      <c r="EP74">
        <v>0</v>
      </c>
      <c r="EQ74">
        <v>0</v>
      </c>
      <c r="ER74">
        <v>1</v>
      </c>
      <c r="ES74">
        <v>0.2</v>
      </c>
      <c r="ET74">
        <v>0.2</v>
      </c>
      <c r="EU74">
        <v>0</v>
      </c>
      <c r="EV74">
        <v>0</v>
      </c>
      <c r="FD74" t="s">
        <v>4999</v>
      </c>
      <c r="FE74">
        <f t="shared" si="74"/>
        <v>100</v>
      </c>
      <c r="FF74">
        <f t="shared" si="37"/>
        <v>2</v>
      </c>
      <c r="FK74">
        <v>100</v>
      </c>
      <c r="FL74">
        <v>4</v>
      </c>
      <c r="FM74" t="b">
        <f t="shared" ca="1" si="75"/>
        <v>0</v>
      </c>
      <c r="FN74" t="b">
        <f t="shared" ca="1" si="76"/>
        <v>0</v>
      </c>
      <c r="GH74" t="s">
        <v>4253</v>
      </c>
      <c r="GI74" t="s">
        <v>1119</v>
      </c>
      <c r="GJ74">
        <v>2</v>
      </c>
      <c r="GK74" t="s">
        <v>1397</v>
      </c>
      <c r="GL74" t="s">
        <v>567</v>
      </c>
      <c r="GM74" t="s">
        <v>1982</v>
      </c>
      <c r="GN74" t="s">
        <v>1974</v>
      </c>
      <c r="GO74">
        <v>263</v>
      </c>
      <c r="GP74">
        <v>160</v>
      </c>
      <c r="GR74">
        <f t="shared" si="66"/>
        <v>423</v>
      </c>
      <c r="GU74" t="str">
        <f t="shared" ca="1" si="67"/>
        <v/>
      </c>
      <c r="GV74" t="str">
        <f t="shared" ca="1" si="68"/>
        <v/>
      </c>
      <c r="GW74" t="str">
        <f t="shared" ca="1" si="69"/>
        <v/>
      </c>
      <c r="GX74" t="str">
        <f t="shared" ca="1" si="70"/>
        <v/>
      </c>
      <c r="HA74" t="s">
        <v>864</v>
      </c>
      <c r="HB74" t="s">
        <v>4121</v>
      </c>
      <c r="HC74">
        <f t="shared" si="71"/>
        <v>4</v>
      </c>
      <c r="HD74" t="s">
        <v>1320</v>
      </c>
      <c r="HE74" t="s">
        <v>3295</v>
      </c>
      <c r="HG74" t="s">
        <v>1690</v>
      </c>
      <c r="HH74">
        <v>150</v>
      </c>
      <c r="HI74">
        <f t="shared" si="64"/>
        <v>4</v>
      </c>
      <c r="HJ74">
        <f t="shared" si="65"/>
        <v>200</v>
      </c>
      <c r="HK74" t="s">
        <v>1705</v>
      </c>
      <c r="HL74" t="s">
        <v>3397</v>
      </c>
      <c r="HM74" t="s">
        <v>2043</v>
      </c>
    </row>
    <row r="75" spans="1:221" ht="12.75" customHeight="1" x14ac:dyDescent="0.2">
      <c r="A75" t="s">
        <v>3322</v>
      </c>
      <c r="B75" t="s">
        <v>74</v>
      </c>
      <c r="C75" t="s">
        <v>75</v>
      </c>
      <c r="D75" t="s">
        <v>750</v>
      </c>
      <c r="E75" t="s">
        <v>1320</v>
      </c>
      <c r="F75" t="s">
        <v>1321</v>
      </c>
      <c r="L75" t="str">
        <f t="shared" ref="L75:L98" si="78">IF(VLOOKUP(A75,TL_SPEZ,18,FALSE)="","",VLOOKUP(A75,TL_SPEZ,18,FALSE))</f>
        <v/>
      </c>
      <c r="M75" t="str">
        <f t="shared" ref="M75:M98" si="79">IF(VLOOKUP($A75,TL_SPEZ,19,FALSE)="","",VLOOKUP($A75,TL_SPEZ,19,FALSE))</f>
        <v/>
      </c>
      <c r="N75" t="str">
        <f t="shared" ref="N75:N98" si="80">CONCATENATE(A75,IF(L75="",""," ("&amp;L75),IF(M75="","","¦"&amp;M75),IF(L75="","",")"))</f>
        <v>Anatomie</v>
      </c>
      <c r="P75">
        <f t="shared" ref="P75:P98" si="81">VLOOKUP($A75,ZEILENBEZUG,2,FALSE)</f>
        <v>107</v>
      </c>
      <c r="R75" t="s">
        <v>4773</v>
      </c>
      <c r="U75">
        <v>8</v>
      </c>
      <c r="Z75" t="s">
        <v>840</v>
      </c>
      <c r="AC75">
        <v>5</v>
      </c>
      <c r="AH75" t="str">
        <f>A124</f>
        <v>Holzbearbeitung</v>
      </c>
      <c r="AJ75">
        <f t="shared" si="45"/>
        <v>25</v>
      </c>
      <c r="AK75" t="s">
        <v>1321</v>
      </c>
      <c r="AM75" t="s">
        <v>1318</v>
      </c>
      <c r="AS75" t="s">
        <v>2784</v>
      </c>
      <c r="AT75">
        <v>2</v>
      </c>
      <c r="AX75" t="s">
        <v>2380</v>
      </c>
      <c r="AY75">
        <v>4</v>
      </c>
      <c r="AZ75">
        <v>1</v>
      </c>
      <c r="BA75" t="s">
        <v>361</v>
      </c>
      <c r="BB75" t="s">
        <v>362</v>
      </c>
      <c r="BC75" t="s">
        <v>3381</v>
      </c>
      <c r="BD75" t="s">
        <v>3382</v>
      </c>
      <c r="BE75" t="s">
        <v>3383</v>
      </c>
      <c r="BF75" t="s">
        <v>7641</v>
      </c>
      <c r="BG75">
        <v>5</v>
      </c>
      <c r="BK75" t="s">
        <v>5337</v>
      </c>
      <c r="BL75">
        <v>12</v>
      </c>
      <c r="BM75">
        <v>11</v>
      </c>
      <c r="BN75">
        <v>10</v>
      </c>
      <c r="BO75">
        <v>7</v>
      </c>
      <c r="BP75" t="s">
        <v>5338</v>
      </c>
      <c r="BQ75">
        <v>2</v>
      </c>
      <c r="BR75">
        <v>23</v>
      </c>
      <c r="BS75" t="s">
        <v>2990</v>
      </c>
      <c r="BT75" t="s">
        <v>1444</v>
      </c>
      <c r="BU75" t="s">
        <v>5339</v>
      </c>
      <c r="BW75">
        <v>3</v>
      </c>
      <c r="BX75">
        <v>9</v>
      </c>
      <c r="CA75" t="s">
        <v>5336</v>
      </c>
      <c r="CD75" t="s">
        <v>1793</v>
      </c>
      <c r="CE75" t="s">
        <v>5091</v>
      </c>
      <c r="CF75" t="s">
        <v>907</v>
      </c>
      <c r="CG75" t="s">
        <v>898</v>
      </c>
      <c r="CH75">
        <v>0</v>
      </c>
      <c r="CI75">
        <v>2</v>
      </c>
      <c r="CJ75" t="s">
        <v>899</v>
      </c>
      <c r="CK75" t="s">
        <v>2192</v>
      </c>
      <c r="CN75" t="str">
        <f ca="1">IF(AND(ISERR(FIND($CK75,Talente!$CI$41)),ISNA(VLOOKUP($CK75,$AH$51:$AH$55,1))),IF(AND(ISERR(FIND($CL75,Talente!$CI$41)),ISNA(VLOOKUP($CL75,$AH$51:$AH$55,1))),$CM75,$CL75),$CK75)</f>
        <v>Säbel</v>
      </c>
      <c r="CP75" t="s">
        <v>342</v>
      </c>
      <c r="CU75" t="s">
        <v>918</v>
      </c>
      <c r="CW75" t="s">
        <v>2115</v>
      </c>
      <c r="CX75" t="s">
        <v>2102</v>
      </c>
      <c r="CY75" t="s">
        <v>74</v>
      </c>
      <c r="CZ75" t="s">
        <v>76</v>
      </c>
      <c r="DA75" t="s">
        <v>77</v>
      </c>
      <c r="DB75" t="s">
        <v>2042</v>
      </c>
      <c r="DC75" t="s">
        <v>7291</v>
      </c>
      <c r="DD75" t="s">
        <v>3138</v>
      </c>
      <c r="DE75" t="s">
        <v>1321</v>
      </c>
      <c r="DF75" t="s">
        <v>2493</v>
      </c>
      <c r="DG75" t="s">
        <v>1956</v>
      </c>
      <c r="DH75" t="s">
        <v>6884</v>
      </c>
      <c r="DI75" t="s">
        <v>8452</v>
      </c>
      <c r="DJ75">
        <v>2</v>
      </c>
      <c r="DK75">
        <f t="shared" si="72"/>
        <v>396</v>
      </c>
      <c r="DL75">
        <f t="shared" si="77"/>
        <v>73</v>
      </c>
      <c r="DM75">
        <v>74</v>
      </c>
      <c r="DN75" t="str">
        <f t="shared" ca="1" si="59"/>
        <v/>
      </c>
      <c r="DO75" t="str">
        <f t="shared" ca="1" si="60"/>
        <v/>
      </c>
      <c r="DP75" t="str">
        <f t="shared" ca="1" si="61"/>
        <v/>
      </c>
      <c r="DQ75" t="str">
        <f>IF(EXACT(Zauber!$A$250,""),"",IF(EXACT(RIGHT(HLOOKUP(Zauber!$A$250,PROFMAGIE,$DK75,FALSE)),"H"),CONCATENATE($CX75,","),""))</f>
        <v/>
      </c>
      <c r="DR75" t="str">
        <f t="shared" si="62"/>
        <v/>
      </c>
      <c r="DS75" t="str">
        <f>IF(ZS_IAAK="Ja",IF(EXACT(RIGHT(HLOOKUP(Tabellen_Magie!$IK$1,PROFMAGIE,$DK75,FALSE)),"H"),CONCATENATE($CX75,","),""),"")</f>
        <v/>
      </c>
      <c r="DT75" t="str">
        <f>IF(ZS_IAAK="Ja",IF(NOT(DS75=""),"",IF(OR(EXACT(RIGHT(HLOOKUP(Tabellen_Magie!$IK$1,PROFMAGIE,$DK75,FALSE)),"B"),EXACT(HLOOKUP(Tabellen_Magie!$IK$1,PROFMAGIE,$DK75,FALSE),"")),"",CONCATENATE($CX75,","))),"")</f>
        <v/>
      </c>
      <c r="DU75" t="str">
        <f t="shared" si="63"/>
        <v/>
      </c>
      <c r="DW75" t="s">
        <v>426</v>
      </c>
      <c r="DX75" t="s">
        <v>75</v>
      </c>
      <c r="DY75" t="s">
        <v>75</v>
      </c>
      <c r="DZ75" t="s">
        <v>77</v>
      </c>
      <c r="EB75" t="s">
        <v>1196</v>
      </c>
      <c r="EC75">
        <v>1</v>
      </c>
      <c r="ED75">
        <f t="shared" si="73"/>
        <v>125</v>
      </c>
      <c r="EE75" t="s">
        <v>3283</v>
      </c>
      <c r="EF75" t="s">
        <v>1248</v>
      </c>
      <c r="EG75" t="str">
        <f ca="1">IF(MAGISCH,IF(HLOOKUP(Generierung!$P$9,INDIRECT(PROFGEBIET),IDX_RK,FALSE)="Ach","Ach","Alc"),"Alc")</f>
        <v>Alc</v>
      </c>
      <c r="EH75">
        <f>ROUNDUP($ED75/50,0)</f>
        <v>3</v>
      </c>
      <c r="EI75">
        <v>125</v>
      </c>
      <c r="EK75" t="s">
        <v>573</v>
      </c>
      <c r="EL75">
        <v>0</v>
      </c>
      <c r="EM75">
        <v>0</v>
      </c>
      <c r="EN75">
        <v>0</v>
      </c>
      <c r="EO75">
        <v>2</v>
      </c>
      <c r="EP75">
        <v>0</v>
      </c>
      <c r="EQ75">
        <v>0</v>
      </c>
      <c r="ER75">
        <v>2</v>
      </c>
      <c r="ES75">
        <v>0.8</v>
      </c>
      <c r="ET75">
        <v>0.4</v>
      </c>
      <c r="EU75">
        <v>1</v>
      </c>
      <c r="EV75">
        <v>0</v>
      </c>
      <c r="FD75" t="s">
        <v>5049</v>
      </c>
      <c r="FE75">
        <f t="shared" si="74"/>
        <v>200</v>
      </c>
      <c r="FF75">
        <f t="shared" si="37"/>
        <v>4</v>
      </c>
      <c r="FK75">
        <v>200</v>
      </c>
      <c r="FL75">
        <v>4</v>
      </c>
      <c r="FM75" t="b">
        <f t="shared" ca="1" si="75"/>
        <v>0</v>
      </c>
      <c r="FN75" t="b">
        <f t="shared" ca="1" si="76"/>
        <v>0</v>
      </c>
      <c r="GH75" t="s">
        <v>4254</v>
      </c>
      <c r="GI75" t="s">
        <v>1119</v>
      </c>
      <c r="GJ75">
        <v>2</v>
      </c>
      <c r="GK75" t="s">
        <v>4116</v>
      </c>
      <c r="GL75" t="s">
        <v>567</v>
      </c>
      <c r="GM75" t="s">
        <v>1369</v>
      </c>
      <c r="GN75" t="s">
        <v>1975</v>
      </c>
      <c r="GO75">
        <v>285</v>
      </c>
      <c r="GP75">
        <v>160</v>
      </c>
      <c r="GR75">
        <f t="shared" si="66"/>
        <v>424</v>
      </c>
      <c r="GS75">
        <v>4</v>
      </c>
      <c r="GU75" t="str">
        <f t="shared" ca="1" si="67"/>
        <v/>
      </c>
      <c r="GV75" t="str">
        <f t="shared" ca="1" si="68"/>
        <v/>
      </c>
      <c r="GW75" t="str">
        <f t="shared" ca="1" si="69"/>
        <v/>
      </c>
      <c r="GX75" t="str">
        <f t="shared" ca="1" si="70"/>
        <v/>
      </c>
      <c r="HA75" t="s">
        <v>865</v>
      </c>
      <c r="HB75" t="s">
        <v>1119</v>
      </c>
      <c r="HC75">
        <f t="shared" si="71"/>
        <v>2</v>
      </c>
      <c r="HD75" t="s">
        <v>1320</v>
      </c>
      <c r="HE75" t="s">
        <v>4123</v>
      </c>
      <c r="HF75" t="s">
        <v>3605</v>
      </c>
      <c r="HG75" t="s">
        <v>1690</v>
      </c>
      <c r="HH75">
        <v>152</v>
      </c>
      <c r="HI75">
        <f t="shared" si="64"/>
        <v>2</v>
      </c>
      <c r="HJ75">
        <f t="shared" si="65"/>
        <v>100</v>
      </c>
      <c r="HK75" t="s">
        <v>3619</v>
      </c>
      <c r="HL75" t="s">
        <v>2369</v>
      </c>
      <c r="HM75" t="s">
        <v>2991</v>
      </c>
    </row>
    <row r="76" spans="1:221" ht="15.75" customHeight="1" x14ac:dyDescent="0.2">
      <c r="A76" t="s">
        <v>3323</v>
      </c>
      <c r="B76" t="s">
        <v>75</v>
      </c>
      <c r="C76" t="s">
        <v>75</v>
      </c>
      <c r="D76" t="s">
        <v>750</v>
      </c>
      <c r="E76" t="s">
        <v>1320</v>
      </c>
      <c r="F76" t="s">
        <v>1321</v>
      </c>
      <c r="L76" t="str">
        <f t="shared" si="78"/>
        <v/>
      </c>
      <c r="M76" t="str">
        <f t="shared" si="79"/>
        <v/>
      </c>
      <c r="N76" t="str">
        <f t="shared" si="80"/>
        <v>Baukunst</v>
      </c>
      <c r="P76">
        <f t="shared" si="81"/>
        <v>108</v>
      </c>
      <c r="R76" t="s">
        <v>4440</v>
      </c>
      <c r="U76">
        <f>IF(PROFGEBGENE="Magie",7,3)</f>
        <v>3</v>
      </c>
      <c r="Z76" t="s">
        <v>8779</v>
      </c>
      <c r="AC76">
        <v>6</v>
      </c>
      <c r="AH76" t="str">
        <f>A129</f>
        <v>Kochen</v>
      </c>
      <c r="AJ76">
        <f t="shared" si="45"/>
        <v>26</v>
      </c>
      <c r="AK76" t="s">
        <v>1321</v>
      </c>
      <c r="AM76" t="s">
        <v>1826</v>
      </c>
      <c r="AS76" t="s">
        <v>367</v>
      </c>
      <c r="AT76">
        <v>5</v>
      </c>
      <c r="AX76" t="s">
        <v>4798</v>
      </c>
      <c r="AY76">
        <v>4</v>
      </c>
      <c r="AZ76">
        <v>1</v>
      </c>
      <c r="BA76" t="s">
        <v>699</v>
      </c>
      <c r="BG76">
        <v>5</v>
      </c>
      <c r="BK76" t="s">
        <v>5340</v>
      </c>
      <c r="BL76">
        <v>12</v>
      </c>
      <c r="BM76">
        <v>11</v>
      </c>
      <c r="BN76">
        <v>10</v>
      </c>
      <c r="BO76">
        <v>7</v>
      </c>
      <c r="BP76" t="s">
        <v>5338</v>
      </c>
      <c r="BQ76">
        <v>2</v>
      </c>
      <c r="BR76">
        <v>23</v>
      </c>
      <c r="BS76" t="s">
        <v>2990</v>
      </c>
      <c r="BT76" t="s">
        <v>1444</v>
      </c>
      <c r="BU76" t="s">
        <v>5339</v>
      </c>
      <c r="BW76">
        <v>3</v>
      </c>
      <c r="BX76">
        <v>9</v>
      </c>
      <c r="CA76" t="s">
        <v>5336</v>
      </c>
      <c r="CD76" t="s">
        <v>7574</v>
      </c>
      <c r="CE76" t="s">
        <v>5095</v>
      </c>
      <c r="CF76" t="s">
        <v>902</v>
      </c>
      <c r="CG76" t="s">
        <v>3236</v>
      </c>
      <c r="CH76">
        <v>-2</v>
      </c>
      <c r="CI76">
        <v>2</v>
      </c>
      <c r="CJ76" t="s">
        <v>899</v>
      </c>
      <c r="CK76" t="s">
        <v>3629</v>
      </c>
      <c r="CN76" t="str">
        <f ca="1">IF(AND(ISERR(FIND($CK76,Talente!$CI$41)),ISNA(VLOOKUP($CK76,$AH$51:$AH$55,1))),IF(AND(ISERR(FIND($CL76,Talente!$CI$41)),ISNA(VLOOKUP($CL76,$AH$51:$AH$55,1))),$CM76,$CL76),$CK76)</f>
        <v>Zweihand-Hiebwaffen</v>
      </c>
      <c r="CU76" t="s">
        <v>7153</v>
      </c>
      <c r="CW76" t="s">
        <v>1416</v>
      </c>
      <c r="CX76" t="s">
        <v>2864</v>
      </c>
      <c r="CY76" t="s">
        <v>76</v>
      </c>
      <c r="CZ76" t="s">
        <v>77</v>
      </c>
      <c r="DA76" t="s">
        <v>77</v>
      </c>
      <c r="DB76" t="s">
        <v>1613</v>
      </c>
      <c r="DC76" t="s">
        <v>7288</v>
      </c>
      <c r="DD76" t="s">
        <v>1818</v>
      </c>
      <c r="DE76" t="s">
        <v>1321</v>
      </c>
      <c r="DF76" t="s">
        <v>81</v>
      </c>
      <c r="DG76" t="s">
        <v>1321</v>
      </c>
      <c r="DH76" t="s">
        <v>6885</v>
      </c>
      <c r="DI76" t="s">
        <v>3560</v>
      </c>
      <c r="DJ76">
        <v>2</v>
      </c>
      <c r="DK76">
        <f t="shared" si="72"/>
        <v>397</v>
      </c>
      <c r="DL76">
        <f t="shared" si="77"/>
        <v>74</v>
      </c>
      <c r="DM76">
        <v>75</v>
      </c>
      <c r="DN76" t="str">
        <f t="shared" ca="1" si="59"/>
        <v/>
      </c>
      <c r="DO76" t="str">
        <f t="shared" ca="1" si="60"/>
        <v/>
      </c>
      <c r="DP76" t="str">
        <f t="shared" ca="1" si="61"/>
        <v/>
      </c>
      <c r="DQ76" t="str">
        <f>IF(EXACT(Zauber!$A$250,""),"",IF(EXACT(RIGHT(HLOOKUP(Zauber!$A$250,PROFMAGIE,$DK76,FALSE)),"H"),CONCATENATE($CX76,","),""))</f>
        <v/>
      </c>
      <c r="DR76" t="str">
        <f t="shared" si="62"/>
        <v/>
      </c>
      <c r="DS76" t="str">
        <f>IF(ZS_IAAK="Ja",IF(EXACT(RIGHT(HLOOKUP(Tabellen_Magie!$IK$1,PROFMAGIE,$DK76,FALSE)),"H"),CONCATENATE($CX76,","),""),"")</f>
        <v/>
      </c>
      <c r="DT76" t="str">
        <f>IF(ZS_IAAK="Ja",IF(NOT(DS76=""),"",IF(OR(EXACT(RIGHT(HLOOKUP(Tabellen_Magie!$IK$1,PROFMAGIE,$DK76,FALSE)),"B"),EXACT(HLOOKUP(Tabellen_Magie!$IK$1,PROFMAGIE,$DK76,FALSE),"")),"",CONCATENATE($CX76,","))),"")</f>
        <v/>
      </c>
      <c r="DU76" t="str">
        <f t="shared" si="63"/>
        <v/>
      </c>
      <c r="DW76" t="s">
        <v>427</v>
      </c>
      <c r="DX76" t="s">
        <v>4985</v>
      </c>
      <c r="DY76" t="s">
        <v>4985</v>
      </c>
      <c r="DZ76" t="s">
        <v>4985</v>
      </c>
      <c r="EB76" t="s">
        <v>4472</v>
      </c>
      <c r="ED76">
        <f t="shared" si="73"/>
        <v>100</v>
      </c>
      <c r="EE76" t="s">
        <v>3283</v>
      </c>
      <c r="EF76" t="s">
        <v>1248</v>
      </c>
      <c r="EG76" t="str">
        <f ca="1">IF(MAGISCH,IF(HLOOKUP(Generierung!$P$9,INDIRECT(PROFGEBIET),IDX_RK,FALSE)="Ach","Ach","Alc"),"Alc")</f>
        <v>Alc</v>
      </c>
      <c r="EH76">
        <f>ROUNDUP($ED76/50,0)</f>
        <v>2</v>
      </c>
      <c r="EI76">
        <v>100</v>
      </c>
      <c r="EK76" t="s">
        <v>574</v>
      </c>
      <c r="EL76">
        <v>3</v>
      </c>
      <c r="EM76">
        <v>0</v>
      </c>
      <c r="EN76">
        <v>0</v>
      </c>
      <c r="EO76">
        <v>0</v>
      </c>
      <c r="EP76">
        <v>0</v>
      </c>
      <c r="EQ76">
        <v>0</v>
      </c>
      <c r="ER76">
        <v>0</v>
      </c>
      <c r="ES76">
        <v>0.3</v>
      </c>
      <c r="ET76">
        <v>0.15</v>
      </c>
      <c r="EU76">
        <v>2</v>
      </c>
      <c r="EV76">
        <v>1</v>
      </c>
      <c r="FD76" t="s">
        <v>4998</v>
      </c>
      <c r="FE76">
        <f t="shared" si="74"/>
        <v>200</v>
      </c>
      <c r="FF76">
        <f t="shared" si="37"/>
        <v>4</v>
      </c>
      <c r="FK76">
        <v>200</v>
      </c>
      <c r="FL76">
        <v>3</v>
      </c>
      <c r="FM76" t="b">
        <f t="shared" ca="1" si="75"/>
        <v>0</v>
      </c>
      <c r="FN76" t="b">
        <f t="shared" ca="1" si="76"/>
        <v>0</v>
      </c>
      <c r="GH76" t="s">
        <v>4255</v>
      </c>
      <c r="GI76" t="s">
        <v>1119</v>
      </c>
      <c r="GJ76">
        <v>2</v>
      </c>
      <c r="GK76" t="s">
        <v>1396</v>
      </c>
      <c r="GL76" t="s">
        <v>567</v>
      </c>
      <c r="GM76" t="s">
        <v>1983</v>
      </c>
      <c r="GN76" t="s">
        <v>1974</v>
      </c>
      <c r="GO76">
        <v>263</v>
      </c>
      <c r="GP76">
        <v>161</v>
      </c>
      <c r="GR76">
        <f t="shared" si="66"/>
        <v>425</v>
      </c>
      <c r="GU76" t="str">
        <f t="shared" ca="1" si="67"/>
        <v/>
      </c>
      <c r="GV76" t="str">
        <f t="shared" ca="1" si="68"/>
        <v/>
      </c>
      <c r="GW76" t="str">
        <f t="shared" ca="1" si="69"/>
        <v/>
      </c>
      <c r="GX76" t="str">
        <f t="shared" ca="1" si="70"/>
        <v/>
      </c>
      <c r="HA76" t="s">
        <v>866</v>
      </c>
      <c r="HB76" t="s">
        <v>1119</v>
      </c>
      <c r="HC76">
        <f t="shared" si="71"/>
        <v>2</v>
      </c>
      <c r="HD76" t="s">
        <v>1827</v>
      </c>
      <c r="HE76" t="s">
        <v>4123</v>
      </c>
      <c r="HF76" t="s">
        <v>867</v>
      </c>
      <c r="HG76" t="s">
        <v>1973</v>
      </c>
      <c r="HH76">
        <v>150</v>
      </c>
      <c r="HI76">
        <f t="shared" si="64"/>
        <v>2</v>
      </c>
      <c r="HJ76">
        <f t="shared" si="65"/>
        <v>100</v>
      </c>
      <c r="HK76" t="s">
        <v>1329</v>
      </c>
      <c r="HL76" t="s">
        <v>1979</v>
      </c>
      <c r="HM76" t="s">
        <v>1369</v>
      </c>
    </row>
    <row r="77" spans="1:221" ht="12.75" customHeight="1" x14ac:dyDescent="0.2">
      <c r="A77" t="s">
        <v>8395</v>
      </c>
      <c r="B77" t="s">
        <v>75</v>
      </c>
      <c r="C77" t="s">
        <v>75</v>
      </c>
      <c r="D77" t="s">
        <v>76</v>
      </c>
      <c r="E77" t="s">
        <v>1827</v>
      </c>
      <c r="F77" t="s">
        <v>1321</v>
      </c>
      <c r="L77" t="str">
        <f t="shared" si="78"/>
        <v/>
      </c>
      <c r="M77" t="str">
        <f t="shared" si="79"/>
        <v/>
      </c>
      <c r="N77" t="str">
        <f t="shared" si="80"/>
        <v>Brett-/Kartenspiel</v>
      </c>
      <c r="P77">
        <f t="shared" si="81"/>
        <v>109</v>
      </c>
      <c r="R77" t="s">
        <v>2321</v>
      </c>
      <c r="U77">
        <v>5</v>
      </c>
      <c r="Z77" t="s">
        <v>8780</v>
      </c>
      <c r="AC77">
        <v>6</v>
      </c>
      <c r="AH77" t="str">
        <f>A131</f>
        <v>Lederarbeiten</v>
      </c>
      <c r="AJ77">
        <f t="shared" si="45"/>
        <v>27</v>
      </c>
      <c r="AK77" t="s">
        <v>1321</v>
      </c>
      <c r="AM77" t="s">
        <v>3630</v>
      </c>
      <c r="AS77" t="s">
        <v>769</v>
      </c>
      <c r="AT77">
        <v>8</v>
      </c>
      <c r="AX77" t="s">
        <v>8393</v>
      </c>
      <c r="AY77">
        <v>4</v>
      </c>
      <c r="AZ77">
        <v>1</v>
      </c>
      <c r="BA77" t="s">
        <v>1809</v>
      </c>
      <c r="BB77" t="s">
        <v>1810</v>
      </c>
      <c r="BC77" t="s">
        <v>1811</v>
      </c>
      <c r="BG77">
        <v>5</v>
      </c>
      <c r="BK77" t="s">
        <v>5341</v>
      </c>
      <c r="BL77">
        <v>12</v>
      </c>
      <c r="BM77">
        <v>11</v>
      </c>
      <c r="BN77">
        <v>10</v>
      </c>
      <c r="BO77">
        <v>7</v>
      </c>
      <c r="BP77" t="s">
        <v>5338</v>
      </c>
      <c r="BQ77">
        <v>2</v>
      </c>
      <c r="BR77">
        <v>23</v>
      </c>
      <c r="BS77" t="s">
        <v>2990</v>
      </c>
      <c r="BT77" t="s">
        <v>1444</v>
      </c>
      <c r="BU77" t="s">
        <v>5339</v>
      </c>
      <c r="BW77">
        <v>3</v>
      </c>
      <c r="BX77">
        <v>9</v>
      </c>
      <c r="CA77" t="s">
        <v>5336</v>
      </c>
      <c r="CD77" t="s">
        <v>4270</v>
      </c>
      <c r="CE77" t="s">
        <v>916</v>
      </c>
      <c r="CF77" t="s">
        <v>897</v>
      </c>
      <c r="CG77" t="s">
        <v>4595</v>
      </c>
      <c r="CH77">
        <v>0</v>
      </c>
      <c r="CI77">
        <v>4</v>
      </c>
      <c r="CJ77" t="s">
        <v>899</v>
      </c>
      <c r="CK77" t="s">
        <v>2190</v>
      </c>
      <c r="CN77" t="str">
        <f ca="1">IF(AND(ISERR(FIND($CK77,Talente!$CI$41)),ISNA(VLOOKUP($CK77,$AH$51:$AH$55,1))),IF(AND(ISERR(FIND($CL77,Talente!$CI$41)),ISNA(VLOOKUP($CL77,$AH$51:$AH$55,1))),$CM77,$CL77),$CK77)</f>
        <v>Hiebwaffen</v>
      </c>
      <c r="CP77" t="s">
        <v>3085</v>
      </c>
      <c r="CU77" t="s">
        <v>920</v>
      </c>
      <c r="CW77" t="s">
        <v>605</v>
      </c>
      <c r="CX77" t="s">
        <v>2865</v>
      </c>
      <c r="CY77" t="s">
        <v>76</v>
      </c>
      <c r="CZ77" t="s">
        <v>751</v>
      </c>
      <c r="DA77" t="s">
        <v>5030</v>
      </c>
      <c r="DC77" t="s">
        <v>2365</v>
      </c>
      <c r="DD77" t="s">
        <v>1819</v>
      </c>
      <c r="DE77" t="s">
        <v>2885</v>
      </c>
      <c r="DF77" t="s">
        <v>3137</v>
      </c>
      <c r="DG77" t="s">
        <v>1956</v>
      </c>
      <c r="DH77" t="s">
        <v>6886</v>
      </c>
      <c r="DI77" t="s">
        <v>4457</v>
      </c>
      <c r="DJ77">
        <v>2</v>
      </c>
      <c r="DK77">
        <f t="shared" si="72"/>
        <v>398</v>
      </c>
      <c r="DL77">
        <f t="shared" si="77"/>
        <v>75</v>
      </c>
      <c r="DM77">
        <v>76</v>
      </c>
      <c r="DN77" t="str">
        <f t="shared" ca="1" si="59"/>
        <v/>
      </c>
      <c r="DO77" t="str">
        <f t="shared" ca="1" si="60"/>
        <v/>
      </c>
      <c r="DP77" t="str">
        <f t="shared" ca="1" si="61"/>
        <v/>
      </c>
      <c r="DQ77" t="str">
        <f>IF(EXACT(Zauber!$A$250,""),"",IF(EXACT(RIGHT(HLOOKUP(Zauber!$A$250,PROFMAGIE,$DK77,FALSE)),"H"),CONCATENATE($CX77,","),""))</f>
        <v/>
      </c>
      <c r="DR77" t="str">
        <f t="shared" si="62"/>
        <v/>
      </c>
      <c r="DS77" t="str">
        <f>IF(ZS_IAAK="Ja",IF(EXACT(RIGHT(HLOOKUP(Tabellen_Magie!$IK$1,PROFMAGIE,$DK77,FALSE)),"H"),CONCATENATE($CX77,","),""),"")</f>
        <v/>
      </c>
      <c r="DT77" t="str">
        <f>IF(ZS_IAAK="Ja",IF(NOT(DS77=""),"",IF(OR(EXACT(RIGHT(HLOOKUP(Tabellen_Magie!$IK$1,PROFMAGIE,$DK77,FALSE)),"B"),EXACT(HLOOKUP(Tabellen_Magie!$IK$1,PROFMAGIE,$DK77,FALSE),"")),"",CONCATENATE($CX77,","))),"")</f>
        <v/>
      </c>
      <c r="DU77" t="str">
        <f t="shared" si="63"/>
        <v/>
      </c>
      <c r="DW77" t="s">
        <v>428</v>
      </c>
      <c r="DX77" t="s">
        <v>4985</v>
      </c>
      <c r="DY77" t="s">
        <v>4985</v>
      </c>
      <c r="DZ77" t="s">
        <v>4985</v>
      </c>
      <c r="EB77" t="s">
        <v>4472</v>
      </c>
      <c r="ED77">
        <f t="shared" si="73"/>
        <v>75</v>
      </c>
      <c r="EE77" t="s">
        <v>3283</v>
      </c>
      <c r="EF77" t="s">
        <v>1248</v>
      </c>
      <c r="EG77" t="str">
        <f ca="1">IF(MAGISCH,IF(HLOOKUP(Generierung!$P$9,INDIRECT(PROFGEBIET),IDX_RK,FALSE)="Ach","Ach","Alc"),"Alc")</f>
        <v>Alc</v>
      </c>
      <c r="EH77">
        <f t="shared" ref="EH77:EH87" si="82">ROUNDUP($ED77/50,0)</f>
        <v>2</v>
      </c>
      <c r="EI77">
        <v>75</v>
      </c>
      <c r="EK77" t="s">
        <v>575</v>
      </c>
      <c r="EL77">
        <v>2</v>
      </c>
      <c r="EM77">
        <v>0</v>
      </c>
      <c r="EN77">
        <v>0</v>
      </c>
      <c r="EO77">
        <v>0</v>
      </c>
      <c r="EP77">
        <v>0</v>
      </c>
      <c r="EQ77">
        <v>0</v>
      </c>
      <c r="ER77">
        <v>0</v>
      </c>
      <c r="ES77">
        <v>0.2</v>
      </c>
      <c r="ET77">
        <v>0.2</v>
      </c>
      <c r="EU77">
        <v>1</v>
      </c>
      <c r="EV77">
        <v>1</v>
      </c>
      <c r="FD77" t="s">
        <v>3251</v>
      </c>
      <c r="FE77">
        <f t="shared" si="74"/>
        <v>200</v>
      </c>
      <c r="FF77">
        <f t="shared" si="37"/>
        <v>4</v>
      </c>
      <c r="FK77">
        <v>200</v>
      </c>
      <c r="FL77">
        <v>5</v>
      </c>
      <c r="FM77" t="b">
        <f t="shared" ca="1" si="75"/>
        <v>0</v>
      </c>
      <c r="FN77" t="b">
        <f t="shared" ca="1" si="76"/>
        <v>0</v>
      </c>
      <c r="GH77" t="s">
        <v>4256</v>
      </c>
      <c r="GI77" t="s">
        <v>1119</v>
      </c>
      <c r="GJ77">
        <v>2</v>
      </c>
      <c r="GK77" t="s">
        <v>1320</v>
      </c>
      <c r="GL77" t="s">
        <v>567</v>
      </c>
      <c r="GM77" t="s">
        <v>1985</v>
      </c>
      <c r="GN77" t="s">
        <v>1974</v>
      </c>
      <c r="GO77">
        <v>284</v>
      </c>
      <c r="GP77">
        <v>162</v>
      </c>
      <c r="GR77">
        <f t="shared" si="66"/>
        <v>426</v>
      </c>
      <c r="GU77" t="str">
        <f t="shared" ca="1" si="67"/>
        <v/>
      </c>
      <c r="GV77" t="str">
        <f t="shared" ca="1" si="68"/>
        <v/>
      </c>
      <c r="GW77" t="str">
        <f t="shared" ca="1" si="69"/>
        <v/>
      </c>
      <c r="GX77" t="str">
        <f t="shared" ca="1" si="70"/>
        <v/>
      </c>
      <c r="HA77" t="s">
        <v>1126</v>
      </c>
      <c r="HG77" t="s">
        <v>784</v>
      </c>
      <c r="HH77">
        <v>152</v>
      </c>
      <c r="HI77">
        <f t="shared" si="64"/>
        <v>0</v>
      </c>
      <c r="HJ77">
        <f t="shared" si="65"/>
        <v>0</v>
      </c>
      <c r="HK77" t="s">
        <v>3620</v>
      </c>
    </row>
    <row r="78" spans="1:221" ht="12.75" customHeight="1" x14ac:dyDescent="0.2">
      <c r="A78" t="s">
        <v>3324</v>
      </c>
      <c r="B78" t="s">
        <v>75</v>
      </c>
      <c r="C78" t="s">
        <v>75</v>
      </c>
      <c r="D78" t="s">
        <v>76</v>
      </c>
      <c r="E78" t="s">
        <v>1827</v>
      </c>
      <c r="F78" t="s">
        <v>1321</v>
      </c>
      <c r="L78" t="str">
        <f t="shared" si="78"/>
        <v/>
      </c>
      <c r="M78" t="str">
        <f t="shared" si="79"/>
        <v/>
      </c>
      <c r="N78" t="str">
        <f t="shared" si="80"/>
        <v>Geographie</v>
      </c>
      <c r="P78">
        <f t="shared" si="81"/>
        <v>110</v>
      </c>
      <c r="R78" t="s">
        <v>2322</v>
      </c>
      <c r="U78">
        <f ca="1">IF(OR(Abfragen!U68&gt;0,VT_EIGEB),7,12)</f>
        <v>12</v>
      </c>
      <c r="Z78" t="s">
        <v>8781</v>
      </c>
      <c r="AC78">
        <v>12</v>
      </c>
      <c r="AH78" t="str">
        <f>A132</f>
        <v>Malen/Zeichnen</v>
      </c>
      <c r="AJ78">
        <f t="shared" si="45"/>
        <v>28</v>
      </c>
      <c r="AK78" t="s">
        <v>1321</v>
      </c>
      <c r="AM78" t="s">
        <v>1319</v>
      </c>
      <c r="AS78" t="s">
        <v>781</v>
      </c>
      <c r="AT78">
        <v>2000</v>
      </c>
      <c r="AX78" t="s">
        <v>2440</v>
      </c>
      <c r="AY78">
        <v>4</v>
      </c>
      <c r="AZ78">
        <v>1</v>
      </c>
      <c r="BA78" t="s">
        <v>1812</v>
      </c>
      <c r="BB78" t="s">
        <v>1813</v>
      </c>
      <c r="BC78" t="s">
        <v>1814</v>
      </c>
      <c r="BD78" t="s">
        <v>1815</v>
      </c>
      <c r="BE78" t="s">
        <v>1816</v>
      </c>
      <c r="BF78" t="s">
        <v>1817</v>
      </c>
      <c r="BG78">
        <v>5</v>
      </c>
      <c r="BK78" t="s">
        <v>5342</v>
      </c>
      <c r="BL78">
        <v>12</v>
      </c>
      <c r="BM78">
        <v>11</v>
      </c>
      <c r="BN78">
        <v>10</v>
      </c>
      <c r="BO78">
        <v>7</v>
      </c>
      <c r="BP78" t="s">
        <v>5343</v>
      </c>
      <c r="BQ78">
        <v>2</v>
      </c>
      <c r="BR78">
        <v>23</v>
      </c>
      <c r="BS78" t="s">
        <v>2990</v>
      </c>
      <c r="BT78" t="s">
        <v>1444</v>
      </c>
      <c r="BU78" t="s">
        <v>5339</v>
      </c>
      <c r="BW78">
        <v>3</v>
      </c>
      <c r="BX78">
        <v>9</v>
      </c>
      <c r="CA78" t="s">
        <v>5336</v>
      </c>
      <c r="CD78" t="s">
        <v>7575</v>
      </c>
      <c r="CE78" t="s">
        <v>4549</v>
      </c>
      <c r="CF78" t="s">
        <v>919</v>
      </c>
      <c r="CG78" t="s">
        <v>908</v>
      </c>
      <c r="CH78">
        <v>0</v>
      </c>
      <c r="CI78">
        <v>3</v>
      </c>
      <c r="CJ78" t="s">
        <v>899</v>
      </c>
      <c r="CK78" t="s">
        <v>2190</v>
      </c>
      <c r="CN78" t="str">
        <f ca="1">IF(AND(ISERR(FIND($CK78,Talente!$CI$41)),ISNA(VLOOKUP($CK78,$AH$51:$AH$55,1))),IF(AND(ISERR(FIND($CL78,Talente!$CI$41)),ISNA(VLOOKUP($CL78,$AH$51:$AH$55,1))),$CM78,$CL78),$CK78)</f>
        <v>Hiebwaffen</v>
      </c>
      <c r="CP78" t="s">
        <v>1515</v>
      </c>
      <c r="CQ78" t="s">
        <v>3086</v>
      </c>
      <c r="CR78" t="s">
        <v>3087</v>
      </c>
      <c r="CS78" t="s">
        <v>3777</v>
      </c>
      <c r="CU78" t="s">
        <v>3040</v>
      </c>
      <c r="CW78" t="s">
        <v>607</v>
      </c>
      <c r="CX78" t="s">
        <v>2866</v>
      </c>
      <c r="CY78" t="s">
        <v>76</v>
      </c>
      <c r="CZ78" t="s">
        <v>77</v>
      </c>
      <c r="DA78" t="s">
        <v>5030</v>
      </c>
      <c r="DB78" t="s">
        <v>1613</v>
      </c>
      <c r="DC78" t="s">
        <v>7288</v>
      </c>
      <c r="DD78" t="s">
        <v>124</v>
      </c>
      <c r="DE78" t="s">
        <v>2254</v>
      </c>
      <c r="DF78" t="s">
        <v>81</v>
      </c>
      <c r="DG78" t="s">
        <v>1956</v>
      </c>
      <c r="DH78" t="s">
        <v>6887</v>
      </c>
      <c r="DI78" t="s">
        <v>1235</v>
      </c>
      <c r="DJ78">
        <v>2</v>
      </c>
      <c r="DK78">
        <f t="shared" si="72"/>
        <v>399</v>
      </c>
      <c r="DL78">
        <f t="shared" si="77"/>
        <v>76</v>
      </c>
      <c r="DM78">
        <v>79</v>
      </c>
      <c r="DN78" t="str">
        <f t="shared" ca="1" si="59"/>
        <v/>
      </c>
      <c r="DO78" t="str">
        <f t="shared" ca="1" si="60"/>
        <v/>
      </c>
      <c r="DP78" t="str">
        <f t="shared" ca="1" si="61"/>
        <v/>
      </c>
      <c r="DQ78" t="str">
        <f>IF(EXACT(Zauber!$A$250,""),"",IF(EXACT(RIGHT(HLOOKUP(Zauber!$A$250,PROFMAGIE,$DK78,FALSE)),"H"),CONCATENATE($CX78,","),""))</f>
        <v/>
      </c>
      <c r="DR78" t="str">
        <f t="shared" si="62"/>
        <v/>
      </c>
      <c r="DS78" t="str">
        <f>IF(ZS_IAAK="Ja",IF(EXACT(RIGHT(HLOOKUP(Tabellen_Magie!$IK$1,PROFMAGIE,$DK78,FALSE)),"H"),CONCATENATE($CX78,","),""),"")</f>
        <v/>
      </c>
      <c r="DT78" t="str">
        <f>IF(ZS_IAAK="Ja",IF(NOT(DS78=""),"",IF(OR(EXACT(RIGHT(HLOOKUP(Tabellen_Magie!$IK$1,PROFMAGIE,$DK78,FALSE)),"B"),EXACT(HLOOKUP(Tabellen_Magie!$IK$1,PROFMAGIE,$DK78,FALSE),"")),"",CONCATENATE($CX78,","))),"")</f>
        <v/>
      </c>
      <c r="DU78" t="str">
        <f t="shared" si="63"/>
        <v/>
      </c>
      <c r="DW78" t="s">
        <v>429</v>
      </c>
      <c r="DX78" t="s">
        <v>4985</v>
      </c>
      <c r="DY78" t="s">
        <v>4985</v>
      </c>
      <c r="DZ78" t="s">
        <v>4985</v>
      </c>
      <c r="EB78" t="s">
        <v>1197</v>
      </c>
      <c r="EC78" t="s">
        <v>2685</v>
      </c>
      <c r="ED78">
        <f t="shared" si="73"/>
        <v>150</v>
      </c>
      <c r="EE78" t="s">
        <v>3283</v>
      </c>
      <c r="EF78" t="s">
        <v>1248</v>
      </c>
      <c r="EG78" t="str">
        <f ca="1">IF(MAGISCH,IF(HLOOKUP(Generierung!$P$9,INDIRECT(PROFGEBIET),IDX_RK,FALSE)="Ach","Ach","Alc"),"Alc")</f>
        <v>Alc</v>
      </c>
      <c r="EH78">
        <f t="shared" si="82"/>
        <v>3</v>
      </c>
      <c r="EI78">
        <v>150</v>
      </c>
      <c r="EK78" t="s">
        <v>576</v>
      </c>
      <c r="EL78">
        <v>5</v>
      </c>
      <c r="EM78">
        <v>0</v>
      </c>
      <c r="EN78">
        <v>0</v>
      </c>
      <c r="EO78">
        <v>0</v>
      </c>
      <c r="EP78">
        <v>0</v>
      </c>
      <c r="EQ78">
        <v>0</v>
      </c>
      <c r="ER78">
        <v>0</v>
      </c>
      <c r="ES78">
        <v>0.5</v>
      </c>
      <c r="ET78">
        <v>0.5</v>
      </c>
      <c r="EU78">
        <v>2</v>
      </c>
      <c r="EV78">
        <v>2</v>
      </c>
      <c r="FD78" t="s">
        <v>3252</v>
      </c>
      <c r="FE78">
        <f t="shared" si="74"/>
        <v>150</v>
      </c>
      <c r="FF78">
        <f t="shared" si="37"/>
        <v>3</v>
      </c>
      <c r="FK78">
        <v>150</v>
      </c>
      <c r="FL78">
        <v>6</v>
      </c>
      <c r="FM78" t="b">
        <f t="shared" ca="1" si="75"/>
        <v>0</v>
      </c>
      <c r="FN78" t="b">
        <f t="shared" ca="1" si="76"/>
        <v>0</v>
      </c>
      <c r="GH78" t="s">
        <v>4257</v>
      </c>
      <c r="GI78" t="s">
        <v>1119</v>
      </c>
      <c r="GJ78">
        <v>2</v>
      </c>
      <c r="GK78" t="s">
        <v>4116</v>
      </c>
      <c r="GL78" t="s">
        <v>567</v>
      </c>
      <c r="GM78" t="s">
        <v>1981</v>
      </c>
      <c r="GN78" t="s">
        <v>1973</v>
      </c>
      <c r="GO78">
        <v>287</v>
      </c>
      <c r="GP78">
        <v>163</v>
      </c>
      <c r="GR78">
        <f t="shared" si="66"/>
        <v>427</v>
      </c>
      <c r="GS78">
        <v>3</v>
      </c>
      <c r="GU78" t="str">
        <f t="shared" ca="1" si="67"/>
        <v/>
      </c>
      <c r="GV78" t="str">
        <f t="shared" ca="1" si="68"/>
        <v/>
      </c>
      <c r="GW78" t="str">
        <f t="shared" ca="1" si="69"/>
        <v/>
      </c>
      <c r="GX78" t="str">
        <f t="shared" ca="1" si="70"/>
        <v/>
      </c>
      <c r="HA78" t="s">
        <v>868</v>
      </c>
      <c r="HB78" t="s">
        <v>4483</v>
      </c>
      <c r="HC78">
        <f t="shared" si="71"/>
        <v>1</v>
      </c>
      <c r="HD78" t="s">
        <v>1396</v>
      </c>
      <c r="HE78" t="s">
        <v>3295</v>
      </c>
      <c r="HG78" t="s">
        <v>1690</v>
      </c>
      <c r="HH78">
        <v>150</v>
      </c>
      <c r="HI78">
        <f t="shared" si="64"/>
        <v>1</v>
      </c>
      <c r="HJ78">
        <f t="shared" si="65"/>
        <v>50</v>
      </c>
      <c r="HK78" t="s">
        <v>3279</v>
      </c>
      <c r="HL78" t="s">
        <v>3397</v>
      </c>
      <c r="HM78" t="s">
        <v>1284</v>
      </c>
    </row>
    <row r="79" spans="1:221" ht="12.75" customHeight="1" x14ac:dyDescent="0.2">
      <c r="A79" t="s">
        <v>3325</v>
      </c>
      <c r="B79" t="s">
        <v>75</v>
      </c>
      <c r="C79" t="s">
        <v>75</v>
      </c>
      <c r="D79" t="s">
        <v>76</v>
      </c>
      <c r="E79" t="s">
        <v>1827</v>
      </c>
      <c r="F79" t="s">
        <v>1321</v>
      </c>
      <c r="L79" t="str">
        <f t="shared" si="78"/>
        <v/>
      </c>
      <c r="M79" t="str">
        <f t="shared" si="79"/>
        <v/>
      </c>
      <c r="N79" t="str">
        <f t="shared" si="80"/>
        <v>Geschichtswissen</v>
      </c>
      <c r="P79">
        <f t="shared" si="81"/>
        <v>111</v>
      </c>
      <c r="R79" t="s">
        <v>2119</v>
      </c>
      <c r="U79">
        <v>5</v>
      </c>
      <c r="Z79" t="s">
        <v>8782</v>
      </c>
      <c r="AC79">
        <v>6</v>
      </c>
      <c r="AH79" t="str">
        <f>A138</f>
        <v>Schneidern</v>
      </c>
      <c r="AJ79">
        <f t="shared" si="45"/>
        <v>29</v>
      </c>
      <c r="AK79" t="s">
        <v>1321</v>
      </c>
      <c r="AS79" t="s">
        <v>780</v>
      </c>
      <c r="AT79">
        <v>4000</v>
      </c>
      <c r="AX79" t="s">
        <v>3317</v>
      </c>
      <c r="AY79">
        <v>4</v>
      </c>
      <c r="AZ79">
        <v>1</v>
      </c>
      <c r="BA79" t="s">
        <v>207</v>
      </c>
      <c r="BB79" t="s">
        <v>3192</v>
      </c>
      <c r="BC79" t="s">
        <v>3194</v>
      </c>
      <c r="BD79" t="s">
        <v>208</v>
      </c>
      <c r="BE79" t="s">
        <v>3191</v>
      </c>
      <c r="BF79" t="s">
        <v>196</v>
      </c>
      <c r="BG79">
        <v>5</v>
      </c>
      <c r="BK79" t="s">
        <v>5344</v>
      </c>
      <c r="BL79">
        <v>12</v>
      </c>
      <c r="BM79">
        <v>11</v>
      </c>
      <c r="BN79">
        <v>10</v>
      </c>
      <c r="BO79">
        <v>7</v>
      </c>
      <c r="BP79" t="s">
        <v>5345</v>
      </c>
      <c r="BQ79">
        <v>2</v>
      </c>
      <c r="BR79">
        <v>23</v>
      </c>
      <c r="BS79" t="s">
        <v>2990</v>
      </c>
      <c r="BT79" t="s">
        <v>1444</v>
      </c>
      <c r="BU79" t="s">
        <v>5339</v>
      </c>
      <c r="BW79">
        <v>3</v>
      </c>
      <c r="BX79">
        <v>9</v>
      </c>
      <c r="CA79" t="s">
        <v>5336</v>
      </c>
      <c r="CD79" t="s">
        <v>7576</v>
      </c>
      <c r="CE79" t="s">
        <v>5095</v>
      </c>
      <c r="CF79" t="s">
        <v>7160</v>
      </c>
      <c r="CG79" t="s">
        <v>3236</v>
      </c>
      <c r="CH79">
        <v>-2</v>
      </c>
      <c r="CI79">
        <v>2</v>
      </c>
      <c r="CJ79" t="s">
        <v>899</v>
      </c>
      <c r="CK79" t="s">
        <v>2190</v>
      </c>
      <c r="CN79" t="str">
        <f ca="1">IF(AND(ISERR(FIND($CK79,Talente!$CI$41)),ISNA(VLOOKUP($CK79,$AH$51:$AH$55,1))),IF(AND(ISERR(FIND($CL79,Talente!$CI$41)),ISNA(VLOOKUP($CL79,$AH$51:$AH$55,1))),$CM79,$CL79),$CK79)</f>
        <v>Hiebwaffen</v>
      </c>
      <c r="CP79" t="s">
        <v>3836</v>
      </c>
      <c r="CQ79" t="s">
        <v>1433</v>
      </c>
      <c r="CR79">
        <v>21</v>
      </c>
      <c r="CS79" t="s">
        <v>3778</v>
      </c>
      <c r="CU79" t="s">
        <v>4987</v>
      </c>
      <c r="CW79" t="s">
        <v>3449</v>
      </c>
      <c r="CX79" t="s">
        <v>2103</v>
      </c>
      <c r="CY79" t="s">
        <v>75</v>
      </c>
      <c r="CZ79" t="s">
        <v>77</v>
      </c>
      <c r="DA79" t="s">
        <v>751</v>
      </c>
      <c r="DC79" t="s">
        <v>7299</v>
      </c>
      <c r="DD79" t="s">
        <v>7346</v>
      </c>
      <c r="DE79" t="s">
        <v>1321</v>
      </c>
      <c r="DF79" t="s">
        <v>81</v>
      </c>
      <c r="DG79" t="s">
        <v>1956</v>
      </c>
      <c r="DH79" t="s">
        <v>6888</v>
      </c>
      <c r="DI79" t="s">
        <v>3203</v>
      </c>
      <c r="DJ79">
        <v>2</v>
      </c>
      <c r="DK79">
        <f t="shared" si="72"/>
        <v>400</v>
      </c>
      <c r="DL79">
        <f t="shared" si="77"/>
        <v>77</v>
      </c>
      <c r="DM79">
        <v>77</v>
      </c>
      <c r="DN79" t="str">
        <f t="shared" ca="1" si="59"/>
        <v/>
      </c>
      <c r="DO79" t="str">
        <f t="shared" ca="1" si="60"/>
        <v/>
      </c>
      <c r="DP79" t="str">
        <f t="shared" ca="1" si="61"/>
        <v/>
      </c>
      <c r="DQ79" t="str">
        <f>IF(EXACT(Zauber!$A$250,""),"",IF(EXACT(RIGHT(HLOOKUP(Zauber!$A$250,PROFMAGIE,$DK79,FALSE)),"H"),CONCATENATE($CX79,","),""))</f>
        <v/>
      </c>
      <c r="DR79" t="str">
        <f t="shared" si="62"/>
        <v/>
      </c>
      <c r="DS79" t="str">
        <f>IF(ZS_IAAK="Ja",IF(EXACT(RIGHT(HLOOKUP(Tabellen_Magie!$IK$1,PROFMAGIE,$DK79,FALSE)),"H"),CONCATENATE($CX79,","),""),"")</f>
        <v/>
      </c>
      <c r="DT79" t="str">
        <f>IF(ZS_IAAK="Ja",IF(NOT(DS79=""),"",IF(OR(EXACT(RIGHT(HLOOKUP(Tabellen_Magie!$IK$1,PROFMAGIE,$DK79,FALSE)),"B"),EXACT(HLOOKUP(Tabellen_Magie!$IK$1,PROFMAGIE,$DK79,FALSE),"")),"",CONCATENATE($CX79,","))),"")</f>
        <v/>
      </c>
      <c r="DU79" t="str">
        <f t="shared" si="63"/>
        <v/>
      </c>
      <c r="DV79" t="s">
        <v>1091</v>
      </c>
      <c r="DW79" t="s">
        <v>2984</v>
      </c>
      <c r="DX79" t="s">
        <v>74</v>
      </c>
      <c r="DY79" t="s">
        <v>76</v>
      </c>
      <c r="DZ79" t="s">
        <v>77</v>
      </c>
      <c r="EB79" t="s">
        <v>8592</v>
      </c>
      <c r="EC79">
        <v>1</v>
      </c>
      <c r="ED79">
        <f t="shared" si="73"/>
        <v>125</v>
      </c>
      <c r="EE79" t="s">
        <v>3283</v>
      </c>
      <c r="EF79" t="s">
        <v>1248</v>
      </c>
      <c r="EG79" t="str">
        <f ca="1">IF(MAGISCH,IF(HLOOKUP(Generierung!$P$9,INDIRECT(PROFGEBIET),IDX_RK,FALSE)="Ach","Ach","Alc"),"Alc")</f>
        <v>Alc</v>
      </c>
      <c r="EH79">
        <f t="shared" si="82"/>
        <v>3</v>
      </c>
      <c r="EI79">
        <v>125</v>
      </c>
      <c r="EK79" t="s">
        <v>2734</v>
      </c>
      <c r="EL79">
        <v>0</v>
      </c>
      <c r="EM79">
        <v>2</v>
      </c>
      <c r="EN79">
        <v>2</v>
      </c>
      <c r="EO79">
        <v>2</v>
      </c>
      <c r="EP79">
        <v>0</v>
      </c>
      <c r="EQ79">
        <v>0</v>
      </c>
      <c r="ER79">
        <v>0</v>
      </c>
      <c r="ES79">
        <v>1.2</v>
      </c>
      <c r="ET79">
        <v>1.2</v>
      </c>
      <c r="EU79">
        <v>2</v>
      </c>
      <c r="EV79">
        <v>2</v>
      </c>
      <c r="FD79" t="s">
        <v>5053</v>
      </c>
      <c r="FE79">
        <f t="shared" si="74"/>
        <v>300</v>
      </c>
      <c r="FF79">
        <f t="shared" si="37"/>
        <v>6</v>
      </c>
      <c r="FK79">
        <v>300</v>
      </c>
      <c r="FL79">
        <v>4</v>
      </c>
      <c r="FM79" t="b">
        <f t="shared" ca="1" si="75"/>
        <v>0</v>
      </c>
      <c r="FN79" t="b">
        <f t="shared" ca="1" si="76"/>
        <v>0</v>
      </c>
      <c r="GG79" t="s">
        <v>3122</v>
      </c>
      <c r="GH79" t="s">
        <v>4258</v>
      </c>
      <c r="GI79" t="s">
        <v>1119</v>
      </c>
      <c r="GJ79">
        <v>2</v>
      </c>
      <c r="GK79" t="s">
        <v>4116</v>
      </c>
      <c r="GL79" t="s">
        <v>1976</v>
      </c>
      <c r="GM79" t="s">
        <v>1981</v>
      </c>
      <c r="GN79" t="s">
        <v>1974</v>
      </c>
      <c r="GO79">
        <v>259</v>
      </c>
      <c r="GP79">
        <v>168</v>
      </c>
      <c r="GR79">
        <f t="shared" si="66"/>
        <v>428</v>
      </c>
      <c r="GU79" t="str">
        <f t="shared" ca="1" si="67"/>
        <v/>
      </c>
      <c r="GV79" t="str">
        <f t="shared" ca="1" si="68"/>
        <v/>
      </c>
      <c r="GW79" t="str">
        <f t="shared" ca="1" si="69"/>
        <v/>
      </c>
      <c r="GX79" t="str">
        <f t="shared" ca="1" si="70"/>
        <v/>
      </c>
      <c r="HA79" t="s">
        <v>4539</v>
      </c>
      <c r="HB79" t="s">
        <v>1119</v>
      </c>
      <c r="HC79">
        <f t="shared" si="71"/>
        <v>2</v>
      </c>
      <c r="HD79" t="s">
        <v>1827</v>
      </c>
      <c r="HE79" t="s">
        <v>3291</v>
      </c>
      <c r="HF79" t="s">
        <v>1893</v>
      </c>
      <c r="HG79" t="s">
        <v>1974</v>
      </c>
      <c r="HH79">
        <v>150</v>
      </c>
      <c r="HI79">
        <f t="shared" si="64"/>
        <v>2</v>
      </c>
      <c r="HJ79">
        <f t="shared" si="65"/>
        <v>100</v>
      </c>
      <c r="HK79" t="s">
        <v>3621</v>
      </c>
      <c r="HL79" t="s">
        <v>3397</v>
      </c>
      <c r="HM79" t="s">
        <v>1284</v>
      </c>
    </row>
    <row r="80" spans="1:221" ht="12.75" customHeight="1" x14ac:dyDescent="0.2">
      <c r="A80" t="s">
        <v>3326</v>
      </c>
      <c r="B80" t="s">
        <v>75</v>
      </c>
      <c r="C80" t="s">
        <v>76</v>
      </c>
      <c r="D80" t="s">
        <v>750</v>
      </c>
      <c r="E80" t="s">
        <v>1827</v>
      </c>
      <c r="F80" t="s">
        <v>1321</v>
      </c>
      <c r="L80" t="str">
        <f t="shared" si="78"/>
        <v/>
      </c>
      <c r="M80" t="str">
        <f t="shared" si="79"/>
        <v/>
      </c>
      <c r="N80" t="str">
        <f t="shared" si="80"/>
        <v>Gesteinskunde</v>
      </c>
      <c r="P80">
        <f t="shared" si="81"/>
        <v>112</v>
      </c>
      <c r="R80" t="s">
        <v>1860</v>
      </c>
      <c r="S80">
        <v>2</v>
      </c>
      <c r="T80">
        <v>6</v>
      </c>
      <c r="Z80" t="s">
        <v>8783</v>
      </c>
      <c r="AC80">
        <v>6</v>
      </c>
      <c r="AH80" t="s">
        <v>1608</v>
      </c>
      <c r="AM80" t="s">
        <v>4895</v>
      </c>
      <c r="AS80" t="s">
        <v>779</v>
      </c>
      <c r="AT80">
        <v>3000</v>
      </c>
      <c r="AX80" t="s">
        <v>1527</v>
      </c>
      <c r="AY80">
        <v>6</v>
      </c>
      <c r="AZ80">
        <v>2</v>
      </c>
      <c r="BG80">
        <v>5</v>
      </c>
      <c r="BK80" t="s">
        <v>5346</v>
      </c>
      <c r="BL80">
        <v>12</v>
      </c>
      <c r="BM80">
        <v>11</v>
      </c>
      <c r="BN80">
        <v>11</v>
      </c>
      <c r="BO80">
        <v>9</v>
      </c>
      <c r="BP80" t="s">
        <v>5347</v>
      </c>
      <c r="BQ80">
        <v>2</v>
      </c>
      <c r="BR80">
        <v>19</v>
      </c>
      <c r="BS80" t="s">
        <v>2344</v>
      </c>
      <c r="BT80" t="s">
        <v>1444</v>
      </c>
      <c r="BU80" t="s">
        <v>5348</v>
      </c>
      <c r="BW80">
        <v>3</v>
      </c>
      <c r="BX80">
        <v>9</v>
      </c>
      <c r="CA80" t="s">
        <v>5349</v>
      </c>
      <c r="CD80" t="s">
        <v>1794</v>
      </c>
      <c r="CE80" t="s">
        <v>4558</v>
      </c>
      <c r="CF80" t="s">
        <v>897</v>
      </c>
      <c r="CG80" t="s">
        <v>903</v>
      </c>
      <c r="CH80">
        <v>0</v>
      </c>
      <c r="CI80">
        <v>6</v>
      </c>
      <c r="CJ80" t="s">
        <v>899</v>
      </c>
      <c r="CK80" t="s">
        <v>2190</v>
      </c>
      <c r="CN80" t="str">
        <f ca="1">IF(AND(ISERR(FIND($CK80,Talente!$CI$41)),ISNA(VLOOKUP($CK80,$AH$51:$AH$55,1))),IF(AND(ISERR(FIND($CL80,Talente!$CI$41)),ISNA(VLOOKUP($CL80,$AH$51:$AH$55,1))),$CM80,$CL80),$CK80)</f>
        <v>Hiebwaffen</v>
      </c>
      <c r="CP80" t="s">
        <v>3837</v>
      </c>
      <c r="CQ80" t="s">
        <v>1433</v>
      </c>
      <c r="CR80">
        <v>18</v>
      </c>
      <c r="CS80" t="s">
        <v>3779</v>
      </c>
      <c r="CU80" t="s">
        <v>4551</v>
      </c>
      <c r="CW80" t="s">
        <v>4330</v>
      </c>
      <c r="CX80" t="s">
        <v>2104</v>
      </c>
      <c r="CY80" t="s">
        <v>74</v>
      </c>
      <c r="CZ80" t="s">
        <v>76</v>
      </c>
      <c r="DA80" t="s">
        <v>5030</v>
      </c>
      <c r="DC80" t="s">
        <v>7299</v>
      </c>
      <c r="DD80" t="s">
        <v>1820</v>
      </c>
      <c r="DE80" t="s">
        <v>4484</v>
      </c>
      <c r="DF80" t="s">
        <v>1821</v>
      </c>
      <c r="DG80" t="s">
        <v>1956</v>
      </c>
      <c r="DH80" t="s">
        <v>6889</v>
      </c>
      <c r="DI80" t="s">
        <v>3557</v>
      </c>
      <c r="DJ80">
        <v>2</v>
      </c>
      <c r="DK80">
        <f t="shared" si="72"/>
        <v>401</v>
      </c>
      <c r="DL80">
        <f t="shared" si="77"/>
        <v>78</v>
      </c>
      <c r="DM80">
        <v>78</v>
      </c>
      <c r="DN80" t="str">
        <f t="shared" ca="1" si="59"/>
        <v/>
      </c>
      <c r="DO80" t="str">
        <f t="shared" ca="1" si="60"/>
        <v/>
      </c>
      <c r="DP80" t="str">
        <f t="shared" ca="1" si="61"/>
        <v/>
      </c>
      <c r="DQ80" t="str">
        <f>IF(EXACT(Zauber!$A$250,""),"",IF(EXACT(RIGHT(HLOOKUP(Zauber!$A$250,PROFMAGIE,$DK80,FALSE)),"H"),CONCATENATE($CX80,","),""))</f>
        <v/>
      </c>
      <c r="DR80" t="str">
        <f t="shared" si="62"/>
        <v/>
      </c>
      <c r="DS80" t="str">
        <f>IF(ZS_IAAK="Ja",IF(EXACT(RIGHT(HLOOKUP(Tabellen_Magie!$IK$1,PROFMAGIE,$DK80,FALSE)),"H"),CONCATENATE($CX80,","),""),"")</f>
        <v/>
      </c>
      <c r="DT80" t="str">
        <f>IF(ZS_IAAK="Ja",IF(NOT(DS80=""),"",IF(OR(EXACT(RIGHT(HLOOKUP(Tabellen_Magie!$IK$1,PROFMAGIE,$DK80,FALSE)),"B"),EXACT(HLOOKUP(Tabellen_Magie!$IK$1,PROFMAGIE,$DK80,FALSE),"")),"",CONCATENATE($CX80,","))),"")</f>
        <v/>
      </c>
      <c r="DU80" t="str">
        <f t="shared" si="63"/>
        <v/>
      </c>
      <c r="DW80" t="s">
        <v>2540</v>
      </c>
      <c r="EK80" t="s">
        <v>4205</v>
      </c>
      <c r="EL80">
        <v>0</v>
      </c>
      <c r="EM80">
        <v>2</v>
      </c>
      <c r="EN80">
        <v>2</v>
      </c>
      <c r="EO80">
        <v>1</v>
      </c>
      <c r="EP80">
        <v>2</v>
      </c>
      <c r="EQ80">
        <v>2</v>
      </c>
      <c r="ER80">
        <v>1</v>
      </c>
      <c r="ES80">
        <v>1.4</v>
      </c>
      <c r="ET80">
        <v>1.4</v>
      </c>
      <c r="EU80">
        <v>2</v>
      </c>
      <c r="EV80">
        <v>1</v>
      </c>
      <c r="FD80" t="s">
        <v>3161</v>
      </c>
      <c r="FE80">
        <f t="shared" si="74"/>
        <v>450</v>
      </c>
      <c r="FF80">
        <f t="shared" si="37"/>
        <v>9</v>
      </c>
      <c r="FK80">
        <v>450</v>
      </c>
      <c r="FL80">
        <v>2</v>
      </c>
      <c r="FM80" t="b">
        <f t="shared" ca="1" si="75"/>
        <v>0</v>
      </c>
      <c r="FN80" t="b">
        <f t="shared" ca="1" si="76"/>
        <v>0</v>
      </c>
      <c r="GH80" t="s">
        <v>9321</v>
      </c>
      <c r="GI80" t="s">
        <v>1119</v>
      </c>
      <c r="GJ80">
        <v>2</v>
      </c>
      <c r="GK80" t="s">
        <v>4116</v>
      </c>
      <c r="GL80" t="s">
        <v>567</v>
      </c>
      <c r="GM80" t="s">
        <v>1982</v>
      </c>
      <c r="GN80" t="s">
        <v>1974</v>
      </c>
      <c r="GO80" t="s">
        <v>9314</v>
      </c>
      <c r="GP80">
        <v>170</v>
      </c>
      <c r="GR80">
        <f t="shared" si="66"/>
        <v>429</v>
      </c>
      <c r="GU80" t="str">
        <f t="shared" ca="1" si="67"/>
        <v/>
      </c>
      <c r="GV80" t="str">
        <f t="shared" ca="1" si="68"/>
        <v/>
      </c>
      <c r="GW80" t="str">
        <f t="shared" ca="1" si="69"/>
        <v/>
      </c>
      <c r="GX80" t="str">
        <f t="shared" ca="1" si="70"/>
        <v/>
      </c>
      <c r="HA80" t="s">
        <v>1627</v>
      </c>
      <c r="HB80" t="s">
        <v>4483</v>
      </c>
      <c r="HC80">
        <f t="shared" si="71"/>
        <v>1</v>
      </c>
      <c r="HD80" t="s">
        <v>1320</v>
      </c>
      <c r="HE80" t="s">
        <v>3295</v>
      </c>
      <c r="HF80" t="s">
        <v>1893</v>
      </c>
      <c r="HG80" t="s">
        <v>1975</v>
      </c>
      <c r="HH80">
        <v>151</v>
      </c>
      <c r="HI80">
        <f t="shared" si="64"/>
        <v>1</v>
      </c>
      <c r="HJ80">
        <f t="shared" si="65"/>
        <v>50</v>
      </c>
      <c r="HK80" t="s">
        <v>1628</v>
      </c>
      <c r="HL80" t="s">
        <v>3397</v>
      </c>
      <c r="HM80" t="s">
        <v>2043</v>
      </c>
    </row>
    <row r="81" spans="1:221" ht="12.75" customHeight="1" x14ac:dyDescent="0.2">
      <c r="A81" t="s">
        <v>2732</v>
      </c>
      <c r="B81" t="s">
        <v>75</v>
      </c>
      <c r="C81" t="s">
        <v>75</v>
      </c>
      <c r="D81" t="s">
        <v>76</v>
      </c>
      <c r="E81" t="s">
        <v>1321</v>
      </c>
      <c r="F81" t="s">
        <v>1321</v>
      </c>
      <c r="L81" t="str">
        <f t="shared" si="78"/>
        <v/>
      </c>
      <c r="M81" t="str">
        <f t="shared" si="79"/>
        <v/>
      </c>
      <c r="N81" t="str">
        <f t="shared" si="80"/>
        <v>Götter/Kulte</v>
      </c>
      <c r="P81">
        <f t="shared" si="81"/>
        <v>113</v>
      </c>
      <c r="R81" t="s">
        <v>4774</v>
      </c>
      <c r="S81">
        <v>2</v>
      </c>
      <c r="T81">
        <v>3</v>
      </c>
      <c r="Z81" t="s">
        <v>8784</v>
      </c>
      <c r="AC81">
        <v>6</v>
      </c>
      <c r="AH81" t="s">
        <v>1322</v>
      </c>
      <c r="AX81" t="s">
        <v>2381</v>
      </c>
      <c r="AY81">
        <v>4</v>
      </c>
      <c r="AZ81">
        <v>1</v>
      </c>
      <c r="BA81" t="s">
        <v>207</v>
      </c>
      <c r="BB81" t="s">
        <v>3193</v>
      </c>
      <c r="BC81" t="s">
        <v>3192</v>
      </c>
      <c r="BD81" t="s">
        <v>215</v>
      </c>
      <c r="BE81" t="s">
        <v>216</v>
      </c>
      <c r="BF81" t="s">
        <v>3194</v>
      </c>
      <c r="BG81">
        <v>5</v>
      </c>
      <c r="BK81" t="s">
        <v>5350</v>
      </c>
      <c r="CD81" t="s">
        <v>1795</v>
      </c>
      <c r="CE81" t="s">
        <v>5095</v>
      </c>
      <c r="CF81" t="s">
        <v>907</v>
      </c>
      <c r="CG81" t="s">
        <v>908</v>
      </c>
      <c r="CH81">
        <v>0</v>
      </c>
      <c r="CI81">
        <v>3</v>
      </c>
      <c r="CJ81" t="s">
        <v>1827</v>
      </c>
      <c r="CK81" t="s">
        <v>3044</v>
      </c>
      <c r="CL81" t="s">
        <v>1530</v>
      </c>
      <c r="CN81" t="str">
        <f ca="1">IF(AND(ISERR(FIND($CK81,Talente!$CI$41)),ISNA(VLOOKUP($CK81,$AH$51:$AH$55,1))),IF(AND(ISERR(FIND($CL81,Talente!$CI$41)),ISNA(VLOOKUP($CL81,$AH$51:$AH$55,1))),$CM81,$CL81),$CK81)</f>
        <v>Infanteriewaffen</v>
      </c>
      <c r="CP81" t="s">
        <v>3838</v>
      </c>
      <c r="CQ81" t="s">
        <v>1433</v>
      </c>
      <c r="CR81">
        <v>18</v>
      </c>
      <c r="CS81" t="s">
        <v>3779</v>
      </c>
      <c r="CU81" t="s">
        <v>4553</v>
      </c>
      <c r="CW81" t="s">
        <v>2001</v>
      </c>
      <c r="CX81" t="s">
        <v>2867</v>
      </c>
      <c r="DH81" t="s">
        <v>1830</v>
      </c>
      <c r="DJ81">
        <v>2</v>
      </c>
      <c r="DK81">
        <f t="shared" si="72"/>
        <v>402</v>
      </c>
      <c r="DL81">
        <f t="shared" si="77"/>
        <v>79</v>
      </c>
      <c r="DM81">
        <v>172</v>
      </c>
      <c r="DN81" t="str">
        <f t="shared" ca="1" si="59"/>
        <v/>
      </c>
      <c r="DO81" t="str">
        <f t="shared" ca="1" si="60"/>
        <v/>
      </c>
      <c r="DP81" t="str">
        <f t="shared" ca="1" si="61"/>
        <v/>
      </c>
      <c r="DQ81" t="str">
        <f>IF(EXACT(Zauber!$A$250,""),"",IF(EXACT(RIGHT(HLOOKUP(Zauber!$A$250,PROFMAGIE,$DK81,FALSE)),"H"),CONCATENATE($CX81,","),""))</f>
        <v/>
      </c>
      <c r="DR81" t="str">
        <f t="shared" si="62"/>
        <v/>
      </c>
      <c r="DS81" t="str">
        <f>IF(ZS_IAAK="Ja",IF(EXACT(RIGHT(HLOOKUP(Tabellen_Magie!$IK$1,PROFMAGIE,$DK81,FALSE)),"H"),CONCATENATE($CX81,","),""),"")</f>
        <v/>
      </c>
      <c r="DT81" t="str">
        <f>IF(ZS_IAAK="Ja",IF(NOT(DS81=""),"",IF(OR(EXACT(RIGHT(HLOOKUP(Tabellen_Magie!$IK$1,PROFMAGIE,$DK81,FALSE)),"B"),EXACT(HLOOKUP(Tabellen_Magie!$IK$1,PROFMAGIE,$DK81,FALSE),"")),"",CONCATENATE($CX81,","))),"")</f>
        <v/>
      </c>
      <c r="DU81" t="str">
        <f t="shared" si="63"/>
        <v/>
      </c>
      <c r="DW81" t="s">
        <v>2985</v>
      </c>
      <c r="DX81" t="s">
        <v>76</v>
      </c>
      <c r="DY81" t="s">
        <v>750</v>
      </c>
      <c r="DZ81" t="s">
        <v>5030</v>
      </c>
      <c r="EA81" t="s">
        <v>2341</v>
      </c>
      <c r="EC81" t="s">
        <v>2268</v>
      </c>
      <c r="ED81">
        <f>ROUND(EI81*IF(VT_EIDGED,0.5,IF(VT_GUTGED,0.75,1)),0)</f>
        <v>100</v>
      </c>
      <c r="EE81" t="s">
        <v>3279</v>
      </c>
      <c r="EH81">
        <f t="shared" si="82"/>
        <v>2</v>
      </c>
      <c r="EI81">
        <v>100</v>
      </c>
      <c r="EK81" t="s">
        <v>7823</v>
      </c>
      <c r="EL81">
        <v>5</v>
      </c>
      <c r="EM81">
        <v>0</v>
      </c>
      <c r="EN81">
        <v>0</v>
      </c>
      <c r="EO81">
        <v>0</v>
      </c>
      <c r="EP81">
        <v>0</v>
      </c>
      <c r="EQ81">
        <v>0</v>
      </c>
      <c r="ER81">
        <v>0</v>
      </c>
      <c r="ES81">
        <v>0.5</v>
      </c>
      <c r="ET81">
        <v>0.5</v>
      </c>
      <c r="EU81">
        <v>2</v>
      </c>
      <c r="EV81">
        <v>2</v>
      </c>
      <c r="FD81" t="s">
        <v>3253</v>
      </c>
      <c r="FE81">
        <f t="shared" si="74"/>
        <v>200</v>
      </c>
      <c r="FF81">
        <f t="shared" si="37"/>
        <v>4</v>
      </c>
      <c r="FK81">
        <v>200</v>
      </c>
      <c r="FL81">
        <v>6</v>
      </c>
      <c r="FM81" t="b">
        <f t="shared" ca="1" si="75"/>
        <v>0</v>
      </c>
      <c r="FN81" t="b">
        <f t="shared" ca="1" si="76"/>
        <v>0</v>
      </c>
      <c r="GH81" t="s">
        <v>614</v>
      </c>
      <c r="GI81" t="s">
        <v>1119</v>
      </c>
      <c r="GJ81">
        <v>2</v>
      </c>
      <c r="GK81" t="s">
        <v>4116</v>
      </c>
      <c r="GL81" t="s">
        <v>1976</v>
      </c>
      <c r="GM81" t="s">
        <v>1369</v>
      </c>
      <c r="GN81" t="s">
        <v>2685</v>
      </c>
      <c r="GO81">
        <v>255</v>
      </c>
      <c r="GP81">
        <v>166</v>
      </c>
      <c r="GR81">
        <f t="shared" si="66"/>
        <v>430</v>
      </c>
      <c r="GS81">
        <v>4</v>
      </c>
      <c r="GU81" t="str">
        <f t="shared" ca="1" si="67"/>
        <v/>
      </c>
      <c r="GV81" t="str">
        <f t="shared" ca="1" si="68"/>
        <v/>
      </c>
      <c r="GW81" t="str">
        <f t="shared" ca="1" si="69"/>
        <v/>
      </c>
      <c r="GX81" t="str">
        <f t="shared" ca="1" si="70"/>
        <v/>
      </c>
      <c r="HA81" t="s">
        <v>4963</v>
      </c>
      <c r="HB81" t="s">
        <v>1119</v>
      </c>
      <c r="HC81">
        <f t="shared" si="71"/>
        <v>2</v>
      </c>
      <c r="HD81" t="s">
        <v>1827</v>
      </c>
      <c r="HE81" t="s">
        <v>4123</v>
      </c>
      <c r="HF81" t="s">
        <v>867</v>
      </c>
      <c r="HG81" t="s">
        <v>1973</v>
      </c>
      <c r="HH81">
        <v>151</v>
      </c>
      <c r="HI81">
        <f t="shared" si="64"/>
        <v>2</v>
      </c>
      <c r="HJ81">
        <f t="shared" si="65"/>
        <v>100</v>
      </c>
      <c r="HK81" t="s">
        <v>1329</v>
      </c>
      <c r="HL81" t="s">
        <v>1979</v>
      </c>
      <c r="HM81" t="s">
        <v>1369</v>
      </c>
    </row>
    <row r="82" spans="1:221" ht="12.75" customHeight="1" x14ac:dyDescent="0.2">
      <c r="A82" t="s">
        <v>3327</v>
      </c>
      <c r="B82" t="s">
        <v>75</v>
      </c>
      <c r="C82" t="s">
        <v>75</v>
      </c>
      <c r="D82" t="s">
        <v>750</v>
      </c>
      <c r="E82" t="s">
        <v>1827</v>
      </c>
      <c r="F82" t="s">
        <v>1321</v>
      </c>
      <c r="L82" t="str">
        <f t="shared" si="78"/>
        <v/>
      </c>
      <c r="M82" t="str">
        <f t="shared" si="79"/>
        <v/>
      </c>
      <c r="N82" t="str">
        <f t="shared" si="80"/>
        <v>Heraldik</v>
      </c>
      <c r="P82">
        <f t="shared" si="81"/>
        <v>114</v>
      </c>
      <c r="R82" t="s">
        <v>3752</v>
      </c>
      <c r="Z82" t="s">
        <v>8785</v>
      </c>
      <c r="AC82">
        <v>9</v>
      </c>
      <c r="AH82" t="s">
        <v>4118</v>
      </c>
      <c r="AM82">
        <v>1</v>
      </c>
      <c r="AS82" t="s">
        <v>3582</v>
      </c>
      <c r="AX82" t="s">
        <v>2382</v>
      </c>
      <c r="AY82">
        <v>4</v>
      </c>
      <c r="AZ82">
        <v>1</v>
      </c>
      <c r="BA82" t="s">
        <v>4985</v>
      </c>
      <c r="BG82">
        <v>5</v>
      </c>
      <c r="BK82" t="s">
        <v>5351</v>
      </c>
      <c r="BL82" t="s">
        <v>5231</v>
      </c>
      <c r="CA82" t="s">
        <v>5352</v>
      </c>
      <c r="CD82" t="s">
        <v>4272</v>
      </c>
      <c r="CE82" t="s">
        <v>916</v>
      </c>
      <c r="CF82" t="s">
        <v>4552</v>
      </c>
      <c r="CG82" t="s">
        <v>1931</v>
      </c>
      <c r="CH82">
        <v>0</v>
      </c>
      <c r="CI82">
        <v>3</v>
      </c>
      <c r="CJ82" t="s">
        <v>4001</v>
      </c>
      <c r="CK82" t="s">
        <v>2190</v>
      </c>
      <c r="CN82" t="str">
        <f ca="1">IF(AND(ISERR(FIND($CK82,Talente!$CI$41)),ISNA(VLOOKUP($CK82,$AH$51:$AH$55,1))),IF(AND(ISERR(FIND($CL82,Talente!$CI$41)),ISNA(VLOOKUP($CL82,$AH$51:$AH$55,1))),$CM82,$CL82),$CK82)</f>
        <v>Hiebwaffen</v>
      </c>
      <c r="CP82" t="s">
        <v>3476</v>
      </c>
      <c r="CQ82" t="s">
        <v>1433</v>
      </c>
      <c r="CR82">
        <v>21</v>
      </c>
      <c r="CS82" t="s">
        <v>3780</v>
      </c>
      <c r="CU82" t="s">
        <v>4556</v>
      </c>
      <c r="CW82" t="s">
        <v>2002</v>
      </c>
      <c r="CX82" t="s">
        <v>2868</v>
      </c>
      <c r="CY82" t="s">
        <v>76</v>
      </c>
      <c r="CZ82" t="s">
        <v>77</v>
      </c>
      <c r="DA82" t="s">
        <v>5030</v>
      </c>
      <c r="DB82" t="s">
        <v>1613</v>
      </c>
      <c r="DC82" t="s">
        <v>7288</v>
      </c>
      <c r="DD82" t="s">
        <v>124</v>
      </c>
      <c r="DE82" t="s">
        <v>2254</v>
      </c>
      <c r="DF82" t="s">
        <v>81</v>
      </c>
      <c r="DG82" t="s">
        <v>1956</v>
      </c>
      <c r="DH82" t="s">
        <v>6887</v>
      </c>
      <c r="DI82" t="s">
        <v>4458</v>
      </c>
      <c r="DJ82">
        <v>2</v>
      </c>
      <c r="DK82">
        <f t="shared" si="72"/>
        <v>403</v>
      </c>
      <c r="DL82">
        <f t="shared" si="77"/>
        <v>80</v>
      </c>
      <c r="DM82">
        <v>79</v>
      </c>
      <c r="DN82" t="str">
        <f t="shared" ca="1" si="59"/>
        <v/>
      </c>
      <c r="DO82" t="str">
        <f t="shared" ca="1" si="60"/>
        <v/>
      </c>
      <c r="DP82" t="str">
        <f t="shared" ca="1" si="61"/>
        <v/>
      </c>
      <c r="DQ82" t="str">
        <f>IF(EXACT(Zauber!$A$250,""),"",IF(EXACT(RIGHT(HLOOKUP(Zauber!$A$250,PROFMAGIE,$DK82,FALSE)),"H"),CONCATENATE($CX82,","),""))</f>
        <v/>
      </c>
      <c r="DR82" t="str">
        <f t="shared" si="62"/>
        <v/>
      </c>
      <c r="DS82" t="str">
        <f>IF(ZS_IAAK="Ja",IF(EXACT(RIGHT(HLOOKUP(Tabellen_Magie!$IK$1,PROFMAGIE,$DK82,FALSE)),"H"),CONCATENATE($CX82,","),""),"")</f>
        <v/>
      </c>
      <c r="DT82" t="str">
        <f>IF(ZS_IAAK="Ja",IF(NOT(DS82=""),"",IF(OR(EXACT(RIGHT(HLOOKUP(Tabellen_Magie!$IK$1,PROFMAGIE,$DK82,FALSE)),"B"),EXACT(HLOOKUP(Tabellen_Magie!$IK$1,PROFMAGIE,$DK82,FALSE),"")),"",CONCATENATE($CX82,","))),"")</f>
        <v/>
      </c>
      <c r="DU82" t="str">
        <f t="shared" si="63"/>
        <v/>
      </c>
      <c r="DW82" t="s">
        <v>6694</v>
      </c>
      <c r="DX82" t="s">
        <v>74</v>
      </c>
      <c r="DY82" t="s">
        <v>76</v>
      </c>
      <c r="DZ82" t="s">
        <v>77</v>
      </c>
      <c r="EB82" t="s">
        <v>8584</v>
      </c>
      <c r="EC82" t="s">
        <v>2990</v>
      </c>
      <c r="ED82">
        <f>ROUND(EI82*IF(VT_EIDGED,0.5,IF(VT_GUTGED,0.75,1)),0)</f>
        <v>200</v>
      </c>
      <c r="EE82" t="s">
        <v>3279</v>
      </c>
      <c r="EH82">
        <f t="shared" si="82"/>
        <v>4</v>
      </c>
      <c r="EI82">
        <v>200</v>
      </c>
      <c r="EK82" t="s">
        <v>3078</v>
      </c>
      <c r="EL82">
        <v>1</v>
      </c>
      <c r="EM82">
        <v>0</v>
      </c>
      <c r="EN82">
        <v>0</v>
      </c>
      <c r="EO82">
        <v>0</v>
      </c>
      <c r="EP82">
        <v>0</v>
      </c>
      <c r="EQ82">
        <v>0</v>
      </c>
      <c r="ER82">
        <v>0</v>
      </c>
      <c r="ES82">
        <v>0.1</v>
      </c>
      <c r="ET82">
        <v>0.1</v>
      </c>
      <c r="EU82">
        <v>0</v>
      </c>
      <c r="EV82">
        <v>0</v>
      </c>
      <c r="FD82" t="s">
        <v>93</v>
      </c>
      <c r="FE82">
        <f t="shared" si="74"/>
        <v>200</v>
      </c>
      <c r="FF82">
        <f t="shared" si="37"/>
        <v>4</v>
      </c>
      <c r="FK82">
        <v>200</v>
      </c>
      <c r="FL82">
        <v>3</v>
      </c>
      <c r="FM82" t="b">
        <f t="shared" ca="1" si="75"/>
        <v>0</v>
      </c>
      <c r="FN82" t="b">
        <f t="shared" ca="1" si="76"/>
        <v>0</v>
      </c>
      <c r="GH82" t="s">
        <v>615</v>
      </c>
      <c r="GI82" t="s">
        <v>1119</v>
      </c>
      <c r="GJ82">
        <v>2</v>
      </c>
      <c r="GK82" t="s">
        <v>1549</v>
      </c>
      <c r="GL82" t="s">
        <v>567</v>
      </c>
      <c r="GM82" t="s">
        <v>1685</v>
      </c>
      <c r="GN82" t="s">
        <v>1974</v>
      </c>
      <c r="GO82">
        <v>274</v>
      </c>
      <c r="GP82">
        <v>174</v>
      </c>
      <c r="GR82">
        <f t="shared" si="66"/>
        <v>431</v>
      </c>
      <c r="GT82" t="s">
        <v>2098</v>
      </c>
      <c r="GU82" t="str">
        <f t="shared" ca="1" si="67"/>
        <v/>
      </c>
      <c r="GV82" t="str">
        <f t="shared" ca="1" si="68"/>
        <v/>
      </c>
      <c r="GW82" t="str">
        <f t="shared" ca="1" si="69"/>
        <v/>
      </c>
      <c r="GX82" t="str">
        <f t="shared" ca="1" si="70"/>
        <v/>
      </c>
      <c r="HA82" t="s">
        <v>4964</v>
      </c>
      <c r="HB82" t="s">
        <v>4121</v>
      </c>
      <c r="HC82">
        <f t="shared" si="71"/>
        <v>4</v>
      </c>
      <c r="HD82" t="s">
        <v>4529</v>
      </c>
      <c r="HE82" t="s">
        <v>4548</v>
      </c>
      <c r="HF82" t="s">
        <v>1893</v>
      </c>
      <c r="HG82" t="s">
        <v>1690</v>
      </c>
      <c r="HH82">
        <v>152</v>
      </c>
      <c r="HI82">
        <f t="shared" si="64"/>
        <v>4</v>
      </c>
      <c r="HJ82">
        <f t="shared" si="65"/>
        <v>200</v>
      </c>
      <c r="HK82" t="s">
        <v>1327</v>
      </c>
      <c r="HL82" t="s">
        <v>2369</v>
      </c>
      <c r="HM82" t="s">
        <v>2991</v>
      </c>
    </row>
    <row r="83" spans="1:221" ht="12.75" customHeight="1" x14ac:dyDescent="0.2">
      <c r="A83" t="s">
        <v>2448</v>
      </c>
      <c r="B83" t="s">
        <v>75</v>
      </c>
      <c r="C83" t="s">
        <v>76</v>
      </c>
      <c r="D83" t="s">
        <v>5030</v>
      </c>
      <c r="E83" t="s">
        <v>1320</v>
      </c>
      <c r="F83" t="s">
        <v>1321</v>
      </c>
      <c r="L83" t="str">
        <f t="shared" si="78"/>
        <v/>
      </c>
      <c r="M83" t="str">
        <f t="shared" si="79"/>
        <v/>
      </c>
      <c r="N83" t="str">
        <f t="shared" si="80"/>
        <v>Hüttenkunde</v>
      </c>
      <c r="P83">
        <f t="shared" si="81"/>
        <v>115</v>
      </c>
      <c r="R83" t="s">
        <v>3753</v>
      </c>
      <c r="Z83" t="s">
        <v>8786</v>
      </c>
      <c r="AC83">
        <v>9</v>
      </c>
      <c r="AH83" t="s">
        <v>4186</v>
      </c>
      <c r="AM83">
        <v>2</v>
      </c>
      <c r="AS83" t="str">
        <f t="shared" ref="AS83:AS109" si="83">INDEX(TL_KPF,ROW()-ROW($AS$82)+1)</f>
        <v>Anderthalbhänder</v>
      </c>
      <c r="AT83" t="s">
        <v>1750</v>
      </c>
      <c r="AX83" t="s">
        <v>2191</v>
      </c>
      <c r="AY83">
        <v>6</v>
      </c>
      <c r="AZ83">
        <v>2</v>
      </c>
      <c r="BG83">
        <v>5</v>
      </c>
      <c r="BK83" t="s">
        <v>5353</v>
      </c>
      <c r="BM83" t="s">
        <v>5231</v>
      </c>
      <c r="BR83" t="s">
        <v>5238</v>
      </c>
      <c r="BU83" t="s">
        <v>5354</v>
      </c>
      <c r="BX83" t="s">
        <v>2989</v>
      </c>
      <c r="BY83" t="s">
        <v>5355</v>
      </c>
      <c r="CA83" t="s">
        <v>5356</v>
      </c>
      <c r="CD83" t="s">
        <v>1796</v>
      </c>
      <c r="CE83" t="s">
        <v>4647</v>
      </c>
      <c r="CF83" t="s">
        <v>3232</v>
      </c>
      <c r="CG83" t="s">
        <v>4550</v>
      </c>
      <c r="CH83">
        <v>-1</v>
      </c>
      <c r="CI83">
        <v>5</v>
      </c>
      <c r="CJ83" t="s">
        <v>1827</v>
      </c>
      <c r="CK83" t="s">
        <v>1534</v>
      </c>
      <c r="CN83" t="str">
        <f ca="1">IF(AND(ISERR(FIND($CK83,Talente!$CI$41)),ISNA(VLOOKUP($CK83,$AH$51:$AH$55,1))),IF(AND(ISERR(FIND($CL83,Talente!$CI$41)),ISNA(VLOOKUP($CL83,$AH$51:$AH$55,1))),$CM83,$CL83),$CK83)</f>
        <v>Zweihandflegel</v>
      </c>
      <c r="CP83" t="s">
        <v>3474</v>
      </c>
      <c r="CQ83" t="s">
        <v>1321</v>
      </c>
      <c r="CR83">
        <v>24</v>
      </c>
      <c r="CS83" t="s">
        <v>3781</v>
      </c>
      <c r="CU83" t="s">
        <v>4557</v>
      </c>
      <c r="CW83" t="s">
        <v>1506</v>
      </c>
      <c r="CX83" t="s">
        <v>2869</v>
      </c>
      <c r="CY83" t="s">
        <v>74</v>
      </c>
      <c r="CZ83" t="s">
        <v>75</v>
      </c>
      <c r="DA83" t="s">
        <v>77</v>
      </c>
      <c r="DB83" t="s">
        <v>1613</v>
      </c>
      <c r="DC83" t="s">
        <v>544</v>
      </c>
      <c r="DD83" t="s">
        <v>1822</v>
      </c>
      <c r="DE83" t="s">
        <v>3142</v>
      </c>
      <c r="DF83" t="s">
        <v>3137</v>
      </c>
      <c r="DG83" t="s">
        <v>1955</v>
      </c>
      <c r="DH83" t="s">
        <v>6890</v>
      </c>
      <c r="DI83" t="s">
        <v>3352</v>
      </c>
      <c r="DJ83">
        <v>2</v>
      </c>
      <c r="DK83">
        <f t="shared" si="72"/>
        <v>404</v>
      </c>
      <c r="DL83">
        <f t="shared" si="77"/>
        <v>81</v>
      </c>
      <c r="DM83">
        <v>80</v>
      </c>
      <c r="DN83" t="str">
        <f t="shared" ca="1" si="59"/>
        <v/>
      </c>
      <c r="DO83" t="str">
        <f t="shared" ca="1" si="60"/>
        <v/>
      </c>
      <c r="DP83" t="str">
        <f t="shared" ca="1" si="61"/>
        <v/>
      </c>
      <c r="DQ83" t="str">
        <f>IF(EXACT(Zauber!$A$250,""),"",IF(EXACT(RIGHT(HLOOKUP(Zauber!$A$250,PROFMAGIE,$DK83,FALSE)),"H"),CONCATENATE($CX83,","),""))</f>
        <v/>
      </c>
      <c r="DR83" t="str">
        <f t="shared" si="62"/>
        <v/>
      </c>
      <c r="DS83" t="str">
        <f>IF(ZS_IAAK="Ja",IF(EXACT(RIGHT(HLOOKUP(Tabellen_Magie!$IK$1,PROFMAGIE,$DK83,FALSE)),"H"),CONCATENATE($CX83,","),""),"")</f>
        <v/>
      </c>
      <c r="DT83" t="str">
        <f>IF(ZS_IAAK="Ja",IF(NOT(DS83=""),"",IF(OR(EXACT(RIGHT(HLOOKUP(Tabellen_Magie!$IK$1,PROFMAGIE,$DK83,FALSE)),"B"),EXACT(HLOOKUP(Tabellen_Magie!$IK$1,PROFMAGIE,$DK83,FALSE),"")),"",CONCATENATE($CX83,","))),"")</f>
        <v/>
      </c>
      <c r="DU83" t="str">
        <f t="shared" si="63"/>
        <v/>
      </c>
      <c r="DV83" t="s">
        <v>1092</v>
      </c>
      <c r="DW83" t="s">
        <v>2986</v>
      </c>
      <c r="DX83" t="s">
        <v>75</v>
      </c>
      <c r="DY83" t="s">
        <v>750</v>
      </c>
      <c r="DZ83" t="s">
        <v>750</v>
      </c>
      <c r="EA83" t="s">
        <v>2341</v>
      </c>
      <c r="EC83" t="s">
        <v>2269</v>
      </c>
      <c r="ED83">
        <f>ROUND(EI83*IF(VT_EIDGED,0.5,IF(VT_GUTGED,0.75,1)),0)</f>
        <v>100</v>
      </c>
      <c r="EE83" t="s">
        <v>3279</v>
      </c>
      <c r="EH83">
        <f t="shared" si="82"/>
        <v>2</v>
      </c>
      <c r="EI83">
        <v>100</v>
      </c>
      <c r="EK83" t="s">
        <v>2735</v>
      </c>
      <c r="EL83">
        <v>0</v>
      </c>
      <c r="EM83">
        <v>2</v>
      </c>
      <c r="EN83">
        <v>2</v>
      </c>
      <c r="EO83">
        <v>2</v>
      </c>
      <c r="EP83">
        <v>0</v>
      </c>
      <c r="EQ83">
        <v>0</v>
      </c>
      <c r="ER83">
        <v>0</v>
      </c>
      <c r="ES83">
        <v>1.5</v>
      </c>
      <c r="ET83">
        <v>1.5</v>
      </c>
      <c r="EU83">
        <v>2</v>
      </c>
      <c r="EV83">
        <v>2</v>
      </c>
      <c r="FD83" t="s">
        <v>5001</v>
      </c>
      <c r="FE83">
        <f t="shared" si="74"/>
        <v>100</v>
      </c>
      <c r="FF83">
        <f t="shared" si="37"/>
        <v>2</v>
      </c>
      <c r="FK83">
        <v>100</v>
      </c>
      <c r="FL83">
        <v>3</v>
      </c>
      <c r="FM83" t="b">
        <f t="shared" ca="1" si="75"/>
        <v>0</v>
      </c>
      <c r="FN83" t="b">
        <f t="shared" ca="1" si="76"/>
        <v>0</v>
      </c>
      <c r="GH83" t="s">
        <v>616</v>
      </c>
      <c r="GI83" t="s">
        <v>1119</v>
      </c>
      <c r="GJ83">
        <v>2</v>
      </c>
      <c r="GK83" t="s">
        <v>1320</v>
      </c>
      <c r="GL83" t="s">
        <v>567</v>
      </c>
      <c r="GM83" t="s">
        <v>1984</v>
      </c>
      <c r="GN83" t="s">
        <v>1974</v>
      </c>
      <c r="GO83">
        <v>256</v>
      </c>
      <c r="GP83">
        <v>178</v>
      </c>
      <c r="GR83">
        <f t="shared" si="66"/>
        <v>432</v>
      </c>
      <c r="GU83" t="str">
        <f t="shared" ca="1" si="67"/>
        <v/>
      </c>
      <c r="GV83" t="str">
        <f t="shared" ca="1" si="68"/>
        <v/>
      </c>
      <c r="GW83" t="str">
        <f t="shared" ca="1" si="69"/>
        <v/>
      </c>
      <c r="GX83" t="str">
        <f t="shared" ca="1" si="70"/>
        <v/>
      </c>
      <c r="HA83" t="s">
        <v>4965</v>
      </c>
      <c r="HB83" t="s">
        <v>3290</v>
      </c>
      <c r="HC83">
        <f t="shared" si="71"/>
        <v>3</v>
      </c>
      <c r="HD83" t="s">
        <v>1827</v>
      </c>
      <c r="HE83" t="s">
        <v>4123</v>
      </c>
      <c r="HG83" t="s">
        <v>1975</v>
      </c>
      <c r="HH83">
        <v>151</v>
      </c>
      <c r="HI83">
        <f t="shared" si="64"/>
        <v>3</v>
      </c>
      <c r="HJ83">
        <f t="shared" si="65"/>
        <v>150</v>
      </c>
      <c r="HK83" t="s">
        <v>4966</v>
      </c>
      <c r="HL83" t="s">
        <v>3396</v>
      </c>
      <c r="HM83" t="s">
        <v>1369</v>
      </c>
    </row>
    <row r="84" spans="1:221" ht="15.75" customHeight="1" x14ac:dyDescent="0.2">
      <c r="A84" t="s">
        <v>2377</v>
      </c>
      <c r="B84" t="s">
        <v>74</v>
      </c>
      <c r="C84" t="s">
        <v>75</v>
      </c>
      <c r="D84" t="s">
        <v>77</v>
      </c>
      <c r="E84" t="s">
        <v>1827</v>
      </c>
      <c r="F84" t="s">
        <v>1321</v>
      </c>
      <c r="L84" t="str">
        <f t="shared" si="78"/>
        <v/>
      </c>
      <c r="M84" t="str">
        <f t="shared" si="79"/>
        <v/>
      </c>
      <c r="N84" t="str">
        <f t="shared" si="80"/>
        <v>Kriegskunst</v>
      </c>
      <c r="P84">
        <f t="shared" si="81"/>
        <v>116</v>
      </c>
      <c r="R84" t="s">
        <v>4775</v>
      </c>
      <c r="U84">
        <f ca="1">IF(Abfragen!U69&gt;0,4,7)</f>
        <v>7</v>
      </c>
      <c r="Z84" t="s">
        <v>8787</v>
      </c>
      <c r="AC84">
        <v>3</v>
      </c>
      <c r="AH84" t="s">
        <v>3321</v>
      </c>
      <c r="AM84">
        <v>3</v>
      </c>
      <c r="AS84" t="str">
        <f t="shared" si="83"/>
        <v>Armbrust</v>
      </c>
      <c r="AT84" t="str">
        <f>AS84</f>
        <v>Armbrust</v>
      </c>
      <c r="AX84" t="s">
        <v>2383</v>
      </c>
      <c r="AY84">
        <v>4</v>
      </c>
      <c r="AZ84">
        <v>1</v>
      </c>
      <c r="BA84" t="s">
        <v>3384</v>
      </c>
      <c r="BB84" t="s">
        <v>3385</v>
      </c>
      <c r="BC84" t="s">
        <v>3386</v>
      </c>
      <c r="BG84">
        <v>5</v>
      </c>
      <c r="BK84" t="s">
        <v>5357</v>
      </c>
      <c r="BM84" t="s">
        <v>5238</v>
      </c>
      <c r="BR84" t="s">
        <v>5238</v>
      </c>
      <c r="BU84" t="s">
        <v>5358</v>
      </c>
      <c r="BX84" t="s">
        <v>1281</v>
      </c>
      <c r="BZ84" t="s">
        <v>5359</v>
      </c>
      <c r="CD84" t="s">
        <v>1797</v>
      </c>
      <c r="CE84" t="s">
        <v>376</v>
      </c>
      <c r="CF84" t="s">
        <v>902</v>
      </c>
      <c r="CG84" t="s">
        <v>3236</v>
      </c>
      <c r="CH84">
        <v>-2</v>
      </c>
      <c r="CI84">
        <v>2</v>
      </c>
      <c r="CJ84" t="s">
        <v>899</v>
      </c>
      <c r="CK84" t="s">
        <v>3629</v>
      </c>
      <c r="CN84" t="str">
        <f ca="1">IF(AND(ISERR(FIND($CK84,Talente!$CI$41)),ISNA(VLOOKUP($CK84,$AH$51:$AH$55,1))),IF(AND(ISERR(FIND($CL84,Talente!$CI$41)),ISNA(VLOOKUP($CL84,$AH$51:$AH$55,1))),$CM84,$CL84),$CK84)</f>
        <v>Zweihand-Hiebwaffen</v>
      </c>
      <c r="CP84" t="s">
        <v>3881</v>
      </c>
      <c r="CQ84" t="s">
        <v>1433</v>
      </c>
      <c r="CR84">
        <v>12</v>
      </c>
      <c r="CS84" t="s">
        <v>1513</v>
      </c>
      <c r="CU84" t="s">
        <v>1042</v>
      </c>
      <c r="CW84" t="s">
        <v>456</v>
      </c>
      <c r="CX84" t="s">
        <v>2870</v>
      </c>
      <c r="CY84" t="s">
        <v>74</v>
      </c>
      <c r="CZ84" t="s">
        <v>76</v>
      </c>
      <c r="DA84" t="s">
        <v>752</v>
      </c>
      <c r="DC84" t="s">
        <v>7290</v>
      </c>
      <c r="DD84" t="s">
        <v>2928</v>
      </c>
      <c r="DE84" t="s">
        <v>2929</v>
      </c>
      <c r="DF84" t="s">
        <v>2930</v>
      </c>
      <c r="DG84" t="s">
        <v>1955</v>
      </c>
      <c r="DH84" t="s">
        <v>1830</v>
      </c>
      <c r="DI84" t="s">
        <v>2994</v>
      </c>
      <c r="DJ84">
        <v>2</v>
      </c>
      <c r="DK84">
        <f t="shared" si="72"/>
        <v>405</v>
      </c>
      <c r="DL84">
        <f t="shared" si="77"/>
        <v>82</v>
      </c>
      <c r="DM84">
        <v>172</v>
      </c>
      <c r="DN84" t="str">
        <f t="shared" ca="1" si="59"/>
        <v/>
      </c>
      <c r="DO84" t="str">
        <f t="shared" ca="1" si="60"/>
        <v/>
      </c>
      <c r="DP84" t="str">
        <f t="shared" ca="1" si="61"/>
        <v/>
      </c>
      <c r="DQ84" t="str">
        <f>IF(EXACT(Zauber!$A$250,""),"",IF(EXACT(RIGHT(HLOOKUP(Zauber!$A$250,PROFMAGIE,$DK84,FALSE)),"H"),CONCATENATE($CX84,","),""))</f>
        <v/>
      </c>
      <c r="DR84" t="str">
        <f t="shared" si="62"/>
        <v/>
      </c>
      <c r="DS84" t="str">
        <f>IF(ZS_IAAK="Ja",IF(EXACT(RIGHT(HLOOKUP(Tabellen_Magie!$IK$1,PROFMAGIE,$DK84,FALSE)),"H"),CONCATENATE($CX84,","),""),"")</f>
        <v/>
      </c>
      <c r="DT84" t="str">
        <f>IF(ZS_IAAK="Ja",IF(NOT(DS84=""),"",IF(OR(EXACT(RIGHT(HLOOKUP(Tabellen_Magie!$IK$1,PROFMAGIE,$DK84,FALSE)),"B"),EXACT(HLOOKUP(Tabellen_Magie!$IK$1,PROFMAGIE,$DK84,FALSE),"")),"",CONCATENATE($CX84,","))),"")</f>
        <v/>
      </c>
      <c r="DU84" t="str">
        <f t="shared" si="63"/>
        <v/>
      </c>
      <c r="DW84" t="s">
        <v>2987</v>
      </c>
      <c r="DX84" t="s">
        <v>76</v>
      </c>
      <c r="DY84" t="s">
        <v>750</v>
      </c>
      <c r="DZ84" t="s">
        <v>5030</v>
      </c>
      <c r="EC84" t="s">
        <v>2342</v>
      </c>
      <c r="ED84">
        <f>ROUND(EI84*IF(VT_EIDGED,0.5,IF(VT_GUTGED,0.75,1)),0)</f>
        <v>200</v>
      </c>
      <c r="EE84" t="s">
        <v>3279</v>
      </c>
      <c r="EH84">
        <f t="shared" si="82"/>
        <v>4</v>
      </c>
      <c r="EI84">
        <v>200</v>
      </c>
      <c r="EK84" t="s">
        <v>1997</v>
      </c>
      <c r="EL84">
        <v>0</v>
      </c>
      <c r="EM84">
        <v>1</v>
      </c>
      <c r="EN84">
        <v>1</v>
      </c>
      <c r="EO84">
        <v>1</v>
      </c>
      <c r="EP84">
        <v>1</v>
      </c>
      <c r="EQ84">
        <v>1</v>
      </c>
      <c r="ER84">
        <v>1</v>
      </c>
      <c r="ES84">
        <v>0.9</v>
      </c>
      <c r="ET84">
        <v>0.9</v>
      </c>
      <c r="EU84">
        <v>1</v>
      </c>
      <c r="EV84">
        <v>1</v>
      </c>
      <c r="FD84" t="s">
        <v>1061</v>
      </c>
      <c r="FE84">
        <f>ROUND(FK84*IF(VT_AKADKRI,3/4,1)*IF(NT_ELFWELT,IF(FN84,1,1.5),1)*IF(VT_SCHLANGENMENSCH,0.5,1),0)</f>
        <v>200</v>
      </c>
      <c r="FF84">
        <f t="shared" si="37"/>
        <v>4</v>
      </c>
      <c r="FK84">
        <v>200</v>
      </c>
      <c r="FM84" t="b">
        <f t="shared" ca="1" si="75"/>
        <v>0</v>
      </c>
      <c r="FN84" t="b">
        <f t="shared" ca="1" si="76"/>
        <v>0</v>
      </c>
      <c r="GH84" t="s">
        <v>617</v>
      </c>
      <c r="GI84" t="s">
        <v>1119</v>
      </c>
      <c r="GJ84">
        <v>2</v>
      </c>
      <c r="GK84" t="s">
        <v>4116</v>
      </c>
      <c r="GL84" t="s">
        <v>567</v>
      </c>
      <c r="GM84" t="s">
        <v>1983</v>
      </c>
      <c r="GN84" t="s">
        <v>1973</v>
      </c>
      <c r="GO84">
        <v>264</v>
      </c>
      <c r="GP84">
        <v>179</v>
      </c>
      <c r="GR84">
        <f t="shared" si="66"/>
        <v>433</v>
      </c>
      <c r="GU84" t="str">
        <f t="shared" ca="1" si="67"/>
        <v/>
      </c>
      <c r="GV84" t="str">
        <f t="shared" ca="1" si="68"/>
        <v/>
      </c>
      <c r="GW84" t="str">
        <f t="shared" ca="1" si="69"/>
        <v/>
      </c>
      <c r="GX84" t="str">
        <f t="shared" ca="1" si="70"/>
        <v/>
      </c>
      <c r="HA84" t="s">
        <v>4967</v>
      </c>
      <c r="HB84" t="s">
        <v>1119</v>
      </c>
      <c r="HC84">
        <f t="shared" si="71"/>
        <v>2</v>
      </c>
      <c r="HD84" t="s">
        <v>1396</v>
      </c>
      <c r="HE84" t="s">
        <v>4123</v>
      </c>
      <c r="HG84" t="s">
        <v>1975</v>
      </c>
      <c r="HH84">
        <v>151</v>
      </c>
      <c r="HI84">
        <f t="shared" si="64"/>
        <v>2</v>
      </c>
      <c r="HJ84">
        <f t="shared" si="65"/>
        <v>100</v>
      </c>
      <c r="HK84" t="s">
        <v>1705</v>
      </c>
      <c r="HL84" t="s">
        <v>2369</v>
      </c>
      <c r="HM84" t="s">
        <v>2991</v>
      </c>
    </row>
    <row r="85" spans="1:221" x14ac:dyDescent="0.2">
      <c r="A85" t="s">
        <v>2378</v>
      </c>
      <c r="B85" t="s">
        <v>75</v>
      </c>
      <c r="C85" t="s">
        <v>75</v>
      </c>
      <c r="D85" t="s">
        <v>76</v>
      </c>
      <c r="E85" t="s">
        <v>1827</v>
      </c>
      <c r="F85" t="s">
        <v>1321</v>
      </c>
      <c r="L85" t="str">
        <f t="shared" si="78"/>
        <v/>
      </c>
      <c r="M85" t="str">
        <f t="shared" si="79"/>
        <v/>
      </c>
      <c r="N85" t="str">
        <f t="shared" si="80"/>
        <v>Kryptographie</v>
      </c>
      <c r="P85">
        <f t="shared" si="81"/>
        <v>117</v>
      </c>
      <c r="R85" t="s">
        <v>2126</v>
      </c>
      <c r="U85">
        <v>5</v>
      </c>
      <c r="Z85" t="s">
        <v>8788</v>
      </c>
      <c r="AC85">
        <v>3</v>
      </c>
      <c r="AH85" t="s">
        <v>3915</v>
      </c>
      <c r="AM85">
        <v>4</v>
      </c>
      <c r="AS85" t="str">
        <f t="shared" si="83"/>
        <v>Belagerungswaffen</v>
      </c>
      <c r="AT85" t="s">
        <v>3583</v>
      </c>
      <c r="AX85" t="s">
        <v>2384</v>
      </c>
      <c r="AY85">
        <v>4</v>
      </c>
      <c r="AZ85">
        <v>1</v>
      </c>
      <c r="BA85" t="s">
        <v>3387</v>
      </c>
      <c r="BB85" t="s">
        <v>3388</v>
      </c>
      <c r="BC85" t="s">
        <v>3389</v>
      </c>
      <c r="BD85" t="s">
        <v>139</v>
      </c>
      <c r="BG85">
        <v>5</v>
      </c>
      <c r="BK85" t="s">
        <v>5360</v>
      </c>
      <c r="BM85" t="s">
        <v>5238</v>
      </c>
      <c r="BR85" t="s">
        <v>5238</v>
      </c>
      <c r="BT85" t="s">
        <v>5231</v>
      </c>
      <c r="BU85" t="s">
        <v>5354</v>
      </c>
      <c r="BX85" t="s">
        <v>1160</v>
      </c>
      <c r="BZ85" t="s">
        <v>5355</v>
      </c>
      <c r="CA85" t="s">
        <v>5361</v>
      </c>
      <c r="CD85" t="s">
        <v>7165</v>
      </c>
      <c r="CE85" t="s">
        <v>376</v>
      </c>
      <c r="CF85" t="s">
        <v>7160</v>
      </c>
      <c r="CG85" t="s">
        <v>3236</v>
      </c>
      <c r="CH85">
        <v>-2</v>
      </c>
      <c r="CI85">
        <v>2</v>
      </c>
      <c r="CJ85" t="s">
        <v>899</v>
      </c>
      <c r="CK85" t="s">
        <v>2190</v>
      </c>
      <c r="CN85" t="str">
        <f ca="1">IF(AND(ISERR(FIND($CK85,Talente!$CI$41)),ISNA(VLOOKUP($CK85,$AH$51:$AH$55,1))),IF(AND(ISERR(FIND($CL85,Talente!$CI$41)),ISNA(VLOOKUP($CL85,$AH$51:$AH$55,1))),$CM85,$CL85),$CK85)</f>
        <v>Hiebwaffen</v>
      </c>
      <c r="CP85" t="s">
        <v>3876</v>
      </c>
      <c r="CQ85" t="s">
        <v>1433</v>
      </c>
      <c r="CR85">
        <v>21</v>
      </c>
      <c r="CS85" t="s">
        <v>3779</v>
      </c>
      <c r="CU85" t="s">
        <v>4597</v>
      </c>
      <c r="CW85" t="s">
        <v>4060</v>
      </c>
      <c r="CX85" t="s">
        <v>2105</v>
      </c>
      <c r="CY85" t="s">
        <v>76</v>
      </c>
      <c r="CZ85" t="s">
        <v>77</v>
      </c>
      <c r="DA85" t="s">
        <v>5030</v>
      </c>
      <c r="DC85" t="s">
        <v>7288</v>
      </c>
      <c r="DD85" t="s">
        <v>1823</v>
      </c>
      <c r="DE85" t="s">
        <v>4484</v>
      </c>
      <c r="DF85" t="s">
        <v>5062</v>
      </c>
      <c r="DG85" t="s">
        <v>1955</v>
      </c>
      <c r="DH85" t="s">
        <v>6892</v>
      </c>
      <c r="DI85" t="s">
        <v>4351</v>
      </c>
      <c r="DJ85">
        <v>2</v>
      </c>
      <c r="DK85">
        <f t="shared" si="72"/>
        <v>406</v>
      </c>
      <c r="DL85">
        <f t="shared" si="77"/>
        <v>83</v>
      </c>
      <c r="DM85">
        <v>81</v>
      </c>
      <c r="DN85" t="str">
        <f t="shared" ca="1" si="59"/>
        <v/>
      </c>
      <c r="DO85" t="str">
        <f t="shared" ca="1" si="60"/>
        <v/>
      </c>
      <c r="DP85" t="str">
        <f t="shared" ca="1" si="61"/>
        <v/>
      </c>
      <c r="DQ85" t="str">
        <f>IF(EXACT(Zauber!$A$250,""),"",IF(EXACT(RIGHT(HLOOKUP(Zauber!$A$250,PROFMAGIE,$DK85,FALSE)),"H"),CONCATENATE($CX85,","),""))</f>
        <v/>
      </c>
      <c r="DR85" t="str">
        <f t="shared" si="62"/>
        <v/>
      </c>
      <c r="DS85" t="str">
        <f>IF(ZS_IAAK="Ja",IF(EXACT(RIGHT(HLOOKUP(Tabellen_Magie!$IK$1,PROFMAGIE,$DK85,FALSE)),"H"),CONCATENATE($CX85,","),""),"")</f>
        <v/>
      </c>
      <c r="DT85" t="str">
        <f>IF(ZS_IAAK="Ja",IF(NOT(DS85=""),"",IF(OR(EXACT(RIGHT(HLOOKUP(Tabellen_Magie!$IK$1,PROFMAGIE,$DK85,FALSE)),"B"),EXACT(HLOOKUP(Tabellen_Magie!$IK$1,PROFMAGIE,$DK85,FALSE),"")),"",CONCATENATE($CX85,","))),"")</f>
        <v/>
      </c>
      <c r="DU85" t="str">
        <f t="shared" si="63"/>
        <v/>
      </c>
      <c r="DW85" t="s">
        <v>3572</v>
      </c>
      <c r="FD85" t="s">
        <v>3163</v>
      </c>
      <c r="FE85">
        <f t="shared" si="74"/>
        <v>100</v>
      </c>
      <c r="FF85">
        <f t="shared" si="37"/>
        <v>2</v>
      </c>
      <c r="FK85">
        <v>100</v>
      </c>
      <c r="FL85">
        <v>2</v>
      </c>
      <c r="FM85" t="b">
        <f t="shared" ca="1" si="75"/>
        <v>0</v>
      </c>
      <c r="FN85" t="b">
        <f t="shared" ca="1" si="76"/>
        <v>0</v>
      </c>
      <c r="GH85" t="s">
        <v>618</v>
      </c>
      <c r="GI85" t="s">
        <v>1119</v>
      </c>
      <c r="GJ85">
        <v>2</v>
      </c>
      <c r="GK85" t="s">
        <v>1320</v>
      </c>
      <c r="GL85" t="s">
        <v>1976</v>
      </c>
      <c r="GM85" t="s">
        <v>1984</v>
      </c>
      <c r="GN85" t="s">
        <v>1690</v>
      </c>
      <c r="GO85">
        <v>256</v>
      </c>
      <c r="GP85">
        <v>183</v>
      </c>
      <c r="GR85">
        <f t="shared" si="66"/>
        <v>434</v>
      </c>
      <c r="GU85" t="str">
        <f t="shared" ca="1" si="67"/>
        <v/>
      </c>
      <c r="GV85" t="str">
        <f t="shared" ca="1" si="68"/>
        <v/>
      </c>
      <c r="GW85" t="str">
        <f t="shared" ca="1" si="69"/>
        <v/>
      </c>
      <c r="GX85" t="str">
        <f t="shared" ca="1" si="70"/>
        <v/>
      </c>
      <c r="HA85" t="s">
        <v>4968</v>
      </c>
      <c r="HB85" t="s">
        <v>4121</v>
      </c>
      <c r="HC85">
        <f t="shared" si="71"/>
        <v>4</v>
      </c>
      <c r="HD85" t="s">
        <v>1320</v>
      </c>
      <c r="HE85" t="s">
        <v>3295</v>
      </c>
      <c r="HF85" t="s">
        <v>3605</v>
      </c>
      <c r="HG85" t="s">
        <v>1974</v>
      </c>
      <c r="HH85">
        <v>151</v>
      </c>
      <c r="HI85">
        <f t="shared" si="64"/>
        <v>4</v>
      </c>
      <c r="HJ85">
        <f t="shared" si="65"/>
        <v>200</v>
      </c>
      <c r="HK85" t="s">
        <v>1001</v>
      </c>
      <c r="HL85" t="s">
        <v>3397</v>
      </c>
      <c r="HM85" t="s">
        <v>1279</v>
      </c>
    </row>
    <row r="86" spans="1:221" ht="12.75" customHeight="1" x14ac:dyDescent="0.2">
      <c r="A86" t="s">
        <v>2379</v>
      </c>
      <c r="B86" t="s">
        <v>75</v>
      </c>
      <c r="C86" t="s">
        <v>75</v>
      </c>
      <c r="D86" t="s">
        <v>76</v>
      </c>
      <c r="E86" t="s">
        <v>1827</v>
      </c>
      <c r="F86" t="s">
        <v>1321</v>
      </c>
      <c r="L86" t="str">
        <f t="shared" si="78"/>
        <v/>
      </c>
      <c r="M86" t="str">
        <f t="shared" si="79"/>
        <v/>
      </c>
      <c r="N86" t="str">
        <f t="shared" si="80"/>
        <v>Magiekunde</v>
      </c>
      <c r="P86">
        <f t="shared" si="81"/>
        <v>118</v>
      </c>
      <c r="R86" t="s">
        <v>3288</v>
      </c>
      <c r="U86">
        <v>15</v>
      </c>
      <c r="Z86" t="s">
        <v>8789</v>
      </c>
      <c r="AC86">
        <v>3</v>
      </c>
      <c r="AH86" t="s">
        <v>1515</v>
      </c>
      <c r="AM86">
        <v>5</v>
      </c>
      <c r="AS86" t="str">
        <f t="shared" si="83"/>
        <v>Blasrohr</v>
      </c>
      <c r="AT86" t="str">
        <f>AS86</f>
        <v>Blasrohr</v>
      </c>
      <c r="AX86" t="s">
        <v>78</v>
      </c>
      <c r="AY86">
        <v>6</v>
      </c>
      <c r="AZ86">
        <v>2</v>
      </c>
      <c r="BA86" t="s">
        <v>239</v>
      </c>
      <c r="BB86" t="s">
        <v>1412</v>
      </c>
      <c r="BC86" t="s">
        <v>240</v>
      </c>
      <c r="BD86" t="s">
        <v>7642</v>
      </c>
      <c r="BE86" t="s">
        <v>3177</v>
      </c>
      <c r="BG86">
        <v>5</v>
      </c>
      <c r="BK86" t="s">
        <v>5362</v>
      </c>
      <c r="BM86" t="s">
        <v>5238</v>
      </c>
      <c r="BR86" t="s">
        <v>5242</v>
      </c>
      <c r="BT86" t="s">
        <v>5238</v>
      </c>
      <c r="BU86" t="s">
        <v>5358</v>
      </c>
      <c r="CA86" t="s">
        <v>5363</v>
      </c>
      <c r="CD86" t="s">
        <v>1798</v>
      </c>
      <c r="CE86" t="s">
        <v>4549</v>
      </c>
      <c r="CF86" t="s">
        <v>4552</v>
      </c>
      <c r="CG86" t="s">
        <v>3233</v>
      </c>
      <c r="CH86">
        <v>-2</v>
      </c>
      <c r="CI86">
        <v>5</v>
      </c>
      <c r="CJ86" t="s">
        <v>1320</v>
      </c>
      <c r="CK86" t="s">
        <v>1526</v>
      </c>
      <c r="CL86" t="s">
        <v>1530</v>
      </c>
      <c r="CN86" t="str">
        <f ca="1">IF(AND(ISERR(FIND($CK86,Talente!$CI$41)),ISNA(VLOOKUP($CK86,$AH$51:$AH$55,1))),IF(AND(ISERR(FIND($CL86,Talente!$CI$41)),ISNA(VLOOKUP($CL86,$AH$51:$AH$55,1))),$CM86,$CL86),$CK86)</f>
        <v>Lanzenreiten</v>
      </c>
      <c r="CP86" t="s">
        <v>3839</v>
      </c>
      <c r="CQ86" t="s">
        <v>1433</v>
      </c>
      <c r="CR86">
        <v>18</v>
      </c>
      <c r="CS86" t="s">
        <v>3779</v>
      </c>
      <c r="CU86" t="s">
        <v>3566</v>
      </c>
      <c r="CW86" t="s">
        <v>4061</v>
      </c>
      <c r="CX86" t="s">
        <v>2106</v>
      </c>
      <c r="CY86" t="s">
        <v>74</v>
      </c>
      <c r="CZ86" t="s">
        <v>76</v>
      </c>
      <c r="DA86" t="s">
        <v>77</v>
      </c>
      <c r="DB86" t="s">
        <v>2042</v>
      </c>
      <c r="DC86" t="s">
        <v>7291</v>
      </c>
      <c r="DD86" t="s">
        <v>3138</v>
      </c>
      <c r="DE86" t="s">
        <v>1321</v>
      </c>
      <c r="DF86" t="s">
        <v>2493</v>
      </c>
      <c r="DG86" t="s">
        <v>1955</v>
      </c>
      <c r="DH86" t="s">
        <v>6893</v>
      </c>
      <c r="DI86" t="s">
        <v>8453</v>
      </c>
      <c r="DJ86">
        <v>2</v>
      </c>
      <c r="DK86">
        <f t="shared" si="72"/>
        <v>407</v>
      </c>
      <c r="DL86">
        <f t="shared" si="77"/>
        <v>84</v>
      </c>
      <c r="DM86">
        <v>82</v>
      </c>
      <c r="DN86" t="str">
        <f t="shared" ca="1" si="59"/>
        <v/>
      </c>
      <c r="DO86" t="str">
        <f t="shared" ca="1" si="60"/>
        <v/>
      </c>
      <c r="DP86" t="str">
        <f t="shared" ca="1" si="61"/>
        <v/>
      </c>
      <c r="DQ86" t="str">
        <f>IF(EXACT(Zauber!$A$250,""),"",IF(EXACT(RIGHT(HLOOKUP(Zauber!$A$250,PROFMAGIE,$DK86,FALSE)),"H"),CONCATENATE($CX86,","),""))</f>
        <v/>
      </c>
      <c r="DR86" t="str">
        <f t="shared" si="62"/>
        <v/>
      </c>
      <c r="DS86" t="str">
        <f>IF(ZS_IAAK="Ja",IF(EXACT(RIGHT(HLOOKUP(Tabellen_Magie!$IK$1,PROFMAGIE,$DK86,FALSE)),"H"),CONCATENATE($CX86,","),""),"")</f>
        <v/>
      </c>
      <c r="DT86" t="str">
        <f>IF(ZS_IAAK="Ja",IF(NOT(DS86=""),"",IF(OR(EXACT(RIGHT(HLOOKUP(Tabellen_Magie!$IK$1,PROFMAGIE,$DK86,FALSE)),"B"),EXACT(HLOOKUP(Tabellen_Magie!$IK$1,PROFMAGIE,$DK86,FALSE),"")),"",CONCATENATE($CX86,","))),"")</f>
        <v/>
      </c>
      <c r="DU86" t="str">
        <f t="shared" si="63"/>
        <v/>
      </c>
      <c r="DW86" t="s">
        <v>562</v>
      </c>
      <c r="DX86" t="s">
        <v>4985</v>
      </c>
      <c r="DY86" t="s">
        <v>4985</v>
      </c>
      <c r="DZ86" t="s">
        <v>4985</v>
      </c>
      <c r="EB86" t="s">
        <v>4472</v>
      </c>
      <c r="EC86" t="s">
        <v>8593</v>
      </c>
      <c r="ED86">
        <f t="shared" ref="ED86:ED118" si="84">ROUND(EI86*IF(VT_AKADMAG,3/4,1)*IF(VT_EIDGED,0.5,IF(VT_GUTGED,0.75,1)),0)</f>
        <v>100</v>
      </c>
      <c r="EE86" t="s">
        <v>1248</v>
      </c>
      <c r="EH86">
        <f t="shared" si="82"/>
        <v>2</v>
      </c>
      <c r="EI86">
        <v>100</v>
      </c>
      <c r="FD86" t="s">
        <v>4274</v>
      </c>
      <c r="FE86">
        <f t="shared" si="74"/>
        <v>100</v>
      </c>
      <c r="FF86">
        <f t="shared" si="37"/>
        <v>2</v>
      </c>
      <c r="FK86">
        <v>100</v>
      </c>
      <c r="FL86">
        <v>3</v>
      </c>
      <c r="FM86" t="b">
        <f t="shared" ca="1" si="75"/>
        <v>0</v>
      </c>
      <c r="FN86" t="b">
        <f t="shared" ca="1" si="76"/>
        <v>0</v>
      </c>
      <c r="GH86" t="s">
        <v>619</v>
      </c>
      <c r="GI86" t="s">
        <v>1119</v>
      </c>
      <c r="GJ86">
        <v>2</v>
      </c>
      <c r="GK86" t="s">
        <v>1549</v>
      </c>
      <c r="GL86" t="s">
        <v>567</v>
      </c>
      <c r="GM86" t="s">
        <v>1685</v>
      </c>
      <c r="GN86" t="s">
        <v>1974</v>
      </c>
      <c r="GO86">
        <v>259</v>
      </c>
      <c r="GP86">
        <v>75</v>
      </c>
      <c r="GR86">
        <f t="shared" si="66"/>
        <v>435</v>
      </c>
      <c r="GT86" t="s">
        <v>2098</v>
      </c>
      <c r="GU86" t="str">
        <f t="shared" ca="1" si="67"/>
        <v/>
      </c>
      <c r="GV86" t="str">
        <f t="shared" ca="1" si="68"/>
        <v/>
      </c>
      <c r="GW86" t="str">
        <f t="shared" ca="1" si="69"/>
        <v/>
      </c>
      <c r="GX86" t="str">
        <f t="shared" ca="1" si="70"/>
        <v/>
      </c>
      <c r="HA86" t="s">
        <v>4969</v>
      </c>
      <c r="HB86" t="s">
        <v>1119</v>
      </c>
      <c r="HC86">
        <f t="shared" si="71"/>
        <v>2</v>
      </c>
      <c r="HD86" t="s">
        <v>1396</v>
      </c>
      <c r="HE86" t="s">
        <v>4123</v>
      </c>
      <c r="HG86" t="s">
        <v>1975</v>
      </c>
      <c r="HH86">
        <v>151</v>
      </c>
      <c r="HI86">
        <f t="shared" si="64"/>
        <v>2</v>
      </c>
      <c r="HJ86">
        <f t="shared" si="65"/>
        <v>100</v>
      </c>
      <c r="HK86" t="s">
        <v>1001</v>
      </c>
      <c r="HL86" t="s">
        <v>2369</v>
      </c>
      <c r="HM86" t="s">
        <v>2991</v>
      </c>
    </row>
    <row r="87" spans="1:221" ht="12.75" customHeight="1" x14ac:dyDescent="0.2">
      <c r="A87" t="s">
        <v>2380</v>
      </c>
      <c r="B87" t="s">
        <v>75</v>
      </c>
      <c r="C87" t="s">
        <v>75</v>
      </c>
      <c r="D87" t="s">
        <v>750</v>
      </c>
      <c r="E87" t="s">
        <v>1827</v>
      </c>
      <c r="F87" t="s">
        <v>1321</v>
      </c>
      <c r="L87" t="str">
        <f t="shared" si="78"/>
        <v/>
      </c>
      <c r="M87" t="str">
        <f t="shared" si="79"/>
        <v/>
      </c>
      <c r="N87" t="str">
        <f t="shared" si="80"/>
        <v>Mechanik</v>
      </c>
      <c r="P87">
        <f t="shared" si="81"/>
        <v>119</v>
      </c>
      <c r="R87" t="s">
        <v>1008</v>
      </c>
      <c r="U87">
        <v>10</v>
      </c>
      <c r="Z87" t="s">
        <v>8790</v>
      </c>
      <c r="AC87">
        <v>6</v>
      </c>
      <c r="AM87">
        <v>6</v>
      </c>
      <c r="AS87" t="str">
        <f t="shared" si="83"/>
        <v>Bogen</v>
      </c>
      <c r="AT87" t="str">
        <f>AS87</f>
        <v>Bogen</v>
      </c>
      <c r="AX87" t="s">
        <v>1528</v>
      </c>
      <c r="AY87">
        <v>6</v>
      </c>
      <c r="AZ87">
        <v>2</v>
      </c>
      <c r="BG87">
        <v>5</v>
      </c>
      <c r="BK87" t="s">
        <v>5364</v>
      </c>
      <c r="BL87" t="s">
        <v>5238</v>
      </c>
      <c r="BN87" t="s">
        <v>5238</v>
      </c>
      <c r="BO87" t="s">
        <v>5231</v>
      </c>
      <c r="CA87" t="s">
        <v>5365</v>
      </c>
      <c r="CD87" t="s">
        <v>7577</v>
      </c>
      <c r="CE87" t="s">
        <v>4647</v>
      </c>
      <c r="CF87" t="s">
        <v>4552</v>
      </c>
      <c r="CG87" t="s">
        <v>3233</v>
      </c>
      <c r="CH87">
        <v>-2</v>
      </c>
      <c r="CI87">
        <v>5</v>
      </c>
      <c r="CJ87" t="s">
        <v>1320</v>
      </c>
      <c r="CK87" t="s">
        <v>1526</v>
      </c>
      <c r="CN87" t="str">
        <f ca="1">IF(AND(ISERR(FIND($CK87,Talente!$CI$41)),ISNA(VLOOKUP($CK87,$AH$51:$AH$55,1))),IF(AND(ISERR(FIND($CL87,Talente!$CI$41)),ISNA(VLOOKUP($CL87,$AH$51:$AH$55,1))),$CM87,$CL87),$CK87)</f>
        <v>Lanzenreiten</v>
      </c>
      <c r="CP87" t="s">
        <v>1714</v>
      </c>
      <c r="CQ87" t="s">
        <v>1433</v>
      </c>
      <c r="CR87">
        <v>21</v>
      </c>
      <c r="CS87" t="s">
        <v>3779</v>
      </c>
      <c r="CU87" t="s">
        <v>4598</v>
      </c>
      <c r="CW87" t="s">
        <v>4135</v>
      </c>
      <c r="CX87" t="s">
        <v>2871</v>
      </c>
      <c r="CY87" t="s">
        <v>76</v>
      </c>
      <c r="CZ87" t="s">
        <v>77</v>
      </c>
      <c r="DA87" t="s">
        <v>5030</v>
      </c>
      <c r="DB87" t="s">
        <v>1613</v>
      </c>
      <c r="DC87" t="s">
        <v>7288</v>
      </c>
      <c r="DD87" t="s">
        <v>124</v>
      </c>
      <c r="DE87" t="s">
        <v>2254</v>
      </c>
      <c r="DF87" t="s">
        <v>81</v>
      </c>
      <c r="DG87" t="s">
        <v>1956</v>
      </c>
      <c r="DH87" t="s">
        <v>6894</v>
      </c>
      <c r="DI87" t="s">
        <v>2890</v>
      </c>
      <c r="DJ87">
        <v>2</v>
      </c>
      <c r="DK87">
        <f t="shared" si="72"/>
        <v>408</v>
      </c>
      <c r="DL87">
        <f t="shared" si="77"/>
        <v>85</v>
      </c>
      <c r="DM87">
        <v>79</v>
      </c>
      <c r="DN87" t="str">
        <f t="shared" ca="1" si="59"/>
        <v/>
      </c>
      <c r="DO87" t="str">
        <f t="shared" ca="1" si="60"/>
        <v/>
      </c>
      <c r="DP87" t="str">
        <f t="shared" ca="1" si="61"/>
        <v/>
      </c>
      <c r="DQ87" t="str">
        <f>IF(EXACT(Zauber!$A$250,""),"",IF(EXACT(RIGHT(HLOOKUP(Zauber!$A$250,PROFMAGIE,$DK87,FALSE)),"H"),CONCATENATE($CX87,","),""))</f>
        <v/>
      </c>
      <c r="DR87" t="str">
        <f t="shared" si="62"/>
        <v/>
      </c>
      <c r="DS87" t="str">
        <f>IF(ZS_IAAK="Ja",IF(EXACT(RIGHT(HLOOKUP(Tabellen_Magie!$IK$1,PROFMAGIE,$DK87,FALSE)),"H"),CONCATENATE($CX87,","),""),"")</f>
        <v/>
      </c>
      <c r="DT87" t="str">
        <f>IF(ZS_IAAK="Ja",IF(NOT(DS87=""),"",IF(OR(EXACT(RIGHT(HLOOKUP(Tabellen_Magie!$IK$1,PROFMAGIE,$DK87,FALSE)),"B"),EXACT(HLOOKUP(Tabellen_Magie!$IK$1,PROFMAGIE,$DK87,FALSE),"")),"",CONCATENATE($CX87,","))),"")</f>
        <v/>
      </c>
      <c r="DU87" t="str">
        <f t="shared" si="63"/>
        <v/>
      </c>
      <c r="DW87" t="s">
        <v>6695</v>
      </c>
      <c r="DX87" t="s">
        <v>74</v>
      </c>
      <c r="DY87" t="s">
        <v>76</v>
      </c>
      <c r="DZ87" t="s">
        <v>77</v>
      </c>
      <c r="EB87" t="s">
        <v>8584</v>
      </c>
      <c r="EC87" t="s">
        <v>2990</v>
      </c>
      <c r="ED87">
        <f t="shared" si="84"/>
        <v>200</v>
      </c>
      <c r="EE87" t="s">
        <v>1248</v>
      </c>
      <c r="EH87">
        <f t="shared" si="82"/>
        <v>4</v>
      </c>
      <c r="EI87">
        <v>200</v>
      </c>
      <c r="EK87" t="s">
        <v>7095</v>
      </c>
      <c r="FD87" t="s">
        <v>3453</v>
      </c>
      <c r="FE87">
        <f t="shared" si="74"/>
        <v>100</v>
      </c>
      <c r="FF87">
        <f t="shared" si="37"/>
        <v>2</v>
      </c>
      <c r="FK87">
        <v>100</v>
      </c>
      <c r="FL87">
        <v>3</v>
      </c>
      <c r="FM87" t="b">
        <f t="shared" ca="1" si="75"/>
        <v>0</v>
      </c>
      <c r="FN87" t="b">
        <f t="shared" ca="1" si="76"/>
        <v>0</v>
      </c>
      <c r="GH87" t="s">
        <v>620</v>
      </c>
      <c r="GI87" t="s">
        <v>1119</v>
      </c>
      <c r="GJ87">
        <v>2</v>
      </c>
      <c r="GK87" t="s">
        <v>1549</v>
      </c>
      <c r="GL87" t="s">
        <v>567</v>
      </c>
      <c r="GM87" t="s">
        <v>1983</v>
      </c>
      <c r="GN87" t="s">
        <v>1974</v>
      </c>
      <c r="GO87">
        <v>280</v>
      </c>
      <c r="GP87">
        <v>184</v>
      </c>
      <c r="GR87">
        <f t="shared" si="66"/>
        <v>436</v>
      </c>
      <c r="GU87" t="str">
        <f t="shared" ca="1" si="67"/>
        <v/>
      </c>
      <c r="GV87" t="str">
        <f t="shared" ca="1" si="68"/>
        <v/>
      </c>
      <c r="GW87" t="str">
        <f t="shared" ca="1" si="69"/>
        <v/>
      </c>
      <c r="GX87" t="str">
        <f t="shared" ca="1" si="70"/>
        <v/>
      </c>
      <c r="HA87" t="s">
        <v>2046</v>
      </c>
      <c r="HG87" t="s">
        <v>784</v>
      </c>
      <c r="HH87">
        <v>152</v>
      </c>
      <c r="HI87">
        <f t="shared" si="64"/>
        <v>0</v>
      </c>
      <c r="HJ87">
        <f t="shared" si="65"/>
        <v>0</v>
      </c>
      <c r="HK87" t="s">
        <v>3620</v>
      </c>
    </row>
    <row r="88" spans="1:221" ht="12.75" customHeight="1" x14ac:dyDescent="0.2">
      <c r="A88" t="s">
        <v>2381</v>
      </c>
      <c r="B88" t="s">
        <v>75</v>
      </c>
      <c r="C88" t="s">
        <v>76</v>
      </c>
      <c r="D88" t="s">
        <v>750</v>
      </c>
      <c r="E88" t="s">
        <v>1827</v>
      </c>
      <c r="F88" t="s">
        <v>1321</v>
      </c>
      <c r="L88" t="str">
        <f t="shared" si="78"/>
        <v/>
      </c>
      <c r="M88" t="str">
        <f t="shared" si="79"/>
        <v/>
      </c>
      <c r="N88" t="str">
        <f t="shared" si="80"/>
        <v>Pflanzenkunde</v>
      </c>
      <c r="P88">
        <f t="shared" si="81"/>
        <v>120</v>
      </c>
      <c r="R88" t="s">
        <v>3762</v>
      </c>
      <c r="U88">
        <v>10</v>
      </c>
      <c r="V88" t="s">
        <v>3995</v>
      </c>
      <c r="Z88" t="s">
        <v>8791</v>
      </c>
      <c r="AC88">
        <v>3</v>
      </c>
      <c r="AH88" t="s">
        <v>4892</v>
      </c>
      <c r="AI88" t="s">
        <v>158</v>
      </c>
      <c r="AJ88" t="s">
        <v>159</v>
      </c>
      <c r="AM88">
        <v>7</v>
      </c>
      <c r="AS88" t="str">
        <f t="shared" si="83"/>
        <v>Diskus</v>
      </c>
      <c r="AT88" t="str">
        <f>AS88</f>
        <v>Diskus</v>
      </c>
      <c r="AX88" t="s">
        <v>2192</v>
      </c>
      <c r="AY88">
        <v>6</v>
      </c>
      <c r="AZ88">
        <v>2</v>
      </c>
      <c r="BG88">
        <v>5</v>
      </c>
      <c r="BK88" t="s">
        <v>5366</v>
      </c>
      <c r="BL88" t="s">
        <v>5231</v>
      </c>
      <c r="BM88" t="s">
        <v>5238</v>
      </c>
      <c r="BN88" t="s">
        <v>5242</v>
      </c>
      <c r="BO88" t="s">
        <v>5238</v>
      </c>
      <c r="BP88" t="s">
        <v>5367</v>
      </c>
      <c r="BR88" t="s">
        <v>5368</v>
      </c>
      <c r="BU88" t="s">
        <v>5354</v>
      </c>
      <c r="CA88" t="s">
        <v>5369</v>
      </c>
      <c r="CD88" t="s">
        <v>2614</v>
      </c>
      <c r="CE88" t="s">
        <v>916</v>
      </c>
      <c r="CF88" t="s">
        <v>897</v>
      </c>
      <c r="CG88" t="s">
        <v>908</v>
      </c>
      <c r="CH88">
        <v>0</v>
      </c>
      <c r="CI88">
        <v>1</v>
      </c>
      <c r="CJ88" t="s">
        <v>3586</v>
      </c>
      <c r="CK88" t="s">
        <v>1957</v>
      </c>
      <c r="CL88" t="s">
        <v>2192</v>
      </c>
      <c r="CM88" t="s">
        <v>1938</v>
      </c>
      <c r="CN88" t="str">
        <f ca="1">IF(AND(ISERR(FIND($CK88,Talente!$CI$41)),ISNA(VLOOKUP($CK88,$AH$51:$AH$55,1))),IF(AND(ISERR(FIND($CL88,Talente!$CI$41)),ISNA(VLOOKUP($CL88,$AH$51:$AH$55,1))),$CM88,$CL88),$CK88)</f>
        <v>Dolche</v>
      </c>
      <c r="CP88" t="s">
        <v>3840</v>
      </c>
      <c r="CQ88" t="s">
        <v>1433</v>
      </c>
      <c r="CR88">
        <v>18</v>
      </c>
      <c r="CS88" t="s">
        <v>3779</v>
      </c>
      <c r="CU88" t="s">
        <v>3042</v>
      </c>
      <c r="CW88" t="s">
        <v>2222</v>
      </c>
      <c r="CX88" t="s">
        <v>2107</v>
      </c>
      <c r="CY88" t="s">
        <v>75</v>
      </c>
      <c r="CZ88" t="s">
        <v>76</v>
      </c>
      <c r="DA88" t="s">
        <v>76</v>
      </c>
      <c r="DC88" t="s">
        <v>7287</v>
      </c>
      <c r="DD88" t="s">
        <v>4127</v>
      </c>
      <c r="DE88" t="s">
        <v>1903</v>
      </c>
      <c r="DF88" t="s">
        <v>7287</v>
      </c>
      <c r="DG88" t="s">
        <v>1321</v>
      </c>
      <c r="DH88" t="s">
        <v>6895</v>
      </c>
      <c r="DI88" t="s">
        <v>4342</v>
      </c>
      <c r="DJ88">
        <v>2</v>
      </c>
      <c r="DK88">
        <f t="shared" si="72"/>
        <v>409</v>
      </c>
      <c r="DL88">
        <f t="shared" si="77"/>
        <v>86</v>
      </c>
      <c r="DM88">
        <v>83</v>
      </c>
      <c r="DN88" t="str">
        <f t="shared" ca="1" si="59"/>
        <v/>
      </c>
      <c r="DO88" t="str">
        <f t="shared" ca="1" si="60"/>
        <v/>
      </c>
      <c r="DP88" t="str">
        <f t="shared" ca="1" si="61"/>
        <v/>
      </c>
      <c r="DQ88" t="str">
        <f>IF(EXACT(Zauber!$A$250,""),"",IF(EXACT(RIGHT(HLOOKUP(Zauber!$A$250,PROFMAGIE,$DK88,FALSE)),"H"),CONCATENATE($CX88,","),""))</f>
        <v/>
      </c>
      <c r="DR88" t="str">
        <f t="shared" si="62"/>
        <v/>
      </c>
      <c r="DS88" t="str">
        <f>IF(ZS_IAAK="Ja",IF(EXACT(RIGHT(HLOOKUP(Tabellen_Magie!$IK$1,PROFMAGIE,$DK88,FALSE)),"H"),CONCATENATE($CX88,","),""),"")</f>
        <v/>
      </c>
      <c r="DT88" t="str">
        <f>IF(ZS_IAAK="Ja",IF(NOT(DS88=""),"",IF(OR(EXACT(RIGHT(HLOOKUP(Tabellen_Magie!$IK$1,PROFMAGIE,$DK88,FALSE)),"B"),EXACT(HLOOKUP(Tabellen_Magie!$IK$1,PROFMAGIE,$DK88,FALSE),"")),"",CONCATENATE($CX88,","))),"")</f>
        <v/>
      </c>
      <c r="DU88" t="str">
        <f t="shared" si="63"/>
        <v/>
      </c>
      <c r="DW88" t="s">
        <v>8594</v>
      </c>
      <c r="DX88" t="s">
        <v>4985</v>
      </c>
      <c r="DY88" t="s">
        <v>4985</v>
      </c>
      <c r="DZ88" t="s">
        <v>4985</v>
      </c>
      <c r="EB88" t="s">
        <v>1193</v>
      </c>
      <c r="EC88" t="s">
        <v>2990</v>
      </c>
      <c r="ED88">
        <f t="shared" si="84"/>
        <v>50</v>
      </c>
      <c r="EE88" t="s">
        <v>1248</v>
      </c>
      <c r="EH88">
        <f t="shared" ref="EH88:EH96" si="85">ROUNDUP($ED88/50,0)</f>
        <v>1</v>
      </c>
      <c r="EI88">
        <v>50</v>
      </c>
      <c r="EK88" t="str">
        <f>IF(Kampfwerte!AB38="","",Kampfwerte!AB38)</f>
        <v/>
      </c>
      <c r="EL88">
        <f>IF(OR(Kampfwerte!AD38="",NOT(ISNUMBER(Kampfwerte!AD38))),0,Kampfwerte!AD38)</f>
        <v>0</v>
      </c>
      <c r="EM88">
        <f>IF(OR(Kampfwerte!AE38="",NOT(ISNUMBER(Kampfwerte!AE38))),0,Kampfwerte!AE38)</f>
        <v>0</v>
      </c>
      <c r="EN88">
        <f>IF(OR(Kampfwerte!AF38="",NOT(ISNUMBER(Kampfwerte!AF38))),0,Kampfwerte!AF38)</f>
        <v>0</v>
      </c>
      <c r="EO88">
        <f>IF(OR(Kampfwerte!AG38="",NOT(ISNUMBER(Kampfwerte!AG38))),0,Kampfwerte!AG38)</f>
        <v>0</v>
      </c>
      <c r="EP88">
        <f>IF(OR(Kampfwerte!AH38="",NOT(ISNUMBER(Kampfwerte!AH38))),0,Kampfwerte!AH38)</f>
        <v>0</v>
      </c>
      <c r="EQ88">
        <f>IF(OR(Kampfwerte!AI38="",NOT(ISNUMBER(Kampfwerte!AI38))),0,Kampfwerte!AI38)</f>
        <v>0</v>
      </c>
      <c r="ER88">
        <f>IF(OR(Kampfwerte!AJ38="",NOT(ISNUMBER(Kampfwerte!AJ38))),0,Kampfwerte!AJ38)</f>
        <v>0</v>
      </c>
      <c r="ES88">
        <f>IF(OR(Kampfwerte!AK38="",NOT(ISNUMBER(Kampfwerte!AK38))),0,Kampfwerte!AK38)</f>
        <v>0</v>
      </c>
      <c r="ET88">
        <f>IF(OR(Kampfwerte!AL38="",NOT(ISNUMBER(Kampfwerte!AL38))),0,Kampfwerte!AL38)</f>
        <v>0</v>
      </c>
      <c r="EU88">
        <f>IF(OR(Kampfwerte!AM38="",NOT(ISNUMBER(Kampfwerte!AM38))),0,Kampfwerte!AM38)</f>
        <v>0</v>
      </c>
      <c r="EV88">
        <f>IF(OR(Kampfwerte!AN38="",NOT(ISNUMBER(Kampfwerte!AN38))),0,Kampfwerte!AN38)</f>
        <v>0</v>
      </c>
      <c r="FD88" t="s">
        <v>3454</v>
      </c>
      <c r="FE88">
        <f t="shared" si="74"/>
        <v>200</v>
      </c>
      <c r="FF88">
        <f t="shared" si="37"/>
        <v>4</v>
      </c>
      <c r="FK88">
        <v>200</v>
      </c>
      <c r="FL88">
        <v>3</v>
      </c>
      <c r="FM88" t="b">
        <f t="shared" ca="1" si="75"/>
        <v>0</v>
      </c>
      <c r="FN88" t="b">
        <f t="shared" ca="1" si="76"/>
        <v>0</v>
      </c>
      <c r="GH88" t="s">
        <v>9322</v>
      </c>
      <c r="GI88" t="s">
        <v>1119</v>
      </c>
      <c r="GJ88">
        <v>2</v>
      </c>
      <c r="GK88" t="s">
        <v>9311</v>
      </c>
      <c r="GL88" t="s">
        <v>1976</v>
      </c>
      <c r="GM88" t="s">
        <v>1982</v>
      </c>
      <c r="GN88" t="s">
        <v>1690</v>
      </c>
      <c r="GO88" t="s">
        <v>9314</v>
      </c>
      <c r="GP88">
        <v>185</v>
      </c>
      <c r="GR88">
        <f t="shared" si="66"/>
        <v>437</v>
      </c>
      <c r="GU88" t="str">
        <f t="shared" ca="1" si="67"/>
        <v/>
      </c>
      <c r="GV88" t="str">
        <f t="shared" ca="1" si="68"/>
        <v/>
      </c>
      <c r="GW88" t="str">
        <f t="shared" ca="1" si="69"/>
        <v/>
      </c>
      <c r="GX88" t="str">
        <f t="shared" ca="1" si="70"/>
        <v/>
      </c>
      <c r="HA88" t="s">
        <v>4970</v>
      </c>
      <c r="HB88" t="s">
        <v>1119</v>
      </c>
      <c r="HC88">
        <f t="shared" si="71"/>
        <v>2</v>
      </c>
      <c r="HD88" t="s">
        <v>1320</v>
      </c>
      <c r="HE88" t="s">
        <v>3295</v>
      </c>
      <c r="HG88" t="s">
        <v>784</v>
      </c>
      <c r="HH88">
        <v>152</v>
      </c>
      <c r="HI88">
        <f t="shared" si="64"/>
        <v>2</v>
      </c>
      <c r="HJ88">
        <f t="shared" si="65"/>
        <v>100</v>
      </c>
      <c r="HK88" t="s">
        <v>1327</v>
      </c>
      <c r="HL88" t="s">
        <v>2369</v>
      </c>
      <c r="HM88" t="s">
        <v>2403</v>
      </c>
    </row>
    <row r="89" spans="1:221" x14ac:dyDescent="0.2">
      <c r="A89" t="s">
        <v>2382</v>
      </c>
      <c r="B89" t="s">
        <v>75</v>
      </c>
      <c r="C89" t="s">
        <v>75</v>
      </c>
      <c r="D89" t="s">
        <v>76</v>
      </c>
      <c r="E89" t="s">
        <v>1827</v>
      </c>
      <c r="F89" t="s">
        <v>1321</v>
      </c>
      <c r="L89" t="str">
        <f t="shared" si="78"/>
        <v/>
      </c>
      <c r="M89" t="str">
        <f t="shared" si="79"/>
        <v/>
      </c>
      <c r="N89" t="str">
        <f t="shared" si="80"/>
        <v>Philosophie</v>
      </c>
      <c r="P89">
        <f t="shared" si="81"/>
        <v>121</v>
      </c>
      <c r="R89" t="s">
        <v>4776</v>
      </c>
      <c r="U89">
        <v>5</v>
      </c>
      <c r="Z89" t="s">
        <v>8792</v>
      </c>
      <c r="AC89">
        <v>3</v>
      </c>
      <c r="AH89" t="s">
        <v>4002</v>
      </c>
      <c r="AI89">
        <v>5</v>
      </c>
      <c r="AJ89">
        <v>5</v>
      </c>
      <c r="AM89">
        <v>8</v>
      </c>
      <c r="AS89" t="str">
        <f t="shared" si="83"/>
        <v>Dolche</v>
      </c>
      <c r="AT89" t="str">
        <f>AS89</f>
        <v>Dolche</v>
      </c>
      <c r="AX89" t="s">
        <v>434</v>
      </c>
      <c r="AY89">
        <v>4</v>
      </c>
      <c r="AZ89">
        <v>1</v>
      </c>
      <c r="BA89" t="s">
        <v>7643</v>
      </c>
      <c r="BG89">
        <v>5</v>
      </c>
      <c r="BK89" t="s">
        <v>5370</v>
      </c>
      <c r="BV89" t="s">
        <v>5354</v>
      </c>
      <c r="CA89" t="s">
        <v>5371</v>
      </c>
      <c r="CD89" t="s">
        <v>3493</v>
      </c>
      <c r="CE89" t="s">
        <v>4549</v>
      </c>
      <c r="CF89" t="s">
        <v>917</v>
      </c>
      <c r="CG89" t="s">
        <v>898</v>
      </c>
      <c r="CH89">
        <v>1</v>
      </c>
      <c r="CI89">
        <v>1</v>
      </c>
      <c r="CJ89" t="s">
        <v>899</v>
      </c>
      <c r="CK89" t="s">
        <v>2192</v>
      </c>
      <c r="CL89" t="s">
        <v>1938</v>
      </c>
      <c r="CN89" t="str">
        <f ca="1">IF(AND(ISERR(FIND($CK89,Talente!$CI$41)),ISNA(VLOOKUP($CK89,$AH$51:$AH$55,1))),IF(AND(ISERR(FIND($CL89,Talente!$CI$41)),ISNA(VLOOKUP($CL89,$AH$51:$AH$55,1))),$CM89,$CL89),$CK89)</f>
        <v>Säbel</v>
      </c>
      <c r="CP89" t="s">
        <v>3841</v>
      </c>
      <c r="CQ89" t="s">
        <v>1433</v>
      </c>
      <c r="CR89">
        <v>18</v>
      </c>
      <c r="CS89" t="s">
        <v>3779</v>
      </c>
      <c r="CU89" t="s">
        <v>4599</v>
      </c>
      <c r="CW89" t="s">
        <v>458</v>
      </c>
      <c r="CX89" t="s">
        <v>2108</v>
      </c>
      <c r="CY89" t="s">
        <v>76</v>
      </c>
      <c r="CZ89" t="s">
        <v>750</v>
      </c>
      <c r="DA89" t="s">
        <v>751</v>
      </c>
      <c r="DC89" t="s">
        <v>7294</v>
      </c>
      <c r="DD89" t="s">
        <v>2259</v>
      </c>
      <c r="DE89" t="s">
        <v>2397</v>
      </c>
      <c r="DF89" t="s">
        <v>509</v>
      </c>
      <c r="DG89" t="s">
        <v>1321</v>
      </c>
      <c r="DH89" t="s">
        <v>6896</v>
      </c>
      <c r="DI89" t="s">
        <v>1543</v>
      </c>
      <c r="DJ89">
        <v>2</v>
      </c>
      <c r="DK89">
        <f t="shared" si="72"/>
        <v>410</v>
      </c>
      <c r="DL89">
        <f t="shared" si="77"/>
        <v>87</v>
      </c>
      <c r="DM89">
        <v>84</v>
      </c>
      <c r="DN89" t="str">
        <f t="shared" ca="1" si="59"/>
        <v/>
      </c>
      <c r="DO89" t="str">
        <f t="shared" ca="1" si="60"/>
        <v/>
      </c>
      <c r="DP89" t="str">
        <f t="shared" ca="1" si="61"/>
        <v/>
      </c>
      <c r="DQ89" t="str">
        <f>IF(EXACT(Zauber!$A$250,""),"",IF(EXACT(RIGHT(HLOOKUP(Zauber!$A$250,PROFMAGIE,$DK89,FALSE)),"H"),CONCATENATE($CX89,","),""))</f>
        <v/>
      </c>
      <c r="DR89" t="str">
        <f t="shared" si="62"/>
        <v/>
      </c>
      <c r="DS89" t="str">
        <f>IF(ZS_IAAK="Ja",IF(EXACT(RIGHT(HLOOKUP(Tabellen_Magie!$IK$1,PROFMAGIE,$DK89,FALSE)),"H"),CONCATENATE($CX89,","),""),"")</f>
        <v/>
      </c>
      <c r="DT89" t="str">
        <f>IF(ZS_IAAK="Ja",IF(NOT(DS89=""),"",IF(OR(EXACT(RIGHT(HLOOKUP(Tabellen_Magie!$IK$1,PROFMAGIE,$DK89,FALSE)),"B"),EXACT(HLOOKUP(Tabellen_Magie!$IK$1,PROFMAGIE,$DK89,FALSE),"")),"",CONCATENATE($CX89,","))),"")</f>
        <v/>
      </c>
      <c r="DU89" t="str">
        <f t="shared" si="63"/>
        <v/>
      </c>
      <c r="DW89" t="s">
        <v>1195</v>
      </c>
      <c r="DX89" t="s">
        <v>4985</v>
      </c>
      <c r="DY89" t="s">
        <v>4985</v>
      </c>
      <c r="DZ89" t="s">
        <v>4985</v>
      </c>
      <c r="EB89" t="s">
        <v>1193</v>
      </c>
      <c r="EC89" t="s">
        <v>2990</v>
      </c>
      <c r="ED89">
        <f t="shared" si="84"/>
        <v>75</v>
      </c>
      <c r="EE89" t="s">
        <v>1248</v>
      </c>
      <c r="EH89">
        <f t="shared" si="85"/>
        <v>2</v>
      </c>
      <c r="EI89">
        <v>75</v>
      </c>
      <c r="EK89" t="str">
        <f>IF(Kampfwerte!AB39="","",Kampfwerte!AB39)</f>
        <v/>
      </c>
      <c r="EL89">
        <f>IF(OR(Kampfwerte!AD39="",NOT(ISNUMBER(Kampfwerte!AD39))),0,Kampfwerte!AD39)</f>
        <v>0</v>
      </c>
      <c r="EM89">
        <f>IF(OR(Kampfwerte!AE39="",NOT(ISNUMBER(Kampfwerte!AE39))),0,Kampfwerte!AE39)</f>
        <v>0</v>
      </c>
      <c r="EN89">
        <f>IF(OR(Kampfwerte!AF39="",NOT(ISNUMBER(Kampfwerte!AF39))),0,Kampfwerte!AF39)</f>
        <v>0</v>
      </c>
      <c r="EO89">
        <f>IF(OR(Kampfwerte!AG39="",NOT(ISNUMBER(Kampfwerte!AG39))),0,Kampfwerte!AG39)</f>
        <v>0</v>
      </c>
      <c r="EP89">
        <f>IF(OR(Kampfwerte!AH39="",NOT(ISNUMBER(Kampfwerte!AH39))),0,Kampfwerte!AH39)</f>
        <v>0</v>
      </c>
      <c r="EQ89">
        <f>IF(OR(Kampfwerte!AI39="",NOT(ISNUMBER(Kampfwerte!AI39))),0,Kampfwerte!AI39)</f>
        <v>0</v>
      </c>
      <c r="ER89">
        <f>IF(OR(Kampfwerte!AJ39="",NOT(ISNUMBER(Kampfwerte!AJ39))),0,Kampfwerte!AJ39)</f>
        <v>0</v>
      </c>
      <c r="ES89">
        <f>IF(OR(Kampfwerte!AK39="",NOT(ISNUMBER(Kampfwerte!AK39))),0,Kampfwerte!AK39)</f>
        <v>0</v>
      </c>
      <c r="ET89">
        <f>IF(OR(Kampfwerte!AL39="",NOT(ISNUMBER(Kampfwerte!AL39))),0,Kampfwerte!AL39)</f>
        <v>0</v>
      </c>
      <c r="EU89">
        <f>IF(OR(Kampfwerte!AM39="",NOT(ISNUMBER(Kampfwerte!AM39))),0,Kampfwerte!AM39)</f>
        <v>0</v>
      </c>
      <c r="EV89">
        <f>IF(OR(Kampfwerte!AN39="",NOT(ISNUMBER(Kampfwerte!AN39))),0,Kampfwerte!AN39)</f>
        <v>0</v>
      </c>
      <c r="FD89" t="s">
        <v>9136</v>
      </c>
      <c r="FE89">
        <f t="shared" si="74"/>
        <v>100</v>
      </c>
      <c r="FF89">
        <f t="shared" si="37"/>
        <v>2</v>
      </c>
      <c r="FK89">
        <v>100</v>
      </c>
      <c r="FL89">
        <v>3</v>
      </c>
      <c r="FM89" t="b">
        <f t="shared" ca="1" si="75"/>
        <v>0</v>
      </c>
      <c r="FN89" t="b">
        <f t="shared" ca="1" si="76"/>
        <v>0</v>
      </c>
      <c r="GH89" t="s">
        <v>621</v>
      </c>
      <c r="GI89" t="s">
        <v>1119</v>
      </c>
      <c r="GJ89">
        <v>2</v>
      </c>
      <c r="GK89" t="s">
        <v>4116</v>
      </c>
      <c r="GL89" t="s">
        <v>567</v>
      </c>
      <c r="GM89" t="s">
        <v>1984</v>
      </c>
      <c r="GN89" t="s">
        <v>1975</v>
      </c>
      <c r="GO89">
        <v>284</v>
      </c>
      <c r="GP89">
        <v>188</v>
      </c>
      <c r="GR89">
        <f t="shared" si="66"/>
        <v>438</v>
      </c>
      <c r="GU89" t="str">
        <f t="shared" ca="1" si="67"/>
        <v/>
      </c>
      <c r="GV89" t="str">
        <f t="shared" ca="1" si="68"/>
        <v/>
      </c>
      <c r="GW89" t="str">
        <f t="shared" ca="1" si="69"/>
        <v/>
      </c>
      <c r="GX89" t="str">
        <f t="shared" ca="1" si="70"/>
        <v/>
      </c>
      <c r="HA89" t="s">
        <v>4971</v>
      </c>
      <c r="HB89" t="s">
        <v>1119</v>
      </c>
      <c r="HC89">
        <f t="shared" si="71"/>
        <v>2</v>
      </c>
      <c r="HD89" t="s">
        <v>2685</v>
      </c>
      <c r="HE89" t="s">
        <v>3295</v>
      </c>
      <c r="HF89" t="s">
        <v>1893</v>
      </c>
      <c r="HG89" t="s">
        <v>1690</v>
      </c>
      <c r="HH89">
        <v>151</v>
      </c>
      <c r="HI89">
        <f t="shared" si="64"/>
        <v>2</v>
      </c>
      <c r="HJ89">
        <f t="shared" si="65"/>
        <v>100</v>
      </c>
      <c r="HK89" t="s">
        <v>1004</v>
      </c>
      <c r="HL89" t="s">
        <v>3396</v>
      </c>
      <c r="HM89" t="s">
        <v>1279</v>
      </c>
    </row>
    <row r="90" spans="1:221" ht="12.75" customHeight="1" x14ac:dyDescent="0.2">
      <c r="A90" t="s">
        <v>2383</v>
      </c>
      <c r="B90" t="s">
        <v>75</v>
      </c>
      <c r="C90" t="s">
        <v>75</v>
      </c>
      <c r="D90" t="s">
        <v>76</v>
      </c>
      <c r="E90" t="s">
        <v>1321</v>
      </c>
      <c r="F90" t="s">
        <v>1321</v>
      </c>
      <c r="L90" t="str">
        <f t="shared" si="78"/>
        <v/>
      </c>
      <c r="M90" t="str">
        <f t="shared" si="79"/>
        <v/>
      </c>
      <c r="N90" t="str">
        <f t="shared" si="80"/>
        <v>Rechnen</v>
      </c>
      <c r="P90">
        <f t="shared" si="81"/>
        <v>122</v>
      </c>
      <c r="R90" t="s">
        <v>4441</v>
      </c>
      <c r="U90">
        <v>5</v>
      </c>
      <c r="W90" t="s">
        <v>4484</v>
      </c>
      <c r="Z90" t="s">
        <v>8793</v>
      </c>
      <c r="AC90">
        <v>6</v>
      </c>
      <c r="AH90" t="s">
        <v>4891</v>
      </c>
      <c r="AI90">
        <v>5</v>
      </c>
      <c r="AJ90">
        <v>5</v>
      </c>
      <c r="AM90">
        <v>9</v>
      </c>
      <c r="AS90" t="str">
        <f t="shared" si="83"/>
        <v>Fechtwaffen</v>
      </c>
      <c r="AT90" t="s">
        <v>1751</v>
      </c>
      <c r="AX90" t="s">
        <v>2385</v>
      </c>
      <c r="AY90">
        <v>4</v>
      </c>
      <c r="AZ90">
        <v>1</v>
      </c>
      <c r="BA90" t="s">
        <v>472</v>
      </c>
      <c r="BB90" t="s">
        <v>473</v>
      </c>
      <c r="BC90" t="s">
        <v>474</v>
      </c>
      <c r="BD90" t="s">
        <v>475</v>
      </c>
      <c r="BG90">
        <v>5</v>
      </c>
      <c r="BK90" t="s">
        <v>5372</v>
      </c>
      <c r="BM90" t="s">
        <v>5231</v>
      </c>
      <c r="BN90" t="s">
        <v>5238</v>
      </c>
      <c r="BO90" t="s">
        <v>5238</v>
      </c>
      <c r="BR90" t="s">
        <v>5373</v>
      </c>
      <c r="BT90" t="s">
        <v>5231</v>
      </c>
      <c r="BU90" t="s">
        <v>5354</v>
      </c>
      <c r="BV90" t="s">
        <v>5373</v>
      </c>
      <c r="CA90" t="s">
        <v>5374</v>
      </c>
      <c r="CD90" t="s">
        <v>3494</v>
      </c>
      <c r="CE90" t="s">
        <v>916</v>
      </c>
      <c r="CF90" t="s">
        <v>917</v>
      </c>
      <c r="CG90" t="s">
        <v>898</v>
      </c>
      <c r="CH90">
        <v>0</v>
      </c>
      <c r="CI90">
        <v>1</v>
      </c>
      <c r="CJ90" t="s">
        <v>4001</v>
      </c>
      <c r="CK90" t="s">
        <v>1957</v>
      </c>
      <c r="CL90" t="s">
        <v>3043</v>
      </c>
      <c r="CN90" t="str">
        <f ca="1">IF(AND(ISERR(FIND($CK90,Talente!$CI$41)),ISNA(VLOOKUP($CK90,$AH$51:$AH$55,1))),IF(AND(ISERR(FIND($CL90,Talente!$CI$41)),ISNA(VLOOKUP($CL90,$AH$51:$AH$55,1))),$CM90,$CL90),$CK90)</f>
        <v>Dolche</v>
      </c>
      <c r="CP90" t="s">
        <v>1511</v>
      </c>
      <c r="CQ90" t="s">
        <v>1433</v>
      </c>
      <c r="CR90">
        <v>21</v>
      </c>
      <c r="CS90" t="s">
        <v>1511</v>
      </c>
      <c r="CU90" t="s">
        <v>4600</v>
      </c>
      <c r="CW90" t="s">
        <v>2948</v>
      </c>
      <c r="CX90" t="s">
        <v>2109</v>
      </c>
      <c r="CY90" t="s">
        <v>76</v>
      </c>
      <c r="CZ90" t="s">
        <v>77</v>
      </c>
      <c r="DA90" t="s">
        <v>750</v>
      </c>
      <c r="DC90" t="s">
        <v>7299</v>
      </c>
      <c r="DD90" t="s">
        <v>510</v>
      </c>
      <c r="DE90" t="s">
        <v>3591</v>
      </c>
      <c r="DF90" t="s">
        <v>511</v>
      </c>
      <c r="DG90" t="s">
        <v>1433</v>
      </c>
      <c r="DH90" t="s">
        <v>6897</v>
      </c>
      <c r="DI90" t="s">
        <v>2793</v>
      </c>
      <c r="DJ90">
        <v>2</v>
      </c>
      <c r="DK90">
        <f t="shared" si="72"/>
        <v>411</v>
      </c>
      <c r="DL90">
        <f t="shared" si="77"/>
        <v>88</v>
      </c>
      <c r="DM90">
        <v>85</v>
      </c>
      <c r="DN90" t="str">
        <f t="shared" ca="1" si="59"/>
        <v/>
      </c>
      <c r="DO90" t="str">
        <f t="shared" ca="1" si="60"/>
        <v/>
      </c>
      <c r="DP90" t="str">
        <f t="shared" ca="1" si="61"/>
        <v/>
      </c>
      <c r="DQ90" t="str">
        <f>IF(EXACT(Zauber!$A$250,""),"",IF(EXACT(RIGHT(HLOOKUP(Zauber!$A$250,PROFMAGIE,$DK90,FALSE)),"H"),CONCATENATE($CX90,","),""))</f>
        <v/>
      </c>
      <c r="DR90" t="str">
        <f t="shared" si="62"/>
        <v/>
      </c>
      <c r="DS90" t="str">
        <f>IF(ZS_IAAK="Ja",IF(EXACT(RIGHT(HLOOKUP(Tabellen_Magie!$IK$1,PROFMAGIE,$DK90,FALSE)),"H"),CONCATENATE($CX90,","),""),"")</f>
        <v/>
      </c>
      <c r="DT90" t="str">
        <f>IF(ZS_IAAK="Ja",IF(NOT(DS90=""),"",IF(OR(EXACT(RIGHT(HLOOKUP(Tabellen_Magie!$IK$1,PROFMAGIE,$DK90,FALSE)),"B"),EXACT(HLOOKUP(Tabellen_Magie!$IK$1,PROFMAGIE,$DK90,FALSE),"")),"",CONCATENATE($CX90,","))),"")</f>
        <v/>
      </c>
      <c r="DU90" t="str">
        <f t="shared" si="63"/>
        <v/>
      </c>
      <c r="DW90" t="s">
        <v>2350</v>
      </c>
      <c r="DX90" t="s">
        <v>74</v>
      </c>
      <c r="DY90" t="s">
        <v>76</v>
      </c>
      <c r="DZ90" t="s">
        <v>751</v>
      </c>
      <c r="EB90" t="s">
        <v>1193</v>
      </c>
      <c r="EC90" t="s">
        <v>8595</v>
      </c>
      <c r="ED90">
        <f t="shared" si="84"/>
        <v>300</v>
      </c>
      <c r="EE90" t="s">
        <v>1248</v>
      </c>
      <c r="EH90">
        <f t="shared" si="85"/>
        <v>6</v>
      </c>
      <c r="EI90">
        <v>300</v>
      </c>
      <c r="EK90" t="str">
        <f>IF(Kampfwerte!AB40="","",Kampfwerte!AB40)</f>
        <v/>
      </c>
      <c r="EL90">
        <f>IF(OR(Kampfwerte!AD40="",NOT(ISNUMBER(Kampfwerte!AD40))),0,Kampfwerte!AD40)</f>
        <v>0</v>
      </c>
      <c r="EM90">
        <f>IF(OR(Kampfwerte!AE40="",NOT(ISNUMBER(Kampfwerte!AE40))),0,Kampfwerte!AE40)</f>
        <v>0</v>
      </c>
      <c r="EN90">
        <f>IF(OR(Kampfwerte!AF40="",NOT(ISNUMBER(Kampfwerte!AF40))),0,Kampfwerte!AF40)</f>
        <v>0</v>
      </c>
      <c r="EO90">
        <f>IF(OR(Kampfwerte!AG40="",NOT(ISNUMBER(Kampfwerte!AG40))),0,Kampfwerte!AG40)</f>
        <v>0</v>
      </c>
      <c r="EP90">
        <f>IF(OR(Kampfwerte!AH40="",NOT(ISNUMBER(Kampfwerte!AH40))),0,Kampfwerte!AH40)</f>
        <v>0</v>
      </c>
      <c r="EQ90">
        <f>IF(OR(Kampfwerte!AI40="",NOT(ISNUMBER(Kampfwerte!AI40))),0,Kampfwerte!AI40)</f>
        <v>0</v>
      </c>
      <c r="ER90">
        <f>IF(OR(Kampfwerte!AJ40="",NOT(ISNUMBER(Kampfwerte!AJ40))),0,Kampfwerte!AJ40)</f>
        <v>0</v>
      </c>
      <c r="ES90">
        <f>IF(OR(Kampfwerte!AK40="",NOT(ISNUMBER(Kampfwerte!AK40))),0,Kampfwerte!AK40)</f>
        <v>0</v>
      </c>
      <c r="ET90">
        <f>IF(OR(Kampfwerte!AL40="",NOT(ISNUMBER(Kampfwerte!AL40))),0,Kampfwerte!AL40)</f>
        <v>0</v>
      </c>
      <c r="EU90">
        <f>IF(OR(Kampfwerte!AM40="",NOT(ISNUMBER(Kampfwerte!AM40))),0,Kampfwerte!AM40)</f>
        <v>0</v>
      </c>
      <c r="EV90">
        <f>IF(OR(Kampfwerte!AN40="",NOT(ISNUMBER(Kampfwerte!AN40))),0,Kampfwerte!AN40)</f>
        <v>0</v>
      </c>
      <c r="FD90" t="s">
        <v>3456</v>
      </c>
      <c r="FE90">
        <f t="shared" si="74"/>
        <v>100</v>
      </c>
      <c r="FF90">
        <f t="shared" si="37"/>
        <v>2</v>
      </c>
      <c r="FK90">
        <v>100</v>
      </c>
      <c r="FL90">
        <v>1</v>
      </c>
      <c r="FM90" t="b">
        <f t="shared" ca="1" si="75"/>
        <v>0</v>
      </c>
      <c r="FN90" t="b">
        <f t="shared" ca="1" si="76"/>
        <v>0</v>
      </c>
      <c r="GH90" t="s">
        <v>622</v>
      </c>
      <c r="GI90" t="s">
        <v>1119</v>
      </c>
      <c r="GJ90">
        <v>2</v>
      </c>
      <c r="GK90" t="s">
        <v>1320</v>
      </c>
      <c r="GL90" t="s">
        <v>1977</v>
      </c>
      <c r="GM90" t="s">
        <v>3961</v>
      </c>
      <c r="GN90" t="s">
        <v>1974</v>
      </c>
      <c r="GO90">
        <v>256</v>
      </c>
      <c r="GP90">
        <v>193</v>
      </c>
      <c r="GR90">
        <f t="shared" si="66"/>
        <v>439</v>
      </c>
      <c r="GU90" t="str">
        <f t="shared" ca="1" si="67"/>
        <v/>
      </c>
      <c r="GV90" t="str">
        <f t="shared" ca="1" si="68"/>
        <v/>
      </c>
      <c r="GW90" t="str">
        <f t="shared" ca="1" si="69"/>
        <v/>
      </c>
      <c r="GX90" t="str">
        <f t="shared" ca="1" si="70"/>
        <v/>
      </c>
      <c r="HA90" t="s">
        <v>4972</v>
      </c>
      <c r="HB90" t="s">
        <v>1119</v>
      </c>
      <c r="HC90">
        <f t="shared" si="71"/>
        <v>2</v>
      </c>
      <c r="HD90" t="s">
        <v>1827</v>
      </c>
      <c r="HE90" t="s">
        <v>3291</v>
      </c>
      <c r="HG90" t="s">
        <v>1973</v>
      </c>
      <c r="HH90">
        <v>151</v>
      </c>
      <c r="HI90">
        <f t="shared" si="64"/>
        <v>2</v>
      </c>
      <c r="HJ90">
        <f t="shared" si="65"/>
        <v>100</v>
      </c>
      <c r="HK90" t="s">
        <v>3622</v>
      </c>
      <c r="HL90" t="s">
        <v>2369</v>
      </c>
      <c r="HM90" t="s">
        <v>2400</v>
      </c>
    </row>
    <row r="91" spans="1:221" ht="12.75" customHeight="1" x14ac:dyDescent="0.2">
      <c r="A91" t="s">
        <v>2384</v>
      </c>
      <c r="B91" t="s">
        <v>75</v>
      </c>
      <c r="C91" t="s">
        <v>75</v>
      </c>
      <c r="D91" t="s">
        <v>76</v>
      </c>
      <c r="E91" t="s">
        <v>1827</v>
      </c>
      <c r="F91" t="s">
        <v>1321</v>
      </c>
      <c r="L91" t="str">
        <f t="shared" si="78"/>
        <v/>
      </c>
      <c r="M91" t="str">
        <f t="shared" si="79"/>
        <v/>
      </c>
      <c r="N91" t="str">
        <f t="shared" si="80"/>
        <v>Rechtskunde</v>
      </c>
      <c r="P91">
        <f t="shared" si="81"/>
        <v>123</v>
      </c>
      <c r="R91" t="s">
        <v>4442</v>
      </c>
      <c r="U91">
        <v>12</v>
      </c>
      <c r="V91" t="s">
        <v>3995</v>
      </c>
      <c r="W91" t="s">
        <v>2070</v>
      </c>
      <c r="Z91" t="s">
        <v>8794</v>
      </c>
      <c r="AC91">
        <v>6</v>
      </c>
      <c r="AH91" t="s">
        <v>6309</v>
      </c>
      <c r="AI91">
        <v>5</v>
      </c>
      <c r="AJ91">
        <v>5</v>
      </c>
      <c r="AM91">
        <v>10</v>
      </c>
      <c r="AS91" t="str">
        <f t="shared" si="83"/>
        <v>Hiebwaffen</v>
      </c>
      <c r="AT91" t="str">
        <f>AS91</f>
        <v>Hiebwaffen</v>
      </c>
      <c r="AX91" t="s">
        <v>4799</v>
      </c>
      <c r="AY91">
        <v>4</v>
      </c>
      <c r="AZ91">
        <v>1</v>
      </c>
      <c r="BA91" t="s">
        <v>183</v>
      </c>
      <c r="BB91" t="s">
        <v>184</v>
      </c>
      <c r="BC91" t="s">
        <v>185</v>
      </c>
      <c r="BG91">
        <v>5</v>
      </c>
      <c r="BK91" t="s">
        <v>5375</v>
      </c>
      <c r="BM91" t="s">
        <v>5231</v>
      </c>
      <c r="BN91" t="s">
        <v>5238</v>
      </c>
      <c r="BO91" t="s">
        <v>5238</v>
      </c>
      <c r="BR91" t="s">
        <v>5242</v>
      </c>
      <c r="BV91" t="s">
        <v>5368</v>
      </c>
      <c r="CA91" t="s">
        <v>5376</v>
      </c>
      <c r="CD91" t="s">
        <v>3495</v>
      </c>
      <c r="CE91" t="s">
        <v>5091</v>
      </c>
      <c r="CF91" t="s">
        <v>919</v>
      </c>
      <c r="CG91" t="s">
        <v>908</v>
      </c>
      <c r="CH91">
        <v>-1</v>
      </c>
      <c r="CI91">
        <v>1</v>
      </c>
      <c r="CJ91" t="s">
        <v>3586</v>
      </c>
      <c r="CK91" t="s">
        <v>2190</v>
      </c>
      <c r="CN91" t="str">
        <f ca="1">IF(AND(ISERR(FIND($CK91,Talente!$CI$41)),ISNA(VLOOKUP($CK91,$AH$51:$AH$55,1))),IF(AND(ISERR(FIND($CL91,Talente!$CI$41)),ISNA(VLOOKUP($CL91,$AH$51:$AH$55,1))),$CM91,$CL91),$CK91)</f>
        <v>Hiebwaffen</v>
      </c>
      <c r="CP91" t="s">
        <v>2145</v>
      </c>
      <c r="CQ91" t="s">
        <v>1433</v>
      </c>
      <c r="CR91">
        <v>16</v>
      </c>
      <c r="CS91" t="s">
        <v>3778</v>
      </c>
      <c r="CU91" t="s">
        <v>4273</v>
      </c>
      <c r="CW91" t="s">
        <v>461</v>
      </c>
      <c r="CX91" t="s">
        <v>8928</v>
      </c>
      <c r="CY91" t="s">
        <v>75</v>
      </c>
      <c r="CZ91" t="s">
        <v>76</v>
      </c>
      <c r="DA91" t="s">
        <v>752</v>
      </c>
      <c r="DB91" t="s">
        <v>2042</v>
      </c>
      <c r="DC91" t="s">
        <v>7291</v>
      </c>
      <c r="DD91" t="s">
        <v>766</v>
      </c>
      <c r="DE91" t="s">
        <v>3380</v>
      </c>
      <c r="DF91" t="s">
        <v>1246</v>
      </c>
      <c r="DG91" t="s">
        <v>1956</v>
      </c>
      <c r="DH91" t="s">
        <v>8929</v>
      </c>
      <c r="DI91" t="s">
        <v>8930</v>
      </c>
      <c r="DJ91">
        <v>2</v>
      </c>
      <c r="DK91">
        <f t="shared" si="72"/>
        <v>412</v>
      </c>
      <c r="DL91">
        <f t="shared" si="77"/>
        <v>89</v>
      </c>
      <c r="DN91" t="str">
        <f t="shared" ca="1" si="59"/>
        <v/>
      </c>
      <c r="DO91" t="str">
        <f t="shared" ca="1" si="60"/>
        <v/>
      </c>
      <c r="DP91" t="str">
        <f t="shared" ca="1" si="61"/>
        <v/>
      </c>
      <c r="DQ91" t="str">
        <f>IF(EXACT(Zauber!$A$250,""),"",IF(EXACT(RIGHT(HLOOKUP(Zauber!$A$250,PROFMAGIE,$DK91,FALSE)),"H"),CONCATENATE($CX91,","),""))</f>
        <v/>
      </c>
      <c r="DR91" t="str">
        <f t="shared" si="62"/>
        <v/>
      </c>
      <c r="DS91" t="str">
        <f>IF(ZS_IAAK="Ja",IF(EXACT(RIGHT(HLOOKUP(Tabellen_Magie!$IK$1,PROFMAGIE,$DK91,FALSE)),"H"),CONCATENATE($CX91,","),""),"")</f>
        <v/>
      </c>
      <c r="DT91" t="str">
        <f>IF(ZS_IAAK="Ja",IF(NOT(DS91=""),"",IF(OR(EXACT(RIGHT(HLOOKUP(Tabellen_Magie!$IK$1,PROFMAGIE,$DK91,FALSE)),"B"),EXACT(HLOOKUP(Tabellen_Magie!$IK$1,PROFMAGIE,$DK91,FALSE),"")),"",CONCATENATE($CX91,","))),"")</f>
        <v/>
      </c>
      <c r="DU91" t="str">
        <f t="shared" si="63"/>
        <v/>
      </c>
      <c r="DW91" t="s">
        <v>8596</v>
      </c>
      <c r="DX91" t="s">
        <v>74</v>
      </c>
      <c r="DY91" t="s">
        <v>77</v>
      </c>
      <c r="DZ91" t="s">
        <v>752</v>
      </c>
      <c r="EB91" t="s">
        <v>81</v>
      </c>
      <c r="EC91" t="s">
        <v>2762</v>
      </c>
      <c r="ED91">
        <f t="shared" si="84"/>
        <v>150</v>
      </c>
      <c r="EE91" t="s">
        <v>1248</v>
      </c>
      <c r="EH91">
        <f t="shared" si="85"/>
        <v>3</v>
      </c>
      <c r="EI91">
        <v>150</v>
      </c>
      <c r="EK91" t="str">
        <f>IF(Kampfwerte!AB41="","",Kampfwerte!AB41)</f>
        <v/>
      </c>
      <c r="EL91">
        <f>IF(OR(Kampfwerte!AD41="",NOT(ISNUMBER(Kampfwerte!AD41))),0,Kampfwerte!AD41)</f>
        <v>0</v>
      </c>
      <c r="EM91">
        <f>IF(OR(Kampfwerte!AE41="",NOT(ISNUMBER(Kampfwerte!AE41))),0,Kampfwerte!AE41)</f>
        <v>0</v>
      </c>
      <c r="EN91">
        <f>IF(OR(Kampfwerte!AF41="",NOT(ISNUMBER(Kampfwerte!AF41))),0,Kampfwerte!AF41)</f>
        <v>0</v>
      </c>
      <c r="EO91">
        <f>IF(OR(Kampfwerte!AG41="",NOT(ISNUMBER(Kampfwerte!AG41))),0,Kampfwerte!AG41)</f>
        <v>0</v>
      </c>
      <c r="EP91">
        <f>IF(OR(Kampfwerte!AH41="",NOT(ISNUMBER(Kampfwerte!AH41))),0,Kampfwerte!AH41)</f>
        <v>0</v>
      </c>
      <c r="EQ91">
        <f>IF(OR(Kampfwerte!AI41="",NOT(ISNUMBER(Kampfwerte!AI41))),0,Kampfwerte!AI41)</f>
        <v>0</v>
      </c>
      <c r="ER91">
        <f>IF(OR(Kampfwerte!AJ41="",NOT(ISNUMBER(Kampfwerte!AJ41))),0,Kampfwerte!AJ41)</f>
        <v>0</v>
      </c>
      <c r="ES91">
        <f>IF(OR(Kampfwerte!AK41="",NOT(ISNUMBER(Kampfwerte!AK41))),0,Kampfwerte!AK41)</f>
        <v>0</v>
      </c>
      <c r="ET91">
        <f>IF(OR(Kampfwerte!AL41="",NOT(ISNUMBER(Kampfwerte!AL41))),0,Kampfwerte!AL41)</f>
        <v>0</v>
      </c>
      <c r="EU91">
        <f>IF(OR(Kampfwerte!AM41="",NOT(ISNUMBER(Kampfwerte!AM41))),0,Kampfwerte!AM41)</f>
        <v>0</v>
      </c>
      <c r="EV91">
        <f>IF(OR(Kampfwerte!AN41="",NOT(ISNUMBER(Kampfwerte!AN41))),0,Kampfwerte!AN41)</f>
        <v>0</v>
      </c>
      <c r="FD91" t="s">
        <v>3457</v>
      </c>
      <c r="FE91">
        <f t="shared" si="74"/>
        <v>200</v>
      </c>
      <c r="FF91">
        <f t="shared" si="37"/>
        <v>4</v>
      </c>
      <c r="FK91">
        <v>200</v>
      </c>
      <c r="FL91">
        <v>3</v>
      </c>
      <c r="FM91" t="b">
        <f t="shared" ca="1" si="75"/>
        <v>0</v>
      </c>
      <c r="FN91" t="b">
        <f t="shared" ca="1" si="76"/>
        <v>0</v>
      </c>
      <c r="GH91" t="s">
        <v>623</v>
      </c>
      <c r="GI91" t="s">
        <v>1119</v>
      </c>
      <c r="GJ91">
        <v>2</v>
      </c>
      <c r="GK91" t="s">
        <v>4484</v>
      </c>
      <c r="GL91" t="s">
        <v>1976</v>
      </c>
      <c r="GM91" t="s">
        <v>1981</v>
      </c>
      <c r="GN91" t="s">
        <v>1974</v>
      </c>
      <c r="GO91">
        <v>272</v>
      </c>
      <c r="GP91">
        <v>199</v>
      </c>
      <c r="GR91">
        <f t="shared" si="66"/>
        <v>440</v>
      </c>
      <c r="GU91" t="str">
        <f t="shared" ca="1" si="67"/>
        <v/>
      </c>
      <c r="GV91" t="str">
        <f t="shared" ca="1" si="68"/>
        <v/>
      </c>
      <c r="GW91" t="str">
        <f t="shared" ca="1" si="69"/>
        <v/>
      </c>
      <c r="GX91" t="str">
        <f t="shared" ca="1" si="70"/>
        <v/>
      </c>
      <c r="HA91" t="s">
        <v>4973</v>
      </c>
      <c r="HB91" t="s">
        <v>1119</v>
      </c>
      <c r="HC91">
        <f t="shared" si="71"/>
        <v>2</v>
      </c>
      <c r="HD91" t="s">
        <v>1827</v>
      </c>
      <c r="HE91" t="s">
        <v>3291</v>
      </c>
      <c r="HG91" t="s">
        <v>1973</v>
      </c>
      <c r="HH91">
        <v>151</v>
      </c>
      <c r="HI91">
        <f>HC91</f>
        <v>2</v>
      </c>
      <c r="HJ91">
        <f>HC91*50</f>
        <v>100</v>
      </c>
      <c r="HK91" t="s">
        <v>3622</v>
      </c>
      <c r="HL91" t="s">
        <v>2369</v>
      </c>
      <c r="HM91" t="s">
        <v>2400</v>
      </c>
    </row>
    <row r="92" spans="1:221" x14ac:dyDescent="0.2">
      <c r="A92" t="s">
        <v>434</v>
      </c>
      <c r="B92" t="s">
        <v>75</v>
      </c>
      <c r="C92" t="s">
        <v>76</v>
      </c>
      <c r="D92" t="s">
        <v>77</v>
      </c>
      <c r="E92" t="s">
        <v>1321</v>
      </c>
      <c r="F92" t="s">
        <v>1321</v>
      </c>
      <c r="L92" t="str">
        <f t="shared" si="78"/>
        <v/>
      </c>
      <c r="M92" t="str">
        <f t="shared" si="79"/>
        <v/>
      </c>
      <c r="N92" t="str">
        <f t="shared" si="80"/>
        <v>Sagen/Legenden</v>
      </c>
      <c r="P92">
        <f t="shared" si="81"/>
        <v>124</v>
      </c>
      <c r="R92" t="s">
        <v>4443</v>
      </c>
      <c r="U92">
        <f>IF(VT_VOLLZBR,5,IF(VT_HALBZBR,3,1))</f>
        <v>1</v>
      </c>
      <c r="Z92" t="s">
        <v>8795</v>
      </c>
      <c r="AC92">
        <v>12</v>
      </c>
      <c r="AH92" t="s">
        <v>169</v>
      </c>
      <c r="AI92">
        <v>5</v>
      </c>
      <c r="AJ92">
        <v>5</v>
      </c>
      <c r="AM92">
        <v>11</v>
      </c>
      <c r="AS92" t="str">
        <f t="shared" si="83"/>
        <v>Infanteriewaffen</v>
      </c>
      <c r="AT92" t="s">
        <v>4907</v>
      </c>
      <c r="AX92" t="s">
        <v>2386</v>
      </c>
      <c r="AY92">
        <v>4</v>
      </c>
      <c r="AZ92">
        <v>1</v>
      </c>
      <c r="BA92" t="s">
        <v>2091</v>
      </c>
      <c r="BB92" t="s">
        <v>476</v>
      </c>
      <c r="BC92" t="s">
        <v>7644</v>
      </c>
      <c r="BG92">
        <v>5</v>
      </c>
      <c r="BK92" t="s">
        <v>5377</v>
      </c>
      <c r="BM92" t="s">
        <v>5238</v>
      </c>
      <c r="BN92" t="s">
        <v>5238</v>
      </c>
      <c r="BO92" t="s">
        <v>5231</v>
      </c>
      <c r="BR92" t="s">
        <v>5373</v>
      </c>
      <c r="BT92" t="s">
        <v>5231</v>
      </c>
      <c r="BU92" t="s">
        <v>5354</v>
      </c>
      <c r="BV92" t="s">
        <v>5373</v>
      </c>
      <c r="CA92" t="s">
        <v>5378</v>
      </c>
      <c r="CD92" t="s">
        <v>3250</v>
      </c>
      <c r="CE92" t="s">
        <v>4558</v>
      </c>
      <c r="CF92" t="s">
        <v>4552</v>
      </c>
      <c r="CG92" t="s">
        <v>3237</v>
      </c>
      <c r="CH92">
        <v>0</v>
      </c>
      <c r="CI92">
        <v>0</v>
      </c>
      <c r="CJ92" t="s">
        <v>4001</v>
      </c>
      <c r="CK92" t="s">
        <v>1957</v>
      </c>
      <c r="CN92" t="str">
        <f ca="1">IF(AND(ISERR(FIND($CK92,Talente!$CI$41)),ISNA(VLOOKUP($CK92,$AH$51:$AH$55,1))),IF(AND(ISERR(FIND($CL92,Talente!$CI$41)),ISNA(VLOOKUP($CL92,$AH$51:$AH$55,1))),$CM92,$CL92),$CK92)</f>
        <v>Dolche</v>
      </c>
      <c r="CP92" t="s">
        <v>3842</v>
      </c>
      <c r="CQ92" t="s">
        <v>1433</v>
      </c>
      <c r="CR92">
        <v>18</v>
      </c>
      <c r="CS92" t="s">
        <v>3782</v>
      </c>
      <c r="CU92" t="s">
        <v>4601</v>
      </c>
      <c r="CW92" t="s">
        <v>464</v>
      </c>
      <c r="CX92" t="s">
        <v>8404</v>
      </c>
      <c r="CY92" t="s">
        <v>76</v>
      </c>
      <c r="CZ92" t="s">
        <v>77</v>
      </c>
      <c r="DA92" t="s">
        <v>5030</v>
      </c>
      <c r="DB92" t="s">
        <v>1613</v>
      </c>
      <c r="DC92" t="s">
        <v>7288</v>
      </c>
      <c r="DD92" t="s">
        <v>124</v>
      </c>
      <c r="DE92" t="s">
        <v>2254</v>
      </c>
      <c r="DF92" t="s">
        <v>81</v>
      </c>
      <c r="DG92" t="s">
        <v>1956</v>
      </c>
      <c r="DH92" t="s">
        <v>6887</v>
      </c>
      <c r="DI92" t="s">
        <v>2891</v>
      </c>
      <c r="DJ92">
        <v>2</v>
      </c>
      <c r="DK92">
        <f t="shared" si="72"/>
        <v>413</v>
      </c>
      <c r="DL92">
        <f t="shared" si="77"/>
        <v>90</v>
      </c>
      <c r="DM92">
        <v>79</v>
      </c>
      <c r="DN92" t="str">
        <f t="shared" ca="1" si="59"/>
        <v/>
      </c>
      <c r="DO92" t="str">
        <f t="shared" ca="1" si="60"/>
        <v/>
      </c>
      <c r="DP92" t="str">
        <f t="shared" ca="1" si="61"/>
        <v/>
      </c>
      <c r="DQ92" t="str">
        <f>IF(EXACT(Zauber!$A$250,""),"",IF(EXACT(RIGHT(HLOOKUP(Zauber!$A$250,PROFMAGIE,$DK92,FALSE)),"H"),CONCATENATE($CX92,","),""))</f>
        <v/>
      </c>
      <c r="DR92" t="str">
        <f t="shared" si="62"/>
        <v/>
      </c>
      <c r="DS92" t="str">
        <f>IF(ZS_IAAK="Ja",IF(EXACT(RIGHT(HLOOKUP(Tabellen_Magie!$IK$1,PROFMAGIE,$DK92,FALSE)),"H"),CONCATENATE($CX92,","),""),"")</f>
        <v/>
      </c>
      <c r="DT92" t="str">
        <f>IF(ZS_IAAK="Ja",IF(NOT(DS92=""),"",IF(OR(EXACT(RIGHT(HLOOKUP(Tabellen_Magie!$IK$1,PROFMAGIE,$DK92,FALSE)),"B"),EXACT(HLOOKUP(Tabellen_Magie!$IK$1,PROFMAGIE,$DK92,FALSE),"")),"",CONCATENATE($CX92,","))),"")</f>
        <v/>
      </c>
      <c r="DU92" t="str">
        <f t="shared" si="63"/>
        <v/>
      </c>
      <c r="DW92" t="s">
        <v>723</v>
      </c>
      <c r="DX92" t="s">
        <v>4985</v>
      </c>
      <c r="DY92" t="s">
        <v>4985</v>
      </c>
      <c r="DZ92" t="s">
        <v>4985</v>
      </c>
      <c r="EB92" t="s">
        <v>4472</v>
      </c>
      <c r="ED92">
        <f t="shared" si="84"/>
        <v>150</v>
      </c>
      <c r="EE92" t="s">
        <v>1248</v>
      </c>
      <c r="EH92">
        <f t="shared" si="85"/>
        <v>3</v>
      </c>
      <c r="EI92">
        <v>150</v>
      </c>
      <c r="EK92" t="str">
        <f>IF(Kampfwerte!AB42="","",Kampfwerte!AB42)</f>
        <v/>
      </c>
      <c r="EL92">
        <f>IF(OR(Kampfwerte!AD42="",NOT(ISNUMBER(Kampfwerte!AD42))),0,Kampfwerte!AD42)</f>
        <v>0</v>
      </c>
      <c r="EM92">
        <f>IF(OR(Kampfwerte!AE42="",NOT(ISNUMBER(Kampfwerte!AE42))),0,Kampfwerte!AE42)</f>
        <v>0</v>
      </c>
      <c r="EN92">
        <f>IF(OR(Kampfwerte!AF42="",NOT(ISNUMBER(Kampfwerte!AF42))),0,Kampfwerte!AF42)</f>
        <v>0</v>
      </c>
      <c r="EO92">
        <f>IF(OR(Kampfwerte!AG42="",NOT(ISNUMBER(Kampfwerte!AG42))),0,Kampfwerte!AG42)</f>
        <v>0</v>
      </c>
      <c r="EP92">
        <f>IF(OR(Kampfwerte!AH42="",NOT(ISNUMBER(Kampfwerte!AH42))),0,Kampfwerte!AH42)</f>
        <v>0</v>
      </c>
      <c r="EQ92">
        <f>IF(OR(Kampfwerte!AI42="",NOT(ISNUMBER(Kampfwerte!AI42))),0,Kampfwerte!AI42)</f>
        <v>0</v>
      </c>
      <c r="ER92">
        <f>IF(OR(Kampfwerte!AJ42="",NOT(ISNUMBER(Kampfwerte!AJ42))),0,Kampfwerte!AJ42)</f>
        <v>0</v>
      </c>
      <c r="ES92">
        <f>IF(OR(Kampfwerte!AK42="",NOT(ISNUMBER(Kampfwerte!AK42))),0,Kampfwerte!AK42)</f>
        <v>0</v>
      </c>
      <c r="ET92">
        <f>IF(OR(Kampfwerte!AL42="",NOT(ISNUMBER(Kampfwerte!AL42))),0,Kampfwerte!AL42)</f>
        <v>0</v>
      </c>
      <c r="EU92">
        <f>IF(OR(Kampfwerte!AM42="",NOT(ISNUMBER(Kampfwerte!AM42))),0,Kampfwerte!AM42)</f>
        <v>0</v>
      </c>
      <c r="EV92">
        <f>IF(OR(Kampfwerte!AN42="",NOT(ISNUMBER(Kampfwerte!AN42))),0,Kampfwerte!AN42)</f>
        <v>0</v>
      </c>
      <c r="FD92" t="s">
        <v>3458</v>
      </c>
      <c r="FE92">
        <f t="shared" si="74"/>
        <v>200</v>
      </c>
      <c r="FF92">
        <f t="shared" si="37"/>
        <v>4</v>
      </c>
      <c r="FK92">
        <v>200</v>
      </c>
      <c r="FL92">
        <v>3</v>
      </c>
      <c r="FM92" t="b">
        <f t="shared" ca="1" si="75"/>
        <v>0</v>
      </c>
      <c r="FN92" t="b">
        <f t="shared" ca="1" si="76"/>
        <v>0</v>
      </c>
      <c r="GH92" t="s">
        <v>624</v>
      </c>
      <c r="GI92" t="s">
        <v>1119</v>
      </c>
      <c r="GJ92">
        <v>2</v>
      </c>
      <c r="GK92" t="s">
        <v>1320</v>
      </c>
      <c r="GL92" t="s">
        <v>567</v>
      </c>
      <c r="GM92" t="s">
        <v>1982</v>
      </c>
      <c r="GN92" t="s">
        <v>1974</v>
      </c>
      <c r="GO92">
        <v>267</v>
      </c>
      <c r="GP92">
        <v>200</v>
      </c>
      <c r="GR92">
        <f t="shared" si="66"/>
        <v>441</v>
      </c>
      <c r="GU92" t="str">
        <f t="shared" ca="1" si="67"/>
        <v/>
      </c>
      <c r="GV92" t="str">
        <f t="shared" ca="1" si="68"/>
        <v/>
      </c>
      <c r="GW92" t="str">
        <f t="shared" ca="1" si="69"/>
        <v/>
      </c>
      <c r="GX92" t="str">
        <f t="shared" ca="1" si="70"/>
        <v/>
      </c>
      <c r="HA92" t="s">
        <v>4974</v>
      </c>
      <c r="HB92" t="s">
        <v>1119</v>
      </c>
      <c r="HC92">
        <f t="shared" si="71"/>
        <v>2</v>
      </c>
      <c r="HD92" t="s">
        <v>1320</v>
      </c>
      <c r="HE92" t="s">
        <v>4548</v>
      </c>
      <c r="HF92" t="s">
        <v>3605</v>
      </c>
      <c r="HG92" t="s">
        <v>1690</v>
      </c>
      <c r="HH92">
        <v>152</v>
      </c>
      <c r="HI92">
        <f t="shared" si="64"/>
        <v>2</v>
      </c>
      <c r="HJ92">
        <f t="shared" si="65"/>
        <v>100</v>
      </c>
      <c r="HK92" t="s">
        <v>3620</v>
      </c>
      <c r="HL92" t="s">
        <v>2369</v>
      </c>
      <c r="HM92" t="s">
        <v>2991</v>
      </c>
    </row>
    <row r="93" spans="1:221" ht="12.75" customHeight="1" x14ac:dyDescent="0.2">
      <c r="A93" t="s">
        <v>2385</v>
      </c>
      <c r="B93" t="s">
        <v>75</v>
      </c>
      <c r="C93" t="s">
        <v>76</v>
      </c>
      <c r="D93" t="s">
        <v>76</v>
      </c>
      <c r="E93" t="s">
        <v>1827</v>
      </c>
      <c r="F93" t="s">
        <v>1321</v>
      </c>
      <c r="L93" t="str">
        <f t="shared" si="78"/>
        <v/>
      </c>
      <c r="M93" t="str">
        <f t="shared" si="79"/>
        <v/>
      </c>
      <c r="N93" t="str">
        <f t="shared" si="80"/>
        <v>Schätzen</v>
      </c>
      <c r="P93">
        <f t="shared" si="81"/>
        <v>125</v>
      </c>
      <c r="R93" t="s">
        <v>4295</v>
      </c>
      <c r="U93">
        <f ca="1">IF(Abfragen!U66&gt;0,10,20)</f>
        <v>20</v>
      </c>
      <c r="Z93" t="s">
        <v>8796</v>
      </c>
      <c r="AC93">
        <v>6</v>
      </c>
      <c r="AM93">
        <v>12</v>
      </c>
      <c r="AS93" t="str">
        <f t="shared" si="83"/>
        <v>Kettenstäbe</v>
      </c>
      <c r="AT93" t="str">
        <f t="shared" ref="AT93:AT106" si="86">AS93</f>
        <v>Kettenstäbe</v>
      </c>
      <c r="AX93" t="s">
        <v>4106</v>
      </c>
      <c r="AY93">
        <v>6</v>
      </c>
      <c r="AZ93">
        <v>2</v>
      </c>
      <c r="BA93" t="s">
        <v>3178</v>
      </c>
      <c r="BB93" t="s">
        <v>3179</v>
      </c>
      <c r="BC93" t="s">
        <v>3180</v>
      </c>
      <c r="BD93" t="s">
        <v>3181</v>
      </c>
      <c r="BE93" t="s">
        <v>3182</v>
      </c>
      <c r="BG93">
        <v>5</v>
      </c>
      <c r="BK93" t="s">
        <v>5379</v>
      </c>
      <c r="BM93" t="s">
        <v>5231</v>
      </c>
      <c r="BN93" t="s">
        <v>5242</v>
      </c>
      <c r="BO93" t="s">
        <v>5231</v>
      </c>
      <c r="BR93" t="s">
        <v>5373</v>
      </c>
      <c r="BT93" t="s">
        <v>5231</v>
      </c>
      <c r="BU93" t="s">
        <v>5354</v>
      </c>
      <c r="BV93" t="s">
        <v>5373</v>
      </c>
      <c r="CA93" t="s">
        <v>5380</v>
      </c>
      <c r="CD93" t="s">
        <v>4429</v>
      </c>
      <c r="CE93" t="s">
        <v>916</v>
      </c>
      <c r="CF93" t="s">
        <v>379</v>
      </c>
      <c r="CG93" t="s">
        <v>903</v>
      </c>
      <c r="CH93">
        <v>1</v>
      </c>
      <c r="CI93">
        <v>4</v>
      </c>
      <c r="CJ93" t="s">
        <v>899</v>
      </c>
      <c r="CK93" t="s">
        <v>3043</v>
      </c>
      <c r="CN93" t="str">
        <f ca="1">IF(AND(ISERR(FIND($CK93,Talente!$CI$41)),ISNA(VLOOKUP($CK93,$AH$51:$AH$55,1))),IF(AND(ISERR(FIND($CL93,Talente!$CI$41)),ISNA(VLOOKUP($CL93,$AH$51:$AH$55,1))),$CM93,$CL93),$CK93)</f>
        <v>Fechtwaffen</v>
      </c>
      <c r="CP93" t="s">
        <v>3867</v>
      </c>
      <c r="CQ93" t="s">
        <v>1433</v>
      </c>
      <c r="CR93">
        <v>12</v>
      </c>
      <c r="CS93" t="s">
        <v>1514</v>
      </c>
      <c r="CU93" t="s">
        <v>4602</v>
      </c>
      <c r="CW93" t="s">
        <v>2532</v>
      </c>
      <c r="CX93" t="s">
        <v>8405</v>
      </c>
      <c r="CY93" t="s">
        <v>74</v>
      </c>
      <c r="CZ93" t="s">
        <v>74</v>
      </c>
      <c r="DA93" t="s">
        <v>751</v>
      </c>
      <c r="DC93" t="s">
        <v>7290</v>
      </c>
      <c r="DD93" t="s">
        <v>820</v>
      </c>
      <c r="DE93" t="s">
        <v>4484</v>
      </c>
      <c r="DF93" t="s">
        <v>3338</v>
      </c>
      <c r="DG93" t="s">
        <v>1828</v>
      </c>
      <c r="DH93" t="s">
        <v>8422</v>
      </c>
      <c r="DI93" t="s">
        <v>587</v>
      </c>
      <c r="DJ93">
        <v>2</v>
      </c>
      <c r="DK93">
        <f t="shared" si="72"/>
        <v>414</v>
      </c>
      <c r="DL93">
        <f t="shared" si="77"/>
        <v>91</v>
      </c>
      <c r="DM93">
        <v>160</v>
      </c>
      <c r="DN93" t="str">
        <f t="shared" ca="1" si="59"/>
        <v/>
      </c>
      <c r="DO93" t="str">
        <f t="shared" ca="1" si="60"/>
        <v/>
      </c>
      <c r="DP93" t="str">
        <f t="shared" ca="1" si="61"/>
        <v/>
      </c>
      <c r="DQ93" t="str">
        <f>IF(EXACT(Zauber!$A$250,""),"",IF(EXACT(RIGHT(HLOOKUP(Zauber!$A$250,PROFMAGIE,$DK93,FALSE)),"H"),CONCATENATE($CX93,","),""))</f>
        <v/>
      </c>
      <c r="DR93" t="str">
        <f t="shared" si="62"/>
        <v/>
      </c>
      <c r="DS93" t="str">
        <f>IF(ZS_IAAK="Ja",IF(EXACT(RIGHT(HLOOKUP(Tabellen_Magie!$IK$1,PROFMAGIE,$DK93,FALSE)),"H"),CONCATENATE($CX93,","),""),"")</f>
        <v/>
      </c>
      <c r="DT93" t="str">
        <f>IF(ZS_IAAK="Ja",IF(NOT(DS93=""),"",IF(OR(EXACT(RIGHT(HLOOKUP(Tabellen_Magie!$IK$1,PROFMAGIE,$DK93,FALSE)),"B"),EXACT(HLOOKUP(Tabellen_Magie!$IK$1,PROFMAGIE,$DK93,FALSE),"")),"",CONCATENATE($CX93,","))),"")</f>
        <v/>
      </c>
      <c r="DU93" t="str">
        <f t="shared" si="63"/>
        <v/>
      </c>
      <c r="DW93" t="s">
        <v>724</v>
      </c>
      <c r="DX93" t="s">
        <v>4985</v>
      </c>
      <c r="DY93" t="s">
        <v>4985</v>
      </c>
      <c r="DZ93" t="s">
        <v>4985</v>
      </c>
      <c r="EB93" t="s">
        <v>4472</v>
      </c>
      <c r="ED93">
        <f t="shared" si="84"/>
        <v>200</v>
      </c>
      <c r="EE93" t="s">
        <v>1248</v>
      </c>
      <c r="EH93">
        <f t="shared" si="85"/>
        <v>4</v>
      </c>
      <c r="EI93">
        <v>200</v>
      </c>
      <c r="EK93" t="s">
        <v>278</v>
      </c>
      <c r="EL93" t="s">
        <v>1990</v>
      </c>
      <c r="EM93" t="s">
        <v>1991</v>
      </c>
      <c r="EN93" t="s">
        <v>1992</v>
      </c>
      <c r="EO93" t="s">
        <v>1993</v>
      </c>
      <c r="EP93" t="s">
        <v>1994</v>
      </c>
      <c r="EQ93" t="s">
        <v>1995</v>
      </c>
      <c r="ER93" t="s">
        <v>1996</v>
      </c>
      <c r="ES93" t="s">
        <v>661</v>
      </c>
      <c r="ET93" t="s">
        <v>715</v>
      </c>
      <c r="EU93" t="s">
        <v>406</v>
      </c>
      <c r="EV93" t="s">
        <v>715</v>
      </c>
      <c r="FD93" t="s">
        <v>1274</v>
      </c>
      <c r="FE93">
        <f t="shared" si="74"/>
        <v>400</v>
      </c>
      <c r="FF93">
        <f t="shared" si="37"/>
        <v>8</v>
      </c>
      <c r="FK93">
        <v>400</v>
      </c>
      <c r="FL93">
        <v>1</v>
      </c>
      <c r="FM93" t="b">
        <f t="shared" ca="1" si="75"/>
        <v>0</v>
      </c>
      <c r="FN93" t="b">
        <f t="shared" ca="1" si="76"/>
        <v>0</v>
      </c>
      <c r="GH93" t="s">
        <v>625</v>
      </c>
      <c r="GI93" t="s">
        <v>1119</v>
      </c>
      <c r="GJ93">
        <v>2</v>
      </c>
      <c r="GK93" t="s">
        <v>4116</v>
      </c>
      <c r="GL93" t="s">
        <v>1978</v>
      </c>
      <c r="GM93" t="s">
        <v>3961</v>
      </c>
      <c r="GN93" t="s">
        <v>1974</v>
      </c>
      <c r="GO93">
        <v>265</v>
      </c>
      <c r="GP93">
        <v>201</v>
      </c>
      <c r="GR93">
        <f t="shared" si="66"/>
        <v>442</v>
      </c>
      <c r="GU93" t="str">
        <f t="shared" ca="1" si="67"/>
        <v/>
      </c>
      <c r="GV93" t="str">
        <f t="shared" ca="1" si="68"/>
        <v/>
      </c>
      <c r="GW93" t="str">
        <f t="shared" ca="1" si="69"/>
        <v/>
      </c>
      <c r="GX93" t="str">
        <f t="shared" ca="1" si="70"/>
        <v/>
      </c>
    </row>
    <row r="94" spans="1:221" ht="12.75" customHeight="1" x14ac:dyDescent="0.2">
      <c r="A94" t="s">
        <v>2386</v>
      </c>
      <c r="B94" t="s">
        <v>75</v>
      </c>
      <c r="C94" t="s">
        <v>75</v>
      </c>
      <c r="D94" t="s">
        <v>750</v>
      </c>
      <c r="E94" t="s">
        <v>1320</v>
      </c>
      <c r="F94" t="s">
        <v>1321</v>
      </c>
      <c r="L94" t="str">
        <f t="shared" si="78"/>
        <v/>
      </c>
      <c r="M94" t="str">
        <f t="shared" si="79"/>
        <v/>
      </c>
      <c r="N94" t="str">
        <f t="shared" si="80"/>
        <v>Schiffbau</v>
      </c>
      <c r="P94">
        <f t="shared" si="81"/>
        <v>126</v>
      </c>
      <c r="R94" t="s">
        <v>3640</v>
      </c>
      <c r="S94">
        <v>1</v>
      </c>
      <c r="T94">
        <v>5</v>
      </c>
      <c r="Z94" t="s">
        <v>8797</v>
      </c>
      <c r="AC94">
        <v>12</v>
      </c>
      <c r="AM94">
        <v>20</v>
      </c>
      <c r="AS94" t="str">
        <f t="shared" si="83"/>
        <v>Kettenwaffen</v>
      </c>
      <c r="AT94" t="str">
        <f t="shared" si="86"/>
        <v>Kettenwaffen</v>
      </c>
      <c r="AX94" t="s">
        <v>1529</v>
      </c>
      <c r="AY94">
        <v>6</v>
      </c>
      <c r="AZ94">
        <v>2</v>
      </c>
      <c r="BG94">
        <v>5</v>
      </c>
      <c r="BK94" t="s">
        <v>5381</v>
      </c>
      <c r="BM94" t="s">
        <v>5231</v>
      </c>
      <c r="BN94" t="s">
        <v>5238</v>
      </c>
      <c r="BO94" t="s">
        <v>5238</v>
      </c>
      <c r="BR94" t="s">
        <v>5373</v>
      </c>
      <c r="BU94" t="s">
        <v>5354</v>
      </c>
      <c r="BV94" t="s">
        <v>5382</v>
      </c>
      <c r="CA94" t="s">
        <v>5383</v>
      </c>
      <c r="CD94" t="s">
        <v>2745</v>
      </c>
      <c r="CE94" t="s">
        <v>4549</v>
      </c>
      <c r="CF94" t="s">
        <v>4552</v>
      </c>
      <c r="CG94" t="s">
        <v>908</v>
      </c>
      <c r="CH94">
        <v>1</v>
      </c>
      <c r="CI94">
        <v>4</v>
      </c>
      <c r="CJ94" t="s">
        <v>899</v>
      </c>
      <c r="CK94" t="s">
        <v>3043</v>
      </c>
      <c r="CN94" t="str">
        <f ca="1">IF(AND(ISERR(FIND($CK94,Talente!$CI$41)),ISNA(VLOOKUP($CK94,$AH$51:$AH$55,1))),IF(AND(ISERR(FIND($CL94,Talente!$CI$41)),ISNA(VLOOKUP($CL94,$AH$51:$AH$55,1))),$CM94,$CL94),$CK94)</f>
        <v>Fechtwaffen</v>
      </c>
      <c r="CP94" t="s">
        <v>4645</v>
      </c>
      <c r="CQ94" t="s">
        <v>1433</v>
      </c>
      <c r="CR94">
        <v>18</v>
      </c>
      <c r="CS94" t="s">
        <v>3779</v>
      </c>
      <c r="CU94" t="s">
        <v>1205</v>
      </c>
      <c r="CW94" t="s">
        <v>467</v>
      </c>
      <c r="CX94" t="s">
        <v>8931</v>
      </c>
      <c r="CY94" t="s">
        <v>76</v>
      </c>
      <c r="CZ94" t="s">
        <v>77</v>
      </c>
      <c r="DA94" t="s">
        <v>5030</v>
      </c>
      <c r="DC94" t="s">
        <v>7292</v>
      </c>
      <c r="DD94" t="s">
        <v>2167</v>
      </c>
      <c r="DE94" t="s">
        <v>1134</v>
      </c>
      <c r="DF94" t="s">
        <v>8932</v>
      </c>
      <c r="DG94" t="s">
        <v>1828</v>
      </c>
      <c r="DH94" t="s">
        <v>8933</v>
      </c>
      <c r="DI94" t="s">
        <v>8934</v>
      </c>
      <c r="DJ94">
        <v>2</v>
      </c>
      <c r="DK94">
        <f t="shared" si="72"/>
        <v>415</v>
      </c>
      <c r="DL94">
        <f t="shared" si="77"/>
        <v>92</v>
      </c>
      <c r="DN94" t="str">
        <f t="shared" ca="1" si="59"/>
        <v/>
      </c>
      <c r="DO94" t="str">
        <f t="shared" ca="1" si="60"/>
        <v/>
      </c>
      <c r="DP94" t="str">
        <f t="shared" ca="1" si="61"/>
        <v/>
      </c>
      <c r="DQ94" t="str">
        <f>IF(EXACT(Zauber!$A$250,""),"",IF(EXACT(RIGHT(HLOOKUP(Zauber!$A$250,PROFMAGIE,$DK94,FALSE)),"H"),CONCATENATE($CX94,","),""))</f>
        <v/>
      </c>
      <c r="DR94" t="str">
        <f t="shared" si="62"/>
        <v/>
      </c>
      <c r="DS94" t="str">
        <f>IF(ZS_IAAK="Ja",IF(EXACT(RIGHT(HLOOKUP(Tabellen_Magie!$IK$1,PROFMAGIE,$DK94,FALSE)),"H"),CONCATENATE($CX94,","),""),"")</f>
        <v/>
      </c>
      <c r="DT94" t="str">
        <f>IF(ZS_IAAK="Ja",IF(NOT(DS94=""),"",IF(OR(EXACT(RIGHT(HLOOKUP(Tabellen_Magie!$IK$1,PROFMAGIE,$DK94,FALSE)),"B"),EXACT(HLOOKUP(Tabellen_Magie!$IK$1,PROFMAGIE,$DK94,FALSE),"")),"",CONCATENATE($CX94,","))),"")</f>
        <v/>
      </c>
      <c r="DU94" t="str">
        <f t="shared" si="63"/>
        <v/>
      </c>
      <c r="DW94" t="s">
        <v>815</v>
      </c>
      <c r="DX94" t="s">
        <v>74</v>
      </c>
      <c r="DY94" t="s">
        <v>76</v>
      </c>
      <c r="DZ94" t="s">
        <v>5030</v>
      </c>
      <c r="EA94" t="s">
        <v>4985</v>
      </c>
      <c r="EB94" t="s">
        <v>1193</v>
      </c>
      <c r="EC94" t="s">
        <v>2762</v>
      </c>
      <c r="ED94">
        <f t="shared" si="84"/>
        <v>300</v>
      </c>
      <c r="EE94" t="s">
        <v>1248</v>
      </c>
      <c r="EH94">
        <f t="shared" si="85"/>
        <v>6</v>
      </c>
      <c r="EI94">
        <v>300</v>
      </c>
      <c r="FD94" t="s">
        <v>3459</v>
      </c>
      <c r="FF94">
        <f t="shared" si="37"/>
        <v>0</v>
      </c>
      <c r="GH94" t="s">
        <v>957</v>
      </c>
      <c r="GI94" t="s">
        <v>1119</v>
      </c>
      <c r="GJ94">
        <v>2</v>
      </c>
      <c r="GK94" t="s">
        <v>1320</v>
      </c>
      <c r="GL94" t="s">
        <v>567</v>
      </c>
      <c r="GM94" t="s">
        <v>1369</v>
      </c>
      <c r="GN94" t="s">
        <v>1974</v>
      </c>
      <c r="GO94">
        <v>277</v>
      </c>
      <c r="GP94">
        <v>202</v>
      </c>
      <c r="GR94">
        <f t="shared" si="66"/>
        <v>443</v>
      </c>
      <c r="GS94">
        <v>3</v>
      </c>
      <c r="GU94" t="str">
        <f t="shared" ca="1" si="67"/>
        <v/>
      </c>
      <c r="GV94" t="str">
        <f t="shared" ca="1" si="68"/>
        <v/>
      </c>
      <c r="GW94" t="str">
        <f t="shared" ca="1" si="69"/>
        <v/>
      </c>
      <c r="GX94" t="str">
        <f t="shared" ca="1" si="70"/>
        <v/>
      </c>
    </row>
    <row r="95" spans="1:221" ht="12.75" customHeight="1" x14ac:dyDescent="0.2">
      <c r="A95" t="s">
        <v>4532</v>
      </c>
      <c r="B95" t="s">
        <v>75</v>
      </c>
      <c r="C95" t="s">
        <v>75</v>
      </c>
      <c r="D95" t="s">
        <v>76</v>
      </c>
      <c r="E95" t="s">
        <v>1827</v>
      </c>
      <c r="F95" t="s">
        <v>1321</v>
      </c>
      <c r="L95" t="str">
        <f t="shared" si="78"/>
        <v/>
      </c>
      <c r="M95" t="str">
        <f t="shared" si="79"/>
        <v/>
      </c>
      <c r="N95" t="str">
        <f t="shared" si="80"/>
        <v>Sprachenkunde</v>
      </c>
      <c r="P95">
        <f t="shared" si="81"/>
        <v>127</v>
      </c>
      <c r="R95" t="s">
        <v>3987</v>
      </c>
      <c r="S95">
        <v>10</v>
      </c>
      <c r="T95">
        <v>3</v>
      </c>
      <c r="Z95" t="s">
        <v>8798</v>
      </c>
      <c r="AC95">
        <v>9</v>
      </c>
      <c r="AM95">
        <v>30</v>
      </c>
      <c r="AS95" t="str">
        <f t="shared" si="83"/>
        <v>Lanzenreiten</v>
      </c>
      <c r="AT95" t="str">
        <f t="shared" si="86"/>
        <v>Lanzenreiten</v>
      </c>
      <c r="AX95" t="s">
        <v>2441</v>
      </c>
      <c r="AY95">
        <v>4</v>
      </c>
      <c r="AZ95">
        <v>1</v>
      </c>
      <c r="BA95" t="s">
        <v>3175</v>
      </c>
      <c r="BB95" t="s">
        <v>977</v>
      </c>
      <c r="BG95">
        <v>5</v>
      </c>
      <c r="BK95" t="s">
        <v>5384</v>
      </c>
      <c r="BM95" t="s">
        <v>5238</v>
      </c>
      <c r="BR95" t="s">
        <v>5238</v>
      </c>
      <c r="CA95" t="s">
        <v>5385</v>
      </c>
      <c r="CD95" t="s">
        <v>3585</v>
      </c>
      <c r="CE95" t="s">
        <v>4558</v>
      </c>
      <c r="CF95" t="s">
        <v>378</v>
      </c>
      <c r="CG95" t="s">
        <v>4595</v>
      </c>
      <c r="CH95">
        <v>0</v>
      </c>
      <c r="CI95" t="s">
        <v>4985</v>
      </c>
      <c r="CJ95" t="s">
        <v>905</v>
      </c>
      <c r="CK95" t="s">
        <v>1531</v>
      </c>
      <c r="CN95" t="str">
        <f ca="1">IF(AND(ISERR(FIND($CK95,Talente!$CI$41)),ISNA(VLOOKUP($CK95,$AH$51:$AH$55,1))),IF(AND(ISERR(FIND($CL95,Talente!$CI$41)),ISNA(VLOOKUP($CL95,$AH$51:$AH$55,1))),$CM95,$CL95),$CK95)</f>
        <v>Stäbe</v>
      </c>
      <c r="CP95" t="s">
        <v>3843</v>
      </c>
      <c r="CQ95" t="s">
        <v>1433</v>
      </c>
      <c r="CR95">
        <v>18</v>
      </c>
      <c r="CS95" t="s">
        <v>3779</v>
      </c>
      <c r="CU95" t="s">
        <v>4603</v>
      </c>
      <c r="CW95" t="s">
        <v>5066</v>
      </c>
      <c r="CX95" t="s">
        <v>3339</v>
      </c>
      <c r="DH95" t="s">
        <v>1830</v>
      </c>
      <c r="DJ95">
        <v>2</v>
      </c>
      <c r="DK95">
        <f t="shared" si="72"/>
        <v>416</v>
      </c>
      <c r="DL95">
        <f t="shared" si="77"/>
        <v>93</v>
      </c>
      <c r="DM95">
        <v>172</v>
      </c>
      <c r="DN95" t="str">
        <f t="shared" ca="1" si="59"/>
        <v/>
      </c>
      <c r="DO95" t="str">
        <f t="shared" ca="1" si="60"/>
        <v/>
      </c>
      <c r="DP95" t="str">
        <f t="shared" ca="1" si="61"/>
        <v/>
      </c>
      <c r="DQ95" t="str">
        <f>IF(EXACT(Zauber!$A$250,""),"",IF(EXACT(RIGHT(HLOOKUP(Zauber!$A$250,PROFMAGIE,$DK95,FALSE)),"H"),CONCATENATE($CX95,","),""))</f>
        <v/>
      </c>
      <c r="DR95" t="str">
        <f t="shared" si="62"/>
        <v/>
      </c>
      <c r="DS95" t="str">
        <f>IF(ZS_IAAK="Ja",IF(EXACT(RIGHT(HLOOKUP(Tabellen_Magie!$IK$1,PROFMAGIE,$DK95,FALSE)),"H"),CONCATENATE($CX95,","),""),"")</f>
        <v/>
      </c>
      <c r="DT95" t="str">
        <f>IF(ZS_IAAK="Ja",IF(NOT(DS95=""),"",IF(OR(EXACT(RIGHT(HLOOKUP(Tabellen_Magie!$IK$1,PROFMAGIE,$DK95,FALSE)),"B"),EXACT(HLOOKUP(Tabellen_Magie!$IK$1,PROFMAGIE,$DK95,FALSE),"")),"",CONCATENATE($CX95,","))),"")</f>
        <v/>
      </c>
      <c r="DU95" t="str">
        <f t="shared" si="63"/>
        <v/>
      </c>
      <c r="DV95" t="s">
        <v>1093</v>
      </c>
      <c r="DW95" t="s">
        <v>1194</v>
      </c>
      <c r="DX95" t="s">
        <v>4985</v>
      </c>
      <c r="DY95" t="s">
        <v>4985</v>
      </c>
      <c r="DZ95" t="s">
        <v>4985</v>
      </c>
      <c r="EB95" t="s">
        <v>1193</v>
      </c>
      <c r="EC95">
        <v>1</v>
      </c>
      <c r="ED95">
        <f t="shared" si="84"/>
        <v>150</v>
      </c>
      <c r="EE95" t="s">
        <v>1248</v>
      </c>
      <c r="EH95">
        <f t="shared" si="85"/>
        <v>3</v>
      </c>
      <c r="EI95">
        <v>150</v>
      </c>
      <c r="FD95" t="s">
        <v>3460</v>
      </c>
      <c r="FE95">
        <f t="shared" ref="FE95:FE101" si="87">ROUND(FK95*IF(VT_AKADKRI,3/4,1)*IF(NT_ELFWELT,IF(FN95,1,1.5),1),0)</f>
        <v>200</v>
      </c>
      <c r="FF95">
        <f t="shared" si="37"/>
        <v>4</v>
      </c>
      <c r="FK95">
        <v>200</v>
      </c>
      <c r="FL95">
        <v>2</v>
      </c>
      <c r="FM95" t="b">
        <f t="shared" ref="FM95:FM101" ca="1" si="88">IF(OR(IF(NOT(ISNA(VLOOKUP(FD95,SF_Verbilligt_Left,3,FALSE))),VLOOKUP(FD95,SF_Verbilligt_Left,3,FALSE)="x",FALSE),IF(NOT(ISNA(VLOOKUP(FD95,SF_Verbilligt_Right,8,FALSE))),VLOOKUP(FD95,SF_Verbilligt_Right,8,FALSE)="x",FALSE)),TRUE,FALSE)</f>
        <v>0</v>
      </c>
      <c r="FN95" t="b">
        <f t="shared" ref="FN95:FN101" ca="1" si="89">OR(FM95,NOT(ISERROR(FIND(FD95,$FN$3,1))))</f>
        <v>0</v>
      </c>
      <c r="GH95" t="s">
        <v>958</v>
      </c>
      <c r="GI95" t="s">
        <v>1119</v>
      </c>
      <c r="GJ95">
        <v>2</v>
      </c>
      <c r="GK95" t="s">
        <v>1320</v>
      </c>
      <c r="GL95" t="s">
        <v>567</v>
      </c>
      <c r="GM95" t="s">
        <v>1982</v>
      </c>
      <c r="GN95" t="s">
        <v>1974</v>
      </c>
      <c r="GO95">
        <v>267</v>
      </c>
      <c r="GP95">
        <v>248</v>
      </c>
      <c r="GR95">
        <f t="shared" si="66"/>
        <v>444</v>
      </c>
      <c r="GU95" t="str">
        <f t="shared" ca="1" si="67"/>
        <v/>
      </c>
      <c r="GV95" t="str">
        <f t="shared" ca="1" si="68"/>
        <v/>
      </c>
      <c r="GW95" t="str">
        <f t="shared" ca="1" si="69"/>
        <v/>
      </c>
      <c r="GX95" t="str">
        <f t="shared" ca="1" si="70"/>
        <v/>
      </c>
    </row>
    <row r="96" spans="1:221" ht="12.75" customHeight="1" x14ac:dyDescent="0.2">
      <c r="A96" t="s">
        <v>4533</v>
      </c>
      <c r="B96" t="s">
        <v>75</v>
      </c>
      <c r="C96" t="s">
        <v>76</v>
      </c>
      <c r="D96" t="s">
        <v>77</v>
      </c>
      <c r="E96" t="s">
        <v>1827</v>
      </c>
      <c r="F96" t="s">
        <v>1321</v>
      </c>
      <c r="L96" t="str">
        <f t="shared" si="78"/>
        <v/>
      </c>
      <c r="M96" t="str">
        <f t="shared" si="79"/>
        <v/>
      </c>
      <c r="N96" t="str">
        <f t="shared" si="80"/>
        <v>Staatskunst</v>
      </c>
      <c r="P96">
        <f t="shared" si="81"/>
        <v>128</v>
      </c>
      <c r="R96" t="s">
        <v>3988</v>
      </c>
      <c r="U96">
        <v>0</v>
      </c>
      <c r="Z96" t="s">
        <v>8799</v>
      </c>
      <c r="AC96">
        <v>9</v>
      </c>
      <c r="AM96">
        <v>40</v>
      </c>
      <c r="AS96" t="str">
        <f t="shared" si="83"/>
        <v>Peitsche</v>
      </c>
      <c r="AT96" t="str">
        <f t="shared" si="86"/>
        <v>Peitsche</v>
      </c>
      <c r="AX96" t="s">
        <v>3393</v>
      </c>
      <c r="AY96">
        <v>4</v>
      </c>
      <c r="AZ96">
        <v>1</v>
      </c>
      <c r="BA96" t="s">
        <v>7645</v>
      </c>
      <c r="BB96" t="s">
        <v>4389</v>
      </c>
      <c r="BC96" t="s">
        <v>4390</v>
      </c>
      <c r="BD96" t="s">
        <v>4391</v>
      </c>
      <c r="BE96" t="s">
        <v>4392</v>
      </c>
      <c r="BG96">
        <v>5</v>
      </c>
      <c r="BK96" t="s">
        <v>5386</v>
      </c>
      <c r="CD96" t="s">
        <v>2247</v>
      </c>
      <c r="CE96" t="s">
        <v>1626</v>
      </c>
      <c r="CF96" t="s">
        <v>897</v>
      </c>
      <c r="CG96" t="s">
        <v>3236</v>
      </c>
      <c r="CH96">
        <v>0</v>
      </c>
      <c r="CI96" t="s">
        <v>4985</v>
      </c>
      <c r="CJ96" t="s">
        <v>899</v>
      </c>
      <c r="CK96" t="s">
        <v>2190</v>
      </c>
      <c r="CN96" t="str">
        <f ca="1">IF(AND(ISERR(FIND($CK96,Talente!$CI$41)),ISNA(VLOOKUP($CK96,$AH$51:$AH$55,1))),IF(AND(ISERR(FIND($CL96,Talente!$CI$41)),ISNA(VLOOKUP($CL96,$AH$51:$AH$55,1))),$CM96,$CL96),$CK96)</f>
        <v>Hiebwaffen</v>
      </c>
      <c r="CP96" t="s">
        <v>3305</v>
      </c>
      <c r="CQ96" t="s">
        <v>1433</v>
      </c>
      <c r="CR96">
        <v>18</v>
      </c>
      <c r="CS96" t="s">
        <v>3782</v>
      </c>
      <c r="CU96" t="s">
        <v>7154</v>
      </c>
      <c r="CW96" t="s">
        <v>5069</v>
      </c>
      <c r="CX96" t="s">
        <v>3340</v>
      </c>
      <c r="CY96" t="s">
        <v>74</v>
      </c>
      <c r="CZ96" t="s">
        <v>75</v>
      </c>
      <c r="DA96" t="s">
        <v>751</v>
      </c>
      <c r="DC96" t="s">
        <v>7295</v>
      </c>
      <c r="DD96" t="s">
        <v>4003</v>
      </c>
      <c r="DE96" t="s">
        <v>2397</v>
      </c>
      <c r="DF96" t="s">
        <v>1358</v>
      </c>
      <c r="DG96" t="s">
        <v>1955</v>
      </c>
      <c r="DH96" t="s">
        <v>6898</v>
      </c>
      <c r="DI96" t="s">
        <v>4459</v>
      </c>
      <c r="DJ96">
        <v>2</v>
      </c>
      <c r="DK96">
        <f t="shared" si="72"/>
        <v>417</v>
      </c>
      <c r="DL96">
        <f t="shared" si="77"/>
        <v>94</v>
      </c>
      <c r="DM96">
        <v>86</v>
      </c>
      <c r="DN96" t="str">
        <f t="shared" ca="1" si="59"/>
        <v/>
      </c>
      <c r="DO96" t="str">
        <f t="shared" ca="1" si="60"/>
        <v/>
      </c>
      <c r="DP96" t="str">
        <f t="shared" ca="1" si="61"/>
        <v/>
      </c>
      <c r="DQ96" t="str">
        <f>IF(EXACT(Zauber!$A$250,""),"",IF(EXACT(RIGHT(HLOOKUP(Zauber!$A$250,PROFMAGIE,$DK96,FALSE)),"H"),CONCATENATE($CX96,","),""))</f>
        <v/>
      </c>
      <c r="DR96" t="str">
        <f t="shared" si="62"/>
        <v/>
      </c>
      <c r="DS96" t="str">
        <f>IF(ZS_IAAK="Ja",IF(EXACT(RIGHT(HLOOKUP(Tabellen_Magie!$IK$1,PROFMAGIE,$DK96,FALSE)),"H"),CONCATENATE($CX96,","),""),"")</f>
        <v/>
      </c>
      <c r="DT96" t="str">
        <f>IF(ZS_IAAK="Ja",IF(NOT(DS96=""),"",IF(OR(EXACT(RIGHT(HLOOKUP(Tabellen_Magie!$IK$1,PROFMAGIE,$DK96,FALSE)),"B"),EXACT(HLOOKUP(Tabellen_Magie!$IK$1,PROFMAGIE,$DK96,FALSE),"")),"",CONCATENATE($CX96,","))),"")</f>
        <v/>
      </c>
      <c r="DU96" t="str">
        <f t="shared" si="63"/>
        <v/>
      </c>
      <c r="DW96" t="s">
        <v>1652</v>
      </c>
      <c r="DX96" t="s">
        <v>74</v>
      </c>
      <c r="DY96" t="s">
        <v>76</v>
      </c>
      <c r="DZ96" t="s">
        <v>75</v>
      </c>
      <c r="EA96" t="s">
        <v>8597</v>
      </c>
      <c r="EB96" t="s">
        <v>2163</v>
      </c>
      <c r="ED96">
        <f t="shared" si="84"/>
        <v>200</v>
      </c>
      <c r="EE96" t="s">
        <v>1248</v>
      </c>
      <c r="EH96">
        <f t="shared" si="85"/>
        <v>4</v>
      </c>
      <c r="EI96">
        <v>200</v>
      </c>
      <c r="FD96" t="s">
        <v>5051</v>
      </c>
      <c r="FE96">
        <f t="shared" si="87"/>
        <v>200</v>
      </c>
      <c r="FF96">
        <f t="shared" si="37"/>
        <v>4</v>
      </c>
      <c r="FK96">
        <v>200</v>
      </c>
      <c r="FL96">
        <v>7</v>
      </c>
      <c r="FM96" t="b">
        <f t="shared" ca="1" si="88"/>
        <v>0</v>
      </c>
      <c r="FN96" t="b">
        <f t="shared" ca="1" si="89"/>
        <v>0</v>
      </c>
      <c r="GH96" t="s">
        <v>959</v>
      </c>
      <c r="GI96" t="s">
        <v>1119</v>
      </c>
      <c r="GJ96">
        <v>2</v>
      </c>
      <c r="GK96" t="s">
        <v>4116</v>
      </c>
      <c r="GL96" t="s">
        <v>567</v>
      </c>
      <c r="GM96" t="s">
        <v>1369</v>
      </c>
      <c r="GN96" t="s">
        <v>1690</v>
      </c>
      <c r="GO96">
        <v>279</v>
      </c>
      <c r="GP96">
        <v>208</v>
      </c>
      <c r="GR96">
        <f t="shared" si="66"/>
        <v>445</v>
      </c>
      <c r="GU96" t="str">
        <f t="shared" ca="1" si="67"/>
        <v/>
      </c>
      <c r="GV96" t="str">
        <f t="shared" ca="1" si="68"/>
        <v/>
      </c>
      <c r="GW96" t="str">
        <f t="shared" ca="1" si="69"/>
        <v/>
      </c>
      <c r="GX96" t="str">
        <f t="shared" ca="1" si="70"/>
        <v/>
      </c>
      <c r="HE96" t="s">
        <v>4864</v>
      </c>
    </row>
    <row r="97" spans="1:220" ht="12.75" customHeight="1" x14ac:dyDescent="0.2">
      <c r="A97" t="s">
        <v>4534</v>
      </c>
      <c r="B97" t="s">
        <v>75</v>
      </c>
      <c r="C97" t="s">
        <v>75</v>
      </c>
      <c r="D97" t="s">
        <v>76</v>
      </c>
      <c r="E97" t="s">
        <v>1827</v>
      </c>
      <c r="F97" t="s">
        <v>1321</v>
      </c>
      <c r="L97" t="str">
        <f t="shared" si="78"/>
        <v/>
      </c>
      <c r="M97" t="str">
        <f t="shared" si="79"/>
        <v/>
      </c>
      <c r="N97" t="str">
        <f t="shared" si="80"/>
        <v>Sternkunde</v>
      </c>
      <c r="P97">
        <f t="shared" si="81"/>
        <v>129</v>
      </c>
      <c r="R97" t="s">
        <v>3989</v>
      </c>
      <c r="U97">
        <v>12</v>
      </c>
      <c r="V97" t="s">
        <v>3995</v>
      </c>
      <c r="Z97" t="s">
        <v>8800</v>
      </c>
      <c r="AC97">
        <v>6</v>
      </c>
      <c r="AM97">
        <v>50</v>
      </c>
      <c r="AS97" t="str">
        <f t="shared" si="83"/>
        <v>Raufen</v>
      </c>
      <c r="AT97" t="str">
        <f t="shared" si="86"/>
        <v>Raufen</v>
      </c>
      <c r="AX97" t="s">
        <v>3394</v>
      </c>
      <c r="AY97">
        <v>4</v>
      </c>
      <c r="AZ97">
        <v>1</v>
      </c>
      <c r="BA97" t="s">
        <v>4393</v>
      </c>
      <c r="BB97" t="s">
        <v>7646</v>
      </c>
      <c r="BC97" t="s">
        <v>7647</v>
      </c>
      <c r="BG97">
        <v>5</v>
      </c>
      <c r="BK97" t="s">
        <v>5387</v>
      </c>
      <c r="BL97">
        <v>14</v>
      </c>
      <c r="BM97">
        <v>25</v>
      </c>
      <c r="BN97" t="s">
        <v>5388</v>
      </c>
      <c r="BO97">
        <v>6</v>
      </c>
      <c r="BP97" t="s">
        <v>5389</v>
      </c>
      <c r="BQ97">
        <v>3</v>
      </c>
      <c r="BR97">
        <v>130</v>
      </c>
      <c r="BS97" t="s">
        <v>5390</v>
      </c>
      <c r="BT97">
        <v>12</v>
      </c>
      <c r="BU97">
        <v>40</v>
      </c>
      <c r="BW97">
        <v>4</v>
      </c>
      <c r="CA97" t="s">
        <v>5391</v>
      </c>
      <c r="CD97" t="s">
        <v>4132</v>
      </c>
      <c r="CE97" t="s">
        <v>4558</v>
      </c>
      <c r="CF97" t="s">
        <v>897</v>
      </c>
      <c r="CG97" t="s">
        <v>4550</v>
      </c>
      <c r="CH97">
        <v>-2</v>
      </c>
      <c r="CI97" t="s">
        <v>4985</v>
      </c>
      <c r="CJ97" t="s">
        <v>899</v>
      </c>
      <c r="CK97" t="s">
        <v>2190</v>
      </c>
      <c r="CL97" t="s">
        <v>3629</v>
      </c>
      <c r="CN97" t="str">
        <f ca="1">IF(AND(ISERR(FIND($CK97,Talente!$CI$41)),ISNA(VLOOKUP($CK97,$AH$51:$AH$55,1))),IF(AND(ISERR(FIND($CL97,Talente!$CI$41)),ISNA(VLOOKUP($CL97,$AH$51:$AH$55,1))),$CM97,$CL97),$CK97)</f>
        <v>Hiebwaffen</v>
      </c>
      <c r="CP97" t="s">
        <v>3477</v>
      </c>
      <c r="CQ97" t="s">
        <v>1433</v>
      </c>
      <c r="CR97">
        <v>12</v>
      </c>
      <c r="CS97" t="s">
        <v>3477</v>
      </c>
      <c r="CU97" t="s">
        <v>4604</v>
      </c>
      <c r="CW97" t="s">
        <v>5070</v>
      </c>
      <c r="CX97" t="s">
        <v>3341</v>
      </c>
      <c r="CY97" t="s">
        <v>74</v>
      </c>
      <c r="CZ97" t="s">
        <v>77</v>
      </c>
      <c r="DA97" t="s">
        <v>77</v>
      </c>
      <c r="DC97" t="s">
        <v>7297</v>
      </c>
      <c r="DD97" t="s">
        <v>3138</v>
      </c>
      <c r="DE97" t="s">
        <v>655</v>
      </c>
      <c r="DF97" t="s">
        <v>2212</v>
      </c>
      <c r="DG97" t="s">
        <v>1956</v>
      </c>
      <c r="DH97" t="s">
        <v>6899</v>
      </c>
      <c r="DI97" t="s">
        <v>3355</v>
      </c>
      <c r="DJ97">
        <v>2</v>
      </c>
      <c r="DK97">
        <f t="shared" si="72"/>
        <v>418</v>
      </c>
      <c r="DL97">
        <f t="shared" si="77"/>
        <v>95</v>
      </c>
      <c r="DM97">
        <v>146</v>
      </c>
      <c r="DN97" t="str">
        <f t="shared" ca="1" si="59"/>
        <v/>
      </c>
      <c r="DO97" t="str">
        <f t="shared" ca="1" si="60"/>
        <v/>
      </c>
      <c r="DP97" t="str">
        <f t="shared" ca="1" si="61"/>
        <v/>
      </c>
      <c r="DQ97" t="str">
        <f>IF(EXACT(Zauber!$A$250,""),"",IF(EXACT(RIGHT(HLOOKUP(Zauber!$A$250,PROFMAGIE,$DK97,FALSE)),"H"),CONCATENATE($CX97,","),""))</f>
        <v/>
      </c>
      <c r="DR97" t="str">
        <f t="shared" si="62"/>
        <v/>
      </c>
      <c r="DS97" t="str">
        <f>IF(ZS_IAAK="Ja",IF(EXACT(RIGHT(HLOOKUP(Tabellen_Magie!$IK$1,PROFMAGIE,$DK97,FALSE)),"H"),CONCATENATE($CX97,","),""),"")</f>
        <v/>
      </c>
      <c r="DT97" t="str">
        <f>IF(ZS_IAAK="Ja",IF(NOT(DS97=""),"",IF(OR(EXACT(RIGHT(HLOOKUP(Tabellen_Magie!$IK$1,PROFMAGIE,$DK97,FALSE)),"B"),EXACT(HLOOKUP(Tabellen_Magie!$IK$1,PROFMAGIE,$DK97,FALSE),"")),"",CONCATENATE($CX97,","))),"")</f>
        <v/>
      </c>
      <c r="DU97" t="str">
        <f t="shared" si="63"/>
        <v/>
      </c>
      <c r="DW97" t="s">
        <v>7450</v>
      </c>
      <c r="DX97" t="s">
        <v>4985</v>
      </c>
      <c r="DY97" t="s">
        <v>4985</v>
      </c>
      <c r="DZ97" t="s">
        <v>4985</v>
      </c>
      <c r="EB97" t="s">
        <v>1193</v>
      </c>
      <c r="ED97">
        <f t="shared" si="84"/>
        <v>150</v>
      </c>
      <c r="EE97" t="s">
        <v>1248</v>
      </c>
      <c r="EH97">
        <f t="shared" ref="EH97:EH118" si="90">ROUNDUP($ED97/50,0)</f>
        <v>3</v>
      </c>
      <c r="EI97">
        <v>150</v>
      </c>
      <c r="FD97" t="s">
        <v>1367</v>
      </c>
      <c r="FE97">
        <f t="shared" si="87"/>
        <v>200</v>
      </c>
      <c r="FF97">
        <f>ROUND(FE97/50,0)</f>
        <v>4</v>
      </c>
      <c r="FG97" t="s">
        <v>716</v>
      </c>
      <c r="FK97">
        <v>200</v>
      </c>
      <c r="FL97">
        <v>4</v>
      </c>
      <c r="FM97" t="b">
        <f t="shared" ca="1" si="88"/>
        <v>0</v>
      </c>
      <c r="FN97" t="b">
        <f t="shared" ca="1" si="89"/>
        <v>0</v>
      </c>
      <c r="GH97" t="s">
        <v>960</v>
      </c>
      <c r="GI97" t="s">
        <v>1119</v>
      </c>
      <c r="GJ97">
        <v>2</v>
      </c>
      <c r="GK97" t="s">
        <v>4116</v>
      </c>
      <c r="GL97" t="s">
        <v>567</v>
      </c>
      <c r="GM97" t="s">
        <v>1984</v>
      </c>
      <c r="GN97" t="s">
        <v>1973</v>
      </c>
      <c r="GO97">
        <v>277</v>
      </c>
      <c r="GP97">
        <v>210</v>
      </c>
      <c r="GR97">
        <f t="shared" si="66"/>
        <v>446</v>
      </c>
      <c r="GU97" t="str">
        <f t="shared" ca="1" si="67"/>
        <v/>
      </c>
      <c r="GV97" t="str">
        <f t="shared" ca="1" si="68"/>
        <v/>
      </c>
      <c r="GW97" t="str">
        <f t="shared" ca="1" si="69"/>
        <v/>
      </c>
      <c r="GX97" t="str">
        <f t="shared" ca="1" si="70"/>
        <v/>
      </c>
      <c r="HE97" t="s">
        <v>1549</v>
      </c>
    </row>
    <row r="98" spans="1:220" x14ac:dyDescent="0.2">
      <c r="A98" t="s">
        <v>4535</v>
      </c>
      <c r="B98" t="s">
        <v>74</v>
      </c>
      <c r="C98" t="s">
        <v>75</v>
      </c>
      <c r="D98" t="s">
        <v>76</v>
      </c>
      <c r="E98" t="s">
        <v>1827</v>
      </c>
      <c r="F98" t="s">
        <v>1321</v>
      </c>
      <c r="L98" t="str">
        <f t="shared" si="78"/>
        <v/>
      </c>
      <c r="M98" t="str">
        <f t="shared" si="79"/>
        <v/>
      </c>
      <c r="N98" t="str">
        <f t="shared" si="80"/>
        <v>Tierkunde</v>
      </c>
      <c r="P98">
        <f t="shared" si="81"/>
        <v>130</v>
      </c>
      <c r="R98" t="s">
        <v>1305</v>
      </c>
      <c r="Z98" t="s">
        <v>8801</v>
      </c>
      <c r="AC98">
        <v>12</v>
      </c>
      <c r="AM98">
        <v>60</v>
      </c>
      <c r="AS98" t="str">
        <f t="shared" si="83"/>
        <v>Ringen</v>
      </c>
      <c r="AT98" t="str">
        <f t="shared" si="86"/>
        <v>Ringen</v>
      </c>
      <c r="AX98" t="s">
        <v>4800</v>
      </c>
      <c r="AY98">
        <v>4</v>
      </c>
      <c r="AZ98">
        <v>1</v>
      </c>
      <c r="BA98" t="s">
        <v>2506</v>
      </c>
      <c r="BB98" t="s">
        <v>292</v>
      </c>
      <c r="BG98">
        <v>5</v>
      </c>
      <c r="BK98" t="s">
        <v>5392</v>
      </c>
      <c r="BL98">
        <v>12</v>
      </c>
      <c r="BM98">
        <v>25</v>
      </c>
      <c r="BN98" t="s">
        <v>5393</v>
      </c>
      <c r="BO98">
        <v>6</v>
      </c>
      <c r="BP98" t="s">
        <v>5394</v>
      </c>
      <c r="BQ98">
        <v>4</v>
      </c>
      <c r="BR98">
        <v>140</v>
      </c>
      <c r="BS98" t="s">
        <v>5395</v>
      </c>
      <c r="BT98">
        <v>11</v>
      </c>
      <c r="BU98">
        <v>50</v>
      </c>
      <c r="BW98">
        <v>4</v>
      </c>
      <c r="CA98" t="s">
        <v>5396</v>
      </c>
      <c r="CD98" t="s">
        <v>4133</v>
      </c>
      <c r="CE98" t="s">
        <v>1209</v>
      </c>
      <c r="CF98" t="s">
        <v>897</v>
      </c>
      <c r="CG98" t="s">
        <v>4595</v>
      </c>
      <c r="CH98">
        <v>0</v>
      </c>
      <c r="CI98" t="s">
        <v>4985</v>
      </c>
      <c r="CJ98" t="s">
        <v>899</v>
      </c>
      <c r="CK98" t="s">
        <v>2190</v>
      </c>
      <c r="CN98" t="str">
        <f ca="1">IF(AND(ISERR(FIND($CK98,Talente!$CI$41)),ISNA(VLOOKUP($CK98,$AH$51:$AH$55,1))),IF(AND(ISERR(FIND($CL98,Talente!$CI$41)),ISNA(VLOOKUP($CL98,$AH$51:$AH$55,1))),$CM98,$CL98),$CK98)</f>
        <v>Hiebwaffen</v>
      </c>
      <c r="CP98" t="s">
        <v>523</v>
      </c>
      <c r="CQ98" t="s">
        <v>1433</v>
      </c>
      <c r="CR98">
        <v>17</v>
      </c>
      <c r="CS98" t="s">
        <v>523</v>
      </c>
      <c r="CU98" t="s">
        <v>4605</v>
      </c>
      <c r="CW98" t="s">
        <v>1908</v>
      </c>
      <c r="CX98" t="s">
        <v>2110</v>
      </c>
      <c r="CY98" t="s">
        <v>75</v>
      </c>
      <c r="CZ98" t="s">
        <v>75</v>
      </c>
      <c r="DA98" t="s">
        <v>750</v>
      </c>
      <c r="DC98" t="s">
        <v>7299</v>
      </c>
      <c r="DD98" t="s">
        <v>4465</v>
      </c>
      <c r="DE98" t="s">
        <v>2254</v>
      </c>
      <c r="DF98" t="s">
        <v>4466</v>
      </c>
      <c r="DG98" t="s">
        <v>1433</v>
      </c>
      <c r="DH98" t="s">
        <v>6900</v>
      </c>
      <c r="DI98" t="s">
        <v>4350</v>
      </c>
      <c r="DJ98">
        <v>2</v>
      </c>
      <c r="DK98">
        <f t="shared" si="72"/>
        <v>419</v>
      </c>
      <c r="DL98">
        <f t="shared" si="77"/>
        <v>96</v>
      </c>
      <c r="DM98">
        <v>87</v>
      </c>
      <c r="DN98" t="str">
        <f t="shared" ca="1" si="59"/>
        <v/>
      </c>
      <c r="DO98" t="str">
        <f t="shared" ca="1" si="60"/>
        <v/>
      </c>
      <c r="DP98" t="str">
        <f t="shared" ca="1" si="61"/>
        <v/>
      </c>
      <c r="DQ98" t="str">
        <f>IF(EXACT(Zauber!$A$250,""),"",IF(EXACT(RIGHT(HLOOKUP(Zauber!$A$250,PROFMAGIE,$DK98,FALSE)),"H"),CONCATENATE($CX98,","),""))</f>
        <v/>
      </c>
      <c r="DR98" t="str">
        <f t="shared" si="62"/>
        <v/>
      </c>
      <c r="DS98" t="str">
        <f>IF(ZS_IAAK="Ja",IF(EXACT(RIGHT(HLOOKUP(Tabellen_Magie!$IK$1,PROFMAGIE,$DK98,FALSE)),"H"),CONCATENATE($CX98,","),""),"")</f>
        <v/>
      </c>
      <c r="DT98" t="str">
        <f>IF(ZS_IAAK="Ja",IF(NOT(DS98=""),"",IF(OR(EXACT(RIGHT(HLOOKUP(Tabellen_Magie!$IK$1,PROFMAGIE,$DK98,FALSE)),"B"),EXACT(HLOOKUP(Tabellen_Magie!$IK$1,PROFMAGIE,$DK98,FALSE),"")),"",CONCATENATE($CX98,","))),"")</f>
        <v/>
      </c>
      <c r="DU98" t="str">
        <f t="shared" si="63"/>
        <v/>
      </c>
      <c r="DW98" t="s">
        <v>7451</v>
      </c>
      <c r="DX98" t="s">
        <v>4985</v>
      </c>
      <c r="DY98" t="s">
        <v>4985</v>
      </c>
      <c r="DZ98" t="s">
        <v>4985</v>
      </c>
      <c r="EB98" t="s">
        <v>1193</v>
      </c>
      <c r="ED98">
        <f t="shared" si="84"/>
        <v>150</v>
      </c>
      <c r="EE98" t="s">
        <v>1248</v>
      </c>
      <c r="EH98">
        <f t="shared" si="90"/>
        <v>3</v>
      </c>
      <c r="EI98">
        <v>150</v>
      </c>
      <c r="FD98" t="s">
        <v>5010</v>
      </c>
      <c r="FE98">
        <f t="shared" si="87"/>
        <v>150</v>
      </c>
      <c r="FF98">
        <f t="shared" si="37"/>
        <v>3</v>
      </c>
      <c r="FK98">
        <v>150</v>
      </c>
      <c r="FL98">
        <v>2</v>
      </c>
      <c r="FM98" t="b">
        <f t="shared" ca="1" si="88"/>
        <v>0</v>
      </c>
      <c r="FN98" t="b">
        <f t="shared" ca="1" si="89"/>
        <v>0</v>
      </c>
      <c r="GH98" t="s">
        <v>4831</v>
      </c>
      <c r="GI98" t="s">
        <v>1119</v>
      </c>
      <c r="GJ98">
        <v>2</v>
      </c>
      <c r="GK98" t="s">
        <v>4116</v>
      </c>
      <c r="GL98" t="s">
        <v>567</v>
      </c>
      <c r="GM98" t="s">
        <v>1982</v>
      </c>
      <c r="GN98" t="s">
        <v>1690</v>
      </c>
      <c r="GO98">
        <v>267</v>
      </c>
      <c r="GP98">
        <v>219</v>
      </c>
      <c r="GR98">
        <f t="shared" si="66"/>
        <v>447</v>
      </c>
      <c r="GU98" t="str">
        <f t="shared" ca="1" si="67"/>
        <v/>
      </c>
      <c r="GV98" t="str">
        <f t="shared" ca="1" si="68"/>
        <v/>
      </c>
      <c r="GW98" t="str">
        <f t="shared" ca="1" si="69"/>
        <v/>
      </c>
      <c r="GX98" t="str">
        <f t="shared" ca="1" si="70"/>
        <v/>
      </c>
      <c r="HE98" t="s">
        <v>3331</v>
      </c>
    </row>
    <row r="99" spans="1:220" ht="12.75" customHeight="1" x14ac:dyDescent="0.2">
      <c r="A99" t="s">
        <v>3915</v>
      </c>
      <c r="B99" t="s">
        <v>1609</v>
      </c>
      <c r="C99" t="s">
        <v>1610</v>
      </c>
      <c r="D99" t="s">
        <v>1611</v>
      </c>
      <c r="E99" t="s">
        <v>5029</v>
      </c>
      <c r="F99" t="s">
        <v>3904</v>
      </c>
      <c r="G99" t="s">
        <v>3905</v>
      </c>
      <c r="R99" t="s">
        <v>2122</v>
      </c>
      <c r="U99">
        <v>7</v>
      </c>
      <c r="Z99" t="s">
        <v>8802</v>
      </c>
      <c r="AC99">
        <v>6</v>
      </c>
      <c r="AM99">
        <v>70</v>
      </c>
      <c r="AS99" t="str">
        <f t="shared" si="83"/>
        <v>Säbel</v>
      </c>
      <c r="AT99" t="str">
        <f t="shared" si="86"/>
        <v>Säbel</v>
      </c>
      <c r="AX99" t="s">
        <v>1938</v>
      </c>
      <c r="AY99">
        <v>6</v>
      </c>
      <c r="AZ99">
        <v>2</v>
      </c>
      <c r="BG99">
        <v>5</v>
      </c>
      <c r="BK99" t="s">
        <v>5397</v>
      </c>
      <c r="BL99">
        <v>14</v>
      </c>
      <c r="BM99">
        <v>25</v>
      </c>
      <c r="BN99" t="s">
        <v>5388</v>
      </c>
      <c r="BO99">
        <v>5</v>
      </c>
      <c r="BP99" t="s">
        <v>5398</v>
      </c>
      <c r="BQ99">
        <v>5</v>
      </c>
      <c r="BR99">
        <v>170</v>
      </c>
      <c r="BS99" t="s">
        <v>5399</v>
      </c>
      <c r="BT99">
        <v>12</v>
      </c>
      <c r="BU99">
        <v>50</v>
      </c>
      <c r="BW99">
        <v>4</v>
      </c>
      <c r="CA99" t="s">
        <v>5400</v>
      </c>
      <c r="CD99" t="s">
        <v>4271</v>
      </c>
      <c r="CE99" t="s">
        <v>375</v>
      </c>
      <c r="CF99" t="s">
        <v>378</v>
      </c>
      <c r="CG99" t="s">
        <v>4595</v>
      </c>
      <c r="CH99">
        <v>-1</v>
      </c>
      <c r="CI99" t="s">
        <v>4985</v>
      </c>
      <c r="CJ99" t="s">
        <v>899</v>
      </c>
      <c r="CK99" t="s">
        <v>2190</v>
      </c>
      <c r="CN99" t="str">
        <f ca="1">IF(AND(ISERR(FIND($CK99,Talente!$CI$41)),ISNA(VLOOKUP($CK99,$AH$51:$AH$55,1))),IF(AND(ISERR(FIND($CL99,Talente!$CI$41)),ISNA(VLOOKUP($CL99,$AH$51:$AH$55,1))),$CM99,$CL99),$CK99)</f>
        <v>Hiebwaffen</v>
      </c>
      <c r="CP99" t="s">
        <v>3844</v>
      </c>
      <c r="CQ99" t="s">
        <v>1433</v>
      </c>
      <c r="CR99">
        <v>18</v>
      </c>
      <c r="CS99" t="s">
        <v>3782</v>
      </c>
      <c r="CU99" t="s">
        <v>7155</v>
      </c>
      <c r="CW99" t="s">
        <v>1909</v>
      </c>
      <c r="CX99" t="s">
        <v>4584</v>
      </c>
      <c r="CY99" t="s">
        <v>74</v>
      </c>
      <c r="CZ99" t="s">
        <v>75</v>
      </c>
      <c r="DA99" t="s">
        <v>77</v>
      </c>
      <c r="DB99" t="s">
        <v>2042</v>
      </c>
      <c r="DC99" t="s">
        <v>7292</v>
      </c>
      <c r="DD99" t="s">
        <v>7359</v>
      </c>
      <c r="DE99" t="s">
        <v>3142</v>
      </c>
      <c r="DF99" t="s">
        <v>81</v>
      </c>
      <c r="DG99" t="s">
        <v>1955</v>
      </c>
      <c r="DH99" t="s">
        <v>6901</v>
      </c>
      <c r="DI99" t="s">
        <v>965</v>
      </c>
      <c r="DJ99">
        <v>2</v>
      </c>
      <c r="DK99">
        <f t="shared" si="72"/>
        <v>420</v>
      </c>
      <c r="DL99">
        <f t="shared" si="77"/>
        <v>97</v>
      </c>
      <c r="DM99">
        <v>88</v>
      </c>
      <c r="DN99" t="str">
        <f t="shared" ca="1" si="59"/>
        <v/>
      </c>
      <c r="DO99" t="str">
        <f t="shared" ca="1" si="60"/>
        <v/>
      </c>
      <c r="DP99" t="str">
        <f t="shared" ca="1" si="61"/>
        <v/>
      </c>
      <c r="DQ99" t="str">
        <f>IF(EXACT(Zauber!$A$250,""),"",IF(EXACT(RIGHT(HLOOKUP(Zauber!$A$250,PROFMAGIE,$DK99,FALSE)),"H"),CONCATENATE($CX99,","),""))</f>
        <v/>
      </c>
      <c r="DR99" t="str">
        <f t="shared" si="62"/>
        <v/>
      </c>
      <c r="DS99" t="str">
        <f>IF(ZS_IAAK="Ja",IF(EXACT(RIGHT(HLOOKUP(Tabellen_Magie!$IK$1,PROFMAGIE,$DK99,FALSE)),"H"),CONCATENATE($CX99,","),""),"")</f>
        <v/>
      </c>
      <c r="DT99" t="str">
        <f>IF(ZS_IAAK="Ja",IF(NOT(DS99=""),"",IF(OR(EXACT(RIGHT(HLOOKUP(Tabellen_Magie!$IK$1,PROFMAGIE,$DK99,FALSE)),"B"),EXACT(HLOOKUP(Tabellen_Magie!$IK$1,PROFMAGIE,$DK99,FALSE),"")),"",CONCATENATE($CX99,","))),"")</f>
        <v/>
      </c>
      <c r="DU99" t="str">
        <f t="shared" si="63"/>
        <v/>
      </c>
      <c r="DW99" t="s">
        <v>7452</v>
      </c>
      <c r="DX99" t="s">
        <v>4985</v>
      </c>
      <c r="DY99" t="s">
        <v>4985</v>
      </c>
      <c r="DZ99" t="s">
        <v>4985</v>
      </c>
      <c r="EB99" t="s">
        <v>1193</v>
      </c>
      <c r="ED99">
        <f t="shared" si="84"/>
        <v>150</v>
      </c>
      <c r="EE99" t="s">
        <v>1248</v>
      </c>
      <c r="EH99">
        <f t="shared" si="90"/>
        <v>3</v>
      </c>
      <c r="EI99">
        <v>150</v>
      </c>
      <c r="FD99" t="s">
        <v>1368</v>
      </c>
      <c r="FE99">
        <f t="shared" si="87"/>
        <v>300</v>
      </c>
      <c r="FF99">
        <f t="shared" si="37"/>
        <v>6</v>
      </c>
      <c r="FK99">
        <v>300</v>
      </c>
      <c r="FL99">
        <v>2</v>
      </c>
      <c r="FM99" t="b">
        <f t="shared" ca="1" si="88"/>
        <v>0</v>
      </c>
      <c r="FN99" t="b">
        <f t="shared" ca="1" si="89"/>
        <v>0</v>
      </c>
      <c r="GH99" t="s">
        <v>9323</v>
      </c>
      <c r="GI99" t="s">
        <v>1119</v>
      </c>
      <c r="GJ99">
        <v>2</v>
      </c>
      <c r="GK99" t="s">
        <v>1320</v>
      </c>
      <c r="GL99" t="s">
        <v>1976</v>
      </c>
      <c r="GM99" t="s">
        <v>1369</v>
      </c>
      <c r="GN99" t="s">
        <v>1690</v>
      </c>
      <c r="GO99" t="s">
        <v>9314</v>
      </c>
      <c r="GP99">
        <v>215</v>
      </c>
      <c r="GR99">
        <f t="shared" si="66"/>
        <v>448</v>
      </c>
      <c r="GU99" t="str">
        <f t="shared" ca="1" si="67"/>
        <v/>
      </c>
      <c r="GV99" t="str">
        <f t="shared" ca="1" si="68"/>
        <v/>
      </c>
      <c r="GW99" t="str">
        <f t="shared" ca="1" si="69"/>
        <v/>
      </c>
      <c r="GX99" t="str">
        <f t="shared" ca="1" si="70"/>
        <v/>
      </c>
      <c r="HE99" t="s">
        <v>4054</v>
      </c>
    </row>
    <row r="100" spans="1:220" ht="12.75" customHeight="1" x14ac:dyDescent="0.2">
      <c r="N100" t="s">
        <v>1676</v>
      </c>
      <c r="R100" t="s">
        <v>2127</v>
      </c>
      <c r="U100">
        <v>3</v>
      </c>
      <c r="Z100" t="s">
        <v>841</v>
      </c>
      <c r="AA100">
        <v>1</v>
      </c>
      <c r="AB100">
        <v>12</v>
      </c>
      <c r="AD100" t="s">
        <v>3995</v>
      </c>
      <c r="AM100">
        <v>80</v>
      </c>
      <c r="AS100" t="str">
        <f t="shared" si="83"/>
        <v>Schleuder</v>
      </c>
      <c r="AT100" t="str">
        <f t="shared" si="86"/>
        <v>Schleuder</v>
      </c>
      <c r="AX100" t="s">
        <v>4107</v>
      </c>
      <c r="AY100">
        <v>4</v>
      </c>
      <c r="AZ100">
        <v>1</v>
      </c>
      <c r="BA100" t="s">
        <v>3183</v>
      </c>
      <c r="BB100" t="s">
        <v>3184</v>
      </c>
      <c r="BC100" t="s">
        <v>3185</v>
      </c>
      <c r="BD100" t="s">
        <v>3186</v>
      </c>
      <c r="BG100">
        <v>5</v>
      </c>
      <c r="BK100" t="s">
        <v>5401</v>
      </c>
      <c r="BL100">
        <v>12</v>
      </c>
      <c r="BM100">
        <v>20</v>
      </c>
      <c r="BN100" t="s">
        <v>5388</v>
      </c>
      <c r="BO100">
        <v>5</v>
      </c>
      <c r="BP100" t="s">
        <v>5402</v>
      </c>
      <c r="BQ100">
        <v>3</v>
      </c>
      <c r="BR100">
        <v>90</v>
      </c>
      <c r="BS100" t="s">
        <v>5403</v>
      </c>
      <c r="BT100">
        <v>12</v>
      </c>
      <c r="BU100">
        <v>50</v>
      </c>
      <c r="BW100">
        <v>4</v>
      </c>
      <c r="CA100" t="s">
        <v>5404</v>
      </c>
      <c r="CD100" t="s">
        <v>3594</v>
      </c>
      <c r="CE100" t="s">
        <v>4558</v>
      </c>
      <c r="CF100" t="s">
        <v>4552</v>
      </c>
      <c r="CG100" t="s">
        <v>4555</v>
      </c>
      <c r="CH100">
        <v>-2</v>
      </c>
      <c r="CI100">
        <v>7</v>
      </c>
      <c r="CJ100" t="s">
        <v>4001</v>
      </c>
      <c r="CK100" t="s">
        <v>1957</v>
      </c>
      <c r="CN100" t="str">
        <f ca="1">IF(AND(ISERR(FIND($CK100,Talente!$CI$41)),ISNA(VLOOKUP($CK100,$AH$51:$AH$55,1))),IF(AND(ISERR(FIND($CL100,Talente!$CI$41)),ISNA(VLOOKUP($CL100,$AH$51:$AH$55,1))),$CM100,$CL100),$CK100)</f>
        <v>Dolche</v>
      </c>
      <c r="CP100" t="s">
        <v>3845</v>
      </c>
      <c r="CQ100" t="s">
        <v>1433</v>
      </c>
      <c r="CR100">
        <v>18</v>
      </c>
      <c r="CS100" t="s">
        <v>3779</v>
      </c>
      <c r="CU100" t="s">
        <v>7570</v>
      </c>
      <c r="CW100" t="s">
        <v>1917</v>
      </c>
      <c r="CX100" t="s">
        <v>2111</v>
      </c>
      <c r="CY100" t="s">
        <v>75</v>
      </c>
      <c r="CZ100" t="s">
        <v>75</v>
      </c>
      <c r="DA100" t="s">
        <v>750</v>
      </c>
      <c r="DB100" t="s">
        <v>1613</v>
      </c>
      <c r="DC100" t="s">
        <v>7289</v>
      </c>
      <c r="DD100" t="s">
        <v>1038</v>
      </c>
      <c r="DE100" t="s">
        <v>1321</v>
      </c>
      <c r="DF100" t="s">
        <v>81</v>
      </c>
      <c r="DG100" t="s">
        <v>1956</v>
      </c>
      <c r="DH100" t="s">
        <v>6902</v>
      </c>
      <c r="DI100" t="s">
        <v>3209</v>
      </c>
      <c r="DJ100">
        <v>2</v>
      </c>
      <c r="DK100">
        <f t="shared" si="72"/>
        <v>421</v>
      </c>
      <c r="DL100">
        <f t="shared" si="77"/>
        <v>98</v>
      </c>
      <c r="DM100">
        <v>89</v>
      </c>
      <c r="DN100" t="str">
        <f t="shared" ca="1" si="59"/>
        <v/>
      </c>
      <c r="DO100" t="str">
        <f t="shared" ca="1" si="60"/>
        <v/>
      </c>
      <c r="DP100" t="str">
        <f t="shared" ca="1" si="61"/>
        <v/>
      </c>
      <c r="DQ100" t="str">
        <f>IF(EXACT(Zauber!$A$250,""),"",IF(EXACT(RIGHT(HLOOKUP(Zauber!$A$250,PROFMAGIE,$DK100,FALSE)),"H"),CONCATENATE($CX100,","),""))</f>
        <v/>
      </c>
      <c r="DR100" t="str">
        <f t="shared" si="62"/>
        <v/>
      </c>
      <c r="DS100" t="str">
        <f>IF(ZS_IAAK="Ja",IF(EXACT(RIGHT(HLOOKUP(Tabellen_Magie!$IK$1,PROFMAGIE,$DK100,FALSE)),"H"),CONCATENATE($CX100,","),""),"")</f>
        <v/>
      </c>
      <c r="DT100" t="str">
        <f>IF(ZS_IAAK="Ja",IF(NOT(DS100=""),"",IF(OR(EXACT(RIGHT(HLOOKUP(Tabellen_Magie!$IK$1,PROFMAGIE,$DK100,FALSE)),"B"),EXACT(HLOOKUP(Tabellen_Magie!$IK$1,PROFMAGIE,$DK100,FALSE),"")),"",CONCATENATE($CX100,","))),"")</f>
        <v/>
      </c>
      <c r="DU100" t="str">
        <f t="shared" si="63"/>
        <v/>
      </c>
      <c r="DW100" t="s">
        <v>7453</v>
      </c>
      <c r="DX100" t="s">
        <v>4985</v>
      </c>
      <c r="DY100" t="s">
        <v>4985</v>
      </c>
      <c r="DZ100" t="s">
        <v>4985</v>
      </c>
      <c r="EB100" t="s">
        <v>1193</v>
      </c>
      <c r="ED100">
        <f t="shared" si="84"/>
        <v>150</v>
      </c>
      <c r="EE100" t="s">
        <v>1248</v>
      </c>
      <c r="EH100">
        <f t="shared" si="90"/>
        <v>3</v>
      </c>
      <c r="EI100">
        <v>150</v>
      </c>
      <c r="FD100" t="s">
        <v>1366</v>
      </c>
      <c r="FE100">
        <f t="shared" si="87"/>
        <v>300</v>
      </c>
      <c r="FF100">
        <f t="shared" si="37"/>
        <v>6</v>
      </c>
      <c r="FK100">
        <v>300</v>
      </c>
      <c r="FL100">
        <v>5</v>
      </c>
      <c r="FM100" t="b">
        <f t="shared" ca="1" si="88"/>
        <v>0</v>
      </c>
      <c r="FN100" t="b">
        <f t="shared" ca="1" si="89"/>
        <v>0</v>
      </c>
      <c r="GH100" t="s">
        <v>9324</v>
      </c>
      <c r="GI100" t="s">
        <v>1119</v>
      </c>
      <c r="GJ100">
        <v>2</v>
      </c>
      <c r="GK100" t="s">
        <v>1320</v>
      </c>
      <c r="GL100" t="s">
        <v>1976</v>
      </c>
      <c r="GM100" t="s">
        <v>9313</v>
      </c>
      <c r="GN100" t="s">
        <v>9325</v>
      </c>
      <c r="GO100" t="s">
        <v>9314</v>
      </c>
      <c r="GP100">
        <v>216</v>
      </c>
      <c r="GR100">
        <f t="shared" si="66"/>
        <v>449</v>
      </c>
      <c r="GU100" t="str">
        <f t="shared" ca="1" si="67"/>
        <v/>
      </c>
      <c r="GV100" t="str">
        <f t="shared" ca="1" si="68"/>
        <v/>
      </c>
      <c r="GW100" t="str">
        <f t="shared" ca="1" si="69"/>
        <v/>
      </c>
      <c r="GX100" t="str">
        <f t="shared" ca="1" si="70"/>
        <v/>
      </c>
      <c r="HE100" t="s">
        <v>4055</v>
      </c>
    </row>
    <row r="101" spans="1:220" ht="12.75" customHeight="1" x14ac:dyDescent="0.2">
      <c r="A101" t="s">
        <v>4536</v>
      </c>
      <c r="B101" t="s">
        <v>74</v>
      </c>
      <c r="C101" t="s">
        <v>76</v>
      </c>
      <c r="D101" t="s">
        <v>77</v>
      </c>
      <c r="E101" t="s">
        <v>1827</v>
      </c>
      <c r="F101" t="s">
        <v>1321</v>
      </c>
      <c r="L101" t="str">
        <f t="shared" ref="L101:L132" si="91">IF(VLOOKUP(A101,TL_SPEZ,18,FALSE)="","",VLOOKUP(A101,TL_SPEZ,18,FALSE))</f>
        <v/>
      </c>
      <c r="M101" t="str">
        <f t="shared" ref="M101:M132" si="92">IF(VLOOKUP($A101,TL_SPEZ,19,FALSE)="","",VLOOKUP($A101,TL_SPEZ,19,FALSE))</f>
        <v/>
      </c>
      <c r="N101" t="str">
        <f>CONCATENATE(A101,IF(L101="",""," ("&amp;L101),IF(M101="","","¦"&amp;M101),IF(L101="","",")"))</f>
        <v>Abrichten</v>
      </c>
      <c r="P101">
        <f t="shared" ref="P101:P151" si="93">VLOOKUP($A101,ZEILENBEZUG,2,FALSE)</f>
        <v>131</v>
      </c>
      <c r="R101" t="s">
        <v>2956</v>
      </c>
      <c r="U101">
        <v>25</v>
      </c>
      <c r="Z101" t="s">
        <v>3985</v>
      </c>
      <c r="AC101">
        <v>10</v>
      </c>
      <c r="AM101">
        <v>90</v>
      </c>
      <c r="AS101" t="str">
        <f t="shared" si="83"/>
        <v>Schwerter</v>
      </c>
      <c r="AT101" t="str">
        <f t="shared" si="86"/>
        <v>Schwerter</v>
      </c>
      <c r="AX101" t="s">
        <v>3908</v>
      </c>
      <c r="AY101">
        <v>4</v>
      </c>
      <c r="AZ101">
        <v>1</v>
      </c>
      <c r="BA101" t="s">
        <v>4394</v>
      </c>
      <c r="BB101" t="s">
        <v>2278</v>
      </c>
      <c r="BG101">
        <v>5</v>
      </c>
      <c r="BK101" t="s">
        <v>5405</v>
      </c>
      <c r="CD101" t="s">
        <v>4128</v>
      </c>
      <c r="CE101" t="s">
        <v>1625</v>
      </c>
      <c r="CF101" t="s">
        <v>4985</v>
      </c>
      <c r="CG101" t="s">
        <v>4129</v>
      </c>
      <c r="CH101">
        <v>-2</v>
      </c>
      <c r="CI101">
        <v>4</v>
      </c>
      <c r="CJ101" t="s">
        <v>1827</v>
      </c>
      <c r="CK101" t="s">
        <v>1530</v>
      </c>
      <c r="CN101" t="str">
        <f ca="1">IF(AND(ISERR(FIND($CK101,Talente!$CI$41)),ISNA(VLOOKUP($CK101,$AH$51:$AH$55,1))),IF(AND(ISERR(FIND($CL101,Talente!$CI$41)),ISNA(VLOOKUP($CL101,$AH$51:$AH$55,1))),$CM101,$CL101),$CK101)</f>
        <v>Speere</v>
      </c>
      <c r="CP101" t="s">
        <v>3473</v>
      </c>
      <c r="CQ101" t="s">
        <v>1433</v>
      </c>
      <c r="CR101">
        <v>21</v>
      </c>
      <c r="CS101" t="s">
        <v>3781</v>
      </c>
      <c r="CU101" t="s">
        <v>4606</v>
      </c>
      <c r="CW101" t="s">
        <v>1863</v>
      </c>
      <c r="CX101" t="s">
        <v>2112</v>
      </c>
      <c r="CY101" t="s">
        <v>76</v>
      </c>
      <c r="CZ101" t="s">
        <v>5030</v>
      </c>
      <c r="DA101" t="s">
        <v>752</v>
      </c>
      <c r="DC101" t="s">
        <v>7292</v>
      </c>
      <c r="DD101" t="s">
        <v>3138</v>
      </c>
      <c r="DE101" t="s">
        <v>3142</v>
      </c>
      <c r="DF101" t="s">
        <v>511</v>
      </c>
      <c r="DG101" t="s">
        <v>1955</v>
      </c>
      <c r="DH101" t="s">
        <v>6903</v>
      </c>
      <c r="DI101" t="s">
        <v>3214</v>
      </c>
      <c r="DJ101">
        <v>2</v>
      </c>
      <c r="DK101">
        <f t="shared" si="72"/>
        <v>422</v>
      </c>
      <c r="DL101">
        <f t="shared" si="77"/>
        <v>99</v>
      </c>
      <c r="DM101">
        <v>90</v>
      </c>
      <c r="DN101" t="str">
        <f t="shared" ca="1" si="59"/>
        <v/>
      </c>
      <c r="DO101" t="str">
        <f t="shared" ca="1" si="60"/>
        <v/>
      </c>
      <c r="DP101" t="str">
        <f t="shared" ca="1" si="61"/>
        <v/>
      </c>
      <c r="DQ101" t="str">
        <f>IF(EXACT(Zauber!$A$250,""),"",IF(EXACT(RIGHT(HLOOKUP(Zauber!$A$250,PROFMAGIE,$DK101,FALSE)),"H"),CONCATENATE($CX101,","),""))</f>
        <v/>
      </c>
      <c r="DR101" t="str">
        <f t="shared" si="62"/>
        <v/>
      </c>
      <c r="DS101" t="str">
        <f>IF(ZS_IAAK="Ja",IF(EXACT(RIGHT(HLOOKUP(Tabellen_Magie!$IK$1,PROFMAGIE,$DK101,FALSE)),"H"),CONCATENATE($CX101,","),""),"")</f>
        <v/>
      </c>
      <c r="DT101" t="str">
        <f>IF(ZS_IAAK="Ja",IF(NOT(DS101=""),"",IF(OR(EXACT(RIGHT(HLOOKUP(Tabellen_Magie!$IK$1,PROFMAGIE,$DK101,FALSE)),"B"),EXACT(HLOOKUP(Tabellen_Magie!$IK$1,PROFMAGIE,$DK101,FALSE),"")),"",CONCATENATE($CX101,","))),"")</f>
        <v/>
      </c>
      <c r="DU101" t="str">
        <f t="shared" si="63"/>
        <v/>
      </c>
      <c r="DV101" t="s">
        <v>2886</v>
      </c>
      <c r="DW101" t="s">
        <v>7454</v>
      </c>
      <c r="DX101" t="s">
        <v>4985</v>
      </c>
      <c r="DY101" t="s">
        <v>4985</v>
      </c>
      <c r="DZ101" t="s">
        <v>4985</v>
      </c>
      <c r="EB101" t="s">
        <v>1193</v>
      </c>
      <c r="ED101">
        <f t="shared" si="84"/>
        <v>150</v>
      </c>
      <c r="EE101" t="s">
        <v>1248</v>
      </c>
      <c r="EH101">
        <f t="shared" si="90"/>
        <v>3</v>
      </c>
      <c r="EI101">
        <v>150</v>
      </c>
      <c r="FD101" t="s">
        <v>3162</v>
      </c>
      <c r="FE101">
        <f t="shared" si="87"/>
        <v>200</v>
      </c>
      <c r="FF101">
        <f t="shared" si="37"/>
        <v>4</v>
      </c>
      <c r="FK101">
        <v>200</v>
      </c>
      <c r="FL101">
        <v>5</v>
      </c>
      <c r="FM101" t="b">
        <f t="shared" ca="1" si="88"/>
        <v>0</v>
      </c>
      <c r="FN101" t="b">
        <f t="shared" ca="1" si="89"/>
        <v>0</v>
      </c>
      <c r="GH101" t="s">
        <v>4832</v>
      </c>
      <c r="GI101" t="s">
        <v>1119</v>
      </c>
      <c r="GJ101">
        <v>2</v>
      </c>
      <c r="GK101" t="s">
        <v>4116</v>
      </c>
      <c r="GL101" t="s">
        <v>567</v>
      </c>
      <c r="GM101" t="s">
        <v>1982</v>
      </c>
      <c r="GN101" t="s">
        <v>1690</v>
      </c>
      <c r="GO101">
        <v>267</v>
      </c>
      <c r="GP101">
        <v>219</v>
      </c>
      <c r="GR101">
        <f t="shared" si="66"/>
        <v>450</v>
      </c>
      <c r="GU101" t="str">
        <f t="shared" ca="1" si="67"/>
        <v/>
      </c>
      <c r="GV101" t="str">
        <f t="shared" ca="1" si="68"/>
        <v/>
      </c>
      <c r="GW101" t="str">
        <f t="shared" ca="1" si="69"/>
        <v/>
      </c>
      <c r="GX101" t="str">
        <f t="shared" ca="1" si="70"/>
        <v/>
      </c>
      <c r="HE101" t="s">
        <v>1397</v>
      </c>
    </row>
    <row r="102" spans="1:220" x14ac:dyDescent="0.2">
      <c r="A102" t="s">
        <v>4537</v>
      </c>
      <c r="B102" t="s">
        <v>76</v>
      </c>
      <c r="C102" t="s">
        <v>750</v>
      </c>
      <c r="D102" t="s">
        <v>5030</v>
      </c>
      <c r="E102" t="s">
        <v>1320</v>
      </c>
      <c r="F102" t="s">
        <v>1321</v>
      </c>
      <c r="L102" t="str">
        <f t="shared" si="91"/>
        <v/>
      </c>
      <c r="M102" t="str">
        <f t="shared" si="92"/>
        <v/>
      </c>
      <c r="N102" t="str">
        <f t="shared" ref="N102:N151" si="94">CONCATENATE(A102,IF(L102="",""," ("&amp;L102),IF(M102="","","¦"&amp;M102),IF(L102="","",")"))</f>
        <v>Ackerbau</v>
      </c>
      <c r="P102">
        <f t="shared" si="93"/>
        <v>132</v>
      </c>
      <c r="R102" t="s">
        <v>2957</v>
      </c>
      <c r="S102">
        <v>5</v>
      </c>
      <c r="T102">
        <v>3</v>
      </c>
      <c r="Z102" t="s">
        <v>842</v>
      </c>
      <c r="AA102">
        <v>1</v>
      </c>
      <c r="AB102">
        <v>12</v>
      </c>
      <c r="AD102" t="s">
        <v>3995</v>
      </c>
      <c r="AH102" t="s">
        <v>1646</v>
      </c>
      <c r="AI102" t="s">
        <v>158</v>
      </c>
      <c r="AJ102" t="s">
        <v>159</v>
      </c>
      <c r="AM102">
        <v>100</v>
      </c>
      <c r="AS102" t="str">
        <f t="shared" si="83"/>
        <v>Speere</v>
      </c>
      <c r="AT102" t="str">
        <f t="shared" si="86"/>
        <v>Speere</v>
      </c>
      <c r="AX102" t="s">
        <v>3318</v>
      </c>
      <c r="AY102">
        <v>4</v>
      </c>
      <c r="AZ102">
        <v>1</v>
      </c>
      <c r="BA102" t="s">
        <v>209</v>
      </c>
      <c r="BB102" t="s">
        <v>210</v>
      </c>
      <c r="BC102" t="s">
        <v>211</v>
      </c>
      <c r="BD102" t="s">
        <v>212</v>
      </c>
      <c r="BG102">
        <v>5</v>
      </c>
      <c r="BK102" t="s">
        <v>5406</v>
      </c>
      <c r="BM102" t="s">
        <v>2989</v>
      </c>
      <c r="BY102" t="s">
        <v>5407</v>
      </c>
      <c r="CD102" t="s">
        <v>4625</v>
      </c>
      <c r="CE102" t="s">
        <v>1209</v>
      </c>
      <c r="CF102" t="s">
        <v>271</v>
      </c>
      <c r="CG102" t="s">
        <v>3234</v>
      </c>
      <c r="CH102">
        <v>-2</v>
      </c>
      <c r="CI102">
        <v>4</v>
      </c>
      <c r="CJ102" t="s">
        <v>4001</v>
      </c>
      <c r="CK102" t="s">
        <v>1957</v>
      </c>
      <c r="CN102" t="str">
        <f ca="1">IF(AND(ISERR(FIND($CK102,Talente!$CI$41)),ISNA(VLOOKUP($CK102,$AH$51:$AH$55,1))),IF(AND(ISERR(FIND($CL102,Talente!$CI$41)),ISNA(VLOOKUP($CL102,$AH$51:$AH$55,1))),$CM102,$CL102),$CK102)</f>
        <v>Dolche</v>
      </c>
      <c r="CP102" t="s">
        <v>524</v>
      </c>
      <c r="CQ102" t="s">
        <v>1433</v>
      </c>
      <c r="CR102">
        <v>15</v>
      </c>
      <c r="CS102" t="s">
        <v>524</v>
      </c>
      <c r="CU102" t="s">
        <v>4607</v>
      </c>
      <c r="CW102" t="s">
        <v>1864</v>
      </c>
      <c r="CX102" t="s">
        <v>1413</v>
      </c>
      <c r="CY102" t="s">
        <v>75</v>
      </c>
      <c r="CZ102" t="s">
        <v>750</v>
      </c>
      <c r="DA102" t="s">
        <v>5030</v>
      </c>
      <c r="DC102" t="s">
        <v>7294</v>
      </c>
      <c r="DD102" t="s">
        <v>654</v>
      </c>
      <c r="DE102" t="s">
        <v>655</v>
      </c>
      <c r="DF102" t="s">
        <v>81</v>
      </c>
      <c r="DG102" t="s">
        <v>1956</v>
      </c>
      <c r="DH102" t="s">
        <v>8411</v>
      </c>
      <c r="DI102" t="s">
        <v>2892</v>
      </c>
      <c r="DJ102">
        <v>2</v>
      </c>
      <c r="DK102">
        <f t="shared" si="72"/>
        <v>423</v>
      </c>
      <c r="DL102">
        <f t="shared" si="77"/>
        <v>100</v>
      </c>
      <c r="DM102">
        <v>122</v>
      </c>
      <c r="DN102" t="str">
        <f t="shared" ca="1" si="59"/>
        <v/>
      </c>
      <c r="DO102" t="str">
        <f t="shared" ca="1" si="60"/>
        <v/>
      </c>
      <c r="DP102" t="str">
        <f t="shared" ca="1" si="61"/>
        <v/>
      </c>
      <c r="DQ102" t="str">
        <f>IF(EXACT(Zauber!$A$250,""),"",IF(EXACT(RIGHT(HLOOKUP(Zauber!$A$250,PROFMAGIE,$DK102,FALSE)),"H"),CONCATENATE($CX102,","),""))</f>
        <v/>
      </c>
      <c r="DR102" t="str">
        <f t="shared" si="62"/>
        <v/>
      </c>
      <c r="DS102" t="str">
        <f>IF(ZS_IAAK="Ja",IF(EXACT(RIGHT(HLOOKUP(Tabellen_Magie!$IK$1,PROFMAGIE,$DK102,FALSE)),"H"),CONCATENATE($CX102,","),""),"")</f>
        <v/>
      </c>
      <c r="DT102" t="str">
        <f>IF(ZS_IAAK="Ja",IF(NOT(DS102=""),"",IF(OR(EXACT(RIGHT(HLOOKUP(Tabellen_Magie!$IK$1,PROFMAGIE,$DK102,FALSE)),"B"),EXACT(HLOOKUP(Tabellen_Magie!$IK$1,PROFMAGIE,$DK102,FALSE),"")),"",CONCATENATE($CX102,","))),"")</f>
        <v/>
      </c>
      <c r="DU102" t="str">
        <f t="shared" si="63"/>
        <v/>
      </c>
      <c r="DW102" t="s">
        <v>7455</v>
      </c>
      <c r="DX102" t="s">
        <v>4985</v>
      </c>
      <c r="DY102" t="s">
        <v>4985</v>
      </c>
      <c r="DZ102" t="s">
        <v>4985</v>
      </c>
      <c r="EB102" t="s">
        <v>1193</v>
      </c>
      <c r="ED102">
        <f t="shared" si="84"/>
        <v>150</v>
      </c>
      <c r="EE102" t="s">
        <v>1248</v>
      </c>
      <c r="EH102">
        <f t="shared" si="90"/>
        <v>3</v>
      </c>
      <c r="EI102">
        <v>150</v>
      </c>
      <c r="FD102" t="s">
        <v>3670</v>
      </c>
      <c r="FE102" t="s">
        <v>4006</v>
      </c>
      <c r="FG102" t="s">
        <v>2863</v>
      </c>
      <c r="FK102" t="s">
        <v>4006</v>
      </c>
      <c r="FL102" t="s">
        <v>4912</v>
      </c>
      <c r="GH102" t="s">
        <v>4833</v>
      </c>
      <c r="GI102" t="s">
        <v>1119</v>
      </c>
      <c r="GJ102">
        <v>2</v>
      </c>
      <c r="GK102" t="s">
        <v>1320</v>
      </c>
      <c r="GL102" t="s">
        <v>567</v>
      </c>
      <c r="GM102" t="s">
        <v>1983</v>
      </c>
      <c r="GN102" t="s">
        <v>1974</v>
      </c>
      <c r="GO102">
        <v>282</v>
      </c>
      <c r="GP102">
        <v>222</v>
      </c>
      <c r="GR102">
        <f t="shared" si="66"/>
        <v>451</v>
      </c>
      <c r="GU102" t="str">
        <f t="shared" ca="1" si="67"/>
        <v/>
      </c>
      <c r="GV102" t="str">
        <f t="shared" ca="1" si="68"/>
        <v/>
      </c>
      <c r="GW102" t="str">
        <f t="shared" ca="1" si="69"/>
        <v/>
      </c>
      <c r="GX102" t="str">
        <f t="shared" ca="1" si="70"/>
        <v/>
      </c>
      <c r="HE102" t="s">
        <v>3333</v>
      </c>
    </row>
    <row r="103" spans="1:220" x14ac:dyDescent="0.2">
      <c r="A103" t="s">
        <v>8394</v>
      </c>
      <c r="B103" t="s">
        <v>74</v>
      </c>
      <c r="C103" t="s">
        <v>75</v>
      </c>
      <c r="D103" t="s">
        <v>750</v>
      </c>
      <c r="E103" t="s">
        <v>1320</v>
      </c>
      <c r="F103" t="s">
        <v>1321</v>
      </c>
      <c r="L103" t="str">
        <f t="shared" si="91"/>
        <v/>
      </c>
      <c r="M103" t="str">
        <f t="shared" si="92"/>
        <v/>
      </c>
      <c r="N103" t="str">
        <f t="shared" si="94"/>
        <v>Alchimie</v>
      </c>
      <c r="P103">
        <f t="shared" si="93"/>
        <v>133</v>
      </c>
      <c r="R103" t="s">
        <v>4874</v>
      </c>
      <c r="U103">
        <v>3</v>
      </c>
      <c r="W103" t="s">
        <v>4593</v>
      </c>
      <c r="Z103" t="s">
        <v>3654</v>
      </c>
      <c r="AC103">
        <v>5</v>
      </c>
      <c r="AH103" t="s">
        <v>77</v>
      </c>
      <c r="AJ103">
        <v>10</v>
      </c>
      <c r="AS103" t="str">
        <f t="shared" si="83"/>
        <v>Stäbe</v>
      </c>
      <c r="AT103" t="str">
        <f t="shared" si="86"/>
        <v>Stäbe</v>
      </c>
      <c r="AX103" t="s">
        <v>1552</v>
      </c>
      <c r="AY103">
        <v>4</v>
      </c>
      <c r="AZ103">
        <v>1</v>
      </c>
      <c r="BA103" t="s">
        <v>4985</v>
      </c>
      <c r="BG103">
        <v>5</v>
      </c>
      <c r="BK103" t="s">
        <v>5408</v>
      </c>
      <c r="BM103" t="s">
        <v>1160</v>
      </c>
      <c r="BZ103" t="s">
        <v>5407</v>
      </c>
      <c r="CD103" t="s">
        <v>4626</v>
      </c>
      <c r="CE103" t="s">
        <v>5091</v>
      </c>
      <c r="CF103" t="s">
        <v>919</v>
      </c>
      <c r="CG103" t="s">
        <v>898</v>
      </c>
      <c r="CH103">
        <v>0</v>
      </c>
      <c r="CI103">
        <v>3</v>
      </c>
      <c r="CJ103" t="s">
        <v>899</v>
      </c>
      <c r="CK103" t="s">
        <v>2190</v>
      </c>
      <c r="CN103" t="str">
        <f ca="1">IF(AND(ISERR(FIND($CK103,Talente!$CI$41)),ISNA(VLOOKUP($CK103,$AH$51:$AH$55,1))),IF(AND(ISERR(FIND($CL103,Talente!$CI$41)),ISNA(VLOOKUP($CL103,$AH$51:$AH$55,1))),$CM103,$CL103),$CK103)</f>
        <v>Hiebwaffen</v>
      </c>
      <c r="CP103" t="s">
        <v>3846</v>
      </c>
      <c r="CQ103" t="s">
        <v>1433</v>
      </c>
      <c r="CR103">
        <v>20</v>
      </c>
      <c r="CS103" t="s">
        <v>3847</v>
      </c>
      <c r="CU103" t="s">
        <v>7157</v>
      </c>
      <c r="CW103" t="s">
        <v>1873</v>
      </c>
      <c r="CX103" t="s">
        <v>1414</v>
      </c>
      <c r="CY103" t="s">
        <v>74</v>
      </c>
      <c r="CZ103" t="s">
        <v>76</v>
      </c>
      <c r="DA103" t="s">
        <v>5030</v>
      </c>
      <c r="DC103" t="s">
        <v>7297</v>
      </c>
      <c r="DD103" t="s">
        <v>656</v>
      </c>
      <c r="DE103" t="s">
        <v>657</v>
      </c>
      <c r="DF103" t="s">
        <v>81</v>
      </c>
      <c r="DG103" t="s">
        <v>1955</v>
      </c>
      <c r="DH103" t="s">
        <v>8412</v>
      </c>
      <c r="DI103" t="s">
        <v>2893</v>
      </c>
      <c r="DJ103">
        <v>2</v>
      </c>
      <c r="DK103">
        <f t="shared" si="72"/>
        <v>424</v>
      </c>
      <c r="DL103">
        <f t="shared" si="77"/>
        <v>101</v>
      </c>
      <c r="DM103">
        <v>124</v>
      </c>
      <c r="DN103" t="str">
        <f t="shared" ca="1" si="59"/>
        <v/>
      </c>
      <c r="DO103" t="str">
        <f t="shared" ca="1" si="60"/>
        <v/>
      </c>
      <c r="DP103" t="str">
        <f t="shared" ca="1" si="61"/>
        <v/>
      </c>
      <c r="DQ103" t="str">
        <f>IF(EXACT(Zauber!$A$250,""),"",IF(EXACT(RIGHT(HLOOKUP(Zauber!$A$250,PROFMAGIE,$DK103,FALSE)),"H"),CONCATENATE($CX103,","),""))</f>
        <v/>
      </c>
      <c r="DR103" t="str">
        <f t="shared" si="62"/>
        <v/>
      </c>
      <c r="DS103" t="str">
        <f>IF(ZS_IAAK="Ja",IF(EXACT(RIGHT(HLOOKUP(Tabellen_Magie!$IK$1,PROFMAGIE,$DK103,FALSE)),"H"),CONCATENATE($CX103,","),""),"")</f>
        <v/>
      </c>
      <c r="DT103" t="str">
        <f>IF(ZS_IAAK="Ja",IF(NOT(DS103=""),"",IF(OR(EXACT(RIGHT(HLOOKUP(Tabellen_Magie!$IK$1,PROFMAGIE,$DK103,FALSE)),"B"),EXACT(HLOOKUP(Tabellen_Magie!$IK$1,PROFMAGIE,$DK103,FALSE),"")),"",CONCATENATE($CX103,","))),"")</f>
        <v/>
      </c>
      <c r="DU103" t="str">
        <f t="shared" si="63"/>
        <v/>
      </c>
      <c r="DW103" t="s">
        <v>7456</v>
      </c>
      <c r="DX103" t="s">
        <v>4985</v>
      </c>
      <c r="DY103" t="s">
        <v>4985</v>
      </c>
      <c r="DZ103" t="s">
        <v>4985</v>
      </c>
      <c r="EB103" t="s">
        <v>1193</v>
      </c>
      <c r="ED103">
        <f t="shared" si="84"/>
        <v>150</v>
      </c>
      <c r="EE103" t="s">
        <v>1248</v>
      </c>
      <c r="EH103">
        <f t="shared" si="90"/>
        <v>3</v>
      </c>
      <c r="EI103">
        <v>150</v>
      </c>
      <c r="GH103" t="s">
        <v>4834</v>
      </c>
      <c r="GI103" t="s">
        <v>1119</v>
      </c>
      <c r="GJ103">
        <v>2</v>
      </c>
      <c r="GK103" t="s">
        <v>1320</v>
      </c>
      <c r="GL103" t="s">
        <v>1978</v>
      </c>
      <c r="GM103" t="s">
        <v>1985</v>
      </c>
      <c r="GN103" t="s">
        <v>1974</v>
      </c>
      <c r="GO103">
        <v>257</v>
      </c>
      <c r="GP103">
        <v>224</v>
      </c>
      <c r="GR103">
        <f t="shared" si="66"/>
        <v>452</v>
      </c>
      <c r="GS103">
        <v>6</v>
      </c>
      <c r="GU103" t="str">
        <f t="shared" ca="1" si="67"/>
        <v/>
      </c>
      <c r="GV103" t="str">
        <f t="shared" ca="1" si="68"/>
        <v/>
      </c>
      <c r="GW103" t="str">
        <f t="shared" ca="1" si="69"/>
        <v/>
      </c>
      <c r="GX103" t="str">
        <f t="shared" ca="1" si="70"/>
        <v/>
      </c>
    </row>
    <row r="104" spans="1:220" x14ac:dyDescent="0.2">
      <c r="A104" t="s">
        <v>4538</v>
      </c>
      <c r="B104" t="s">
        <v>76</v>
      </c>
      <c r="C104" t="s">
        <v>5030</v>
      </c>
      <c r="D104" t="s">
        <v>752</v>
      </c>
      <c r="E104" t="s">
        <v>1320</v>
      </c>
      <c r="F104" t="s">
        <v>1321</v>
      </c>
      <c r="L104" t="str">
        <f t="shared" si="91"/>
        <v/>
      </c>
      <c r="M104" t="str">
        <f t="shared" si="92"/>
        <v/>
      </c>
      <c r="N104" t="str">
        <f t="shared" si="94"/>
        <v>Bergbau</v>
      </c>
      <c r="P104">
        <f t="shared" si="93"/>
        <v>134</v>
      </c>
      <c r="R104" t="s">
        <v>2123</v>
      </c>
      <c r="U104">
        <v>7</v>
      </c>
      <c r="Z104" t="s">
        <v>843</v>
      </c>
      <c r="AA104">
        <v>0.5</v>
      </c>
      <c r="AB104">
        <v>12</v>
      </c>
      <c r="AD104" t="s">
        <v>3995</v>
      </c>
      <c r="AH104" t="s">
        <v>750</v>
      </c>
      <c r="AJ104">
        <v>10</v>
      </c>
      <c r="AS104" t="str">
        <f t="shared" si="83"/>
        <v>Wurfbeile</v>
      </c>
      <c r="AT104" t="str">
        <f t="shared" si="86"/>
        <v>Wurfbeile</v>
      </c>
      <c r="AX104" t="s">
        <v>4108</v>
      </c>
      <c r="AY104">
        <v>6</v>
      </c>
      <c r="AZ104">
        <v>2</v>
      </c>
      <c r="BA104" t="s">
        <v>3190</v>
      </c>
      <c r="BB104" t="s">
        <v>3187</v>
      </c>
      <c r="BC104" t="s">
        <v>3188</v>
      </c>
      <c r="BD104" t="s">
        <v>3189</v>
      </c>
      <c r="BG104">
        <v>5</v>
      </c>
      <c r="BK104" t="s">
        <v>5409</v>
      </c>
      <c r="BN104" t="s">
        <v>1281</v>
      </c>
      <c r="BO104" t="s">
        <v>2246</v>
      </c>
      <c r="BP104" t="s">
        <v>5410</v>
      </c>
      <c r="BR104">
        <v>30</v>
      </c>
      <c r="BU104">
        <v>10</v>
      </c>
      <c r="CA104" t="s">
        <v>5411</v>
      </c>
      <c r="CD104" t="s">
        <v>4627</v>
      </c>
      <c r="CE104" t="s">
        <v>904</v>
      </c>
      <c r="CF104" t="s">
        <v>902</v>
      </c>
      <c r="CG104" t="s">
        <v>4550</v>
      </c>
      <c r="CH104">
        <v>-1</v>
      </c>
      <c r="CI104">
        <v>2</v>
      </c>
      <c r="CJ104" t="s">
        <v>899</v>
      </c>
      <c r="CK104" t="s">
        <v>1525</v>
      </c>
      <c r="CN104" t="str">
        <f ca="1">IF(AND(ISERR(FIND($CK104,Talente!$CI$41)),ISNA(VLOOKUP($CK104,$AH$51:$AH$55,1))),IF(AND(ISERR(FIND($CL104,Talente!$CI$41)),ISNA(VLOOKUP($CL104,$AH$51:$AH$55,1))),$CM104,$CL104),$CK104)</f>
        <v>Kettenwaffen</v>
      </c>
      <c r="CP104" t="s">
        <v>3848</v>
      </c>
      <c r="CQ104" t="s">
        <v>1433</v>
      </c>
      <c r="CR104">
        <v>18</v>
      </c>
      <c r="CS104" t="s">
        <v>3779</v>
      </c>
      <c r="CU104" t="s">
        <v>4281</v>
      </c>
      <c r="CW104" t="s">
        <v>1921</v>
      </c>
      <c r="CX104" t="s">
        <v>2113</v>
      </c>
      <c r="CY104" t="s">
        <v>76</v>
      </c>
      <c r="CZ104" t="s">
        <v>751</v>
      </c>
      <c r="DA104" t="s">
        <v>5030</v>
      </c>
      <c r="DC104" t="s">
        <v>7299</v>
      </c>
      <c r="DD104" t="s">
        <v>7347</v>
      </c>
      <c r="DE104" t="s">
        <v>3380</v>
      </c>
      <c r="DF104" t="s">
        <v>81</v>
      </c>
      <c r="DG104" t="s">
        <v>1956</v>
      </c>
      <c r="DH104" t="s">
        <v>6904</v>
      </c>
      <c r="DI104" t="s">
        <v>3357</v>
      </c>
      <c r="DJ104">
        <v>2</v>
      </c>
      <c r="DK104">
        <f t="shared" si="72"/>
        <v>425</v>
      </c>
      <c r="DL104">
        <f t="shared" si="77"/>
        <v>102</v>
      </c>
      <c r="DM104">
        <v>91</v>
      </c>
      <c r="DN104" t="str">
        <f t="shared" ca="1" si="59"/>
        <v/>
      </c>
      <c r="DO104" t="str">
        <f t="shared" ca="1" si="60"/>
        <v/>
      </c>
      <c r="DP104" t="str">
        <f t="shared" ca="1" si="61"/>
        <v/>
      </c>
      <c r="DQ104" t="str">
        <f>IF(EXACT(Zauber!$A$250,""),"",IF(EXACT(RIGHT(HLOOKUP(Zauber!$A$250,PROFMAGIE,$DK104,FALSE)),"H"),CONCATENATE($CX104,","),""))</f>
        <v/>
      </c>
      <c r="DR104" t="str">
        <f t="shared" si="62"/>
        <v/>
      </c>
      <c r="DS104" t="str">
        <f>IF(ZS_IAAK="Ja",IF(EXACT(RIGHT(HLOOKUP(Tabellen_Magie!$IK$1,PROFMAGIE,$DK104,FALSE)),"H"),CONCATENATE($CX104,","),""),"")</f>
        <v/>
      </c>
      <c r="DT104" t="str">
        <f>IF(ZS_IAAK="Ja",IF(NOT(DS104=""),"",IF(OR(EXACT(RIGHT(HLOOKUP(Tabellen_Magie!$IK$1,PROFMAGIE,$DK104,FALSE)),"B"),EXACT(HLOOKUP(Tabellen_Magie!$IK$1,PROFMAGIE,$DK104,FALSE),"")),"",CONCATENATE($CX104,","))),"")</f>
        <v/>
      </c>
      <c r="DU104" t="str">
        <f t="shared" si="63"/>
        <v/>
      </c>
      <c r="DW104" t="s">
        <v>7457</v>
      </c>
      <c r="DX104" t="s">
        <v>4985</v>
      </c>
      <c r="DY104" t="s">
        <v>4985</v>
      </c>
      <c r="DZ104" t="s">
        <v>4985</v>
      </c>
      <c r="EB104" t="s">
        <v>1193</v>
      </c>
      <c r="ED104">
        <f t="shared" si="84"/>
        <v>150</v>
      </c>
      <c r="EE104" t="s">
        <v>1248</v>
      </c>
      <c r="EH104">
        <f t="shared" si="90"/>
        <v>3</v>
      </c>
      <c r="EI104">
        <v>150</v>
      </c>
      <c r="FD104" t="s">
        <v>3671</v>
      </c>
      <c r="FE104">
        <f>ROUND(FK104*IF(NT_ELFWELT,IF(FN104,1,1.5),1),0)</f>
        <v>150</v>
      </c>
      <c r="FF104">
        <f>ROUND(FE104/50,0)</f>
        <v>3</v>
      </c>
      <c r="FK104">
        <v>150</v>
      </c>
      <c r="FL104">
        <v>7</v>
      </c>
      <c r="FM104" t="b">
        <f t="shared" ref="FM104:FM123" ca="1" si="95">IF(OR(IF(NOT(ISNA(VLOOKUP(FD104,SF_Verbilligt_Left,3,FALSE))),VLOOKUP(FD104,SF_Verbilligt_Left,3,FALSE)="x",FALSE),IF(NOT(ISNA(VLOOKUP(FD104,SF_Verbilligt_Right,8,FALSE))),VLOOKUP(FD104,SF_Verbilligt_Right,8,FALSE)="x",FALSE)),TRUE,FALSE)</f>
        <v>0</v>
      </c>
      <c r="FN104" t="b">
        <f t="shared" ref="FN104:FN123" ca="1" si="96">OR(FM104,NOT(ISERROR(FIND(FD104,$FN$3,1))))</f>
        <v>0</v>
      </c>
      <c r="GH104" t="s">
        <v>9326</v>
      </c>
      <c r="GI104" t="s">
        <v>1119</v>
      </c>
      <c r="GJ104">
        <v>2</v>
      </c>
      <c r="GK104" t="s">
        <v>1320</v>
      </c>
      <c r="GL104" t="s">
        <v>1976</v>
      </c>
      <c r="GM104" t="s">
        <v>1369</v>
      </c>
      <c r="GN104" t="s">
        <v>1690</v>
      </c>
      <c r="GO104" t="s">
        <v>9314</v>
      </c>
      <c r="GP104">
        <v>227</v>
      </c>
      <c r="GR104">
        <f t="shared" si="66"/>
        <v>453</v>
      </c>
      <c r="GU104" t="str">
        <f t="shared" ca="1" si="67"/>
        <v/>
      </c>
      <c r="GV104" t="str">
        <f t="shared" ca="1" si="68"/>
        <v/>
      </c>
      <c r="GW104" t="str">
        <f t="shared" ca="1" si="69"/>
        <v/>
      </c>
      <c r="GX104" t="str">
        <f t="shared" ca="1" si="70"/>
        <v/>
      </c>
    </row>
    <row r="105" spans="1:220" x14ac:dyDescent="0.2">
      <c r="A105" t="s">
        <v>3239</v>
      </c>
      <c r="B105" t="s">
        <v>75</v>
      </c>
      <c r="C105" t="s">
        <v>76</v>
      </c>
      <c r="D105" t="s">
        <v>750</v>
      </c>
      <c r="E105" t="s">
        <v>1320</v>
      </c>
      <c r="F105" t="s">
        <v>1321</v>
      </c>
      <c r="L105" t="str">
        <f t="shared" si="91"/>
        <v/>
      </c>
      <c r="M105" t="str">
        <f t="shared" si="92"/>
        <v/>
      </c>
      <c r="N105" t="str">
        <f t="shared" si="94"/>
        <v>Bogenbau</v>
      </c>
      <c r="P105">
        <f t="shared" si="93"/>
        <v>135</v>
      </c>
      <c r="R105" t="s">
        <v>4086</v>
      </c>
      <c r="U105">
        <v>7</v>
      </c>
      <c r="Z105" t="s">
        <v>3986</v>
      </c>
      <c r="AA105">
        <v>1</v>
      </c>
      <c r="AB105">
        <v>12</v>
      </c>
      <c r="AD105" t="s">
        <v>3995</v>
      </c>
      <c r="AH105" t="s">
        <v>751</v>
      </c>
      <c r="AJ105">
        <v>10</v>
      </c>
      <c r="AS105" t="str">
        <f t="shared" si="83"/>
        <v>Wurfmesser</v>
      </c>
      <c r="AT105" t="str">
        <f t="shared" si="86"/>
        <v>Wurfmesser</v>
      </c>
      <c r="AX105" t="s">
        <v>720</v>
      </c>
      <c r="AY105">
        <v>4</v>
      </c>
      <c r="AZ105">
        <v>1</v>
      </c>
      <c r="BA105" t="s">
        <v>186</v>
      </c>
      <c r="BB105" t="s">
        <v>187</v>
      </c>
      <c r="BC105" t="s">
        <v>698</v>
      </c>
      <c r="BG105">
        <v>5</v>
      </c>
      <c r="BK105" t="s">
        <v>5412</v>
      </c>
      <c r="CD105" t="s">
        <v>4628</v>
      </c>
      <c r="CE105" t="s">
        <v>5091</v>
      </c>
      <c r="CF105" t="s">
        <v>378</v>
      </c>
      <c r="CG105" t="s">
        <v>898</v>
      </c>
      <c r="CH105">
        <v>2</v>
      </c>
      <c r="CI105">
        <v>0</v>
      </c>
      <c r="CJ105" t="s">
        <v>899</v>
      </c>
      <c r="CK105" t="s">
        <v>1829</v>
      </c>
      <c r="CL105" t="s">
        <v>1938</v>
      </c>
      <c r="CN105" t="str">
        <f ca="1">IF(AND(ISERR(FIND($CK105,Talente!$CI$41)),ISNA(VLOOKUP($CK105,$AH$51:$AH$55,1))),IF(AND(ISERR(FIND($CL105,Talente!$CI$41)),ISNA(VLOOKUP($CL105,$AH$51:$AH$55,1))),$CM105,$CL105),$CK105)</f>
        <v>Schwerter</v>
      </c>
      <c r="CP105" t="s">
        <v>2779</v>
      </c>
      <c r="CQ105" t="s">
        <v>1433</v>
      </c>
      <c r="CR105">
        <v>15</v>
      </c>
      <c r="CS105" t="s">
        <v>3783</v>
      </c>
      <c r="CU105" t="s">
        <v>4608</v>
      </c>
      <c r="CW105" t="s">
        <v>1922</v>
      </c>
      <c r="CX105" t="s">
        <v>2114</v>
      </c>
      <c r="CY105" t="s">
        <v>75</v>
      </c>
      <c r="CZ105" t="s">
        <v>76</v>
      </c>
      <c r="DA105" t="s">
        <v>5030</v>
      </c>
      <c r="DC105" t="s">
        <v>7299</v>
      </c>
      <c r="DD105" t="s">
        <v>4150</v>
      </c>
      <c r="DE105" t="s">
        <v>3142</v>
      </c>
      <c r="DF105" t="s">
        <v>2841</v>
      </c>
      <c r="DG105" t="s">
        <v>1955</v>
      </c>
      <c r="DH105" t="s">
        <v>6905</v>
      </c>
      <c r="DI105" t="s">
        <v>2842</v>
      </c>
      <c r="DJ105">
        <v>2</v>
      </c>
      <c r="DK105">
        <f t="shared" si="72"/>
        <v>426</v>
      </c>
      <c r="DL105">
        <f t="shared" si="77"/>
        <v>103</v>
      </c>
      <c r="DM105">
        <v>92</v>
      </c>
      <c r="DN105" t="str">
        <f t="shared" ca="1" si="59"/>
        <v/>
      </c>
      <c r="DO105" t="str">
        <f t="shared" ca="1" si="60"/>
        <v/>
      </c>
      <c r="DP105" t="str">
        <f t="shared" ca="1" si="61"/>
        <v/>
      </c>
      <c r="DQ105" t="str">
        <f>IF(EXACT(Zauber!$A$250,""),"",IF(EXACT(RIGHT(HLOOKUP(Zauber!$A$250,PROFMAGIE,$DK105,FALSE)),"H"),CONCATENATE($CX105,","),""))</f>
        <v/>
      </c>
      <c r="DR105" t="str">
        <f t="shared" si="62"/>
        <v/>
      </c>
      <c r="DS105" t="str">
        <f>IF(ZS_IAAK="Ja",IF(EXACT(RIGHT(HLOOKUP(Tabellen_Magie!$IK$1,PROFMAGIE,$DK105,FALSE)),"H"),CONCATENATE($CX105,","),""),"")</f>
        <v/>
      </c>
      <c r="DT105" t="str">
        <f>IF(ZS_IAAK="Ja",IF(NOT(DS105=""),"",IF(OR(EXACT(RIGHT(HLOOKUP(Tabellen_Magie!$IK$1,PROFMAGIE,$DK105,FALSE)),"B"),EXACT(HLOOKUP(Tabellen_Magie!$IK$1,PROFMAGIE,$DK105,FALSE),"")),"",CONCATENATE($CX105,","))),"")</f>
        <v/>
      </c>
      <c r="DU105" t="str">
        <f t="shared" si="63"/>
        <v/>
      </c>
      <c r="DW105" t="s">
        <v>7458</v>
      </c>
      <c r="DX105" t="s">
        <v>4985</v>
      </c>
      <c r="DY105" t="s">
        <v>4985</v>
      </c>
      <c r="DZ105" t="s">
        <v>4985</v>
      </c>
      <c r="EB105" t="s">
        <v>1193</v>
      </c>
      <c r="ED105">
        <f t="shared" si="84"/>
        <v>150</v>
      </c>
      <c r="EE105" t="s">
        <v>1248</v>
      </c>
      <c r="EH105">
        <f t="shared" si="90"/>
        <v>3</v>
      </c>
      <c r="EI105">
        <v>150</v>
      </c>
      <c r="EK105" t="s">
        <v>7426</v>
      </c>
      <c r="EL105" t="s">
        <v>4861</v>
      </c>
      <c r="FD105" t="s">
        <v>3672</v>
      </c>
      <c r="FE105">
        <f>ROUND(FK105*IF(NT_ELFWELT,IF(FN105,1,1.5),1),0)</f>
        <v>150</v>
      </c>
      <c r="FF105">
        <f>ROUND(FE105/50,0)</f>
        <v>3</v>
      </c>
      <c r="FK105">
        <v>150</v>
      </c>
      <c r="FL105">
        <v>7</v>
      </c>
      <c r="FM105" t="b">
        <f t="shared" ca="1" si="95"/>
        <v>0</v>
      </c>
      <c r="FN105" t="b">
        <f t="shared" ca="1" si="96"/>
        <v>0</v>
      </c>
      <c r="GH105" t="s">
        <v>4835</v>
      </c>
      <c r="GI105" t="s">
        <v>1119</v>
      </c>
      <c r="GJ105">
        <v>2</v>
      </c>
      <c r="GK105" t="s">
        <v>4854</v>
      </c>
      <c r="GL105" t="s">
        <v>567</v>
      </c>
      <c r="GM105" t="s">
        <v>1980</v>
      </c>
      <c r="GN105" t="s">
        <v>1974</v>
      </c>
      <c r="GO105">
        <v>277</v>
      </c>
      <c r="GP105">
        <v>228</v>
      </c>
      <c r="GR105">
        <f t="shared" si="66"/>
        <v>454</v>
      </c>
      <c r="GU105" t="str">
        <f t="shared" ca="1" si="67"/>
        <v/>
      </c>
      <c r="GV105" t="str">
        <f t="shared" ca="1" si="68"/>
        <v/>
      </c>
      <c r="GW105" t="str">
        <f t="shared" ca="1" si="69"/>
        <v/>
      </c>
      <c r="GX105" t="str">
        <f t="shared" ca="1" si="70"/>
        <v/>
      </c>
      <c r="HA105" t="s">
        <v>1327</v>
      </c>
      <c r="HE105" t="s">
        <v>1972</v>
      </c>
      <c r="HH105" t="s">
        <v>4328</v>
      </c>
      <c r="HK105" t="s">
        <v>1373</v>
      </c>
    </row>
    <row r="106" spans="1:220" ht="12.75" customHeight="1" x14ac:dyDescent="0.2">
      <c r="A106" t="s">
        <v>1457</v>
      </c>
      <c r="B106" t="s">
        <v>751</v>
      </c>
      <c r="C106" t="s">
        <v>5030</v>
      </c>
      <c r="D106" t="s">
        <v>752</v>
      </c>
      <c r="E106" t="s">
        <v>1827</v>
      </c>
      <c r="F106" t="s">
        <v>1321</v>
      </c>
      <c r="L106" t="str">
        <f t="shared" si="91"/>
        <v/>
      </c>
      <c r="M106" t="str">
        <f t="shared" si="92"/>
        <v/>
      </c>
      <c r="N106" t="str">
        <f t="shared" si="94"/>
        <v>Boote Fahren</v>
      </c>
      <c r="P106">
        <f t="shared" si="93"/>
        <v>136</v>
      </c>
      <c r="R106" t="s">
        <v>3761</v>
      </c>
      <c r="V106" t="s">
        <v>3995</v>
      </c>
      <c r="Z106" t="s">
        <v>3655</v>
      </c>
      <c r="AA106">
        <v>1</v>
      </c>
      <c r="AB106">
        <v>6</v>
      </c>
      <c r="AH106" t="s">
        <v>76</v>
      </c>
      <c r="AJ106">
        <v>10</v>
      </c>
      <c r="AM106" t="s">
        <v>2858</v>
      </c>
      <c r="AO106" t="s">
        <v>1783</v>
      </c>
      <c r="AS106" t="str">
        <f t="shared" si="83"/>
        <v>Wurfspeere</v>
      </c>
      <c r="AT106" t="str">
        <f t="shared" si="86"/>
        <v>Wurfspeere</v>
      </c>
      <c r="AX106" t="s">
        <v>4039</v>
      </c>
      <c r="AY106">
        <v>4</v>
      </c>
      <c r="AZ106">
        <v>1</v>
      </c>
      <c r="BA106" t="s">
        <v>3193</v>
      </c>
      <c r="BB106" t="s">
        <v>3179</v>
      </c>
      <c r="BC106" t="s">
        <v>3191</v>
      </c>
      <c r="BD106" t="s">
        <v>3182</v>
      </c>
      <c r="BE106" t="s">
        <v>3192</v>
      </c>
      <c r="BF106" t="s">
        <v>3194</v>
      </c>
      <c r="BG106">
        <v>5</v>
      </c>
      <c r="BK106" t="s">
        <v>5413</v>
      </c>
      <c r="BL106">
        <v>13</v>
      </c>
      <c r="BM106">
        <v>17</v>
      </c>
      <c r="BN106" t="s">
        <v>5414</v>
      </c>
      <c r="BO106">
        <v>6</v>
      </c>
      <c r="BP106" t="s">
        <v>5091</v>
      </c>
      <c r="BQ106">
        <v>2</v>
      </c>
      <c r="BR106">
        <v>75</v>
      </c>
      <c r="BS106" t="s">
        <v>5390</v>
      </c>
      <c r="BT106">
        <v>15</v>
      </c>
      <c r="BU106">
        <v>60</v>
      </c>
      <c r="BW106">
        <v>3</v>
      </c>
      <c r="CA106" t="s">
        <v>5415</v>
      </c>
      <c r="CD106" t="s">
        <v>7578</v>
      </c>
      <c r="CE106" t="s">
        <v>5091</v>
      </c>
      <c r="CF106" t="s">
        <v>378</v>
      </c>
      <c r="CG106" t="s">
        <v>898</v>
      </c>
      <c r="CH106">
        <v>2</v>
      </c>
      <c r="CI106">
        <v>0</v>
      </c>
      <c r="CJ106" t="s">
        <v>899</v>
      </c>
      <c r="CK106" t="s">
        <v>1938</v>
      </c>
      <c r="CN106" t="str">
        <f ca="1">IF(AND(ISERR(FIND($CK106,Talente!$CI$41)),ISNA(VLOOKUP($CK106,$AH$51:$AH$55,1))),IF(AND(ISERR(FIND($CL106,Talente!$CI$41)),ISNA(VLOOKUP($CL106,$AH$51:$AH$55,1))),$CM106,$CL106),$CK106)</f>
        <v>Schwerter</v>
      </c>
      <c r="CP106" t="s">
        <v>3849</v>
      </c>
      <c r="CQ106" t="s">
        <v>1433</v>
      </c>
      <c r="CR106">
        <v>17</v>
      </c>
      <c r="CS106" t="s">
        <v>3849</v>
      </c>
      <c r="CU106" t="s">
        <v>7158</v>
      </c>
      <c r="CW106" t="s">
        <v>1923</v>
      </c>
      <c r="CX106" t="s">
        <v>2115</v>
      </c>
      <c r="CY106" t="s">
        <v>75</v>
      </c>
      <c r="CZ106" t="s">
        <v>76</v>
      </c>
      <c r="DA106" t="s">
        <v>77</v>
      </c>
      <c r="DC106" t="s">
        <v>7289</v>
      </c>
      <c r="DD106" t="s">
        <v>4151</v>
      </c>
      <c r="DE106" t="s">
        <v>644</v>
      </c>
      <c r="DF106" t="s">
        <v>5057</v>
      </c>
      <c r="DG106" t="s">
        <v>1321</v>
      </c>
      <c r="DH106" t="s">
        <v>6906</v>
      </c>
      <c r="DI106" t="s">
        <v>4351</v>
      </c>
      <c r="DJ106">
        <v>2</v>
      </c>
      <c r="DK106">
        <f t="shared" si="72"/>
        <v>427</v>
      </c>
      <c r="DL106">
        <f t="shared" si="77"/>
        <v>104</v>
      </c>
      <c r="DM106">
        <v>94</v>
      </c>
      <c r="DN106" t="str">
        <f t="shared" ca="1" si="59"/>
        <v/>
      </c>
      <c r="DO106" t="str">
        <f t="shared" ca="1" si="60"/>
        <v/>
      </c>
      <c r="DP106" t="str">
        <f t="shared" ca="1" si="61"/>
        <v/>
      </c>
      <c r="DQ106" t="str">
        <f>IF(EXACT(Zauber!$A$250,""),"",IF(EXACT(RIGHT(HLOOKUP(Zauber!$A$250,PROFMAGIE,$DK106,FALSE)),"H"),CONCATENATE($CX106,","),""))</f>
        <v/>
      </c>
      <c r="DR106" t="str">
        <f t="shared" si="62"/>
        <v/>
      </c>
      <c r="DS106" t="str">
        <f>IF(ZS_IAAK="Ja",IF(EXACT(RIGHT(HLOOKUP(Tabellen_Magie!$IK$1,PROFMAGIE,$DK106,FALSE)),"H"),CONCATENATE($CX106,","),""),"")</f>
        <v/>
      </c>
      <c r="DT106" t="str">
        <f>IF(ZS_IAAK="Ja",IF(NOT(DS106=""),"",IF(OR(EXACT(RIGHT(HLOOKUP(Tabellen_Magie!$IK$1,PROFMAGIE,$DK106,FALSE)),"B"),EXACT(HLOOKUP(Tabellen_Magie!$IK$1,PROFMAGIE,$DK106,FALSE),"")),"",CONCATENATE($CX106,","))),"")</f>
        <v/>
      </c>
      <c r="DU106" t="str">
        <f t="shared" si="63"/>
        <v/>
      </c>
      <c r="DW106" t="s">
        <v>7459</v>
      </c>
      <c r="DX106" t="s">
        <v>4985</v>
      </c>
      <c r="DY106" t="s">
        <v>4985</v>
      </c>
      <c r="DZ106" t="s">
        <v>4985</v>
      </c>
      <c r="EB106" t="s">
        <v>1193</v>
      </c>
      <c r="ED106">
        <f t="shared" si="84"/>
        <v>150</v>
      </c>
      <c r="EE106" t="s">
        <v>1248</v>
      </c>
      <c r="EH106">
        <f t="shared" si="90"/>
        <v>3</v>
      </c>
      <c r="EI106">
        <v>150</v>
      </c>
      <c r="EK106" t="s">
        <v>7432</v>
      </c>
      <c r="EL106" t="s">
        <v>7435</v>
      </c>
      <c r="FD106" t="s">
        <v>3673</v>
      </c>
      <c r="FE106">
        <f>ROUND(FK106*IF(NT_ELFWELT,IF(FN106,1,1.5),1),0)</f>
        <v>100</v>
      </c>
      <c r="FF106">
        <f>ROUND(FE106/50,0)</f>
        <v>2</v>
      </c>
      <c r="FK106">
        <v>100</v>
      </c>
      <c r="FL106">
        <v>2</v>
      </c>
      <c r="FM106" t="b">
        <f t="shared" ca="1" si="95"/>
        <v>0</v>
      </c>
      <c r="FN106" t="b">
        <f t="shared" ca="1" si="96"/>
        <v>0</v>
      </c>
      <c r="GH106" t="s">
        <v>2845</v>
      </c>
      <c r="GI106" t="s">
        <v>1119</v>
      </c>
      <c r="GJ106">
        <v>2</v>
      </c>
      <c r="GK106" t="s">
        <v>1320</v>
      </c>
      <c r="GL106" t="s">
        <v>1977</v>
      </c>
      <c r="GM106" t="s">
        <v>1369</v>
      </c>
      <c r="GN106" t="s">
        <v>1974</v>
      </c>
      <c r="GO106">
        <v>274</v>
      </c>
      <c r="GP106">
        <v>117</v>
      </c>
      <c r="GR106">
        <f t="shared" si="66"/>
        <v>455</v>
      </c>
      <c r="GU106" t="str">
        <f t="shared" ca="1" si="67"/>
        <v/>
      </c>
      <c r="GV106" t="str">
        <f t="shared" ca="1" si="68"/>
        <v/>
      </c>
      <c r="GW106" t="str">
        <f t="shared" ca="1" si="69"/>
        <v/>
      </c>
      <c r="GX106" t="str">
        <f t="shared" ca="1" si="70"/>
        <v/>
      </c>
      <c r="HA106" t="s">
        <v>3279</v>
      </c>
      <c r="HE106">
        <v>0</v>
      </c>
      <c r="HF106">
        <v>1</v>
      </c>
      <c r="HH106" t="s">
        <v>4995</v>
      </c>
      <c r="HK106">
        <v>0</v>
      </c>
      <c r="HL106">
        <v>1</v>
      </c>
    </row>
    <row r="107" spans="1:220" x14ac:dyDescent="0.2">
      <c r="A107" t="s">
        <v>1116</v>
      </c>
      <c r="B107" t="s">
        <v>75</v>
      </c>
      <c r="C107" t="s">
        <v>750</v>
      </c>
      <c r="D107" t="s">
        <v>752</v>
      </c>
      <c r="E107" t="s">
        <v>1320</v>
      </c>
      <c r="F107" t="s">
        <v>1321</v>
      </c>
      <c r="L107" t="str">
        <f t="shared" si="91"/>
        <v/>
      </c>
      <c r="M107" t="str">
        <f t="shared" si="92"/>
        <v/>
      </c>
      <c r="N107" t="str">
        <f t="shared" si="94"/>
        <v>Brauer</v>
      </c>
      <c r="P107">
        <f t="shared" si="93"/>
        <v>137</v>
      </c>
      <c r="R107" t="s">
        <v>2858</v>
      </c>
      <c r="V107" t="s">
        <v>3995</v>
      </c>
      <c r="Z107" t="s">
        <v>753</v>
      </c>
      <c r="AA107">
        <v>2</v>
      </c>
      <c r="AB107">
        <v>6</v>
      </c>
      <c r="AH107" t="s">
        <v>752</v>
      </c>
      <c r="AJ107">
        <v>10</v>
      </c>
      <c r="AM107" t="s">
        <v>3739</v>
      </c>
      <c r="AO107">
        <v>30</v>
      </c>
      <c r="AS107" t="str">
        <f t="shared" si="83"/>
        <v>Zweihandflegel</v>
      </c>
      <c r="AT107" t="s">
        <v>4908</v>
      </c>
      <c r="AX107" t="s">
        <v>4109</v>
      </c>
      <c r="AY107">
        <v>4</v>
      </c>
      <c r="AZ107">
        <v>1</v>
      </c>
      <c r="BA107" t="s">
        <v>166</v>
      </c>
      <c r="BB107" t="s">
        <v>167</v>
      </c>
      <c r="BC107" t="s">
        <v>7648</v>
      </c>
      <c r="BD107" t="s">
        <v>168</v>
      </c>
      <c r="BG107">
        <v>5</v>
      </c>
      <c r="BK107" t="s">
        <v>5416</v>
      </c>
      <c r="BL107">
        <v>11</v>
      </c>
      <c r="BM107">
        <v>12</v>
      </c>
      <c r="BN107" t="s">
        <v>5417</v>
      </c>
      <c r="BO107">
        <v>9</v>
      </c>
      <c r="BP107" t="s">
        <v>4558</v>
      </c>
      <c r="BQ107">
        <v>1</v>
      </c>
      <c r="BR107">
        <v>25</v>
      </c>
      <c r="BS107" t="s">
        <v>5418</v>
      </c>
      <c r="BT107">
        <v>15</v>
      </c>
      <c r="BU107">
        <v>70</v>
      </c>
      <c r="BW107">
        <v>3</v>
      </c>
      <c r="CA107" t="s">
        <v>5419</v>
      </c>
      <c r="CD107" t="s">
        <v>4629</v>
      </c>
      <c r="CE107" t="s">
        <v>5095</v>
      </c>
      <c r="CF107" t="s">
        <v>3231</v>
      </c>
      <c r="CG107" t="s">
        <v>3236</v>
      </c>
      <c r="CH107">
        <v>-2</v>
      </c>
      <c r="CI107">
        <v>5</v>
      </c>
      <c r="CJ107" t="s">
        <v>1827</v>
      </c>
      <c r="CK107" t="s">
        <v>3629</v>
      </c>
      <c r="CL107" t="s">
        <v>3044</v>
      </c>
      <c r="CN107" t="str">
        <f ca="1">IF(AND(ISERR(FIND($CK107,Talente!$CI$41)),ISNA(VLOOKUP($CK107,$AH$51:$AH$55,1))),IF(AND(ISERR(FIND($CL107,Talente!$CI$41)),ISNA(VLOOKUP($CL107,$AH$51:$AH$55,1))),$CM107,$CL107),$CK107)</f>
        <v>Zweihand-Hiebwaffen</v>
      </c>
      <c r="CP107" t="s">
        <v>3850</v>
      </c>
      <c r="CQ107" t="s">
        <v>1433</v>
      </c>
      <c r="CR107" t="s">
        <v>3866</v>
      </c>
      <c r="CS107" t="s">
        <v>3850</v>
      </c>
      <c r="CU107" t="s">
        <v>4715</v>
      </c>
      <c r="CW107" t="s">
        <v>3328</v>
      </c>
      <c r="CX107" t="s">
        <v>1415</v>
      </c>
      <c r="CY107" t="s">
        <v>74</v>
      </c>
      <c r="CZ107" t="s">
        <v>75</v>
      </c>
      <c r="DA107" t="s">
        <v>5030</v>
      </c>
      <c r="DC107" t="s">
        <v>5058</v>
      </c>
      <c r="DD107" t="s">
        <v>5059</v>
      </c>
      <c r="DE107" t="s">
        <v>1835</v>
      </c>
      <c r="DF107" t="s">
        <v>4472</v>
      </c>
      <c r="DG107" t="s">
        <v>1828</v>
      </c>
      <c r="DH107" t="s">
        <v>6907</v>
      </c>
      <c r="DI107" t="s">
        <v>3204</v>
      </c>
      <c r="DJ107">
        <v>2</v>
      </c>
      <c r="DK107">
        <f t="shared" si="72"/>
        <v>428</v>
      </c>
      <c r="DL107">
        <f t="shared" si="77"/>
        <v>105</v>
      </c>
      <c r="DM107">
        <v>95</v>
      </c>
      <c r="DN107" t="str">
        <f t="shared" ca="1" si="59"/>
        <v/>
      </c>
      <c r="DO107" t="str">
        <f t="shared" ca="1" si="60"/>
        <v/>
      </c>
      <c r="DP107" t="str">
        <f t="shared" ca="1" si="61"/>
        <v/>
      </c>
      <c r="DQ107" t="str">
        <f>IF(EXACT(Zauber!$A$250,""),"",IF(EXACT(RIGHT(HLOOKUP(Zauber!$A$250,PROFMAGIE,$DK107,FALSE)),"H"),CONCATENATE($CX107,","),""))</f>
        <v/>
      </c>
      <c r="DR107" t="str">
        <f t="shared" si="62"/>
        <v/>
      </c>
      <c r="DS107" t="str">
        <f>IF(ZS_IAAK="Ja",IF(EXACT(RIGHT(HLOOKUP(Tabellen_Magie!$IK$1,PROFMAGIE,$DK107,FALSE)),"H"),CONCATENATE($CX107,","),""),"")</f>
        <v/>
      </c>
      <c r="DT107" t="str">
        <f>IF(ZS_IAAK="Ja",IF(NOT(DS107=""),"",IF(OR(EXACT(RIGHT(HLOOKUP(Tabellen_Magie!$IK$1,PROFMAGIE,$DK107,FALSE)),"B"),EXACT(HLOOKUP(Tabellen_Magie!$IK$1,PROFMAGIE,$DK107,FALSE),"")),"",CONCATENATE($CX107,","))),"")</f>
        <v/>
      </c>
      <c r="DU107" t="str">
        <f t="shared" si="63"/>
        <v/>
      </c>
      <c r="DW107" t="s">
        <v>7460</v>
      </c>
      <c r="DX107" t="s">
        <v>4985</v>
      </c>
      <c r="DY107" t="s">
        <v>4985</v>
      </c>
      <c r="DZ107" t="s">
        <v>4985</v>
      </c>
      <c r="EB107" t="s">
        <v>1193</v>
      </c>
      <c r="ED107">
        <f t="shared" si="84"/>
        <v>150</v>
      </c>
      <c r="EE107" t="s">
        <v>1248</v>
      </c>
      <c r="EH107">
        <f t="shared" si="90"/>
        <v>3</v>
      </c>
      <c r="EI107">
        <v>150</v>
      </c>
      <c r="EK107" t="s">
        <v>231</v>
      </c>
      <c r="EL107" t="s">
        <v>7437</v>
      </c>
      <c r="FD107" t="s">
        <v>4581</v>
      </c>
      <c r="FE107">
        <f>ROUND(FK107*IF(VT_EIDGED,0.5,IF(VT_GUTGED,0.75,1)*IF(NT_ELFWELT,IF(FN107,1,1.5),1)),0)</f>
        <v>100</v>
      </c>
      <c r="FF107">
        <f t="shared" ref="FF107:FF123" si="97">ROUND(FE107/50,0)</f>
        <v>2</v>
      </c>
      <c r="FK107">
        <v>100</v>
      </c>
      <c r="FL107">
        <v>7</v>
      </c>
      <c r="FM107" t="b">
        <f t="shared" ca="1" si="95"/>
        <v>0</v>
      </c>
      <c r="FN107" t="b">
        <f t="shared" ca="1" si="96"/>
        <v>0</v>
      </c>
      <c r="GH107" t="s">
        <v>9327</v>
      </c>
      <c r="GI107" t="s">
        <v>1119</v>
      </c>
      <c r="GJ107">
        <v>2</v>
      </c>
      <c r="GK107" t="s">
        <v>4116</v>
      </c>
      <c r="GL107" t="s">
        <v>567</v>
      </c>
      <c r="GM107" t="s">
        <v>1982</v>
      </c>
      <c r="GN107" t="s">
        <v>1973</v>
      </c>
      <c r="GO107" t="s">
        <v>9314</v>
      </c>
      <c r="GP107">
        <v>235</v>
      </c>
      <c r="GR107">
        <f t="shared" si="66"/>
        <v>456</v>
      </c>
      <c r="GU107" t="str">
        <f t="shared" ca="1" si="67"/>
        <v/>
      </c>
      <c r="GV107" t="str">
        <f t="shared" ca="1" si="68"/>
        <v/>
      </c>
      <c r="GW107" t="str">
        <f t="shared" ca="1" si="69"/>
        <v/>
      </c>
      <c r="GX107" t="str">
        <f t="shared" ca="1" si="70"/>
        <v/>
      </c>
      <c r="HA107" t="s">
        <v>491</v>
      </c>
      <c r="HE107" t="str">
        <f>IF(PROFGRDGENE="Schamane","S","G")</f>
        <v>G</v>
      </c>
      <c r="HF107">
        <v>1</v>
      </c>
      <c r="HH107" t="s">
        <v>2465</v>
      </c>
      <c r="HK107" t="s">
        <v>1973</v>
      </c>
      <c r="HL107">
        <v>1</v>
      </c>
    </row>
    <row r="108" spans="1:220" x14ac:dyDescent="0.2">
      <c r="A108" t="s">
        <v>4671</v>
      </c>
      <c r="B108" t="s">
        <v>75</v>
      </c>
      <c r="C108" t="s">
        <v>750</v>
      </c>
      <c r="D108" t="s">
        <v>752</v>
      </c>
      <c r="E108" t="s">
        <v>1320</v>
      </c>
      <c r="F108" t="s">
        <v>1321</v>
      </c>
      <c r="L108" t="str">
        <f t="shared" si="91"/>
        <v/>
      </c>
      <c r="M108" t="str">
        <f t="shared" si="92"/>
        <v/>
      </c>
      <c r="N108" t="str">
        <f t="shared" si="94"/>
        <v>Drucker</v>
      </c>
      <c r="P108">
        <f t="shared" si="93"/>
        <v>138</v>
      </c>
      <c r="R108" t="s">
        <v>3990</v>
      </c>
      <c r="U108">
        <v>7</v>
      </c>
      <c r="Z108" t="s">
        <v>754</v>
      </c>
      <c r="AA108">
        <v>2</v>
      </c>
      <c r="AB108">
        <v>3</v>
      </c>
      <c r="AH108" t="s">
        <v>75</v>
      </c>
      <c r="AJ108">
        <v>10</v>
      </c>
      <c r="AM108" t="s">
        <v>3746</v>
      </c>
      <c r="AO108">
        <v>15</v>
      </c>
      <c r="AS108" t="str">
        <f t="shared" si="83"/>
        <v>Zweihand-Hiebwaffen</v>
      </c>
      <c r="AT108" t="s">
        <v>4909</v>
      </c>
      <c r="AX108" t="s">
        <v>4110</v>
      </c>
      <c r="AY108">
        <v>6</v>
      </c>
      <c r="AZ108">
        <v>2</v>
      </c>
      <c r="BA108" t="s">
        <v>4891</v>
      </c>
      <c r="BB108" t="s">
        <v>7649</v>
      </c>
      <c r="BC108" t="s">
        <v>169</v>
      </c>
      <c r="BD108" t="s">
        <v>4002</v>
      </c>
      <c r="BG108">
        <v>5</v>
      </c>
      <c r="BK108" t="s">
        <v>5420</v>
      </c>
      <c r="CD108" t="s">
        <v>7166</v>
      </c>
      <c r="CE108" t="s">
        <v>5095</v>
      </c>
      <c r="CF108" t="s">
        <v>380</v>
      </c>
      <c r="CG108" t="s">
        <v>3236</v>
      </c>
      <c r="CH108">
        <v>-2</v>
      </c>
      <c r="CI108">
        <v>5</v>
      </c>
      <c r="CJ108" t="s">
        <v>1827</v>
      </c>
      <c r="CK108" t="s">
        <v>2190</v>
      </c>
      <c r="CN108" t="str">
        <f ca="1">IF(AND(ISERR(FIND($CK108,Talente!$CI$41)),ISNA(VLOOKUP($CK108,$AH$51:$AH$55,1))),IF(AND(ISERR(FIND($CL108,Talente!$CI$41)),ISNA(VLOOKUP($CL108,$AH$51:$AH$55,1))),$CM108,$CL108),$CK108)</f>
        <v>Hiebwaffen</v>
      </c>
      <c r="CP108" t="s">
        <v>3784</v>
      </c>
      <c r="CQ108" t="s">
        <v>1433</v>
      </c>
      <c r="CR108">
        <v>15</v>
      </c>
      <c r="CS108" t="s">
        <v>3784</v>
      </c>
      <c r="CU108" t="s">
        <v>4166</v>
      </c>
      <c r="CW108" t="s">
        <v>4951</v>
      </c>
      <c r="CX108" t="s">
        <v>1416</v>
      </c>
      <c r="CY108" t="s">
        <v>75</v>
      </c>
      <c r="CZ108" t="s">
        <v>76</v>
      </c>
      <c r="DA108" t="s">
        <v>751</v>
      </c>
      <c r="DB108" t="s">
        <v>1613</v>
      </c>
      <c r="DC108" t="s">
        <v>2456</v>
      </c>
      <c r="DD108" t="s">
        <v>1691</v>
      </c>
      <c r="DE108" t="s">
        <v>7348</v>
      </c>
      <c r="DF108" t="s">
        <v>7349</v>
      </c>
      <c r="DG108" t="s">
        <v>1956</v>
      </c>
      <c r="DH108" t="s">
        <v>6908</v>
      </c>
      <c r="DI108" t="s">
        <v>4342</v>
      </c>
      <c r="DJ108">
        <v>2</v>
      </c>
      <c r="DK108">
        <f t="shared" si="72"/>
        <v>429</v>
      </c>
      <c r="DL108">
        <f t="shared" si="77"/>
        <v>106</v>
      </c>
      <c r="DM108">
        <v>96</v>
      </c>
      <c r="DN108" t="str">
        <f t="shared" ca="1" si="59"/>
        <v/>
      </c>
      <c r="DO108" t="str">
        <f t="shared" ca="1" si="60"/>
        <v/>
      </c>
      <c r="DP108" t="str">
        <f t="shared" ca="1" si="61"/>
        <v/>
      </c>
      <c r="DQ108" t="str">
        <f>IF(EXACT(Zauber!$A$250,""),"",IF(EXACT(RIGHT(HLOOKUP(Zauber!$A$250,PROFMAGIE,$DK108,FALSE)),"H"),CONCATENATE($CX108,","),""))</f>
        <v/>
      </c>
      <c r="DR108" t="str">
        <f t="shared" si="62"/>
        <v/>
      </c>
      <c r="DS108" t="str">
        <f>IF(ZS_IAAK="Ja",IF(EXACT(RIGHT(HLOOKUP(Tabellen_Magie!$IK$1,PROFMAGIE,$DK108,FALSE)),"H"),CONCATENATE($CX108,","),""),"")</f>
        <v/>
      </c>
      <c r="DT108" t="str">
        <f>IF(ZS_IAAK="Ja",IF(NOT(DS108=""),"",IF(OR(EXACT(RIGHT(HLOOKUP(Tabellen_Magie!$IK$1,PROFMAGIE,$DK108,FALSE)),"B"),EXACT(HLOOKUP(Tabellen_Magie!$IK$1,PROFMAGIE,$DK108,FALSE),"")),"",CONCATENATE($CX108,","))),"")</f>
        <v/>
      </c>
      <c r="DU108" t="str">
        <f t="shared" si="63"/>
        <v/>
      </c>
      <c r="DW108" t="s">
        <v>7461</v>
      </c>
      <c r="DX108" t="s">
        <v>4985</v>
      </c>
      <c r="DY108" t="s">
        <v>4985</v>
      </c>
      <c r="DZ108" t="s">
        <v>4985</v>
      </c>
      <c r="EB108" t="s">
        <v>1193</v>
      </c>
      <c r="ED108">
        <f t="shared" si="84"/>
        <v>150</v>
      </c>
      <c r="EE108" t="s">
        <v>1248</v>
      </c>
      <c r="EH108">
        <f t="shared" si="90"/>
        <v>3</v>
      </c>
      <c r="EI108">
        <v>150</v>
      </c>
      <c r="EK108" t="s">
        <v>7472</v>
      </c>
      <c r="EL108" t="s">
        <v>7434</v>
      </c>
      <c r="FD108" t="s">
        <v>2065</v>
      </c>
      <c r="FE108">
        <f>ROUND(FK108*IF(VT_EIDGED,0.5,IF(VT_GUTGED,0.75,1)*IF(NT_ELFWELT,IF(FN108,1,1.5),1)),0)</f>
        <v>100</v>
      </c>
      <c r="FF108">
        <f t="shared" si="97"/>
        <v>2</v>
      </c>
      <c r="FK108">
        <v>100</v>
      </c>
      <c r="FL108">
        <v>7</v>
      </c>
      <c r="FM108" t="b">
        <f t="shared" ca="1" si="95"/>
        <v>0</v>
      </c>
      <c r="FN108" t="b">
        <f t="shared" ca="1" si="96"/>
        <v>0</v>
      </c>
      <c r="GH108" t="s">
        <v>2130</v>
      </c>
      <c r="GI108" t="s">
        <v>1119</v>
      </c>
      <c r="GJ108">
        <v>2</v>
      </c>
      <c r="GK108" t="s">
        <v>4116</v>
      </c>
      <c r="GL108" t="s">
        <v>567</v>
      </c>
      <c r="GM108" t="s">
        <v>1983</v>
      </c>
      <c r="GN108" t="s">
        <v>1973</v>
      </c>
      <c r="GO108">
        <v>275</v>
      </c>
      <c r="GP108">
        <v>236</v>
      </c>
      <c r="GR108">
        <f t="shared" si="66"/>
        <v>457</v>
      </c>
      <c r="GU108" t="str">
        <f t="shared" ca="1" si="67"/>
        <v/>
      </c>
      <c r="GV108" t="str">
        <f t="shared" ca="1" si="68"/>
        <v/>
      </c>
      <c r="GW108" t="str">
        <f t="shared" ca="1" si="69"/>
        <v/>
      </c>
      <c r="GX108" t="str">
        <f t="shared" ca="1" si="70"/>
        <v/>
      </c>
      <c r="HA108" t="s">
        <v>1054</v>
      </c>
      <c r="HE108" t="s">
        <v>1320</v>
      </c>
      <c r="HF108">
        <v>2</v>
      </c>
      <c r="HH108" t="s">
        <v>2463</v>
      </c>
      <c r="HK108" t="s">
        <v>1974</v>
      </c>
      <c r="HL108">
        <v>2</v>
      </c>
    </row>
    <row r="109" spans="1:220" x14ac:dyDescent="0.2">
      <c r="A109" t="s">
        <v>1458</v>
      </c>
      <c r="B109" t="s">
        <v>76</v>
      </c>
      <c r="C109" t="s">
        <v>751</v>
      </c>
      <c r="D109" t="s">
        <v>752</v>
      </c>
      <c r="E109" t="s">
        <v>1827</v>
      </c>
      <c r="F109" t="s">
        <v>1321</v>
      </c>
      <c r="L109" t="str">
        <f t="shared" si="91"/>
        <v/>
      </c>
      <c r="M109" t="str">
        <f t="shared" si="92"/>
        <v/>
      </c>
      <c r="N109" t="str">
        <f t="shared" si="94"/>
        <v>Eissegler Fahren</v>
      </c>
      <c r="P109">
        <f t="shared" si="93"/>
        <v>139</v>
      </c>
      <c r="R109" t="s">
        <v>3991</v>
      </c>
      <c r="U109">
        <v>5</v>
      </c>
      <c r="Z109" t="s">
        <v>755</v>
      </c>
      <c r="AC109">
        <v>10</v>
      </c>
      <c r="AH109" t="s">
        <v>5030</v>
      </c>
      <c r="AJ109">
        <v>10</v>
      </c>
      <c r="AM109" t="s">
        <v>3747</v>
      </c>
      <c r="AO109">
        <v>15</v>
      </c>
      <c r="AS109" t="str">
        <f t="shared" si="83"/>
        <v>Zweihandschwerter/-säbel</v>
      </c>
      <c r="AT109" t="s">
        <v>2547</v>
      </c>
      <c r="AX109" t="s">
        <v>4111</v>
      </c>
      <c r="AY109">
        <v>6</v>
      </c>
      <c r="AZ109">
        <v>2</v>
      </c>
      <c r="BA109" t="s">
        <v>4985</v>
      </c>
      <c r="BG109">
        <v>5</v>
      </c>
      <c r="BK109" t="s">
        <v>5421</v>
      </c>
      <c r="BL109">
        <v>16</v>
      </c>
      <c r="BM109">
        <v>9</v>
      </c>
      <c r="BN109" t="s">
        <v>5422</v>
      </c>
      <c r="BO109" t="s">
        <v>5423</v>
      </c>
      <c r="BP109" t="s">
        <v>916</v>
      </c>
      <c r="BQ109">
        <v>2</v>
      </c>
      <c r="BR109">
        <v>16</v>
      </c>
      <c r="BS109" t="s">
        <v>5424</v>
      </c>
      <c r="BT109" t="s">
        <v>5425</v>
      </c>
      <c r="BU109">
        <v>60</v>
      </c>
      <c r="BW109">
        <v>3</v>
      </c>
      <c r="BY109" t="s">
        <v>4985</v>
      </c>
      <c r="BZ109" t="s">
        <v>4985</v>
      </c>
      <c r="CA109" t="s">
        <v>5426</v>
      </c>
      <c r="CD109" t="s">
        <v>4630</v>
      </c>
      <c r="CE109" t="s">
        <v>4558</v>
      </c>
      <c r="CF109" t="s">
        <v>272</v>
      </c>
      <c r="CG109" t="s">
        <v>914</v>
      </c>
      <c r="CH109">
        <v>-1</v>
      </c>
      <c r="CI109">
        <v>5</v>
      </c>
      <c r="CJ109" t="s">
        <v>899</v>
      </c>
      <c r="CK109" t="s">
        <v>1525</v>
      </c>
      <c r="CN109" t="str">
        <f ca="1">IF(ISBLANK($CK109),"",IF(AND(ISERR(FIND($CK109,Talente!$CI$41)),ISNA(VLOOKUP($CK109,$AH$51:$AH$55,1))),IF(AND(ISERR(FIND($CL109,Talente!$CI$41)),ISNA(VLOOKUP($CL109,$AH$51:$AH$55,1))),$CM109,$CL109),$CK109))</f>
        <v>Kettenwaffen</v>
      </c>
      <c r="CP109" t="s">
        <v>4062</v>
      </c>
      <c r="CQ109" t="s">
        <v>1433</v>
      </c>
      <c r="CR109">
        <v>10</v>
      </c>
      <c r="CS109" t="s">
        <v>3785</v>
      </c>
      <c r="CU109" t="s">
        <v>2270</v>
      </c>
      <c r="CW109" t="s">
        <v>4952</v>
      </c>
      <c r="CX109" t="s">
        <v>1417</v>
      </c>
      <c r="CY109" t="s">
        <v>894</v>
      </c>
      <c r="CZ109" t="s">
        <v>895</v>
      </c>
      <c r="DA109" t="s">
        <v>895</v>
      </c>
      <c r="DH109" t="s">
        <v>449</v>
      </c>
      <c r="DJ109">
        <v>2</v>
      </c>
      <c r="DK109">
        <f t="shared" si="72"/>
        <v>430</v>
      </c>
      <c r="DL109">
        <f t="shared" si="77"/>
        <v>107</v>
      </c>
      <c r="DM109">
        <v>98</v>
      </c>
      <c r="DN109" t="str">
        <f t="shared" ca="1" si="59"/>
        <v/>
      </c>
      <c r="DO109" t="str">
        <f t="shared" ca="1" si="60"/>
        <v/>
      </c>
      <c r="DP109" t="str">
        <f t="shared" ca="1" si="61"/>
        <v/>
      </c>
      <c r="DQ109" t="str">
        <f>IF(EXACT(Zauber!$A$250,""),"",IF(EXACT(RIGHT(HLOOKUP(Zauber!$A$250,PROFMAGIE,$DK109,FALSE)),"H"),CONCATENATE($CX109,","),""))</f>
        <v/>
      </c>
      <c r="DR109" t="str">
        <f t="shared" si="62"/>
        <v/>
      </c>
      <c r="DS109" t="str">
        <f>IF(ZS_IAAK="Ja",IF(EXACT(RIGHT(HLOOKUP(Tabellen_Magie!$IK$1,PROFMAGIE,$DK109,FALSE)),"H"),CONCATENATE($CX109,","),""),"")</f>
        <v/>
      </c>
      <c r="DT109" t="str">
        <f>IF(ZS_IAAK="Ja",IF(NOT(DS109=""),"",IF(OR(EXACT(RIGHT(HLOOKUP(Tabellen_Magie!$IK$1,PROFMAGIE,$DK109,FALSE)),"B"),EXACT(HLOOKUP(Tabellen_Magie!$IK$1,PROFMAGIE,$DK109,FALSE),"")),"",CONCATENATE($CX109,","))),"")</f>
        <v/>
      </c>
      <c r="DU109" t="str">
        <f t="shared" si="63"/>
        <v/>
      </c>
      <c r="DW109" t="s">
        <v>7462</v>
      </c>
      <c r="DX109" t="s">
        <v>4985</v>
      </c>
      <c r="DY109" t="s">
        <v>4985</v>
      </c>
      <c r="DZ109" t="s">
        <v>4985</v>
      </c>
      <c r="EB109" t="s">
        <v>1193</v>
      </c>
      <c r="ED109">
        <f t="shared" si="84"/>
        <v>150</v>
      </c>
      <c r="EE109" t="s">
        <v>1248</v>
      </c>
      <c r="EH109">
        <f t="shared" si="90"/>
        <v>3</v>
      </c>
      <c r="EI109">
        <v>150</v>
      </c>
      <c r="EK109" t="s">
        <v>7473</v>
      </c>
      <c r="EL109" t="s">
        <v>7436</v>
      </c>
      <c r="FD109" t="s">
        <v>3674</v>
      </c>
      <c r="FE109">
        <f>ROUND(FK109*IF(NT_ELFWELT,IF(FN109,1,1.5),1),0)</f>
        <v>100</v>
      </c>
      <c r="FF109">
        <f>ROUND(FE109/50,0)</f>
        <v>2</v>
      </c>
      <c r="FK109">
        <v>100</v>
      </c>
      <c r="FL109">
        <v>2</v>
      </c>
      <c r="FM109" t="b">
        <f t="shared" ca="1" si="95"/>
        <v>0</v>
      </c>
      <c r="FN109" t="b">
        <f t="shared" ca="1" si="96"/>
        <v>0</v>
      </c>
      <c r="GH109" t="s">
        <v>2846</v>
      </c>
      <c r="GI109" t="s">
        <v>1119</v>
      </c>
      <c r="GJ109">
        <v>2</v>
      </c>
      <c r="GK109" t="s">
        <v>1320</v>
      </c>
      <c r="GL109" t="s">
        <v>567</v>
      </c>
      <c r="GM109" t="s">
        <v>1982</v>
      </c>
      <c r="GN109" t="s">
        <v>1974</v>
      </c>
      <c r="GO109">
        <v>281</v>
      </c>
      <c r="GP109">
        <v>248</v>
      </c>
      <c r="GR109">
        <f t="shared" si="66"/>
        <v>458</v>
      </c>
      <c r="GU109" t="str">
        <f t="shared" ca="1" si="67"/>
        <v/>
      </c>
      <c r="GV109" t="str">
        <f t="shared" ca="1" si="68"/>
        <v/>
      </c>
      <c r="GW109" t="str">
        <f t="shared" ca="1" si="69"/>
        <v/>
      </c>
      <c r="GX109" t="str">
        <f t="shared" ca="1" si="70"/>
        <v/>
      </c>
      <c r="HA109" t="s">
        <v>1705</v>
      </c>
      <c r="HE109" t="s">
        <v>9311</v>
      </c>
      <c r="HF109">
        <v>2</v>
      </c>
      <c r="HH109" t="s">
        <v>1095</v>
      </c>
      <c r="HK109" t="s">
        <v>1690</v>
      </c>
      <c r="HL109">
        <v>3</v>
      </c>
    </row>
    <row r="110" spans="1:220" x14ac:dyDescent="0.2">
      <c r="A110" t="s">
        <v>1459</v>
      </c>
      <c r="B110" t="s">
        <v>76</v>
      </c>
      <c r="C110" t="s">
        <v>77</v>
      </c>
      <c r="D110" t="s">
        <v>750</v>
      </c>
      <c r="E110" t="s">
        <v>1827</v>
      </c>
      <c r="F110" t="s">
        <v>1321</v>
      </c>
      <c r="L110" t="str">
        <f t="shared" si="91"/>
        <v/>
      </c>
      <c r="M110" t="str">
        <f t="shared" si="92"/>
        <v/>
      </c>
      <c r="N110" t="str">
        <f t="shared" si="94"/>
        <v>Fahrzeug Lenken</v>
      </c>
      <c r="P110">
        <f t="shared" si="93"/>
        <v>140</v>
      </c>
      <c r="R110" t="s">
        <v>4875</v>
      </c>
      <c r="W110" t="s">
        <v>4588</v>
      </c>
      <c r="Z110" t="s">
        <v>756</v>
      </c>
      <c r="AA110">
        <v>1.5</v>
      </c>
      <c r="AB110">
        <v>12</v>
      </c>
      <c r="AD110" t="s">
        <v>3995</v>
      </c>
      <c r="AH110" t="s">
        <v>74</v>
      </c>
      <c r="AJ110">
        <v>10</v>
      </c>
      <c r="AM110" t="s">
        <v>3743</v>
      </c>
      <c r="AO110">
        <v>15</v>
      </c>
      <c r="AX110" t="s">
        <v>1530</v>
      </c>
      <c r="AY110">
        <v>6</v>
      </c>
      <c r="AZ110">
        <v>2</v>
      </c>
      <c r="BG110">
        <v>5</v>
      </c>
      <c r="BK110" t="s">
        <v>5427</v>
      </c>
      <c r="BL110">
        <v>15</v>
      </c>
      <c r="BM110">
        <v>9</v>
      </c>
      <c r="BN110" t="s">
        <v>5422</v>
      </c>
      <c r="BO110" t="s">
        <v>5423</v>
      </c>
      <c r="BP110" t="s">
        <v>916</v>
      </c>
      <c r="BQ110">
        <v>2</v>
      </c>
      <c r="BR110">
        <v>16</v>
      </c>
      <c r="BS110" t="s">
        <v>5424</v>
      </c>
      <c r="BT110" t="s">
        <v>5425</v>
      </c>
      <c r="BU110">
        <v>60</v>
      </c>
      <c r="BW110">
        <v>3</v>
      </c>
      <c r="BY110" t="s">
        <v>4985</v>
      </c>
      <c r="BZ110" t="s">
        <v>4985</v>
      </c>
      <c r="CA110" t="s">
        <v>5426</v>
      </c>
      <c r="CD110" t="s">
        <v>4631</v>
      </c>
      <c r="CE110" t="s">
        <v>432</v>
      </c>
      <c r="CF110" t="s">
        <v>273</v>
      </c>
      <c r="CG110" t="s">
        <v>3233</v>
      </c>
      <c r="CH110">
        <v>-3</v>
      </c>
      <c r="CI110">
        <v>3</v>
      </c>
      <c r="CJ110" t="s">
        <v>899</v>
      </c>
      <c r="CK110" t="s">
        <v>1525</v>
      </c>
      <c r="CN110" t="str">
        <f ca="1">IF(AND(ISERR(FIND($CK110,Talente!$CI$41)),ISNA(VLOOKUP($CK110,$AH$51:$AH$55,1))),IF(AND(ISERR(FIND($CL110,Talente!$CI$41)),ISNA(VLOOKUP($CL110,$AH$51:$AH$55,1))),$CM110,$CL110),$CK110)</f>
        <v>Kettenwaffen</v>
      </c>
      <c r="CP110" t="s">
        <v>3851</v>
      </c>
      <c r="CQ110" t="s">
        <v>1433</v>
      </c>
      <c r="CR110">
        <v>15</v>
      </c>
      <c r="CS110" t="s">
        <v>3785</v>
      </c>
      <c r="CU110" t="s">
        <v>7159</v>
      </c>
      <c r="CW110" t="s">
        <v>3611</v>
      </c>
      <c r="CX110" t="s">
        <v>1418</v>
      </c>
      <c r="CY110" t="s">
        <v>74</v>
      </c>
      <c r="CZ110" t="s">
        <v>74</v>
      </c>
      <c r="DA110" t="s">
        <v>77</v>
      </c>
      <c r="DB110" t="s">
        <v>1613</v>
      </c>
      <c r="DC110" t="s">
        <v>544</v>
      </c>
      <c r="DD110" t="s">
        <v>3927</v>
      </c>
      <c r="DE110" t="s">
        <v>3928</v>
      </c>
      <c r="DF110" t="s">
        <v>1134</v>
      </c>
      <c r="DG110" t="s">
        <v>1956</v>
      </c>
      <c r="DH110" t="s">
        <v>6909</v>
      </c>
      <c r="DI110" t="s">
        <v>545</v>
      </c>
      <c r="DJ110">
        <v>2</v>
      </c>
      <c r="DK110">
        <f t="shared" si="72"/>
        <v>431</v>
      </c>
      <c r="DL110">
        <f t="shared" si="77"/>
        <v>108</v>
      </c>
      <c r="DM110">
        <v>97</v>
      </c>
      <c r="DN110" t="str">
        <f t="shared" ca="1" si="59"/>
        <v/>
      </c>
      <c r="DO110" t="str">
        <f t="shared" ca="1" si="60"/>
        <v/>
      </c>
      <c r="DP110" t="str">
        <f t="shared" ca="1" si="61"/>
        <v/>
      </c>
      <c r="DQ110" t="str">
        <f>IF(EXACT(Zauber!$A$250,""),"",IF(EXACT(RIGHT(HLOOKUP(Zauber!$A$250,PROFMAGIE,$DK110,FALSE)),"H"),CONCATENATE($CX110,","),""))</f>
        <v/>
      </c>
      <c r="DR110" t="str">
        <f t="shared" si="62"/>
        <v/>
      </c>
      <c r="DS110" t="str">
        <f>IF(ZS_IAAK="Ja",IF(EXACT(RIGHT(HLOOKUP(Tabellen_Magie!$IK$1,PROFMAGIE,$DK110,FALSE)),"H"),CONCATENATE($CX110,","),""),"")</f>
        <v/>
      </c>
      <c r="DT110" t="str">
        <f>IF(ZS_IAAK="Ja",IF(NOT(DS110=""),"",IF(OR(EXACT(RIGHT(HLOOKUP(Tabellen_Magie!$IK$1,PROFMAGIE,$DK110,FALSE)),"B"),EXACT(HLOOKUP(Tabellen_Magie!$IK$1,PROFMAGIE,$DK110,FALSE),"")),"",CONCATENATE($CX110,","))),"")</f>
        <v/>
      </c>
      <c r="DU110" t="str">
        <f t="shared" si="63"/>
        <v/>
      </c>
      <c r="DW110" t="s">
        <v>7463</v>
      </c>
      <c r="DX110" t="s">
        <v>4985</v>
      </c>
      <c r="DY110" t="s">
        <v>4985</v>
      </c>
      <c r="DZ110" t="s">
        <v>4985</v>
      </c>
      <c r="EB110" t="s">
        <v>1193</v>
      </c>
      <c r="ED110">
        <f t="shared" si="84"/>
        <v>150</v>
      </c>
      <c r="EE110" t="s">
        <v>1248</v>
      </c>
      <c r="EH110">
        <f t="shared" si="90"/>
        <v>3</v>
      </c>
      <c r="EI110">
        <v>150</v>
      </c>
      <c r="EK110" t="s">
        <v>7474</v>
      </c>
      <c r="EL110" t="s">
        <v>7443</v>
      </c>
      <c r="FD110" t="s">
        <v>343</v>
      </c>
      <c r="FE110">
        <f>ROUND(FK110*IF(VT_EIDGED,0.5,IF(VT_GUTGED,0.75,1)*IF(NT_ELFWELT,IF(FN110,1,1.5),1)),0)</f>
        <v>100</v>
      </c>
      <c r="FF110">
        <f t="shared" si="97"/>
        <v>2</v>
      </c>
      <c r="FK110">
        <v>100</v>
      </c>
      <c r="FL110">
        <v>7</v>
      </c>
      <c r="FM110" t="b">
        <f t="shared" ca="1" si="95"/>
        <v>0</v>
      </c>
      <c r="FN110" t="b">
        <f t="shared" ca="1" si="96"/>
        <v>0</v>
      </c>
      <c r="GH110" t="s">
        <v>2847</v>
      </c>
      <c r="GI110" t="s">
        <v>1119</v>
      </c>
      <c r="GJ110">
        <v>2</v>
      </c>
      <c r="GK110" t="s">
        <v>1320</v>
      </c>
      <c r="GL110" t="s">
        <v>1977</v>
      </c>
      <c r="GM110" t="s">
        <v>1984</v>
      </c>
      <c r="GN110" t="s">
        <v>1974</v>
      </c>
      <c r="GO110">
        <v>265</v>
      </c>
      <c r="GP110">
        <v>253</v>
      </c>
      <c r="GR110">
        <f t="shared" si="66"/>
        <v>459</v>
      </c>
      <c r="GU110" t="str">
        <f t="shared" ca="1" si="67"/>
        <v/>
      </c>
      <c r="GV110" t="str">
        <f t="shared" ca="1" si="68"/>
        <v/>
      </c>
      <c r="GW110" t="str">
        <f t="shared" ca="1" si="69"/>
        <v/>
      </c>
      <c r="GX110" t="str">
        <f t="shared" ca="1" si="70"/>
        <v/>
      </c>
      <c r="HA110" t="s">
        <v>1001</v>
      </c>
      <c r="HE110" t="s">
        <v>1397</v>
      </c>
      <c r="HF110">
        <v>2</v>
      </c>
      <c r="HH110" t="s">
        <v>4329</v>
      </c>
      <c r="HK110" t="s">
        <v>1975</v>
      </c>
      <c r="HL110">
        <v>4</v>
      </c>
    </row>
    <row r="111" spans="1:220" x14ac:dyDescent="0.2">
      <c r="A111" t="s">
        <v>1460</v>
      </c>
      <c r="B111" t="s">
        <v>74</v>
      </c>
      <c r="C111" t="s">
        <v>77</v>
      </c>
      <c r="D111" t="s">
        <v>750</v>
      </c>
      <c r="E111" t="s">
        <v>1827</v>
      </c>
      <c r="F111" t="s">
        <v>1321</v>
      </c>
      <c r="L111" t="str">
        <f t="shared" si="91"/>
        <v/>
      </c>
      <c r="M111" t="str">
        <f t="shared" si="92"/>
        <v/>
      </c>
      <c r="N111" t="str">
        <f t="shared" si="94"/>
        <v>Falschspiel</v>
      </c>
      <c r="P111">
        <f t="shared" si="93"/>
        <v>141</v>
      </c>
      <c r="R111" t="s">
        <v>4876</v>
      </c>
      <c r="U111">
        <v>7</v>
      </c>
      <c r="Z111" t="s">
        <v>1232</v>
      </c>
      <c r="AA111">
        <v>1</v>
      </c>
      <c r="AB111">
        <v>12</v>
      </c>
      <c r="AH111" t="str">
        <f>"CH "&amp;Generierung!$R$4+1</f>
        <v>CH 15</v>
      </c>
      <c r="AI111">
        <v>9</v>
      </c>
      <c r="AM111" t="s">
        <v>145</v>
      </c>
      <c r="AO111">
        <v>15</v>
      </c>
      <c r="AX111" t="s">
        <v>4532</v>
      </c>
      <c r="AY111">
        <v>4</v>
      </c>
      <c r="AZ111">
        <v>1</v>
      </c>
      <c r="BA111" t="s">
        <v>4645</v>
      </c>
      <c r="BB111" t="s">
        <v>1716</v>
      </c>
      <c r="BC111" t="s">
        <v>5073</v>
      </c>
      <c r="BD111" t="s">
        <v>5074</v>
      </c>
      <c r="BE111" t="s">
        <v>7650</v>
      </c>
      <c r="BG111">
        <v>5</v>
      </c>
      <c r="BK111" t="s">
        <v>5428</v>
      </c>
      <c r="BL111">
        <v>20</v>
      </c>
      <c r="BM111">
        <v>9</v>
      </c>
      <c r="BN111" t="s">
        <v>5429</v>
      </c>
      <c r="BO111" t="s">
        <v>5423</v>
      </c>
      <c r="BP111" t="s">
        <v>4549</v>
      </c>
      <c r="BQ111">
        <v>2</v>
      </c>
      <c r="BR111">
        <v>18</v>
      </c>
      <c r="BS111" t="s">
        <v>5424</v>
      </c>
      <c r="BT111" t="s">
        <v>5430</v>
      </c>
      <c r="BU111">
        <v>70</v>
      </c>
      <c r="BW111">
        <v>3</v>
      </c>
      <c r="BY111" t="s">
        <v>4985</v>
      </c>
      <c r="BZ111" t="s">
        <v>4985</v>
      </c>
      <c r="CA111" t="s">
        <v>5426</v>
      </c>
      <c r="CD111" t="s">
        <v>4632</v>
      </c>
      <c r="CE111" t="s">
        <v>916</v>
      </c>
      <c r="CF111" t="s">
        <v>917</v>
      </c>
      <c r="CG111" t="s">
        <v>903</v>
      </c>
      <c r="CH111">
        <v>0</v>
      </c>
      <c r="CI111">
        <v>4</v>
      </c>
      <c r="CJ111" t="s">
        <v>4001</v>
      </c>
      <c r="CK111" t="s">
        <v>1957</v>
      </c>
      <c r="CN111" t="str">
        <f ca="1">IF(AND(ISERR(FIND($CK111,Talente!$CI$41)),ISNA(VLOOKUP($CK111,$AH$51:$AH$55,1))),IF(AND(ISERR(FIND($CL111,Talente!$CI$41)),ISNA(VLOOKUP($CL111,$AH$51:$AH$55,1))),$CM111,$CL111),$CK111)</f>
        <v>Dolche</v>
      </c>
      <c r="CP111" t="s">
        <v>3472</v>
      </c>
      <c r="CQ111" t="s">
        <v>1433</v>
      </c>
      <c r="CR111">
        <v>15</v>
      </c>
      <c r="CS111" t="s">
        <v>3778</v>
      </c>
      <c r="CU111" t="s">
        <v>2271</v>
      </c>
      <c r="CW111" t="s">
        <v>3614</v>
      </c>
      <c r="CX111" t="s">
        <v>602</v>
      </c>
      <c r="CY111" t="s">
        <v>74</v>
      </c>
      <c r="CZ111" t="s">
        <v>74</v>
      </c>
      <c r="DA111" t="s">
        <v>77</v>
      </c>
      <c r="DB111" t="s">
        <v>1613</v>
      </c>
      <c r="DC111" t="s">
        <v>544</v>
      </c>
      <c r="DD111" t="s">
        <v>3929</v>
      </c>
      <c r="DE111" t="s">
        <v>3930</v>
      </c>
      <c r="DF111" t="s">
        <v>4072</v>
      </c>
      <c r="DG111" t="s">
        <v>1955</v>
      </c>
      <c r="DH111" t="s">
        <v>6910</v>
      </c>
      <c r="DI111" t="s">
        <v>80</v>
      </c>
      <c r="DJ111">
        <v>2</v>
      </c>
      <c r="DK111">
        <f t="shared" si="72"/>
        <v>432</v>
      </c>
      <c r="DL111">
        <f t="shared" si="77"/>
        <v>109</v>
      </c>
      <c r="DM111">
        <v>98</v>
      </c>
      <c r="DN111" t="str">
        <f t="shared" ca="1" si="59"/>
        <v/>
      </c>
      <c r="DO111" t="str">
        <f t="shared" ca="1" si="60"/>
        <v/>
      </c>
      <c r="DP111" t="str">
        <f t="shared" ca="1" si="61"/>
        <v/>
      </c>
      <c r="DQ111" t="str">
        <f>IF(EXACT(Zauber!$A$250,""),"",IF(EXACT(RIGHT(HLOOKUP(Zauber!$A$250,PROFMAGIE,$DK111,FALSE)),"H"),CONCATENATE($CX111,","),""))</f>
        <v/>
      </c>
      <c r="DR111" t="str">
        <f t="shared" si="62"/>
        <v/>
      </c>
      <c r="DS111" t="str">
        <f>IF(ZS_IAAK="Ja",IF(EXACT(RIGHT(HLOOKUP(Tabellen_Magie!$IK$1,PROFMAGIE,$DK111,FALSE)),"H"),CONCATENATE($CX111,","),""),"")</f>
        <v/>
      </c>
      <c r="DT111" t="str">
        <f>IF(ZS_IAAK="Ja",IF(NOT(DS111=""),"",IF(OR(EXACT(RIGHT(HLOOKUP(Tabellen_Magie!$IK$1,PROFMAGIE,$DK111,FALSE)),"B"),EXACT(HLOOKUP(Tabellen_Magie!$IK$1,PROFMAGIE,$DK111,FALSE),"")),"",CONCATENATE($CX111,","))),"")</f>
        <v/>
      </c>
      <c r="DU111" t="str">
        <f t="shared" si="63"/>
        <v/>
      </c>
      <c r="DW111" t="s">
        <v>7464</v>
      </c>
      <c r="DX111" t="s">
        <v>4985</v>
      </c>
      <c r="DY111" t="s">
        <v>4985</v>
      </c>
      <c r="DZ111" t="s">
        <v>4985</v>
      </c>
      <c r="EB111" t="s">
        <v>1193</v>
      </c>
      <c r="ED111">
        <f t="shared" si="84"/>
        <v>150</v>
      </c>
      <c r="EE111" t="s">
        <v>1248</v>
      </c>
      <c r="EH111">
        <f t="shared" si="90"/>
        <v>3</v>
      </c>
      <c r="EI111">
        <v>150</v>
      </c>
      <c r="EK111" t="s">
        <v>7427</v>
      </c>
      <c r="EL111" t="s">
        <v>7438</v>
      </c>
      <c r="FD111" t="s">
        <v>3001</v>
      </c>
      <c r="FE111">
        <f>ROUND(FK111*IF(VT_EIDGED,0.5,IF(VT_GUTGED,0.75,1)*IF(NT_ELFWELT,IF(FN111,1,1.5),1)),0)</f>
        <v>100</v>
      </c>
      <c r="FF111">
        <f t="shared" si="97"/>
        <v>2</v>
      </c>
      <c r="FK111">
        <v>100</v>
      </c>
      <c r="FL111">
        <v>7</v>
      </c>
      <c r="FM111" t="b">
        <f t="shared" ca="1" si="95"/>
        <v>0</v>
      </c>
      <c r="FN111" t="b">
        <f t="shared" ca="1" si="96"/>
        <v>0</v>
      </c>
      <c r="GH111" t="s">
        <v>9328</v>
      </c>
      <c r="GI111" t="s">
        <v>1119</v>
      </c>
      <c r="GJ111">
        <v>2</v>
      </c>
      <c r="GK111" t="s">
        <v>1320</v>
      </c>
      <c r="GL111" t="s">
        <v>1977</v>
      </c>
      <c r="GM111" t="s">
        <v>1984</v>
      </c>
      <c r="GN111" t="s">
        <v>1975</v>
      </c>
      <c r="GO111" t="s">
        <v>9314</v>
      </c>
      <c r="GP111">
        <v>257</v>
      </c>
      <c r="GR111">
        <f t="shared" si="66"/>
        <v>460</v>
      </c>
      <c r="GU111" t="str">
        <f t="shared" ca="1" si="67"/>
        <v/>
      </c>
      <c r="GV111" t="str">
        <f t="shared" ca="1" si="68"/>
        <v/>
      </c>
      <c r="GW111" t="str">
        <f t="shared" ca="1" si="69"/>
        <v/>
      </c>
      <c r="GX111" t="str">
        <f t="shared" ca="1" si="70"/>
        <v/>
      </c>
      <c r="HA111" t="s">
        <v>2905</v>
      </c>
      <c r="HE111" t="s">
        <v>1549</v>
      </c>
      <c r="HF111">
        <v>2</v>
      </c>
      <c r="HH111" t="s">
        <v>1094</v>
      </c>
      <c r="HK111" t="s">
        <v>104</v>
      </c>
    </row>
    <row r="112" spans="1:220" x14ac:dyDescent="0.2">
      <c r="A112" t="s">
        <v>1461</v>
      </c>
      <c r="B112" t="s">
        <v>75</v>
      </c>
      <c r="C112" t="s">
        <v>750</v>
      </c>
      <c r="D112" t="s">
        <v>750</v>
      </c>
      <c r="E112" t="s">
        <v>1320</v>
      </c>
      <c r="F112" t="s">
        <v>1321</v>
      </c>
      <c r="L112" t="str">
        <f t="shared" si="91"/>
        <v/>
      </c>
      <c r="M112" t="str">
        <f t="shared" si="92"/>
        <v/>
      </c>
      <c r="N112" t="str">
        <f t="shared" si="94"/>
        <v>Feinmechanik</v>
      </c>
      <c r="P112">
        <f t="shared" si="93"/>
        <v>142</v>
      </c>
      <c r="R112" t="s">
        <v>4527</v>
      </c>
      <c r="S112">
        <f>IF(VT_SOZANPFGK,1/5,1/3)</f>
        <v>0.33333333333333331</v>
      </c>
      <c r="T112">
        <v>15</v>
      </c>
      <c r="Z112" t="s">
        <v>757</v>
      </c>
      <c r="AA112">
        <v>1</v>
      </c>
      <c r="AB112">
        <v>12</v>
      </c>
      <c r="AD112" t="s">
        <v>3995</v>
      </c>
      <c r="AH112" t="str">
        <f>"CH "&amp;Generierung!$R$4+2</f>
        <v>CH 16</v>
      </c>
      <c r="AI112">
        <v>20</v>
      </c>
      <c r="AM112" t="s">
        <v>3741</v>
      </c>
      <c r="AO112">
        <v>15</v>
      </c>
      <c r="AX112" t="s">
        <v>4533</v>
      </c>
      <c r="AY112">
        <v>4</v>
      </c>
      <c r="AZ112">
        <v>1</v>
      </c>
      <c r="BA112" t="s">
        <v>5075</v>
      </c>
      <c r="BB112" t="s">
        <v>5076</v>
      </c>
      <c r="BC112" t="s">
        <v>5077</v>
      </c>
      <c r="BG112">
        <v>5</v>
      </c>
      <c r="BK112" t="s">
        <v>4101</v>
      </c>
      <c r="BL112">
        <v>11</v>
      </c>
      <c r="BM112">
        <v>8</v>
      </c>
      <c r="BN112" t="s">
        <v>5431</v>
      </c>
      <c r="BO112" t="s">
        <v>5432</v>
      </c>
      <c r="BP112" t="s">
        <v>374</v>
      </c>
      <c r="BQ112">
        <v>2</v>
      </c>
      <c r="BR112">
        <v>8</v>
      </c>
      <c r="BS112" t="s">
        <v>5433</v>
      </c>
      <c r="BT112" t="s">
        <v>5431</v>
      </c>
      <c r="BU112">
        <v>35</v>
      </c>
      <c r="BW112">
        <v>3</v>
      </c>
      <c r="BY112" t="s">
        <v>4985</v>
      </c>
      <c r="BZ112" t="s">
        <v>4985</v>
      </c>
      <c r="CA112" t="s">
        <v>5434</v>
      </c>
      <c r="CD112" t="s">
        <v>2707</v>
      </c>
      <c r="CE112" t="s">
        <v>5095</v>
      </c>
      <c r="CF112" t="s">
        <v>913</v>
      </c>
      <c r="CG112" t="s">
        <v>3236</v>
      </c>
      <c r="CH112">
        <v>-2</v>
      </c>
      <c r="CI112">
        <v>3</v>
      </c>
      <c r="CJ112" t="s">
        <v>899</v>
      </c>
      <c r="CK112" t="s">
        <v>1525</v>
      </c>
      <c r="CN112" t="str">
        <f ca="1">IF(AND(ISERR(FIND($CK112,Talente!$CI$41)),ISNA(VLOOKUP($CK112,$AH$51:$AH$55,1))),IF(AND(ISERR(FIND($CL112,Talente!$CI$41)),ISNA(VLOOKUP($CL112,$AH$51:$AH$55,1))),$CM112,$CL112),$CK112)</f>
        <v>Kettenwaffen</v>
      </c>
      <c r="CP112" t="s">
        <v>3852</v>
      </c>
      <c r="CQ112" t="s">
        <v>1433</v>
      </c>
      <c r="CR112">
        <v>20</v>
      </c>
      <c r="CS112" t="s">
        <v>3847</v>
      </c>
      <c r="CU112" t="s">
        <v>7571</v>
      </c>
      <c r="CW112" t="s">
        <v>4961</v>
      </c>
      <c r="CX112" t="s">
        <v>8935</v>
      </c>
      <c r="CY112" t="s">
        <v>76</v>
      </c>
      <c r="CZ112" t="s">
        <v>5030</v>
      </c>
      <c r="DA112" t="s">
        <v>751</v>
      </c>
      <c r="DC112" t="s">
        <v>7292</v>
      </c>
      <c r="DD112" t="s">
        <v>8936</v>
      </c>
      <c r="DE112" t="s">
        <v>3142</v>
      </c>
      <c r="DF112" t="s">
        <v>511</v>
      </c>
      <c r="DG112" t="s">
        <v>3916</v>
      </c>
      <c r="DH112" t="s">
        <v>8937</v>
      </c>
      <c r="DI112" t="s">
        <v>3498</v>
      </c>
      <c r="DJ112">
        <v>2</v>
      </c>
      <c r="DK112">
        <f t="shared" si="72"/>
        <v>433</v>
      </c>
      <c r="DL112">
        <f t="shared" si="77"/>
        <v>110</v>
      </c>
      <c r="DN112" t="str">
        <f t="shared" ca="1" si="59"/>
        <v/>
      </c>
      <c r="DO112" t="str">
        <f t="shared" ca="1" si="60"/>
        <v/>
      </c>
      <c r="DP112" t="str">
        <f t="shared" ca="1" si="61"/>
        <v/>
      </c>
      <c r="DQ112" t="str">
        <f>IF(EXACT(Zauber!$A$250,""),"",IF(EXACT(RIGHT(HLOOKUP(Zauber!$A$250,PROFMAGIE,$DK112,FALSE)),"H"),CONCATENATE($CX112,","),""))</f>
        <v/>
      </c>
      <c r="DR112" t="str">
        <f t="shared" si="62"/>
        <v/>
      </c>
      <c r="DS112" t="str">
        <f>IF(ZS_IAAK="Ja",IF(EXACT(RIGHT(HLOOKUP(Tabellen_Magie!$IK$1,PROFMAGIE,$DK112,FALSE)),"H"),CONCATENATE($CX112,","),""),"")</f>
        <v/>
      </c>
      <c r="DT112" t="str">
        <f>IF(ZS_IAAK="Ja",IF(NOT(DS112=""),"",IF(OR(EXACT(RIGHT(HLOOKUP(Tabellen_Magie!$IK$1,PROFMAGIE,$DK112,FALSE)),"B"),EXACT(HLOOKUP(Tabellen_Magie!$IK$1,PROFMAGIE,$DK112,FALSE),"")),"",CONCATENATE($CX112,","))),"")</f>
        <v/>
      </c>
      <c r="DU112" t="str">
        <f t="shared" si="63"/>
        <v/>
      </c>
      <c r="DW112" t="s">
        <v>7465</v>
      </c>
      <c r="DX112" t="s">
        <v>4985</v>
      </c>
      <c r="DY112" t="s">
        <v>4985</v>
      </c>
      <c r="DZ112" t="s">
        <v>4985</v>
      </c>
      <c r="EB112" t="s">
        <v>1193</v>
      </c>
      <c r="ED112">
        <f t="shared" si="84"/>
        <v>150</v>
      </c>
      <c r="EE112" t="s">
        <v>1248</v>
      </c>
      <c r="EH112">
        <f t="shared" si="90"/>
        <v>3</v>
      </c>
      <c r="EI112">
        <v>150</v>
      </c>
      <c r="EK112" t="s">
        <v>7428</v>
      </c>
      <c r="EL112" t="s">
        <v>7439</v>
      </c>
      <c r="FD112" t="s">
        <v>3675</v>
      </c>
      <c r="FE112">
        <f ca="1">ROUND(IF(AND(VT_SOZANPFGK,AKTIV_NANDUS="X"),40,IF(OR(VT_SOZANPFGK,AKTIV_NANDUS="X"),0.5,1)*FK112)
*IF(VT_EIDGED,0.5,IF(VT_GUTGED,0.75,1))*IF(NT_ELFWELT,IF(FN112,1,1.5),1),0)</f>
        <v>150</v>
      </c>
      <c r="FF112">
        <f ca="1">ROUND(FE112/50,0)</f>
        <v>3</v>
      </c>
      <c r="FK112">
        <v>150</v>
      </c>
      <c r="FL112">
        <v>7</v>
      </c>
      <c r="FM112" t="b">
        <f t="shared" ca="1" si="95"/>
        <v>0</v>
      </c>
      <c r="FN112" t="b">
        <f t="shared" ca="1" si="96"/>
        <v>0</v>
      </c>
      <c r="GH112" t="s">
        <v>2848</v>
      </c>
      <c r="GI112" t="s">
        <v>1119</v>
      </c>
      <c r="GJ112">
        <v>2</v>
      </c>
      <c r="GK112" t="s">
        <v>1320</v>
      </c>
      <c r="GL112" t="s">
        <v>567</v>
      </c>
      <c r="GM112" t="s">
        <v>1369</v>
      </c>
      <c r="GN112" t="s">
        <v>1975</v>
      </c>
      <c r="GO112">
        <v>264</v>
      </c>
      <c r="GP112">
        <v>258</v>
      </c>
      <c r="GR112">
        <f t="shared" si="66"/>
        <v>461</v>
      </c>
      <c r="GS112">
        <v>4</v>
      </c>
      <c r="GU112" t="str">
        <f t="shared" ca="1" si="67"/>
        <v/>
      </c>
      <c r="GV112" t="str">
        <f t="shared" ca="1" si="68"/>
        <v/>
      </c>
      <c r="GW112" t="str">
        <f t="shared" ca="1" si="69"/>
        <v/>
      </c>
      <c r="GX112" t="str">
        <f t="shared" ca="1" si="70"/>
        <v/>
      </c>
      <c r="HA112" t="s">
        <v>1004</v>
      </c>
      <c r="HE112" t="s">
        <v>1396</v>
      </c>
      <c r="HF112">
        <v>3</v>
      </c>
      <c r="HH112" t="s">
        <v>3067</v>
      </c>
      <c r="HK112">
        <v>0</v>
      </c>
      <c r="HL112">
        <v>1</v>
      </c>
    </row>
    <row r="113" spans="1:220" x14ac:dyDescent="0.2">
      <c r="A113" t="s">
        <v>1462</v>
      </c>
      <c r="B113" t="s">
        <v>75</v>
      </c>
      <c r="C113" t="s">
        <v>750</v>
      </c>
      <c r="D113" t="s">
        <v>750</v>
      </c>
      <c r="E113" t="s">
        <v>1827</v>
      </c>
      <c r="F113" t="s">
        <v>1321</v>
      </c>
      <c r="L113" t="str">
        <f t="shared" si="91"/>
        <v/>
      </c>
      <c r="M113" t="str">
        <f t="shared" si="92"/>
        <v/>
      </c>
      <c r="N113" t="str">
        <f t="shared" si="94"/>
        <v>Feuersteinbearbeitung</v>
      </c>
      <c r="P113">
        <f t="shared" si="93"/>
        <v>143</v>
      </c>
      <c r="R113" t="s">
        <v>4877</v>
      </c>
      <c r="U113">
        <v>3</v>
      </c>
      <c r="W113" t="s">
        <v>2070</v>
      </c>
      <c r="Z113" t="s">
        <v>4291</v>
      </c>
      <c r="AC113">
        <v>5</v>
      </c>
      <c r="AH113" t="str">
        <f>"CH "&amp;Generierung!$R$4+3</f>
        <v>CH 17</v>
      </c>
      <c r="AI113">
        <v>33</v>
      </c>
      <c r="AM113" t="s">
        <v>983</v>
      </c>
      <c r="AO113">
        <v>15</v>
      </c>
      <c r="AX113" t="s">
        <v>1531</v>
      </c>
      <c r="AY113">
        <v>6</v>
      </c>
      <c r="AZ113">
        <v>2</v>
      </c>
      <c r="BG113">
        <v>5</v>
      </c>
      <c r="BK113" t="s">
        <v>1597</v>
      </c>
      <c r="BL113">
        <v>16</v>
      </c>
      <c r="BM113">
        <v>13</v>
      </c>
      <c r="BN113" t="s">
        <v>5435</v>
      </c>
      <c r="BO113" t="s">
        <v>5436</v>
      </c>
      <c r="BP113" t="s">
        <v>5437</v>
      </c>
      <c r="BQ113">
        <v>2</v>
      </c>
      <c r="BR113">
        <v>18</v>
      </c>
      <c r="BS113" t="s">
        <v>5438</v>
      </c>
      <c r="BT113" t="s">
        <v>5439</v>
      </c>
      <c r="BU113">
        <v>25</v>
      </c>
      <c r="BW113">
        <v>3</v>
      </c>
      <c r="BY113" t="s">
        <v>4985</v>
      </c>
      <c r="BZ113" t="s">
        <v>4985</v>
      </c>
      <c r="CA113" t="s">
        <v>5440</v>
      </c>
      <c r="CD113" t="s">
        <v>2708</v>
      </c>
      <c r="CE113" t="s">
        <v>904</v>
      </c>
      <c r="CF113" t="s">
        <v>3232</v>
      </c>
      <c r="CG113" t="s">
        <v>908</v>
      </c>
      <c r="CH113">
        <v>-1</v>
      </c>
      <c r="CI113">
        <v>4</v>
      </c>
      <c r="CJ113" t="s">
        <v>899</v>
      </c>
      <c r="CK113" t="s">
        <v>3629</v>
      </c>
      <c r="CL113" t="s">
        <v>2190</v>
      </c>
      <c r="CN113" t="str">
        <f ca="1">IF(AND(ISERR(FIND($CK113,Talente!$CI$41)),ISNA(VLOOKUP($CK113,$AH$51:$AH$55,1))),IF(AND(ISERR(FIND($CL113,Talente!$CI$41)),ISNA(VLOOKUP($CL113,$AH$51:$AH$55,1))),$CM113,$CL113),$CK113)</f>
        <v>Zweihand-Hiebwaffen</v>
      </c>
      <c r="CP113" t="s">
        <v>3475</v>
      </c>
      <c r="CQ113" t="s">
        <v>1433</v>
      </c>
      <c r="CR113">
        <v>21</v>
      </c>
      <c r="CS113" t="s">
        <v>3780</v>
      </c>
      <c r="CU113" t="s">
        <v>4609</v>
      </c>
      <c r="CW113" t="s">
        <v>2152</v>
      </c>
      <c r="CX113" t="s">
        <v>603</v>
      </c>
      <c r="CY113" t="s">
        <v>74</v>
      </c>
      <c r="CZ113" t="s">
        <v>75</v>
      </c>
      <c r="DA113" t="s">
        <v>77</v>
      </c>
      <c r="DC113" t="s">
        <v>7296</v>
      </c>
      <c r="DD113" t="s">
        <v>1028</v>
      </c>
      <c r="DE113" t="s">
        <v>3380</v>
      </c>
      <c r="DF113" t="s">
        <v>1617</v>
      </c>
      <c r="DG113" t="s">
        <v>1955</v>
      </c>
      <c r="DH113" t="s">
        <v>6911</v>
      </c>
      <c r="DI113" t="s">
        <v>4339</v>
      </c>
      <c r="DJ113">
        <v>2</v>
      </c>
      <c r="DK113">
        <f t="shared" si="72"/>
        <v>434</v>
      </c>
      <c r="DL113">
        <f t="shared" si="77"/>
        <v>111</v>
      </c>
      <c r="DM113">
        <v>275</v>
      </c>
      <c r="DN113" t="str">
        <f t="shared" ca="1" si="59"/>
        <v/>
      </c>
      <c r="DO113" t="str">
        <f t="shared" ca="1" si="60"/>
        <v/>
      </c>
      <c r="DP113" t="str">
        <f t="shared" ca="1" si="61"/>
        <v/>
      </c>
      <c r="DQ113" t="str">
        <f>IF(EXACT(Zauber!$A$250,""),"",IF(EXACT(RIGHT(HLOOKUP(Zauber!$A$250,PROFMAGIE,$DK113,FALSE)),"H"),CONCATENATE($CX113,","),""))</f>
        <v/>
      </c>
      <c r="DR113" t="str">
        <f t="shared" si="62"/>
        <v/>
      </c>
      <c r="DS113" t="str">
        <f>IF(ZS_IAAK="Ja",IF(EXACT(RIGHT(HLOOKUP(Tabellen_Magie!$IK$1,PROFMAGIE,$DK113,FALSE)),"H"),CONCATENATE($CX113,","),""),"")</f>
        <v/>
      </c>
      <c r="DT113" t="str">
        <f>IF(ZS_IAAK="Ja",IF(NOT(DS113=""),"",IF(OR(EXACT(RIGHT(HLOOKUP(Tabellen_Magie!$IK$1,PROFMAGIE,$DK113,FALSE)),"B"),EXACT(HLOOKUP(Tabellen_Magie!$IK$1,PROFMAGIE,$DK113,FALSE),"")),"",CONCATENATE($CX113,","))),"")</f>
        <v/>
      </c>
      <c r="DU113" t="str">
        <f t="shared" si="63"/>
        <v/>
      </c>
      <c r="DW113" t="s">
        <v>7466</v>
      </c>
      <c r="DX113" t="s">
        <v>4985</v>
      </c>
      <c r="DY113" t="s">
        <v>4985</v>
      </c>
      <c r="DZ113" t="s">
        <v>4985</v>
      </c>
      <c r="EB113" t="s">
        <v>1193</v>
      </c>
      <c r="ED113">
        <f t="shared" si="84"/>
        <v>150</v>
      </c>
      <c r="EE113" t="s">
        <v>1248</v>
      </c>
      <c r="EH113">
        <f t="shared" si="90"/>
        <v>3</v>
      </c>
      <c r="EI113">
        <v>150</v>
      </c>
      <c r="EK113" t="s">
        <v>7431</v>
      </c>
      <c r="EL113" t="s">
        <v>7440</v>
      </c>
      <c r="FD113" t="s">
        <v>2457</v>
      </c>
      <c r="FE113">
        <f>ROUND(FK113*IF(VT_EIDGED,0.5,IF(VT_GUTGED,0.75,1)*IF(NT_ELFWELT,IF(FN113,1,1.5),1)),0)</f>
        <v>100</v>
      </c>
      <c r="FF113">
        <f t="shared" si="97"/>
        <v>2</v>
      </c>
      <c r="FK113">
        <v>100</v>
      </c>
      <c r="FL113">
        <v>7</v>
      </c>
      <c r="FM113" t="b">
        <f t="shared" ca="1" si="95"/>
        <v>0</v>
      </c>
      <c r="FN113" t="b">
        <f t="shared" ca="1" si="96"/>
        <v>0</v>
      </c>
      <c r="GH113" t="s">
        <v>4052</v>
      </c>
      <c r="GI113" t="s">
        <v>1119</v>
      </c>
      <c r="GJ113">
        <v>2</v>
      </c>
      <c r="GK113" t="s">
        <v>1320</v>
      </c>
      <c r="GL113" t="s">
        <v>567</v>
      </c>
      <c r="GM113" t="s">
        <v>1983</v>
      </c>
      <c r="GN113" t="s">
        <v>1974</v>
      </c>
      <c r="GO113">
        <v>268</v>
      </c>
      <c r="GP113">
        <v>259</v>
      </c>
      <c r="GR113">
        <f t="shared" si="66"/>
        <v>462</v>
      </c>
      <c r="GS113">
        <v>3</v>
      </c>
      <c r="GU113" t="str">
        <f t="shared" ca="1" si="67"/>
        <v/>
      </c>
      <c r="GV113" t="str">
        <f t="shared" ca="1" si="68"/>
        <v/>
      </c>
      <c r="GW113" t="str">
        <f t="shared" ca="1" si="69"/>
        <v/>
      </c>
      <c r="GX113" t="str">
        <f t="shared" ca="1" si="70"/>
        <v/>
      </c>
      <c r="HA113" t="s">
        <v>1328</v>
      </c>
      <c r="HE113" t="s">
        <v>4854</v>
      </c>
      <c r="HF113">
        <v>4</v>
      </c>
      <c r="HH113" t="s">
        <v>4838</v>
      </c>
      <c r="HK113" t="s">
        <v>1976</v>
      </c>
      <c r="HL113">
        <v>5</v>
      </c>
    </row>
    <row r="114" spans="1:220" x14ac:dyDescent="0.2">
      <c r="A114" t="s">
        <v>1463</v>
      </c>
      <c r="B114" t="s">
        <v>75</v>
      </c>
      <c r="C114" t="s">
        <v>750</v>
      </c>
      <c r="D114" t="s">
        <v>752</v>
      </c>
      <c r="E114" t="s">
        <v>1320</v>
      </c>
      <c r="F114" t="s">
        <v>1321</v>
      </c>
      <c r="L114" t="str">
        <f t="shared" si="91"/>
        <v/>
      </c>
      <c r="M114" t="str">
        <f t="shared" si="92"/>
        <v/>
      </c>
      <c r="N114" t="str">
        <f t="shared" si="94"/>
        <v>Fleischer</v>
      </c>
      <c r="P114">
        <f t="shared" si="93"/>
        <v>144</v>
      </c>
      <c r="R114" t="s">
        <v>3992</v>
      </c>
      <c r="U114">
        <f>3</f>
        <v>3</v>
      </c>
      <c r="Z114" t="s">
        <v>4292</v>
      </c>
      <c r="AC114">
        <v>5</v>
      </c>
      <c r="AH114" t="str">
        <f>"CH "&amp;Generierung!$R$4+4</f>
        <v>CH 18</v>
      </c>
      <c r="AI114">
        <v>48</v>
      </c>
      <c r="AM114" t="s">
        <v>3742</v>
      </c>
      <c r="AO114">
        <v>15</v>
      </c>
      <c r="AS114" t="s">
        <v>2076</v>
      </c>
      <c r="AT114" t="s">
        <v>3749</v>
      </c>
      <c r="AU114" t="s">
        <v>3750</v>
      </c>
      <c r="AV114" t="s">
        <v>3759</v>
      </c>
      <c r="AX114" t="s">
        <v>1554</v>
      </c>
      <c r="AY114">
        <v>4</v>
      </c>
      <c r="AZ114">
        <v>1</v>
      </c>
      <c r="BA114" t="s">
        <v>135</v>
      </c>
      <c r="BB114" t="s">
        <v>4395</v>
      </c>
      <c r="BC114" t="s">
        <v>1811</v>
      </c>
      <c r="BG114">
        <v>5</v>
      </c>
      <c r="BK114" t="s">
        <v>3482</v>
      </c>
      <c r="BL114">
        <v>11</v>
      </c>
      <c r="BM114">
        <v>8</v>
      </c>
      <c r="BN114" t="s">
        <v>5431</v>
      </c>
      <c r="BO114" t="s">
        <v>5432</v>
      </c>
      <c r="BP114" t="s">
        <v>374</v>
      </c>
      <c r="BQ114">
        <v>2</v>
      </c>
      <c r="BR114">
        <v>8</v>
      </c>
      <c r="BS114" t="s">
        <v>5433</v>
      </c>
      <c r="BT114" t="s">
        <v>5431</v>
      </c>
      <c r="BU114">
        <v>35</v>
      </c>
      <c r="BW114">
        <v>3</v>
      </c>
      <c r="BY114" t="s">
        <v>4985</v>
      </c>
      <c r="BZ114" t="s">
        <v>4985</v>
      </c>
      <c r="CA114" t="s">
        <v>5434</v>
      </c>
      <c r="CD114" t="s">
        <v>7167</v>
      </c>
      <c r="CE114" t="s">
        <v>904</v>
      </c>
      <c r="CF114" t="s">
        <v>4554</v>
      </c>
      <c r="CG114" t="s">
        <v>908</v>
      </c>
      <c r="CH114">
        <v>-1</v>
      </c>
      <c r="CI114">
        <v>4</v>
      </c>
      <c r="CJ114" t="s">
        <v>899</v>
      </c>
      <c r="CK114" t="s">
        <v>2190</v>
      </c>
      <c r="CN114" t="str">
        <f ca="1">IF(AND(ISERR(FIND($CK114,Talente!$CI$41)),ISNA(VLOOKUP($CK114,$AH$51:$AH$55,1))),IF(AND(ISERR(FIND($CL114,Talente!$CI$41)),ISNA(VLOOKUP($CL114,$AH$51:$AH$55,1))),$CM114,$CL114),$CK114)</f>
        <v>Hiebwaffen</v>
      </c>
      <c r="CP114" t="s">
        <v>522</v>
      </c>
      <c r="CQ114" t="s">
        <v>1433</v>
      </c>
      <c r="CR114">
        <v>18</v>
      </c>
      <c r="CS114" t="s">
        <v>522</v>
      </c>
      <c r="CU114" t="s">
        <v>2172</v>
      </c>
      <c r="CW114" t="s">
        <v>1183</v>
      </c>
      <c r="CX114" t="s">
        <v>64</v>
      </c>
      <c r="CY114" t="s">
        <v>74</v>
      </c>
      <c r="CZ114" t="s">
        <v>77</v>
      </c>
      <c r="DA114" t="s">
        <v>5030</v>
      </c>
      <c r="DB114" t="s">
        <v>2042</v>
      </c>
      <c r="DC114" t="s">
        <v>7292</v>
      </c>
      <c r="DD114" t="s">
        <v>1914</v>
      </c>
      <c r="DE114" t="s">
        <v>4073</v>
      </c>
      <c r="DF114" t="s">
        <v>4074</v>
      </c>
      <c r="DG114" t="s">
        <v>1955</v>
      </c>
      <c r="DH114" t="s">
        <v>8423</v>
      </c>
      <c r="DI114" t="s">
        <v>8454</v>
      </c>
      <c r="DJ114">
        <v>2</v>
      </c>
      <c r="DK114">
        <f t="shared" si="72"/>
        <v>435</v>
      </c>
      <c r="DL114">
        <f t="shared" si="77"/>
        <v>112</v>
      </c>
      <c r="DM114">
        <v>99</v>
      </c>
      <c r="DN114" t="str">
        <f t="shared" ca="1" si="59"/>
        <v/>
      </c>
      <c r="DO114" t="str">
        <f t="shared" ca="1" si="60"/>
        <v/>
      </c>
      <c r="DP114" t="str">
        <f t="shared" ca="1" si="61"/>
        <v/>
      </c>
      <c r="DQ114" t="str">
        <f>IF(EXACT(Zauber!$A$250,""),"",IF(EXACT(RIGHT(HLOOKUP(Zauber!$A$250,PROFMAGIE,$DK114,FALSE)),"H"),CONCATENATE($CX114,","),""))</f>
        <v/>
      </c>
      <c r="DR114" t="str">
        <f t="shared" si="62"/>
        <v/>
      </c>
      <c r="DS114" t="str">
        <f>IF(ZS_IAAK="Ja",IF(EXACT(RIGHT(HLOOKUP(Tabellen_Magie!$IK$1,PROFMAGIE,$DK114,FALSE)),"H"),CONCATENATE($CX114,","),""),"")</f>
        <v/>
      </c>
      <c r="DT114" t="str">
        <f>IF(ZS_IAAK="Ja",IF(NOT(DS114=""),"",IF(OR(EXACT(RIGHT(HLOOKUP(Tabellen_Magie!$IK$1,PROFMAGIE,$DK114,FALSE)),"B"),EXACT(HLOOKUP(Tabellen_Magie!$IK$1,PROFMAGIE,$DK114,FALSE),"")),"",CONCATENATE($CX114,","))),"")</f>
        <v/>
      </c>
      <c r="DU114" t="str">
        <f t="shared" si="63"/>
        <v/>
      </c>
      <c r="DW114" t="s">
        <v>7467</v>
      </c>
      <c r="DX114" t="s">
        <v>4985</v>
      </c>
      <c r="DY114" t="s">
        <v>4985</v>
      </c>
      <c r="DZ114" t="s">
        <v>4985</v>
      </c>
      <c r="EB114" t="s">
        <v>1193</v>
      </c>
      <c r="ED114">
        <f t="shared" si="84"/>
        <v>150</v>
      </c>
      <c r="EE114" t="s">
        <v>1248</v>
      </c>
      <c r="EH114">
        <f t="shared" si="90"/>
        <v>3</v>
      </c>
      <c r="EI114">
        <v>150</v>
      </c>
      <c r="EK114" t="s">
        <v>1089</v>
      </c>
      <c r="EL114" t="s">
        <v>7441</v>
      </c>
      <c r="FD114" t="s">
        <v>2800</v>
      </c>
      <c r="FE114">
        <f>ROUND(FK114*IF(VT_EIDGED,0.5,IF(VT_GUTGED,0.75,1)*IF(NT_ELFWELT,IF(FN114,1,1.5),1)),0)</f>
        <v>100</v>
      </c>
      <c r="FF114">
        <f t="shared" si="97"/>
        <v>2</v>
      </c>
      <c r="FK114">
        <v>100</v>
      </c>
      <c r="FL114">
        <v>7</v>
      </c>
      <c r="FM114" t="b">
        <f t="shared" ca="1" si="95"/>
        <v>0</v>
      </c>
      <c r="FN114" t="b">
        <f t="shared" ca="1" si="96"/>
        <v>0</v>
      </c>
      <c r="GH114" t="s">
        <v>9329</v>
      </c>
      <c r="GI114" t="s">
        <v>1119</v>
      </c>
      <c r="GJ114">
        <v>2</v>
      </c>
      <c r="GK114" t="s">
        <v>4116</v>
      </c>
      <c r="GL114" t="s">
        <v>1977</v>
      </c>
      <c r="GM114" t="s">
        <v>1985</v>
      </c>
      <c r="GN114" t="s">
        <v>1973</v>
      </c>
      <c r="GO114" t="s">
        <v>9314</v>
      </c>
      <c r="GP114">
        <v>262</v>
      </c>
      <c r="GR114">
        <f t="shared" si="66"/>
        <v>463</v>
      </c>
      <c r="GU114" t="str">
        <f t="shared" ca="1" si="67"/>
        <v/>
      </c>
      <c r="GV114" t="str">
        <f t="shared" ca="1" si="68"/>
        <v/>
      </c>
      <c r="GW114" t="str">
        <f t="shared" ca="1" si="69"/>
        <v/>
      </c>
      <c r="GX114" t="str">
        <f t="shared" ca="1" si="70"/>
        <v/>
      </c>
      <c r="HA114" t="s">
        <v>1888</v>
      </c>
      <c r="HE114" t="s">
        <v>1970</v>
      </c>
      <c r="HF114">
        <v>5</v>
      </c>
      <c r="HH114" t="s">
        <v>4996</v>
      </c>
      <c r="HK114" t="s">
        <v>567</v>
      </c>
      <c r="HL114">
        <v>4</v>
      </c>
    </row>
    <row r="115" spans="1:220" x14ac:dyDescent="0.2">
      <c r="A115" t="s">
        <v>2582</v>
      </c>
      <c r="B115" t="s">
        <v>75</v>
      </c>
      <c r="C115" t="s">
        <v>750</v>
      </c>
      <c r="D115" t="s">
        <v>5030</v>
      </c>
      <c r="E115" t="s">
        <v>1320</v>
      </c>
      <c r="F115" t="s">
        <v>1321</v>
      </c>
      <c r="L115" t="str">
        <f t="shared" si="91"/>
        <v/>
      </c>
      <c r="M115" t="str">
        <f t="shared" si="92"/>
        <v/>
      </c>
      <c r="N115" t="str">
        <f t="shared" si="94"/>
        <v>Gerber/Kürschner</v>
      </c>
      <c r="P115">
        <f t="shared" si="93"/>
        <v>145</v>
      </c>
      <c r="R115" t="s">
        <v>316</v>
      </c>
      <c r="U115">
        <v>5</v>
      </c>
      <c r="W115" t="s">
        <v>4588</v>
      </c>
      <c r="Z115" t="s">
        <v>758</v>
      </c>
      <c r="AA115">
        <v>1.5</v>
      </c>
      <c r="AB115">
        <v>12</v>
      </c>
      <c r="AD115" t="s">
        <v>3995</v>
      </c>
      <c r="AH115" t="str">
        <f>"CH "&amp;Generierung!$R$4+5</f>
        <v>CH 19</v>
      </c>
      <c r="AI115">
        <v>65</v>
      </c>
      <c r="AM115" t="s">
        <v>3740</v>
      </c>
      <c r="AO115">
        <v>15</v>
      </c>
      <c r="AS115" t="s">
        <v>3712</v>
      </c>
      <c r="AT115">
        <f ca="1">IF(AV115,3,10)</f>
        <v>10</v>
      </c>
      <c r="AU115">
        <v>7</v>
      </c>
      <c r="AV115" t="b">
        <f ca="1">IF(AND(
NOT(ISERR(FIND($R$82&amp;" "&amp;AS115,Abfragen!$U$81))),
NOT(ISERR(FIND($R$98&amp;" "&amp;AS115,Abfragen!$U$81)))),
TRUE,FALSE)</f>
        <v>0</v>
      </c>
      <c r="AX115" t="s">
        <v>1425</v>
      </c>
      <c r="AY115">
        <v>4</v>
      </c>
      <c r="AZ115">
        <v>1</v>
      </c>
      <c r="BA115" t="s">
        <v>4985</v>
      </c>
      <c r="BG115">
        <v>5</v>
      </c>
      <c r="BK115" t="s">
        <v>3483</v>
      </c>
      <c r="BL115">
        <v>11</v>
      </c>
      <c r="BM115">
        <v>8</v>
      </c>
      <c r="BN115" t="s">
        <v>5431</v>
      </c>
      <c r="BO115" t="s">
        <v>5432</v>
      </c>
      <c r="BP115" t="s">
        <v>374</v>
      </c>
      <c r="BQ115">
        <v>2</v>
      </c>
      <c r="BR115">
        <v>8</v>
      </c>
      <c r="BS115" t="s">
        <v>5433</v>
      </c>
      <c r="BT115" t="s">
        <v>5431</v>
      </c>
      <c r="BU115">
        <v>35</v>
      </c>
      <c r="BW115">
        <v>3</v>
      </c>
      <c r="BY115" t="s">
        <v>4985</v>
      </c>
      <c r="BZ115" t="s">
        <v>4985</v>
      </c>
      <c r="CA115" t="s">
        <v>5434</v>
      </c>
      <c r="CD115" t="s">
        <v>2034</v>
      </c>
      <c r="CE115" t="s">
        <v>916</v>
      </c>
      <c r="CF115" t="s">
        <v>917</v>
      </c>
      <c r="CG115" t="s">
        <v>2035</v>
      </c>
      <c r="CH115">
        <v>0</v>
      </c>
      <c r="CI115">
        <v>1</v>
      </c>
      <c r="CJ115" t="s">
        <v>4001</v>
      </c>
      <c r="CK115" t="s">
        <v>1957</v>
      </c>
      <c r="CL115" t="s">
        <v>2193</v>
      </c>
      <c r="CN115" t="str">
        <f ca="1">IF(AND(ISERR(FIND($CK115,Talente!$CI$41)),ISNA(VLOOKUP($CK115,$AH$51:$AH$55,1))),IF(AND(ISERR(FIND($CL115,Talente!$CI$41)),ISNA(VLOOKUP($CL115,$AH$51:$AH$55,1))),$CM115,$CL115),$CK115)</f>
        <v>Dolche</v>
      </c>
      <c r="CP115" t="s">
        <v>3853</v>
      </c>
      <c r="CQ115" t="s">
        <v>1433</v>
      </c>
      <c r="CR115">
        <v>18</v>
      </c>
      <c r="CS115" t="s">
        <v>3778</v>
      </c>
      <c r="CU115" t="s">
        <v>7582</v>
      </c>
      <c r="CW115" t="s">
        <v>3896</v>
      </c>
      <c r="CX115" t="s">
        <v>604</v>
      </c>
      <c r="CY115" t="s">
        <v>75</v>
      </c>
      <c r="CZ115" t="s">
        <v>75</v>
      </c>
      <c r="DA115" t="s">
        <v>77</v>
      </c>
      <c r="DB115" t="s">
        <v>2042</v>
      </c>
      <c r="DC115" t="s">
        <v>7289</v>
      </c>
      <c r="DD115" t="s">
        <v>1819</v>
      </c>
      <c r="DE115" t="s">
        <v>1321</v>
      </c>
      <c r="DF115" t="s">
        <v>1617</v>
      </c>
      <c r="DG115" t="s">
        <v>1956</v>
      </c>
      <c r="DH115" t="s">
        <v>6913</v>
      </c>
      <c r="DI115" t="s">
        <v>3577</v>
      </c>
      <c r="DJ115">
        <v>2</v>
      </c>
      <c r="DK115">
        <f t="shared" si="72"/>
        <v>436</v>
      </c>
      <c r="DL115">
        <f t="shared" si="77"/>
        <v>113</v>
      </c>
      <c r="DM115">
        <v>100</v>
      </c>
      <c r="DN115" t="str">
        <f t="shared" ca="1" si="59"/>
        <v/>
      </c>
      <c r="DO115" t="str">
        <f t="shared" ca="1" si="60"/>
        <v/>
      </c>
      <c r="DP115" t="str">
        <f t="shared" ca="1" si="61"/>
        <v/>
      </c>
      <c r="DQ115" t="str">
        <f>IF(EXACT(Zauber!$A$250,""),"",IF(EXACT(RIGHT(HLOOKUP(Zauber!$A$250,PROFMAGIE,$DK115,FALSE)),"H"),CONCATENATE($CX115,","),""))</f>
        <v/>
      </c>
      <c r="DR115" t="str">
        <f t="shared" si="62"/>
        <v/>
      </c>
      <c r="DS115" t="str">
        <f>IF(ZS_IAAK="Ja",IF(EXACT(RIGHT(HLOOKUP(Tabellen_Magie!$IK$1,PROFMAGIE,$DK115,FALSE)),"H"),CONCATENATE($CX115,","),""),"")</f>
        <v/>
      </c>
      <c r="DT115" t="str">
        <f>IF(ZS_IAAK="Ja",IF(NOT(DS115=""),"",IF(OR(EXACT(RIGHT(HLOOKUP(Tabellen_Magie!$IK$1,PROFMAGIE,$DK115,FALSE)),"B"),EXACT(HLOOKUP(Tabellen_Magie!$IK$1,PROFMAGIE,$DK115,FALSE),"")),"",CONCATENATE($CX115,","))),"")</f>
        <v/>
      </c>
      <c r="DU115" t="str">
        <f t="shared" si="63"/>
        <v/>
      </c>
      <c r="DW115" t="s">
        <v>7468</v>
      </c>
      <c r="DX115" t="s">
        <v>4985</v>
      </c>
      <c r="DY115" t="s">
        <v>4985</v>
      </c>
      <c r="DZ115" t="s">
        <v>4985</v>
      </c>
      <c r="EB115" t="s">
        <v>1193</v>
      </c>
      <c r="ED115">
        <f t="shared" si="84"/>
        <v>150</v>
      </c>
      <c r="EE115" t="s">
        <v>1248</v>
      </c>
      <c r="EH115">
        <f t="shared" si="90"/>
        <v>3</v>
      </c>
      <c r="EI115">
        <v>150</v>
      </c>
      <c r="EK115" t="s">
        <v>1090</v>
      </c>
      <c r="EL115" t="s">
        <v>7442</v>
      </c>
      <c r="FD115" t="s">
        <v>1490</v>
      </c>
      <c r="FE115">
        <f>ROUND(FK115*IF(NT_ELFWELT,IF(FN115,1,1.5),1),0)</f>
        <v>200</v>
      </c>
      <c r="FF115">
        <f t="shared" si="97"/>
        <v>4</v>
      </c>
      <c r="FK115">
        <v>200</v>
      </c>
      <c r="FL115">
        <v>7</v>
      </c>
      <c r="FM115" t="b">
        <f t="shared" ca="1" si="95"/>
        <v>0</v>
      </c>
      <c r="FN115" t="b">
        <f t="shared" ca="1" si="96"/>
        <v>0</v>
      </c>
      <c r="GH115" t="s">
        <v>2849</v>
      </c>
      <c r="GI115" t="s">
        <v>1119</v>
      </c>
      <c r="GJ115">
        <v>2</v>
      </c>
      <c r="GK115" t="s">
        <v>1320</v>
      </c>
      <c r="GL115" t="s">
        <v>1976</v>
      </c>
      <c r="GM115" t="s">
        <v>1982</v>
      </c>
      <c r="GN115" t="s">
        <v>1974</v>
      </c>
      <c r="GO115">
        <v>270</v>
      </c>
      <c r="GP115">
        <v>265</v>
      </c>
      <c r="GR115">
        <f t="shared" si="66"/>
        <v>464</v>
      </c>
      <c r="GU115" t="str">
        <f t="shared" ca="1" si="67"/>
        <v/>
      </c>
      <c r="GV115" t="str">
        <f t="shared" ca="1" si="68"/>
        <v/>
      </c>
      <c r="GW115" t="str">
        <f t="shared" ca="1" si="69"/>
        <v/>
      </c>
      <c r="GX115" t="str">
        <f t="shared" ca="1" si="70"/>
        <v/>
      </c>
      <c r="HA115" t="s">
        <v>4975</v>
      </c>
      <c r="HE115" t="s">
        <v>4484</v>
      </c>
      <c r="HF115">
        <v>2</v>
      </c>
      <c r="HH115" t="s">
        <v>83</v>
      </c>
      <c r="HK115" t="s">
        <v>1977</v>
      </c>
      <c r="HL115">
        <v>3</v>
      </c>
    </row>
    <row r="116" spans="1:220" ht="13.5" customHeight="1" x14ac:dyDescent="0.2">
      <c r="A116" t="s">
        <v>1464</v>
      </c>
      <c r="B116" t="s">
        <v>750</v>
      </c>
      <c r="C116" t="s">
        <v>750</v>
      </c>
      <c r="D116" t="s">
        <v>5030</v>
      </c>
      <c r="E116" t="s">
        <v>1320</v>
      </c>
      <c r="F116" t="s">
        <v>1321</v>
      </c>
      <c r="L116" t="str">
        <f t="shared" si="91"/>
        <v/>
      </c>
      <c r="M116" t="str">
        <f t="shared" si="92"/>
        <v/>
      </c>
      <c r="N116" t="str">
        <f t="shared" si="94"/>
        <v>Glaskunst</v>
      </c>
      <c r="P116">
        <f t="shared" si="93"/>
        <v>146</v>
      </c>
      <c r="R116" t="s">
        <v>315</v>
      </c>
      <c r="U116">
        <v>20</v>
      </c>
      <c r="W116" t="s">
        <v>4484</v>
      </c>
      <c r="Z116" t="s">
        <v>1296</v>
      </c>
      <c r="AC116">
        <v>10</v>
      </c>
      <c r="AE116" t="s">
        <v>1571</v>
      </c>
      <c r="AH116" t="str">
        <f>"FF "&amp;Generierung!$R$4+1</f>
        <v>FF 15</v>
      </c>
      <c r="AI116">
        <v>9</v>
      </c>
      <c r="AM116" t="s">
        <v>3736</v>
      </c>
      <c r="AO116">
        <v>15</v>
      </c>
      <c r="AS116" t="s">
        <v>3751</v>
      </c>
      <c r="AT116">
        <f ca="1">IF(AV116,10,35)</f>
        <v>35</v>
      </c>
      <c r="AU116">
        <v>25</v>
      </c>
      <c r="AV116" t="b">
        <f ca="1">IF(AND(
NOT(ISERR(FIND($R$82&amp;" "&amp;AS116,Abfragen!$U$81))),
NOT(ISERR(FIND($R$98&amp;" "&amp;AS116,Abfragen!$U$81)))),
TRUE,FALSE)</f>
        <v>0</v>
      </c>
      <c r="AX116" t="s">
        <v>1555</v>
      </c>
      <c r="AY116">
        <v>4</v>
      </c>
      <c r="AZ116">
        <v>1</v>
      </c>
      <c r="BA116" t="s">
        <v>2276</v>
      </c>
      <c r="BB116" t="s">
        <v>2277</v>
      </c>
      <c r="BC116" t="s">
        <v>971</v>
      </c>
      <c r="BG116">
        <v>5</v>
      </c>
      <c r="BK116" t="s">
        <v>3133</v>
      </c>
      <c r="BL116">
        <v>11</v>
      </c>
      <c r="BM116">
        <v>8</v>
      </c>
      <c r="BN116" t="s">
        <v>5431</v>
      </c>
      <c r="BO116" t="s">
        <v>5432</v>
      </c>
      <c r="BP116" t="s">
        <v>374</v>
      </c>
      <c r="BQ116">
        <v>2</v>
      </c>
      <c r="BR116">
        <v>8</v>
      </c>
      <c r="BS116" t="s">
        <v>5433</v>
      </c>
      <c r="BT116" t="s">
        <v>5431</v>
      </c>
      <c r="BU116">
        <v>35</v>
      </c>
      <c r="BW116">
        <v>3</v>
      </c>
      <c r="BY116" t="s">
        <v>4985</v>
      </c>
      <c r="BZ116" t="s">
        <v>4985</v>
      </c>
      <c r="CA116" t="s">
        <v>5434</v>
      </c>
      <c r="CD116" t="s">
        <v>1436</v>
      </c>
      <c r="CE116" t="s">
        <v>912</v>
      </c>
      <c r="CF116" t="s">
        <v>902</v>
      </c>
      <c r="CG116" t="s">
        <v>3236</v>
      </c>
      <c r="CH116">
        <v>-2</v>
      </c>
      <c r="CI116">
        <v>3</v>
      </c>
      <c r="CJ116" t="s">
        <v>1827</v>
      </c>
      <c r="CK116" t="s">
        <v>3044</v>
      </c>
      <c r="CL116" t="s">
        <v>3629</v>
      </c>
      <c r="CN116" t="str">
        <f ca="1">IF(AND(ISERR(FIND($CK116,Talente!$CI$41)),ISNA(VLOOKUP($CK116,$AH$51:$AH$55,1))),IF(AND(ISERR(FIND($CL116,Talente!$CI$41)),ISNA(VLOOKUP($CL116,$AH$51:$AH$55,1))),$CM116,$CL116),$CK116)</f>
        <v>Infanteriewaffen</v>
      </c>
      <c r="CP116" t="s">
        <v>2063</v>
      </c>
      <c r="CQ116" t="s">
        <v>1433</v>
      </c>
      <c r="CR116">
        <v>18</v>
      </c>
      <c r="CS116" t="s">
        <v>3782</v>
      </c>
      <c r="CU116" t="s">
        <v>2173</v>
      </c>
      <c r="CX116" t="s">
        <v>605</v>
      </c>
      <c r="CY116" t="s">
        <v>75</v>
      </c>
      <c r="CZ116" t="s">
        <v>75</v>
      </c>
      <c r="DA116" t="s">
        <v>77</v>
      </c>
      <c r="DB116" t="s">
        <v>2042</v>
      </c>
      <c r="DC116" t="s">
        <v>7299</v>
      </c>
      <c r="DD116" t="s">
        <v>1819</v>
      </c>
      <c r="DE116" t="s">
        <v>1321</v>
      </c>
      <c r="DF116" t="s">
        <v>1617</v>
      </c>
      <c r="DG116" t="s">
        <v>1956</v>
      </c>
      <c r="DH116" t="s">
        <v>6914</v>
      </c>
      <c r="DI116" t="s">
        <v>1543</v>
      </c>
      <c r="DJ116">
        <v>2</v>
      </c>
      <c r="DK116">
        <f t="shared" si="72"/>
        <v>437</v>
      </c>
      <c r="DL116">
        <f t="shared" si="77"/>
        <v>114</v>
      </c>
      <c r="DM116">
        <v>101</v>
      </c>
      <c r="DN116" t="str">
        <f t="shared" ca="1" si="59"/>
        <v/>
      </c>
      <c r="DO116" t="str">
        <f t="shared" ca="1" si="60"/>
        <v/>
      </c>
      <c r="DP116" t="str">
        <f t="shared" ca="1" si="61"/>
        <v/>
      </c>
      <c r="DQ116" t="str">
        <f>IF(EXACT(Zauber!$A$250,""),"",IF(EXACT(RIGHT(HLOOKUP(Zauber!$A$250,PROFMAGIE,$DK116,FALSE)),"H"),CONCATENATE($CX116,","),""))</f>
        <v/>
      </c>
      <c r="DR116" t="str">
        <f t="shared" si="62"/>
        <v/>
      </c>
      <c r="DS116" t="str">
        <f>IF(ZS_IAAK="Ja",IF(EXACT(RIGHT(HLOOKUP(Tabellen_Magie!$IK$1,PROFMAGIE,$DK116,FALSE)),"H"),CONCATENATE($CX116,","),""),"")</f>
        <v/>
      </c>
      <c r="DT116" t="str">
        <f>IF(ZS_IAAK="Ja",IF(NOT(DS116=""),"",IF(OR(EXACT(RIGHT(HLOOKUP(Tabellen_Magie!$IK$1,PROFMAGIE,$DK116,FALSE)),"B"),EXACT(HLOOKUP(Tabellen_Magie!$IK$1,PROFMAGIE,$DK116,FALSE),"")),"",CONCATENATE($CX116,","))),"")</f>
        <v/>
      </c>
      <c r="DU116" t="str">
        <f t="shared" si="63"/>
        <v/>
      </c>
      <c r="DW116" t="s">
        <v>7469</v>
      </c>
      <c r="DX116" t="s">
        <v>4985</v>
      </c>
      <c r="DY116" t="s">
        <v>4985</v>
      </c>
      <c r="DZ116" t="s">
        <v>4985</v>
      </c>
      <c r="EB116" t="s">
        <v>1193</v>
      </c>
      <c r="ED116">
        <f t="shared" si="84"/>
        <v>150</v>
      </c>
      <c r="EE116" t="s">
        <v>1248</v>
      </c>
      <c r="EH116">
        <f t="shared" si="90"/>
        <v>3</v>
      </c>
      <c r="EI116">
        <v>150</v>
      </c>
      <c r="EK116" t="s">
        <v>1091</v>
      </c>
      <c r="EL116" t="s">
        <v>7444</v>
      </c>
      <c r="FD116" t="s">
        <v>2488</v>
      </c>
      <c r="FE116">
        <f>ROUND(FK116*IF(VT_EIDGED,0.5,IF(VT_GUTGED,0.75,1)*IF(NT_ELFWELT,IF(FN116,1,1.5),1)),0)</f>
        <v>200</v>
      </c>
      <c r="FF116">
        <f t="shared" si="97"/>
        <v>4</v>
      </c>
      <c r="FK116">
        <v>200</v>
      </c>
      <c r="FL116">
        <v>4</v>
      </c>
      <c r="FM116" t="b">
        <f t="shared" ca="1" si="95"/>
        <v>0</v>
      </c>
      <c r="FN116" t="b">
        <f t="shared" ca="1" si="96"/>
        <v>0</v>
      </c>
      <c r="GH116" t="s">
        <v>9330</v>
      </c>
      <c r="GI116" t="s">
        <v>1119</v>
      </c>
      <c r="GJ116">
        <v>2</v>
      </c>
      <c r="GK116" t="s">
        <v>4116</v>
      </c>
      <c r="GL116" t="s">
        <v>1976</v>
      </c>
      <c r="GM116" t="s">
        <v>1980</v>
      </c>
      <c r="GN116" t="s">
        <v>1973</v>
      </c>
      <c r="GO116" t="s">
        <v>9314</v>
      </c>
      <c r="GP116">
        <v>268</v>
      </c>
      <c r="GR116">
        <f t="shared" si="66"/>
        <v>465</v>
      </c>
      <c r="GU116" t="str">
        <f t="shared" ca="1" si="67"/>
        <v/>
      </c>
      <c r="GV116" t="str">
        <f t="shared" ca="1" si="68"/>
        <v/>
      </c>
      <c r="GW116" t="str">
        <f t="shared" ca="1" si="69"/>
        <v/>
      </c>
      <c r="GX116" t="str">
        <f t="shared" ca="1" si="70"/>
        <v/>
      </c>
      <c r="HE116" t="s">
        <v>122</v>
      </c>
      <c r="HF116">
        <v>3</v>
      </c>
      <c r="HH116" t="s">
        <v>4837</v>
      </c>
      <c r="HK116" t="s">
        <v>1978</v>
      </c>
      <c r="HL116">
        <v>2</v>
      </c>
    </row>
    <row r="117" spans="1:220" x14ac:dyDescent="0.2">
      <c r="A117" t="s">
        <v>514</v>
      </c>
      <c r="B117" t="s">
        <v>750</v>
      </c>
      <c r="C117" t="s">
        <v>752</v>
      </c>
      <c r="D117" t="s">
        <v>5030</v>
      </c>
      <c r="E117" t="s">
        <v>1827</v>
      </c>
      <c r="F117" t="s">
        <v>1321</v>
      </c>
      <c r="L117" t="str">
        <f t="shared" si="91"/>
        <v/>
      </c>
      <c r="M117" t="str">
        <f t="shared" si="92"/>
        <v/>
      </c>
      <c r="N117" t="str">
        <f t="shared" si="94"/>
        <v>Grobschmied</v>
      </c>
      <c r="P117">
        <f t="shared" si="93"/>
        <v>147</v>
      </c>
      <c r="R117" t="s">
        <v>3993</v>
      </c>
      <c r="U117">
        <v>10</v>
      </c>
      <c r="Z117" t="s">
        <v>845</v>
      </c>
      <c r="AA117">
        <v>1</v>
      </c>
      <c r="AD117" t="s">
        <v>3995</v>
      </c>
      <c r="AH117" t="str">
        <f>"FF "&amp;Generierung!$R$4+2</f>
        <v>FF 16</v>
      </c>
      <c r="AI117">
        <v>20</v>
      </c>
      <c r="AM117" t="s">
        <v>5048</v>
      </c>
      <c r="AO117">
        <v>15</v>
      </c>
      <c r="AS117" t="s">
        <v>3713</v>
      </c>
      <c r="AT117">
        <f ca="1">IF(AV117,2,5)</f>
        <v>5</v>
      </c>
      <c r="AU117">
        <v>3</v>
      </c>
      <c r="AV117" t="b">
        <f ca="1">IF(AND(
NOT(ISERR(FIND($R$82&amp;" "&amp;AS117,Abfragen!$U$81))),
NOT(ISERR(FIND($R$98&amp;" "&amp;AS117,Abfragen!$U$81)))),
TRUE,FALSE)</f>
        <v>0</v>
      </c>
      <c r="AX117" t="s">
        <v>4534</v>
      </c>
      <c r="AY117">
        <v>4</v>
      </c>
      <c r="AZ117">
        <v>1</v>
      </c>
      <c r="BA117" t="s">
        <v>853</v>
      </c>
      <c r="BB117" t="s">
        <v>5078</v>
      </c>
      <c r="BC117" t="s">
        <v>7651</v>
      </c>
      <c r="BD117" t="s">
        <v>7652</v>
      </c>
      <c r="BG117">
        <v>5</v>
      </c>
      <c r="BK117" t="s">
        <v>5441</v>
      </c>
      <c r="BL117">
        <v>11</v>
      </c>
      <c r="BM117">
        <v>8</v>
      </c>
      <c r="BN117" t="s">
        <v>5431</v>
      </c>
      <c r="BO117" t="s">
        <v>5432</v>
      </c>
      <c r="BP117" t="s">
        <v>374</v>
      </c>
      <c r="BQ117">
        <v>2</v>
      </c>
      <c r="BR117">
        <v>8</v>
      </c>
      <c r="BS117" t="s">
        <v>5433</v>
      </c>
      <c r="BT117" t="s">
        <v>5431</v>
      </c>
      <c r="BU117">
        <v>35</v>
      </c>
      <c r="BW117">
        <v>3</v>
      </c>
      <c r="BY117" t="s">
        <v>4985</v>
      </c>
      <c r="BZ117" t="s">
        <v>4985</v>
      </c>
      <c r="CA117" t="s">
        <v>5434</v>
      </c>
      <c r="CD117" t="s">
        <v>7168</v>
      </c>
      <c r="CE117" t="s">
        <v>912</v>
      </c>
      <c r="CF117" t="s">
        <v>7160</v>
      </c>
      <c r="CG117" t="s">
        <v>3236</v>
      </c>
      <c r="CH117">
        <v>-2</v>
      </c>
      <c r="CI117">
        <v>3</v>
      </c>
      <c r="CJ117" t="s">
        <v>1827</v>
      </c>
      <c r="CK117" t="s">
        <v>2190</v>
      </c>
      <c r="CN117" t="str">
        <f ca="1">IF(AND(ISERR(FIND($CK117,Talente!$CI$41)),ISNA(VLOOKUP($CK117,$AH$51:$AH$55,1))),IF(AND(ISERR(FIND($CL117,Talente!$CI$41)),ISNA(VLOOKUP($CL117,$AH$51:$AH$55,1))),$CM117,$CL117),$CK117)</f>
        <v>Hiebwaffen</v>
      </c>
      <c r="CP117" t="s">
        <v>2796</v>
      </c>
      <c r="CQ117" t="s">
        <v>1433</v>
      </c>
      <c r="CR117">
        <v>15</v>
      </c>
      <c r="CS117" t="s">
        <v>2796</v>
      </c>
      <c r="CU117" t="s">
        <v>7179</v>
      </c>
      <c r="CW117" t="s">
        <v>2786</v>
      </c>
      <c r="CX117" t="s">
        <v>606</v>
      </c>
      <c r="CY117" t="s">
        <v>75</v>
      </c>
      <c r="CZ117" t="s">
        <v>76</v>
      </c>
      <c r="DA117" t="s">
        <v>77</v>
      </c>
      <c r="DB117" t="s">
        <v>2042</v>
      </c>
      <c r="DC117" t="s">
        <v>7289</v>
      </c>
      <c r="DD117" t="s">
        <v>725</v>
      </c>
      <c r="DE117" t="s">
        <v>1321</v>
      </c>
      <c r="DF117" t="s">
        <v>7350</v>
      </c>
      <c r="DG117" t="s">
        <v>1956</v>
      </c>
      <c r="DH117" t="s">
        <v>8424</v>
      </c>
      <c r="DI117" t="s">
        <v>4343</v>
      </c>
      <c r="DJ117">
        <v>2</v>
      </c>
      <c r="DK117">
        <f t="shared" si="72"/>
        <v>438</v>
      </c>
      <c r="DL117">
        <f t="shared" si="77"/>
        <v>115</v>
      </c>
      <c r="DM117">
        <v>102</v>
      </c>
      <c r="DN117" t="str">
        <f t="shared" ca="1" si="59"/>
        <v/>
      </c>
      <c r="DO117" t="str">
        <f t="shared" ca="1" si="60"/>
        <v/>
      </c>
      <c r="DP117" t="str">
        <f t="shared" ca="1" si="61"/>
        <v/>
      </c>
      <c r="DQ117" t="str">
        <f>IF(EXACT(Zauber!$A$250,""),"",IF(EXACT(RIGHT(HLOOKUP(Zauber!$A$250,PROFMAGIE,$DK117,FALSE)),"H"),CONCATENATE($CX117,","),""))</f>
        <v/>
      </c>
      <c r="DR117" t="str">
        <f t="shared" si="62"/>
        <v/>
      </c>
      <c r="DS117" t="str">
        <f>IF(ZS_IAAK="Ja",IF(EXACT(RIGHT(HLOOKUP(Tabellen_Magie!$IK$1,PROFMAGIE,$DK117,FALSE)),"H"),CONCATENATE($CX117,","),""),"")</f>
        <v/>
      </c>
      <c r="DT117" t="str">
        <f>IF(ZS_IAAK="Ja",IF(NOT(DS117=""),"",IF(OR(EXACT(RIGHT(HLOOKUP(Tabellen_Magie!$IK$1,PROFMAGIE,$DK117,FALSE)),"B"),EXACT(HLOOKUP(Tabellen_Magie!$IK$1,PROFMAGIE,$DK117,FALSE),"")),"",CONCATENATE($CX117,","))),"")</f>
        <v/>
      </c>
      <c r="DU117" t="str">
        <f t="shared" si="63"/>
        <v/>
      </c>
      <c r="DW117" t="s">
        <v>7470</v>
      </c>
      <c r="DX117" t="s">
        <v>4985</v>
      </c>
      <c r="DY117" t="s">
        <v>4985</v>
      </c>
      <c r="DZ117" t="s">
        <v>4985</v>
      </c>
      <c r="EB117" t="s">
        <v>1193</v>
      </c>
      <c r="ED117">
        <f t="shared" si="84"/>
        <v>150</v>
      </c>
      <c r="EE117" t="s">
        <v>1248</v>
      </c>
      <c r="EH117">
        <f t="shared" si="90"/>
        <v>3</v>
      </c>
      <c r="EI117">
        <v>150</v>
      </c>
      <c r="EK117" t="s">
        <v>9284</v>
      </c>
      <c r="EL117" t="s">
        <v>9285</v>
      </c>
      <c r="FD117" t="s">
        <v>2141</v>
      </c>
      <c r="FE117">
        <f>ROUND(FK117*IF(VT_EIDGED,0.5,IF(VT_GUTGED,0.75,1)*IF(NT_ELFWELT,IF(FN117,1,1.5),1)),0)</f>
        <v>100</v>
      </c>
      <c r="FF117">
        <f t="shared" si="97"/>
        <v>2</v>
      </c>
      <c r="FK117">
        <v>100</v>
      </c>
      <c r="FL117">
        <v>7</v>
      </c>
      <c r="FM117" t="b">
        <f t="shared" ca="1" si="95"/>
        <v>0</v>
      </c>
      <c r="FN117" t="b">
        <f t="shared" ca="1" si="96"/>
        <v>0</v>
      </c>
      <c r="GH117" t="s">
        <v>2850</v>
      </c>
      <c r="GI117" t="s">
        <v>1119</v>
      </c>
      <c r="GJ117">
        <v>2</v>
      </c>
      <c r="GK117" t="s">
        <v>1396</v>
      </c>
      <c r="GL117" t="s">
        <v>567</v>
      </c>
      <c r="GM117" t="s">
        <v>1985</v>
      </c>
      <c r="GN117" t="s">
        <v>1974</v>
      </c>
      <c r="GO117">
        <v>287</v>
      </c>
      <c r="GP117">
        <v>270</v>
      </c>
      <c r="GR117">
        <f t="shared" si="66"/>
        <v>466</v>
      </c>
      <c r="GU117" t="str">
        <f t="shared" ca="1" si="67"/>
        <v/>
      </c>
      <c r="GV117" t="str">
        <f t="shared" ca="1" si="68"/>
        <v/>
      </c>
      <c r="GW117" t="str">
        <f t="shared" ca="1" si="69"/>
        <v/>
      </c>
      <c r="GX117" t="str">
        <f t="shared" ca="1" si="70"/>
        <v/>
      </c>
      <c r="HA117" t="s">
        <v>119</v>
      </c>
      <c r="HE117" t="s">
        <v>4529</v>
      </c>
      <c r="HF117">
        <v>4</v>
      </c>
      <c r="HH117" t="s">
        <v>3068</v>
      </c>
      <c r="HK117" t="s">
        <v>1979</v>
      </c>
      <c r="HL117">
        <v>1</v>
      </c>
    </row>
    <row r="118" spans="1:220" x14ac:dyDescent="0.2">
      <c r="A118" t="s">
        <v>1465</v>
      </c>
      <c r="B118" t="s">
        <v>75</v>
      </c>
      <c r="C118" t="s">
        <v>76</v>
      </c>
      <c r="D118" t="s">
        <v>77</v>
      </c>
      <c r="E118" t="s">
        <v>1320</v>
      </c>
      <c r="F118" t="s">
        <v>1321</v>
      </c>
      <c r="L118" t="str">
        <f t="shared" si="91"/>
        <v/>
      </c>
      <c r="M118" t="str">
        <f t="shared" si="92"/>
        <v/>
      </c>
      <c r="N118" t="str">
        <f t="shared" si="94"/>
        <v>Handel</v>
      </c>
      <c r="P118">
        <f t="shared" si="93"/>
        <v>148</v>
      </c>
      <c r="R118" t="s">
        <v>4594</v>
      </c>
      <c r="U118">
        <v>2</v>
      </c>
      <c r="W118" t="s">
        <v>2070</v>
      </c>
      <c r="Z118" t="s">
        <v>846</v>
      </c>
      <c r="AA118">
        <v>1.5</v>
      </c>
      <c r="AH118" t="str">
        <f>"FF "&amp;Generierung!$R$4+3</f>
        <v>FF 17</v>
      </c>
      <c r="AI118">
        <v>33</v>
      </c>
      <c r="AS118" t="s">
        <v>3714</v>
      </c>
      <c r="AT118">
        <f ca="1">IF(AV118,2,5)</f>
        <v>5</v>
      </c>
      <c r="AU118">
        <v>3</v>
      </c>
      <c r="AV118" t="b">
        <f ca="1">IF(AND(
NOT(ISERR(FIND($R$82&amp;" "&amp;AS118,Abfragen!$U$81))),
NOT(ISERR(FIND($R$98&amp;" "&amp;AS118,Abfragen!$U$81)))),
TRUE,FALSE)</f>
        <v>0</v>
      </c>
      <c r="AX118" t="s">
        <v>3909</v>
      </c>
      <c r="AY118">
        <v>4</v>
      </c>
      <c r="AZ118">
        <v>1</v>
      </c>
      <c r="BA118" t="s">
        <v>4394</v>
      </c>
      <c r="BB118" t="s">
        <v>2278</v>
      </c>
      <c r="BG118">
        <v>5</v>
      </c>
      <c r="BK118" t="s">
        <v>5442</v>
      </c>
      <c r="BL118">
        <v>11</v>
      </c>
      <c r="BM118">
        <v>8</v>
      </c>
      <c r="BN118" t="s">
        <v>5431</v>
      </c>
      <c r="BO118" t="s">
        <v>5432</v>
      </c>
      <c r="BP118" t="s">
        <v>374</v>
      </c>
      <c r="BQ118">
        <v>2</v>
      </c>
      <c r="BR118">
        <v>8</v>
      </c>
      <c r="BS118" t="s">
        <v>5433</v>
      </c>
      <c r="BT118" t="s">
        <v>5431</v>
      </c>
      <c r="BU118">
        <v>35</v>
      </c>
      <c r="BW118">
        <v>3</v>
      </c>
      <c r="BY118" t="s">
        <v>4985</v>
      </c>
      <c r="BZ118" t="s">
        <v>4985</v>
      </c>
      <c r="CA118" t="s">
        <v>5434</v>
      </c>
      <c r="CD118" t="s">
        <v>4130</v>
      </c>
      <c r="CE118" t="s">
        <v>5091</v>
      </c>
      <c r="CF118" t="s">
        <v>4554</v>
      </c>
      <c r="CG118" t="s">
        <v>4595</v>
      </c>
      <c r="CH118">
        <v>0</v>
      </c>
      <c r="CI118">
        <v>0</v>
      </c>
      <c r="CJ118" t="s">
        <v>899</v>
      </c>
      <c r="CK118" t="s">
        <v>3043</v>
      </c>
      <c r="CN118" t="str">
        <f ca="1">IF(AND(ISERR(FIND($CK118,Talente!$CI$41)),ISNA(VLOOKUP($CK118,$AH$51:$AH$55,1))),IF(AND(ISERR(FIND($CL118,Talente!$CI$41)),ISNA(VLOOKUP($CL118,$AH$51:$AH$55,1))),$CM118,$CL118),$CK118)</f>
        <v>Fechtwaffen</v>
      </c>
      <c r="CP118" t="s">
        <v>1716</v>
      </c>
      <c r="CQ118" t="s">
        <v>1433</v>
      </c>
      <c r="CR118">
        <v>18</v>
      </c>
      <c r="CS118" t="s">
        <v>3778</v>
      </c>
      <c r="CU118" t="s">
        <v>8808</v>
      </c>
      <c r="CW118" t="str">
        <f>$CX$7</f>
        <v>Adlerschwinge (V1: Text1 eingeben)</v>
      </c>
      <c r="CX118" t="s">
        <v>607</v>
      </c>
      <c r="CY118" t="s">
        <v>75</v>
      </c>
      <c r="CZ118" t="s">
        <v>77</v>
      </c>
      <c r="DA118" t="s">
        <v>751</v>
      </c>
      <c r="DC118" t="s">
        <v>7292</v>
      </c>
      <c r="DD118" t="s">
        <v>1819</v>
      </c>
      <c r="DE118" t="s">
        <v>4484</v>
      </c>
      <c r="DF118" t="s">
        <v>727</v>
      </c>
      <c r="DG118" t="s">
        <v>1956</v>
      </c>
      <c r="DH118" t="s">
        <v>6915</v>
      </c>
      <c r="DI118" t="s">
        <v>4516</v>
      </c>
      <c r="DJ118">
        <v>2</v>
      </c>
      <c r="DK118">
        <f t="shared" si="72"/>
        <v>439</v>
      </c>
      <c r="DL118">
        <f t="shared" si="77"/>
        <v>116</v>
      </c>
      <c r="DM118">
        <v>103</v>
      </c>
      <c r="DN118" t="str">
        <f t="shared" ca="1" si="59"/>
        <v/>
      </c>
      <c r="DO118" t="str">
        <f t="shared" ca="1" si="60"/>
        <v/>
      </c>
      <c r="DP118" t="str">
        <f t="shared" ca="1" si="61"/>
        <v/>
      </c>
      <c r="DQ118" t="str">
        <f>IF(EXACT(Zauber!$A$250,""),"",IF(EXACT(RIGHT(HLOOKUP(Zauber!$A$250,PROFMAGIE,$DK118,FALSE)),"H"),CONCATENATE($CX118,","),""))</f>
        <v/>
      </c>
      <c r="DR118" t="str">
        <f t="shared" si="62"/>
        <v/>
      </c>
      <c r="DS118" t="str">
        <f>IF(ZS_IAAK="Ja",IF(EXACT(RIGHT(HLOOKUP(Tabellen_Magie!$IK$1,PROFMAGIE,$DK118,FALSE)),"H"),CONCATENATE($CX118,","),""),"")</f>
        <v/>
      </c>
      <c r="DT118" t="str">
        <f>IF(ZS_IAAK="Ja",IF(NOT(DS118=""),"",IF(OR(EXACT(RIGHT(HLOOKUP(Tabellen_Magie!$IK$1,PROFMAGIE,$DK118,FALSE)),"B"),EXACT(HLOOKUP(Tabellen_Magie!$IK$1,PROFMAGIE,$DK118,FALSE),"")),"",CONCATENATE($CX118,","))),"")</f>
        <v/>
      </c>
      <c r="DU118" t="str">
        <f t="shared" si="63"/>
        <v/>
      </c>
      <c r="DW118" t="s">
        <v>7471</v>
      </c>
      <c r="DX118" t="s">
        <v>4985</v>
      </c>
      <c r="DY118" t="s">
        <v>4985</v>
      </c>
      <c r="DZ118" t="s">
        <v>4985</v>
      </c>
      <c r="EB118" t="s">
        <v>1193</v>
      </c>
      <c r="ED118">
        <f t="shared" si="84"/>
        <v>150</v>
      </c>
      <c r="EE118" t="s">
        <v>1248</v>
      </c>
      <c r="EH118">
        <f t="shared" si="90"/>
        <v>3</v>
      </c>
      <c r="EI118">
        <v>150</v>
      </c>
      <c r="EK118" t="s">
        <v>1092</v>
      </c>
      <c r="EL118" t="s">
        <v>7445</v>
      </c>
      <c r="FD118" t="s">
        <v>3773</v>
      </c>
      <c r="FE118">
        <f>ROUND(FK118*IF(NT_ELFWELT,IF(FN118,1,1.5),1),0)</f>
        <v>100</v>
      </c>
      <c r="FF118">
        <f t="shared" si="97"/>
        <v>2</v>
      </c>
      <c r="FK118">
        <v>100</v>
      </c>
      <c r="FL118">
        <v>4</v>
      </c>
      <c r="FM118" t="b">
        <f t="shared" ca="1" si="95"/>
        <v>0</v>
      </c>
      <c r="FN118" t="b">
        <f t="shared" ca="1" si="96"/>
        <v>0</v>
      </c>
      <c r="GH118" t="s">
        <v>9331</v>
      </c>
      <c r="GI118" t="s">
        <v>1119</v>
      </c>
      <c r="GJ118">
        <v>2</v>
      </c>
      <c r="GK118" t="s">
        <v>4116</v>
      </c>
      <c r="GL118" t="s">
        <v>1976</v>
      </c>
      <c r="GM118" t="s">
        <v>1980</v>
      </c>
      <c r="GN118" t="s">
        <v>1973</v>
      </c>
      <c r="GO118" t="s">
        <v>9314</v>
      </c>
      <c r="GP118">
        <v>272</v>
      </c>
      <c r="GR118">
        <f t="shared" si="66"/>
        <v>467</v>
      </c>
      <c r="GS118">
        <v>3</v>
      </c>
      <c r="GU118" t="str">
        <f t="shared" ca="1" si="67"/>
        <v/>
      </c>
      <c r="GV118" t="str">
        <f t="shared" ca="1" si="68"/>
        <v/>
      </c>
      <c r="GW118" t="str">
        <f t="shared" ca="1" si="69"/>
        <v/>
      </c>
      <c r="GX118" t="str">
        <f t="shared" ca="1" si="70"/>
        <v/>
      </c>
      <c r="HA118">
        <v>0</v>
      </c>
      <c r="HB118">
        <v>0</v>
      </c>
      <c r="HE118" t="s">
        <v>1971</v>
      </c>
      <c r="HF118">
        <v>5</v>
      </c>
      <c r="HH118" t="s">
        <v>4997</v>
      </c>
    </row>
    <row r="119" spans="1:220" x14ac:dyDescent="0.2">
      <c r="A119" t="s">
        <v>1466</v>
      </c>
      <c r="B119" t="s">
        <v>76</v>
      </c>
      <c r="C119" t="s">
        <v>77</v>
      </c>
      <c r="D119" t="s">
        <v>750</v>
      </c>
      <c r="E119" t="s">
        <v>1320</v>
      </c>
      <c r="F119" t="s">
        <v>1321</v>
      </c>
      <c r="L119" t="str">
        <f t="shared" si="91"/>
        <v/>
      </c>
      <c r="M119" t="str">
        <f t="shared" si="92"/>
        <v/>
      </c>
      <c r="N119" t="str">
        <f t="shared" si="94"/>
        <v>Hauswirtschaft</v>
      </c>
      <c r="P119">
        <f t="shared" si="93"/>
        <v>149</v>
      </c>
      <c r="R119" t="s">
        <v>4722</v>
      </c>
      <c r="U119">
        <v>4</v>
      </c>
      <c r="W119" t="s">
        <v>2070</v>
      </c>
      <c r="Z119" t="s">
        <v>3656</v>
      </c>
      <c r="AC119">
        <v>7</v>
      </c>
      <c r="AH119" t="str">
        <f>"FF "&amp;Generierung!$R$4+4</f>
        <v>FF 18</v>
      </c>
      <c r="AI119">
        <v>48</v>
      </c>
      <c r="AS119" t="s">
        <v>3715</v>
      </c>
      <c r="AT119">
        <f ca="1">IF(AV119,2,5)</f>
        <v>5</v>
      </c>
      <c r="AU119">
        <v>3</v>
      </c>
      <c r="AV119" t="b">
        <f ca="1">IF(AND(
NOT(ISERR(FIND($R$82&amp;" "&amp;AS119,Abfragen!$U$81))),
NOT(ISERR(FIND($R$98&amp;" "&amp;AS119,Abfragen!$U$81)))),
TRUE,FALSE)</f>
        <v>0</v>
      </c>
      <c r="AX119" t="s">
        <v>4112</v>
      </c>
      <c r="AY119">
        <v>6</v>
      </c>
      <c r="AZ119">
        <v>2</v>
      </c>
      <c r="BA119" t="s">
        <v>241</v>
      </c>
      <c r="BB119" t="s">
        <v>242</v>
      </c>
      <c r="BC119" t="s">
        <v>170</v>
      </c>
      <c r="BD119" t="s">
        <v>5047</v>
      </c>
      <c r="BE119" t="s">
        <v>5048</v>
      </c>
      <c r="BF119" t="s">
        <v>234</v>
      </c>
      <c r="BG119">
        <v>5</v>
      </c>
      <c r="BK119" t="s">
        <v>3134</v>
      </c>
      <c r="BL119">
        <v>20</v>
      </c>
      <c r="BM119">
        <v>7</v>
      </c>
      <c r="BN119" t="s">
        <v>5443</v>
      </c>
      <c r="BO119" t="s">
        <v>5444</v>
      </c>
      <c r="BP119" t="s">
        <v>4558</v>
      </c>
      <c r="BQ119">
        <v>1</v>
      </c>
      <c r="BR119">
        <v>10</v>
      </c>
      <c r="BS119">
        <v>2</v>
      </c>
      <c r="BT119" t="s">
        <v>5445</v>
      </c>
      <c r="BU119">
        <v>90</v>
      </c>
      <c r="BW119">
        <v>3</v>
      </c>
      <c r="BY119" t="s">
        <v>4985</v>
      </c>
      <c r="BZ119" t="s">
        <v>4985</v>
      </c>
      <c r="CA119" t="s">
        <v>5446</v>
      </c>
      <c r="CD119" t="s">
        <v>1437</v>
      </c>
      <c r="CE119" t="s">
        <v>904</v>
      </c>
      <c r="CF119" t="s">
        <v>4554</v>
      </c>
      <c r="CG119" t="s">
        <v>903</v>
      </c>
      <c r="CH119">
        <v>0</v>
      </c>
      <c r="CI119">
        <v>4</v>
      </c>
      <c r="CJ119" t="s">
        <v>1827</v>
      </c>
      <c r="CK119" t="s">
        <v>3044</v>
      </c>
      <c r="CL119" t="s">
        <v>1530</v>
      </c>
      <c r="CN119" t="str">
        <f ca="1">IF(AND(ISERR(FIND($CK119,Talente!$CI$41)),ISNA(VLOOKUP($CK119,$AH$51:$AH$55,1))),IF(AND(ISERR(FIND($CL119,Talente!$CI$41)),ISNA(VLOOKUP($CL119,$AH$51:$AH$55,1))),$CM119,$CL119),$CK119)</f>
        <v>Infanteriewaffen</v>
      </c>
      <c r="CP119" t="s">
        <v>3470</v>
      </c>
      <c r="CQ119" t="s">
        <v>1433</v>
      </c>
      <c r="CR119">
        <v>21</v>
      </c>
      <c r="CS119" t="s">
        <v>3778</v>
      </c>
      <c r="CU119" t="s">
        <v>8807</v>
      </c>
      <c r="CW119" t="str">
        <f>$CX$8</f>
        <v>Adlerschwinge (V2: Text2 eingeben)</v>
      </c>
      <c r="CX119" t="s">
        <v>65</v>
      </c>
      <c r="CY119" t="s">
        <v>74</v>
      </c>
      <c r="CZ119" t="s">
        <v>75</v>
      </c>
      <c r="DA119" t="s">
        <v>752</v>
      </c>
      <c r="DC119" t="s">
        <v>7291</v>
      </c>
      <c r="DD119" t="s">
        <v>7351</v>
      </c>
      <c r="DE119" t="s">
        <v>1321</v>
      </c>
      <c r="DF119" t="s">
        <v>7352</v>
      </c>
      <c r="DG119" t="s">
        <v>1956</v>
      </c>
      <c r="DH119" t="s">
        <v>6916</v>
      </c>
      <c r="DI119" t="s">
        <v>8455</v>
      </c>
      <c r="DJ119">
        <v>2</v>
      </c>
      <c r="DK119">
        <f t="shared" si="72"/>
        <v>440</v>
      </c>
      <c r="DL119">
        <f t="shared" si="77"/>
        <v>117</v>
      </c>
      <c r="DM119">
        <v>104</v>
      </c>
      <c r="DN119" t="str">
        <f t="shared" ca="1" si="59"/>
        <v/>
      </c>
      <c r="DO119" t="str">
        <f t="shared" ca="1" si="60"/>
        <v/>
      </c>
      <c r="DP119" t="str">
        <f t="shared" ca="1" si="61"/>
        <v/>
      </c>
      <c r="DQ119" t="str">
        <f>IF(EXACT(Zauber!$A$250,""),"",IF(EXACT(RIGHT(HLOOKUP(Zauber!$A$250,PROFMAGIE,$DK119,FALSE)),"H"),CONCATENATE($CX119,","),""))</f>
        <v/>
      </c>
      <c r="DR119" t="str">
        <f t="shared" si="62"/>
        <v/>
      </c>
      <c r="DS119" t="str">
        <f>IF(ZS_IAAK="Ja",IF(EXACT(RIGHT(HLOOKUP(Tabellen_Magie!$IK$1,PROFMAGIE,$DK119,FALSE)),"H"),CONCATENATE($CX119,","),""),"")</f>
        <v/>
      </c>
      <c r="DT119" t="str">
        <f>IF(ZS_IAAK="Ja",IF(NOT(DS119=""),"",IF(OR(EXACT(RIGHT(HLOOKUP(Tabellen_Magie!$IK$1,PROFMAGIE,$DK119,FALSE)),"B"),EXACT(HLOOKUP(Tabellen_Magie!$IK$1,PROFMAGIE,$DK119,FALSE),"")),"",CONCATENATE($CX119,","))),"")</f>
        <v/>
      </c>
      <c r="DU119" t="str">
        <f t="shared" si="63"/>
        <v/>
      </c>
      <c r="DW119" t="s">
        <v>3573</v>
      </c>
      <c r="EK119" t="s">
        <v>7430</v>
      </c>
      <c r="EL119" t="s">
        <v>7449</v>
      </c>
      <c r="FD119" t="s">
        <v>3676</v>
      </c>
      <c r="FE119">
        <f>ROUND(FK119*IF(NT_ELFWELT,IF(FN119,1,1.5),1),0)</f>
        <v>200</v>
      </c>
      <c r="FF119">
        <f t="shared" si="97"/>
        <v>4</v>
      </c>
      <c r="FK119">
        <v>200</v>
      </c>
      <c r="FL119">
        <v>4</v>
      </c>
      <c r="FM119" t="b">
        <f t="shared" ca="1" si="95"/>
        <v>0</v>
      </c>
      <c r="FN119" t="b">
        <f t="shared" ca="1" si="96"/>
        <v>0</v>
      </c>
      <c r="GH119" t="s">
        <v>9332</v>
      </c>
      <c r="GI119" t="s">
        <v>1119</v>
      </c>
      <c r="GJ119">
        <v>2</v>
      </c>
      <c r="GK119" t="s">
        <v>4116</v>
      </c>
      <c r="GL119" t="s">
        <v>1977</v>
      </c>
      <c r="GM119" t="s">
        <v>1983</v>
      </c>
      <c r="GN119" t="s">
        <v>1973</v>
      </c>
      <c r="GO119" t="s">
        <v>9314</v>
      </c>
      <c r="GP119">
        <v>274</v>
      </c>
      <c r="GR119">
        <f t="shared" si="66"/>
        <v>468</v>
      </c>
      <c r="GU119" t="str">
        <f t="shared" ca="1" si="67"/>
        <v/>
      </c>
      <c r="GV119" t="str">
        <f t="shared" ca="1" si="68"/>
        <v/>
      </c>
      <c r="GW119" t="str">
        <f t="shared" ca="1" si="69"/>
        <v/>
      </c>
      <c r="GX119" t="str">
        <f t="shared" ca="1" si="70"/>
        <v/>
      </c>
      <c r="HA119">
        <v>1</v>
      </c>
      <c r="HB119" t="s">
        <v>4483</v>
      </c>
      <c r="HH119" t="s">
        <v>82</v>
      </c>
      <c r="HK119" t="s">
        <v>105</v>
      </c>
    </row>
    <row r="120" spans="1:220" x14ac:dyDescent="0.2">
      <c r="A120" t="s">
        <v>1467</v>
      </c>
      <c r="B120" t="s">
        <v>74</v>
      </c>
      <c r="C120" t="s">
        <v>75</v>
      </c>
      <c r="D120" t="s">
        <v>76</v>
      </c>
      <c r="E120" t="s">
        <v>1827</v>
      </c>
      <c r="F120" t="s">
        <v>1321</v>
      </c>
      <c r="L120" t="str">
        <f t="shared" si="91"/>
        <v/>
      </c>
      <c r="M120" t="str">
        <f t="shared" si="92"/>
        <v/>
      </c>
      <c r="N120" t="str">
        <f t="shared" si="94"/>
        <v>Heilkunde Gift</v>
      </c>
      <c r="P120">
        <f t="shared" si="93"/>
        <v>150</v>
      </c>
      <c r="R120" t="s">
        <v>4723</v>
      </c>
      <c r="U120">
        <v>6</v>
      </c>
      <c r="W120" t="s">
        <v>2070</v>
      </c>
      <c r="Z120" t="s">
        <v>3657</v>
      </c>
      <c r="AC120">
        <v>10</v>
      </c>
      <c r="AH120" t="str">
        <f>"FF "&amp;Generierung!$R$4+5</f>
        <v>FF 19</v>
      </c>
      <c r="AI120">
        <v>65</v>
      </c>
      <c r="AS120" t="s">
        <v>3708</v>
      </c>
      <c r="AT120">
        <f ca="1">IF(AV120,3,10)</f>
        <v>10</v>
      </c>
      <c r="AU120">
        <v>7</v>
      </c>
      <c r="AV120" t="b">
        <f ca="1">IF(AND(
NOT(ISERR(FIND($R$82&amp;" "&amp;AS120,Abfragen!$U$81))),
NOT(ISERR(FIND($R$98&amp;" "&amp;AS120,Abfragen!$U$81)))),
TRUE,FALSE)</f>
        <v>0</v>
      </c>
      <c r="AX120" t="s">
        <v>3910</v>
      </c>
      <c r="AY120">
        <v>4</v>
      </c>
      <c r="AZ120">
        <v>1</v>
      </c>
      <c r="BA120" t="s">
        <v>7653</v>
      </c>
      <c r="BB120" t="s">
        <v>2279</v>
      </c>
      <c r="BC120" t="s">
        <v>2280</v>
      </c>
      <c r="BD120" t="s">
        <v>2281</v>
      </c>
      <c r="BE120" t="s">
        <v>2282</v>
      </c>
      <c r="BF120" t="s">
        <v>5029</v>
      </c>
      <c r="BG120">
        <v>5</v>
      </c>
      <c r="BK120" t="s">
        <v>5447</v>
      </c>
      <c r="BL120">
        <v>24</v>
      </c>
      <c r="BM120">
        <v>7</v>
      </c>
      <c r="BN120" t="s">
        <v>5448</v>
      </c>
      <c r="BO120" t="s">
        <v>5449</v>
      </c>
      <c r="BP120" t="s">
        <v>374</v>
      </c>
      <c r="BQ120">
        <v>1</v>
      </c>
      <c r="BR120">
        <v>11</v>
      </c>
      <c r="BS120">
        <v>2</v>
      </c>
      <c r="BT120" t="s">
        <v>5450</v>
      </c>
      <c r="BU120">
        <v>40</v>
      </c>
      <c r="BW120">
        <v>3</v>
      </c>
      <c r="BY120" t="s">
        <v>4985</v>
      </c>
      <c r="BZ120" t="s">
        <v>4985</v>
      </c>
      <c r="CA120" t="s">
        <v>5446</v>
      </c>
      <c r="CD120" t="s">
        <v>1527</v>
      </c>
      <c r="CE120" t="s">
        <v>1209</v>
      </c>
      <c r="CF120" t="s">
        <v>380</v>
      </c>
      <c r="CG120" t="s">
        <v>898</v>
      </c>
      <c r="CH120">
        <v>0</v>
      </c>
      <c r="CI120">
        <v>4</v>
      </c>
      <c r="CJ120" t="s">
        <v>1827</v>
      </c>
      <c r="CK120" t="s">
        <v>1527</v>
      </c>
      <c r="CN120" t="str">
        <f ca="1">IF(AND(ISERR(FIND($CK120,Talente!$CI$41)),ISNA(VLOOKUP($CK120,$AH$51:$AH$55,1))),IF(AND(ISERR(FIND($CL120,Talente!$CI$41)),ISNA(VLOOKUP($CL120,$AH$51:$AH$55,1))),$CM120,$CL120),$CK120)</f>
        <v>Peitsche</v>
      </c>
      <c r="CP120" t="s">
        <v>3471</v>
      </c>
      <c r="CQ120" t="s">
        <v>1433</v>
      </c>
      <c r="CR120">
        <v>18</v>
      </c>
      <c r="CS120" t="s">
        <v>3778</v>
      </c>
      <c r="CU120" t="s">
        <v>5031</v>
      </c>
      <c r="CW120" t="str">
        <f>$CX$9</f>
        <v>Adlerschwinge (V3: Text3 eingeben)</v>
      </c>
      <c r="CX120" t="s">
        <v>66</v>
      </c>
      <c r="CY120" t="s">
        <v>77</v>
      </c>
      <c r="CZ120" t="s">
        <v>750</v>
      </c>
      <c r="DA120" t="s">
        <v>5030</v>
      </c>
      <c r="DC120" t="s">
        <v>7353</v>
      </c>
      <c r="DD120" t="s">
        <v>4150</v>
      </c>
      <c r="DE120" t="s">
        <v>1321</v>
      </c>
      <c r="DF120" t="s">
        <v>81</v>
      </c>
      <c r="DG120" t="s">
        <v>1955</v>
      </c>
      <c r="DH120" t="s">
        <v>8425</v>
      </c>
      <c r="DI120" t="s">
        <v>583</v>
      </c>
      <c r="DJ120">
        <v>2</v>
      </c>
      <c r="DK120">
        <f t="shared" si="72"/>
        <v>441</v>
      </c>
      <c r="DL120">
        <f t="shared" si="77"/>
        <v>118</v>
      </c>
      <c r="DM120">
        <v>105</v>
      </c>
      <c r="DN120" t="str">
        <f t="shared" ca="1" si="59"/>
        <v/>
      </c>
      <c r="DO120" t="str">
        <f t="shared" ca="1" si="60"/>
        <v/>
      </c>
      <c r="DP120" t="str">
        <f t="shared" ca="1" si="61"/>
        <v/>
      </c>
      <c r="DQ120" t="str">
        <f>IF(EXACT(Zauber!$A$250,""),"",IF(EXACT(RIGHT(HLOOKUP(Zauber!$A$250,PROFMAGIE,$DK120,FALSE)),"H"),CONCATENATE($CX120,","),""))</f>
        <v/>
      </c>
      <c r="DR120" t="str">
        <f t="shared" si="62"/>
        <v/>
      </c>
      <c r="DS120" t="str">
        <f>IF(ZS_IAAK="Ja",IF(EXACT(RIGHT(HLOOKUP(Tabellen_Magie!$IK$1,PROFMAGIE,$DK120,FALSE)),"H"),CONCATENATE($CX120,","),""),"")</f>
        <v/>
      </c>
      <c r="DT120" t="str">
        <f>IF(ZS_IAAK="Ja",IF(NOT(DS120=""),"",IF(OR(EXACT(RIGHT(HLOOKUP(Tabellen_Magie!$IK$1,PROFMAGIE,$DK120,FALSE)),"B"),EXACT(HLOOKUP(Tabellen_Magie!$IK$1,PROFMAGIE,$DK120,FALSE),"")),"",CONCATENATE($CX120,","))),"")</f>
        <v/>
      </c>
      <c r="DU120" t="str">
        <f t="shared" si="63"/>
        <v/>
      </c>
      <c r="DW120" t="s">
        <v>818</v>
      </c>
      <c r="DX120" t="s">
        <v>76</v>
      </c>
      <c r="DY120" t="s">
        <v>77</v>
      </c>
      <c r="DZ120" t="s">
        <v>5030</v>
      </c>
      <c r="EA120" t="s">
        <v>8598</v>
      </c>
      <c r="EB120" t="s">
        <v>1579</v>
      </c>
      <c r="EC120" t="s">
        <v>1445</v>
      </c>
      <c r="ED120">
        <f>ROUND(EI120*IF(VT_EIDGED,0.5,IF(VT_GUTGED,0.75,1)),0)</f>
        <v>150</v>
      </c>
      <c r="EE120" t="s">
        <v>2918</v>
      </c>
      <c r="EH120">
        <f>ROUNDUP($ED120/50,0)</f>
        <v>3</v>
      </c>
      <c r="EI120">
        <v>150</v>
      </c>
      <c r="EK120" t="s">
        <v>1093</v>
      </c>
      <c r="EL120" t="s">
        <v>7446</v>
      </c>
      <c r="FD120" t="s">
        <v>593</v>
      </c>
      <c r="FE120">
        <f>ROUND(FK120*IF(VT_EIDGED,0.5,IF(VT_GUTGED,0.75,1)*IF(NT_ELFWELT,IF(FN120,1,1.5),1)),0)</f>
        <v>100</v>
      </c>
      <c r="FF120">
        <f t="shared" si="97"/>
        <v>2</v>
      </c>
      <c r="FK120">
        <v>100</v>
      </c>
      <c r="FL120">
        <v>7</v>
      </c>
      <c r="FM120" t="b">
        <f t="shared" ca="1" si="95"/>
        <v>0</v>
      </c>
      <c r="FN120" t="b">
        <f t="shared" ca="1" si="96"/>
        <v>0</v>
      </c>
      <c r="GH120" t="s">
        <v>2851</v>
      </c>
      <c r="GI120" t="s">
        <v>1119</v>
      </c>
      <c r="GJ120">
        <v>2</v>
      </c>
      <c r="GK120" t="s">
        <v>1320</v>
      </c>
      <c r="GL120" t="s">
        <v>567</v>
      </c>
      <c r="GM120" t="s">
        <v>1369</v>
      </c>
      <c r="GN120" t="s">
        <v>1974</v>
      </c>
      <c r="GO120">
        <v>264</v>
      </c>
      <c r="GP120">
        <v>282</v>
      </c>
      <c r="GR120">
        <f t="shared" si="66"/>
        <v>469</v>
      </c>
      <c r="GU120" t="str">
        <f t="shared" ca="1" si="67"/>
        <v/>
      </c>
      <c r="GV120" t="str">
        <f t="shared" ca="1" si="68"/>
        <v/>
      </c>
      <c r="GW120" t="str">
        <f t="shared" ca="1" si="69"/>
        <v/>
      </c>
      <c r="GX120" t="str">
        <f t="shared" ca="1" si="70"/>
        <v/>
      </c>
      <c r="HA120">
        <v>2</v>
      </c>
      <c r="HB120" t="s">
        <v>1119</v>
      </c>
      <c r="HE120" t="s">
        <v>1693</v>
      </c>
      <c r="HH120" t="s">
        <v>1097</v>
      </c>
      <c r="HK120">
        <v>0</v>
      </c>
      <c r="HL120">
        <v>1</v>
      </c>
    </row>
    <row r="121" spans="1:220" x14ac:dyDescent="0.2">
      <c r="A121" t="s">
        <v>2616</v>
      </c>
      <c r="B121" t="s">
        <v>74</v>
      </c>
      <c r="C121" t="s">
        <v>75</v>
      </c>
      <c r="D121" t="s">
        <v>77</v>
      </c>
      <c r="E121" t="s">
        <v>1827</v>
      </c>
      <c r="F121" t="s">
        <v>1321</v>
      </c>
      <c r="L121" t="str">
        <f t="shared" si="91"/>
        <v/>
      </c>
      <c r="M121" t="str">
        <f t="shared" si="92"/>
        <v/>
      </c>
      <c r="N121" t="str">
        <f t="shared" si="94"/>
        <v>Heilkunde Krankheiten</v>
      </c>
      <c r="P121">
        <f t="shared" si="93"/>
        <v>151</v>
      </c>
      <c r="R121" t="s">
        <v>2958</v>
      </c>
      <c r="U121">
        <v>10</v>
      </c>
      <c r="Z121" t="s">
        <v>3658</v>
      </c>
      <c r="AC121">
        <v>3</v>
      </c>
      <c r="AH121" t="str">
        <f>"GE "&amp;Generierung!$R$4+1</f>
        <v>GE 15</v>
      </c>
      <c r="AI121">
        <v>9</v>
      </c>
      <c r="AS121" t="s">
        <v>3716</v>
      </c>
      <c r="AT121">
        <f ca="1">IF(AV121,2,5)</f>
        <v>5</v>
      </c>
      <c r="AU121">
        <v>3</v>
      </c>
      <c r="AV121" t="b">
        <f ca="1">IF(AND(
NOT(ISERR(FIND($R$82&amp;" "&amp;AS121,Abfragen!$U$81))),
NOT(ISERR(FIND($R$98&amp;" "&amp;AS121,Abfragen!$U$81)))),
TRUE,FALSE)</f>
        <v>0</v>
      </c>
      <c r="AX121" t="s">
        <v>4113</v>
      </c>
      <c r="AY121">
        <v>4</v>
      </c>
      <c r="AZ121">
        <v>1</v>
      </c>
      <c r="BA121" t="s">
        <v>171</v>
      </c>
      <c r="BB121" t="s">
        <v>5050</v>
      </c>
      <c r="BC121" t="s">
        <v>2411</v>
      </c>
      <c r="BD121" t="s">
        <v>4828</v>
      </c>
      <c r="BE121" t="s">
        <v>7654</v>
      </c>
      <c r="BG121">
        <v>5</v>
      </c>
      <c r="BK121" t="s">
        <v>5451</v>
      </c>
      <c r="BL121">
        <v>16</v>
      </c>
      <c r="BM121">
        <v>12</v>
      </c>
      <c r="BN121" t="s">
        <v>5452</v>
      </c>
      <c r="BO121" t="s">
        <v>5148</v>
      </c>
      <c r="BP121" t="s">
        <v>916</v>
      </c>
      <c r="BQ121">
        <v>2</v>
      </c>
      <c r="BR121">
        <v>14</v>
      </c>
      <c r="BS121" t="s">
        <v>5453</v>
      </c>
      <c r="BT121" t="s">
        <v>5454</v>
      </c>
      <c r="BU121">
        <v>100</v>
      </c>
      <c r="BW121">
        <v>3</v>
      </c>
      <c r="BY121" t="s">
        <v>4985</v>
      </c>
      <c r="BZ121" t="s">
        <v>4985</v>
      </c>
      <c r="CA121" t="s">
        <v>5455</v>
      </c>
      <c r="CD121" t="s">
        <v>1438</v>
      </c>
      <c r="CE121" t="s">
        <v>904</v>
      </c>
      <c r="CF121" t="s">
        <v>272</v>
      </c>
      <c r="CG121" t="s">
        <v>4550</v>
      </c>
      <c r="CH121">
        <v>-2</v>
      </c>
      <c r="CI121">
        <v>6</v>
      </c>
      <c r="CJ121" t="s">
        <v>1320</v>
      </c>
      <c r="CK121" t="s">
        <v>1530</v>
      </c>
      <c r="CN121" t="str">
        <f ca="1">IF(AND(ISERR(FIND($CK121,Talente!$CI$41)),ISNA(VLOOKUP($CK121,$AH$51:$AH$55,1))),IF(AND(ISERR(FIND($CL121,Talente!$CI$41)),ISNA(VLOOKUP($CL121,$AH$51:$AH$55,1))),$CM121,$CL121),$CK121)</f>
        <v>Speere</v>
      </c>
      <c r="CP121" t="s">
        <v>1512</v>
      </c>
      <c r="CQ121" t="s">
        <v>1433</v>
      </c>
      <c r="CR121">
        <v>15</v>
      </c>
      <c r="CS121" t="s">
        <v>1512</v>
      </c>
      <c r="CU121" t="s">
        <v>2174</v>
      </c>
      <c r="CW121" t="s">
        <v>2648</v>
      </c>
      <c r="CX121" t="s">
        <v>608</v>
      </c>
      <c r="CY121" t="s">
        <v>75</v>
      </c>
      <c r="CZ121" t="s">
        <v>77</v>
      </c>
      <c r="DA121" t="s">
        <v>750</v>
      </c>
      <c r="DB121" t="s">
        <v>1613</v>
      </c>
      <c r="DC121" t="s">
        <v>7303</v>
      </c>
      <c r="DD121" t="s">
        <v>728</v>
      </c>
      <c r="DE121" t="s">
        <v>1321</v>
      </c>
      <c r="DF121" t="s">
        <v>81</v>
      </c>
      <c r="DG121" t="s">
        <v>1956</v>
      </c>
      <c r="DH121" t="s">
        <v>6917</v>
      </c>
      <c r="DI121" t="s">
        <v>4507</v>
      </c>
      <c r="DJ121">
        <v>2</v>
      </c>
      <c r="DK121">
        <f t="shared" si="72"/>
        <v>442</v>
      </c>
      <c r="DL121">
        <f t="shared" si="77"/>
        <v>119</v>
      </c>
      <c r="DM121">
        <v>107</v>
      </c>
      <c r="DN121" t="str">
        <f t="shared" ca="1" si="59"/>
        <v/>
      </c>
      <c r="DO121" t="str">
        <f t="shared" ca="1" si="60"/>
        <v/>
      </c>
      <c r="DP121" t="str">
        <f t="shared" ca="1" si="61"/>
        <v/>
      </c>
      <c r="DQ121" t="str">
        <f>IF(EXACT(Zauber!$A$250,""),"",IF(EXACT(RIGHT(HLOOKUP(Zauber!$A$250,PROFMAGIE,$DK121,FALSE)),"H"),CONCATENATE($CX121,","),""))</f>
        <v/>
      </c>
      <c r="DR121" t="str">
        <f t="shared" si="62"/>
        <v/>
      </c>
      <c r="DS121" t="str">
        <f>IF(ZS_IAAK="Ja",IF(EXACT(RIGHT(HLOOKUP(Tabellen_Magie!$IK$1,PROFMAGIE,$DK121,FALSE)),"H"),CONCATENATE($CX121,","),""),"")</f>
        <v/>
      </c>
      <c r="DT121" t="str">
        <f>IF(ZS_IAAK="Ja",IF(NOT(DS121=""),"",IF(OR(EXACT(RIGHT(HLOOKUP(Tabellen_Magie!$IK$1,PROFMAGIE,$DK121,FALSE)),"B"),EXACT(HLOOKUP(Tabellen_Magie!$IK$1,PROFMAGIE,$DK121,FALSE),"")),"",CONCATENATE($CX121,","))),"")</f>
        <v/>
      </c>
      <c r="DU121" t="str">
        <f t="shared" si="63"/>
        <v/>
      </c>
      <c r="DW121" t="s">
        <v>816</v>
      </c>
      <c r="DX121" t="s">
        <v>74</v>
      </c>
      <c r="DY121" t="s">
        <v>77</v>
      </c>
      <c r="DZ121" t="s">
        <v>5030</v>
      </c>
      <c r="EA121" t="s">
        <v>8599</v>
      </c>
      <c r="EB121" t="s">
        <v>8600</v>
      </c>
      <c r="EC121" t="s">
        <v>2304</v>
      </c>
      <c r="ED121">
        <f>ROUND(EI121*IF(VT_EIDGED,0.5,IF(VT_GUTGED,0.75,1)),0)</f>
        <v>200</v>
      </c>
      <c r="EE121" t="s">
        <v>2918</v>
      </c>
      <c r="EH121">
        <f>ROUNDUP($ED121/50,0)</f>
        <v>4</v>
      </c>
      <c r="EI121">
        <v>200</v>
      </c>
      <c r="EK121" t="s">
        <v>7433</v>
      </c>
      <c r="EL121" t="s">
        <v>7447</v>
      </c>
      <c r="FD121" t="s">
        <v>2064</v>
      </c>
      <c r="FE121">
        <f>ROUND(FK121*IF(VT_EIDGED,0.5,IF(VT_GUTGED,0.75,1)*IF(NT_ELFWELT,IF(FN121,1,1.5),1)),0)</f>
        <v>100</v>
      </c>
      <c r="FF121">
        <f t="shared" si="97"/>
        <v>2</v>
      </c>
      <c r="FK121">
        <v>100</v>
      </c>
      <c r="FL121">
        <v>7</v>
      </c>
      <c r="FM121" t="b">
        <f t="shared" ca="1" si="95"/>
        <v>0</v>
      </c>
      <c r="FN121" t="b">
        <f t="shared" ca="1" si="96"/>
        <v>0</v>
      </c>
      <c r="GH121" t="s">
        <v>2852</v>
      </c>
      <c r="GI121" t="s">
        <v>1119</v>
      </c>
      <c r="GJ121">
        <v>2</v>
      </c>
      <c r="GK121" t="s">
        <v>1397</v>
      </c>
      <c r="GL121" t="s">
        <v>567</v>
      </c>
      <c r="GM121" t="s">
        <v>1983</v>
      </c>
      <c r="GN121" t="s">
        <v>1974</v>
      </c>
      <c r="GO121">
        <v>271</v>
      </c>
      <c r="GP121">
        <v>287</v>
      </c>
      <c r="GR121">
        <f t="shared" si="66"/>
        <v>470</v>
      </c>
      <c r="GS121">
        <v>3</v>
      </c>
      <c r="GU121" t="str">
        <f t="shared" ca="1" si="67"/>
        <v/>
      </c>
      <c r="GV121" t="str">
        <f t="shared" ca="1" si="68"/>
        <v/>
      </c>
      <c r="GW121" t="str">
        <f t="shared" ca="1" si="69"/>
        <v/>
      </c>
      <c r="GX121" t="str">
        <f t="shared" ca="1" si="70"/>
        <v/>
      </c>
      <c r="HA121">
        <v>3</v>
      </c>
      <c r="HB121" t="s">
        <v>3290</v>
      </c>
      <c r="HE121">
        <v>0</v>
      </c>
      <c r="HF121">
        <v>1</v>
      </c>
      <c r="HH121" t="s">
        <v>2462</v>
      </c>
      <c r="HK121" t="s">
        <v>106</v>
      </c>
      <c r="HL121">
        <v>5</v>
      </c>
    </row>
    <row r="122" spans="1:220" ht="16.5" customHeight="1" x14ac:dyDescent="0.2">
      <c r="A122" t="s">
        <v>1022</v>
      </c>
      <c r="B122" t="s">
        <v>76</v>
      </c>
      <c r="C122" t="s">
        <v>77</v>
      </c>
      <c r="D122" t="s">
        <v>77</v>
      </c>
      <c r="E122" t="s">
        <v>1320</v>
      </c>
      <c r="F122" t="s">
        <v>1321</v>
      </c>
      <c r="L122" t="str">
        <f t="shared" si="91"/>
        <v/>
      </c>
      <c r="M122" t="str">
        <f t="shared" si="92"/>
        <v/>
      </c>
      <c r="N122" t="str">
        <f t="shared" si="94"/>
        <v>Heilkunde Seele</v>
      </c>
      <c r="P122">
        <f t="shared" si="93"/>
        <v>152</v>
      </c>
      <c r="R122" t="s">
        <v>2686</v>
      </c>
      <c r="U122">
        <v>5</v>
      </c>
      <c r="W122" t="s">
        <v>2070</v>
      </c>
      <c r="Z122" t="s">
        <v>759</v>
      </c>
      <c r="AC122">
        <v>10</v>
      </c>
      <c r="AH122" t="str">
        <f>"GE "&amp;Generierung!$R$4+2</f>
        <v>GE 16</v>
      </c>
      <c r="AI122">
        <v>20</v>
      </c>
      <c r="AS122" t="s">
        <v>3717</v>
      </c>
      <c r="AT122">
        <f ca="1">IF(AV122,2,5)</f>
        <v>5</v>
      </c>
      <c r="AU122">
        <v>3</v>
      </c>
      <c r="AV122" t="b">
        <f ca="1">IF(AND(
NOT(ISERR(FIND($R$82&amp;" "&amp;AS122,Abfragen!$U$81))),
NOT(ISERR(FIND($R$98&amp;" "&amp;AS122,Abfragen!$U$81)))),
TRUE,FALSE)</f>
        <v>0</v>
      </c>
      <c r="AX122" t="s">
        <v>4114</v>
      </c>
      <c r="AY122">
        <v>6</v>
      </c>
      <c r="AZ122">
        <v>2</v>
      </c>
      <c r="BA122" t="s">
        <v>4985</v>
      </c>
      <c r="BG122">
        <v>5</v>
      </c>
      <c r="BK122" t="s">
        <v>5456</v>
      </c>
      <c r="BL122">
        <v>16</v>
      </c>
      <c r="BM122">
        <v>12</v>
      </c>
      <c r="BN122" t="s">
        <v>5452</v>
      </c>
      <c r="BO122" t="s">
        <v>5148</v>
      </c>
      <c r="BP122" t="s">
        <v>916</v>
      </c>
      <c r="BQ122">
        <v>2</v>
      </c>
      <c r="BR122">
        <v>17</v>
      </c>
      <c r="BS122" t="s">
        <v>5453</v>
      </c>
      <c r="BT122" t="s">
        <v>5454</v>
      </c>
      <c r="BU122">
        <v>100</v>
      </c>
      <c r="BW122">
        <v>3</v>
      </c>
      <c r="BY122" t="s">
        <v>4985</v>
      </c>
      <c r="BZ122" t="s">
        <v>4985</v>
      </c>
      <c r="CA122" t="s">
        <v>5455</v>
      </c>
      <c r="CD122" t="s">
        <v>1439</v>
      </c>
      <c r="CE122" t="s">
        <v>5091</v>
      </c>
      <c r="CF122" t="s">
        <v>274</v>
      </c>
      <c r="CG122" t="s">
        <v>898</v>
      </c>
      <c r="CH122">
        <v>0</v>
      </c>
      <c r="CI122">
        <v>3</v>
      </c>
      <c r="CJ122" t="s">
        <v>899</v>
      </c>
      <c r="CK122" t="s">
        <v>2190</v>
      </c>
      <c r="CN122" t="str">
        <f ca="1">IF(AND(ISERR(FIND($CK122,Talente!$CI$41)),ISNA(VLOOKUP($CK122,$AH$51:$AH$55,1))),IF(AND(ISERR(FIND($CL122,Talente!$CI$41)),ISNA(VLOOKUP($CL122,$AH$51:$AH$55,1))),$CM122,$CL122),$CK122)</f>
        <v>Hiebwaffen</v>
      </c>
      <c r="CP122" t="s">
        <v>3854</v>
      </c>
      <c r="CQ122" t="s">
        <v>1433</v>
      </c>
      <c r="CR122">
        <v>15</v>
      </c>
      <c r="CS122" t="s">
        <v>3778</v>
      </c>
      <c r="CU122" t="s">
        <v>2175</v>
      </c>
      <c r="CW122" t="s">
        <v>3340</v>
      </c>
      <c r="CX122" t="s">
        <v>609</v>
      </c>
      <c r="CY122" t="s">
        <v>75</v>
      </c>
      <c r="CZ122" t="s">
        <v>76</v>
      </c>
      <c r="DA122" t="s">
        <v>77</v>
      </c>
      <c r="DB122" t="s">
        <v>2042</v>
      </c>
      <c r="DC122" t="s">
        <v>7299</v>
      </c>
      <c r="DD122" t="s">
        <v>3935</v>
      </c>
      <c r="DE122" t="s">
        <v>2254</v>
      </c>
      <c r="DF122" t="s">
        <v>1730</v>
      </c>
      <c r="DG122" t="s">
        <v>1956</v>
      </c>
      <c r="DH122" t="s">
        <v>6918</v>
      </c>
      <c r="DI122" t="s">
        <v>4510</v>
      </c>
      <c r="DJ122">
        <v>2</v>
      </c>
      <c r="DK122">
        <f t="shared" si="72"/>
        <v>443</v>
      </c>
      <c r="DL122">
        <f t="shared" si="77"/>
        <v>120</v>
      </c>
      <c r="DM122">
        <v>108</v>
      </c>
      <c r="DN122" t="str">
        <f t="shared" ca="1" si="59"/>
        <v/>
      </c>
      <c r="DO122" t="str">
        <f t="shared" ca="1" si="60"/>
        <v/>
      </c>
      <c r="DP122" t="str">
        <f t="shared" ca="1" si="61"/>
        <v/>
      </c>
      <c r="DQ122" t="str">
        <f>IF(EXACT(Zauber!$A$250,""),"",IF(EXACT(RIGHT(HLOOKUP(Zauber!$A$250,PROFMAGIE,$DK122,FALSE)),"H"),CONCATENATE($CX122,","),""))</f>
        <v/>
      </c>
      <c r="DR122" t="str">
        <f t="shared" si="62"/>
        <v/>
      </c>
      <c r="DS122" t="str">
        <f>IF(ZS_IAAK="Ja",IF(EXACT(RIGHT(HLOOKUP(Tabellen_Magie!$IK$1,PROFMAGIE,$DK122,FALSE)),"H"),CONCATENATE($CX122,","),""),"")</f>
        <v/>
      </c>
      <c r="DT122" t="str">
        <f>IF(ZS_IAAK="Ja",IF(NOT(DS122=""),"",IF(OR(EXACT(RIGHT(HLOOKUP(Tabellen_Magie!$IK$1,PROFMAGIE,$DK122,FALSE)),"B"),EXACT(HLOOKUP(Tabellen_Magie!$IK$1,PROFMAGIE,$DK122,FALSE),"")),"",CONCATENATE($CX122,","))),"")</f>
        <v/>
      </c>
      <c r="DU122" t="str">
        <f t="shared" si="63"/>
        <v/>
      </c>
      <c r="DV122" t="s">
        <v>4721</v>
      </c>
      <c r="DW122" t="s">
        <v>817</v>
      </c>
      <c r="DX122" t="s">
        <v>74</v>
      </c>
      <c r="DY122" t="s">
        <v>76</v>
      </c>
      <c r="DZ122" t="s">
        <v>77</v>
      </c>
      <c r="EA122" t="s">
        <v>8601</v>
      </c>
      <c r="EB122" t="s">
        <v>8602</v>
      </c>
      <c r="EC122" t="s">
        <v>1443</v>
      </c>
      <c r="ED122">
        <f>ROUND(EI122*IF(VT_EIDGED,0.5,IF(VT_GUTGED,0.75,1)),0)</f>
        <v>200</v>
      </c>
      <c r="EE122" t="s">
        <v>2918</v>
      </c>
      <c r="EH122">
        <f>ROUNDUP($ED122/50,0)</f>
        <v>4</v>
      </c>
      <c r="EI122">
        <v>200</v>
      </c>
      <c r="EK122" t="s">
        <v>7429</v>
      </c>
      <c r="EL122" t="s">
        <v>7448</v>
      </c>
      <c r="FD122" t="s">
        <v>1712</v>
      </c>
      <c r="FE122">
        <f>ROUND(FK122*IF(VT_EIDGED,0.5,IF(VT_GUTGED,0.75,1)*IF(NT_ELFWELT,IF(FN122,1,1.5),1)),0)</f>
        <v>100</v>
      </c>
      <c r="FF122">
        <f t="shared" si="97"/>
        <v>2</v>
      </c>
      <c r="FK122">
        <v>100</v>
      </c>
      <c r="FL122">
        <v>7</v>
      </c>
      <c r="FM122" t="b">
        <f t="shared" ca="1" si="95"/>
        <v>0</v>
      </c>
      <c r="FN122" t="b">
        <f t="shared" ca="1" si="96"/>
        <v>0</v>
      </c>
      <c r="GH122" t="s">
        <v>2853</v>
      </c>
      <c r="GI122" t="s">
        <v>1119</v>
      </c>
      <c r="GJ122">
        <v>2</v>
      </c>
      <c r="GK122" t="s">
        <v>4116</v>
      </c>
      <c r="GL122" t="s">
        <v>1976</v>
      </c>
      <c r="GM122" t="s">
        <v>1369</v>
      </c>
      <c r="GN122" t="s">
        <v>1690</v>
      </c>
      <c r="GO122">
        <v>270</v>
      </c>
      <c r="GP122">
        <v>289</v>
      </c>
      <c r="GR122">
        <f t="shared" si="66"/>
        <v>471</v>
      </c>
      <c r="GU122" t="str">
        <f t="shared" ca="1" si="67"/>
        <v/>
      </c>
      <c r="GV122" t="str">
        <f t="shared" ca="1" si="68"/>
        <v/>
      </c>
      <c r="GW122" t="str">
        <f t="shared" ca="1" si="69"/>
        <v/>
      </c>
      <c r="GX122" t="str">
        <f t="shared" ca="1" si="70"/>
        <v/>
      </c>
      <c r="HA122">
        <v>4</v>
      </c>
      <c r="HB122" t="s">
        <v>4121</v>
      </c>
      <c r="HE122" t="s">
        <v>1369</v>
      </c>
      <c r="HF122">
        <v>1</v>
      </c>
      <c r="HH122" t="s">
        <v>84</v>
      </c>
      <c r="HK122" t="s">
        <v>2369</v>
      </c>
      <c r="HL122">
        <v>4</v>
      </c>
    </row>
    <row r="123" spans="1:220" x14ac:dyDescent="0.2">
      <c r="A123" t="s">
        <v>1023</v>
      </c>
      <c r="B123" t="s">
        <v>75</v>
      </c>
      <c r="C123" t="s">
        <v>77</v>
      </c>
      <c r="D123" t="s">
        <v>750</v>
      </c>
      <c r="E123" t="s">
        <v>1321</v>
      </c>
      <c r="F123" t="s">
        <v>1321</v>
      </c>
      <c r="L123" t="str">
        <f t="shared" si="91"/>
        <v/>
      </c>
      <c r="M123" t="str">
        <f t="shared" si="92"/>
        <v/>
      </c>
      <c r="N123" t="str">
        <f t="shared" si="94"/>
        <v>Heilkunde Wunden</v>
      </c>
      <c r="P123">
        <f t="shared" si="93"/>
        <v>153</v>
      </c>
      <c r="R123" t="s">
        <v>3015</v>
      </c>
      <c r="U123">
        <v>15</v>
      </c>
      <c r="W123" t="s">
        <v>2070</v>
      </c>
      <c r="Z123" t="s">
        <v>3659</v>
      </c>
      <c r="AA123">
        <v>1</v>
      </c>
      <c r="AB123">
        <v>10</v>
      </c>
      <c r="AH123" t="str">
        <f>"GE "&amp;Generierung!$R$4+3</f>
        <v>GE 17</v>
      </c>
      <c r="AI123">
        <v>33</v>
      </c>
      <c r="AS123" t="s">
        <v>3718</v>
      </c>
      <c r="AT123">
        <f ca="1">IF(AV123,2,5)</f>
        <v>5</v>
      </c>
      <c r="AU123">
        <v>3</v>
      </c>
      <c r="AV123" t="b">
        <f ca="1">IF(AND(
NOT(ISERR(FIND($R$82&amp;" "&amp;AS123,Abfragen!$U$81))),
NOT(ISERR(FIND($R$98&amp;" "&amp;AS123,Abfragen!$U$81)))),
TRUE,FALSE)</f>
        <v>0</v>
      </c>
      <c r="AX123" t="s">
        <v>3911</v>
      </c>
      <c r="AY123">
        <v>4</v>
      </c>
      <c r="AZ123">
        <v>1</v>
      </c>
      <c r="BA123" t="s">
        <v>2283</v>
      </c>
      <c r="BB123" t="s">
        <v>2284</v>
      </c>
      <c r="BC123" t="s">
        <v>7655</v>
      </c>
      <c r="BG123">
        <v>5</v>
      </c>
      <c r="BK123" t="s">
        <v>5457</v>
      </c>
      <c r="BL123">
        <v>12</v>
      </c>
      <c r="BM123">
        <v>12</v>
      </c>
      <c r="BN123" t="s">
        <v>5458</v>
      </c>
      <c r="BO123" t="s">
        <v>5148</v>
      </c>
      <c r="BP123" t="s">
        <v>916</v>
      </c>
      <c r="BQ123">
        <v>2</v>
      </c>
      <c r="BR123">
        <v>15</v>
      </c>
      <c r="BS123" t="s">
        <v>5453</v>
      </c>
      <c r="BT123" t="s">
        <v>5459</v>
      </c>
      <c r="BU123">
        <v>90</v>
      </c>
      <c r="BW123">
        <v>3</v>
      </c>
      <c r="BY123" t="s">
        <v>4985</v>
      </c>
      <c r="BZ123" t="s">
        <v>4985</v>
      </c>
      <c r="CA123" t="s">
        <v>5455</v>
      </c>
      <c r="CD123" t="s">
        <v>1440</v>
      </c>
      <c r="CE123" t="s">
        <v>4549</v>
      </c>
      <c r="CF123" t="s">
        <v>917</v>
      </c>
      <c r="CG123" t="s">
        <v>898</v>
      </c>
      <c r="CH123">
        <v>1</v>
      </c>
      <c r="CI123">
        <v>2</v>
      </c>
      <c r="CJ123" t="s">
        <v>899</v>
      </c>
      <c r="CK123" t="s">
        <v>3043</v>
      </c>
      <c r="CL123" t="s">
        <v>1938</v>
      </c>
      <c r="CN123" t="str">
        <f ca="1">IF(AND(ISERR(FIND($CK123,Talente!$CI$41)),ISNA(VLOOKUP($CK123,$AH$51:$AH$55,1))),IF(AND(ISERR(FIND($CL123,Talente!$CI$41)),ISNA(VLOOKUP($CL123,$AH$51:$AH$55,1))),$CM123,$CL123),$CK123)</f>
        <v>Fechtwaffen</v>
      </c>
      <c r="CP123" t="s">
        <v>3855</v>
      </c>
      <c r="CQ123" t="s">
        <v>1433</v>
      </c>
      <c r="CR123">
        <v>17</v>
      </c>
      <c r="CS123" t="s">
        <v>3855</v>
      </c>
      <c r="CU123" t="s">
        <v>1933</v>
      </c>
      <c r="CW123" t="s">
        <v>2113</v>
      </c>
      <c r="CX123" t="s">
        <v>610</v>
      </c>
      <c r="CY123" t="s">
        <v>74</v>
      </c>
      <c r="CZ123" t="s">
        <v>76</v>
      </c>
      <c r="DA123" t="s">
        <v>77</v>
      </c>
      <c r="DB123" t="s">
        <v>1613</v>
      </c>
      <c r="DC123" t="s">
        <v>7304</v>
      </c>
      <c r="DD123" t="s">
        <v>2451</v>
      </c>
      <c r="DE123" t="s">
        <v>3380</v>
      </c>
      <c r="DF123" t="s">
        <v>81</v>
      </c>
      <c r="DG123" t="s">
        <v>1956</v>
      </c>
      <c r="DH123" t="s">
        <v>6919</v>
      </c>
      <c r="DI123" t="s">
        <v>3353</v>
      </c>
      <c r="DJ123">
        <v>2</v>
      </c>
      <c r="DK123">
        <f t="shared" si="72"/>
        <v>444</v>
      </c>
      <c r="DL123">
        <f t="shared" si="77"/>
        <v>121</v>
      </c>
      <c r="DM123">
        <v>109</v>
      </c>
      <c r="DN123" t="str">
        <f t="shared" ca="1" si="59"/>
        <v/>
      </c>
      <c r="DO123" t="str">
        <f t="shared" ca="1" si="60"/>
        <v/>
      </c>
      <c r="DP123" t="str">
        <f t="shared" ca="1" si="61"/>
        <v/>
      </c>
      <c r="DQ123" t="str">
        <f>IF(EXACT(Zauber!$A$250,""),"",IF(EXACT(RIGHT(HLOOKUP(Zauber!$A$250,PROFMAGIE,$DK123,FALSE)),"H"),CONCATENATE($CX123,","),""))</f>
        <v/>
      </c>
      <c r="DR123" t="str">
        <f t="shared" si="62"/>
        <v/>
      </c>
      <c r="DS123" t="str">
        <f>IF(ZS_IAAK="Ja",IF(EXACT(RIGHT(HLOOKUP(Tabellen_Magie!$IK$1,PROFMAGIE,$DK123,FALSE)),"H"),CONCATENATE($CX123,","),""),"")</f>
        <v/>
      </c>
      <c r="DT123" t="str">
        <f>IF(ZS_IAAK="Ja",IF(NOT(DS123=""),"",IF(OR(EXACT(RIGHT(HLOOKUP(Tabellen_Magie!$IK$1,PROFMAGIE,$DK123,FALSE)),"B"),EXACT(HLOOKUP(Tabellen_Magie!$IK$1,PROFMAGIE,$DK123,FALSE),"")),"",CONCATENATE($CX123,","))),"")</f>
        <v/>
      </c>
      <c r="DU123" t="str">
        <f t="shared" si="63"/>
        <v/>
      </c>
      <c r="DW123" t="s">
        <v>8603</v>
      </c>
      <c r="DX123" t="s">
        <v>74</v>
      </c>
      <c r="DY123" t="s">
        <v>751</v>
      </c>
      <c r="DZ123" t="s">
        <v>77</v>
      </c>
      <c r="EA123" t="s">
        <v>8604</v>
      </c>
      <c r="EB123" t="s">
        <v>2100</v>
      </c>
      <c r="EC123" t="s">
        <v>2302</v>
      </c>
      <c r="ED123">
        <f>ROUND(EI123*IF(VT_EIDGED,0.5,IF(VT_GUTGED,0.75,1)),0)</f>
        <v>100</v>
      </c>
      <c r="EE123" t="s">
        <v>2918</v>
      </c>
      <c r="EH123">
        <f>ROUNDUP($ED123/50,0)</f>
        <v>2</v>
      </c>
      <c r="EI123">
        <v>100</v>
      </c>
      <c r="FD123" t="s">
        <v>342</v>
      </c>
      <c r="FE123">
        <f>ROUND(FK123*IF(VT_EIDGED,0.5,IF(VT_GUTGED,0.75,1)*IF(NT_ELFWELT,IF(FN123,1,1.5),1)),0)</f>
        <v>100</v>
      </c>
      <c r="FF123">
        <f t="shared" si="97"/>
        <v>2</v>
      </c>
      <c r="FK123">
        <v>100</v>
      </c>
      <c r="FL123">
        <v>7</v>
      </c>
      <c r="FM123" t="b">
        <f t="shared" ca="1" si="95"/>
        <v>0</v>
      </c>
      <c r="FN123" t="b">
        <f t="shared" ca="1" si="96"/>
        <v>0</v>
      </c>
      <c r="GH123" t="s">
        <v>2854</v>
      </c>
      <c r="GI123" t="s">
        <v>1119</v>
      </c>
      <c r="GJ123">
        <v>2</v>
      </c>
      <c r="GK123" t="s">
        <v>4484</v>
      </c>
      <c r="GL123" t="s">
        <v>567</v>
      </c>
      <c r="GM123" t="s">
        <v>1984</v>
      </c>
      <c r="GN123" t="s">
        <v>1690</v>
      </c>
      <c r="GO123">
        <v>279</v>
      </c>
      <c r="GP123">
        <v>314</v>
      </c>
      <c r="GR123">
        <f t="shared" si="66"/>
        <v>472</v>
      </c>
      <c r="GU123" t="str">
        <f t="shared" ca="1" si="67"/>
        <v/>
      </c>
      <c r="GV123" t="str">
        <f t="shared" ca="1" si="68"/>
        <v/>
      </c>
      <c r="GW123" t="str">
        <f t="shared" ca="1" si="69"/>
        <v/>
      </c>
      <c r="GX123" t="str">
        <f t="shared" ca="1" si="70"/>
        <v/>
      </c>
      <c r="HA123">
        <v>5</v>
      </c>
      <c r="HB123" t="s">
        <v>4588</v>
      </c>
      <c r="HE123" t="s">
        <v>1980</v>
      </c>
      <c r="HF123">
        <v>2</v>
      </c>
      <c r="HH123" t="s">
        <v>3066</v>
      </c>
      <c r="HK123" t="s">
        <v>3397</v>
      </c>
      <c r="HL123">
        <v>3</v>
      </c>
    </row>
    <row r="124" spans="1:220" x14ac:dyDescent="0.2">
      <c r="A124" t="s">
        <v>1024</v>
      </c>
      <c r="B124" t="s">
        <v>75</v>
      </c>
      <c r="C124" t="s">
        <v>750</v>
      </c>
      <c r="D124" t="s">
        <v>752</v>
      </c>
      <c r="E124" t="s">
        <v>1321</v>
      </c>
      <c r="F124" t="s">
        <v>1321</v>
      </c>
      <c r="L124" t="str">
        <f t="shared" si="91"/>
        <v/>
      </c>
      <c r="M124" t="str">
        <f t="shared" si="92"/>
        <v/>
      </c>
      <c r="N124" t="str">
        <f t="shared" si="94"/>
        <v>Holzbearbeitung</v>
      </c>
      <c r="P124">
        <f t="shared" si="93"/>
        <v>154</v>
      </c>
      <c r="R124" t="s">
        <v>2128</v>
      </c>
      <c r="U124">
        <v>10</v>
      </c>
      <c r="Z124" t="s">
        <v>1297</v>
      </c>
      <c r="AC124">
        <v>3</v>
      </c>
      <c r="AH124" t="str">
        <f>"GE "&amp;Generierung!$R$4+4</f>
        <v>GE 18</v>
      </c>
      <c r="AI124">
        <v>48</v>
      </c>
      <c r="AS124" t="s">
        <v>3706</v>
      </c>
      <c r="AT124">
        <f ca="1">IF(AV124,3,10)</f>
        <v>10</v>
      </c>
      <c r="AU124">
        <v>7</v>
      </c>
      <c r="AV124" t="b">
        <f ca="1">IF(AND(
NOT(ISERR(FIND($R$82&amp;" "&amp;AS124,Abfragen!$U$81))),
NOT(ISERR(FIND($R$98&amp;" "&amp;AS124,Abfragen!$U$81)))),
TRUE,FALSE)</f>
        <v>0</v>
      </c>
      <c r="AX124" t="s">
        <v>4535</v>
      </c>
      <c r="AY124">
        <v>4</v>
      </c>
      <c r="AZ124">
        <v>1</v>
      </c>
      <c r="BA124" t="s">
        <v>242</v>
      </c>
      <c r="BB124" t="s">
        <v>5079</v>
      </c>
      <c r="BC124" t="s">
        <v>145</v>
      </c>
      <c r="BD124" t="s">
        <v>5047</v>
      </c>
      <c r="BE124" t="s">
        <v>5080</v>
      </c>
      <c r="BF124" t="s">
        <v>5048</v>
      </c>
      <c r="BG124">
        <v>5</v>
      </c>
      <c r="BK124" t="s">
        <v>5460</v>
      </c>
      <c r="BL124">
        <v>12</v>
      </c>
      <c r="BM124">
        <v>12</v>
      </c>
      <c r="BN124" t="s">
        <v>5458</v>
      </c>
      <c r="BO124" t="s">
        <v>5148</v>
      </c>
      <c r="BP124" t="s">
        <v>916</v>
      </c>
      <c r="BQ124">
        <v>2</v>
      </c>
      <c r="BR124">
        <v>15</v>
      </c>
      <c r="BS124" t="s">
        <v>5453</v>
      </c>
      <c r="BT124" t="s">
        <v>5459</v>
      </c>
      <c r="BU124">
        <v>90</v>
      </c>
      <c r="BW124">
        <v>3</v>
      </c>
      <c r="BY124" t="s">
        <v>4985</v>
      </c>
      <c r="BZ124" t="s">
        <v>4985</v>
      </c>
      <c r="CA124" t="s">
        <v>5455</v>
      </c>
      <c r="CD124" t="s">
        <v>7579</v>
      </c>
      <c r="CE124" t="s">
        <v>912</v>
      </c>
      <c r="CF124" t="s">
        <v>4554</v>
      </c>
      <c r="CG124" t="s">
        <v>903</v>
      </c>
      <c r="CH124">
        <v>0</v>
      </c>
      <c r="CI124">
        <v>4</v>
      </c>
      <c r="CJ124" t="s">
        <v>905</v>
      </c>
      <c r="CK124" t="s">
        <v>3629</v>
      </c>
      <c r="CN124" t="str">
        <f ca="1">IF(AND(ISERR(FIND($CK124,Talente!$CI$41)),ISNA(VLOOKUP($CK124,$AH$51:$AH$55,1))),IF(AND(ISERR(FIND($CL124,Talente!$CI$41)),ISNA(VLOOKUP($CL124,$AH$51:$AH$55,1))),$CM124,$CL124),$CK124)</f>
        <v>Zweihand-Hiebwaffen</v>
      </c>
      <c r="CP124" t="s">
        <v>1715</v>
      </c>
      <c r="CQ124" t="s">
        <v>1433</v>
      </c>
      <c r="CR124">
        <v>18</v>
      </c>
      <c r="CS124" t="s">
        <v>3779</v>
      </c>
      <c r="CU124" t="s">
        <v>2176</v>
      </c>
      <c r="CW124" t="s">
        <v>676</v>
      </c>
      <c r="CX124" t="s">
        <v>611</v>
      </c>
      <c r="CY124" t="s">
        <v>74</v>
      </c>
      <c r="CZ124" t="s">
        <v>74</v>
      </c>
      <c r="DA124" t="s">
        <v>77</v>
      </c>
      <c r="DB124" t="s">
        <v>2042</v>
      </c>
      <c r="DC124" t="s">
        <v>7289</v>
      </c>
      <c r="DD124" t="s">
        <v>3936</v>
      </c>
      <c r="DE124" t="s">
        <v>3142</v>
      </c>
      <c r="DF124" t="s">
        <v>3937</v>
      </c>
      <c r="DG124" t="s">
        <v>1955</v>
      </c>
      <c r="DH124" t="s">
        <v>6920</v>
      </c>
      <c r="DI124" t="s">
        <v>4343</v>
      </c>
      <c r="DJ124">
        <v>2</v>
      </c>
      <c r="DK124">
        <f t="shared" si="72"/>
        <v>445</v>
      </c>
      <c r="DL124">
        <f t="shared" si="77"/>
        <v>122</v>
      </c>
      <c r="DM124">
        <v>110</v>
      </c>
      <c r="DN124" t="str">
        <f t="shared" ca="1" si="59"/>
        <v/>
      </c>
      <c r="DO124" t="str">
        <f t="shared" ca="1" si="60"/>
        <v/>
      </c>
      <c r="DP124" t="str">
        <f t="shared" ca="1" si="61"/>
        <v/>
      </c>
      <c r="DQ124" t="str">
        <f>IF(EXACT(Zauber!$A$250,""),"",IF(EXACT(RIGHT(HLOOKUP(Zauber!$A$250,PROFMAGIE,$DK124,FALSE)),"H"),CONCATENATE($CX124,","),""))</f>
        <v/>
      </c>
      <c r="DR124" t="str">
        <f t="shared" si="62"/>
        <v/>
      </c>
      <c r="DS124" t="str">
        <f>IF(ZS_IAAK="Ja",IF(EXACT(RIGHT(HLOOKUP(Tabellen_Magie!$IK$1,PROFMAGIE,$DK124,FALSE)),"H"),CONCATENATE($CX124,","),""),"")</f>
        <v/>
      </c>
      <c r="DT124" t="str">
        <f>IF(ZS_IAAK="Ja",IF(NOT(DS124=""),"",IF(OR(EXACT(RIGHT(HLOOKUP(Tabellen_Magie!$IK$1,PROFMAGIE,$DK124,FALSE)),"B"),EXACT(HLOOKUP(Tabellen_Magie!$IK$1,PROFMAGIE,$DK124,FALSE),"")),"",CONCATENATE($CX124,","))),"")</f>
        <v/>
      </c>
      <c r="DU124" t="str">
        <f t="shared" si="63"/>
        <v/>
      </c>
      <c r="DW124" t="s">
        <v>4734</v>
      </c>
      <c r="DX124" t="s">
        <v>74</v>
      </c>
      <c r="DY124" t="s">
        <v>74</v>
      </c>
      <c r="DZ124" t="s">
        <v>77</v>
      </c>
      <c r="EA124" t="s">
        <v>8605</v>
      </c>
      <c r="EB124" t="s">
        <v>8600</v>
      </c>
      <c r="EC124" t="s">
        <v>1445</v>
      </c>
      <c r="ED124">
        <f>ROUND(EI124*IF(VT_EIDGED,0.5,IF(VT_GUTGED,0.75,1)),0)</f>
        <v>250</v>
      </c>
      <c r="EE124" t="s">
        <v>2918</v>
      </c>
      <c r="EH124">
        <f>ROUNDUP($ED124/50,0)</f>
        <v>5</v>
      </c>
      <c r="EI124">
        <v>250</v>
      </c>
      <c r="FD124" t="s">
        <v>320</v>
      </c>
      <c r="FE124" t="s">
        <v>4006</v>
      </c>
      <c r="FG124" t="s">
        <v>2863</v>
      </c>
      <c r="FK124" t="s">
        <v>4006</v>
      </c>
      <c r="FL124" t="s">
        <v>4912</v>
      </c>
      <c r="GH124" t="s">
        <v>9143</v>
      </c>
      <c r="GI124" t="s">
        <v>1119</v>
      </c>
      <c r="GJ124">
        <v>2</v>
      </c>
      <c r="GK124" t="s">
        <v>1396</v>
      </c>
      <c r="GL124" t="s">
        <v>567</v>
      </c>
      <c r="GM124" t="s">
        <v>1369</v>
      </c>
      <c r="GN124" t="s">
        <v>1974</v>
      </c>
      <c r="GO124">
        <v>265</v>
      </c>
      <c r="GP124">
        <v>294</v>
      </c>
      <c r="GR124">
        <f t="shared" si="66"/>
        <v>473</v>
      </c>
      <c r="GS124">
        <v>4</v>
      </c>
      <c r="GU124" t="str">
        <f t="shared" ca="1" si="67"/>
        <v/>
      </c>
      <c r="GV124" t="str">
        <f t="shared" ca="1" si="68"/>
        <v/>
      </c>
      <c r="GW124" t="str">
        <f t="shared" ca="1" si="69"/>
        <v/>
      </c>
      <c r="GX124" t="str">
        <f t="shared" ca="1" si="70"/>
        <v/>
      </c>
      <c r="HA124">
        <v>6</v>
      </c>
      <c r="HB124" t="s">
        <v>3124</v>
      </c>
      <c r="HE124" t="s">
        <v>1981</v>
      </c>
      <c r="HF124">
        <v>3</v>
      </c>
      <c r="HH124" t="s">
        <v>2969</v>
      </c>
      <c r="HK124" t="s">
        <v>3396</v>
      </c>
      <c r="HL124">
        <v>2</v>
      </c>
    </row>
    <row r="125" spans="1:220" x14ac:dyDescent="0.2">
      <c r="A125" t="s">
        <v>1025</v>
      </c>
      <c r="B125" t="s">
        <v>77</v>
      </c>
      <c r="C125" t="s">
        <v>750</v>
      </c>
      <c r="D125" t="s">
        <v>751</v>
      </c>
      <c r="E125" t="s">
        <v>1827</v>
      </c>
      <c r="F125" t="s">
        <v>1321</v>
      </c>
      <c r="L125" t="str">
        <f t="shared" si="91"/>
        <v/>
      </c>
      <c r="M125" t="str">
        <f t="shared" si="92"/>
        <v/>
      </c>
      <c r="N125" t="str">
        <f t="shared" si="94"/>
        <v>Hundeschlitten Fahren</v>
      </c>
      <c r="P125">
        <f t="shared" si="93"/>
        <v>155</v>
      </c>
      <c r="R125" t="s">
        <v>4878</v>
      </c>
      <c r="U125">
        <v>10</v>
      </c>
      <c r="W125" t="s">
        <v>2070</v>
      </c>
      <c r="Z125" t="s">
        <v>844</v>
      </c>
      <c r="AA125">
        <v>1</v>
      </c>
      <c r="AB125">
        <v>12</v>
      </c>
      <c r="AD125" t="s">
        <v>3995</v>
      </c>
      <c r="AH125" t="str">
        <f>"GE "&amp;Generierung!$R$4+5</f>
        <v>GE 19</v>
      </c>
      <c r="AI125">
        <v>65</v>
      </c>
      <c r="AS125" t="s">
        <v>3719</v>
      </c>
      <c r="AT125">
        <f t="shared" ref="AT125:AT130" ca="1" si="98">IF(AV125,2,5)</f>
        <v>5</v>
      </c>
      <c r="AU125">
        <v>3</v>
      </c>
      <c r="AV125" t="b">
        <f ca="1">IF(AND(
NOT(ISERR(FIND($R$82&amp;" "&amp;AS125,Abfragen!$U$81))),
NOT(ISERR(FIND($R$98&amp;" "&amp;AS125,Abfragen!$U$81)))),
TRUE,FALSE)</f>
        <v>0</v>
      </c>
      <c r="AX125" t="s">
        <v>3912</v>
      </c>
      <c r="AY125">
        <v>4</v>
      </c>
      <c r="AZ125">
        <v>1</v>
      </c>
      <c r="BA125" t="s">
        <v>3926</v>
      </c>
      <c r="BB125" t="s">
        <v>1811</v>
      </c>
      <c r="BC125" t="s">
        <v>1758</v>
      </c>
      <c r="BG125">
        <v>5</v>
      </c>
      <c r="BK125" t="s">
        <v>4103</v>
      </c>
      <c r="BL125">
        <v>15</v>
      </c>
      <c r="BM125">
        <v>7</v>
      </c>
      <c r="BN125" t="s">
        <v>5461</v>
      </c>
      <c r="BO125" t="s">
        <v>5444</v>
      </c>
      <c r="BP125" t="s">
        <v>4558</v>
      </c>
      <c r="BQ125">
        <v>1</v>
      </c>
      <c r="BR125">
        <v>9</v>
      </c>
      <c r="BS125">
        <v>2</v>
      </c>
      <c r="BT125" t="s">
        <v>5459</v>
      </c>
      <c r="BU125">
        <v>35</v>
      </c>
      <c r="BW125">
        <v>3</v>
      </c>
      <c r="BY125" t="s">
        <v>4985</v>
      </c>
      <c r="BZ125" t="s">
        <v>4985</v>
      </c>
      <c r="CA125" t="s">
        <v>5462</v>
      </c>
      <c r="CD125" t="s">
        <v>7169</v>
      </c>
      <c r="CE125" t="s">
        <v>912</v>
      </c>
      <c r="CF125" t="s">
        <v>272</v>
      </c>
      <c r="CG125" t="s">
        <v>903</v>
      </c>
      <c r="CH125">
        <v>0</v>
      </c>
      <c r="CI125">
        <v>4</v>
      </c>
      <c r="CJ125" t="s">
        <v>905</v>
      </c>
      <c r="CK125" t="s">
        <v>2190</v>
      </c>
      <c r="CN125" t="str">
        <f ca="1">IF(AND(ISERR(FIND($CK125,Talente!$CI$41)),ISNA(VLOOKUP($CK125,$AH$51:$AH$55,1))),IF(AND(ISERR(FIND($CL125,Talente!$CI$41)),ISNA(VLOOKUP($CL125,$AH$51:$AH$55,1))),$CM125,$CL125),$CK125)</f>
        <v>Hiebwaffen</v>
      </c>
      <c r="CP125" t="s">
        <v>3856</v>
      </c>
      <c r="CQ125" t="s">
        <v>3086</v>
      </c>
      <c r="CR125" t="s">
        <v>3087</v>
      </c>
      <c r="CU125" t="s">
        <v>2177</v>
      </c>
      <c r="CW125" t="s">
        <v>3887</v>
      </c>
      <c r="CX125" t="s">
        <v>1475</v>
      </c>
      <c r="CY125" t="s">
        <v>74</v>
      </c>
      <c r="CZ125" t="s">
        <v>77</v>
      </c>
      <c r="DA125" t="s">
        <v>752</v>
      </c>
      <c r="DB125" t="s">
        <v>2042</v>
      </c>
      <c r="DC125" t="s">
        <v>7305</v>
      </c>
      <c r="DD125" t="s">
        <v>7354</v>
      </c>
      <c r="DE125" t="s">
        <v>1321</v>
      </c>
      <c r="DF125" t="s">
        <v>1358</v>
      </c>
      <c r="DG125" t="s">
        <v>1955</v>
      </c>
      <c r="DH125" t="s">
        <v>6921</v>
      </c>
      <c r="DI125" t="s">
        <v>8456</v>
      </c>
      <c r="DJ125">
        <v>2</v>
      </c>
      <c r="DK125">
        <f t="shared" si="72"/>
        <v>446</v>
      </c>
      <c r="DL125">
        <f t="shared" si="77"/>
        <v>123</v>
      </c>
      <c r="DM125">
        <v>111</v>
      </c>
      <c r="DN125" t="str">
        <f t="shared" ca="1" si="59"/>
        <v/>
      </c>
      <c r="DO125" t="str">
        <f t="shared" ca="1" si="60"/>
        <v/>
      </c>
      <c r="DP125" t="str">
        <f t="shared" ca="1" si="61"/>
        <v/>
      </c>
      <c r="DQ125" t="str">
        <f>IF(EXACT(Zauber!$A$250,""),"",IF(EXACT(RIGHT(HLOOKUP(Zauber!$A$250,PROFMAGIE,$DK125,FALSE)),"H"),CONCATENATE($CX125,","),""))</f>
        <v/>
      </c>
      <c r="DR125" t="str">
        <f t="shared" si="62"/>
        <v/>
      </c>
      <c r="DS125" t="str">
        <f>IF(ZS_IAAK="Ja",IF(EXACT(RIGHT(HLOOKUP(Tabellen_Magie!$IK$1,PROFMAGIE,$DK125,FALSE)),"H"),CONCATENATE($CX125,","),""),"")</f>
        <v/>
      </c>
      <c r="DT125" t="str">
        <f>IF(ZS_IAAK="Ja",IF(NOT(DS125=""),"",IF(OR(EXACT(RIGHT(HLOOKUP(Tabellen_Magie!$IK$1,PROFMAGIE,$DK125,FALSE)),"B"),EXACT(HLOOKUP(Tabellen_Magie!$IK$1,PROFMAGIE,$DK125,FALSE),"")),"",CONCATENATE($CX125,","))),"")</f>
        <v/>
      </c>
      <c r="DU125" t="str">
        <f t="shared" si="63"/>
        <v/>
      </c>
      <c r="DW125" t="s">
        <v>3574</v>
      </c>
      <c r="GH125" t="s">
        <v>2855</v>
      </c>
      <c r="GI125" t="s">
        <v>1119</v>
      </c>
      <c r="GJ125">
        <v>2</v>
      </c>
      <c r="GK125" t="s">
        <v>4116</v>
      </c>
      <c r="GL125" t="s">
        <v>567</v>
      </c>
      <c r="GM125" t="s">
        <v>1982</v>
      </c>
      <c r="GN125" t="s">
        <v>1974</v>
      </c>
      <c r="GO125">
        <v>275</v>
      </c>
      <c r="GP125">
        <v>297</v>
      </c>
      <c r="GR125">
        <f t="shared" si="66"/>
        <v>474</v>
      </c>
      <c r="GU125" t="str">
        <f t="shared" ca="1" si="67"/>
        <v/>
      </c>
      <c r="GV125" t="str">
        <f t="shared" ca="1" si="68"/>
        <v/>
      </c>
      <c r="GW125" t="str">
        <f t="shared" ca="1" si="69"/>
        <v/>
      </c>
      <c r="GX125" t="str">
        <f t="shared" ca="1" si="70"/>
        <v/>
      </c>
      <c r="HA125">
        <v>7</v>
      </c>
      <c r="HB125" t="s">
        <v>1242</v>
      </c>
      <c r="HE125" t="s">
        <v>1982</v>
      </c>
      <c r="HF125">
        <v>4</v>
      </c>
      <c r="HH125" t="s">
        <v>3069</v>
      </c>
      <c r="HK125" t="s">
        <v>1979</v>
      </c>
      <c r="HL125">
        <v>1</v>
      </c>
    </row>
    <row r="126" spans="1:220" x14ac:dyDescent="0.2">
      <c r="A126" t="s">
        <v>2585</v>
      </c>
      <c r="B126" t="s">
        <v>75</v>
      </c>
      <c r="C126" t="s">
        <v>76</v>
      </c>
      <c r="D126" t="s">
        <v>750</v>
      </c>
      <c r="E126" t="s">
        <v>1320</v>
      </c>
      <c r="F126" t="s">
        <v>1321</v>
      </c>
      <c r="L126" t="str">
        <f t="shared" si="91"/>
        <v/>
      </c>
      <c r="M126" t="str">
        <f t="shared" si="92"/>
        <v/>
      </c>
      <c r="N126" t="str">
        <f t="shared" si="94"/>
        <v>Instrumentenbauer</v>
      </c>
      <c r="P126">
        <f t="shared" si="93"/>
        <v>156</v>
      </c>
      <c r="R126" t="s">
        <v>2959</v>
      </c>
      <c r="U126">
        <v>3</v>
      </c>
      <c r="Z126" t="s">
        <v>760</v>
      </c>
      <c r="AH126" t="str">
        <f>"IN "&amp;Generierung!$R$4+1</f>
        <v>IN 15</v>
      </c>
      <c r="AI126">
        <v>9</v>
      </c>
      <c r="AS126" t="s">
        <v>3720</v>
      </c>
      <c r="AT126">
        <f t="shared" ca="1" si="98"/>
        <v>5</v>
      </c>
      <c r="AU126">
        <v>3</v>
      </c>
      <c r="AV126" t="b">
        <f ca="1">IF(AND(
NOT(ISERR(FIND($R$82&amp;" "&amp;AS126,Abfragen!$U$81))),
NOT(ISERR(FIND($R$98&amp;" "&amp;AS126,Abfragen!$U$81)))),
TRUE,FALSE)</f>
        <v>0</v>
      </c>
      <c r="AX126" t="s">
        <v>162</v>
      </c>
      <c r="AY126">
        <v>4</v>
      </c>
      <c r="AZ126">
        <v>1</v>
      </c>
      <c r="BA126" t="s">
        <v>188</v>
      </c>
      <c r="BB126" t="s">
        <v>189</v>
      </c>
      <c r="BC126" t="s">
        <v>190</v>
      </c>
      <c r="BD126" t="s">
        <v>191</v>
      </c>
      <c r="BE126" t="s">
        <v>192</v>
      </c>
      <c r="BG126">
        <v>5</v>
      </c>
      <c r="BK126" t="s">
        <v>4104</v>
      </c>
      <c r="BL126">
        <v>15</v>
      </c>
      <c r="BM126">
        <v>7</v>
      </c>
      <c r="BN126" t="s">
        <v>5461</v>
      </c>
      <c r="BO126" t="s">
        <v>5444</v>
      </c>
      <c r="BP126" t="s">
        <v>4558</v>
      </c>
      <c r="BQ126">
        <v>1</v>
      </c>
      <c r="BR126">
        <v>9</v>
      </c>
      <c r="BS126">
        <v>2</v>
      </c>
      <c r="BT126" t="s">
        <v>5459</v>
      </c>
      <c r="BU126">
        <v>35</v>
      </c>
      <c r="BW126">
        <v>3</v>
      </c>
      <c r="BY126" t="s">
        <v>4985</v>
      </c>
      <c r="BZ126" t="s">
        <v>4985</v>
      </c>
      <c r="CA126" t="s">
        <v>5462</v>
      </c>
      <c r="CD126" t="s">
        <v>1441</v>
      </c>
      <c r="CE126" t="s">
        <v>433</v>
      </c>
      <c r="CF126" t="s">
        <v>910</v>
      </c>
      <c r="CG126" t="s">
        <v>3233</v>
      </c>
      <c r="CH126">
        <v>-3</v>
      </c>
      <c r="CI126">
        <v>5</v>
      </c>
      <c r="CJ126" t="s">
        <v>899</v>
      </c>
      <c r="CK126" t="s">
        <v>3629</v>
      </c>
      <c r="CL126" t="s">
        <v>1825</v>
      </c>
      <c r="CN126" t="str">
        <f ca="1">IF(ISBLANK($CK126),"",IF(AND(ISERR(FIND($CK126,Talente!$CI$41)),ISNA(VLOOKUP($CK126,$AH$51:$AH$55,1))),IF(AND(ISERR(FIND($CL126,Talente!$CI$41)),ISNA(VLOOKUP($CL126,$AH$51:$AH$55,1))),$CM126,$CL126),$CK126))</f>
        <v>Zweihand-Hiebwaffen</v>
      </c>
      <c r="CP126" t="s">
        <v>1643</v>
      </c>
      <c r="CQ126" t="s">
        <v>1433</v>
      </c>
      <c r="CR126">
        <v>18</v>
      </c>
      <c r="CU126" t="s">
        <v>7553</v>
      </c>
      <c r="CW126" t="s">
        <v>1184</v>
      </c>
      <c r="CX126" t="s">
        <v>612</v>
      </c>
      <c r="CY126" t="s">
        <v>76</v>
      </c>
      <c r="CZ126" t="s">
        <v>76</v>
      </c>
      <c r="DA126" t="s">
        <v>77</v>
      </c>
      <c r="DC126" t="s">
        <v>7294</v>
      </c>
      <c r="DD126" t="s">
        <v>7355</v>
      </c>
      <c r="DE126" t="s">
        <v>3142</v>
      </c>
      <c r="DF126" t="s">
        <v>7294</v>
      </c>
      <c r="DG126" t="s">
        <v>1321</v>
      </c>
      <c r="DH126" t="s">
        <v>6922</v>
      </c>
      <c r="DI126" t="s">
        <v>4351</v>
      </c>
      <c r="DJ126">
        <v>2</v>
      </c>
      <c r="DK126">
        <f t="shared" si="72"/>
        <v>447</v>
      </c>
      <c r="DL126">
        <f t="shared" si="77"/>
        <v>124</v>
      </c>
      <c r="DM126">
        <v>112</v>
      </c>
      <c r="DN126" t="str">
        <f t="shared" ca="1" si="59"/>
        <v/>
      </c>
      <c r="DO126" t="str">
        <f t="shared" ca="1" si="60"/>
        <v/>
      </c>
      <c r="DP126" t="str">
        <f t="shared" ca="1" si="61"/>
        <v/>
      </c>
      <c r="DQ126" t="str">
        <f>IF(EXACT(Zauber!$A$250,""),"",IF(EXACT(RIGHT(HLOOKUP(Zauber!$A$250,PROFMAGIE,$DK126,FALSE)),"H"),CONCATENATE($CX126,","),""))</f>
        <v/>
      </c>
      <c r="DR126" t="str">
        <f t="shared" si="62"/>
        <v/>
      </c>
      <c r="DS126" t="str">
        <f>IF(ZS_IAAK="Ja",IF(EXACT(RIGHT(HLOOKUP(Tabellen_Magie!$IK$1,PROFMAGIE,$DK126,FALSE)),"H"),CONCATENATE($CX126,","),""),"")</f>
        <v/>
      </c>
      <c r="DT126" t="str">
        <f>IF(ZS_IAAK="Ja",IF(NOT(DS126=""),"",IF(OR(EXACT(RIGHT(HLOOKUP(Tabellen_Magie!$IK$1,PROFMAGIE,$DK126,FALSE)),"B"),EXACT(HLOOKUP(Tabellen_Magie!$IK$1,PROFMAGIE,$DK126,FALSE),"")),"",CONCATENATE($CX126,","))),"")</f>
        <v/>
      </c>
      <c r="DU126" t="str">
        <f t="shared" si="63"/>
        <v/>
      </c>
      <c r="DW126" t="s">
        <v>8644</v>
      </c>
      <c r="DX126" t="s">
        <v>77</v>
      </c>
      <c r="DY126" t="s">
        <v>77</v>
      </c>
      <c r="DZ126" t="s">
        <v>751</v>
      </c>
      <c r="EA126" t="s">
        <v>8645</v>
      </c>
      <c r="EB126" t="s">
        <v>54</v>
      </c>
      <c r="EC126" t="s">
        <v>8646</v>
      </c>
      <c r="ED126">
        <f t="shared" ref="ED126:ED157" si="99">ROUND(EI126*IF(VT_EIDGED,0.5,IF(VT_GUTGED,0.75,1)),0)</f>
        <v>100</v>
      </c>
      <c r="EE126" t="s">
        <v>2681</v>
      </c>
      <c r="EH126">
        <f t="shared" ref="EH126:EH157" si="100">ROUNDUP($ED126/50,0)</f>
        <v>2</v>
      </c>
      <c r="EI126">
        <v>100</v>
      </c>
      <c r="FD126" t="s">
        <v>2199</v>
      </c>
      <c r="FE126">
        <f>ROUND(FK126*IF(VT_AKADMAG,3/4,1)*IF(NT_ELFWELT,IF(FN126,1,1.5),1),0)</f>
        <v>100</v>
      </c>
      <c r="FF126">
        <f t="shared" ref="FF126:FF157" si="101">ROUND(FE126/50,0)</f>
        <v>2</v>
      </c>
      <c r="FK126">
        <f>IF(VT_HALBZBR,200,100)</f>
        <v>100</v>
      </c>
      <c r="FL126">
        <v>6</v>
      </c>
      <c r="FM126" t="b">
        <f t="shared" ref="FM126:FM158" ca="1" si="102">IF(OR(IF(NOT(ISNA(VLOOKUP(FD126,SF_Verbilligt_Left,3,FALSE))),VLOOKUP(FD126,SF_Verbilligt_Left,3,FALSE)="x",FALSE),IF(NOT(ISNA(VLOOKUP(FD126,SF_Verbilligt_Right,8,FALSE))),VLOOKUP(FD126,SF_Verbilligt_Right,8,FALSE)="x",FALSE)),TRUE,FALSE)</f>
        <v>0</v>
      </c>
      <c r="FN126" t="b">
        <f t="shared" ref="FN126:FN158" ca="1" si="103">OR(FM126,NOT(ISERROR(FIND(FD126,$FN$3,1))))</f>
        <v>0</v>
      </c>
      <c r="GH126" t="s">
        <v>2856</v>
      </c>
      <c r="GI126" t="s">
        <v>1119</v>
      </c>
      <c r="GJ126">
        <v>2</v>
      </c>
      <c r="GK126" t="s">
        <v>4116</v>
      </c>
      <c r="GL126" t="s">
        <v>1976</v>
      </c>
      <c r="GM126" t="s">
        <v>1983</v>
      </c>
      <c r="GN126" t="s">
        <v>1974</v>
      </c>
      <c r="GO126">
        <v>275</v>
      </c>
      <c r="GP126">
        <v>298</v>
      </c>
      <c r="GR126">
        <f t="shared" si="66"/>
        <v>475</v>
      </c>
      <c r="GU126" t="str">
        <f t="shared" ca="1" si="67"/>
        <v/>
      </c>
      <c r="GV126" t="str">
        <f t="shared" ca="1" si="68"/>
        <v/>
      </c>
      <c r="GW126" t="str">
        <f t="shared" ca="1" si="69"/>
        <v/>
      </c>
      <c r="GX126" t="str">
        <f t="shared" ca="1" si="70"/>
        <v/>
      </c>
      <c r="HA126">
        <v>8</v>
      </c>
      <c r="HB126" t="s">
        <v>1243</v>
      </c>
      <c r="HE126" t="s">
        <v>1983</v>
      </c>
      <c r="HF126">
        <v>5</v>
      </c>
      <c r="HH126" t="s">
        <v>4836</v>
      </c>
    </row>
    <row r="127" spans="1:220" x14ac:dyDescent="0.2">
      <c r="A127" t="s">
        <v>852</v>
      </c>
      <c r="B127" t="s">
        <v>75</v>
      </c>
      <c r="C127" t="s">
        <v>76</v>
      </c>
      <c r="D127" t="s">
        <v>77</v>
      </c>
      <c r="E127" t="s">
        <v>1320</v>
      </c>
      <c r="F127" t="s">
        <v>1321</v>
      </c>
      <c r="L127" t="str">
        <f t="shared" si="91"/>
        <v/>
      </c>
      <c r="M127" t="str">
        <f t="shared" si="92"/>
        <v/>
      </c>
      <c r="N127" t="str">
        <f t="shared" si="94"/>
        <v>Kapellmeister</v>
      </c>
      <c r="P127">
        <f t="shared" si="93"/>
        <v>157</v>
      </c>
      <c r="R127" t="s">
        <v>3641</v>
      </c>
      <c r="S127">
        <v>3</v>
      </c>
      <c r="T127">
        <v>5</v>
      </c>
      <c r="Z127" t="s">
        <v>1298</v>
      </c>
      <c r="AA127">
        <v>1</v>
      </c>
      <c r="AB127">
        <v>5</v>
      </c>
      <c r="AE127" t="s">
        <v>1571</v>
      </c>
      <c r="AH127" t="str">
        <f>"IN "&amp;Generierung!$R$4+2</f>
        <v>IN 16</v>
      </c>
      <c r="AI127">
        <v>20</v>
      </c>
      <c r="AS127" t="s">
        <v>3721</v>
      </c>
      <c r="AT127">
        <f t="shared" ca="1" si="98"/>
        <v>5</v>
      </c>
      <c r="AU127">
        <v>3</v>
      </c>
      <c r="AV127" t="b">
        <f ca="1">IF(AND(
NOT(ISERR(FIND($R$82&amp;" "&amp;AS127,Abfragen!$U$81))),
NOT(ISERR(FIND($R$98&amp;" "&amp;AS127,Abfragen!$U$81)))),
TRUE,FALSE)</f>
        <v>0</v>
      </c>
      <c r="AX127" t="s">
        <v>4185</v>
      </c>
      <c r="AY127">
        <v>4</v>
      </c>
      <c r="AZ127">
        <v>1</v>
      </c>
      <c r="BA127" t="s">
        <v>193</v>
      </c>
      <c r="BB127" t="s">
        <v>194</v>
      </c>
      <c r="BC127" t="s">
        <v>195</v>
      </c>
      <c r="BD127" t="s">
        <v>7656</v>
      </c>
      <c r="BG127">
        <v>5</v>
      </c>
      <c r="BK127" t="s">
        <v>5463</v>
      </c>
      <c r="BL127">
        <v>12</v>
      </c>
      <c r="BM127">
        <v>7</v>
      </c>
      <c r="BN127" t="s">
        <v>5461</v>
      </c>
      <c r="BO127" t="s">
        <v>5444</v>
      </c>
      <c r="BP127" t="s">
        <v>4558</v>
      </c>
      <c r="BQ127">
        <v>1</v>
      </c>
      <c r="BR127">
        <v>9</v>
      </c>
      <c r="BS127">
        <v>2</v>
      </c>
      <c r="BT127" t="s">
        <v>5459</v>
      </c>
      <c r="BU127">
        <v>35</v>
      </c>
      <c r="BW127">
        <v>3</v>
      </c>
      <c r="BY127" t="s">
        <v>4985</v>
      </c>
      <c r="BZ127" t="s">
        <v>4985</v>
      </c>
      <c r="CA127" t="s">
        <v>5462</v>
      </c>
      <c r="CD127" t="s">
        <v>7170</v>
      </c>
      <c r="CE127" t="s">
        <v>433</v>
      </c>
      <c r="CF127" t="s">
        <v>275</v>
      </c>
      <c r="CG127" t="s">
        <v>3233</v>
      </c>
      <c r="CH127">
        <v>-3</v>
      </c>
      <c r="CI127">
        <v>5</v>
      </c>
      <c r="CJ127" t="s">
        <v>899</v>
      </c>
      <c r="CK127" t="s">
        <v>2190</v>
      </c>
      <c r="CL127" t="s">
        <v>1938</v>
      </c>
      <c r="CN127" t="str">
        <f ca="1">IF(AND(ISERR(FIND($CK127,Talente!$CI$41)),ISNA(VLOOKUP($CK127,$AH$51:$AH$55,1))),IF(AND(ISERR(FIND($CL127,Talente!$CI$41)),ISNA(VLOOKUP($CL127,$AH$51:$AH$55,1))),$CM127,$CL127),$CK127)</f>
        <v>Hiebwaffen</v>
      </c>
      <c r="CP127" t="s">
        <v>3877</v>
      </c>
      <c r="CQ127" t="s">
        <v>1433</v>
      </c>
      <c r="CR127" t="s">
        <v>3865</v>
      </c>
      <c r="CU127" t="s">
        <v>7552</v>
      </c>
      <c r="CW127" t="s">
        <v>5016</v>
      </c>
      <c r="CX127" t="s">
        <v>613</v>
      </c>
      <c r="CY127" t="s">
        <v>74</v>
      </c>
      <c r="CZ127" t="s">
        <v>76</v>
      </c>
      <c r="DA127" t="s">
        <v>77</v>
      </c>
      <c r="DC127" t="s">
        <v>7299</v>
      </c>
      <c r="DD127" t="s">
        <v>1134</v>
      </c>
      <c r="DE127" t="s">
        <v>3142</v>
      </c>
      <c r="DF127" t="s">
        <v>81</v>
      </c>
      <c r="DG127" t="s">
        <v>1956</v>
      </c>
      <c r="DH127" t="s">
        <v>6923</v>
      </c>
      <c r="DI127" t="s">
        <v>4348</v>
      </c>
      <c r="DJ127">
        <v>2</v>
      </c>
      <c r="DK127">
        <f t="shared" si="72"/>
        <v>448</v>
      </c>
      <c r="DL127">
        <f t="shared" si="77"/>
        <v>125</v>
      </c>
      <c r="DM127">
        <v>113</v>
      </c>
      <c r="DN127" t="str">
        <f t="shared" ca="1" si="59"/>
        <v/>
      </c>
      <c r="DO127" t="str">
        <f t="shared" ca="1" si="60"/>
        <v/>
      </c>
      <c r="DP127" t="str">
        <f t="shared" ca="1" si="61"/>
        <v/>
      </c>
      <c r="DQ127" t="str">
        <f>IF(EXACT(Zauber!$A$250,""),"",IF(EXACT(RIGHT(HLOOKUP(Zauber!$A$250,PROFMAGIE,$DK127,FALSE)),"H"),CONCATENATE($CX127,","),""))</f>
        <v/>
      </c>
      <c r="DR127" t="str">
        <f t="shared" si="62"/>
        <v/>
      </c>
      <c r="DS127" t="str">
        <f>IF(ZS_IAAK="Ja",IF(EXACT(RIGHT(HLOOKUP(Tabellen_Magie!$IK$1,PROFMAGIE,$DK127,FALSE)),"H"),CONCATENATE($CX127,","),""),"")</f>
        <v/>
      </c>
      <c r="DT127" t="str">
        <f>IF(ZS_IAAK="Ja",IF(NOT(DS127=""),"",IF(OR(EXACT(RIGHT(HLOOKUP(Tabellen_Magie!$IK$1,PROFMAGIE,$DK127,FALSE)),"B"),EXACT(HLOOKUP(Tabellen_Magie!$IK$1,PROFMAGIE,$DK127,FALSE),"")),"",CONCATENATE($CX127,","))),"")</f>
        <v/>
      </c>
      <c r="DU127" t="str">
        <f t="shared" si="63"/>
        <v/>
      </c>
      <c r="DW127" t="s">
        <v>3631</v>
      </c>
      <c r="DX127" t="s">
        <v>77</v>
      </c>
      <c r="DY127" t="s">
        <v>751</v>
      </c>
      <c r="DZ127" t="s">
        <v>5030</v>
      </c>
      <c r="EA127" t="s">
        <v>2431</v>
      </c>
      <c r="EB127" t="s">
        <v>1197</v>
      </c>
      <c r="EC127" t="s">
        <v>2432</v>
      </c>
      <c r="ED127">
        <f t="shared" si="99"/>
        <v>100</v>
      </c>
      <c r="EE127" t="s">
        <v>2683</v>
      </c>
      <c r="EH127">
        <f t="shared" si="100"/>
        <v>2</v>
      </c>
      <c r="EI127">
        <v>100</v>
      </c>
      <c r="FD127" t="s">
        <v>589</v>
      </c>
      <c r="FE127">
        <f>ROUND(IF(VT_AKADMAG,FK127*3/4,FK127)*IF(NT_ELFWELT,IF(FN127,1,1.5),1)*IF(NT_SCHWACHAUS,0.5,1),0)</f>
        <v>200</v>
      </c>
      <c r="FF127">
        <f t="shared" si="101"/>
        <v>4</v>
      </c>
      <c r="FK127">
        <v>200</v>
      </c>
      <c r="FL127">
        <f>IF(PROFGRDGENE="Hexen",4,3)</f>
        <v>3</v>
      </c>
      <c r="FM127" t="b">
        <f t="shared" ca="1" si="102"/>
        <v>0</v>
      </c>
      <c r="FN127" t="b">
        <f t="shared" ca="1" si="103"/>
        <v>0</v>
      </c>
      <c r="GH127" t="s">
        <v>4053</v>
      </c>
      <c r="GI127" t="s">
        <v>1119</v>
      </c>
      <c r="GJ127">
        <v>2</v>
      </c>
      <c r="GK127" t="s">
        <v>1320</v>
      </c>
      <c r="GL127" t="s">
        <v>1976</v>
      </c>
      <c r="GM127" t="s">
        <v>1981</v>
      </c>
      <c r="GN127" t="s">
        <v>1690</v>
      </c>
      <c r="GO127">
        <v>276</v>
      </c>
      <c r="GP127">
        <v>299</v>
      </c>
      <c r="GR127">
        <f t="shared" si="66"/>
        <v>476</v>
      </c>
      <c r="GU127" t="str">
        <f t="shared" ca="1" si="67"/>
        <v/>
      </c>
      <c r="GV127" t="str">
        <f t="shared" ca="1" si="68"/>
        <v/>
      </c>
      <c r="GW127" t="str">
        <f t="shared" ca="1" si="69"/>
        <v/>
      </c>
      <c r="GX127" t="str">
        <f t="shared" ca="1" si="70"/>
        <v/>
      </c>
      <c r="HA127">
        <v>9</v>
      </c>
      <c r="HB127" t="s">
        <v>1372</v>
      </c>
      <c r="HE127" t="s">
        <v>1984</v>
      </c>
      <c r="HF127">
        <v>6</v>
      </c>
      <c r="HH127" t="s">
        <v>2464</v>
      </c>
    </row>
    <row r="128" spans="1:220" x14ac:dyDescent="0.2">
      <c r="A128" t="s">
        <v>853</v>
      </c>
      <c r="B128" t="s">
        <v>75</v>
      </c>
      <c r="C128" t="s">
        <v>75</v>
      </c>
      <c r="D128" t="s">
        <v>750</v>
      </c>
      <c r="E128" t="s">
        <v>1827</v>
      </c>
      <c r="F128" t="s">
        <v>1321</v>
      </c>
      <c r="L128" t="str">
        <f t="shared" si="91"/>
        <v/>
      </c>
      <c r="M128" t="str">
        <f t="shared" si="92"/>
        <v/>
      </c>
      <c r="N128" t="str">
        <f t="shared" si="94"/>
        <v>Kartographie</v>
      </c>
      <c r="P128">
        <f t="shared" si="93"/>
        <v>158</v>
      </c>
      <c r="R128" t="s">
        <v>4898</v>
      </c>
      <c r="U128">
        <v>10</v>
      </c>
      <c r="Z128" t="s">
        <v>5060</v>
      </c>
      <c r="AC128">
        <v>7</v>
      </c>
      <c r="AE128" t="s">
        <v>1571</v>
      </c>
      <c r="AH128" t="str">
        <f>"IN "&amp;Generierung!$R$4+3</f>
        <v>IN 17</v>
      </c>
      <c r="AI128">
        <v>33</v>
      </c>
      <c r="AS128" t="s">
        <v>3722</v>
      </c>
      <c r="AT128">
        <f t="shared" ca="1" si="98"/>
        <v>5</v>
      </c>
      <c r="AU128">
        <v>3</v>
      </c>
      <c r="AV128" t="b">
        <f ca="1">IF(AND(
NOT(ISERR(FIND($R$82&amp;" "&amp;AS128,Abfragen!$U$81))),
NOT(ISERR(FIND($R$98&amp;" "&amp;AS128,Abfragen!$U$81)))),
TRUE,FALSE)</f>
        <v>0</v>
      </c>
      <c r="AX128" t="s">
        <v>3913</v>
      </c>
      <c r="AY128">
        <v>4</v>
      </c>
      <c r="AZ128">
        <v>1</v>
      </c>
      <c r="BA128" t="s">
        <v>1759</v>
      </c>
      <c r="BB128" t="s">
        <v>1760</v>
      </c>
      <c r="BC128" t="s">
        <v>1761</v>
      </c>
      <c r="BD128" t="s">
        <v>1762</v>
      </c>
      <c r="BE128" t="s">
        <v>4590</v>
      </c>
      <c r="BG128">
        <v>5</v>
      </c>
      <c r="BK128" t="s">
        <v>5464</v>
      </c>
      <c r="BL128">
        <v>10</v>
      </c>
      <c r="BM128">
        <v>7</v>
      </c>
      <c r="BN128" t="s">
        <v>5465</v>
      </c>
      <c r="BO128" t="s">
        <v>5466</v>
      </c>
      <c r="BP128" t="s">
        <v>4558</v>
      </c>
      <c r="BQ128">
        <v>1</v>
      </c>
      <c r="BR128">
        <v>9</v>
      </c>
      <c r="BS128" t="s">
        <v>5433</v>
      </c>
      <c r="BT128" t="s">
        <v>5467</v>
      </c>
      <c r="BU128">
        <v>45</v>
      </c>
      <c r="BW128">
        <v>3</v>
      </c>
      <c r="BY128" t="s">
        <v>4985</v>
      </c>
      <c r="BZ128" t="s">
        <v>4985</v>
      </c>
      <c r="CA128" t="s">
        <v>5468</v>
      </c>
      <c r="CD128" t="s">
        <v>1442</v>
      </c>
      <c r="CE128" t="s">
        <v>4549</v>
      </c>
      <c r="CF128" t="s">
        <v>917</v>
      </c>
      <c r="CG128" t="s">
        <v>898</v>
      </c>
      <c r="CH128">
        <v>0</v>
      </c>
      <c r="CI128">
        <v>2</v>
      </c>
      <c r="CJ128" t="s">
        <v>899</v>
      </c>
      <c r="CK128" t="s">
        <v>3043</v>
      </c>
      <c r="CL128" t="s">
        <v>2192</v>
      </c>
      <c r="CM128" t="s">
        <v>1938</v>
      </c>
      <c r="CN128" t="str">
        <f ca="1">IF(AND(ISERR(FIND($CK128,Talente!$CI$41)),ISNA(VLOOKUP($CK128,$AH$51:$AH$55,1))),IF(AND(ISERR(FIND($CL128,Talente!$CI$41)),ISNA(VLOOKUP($CL128,$AH$51:$AH$55,1))),$CM128,$CL128),$CK128)</f>
        <v>Fechtwaffen</v>
      </c>
      <c r="CP128" t="s">
        <v>3476</v>
      </c>
      <c r="CQ128" t="s">
        <v>1433</v>
      </c>
      <c r="CR128">
        <v>21</v>
      </c>
      <c r="CU128" t="s">
        <v>1207</v>
      </c>
      <c r="CW128" t="s">
        <v>4430</v>
      </c>
      <c r="CX128" t="s">
        <v>830</v>
      </c>
      <c r="CY128" t="s">
        <v>75</v>
      </c>
      <c r="CZ128" t="s">
        <v>750</v>
      </c>
      <c r="DA128" t="s">
        <v>752</v>
      </c>
      <c r="DC128" t="s">
        <v>544</v>
      </c>
      <c r="DD128" t="s">
        <v>851</v>
      </c>
      <c r="DE128" t="s">
        <v>3380</v>
      </c>
      <c r="DF128" t="s">
        <v>1358</v>
      </c>
      <c r="DG128" t="s">
        <v>1321</v>
      </c>
      <c r="DH128" t="s">
        <v>6924</v>
      </c>
      <c r="DI128" t="s">
        <v>2942</v>
      </c>
      <c r="DJ128">
        <v>2</v>
      </c>
      <c r="DK128">
        <f t="shared" si="72"/>
        <v>449</v>
      </c>
      <c r="DL128">
        <f t="shared" si="77"/>
        <v>126</v>
      </c>
      <c r="DM128">
        <v>114</v>
      </c>
      <c r="DN128" t="str">
        <f t="shared" ca="1" si="59"/>
        <v/>
      </c>
      <c r="DO128" t="str">
        <f t="shared" ca="1" si="60"/>
        <v/>
      </c>
      <c r="DP128" t="str">
        <f t="shared" ca="1" si="61"/>
        <v/>
      </c>
      <c r="DQ128" t="str">
        <f>IF(EXACT(Zauber!$A$250,""),"",IF(EXACT(RIGHT(HLOOKUP(Zauber!$A$250,PROFMAGIE,$DK128,FALSE)),"H"),CONCATENATE($CX128,","),""))</f>
        <v/>
      </c>
      <c r="DR128" t="str">
        <f t="shared" si="62"/>
        <v/>
      </c>
      <c r="DS128" t="str">
        <f>IF(ZS_IAAK="Ja",IF(EXACT(RIGHT(HLOOKUP(Tabellen_Magie!$IK$1,PROFMAGIE,$DK128,FALSE)),"H"),CONCATENATE($CX128,","),""),"")</f>
        <v/>
      </c>
      <c r="DT128" t="str">
        <f>IF(ZS_IAAK="Ja",IF(NOT(DS128=""),"",IF(OR(EXACT(RIGHT(HLOOKUP(Tabellen_Magie!$IK$1,PROFMAGIE,$DK128,FALSE)),"B"),EXACT(HLOOKUP(Tabellen_Magie!$IK$1,PROFMAGIE,$DK128,FALSE),"")),"",CONCATENATE($CX128,","))),"")</f>
        <v/>
      </c>
      <c r="DU128" t="str">
        <f t="shared" si="63"/>
        <v/>
      </c>
      <c r="DW128" t="s">
        <v>8647</v>
      </c>
      <c r="DX128" t="s">
        <v>76</v>
      </c>
      <c r="DY128" t="s">
        <v>76</v>
      </c>
      <c r="DZ128" t="s">
        <v>77</v>
      </c>
      <c r="EA128" t="s">
        <v>8648</v>
      </c>
      <c r="EB128" t="s">
        <v>52</v>
      </c>
      <c r="EC128" t="s">
        <v>8649</v>
      </c>
      <c r="ED128">
        <f t="shared" si="99"/>
        <v>100</v>
      </c>
      <c r="EE128" t="s">
        <v>2682</v>
      </c>
      <c r="EH128">
        <f t="shared" si="100"/>
        <v>2</v>
      </c>
      <c r="EI128">
        <v>100</v>
      </c>
      <c r="FD128" t="s">
        <v>590</v>
      </c>
      <c r="FE128">
        <f>ROUND(FK128*IF(VT_AKADMAG,3/4,1)*IF(NT_ELFWELT,IF(FN128,1,1.5),1),0)</f>
        <v>500</v>
      </c>
      <c r="FF128">
        <f t="shared" si="101"/>
        <v>10</v>
      </c>
      <c r="FK128">
        <v>500</v>
      </c>
      <c r="FL128">
        <v>2</v>
      </c>
      <c r="FM128" t="b">
        <f t="shared" ca="1" si="102"/>
        <v>0</v>
      </c>
      <c r="FN128" t="b">
        <f t="shared" ca="1" si="103"/>
        <v>0</v>
      </c>
      <c r="GH128" t="s">
        <v>2857</v>
      </c>
      <c r="GI128" t="s">
        <v>1119</v>
      </c>
      <c r="GJ128">
        <v>2</v>
      </c>
      <c r="GK128" t="s">
        <v>1549</v>
      </c>
      <c r="GL128" t="s">
        <v>567</v>
      </c>
      <c r="GM128" t="s">
        <v>1983</v>
      </c>
      <c r="GN128" t="s">
        <v>1973</v>
      </c>
      <c r="GO128">
        <v>282</v>
      </c>
      <c r="GP128">
        <v>300</v>
      </c>
      <c r="GR128">
        <f t="shared" si="66"/>
        <v>477</v>
      </c>
      <c r="GU128" t="str">
        <f t="shared" ca="1" si="67"/>
        <v/>
      </c>
      <c r="GV128" t="str">
        <f t="shared" ca="1" si="68"/>
        <v/>
      </c>
      <c r="GW128" t="str">
        <f t="shared" ca="1" si="69"/>
        <v/>
      </c>
      <c r="GX128" t="str">
        <f t="shared" ca="1" si="70"/>
        <v/>
      </c>
      <c r="HA128">
        <v>10</v>
      </c>
      <c r="HB128" t="s">
        <v>1752</v>
      </c>
      <c r="HE128" t="s">
        <v>1985</v>
      </c>
      <c r="HF128">
        <v>7</v>
      </c>
      <c r="HH128" t="s">
        <v>1096</v>
      </c>
    </row>
    <row r="129" spans="1:216" x14ac:dyDescent="0.2">
      <c r="A129" t="s">
        <v>854</v>
      </c>
      <c r="B129" t="s">
        <v>75</v>
      </c>
      <c r="C129" t="s">
        <v>76</v>
      </c>
      <c r="D129" t="s">
        <v>750</v>
      </c>
      <c r="E129" t="s">
        <v>1321</v>
      </c>
      <c r="F129" t="s">
        <v>1321</v>
      </c>
      <c r="L129" t="str">
        <f t="shared" si="91"/>
        <v/>
      </c>
      <c r="M129" t="str">
        <f t="shared" si="92"/>
        <v/>
      </c>
      <c r="N129" t="str">
        <f t="shared" si="94"/>
        <v>Kochen</v>
      </c>
      <c r="P129">
        <f t="shared" si="93"/>
        <v>159</v>
      </c>
      <c r="R129" t="s">
        <v>2124</v>
      </c>
      <c r="U129">
        <v>12</v>
      </c>
      <c r="V129" t="s">
        <v>3995</v>
      </c>
      <c r="Z129" t="s">
        <v>3660</v>
      </c>
      <c r="AC129">
        <v>7</v>
      </c>
      <c r="AH129" t="str">
        <f>"IN "&amp;Generierung!$R$4+4</f>
        <v>IN 18</v>
      </c>
      <c r="AI129">
        <v>48</v>
      </c>
      <c r="AS129" t="s">
        <v>3723</v>
      </c>
      <c r="AT129">
        <f t="shared" ca="1" si="98"/>
        <v>5</v>
      </c>
      <c r="AU129">
        <v>3</v>
      </c>
      <c r="AV129" t="b">
        <f ca="1">IF(AND(
NOT(ISERR(FIND($R$82&amp;" "&amp;AS129,Abfragen!$U$81))),
NOT(ISERR(FIND($R$98&amp;" "&amp;AS129,Abfragen!$U$81)))),
TRUE,FALSE)</f>
        <v>0</v>
      </c>
      <c r="AX129" t="s">
        <v>3914</v>
      </c>
      <c r="AY129">
        <v>4</v>
      </c>
      <c r="AZ129">
        <v>1</v>
      </c>
      <c r="BA129" t="s">
        <v>1763</v>
      </c>
      <c r="BB129" t="s">
        <v>1764</v>
      </c>
      <c r="BC129" t="s">
        <v>1765</v>
      </c>
      <c r="BD129" t="s">
        <v>1766</v>
      </c>
      <c r="BE129" t="s">
        <v>1767</v>
      </c>
      <c r="BF129" t="s">
        <v>5029</v>
      </c>
      <c r="BG129">
        <v>5</v>
      </c>
      <c r="BK129" t="s">
        <v>5469</v>
      </c>
      <c r="BL129">
        <v>20</v>
      </c>
      <c r="BM129">
        <v>9</v>
      </c>
      <c r="BN129" t="s">
        <v>5429</v>
      </c>
      <c r="BO129" t="s">
        <v>5423</v>
      </c>
      <c r="BP129" t="s">
        <v>4549</v>
      </c>
      <c r="BQ129">
        <v>2</v>
      </c>
      <c r="BR129">
        <v>22</v>
      </c>
      <c r="BS129" t="s">
        <v>5438</v>
      </c>
      <c r="BT129" t="s">
        <v>5470</v>
      </c>
      <c r="BU129">
        <v>135</v>
      </c>
      <c r="BW129">
        <v>3</v>
      </c>
      <c r="BY129" t="s">
        <v>4985</v>
      </c>
      <c r="BZ129" t="s">
        <v>4985</v>
      </c>
      <c r="CA129" t="s">
        <v>5426</v>
      </c>
      <c r="CD129" t="s">
        <v>4750</v>
      </c>
      <c r="CE129" t="s">
        <v>5095</v>
      </c>
      <c r="CF129" t="s">
        <v>907</v>
      </c>
      <c r="CG129" t="s">
        <v>898</v>
      </c>
      <c r="CH129">
        <v>0</v>
      </c>
      <c r="CI129">
        <v>1</v>
      </c>
      <c r="CJ129" t="s">
        <v>905</v>
      </c>
      <c r="CK129" t="s">
        <v>1829</v>
      </c>
      <c r="CL129" t="s">
        <v>1825</v>
      </c>
      <c r="CN129" t="str">
        <f ca="1">IF(AND(ISERR(FIND($CK129,Talente!$CI$41)),ISNA(VLOOKUP($CK129,$AH$51:$AH$55,1))),IF(AND(ISERR(FIND($CL129,Talente!$CI$41)),ISNA(VLOOKUP($CL129,$AH$51:$AH$55,1))),$CM129,$CL129),$CK129)</f>
        <v>Zweihandschwerter/-säbel</v>
      </c>
      <c r="CP129" t="s">
        <v>3857</v>
      </c>
      <c r="CQ129" t="s">
        <v>1956</v>
      </c>
      <c r="CR129">
        <v>24</v>
      </c>
      <c r="CU129" t="s">
        <v>3018</v>
      </c>
      <c r="CX129" t="s">
        <v>831</v>
      </c>
      <c r="CY129" t="s">
        <v>75</v>
      </c>
      <c r="CZ129" t="s">
        <v>76</v>
      </c>
      <c r="DA129" t="s">
        <v>77</v>
      </c>
      <c r="DC129" t="s">
        <v>7292</v>
      </c>
      <c r="DD129" t="s">
        <v>4125</v>
      </c>
      <c r="DE129" t="s">
        <v>1134</v>
      </c>
      <c r="DF129" t="s">
        <v>1730</v>
      </c>
      <c r="DG129" t="s">
        <v>1956</v>
      </c>
      <c r="DH129" t="s">
        <v>8426</v>
      </c>
      <c r="DI129" t="s">
        <v>4516</v>
      </c>
      <c r="DJ129">
        <v>2</v>
      </c>
      <c r="DK129">
        <f t="shared" si="72"/>
        <v>450</v>
      </c>
      <c r="DL129">
        <f t="shared" si="77"/>
        <v>127</v>
      </c>
      <c r="DM129">
        <v>115</v>
      </c>
      <c r="DN129" t="str">
        <f t="shared" ca="1" si="59"/>
        <v/>
      </c>
      <c r="DO129" t="str">
        <f t="shared" ca="1" si="60"/>
        <v/>
      </c>
      <c r="DP129" t="str">
        <f t="shared" ca="1" si="61"/>
        <v/>
      </c>
      <c r="DQ129" t="str">
        <f>IF(EXACT(Zauber!$A$250,""),"",IF(EXACT(RIGHT(HLOOKUP(Zauber!$A$250,PROFMAGIE,$DK129,FALSE)),"H"),CONCATENATE($CX129,","),""))</f>
        <v/>
      </c>
      <c r="DR129" t="str">
        <f t="shared" si="62"/>
        <v/>
      </c>
      <c r="DS129" t="str">
        <f>IF(ZS_IAAK="Ja",IF(EXACT(RIGHT(HLOOKUP(Tabellen_Magie!$IK$1,PROFMAGIE,$DK129,FALSE)),"H"),CONCATENATE($CX129,","),""),"")</f>
        <v/>
      </c>
      <c r="DT129" t="str">
        <f>IF(ZS_IAAK="Ja",IF(NOT(DS129=""),"",IF(OR(EXACT(RIGHT(HLOOKUP(Tabellen_Magie!$IK$1,PROFMAGIE,$DK129,FALSE)),"B"),EXACT(HLOOKUP(Tabellen_Magie!$IK$1,PROFMAGIE,$DK129,FALSE),"")),"",CONCATENATE($CX129,","))),"")</f>
        <v/>
      </c>
      <c r="DU129" t="str">
        <f t="shared" si="63"/>
        <v/>
      </c>
      <c r="DW129" t="s">
        <v>1483</v>
      </c>
      <c r="DX129" t="s">
        <v>74</v>
      </c>
      <c r="DY129" t="s">
        <v>77</v>
      </c>
      <c r="DZ129" t="s">
        <v>77</v>
      </c>
      <c r="EA129" t="s">
        <v>4888</v>
      </c>
      <c r="EB129" t="s">
        <v>1614</v>
      </c>
      <c r="EC129" t="s">
        <v>1444</v>
      </c>
      <c r="ED129">
        <f t="shared" si="99"/>
        <v>150</v>
      </c>
      <c r="EE129" t="s">
        <v>2683</v>
      </c>
      <c r="EH129">
        <f t="shared" si="100"/>
        <v>3</v>
      </c>
      <c r="EI129">
        <v>150</v>
      </c>
      <c r="FD129" t="s">
        <v>9137</v>
      </c>
      <c r="FE129">
        <f>ROUND(FK129*IF(VT_AKADMAG,3/4,1)*IF(NT_ELFWELT,IF(FN129,1,1.5),1),0)</f>
        <v>300</v>
      </c>
      <c r="FF129">
        <f>ROUND(FE129/50,0)</f>
        <v>6</v>
      </c>
      <c r="FK129">
        <v>300</v>
      </c>
      <c r="FL129">
        <v>6</v>
      </c>
      <c r="FM129" t="b">
        <f ca="1">IF(OR(IF(NOT(ISNA(VLOOKUP(FD129,SF_Verbilligt_Left,3,FALSE))),VLOOKUP(FD129,SF_Verbilligt_Left,3,FALSE)="x",FALSE),IF(NOT(ISNA(VLOOKUP(FD129,SF_Verbilligt_Right,8,FALSE))),VLOOKUP(FD129,SF_Verbilligt_Right,8,FALSE)="x",FALSE)),TRUE,FALSE)</f>
        <v>0</v>
      </c>
      <c r="FN129" t="b">
        <f ca="1">OR(FM129,NOT(ISERROR(FIND(FD129,$FN$3,1))))</f>
        <v>0</v>
      </c>
      <c r="GH129" t="s">
        <v>9333</v>
      </c>
      <c r="GI129" t="s">
        <v>1119</v>
      </c>
      <c r="GJ129">
        <v>2</v>
      </c>
      <c r="GK129" t="s">
        <v>1320</v>
      </c>
      <c r="GL129" t="s">
        <v>1978</v>
      </c>
      <c r="GM129" t="s">
        <v>1985</v>
      </c>
      <c r="GN129" t="s">
        <v>1974</v>
      </c>
      <c r="GO129" t="s">
        <v>9314</v>
      </c>
      <c r="GP129">
        <v>303</v>
      </c>
      <c r="GR129">
        <f t="shared" si="66"/>
        <v>478</v>
      </c>
      <c r="GU129" t="str">
        <f t="shared" ca="1" si="67"/>
        <v/>
      </c>
      <c r="GV129" t="str">
        <f t="shared" ca="1" si="68"/>
        <v/>
      </c>
      <c r="GW129" t="str">
        <f t="shared" ca="1" si="69"/>
        <v/>
      </c>
      <c r="GX129" t="str">
        <f t="shared" ca="1" si="70"/>
        <v/>
      </c>
      <c r="HE129" t="s">
        <v>1685</v>
      </c>
      <c r="HF129">
        <v>8</v>
      </c>
      <c r="HH129" t="s">
        <v>3070</v>
      </c>
    </row>
    <row r="130" spans="1:216" x14ac:dyDescent="0.2">
      <c r="A130" t="s">
        <v>1718</v>
      </c>
      <c r="B130" t="s">
        <v>75</v>
      </c>
      <c r="C130" t="s">
        <v>76</v>
      </c>
      <c r="D130" t="s">
        <v>750</v>
      </c>
      <c r="E130" t="s">
        <v>1320</v>
      </c>
      <c r="F130" t="s">
        <v>1321</v>
      </c>
      <c r="L130" t="str">
        <f t="shared" si="91"/>
        <v/>
      </c>
      <c r="M130" t="str">
        <f t="shared" si="92"/>
        <v/>
      </c>
      <c r="N130" t="str">
        <f t="shared" si="94"/>
        <v>Kristallzüchter</v>
      </c>
      <c r="P130">
        <f t="shared" si="93"/>
        <v>160</v>
      </c>
      <c r="Z130" t="s">
        <v>5061</v>
      </c>
      <c r="AC130">
        <v>7</v>
      </c>
      <c r="AE130" t="str">
        <f>INDEX(PERSONEN,31)</f>
        <v>Zibilja</v>
      </c>
      <c r="AH130" t="str">
        <f>"IN "&amp;Generierung!$R$4+5</f>
        <v>IN 19</v>
      </c>
      <c r="AI130">
        <v>65</v>
      </c>
      <c r="AS130" t="s">
        <v>3738</v>
      </c>
      <c r="AT130">
        <f t="shared" ca="1" si="98"/>
        <v>5</v>
      </c>
      <c r="AU130">
        <v>3</v>
      </c>
      <c r="AV130" t="b">
        <f ca="1">IF(AND(
NOT(ISERR(FIND($R$82&amp;" "&amp;AS130,Abfragen!$U$81))),
NOT(ISERR(FIND($R$98&amp;" "&amp;AS130,Abfragen!$U$81)))),
TRUE,FALSE)</f>
        <v>0</v>
      </c>
      <c r="AX130" t="s">
        <v>3319</v>
      </c>
      <c r="AY130">
        <v>4</v>
      </c>
      <c r="AZ130">
        <v>1</v>
      </c>
      <c r="BA130" t="s">
        <v>3193</v>
      </c>
      <c r="BB130" t="s">
        <v>213</v>
      </c>
      <c r="BC130" t="s">
        <v>3194</v>
      </c>
      <c r="BD130" t="s">
        <v>3192</v>
      </c>
      <c r="BE130" t="s">
        <v>212</v>
      </c>
      <c r="BG130">
        <v>5</v>
      </c>
      <c r="BK130" t="s">
        <v>4591</v>
      </c>
      <c r="BL130">
        <v>8</v>
      </c>
      <c r="BM130">
        <v>8</v>
      </c>
      <c r="BN130">
        <v>11</v>
      </c>
      <c r="BO130">
        <v>7</v>
      </c>
      <c r="BP130" t="s">
        <v>4558</v>
      </c>
      <c r="BQ130">
        <v>1</v>
      </c>
      <c r="BR130">
        <v>8</v>
      </c>
      <c r="BS130">
        <v>4</v>
      </c>
      <c r="BT130" t="s">
        <v>5471</v>
      </c>
      <c r="BU130">
        <v>40</v>
      </c>
      <c r="BW130">
        <v>3</v>
      </c>
      <c r="BY130" t="s">
        <v>4985</v>
      </c>
      <c r="BZ130" t="s">
        <v>4985</v>
      </c>
      <c r="CD130" t="s">
        <v>4131</v>
      </c>
      <c r="CE130" t="s">
        <v>4549</v>
      </c>
      <c r="CF130" t="s">
        <v>919</v>
      </c>
      <c r="CG130" t="s">
        <v>898</v>
      </c>
      <c r="CH130">
        <v>0</v>
      </c>
      <c r="CI130">
        <v>4</v>
      </c>
      <c r="CJ130" t="s">
        <v>899</v>
      </c>
      <c r="CK130" t="s">
        <v>2190</v>
      </c>
      <c r="CN130" t="str">
        <f ca="1">IF(AND(ISERR(FIND($CK130,Talente!$CI$41)),ISNA(VLOOKUP($CK130,$AH$51:$AH$55,1))),IF(AND(ISERR(FIND($CL130,Talente!$CI$41)),ISNA(VLOOKUP($CL130,$AH$51:$AH$55,1))),$CM130,$CL130),$CK130)</f>
        <v>Hiebwaffen</v>
      </c>
      <c r="CP130" t="s">
        <v>3858</v>
      </c>
      <c r="CQ130" t="s">
        <v>1433</v>
      </c>
      <c r="CR130">
        <v>18</v>
      </c>
      <c r="CU130" t="s">
        <v>7161</v>
      </c>
      <c r="CX130" t="s">
        <v>3449</v>
      </c>
      <c r="CY130" t="s">
        <v>74</v>
      </c>
      <c r="CZ130" t="s">
        <v>76</v>
      </c>
      <c r="DA130" t="s">
        <v>5030</v>
      </c>
      <c r="DC130" t="s">
        <v>7291</v>
      </c>
      <c r="DD130" t="s">
        <v>2684</v>
      </c>
      <c r="DE130" t="s">
        <v>4484</v>
      </c>
      <c r="DF130" t="s">
        <v>5062</v>
      </c>
      <c r="DG130" t="s">
        <v>1956</v>
      </c>
      <c r="DH130" t="s">
        <v>6925</v>
      </c>
      <c r="DI130" t="s">
        <v>3559</v>
      </c>
      <c r="DJ130">
        <v>2</v>
      </c>
      <c r="DK130">
        <f t="shared" si="72"/>
        <v>451</v>
      </c>
      <c r="DL130">
        <f t="shared" si="77"/>
        <v>128</v>
      </c>
      <c r="DM130">
        <v>116</v>
      </c>
      <c r="DN130" t="str">
        <f t="shared" ca="1" si="59"/>
        <v/>
      </c>
      <c r="DO130" t="str">
        <f t="shared" ca="1" si="60"/>
        <v/>
      </c>
      <c r="DP130" t="str">
        <f t="shared" ca="1" si="61"/>
        <v/>
      </c>
      <c r="DQ130" t="str">
        <f>IF(EXACT(Zauber!$A$250,""),"",IF(EXACT(RIGHT(HLOOKUP(Zauber!$A$250,PROFMAGIE,$DK130,FALSE)),"H"),CONCATENATE($CX130,","),""))</f>
        <v/>
      </c>
      <c r="DR130" t="str">
        <f t="shared" si="62"/>
        <v/>
      </c>
      <c r="DS130" t="str">
        <f>IF(ZS_IAAK="Ja",IF(EXACT(RIGHT(HLOOKUP(Tabellen_Magie!$IK$1,PROFMAGIE,$DK130,FALSE)),"H"),CONCATENATE($CX130,","),""),"")</f>
        <v/>
      </c>
      <c r="DT130" t="str">
        <f>IF(ZS_IAAK="Ja",IF(NOT(DS130=""),"",IF(OR(EXACT(RIGHT(HLOOKUP(Tabellen_Magie!$IK$1,PROFMAGIE,$DK130,FALSE)),"B"),EXACT(HLOOKUP(Tabellen_Magie!$IK$1,PROFMAGIE,$DK130,FALSE),"")),"",CONCATENATE($CX130,","))),"")</f>
        <v/>
      </c>
      <c r="DU130" t="str">
        <f t="shared" si="63"/>
        <v/>
      </c>
      <c r="DW130" t="s">
        <v>8650</v>
      </c>
      <c r="DX130" t="s">
        <v>76</v>
      </c>
      <c r="DY130" t="s">
        <v>77</v>
      </c>
      <c r="DZ130" t="s">
        <v>751</v>
      </c>
      <c r="EA130" t="s">
        <v>2678</v>
      </c>
      <c r="EB130" t="s">
        <v>2679</v>
      </c>
      <c r="EC130" t="s">
        <v>4565</v>
      </c>
      <c r="ED130">
        <f t="shared" si="99"/>
        <v>100</v>
      </c>
      <c r="EE130" t="s">
        <v>2682</v>
      </c>
      <c r="EH130">
        <f t="shared" si="100"/>
        <v>2</v>
      </c>
      <c r="EI130">
        <v>100</v>
      </c>
      <c r="FD130" t="s">
        <v>591</v>
      </c>
      <c r="FE130">
        <f ca="1">ROUND(FK130*IF(VT_AKADMAG,3/4,1)*IF(NT_ELFWELT,IF(FN130,1,1.5),1),0)</f>
        <v>200</v>
      </c>
      <c r="FF130">
        <f ca="1">ROUND(FE130/50,0)</f>
        <v>4</v>
      </c>
      <c r="FK130">
        <f ca="1">IF(VT_VRTLZBR,400,200)</f>
        <v>200</v>
      </c>
      <c r="FL130">
        <v>3</v>
      </c>
      <c r="FM130" t="b">
        <f t="shared" ca="1" si="102"/>
        <v>0</v>
      </c>
      <c r="FN130" t="b">
        <f t="shared" ca="1" si="103"/>
        <v>0</v>
      </c>
      <c r="GH130" t="s">
        <v>2858</v>
      </c>
      <c r="GI130" t="s">
        <v>1119</v>
      </c>
      <c r="GJ130">
        <v>2</v>
      </c>
      <c r="GK130" t="s">
        <v>1549</v>
      </c>
      <c r="GL130" t="s">
        <v>2685</v>
      </c>
      <c r="GM130" t="s">
        <v>1982</v>
      </c>
      <c r="GN130" t="s">
        <v>1690</v>
      </c>
      <c r="GO130">
        <v>284</v>
      </c>
      <c r="GP130">
        <v>306</v>
      </c>
      <c r="GR130">
        <f t="shared" si="66"/>
        <v>479</v>
      </c>
      <c r="GS130">
        <v>3</v>
      </c>
      <c r="GU130" t="str">
        <f t="shared" ca="1" si="67"/>
        <v/>
      </c>
      <c r="GV130" t="str">
        <f t="shared" ca="1" si="68"/>
        <v/>
      </c>
      <c r="GW130" t="str">
        <f t="shared" ca="1" si="69"/>
        <v/>
      </c>
      <c r="GX130" t="str">
        <f t="shared" ca="1" si="70"/>
        <v/>
      </c>
      <c r="HE130" t="s">
        <v>1684</v>
      </c>
      <c r="HF130">
        <v>9</v>
      </c>
      <c r="HH130" t="s">
        <v>2461</v>
      </c>
    </row>
    <row r="131" spans="1:216" ht="13.5" customHeight="1" x14ac:dyDescent="0.2">
      <c r="A131" t="s">
        <v>855</v>
      </c>
      <c r="B131" t="s">
        <v>75</v>
      </c>
      <c r="C131" t="s">
        <v>750</v>
      </c>
      <c r="D131" t="s">
        <v>750</v>
      </c>
      <c r="E131" t="s">
        <v>1321</v>
      </c>
      <c r="F131" t="s">
        <v>1321</v>
      </c>
      <c r="L131" t="str">
        <f t="shared" si="91"/>
        <v/>
      </c>
      <c r="M131" t="str">
        <f t="shared" si="92"/>
        <v/>
      </c>
      <c r="N131" t="str">
        <f t="shared" si="94"/>
        <v>Lederarbeiten</v>
      </c>
      <c r="P131">
        <f t="shared" si="93"/>
        <v>161</v>
      </c>
      <c r="Z131" t="s">
        <v>3661</v>
      </c>
      <c r="AC131">
        <v>3</v>
      </c>
      <c r="AH131" t="str">
        <f>"KK "&amp;Generierung!$R$4+1</f>
        <v>KK 15</v>
      </c>
      <c r="AI131">
        <v>9</v>
      </c>
      <c r="AS131" t="s">
        <v>3707</v>
      </c>
      <c r="AT131">
        <f ca="1">IF(AV131,3,10)</f>
        <v>10</v>
      </c>
      <c r="AU131">
        <v>7</v>
      </c>
      <c r="AV131" t="b">
        <f ca="1">IF(AND(
NOT(ISERR(FIND($R$82&amp;" "&amp;AS131,Abfragen!$U$81))),
NOT(ISERR(FIND($R$98&amp;" "&amp;AS131,Abfragen!$U$81)))),
TRUE,FALSE)</f>
        <v>0</v>
      </c>
      <c r="AX131" t="s">
        <v>3320</v>
      </c>
      <c r="AY131">
        <v>4</v>
      </c>
      <c r="AZ131">
        <v>1</v>
      </c>
      <c r="BA131" t="s">
        <v>3182</v>
      </c>
      <c r="BB131" t="s">
        <v>3193</v>
      </c>
      <c r="BC131" t="s">
        <v>214</v>
      </c>
      <c r="BD131" t="s">
        <v>215</v>
      </c>
      <c r="BE131" t="s">
        <v>216</v>
      </c>
      <c r="BF131" t="s">
        <v>3194</v>
      </c>
      <c r="BG131">
        <v>5</v>
      </c>
      <c r="BK131" t="s">
        <v>5472</v>
      </c>
      <c r="BL131">
        <v>8</v>
      </c>
      <c r="BM131">
        <v>8</v>
      </c>
      <c r="BN131">
        <v>10</v>
      </c>
      <c r="BO131">
        <v>7</v>
      </c>
      <c r="BP131" t="s">
        <v>4558</v>
      </c>
      <c r="BQ131">
        <v>1</v>
      </c>
      <c r="BR131">
        <v>8</v>
      </c>
      <c r="BS131">
        <v>4</v>
      </c>
      <c r="BT131" t="s">
        <v>5471</v>
      </c>
      <c r="BU131">
        <v>40</v>
      </c>
      <c r="BW131">
        <v>3</v>
      </c>
      <c r="BY131" t="s">
        <v>4985</v>
      </c>
      <c r="BZ131" t="s">
        <v>4985</v>
      </c>
      <c r="CD131" t="s">
        <v>2192</v>
      </c>
      <c r="CE131" t="s">
        <v>4549</v>
      </c>
      <c r="CF131" t="s">
        <v>917</v>
      </c>
      <c r="CG131" t="s">
        <v>898</v>
      </c>
      <c r="CH131">
        <v>1</v>
      </c>
      <c r="CI131">
        <v>2</v>
      </c>
      <c r="CJ131" t="s">
        <v>899</v>
      </c>
      <c r="CK131" t="s">
        <v>2192</v>
      </c>
      <c r="CL131" t="s">
        <v>1938</v>
      </c>
      <c r="CN131" t="str">
        <f ca="1">IF(AND(ISERR(FIND($CK131,Talente!$CI$41)),ISNA(VLOOKUP($CK131,$AH$51:$AH$55,1))),IF(AND(ISERR(FIND($CL131,Talente!$CI$41)),ISNA(VLOOKUP($CL131,$AH$51:$AH$55,1))),$CM131,$CL131),$CK131)</f>
        <v>Säbel</v>
      </c>
      <c r="CP131" t="s">
        <v>3878</v>
      </c>
      <c r="CQ131" t="s">
        <v>1321</v>
      </c>
      <c r="CR131">
        <v>24</v>
      </c>
      <c r="CU131" t="s">
        <v>3019</v>
      </c>
      <c r="CX131" t="s">
        <v>4330</v>
      </c>
      <c r="CY131" t="s">
        <v>76</v>
      </c>
      <c r="CZ131" t="s">
        <v>77</v>
      </c>
      <c r="DA131" t="s">
        <v>750</v>
      </c>
      <c r="DC131" t="s">
        <v>7306</v>
      </c>
      <c r="DD131" t="s">
        <v>2685</v>
      </c>
      <c r="DE131" t="s">
        <v>1321</v>
      </c>
      <c r="DF131" t="s">
        <v>81</v>
      </c>
      <c r="DG131" t="s">
        <v>1956</v>
      </c>
      <c r="DH131" t="s">
        <v>6926</v>
      </c>
      <c r="DI131" t="s">
        <v>4341</v>
      </c>
      <c r="DJ131">
        <v>2</v>
      </c>
      <c r="DK131">
        <f t="shared" si="72"/>
        <v>452</v>
      </c>
      <c r="DL131">
        <f t="shared" si="77"/>
        <v>129</v>
      </c>
      <c r="DM131">
        <v>117</v>
      </c>
      <c r="DN131" t="str">
        <f t="shared" ca="1" si="59"/>
        <v/>
      </c>
      <c r="DO131" t="str">
        <f t="shared" ca="1" si="60"/>
        <v/>
      </c>
      <c r="DP131" t="str">
        <f t="shared" ca="1" si="61"/>
        <v/>
      </c>
      <c r="DQ131" t="str">
        <f>IF(EXACT(Zauber!$A$250,""),"",IF(EXACT(RIGHT(HLOOKUP(Zauber!$A$250,PROFMAGIE,$DK131,FALSE)),"H"),CONCATENATE($CX131,","),""))</f>
        <v/>
      </c>
      <c r="DR131" t="str">
        <f t="shared" si="62"/>
        <v/>
      </c>
      <c r="DS131" t="str">
        <f>IF(ZS_IAAK="Ja",IF(EXACT(RIGHT(HLOOKUP(Tabellen_Magie!$IK$1,PROFMAGIE,$DK131,FALSE)),"H"),CONCATENATE($CX131,","),""),"")</f>
        <v/>
      </c>
      <c r="DT131" t="str">
        <f>IF(ZS_IAAK="Ja",IF(NOT(DS131=""),"",IF(OR(EXACT(RIGHT(HLOOKUP(Tabellen_Magie!$IK$1,PROFMAGIE,$DK131,FALSE)),"B"),EXACT(HLOOKUP(Tabellen_Magie!$IK$1,PROFMAGIE,$DK131,FALSE),"")),"",CONCATENATE($CX131,","))),"")</f>
        <v/>
      </c>
      <c r="DU131" t="str">
        <f t="shared" si="63"/>
        <v/>
      </c>
      <c r="DW131" t="s">
        <v>2563</v>
      </c>
      <c r="DX131" t="s">
        <v>74</v>
      </c>
      <c r="DY131" t="s">
        <v>77</v>
      </c>
      <c r="DZ131" t="s">
        <v>77</v>
      </c>
      <c r="EA131" t="s">
        <v>2042</v>
      </c>
      <c r="EB131" t="s">
        <v>54</v>
      </c>
      <c r="EC131" t="s">
        <v>1444</v>
      </c>
      <c r="ED131">
        <f t="shared" si="99"/>
        <v>250</v>
      </c>
      <c r="EE131" t="s">
        <v>2681</v>
      </c>
      <c r="EF131" t="s">
        <v>2683</v>
      </c>
      <c r="EH131">
        <f t="shared" si="100"/>
        <v>5</v>
      </c>
      <c r="EI131">
        <v>250</v>
      </c>
      <c r="FD131" t="s">
        <v>3677</v>
      </c>
      <c r="FE131">
        <f>ROUND(FK131*IF(VT_AKADMAG,3/4,1)*IF(NT_ELFWELT,IF(FN131,1,1.5),1),0)</f>
        <v>250</v>
      </c>
      <c r="FF131">
        <f t="shared" si="101"/>
        <v>5</v>
      </c>
      <c r="FK131">
        <v>250</v>
      </c>
      <c r="FL131">
        <v>2</v>
      </c>
      <c r="FM131" t="b">
        <f t="shared" ca="1" si="102"/>
        <v>0</v>
      </c>
      <c r="FN131" t="b">
        <f t="shared" ca="1" si="103"/>
        <v>0</v>
      </c>
      <c r="GH131" t="s">
        <v>2859</v>
      </c>
      <c r="GI131" t="s">
        <v>1119</v>
      </c>
      <c r="GJ131">
        <v>2</v>
      </c>
      <c r="GK131" t="s">
        <v>1320</v>
      </c>
      <c r="GL131" t="s">
        <v>1977</v>
      </c>
      <c r="GM131" t="s">
        <v>1984</v>
      </c>
      <c r="GN131" t="s">
        <v>1974</v>
      </c>
      <c r="GO131">
        <v>271</v>
      </c>
      <c r="GP131">
        <v>310</v>
      </c>
      <c r="GR131">
        <f t="shared" si="66"/>
        <v>480</v>
      </c>
      <c r="GU131" t="str">
        <f t="shared" ca="1" si="67"/>
        <v/>
      </c>
      <c r="GV131" t="str">
        <f t="shared" ca="1" si="68"/>
        <v/>
      </c>
      <c r="GW131" t="str">
        <f t="shared" ca="1" si="69"/>
        <v/>
      </c>
      <c r="GX131" t="str">
        <f t="shared" ca="1" si="70"/>
        <v/>
      </c>
      <c r="HE131" t="s">
        <v>3961</v>
      </c>
      <c r="HF131">
        <v>10</v>
      </c>
    </row>
    <row r="132" spans="1:216" x14ac:dyDescent="0.2">
      <c r="A132" t="s">
        <v>435</v>
      </c>
      <c r="B132" t="s">
        <v>75</v>
      </c>
      <c r="C132" t="s">
        <v>76</v>
      </c>
      <c r="D132" t="s">
        <v>750</v>
      </c>
      <c r="E132" t="s">
        <v>1321</v>
      </c>
      <c r="F132" t="s">
        <v>1321</v>
      </c>
      <c r="L132" t="str">
        <f t="shared" si="91"/>
        <v/>
      </c>
      <c r="M132" t="str">
        <f t="shared" si="92"/>
        <v/>
      </c>
      <c r="N132" t="str">
        <f t="shared" si="94"/>
        <v>Malen/Zeichnen</v>
      </c>
      <c r="P132">
        <f t="shared" si="93"/>
        <v>162</v>
      </c>
      <c r="Z132" t="s">
        <v>4648</v>
      </c>
      <c r="AA132">
        <v>1.5</v>
      </c>
      <c r="AB132">
        <v>12</v>
      </c>
      <c r="AD132" t="s">
        <v>3995</v>
      </c>
      <c r="AE132" t="str">
        <f>INDEX(PERSONEN,5)</f>
        <v>Elfen</v>
      </c>
      <c r="AH132" t="str">
        <f>"KK "&amp;Generierung!$R$4+2</f>
        <v>KK 16</v>
      </c>
      <c r="AI132">
        <v>20</v>
      </c>
      <c r="AS132" t="s">
        <v>3724</v>
      </c>
      <c r="AT132">
        <f ca="1">IF(AV132,2,5)</f>
        <v>5</v>
      </c>
      <c r="AU132">
        <v>3</v>
      </c>
      <c r="AV132" t="b">
        <f ca="1">IF(AND(
NOT(ISERR(FIND($R$82&amp;" "&amp;AS132,Abfragen!$U$81))),
NOT(ISERR(FIND($R$98&amp;" "&amp;AS132,Abfragen!$U$81)))),
TRUE,FALSE)</f>
        <v>0</v>
      </c>
      <c r="AX132" t="s">
        <v>3000</v>
      </c>
      <c r="AY132">
        <v>4</v>
      </c>
      <c r="AZ132">
        <v>1</v>
      </c>
      <c r="BA132" t="s">
        <v>1768</v>
      </c>
      <c r="BB132" t="s">
        <v>1769</v>
      </c>
      <c r="BC132" t="s">
        <v>1770</v>
      </c>
      <c r="BD132" t="s">
        <v>1771</v>
      </c>
      <c r="BG132">
        <v>5</v>
      </c>
      <c r="BK132" t="s">
        <v>5473</v>
      </c>
      <c r="BL132">
        <v>7</v>
      </c>
      <c r="BM132">
        <v>8</v>
      </c>
      <c r="BN132">
        <v>9</v>
      </c>
      <c r="BO132">
        <v>6</v>
      </c>
      <c r="BP132" t="s">
        <v>374</v>
      </c>
      <c r="BQ132">
        <v>1</v>
      </c>
      <c r="BR132">
        <v>7</v>
      </c>
      <c r="BS132">
        <v>4</v>
      </c>
      <c r="BT132" t="s">
        <v>5471</v>
      </c>
      <c r="BU132">
        <v>40</v>
      </c>
      <c r="BW132">
        <v>3</v>
      </c>
      <c r="BY132" t="s">
        <v>4985</v>
      </c>
      <c r="BZ132" t="s">
        <v>4985</v>
      </c>
      <c r="CD132" t="s">
        <v>4280</v>
      </c>
      <c r="CE132" t="s">
        <v>916</v>
      </c>
      <c r="CF132" t="s">
        <v>907</v>
      </c>
      <c r="CG132" t="s">
        <v>4282</v>
      </c>
      <c r="CH132">
        <v>-1</v>
      </c>
      <c r="CI132">
        <v>5</v>
      </c>
      <c r="CJ132" t="s">
        <v>899</v>
      </c>
      <c r="CK132" t="s">
        <v>1938</v>
      </c>
      <c r="CN132" t="str">
        <f ca="1">IF(AND(ISERR(FIND($CK132,Talente!$CI$41)),ISNA(VLOOKUP($CK132,$AH$51:$AH$55,1))),IF(AND(ISERR(FIND($CL132,Talente!$CI$41)),ISNA(VLOOKUP($CL132,$AH$51:$AH$55,1))),$CM132,$CL132),$CK132)</f>
        <v>Schwerter</v>
      </c>
      <c r="CP132" t="s">
        <v>3859</v>
      </c>
      <c r="CQ132" t="s">
        <v>1433</v>
      </c>
      <c r="CR132">
        <v>9</v>
      </c>
      <c r="CU132" t="s">
        <v>3020</v>
      </c>
      <c r="CX132" t="s">
        <v>1476</v>
      </c>
      <c r="CY132" t="s">
        <v>74</v>
      </c>
      <c r="CZ132" t="s">
        <v>76</v>
      </c>
      <c r="DA132" t="s">
        <v>77</v>
      </c>
      <c r="DB132" t="s">
        <v>2042</v>
      </c>
      <c r="DC132" t="s">
        <v>7290</v>
      </c>
      <c r="DD132" t="s">
        <v>1377</v>
      </c>
      <c r="DE132" t="s">
        <v>644</v>
      </c>
      <c r="DF132" t="s">
        <v>645</v>
      </c>
      <c r="DG132" t="s">
        <v>1955</v>
      </c>
      <c r="DH132" t="s">
        <v>6927</v>
      </c>
      <c r="DI132" t="s">
        <v>3503</v>
      </c>
      <c r="DJ132">
        <v>2</v>
      </c>
      <c r="DK132">
        <f t="shared" si="72"/>
        <v>453</v>
      </c>
      <c r="DL132">
        <f t="shared" si="77"/>
        <v>130</v>
      </c>
      <c r="DM132">
        <v>118</v>
      </c>
      <c r="DN132" t="str">
        <f t="shared" ref="DN132:DN195" ca="1" si="104">IF(VT_VRTLZBR,
IF(NOT(ISERROR(FIND($CX132,VT_UEBERBEG,1))),CONCATENATE($CX132,","),""),
IF(OR(MAGISCH,MAGISCH_EIGN),
IF(OR(EXACT(RIGHT(HLOOKUP(PROFGENE,INDIRECT(PROFGEBIET),$DK132,FALSE)),"H"),EXACT(RIGHT(HLOOKUP(KULTURGENE,KULTUR,$DK132,FALSE)),"H"),IF(EXACT(DQ132,""),FALSE,TRUE),IF(EXACT(DS132,""),FALSE,TRUE)),CONCATENATE($CX132,","),
IF(ISERROR(VLOOKUP(CX132,ZAUBER_HAUS_NEU,1,FALSE)),"",CONCATENATE($CX132,","))
),""))</f>
        <v/>
      </c>
      <c r="DO132" t="str">
        <f t="shared" ref="DO132:DO195" ca="1" si="105">IF(AND(OR(MAGISCH,MAGISCH_EIGN),DN132=""),IF(AND(OR(PROFGEBGENE="Goetter",EXACT(RIGHT(HLOOKUP(PROFGENE,INDIRECT(PROFGEBIET),$DK132,FALSE)),"B"),EXACT(RIGHT(HLOOKUP(PROFGENE,INDIRECT(PROFGEBIET),$DK132,FALSE)),"")),OR(PROFGEBGENE="Goetter",EXACT(RIGHT(HLOOKUP(KULTURGENE,KULTUR,$DK132,FALSE)),"B"),EXACT(RIGHT(HLOOKUP(KULTURGENE,KULTUR,$DK132,FALSE)),""))),
IF(ISERROR(VLOOKUP(CX132,ZAUBER_START_NEU,1,FALSE)),"",CONCATENATE($CX132,",")),
CONCATENATE($CX132,",")),
"")</f>
        <v/>
      </c>
      <c r="DP132" t="str">
        <f t="shared" ref="DP132:DP195" ca="1" si="106">IF(AND(OR(MAGISCH,MAGISCH_EIGN),DN132="",DO132="",
OR(EXACT(RIGHT(HLOOKUP(KULTURGENE,KULTUR,$DK132,FALSE)),"B"),IF(PROFGEBGENE="Goetter",FALSE,EXACT(HLOOKUP(PROFGENE,INDIRECT(PROFGEBIET),$DK132,FALSE),"B")),IF(EXACT(DR132,""),FALSE,TRUE),IF(EXACT(DT132,""),FALSE,TRUE),IF(EXACT(DU132,""),FALSE,TRUE))),CONCATENATE($CX132,","),"")</f>
        <v/>
      </c>
      <c r="DQ132" t="str">
        <f>IF(EXACT(Zauber!$A$250,""),"",IF(EXACT(RIGHT(HLOOKUP(Zauber!$A$250,PROFMAGIE,$DK132,FALSE)),"H"),CONCATENATE($CX132,","),""))</f>
        <v/>
      </c>
      <c r="DR132" t="str">
        <f t="shared" ref="DR132:DR195" si="107">IF(EXACT(ZS_AKADEMIE,""),"",IF(NOT(DQ132=""),"",IF(OR(EXACT(RIGHT(HLOOKUP(ZS_AKADEMIE,PROFMAGIE,$DK132,FALSE)),"B"),EXACT(HLOOKUP(ZS_AKADEMIE,PROFMAGIE,$DK132,FALSE),"")),"",CONCATENATE($CX132,","))))</f>
        <v/>
      </c>
      <c r="DS132" t="str">
        <f>IF(ZS_IAAK="Ja",IF(EXACT(RIGHT(HLOOKUP(Tabellen_Magie!$IK$1,PROFMAGIE,$DK132,FALSE)),"H"),CONCATENATE($CX132,","),""),"")</f>
        <v/>
      </c>
      <c r="DT132" t="str">
        <f>IF(ZS_IAAK="Ja",IF(NOT(DS132=""),"",IF(OR(EXACT(RIGHT(HLOOKUP(Tabellen_Magie!$IK$1,PROFMAGIE,$DK132,FALSE)),"B"),EXACT(HLOOKUP(Tabellen_Magie!$IK$1,PROFMAGIE,$DK132,FALSE),"")),"",CONCATENATE($CX132,","))),"")</f>
        <v/>
      </c>
      <c r="DU132" t="str">
        <f t="shared" ref="DU132:DU195" si="108">IF(EXACT(ZS_AKADEMIE,""),"",IF(NOT(DQ132=""),"",IF(EXACT(RIGHT(HLOOKUP(ZS_AKADEMIE,PROFMAGIE,$DK132,FALSE)),"B"),CONCATENATE($CX132,","),"")))</f>
        <v/>
      </c>
      <c r="DW132" t="s">
        <v>8651</v>
      </c>
      <c r="DX132" t="s">
        <v>74</v>
      </c>
      <c r="DY132" t="s">
        <v>77</v>
      </c>
      <c r="DZ132" t="s">
        <v>77</v>
      </c>
      <c r="EA132" t="s">
        <v>4888</v>
      </c>
      <c r="EB132" t="s">
        <v>1614</v>
      </c>
      <c r="EC132" t="s">
        <v>1444</v>
      </c>
      <c r="ED132">
        <f t="shared" si="99"/>
        <v>150</v>
      </c>
      <c r="EE132" t="s">
        <v>2682</v>
      </c>
      <c r="EH132">
        <f t="shared" si="100"/>
        <v>3</v>
      </c>
      <c r="EI132">
        <v>150</v>
      </c>
      <c r="FD132" t="s">
        <v>4672</v>
      </c>
      <c r="FE132">
        <f>ROUND(FK132*IF(NT_ELFWELT,IF(FN132,1,1.5),1),0)</f>
        <v>150</v>
      </c>
      <c r="FF132">
        <f t="shared" si="101"/>
        <v>3</v>
      </c>
      <c r="FK132">
        <v>150</v>
      </c>
      <c r="FL132">
        <v>3</v>
      </c>
      <c r="FM132" t="b">
        <f t="shared" ca="1" si="102"/>
        <v>0</v>
      </c>
      <c r="FN132" t="b">
        <f t="shared" ca="1" si="103"/>
        <v>0</v>
      </c>
      <c r="GH132" t="s">
        <v>2860</v>
      </c>
      <c r="GI132" t="s">
        <v>1119</v>
      </c>
      <c r="GJ132">
        <v>2</v>
      </c>
      <c r="GK132" t="s">
        <v>4484</v>
      </c>
      <c r="GL132" t="s">
        <v>567</v>
      </c>
      <c r="GM132" t="s">
        <v>1984</v>
      </c>
      <c r="GN132" t="s">
        <v>1690</v>
      </c>
      <c r="GO132">
        <v>273</v>
      </c>
      <c r="GP132">
        <v>314</v>
      </c>
      <c r="GR132">
        <f t="shared" si="66"/>
        <v>481</v>
      </c>
      <c r="GU132" t="str">
        <f t="shared" ca="1" si="67"/>
        <v/>
      </c>
      <c r="GV132" t="str">
        <f t="shared" ca="1" si="68"/>
        <v/>
      </c>
      <c r="GW132" t="str">
        <f t="shared" ca="1" si="69"/>
        <v/>
      </c>
      <c r="GX132" t="str">
        <f t="shared" ca="1" si="70"/>
        <v/>
      </c>
    </row>
    <row r="133" spans="1:216" x14ac:dyDescent="0.2">
      <c r="A133" t="s">
        <v>2587</v>
      </c>
      <c r="B133" t="s">
        <v>750</v>
      </c>
      <c r="C133" t="s">
        <v>751</v>
      </c>
      <c r="D133" t="s">
        <v>752</v>
      </c>
      <c r="E133" t="s">
        <v>1320</v>
      </c>
      <c r="F133" t="s">
        <v>1321</v>
      </c>
      <c r="L133" t="str">
        <f t="shared" ref="L133:L151" si="109">IF(VLOOKUP(A133,TL_SPEZ,18,FALSE)="","",VLOOKUP(A133,TL_SPEZ,18,FALSE))</f>
        <v/>
      </c>
      <c r="M133" t="str">
        <f t="shared" ref="M133:M151" si="110">IF(VLOOKUP($A133,TL_SPEZ,19,FALSE)="","",VLOOKUP($A133,TL_SPEZ,19,FALSE))</f>
        <v/>
      </c>
      <c r="N133" t="str">
        <f t="shared" si="94"/>
        <v>Maurer</v>
      </c>
      <c r="P133">
        <f t="shared" si="93"/>
        <v>163</v>
      </c>
      <c r="Z133" t="s">
        <v>4649</v>
      </c>
      <c r="AC133">
        <v>5</v>
      </c>
      <c r="AE133" t="str">
        <f>INDEX(PERSONEN,5)</f>
        <v>Elfen</v>
      </c>
      <c r="AH133" t="str">
        <f>"KK "&amp;Generierung!$R$4+3</f>
        <v>KK 17</v>
      </c>
      <c r="AI133">
        <v>33</v>
      </c>
      <c r="AS133" t="s">
        <v>3725</v>
      </c>
      <c r="AT133">
        <f ca="1">IF(AV133,2,5)</f>
        <v>5</v>
      </c>
      <c r="AU133">
        <v>3</v>
      </c>
      <c r="AV133" t="b">
        <f ca="1">IF(AND(
NOT(ISERR(FIND($R$82&amp;" "&amp;AS133,Abfragen!$U$81))),
NOT(ISERR(FIND($R$98&amp;" "&amp;AS133,Abfragen!$U$81)))),
TRUE,FALSE)</f>
        <v>0</v>
      </c>
      <c r="AX133" t="s">
        <v>1532</v>
      </c>
      <c r="AY133">
        <v>6</v>
      </c>
      <c r="AZ133">
        <v>2</v>
      </c>
      <c r="BG133">
        <v>5</v>
      </c>
      <c r="BK133" t="s">
        <v>5474</v>
      </c>
      <c r="BL133">
        <v>8</v>
      </c>
      <c r="BM133">
        <v>8</v>
      </c>
      <c r="BN133">
        <v>11</v>
      </c>
      <c r="BO133">
        <v>7</v>
      </c>
      <c r="BP133" t="s">
        <v>4558</v>
      </c>
      <c r="BQ133">
        <v>1</v>
      </c>
      <c r="BR133">
        <v>8</v>
      </c>
      <c r="BS133">
        <v>4</v>
      </c>
      <c r="BT133" t="s">
        <v>5471</v>
      </c>
      <c r="BU133">
        <v>40</v>
      </c>
      <c r="BW133">
        <v>5</v>
      </c>
      <c r="BY133" t="s">
        <v>4985</v>
      </c>
      <c r="BZ133" t="s">
        <v>4985</v>
      </c>
      <c r="CA133" t="s">
        <v>5475</v>
      </c>
      <c r="CD133" t="s">
        <v>4751</v>
      </c>
      <c r="CE133" t="s">
        <v>916</v>
      </c>
      <c r="CF133" t="s">
        <v>897</v>
      </c>
      <c r="CG133" t="s">
        <v>4555</v>
      </c>
      <c r="CH133">
        <v>0</v>
      </c>
      <c r="CI133">
        <v>0</v>
      </c>
      <c r="CJ133" t="s">
        <v>4001</v>
      </c>
      <c r="CK133" t="s">
        <v>1957</v>
      </c>
      <c r="CN133" t="str">
        <f ca="1">IF(AND(ISERR(FIND($CK133,Talente!$CI$41)),ISNA(VLOOKUP($CK133,$AH$51:$AH$55,1))),IF(AND(ISERR(FIND($CL133,Talente!$CI$41)),ISNA(VLOOKUP($CL133,$AH$51:$AH$55,1))),$CM133,$CL133),$CK133)</f>
        <v>Dolche</v>
      </c>
      <c r="CP133" t="s">
        <v>3303</v>
      </c>
      <c r="CQ133" t="s">
        <v>1321</v>
      </c>
      <c r="CR133">
        <v>15</v>
      </c>
      <c r="CU133" t="s">
        <v>3021</v>
      </c>
      <c r="CX133" t="s">
        <v>2001</v>
      </c>
      <c r="CY133" t="s">
        <v>75</v>
      </c>
      <c r="CZ133" t="s">
        <v>77</v>
      </c>
      <c r="DA133" t="s">
        <v>5030</v>
      </c>
      <c r="DB133" t="s">
        <v>2042</v>
      </c>
      <c r="DC133" t="s">
        <v>7299</v>
      </c>
      <c r="DD133" t="s">
        <v>3138</v>
      </c>
      <c r="DE133" t="s">
        <v>1321</v>
      </c>
      <c r="DF133" t="s">
        <v>7356</v>
      </c>
      <c r="DG133" t="s">
        <v>1956</v>
      </c>
      <c r="DH133" t="s">
        <v>6928</v>
      </c>
      <c r="DI133" t="s">
        <v>8457</v>
      </c>
      <c r="DJ133">
        <v>2</v>
      </c>
      <c r="DK133">
        <f t="shared" si="72"/>
        <v>454</v>
      </c>
      <c r="DL133">
        <f t="shared" si="77"/>
        <v>131</v>
      </c>
      <c r="DM133">
        <v>119</v>
      </c>
      <c r="DN133" t="str">
        <f t="shared" ca="1" si="104"/>
        <v/>
      </c>
      <c r="DO133" t="str">
        <f t="shared" ca="1" si="105"/>
        <v/>
      </c>
      <c r="DP133" t="str">
        <f t="shared" ca="1" si="106"/>
        <v/>
      </c>
      <c r="DQ133" t="str">
        <f>IF(EXACT(Zauber!$A$250,""),"",IF(EXACT(RIGHT(HLOOKUP(Zauber!$A$250,PROFMAGIE,$DK133,FALSE)),"H"),CONCATENATE($CX133,","),""))</f>
        <v/>
      </c>
      <c r="DR133" t="str">
        <f t="shared" si="107"/>
        <v/>
      </c>
      <c r="DS133" t="str">
        <f>IF(ZS_IAAK="Ja",IF(EXACT(RIGHT(HLOOKUP(Tabellen_Magie!$IK$1,PROFMAGIE,$DK133,FALSE)),"H"),CONCATENATE($CX133,","),""),"")</f>
        <v/>
      </c>
      <c r="DT133" t="str">
        <f>IF(ZS_IAAK="Ja",IF(NOT(DS133=""),"",IF(OR(EXACT(RIGHT(HLOOKUP(Tabellen_Magie!$IK$1,PROFMAGIE,$DK133,FALSE)),"B"),EXACT(HLOOKUP(Tabellen_Magie!$IK$1,PROFMAGIE,$DK133,FALSE),"")),"",CONCATENATE($CX133,","))),"")</f>
        <v/>
      </c>
      <c r="DU133" t="str">
        <f t="shared" si="108"/>
        <v/>
      </c>
      <c r="DW133" t="s">
        <v>8652</v>
      </c>
      <c r="DX133" t="s">
        <v>74</v>
      </c>
      <c r="DY133" t="s">
        <v>76</v>
      </c>
      <c r="DZ133" t="s">
        <v>77</v>
      </c>
      <c r="EA133" t="s">
        <v>8645</v>
      </c>
      <c r="EB133" t="s">
        <v>295</v>
      </c>
      <c r="EC133" t="s">
        <v>1445</v>
      </c>
      <c r="ED133">
        <f t="shared" si="99"/>
        <v>200</v>
      </c>
      <c r="EE133" t="s">
        <v>2682</v>
      </c>
      <c r="EH133">
        <f t="shared" si="100"/>
        <v>4</v>
      </c>
      <c r="EI133">
        <v>200</v>
      </c>
      <c r="FD133" t="s">
        <v>4673</v>
      </c>
      <c r="FE133">
        <f>ROUND(FK133*IF(NT_ELFWELT,IF(FN133,1,1.5),1),0)</f>
        <v>250</v>
      </c>
      <c r="FF133">
        <f t="shared" si="101"/>
        <v>5</v>
      </c>
      <c r="FK133">
        <v>250</v>
      </c>
      <c r="FL133">
        <v>3</v>
      </c>
      <c r="FM133" t="b">
        <f t="shared" ca="1" si="102"/>
        <v>0</v>
      </c>
      <c r="FN133" t="b">
        <f t="shared" ca="1" si="103"/>
        <v>0</v>
      </c>
      <c r="GH133" t="s">
        <v>2861</v>
      </c>
      <c r="GI133" t="s">
        <v>1119</v>
      </c>
      <c r="GJ133">
        <v>2</v>
      </c>
      <c r="GK133" t="s">
        <v>4116</v>
      </c>
      <c r="GL133" t="s">
        <v>567</v>
      </c>
      <c r="GM133" t="s">
        <v>1982</v>
      </c>
      <c r="GN133" t="s">
        <v>1973</v>
      </c>
      <c r="GO133">
        <v>260</v>
      </c>
      <c r="GP133">
        <v>317</v>
      </c>
      <c r="GR133">
        <f t="shared" ref="GR133:GR196" si="111">GR132+1</f>
        <v>482</v>
      </c>
      <c r="GU133" t="str">
        <f t="shared" ref="GU133:GU197" ca="1" si="112">IF(OR(EXACT(PROFGEBGENE,"Goetter"),GOETTER_EIGN),IF(AND(NOT(GH133=LIT_0),EXACT(UPPER(HLOOKUP(PROFGENE,INDIRECT(PROFGEBIET),$GR133,FALSE)),"X")),"x",""),IF(AKTIV_SPTWHE,IF(EXACT(UPPER(HLOOKUP(PROFSPTWHE,SPTWHE,$GR133,FALSE)),"X"),"x",""),""))</f>
        <v/>
      </c>
      <c r="GV133" t="str">
        <f t="shared" ref="GV133:GV197" ca="1" si="113">IF(OR(EXACT(PROFGEBGENE,"Goetter"),GOETTER_EIGN),IF(AND(NOT(GH133=LIT_0),EXACT(UPPER(HLOOKUP(PROFGENE,INDIRECT(PROFGEBIET),$GR133,FALSE)),"V")),"x",""),IF(AKTIV_SPTWHE,IF(EXACT(UPPER(HLOOKUP(PROFSPTWHE,SPTWHE,$GR133,FALSE)),"V"),"x",""),""))&amp;
IF(PROFGEBZWEITE="Goetter (BGB)",IF(AND(NOT(GH133=LIT_0),OR(EXACT(UPPER(HLOOKUP(PROFZWEITE,INDIRECT(PROFGEBIET2),$GR133,FALSE)),"V"),EXACT(UPPER(HLOOKUP(PROFZWEITE,INDIRECT(PROFGEBIET2),$GR133,FALSE)),"X"))),"x",""),"")</f>
        <v/>
      </c>
      <c r="GW133" t="str">
        <f t="shared" ref="GW133:GW197" ca="1" si="114">IF(OR(EXACT(PROFGEBGENE,"Goetter"),GOETTER_EIGN),IF(AND(GU133="",GV133="",NOT(GH133=LIT_0),EXACT(UPPER(HLOOKUP(PROFGENE,INDIRECT(PROFGEBIET),$GR133,FALSE)),"B")),"x",""),IF(AKTIV_SPTWHE,IF(EXACT(UPPER(HLOOKUP(PROFSPTWHE,SPTWHE,$GR133,FALSE)),"B"),"x",""),""))&amp;
IF(PROFGEBZWEITE="Goetter (BGB)",IF(AND(GU133="",GV133="",NOT(GH133=LIT_0),EXACT(UPPER(HLOOKUP(PROFZWEITE,INDIRECT(PROFGEBIET2),$GR133,FALSE)),"B")),"x",""),"")</f>
        <v/>
      </c>
      <c r="GX133" t="str">
        <f t="shared" ref="GX133:GX197" ca="1" si="115">IF(OR(NOT(GW133=""),NOT(GU133=""),NOT(GV133="")),CONCATENATE($GH133,","),"")</f>
        <v/>
      </c>
      <c r="HE133" t="s">
        <v>1694</v>
      </c>
    </row>
    <row r="134" spans="1:216" x14ac:dyDescent="0.2">
      <c r="A134" t="s">
        <v>8393</v>
      </c>
      <c r="B134" t="s">
        <v>75</v>
      </c>
      <c r="C134" t="s">
        <v>750</v>
      </c>
      <c r="D134" t="s">
        <v>752</v>
      </c>
      <c r="E134" t="s">
        <v>1320</v>
      </c>
      <c r="F134" t="s">
        <v>1321</v>
      </c>
      <c r="L134" t="str">
        <f t="shared" si="109"/>
        <v/>
      </c>
      <c r="M134" t="str">
        <f t="shared" si="110"/>
        <v/>
      </c>
      <c r="N134" t="str">
        <f t="shared" si="94"/>
        <v>Metallguss</v>
      </c>
      <c r="P134">
        <f t="shared" si="93"/>
        <v>164</v>
      </c>
      <c r="R134" t="s">
        <v>4905</v>
      </c>
      <c r="S134" t="s">
        <v>4863</v>
      </c>
      <c r="T134" t="s">
        <v>4861</v>
      </c>
      <c r="U134" t="s">
        <v>4862</v>
      </c>
      <c r="W134" t="s">
        <v>1523</v>
      </c>
      <c r="X134" t="s">
        <v>1783</v>
      </c>
      <c r="Z134" t="s">
        <v>3646</v>
      </c>
      <c r="AA134">
        <v>1.5</v>
      </c>
      <c r="AB134">
        <v>12</v>
      </c>
      <c r="AD134" t="s">
        <v>3995</v>
      </c>
      <c r="AH134" t="str">
        <f>"KK "&amp;Generierung!$R$4+4</f>
        <v>KK 18</v>
      </c>
      <c r="AI134">
        <v>48</v>
      </c>
      <c r="AS134" t="s">
        <v>3737</v>
      </c>
      <c r="AT134">
        <f ca="1">IF(AV134,2,5)</f>
        <v>5</v>
      </c>
      <c r="AU134">
        <v>3</v>
      </c>
      <c r="AV134" t="b">
        <f ca="1">IF(AND(
NOT(ISERR(FIND($R$82&amp;" "&amp;AS134,Abfragen!$U$81))),
NOT(ISERR(FIND($R$98&amp;" "&amp;AS134,Abfragen!$U$81)))),
TRUE,FALSE)</f>
        <v>0</v>
      </c>
      <c r="AX134" t="s">
        <v>2193</v>
      </c>
      <c r="AY134">
        <v>6</v>
      </c>
      <c r="AZ134">
        <v>2</v>
      </c>
      <c r="BG134">
        <v>5</v>
      </c>
      <c r="BK134" t="s">
        <v>5476</v>
      </c>
      <c r="BL134">
        <v>8</v>
      </c>
      <c r="BM134">
        <v>9</v>
      </c>
      <c r="BN134" t="s">
        <v>5477</v>
      </c>
      <c r="BO134" t="s">
        <v>5444</v>
      </c>
      <c r="BP134" t="s">
        <v>4558</v>
      </c>
      <c r="BQ134">
        <v>1</v>
      </c>
      <c r="BR134">
        <v>13</v>
      </c>
      <c r="BS134">
        <v>8</v>
      </c>
      <c r="BT134" t="s">
        <v>5478</v>
      </c>
      <c r="BU134">
        <v>50</v>
      </c>
      <c r="BW134">
        <v>0</v>
      </c>
      <c r="BY134" t="s">
        <v>4985</v>
      </c>
      <c r="BZ134" t="s">
        <v>4985</v>
      </c>
      <c r="CA134" t="s">
        <v>5479</v>
      </c>
      <c r="CD134" t="s">
        <v>4752</v>
      </c>
      <c r="CE134" t="s">
        <v>5091</v>
      </c>
      <c r="CF134" t="s">
        <v>902</v>
      </c>
      <c r="CG134" t="s">
        <v>4595</v>
      </c>
      <c r="CH134">
        <v>-1</v>
      </c>
      <c r="CI134">
        <v>1</v>
      </c>
      <c r="CJ134" t="s">
        <v>899</v>
      </c>
      <c r="CK134" t="s">
        <v>2190</v>
      </c>
      <c r="CN134" t="str">
        <f ca="1">IF(AND(ISERR(FIND($CK134,Talente!$CI$41)),ISNA(VLOOKUP($CK134,$AH$51:$AH$55,1))),IF(AND(ISERR(FIND($CL134,Talente!$CI$41)),ISNA(VLOOKUP($CL134,$AH$51:$AH$55,1))),$CM134,$CL134),$CK134)</f>
        <v>Hiebwaffen</v>
      </c>
      <c r="CP134" t="s">
        <v>3860</v>
      </c>
      <c r="CQ134" t="s">
        <v>1433</v>
      </c>
      <c r="CR134">
        <v>10</v>
      </c>
      <c r="CU134" t="s">
        <v>3022</v>
      </c>
      <c r="CX134" t="s">
        <v>2691</v>
      </c>
      <c r="CY134" t="s">
        <v>76</v>
      </c>
      <c r="CZ134" t="s">
        <v>76</v>
      </c>
      <c r="DA134" t="s">
        <v>750</v>
      </c>
      <c r="DC134" t="s">
        <v>7294</v>
      </c>
      <c r="DD134" t="s">
        <v>1691</v>
      </c>
      <c r="DE134" t="s">
        <v>3938</v>
      </c>
      <c r="DF134" t="s">
        <v>3939</v>
      </c>
      <c r="DG134" t="s">
        <v>1956</v>
      </c>
      <c r="DH134" t="s">
        <v>6877</v>
      </c>
      <c r="DI134" t="s">
        <v>4350</v>
      </c>
      <c r="DJ134">
        <v>2</v>
      </c>
      <c r="DK134">
        <f t="shared" si="72"/>
        <v>455</v>
      </c>
      <c r="DL134">
        <f t="shared" si="77"/>
        <v>132</v>
      </c>
      <c r="DM134">
        <v>120</v>
      </c>
      <c r="DN134" t="str">
        <f t="shared" ca="1" si="104"/>
        <v/>
      </c>
      <c r="DO134" t="str">
        <f t="shared" ca="1" si="105"/>
        <v/>
      </c>
      <c r="DP134" t="str">
        <f t="shared" ca="1" si="106"/>
        <v/>
      </c>
      <c r="DQ134" t="str">
        <f>IF(EXACT(Zauber!$A$250,""),"",IF(EXACT(RIGHT(HLOOKUP(Zauber!$A$250,PROFMAGIE,$DK134,FALSE)),"H"),CONCATENATE($CX134,","),""))</f>
        <v/>
      </c>
      <c r="DR134" t="str">
        <f t="shared" si="107"/>
        <v/>
      </c>
      <c r="DS134" t="str">
        <f>IF(ZS_IAAK="Ja",IF(EXACT(RIGHT(HLOOKUP(Tabellen_Magie!$IK$1,PROFMAGIE,$DK134,FALSE)),"H"),CONCATENATE($CX134,","),""),"")</f>
        <v/>
      </c>
      <c r="DT134" t="str">
        <f>IF(ZS_IAAK="Ja",IF(NOT(DS134=""),"",IF(OR(EXACT(RIGHT(HLOOKUP(Tabellen_Magie!$IK$1,PROFMAGIE,$DK134,FALSE)),"B"),EXACT(HLOOKUP(Tabellen_Magie!$IK$1,PROFMAGIE,$DK134,FALSE),"")),"",CONCATENATE($CX134,","))),"")</f>
        <v/>
      </c>
      <c r="DU134" t="str">
        <f t="shared" si="108"/>
        <v/>
      </c>
      <c r="DW134" t="s">
        <v>8653</v>
      </c>
      <c r="DX134" t="s">
        <v>74</v>
      </c>
      <c r="DY134" t="s">
        <v>74</v>
      </c>
      <c r="DZ134" t="s">
        <v>77</v>
      </c>
      <c r="EB134" t="s">
        <v>2679</v>
      </c>
      <c r="EC134" t="s">
        <v>4565</v>
      </c>
      <c r="ED134">
        <f t="shared" si="99"/>
        <v>200</v>
      </c>
      <c r="EE134" t="s">
        <v>2681</v>
      </c>
      <c r="EH134">
        <f t="shared" si="100"/>
        <v>4</v>
      </c>
      <c r="EI134">
        <v>200</v>
      </c>
      <c r="FD134" t="s">
        <v>2988</v>
      </c>
      <c r="FE134">
        <f>ROUND(FK134*IF(VT_AKADMAG,3/4,1)*IF(NT_ELFWELT,IF(FN134,1,1.5),1),0)</f>
        <v>100</v>
      </c>
      <c r="FF134">
        <f t="shared" si="101"/>
        <v>2</v>
      </c>
      <c r="FK134">
        <v>100</v>
      </c>
      <c r="FL134">
        <f>IF(PROFGRDGENE="Druiden",5,3)</f>
        <v>3</v>
      </c>
      <c r="FM134" t="b">
        <f t="shared" ca="1" si="102"/>
        <v>0</v>
      </c>
      <c r="FN134" t="b">
        <f t="shared" ca="1" si="103"/>
        <v>0</v>
      </c>
      <c r="GH134" t="s">
        <v>2862</v>
      </c>
      <c r="GI134" t="s">
        <v>1119</v>
      </c>
      <c r="GJ134">
        <v>2</v>
      </c>
      <c r="GK134" t="s">
        <v>4116</v>
      </c>
      <c r="GL134" t="s">
        <v>1976</v>
      </c>
      <c r="GM134" t="s">
        <v>1981</v>
      </c>
      <c r="GN134" t="s">
        <v>1973</v>
      </c>
      <c r="GO134">
        <v>279</v>
      </c>
      <c r="GP134">
        <v>324</v>
      </c>
      <c r="GR134">
        <f t="shared" si="111"/>
        <v>483</v>
      </c>
      <c r="GS134">
        <v>3</v>
      </c>
      <c r="GU134" t="str">
        <f t="shared" ca="1" si="112"/>
        <v/>
      </c>
      <c r="GV134" t="str">
        <f t="shared" ca="1" si="113"/>
        <v/>
      </c>
      <c r="GW134" t="str">
        <f t="shared" ca="1" si="114"/>
        <v/>
      </c>
      <c r="GX134" t="str">
        <f t="shared" ca="1" si="115"/>
        <v/>
      </c>
      <c r="HE134">
        <v>0</v>
      </c>
      <c r="HF134">
        <v>1</v>
      </c>
    </row>
    <row r="135" spans="1:216" x14ac:dyDescent="0.2">
      <c r="A135" t="s">
        <v>2440</v>
      </c>
      <c r="B135" t="s">
        <v>76</v>
      </c>
      <c r="C135" t="s">
        <v>77</v>
      </c>
      <c r="D135" t="s">
        <v>750</v>
      </c>
      <c r="E135" t="s">
        <v>1827</v>
      </c>
      <c r="F135" t="s">
        <v>1321</v>
      </c>
      <c r="L135" t="str">
        <f t="shared" si="109"/>
        <v/>
      </c>
      <c r="M135" t="str">
        <f t="shared" si="110"/>
        <v/>
      </c>
      <c r="N135" t="str">
        <f t="shared" si="94"/>
        <v>Musizieren</v>
      </c>
      <c r="P135">
        <f t="shared" si="93"/>
        <v>165</v>
      </c>
      <c r="R135" t="s">
        <v>152</v>
      </c>
      <c r="S135" t="s">
        <v>160</v>
      </c>
      <c r="T135" t="s">
        <v>1265</v>
      </c>
      <c r="U135">
        <v>2</v>
      </c>
      <c r="W135" t="s">
        <v>1845</v>
      </c>
      <c r="X135">
        <v>5</v>
      </c>
      <c r="Z135" t="s">
        <v>1380</v>
      </c>
      <c r="AC135">
        <v>5</v>
      </c>
      <c r="AH135" t="str">
        <f>"KK "&amp;Generierung!$R$4+5</f>
        <v>KK 19</v>
      </c>
      <c r="AI135">
        <v>65</v>
      </c>
      <c r="AS135" t="s">
        <v>3711</v>
      </c>
      <c r="AT135">
        <f ca="1">IF(AV135,3,10)</f>
        <v>10</v>
      </c>
      <c r="AU135">
        <v>7</v>
      </c>
      <c r="AV135" t="b">
        <f ca="1">IF(AND(
NOT(ISERR(FIND($R$82&amp;" "&amp;AS135,Abfragen!$U$81))),
NOT(ISERR(FIND($R$98&amp;" "&amp;AS135,Abfragen!$U$81)))),
TRUE,FALSE)</f>
        <v>0</v>
      </c>
      <c r="AX135" t="s">
        <v>1533</v>
      </c>
      <c r="AY135">
        <v>6</v>
      </c>
      <c r="AZ135">
        <v>2</v>
      </c>
      <c r="BG135">
        <v>5</v>
      </c>
      <c r="BK135" t="s">
        <v>5480</v>
      </c>
      <c r="CD135" t="s">
        <v>4753</v>
      </c>
      <c r="CE135" t="s">
        <v>904</v>
      </c>
      <c r="CF135" t="s">
        <v>272</v>
      </c>
      <c r="CG135" t="s">
        <v>898</v>
      </c>
      <c r="CH135">
        <v>0</v>
      </c>
      <c r="CI135">
        <v>4</v>
      </c>
      <c r="CJ135" t="s">
        <v>905</v>
      </c>
      <c r="CK135" t="s">
        <v>3044</v>
      </c>
      <c r="CL135" t="s">
        <v>1530</v>
      </c>
      <c r="CM135" t="s">
        <v>3629</v>
      </c>
      <c r="CN135" t="str">
        <f ca="1">IF(AND(ISERR(FIND($CK135,Talente!$CI$41)),ISNA(VLOOKUP($CK135,$AH$51:$AH$55,1))),IF(AND(ISERR(FIND($CL135,Talente!$CI$41)),ISNA(VLOOKUP($CL135,$AH$51:$AH$55,1))),$CM135,$CL135),$CK135)</f>
        <v>Infanteriewaffen</v>
      </c>
      <c r="CP135" t="s">
        <v>3305</v>
      </c>
      <c r="CQ135" t="s">
        <v>1433</v>
      </c>
      <c r="CR135">
        <v>14</v>
      </c>
      <c r="CU135" t="s">
        <v>3023</v>
      </c>
      <c r="CX135" t="s">
        <v>2692</v>
      </c>
      <c r="CY135" t="s">
        <v>74</v>
      </c>
      <c r="CZ135" t="s">
        <v>77</v>
      </c>
      <c r="DA135" t="s">
        <v>77</v>
      </c>
      <c r="DC135" t="s">
        <v>7297</v>
      </c>
      <c r="DD135" t="s">
        <v>3138</v>
      </c>
      <c r="DE135" t="s">
        <v>655</v>
      </c>
      <c r="DF135" t="s">
        <v>2212</v>
      </c>
      <c r="DG135" t="s">
        <v>1956</v>
      </c>
      <c r="DH135" t="s">
        <v>6899</v>
      </c>
      <c r="DI135" t="s">
        <v>3355</v>
      </c>
      <c r="DJ135">
        <v>2</v>
      </c>
      <c r="DK135">
        <f t="shared" si="72"/>
        <v>456</v>
      </c>
      <c r="DL135">
        <f t="shared" si="77"/>
        <v>133</v>
      </c>
      <c r="DM135">
        <v>146</v>
      </c>
      <c r="DN135" t="str">
        <f t="shared" ca="1" si="104"/>
        <v/>
      </c>
      <c r="DO135" t="str">
        <f t="shared" ca="1" si="105"/>
        <v/>
      </c>
      <c r="DP135" t="str">
        <f t="shared" ca="1" si="106"/>
        <v/>
      </c>
      <c r="DQ135" t="str">
        <f>IF(EXACT(Zauber!$A$250,""),"",IF(EXACT(RIGHT(HLOOKUP(Zauber!$A$250,PROFMAGIE,$DK135,FALSE)),"H"),CONCATENATE($CX135,","),""))</f>
        <v/>
      </c>
      <c r="DR135" t="str">
        <f t="shared" si="107"/>
        <v/>
      </c>
      <c r="DS135" t="str">
        <f>IF(ZS_IAAK="Ja",IF(EXACT(RIGHT(HLOOKUP(Tabellen_Magie!$IK$1,PROFMAGIE,$DK135,FALSE)),"H"),CONCATENATE($CX135,","),""),"")</f>
        <v/>
      </c>
      <c r="DT135" t="str">
        <f>IF(ZS_IAAK="Ja",IF(NOT(DS135=""),"",IF(OR(EXACT(RIGHT(HLOOKUP(Tabellen_Magie!$IK$1,PROFMAGIE,$DK135,FALSE)),"B"),EXACT(HLOOKUP(Tabellen_Magie!$IK$1,PROFMAGIE,$DK135,FALSE),"")),"",CONCATENATE($CX135,","))),"")</f>
        <v/>
      </c>
      <c r="DU135" t="str">
        <f t="shared" si="108"/>
        <v/>
      </c>
      <c r="DW135" t="s">
        <v>8654</v>
      </c>
      <c r="DX135" t="s">
        <v>76</v>
      </c>
      <c r="DY135" t="s">
        <v>77</v>
      </c>
      <c r="DZ135" t="s">
        <v>751</v>
      </c>
      <c r="EA135" t="s">
        <v>8655</v>
      </c>
      <c r="EB135" t="s">
        <v>1614</v>
      </c>
      <c r="EC135" t="s">
        <v>4565</v>
      </c>
      <c r="ED135">
        <f t="shared" si="99"/>
        <v>250</v>
      </c>
      <c r="EE135" t="s">
        <v>2683</v>
      </c>
      <c r="EH135">
        <f t="shared" si="100"/>
        <v>5</v>
      </c>
      <c r="EI135">
        <v>250</v>
      </c>
      <c r="FD135" t="s">
        <v>592</v>
      </c>
      <c r="FE135">
        <f>ROUND(FK135*IF(VT_AKADMAG,3/4,1)*IF(NT_ELFWELT,IF(FN135,1,1.5),1),0)</f>
        <v>200</v>
      </c>
      <c r="FF135">
        <f t="shared" si="101"/>
        <v>4</v>
      </c>
      <c r="FK135">
        <v>200</v>
      </c>
      <c r="FL135">
        <v>4</v>
      </c>
      <c r="FM135" t="b">
        <f t="shared" ca="1" si="102"/>
        <v>0</v>
      </c>
      <c r="FN135" t="b">
        <f t="shared" ca="1" si="103"/>
        <v>0</v>
      </c>
      <c r="GH135" t="s">
        <v>4879</v>
      </c>
      <c r="GI135" t="s">
        <v>1119</v>
      </c>
      <c r="GJ135">
        <v>2</v>
      </c>
      <c r="GK135" t="s">
        <v>4116</v>
      </c>
      <c r="GL135" t="s">
        <v>1976</v>
      </c>
      <c r="GM135" t="s">
        <v>1981</v>
      </c>
      <c r="GN135" t="s">
        <v>1973</v>
      </c>
      <c r="GO135">
        <v>279</v>
      </c>
      <c r="GP135">
        <v>325</v>
      </c>
      <c r="GR135">
        <f t="shared" si="111"/>
        <v>484</v>
      </c>
      <c r="GU135" t="str">
        <f t="shared" ca="1" si="112"/>
        <v/>
      </c>
      <c r="GV135" t="str">
        <f t="shared" ca="1" si="113"/>
        <v/>
      </c>
      <c r="GW135" t="str">
        <f t="shared" ca="1" si="114"/>
        <v/>
      </c>
      <c r="GX135" t="str">
        <f t="shared" ca="1" si="115"/>
        <v/>
      </c>
      <c r="HE135" t="s">
        <v>1369</v>
      </c>
      <c r="HF135">
        <v>1</v>
      </c>
    </row>
    <row r="136" spans="1:216" x14ac:dyDescent="0.2">
      <c r="A136" t="s">
        <v>2441</v>
      </c>
      <c r="B136" t="s">
        <v>76</v>
      </c>
      <c r="C136" t="s">
        <v>750</v>
      </c>
      <c r="D136" t="s">
        <v>750</v>
      </c>
      <c r="E136" t="s">
        <v>1827</v>
      </c>
      <c r="F136" t="s">
        <v>1321</v>
      </c>
      <c r="L136" t="str">
        <f t="shared" si="109"/>
        <v/>
      </c>
      <c r="M136" t="str">
        <f t="shared" si="110"/>
        <v/>
      </c>
      <c r="N136" t="str">
        <f t="shared" si="94"/>
        <v>Schlösser Knacken</v>
      </c>
      <c r="P136">
        <f t="shared" si="93"/>
        <v>166</v>
      </c>
      <c r="R136" t="s">
        <v>153</v>
      </c>
      <c r="S136" t="s">
        <v>161</v>
      </c>
      <c r="T136" t="s">
        <v>1266</v>
      </c>
      <c r="U136">
        <v>12</v>
      </c>
      <c r="W136" t="s">
        <v>1709</v>
      </c>
      <c r="X136">
        <v>3</v>
      </c>
      <c r="Z136" t="s">
        <v>3647</v>
      </c>
      <c r="AA136">
        <v>1</v>
      </c>
      <c r="AB136">
        <v>12</v>
      </c>
      <c r="AD136" t="s">
        <v>3995</v>
      </c>
      <c r="AH136" t="str">
        <f>"KL "&amp;Generierung!$R$4+1</f>
        <v>KL 15</v>
      </c>
      <c r="AI136">
        <v>9</v>
      </c>
      <c r="AS136" t="s">
        <v>3726</v>
      </c>
      <c r="AT136">
        <f ca="1">IF(AV136,2,5)</f>
        <v>5</v>
      </c>
      <c r="AU136">
        <v>3</v>
      </c>
      <c r="AV136" t="b">
        <f ca="1">IF(AND(
NOT(ISERR(FIND($R$82&amp;" "&amp;AS136,Abfragen!$U$81))),
NOT(ISERR(FIND($R$98&amp;" "&amp;AS136,Abfragen!$U$81)))),
TRUE,FALSE)</f>
        <v>0</v>
      </c>
      <c r="AX136" t="s">
        <v>4115</v>
      </c>
      <c r="AY136">
        <v>4</v>
      </c>
      <c r="AZ136">
        <v>1</v>
      </c>
      <c r="BA136" t="s">
        <v>4985</v>
      </c>
      <c r="BG136">
        <v>5</v>
      </c>
      <c r="BK136" t="s">
        <v>5481</v>
      </c>
      <c r="BL136">
        <v>13</v>
      </c>
      <c r="BM136">
        <v>12</v>
      </c>
      <c r="BN136" t="s">
        <v>5482</v>
      </c>
      <c r="BO136">
        <v>12</v>
      </c>
      <c r="BP136" t="s">
        <v>5483</v>
      </c>
      <c r="BQ136">
        <v>2</v>
      </c>
      <c r="BR136">
        <v>12</v>
      </c>
      <c r="BS136" t="s">
        <v>5484</v>
      </c>
      <c r="BT136" t="s">
        <v>5485</v>
      </c>
      <c r="BU136">
        <v>30</v>
      </c>
      <c r="BW136">
        <v>6</v>
      </c>
      <c r="BY136" t="s">
        <v>4985</v>
      </c>
      <c r="BZ136" t="s">
        <v>4985</v>
      </c>
      <c r="CA136" t="s">
        <v>5486</v>
      </c>
      <c r="CD136" t="s">
        <v>7171</v>
      </c>
      <c r="CE136" t="s">
        <v>4549</v>
      </c>
      <c r="CF136" t="s">
        <v>7172</v>
      </c>
      <c r="CG136" t="s">
        <v>908</v>
      </c>
      <c r="CH136">
        <v>0</v>
      </c>
      <c r="CI136">
        <v>4</v>
      </c>
      <c r="CJ136" t="s">
        <v>905</v>
      </c>
      <c r="CK136" t="s">
        <v>2190</v>
      </c>
      <c r="CL136" t="s">
        <v>1530</v>
      </c>
      <c r="CN136" t="str">
        <f ca="1">IF(AND(ISERR(FIND($CK136,Talente!$CI$41)),ISNA(VLOOKUP($CK136,$AH$51:$AH$55,1))),IF(AND(ISERR(FIND($CL136,Talente!$CI$41)),ISNA(VLOOKUP($CL136,$AH$51:$AH$55,1))),$CM136,$CL136),$CK136)</f>
        <v>Hiebwaffen</v>
      </c>
      <c r="CP136" t="s">
        <v>3306</v>
      </c>
      <c r="CQ136" t="s">
        <v>1433</v>
      </c>
      <c r="CR136">
        <v>10</v>
      </c>
      <c r="CU136" t="s">
        <v>7162</v>
      </c>
      <c r="CX136" t="s">
        <v>2002</v>
      </c>
      <c r="CY136" t="s">
        <v>74</v>
      </c>
      <c r="CZ136" t="s">
        <v>76</v>
      </c>
      <c r="DA136" t="s">
        <v>77</v>
      </c>
      <c r="DB136" t="s">
        <v>2042</v>
      </c>
      <c r="DC136" t="s">
        <v>7291</v>
      </c>
      <c r="DD136" t="s">
        <v>3940</v>
      </c>
      <c r="DE136" t="s">
        <v>3380</v>
      </c>
      <c r="DF136" t="s">
        <v>1730</v>
      </c>
      <c r="DG136" t="s">
        <v>1956</v>
      </c>
      <c r="DH136" t="s">
        <v>6929</v>
      </c>
      <c r="DI136" t="s">
        <v>2940</v>
      </c>
      <c r="DJ136">
        <v>2</v>
      </c>
      <c r="DK136">
        <f t="shared" si="72"/>
        <v>457</v>
      </c>
      <c r="DL136">
        <f t="shared" si="77"/>
        <v>134</v>
      </c>
      <c r="DM136">
        <v>121</v>
      </c>
      <c r="DN136" t="str">
        <f t="shared" ca="1" si="104"/>
        <v/>
      </c>
      <c r="DO136" t="str">
        <f t="shared" ca="1" si="105"/>
        <v/>
      </c>
      <c r="DP136" t="str">
        <f t="shared" ca="1" si="106"/>
        <v/>
      </c>
      <c r="DQ136" t="str">
        <f>IF(EXACT(Zauber!$A$250,""),"",IF(EXACT(RIGHT(HLOOKUP(Zauber!$A$250,PROFMAGIE,$DK136,FALSE)),"H"),CONCATENATE($CX136,","),""))</f>
        <v/>
      </c>
      <c r="DR136" t="str">
        <f t="shared" si="107"/>
        <v/>
      </c>
      <c r="DS136" t="str">
        <f>IF(ZS_IAAK="Ja",IF(EXACT(RIGHT(HLOOKUP(Tabellen_Magie!$IK$1,PROFMAGIE,$DK136,FALSE)),"H"),CONCATENATE($CX136,","),""),"")</f>
        <v/>
      </c>
      <c r="DT136" t="str">
        <f>IF(ZS_IAAK="Ja",IF(NOT(DS136=""),"",IF(OR(EXACT(RIGHT(HLOOKUP(Tabellen_Magie!$IK$1,PROFMAGIE,$DK136,FALSE)),"B"),EXACT(HLOOKUP(Tabellen_Magie!$IK$1,PROFMAGIE,$DK136,FALSE),"")),"",CONCATENATE($CX136,","))),"")</f>
        <v/>
      </c>
      <c r="DU136" t="str">
        <f t="shared" si="108"/>
        <v/>
      </c>
      <c r="DW136" t="s">
        <v>8656</v>
      </c>
      <c r="DX136" t="s">
        <v>76</v>
      </c>
      <c r="DY136" t="s">
        <v>77</v>
      </c>
      <c r="DZ136" t="s">
        <v>751</v>
      </c>
      <c r="EA136" t="s">
        <v>8655</v>
      </c>
      <c r="EB136" t="s">
        <v>1614</v>
      </c>
      <c r="EC136" t="s">
        <v>4565</v>
      </c>
      <c r="ED136">
        <f t="shared" si="99"/>
        <v>250</v>
      </c>
      <c r="EE136" t="s">
        <v>2682</v>
      </c>
      <c r="EH136">
        <f t="shared" si="100"/>
        <v>5</v>
      </c>
      <c r="EI136">
        <v>250</v>
      </c>
      <c r="FD136" t="s">
        <v>2188</v>
      </c>
      <c r="FE136">
        <f>ROUND(FK136*IF(VT_AKADMAG,3/4,1)*IF(NT_ELFWELT,IF(FN136,1,1.5),1),0)</f>
        <v>300</v>
      </c>
      <c r="FF136">
        <f t="shared" si="101"/>
        <v>6</v>
      </c>
      <c r="FK136">
        <v>300</v>
      </c>
      <c r="FL136">
        <v>3</v>
      </c>
      <c r="FM136" t="b">
        <f t="shared" ca="1" si="102"/>
        <v>0</v>
      </c>
      <c r="FN136" t="b">
        <f t="shared" ca="1" si="103"/>
        <v>0</v>
      </c>
      <c r="GH136" t="s">
        <v>9334</v>
      </c>
      <c r="GI136" t="s">
        <v>1119</v>
      </c>
      <c r="GJ136">
        <v>2</v>
      </c>
      <c r="GK136" t="s">
        <v>4484</v>
      </c>
      <c r="GL136" t="s">
        <v>567</v>
      </c>
      <c r="GM136" t="s">
        <v>1983</v>
      </c>
      <c r="GN136" t="s">
        <v>1974</v>
      </c>
      <c r="GO136" t="s">
        <v>9314</v>
      </c>
      <c r="GP136">
        <v>328</v>
      </c>
      <c r="GR136">
        <f t="shared" si="111"/>
        <v>485</v>
      </c>
      <c r="GS136">
        <v>3</v>
      </c>
      <c r="GU136" t="str">
        <f t="shared" ca="1" si="112"/>
        <v/>
      </c>
      <c r="GV136" t="str">
        <f t="shared" ca="1" si="113"/>
        <v/>
      </c>
      <c r="GW136" t="str">
        <f t="shared" ca="1" si="114"/>
        <v/>
      </c>
      <c r="GX136" t="str">
        <f t="shared" ca="1" si="115"/>
        <v/>
      </c>
      <c r="HE136" t="s">
        <v>1196</v>
      </c>
      <c r="HF136">
        <v>2</v>
      </c>
    </row>
    <row r="137" spans="1:216" ht="14.25" customHeight="1" x14ac:dyDescent="0.2">
      <c r="A137" t="s">
        <v>3393</v>
      </c>
      <c r="B137" t="s">
        <v>75</v>
      </c>
      <c r="C137" t="s">
        <v>76</v>
      </c>
      <c r="D137" t="s">
        <v>750</v>
      </c>
      <c r="E137" t="s">
        <v>1320</v>
      </c>
      <c r="F137" t="s">
        <v>1321</v>
      </c>
      <c r="L137" t="str">
        <f t="shared" si="109"/>
        <v/>
      </c>
      <c r="M137" t="str">
        <f t="shared" si="110"/>
        <v/>
      </c>
      <c r="N137" t="str">
        <f t="shared" si="94"/>
        <v>Schnaps Brennen</v>
      </c>
      <c r="P137">
        <f t="shared" si="93"/>
        <v>167</v>
      </c>
      <c r="R137" t="s">
        <v>151</v>
      </c>
      <c r="S137" t="s">
        <v>1258</v>
      </c>
      <c r="T137" t="s">
        <v>1267</v>
      </c>
      <c r="U137">
        <v>2</v>
      </c>
      <c r="Z137" t="s">
        <v>761</v>
      </c>
      <c r="AC137">
        <f>IF(EXACT(PROFGEBGENE,"Magie"),15,10)</f>
        <v>10</v>
      </c>
      <c r="AH137" t="str">
        <f>"KL "&amp;Generierung!$R$4+2</f>
        <v>KL 16</v>
      </c>
      <c r="AI137">
        <v>20</v>
      </c>
      <c r="AS137" t="s">
        <v>3734</v>
      </c>
      <c r="AT137">
        <f ca="1">IF(AV137,2,5)</f>
        <v>5</v>
      </c>
      <c r="AU137">
        <v>3</v>
      </c>
      <c r="AV137" t="b">
        <f ca="1">IF(AND(
NOT(ISERR(FIND($R$82&amp;" "&amp;AS137,Abfragen!$U$81))),
NOT(ISERR(FIND($R$98&amp;" "&amp;AS137,Abfragen!$U$81)))),
TRUE,FALSE)</f>
        <v>0</v>
      </c>
      <c r="AX137" t="s">
        <v>1304</v>
      </c>
      <c r="AY137">
        <v>4</v>
      </c>
      <c r="AZ137">
        <v>1</v>
      </c>
      <c r="BA137" t="s">
        <v>2558</v>
      </c>
      <c r="BB137" t="s">
        <v>1772</v>
      </c>
      <c r="BC137" t="s">
        <v>1773</v>
      </c>
      <c r="BG137">
        <v>5</v>
      </c>
      <c r="BK137" t="s">
        <v>5487</v>
      </c>
      <c r="BL137">
        <v>15</v>
      </c>
      <c r="BM137">
        <v>16</v>
      </c>
      <c r="BN137" t="s">
        <v>5482</v>
      </c>
      <c r="BO137">
        <v>7</v>
      </c>
      <c r="BP137" t="s">
        <v>5488</v>
      </c>
      <c r="BQ137">
        <v>2</v>
      </c>
      <c r="BR137">
        <v>65</v>
      </c>
      <c r="BS137" t="s">
        <v>5489</v>
      </c>
      <c r="BT137" t="s">
        <v>5490</v>
      </c>
      <c r="BU137">
        <v>60</v>
      </c>
      <c r="BW137">
        <v>1</v>
      </c>
      <c r="BY137" t="s">
        <v>4985</v>
      </c>
      <c r="BZ137" t="s">
        <v>4985</v>
      </c>
      <c r="CA137" t="s">
        <v>5491</v>
      </c>
      <c r="CD137" t="s">
        <v>4754</v>
      </c>
      <c r="CE137" t="s">
        <v>916</v>
      </c>
      <c r="CF137" t="s">
        <v>917</v>
      </c>
      <c r="CG137" t="s">
        <v>908</v>
      </c>
      <c r="CH137">
        <v>0</v>
      </c>
      <c r="CI137">
        <v>1</v>
      </c>
      <c r="CJ137" t="s">
        <v>4001</v>
      </c>
      <c r="CK137" t="s">
        <v>1957</v>
      </c>
      <c r="CN137" t="str">
        <f ca="1">IF(AND(ISERR(FIND($CK137,Talente!$CI$41)),ISNA(VLOOKUP($CK137,$AH$51:$AH$55,1))),IF(AND(ISERR(FIND($CL137,Talente!$CI$41)),ISNA(VLOOKUP($CL137,$AH$51:$AH$55,1))),$CM137,$CL137),$CK137)</f>
        <v>Dolche</v>
      </c>
      <c r="CP137" t="s">
        <v>3861</v>
      </c>
      <c r="CQ137" t="s">
        <v>1433</v>
      </c>
      <c r="CR137">
        <v>12</v>
      </c>
      <c r="CU137" t="s">
        <v>3024</v>
      </c>
      <c r="CX137" t="s">
        <v>530</v>
      </c>
      <c r="CY137" t="s">
        <v>75</v>
      </c>
      <c r="CZ137" t="s">
        <v>750</v>
      </c>
      <c r="DA137" t="s">
        <v>5030</v>
      </c>
      <c r="DC137" t="s">
        <v>7294</v>
      </c>
      <c r="DD137" t="s">
        <v>654</v>
      </c>
      <c r="DE137" t="s">
        <v>655</v>
      </c>
      <c r="DF137" t="s">
        <v>81</v>
      </c>
      <c r="DG137" t="s">
        <v>1956</v>
      </c>
      <c r="DH137" t="s">
        <v>8411</v>
      </c>
      <c r="DI137" t="s">
        <v>2822</v>
      </c>
      <c r="DJ137">
        <v>2</v>
      </c>
      <c r="DK137">
        <f t="shared" si="72"/>
        <v>458</v>
      </c>
      <c r="DL137">
        <f t="shared" si="77"/>
        <v>135</v>
      </c>
      <c r="DM137">
        <v>122</v>
      </c>
      <c r="DN137" t="str">
        <f t="shared" ca="1" si="104"/>
        <v/>
      </c>
      <c r="DO137" t="str">
        <f t="shared" ca="1" si="105"/>
        <v/>
      </c>
      <c r="DP137" t="str">
        <f t="shared" ca="1" si="106"/>
        <v/>
      </c>
      <c r="DQ137" t="str">
        <f>IF(EXACT(Zauber!$A$250,""),"",IF(EXACT(RIGHT(HLOOKUP(Zauber!$A$250,PROFMAGIE,$DK137,FALSE)),"H"),CONCATENATE($CX137,","),""))</f>
        <v/>
      </c>
      <c r="DR137" t="str">
        <f t="shared" si="107"/>
        <v/>
      </c>
      <c r="DS137" t="str">
        <f>IF(ZS_IAAK="Ja",IF(EXACT(RIGHT(HLOOKUP(Tabellen_Magie!$IK$1,PROFMAGIE,$DK137,FALSE)),"H"),CONCATENATE($CX137,","),""),"")</f>
        <v/>
      </c>
      <c r="DT137" t="str">
        <f>IF(ZS_IAAK="Ja",IF(NOT(DS137=""),"",IF(OR(EXACT(RIGHT(HLOOKUP(Tabellen_Magie!$IK$1,PROFMAGIE,$DK137,FALSE)),"B"),EXACT(HLOOKUP(Tabellen_Magie!$IK$1,PROFMAGIE,$DK137,FALSE),"")),"",CONCATENATE($CX137,","))),"")</f>
        <v/>
      </c>
      <c r="DU137" t="str">
        <f t="shared" si="108"/>
        <v/>
      </c>
      <c r="DW137" t="s">
        <v>2916</v>
      </c>
      <c r="DX137" t="s">
        <v>77</v>
      </c>
      <c r="DY137" t="s">
        <v>77</v>
      </c>
      <c r="DZ137" t="s">
        <v>751</v>
      </c>
      <c r="EA137" t="s">
        <v>53</v>
      </c>
      <c r="EB137" t="s">
        <v>54</v>
      </c>
      <c r="EC137" t="s">
        <v>8646</v>
      </c>
      <c r="ED137">
        <f t="shared" si="99"/>
        <v>100</v>
      </c>
      <c r="EE137" t="s">
        <v>2683</v>
      </c>
      <c r="EH137">
        <f t="shared" si="100"/>
        <v>2</v>
      </c>
      <c r="EI137">
        <v>100</v>
      </c>
      <c r="FD137" t="s">
        <v>2189</v>
      </c>
      <c r="FE137">
        <f>ROUND(IF(VT_AFF_ELEM,500,FK137)*IF(VT_AKADMAG,3/4,1)*IF(NT_ELFWELT,IF(FN137,1,1.5),1),0)</f>
        <v>700</v>
      </c>
      <c r="FF137">
        <f t="shared" si="101"/>
        <v>14</v>
      </c>
      <c r="FK137">
        <v>700</v>
      </c>
      <c r="FL137">
        <v>2</v>
      </c>
      <c r="FM137" t="b">
        <f t="shared" ca="1" si="102"/>
        <v>0</v>
      </c>
      <c r="FN137" t="b">
        <f t="shared" ca="1" si="103"/>
        <v>0</v>
      </c>
      <c r="GH137" t="s">
        <v>4865</v>
      </c>
      <c r="GI137" t="s">
        <v>1119</v>
      </c>
      <c r="GJ137">
        <v>2</v>
      </c>
      <c r="GK137" t="s">
        <v>4484</v>
      </c>
      <c r="GL137" t="s">
        <v>1977</v>
      </c>
      <c r="GM137" t="s">
        <v>3961</v>
      </c>
      <c r="GN137" t="s">
        <v>1974</v>
      </c>
      <c r="GO137">
        <v>268</v>
      </c>
      <c r="GP137">
        <v>335</v>
      </c>
      <c r="GR137">
        <f t="shared" si="111"/>
        <v>486</v>
      </c>
      <c r="GU137" t="str">
        <f t="shared" ca="1" si="112"/>
        <v/>
      </c>
      <c r="GV137" t="str">
        <f t="shared" ca="1" si="113"/>
        <v/>
      </c>
      <c r="GW137" t="str">
        <f t="shared" ca="1" si="114"/>
        <v/>
      </c>
      <c r="GX137" t="str">
        <f t="shared" ca="1" si="115"/>
        <v/>
      </c>
      <c r="HE137" t="s">
        <v>2400</v>
      </c>
      <c r="HF137">
        <v>3</v>
      </c>
    </row>
    <row r="138" spans="1:216" x14ac:dyDescent="0.2">
      <c r="A138" t="s">
        <v>3394</v>
      </c>
      <c r="B138" t="s">
        <v>75</v>
      </c>
      <c r="C138" t="s">
        <v>750</v>
      </c>
      <c r="D138" t="s">
        <v>750</v>
      </c>
      <c r="E138" t="s">
        <v>1321</v>
      </c>
      <c r="F138" t="s">
        <v>1321</v>
      </c>
      <c r="L138" t="str">
        <f t="shared" si="109"/>
        <v/>
      </c>
      <c r="M138" t="str">
        <f t="shared" si="110"/>
        <v/>
      </c>
      <c r="N138" t="str">
        <f t="shared" si="94"/>
        <v>Schneidern</v>
      </c>
      <c r="P138">
        <f t="shared" si="93"/>
        <v>168</v>
      </c>
      <c r="R138" t="s">
        <v>1062</v>
      </c>
      <c r="S138" t="s">
        <v>1259</v>
      </c>
      <c r="T138" t="s">
        <v>1268</v>
      </c>
      <c r="U138">
        <v>2</v>
      </c>
      <c r="Z138" t="s">
        <v>4650</v>
      </c>
      <c r="AC138">
        <v>10</v>
      </c>
      <c r="AE138" t="s">
        <v>1571</v>
      </c>
      <c r="AH138" t="str">
        <f>"KL "&amp;Generierung!$R$4+3</f>
        <v>KL 17</v>
      </c>
      <c r="AI138">
        <v>33</v>
      </c>
      <c r="AS138" t="s">
        <v>3710</v>
      </c>
      <c r="AT138">
        <f ca="1">IF(AV138,3,10)</f>
        <v>10</v>
      </c>
      <c r="AU138">
        <v>7</v>
      </c>
      <c r="AV138" t="b">
        <f ca="1">IF(AND(
NOT(ISERR(FIND($R$82&amp;" "&amp;AS138,Abfragen!$U$81))),
NOT(ISERR(FIND($R$98&amp;" "&amp;AS138,Abfragen!$U$81)))),
TRUE,FALSE)</f>
        <v>0</v>
      </c>
      <c r="AX138" t="s">
        <v>1534</v>
      </c>
      <c r="AY138">
        <v>6</v>
      </c>
      <c r="AZ138">
        <v>2</v>
      </c>
      <c r="BG138">
        <v>5</v>
      </c>
      <c r="BK138" t="s">
        <v>5492</v>
      </c>
      <c r="BL138" t="s">
        <v>5493</v>
      </c>
      <c r="BM138">
        <v>18</v>
      </c>
      <c r="BN138" t="s">
        <v>5494</v>
      </c>
      <c r="BO138">
        <v>12</v>
      </c>
      <c r="BP138" t="s">
        <v>5495</v>
      </c>
      <c r="BQ138">
        <v>1</v>
      </c>
      <c r="BR138">
        <v>65</v>
      </c>
      <c r="BS138">
        <v>12</v>
      </c>
      <c r="BT138" t="s">
        <v>5167</v>
      </c>
      <c r="BU138" t="s">
        <v>5179</v>
      </c>
      <c r="CA138" t="s">
        <v>5496</v>
      </c>
      <c r="CD138" t="s">
        <v>4755</v>
      </c>
      <c r="CE138" t="s">
        <v>5091</v>
      </c>
      <c r="CF138" t="s">
        <v>897</v>
      </c>
      <c r="CG138" t="s">
        <v>898</v>
      </c>
      <c r="CH138">
        <v>0</v>
      </c>
      <c r="CI138">
        <v>1</v>
      </c>
      <c r="CJ138" t="s">
        <v>899</v>
      </c>
      <c r="CK138" t="s">
        <v>1938</v>
      </c>
      <c r="CN138" t="str">
        <f ca="1">IF(AND(ISERR(FIND($CK138,Talente!$CI$41)),ISNA(VLOOKUP($CK138,$AH$51:$AH$55,1))),IF(AND(ISERR(FIND($CL138,Talente!$CI$41)),ISNA(VLOOKUP($CL138,$AH$51:$AH$55,1))),$CM138,$CL138),$CK138)</f>
        <v>Schwerter</v>
      </c>
      <c r="CP138" t="s">
        <v>3862</v>
      </c>
      <c r="CQ138" t="s">
        <v>1433</v>
      </c>
      <c r="CR138" t="s">
        <v>1620</v>
      </c>
      <c r="CU138" t="s">
        <v>7163</v>
      </c>
      <c r="CX138" t="s">
        <v>8400</v>
      </c>
      <c r="CY138" t="s">
        <v>74</v>
      </c>
      <c r="CZ138" t="s">
        <v>76</v>
      </c>
      <c r="DA138" t="s">
        <v>5030</v>
      </c>
      <c r="DC138" t="s">
        <v>7297</v>
      </c>
      <c r="DD138" t="s">
        <v>656</v>
      </c>
      <c r="DE138" t="s">
        <v>657</v>
      </c>
      <c r="DF138" t="s">
        <v>81</v>
      </c>
      <c r="DG138" t="s">
        <v>1955</v>
      </c>
      <c r="DH138" t="s">
        <v>8412</v>
      </c>
      <c r="DI138" t="s">
        <v>8458</v>
      </c>
      <c r="DJ138">
        <v>2</v>
      </c>
      <c r="DK138">
        <f t="shared" si="72"/>
        <v>459</v>
      </c>
      <c r="DL138">
        <f t="shared" si="77"/>
        <v>136</v>
      </c>
      <c r="DM138">
        <v>124</v>
      </c>
      <c r="DN138" t="str">
        <f t="shared" ca="1" si="104"/>
        <v/>
      </c>
      <c r="DO138" t="str">
        <f t="shared" ca="1" si="105"/>
        <v/>
      </c>
      <c r="DP138" t="str">
        <f t="shared" ca="1" si="106"/>
        <v/>
      </c>
      <c r="DQ138" t="str">
        <f>IF(EXACT(Zauber!$A$250,""),"",IF(EXACT(RIGHT(HLOOKUP(Zauber!$A$250,PROFMAGIE,$DK138,FALSE)),"H"),CONCATENATE($CX138,","),""))</f>
        <v/>
      </c>
      <c r="DR138" t="str">
        <f t="shared" si="107"/>
        <v/>
      </c>
      <c r="DS138" t="str">
        <f>IF(ZS_IAAK="Ja",IF(EXACT(RIGHT(HLOOKUP(Tabellen_Magie!$IK$1,PROFMAGIE,$DK138,FALSE)),"H"),CONCATENATE($CX138,","),""),"")</f>
        <v/>
      </c>
      <c r="DT138" t="str">
        <f>IF(ZS_IAAK="Ja",IF(NOT(DS138=""),"",IF(OR(EXACT(RIGHT(HLOOKUP(Tabellen_Magie!$IK$1,PROFMAGIE,$DK138,FALSE)),"B"),EXACT(HLOOKUP(Tabellen_Magie!$IK$1,PROFMAGIE,$DK138,FALSE),"")),"",CONCATENATE($CX138,","))),"")</f>
        <v/>
      </c>
      <c r="DU138" t="str">
        <f t="shared" si="108"/>
        <v/>
      </c>
      <c r="DW138" t="s">
        <v>3632</v>
      </c>
      <c r="DX138" t="s">
        <v>74</v>
      </c>
      <c r="DY138" t="s">
        <v>77</v>
      </c>
      <c r="DZ138" t="s">
        <v>77</v>
      </c>
      <c r="EA138" t="s">
        <v>2678</v>
      </c>
      <c r="EB138" t="s">
        <v>54</v>
      </c>
      <c r="EC138" t="s">
        <v>1481</v>
      </c>
      <c r="ED138">
        <f t="shared" si="99"/>
        <v>150</v>
      </c>
      <c r="EE138" t="s">
        <v>2683</v>
      </c>
      <c r="EH138">
        <f t="shared" si="100"/>
        <v>3</v>
      </c>
      <c r="EI138">
        <v>150</v>
      </c>
      <c r="FD138" t="s">
        <v>4674</v>
      </c>
      <c r="FE138">
        <f>ROUND(FK138*IF(VT_EIDGED,0.5,IF(VT_GUTGED,0.75,1))*IF(NT_ELFWELT,IF(FN126,1,1.5),1),0)</f>
        <v>200</v>
      </c>
      <c r="FF138">
        <f t="shared" si="101"/>
        <v>4</v>
      </c>
      <c r="FK138">
        <v>200</v>
      </c>
      <c r="FL138">
        <v>4</v>
      </c>
      <c r="FM138" t="b">
        <f t="shared" ca="1" si="102"/>
        <v>0</v>
      </c>
      <c r="FN138" t="b">
        <f t="shared" ca="1" si="103"/>
        <v>0</v>
      </c>
      <c r="GH138" t="s">
        <v>646</v>
      </c>
      <c r="GI138" t="s">
        <v>1119</v>
      </c>
      <c r="GJ138">
        <v>2</v>
      </c>
      <c r="GK138" t="s">
        <v>1320</v>
      </c>
      <c r="GL138" t="s">
        <v>1976</v>
      </c>
      <c r="GM138" t="s">
        <v>1984</v>
      </c>
      <c r="GN138" t="s">
        <v>1690</v>
      </c>
      <c r="GO138">
        <v>261</v>
      </c>
      <c r="GP138">
        <v>183</v>
      </c>
      <c r="GR138">
        <f t="shared" si="111"/>
        <v>487</v>
      </c>
      <c r="GU138" t="str">
        <f t="shared" ca="1" si="112"/>
        <v/>
      </c>
      <c r="GV138" t="str">
        <f t="shared" ca="1" si="113"/>
        <v/>
      </c>
      <c r="GW138" t="str">
        <f t="shared" ca="1" si="114"/>
        <v/>
      </c>
      <c r="GX138" t="str">
        <f t="shared" ca="1" si="115"/>
        <v/>
      </c>
      <c r="HE138" t="s">
        <v>2991</v>
      </c>
      <c r="HF138">
        <v>4</v>
      </c>
    </row>
    <row r="139" spans="1:216" x14ac:dyDescent="0.2">
      <c r="A139" t="s">
        <v>3908</v>
      </c>
      <c r="B139" t="s">
        <v>750</v>
      </c>
      <c r="C139" t="s">
        <v>751</v>
      </c>
      <c r="D139" t="s">
        <v>752</v>
      </c>
      <c r="E139" t="s">
        <v>1320</v>
      </c>
      <c r="F139" t="s">
        <v>1321</v>
      </c>
      <c r="L139" t="str">
        <f t="shared" si="109"/>
        <v/>
      </c>
      <c r="M139" t="str">
        <f t="shared" si="110"/>
        <v/>
      </c>
      <c r="N139" t="str">
        <f t="shared" si="94"/>
        <v>Seefahrt</v>
      </c>
      <c r="P139">
        <f t="shared" si="93"/>
        <v>169</v>
      </c>
      <c r="R139" t="s">
        <v>154</v>
      </c>
      <c r="S139" t="s">
        <v>1260</v>
      </c>
      <c r="T139" t="s">
        <v>4904</v>
      </c>
      <c r="U139">
        <v>13</v>
      </c>
      <c r="Z139" t="s">
        <v>4651</v>
      </c>
      <c r="AA139">
        <v>1</v>
      </c>
      <c r="AB139">
        <v>12</v>
      </c>
      <c r="AH139" t="str">
        <f>"KL "&amp;Generierung!$R$4+4</f>
        <v>KL 18</v>
      </c>
      <c r="AI139">
        <v>48</v>
      </c>
      <c r="AS139" t="s">
        <v>3727</v>
      </c>
      <c r="AT139">
        <f t="shared" ref="AT139:AT145" ca="1" si="116">IF(AV139,2,5)</f>
        <v>5</v>
      </c>
      <c r="AU139">
        <v>3</v>
      </c>
      <c r="AV139" t="b">
        <f ca="1">IF(AND(
NOT(ISERR(FIND($R$82&amp;" "&amp;AS139,Abfragen!$U$81))),
NOT(ISERR(FIND($R$98&amp;" "&amp;AS139,Abfragen!$U$81)))),
TRUE,FALSE)</f>
        <v>0</v>
      </c>
      <c r="AX139" t="s">
        <v>3629</v>
      </c>
      <c r="AY139">
        <v>6</v>
      </c>
      <c r="AZ139">
        <v>2</v>
      </c>
      <c r="BG139">
        <v>5</v>
      </c>
      <c r="BK139" t="s">
        <v>5497</v>
      </c>
      <c r="CD139" t="s">
        <v>4756</v>
      </c>
      <c r="CE139" t="s">
        <v>4549</v>
      </c>
      <c r="CF139" t="s">
        <v>3231</v>
      </c>
      <c r="CG139" t="s">
        <v>3233</v>
      </c>
      <c r="CH139">
        <v>-2</v>
      </c>
      <c r="CI139">
        <v>7</v>
      </c>
      <c r="CJ139" t="s">
        <v>1827</v>
      </c>
      <c r="CK139" t="s">
        <v>3044</v>
      </c>
      <c r="CN139" t="str">
        <f ca="1">IF(AND(ISERR(FIND($CK139,Talente!$CI$41)),ISNA(VLOOKUP($CK139,$AH$51:$AH$55,1))),IF(AND(ISERR(FIND($CL139,Talente!$CI$41)),ISNA(VLOOKUP($CL139,$AH$51:$AH$55,1))),$CM139,$CL139),$CK139)</f>
        <v>Infanteriewaffen</v>
      </c>
      <c r="CP139" t="s">
        <v>3307</v>
      </c>
      <c r="CQ139" t="s">
        <v>1433</v>
      </c>
      <c r="CR139">
        <v>10</v>
      </c>
      <c r="CU139" t="s">
        <v>1934</v>
      </c>
      <c r="CX139" t="s">
        <v>531</v>
      </c>
      <c r="CY139" t="s">
        <v>76</v>
      </c>
      <c r="CZ139" t="s">
        <v>77</v>
      </c>
      <c r="DA139" t="s">
        <v>5030</v>
      </c>
      <c r="DB139" t="s">
        <v>1613</v>
      </c>
      <c r="DC139" t="s">
        <v>7288</v>
      </c>
      <c r="DD139" t="s">
        <v>124</v>
      </c>
      <c r="DE139" t="s">
        <v>2254</v>
      </c>
      <c r="DF139" t="s">
        <v>81</v>
      </c>
      <c r="DG139" t="s">
        <v>1956</v>
      </c>
      <c r="DH139" t="s">
        <v>6887</v>
      </c>
      <c r="DI139" t="s">
        <v>2825</v>
      </c>
      <c r="DJ139">
        <v>2</v>
      </c>
      <c r="DK139">
        <f t="shared" si="72"/>
        <v>460</v>
      </c>
      <c r="DL139">
        <f t="shared" si="77"/>
        <v>137</v>
      </c>
      <c r="DM139">
        <v>79</v>
      </c>
      <c r="DN139" t="str">
        <f t="shared" ca="1" si="104"/>
        <v/>
      </c>
      <c r="DO139" t="str">
        <f t="shared" ca="1" si="105"/>
        <v/>
      </c>
      <c r="DP139" t="str">
        <f t="shared" ca="1" si="106"/>
        <v/>
      </c>
      <c r="DQ139" t="str">
        <f>IF(EXACT(Zauber!$A$250,""),"",IF(EXACT(RIGHT(HLOOKUP(Zauber!$A$250,PROFMAGIE,$DK139,FALSE)),"H"),CONCATENATE($CX139,","),""))</f>
        <v/>
      </c>
      <c r="DR139" t="str">
        <f t="shared" si="107"/>
        <v/>
      </c>
      <c r="DS139" t="str">
        <f>IF(ZS_IAAK="Ja",IF(EXACT(RIGHT(HLOOKUP(Tabellen_Magie!$IK$1,PROFMAGIE,$DK139,FALSE)),"H"),CONCATENATE($CX139,","),""),"")</f>
        <v/>
      </c>
      <c r="DT139" t="str">
        <f>IF(ZS_IAAK="Ja",IF(NOT(DS139=""),"",IF(OR(EXACT(RIGHT(HLOOKUP(Tabellen_Magie!$IK$1,PROFMAGIE,$DK139,FALSE)),"B"),EXACT(HLOOKUP(Tabellen_Magie!$IK$1,PROFMAGIE,$DK139,FALSE),"")),"",CONCATENATE($CX139,","))),"")</f>
        <v/>
      </c>
      <c r="DU139" t="str">
        <f t="shared" si="108"/>
        <v/>
      </c>
      <c r="DW139" t="s">
        <v>8657</v>
      </c>
      <c r="DX139" t="s">
        <v>76</v>
      </c>
      <c r="DY139" t="s">
        <v>77</v>
      </c>
      <c r="DZ139" t="s">
        <v>751</v>
      </c>
      <c r="EA139" t="s">
        <v>2678</v>
      </c>
      <c r="EB139" t="s">
        <v>2679</v>
      </c>
      <c r="EC139" t="s">
        <v>4565</v>
      </c>
      <c r="ED139">
        <f t="shared" si="99"/>
        <v>100</v>
      </c>
      <c r="EE139" t="s">
        <v>2681</v>
      </c>
      <c r="EH139">
        <f t="shared" si="100"/>
        <v>2</v>
      </c>
      <c r="EI139">
        <v>100</v>
      </c>
      <c r="FD139" t="s">
        <v>876</v>
      </c>
      <c r="FE139">
        <f>ROUND(FK139*IF(VT_AKADMAG,3/4,1)*IF(NT_ELFWELT,IF(FN139,1,1.5),1),0)</f>
        <v>100</v>
      </c>
      <c r="FF139">
        <f t="shared" si="101"/>
        <v>2</v>
      </c>
      <c r="FK139">
        <v>100</v>
      </c>
      <c r="FL139">
        <v>3</v>
      </c>
      <c r="FM139" t="b">
        <f t="shared" ca="1" si="102"/>
        <v>0</v>
      </c>
      <c r="FN139" t="b">
        <f t="shared" ca="1" si="103"/>
        <v>0</v>
      </c>
      <c r="GH139" t="s">
        <v>647</v>
      </c>
      <c r="GI139" t="s">
        <v>1119</v>
      </c>
      <c r="GJ139">
        <v>2</v>
      </c>
      <c r="GK139" t="s">
        <v>1320</v>
      </c>
      <c r="GL139" t="s">
        <v>567</v>
      </c>
      <c r="GM139" t="s">
        <v>1369</v>
      </c>
      <c r="GN139" t="s">
        <v>1974</v>
      </c>
      <c r="GO139">
        <v>278</v>
      </c>
      <c r="GP139">
        <v>342</v>
      </c>
      <c r="GR139">
        <f t="shared" si="111"/>
        <v>488</v>
      </c>
      <c r="GS139">
        <v>4</v>
      </c>
      <c r="GU139" t="str">
        <f t="shared" ca="1" si="112"/>
        <v/>
      </c>
      <c r="GV139" t="str">
        <f t="shared" ca="1" si="113"/>
        <v/>
      </c>
      <c r="GW139" t="str">
        <f t="shared" ca="1" si="114"/>
        <v/>
      </c>
      <c r="GX139" t="str">
        <f t="shared" ca="1" si="115"/>
        <v/>
      </c>
      <c r="HE139" t="s">
        <v>1284</v>
      </c>
      <c r="HF139">
        <v>5</v>
      </c>
    </row>
    <row r="140" spans="1:216" x14ac:dyDescent="0.2">
      <c r="A140" t="s">
        <v>1552</v>
      </c>
      <c r="B140" t="s">
        <v>750</v>
      </c>
      <c r="C140" t="s">
        <v>750</v>
      </c>
      <c r="D140" t="s">
        <v>752</v>
      </c>
      <c r="E140" t="s">
        <v>1320</v>
      </c>
      <c r="F140" t="s">
        <v>1321</v>
      </c>
      <c r="L140" t="str">
        <f t="shared" si="109"/>
        <v/>
      </c>
      <c r="M140" t="str">
        <f t="shared" si="110"/>
        <v/>
      </c>
      <c r="N140" t="str">
        <f t="shared" si="94"/>
        <v>Seiler</v>
      </c>
      <c r="P140">
        <f t="shared" si="93"/>
        <v>170</v>
      </c>
      <c r="R140" t="s">
        <v>4769</v>
      </c>
      <c r="S140" t="s">
        <v>6714</v>
      </c>
      <c r="T140" t="s">
        <v>6715</v>
      </c>
      <c r="U140">
        <v>2</v>
      </c>
      <c r="Z140" t="s">
        <v>847</v>
      </c>
      <c r="AA140">
        <v>0.5</v>
      </c>
      <c r="AB140">
        <v>12</v>
      </c>
      <c r="AD140" t="s">
        <v>3995</v>
      </c>
      <c r="AH140" t="str">
        <f>"KL "&amp;Generierung!$R$4+5</f>
        <v>KL 19</v>
      </c>
      <c r="AI140">
        <v>65</v>
      </c>
      <c r="AS140" t="s">
        <v>1499</v>
      </c>
      <c r="AT140">
        <f t="shared" ca="1" si="116"/>
        <v>5</v>
      </c>
      <c r="AU140">
        <v>3</v>
      </c>
      <c r="AV140" t="b">
        <f ca="1">IF(AND(
NOT(ISERR(FIND($R$82&amp;" "&amp;AS140,Abfragen!$U$81))),
NOT(ISERR(FIND($R$98&amp;" "&amp;AS140,Abfragen!$U$81)))),
TRUE,FALSE)</f>
        <v>0</v>
      </c>
      <c r="AX140" t="s">
        <v>1825</v>
      </c>
      <c r="AY140">
        <v>6</v>
      </c>
      <c r="AZ140">
        <v>2</v>
      </c>
      <c r="BG140">
        <v>5</v>
      </c>
      <c r="BK140" t="s">
        <v>5498</v>
      </c>
      <c r="BL140" t="s">
        <v>5499</v>
      </c>
      <c r="BM140" t="s">
        <v>5500</v>
      </c>
      <c r="BN140" t="s">
        <v>5482</v>
      </c>
      <c r="BO140">
        <v>8</v>
      </c>
      <c r="BP140" t="s">
        <v>5272</v>
      </c>
      <c r="BQ140">
        <v>3</v>
      </c>
      <c r="BR140">
        <v>15</v>
      </c>
      <c r="BS140" t="s">
        <v>5501</v>
      </c>
      <c r="BT140" t="s">
        <v>5502</v>
      </c>
      <c r="BU140">
        <v>30</v>
      </c>
      <c r="BW140">
        <v>5</v>
      </c>
      <c r="BY140" t="s">
        <v>4985</v>
      </c>
      <c r="BZ140" t="s">
        <v>4985</v>
      </c>
      <c r="CA140" t="s">
        <v>5503</v>
      </c>
      <c r="CD140" t="s">
        <v>4757</v>
      </c>
      <c r="CE140" t="s">
        <v>916</v>
      </c>
      <c r="CF140" t="s">
        <v>4552</v>
      </c>
      <c r="CG140" t="s">
        <v>276</v>
      </c>
      <c r="CH140">
        <v>-2</v>
      </c>
      <c r="CI140">
        <v>6</v>
      </c>
      <c r="CJ140" t="s">
        <v>4001</v>
      </c>
      <c r="CK140" t="s">
        <v>2190</v>
      </c>
      <c r="CN140" t="str">
        <f ca="1">IF(AND(ISERR(FIND($CK140,Talente!$CI$41)),ISNA(VLOOKUP($CK140,$AH$51:$AH$55,1))),IF(AND(ISERR(FIND($CL140,Talente!$CI$41)),ISNA(VLOOKUP($CL140,$AH$51:$AH$55,1))),$CM140,$CL140),$CK140)</f>
        <v>Hiebwaffen</v>
      </c>
      <c r="CP140" t="s">
        <v>3863</v>
      </c>
      <c r="CQ140" t="s">
        <v>1321</v>
      </c>
      <c r="CR140">
        <v>15</v>
      </c>
      <c r="CU140" t="s">
        <v>3025</v>
      </c>
      <c r="CX140" t="s">
        <v>1504</v>
      </c>
      <c r="CY140" t="s">
        <v>75</v>
      </c>
      <c r="CZ140" t="s">
        <v>750</v>
      </c>
      <c r="DA140" t="s">
        <v>5030</v>
      </c>
      <c r="DC140" t="s">
        <v>7294</v>
      </c>
      <c r="DD140" t="s">
        <v>654</v>
      </c>
      <c r="DE140" t="s">
        <v>655</v>
      </c>
      <c r="DF140" t="s">
        <v>81</v>
      </c>
      <c r="DG140" t="s">
        <v>1956</v>
      </c>
      <c r="DH140" t="s">
        <v>8427</v>
      </c>
      <c r="DI140" t="s">
        <v>4688</v>
      </c>
      <c r="DJ140">
        <v>2</v>
      </c>
      <c r="DK140">
        <f t="shared" ref="DK140:DK176" si="117">VLOOKUP($CX140,ZEILENBEZUG,2,FALSE)</f>
        <v>461</v>
      </c>
      <c r="DL140">
        <f t="shared" si="77"/>
        <v>138</v>
      </c>
      <c r="DM140">
        <v>122</v>
      </c>
      <c r="DN140" t="str">
        <f t="shared" ca="1" si="104"/>
        <v/>
      </c>
      <c r="DO140" t="str">
        <f t="shared" ca="1" si="105"/>
        <v/>
      </c>
      <c r="DP140" t="str">
        <f t="shared" ca="1" si="106"/>
        <v/>
      </c>
      <c r="DQ140" t="str">
        <f>IF(EXACT(Zauber!$A$250,""),"",IF(EXACT(RIGHT(HLOOKUP(Zauber!$A$250,PROFMAGIE,$DK140,FALSE)),"H"),CONCATENATE($CX140,","),""))</f>
        <v/>
      </c>
      <c r="DR140" t="str">
        <f t="shared" si="107"/>
        <v/>
      </c>
      <c r="DS140" t="str">
        <f>IF(ZS_IAAK="Ja",IF(EXACT(RIGHT(HLOOKUP(Tabellen_Magie!$IK$1,PROFMAGIE,$DK140,FALSE)),"H"),CONCATENATE($CX140,","),""),"")</f>
        <v/>
      </c>
      <c r="DT140" t="str">
        <f>IF(ZS_IAAK="Ja",IF(NOT(DS140=""),"",IF(OR(EXACT(RIGHT(HLOOKUP(Tabellen_Magie!$IK$1,PROFMAGIE,$DK140,FALSE)),"B"),EXACT(HLOOKUP(Tabellen_Magie!$IK$1,PROFMAGIE,$DK140,FALSE),"")),"",CONCATENATE($CX140,","))),"")</f>
        <v/>
      </c>
      <c r="DU140" t="str">
        <f t="shared" si="108"/>
        <v/>
      </c>
      <c r="DW140" t="s">
        <v>8658</v>
      </c>
      <c r="DX140" t="s">
        <v>74</v>
      </c>
      <c r="DY140" t="s">
        <v>74</v>
      </c>
      <c r="DZ140" t="s">
        <v>77</v>
      </c>
      <c r="EB140" t="s">
        <v>2679</v>
      </c>
      <c r="EC140" t="s">
        <v>4565</v>
      </c>
      <c r="ED140">
        <f t="shared" si="99"/>
        <v>200</v>
      </c>
      <c r="EE140" t="s">
        <v>2682</v>
      </c>
      <c r="EH140">
        <f t="shared" si="100"/>
        <v>4</v>
      </c>
      <c r="EI140">
        <v>200</v>
      </c>
      <c r="FD140" t="s">
        <v>4675</v>
      </c>
      <c r="FE140">
        <f>ROUND(FK140*IF(NT_ELFWELT,IF(FN140,1,1.5),1),0)</f>
        <v>150</v>
      </c>
      <c r="FF140">
        <f t="shared" si="101"/>
        <v>3</v>
      </c>
      <c r="FK140">
        <v>150</v>
      </c>
      <c r="FL140">
        <v>3</v>
      </c>
      <c r="FM140" t="b">
        <f t="shared" ca="1" si="102"/>
        <v>0</v>
      </c>
      <c r="FN140" t="b">
        <f t="shared" ca="1" si="103"/>
        <v>0</v>
      </c>
      <c r="GH140" t="s">
        <v>648</v>
      </c>
      <c r="GI140" t="s">
        <v>1119</v>
      </c>
      <c r="GJ140">
        <v>2</v>
      </c>
      <c r="GK140" t="s">
        <v>4116</v>
      </c>
      <c r="GL140" t="s">
        <v>567</v>
      </c>
      <c r="GM140" t="s">
        <v>1983</v>
      </c>
      <c r="GN140" t="s">
        <v>1973</v>
      </c>
      <c r="GO140">
        <v>271</v>
      </c>
      <c r="GP140">
        <v>344</v>
      </c>
      <c r="GR140">
        <f t="shared" si="111"/>
        <v>489</v>
      </c>
      <c r="GU140" t="str">
        <f t="shared" ca="1" si="112"/>
        <v/>
      </c>
      <c r="GV140" t="str">
        <f t="shared" ca="1" si="113"/>
        <v/>
      </c>
      <c r="GW140" t="str">
        <f t="shared" ca="1" si="114"/>
        <v/>
      </c>
      <c r="GX140" t="str">
        <f t="shared" ca="1" si="115"/>
        <v/>
      </c>
      <c r="HE140" t="s">
        <v>2043</v>
      </c>
      <c r="HF140">
        <v>6</v>
      </c>
    </row>
    <row r="141" spans="1:216" x14ac:dyDescent="0.2">
      <c r="A141" t="s">
        <v>1554</v>
      </c>
      <c r="B141" t="s">
        <v>750</v>
      </c>
      <c r="C141" t="s">
        <v>750</v>
      </c>
      <c r="D141" t="s">
        <v>752</v>
      </c>
      <c r="E141" t="s">
        <v>1320</v>
      </c>
      <c r="F141" t="s">
        <v>1321</v>
      </c>
      <c r="L141" t="str">
        <f t="shared" si="109"/>
        <v/>
      </c>
      <c r="M141" t="str">
        <f t="shared" si="110"/>
        <v/>
      </c>
      <c r="N141" t="str">
        <f t="shared" si="94"/>
        <v>Steinmetz</v>
      </c>
      <c r="P141">
        <f t="shared" si="93"/>
        <v>171</v>
      </c>
      <c r="R141" t="s">
        <v>4153</v>
      </c>
      <c r="S141" t="s">
        <v>1261</v>
      </c>
      <c r="T141" t="s">
        <v>1236</v>
      </c>
      <c r="U141">
        <v>2</v>
      </c>
      <c r="W141" t="s">
        <v>760</v>
      </c>
      <c r="X141" t="s">
        <v>1783</v>
      </c>
      <c r="Z141" t="s">
        <v>4652</v>
      </c>
      <c r="AC141">
        <v>20</v>
      </c>
      <c r="AH141" t="str">
        <f>"KO "&amp;Generierung!$R$4+1</f>
        <v>KO 15</v>
      </c>
      <c r="AI141">
        <v>9</v>
      </c>
      <c r="AS141" t="s">
        <v>3728</v>
      </c>
      <c r="AT141">
        <f t="shared" ca="1" si="116"/>
        <v>5</v>
      </c>
      <c r="AU141">
        <v>3</v>
      </c>
      <c r="AV141" t="b">
        <f ca="1">IF(AND(
NOT(ISERR(FIND($R$82&amp;" "&amp;AS141,Abfragen!$U$81))),
NOT(ISERR(FIND($R$98&amp;" "&amp;AS141,Abfragen!$U$81)))),
TRUE,FALSE)</f>
        <v>0</v>
      </c>
      <c r="BK141" t="s">
        <v>5504</v>
      </c>
      <c r="BL141" t="s">
        <v>5499</v>
      </c>
      <c r="BM141" t="s">
        <v>5500</v>
      </c>
      <c r="BN141" t="s">
        <v>5505</v>
      </c>
      <c r="BO141">
        <v>9</v>
      </c>
      <c r="BP141" t="s">
        <v>5506</v>
      </c>
      <c r="BQ141">
        <v>4</v>
      </c>
      <c r="BR141">
        <v>20</v>
      </c>
      <c r="BS141" t="s">
        <v>5501</v>
      </c>
      <c r="BT141" t="s">
        <v>5502</v>
      </c>
      <c r="BU141">
        <v>50</v>
      </c>
      <c r="BW141">
        <v>5</v>
      </c>
      <c r="BY141" t="s">
        <v>4985</v>
      </c>
      <c r="BZ141" t="s">
        <v>4985</v>
      </c>
      <c r="CA141" t="s">
        <v>5503</v>
      </c>
      <c r="CD141" t="s">
        <v>4758</v>
      </c>
      <c r="CE141" t="s">
        <v>5091</v>
      </c>
      <c r="CF141" t="s">
        <v>907</v>
      </c>
      <c r="CG141" t="s">
        <v>898</v>
      </c>
      <c r="CH141">
        <v>0</v>
      </c>
      <c r="CI141">
        <v>3</v>
      </c>
      <c r="CJ141" t="s">
        <v>899</v>
      </c>
      <c r="CK141" t="s">
        <v>2192</v>
      </c>
      <c r="CN141" t="str">
        <f ca="1">IF(AND(ISERR(FIND($CK141,Talente!$CI$41)),ISNA(VLOOKUP($CK141,$AH$51:$AH$55,1))),IF(AND(ISERR(FIND($CL141,Talente!$CI$41)),ISNA(VLOOKUP($CL141,$AH$51:$AH$55,1))),$CM141,$CL141),$CK141)</f>
        <v>Säbel</v>
      </c>
      <c r="CP141" t="s">
        <v>3308</v>
      </c>
      <c r="CQ141" t="s">
        <v>1433</v>
      </c>
      <c r="CR141">
        <v>10</v>
      </c>
      <c r="CU141" t="s">
        <v>3026</v>
      </c>
      <c r="CX141" t="s">
        <v>8938</v>
      </c>
      <c r="CY141" t="s">
        <v>74</v>
      </c>
      <c r="CZ141" t="s">
        <v>5030</v>
      </c>
      <c r="DA141" t="s">
        <v>750</v>
      </c>
      <c r="DC141" t="s">
        <v>7303</v>
      </c>
      <c r="DD141" t="s">
        <v>8939</v>
      </c>
      <c r="DE141" t="s">
        <v>2254</v>
      </c>
      <c r="DF141" t="s">
        <v>81</v>
      </c>
      <c r="DG141" t="s">
        <v>1956</v>
      </c>
      <c r="DH141" t="s">
        <v>8940</v>
      </c>
      <c r="DI141" t="s">
        <v>8941</v>
      </c>
      <c r="DJ141">
        <v>2</v>
      </c>
      <c r="DK141">
        <f t="shared" si="117"/>
        <v>462</v>
      </c>
      <c r="DL141">
        <f t="shared" si="77"/>
        <v>139</v>
      </c>
      <c r="DN141" t="str">
        <f t="shared" ca="1" si="104"/>
        <v/>
      </c>
      <c r="DO141" t="str">
        <f t="shared" ca="1" si="105"/>
        <v/>
      </c>
      <c r="DP141" t="str">
        <f t="shared" ca="1" si="106"/>
        <v/>
      </c>
      <c r="DQ141" t="str">
        <f>IF(EXACT(Zauber!$A$250,""),"",IF(EXACT(RIGHT(HLOOKUP(Zauber!$A$250,PROFMAGIE,$DK141,FALSE)),"H"),CONCATENATE($CX141,","),""))</f>
        <v/>
      </c>
      <c r="DR141" t="str">
        <f t="shared" si="107"/>
        <v/>
      </c>
      <c r="DS141" t="str">
        <f>IF(ZS_IAAK="Ja",IF(EXACT(RIGHT(HLOOKUP(Tabellen_Magie!$IK$1,PROFMAGIE,$DK141,FALSE)),"H"),CONCATENATE($CX141,","),""),"")</f>
        <v/>
      </c>
      <c r="DT141" t="str">
        <f>IF(ZS_IAAK="Ja",IF(NOT(DS141=""),"",IF(OR(EXACT(RIGHT(HLOOKUP(Tabellen_Magie!$IK$1,PROFMAGIE,$DK141,FALSE)),"B"),EXACT(HLOOKUP(Tabellen_Magie!$IK$1,PROFMAGIE,$DK141,FALSE),"")),"",CONCATENATE($CX141,","))),"")</f>
        <v/>
      </c>
      <c r="DU141" t="str">
        <f t="shared" si="108"/>
        <v/>
      </c>
      <c r="DW141" t="s">
        <v>1482</v>
      </c>
      <c r="DX141" t="s">
        <v>74</v>
      </c>
      <c r="DY141" t="s">
        <v>74</v>
      </c>
      <c r="DZ141" t="s">
        <v>77</v>
      </c>
      <c r="EB141" t="s">
        <v>2679</v>
      </c>
      <c r="EC141" t="s">
        <v>4565</v>
      </c>
      <c r="ED141">
        <f t="shared" si="99"/>
        <v>200</v>
      </c>
      <c r="EE141" t="s">
        <v>2683</v>
      </c>
      <c r="EH141">
        <f t="shared" si="100"/>
        <v>4</v>
      </c>
      <c r="EI141">
        <v>200</v>
      </c>
      <c r="FD141" t="s">
        <v>4676</v>
      </c>
      <c r="FE141">
        <f>ROUND(FK141*IF(NT_ELFWELT,IF(FN141,1,1.5),1),0)</f>
        <v>100</v>
      </c>
      <c r="FF141">
        <f t="shared" si="101"/>
        <v>2</v>
      </c>
      <c r="FK141">
        <v>100</v>
      </c>
      <c r="FL141">
        <v>2</v>
      </c>
      <c r="FM141" t="b">
        <f t="shared" ca="1" si="102"/>
        <v>0</v>
      </c>
      <c r="FN141" t="b">
        <f t="shared" ca="1" si="103"/>
        <v>0</v>
      </c>
      <c r="GG141" t="s">
        <v>1119</v>
      </c>
      <c r="GH141" t="s">
        <v>9335</v>
      </c>
      <c r="GI141" t="s">
        <v>1119</v>
      </c>
      <c r="GJ141">
        <v>2</v>
      </c>
      <c r="GK141" t="s">
        <v>9311</v>
      </c>
      <c r="GL141" t="s">
        <v>1976</v>
      </c>
      <c r="GM141" t="s">
        <v>3961</v>
      </c>
      <c r="GN141" t="s">
        <v>1974</v>
      </c>
      <c r="GO141" t="s">
        <v>9314</v>
      </c>
      <c r="GP141">
        <v>171</v>
      </c>
      <c r="GR141">
        <f t="shared" si="111"/>
        <v>490</v>
      </c>
      <c r="GS141">
        <v>6</v>
      </c>
      <c r="GU141" t="str">
        <f t="shared" ca="1" si="112"/>
        <v/>
      </c>
      <c r="GV141" t="str">
        <f t="shared" ca="1" si="113"/>
        <v/>
      </c>
      <c r="GW141" t="str">
        <f t="shared" ca="1" si="114"/>
        <v/>
      </c>
      <c r="GX141" t="str">
        <f t="shared" ca="1" si="115"/>
        <v/>
      </c>
      <c r="HE141" t="s">
        <v>1279</v>
      </c>
      <c r="HF141">
        <v>7</v>
      </c>
    </row>
    <row r="142" spans="1:216" x14ac:dyDescent="0.2">
      <c r="A142" t="s">
        <v>1425</v>
      </c>
      <c r="B142" t="s">
        <v>76</v>
      </c>
      <c r="C142" t="s">
        <v>750</v>
      </c>
      <c r="D142" t="s">
        <v>750</v>
      </c>
      <c r="E142" t="s">
        <v>1320</v>
      </c>
      <c r="F142" t="s">
        <v>1321</v>
      </c>
      <c r="L142" t="str">
        <f t="shared" si="109"/>
        <v/>
      </c>
      <c r="M142" t="str">
        <f t="shared" si="110"/>
        <v/>
      </c>
      <c r="N142" t="str">
        <f t="shared" si="94"/>
        <v>Steinschneider/Juwelier</v>
      </c>
      <c r="P142">
        <f t="shared" si="93"/>
        <v>172</v>
      </c>
      <c r="R142" t="s">
        <v>4773</v>
      </c>
      <c r="S142" t="s">
        <v>3299</v>
      </c>
      <c r="T142" t="s">
        <v>3298</v>
      </c>
      <c r="U142">
        <v>2</v>
      </c>
      <c r="W142" t="str">
        <f>100*X142&amp;" D"</f>
        <v>100 D</v>
      </c>
      <c r="X142">
        <v>1</v>
      </c>
      <c r="Z142" t="s">
        <v>762</v>
      </c>
      <c r="AH142" t="str">
        <f>"KO "&amp;Generierung!$R$4+2</f>
        <v>KO 16</v>
      </c>
      <c r="AI142">
        <v>20</v>
      </c>
      <c r="AS142" t="s">
        <v>3729</v>
      </c>
      <c r="AT142">
        <f t="shared" ca="1" si="116"/>
        <v>5</v>
      </c>
      <c r="AU142">
        <v>3</v>
      </c>
      <c r="AV142" t="b">
        <f ca="1">IF(AND(
NOT(ISERR(FIND($R$82&amp;" "&amp;AS142,Abfragen!$U$81))),
NOT(ISERR(FIND($R$98&amp;" "&amp;AS142,Abfragen!$U$81)))),
TRUE,FALSE)</f>
        <v>0</v>
      </c>
      <c r="BK142" t="s">
        <v>5507</v>
      </c>
      <c r="BL142" t="s">
        <v>5499</v>
      </c>
      <c r="BM142" t="s">
        <v>5500</v>
      </c>
      <c r="BN142" t="s">
        <v>5508</v>
      </c>
      <c r="BO142">
        <v>10</v>
      </c>
      <c r="BP142" t="s">
        <v>5509</v>
      </c>
      <c r="BQ142">
        <v>4</v>
      </c>
      <c r="BR142">
        <v>25</v>
      </c>
      <c r="BS142" t="s">
        <v>5501</v>
      </c>
      <c r="BT142" t="s">
        <v>5502</v>
      </c>
      <c r="BU142">
        <v>60</v>
      </c>
      <c r="BW142">
        <v>5</v>
      </c>
      <c r="BY142" t="s">
        <v>4985</v>
      </c>
      <c r="BZ142" t="s">
        <v>4985</v>
      </c>
      <c r="CA142" t="s">
        <v>5503</v>
      </c>
      <c r="CD142" t="s">
        <v>4759</v>
      </c>
      <c r="CE142" t="s">
        <v>4549</v>
      </c>
      <c r="CF142" t="s">
        <v>919</v>
      </c>
      <c r="CG142" t="s">
        <v>898</v>
      </c>
      <c r="CH142">
        <v>0</v>
      </c>
      <c r="CI142">
        <v>4</v>
      </c>
      <c r="CJ142" t="s">
        <v>899</v>
      </c>
      <c r="CK142" t="s">
        <v>2190</v>
      </c>
      <c r="CN142" t="str">
        <f ca="1">IF(AND(ISERR(FIND($CK142,Talente!$CI$41)),ISNA(VLOOKUP($CK142,$AH$51:$AH$55,1))),IF(AND(ISERR(FIND($CL142,Talente!$CI$41)),ISNA(VLOOKUP($CL142,$AH$51:$AH$55,1))),$CM142,$CL142),$CK142)</f>
        <v>Hiebwaffen</v>
      </c>
      <c r="CP142" t="s">
        <v>3475</v>
      </c>
      <c r="CQ142" t="s">
        <v>1433</v>
      </c>
      <c r="CR142">
        <v>11</v>
      </c>
      <c r="CU142" t="s">
        <v>7164</v>
      </c>
      <c r="CX142" t="s">
        <v>8942</v>
      </c>
      <c r="CY142" t="s">
        <v>74</v>
      </c>
      <c r="CZ142" t="s">
        <v>750</v>
      </c>
      <c r="DA142" t="s">
        <v>5030</v>
      </c>
      <c r="DC142" t="s">
        <v>7294</v>
      </c>
      <c r="DD142" t="s">
        <v>8943</v>
      </c>
      <c r="DE142" t="s">
        <v>2254</v>
      </c>
      <c r="DF142" t="s">
        <v>81</v>
      </c>
      <c r="DG142" t="s">
        <v>1955</v>
      </c>
      <c r="DH142" t="s">
        <v>8944</v>
      </c>
      <c r="DI142" t="s">
        <v>365</v>
      </c>
      <c r="DJ142">
        <v>2</v>
      </c>
      <c r="DK142">
        <f t="shared" si="117"/>
        <v>463</v>
      </c>
      <c r="DL142">
        <f>ROW()-2</f>
        <v>140</v>
      </c>
      <c r="DN142" t="str">
        <f t="shared" ca="1" si="104"/>
        <v/>
      </c>
      <c r="DO142" t="str">
        <f t="shared" ca="1" si="105"/>
        <v/>
      </c>
      <c r="DP142" t="str">
        <f t="shared" ca="1" si="106"/>
        <v/>
      </c>
      <c r="DQ142" t="str">
        <f>IF(EXACT(Zauber!$A$250,""),"",IF(EXACT(RIGHT(HLOOKUP(Zauber!$A$250,PROFMAGIE,$DK142,FALSE)),"H"),CONCATENATE($CX142,","),""))</f>
        <v/>
      </c>
      <c r="DR142" t="str">
        <f t="shared" si="107"/>
        <v/>
      </c>
      <c r="DS142" t="str">
        <f>IF(ZS_IAAK="Ja",IF(EXACT(RIGHT(HLOOKUP(Tabellen_Magie!$IK$1,PROFMAGIE,$DK142,FALSE)),"H"),CONCATENATE($CX142,","),""),"")</f>
        <v/>
      </c>
      <c r="DT142" t="str">
        <f>IF(ZS_IAAK="Ja",IF(NOT(DS142=""),"",IF(OR(EXACT(RIGHT(HLOOKUP(Tabellen_Magie!$IK$1,PROFMAGIE,$DK142,FALSE)),"B"),EXACT(HLOOKUP(Tabellen_Magie!$IK$1,PROFMAGIE,$DK142,FALSE),"")),"",CONCATENATE($CX142,","))),"")</f>
        <v/>
      </c>
      <c r="DU142" t="str">
        <f t="shared" si="108"/>
        <v/>
      </c>
      <c r="DW142" t="s">
        <v>2917</v>
      </c>
      <c r="DX142" t="s">
        <v>74</v>
      </c>
      <c r="DY142" t="s">
        <v>76</v>
      </c>
      <c r="DZ142" t="s">
        <v>77</v>
      </c>
      <c r="EA142" t="s">
        <v>53</v>
      </c>
      <c r="EB142" t="s">
        <v>295</v>
      </c>
      <c r="EC142" t="s">
        <v>1445</v>
      </c>
      <c r="ED142">
        <f t="shared" si="99"/>
        <v>200</v>
      </c>
      <c r="EE142" t="s">
        <v>2683</v>
      </c>
      <c r="EH142">
        <f t="shared" si="100"/>
        <v>4</v>
      </c>
      <c r="EI142">
        <v>200</v>
      </c>
      <c r="FD142" t="s">
        <v>877</v>
      </c>
      <c r="FE142">
        <f>ROUND(FK142*IF(VT_AKADMAG,3/4,1)*IF(NT_ELFWELT,IF(FN142,1,1.5),1),0)</f>
        <v>250</v>
      </c>
      <c r="FF142">
        <f t="shared" si="101"/>
        <v>5</v>
      </c>
      <c r="FK142">
        <v>250</v>
      </c>
      <c r="FL142">
        <v>3</v>
      </c>
      <c r="FM142" t="b">
        <f t="shared" ca="1" si="102"/>
        <v>0</v>
      </c>
      <c r="FN142" t="b">
        <f t="shared" ca="1" si="103"/>
        <v>0</v>
      </c>
      <c r="GG142" t="s">
        <v>3123</v>
      </c>
      <c r="GH142" t="s">
        <v>649</v>
      </c>
      <c r="GI142" t="s">
        <v>3290</v>
      </c>
      <c r="GJ142">
        <v>3</v>
      </c>
      <c r="GK142" t="s">
        <v>1320</v>
      </c>
      <c r="GL142" t="s">
        <v>1977</v>
      </c>
      <c r="GM142" t="s">
        <v>3961</v>
      </c>
      <c r="GN142" t="s">
        <v>1974</v>
      </c>
      <c r="GO142">
        <v>287</v>
      </c>
      <c r="GP142">
        <v>90</v>
      </c>
      <c r="GR142">
        <f t="shared" si="111"/>
        <v>491</v>
      </c>
      <c r="GU142" t="str">
        <f t="shared" ca="1" si="112"/>
        <v/>
      </c>
      <c r="GV142" t="str">
        <f t="shared" ca="1" si="113"/>
        <v/>
      </c>
      <c r="GW142" t="str">
        <f t="shared" ca="1" si="114"/>
        <v/>
      </c>
      <c r="GX142" t="str">
        <f t="shared" ca="1" si="115"/>
        <v/>
      </c>
      <c r="HE142" t="s">
        <v>2401</v>
      </c>
      <c r="HF142">
        <v>8</v>
      </c>
    </row>
    <row r="143" spans="1:216" x14ac:dyDescent="0.2">
      <c r="A143" t="s">
        <v>1555</v>
      </c>
      <c r="B143" t="s">
        <v>75</v>
      </c>
      <c r="C143" t="s">
        <v>750</v>
      </c>
      <c r="D143" t="s">
        <v>752</v>
      </c>
      <c r="E143" t="s">
        <v>1320</v>
      </c>
      <c r="F143" t="s">
        <v>1321</v>
      </c>
      <c r="L143" t="str">
        <f t="shared" si="109"/>
        <v/>
      </c>
      <c r="M143" t="str">
        <f t="shared" si="110"/>
        <v/>
      </c>
      <c r="N143" t="str">
        <f t="shared" si="94"/>
        <v>Stellmacher</v>
      </c>
      <c r="P143">
        <f t="shared" si="93"/>
        <v>173</v>
      </c>
      <c r="R143" t="s">
        <v>2321</v>
      </c>
      <c r="S143" t="s">
        <v>1263</v>
      </c>
      <c r="T143" t="s">
        <v>1237</v>
      </c>
      <c r="U143">
        <v>2</v>
      </c>
      <c r="W143" t="str">
        <f>100*X143&amp;" D"</f>
        <v>200 D</v>
      </c>
      <c r="X143">
        <v>2</v>
      </c>
      <c r="Z143" t="s">
        <v>4653</v>
      </c>
      <c r="AA143">
        <v>1</v>
      </c>
      <c r="AB143">
        <v>12</v>
      </c>
      <c r="AE143" t="s">
        <v>1571</v>
      </c>
      <c r="AH143" t="str">
        <f>"KO "&amp;Generierung!$R$4+3</f>
        <v>KO 17</v>
      </c>
      <c r="AI143">
        <v>33</v>
      </c>
      <c r="AM143" t="s">
        <v>68</v>
      </c>
      <c r="AO143" t="s">
        <v>4523</v>
      </c>
      <c r="AP143" t="s">
        <v>1783</v>
      </c>
      <c r="AS143" t="s">
        <v>1602</v>
      </c>
      <c r="AT143">
        <f t="shared" ca="1" si="116"/>
        <v>5</v>
      </c>
      <c r="AU143">
        <v>3</v>
      </c>
      <c r="AV143" t="b">
        <f ca="1">IF(AND(
NOT(ISERR(FIND($R$82&amp;" "&amp;AS143,Abfragen!$U$81))),
NOT(ISERR(FIND($R$98&amp;" "&amp;AS143,Abfragen!$U$81)))),
TRUE,FALSE)</f>
        <v>0</v>
      </c>
      <c r="BK143" t="s">
        <v>5510</v>
      </c>
      <c r="CD143" t="s">
        <v>4760</v>
      </c>
      <c r="CE143" t="s">
        <v>4549</v>
      </c>
      <c r="CF143" t="s">
        <v>907</v>
      </c>
      <c r="CG143" t="s">
        <v>4595</v>
      </c>
      <c r="CH143">
        <v>0</v>
      </c>
      <c r="CI143">
        <v>1</v>
      </c>
      <c r="CJ143" t="s">
        <v>899</v>
      </c>
      <c r="CK143" t="s">
        <v>2190</v>
      </c>
      <c r="CN143" t="str">
        <f ca="1">IF(AND(ISERR(FIND($CK143,Talente!$CI$41)),ISNA(VLOOKUP($CK143,$AH$51:$AH$55,1))),IF(AND(ISERR(FIND($CL143,Talente!$CI$41)),ISNA(VLOOKUP($CL143,$AH$51:$AH$55,1))),$CM143,$CL143),$CK143)</f>
        <v>Hiebwaffen</v>
      </c>
      <c r="CP143" t="s">
        <v>3864</v>
      </c>
      <c r="CQ143" t="s">
        <v>1956</v>
      </c>
      <c r="CR143">
        <v>24</v>
      </c>
      <c r="CU143" t="s">
        <v>4657</v>
      </c>
      <c r="CX143" t="s">
        <v>8945</v>
      </c>
      <c r="CY143" t="s">
        <v>74</v>
      </c>
      <c r="CZ143" t="s">
        <v>76</v>
      </c>
      <c r="DA143" t="s">
        <v>5030</v>
      </c>
      <c r="DC143" t="s">
        <v>7303</v>
      </c>
      <c r="DD143" t="s">
        <v>8946</v>
      </c>
      <c r="DE143" t="s">
        <v>657</v>
      </c>
      <c r="DF143" t="s">
        <v>81</v>
      </c>
      <c r="DG143" t="s">
        <v>3916</v>
      </c>
      <c r="DH143" t="s">
        <v>8947</v>
      </c>
      <c r="DI143" t="s">
        <v>8948</v>
      </c>
      <c r="DJ143">
        <v>2</v>
      </c>
      <c r="DK143">
        <f t="shared" si="117"/>
        <v>464</v>
      </c>
      <c r="DL143">
        <f>ROW()-2</f>
        <v>141</v>
      </c>
      <c r="DN143" t="str">
        <f t="shared" ca="1" si="104"/>
        <v/>
      </c>
      <c r="DO143" t="str">
        <f t="shared" ca="1" si="105"/>
        <v/>
      </c>
      <c r="DP143" t="str">
        <f t="shared" ca="1" si="106"/>
        <v/>
      </c>
      <c r="DQ143" t="str">
        <f>IF(EXACT(Zauber!$A$250,""),"",IF(EXACT(RIGHT(HLOOKUP(Zauber!$A$250,PROFMAGIE,$DK143,FALSE)),"H"),CONCATENATE($CX143,","),""))</f>
        <v/>
      </c>
      <c r="DR143" t="str">
        <f t="shared" si="107"/>
        <v/>
      </c>
      <c r="DS143" t="str">
        <f>IF(ZS_IAAK="Ja",IF(EXACT(RIGHT(HLOOKUP(Tabellen_Magie!$IK$1,PROFMAGIE,$DK143,FALSE)),"H"),CONCATENATE($CX143,","),""),"")</f>
        <v/>
      </c>
      <c r="DT143" t="str">
        <f>IF(ZS_IAAK="Ja",IF(NOT(DS143=""),"",IF(OR(EXACT(RIGHT(HLOOKUP(Tabellen_Magie!$IK$1,PROFMAGIE,$DK143,FALSE)),"B"),EXACT(HLOOKUP(Tabellen_Magie!$IK$1,PROFMAGIE,$DK143,FALSE),"")),"",CONCATENATE($CX143,","))),"")</f>
        <v/>
      </c>
      <c r="DU143" t="str">
        <f t="shared" si="108"/>
        <v/>
      </c>
      <c r="DW143" t="s">
        <v>2562</v>
      </c>
      <c r="DX143" t="s">
        <v>74</v>
      </c>
      <c r="DY143" t="s">
        <v>76</v>
      </c>
      <c r="DZ143" t="s">
        <v>77</v>
      </c>
      <c r="EA143" t="s">
        <v>2431</v>
      </c>
      <c r="EB143" t="s">
        <v>8659</v>
      </c>
      <c r="EC143" t="s">
        <v>4565</v>
      </c>
      <c r="ED143">
        <f t="shared" si="99"/>
        <v>150</v>
      </c>
      <c r="EE143" t="s">
        <v>2681</v>
      </c>
      <c r="EH143">
        <f t="shared" si="100"/>
        <v>3</v>
      </c>
      <c r="EI143">
        <v>150</v>
      </c>
      <c r="FD143" t="s">
        <v>878</v>
      </c>
      <c r="FE143">
        <f>ROUND(FK143*IF(VT_AKADMAG,3/4,1)*IF(NT_ELFWELT,IF(FN143,1,1.5),1),0)</f>
        <v>250</v>
      </c>
      <c r="FF143">
        <f t="shared" si="101"/>
        <v>5</v>
      </c>
      <c r="FK143">
        <v>250</v>
      </c>
      <c r="FL143">
        <v>3</v>
      </c>
      <c r="FM143" t="b">
        <f t="shared" ca="1" si="102"/>
        <v>0</v>
      </c>
      <c r="FN143" t="b">
        <f t="shared" ca="1" si="103"/>
        <v>1</v>
      </c>
      <c r="GH143" t="s">
        <v>650</v>
      </c>
      <c r="GI143" t="s">
        <v>3290</v>
      </c>
      <c r="GJ143">
        <v>3</v>
      </c>
      <c r="GK143" t="s">
        <v>2885</v>
      </c>
      <c r="GL143" t="s">
        <v>1976</v>
      </c>
      <c r="GM143" t="s">
        <v>1369</v>
      </c>
      <c r="GN143" t="s">
        <v>1690</v>
      </c>
      <c r="GO143">
        <v>285</v>
      </c>
      <c r="GP143">
        <v>330</v>
      </c>
      <c r="GR143">
        <f t="shared" si="111"/>
        <v>492</v>
      </c>
      <c r="GU143" t="str">
        <f t="shared" ca="1" si="112"/>
        <v/>
      </c>
      <c r="GV143" t="str">
        <f t="shared" ca="1" si="113"/>
        <v/>
      </c>
      <c r="GW143" t="str">
        <f t="shared" ca="1" si="114"/>
        <v/>
      </c>
      <c r="GX143" t="str">
        <f t="shared" ca="1" si="115"/>
        <v/>
      </c>
      <c r="HE143" t="s">
        <v>2402</v>
      </c>
      <c r="HF143">
        <v>9</v>
      </c>
    </row>
    <row r="144" spans="1:216" x14ac:dyDescent="0.2">
      <c r="A144" t="s">
        <v>3909</v>
      </c>
      <c r="B144" t="s">
        <v>76</v>
      </c>
      <c r="C144" t="s">
        <v>77</v>
      </c>
      <c r="D144" t="s">
        <v>752</v>
      </c>
      <c r="E144" t="s">
        <v>1320</v>
      </c>
      <c r="F144" t="s">
        <v>1321</v>
      </c>
      <c r="L144" t="str">
        <f t="shared" si="109"/>
        <v/>
      </c>
      <c r="M144" t="str">
        <f t="shared" si="110"/>
        <v/>
      </c>
      <c r="N144" t="str">
        <f t="shared" si="94"/>
        <v>Steuermann</v>
      </c>
      <c r="P144">
        <f t="shared" si="93"/>
        <v>174</v>
      </c>
      <c r="R144" t="s">
        <v>3752</v>
      </c>
      <c r="S144" t="s">
        <v>3756</v>
      </c>
      <c r="T144" t="s">
        <v>3757</v>
      </c>
      <c r="U144">
        <v>2</v>
      </c>
      <c r="W144" t="str">
        <f>100*X144&amp;" D"</f>
        <v>300 D</v>
      </c>
      <c r="X144">
        <v>3</v>
      </c>
      <c r="Z144" t="s">
        <v>3662</v>
      </c>
      <c r="AC144">
        <v>10</v>
      </c>
      <c r="AH144" t="str">
        <f>"KO "&amp;Generierung!$R$4+4</f>
        <v>KO 18</v>
      </c>
      <c r="AI144">
        <v>48</v>
      </c>
      <c r="AM144" t="s">
        <v>3666</v>
      </c>
      <c r="AO144">
        <v>6</v>
      </c>
      <c r="AP144">
        <v>6</v>
      </c>
      <c r="AS144" t="s">
        <v>3736</v>
      </c>
      <c r="AT144">
        <f t="shared" ca="1" si="116"/>
        <v>5</v>
      </c>
      <c r="AU144">
        <v>3</v>
      </c>
      <c r="AV144" t="b">
        <f ca="1">IF(AND(
NOT(ISERR(FIND($R$82&amp;" "&amp;AS144,Abfragen!$U$81))),
NOT(ISERR(FIND($R$98&amp;" "&amp;AS144,Abfragen!$U$81)))),
TRUE,FALSE)</f>
        <v>0</v>
      </c>
      <c r="BK144" t="s">
        <v>5511</v>
      </c>
      <c r="BL144">
        <v>6</v>
      </c>
      <c r="BM144">
        <v>9</v>
      </c>
      <c r="BN144" t="s">
        <v>5512</v>
      </c>
      <c r="BO144">
        <v>11</v>
      </c>
      <c r="BP144" t="s">
        <v>3569</v>
      </c>
      <c r="BQ144">
        <v>1</v>
      </c>
      <c r="BR144">
        <v>9</v>
      </c>
      <c r="BS144" t="s">
        <v>5513</v>
      </c>
      <c r="BT144">
        <v>8</v>
      </c>
      <c r="BU144">
        <v>15</v>
      </c>
      <c r="BW144">
        <v>4</v>
      </c>
      <c r="BY144" t="s">
        <v>4985</v>
      </c>
      <c r="BZ144" t="s">
        <v>4985</v>
      </c>
      <c r="CA144" t="s">
        <v>5514</v>
      </c>
      <c r="CD144" t="s">
        <v>4761</v>
      </c>
      <c r="CE144" t="s">
        <v>904</v>
      </c>
      <c r="CF144" t="s">
        <v>917</v>
      </c>
      <c r="CG144" t="s">
        <v>903</v>
      </c>
      <c r="CH144">
        <v>-1</v>
      </c>
      <c r="CI144">
        <v>5</v>
      </c>
      <c r="CJ144" t="s">
        <v>1827</v>
      </c>
      <c r="CK144" t="s">
        <v>1530</v>
      </c>
      <c r="CN144" t="str">
        <f ca="1">IF(AND(ISERR(FIND($CK144,Talente!$CI$41)),ISNA(VLOOKUP($CK144,$AH$51:$AH$55,1))),IF(AND(ISERR(FIND($CL144,Talente!$CI$41)),ISNA(VLOOKUP($CL144,$AH$51:$AH$55,1))),$CM144,$CL144),$CK144)</f>
        <v>Speere</v>
      </c>
      <c r="CP144" t="s">
        <v>1716</v>
      </c>
      <c r="CQ144" t="s">
        <v>1433</v>
      </c>
      <c r="CR144">
        <v>14</v>
      </c>
      <c r="CU144" t="s">
        <v>3027</v>
      </c>
      <c r="CX144" t="s">
        <v>1505</v>
      </c>
      <c r="CY144" t="s">
        <v>74</v>
      </c>
      <c r="CZ144" t="s">
        <v>76</v>
      </c>
      <c r="DA144" t="s">
        <v>5030</v>
      </c>
      <c r="DC144" t="s">
        <v>7297</v>
      </c>
      <c r="DD144" t="s">
        <v>656</v>
      </c>
      <c r="DE144" t="s">
        <v>657</v>
      </c>
      <c r="DF144" t="s">
        <v>81</v>
      </c>
      <c r="DG144" t="s">
        <v>1955</v>
      </c>
      <c r="DH144" t="s">
        <v>8428</v>
      </c>
      <c r="DI144" t="s">
        <v>3210</v>
      </c>
      <c r="DJ144">
        <v>2</v>
      </c>
      <c r="DK144">
        <f t="shared" si="117"/>
        <v>465</v>
      </c>
      <c r="DL144">
        <f t="shared" ref="DL144:DL209" si="118">ROW()-2</f>
        <v>142</v>
      </c>
      <c r="DM144">
        <v>124</v>
      </c>
      <c r="DN144" t="str">
        <f t="shared" ca="1" si="104"/>
        <v/>
      </c>
      <c r="DO144" t="str">
        <f t="shared" ca="1" si="105"/>
        <v/>
      </c>
      <c r="DP144" t="str">
        <f t="shared" ca="1" si="106"/>
        <v/>
      </c>
      <c r="DQ144" t="str">
        <f>IF(EXACT(Zauber!$A$250,""),"",IF(EXACT(RIGHT(HLOOKUP(Zauber!$A$250,PROFMAGIE,$DK144,FALSE)),"H"),CONCATENATE($CX144,","),""))</f>
        <v/>
      </c>
      <c r="DR144" t="str">
        <f t="shared" si="107"/>
        <v/>
      </c>
      <c r="DS144" t="str">
        <f>IF(ZS_IAAK="Ja",IF(EXACT(RIGHT(HLOOKUP(Tabellen_Magie!$IK$1,PROFMAGIE,$DK144,FALSE)),"H"),CONCATENATE($CX144,","),""),"")</f>
        <v/>
      </c>
      <c r="DT144" t="str">
        <f>IF(ZS_IAAK="Ja",IF(NOT(DS144=""),"",IF(OR(EXACT(RIGHT(HLOOKUP(Tabellen_Magie!$IK$1,PROFMAGIE,$DK144,FALSE)),"B"),EXACT(HLOOKUP(Tabellen_Magie!$IK$1,PROFMAGIE,$DK144,FALSE),"")),"",CONCATENATE($CX144,","))),"")</f>
        <v/>
      </c>
      <c r="DU144" t="str">
        <f t="shared" si="108"/>
        <v/>
      </c>
      <c r="DW144" t="s">
        <v>8660</v>
      </c>
      <c r="DX144" t="s">
        <v>77</v>
      </c>
      <c r="DY144" t="s">
        <v>77</v>
      </c>
      <c r="DZ144" t="s">
        <v>751</v>
      </c>
      <c r="EA144" t="s">
        <v>8645</v>
      </c>
      <c r="EB144" t="s">
        <v>54</v>
      </c>
      <c r="EC144" t="s">
        <v>8646</v>
      </c>
      <c r="ED144">
        <f t="shared" si="99"/>
        <v>100</v>
      </c>
      <c r="EE144" t="s">
        <v>2682</v>
      </c>
      <c r="EH144">
        <f t="shared" si="100"/>
        <v>2</v>
      </c>
      <c r="EI144">
        <v>100</v>
      </c>
      <c r="FD144" t="s">
        <v>3678</v>
      </c>
      <c r="FE144">
        <f>ROUND(FK144*IF(VT_AKADMAG,3/4,1)*IF(NT_ELFWELT,IF(FN144,1,1.5),1),0)</f>
        <v>250</v>
      </c>
      <c r="FF144">
        <f t="shared" si="101"/>
        <v>5</v>
      </c>
      <c r="FK144">
        <v>250</v>
      </c>
      <c r="FL144">
        <v>2</v>
      </c>
      <c r="FM144" t="b">
        <f t="shared" ca="1" si="102"/>
        <v>0</v>
      </c>
      <c r="FN144" t="b">
        <f t="shared" ca="1" si="103"/>
        <v>0</v>
      </c>
      <c r="GH144" t="s">
        <v>651</v>
      </c>
      <c r="GI144" t="s">
        <v>3290</v>
      </c>
      <c r="GJ144">
        <v>3</v>
      </c>
      <c r="GK144" t="s">
        <v>4529</v>
      </c>
      <c r="GL144" t="s">
        <v>1977</v>
      </c>
      <c r="GM144" t="s">
        <v>1983</v>
      </c>
      <c r="GN144" t="s">
        <v>1690</v>
      </c>
      <c r="GO144">
        <v>263</v>
      </c>
      <c r="GP144">
        <v>95</v>
      </c>
      <c r="GR144">
        <f t="shared" si="111"/>
        <v>493</v>
      </c>
      <c r="GU144" t="str">
        <f t="shared" ca="1" si="112"/>
        <v/>
      </c>
      <c r="GV144" t="str">
        <f t="shared" ca="1" si="113"/>
        <v/>
      </c>
      <c r="GW144" t="str">
        <f t="shared" ca="1" si="114"/>
        <v/>
      </c>
      <c r="GX144" t="str">
        <f t="shared" ca="1" si="115"/>
        <v/>
      </c>
      <c r="HE144" t="s">
        <v>3961</v>
      </c>
      <c r="HF144">
        <v>10</v>
      </c>
    </row>
    <row r="145" spans="1:206" x14ac:dyDescent="0.2">
      <c r="A145" t="s">
        <v>3910</v>
      </c>
      <c r="B145" t="s">
        <v>75</v>
      </c>
      <c r="C145" t="s">
        <v>750</v>
      </c>
      <c r="D145" t="s">
        <v>752</v>
      </c>
      <c r="E145" t="s">
        <v>1827</v>
      </c>
      <c r="F145" t="s">
        <v>1321</v>
      </c>
      <c r="L145" t="str">
        <f t="shared" si="109"/>
        <v/>
      </c>
      <c r="M145" t="str">
        <f t="shared" si="110"/>
        <v/>
      </c>
      <c r="N145" t="str">
        <f t="shared" si="94"/>
        <v>Stoffe Färben</v>
      </c>
      <c r="P145">
        <f t="shared" si="93"/>
        <v>175</v>
      </c>
      <c r="R145" t="s">
        <v>3753</v>
      </c>
      <c r="S145" t="s">
        <v>3754</v>
      </c>
      <c r="T145" t="s">
        <v>3755</v>
      </c>
      <c r="U145">
        <v>2</v>
      </c>
      <c r="W145" t="str">
        <f>100*X145&amp;" D"</f>
        <v>400 D</v>
      </c>
      <c r="X145">
        <v>4</v>
      </c>
      <c r="Z145" t="s">
        <v>4067</v>
      </c>
      <c r="AA145">
        <v>1</v>
      </c>
      <c r="AB145">
        <v>12</v>
      </c>
      <c r="AD145" t="s">
        <v>3995</v>
      </c>
      <c r="AH145" t="str">
        <f>"KO "&amp;Generierung!$R$4+5</f>
        <v>KO 19</v>
      </c>
      <c r="AI145">
        <v>65</v>
      </c>
      <c r="AM145" t="s">
        <v>881</v>
      </c>
      <c r="AO145">
        <v>12</v>
      </c>
      <c r="AP145">
        <f t="shared" ref="AP145:AP150" si="119">AO145*2</f>
        <v>24</v>
      </c>
      <c r="AS145" t="s">
        <v>3730</v>
      </c>
      <c r="AT145">
        <f t="shared" ca="1" si="116"/>
        <v>5</v>
      </c>
      <c r="AU145">
        <v>3</v>
      </c>
      <c r="AV145" t="b">
        <f ca="1">IF(AND(
NOT(ISERR(FIND($R$82&amp;" "&amp;AS145,Abfragen!$U$81))),
NOT(ISERR(FIND($R$98&amp;" "&amp;AS145,Abfragen!$U$81)))),
TRUE,FALSE)</f>
        <v>0</v>
      </c>
      <c r="BK145" t="s">
        <v>5515</v>
      </c>
      <c r="BL145">
        <v>6</v>
      </c>
      <c r="BM145">
        <v>9</v>
      </c>
      <c r="BN145" t="s">
        <v>5512</v>
      </c>
      <c r="BO145">
        <v>11</v>
      </c>
      <c r="BP145" t="s">
        <v>3569</v>
      </c>
      <c r="BQ145">
        <v>1</v>
      </c>
      <c r="BR145">
        <v>9</v>
      </c>
      <c r="BS145" t="s">
        <v>5513</v>
      </c>
      <c r="BT145">
        <v>8</v>
      </c>
      <c r="BU145">
        <v>15</v>
      </c>
      <c r="BW145">
        <v>4</v>
      </c>
      <c r="BY145" t="s">
        <v>4985</v>
      </c>
      <c r="BZ145" t="s">
        <v>4985</v>
      </c>
      <c r="CA145" t="s">
        <v>5514</v>
      </c>
      <c r="CD145" t="s">
        <v>7173</v>
      </c>
      <c r="CE145" t="s">
        <v>5091</v>
      </c>
      <c r="CF145" t="s">
        <v>379</v>
      </c>
      <c r="CG145" t="s">
        <v>7156</v>
      </c>
      <c r="CH145">
        <v>-1</v>
      </c>
      <c r="CI145">
        <v>5</v>
      </c>
      <c r="CJ145" t="s">
        <v>1827</v>
      </c>
      <c r="CK145" t="s">
        <v>1530</v>
      </c>
      <c r="CN145" t="str">
        <f ca="1">IF(AND(ISERR(FIND($CK145,Talente!$CI$41)),ISNA(VLOOKUP($CK145,$AH$51:$AH$55,1))),IF(AND(ISERR(FIND($CL145,Talente!$CI$41)),ISNA(VLOOKUP($CL145,$AH$51:$AH$55,1))),$CM145,$CL145),$CK145)</f>
        <v>Speere</v>
      </c>
      <c r="CP145" t="s">
        <v>3304</v>
      </c>
      <c r="CQ145" t="s">
        <v>1433</v>
      </c>
      <c r="CR145">
        <v>13</v>
      </c>
      <c r="CU145" t="s">
        <v>7547</v>
      </c>
      <c r="CX145" t="s">
        <v>1506</v>
      </c>
      <c r="CY145" t="s">
        <v>76</v>
      </c>
      <c r="CZ145" t="s">
        <v>77</v>
      </c>
      <c r="DA145" t="s">
        <v>751</v>
      </c>
      <c r="DC145" t="s">
        <v>7292</v>
      </c>
      <c r="DD145" t="s">
        <v>4003</v>
      </c>
      <c r="DE145" t="s">
        <v>4484</v>
      </c>
      <c r="DF145" t="s">
        <v>1358</v>
      </c>
      <c r="DG145" t="s">
        <v>1955</v>
      </c>
      <c r="DH145" t="s">
        <v>6930</v>
      </c>
      <c r="DI145" t="s">
        <v>4516</v>
      </c>
      <c r="DJ145">
        <v>2</v>
      </c>
      <c r="DK145">
        <f t="shared" si="117"/>
        <v>466</v>
      </c>
      <c r="DL145">
        <f t="shared" si="118"/>
        <v>143</v>
      </c>
      <c r="DM145">
        <v>125</v>
      </c>
      <c r="DN145" t="str">
        <f t="shared" ca="1" si="104"/>
        <v/>
      </c>
      <c r="DO145" t="str">
        <f t="shared" ca="1" si="105"/>
        <v/>
      </c>
      <c r="DP145" t="str">
        <f t="shared" ca="1" si="106"/>
        <v/>
      </c>
      <c r="DQ145" t="str">
        <f>IF(EXACT(Zauber!$A$250,""),"",IF(EXACT(RIGHT(HLOOKUP(Zauber!$A$250,PROFMAGIE,$DK145,FALSE)),"H"),CONCATENATE($CX145,","),""))</f>
        <v/>
      </c>
      <c r="DR145" t="str">
        <f t="shared" si="107"/>
        <v/>
      </c>
      <c r="DS145" t="str">
        <f>IF(ZS_IAAK="Ja",IF(EXACT(RIGHT(HLOOKUP(Tabellen_Magie!$IK$1,PROFMAGIE,$DK145,FALSE)),"H"),CONCATENATE($CX145,","),""),"")</f>
        <v/>
      </c>
      <c r="DT145" t="str">
        <f>IF(ZS_IAAK="Ja",IF(NOT(DS145=""),"",IF(OR(EXACT(RIGHT(HLOOKUP(Tabellen_Magie!$IK$1,PROFMAGIE,$DK145,FALSE)),"B"),EXACT(HLOOKUP(Tabellen_Magie!$IK$1,PROFMAGIE,$DK145,FALSE),"")),"",CONCATENATE($CX145,","))),"")</f>
        <v/>
      </c>
      <c r="DU145" t="str">
        <f t="shared" si="108"/>
        <v/>
      </c>
      <c r="DW145" t="s">
        <v>8661</v>
      </c>
      <c r="DX145" t="s">
        <v>74</v>
      </c>
      <c r="DY145" t="s">
        <v>76</v>
      </c>
      <c r="DZ145" t="s">
        <v>77</v>
      </c>
      <c r="EA145" t="s">
        <v>8645</v>
      </c>
      <c r="EB145" t="s">
        <v>295</v>
      </c>
      <c r="EC145" t="s">
        <v>1445</v>
      </c>
      <c r="ED145">
        <f t="shared" si="99"/>
        <v>200</v>
      </c>
      <c r="EE145" t="s">
        <v>2681</v>
      </c>
      <c r="EH145">
        <f t="shared" si="100"/>
        <v>4</v>
      </c>
      <c r="EI145">
        <v>200</v>
      </c>
      <c r="FD145" t="s">
        <v>319</v>
      </c>
      <c r="FE145">
        <f>ROUND(FK145*IF(VT_AKADMAG,3/4,1)*IF(NT_ELFWELT,IF(FN145,1,1.5),1),0)</f>
        <v>100</v>
      </c>
      <c r="FF145">
        <f t="shared" si="101"/>
        <v>2</v>
      </c>
      <c r="FK145">
        <v>100</v>
      </c>
      <c r="FL145">
        <v>6</v>
      </c>
      <c r="FM145" t="b">
        <f t="shared" ca="1" si="102"/>
        <v>0</v>
      </c>
      <c r="FN145" t="b">
        <f t="shared" ca="1" si="103"/>
        <v>1</v>
      </c>
      <c r="GH145" t="s">
        <v>652</v>
      </c>
      <c r="GI145" t="s">
        <v>3290</v>
      </c>
      <c r="GJ145">
        <v>3</v>
      </c>
      <c r="GK145" t="s">
        <v>4116</v>
      </c>
      <c r="GL145" t="s">
        <v>567</v>
      </c>
      <c r="GM145" t="s">
        <v>1982</v>
      </c>
      <c r="GN145" t="s">
        <v>1973</v>
      </c>
      <c r="GO145">
        <v>269</v>
      </c>
      <c r="GP145">
        <v>98</v>
      </c>
      <c r="GR145">
        <f t="shared" si="111"/>
        <v>494</v>
      </c>
      <c r="GU145" t="str">
        <f t="shared" ca="1" si="112"/>
        <v/>
      </c>
      <c r="GV145" t="str">
        <f t="shared" ca="1" si="113"/>
        <v/>
      </c>
      <c r="GW145" t="str">
        <f t="shared" ca="1" si="114"/>
        <v/>
      </c>
      <c r="GX145" t="str">
        <f t="shared" ca="1" si="115"/>
        <v/>
      </c>
    </row>
    <row r="146" spans="1:206" x14ac:dyDescent="0.2">
      <c r="A146" t="s">
        <v>3911</v>
      </c>
      <c r="B146" t="s">
        <v>76</v>
      </c>
      <c r="C146" t="s">
        <v>750</v>
      </c>
      <c r="D146" t="s">
        <v>750</v>
      </c>
      <c r="E146" t="s">
        <v>1827</v>
      </c>
      <c r="F146" t="s">
        <v>1321</v>
      </c>
      <c r="L146" t="str">
        <f t="shared" si="109"/>
        <v/>
      </c>
      <c r="M146" t="str">
        <f t="shared" si="110"/>
        <v/>
      </c>
      <c r="N146" t="str">
        <f t="shared" si="94"/>
        <v>Tätowieren</v>
      </c>
      <c r="P146">
        <f t="shared" si="93"/>
        <v>176</v>
      </c>
      <c r="R146" t="s">
        <v>3762</v>
      </c>
      <c r="S146" t="s">
        <v>1262</v>
      </c>
      <c r="T146">
        <v>10</v>
      </c>
      <c r="W146" t="str">
        <f>100*X146&amp;" D"</f>
        <v>500 D</v>
      </c>
      <c r="X146">
        <v>5</v>
      </c>
      <c r="Z146" t="s">
        <v>848</v>
      </c>
      <c r="AA146">
        <v>0.5</v>
      </c>
      <c r="AD146" t="s">
        <v>3995</v>
      </c>
      <c r="AH146" t="str">
        <f>"MU "&amp;Generierung!$R$4+1</f>
        <v>MU 15</v>
      </c>
      <c r="AI146">
        <v>9</v>
      </c>
      <c r="AM146" t="s">
        <v>1500</v>
      </c>
      <c r="AO146">
        <v>8</v>
      </c>
      <c r="AP146">
        <f t="shared" si="119"/>
        <v>16</v>
      </c>
      <c r="AS146" t="s">
        <v>3709</v>
      </c>
      <c r="AT146">
        <f ca="1">IF(AV146,3,10)</f>
        <v>10</v>
      </c>
      <c r="AU146">
        <v>7</v>
      </c>
      <c r="AV146" t="b">
        <f ca="1">IF(AND(
NOT(ISERR(FIND($R$82&amp;" "&amp;AS146,Abfragen!$U$81))),
NOT(ISERR(FIND($R$98&amp;" "&amp;AS146,Abfragen!$U$81)))),
TRUE,FALSE)</f>
        <v>0</v>
      </c>
      <c r="BK146" t="s">
        <v>3478</v>
      </c>
      <c r="BL146">
        <v>6</v>
      </c>
      <c r="BM146">
        <v>9</v>
      </c>
      <c r="BN146" t="s">
        <v>5512</v>
      </c>
      <c r="BO146">
        <v>11</v>
      </c>
      <c r="BP146" t="s">
        <v>3569</v>
      </c>
      <c r="BQ146">
        <v>1</v>
      </c>
      <c r="BR146">
        <v>9</v>
      </c>
      <c r="BS146" t="s">
        <v>5513</v>
      </c>
      <c r="BT146">
        <v>8</v>
      </c>
      <c r="BU146">
        <v>15</v>
      </c>
      <c r="BW146">
        <v>4</v>
      </c>
      <c r="BY146" t="s">
        <v>4985</v>
      </c>
      <c r="BZ146" t="s">
        <v>4985</v>
      </c>
      <c r="CA146" t="s">
        <v>5514</v>
      </c>
      <c r="CD146" t="s">
        <v>4762</v>
      </c>
      <c r="CE146" t="s">
        <v>4647</v>
      </c>
      <c r="CF146" t="s">
        <v>910</v>
      </c>
      <c r="CG146" t="s">
        <v>3233</v>
      </c>
      <c r="CH146">
        <v>-3</v>
      </c>
      <c r="CI146">
        <v>5</v>
      </c>
      <c r="CJ146" t="s">
        <v>899</v>
      </c>
      <c r="CK146" t="s">
        <v>3629</v>
      </c>
      <c r="CN146" t="str">
        <f ca="1">IF(AND(ISERR(FIND($CK146,Talente!$CI$41)),ISNA(VLOOKUP($CK146,$AH$51:$AH$55,1))),IF(AND(ISERR(FIND($CL146,Talente!$CI$41)),ISNA(VLOOKUP($CL146,$AH$51:$AH$55,1))),$CM146,$CL146),$CK146)</f>
        <v>Zweihand-Hiebwaffen</v>
      </c>
      <c r="CP146" t="s">
        <v>3470</v>
      </c>
      <c r="CQ146" t="s">
        <v>1433</v>
      </c>
      <c r="CR146">
        <v>16</v>
      </c>
      <c r="CU146" t="s">
        <v>3028</v>
      </c>
      <c r="CX146" t="s">
        <v>4056</v>
      </c>
      <c r="CY146" t="s">
        <v>75</v>
      </c>
      <c r="CZ146" t="s">
        <v>76</v>
      </c>
      <c r="DA146" t="s">
        <v>77</v>
      </c>
      <c r="DC146" t="s">
        <v>7299</v>
      </c>
      <c r="DD146" t="s">
        <v>4023</v>
      </c>
      <c r="DE146" t="s">
        <v>3142</v>
      </c>
      <c r="DF146" t="s">
        <v>81</v>
      </c>
      <c r="DG146" t="s">
        <v>1321</v>
      </c>
      <c r="DH146" t="s">
        <v>6931</v>
      </c>
      <c r="DI146" t="s">
        <v>4517</v>
      </c>
      <c r="DJ146">
        <v>2</v>
      </c>
      <c r="DK146">
        <f t="shared" si="117"/>
        <v>467</v>
      </c>
      <c r="DL146">
        <f t="shared" si="118"/>
        <v>144</v>
      </c>
      <c r="DM146">
        <v>126</v>
      </c>
      <c r="DN146" t="str">
        <f t="shared" ca="1" si="104"/>
        <v/>
      </c>
      <c r="DO146" t="str">
        <f t="shared" ca="1" si="105"/>
        <v/>
      </c>
      <c r="DP146" t="str">
        <f t="shared" ca="1" si="106"/>
        <v/>
      </c>
      <c r="DQ146" t="str">
        <f>IF(EXACT(Zauber!$A$250,""),"",IF(EXACT(RIGHT(HLOOKUP(Zauber!$A$250,PROFMAGIE,$DK146,FALSE)),"H"),CONCATENATE($CX146,","),""))</f>
        <v/>
      </c>
      <c r="DR146" t="str">
        <f t="shared" si="107"/>
        <v/>
      </c>
      <c r="DS146" t="str">
        <f>IF(ZS_IAAK="Ja",IF(EXACT(RIGHT(HLOOKUP(Tabellen_Magie!$IK$1,PROFMAGIE,$DK146,FALSE)),"H"),CONCATENATE($CX146,","),""),"")</f>
        <v/>
      </c>
      <c r="DT146" t="str">
        <f>IF(ZS_IAAK="Ja",IF(NOT(DS146=""),"",IF(OR(EXACT(RIGHT(HLOOKUP(Tabellen_Magie!$IK$1,PROFMAGIE,$DK146,FALSE)),"B"),EXACT(HLOOKUP(Tabellen_Magie!$IK$1,PROFMAGIE,$DK146,FALSE),"")),"",CONCATENATE($CX146,","))),"")</f>
        <v/>
      </c>
      <c r="DU146" t="str">
        <f t="shared" si="108"/>
        <v/>
      </c>
      <c r="DW146" t="s">
        <v>4740</v>
      </c>
      <c r="DX146" t="s">
        <v>77</v>
      </c>
      <c r="DY146" t="s">
        <v>77</v>
      </c>
      <c r="DZ146" t="s">
        <v>751</v>
      </c>
      <c r="EA146" t="s">
        <v>53</v>
      </c>
      <c r="EB146" t="s">
        <v>54</v>
      </c>
      <c r="EC146" t="s">
        <v>8646</v>
      </c>
      <c r="ED146">
        <f t="shared" si="99"/>
        <v>100</v>
      </c>
      <c r="EE146" t="s">
        <v>2680</v>
      </c>
      <c r="EH146">
        <f t="shared" si="100"/>
        <v>2</v>
      </c>
      <c r="EI146">
        <v>100</v>
      </c>
      <c r="FD146" t="s">
        <v>3071</v>
      </c>
      <c r="FE146">
        <f>ROUND(FK146*IF(NT_ELFWELT,IF(FN146,1,1.5),1),0)</f>
        <v>250</v>
      </c>
      <c r="FF146">
        <f t="shared" si="101"/>
        <v>5</v>
      </c>
      <c r="FK146">
        <v>250</v>
      </c>
      <c r="FL146">
        <v>2</v>
      </c>
      <c r="FM146" t="b">
        <f t="shared" ca="1" si="102"/>
        <v>0</v>
      </c>
      <c r="FN146" t="b">
        <f t="shared" ca="1" si="103"/>
        <v>0</v>
      </c>
      <c r="GH146" t="s">
        <v>2671</v>
      </c>
      <c r="GI146" t="s">
        <v>3290</v>
      </c>
      <c r="GJ146">
        <v>3</v>
      </c>
      <c r="GK146" t="s">
        <v>1320</v>
      </c>
      <c r="GL146" t="s">
        <v>1976</v>
      </c>
      <c r="GM146" t="s">
        <v>1983</v>
      </c>
      <c r="GN146" t="s">
        <v>1974</v>
      </c>
      <c r="GO146">
        <v>280</v>
      </c>
      <c r="GP146">
        <v>100</v>
      </c>
      <c r="GR146">
        <f t="shared" si="111"/>
        <v>495</v>
      </c>
      <c r="GU146" t="str">
        <f t="shared" ca="1" si="112"/>
        <v/>
      </c>
      <c r="GV146" t="str">
        <f t="shared" ca="1" si="113"/>
        <v/>
      </c>
      <c r="GW146" t="str">
        <f t="shared" ca="1" si="114"/>
        <v/>
      </c>
      <c r="GX146" t="str">
        <f t="shared" ca="1" si="115"/>
        <v/>
      </c>
    </row>
    <row r="147" spans="1:206" x14ac:dyDescent="0.2">
      <c r="A147" t="s">
        <v>3912</v>
      </c>
      <c r="B147" t="s">
        <v>75</v>
      </c>
      <c r="C147" t="s">
        <v>750</v>
      </c>
      <c r="D147" t="s">
        <v>750</v>
      </c>
      <c r="E147" t="s">
        <v>1827</v>
      </c>
      <c r="F147" t="s">
        <v>1321</v>
      </c>
      <c r="L147" t="str">
        <f t="shared" si="109"/>
        <v/>
      </c>
      <c r="M147" t="str">
        <f t="shared" si="110"/>
        <v/>
      </c>
      <c r="N147" t="str">
        <f t="shared" si="94"/>
        <v>Töpfern</v>
      </c>
      <c r="P147">
        <f t="shared" si="93"/>
        <v>177</v>
      </c>
      <c r="R147" t="s">
        <v>4443</v>
      </c>
      <c r="S147" t="s">
        <v>1258</v>
      </c>
      <c r="T147">
        <f>IF(VT_VOLLZBR,5,IF(VT_HALBZBR,3,1))</f>
        <v>1</v>
      </c>
      <c r="W147" t="str">
        <f t="shared" ref="W147:W161" si="120">100*X147&amp;" D"</f>
        <v>600 D</v>
      </c>
      <c r="X147">
        <v>6</v>
      </c>
      <c r="Z147" t="s">
        <v>849</v>
      </c>
      <c r="AA147">
        <v>1</v>
      </c>
      <c r="AB147">
        <v>12</v>
      </c>
      <c r="AD147" t="s">
        <v>3995</v>
      </c>
      <c r="AH147" t="str">
        <f>"MU "&amp;Generierung!$R$4+2</f>
        <v>MU 16</v>
      </c>
      <c r="AI147">
        <v>20</v>
      </c>
      <c r="AM147" t="s">
        <v>3667</v>
      </c>
      <c r="AO147">
        <v>6</v>
      </c>
      <c r="AP147">
        <f t="shared" si="119"/>
        <v>12</v>
      </c>
      <c r="AS147" t="s">
        <v>3731</v>
      </c>
      <c r="AT147">
        <f ca="1">IF(AV147,2,5)</f>
        <v>5</v>
      </c>
      <c r="AU147">
        <v>3</v>
      </c>
      <c r="AV147" t="b">
        <f ca="1">IF(AND(
NOT(ISERR(FIND($R$82&amp;" "&amp;AS147,Abfragen!$U$81))),
NOT(ISERR(FIND($R$98&amp;" "&amp;AS147,Abfragen!$U$81)))),
TRUE,FALSE)</f>
        <v>0</v>
      </c>
      <c r="BK147" t="s">
        <v>3480</v>
      </c>
      <c r="BL147">
        <v>6</v>
      </c>
      <c r="BM147">
        <v>9</v>
      </c>
      <c r="BN147" t="s">
        <v>5512</v>
      </c>
      <c r="BO147">
        <v>11</v>
      </c>
      <c r="BP147" t="s">
        <v>3569</v>
      </c>
      <c r="BQ147">
        <v>1</v>
      </c>
      <c r="BR147">
        <v>9</v>
      </c>
      <c r="BS147" t="s">
        <v>5513</v>
      </c>
      <c r="BT147">
        <v>8</v>
      </c>
      <c r="BU147">
        <v>15</v>
      </c>
      <c r="BW147">
        <v>4</v>
      </c>
      <c r="BY147" t="s">
        <v>4985</v>
      </c>
      <c r="BZ147" t="s">
        <v>4985</v>
      </c>
      <c r="CA147" t="s">
        <v>5514</v>
      </c>
      <c r="CD147" t="s">
        <v>7174</v>
      </c>
      <c r="CE147" t="s">
        <v>4647</v>
      </c>
      <c r="CF147" t="s">
        <v>275</v>
      </c>
      <c r="CG147" t="s">
        <v>3233</v>
      </c>
      <c r="CH147">
        <v>-3</v>
      </c>
      <c r="CI147">
        <v>5</v>
      </c>
      <c r="CJ147" t="s">
        <v>899</v>
      </c>
      <c r="CK147" t="s">
        <v>2190</v>
      </c>
      <c r="CN147" t="str">
        <f ca="1">IF(AND(ISERR(FIND($CK147,Talente!$CI$41)),ISNA(VLOOKUP($CK147,$AH$51:$AH$55,1))),IF(AND(ISERR(FIND($CL147,Talente!$CI$41)),ISNA(VLOOKUP($CL147,$AH$51:$AH$55,1))),$CM147,$CL147),$CK147)</f>
        <v>Hiebwaffen</v>
      </c>
      <c r="CP147" t="s">
        <v>1512</v>
      </c>
      <c r="CQ147" t="s">
        <v>1433</v>
      </c>
      <c r="CR147">
        <v>18</v>
      </c>
      <c r="CU147" t="s">
        <v>3029</v>
      </c>
      <c r="CX147" t="s">
        <v>1507</v>
      </c>
      <c r="CY147" t="s">
        <v>74</v>
      </c>
      <c r="CZ147" t="s">
        <v>77</v>
      </c>
      <c r="DA147" t="s">
        <v>5030</v>
      </c>
      <c r="DC147" t="s">
        <v>4024</v>
      </c>
      <c r="DD147" t="s">
        <v>4025</v>
      </c>
      <c r="DE147" t="s">
        <v>4484</v>
      </c>
      <c r="DF147" t="s">
        <v>81</v>
      </c>
      <c r="DG147" t="s">
        <v>3916</v>
      </c>
      <c r="DH147" t="s">
        <v>6932</v>
      </c>
      <c r="DI147" t="s">
        <v>3205</v>
      </c>
      <c r="DJ147">
        <v>2</v>
      </c>
      <c r="DK147">
        <f t="shared" si="117"/>
        <v>468</v>
      </c>
      <c r="DL147">
        <f t="shared" si="118"/>
        <v>145</v>
      </c>
      <c r="DM147">
        <v>127</v>
      </c>
      <c r="DN147" t="str">
        <f t="shared" ca="1" si="104"/>
        <v/>
      </c>
      <c r="DO147" t="str">
        <f t="shared" ca="1" si="105"/>
        <v/>
      </c>
      <c r="DP147" t="str">
        <f t="shared" ca="1" si="106"/>
        <v/>
      </c>
      <c r="DQ147" t="str">
        <f>IF(EXACT(Zauber!$A$250,""),"",IF(EXACT(RIGHT(HLOOKUP(Zauber!$A$250,PROFMAGIE,$DK147,FALSE)),"H"),CONCATENATE($CX147,","),""))</f>
        <v/>
      </c>
      <c r="DR147" t="str">
        <f t="shared" si="107"/>
        <v/>
      </c>
      <c r="DS147" t="str">
        <f>IF(ZS_IAAK="Ja",IF(EXACT(RIGHT(HLOOKUP(Tabellen_Magie!$IK$1,PROFMAGIE,$DK147,FALSE)),"H"),CONCATENATE($CX147,","),""),"")</f>
        <v/>
      </c>
      <c r="DT147" t="str">
        <f>IF(ZS_IAAK="Ja",IF(NOT(DS147=""),"",IF(OR(EXACT(RIGHT(HLOOKUP(Tabellen_Magie!$IK$1,PROFMAGIE,$DK147,FALSE)),"B"),EXACT(HLOOKUP(Tabellen_Magie!$IK$1,PROFMAGIE,$DK147,FALSE),"")),"",CONCATENATE($CX147,","))),"")</f>
        <v/>
      </c>
      <c r="DU147" t="str">
        <f t="shared" si="108"/>
        <v/>
      </c>
      <c r="DW147" t="s">
        <v>4739</v>
      </c>
      <c r="DX147" t="s">
        <v>74</v>
      </c>
      <c r="DY147" t="s">
        <v>77</v>
      </c>
      <c r="DZ147" t="s">
        <v>77</v>
      </c>
      <c r="EA147" t="s">
        <v>4888</v>
      </c>
      <c r="EB147" t="s">
        <v>1614</v>
      </c>
      <c r="EC147" t="s">
        <v>1444</v>
      </c>
      <c r="ED147">
        <f t="shared" si="99"/>
        <v>150</v>
      </c>
      <c r="EE147" t="s">
        <v>2680</v>
      </c>
      <c r="EH147">
        <f t="shared" si="100"/>
        <v>3</v>
      </c>
      <c r="EI147">
        <v>150</v>
      </c>
      <c r="FD147" t="s">
        <v>2932</v>
      </c>
      <c r="FE147">
        <f ca="1">ROUND(IF(VT_AKADMAG,FK147*3/4,FK147)*IF(NT_ELFWELT,IF(FN147,1,1.5),1)*IF(NOT(ISERROR(FIND("Meta",'Zauber 2'!$D$84,1))),0.5,1),0)</f>
        <v>300</v>
      </c>
      <c r="FF147">
        <f ca="1">ROUND(FE147/50,0)</f>
        <v>6</v>
      </c>
      <c r="FK147">
        <v>300</v>
      </c>
      <c r="FL147">
        <v>2</v>
      </c>
      <c r="FM147" t="b">
        <f t="shared" ca="1" si="102"/>
        <v>0</v>
      </c>
      <c r="FN147" t="b">
        <f t="shared" ca="1" si="103"/>
        <v>0</v>
      </c>
      <c r="GH147" t="s">
        <v>2672</v>
      </c>
      <c r="GI147" t="s">
        <v>3290</v>
      </c>
      <c r="GJ147">
        <v>3</v>
      </c>
      <c r="GK147" t="s">
        <v>1320</v>
      </c>
      <c r="GL147" t="s">
        <v>2685</v>
      </c>
      <c r="GM147" t="s">
        <v>1369</v>
      </c>
      <c r="GN147" t="s">
        <v>1974</v>
      </c>
      <c r="GO147">
        <v>269</v>
      </c>
      <c r="GP147">
        <v>104</v>
      </c>
      <c r="GR147">
        <f t="shared" si="111"/>
        <v>496</v>
      </c>
      <c r="GU147" t="str">
        <f t="shared" ca="1" si="112"/>
        <v/>
      </c>
      <c r="GV147" t="str">
        <f t="shared" ca="1" si="113"/>
        <v/>
      </c>
      <c r="GW147" t="str">
        <f t="shared" ca="1" si="114"/>
        <v/>
      </c>
      <c r="GX147" t="str">
        <f t="shared" ca="1" si="115"/>
        <v/>
      </c>
    </row>
    <row r="148" spans="1:206" x14ac:dyDescent="0.2">
      <c r="A148" t="s">
        <v>3913</v>
      </c>
      <c r="B148" t="s">
        <v>75</v>
      </c>
      <c r="C148" t="s">
        <v>76</v>
      </c>
      <c r="D148" t="s">
        <v>752</v>
      </c>
      <c r="E148" t="s">
        <v>1320</v>
      </c>
      <c r="F148" t="s">
        <v>1321</v>
      </c>
      <c r="L148" t="str">
        <f t="shared" si="109"/>
        <v/>
      </c>
      <c r="M148" t="str">
        <f t="shared" si="110"/>
        <v/>
      </c>
      <c r="N148" t="str">
        <f t="shared" si="94"/>
        <v>Viehzucht</v>
      </c>
      <c r="P148">
        <f t="shared" si="93"/>
        <v>178</v>
      </c>
      <c r="R148" t="s">
        <v>1305</v>
      </c>
      <c r="S148" t="s">
        <v>3756</v>
      </c>
      <c r="T148" t="s">
        <v>3757</v>
      </c>
      <c r="U148">
        <v>3</v>
      </c>
      <c r="W148" t="str">
        <f t="shared" si="120"/>
        <v>700 D</v>
      </c>
      <c r="X148">
        <v>7</v>
      </c>
      <c r="Z148" t="s">
        <v>4078</v>
      </c>
      <c r="AC148">
        <v>5</v>
      </c>
      <c r="AH148" t="str">
        <f>"MU "&amp;Generierung!$R$4+3</f>
        <v>MU 17</v>
      </c>
      <c r="AI148">
        <v>33</v>
      </c>
      <c r="AM148" t="s">
        <v>880</v>
      </c>
      <c r="AO148">
        <v>8</v>
      </c>
      <c r="AP148">
        <f t="shared" si="119"/>
        <v>16</v>
      </c>
      <c r="AS148" t="s">
        <v>3732</v>
      </c>
      <c r="AT148">
        <f ca="1">IF(AV148,2,5)</f>
        <v>5</v>
      </c>
      <c r="AU148">
        <v>3</v>
      </c>
      <c r="AV148" t="b">
        <f ca="1">IF(AND(
NOT(ISERR(FIND($R$82&amp;" "&amp;AS148,Abfragen!$U$81))),
NOT(ISERR(FIND($R$98&amp;" "&amp;AS148,Abfragen!$U$81)))),
TRUE,FALSE)</f>
        <v>0</v>
      </c>
      <c r="BK148" t="s">
        <v>2291</v>
      </c>
      <c r="BL148">
        <v>6</v>
      </c>
      <c r="BM148">
        <v>16</v>
      </c>
      <c r="BN148">
        <v>11</v>
      </c>
      <c r="BO148">
        <v>9</v>
      </c>
      <c r="BP148" t="s">
        <v>916</v>
      </c>
      <c r="BQ148">
        <v>2</v>
      </c>
      <c r="BR148" t="s">
        <v>5516</v>
      </c>
      <c r="BS148" t="s">
        <v>5436</v>
      </c>
      <c r="BT148">
        <v>8</v>
      </c>
      <c r="BU148">
        <v>40</v>
      </c>
      <c r="BW148">
        <v>4</v>
      </c>
      <c r="BY148" t="s">
        <v>4985</v>
      </c>
      <c r="BZ148" t="s">
        <v>4985</v>
      </c>
      <c r="CA148" t="s">
        <v>5517</v>
      </c>
      <c r="CD148" t="s">
        <v>477</v>
      </c>
      <c r="CE148" t="s">
        <v>4549</v>
      </c>
      <c r="CF148" t="s">
        <v>897</v>
      </c>
      <c r="CG148" t="s">
        <v>4550</v>
      </c>
      <c r="CH148">
        <v>-1</v>
      </c>
      <c r="CI148">
        <v>6</v>
      </c>
      <c r="CJ148" t="s">
        <v>899</v>
      </c>
      <c r="CK148" t="s">
        <v>2190</v>
      </c>
      <c r="CN148" t="str">
        <f ca="1">IF(AND(ISERR(FIND($CK148,Talente!$CI$41)),ISNA(VLOOKUP($CK148,$AH$51:$AH$55,1))),IF(AND(ISERR(FIND($CL148,Talente!$CI$41)),ISNA(VLOOKUP($CL148,$AH$51:$AH$55,1))),$CM148,$CL148),$CK148)</f>
        <v>Hiebwaffen</v>
      </c>
      <c r="CU148" t="s">
        <v>1793</v>
      </c>
      <c r="CX148" t="s">
        <v>1508</v>
      </c>
      <c r="CY148" t="s">
        <v>75</v>
      </c>
      <c r="CZ148" t="s">
        <v>77</v>
      </c>
      <c r="DA148" t="s">
        <v>77</v>
      </c>
      <c r="DB148" t="s">
        <v>2042</v>
      </c>
      <c r="DC148" t="s">
        <v>7292</v>
      </c>
      <c r="DD148" t="s">
        <v>4026</v>
      </c>
      <c r="DE148" t="s">
        <v>3591</v>
      </c>
      <c r="DF148" t="s">
        <v>2493</v>
      </c>
      <c r="DG148" t="s">
        <v>1828</v>
      </c>
      <c r="DH148" t="s">
        <v>6933</v>
      </c>
      <c r="DI148" t="s">
        <v>4343</v>
      </c>
      <c r="DJ148">
        <v>2</v>
      </c>
      <c r="DK148">
        <f t="shared" si="117"/>
        <v>469</v>
      </c>
      <c r="DL148">
        <f t="shared" si="118"/>
        <v>146</v>
      </c>
      <c r="DM148">
        <v>128</v>
      </c>
      <c r="DN148" t="str">
        <f t="shared" ca="1" si="104"/>
        <v/>
      </c>
      <c r="DO148" t="str">
        <f t="shared" ca="1" si="105"/>
        <v/>
      </c>
      <c r="DP148" t="str">
        <f t="shared" ca="1" si="106"/>
        <v/>
      </c>
      <c r="DQ148" t="str">
        <f>IF(EXACT(Zauber!$A$250,""),"",IF(EXACT(RIGHT(HLOOKUP(Zauber!$A$250,PROFMAGIE,$DK148,FALSE)),"H"),CONCATENATE($CX148,","),""))</f>
        <v/>
      </c>
      <c r="DR148" t="str">
        <f t="shared" si="107"/>
        <v/>
      </c>
      <c r="DS148" t="str">
        <f>IF(ZS_IAAK="Ja",IF(EXACT(RIGHT(HLOOKUP(Tabellen_Magie!$IK$1,PROFMAGIE,$DK148,FALSE)),"H"),CONCATENATE($CX148,","),""),"")</f>
        <v/>
      </c>
      <c r="DT148" t="str">
        <f>IF(ZS_IAAK="Ja",IF(NOT(DS148=""),"",IF(OR(EXACT(RIGHT(HLOOKUP(Tabellen_Magie!$IK$1,PROFMAGIE,$DK148,FALSE)),"B"),EXACT(HLOOKUP(Tabellen_Magie!$IK$1,PROFMAGIE,$DK148,FALSE),"")),"",CONCATENATE($CX148,","))),"")</f>
        <v/>
      </c>
      <c r="DU148" t="str">
        <f t="shared" si="108"/>
        <v/>
      </c>
      <c r="DW148" t="s">
        <v>4737</v>
      </c>
      <c r="DX148" t="s">
        <v>74</v>
      </c>
      <c r="DY148" t="s">
        <v>74</v>
      </c>
      <c r="DZ148" t="s">
        <v>77</v>
      </c>
      <c r="EB148" t="s">
        <v>2679</v>
      </c>
      <c r="EC148" t="s">
        <v>4565</v>
      </c>
      <c r="ED148">
        <f t="shared" si="99"/>
        <v>200</v>
      </c>
      <c r="EE148" t="s">
        <v>2680</v>
      </c>
      <c r="EH148">
        <f t="shared" si="100"/>
        <v>4</v>
      </c>
      <c r="EI148">
        <v>200</v>
      </c>
      <c r="FD148" t="s">
        <v>6276</v>
      </c>
      <c r="FE148">
        <f ca="1">ROUND(IF(VT_AKADMAG,FK148*3/4,FK148)*IF(NT_ELFWELT,IF(FN148,1,1.5),1)*IF(NOT(ISERROR(FIND("Besw",'Zauber 2'!$D$84,1))),0.5,1)*IF(VT_EIDGED,0.5,IF(VT_GUTGED,0.75,1)),0)</f>
        <v>200</v>
      </c>
      <c r="FF148">
        <f ca="1">ROUND(FE148/50,0)</f>
        <v>4</v>
      </c>
      <c r="FK148">
        <v>200</v>
      </c>
      <c r="FL148">
        <v>3</v>
      </c>
      <c r="FM148" t="b">
        <f t="shared" ca="1" si="102"/>
        <v>0</v>
      </c>
      <c r="FN148" t="b">
        <f t="shared" ca="1" si="103"/>
        <v>0</v>
      </c>
      <c r="GH148" t="s">
        <v>2673</v>
      </c>
      <c r="GI148" t="s">
        <v>3290</v>
      </c>
      <c r="GJ148">
        <v>3</v>
      </c>
      <c r="GK148" t="s">
        <v>4484</v>
      </c>
      <c r="GL148" t="s">
        <v>1976</v>
      </c>
      <c r="GM148" t="s">
        <v>1982</v>
      </c>
      <c r="GN148" t="s">
        <v>1974</v>
      </c>
      <c r="GO148">
        <v>272</v>
      </c>
      <c r="GP148">
        <v>105</v>
      </c>
      <c r="GR148">
        <f t="shared" si="111"/>
        <v>497</v>
      </c>
      <c r="GU148" t="str">
        <f t="shared" ca="1" si="112"/>
        <v/>
      </c>
      <c r="GV148" t="str">
        <f t="shared" ca="1" si="113"/>
        <v/>
      </c>
      <c r="GW148" t="str">
        <f t="shared" ca="1" si="114"/>
        <v/>
      </c>
      <c r="GX148" t="str">
        <f t="shared" ca="1" si="115"/>
        <v/>
      </c>
    </row>
    <row r="149" spans="1:206" x14ac:dyDescent="0.2">
      <c r="A149" t="s">
        <v>3914</v>
      </c>
      <c r="B149" t="s">
        <v>750</v>
      </c>
      <c r="C149" t="s">
        <v>750</v>
      </c>
      <c r="D149" t="s">
        <v>752</v>
      </c>
      <c r="E149" t="s">
        <v>1827</v>
      </c>
      <c r="F149" t="s">
        <v>1321</v>
      </c>
      <c r="L149" t="str">
        <f t="shared" si="109"/>
        <v/>
      </c>
      <c r="M149" t="str">
        <f t="shared" si="110"/>
        <v/>
      </c>
      <c r="N149" t="str">
        <f t="shared" si="94"/>
        <v>Webkunst</v>
      </c>
      <c r="P149">
        <f t="shared" si="93"/>
        <v>179</v>
      </c>
      <c r="R149" t="s">
        <v>3761</v>
      </c>
      <c r="S149" t="s">
        <v>1258</v>
      </c>
      <c r="T149">
        <v>5</v>
      </c>
      <c r="W149" t="str">
        <f t="shared" si="120"/>
        <v>800 D</v>
      </c>
      <c r="X149">
        <v>8</v>
      </c>
      <c r="Z149" t="s">
        <v>4079</v>
      </c>
      <c r="AC149">
        <v>5</v>
      </c>
      <c r="AH149" t="str">
        <f>"MU "&amp;Generierung!$R$4+4</f>
        <v>MU 18</v>
      </c>
      <c r="AI149">
        <v>48</v>
      </c>
      <c r="AM149" t="s">
        <v>1499</v>
      </c>
      <c r="AO149">
        <v>5</v>
      </c>
      <c r="AP149">
        <f t="shared" si="119"/>
        <v>10</v>
      </c>
      <c r="AS149" t="s">
        <v>3735</v>
      </c>
      <c r="AT149">
        <f ca="1">IF(AV149,2,5)</f>
        <v>5</v>
      </c>
      <c r="AU149">
        <v>3</v>
      </c>
      <c r="AV149" t="b">
        <f ca="1">IF(AND(
NOT(ISERR(FIND($R$82&amp;" "&amp;AS149,Abfragen!$U$81))),
NOT(ISERR(FIND($R$98&amp;" "&amp;AS149,Abfragen!$U$81)))),
TRUE,FALSE)</f>
        <v>0</v>
      </c>
      <c r="BK149" t="s">
        <v>5518</v>
      </c>
      <c r="BL149">
        <v>8</v>
      </c>
      <c r="BM149">
        <v>18</v>
      </c>
      <c r="BN149">
        <v>10</v>
      </c>
      <c r="BO149">
        <v>7</v>
      </c>
      <c r="BP149" t="s">
        <v>5519</v>
      </c>
      <c r="BQ149">
        <v>2</v>
      </c>
      <c r="BR149">
        <v>52</v>
      </c>
      <c r="BS149" t="s">
        <v>5520</v>
      </c>
      <c r="BT149">
        <v>7</v>
      </c>
      <c r="BU149">
        <v>20</v>
      </c>
      <c r="BW149">
        <v>4</v>
      </c>
      <c r="BY149" t="s">
        <v>4985</v>
      </c>
      <c r="BZ149" t="s">
        <v>4985</v>
      </c>
      <c r="CA149" t="s">
        <v>5521</v>
      </c>
      <c r="CD149" t="s">
        <v>478</v>
      </c>
      <c r="CE149" t="s">
        <v>4558</v>
      </c>
      <c r="CF149" t="s">
        <v>271</v>
      </c>
      <c r="CG149" t="s">
        <v>3234</v>
      </c>
      <c r="CH149">
        <v>-2</v>
      </c>
      <c r="CI149">
        <v>6</v>
      </c>
      <c r="CJ149" t="s">
        <v>4001</v>
      </c>
      <c r="CK149" t="s">
        <v>1957</v>
      </c>
      <c r="CN149" t="str">
        <f ca="1">IF(AND(ISERR(FIND($CK149,Talente!$CI$41)),ISNA(VLOOKUP($CK149,$AH$51:$AH$55,1))),IF(AND(ISERR(FIND($CL149,Talente!$CI$41)),ISNA(VLOOKUP($CL149,$AH$51:$AH$55,1))),$CM149,$CL149),$CK149)</f>
        <v>Dolche</v>
      </c>
      <c r="CU149" t="s">
        <v>7574</v>
      </c>
      <c r="CX149" t="s">
        <v>1509</v>
      </c>
      <c r="CY149" t="s">
        <v>75</v>
      </c>
      <c r="CZ149" t="s">
        <v>76</v>
      </c>
      <c r="DA149" t="s">
        <v>750</v>
      </c>
      <c r="DC149" t="s">
        <v>544</v>
      </c>
      <c r="DD149" t="s">
        <v>4027</v>
      </c>
      <c r="DE149" t="s">
        <v>2397</v>
      </c>
      <c r="DF149" t="s">
        <v>4028</v>
      </c>
      <c r="DG149" t="s">
        <v>1955</v>
      </c>
      <c r="DH149" t="s">
        <v>6934</v>
      </c>
      <c r="DI149" t="s">
        <v>2793</v>
      </c>
      <c r="DJ149">
        <v>2</v>
      </c>
      <c r="DK149">
        <f t="shared" si="117"/>
        <v>470</v>
      </c>
      <c r="DL149">
        <f t="shared" si="118"/>
        <v>147</v>
      </c>
      <c r="DM149">
        <v>129</v>
      </c>
      <c r="DN149" t="str">
        <f t="shared" ca="1" si="104"/>
        <v/>
      </c>
      <c r="DO149" t="str">
        <f t="shared" ca="1" si="105"/>
        <v/>
      </c>
      <c r="DP149" t="str">
        <f t="shared" ca="1" si="106"/>
        <v/>
      </c>
      <c r="DQ149" t="str">
        <f>IF(EXACT(Zauber!$A$250,""),"",IF(EXACT(RIGHT(HLOOKUP(Zauber!$A$250,PROFMAGIE,$DK149,FALSE)),"H"),CONCATENATE($CX149,","),""))</f>
        <v/>
      </c>
      <c r="DR149" t="str">
        <f t="shared" si="107"/>
        <v/>
      </c>
      <c r="DS149" t="str">
        <f>IF(ZS_IAAK="Ja",IF(EXACT(RIGHT(HLOOKUP(Tabellen_Magie!$IK$1,PROFMAGIE,$DK149,FALSE)),"H"),CONCATENATE($CX149,","),""),"")</f>
        <v/>
      </c>
      <c r="DT149" t="str">
        <f>IF(ZS_IAAK="Ja",IF(NOT(DS149=""),"",IF(OR(EXACT(RIGHT(HLOOKUP(Tabellen_Magie!$IK$1,PROFMAGIE,$DK149,FALSE)),"B"),EXACT(HLOOKUP(Tabellen_Magie!$IK$1,PROFMAGIE,$DK149,FALSE),"")),"",CONCATENATE($CX149,","))),"")</f>
        <v/>
      </c>
      <c r="DU149" t="str">
        <f t="shared" si="108"/>
        <v/>
      </c>
      <c r="DV149" t="s">
        <v>3933</v>
      </c>
      <c r="DW149" t="s">
        <v>4736</v>
      </c>
      <c r="DX149" t="s">
        <v>76</v>
      </c>
      <c r="DY149" t="s">
        <v>77</v>
      </c>
      <c r="DZ149" t="s">
        <v>751</v>
      </c>
      <c r="EA149" t="s">
        <v>8655</v>
      </c>
      <c r="EB149" t="s">
        <v>1614</v>
      </c>
      <c r="EC149" t="s">
        <v>4565</v>
      </c>
      <c r="ED149">
        <f t="shared" si="99"/>
        <v>250</v>
      </c>
      <c r="EE149" t="s">
        <v>2680</v>
      </c>
      <c r="EH149">
        <f t="shared" si="100"/>
        <v>5</v>
      </c>
      <c r="EI149">
        <v>250</v>
      </c>
      <c r="FD149" t="s">
        <v>2933</v>
      </c>
      <c r="FE149">
        <f>ROUND(FK149*IF(VT_AKADMAG,3/4,1)*IF(NT_ELFWELT,IF(FN149,1,1.5),1),0)</f>
        <v>100</v>
      </c>
      <c r="FF149">
        <f t="shared" si="101"/>
        <v>2</v>
      </c>
      <c r="FK149">
        <v>100</v>
      </c>
      <c r="FL149">
        <v>5</v>
      </c>
      <c r="FM149" t="b">
        <f ca="1">IF(OR(IF(NOT(ISNA(VLOOKUP(FD149,SF_Verbilligt_Left,3,FALSE))),VLOOKUP(FD149,SF_Verbilligt_Left,3,FALSE)="x",FALSE),IF(NOT(ISNA(VLOOKUP(FD149,SF_Verbilligt_Right,8,FALSE))),VLOOKUP(FD149,SF_Verbilligt_Right,8,FALSE)="x",FALSE)),TRUE,FALSE)</f>
        <v>0</v>
      </c>
      <c r="FN149" t="b">
        <f ca="1">OR(FM149,NOT(ISERROR(FIND(FD149,$FN$3,1))))</f>
        <v>0</v>
      </c>
      <c r="GH149" t="s">
        <v>3525</v>
      </c>
      <c r="GI149" t="s">
        <v>3290</v>
      </c>
      <c r="GJ149">
        <v>3</v>
      </c>
      <c r="GK149" t="s">
        <v>4484</v>
      </c>
      <c r="GL149" t="s">
        <v>1978</v>
      </c>
      <c r="GM149" t="s">
        <v>1983</v>
      </c>
      <c r="GN149" t="s">
        <v>1974</v>
      </c>
      <c r="GO149">
        <v>263</v>
      </c>
      <c r="GP149">
        <v>106</v>
      </c>
      <c r="GR149">
        <f t="shared" si="111"/>
        <v>498</v>
      </c>
      <c r="GU149" t="str">
        <f t="shared" ca="1" si="112"/>
        <v/>
      </c>
      <c r="GV149" t="str">
        <f t="shared" ca="1" si="113"/>
        <v/>
      </c>
      <c r="GW149" t="str">
        <f t="shared" ca="1" si="114"/>
        <v/>
      </c>
      <c r="GX149" t="str">
        <f t="shared" ca="1" si="115"/>
        <v/>
      </c>
    </row>
    <row r="150" spans="1:206" x14ac:dyDescent="0.2">
      <c r="A150" t="s">
        <v>3000</v>
      </c>
      <c r="B150" t="s">
        <v>75</v>
      </c>
      <c r="C150" t="s">
        <v>750</v>
      </c>
      <c r="D150" t="s">
        <v>752</v>
      </c>
      <c r="E150" t="s">
        <v>1320</v>
      </c>
      <c r="F150" t="s">
        <v>1321</v>
      </c>
      <c r="L150" t="str">
        <f t="shared" si="109"/>
        <v/>
      </c>
      <c r="M150" t="str">
        <f t="shared" si="110"/>
        <v/>
      </c>
      <c r="N150" t="str">
        <f t="shared" si="94"/>
        <v>Winzer</v>
      </c>
      <c r="P150">
        <f t="shared" si="93"/>
        <v>180</v>
      </c>
      <c r="R150" t="s">
        <v>2858</v>
      </c>
      <c r="S150" t="s">
        <v>3744</v>
      </c>
      <c r="T150" t="s">
        <v>3745</v>
      </c>
      <c r="U150">
        <v>3</v>
      </c>
      <c r="W150" t="str">
        <f t="shared" si="120"/>
        <v>900 D</v>
      </c>
      <c r="X150">
        <v>9</v>
      </c>
      <c r="Z150" t="s">
        <v>4087</v>
      </c>
      <c r="AC150">
        <v>5</v>
      </c>
      <c r="AH150" t="str">
        <f>"MU "&amp;Generierung!$R$4+5</f>
        <v>MU 19</v>
      </c>
      <c r="AI150">
        <v>65</v>
      </c>
      <c r="AM150" t="s">
        <v>3668</v>
      </c>
      <c r="AO150">
        <v>10</v>
      </c>
      <c r="AP150">
        <f t="shared" si="119"/>
        <v>20</v>
      </c>
      <c r="AS150" t="s">
        <v>3705</v>
      </c>
      <c r="AT150">
        <f ca="1">IF(AV150,3,10)</f>
        <v>10</v>
      </c>
      <c r="AU150">
        <v>7</v>
      </c>
      <c r="AV150" t="b">
        <f ca="1">IF(AND(
NOT(ISERR(FIND($R$82&amp;" "&amp;AS150,Abfragen!$U$81))),
NOT(ISERR(FIND($R$98&amp;" "&amp;AS150,Abfragen!$U$81)))),
TRUE,FALSE)</f>
        <v>0</v>
      </c>
      <c r="BK150" t="s">
        <v>5522</v>
      </c>
      <c r="CD150" t="s">
        <v>4763</v>
      </c>
      <c r="CE150" t="s">
        <v>4549</v>
      </c>
      <c r="CF150" t="s">
        <v>4552</v>
      </c>
      <c r="CG150" t="s">
        <v>3236</v>
      </c>
      <c r="CH150">
        <v>0</v>
      </c>
      <c r="CI150">
        <v>4</v>
      </c>
      <c r="CJ150" t="s">
        <v>899</v>
      </c>
      <c r="CK150" t="s">
        <v>3043</v>
      </c>
      <c r="CN150" t="str">
        <f ca="1">IF(AND(ISERR(FIND($CK150,Talente!$CI$41)),ISNA(VLOOKUP($CK150,$AH$51:$AH$55,1))),IF(AND(ISERR(FIND($CL150,Talente!$CI$41)),ISNA(VLOOKUP($CL150,$AH$51:$AH$55,1))),$CM150,$CL150),$CK150)</f>
        <v>Fechtwaffen</v>
      </c>
      <c r="CU150" t="s">
        <v>4270</v>
      </c>
      <c r="CX150" t="s">
        <v>1510</v>
      </c>
      <c r="CY150" t="s">
        <v>75</v>
      </c>
      <c r="CZ150" t="s">
        <v>77</v>
      </c>
      <c r="DA150" t="s">
        <v>5030</v>
      </c>
      <c r="DB150" t="s">
        <v>1613</v>
      </c>
      <c r="DC150" t="s">
        <v>2685</v>
      </c>
      <c r="DD150" t="s">
        <v>2685</v>
      </c>
      <c r="DE150" t="s">
        <v>1321</v>
      </c>
      <c r="DF150" t="s">
        <v>4472</v>
      </c>
      <c r="DG150" t="s">
        <v>3916</v>
      </c>
      <c r="DH150" t="s">
        <v>6935</v>
      </c>
      <c r="DI150" t="s">
        <v>3206</v>
      </c>
      <c r="DJ150">
        <v>2</v>
      </c>
      <c r="DK150">
        <f t="shared" si="117"/>
        <v>471</v>
      </c>
      <c r="DL150">
        <f t="shared" si="118"/>
        <v>148</v>
      </c>
      <c r="DM150">
        <v>130</v>
      </c>
      <c r="DN150" t="str">
        <f t="shared" ca="1" si="104"/>
        <v/>
      </c>
      <c r="DO150" t="str">
        <f t="shared" ca="1" si="105"/>
        <v/>
      </c>
      <c r="DP150" t="str">
        <f t="shared" ca="1" si="106"/>
        <v/>
      </c>
      <c r="DQ150" t="str">
        <f>IF(EXACT(Zauber!$A$250,""),"",IF(EXACT(RIGHT(HLOOKUP(Zauber!$A$250,PROFMAGIE,$DK150,FALSE)),"H"),CONCATENATE($CX150,","),""))</f>
        <v/>
      </c>
      <c r="DR150" t="str">
        <f t="shared" si="107"/>
        <v/>
      </c>
      <c r="DS150" t="str">
        <f>IF(ZS_IAAK="Ja",IF(EXACT(RIGHT(HLOOKUP(Tabellen_Magie!$IK$1,PROFMAGIE,$DK150,FALSE)),"H"),CONCATENATE($CX150,","),""),"")</f>
        <v/>
      </c>
      <c r="DT150" t="str">
        <f>IF(ZS_IAAK="Ja",IF(NOT(DS150=""),"",IF(OR(EXACT(RIGHT(HLOOKUP(Tabellen_Magie!$IK$1,PROFMAGIE,$DK150,FALSE)),"B"),EXACT(HLOOKUP(Tabellen_Magie!$IK$1,PROFMAGIE,$DK150,FALSE),"")),"",CONCATENATE($CX150,","))),"")</f>
        <v/>
      </c>
      <c r="DU150" t="str">
        <f t="shared" si="108"/>
        <v/>
      </c>
      <c r="DW150" t="s">
        <v>2559</v>
      </c>
      <c r="DX150" t="s">
        <v>75</v>
      </c>
      <c r="DY150" t="s">
        <v>76</v>
      </c>
      <c r="DZ150" t="s">
        <v>77</v>
      </c>
      <c r="EA150" t="s">
        <v>297</v>
      </c>
      <c r="EB150" t="s">
        <v>298</v>
      </c>
      <c r="EC150" t="s">
        <v>8662</v>
      </c>
      <c r="ED150">
        <f t="shared" si="99"/>
        <v>100</v>
      </c>
      <c r="EE150" t="s">
        <v>2680</v>
      </c>
      <c r="EH150">
        <f t="shared" si="100"/>
        <v>2</v>
      </c>
      <c r="EI150">
        <v>100</v>
      </c>
      <c r="FD150" t="s">
        <v>2934</v>
      </c>
      <c r="FE150">
        <f ca="1">ROUND(IF(VT_AKADMAG,FK150*3/4,FK150)*IF(NT_ELFWELT,IF(FN150,1,1.5),1)*IF(NOT(ISERROR(FIND("Krft",'Zauber 2'!$D$84,1))),0.5,1),0)</f>
        <v>300</v>
      </c>
      <c r="FF150">
        <f ca="1">ROUND(FE150/50,0)</f>
        <v>6</v>
      </c>
      <c r="FK150">
        <v>300</v>
      </c>
      <c r="FL150">
        <v>3</v>
      </c>
      <c r="FM150" t="b">
        <f t="shared" ca="1" si="102"/>
        <v>0</v>
      </c>
      <c r="FN150" t="b">
        <f t="shared" ca="1" si="103"/>
        <v>0</v>
      </c>
      <c r="GH150" t="s">
        <v>3526</v>
      </c>
      <c r="GI150" t="s">
        <v>3290</v>
      </c>
      <c r="GJ150">
        <v>3</v>
      </c>
      <c r="GK150" t="s">
        <v>1320</v>
      </c>
      <c r="GL150" t="s">
        <v>567</v>
      </c>
      <c r="GM150" t="s">
        <v>2685</v>
      </c>
      <c r="GN150" t="s">
        <v>1690</v>
      </c>
      <c r="GO150">
        <v>266</v>
      </c>
      <c r="GP150">
        <v>107</v>
      </c>
      <c r="GR150">
        <f t="shared" si="111"/>
        <v>499</v>
      </c>
      <c r="GU150" t="str">
        <f t="shared" ca="1" si="112"/>
        <v/>
      </c>
      <c r="GV150" t="str">
        <f t="shared" ca="1" si="113"/>
        <v/>
      </c>
      <c r="GW150" t="str">
        <f t="shared" ca="1" si="114"/>
        <v/>
      </c>
      <c r="GX150" t="str">
        <f t="shared" ca="1" si="115"/>
        <v/>
      </c>
    </row>
    <row r="151" spans="1:206" x14ac:dyDescent="0.2">
      <c r="A151" t="s">
        <v>1304</v>
      </c>
      <c r="B151" t="s">
        <v>75</v>
      </c>
      <c r="C151" t="s">
        <v>750</v>
      </c>
      <c r="D151" t="s">
        <v>752</v>
      </c>
      <c r="E151" t="s">
        <v>1320</v>
      </c>
      <c r="F151" t="s">
        <v>1321</v>
      </c>
      <c r="L151" t="str">
        <f t="shared" si="109"/>
        <v/>
      </c>
      <c r="M151" t="str">
        <f t="shared" si="110"/>
        <v/>
      </c>
      <c r="N151" t="str">
        <f t="shared" si="94"/>
        <v>Zimmermann</v>
      </c>
      <c r="P151">
        <f t="shared" si="93"/>
        <v>181</v>
      </c>
      <c r="R151" t="s">
        <v>4875</v>
      </c>
      <c r="S151" t="s">
        <v>2787</v>
      </c>
      <c r="T151">
        <v>1</v>
      </c>
      <c r="W151" t="str">
        <f t="shared" si="120"/>
        <v>1000 D</v>
      </c>
      <c r="X151">
        <v>10</v>
      </c>
      <c r="Z151" t="s">
        <v>157</v>
      </c>
      <c r="AS151" t="s">
        <v>3733</v>
      </c>
      <c r="AT151">
        <f ca="1">IF(AV151,2,5)</f>
        <v>5</v>
      </c>
      <c r="AU151">
        <v>3</v>
      </c>
      <c r="AV151" t="b">
        <f ca="1">IF(AND(
NOT(ISERR(FIND($R$82&amp;" "&amp;AS151,Abfragen!$U$81))),
NOT(ISERR(FIND($R$98&amp;" "&amp;AS151,Abfragen!$U$81)))),
TRUE,FALSE)</f>
        <v>0</v>
      </c>
      <c r="BK151" t="s">
        <v>5523</v>
      </c>
      <c r="BL151">
        <v>6</v>
      </c>
      <c r="BM151">
        <v>15</v>
      </c>
      <c r="BN151">
        <v>7</v>
      </c>
      <c r="BO151">
        <v>8</v>
      </c>
      <c r="BP151" t="s">
        <v>4558</v>
      </c>
      <c r="BQ151">
        <v>2</v>
      </c>
      <c r="BR151">
        <v>24</v>
      </c>
      <c r="BS151">
        <v>2</v>
      </c>
      <c r="BT151">
        <v>10</v>
      </c>
      <c r="BU151">
        <v>30</v>
      </c>
      <c r="BW151">
        <v>0</v>
      </c>
      <c r="BY151" t="s">
        <v>4985</v>
      </c>
      <c r="BZ151" t="s">
        <v>4985</v>
      </c>
      <c r="CA151" t="s">
        <v>5524</v>
      </c>
      <c r="CD151" t="s">
        <v>4764</v>
      </c>
      <c r="CE151" t="s">
        <v>5095</v>
      </c>
      <c r="CF151" t="s">
        <v>897</v>
      </c>
      <c r="CG151" t="s">
        <v>908</v>
      </c>
      <c r="CH151">
        <v>-1</v>
      </c>
      <c r="CI151">
        <v>3</v>
      </c>
      <c r="CJ151" t="s">
        <v>1827</v>
      </c>
      <c r="CK151" t="s">
        <v>1530</v>
      </c>
      <c r="CN151" t="str">
        <f ca="1">IF(AND(ISERR(FIND($CK151,Talente!$CI$41)),ISNA(VLOOKUP($CK151,$AH$51:$AH$55,1))),IF(AND(ISERR(FIND($CL151,Talente!$CI$41)),ISNA(VLOOKUP($CL151,$AH$51:$AH$55,1))),$CM151,$CL151),$CK151)</f>
        <v>Speere</v>
      </c>
      <c r="CU151" t="s">
        <v>7575</v>
      </c>
      <c r="CX151" t="s">
        <v>4724</v>
      </c>
      <c r="CY151" t="s">
        <v>74</v>
      </c>
      <c r="CZ151" t="s">
        <v>76</v>
      </c>
      <c r="DA151" t="s">
        <v>750</v>
      </c>
      <c r="DC151" t="s">
        <v>7297</v>
      </c>
      <c r="DD151" t="s">
        <v>4026</v>
      </c>
      <c r="DE151" t="s">
        <v>4484</v>
      </c>
      <c r="DF151" t="s">
        <v>4029</v>
      </c>
      <c r="DG151" t="s">
        <v>3916</v>
      </c>
      <c r="DH151" t="s">
        <v>6847</v>
      </c>
      <c r="DI151" t="s">
        <v>2842</v>
      </c>
      <c r="DJ151">
        <v>2</v>
      </c>
      <c r="DK151">
        <f t="shared" si="117"/>
        <v>472</v>
      </c>
      <c r="DL151">
        <f t="shared" si="118"/>
        <v>149</v>
      </c>
      <c r="DM151">
        <v>131</v>
      </c>
      <c r="DN151" t="str">
        <f t="shared" ca="1" si="104"/>
        <v/>
      </c>
      <c r="DO151" t="str">
        <f t="shared" ca="1" si="105"/>
        <v/>
      </c>
      <c r="DP151" t="str">
        <f t="shared" ca="1" si="106"/>
        <v/>
      </c>
      <c r="DQ151" t="str">
        <f>IF(EXACT(Zauber!$A$250,""),"",IF(EXACT(RIGHT(HLOOKUP(Zauber!$A$250,PROFMAGIE,$DK151,FALSE)),"H"),CONCATENATE($CX151,","),""))</f>
        <v/>
      </c>
      <c r="DR151" t="str">
        <f t="shared" si="107"/>
        <v/>
      </c>
      <c r="DS151" t="str">
        <f>IF(ZS_IAAK="Ja",IF(EXACT(RIGHT(HLOOKUP(Tabellen_Magie!$IK$1,PROFMAGIE,$DK151,FALSE)),"H"),CONCATENATE($CX151,","),""),"")</f>
        <v/>
      </c>
      <c r="DT151" t="str">
        <f>IF(ZS_IAAK="Ja",IF(NOT(DS151=""),"",IF(OR(EXACT(RIGHT(HLOOKUP(Tabellen_Magie!$IK$1,PROFMAGIE,$DK151,FALSE)),"B"),EXACT(HLOOKUP(Tabellen_Magie!$IK$1,PROFMAGIE,$DK151,FALSE),"")),"",CONCATENATE($CX151,","))),"")</f>
        <v/>
      </c>
      <c r="DU151" t="str">
        <f t="shared" si="108"/>
        <v/>
      </c>
      <c r="DW151" t="s">
        <v>4735</v>
      </c>
      <c r="DX151" t="s">
        <v>76</v>
      </c>
      <c r="DY151" t="s">
        <v>77</v>
      </c>
      <c r="DZ151" t="s">
        <v>751</v>
      </c>
      <c r="EA151" t="s">
        <v>2678</v>
      </c>
      <c r="EB151" t="s">
        <v>2679</v>
      </c>
      <c r="EC151" t="s">
        <v>4565</v>
      </c>
      <c r="ED151">
        <f t="shared" si="99"/>
        <v>100</v>
      </c>
      <c r="EE151" t="s">
        <v>2680</v>
      </c>
      <c r="EH151">
        <f t="shared" si="100"/>
        <v>2</v>
      </c>
      <c r="EI151">
        <v>100</v>
      </c>
      <c r="FD151" t="s">
        <v>2935</v>
      </c>
      <c r="FE151">
        <f>ROUND(IF(VT_AKADMAG,FK151*3/4,FK151)*IF(NT_ELFWELT,IF(FN151,1,1.5),1)*IF(VT_EIDGED,0.5,IF(VT_GUTGED,0.75,1)),0)</f>
        <v>50</v>
      </c>
      <c r="FF151">
        <f t="shared" si="101"/>
        <v>1</v>
      </c>
      <c r="FK151">
        <v>50</v>
      </c>
      <c r="FL151">
        <v>3</v>
      </c>
      <c r="FM151" t="b">
        <f t="shared" ca="1" si="102"/>
        <v>0</v>
      </c>
      <c r="FN151" t="b">
        <f t="shared" ca="1" si="103"/>
        <v>0</v>
      </c>
      <c r="GH151" t="s">
        <v>3527</v>
      </c>
      <c r="GI151" t="s">
        <v>3290</v>
      </c>
      <c r="GJ151">
        <v>3</v>
      </c>
      <c r="GK151" t="s">
        <v>4116</v>
      </c>
      <c r="GL151" t="s">
        <v>1977</v>
      </c>
      <c r="GM151" t="s">
        <v>1982</v>
      </c>
      <c r="GN151" t="s">
        <v>1973</v>
      </c>
      <c r="GO151">
        <v>263</v>
      </c>
      <c r="GP151">
        <v>108</v>
      </c>
      <c r="GR151">
        <f t="shared" si="111"/>
        <v>500</v>
      </c>
      <c r="GU151" t="str">
        <f t="shared" ca="1" si="112"/>
        <v/>
      </c>
      <c r="GV151" t="str">
        <f t="shared" ca="1" si="113"/>
        <v/>
      </c>
      <c r="GW151" t="str">
        <f t="shared" ca="1" si="114"/>
        <v/>
      </c>
      <c r="GX151" t="str">
        <f t="shared" ca="1" si="115"/>
        <v/>
      </c>
    </row>
    <row r="152" spans="1:206" x14ac:dyDescent="0.2">
      <c r="R152" t="s">
        <v>316</v>
      </c>
      <c r="S152" t="s">
        <v>1843</v>
      </c>
      <c r="T152" t="s">
        <v>1844</v>
      </c>
      <c r="U152">
        <v>2</v>
      </c>
      <c r="W152" t="str">
        <f t="shared" si="120"/>
        <v>1100 D</v>
      </c>
      <c r="X152">
        <v>11</v>
      </c>
      <c r="Z152" t="s">
        <v>156</v>
      </c>
      <c r="BK152" t="s">
        <v>5525</v>
      </c>
      <c r="BL152">
        <v>6</v>
      </c>
      <c r="BM152">
        <v>15</v>
      </c>
      <c r="BN152">
        <v>12</v>
      </c>
      <c r="BO152">
        <v>4</v>
      </c>
      <c r="BP152" t="s">
        <v>5095</v>
      </c>
      <c r="BQ152">
        <v>3</v>
      </c>
      <c r="BR152">
        <v>30</v>
      </c>
      <c r="BS152" t="s">
        <v>5526</v>
      </c>
      <c r="BT152">
        <v>6</v>
      </c>
      <c r="BU152">
        <v>30</v>
      </c>
      <c r="BW152">
        <v>0</v>
      </c>
      <c r="BY152" t="s">
        <v>4985</v>
      </c>
      <c r="BZ152" t="s">
        <v>4985</v>
      </c>
      <c r="CA152" t="s">
        <v>5527</v>
      </c>
      <c r="CD152" t="s">
        <v>4765</v>
      </c>
      <c r="CE152" t="s">
        <v>5091</v>
      </c>
      <c r="CF152" t="s">
        <v>910</v>
      </c>
      <c r="CG152" t="s">
        <v>908</v>
      </c>
      <c r="CH152">
        <v>0</v>
      </c>
      <c r="CI152">
        <v>2</v>
      </c>
      <c r="CJ152" t="s">
        <v>899</v>
      </c>
      <c r="CK152" t="s">
        <v>2190</v>
      </c>
      <c r="CN152" t="str">
        <f ca="1">IF(AND(ISERR(FIND($CK152,Talente!$CI$41)),ISNA(VLOOKUP($CK152,$AH$51:$AH$55,1))),IF(AND(ISERR(FIND($CL152,Talente!$CI$41)),ISNA(VLOOKUP($CL152,$AH$51:$AH$55,1))),$CM152,$CL152),$CK152)</f>
        <v>Hiebwaffen</v>
      </c>
      <c r="CU152" t="s">
        <v>7576</v>
      </c>
      <c r="CX152" t="s">
        <v>4058</v>
      </c>
      <c r="CY152" t="s">
        <v>74</v>
      </c>
      <c r="CZ152" t="s">
        <v>74</v>
      </c>
      <c r="DA152" t="s">
        <v>77</v>
      </c>
      <c r="DB152" t="s">
        <v>1613</v>
      </c>
      <c r="DC152" t="s">
        <v>7288</v>
      </c>
      <c r="DD152" t="s">
        <v>4030</v>
      </c>
      <c r="DE152" t="s">
        <v>4031</v>
      </c>
      <c r="DF152" t="s">
        <v>1134</v>
      </c>
      <c r="DG152" t="s">
        <v>1828</v>
      </c>
      <c r="DH152" t="s">
        <v>6936</v>
      </c>
      <c r="DI152" t="s">
        <v>2364</v>
      </c>
      <c r="DJ152">
        <v>2</v>
      </c>
      <c r="DK152">
        <f t="shared" si="117"/>
        <v>473</v>
      </c>
      <c r="DL152">
        <f t="shared" si="118"/>
        <v>150</v>
      </c>
      <c r="DM152">
        <v>132</v>
      </c>
      <c r="DN152" t="str">
        <f t="shared" ca="1" si="104"/>
        <v/>
      </c>
      <c r="DO152" t="str">
        <f t="shared" ca="1" si="105"/>
        <v/>
      </c>
      <c r="DP152" t="str">
        <f t="shared" ca="1" si="106"/>
        <v/>
      </c>
      <c r="DQ152" t="str">
        <f>IF(EXACT(Zauber!$A$250,""),"",IF(EXACT(RIGHT(HLOOKUP(Zauber!$A$250,PROFMAGIE,$DK152,FALSE)),"H"),CONCATENATE($CX152,","),""))</f>
        <v/>
      </c>
      <c r="DR152" t="str">
        <f t="shared" si="107"/>
        <v/>
      </c>
      <c r="DS152" t="str">
        <f>IF(ZS_IAAK="Ja",IF(EXACT(RIGHT(HLOOKUP(Tabellen_Magie!$IK$1,PROFMAGIE,$DK152,FALSE)),"H"),CONCATENATE($CX152,","),""),"")</f>
        <v/>
      </c>
      <c r="DT152" t="str">
        <f>IF(ZS_IAAK="Ja",IF(NOT(DS152=""),"",IF(OR(EXACT(RIGHT(HLOOKUP(Tabellen_Magie!$IK$1,PROFMAGIE,$DK152,FALSE)),"B"),EXACT(HLOOKUP(Tabellen_Magie!$IK$1,PROFMAGIE,$DK152,FALSE),"")),"",CONCATENATE($CX152,","))),"")</f>
        <v/>
      </c>
      <c r="DU152" t="str">
        <f t="shared" si="108"/>
        <v/>
      </c>
      <c r="DW152" t="s">
        <v>2561</v>
      </c>
      <c r="DX152" t="s">
        <v>74</v>
      </c>
      <c r="DY152" t="s">
        <v>752</v>
      </c>
      <c r="DZ152" t="s">
        <v>5030</v>
      </c>
      <c r="EA152" t="s">
        <v>299</v>
      </c>
      <c r="EB152" t="s">
        <v>2991</v>
      </c>
      <c r="EC152" t="s">
        <v>8663</v>
      </c>
      <c r="ED152">
        <f t="shared" si="99"/>
        <v>200</v>
      </c>
      <c r="EE152" t="s">
        <v>2682</v>
      </c>
      <c r="EH152">
        <f t="shared" si="100"/>
        <v>4</v>
      </c>
      <c r="EI152">
        <v>200</v>
      </c>
      <c r="FD152" t="s">
        <v>2936</v>
      </c>
      <c r="FE152">
        <f ca="1">ROUND(IF(VT_AKADMAG,FK152*3/4,FK152)*IF(NT_ELFWELT,IF(FN152,1,1.5),1)*IF(VT_EIDGED,0.5,IF(VT_GUTGED,0.75,1))*IF(OR(NOT(ISERROR(FIND("Hell",'Zauber 2'!$D$84,1))),NOT(ISERROR(FIND("Krft",'Zauber 2'!$D$84,1))),NOT(ISERROR(FIND("Meta",'Zauber 2'!$D$84,1)))),0.5,1),0)</f>
        <v>400</v>
      </c>
      <c r="FF152">
        <f ca="1">ROUND(FE152/50,0)</f>
        <v>8</v>
      </c>
      <c r="FK152">
        <v>400</v>
      </c>
      <c r="FL152">
        <v>2</v>
      </c>
      <c r="FM152" t="b">
        <f t="shared" ca="1" si="102"/>
        <v>0</v>
      </c>
      <c r="FN152" t="b">
        <f t="shared" ca="1" si="103"/>
        <v>0</v>
      </c>
      <c r="GH152" t="s">
        <v>3528</v>
      </c>
      <c r="GI152" t="s">
        <v>3290</v>
      </c>
      <c r="GJ152">
        <v>3</v>
      </c>
      <c r="GK152" t="s">
        <v>1320</v>
      </c>
      <c r="GL152" t="s">
        <v>1978</v>
      </c>
      <c r="GM152" t="s">
        <v>1984</v>
      </c>
      <c r="GN152" t="s">
        <v>1975</v>
      </c>
      <c r="GO152">
        <v>266</v>
      </c>
      <c r="GP152">
        <v>113</v>
      </c>
      <c r="GR152">
        <f t="shared" si="111"/>
        <v>501</v>
      </c>
      <c r="GU152" t="str">
        <f t="shared" ca="1" si="112"/>
        <v/>
      </c>
      <c r="GV152" t="str">
        <f t="shared" ca="1" si="113"/>
        <v/>
      </c>
      <c r="GW152" t="str">
        <f t="shared" ca="1" si="114"/>
        <v/>
      </c>
      <c r="GX152" t="str">
        <f t="shared" ca="1" si="115"/>
        <v/>
      </c>
    </row>
    <row r="153" spans="1:206" x14ac:dyDescent="0.2">
      <c r="R153" t="s">
        <v>2602</v>
      </c>
      <c r="W153" t="str">
        <f t="shared" si="120"/>
        <v>1200 D</v>
      </c>
      <c r="X153">
        <v>12</v>
      </c>
      <c r="Z153" t="s">
        <v>155</v>
      </c>
      <c r="AH153" t="s">
        <v>3408</v>
      </c>
      <c r="AS153" t="str">
        <f ca="1">IF(GIFT_WERTE="","",LEFT(GIFT_WERTE,FIND(",",GIFT_WERTE)-1))</f>
        <v/>
      </c>
      <c r="AT153" t="str">
        <f ca="1">IF(GIFT_WERTE="","",SUBSTITUTE(RIGHT(GIFT_WERTE,LEN(GIFT_WERTE)-FIND(",",GIFT_WERTE)),",",""))</f>
        <v/>
      </c>
      <c r="AU153" t="str">
        <f ca="1">CONCATENATE(AV153,IF(AV145,AS145&amp;",",""),IF(AV146,AS146&amp;",",""),IF(AV147,AS147&amp;",",""),IF(AV148,AS148&amp;",",""),IF(AV149,AS149&amp;",",""),IF(AV150,AS150&amp;",",""),IF(AV151,AS151&amp;",",""),IF(AV152,AS125&amp;",",""))</f>
        <v/>
      </c>
      <c r="AV153" t="str">
        <f ca="1">CONCATENATE(IF(AV115,AS115&amp;",",""),IF(AV116,AS116&amp;",",""),IF(AV117,AS117&amp;",",""),IF(AV118,AS118&amp;",",""),IF(AV119,AS119&amp;",",""),IF(AV120,AS120&amp;",",""),IF(AV121,AS121&amp;",",""),IF(AV122,AS122&amp;",",""),IF(AV123,AS123&amp;",",""),IF(AV124,AS124&amp;",",""),IF(AV125,AS125&amp;",",""),IF(AV126,AS126&amp;",",""),IF(AV127,AS127&amp;",",""),IF(AV128,AS128&amp;",",""),IF(AV129,AS129&amp;",",""),IF(AV130,AS130&amp;",",""),IF(AV131,AS131&amp;",",""),IF(AV132,AS132&amp;",",""),IF(AV133,AS133&amp;",",""),IF(AV134,AS134&amp;",",""),IF(AV135,AS135&amp;",",""),IF(AV136,AS136&amp;",",""),IF(AV137,AS137&amp;",",""),IF(AV138,AS138&amp;",",""),IF(AV139,AS139&amp;",",""),IF(AV140,AS140&amp;",",""),IF(AV141,AS141&amp;",",""),IF(AV142,AS142&amp;",",""),IF(AV143,AS143&amp;",",""),IF(AV144,AS144&amp;",","")
)</f>
        <v/>
      </c>
      <c r="BK153" t="s">
        <v>5528</v>
      </c>
      <c r="BL153">
        <v>9</v>
      </c>
      <c r="BM153">
        <v>15</v>
      </c>
      <c r="BN153" t="s">
        <v>5529</v>
      </c>
      <c r="BO153">
        <v>8</v>
      </c>
      <c r="BP153" t="s">
        <v>5530</v>
      </c>
      <c r="BQ153">
        <v>3</v>
      </c>
      <c r="BR153">
        <v>45</v>
      </c>
      <c r="BS153" t="s">
        <v>5438</v>
      </c>
      <c r="BT153">
        <v>15</v>
      </c>
      <c r="BU153">
        <v>35</v>
      </c>
      <c r="BW153">
        <v>0</v>
      </c>
      <c r="BY153" t="s">
        <v>4985</v>
      </c>
      <c r="BZ153" t="s">
        <v>4985</v>
      </c>
      <c r="CA153" t="s">
        <v>5531</v>
      </c>
      <c r="CD153" t="s">
        <v>4766</v>
      </c>
      <c r="CE153" t="s">
        <v>5091</v>
      </c>
      <c r="CF153" t="s">
        <v>919</v>
      </c>
      <c r="CG153" t="s">
        <v>908</v>
      </c>
      <c r="CH153">
        <v>0</v>
      </c>
      <c r="CI153">
        <v>1</v>
      </c>
      <c r="CJ153" t="s">
        <v>899</v>
      </c>
      <c r="CK153" t="s">
        <v>2190</v>
      </c>
      <c r="CN153" t="str">
        <f ca="1">IF(AND(ISERR(FIND($CK153,Talente!$CI$41)),ISNA(VLOOKUP($CK153,$AH$51:$AH$55,1))),IF(AND(ISERR(FIND($CL153,Talente!$CI$41)),ISNA(VLOOKUP($CL153,$AH$51:$AH$55,1))),$CM153,$CL153),$CK153)</f>
        <v>Hiebwaffen</v>
      </c>
      <c r="CU153" t="s">
        <v>1794</v>
      </c>
      <c r="CX153" t="s">
        <v>4057</v>
      </c>
      <c r="CY153" t="s">
        <v>74</v>
      </c>
      <c r="CZ153" t="s">
        <v>74</v>
      </c>
      <c r="DA153" t="s">
        <v>77</v>
      </c>
      <c r="DB153" t="s">
        <v>1613</v>
      </c>
      <c r="DC153" t="s">
        <v>7289</v>
      </c>
      <c r="DD153" t="s">
        <v>4032</v>
      </c>
      <c r="DE153" t="s">
        <v>2685</v>
      </c>
      <c r="DF153" t="s">
        <v>1134</v>
      </c>
      <c r="DG153" t="s">
        <v>1955</v>
      </c>
      <c r="DH153" t="s">
        <v>6937</v>
      </c>
      <c r="DI153" t="s">
        <v>2364</v>
      </c>
      <c r="DJ153">
        <v>2</v>
      </c>
      <c r="DK153">
        <f t="shared" si="117"/>
        <v>474</v>
      </c>
      <c r="DL153">
        <f t="shared" si="118"/>
        <v>151</v>
      </c>
      <c r="DM153">
        <v>133</v>
      </c>
      <c r="DN153" t="str">
        <f t="shared" ca="1" si="104"/>
        <v/>
      </c>
      <c r="DO153" t="str">
        <f t="shared" ca="1" si="105"/>
        <v/>
      </c>
      <c r="DP153" t="str">
        <f t="shared" ca="1" si="106"/>
        <v/>
      </c>
      <c r="DQ153" t="str">
        <f>IF(EXACT(Zauber!$A$250,""),"",IF(EXACT(RIGHT(HLOOKUP(Zauber!$A$250,PROFMAGIE,$DK153,FALSE)),"H"),CONCATENATE($CX153,","),""))</f>
        <v/>
      </c>
      <c r="DR153" t="str">
        <f t="shared" si="107"/>
        <v/>
      </c>
      <c r="DS153" t="str">
        <f>IF(ZS_IAAK="Ja",IF(EXACT(RIGHT(HLOOKUP(Tabellen_Magie!$IK$1,PROFMAGIE,$DK153,FALSE)),"H"),CONCATENATE($CX153,","),""),"")</f>
        <v/>
      </c>
      <c r="DT153" t="str">
        <f>IF(ZS_IAAK="Ja",IF(NOT(DS153=""),"",IF(OR(EXACT(RIGHT(HLOOKUP(Tabellen_Magie!$IK$1,PROFMAGIE,$DK153,FALSE)),"B"),EXACT(HLOOKUP(Tabellen_Magie!$IK$1,PROFMAGIE,$DK153,FALSE),"")),"",CONCATENATE($CX153,","))),"")</f>
        <v/>
      </c>
      <c r="DU153" t="str">
        <f t="shared" si="108"/>
        <v/>
      </c>
      <c r="DW153" t="s">
        <v>4738</v>
      </c>
      <c r="DX153" t="s">
        <v>76</v>
      </c>
      <c r="DY153" t="s">
        <v>76</v>
      </c>
      <c r="DZ153" t="s">
        <v>77</v>
      </c>
      <c r="EA153" t="s">
        <v>8648</v>
      </c>
      <c r="EB153" t="s">
        <v>52</v>
      </c>
      <c r="EC153" t="s">
        <v>8649</v>
      </c>
      <c r="ED153">
        <f t="shared" si="99"/>
        <v>100</v>
      </c>
      <c r="EE153" t="s">
        <v>2680</v>
      </c>
      <c r="EH153">
        <f t="shared" si="100"/>
        <v>2</v>
      </c>
      <c r="EI153">
        <v>100</v>
      </c>
      <c r="FD153" t="s">
        <v>1275</v>
      </c>
      <c r="FE153">
        <f ca="1">ROUND(IF(VT_AKADMAG,FK153*3/4,FK153)*IF(NT_ELFWELT,IF(FN153,1,1.5),1)*IF(NOT(ISERROR(FIND("Objk",'Zauber 2'!$D$84,1))),0.5,1),0)</f>
        <v>150</v>
      </c>
      <c r="FF153">
        <f ca="1">ROUND(FE153/50,0)</f>
        <v>3</v>
      </c>
      <c r="FK153">
        <v>150</v>
      </c>
      <c r="FL153">
        <f>IF(PROFGRDGENE="Kristallomanten",5,2)</f>
        <v>2</v>
      </c>
      <c r="FM153" t="b">
        <f t="shared" ca="1" si="102"/>
        <v>0</v>
      </c>
      <c r="FN153" t="b">
        <f t="shared" ca="1" si="103"/>
        <v>0</v>
      </c>
      <c r="GH153" t="s">
        <v>743</v>
      </c>
      <c r="GI153" t="s">
        <v>3290</v>
      </c>
      <c r="GJ153">
        <v>3</v>
      </c>
      <c r="GK153" t="s">
        <v>1320</v>
      </c>
      <c r="GL153" t="s">
        <v>1977</v>
      </c>
      <c r="GM153" t="s">
        <v>1369</v>
      </c>
      <c r="GN153" t="s">
        <v>1690</v>
      </c>
      <c r="GO153">
        <v>269</v>
      </c>
      <c r="GP153">
        <v>115</v>
      </c>
      <c r="GR153">
        <f t="shared" si="111"/>
        <v>502</v>
      </c>
      <c r="GU153" t="str">
        <f t="shared" ca="1" si="112"/>
        <v/>
      </c>
      <c r="GV153" t="str">
        <f t="shared" ca="1" si="113"/>
        <v/>
      </c>
      <c r="GW153" t="str">
        <f t="shared" ca="1" si="114"/>
        <v/>
      </c>
      <c r="GX153" t="str">
        <f t="shared" ca="1" si="115"/>
        <v/>
      </c>
    </row>
    <row r="154" spans="1:206" x14ac:dyDescent="0.2">
      <c r="R154" t="s">
        <v>4610</v>
      </c>
      <c r="S154" t="s">
        <v>1263</v>
      </c>
      <c r="T154" t="s">
        <v>1237</v>
      </c>
      <c r="U154">
        <v>3</v>
      </c>
      <c r="W154" t="str">
        <f t="shared" si="120"/>
        <v>1300 D</v>
      </c>
      <c r="X154">
        <v>13</v>
      </c>
      <c r="Z154" t="s">
        <v>3663</v>
      </c>
      <c r="AC154">
        <v>5</v>
      </c>
      <c r="AH154" t="s">
        <v>3279</v>
      </c>
      <c r="AI154" t="s">
        <v>7212</v>
      </c>
      <c r="BK154" t="s">
        <v>5532</v>
      </c>
      <c r="BL154">
        <v>16</v>
      </c>
      <c r="BM154">
        <v>20</v>
      </c>
      <c r="BN154" t="s">
        <v>5505</v>
      </c>
      <c r="BO154">
        <v>4</v>
      </c>
      <c r="BP154" t="s">
        <v>5533</v>
      </c>
      <c r="BQ154">
        <v>4</v>
      </c>
      <c r="BR154">
        <v>90</v>
      </c>
      <c r="BS154" t="s">
        <v>5534</v>
      </c>
      <c r="BT154">
        <v>12</v>
      </c>
      <c r="BU154">
        <v>45</v>
      </c>
      <c r="BW154">
        <v>0</v>
      </c>
      <c r="BY154" t="s">
        <v>4985</v>
      </c>
      <c r="BZ154" t="s">
        <v>4985</v>
      </c>
      <c r="CA154" t="s">
        <v>5535</v>
      </c>
      <c r="CD154" t="s">
        <v>322</v>
      </c>
      <c r="CE154" t="s">
        <v>1209</v>
      </c>
      <c r="CF154" t="s">
        <v>378</v>
      </c>
      <c r="CG154" t="s">
        <v>4595</v>
      </c>
      <c r="CH154">
        <v>-1</v>
      </c>
      <c r="CI154">
        <v>8</v>
      </c>
      <c r="CJ154" t="s">
        <v>3586</v>
      </c>
      <c r="CK154" t="s">
        <v>2190</v>
      </c>
      <c r="CN154" t="str">
        <f ca="1">IF(AND(ISERR(FIND($CK154,Talente!$CI$41)),ISNA(VLOOKUP($CK154,$AH$51:$AH$55,1))),IF(AND(ISERR(FIND($CL154,Talente!$CI$41)),ISNA(VLOOKUP($CL154,$AH$51:$AH$55,1))),$CM154,$CL154),$CK154)</f>
        <v>Hiebwaffen</v>
      </c>
      <c r="CU154" t="s">
        <v>4167</v>
      </c>
      <c r="CX154" t="s">
        <v>4059</v>
      </c>
      <c r="CY154" t="s">
        <v>74</v>
      </c>
      <c r="CZ154" t="s">
        <v>74</v>
      </c>
      <c r="DA154" t="s">
        <v>76</v>
      </c>
      <c r="DB154" t="s">
        <v>2042</v>
      </c>
      <c r="DC154" t="s">
        <v>7294</v>
      </c>
      <c r="DD154" t="s">
        <v>4033</v>
      </c>
      <c r="DE154" t="s">
        <v>1321</v>
      </c>
      <c r="DF154" t="s">
        <v>1246</v>
      </c>
      <c r="DG154" t="s">
        <v>1955</v>
      </c>
      <c r="DH154" t="s">
        <v>6938</v>
      </c>
      <c r="DI154" t="s">
        <v>6792</v>
      </c>
      <c r="DJ154">
        <v>2</v>
      </c>
      <c r="DK154">
        <f t="shared" si="117"/>
        <v>475</v>
      </c>
      <c r="DL154">
        <f t="shared" si="118"/>
        <v>152</v>
      </c>
      <c r="DM154">
        <v>134</v>
      </c>
      <c r="DN154" t="str">
        <f t="shared" ca="1" si="104"/>
        <v/>
      </c>
      <c r="DO154" t="str">
        <f t="shared" ca="1" si="105"/>
        <v/>
      </c>
      <c r="DP154" t="str">
        <f t="shared" ca="1" si="106"/>
        <v/>
      </c>
      <c r="DQ154" t="str">
        <f>IF(EXACT(Zauber!$A$250,""),"",IF(EXACT(RIGHT(HLOOKUP(Zauber!$A$250,PROFMAGIE,$DK154,FALSE)),"H"),CONCATENATE($CX154,","),""))</f>
        <v/>
      </c>
      <c r="DR154" t="str">
        <f t="shared" si="107"/>
        <v/>
      </c>
      <c r="DS154" t="str">
        <f>IF(ZS_IAAK="Ja",IF(EXACT(RIGHT(HLOOKUP(Tabellen_Magie!$IK$1,PROFMAGIE,$DK154,FALSE)),"H"),CONCATENATE($CX154,","),""),"")</f>
        <v/>
      </c>
      <c r="DT154" t="str">
        <f>IF(ZS_IAAK="Ja",IF(NOT(DS154=""),"",IF(OR(EXACT(RIGHT(HLOOKUP(Tabellen_Magie!$IK$1,PROFMAGIE,$DK154,FALSE)),"B"),EXACT(HLOOKUP(Tabellen_Magie!$IK$1,PROFMAGIE,$DK154,FALSE),"")),"",CONCATENATE($CX154,","))),"")</f>
        <v/>
      </c>
      <c r="DU154" t="str">
        <f t="shared" si="108"/>
        <v/>
      </c>
      <c r="DW154" t="s">
        <v>2560</v>
      </c>
      <c r="DX154" t="s">
        <v>75</v>
      </c>
      <c r="DY154" t="s">
        <v>75</v>
      </c>
      <c r="DZ154" t="s">
        <v>77</v>
      </c>
      <c r="EA154" t="s">
        <v>8664</v>
      </c>
      <c r="EB154" t="s">
        <v>2679</v>
      </c>
      <c r="EC154" t="s">
        <v>2303</v>
      </c>
      <c r="ED154">
        <f t="shared" si="99"/>
        <v>150</v>
      </c>
      <c r="EE154" t="s">
        <v>2682</v>
      </c>
      <c r="EH154">
        <f t="shared" si="100"/>
        <v>3</v>
      </c>
      <c r="EI154">
        <v>150</v>
      </c>
      <c r="FD154" t="s">
        <v>2937</v>
      </c>
      <c r="FE154">
        <f>ROUND(FK154*IF(VT_AKADMAG,3/4,1)*IF(NT_ELFWELT,IF(FN154,1,1.5),1),0)</f>
        <v>400</v>
      </c>
      <c r="FF154">
        <f t="shared" si="101"/>
        <v>8</v>
      </c>
      <c r="FK154">
        <v>400</v>
      </c>
      <c r="FL154">
        <v>3</v>
      </c>
      <c r="FM154" t="b">
        <f t="shared" ca="1" si="102"/>
        <v>0</v>
      </c>
      <c r="FN154" t="b">
        <f t="shared" ca="1" si="103"/>
        <v>0</v>
      </c>
      <c r="GH154" t="s">
        <v>3529</v>
      </c>
      <c r="GI154" t="s">
        <v>3290</v>
      </c>
      <c r="GJ154">
        <v>3</v>
      </c>
      <c r="GK154" t="s">
        <v>1320</v>
      </c>
      <c r="GL154" t="s">
        <v>1977</v>
      </c>
      <c r="GM154" t="s">
        <v>1369</v>
      </c>
      <c r="GN154" t="s">
        <v>1690</v>
      </c>
      <c r="GO154">
        <v>288</v>
      </c>
      <c r="GP154">
        <v>115</v>
      </c>
      <c r="GR154">
        <f t="shared" si="111"/>
        <v>503</v>
      </c>
      <c r="GU154" t="str">
        <f t="shared" ca="1" si="112"/>
        <v/>
      </c>
      <c r="GV154" t="str">
        <f t="shared" ca="1" si="113"/>
        <v/>
      </c>
      <c r="GW154" t="str">
        <f t="shared" ca="1" si="114"/>
        <v/>
      </c>
      <c r="GX154" t="str">
        <f t="shared" ca="1" si="115"/>
        <v/>
      </c>
    </row>
    <row r="155" spans="1:206" x14ac:dyDescent="0.2">
      <c r="R155" t="s">
        <v>3982</v>
      </c>
      <c r="S155" t="s">
        <v>1262</v>
      </c>
      <c r="T155" t="s">
        <v>1239</v>
      </c>
      <c r="U155">
        <v>3</v>
      </c>
      <c r="W155" t="str">
        <f t="shared" si="120"/>
        <v>1400 D</v>
      </c>
      <c r="X155">
        <v>14</v>
      </c>
      <c r="Z155" t="s">
        <v>4080</v>
      </c>
      <c r="AA155">
        <v>1</v>
      </c>
      <c r="AB155">
        <v>5</v>
      </c>
      <c r="AH155" t="s">
        <v>2220</v>
      </c>
      <c r="AI155" t="s">
        <v>8394</v>
      </c>
      <c r="AS155" t="s">
        <v>3683</v>
      </c>
      <c r="AT155" t="s">
        <v>3758</v>
      </c>
      <c r="BK155" t="s">
        <v>5536</v>
      </c>
      <c r="BL155">
        <v>16</v>
      </c>
      <c r="BM155">
        <v>20</v>
      </c>
      <c r="BN155" t="s">
        <v>5529</v>
      </c>
      <c r="BO155">
        <v>6</v>
      </c>
      <c r="BP155" t="s">
        <v>5537</v>
      </c>
      <c r="BQ155">
        <v>3</v>
      </c>
      <c r="BR155">
        <v>70</v>
      </c>
      <c r="BS155" t="s">
        <v>5538</v>
      </c>
      <c r="BT155">
        <v>8</v>
      </c>
      <c r="BU155">
        <v>30</v>
      </c>
      <c r="BW155">
        <v>0</v>
      </c>
      <c r="BY155" t="s">
        <v>4985</v>
      </c>
      <c r="BZ155" t="s">
        <v>4985</v>
      </c>
      <c r="CA155" t="s">
        <v>5539</v>
      </c>
      <c r="CD155" t="s">
        <v>323</v>
      </c>
      <c r="CE155" t="s">
        <v>5091</v>
      </c>
      <c r="CF155" t="s">
        <v>4554</v>
      </c>
      <c r="CG155" t="s">
        <v>4550</v>
      </c>
      <c r="CH155">
        <v>-1</v>
      </c>
      <c r="CI155">
        <v>5</v>
      </c>
      <c r="CJ155" t="s">
        <v>1827</v>
      </c>
      <c r="CK155" t="s">
        <v>3044</v>
      </c>
      <c r="CN155" t="str">
        <f ca="1">IF(AND(ISERR(FIND($CK155,Talente!$CI$41)),ISNA(VLOOKUP($CK155,$AH$51:$AH$55,1))),IF(AND(ISERR(FIND($CL155,Talente!$CI$41)),ISNA(VLOOKUP($CL155,$AH$51:$AH$55,1))),$CM155,$CL155),$CK155)</f>
        <v>Infanteriewaffen</v>
      </c>
      <c r="CU155" t="s">
        <v>1795</v>
      </c>
      <c r="CX155" t="s">
        <v>4725</v>
      </c>
      <c r="CY155" t="s">
        <v>74</v>
      </c>
      <c r="CZ155" t="s">
        <v>76</v>
      </c>
      <c r="DA155" t="s">
        <v>77</v>
      </c>
      <c r="DB155" t="s">
        <v>2042</v>
      </c>
      <c r="DC155" t="s">
        <v>7294</v>
      </c>
      <c r="DD155" t="s">
        <v>3141</v>
      </c>
      <c r="DE155" t="s">
        <v>2492</v>
      </c>
      <c r="DF155" t="s">
        <v>1730</v>
      </c>
      <c r="DG155" t="s">
        <v>1321</v>
      </c>
      <c r="DH155" t="s">
        <v>6939</v>
      </c>
      <c r="DI155" t="s">
        <v>2940</v>
      </c>
      <c r="DJ155">
        <v>2</v>
      </c>
      <c r="DK155">
        <f t="shared" si="117"/>
        <v>476</v>
      </c>
      <c r="DL155">
        <f t="shared" si="118"/>
        <v>153</v>
      </c>
      <c r="DM155">
        <v>135</v>
      </c>
      <c r="DN155" t="str">
        <f t="shared" ca="1" si="104"/>
        <v/>
      </c>
      <c r="DO155" t="str">
        <f t="shared" ca="1" si="105"/>
        <v/>
      </c>
      <c r="DP155" t="str">
        <f t="shared" ca="1" si="106"/>
        <v/>
      </c>
      <c r="DQ155" t="str">
        <f>IF(EXACT(Zauber!$A$250,""),"",IF(EXACT(RIGHT(HLOOKUP(Zauber!$A$250,PROFMAGIE,$DK155,FALSE)),"H"),CONCATENATE($CX155,","),""))</f>
        <v/>
      </c>
      <c r="DR155" t="str">
        <f t="shared" si="107"/>
        <v/>
      </c>
      <c r="DS155" t="str">
        <f>IF(ZS_IAAK="Ja",IF(EXACT(RIGHT(HLOOKUP(Tabellen_Magie!$IK$1,PROFMAGIE,$DK155,FALSE)),"H"),CONCATENATE($CX155,","),""),"")</f>
        <v/>
      </c>
      <c r="DT155" t="str">
        <f>IF(ZS_IAAK="Ja",IF(NOT(DS155=""),"",IF(OR(EXACT(RIGHT(HLOOKUP(Tabellen_Magie!$IK$1,PROFMAGIE,$DK155,FALSE)),"B"),EXACT(HLOOKUP(Tabellen_Magie!$IK$1,PROFMAGIE,$DK155,FALSE),"")),"",CONCATENATE($CX155,","))),"")</f>
        <v/>
      </c>
      <c r="DU155" t="str">
        <f t="shared" si="108"/>
        <v/>
      </c>
      <c r="DW155" t="s">
        <v>1313</v>
      </c>
      <c r="DX155" t="s">
        <v>74</v>
      </c>
      <c r="DY155" t="s">
        <v>76</v>
      </c>
      <c r="DZ155" t="s">
        <v>77</v>
      </c>
      <c r="EA155" t="s">
        <v>296</v>
      </c>
      <c r="EB155" t="s">
        <v>2679</v>
      </c>
      <c r="EC155" t="s">
        <v>8665</v>
      </c>
      <c r="ED155">
        <f t="shared" si="99"/>
        <v>150</v>
      </c>
      <c r="EE155" t="s">
        <v>2680</v>
      </c>
      <c r="EH155">
        <f t="shared" si="100"/>
        <v>3</v>
      </c>
      <c r="EI155">
        <v>150</v>
      </c>
      <c r="FD155" t="s">
        <v>1276</v>
      </c>
      <c r="FE155">
        <f ca="1">ROUND(IF(VT_AKADMAG,FK155*3/4,FK155)*IF(NT_ELFWELT,IF(FN155,1,1.5),1)*IF(OR(NOT(ISERROR(FIND("Objk",'Zauber 2'!$D$84,1))),NOT(ISERROR(FIND("Meta",'Zauber 2'!$D$84,1)))),0.5,1),0)</f>
        <v>200</v>
      </c>
      <c r="FF155">
        <f ca="1">ROUND(FE155/50,0)</f>
        <v>4</v>
      </c>
      <c r="FK155">
        <v>200</v>
      </c>
      <c r="FL155">
        <v>4</v>
      </c>
      <c r="FM155" t="b">
        <f t="shared" ca="1" si="102"/>
        <v>0</v>
      </c>
      <c r="FN155" t="b">
        <f t="shared" ca="1" si="103"/>
        <v>0</v>
      </c>
      <c r="GH155" t="s">
        <v>3530</v>
      </c>
      <c r="GI155" t="s">
        <v>3290</v>
      </c>
      <c r="GJ155">
        <v>3</v>
      </c>
      <c r="GK155" t="s">
        <v>4116</v>
      </c>
      <c r="GL155" t="s">
        <v>1977</v>
      </c>
      <c r="GM155" t="s">
        <v>1369</v>
      </c>
      <c r="GN155" t="s">
        <v>1690</v>
      </c>
      <c r="GO155">
        <v>285</v>
      </c>
      <c r="GP155">
        <v>118</v>
      </c>
      <c r="GR155">
        <f t="shared" si="111"/>
        <v>504</v>
      </c>
      <c r="GU155" t="str">
        <f t="shared" ca="1" si="112"/>
        <v/>
      </c>
      <c r="GV155" t="str">
        <f t="shared" ca="1" si="113"/>
        <v/>
      </c>
      <c r="GW155" t="str">
        <f t="shared" ca="1" si="114"/>
        <v/>
      </c>
      <c r="GX155" t="str">
        <f t="shared" ca="1" si="115"/>
        <v/>
      </c>
    </row>
    <row r="156" spans="1:206" x14ac:dyDescent="0.2">
      <c r="A156" t="s">
        <v>2156</v>
      </c>
      <c r="B156" t="s">
        <v>1609</v>
      </c>
      <c r="C156" t="s">
        <v>1610</v>
      </c>
      <c r="D156" t="s">
        <v>1611</v>
      </c>
      <c r="E156" t="s">
        <v>5029</v>
      </c>
      <c r="F156" t="s">
        <v>2404</v>
      </c>
      <c r="G156" t="s">
        <v>2157</v>
      </c>
      <c r="R156" t="s">
        <v>760</v>
      </c>
      <c r="S156" t="s">
        <v>3765</v>
      </c>
      <c r="T156" t="s">
        <v>3766</v>
      </c>
      <c r="U156">
        <v>2</v>
      </c>
      <c r="W156" t="str">
        <f t="shared" si="120"/>
        <v>1500 D</v>
      </c>
      <c r="X156">
        <v>15</v>
      </c>
      <c r="Z156" t="s">
        <v>4294</v>
      </c>
      <c r="AC156">
        <v>25</v>
      </c>
      <c r="AH156" t="s">
        <v>3280</v>
      </c>
      <c r="AI156" t="s">
        <v>7213</v>
      </c>
      <c r="AS156" t="s">
        <v>3751</v>
      </c>
      <c r="AT156">
        <v>10</v>
      </c>
      <c r="BK156" t="s">
        <v>5540</v>
      </c>
      <c r="BL156">
        <v>10</v>
      </c>
      <c r="BM156">
        <v>17</v>
      </c>
      <c r="BN156" t="s">
        <v>5541</v>
      </c>
      <c r="BO156">
        <v>8</v>
      </c>
      <c r="BP156" t="s">
        <v>5542</v>
      </c>
      <c r="BQ156">
        <v>2</v>
      </c>
      <c r="BR156">
        <v>40</v>
      </c>
      <c r="BS156">
        <v>3</v>
      </c>
      <c r="BT156">
        <v>14</v>
      </c>
      <c r="BU156">
        <v>40</v>
      </c>
      <c r="BW156">
        <v>2</v>
      </c>
      <c r="BY156" t="s">
        <v>4985</v>
      </c>
      <c r="BZ156" t="s">
        <v>4985</v>
      </c>
      <c r="CA156" t="s">
        <v>5543</v>
      </c>
      <c r="CD156" t="s">
        <v>324</v>
      </c>
      <c r="CE156" t="s">
        <v>7589</v>
      </c>
      <c r="CF156" t="s">
        <v>4552</v>
      </c>
      <c r="CG156" t="s">
        <v>3233</v>
      </c>
      <c r="CH156">
        <v>-2</v>
      </c>
      <c r="CI156">
        <v>8</v>
      </c>
      <c r="CJ156" t="s">
        <v>1320</v>
      </c>
      <c r="CK156" t="s">
        <v>1526</v>
      </c>
      <c r="CL156" t="s">
        <v>1530</v>
      </c>
      <c r="CN156" t="str">
        <f ca="1">IF(AND(ISERR(FIND($CK156,Talente!$CI$41)),ISNA(VLOOKUP($CK156,$AH$51:$AH$55,1))),IF(AND(ISERR(FIND($CL156,Talente!$CI$41)),ISNA(VLOOKUP($CL156,$AH$51:$AH$55,1))),$CM156,$CL156),$CK156)</f>
        <v>Lanzenreiten</v>
      </c>
      <c r="CU156" t="s">
        <v>2789</v>
      </c>
      <c r="CX156" t="s">
        <v>456</v>
      </c>
      <c r="CY156" t="s">
        <v>74</v>
      </c>
      <c r="CZ156" t="s">
        <v>76</v>
      </c>
      <c r="DA156" t="s">
        <v>77</v>
      </c>
      <c r="DB156" t="s">
        <v>2042</v>
      </c>
      <c r="DC156" t="s">
        <v>7291</v>
      </c>
      <c r="DD156" t="s">
        <v>3138</v>
      </c>
      <c r="DE156" t="s">
        <v>1321</v>
      </c>
      <c r="DF156" t="s">
        <v>2257</v>
      </c>
      <c r="DG156" t="s">
        <v>1956</v>
      </c>
      <c r="DH156" t="s">
        <v>6940</v>
      </c>
      <c r="DI156" t="s">
        <v>8459</v>
      </c>
      <c r="DJ156">
        <v>2</v>
      </c>
      <c r="DK156">
        <f t="shared" si="117"/>
        <v>477</v>
      </c>
      <c r="DL156">
        <f t="shared" si="118"/>
        <v>154</v>
      </c>
      <c r="DM156">
        <v>136</v>
      </c>
      <c r="DN156" t="str">
        <f t="shared" ca="1" si="104"/>
        <v/>
      </c>
      <c r="DO156" t="str">
        <f t="shared" ca="1" si="105"/>
        <v/>
      </c>
      <c r="DP156" t="str">
        <f t="shared" ca="1" si="106"/>
        <v/>
      </c>
      <c r="DQ156" t="str">
        <f>IF(EXACT(Zauber!$A$250,""),"",IF(EXACT(RIGHT(HLOOKUP(Zauber!$A$250,PROFMAGIE,$DK156,FALSE)),"H"),CONCATENATE($CX156,","),""))</f>
        <v/>
      </c>
      <c r="DR156" t="str">
        <f t="shared" si="107"/>
        <v/>
      </c>
      <c r="DS156" t="str">
        <f>IF(ZS_IAAK="Ja",IF(EXACT(RIGHT(HLOOKUP(Tabellen_Magie!$IK$1,PROFMAGIE,$DK156,FALSE)),"H"),CONCATENATE($CX156,","),""),"")</f>
        <v/>
      </c>
      <c r="DT156" t="str">
        <f>IF(ZS_IAAK="Ja",IF(NOT(DS156=""),"",IF(OR(EXACT(RIGHT(HLOOKUP(Tabellen_Magie!$IK$1,PROFMAGIE,$DK156,FALSE)),"B"),EXACT(HLOOKUP(Tabellen_Magie!$IK$1,PROFMAGIE,$DK156,FALSE),"")),"",CONCATENATE($CX156,","))),"")</f>
        <v/>
      </c>
      <c r="DU156" t="str">
        <f t="shared" si="108"/>
        <v/>
      </c>
      <c r="DW156" t="s">
        <v>4777</v>
      </c>
      <c r="DX156" t="s">
        <v>74</v>
      </c>
      <c r="DY156" t="s">
        <v>76</v>
      </c>
      <c r="DZ156" t="s">
        <v>77</v>
      </c>
      <c r="EA156" t="s">
        <v>8645</v>
      </c>
      <c r="EB156" t="s">
        <v>295</v>
      </c>
      <c r="EC156" t="s">
        <v>1445</v>
      </c>
      <c r="ED156">
        <f t="shared" si="99"/>
        <v>200</v>
      </c>
      <c r="EE156" t="s">
        <v>2680</v>
      </c>
      <c r="EH156">
        <f t="shared" si="100"/>
        <v>4</v>
      </c>
      <c r="EI156">
        <v>200</v>
      </c>
      <c r="FD156" t="s">
        <v>2938</v>
      </c>
      <c r="FE156">
        <f>ROUND(IF(VT_AKADMAG,FK156*3/4,FK156)*IF(NT_ELFWELT,IF(FN156,1,1.5),1)*IF(VT_EIDGED,0.5,IF(VT_GUTGED,0.75,1)),0)</f>
        <v>300</v>
      </c>
      <c r="FF156">
        <f t="shared" si="101"/>
        <v>6</v>
      </c>
      <c r="FK156">
        <v>300</v>
      </c>
      <c r="FL156">
        <v>2</v>
      </c>
      <c r="FM156" t="b">
        <f t="shared" ca="1" si="102"/>
        <v>0</v>
      </c>
      <c r="FN156" t="b">
        <f t="shared" ca="1" si="103"/>
        <v>0</v>
      </c>
      <c r="GH156" t="s">
        <v>9336</v>
      </c>
      <c r="GI156" t="s">
        <v>3290</v>
      </c>
      <c r="GJ156">
        <v>3</v>
      </c>
      <c r="GK156" t="s">
        <v>1549</v>
      </c>
      <c r="GL156" t="s">
        <v>1977</v>
      </c>
      <c r="GM156" t="s">
        <v>3961</v>
      </c>
      <c r="GN156" t="s">
        <v>1974</v>
      </c>
      <c r="GO156" t="s">
        <v>9314</v>
      </c>
      <c r="GP156">
        <v>174</v>
      </c>
      <c r="GR156">
        <f t="shared" si="111"/>
        <v>505</v>
      </c>
      <c r="GU156" t="str">
        <f t="shared" ca="1" si="112"/>
        <v/>
      </c>
      <c r="GV156" t="str">
        <f t="shared" ca="1" si="113"/>
        <v/>
      </c>
      <c r="GW156" t="str">
        <f t="shared" ca="1" si="114"/>
        <v/>
      </c>
      <c r="GX156" t="str">
        <f t="shared" ca="1" si="115"/>
        <v/>
      </c>
    </row>
    <row r="157" spans="1:206" x14ac:dyDescent="0.2">
      <c r="A157" t="s">
        <v>1792</v>
      </c>
      <c r="B157" t="s">
        <v>74</v>
      </c>
      <c r="C157" t="s">
        <v>76</v>
      </c>
      <c r="D157" t="s">
        <v>751</v>
      </c>
      <c r="E157" t="s">
        <v>339</v>
      </c>
      <c r="F157" t="str">
        <f ca="1">IF(G157="x",IF(MIN(Talente!$O$80,Talente!$O$105,Talente!$O$73,Talente!$O$49,Talente!$O$15)*2&gt;ROUND((Talente!$O$80+Talente!$O$105+Talente!$O$73+Talente!$O$49+Talente!$O$15)/5,0),ROUND((Talente!$O$80+Talente!$O$105+Talente!$O$73+Talente!$O$49+Talente!$O$15)/5,0),MIN(Talente!$O$80,Talente!$O$105,Talente!$O$73,Talente!$O$49,Talente!$O$15)*2),"")</f>
        <v/>
      </c>
      <c r="G157" t="str">
        <f ca="1">IF(NOT(Talente!$O$105=""),IF(NOT(Talente!$O$15=""),"x",""),"")</f>
        <v/>
      </c>
      <c r="R157" t="s">
        <v>762</v>
      </c>
      <c r="S157" t="s">
        <v>1264</v>
      </c>
      <c r="T157" t="s">
        <v>1238</v>
      </c>
      <c r="U157">
        <v>4</v>
      </c>
      <c r="W157" t="str">
        <f t="shared" si="120"/>
        <v>1600 D</v>
      </c>
      <c r="X157">
        <v>16</v>
      </c>
      <c r="Z157" t="s">
        <v>1389</v>
      </c>
      <c r="AC157">
        <v>10</v>
      </c>
      <c r="AE157" t="s">
        <v>2070</v>
      </c>
      <c r="AH157" t="s">
        <v>2918</v>
      </c>
      <c r="AI157" t="s">
        <v>7214</v>
      </c>
      <c r="AS157" t="s">
        <v>3684</v>
      </c>
      <c r="AT157">
        <v>3</v>
      </c>
      <c r="BK157" t="s">
        <v>5544</v>
      </c>
      <c r="BL157">
        <v>13</v>
      </c>
      <c r="BM157">
        <v>20</v>
      </c>
      <c r="BN157" t="s">
        <v>5545</v>
      </c>
      <c r="BO157">
        <v>6</v>
      </c>
      <c r="BP157" t="s">
        <v>5546</v>
      </c>
      <c r="BQ157">
        <v>3</v>
      </c>
      <c r="BR157">
        <v>75</v>
      </c>
      <c r="BS157" t="s">
        <v>5449</v>
      </c>
      <c r="BT157">
        <v>10</v>
      </c>
      <c r="BU157">
        <v>35</v>
      </c>
      <c r="BW157">
        <v>0</v>
      </c>
      <c r="BY157" t="s">
        <v>4985</v>
      </c>
      <c r="BZ157" t="s">
        <v>4985</v>
      </c>
      <c r="CA157" t="s">
        <v>5547</v>
      </c>
      <c r="CD157" t="s">
        <v>7580</v>
      </c>
      <c r="CE157" t="s">
        <v>7590</v>
      </c>
      <c r="CF157" t="s">
        <v>4552</v>
      </c>
      <c r="CG157" t="s">
        <v>3233</v>
      </c>
      <c r="CH157">
        <v>-2</v>
      </c>
      <c r="CI157">
        <v>8</v>
      </c>
      <c r="CJ157" t="s">
        <v>1320</v>
      </c>
      <c r="CK157" t="s">
        <v>1526</v>
      </c>
      <c r="CN157" t="str">
        <f ca="1">IF(AND(ISERR(FIND($CK157,Talente!$CI$41)),ISNA(VLOOKUP($CK157,$AH$51:$AH$55,1))),IF(AND(ISERR(FIND($CL157,Talente!$CI$41)),ISNA(VLOOKUP($CL157,$AH$51:$AH$55,1))),$CM157,$CL157),$CK157)</f>
        <v>Lanzenreiten</v>
      </c>
      <c r="CU157" t="s">
        <v>4272</v>
      </c>
      <c r="CX157" t="s">
        <v>4060</v>
      </c>
      <c r="CY157" t="s">
        <v>75</v>
      </c>
      <c r="CZ157" t="s">
        <v>750</v>
      </c>
      <c r="DA157" t="s">
        <v>5030</v>
      </c>
      <c r="DC157" t="s">
        <v>7292</v>
      </c>
      <c r="DD157" t="s">
        <v>4034</v>
      </c>
      <c r="DE157" t="s">
        <v>4484</v>
      </c>
      <c r="DF157" t="s">
        <v>1358</v>
      </c>
      <c r="DG157" t="s">
        <v>1956</v>
      </c>
      <c r="DH157" t="s">
        <v>6941</v>
      </c>
      <c r="DI157" t="s">
        <v>1543</v>
      </c>
      <c r="DJ157">
        <v>2</v>
      </c>
      <c r="DK157">
        <f t="shared" si="117"/>
        <v>478</v>
      </c>
      <c r="DL157">
        <f t="shared" si="118"/>
        <v>155</v>
      </c>
      <c r="DM157">
        <v>137</v>
      </c>
      <c r="DN157" t="str">
        <f t="shared" ca="1" si="104"/>
        <v/>
      </c>
      <c r="DO157" t="str">
        <f t="shared" ca="1" si="105"/>
        <v/>
      </c>
      <c r="DP157" t="str">
        <f t="shared" ca="1" si="106"/>
        <v/>
      </c>
      <c r="DQ157" t="str">
        <f>IF(EXACT(Zauber!$A$250,""),"",IF(EXACT(RIGHT(HLOOKUP(Zauber!$A$250,PROFMAGIE,$DK157,FALSE)),"H"),CONCATENATE($CX157,","),""))</f>
        <v/>
      </c>
      <c r="DR157" t="str">
        <f t="shared" si="107"/>
        <v/>
      </c>
      <c r="DS157" t="str">
        <f>IF(ZS_IAAK="Ja",IF(EXACT(RIGHT(HLOOKUP(Tabellen_Magie!$IK$1,PROFMAGIE,$DK157,FALSE)),"H"),CONCATENATE($CX157,","),""),"")</f>
        <v/>
      </c>
      <c r="DT157" t="str">
        <f>IF(ZS_IAAK="Ja",IF(NOT(DS157=""),"",IF(OR(EXACT(RIGHT(HLOOKUP(Tabellen_Magie!$IK$1,PROFMAGIE,$DK157,FALSE)),"B"),EXACT(HLOOKUP(Tabellen_Magie!$IK$1,PROFMAGIE,$DK157,FALSE),"")),"",CONCATENATE($CX157,","))),"")</f>
        <v/>
      </c>
      <c r="DU157" t="str">
        <f t="shared" si="108"/>
        <v/>
      </c>
      <c r="DW157" t="s">
        <v>8666</v>
      </c>
      <c r="DX157" t="s">
        <v>74</v>
      </c>
      <c r="DY157" t="s">
        <v>77</v>
      </c>
      <c r="DZ157" t="s">
        <v>77</v>
      </c>
      <c r="EA157" t="s">
        <v>4888</v>
      </c>
      <c r="EB157" t="s">
        <v>1614</v>
      </c>
      <c r="EC157" t="s">
        <v>1444</v>
      </c>
      <c r="ED157">
        <f t="shared" si="99"/>
        <v>150</v>
      </c>
      <c r="EE157" t="s">
        <v>2681</v>
      </c>
      <c r="EH157">
        <f t="shared" si="100"/>
        <v>3</v>
      </c>
      <c r="EI157">
        <v>150</v>
      </c>
      <c r="FD157" t="s">
        <v>2939</v>
      </c>
      <c r="FE157">
        <f>ROUND(FK157*IF(VT_AKADMAG,3/4,1)*IF(NT_ELFWELT,IF(FN157,1,1.5),1),0)</f>
        <v>200</v>
      </c>
      <c r="FF157">
        <f t="shared" si="101"/>
        <v>4</v>
      </c>
      <c r="FK157">
        <v>200</v>
      </c>
      <c r="FL157">
        <v>3</v>
      </c>
      <c r="FM157" t="b">
        <f t="shared" ca="1" si="102"/>
        <v>0</v>
      </c>
      <c r="FN157" t="b">
        <f t="shared" ca="1" si="103"/>
        <v>0</v>
      </c>
      <c r="GH157" t="s">
        <v>3531</v>
      </c>
      <c r="GI157" t="s">
        <v>3290</v>
      </c>
      <c r="GJ157">
        <v>3</v>
      </c>
      <c r="GK157" t="s">
        <v>4530</v>
      </c>
      <c r="GL157" t="s">
        <v>1977</v>
      </c>
      <c r="GM157" t="s">
        <v>1684</v>
      </c>
      <c r="GN157" t="s">
        <v>1974</v>
      </c>
      <c r="GO157">
        <v>263</v>
      </c>
      <c r="GP157">
        <v>119</v>
      </c>
      <c r="GR157">
        <f t="shared" si="111"/>
        <v>506</v>
      </c>
      <c r="GU157" t="str">
        <f t="shared" ca="1" si="112"/>
        <v/>
      </c>
      <c r="GV157" t="str">
        <f t="shared" ca="1" si="113"/>
        <v/>
      </c>
      <c r="GW157" t="str">
        <f t="shared" ca="1" si="114"/>
        <v/>
      </c>
      <c r="GX157" t="str">
        <f t="shared" ca="1" si="115"/>
        <v/>
      </c>
    </row>
    <row r="158" spans="1:206" x14ac:dyDescent="0.2">
      <c r="A158" t="s">
        <v>2438</v>
      </c>
      <c r="B158" t="s">
        <v>74</v>
      </c>
      <c r="C158" t="s">
        <v>76</v>
      </c>
      <c r="D158" t="s">
        <v>751</v>
      </c>
      <c r="E158" t="s">
        <v>339</v>
      </c>
      <c r="F158" t="str">
        <f ca="1">IF(G158="x",IF(MIN(Talente!$O$80,Talente!$O$105,Talente!$O$73,Talente!$O$49,Talente!$O$18)*2&gt;ROUND((Talente!$O$80+Talente!$O$105+Talente!$O$73+Talente!$O$49+Talente!$O$18)/5,0),ROUND((Talente!$O$80+Talente!$O$105+Talente!$O$73+Talente!$O$49+Talente!$O$18)/5,0),MIN(Talente!$O$80,Talente!$O$105,Talente!$O$73,Talente!$O$49,Talente!$O$18)*2),"")</f>
        <v/>
      </c>
      <c r="G158" t="str">
        <f ca="1">IF(NOT(Talente!$O$105=""),IF(NOT(Talente!$O$18=""),"x",""),"")</f>
        <v/>
      </c>
      <c r="R158" t="s">
        <v>157</v>
      </c>
      <c r="S158" t="s">
        <v>160</v>
      </c>
      <c r="T158" t="s">
        <v>1265</v>
      </c>
      <c r="U158">
        <v>3</v>
      </c>
      <c r="W158" t="str">
        <f t="shared" si="120"/>
        <v>1700 D</v>
      </c>
      <c r="X158">
        <v>17</v>
      </c>
      <c r="Z158" t="s">
        <v>4081</v>
      </c>
      <c r="AC158">
        <v>5</v>
      </c>
      <c r="AH158" t="s">
        <v>1250</v>
      </c>
      <c r="AI158" t="s">
        <v>2347</v>
      </c>
      <c r="AS158" t="s">
        <v>3685</v>
      </c>
      <c r="AT158">
        <v>3</v>
      </c>
      <c r="BK158" t="s">
        <v>5548</v>
      </c>
      <c r="CD158" t="s">
        <v>325</v>
      </c>
      <c r="CE158" t="s">
        <v>7588</v>
      </c>
      <c r="CF158" t="s">
        <v>378</v>
      </c>
      <c r="CG158" t="s">
        <v>898</v>
      </c>
      <c r="CH158">
        <v>0</v>
      </c>
      <c r="CI158">
        <v>3</v>
      </c>
      <c r="CJ158" t="s">
        <v>899</v>
      </c>
      <c r="CK158" t="s">
        <v>1938</v>
      </c>
      <c r="CN158" t="str">
        <f ca="1">IF(AND(ISERR(FIND($CK158,Talente!$CI$41)),ISNA(VLOOKUP($CK158,$AH$51:$AH$55,1))),IF(AND(ISERR(FIND($CL158,Talente!$CI$41)),ISNA(VLOOKUP($CL158,$AH$51:$AH$55,1))),$CM158,$CL158),$CK158)</f>
        <v>Schwerter</v>
      </c>
      <c r="CU158" t="s">
        <v>1796</v>
      </c>
      <c r="CX158" t="s">
        <v>4061</v>
      </c>
      <c r="CY158" t="s">
        <v>75</v>
      </c>
      <c r="CZ158" t="s">
        <v>75</v>
      </c>
      <c r="DA158" t="s">
        <v>77</v>
      </c>
      <c r="DB158" t="s">
        <v>1613</v>
      </c>
      <c r="DC158" t="s">
        <v>7297</v>
      </c>
      <c r="DD158" t="s">
        <v>4035</v>
      </c>
      <c r="DE158" t="s">
        <v>2397</v>
      </c>
      <c r="DF158" t="s">
        <v>81</v>
      </c>
      <c r="DG158" t="s">
        <v>1955</v>
      </c>
      <c r="DH158" t="s">
        <v>6942</v>
      </c>
      <c r="DI158" t="s">
        <v>4508</v>
      </c>
      <c r="DJ158">
        <v>2</v>
      </c>
      <c r="DK158">
        <f t="shared" si="117"/>
        <v>479</v>
      </c>
      <c r="DL158">
        <f t="shared" si="118"/>
        <v>156</v>
      </c>
      <c r="DM158">
        <v>138</v>
      </c>
      <c r="DN158" t="str">
        <f t="shared" ca="1" si="104"/>
        <v/>
      </c>
      <c r="DO158" t="str">
        <f t="shared" ca="1" si="105"/>
        <v/>
      </c>
      <c r="DP158" t="str">
        <f t="shared" ca="1" si="106"/>
        <v/>
      </c>
      <c r="DQ158" t="str">
        <f>IF(EXACT(Zauber!$A$250,""),"",IF(EXACT(RIGHT(HLOOKUP(Zauber!$A$250,PROFMAGIE,$DK158,FALSE)),"H"),CONCATENATE($CX158,","),""))</f>
        <v/>
      </c>
      <c r="DR158" t="str">
        <f t="shared" si="107"/>
        <v/>
      </c>
      <c r="DS158" t="str">
        <f>IF(ZS_IAAK="Ja",IF(EXACT(RIGHT(HLOOKUP(Tabellen_Magie!$IK$1,PROFMAGIE,$DK158,FALSE)),"H"),CONCATENATE($CX158,","),""),"")</f>
        <v/>
      </c>
      <c r="DT158" t="str">
        <f>IF(ZS_IAAK="Ja",IF(NOT(DS158=""),"",IF(OR(EXACT(RIGHT(HLOOKUP(Tabellen_Magie!$IK$1,PROFMAGIE,$DK158,FALSE)),"B"),EXACT(HLOOKUP(Tabellen_Magie!$IK$1,PROFMAGIE,$DK158,FALSE),"")),"",CONCATENATE($CX158,","))),"")</f>
        <v/>
      </c>
      <c r="DU158" t="str">
        <f t="shared" si="108"/>
        <v/>
      </c>
      <c r="DW158" t="s">
        <v>3575</v>
      </c>
      <c r="FD158" t="s">
        <v>4743</v>
      </c>
      <c r="FE158">
        <f ca="1">ROUND(IF(VT_AKADMAG,FK158*3/4,FK158)*IF(NT_ELFWELT,IF(FN158,1,1.5),1)*IF(NOT(ISERROR(FIND("Krft",Zauber!AH241,1))),0.5,1),0)</f>
        <v>500</v>
      </c>
      <c r="FF158">
        <f ca="1">ROUND(FE158/50,0)</f>
        <v>10</v>
      </c>
      <c r="FK158">
        <v>500</v>
      </c>
      <c r="FL158">
        <v>2</v>
      </c>
      <c r="FM158" t="b">
        <f t="shared" ca="1" si="102"/>
        <v>0</v>
      </c>
      <c r="FN158" t="b">
        <f t="shared" ca="1" si="103"/>
        <v>0</v>
      </c>
      <c r="GH158" t="s">
        <v>3532</v>
      </c>
      <c r="GI158" t="s">
        <v>3290</v>
      </c>
      <c r="GJ158">
        <v>3</v>
      </c>
      <c r="GK158" t="s">
        <v>1320</v>
      </c>
      <c r="GL158" t="s">
        <v>1977</v>
      </c>
      <c r="GM158" t="s">
        <v>1369</v>
      </c>
      <c r="GN158" t="s">
        <v>1974</v>
      </c>
      <c r="GO158">
        <v>274</v>
      </c>
      <c r="GP158">
        <v>121</v>
      </c>
      <c r="GR158">
        <f t="shared" si="111"/>
        <v>507</v>
      </c>
      <c r="GU158" t="str">
        <f t="shared" ca="1" si="112"/>
        <v/>
      </c>
      <c r="GV158" t="str">
        <f t="shared" ca="1" si="113"/>
        <v/>
      </c>
      <c r="GW158" t="str">
        <f t="shared" ca="1" si="114"/>
        <v/>
      </c>
      <c r="GX158" t="str">
        <f t="shared" ca="1" si="115"/>
        <v/>
      </c>
    </row>
    <row r="159" spans="1:206" x14ac:dyDescent="0.2">
      <c r="A159" t="s">
        <v>2439</v>
      </c>
      <c r="B159" t="s">
        <v>74</v>
      </c>
      <c r="C159" t="s">
        <v>76</v>
      </c>
      <c r="D159" t="s">
        <v>751</v>
      </c>
      <c r="E159" t="s">
        <v>339</v>
      </c>
      <c r="F159" t="str">
        <f ca="1">IF(G159="x",IF(MIN(Talente!$O$80,Talente!$O$105,Talente!$O$73,Talente!$O$49,Talente!$O$17)*2&gt;ROUND((Talente!$O$80+Talente!$O$105+Talente!$O$73+Talente!$O$49+Talente!$O$17)/5,0),ROUND((Talente!$O$80+Talente!$O$105+Talente!$O$73+Talente!$O$49+Talente!$O$17)/5,0),MIN(Talente!$O$80,Talente!$O$105,Talente!$O$73,Talente!$O$49,Talente!$O$17)*2),"")</f>
        <v/>
      </c>
      <c r="G159" t="str">
        <f ca="1">IF(NOT(Talente!$O$105=""),IF(NOT(Talente!$O$17=""),"x",""),"")</f>
        <v/>
      </c>
      <c r="R159" t="s">
        <v>156</v>
      </c>
      <c r="S159" t="s">
        <v>1258</v>
      </c>
      <c r="T159" t="s">
        <v>1267</v>
      </c>
      <c r="U159">
        <v>3</v>
      </c>
      <c r="W159" t="str">
        <f t="shared" si="120"/>
        <v>1800 D</v>
      </c>
      <c r="X159">
        <v>18</v>
      </c>
      <c r="Z159" t="s">
        <v>4082</v>
      </c>
      <c r="AC159">
        <v>12</v>
      </c>
      <c r="AH159" t="s">
        <v>2919</v>
      </c>
      <c r="AI159" t="s">
        <v>7215</v>
      </c>
      <c r="AS159" t="s">
        <v>3686</v>
      </c>
      <c r="AT159">
        <v>3</v>
      </c>
      <c r="BK159" t="s">
        <v>5549</v>
      </c>
      <c r="BL159">
        <v>9</v>
      </c>
      <c r="BM159">
        <v>10</v>
      </c>
      <c r="BN159">
        <v>8</v>
      </c>
      <c r="BO159">
        <v>5</v>
      </c>
      <c r="BP159" t="s">
        <v>5319</v>
      </c>
      <c r="BQ159">
        <v>2</v>
      </c>
      <c r="BR159">
        <v>15</v>
      </c>
      <c r="BS159">
        <v>2</v>
      </c>
      <c r="BT159">
        <v>6</v>
      </c>
      <c r="BU159">
        <v>35</v>
      </c>
      <c r="BW159">
        <v>3</v>
      </c>
      <c r="BY159" t="s">
        <v>4985</v>
      </c>
      <c r="BZ159" t="s">
        <v>4985</v>
      </c>
      <c r="CA159" t="s">
        <v>5550</v>
      </c>
      <c r="CD159" t="s">
        <v>7581</v>
      </c>
      <c r="CE159" t="s">
        <v>7591</v>
      </c>
      <c r="CF159" t="s">
        <v>378</v>
      </c>
      <c r="CG159" t="s">
        <v>898</v>
      </c>
      <c r="CH159">
        <v>0</v>
      </c>
      <c r="CI159">
        <v>5</v>
      </c>
      <c r="CJ159" t="s">
        <v>899</v>
      </c>
      <c r="CK159" t="s">
        <v>1938</v>
      </c>
      <c r="CN159" t="str">
        <f ca="1">IF(AND(ISERR(FIND($CK159,Talente!$CI$41)),ISNA(VLOOKUP($CK159,$AH$51:$AH$55,1))),IF(AND(ISERR(FIND($CL159,Talente!$CI$41)),ISNA(VLOOKUP($CL159,$AH$51:$AH$55,1))),$CM159,$CL159),$CK159)</f>
        <v>Schwerter</v>
      </c>
      <c r="CU159" t="s">
        <v>1797</v>
      </c>
      <c r="CX159" t="s">
        <v>4135</v>
      </c>
      <c r="CY159" t="s">
        <v>75</v>
      </c>
      <c r="CZ159" t="s">
        <v>750</v>
      </c>
      <c r="DA159" t="s">
        <v>752</v>
      </c>
      <c r="DC159" t="s">
        <v>7302</v>
      </c>
      <c r="DD159" t="s">
        <v>510</v>
      </c>
      <c r="DE159" t="s">
        <v>2254</v>
      </c>
      <c r="DF159" t="s">
        <v>81</v>
      </c>
      <c r="DG159" t="s">
        <v>1433</v>
      </c>
      <c r="DH159" t="s">
        <v>6943</v>
      </c>
      <c r="DI159" t="s">
        <v>2942</v>
      </c>
      <c r="DJ159">
        <v>2</v>
      </c>
      <c r="DK159">
        <f t="shared" si="117"/>
        <v>480</v>
      </c>
      <c r="DL159">
        <f t="shared" si="118"/>
        <v>157</v>
      </c>
      <c r="DM159">
        <v>139</v>
      </c>
      <c r="DN159" t="str">
        <f t="shared" ca="1" si="104"/>
        <v/>
      </c>
      <c r="DO159" t="str">
        <f t="shared" ca="1" si="105"/>
        <v/>
      </c>
      <c r="DP159" t="str">
        <f t="shared" ca="1" si="106"/>
        <v/>
      </c>
      <c r="DQ159" t="str">
        <f>IF(EXACT(Zauber!$A$250,""),"",IF(EXACT(RIGHT(HLOOKUP(Zauber!$A$250,PROFMAGIE,$DK159,FALSE)),"H"),CONCATENATE($CX159,","),""))</f>
        <v/>
      </c>
      <c r="DR159" t="str">
        <f t="shared" si="107"/>
        <v/>
      </c>
      <c r="DS159" t="str">
        <f>IF(ZS_IAAK="Ja",IF(EXACT(RIGHT(HLOOKUP(Tabellen_Magie!$IK$1,PROFMAGIE,$DK159,FALSE)),"H"),CONCATENATE($CX159,","),""),"")</f>
        <v/>
      </c>
      <c r="DT159" t="str">
        <f>IF(ZS_IAAK="Ja",IF(NOT(DS159=""),"",IF(OR(EXACT(RIGHT(HLOOKUP(Tabellen_Magie!$IK$1,PROFMAGIE,$DK159,FALSE)),"B"),EXACT(HLOOKUP(Tabellen_Magie!$IK$1,PROFMAGIE,$DK159,FALSE),"")),"",CONCATENATE($CX159,","))),"")</f>
        <v/>
      </c>
      <c r="DU159" t="str">
        <f t="shared" si="108"/>
        <v/>
      </c>
      <c r="DW159" t="s">
        <v>8606</v>
      </c>
      <c r="DX159" t="s">
        <v>74</v>
      </c>
      <c r="DY159" t="s">
        <v>5030</v>
      </c>
      <c r="DZ159" t="s">
        <v>5030</v>
      </c>
      <c r="EA159" t="s">
        <v>2762</v>
      </c>
      <c r="EB159" t="s">
        <v>1578</v>
      </c>
      <c r="EC159" t="s">
        <v>4565</v>
      </c>
      <c r="ED159">
        <f t="shared" ref="ED159:ED172" si="121">ROUND(EI159*IF(VT_EIDGED,0.5,IF(VT_GUTGED,0.75,1)),0)</f>
        <v>50</v>
      </c>
      <c r="EE159" t="s">
        <v>3221</v>
      </c>
      <c r="EH159">
        <f t="shared" ref="EH159:EH172" si="122">ROUNDUP($ED159/50,0)</f>
        <v>1</v>
      </c>
      <c r="EI159">
        <v>50</v>
      </c>
      <c r="FD159" t="s">
        <v>1399</v>
      </c>
      <c r="FE159">
        <f ca="1">ROUND(IF(VT_AKADMAG,FK159*3/4,FK159)*IF(NT_ELFWELT,IF(FN159,1,1.5),1)*IF(NOT(ISERROR(FIND("Meta",Zauber!AH241,1))),0.5,1),0)</f>
        <v>250</v>
      </c>
      <c r="FF159">
        <f ca="1">ROUND(FE159/50,0)</f>
        <v>5</v>
      </c>
      <c r="FK159">
        <v>250</v>
      </c>
      <c r="FL159">
        <v>3</v>
      </c>
      <c r="FM159" t="b">
        <f t="shared" ref="FM159:FM188" ca="1" si="123">IF(OR(IF(NOT(ISNA(VLOOKUP(FD159,SF_Verbilligt_Left,3,FALSE))),VLOOKUP(FD159,SF_Verbilligt_Left,3,FALSE)="x",FALSE),IF(NOT(ISNA(VLOOKUP(FD159,SF_Verbilligt_Right,8,FALSE))),VLOOKUP(FD159,SF_Verbilligt_Right,8,FALSE)="x",FALSE)),TRUE,FALSE)</f>
        <v>0</v>
      </c>
      <c r="FN159" t="b">
        <f t="shared" ref="FN159:FN188" ca="1" si="124">OR(FM159,NOT(ISERROR(FIND(FD159,$FN$3,1))))</f>
        <v>0</v>
      </c>
      <c r="GH159" t="s">
        <v>9337</v>
      </c>
      <c r="GI159" t="s">
        <v>3290</v>
      </c>
      <c r="GJ159">
        <v>3</v>
      </c>
      <c r="GK159" t="s">
        <v>1549</v>
      </c>
      <c r="GL159" t="s">
        <v>1977</v>
      </c>
      <c r="GM159" t="s">
        <v>3961</v>
      </c>
      <c r="GN159" t="s">
        <v>1974</v>
      </c>
      <c r="GO159" t="s">
        <v>9314</v>
      </c>
      <c r="GP159">
        <v>174</v>
      </c>
      <c r="GR159">
        <f t="shared" si="111"/>
        <v>508</v>
      </c>
      <c r="GU159" t="str">
        <f t="shared" ca="1" si="112"/>
        <v/>
      </c>
      <c r="GV159" t="str">
        <f t="shared" ca="1" si="113"/>
        <v/>
      </c>
      <c r="GW159" t="str">
        <f t="shared" ca="1" si="114"/>
        <v/>
      </c>
      <c r="GX159" t="str">
        <f t="shared" ca="1" si="115"/>
        <v/>
      </c>
    </row>
    <row r="160" spans="1:206" x14ac:dyDescent="0.2">
      <c r="A160" t="s">
        <v>7283</v>
      </c>
      <c r="B160" t="s">
        <v>74</v>
      </c>
      <c r="C160" t="s">
        <v>76</v>
      </c>
      <c r="D160" t="s">
        <v>751</v>
      </c>
      <c r="E160" t="s">
        <v>339</v>
      </c>
      <c r="F160" t="str">
        <f ca="1">IF(G160="x",IF(MIN(Talente!$O$80,Talente!$O$105,Talente!$O$73,Talente!$O$49,Talente!$O$19)*2&gt;ROUND((Talente!$O$80+Talente!$O$105+Talente!$O$73+Talente!$O$49+Talente!$O$19)/5,0),ROUND((Talente!$O$80+Talente!$O$105+Talente!$O$73+Talente!$O$49+Talente!$O$19)/5,0),MIN(Talente!$O$80,Talente!$O$105,Talente!$O$73,Talente!$O$49,Talente!$O$19)*2),"")</f>
        <v/>
      </c>
      <c r="G160" t="str">
        <f ca="1">IF(NOT(Talente!$O$105=""),IF(NOT(Talente!$O$19=""),"x",""),"")</f>
        <v/>
      </c>
      <c r="R160" t="s">
        <v>155</v>
      </c>
      <c r="S160" t="s">
        <v>1259</v>
      </c>
      <c r="T160" t="s">
        <v>1268</v>
      </c>
      <c r="U160">
        <v>3</v>
      </c>
      <c r="W160" t="str">
        <f t="shared" si="120"/>
        <v>1900 D</v>
      </c>
      <c r="X160">
        <v>19</v>
      </c>
      <c r="Z160" t="s">
        <v>3644</v>
      </c>
      <c r="AA160">
        <v>1</v>
      </c>
      <c r="AB160">
        <v>12</v>
      </c>
      <c r="AD160" t="s">
        <v>3995</v>
      </c>
      <c r="AH160" t="s">
        <v>3281</v>
      </c>
      <c r="AI160" t="s">
        <v>3281</v>
      </c>
      <c r="AS160" t="s">
        <v>3687</v>
      </c>
      <c r="AT160">
        <v>3</v>
      </c>
      <c r="BK160" t="s">
        <v>5551</v>
      </c>
      <c r="BL160">
        <v>10</v>
      </c>
      <c r="BM160">
        <v>9</v>
      </c>
      <c r="BN160">
        <v>10</v>
      </c>
      <c r="BO160">
        <v>5</v>
      </c>
      <c r="BP160" t="s">
        <v>5319</v>
      </c>
      <c r="BQ160">
        <v>2</v>
      </c>
      <c r="BR160">
        <v>18</v>
      </c>
      <c r="BS160">
        <v>2</v>
      </c>
      <c r="BT160">
        <v>6</v>
      </c>
      <c r="BU160">
        <v>80</v>
      </c>
      <c r="BW160">
        <v>3</v>
      </c>
      <c r="BY160" t="s">
        <v>4985</v>
      </c>
      <c r="BZ160" t="s">
        <v>4985</v>
      </c>
      <c r="CA160" t="s">
        <v>5550</v>
      </c>
      <c r="CD160" t="s">
        <v>326</v>
      </c>
      <c r="CE160" t="s">
        <v>4647</v>
      </c>
      <c r="CF160" t="s">
        <v>917</v>
      </c>
      <c r="CG160" t="s">
        <v>898</v>
      </c>
      <c r="CH160">
        <v>1</v>
      </c>
      <c r="CI160">
        <v>1</v>
      </c>
      <c r="CJ160" t="s">
        <v>905</v>
      </c>
      <c r="CK160" t="s">
        <v>1829</v>
      </c>
      <c r="CL160" t="s">
        <v>1825</v>
      </c>
      <c r="CN160" t="str">
        <f ca="1">IF(AND(ISERR(FIND($CK160,Talente!$CI$41)),ISNA(VLOOKUP($CK160,$AH$51:$AH$55,1))),IF(AND(ISERR(FIND($CL160,Talente!$CI$41)),ISNA(VLOOKUP($CL160,$AH$51:$AH$55,1))),$CM160,$CL160),$CK160)</f>
        <v>Zweihandschwerter/-säbel</v>
      </c>
      <c r="CU160" t="s">
        <v>7165</v>
      </c>
      <c r="CX160" t="s">
        <v>3154</v>
      </c>
      <c r="CY160" t="s">
        <v>76</v>
      </c>
      <c r="CZ160" t="s">
        <v>77</v>
      </c>
      <c r="DA160" t="s">
        <v>750</v>
      </c>
      <c r="DB160" t="s">
        <v>2042</v>
      </c>
      <c r="DC160" t="s">
        <v>7294</v>
      </c>
      <c r="DD160" t="s">
        <v>3141</v>
      </c>
      <c r="DE160" t="s">
        <v>1321</v>
      </c>
      <c r="DF160" t="s">
        <v>726</v>
      </c>
      <c r="DG160" t="s">
        <v>1956</v>
      </c>
      <c r="DH160" t="s">
        <v>6944</v>
      </c>
      <c r="DI160" t="s">
        <v>4343</v>
      </c>
      <c r="DJ160">
        <v>2</v>
      </c>
      <c r="DK160">
        <f t="shared" si="117"/>
        <v>481</v>
      </c>
      <c r="DL160">
        <f t="shared" si="118"/>
        <v>158</v>
      </c>
      <c r="DM160">
        <v>140</v>
      </c>
      <c r="DN160" t="str">
        <f t="shared" ca="1" si="104"/>
        <v/>
      </c>
      <c r="DO160" t="str">
        <f t="shared" ca="1" si="105"/>
        <v/>
      </c>
      <c r="DP160" t="str">
        <f t="shared" ca="1" si="106"/>
        <v/>
      </c>
      <c r="DQ160" t="str">
        <f>IF(EXACT(Zauber!$A$250,""),"",IF(EXACT(RIGHT(HLOOKUP(Zauber!$A$250,PROFMAGIE,$DK160,FALSE)),"H"),CONCATENATE($CX160,","),""))</f>
        <v/>
      </c>
      <c r="DR160" t="str">
        <f t="shared" si="107"/>
        <v/>
      </c>
      <c r="DS160" t="str">
        <f>IF(ZS_IAAK="Ja",IF(EXACT(RIGHT(HLOOKUP(Tabellen_Magie!$IK$1,PROFMAGIE,$DK160,FALSE)),"H"),CONCATENATE($CX160,","),""),"")</f>
        <v/>
      </c>
      <c r="DT160" t="str">
        <f>IF(ZS_IAAK="Ja",IF(NOT(DS160=""),"",IF(OR(EXACT(RIGHT(HLOOKUP(Tabellen_Magie!$IK$1,PROFMAGIE,$DK160,FALSE)),"B"),EXACT(HLOOKUP(Tabellen_Magie!$IK$1,PROFMAGIE,$DK160,FALSE),"")),"",CONCATENATE($CX160,","))),"")</f>
        <v/>
      </c>
      <c r="DU160" t="str">
        <f t="shared" si="108"/>
        <v/>
      </c>
      <c r="DW160" t="s">
        <v>1086</v>
      </c>
      <c r="DX160" t="s">
        <v>74</v>
      </c>
      <c r="DY160" t="s">
        <v>74</v>
      </c>
      <c r="DZ160" t="s">
        <v>77</v>
      </c>
      <c r="EA160" t="s">
        <v>2340</v>
      </c>
      <c r="EB160" t="s">
        <v>1197</v>
      </c>
      <c r="EC160" t="s">
        <v>8607</v>
      </c>
      <c r="ED160">
        <f t="shared" si="121"/>
        <v>300</v>
      </c>
      <c r="EE160" t="s">
        <v>3221</v>
      </c>
      <c r="EH160">
        <f t="shared" si="122"/>
        <v>6</v>
      </c>
      <c r="EI160">
        <v>300</v>
      </c>
      <c r="FD160" t="s">
        <v>2597</v>
      </c>
      <c r="FE160">
        <f>ROUND(FK160*IF(VT_AKADMAG,3/4,1)*IF(NT_ELFWELT,IF(FN160,1,1.5),1),0)</f>
        <v>200</v>
      </c>
      <c r="FF160">
        <f t="shared" ref="FF160:FF188" si="125">ROUND(FE160/50,0)</f>
        <v>4</v>
      </c>
      <c r="FK160">
        <f>IF(VT_HALBZBR,400,200)</f>
        <v>200</v>
      </c>
      <c r="FL160">
        <v>3</v>
      </c>
      <c r="FM160" t="b">
        <f t="shared" ca="1" si="123"/>
        <v>0</v>
      </c>
      <c r="FN160" t="b">
        <f t="shared" ca="1" si="124"/>
        <v>1</v>
      </c>
      <c r="GH160" t="s">
        <v>9338</v>
      </c>
      <c r="GI160" t="s">
        <v>3290</v>
      </c>
      <c r="GJ160">
        <v>3</v>
      </c>
      <c r="GK160" t="s">
        <v>4484</v>
      </c>
      <c r="GL160" t="s">
        <v>567</v>
      </c>
      <c r="GM160" t="s">
        <v>1980</v>
      </c>
      <c r="GN160" t="s">
        <v>1975</v>
      </c>
      <c r="GO160" t="s">
        <v>9314</v>
      </c>
      <c r="GP160">
        <v>123</v>
      </c>
      <c r="GR160">
        <f t="shared" si="111"/>
        <v>509</v>
      </c>
      <c r="GS160">
        <v>5</v>
      </c>
      <c r="GU160" t="str">
        <f t="shared" ca="1" si="112"/>
        <v/>
      </c>
      <c r="GV160" t="str">
        <f t="shared" ca="1" si="113"/>
        <v/>
      </c>
      <c r="GW160" t="str">
        <f t="shared" ca="1" si="114"/>
        <v/>
      </c>
      <c r="GX160" t="str">
        <f t="shared" ca="1" si="115"/>
        <v/>
      </c>
    </row>
    <row r="161" spans="1:206" x14ac:dyDescent="0.2">
      <c r="A161" t="s">
        <v>4682</v>
      </c>
      <c r="B161" t="s">
        <v>74</v>
      </c>
      <c r="C161" t="s">
        <v>76</v>
      </c>
      <c r="D161" t="s">
        <v>751</v>
      </c>
      <c r="E161" t="s">
        <v>339</v>
      </c>
      <c r="F161" t="str">
        <f ca="1">IF(G161="x",IF(MIN(Talente!$O$80,Talente!$O$105,Talente!$O$73,Talente!$O$49,Talente!$O$31)*2&gt;ROUND((Talente!$O$80+Talente!$O$105+Talente!$O$73+Talente!$O$49+Talente!$O$31)/5,0),ROUND((Talente!$O$80+Talente!$O$105+Talente!$O$73+Talente!$O$49+Talente!$O$31)/5,0),MIN(Talente!$O$80,Talente!$O$105,Talente!$O$73,Talente!$O$49,Talente!$O$31)*2),"")</f>
        <v/>
      </c>
      <c r="G161" t="str">
        <f ca="1">IF(NOT(Talente!$O$105=""),IF(NOT(Talente!$O$31=""),"x",""),"")</f>
        <v/>
      </c>
      <c r="W161" t="str">
        <f t="shared" si="120"/>
        <v>2000 D</v>
      </c>
      <c r="X161">
        <v>20</v>
      </c>
      <c r="Z161" t="s">
        <v>3645</v>
      </c>
      <c r="AA161">
        <v>1</v>
      </c>
      <c r="AB161">
        <v>12</v>
      </c>
      <c r="AD161" t="s">
        <v>3995</v>
      </c>
      <c r="AH161" t="s">
        <v>3282</v>
      </c>
      <c r="AI161" t="s">
        <v>3933</v>
      </c>
      <c r="AS161" t="s">
        <v>3688</v>
      </c>
      <c r="AT161">
        <v>3</v>
      </c>
      <c r="BK161" t="s">
        <v>5552</v>
      </c>
      <c r="BL161">
        <v>9</v>
      </c>
      <c r="BM161">
        <v>9</v>
      </c>
      <c r="BN161">
        <v>9</v>
      </c>
      <c r="BO161">
        <v>7</v>
      </c>
      <c r="BP161" t="s">
        <v>5319</v>
      </c>
      <c r="BQ161">
        <v>2</v>
      </c>
      <c r="BR161">
        <v>12</v>
      </c>
      <c r="BS161">
        <v>3</v>
      </c>
      <c r="BT161">
        <v>8</v>
      </c>
      <c r="BU161">
        <v>40</v>
      </c>
      <c r="BW161">
        <v>3</v>
      </c>
      <c r="BY161" t="s">
        <v>4985</v>
      </c>
      <c r="BZ161" t="s">
        <v>4985</v>
      </c>
      <c r="CA161" t="s">
        <v>5550</v>
      </c>
      <c r="CD161" t="s">
        <v>327</v>
      </c>
      <c r="CE161" t="s">
        <v>904</v>
      </c>
      <c r="CF161" t="s">
        <v>910</v>
      </c>
      <c r="CG161" t="s">
        <v>3233</v>
      </c>
      <c r="CH161">
        <v>-3</v>
      </c>
      <c r="CI161">
        <v>5</v>
      </c>
      <c r="CJ161" t="s">
        <v>899</v>
      </c>
      <c r="CK161" t="s">
        <v>3629</v>
      </c>
      <c r="CN161" t="str">
        <f ca="1">IF(AND(ISERR(FIND($CK161,Talente!$CI$41)),ISNA(VLOOKUP($CK161,$AH$51:$AH$55,1))),IF(AND(ISERR(FIND($CL161,Talente!$CI$41)),ISNA(VLOOKUP($CL161,$AH$51:$AH$55,1))),$CM161,$CL161),$CK161)</f>
        <v>Zweihand-Hiebwaffen</v>
      </c>
      <c r="CU161" t="s">
        <v>1798</v>
      </c>
      <c r="CX161" t="s">
        <v>8406</v>
      </c>
      <c r="CY161" t="s">
        <v>74</v>
      </c>
      <c r="CZ161" t="s">
        <v>77</v>
      </c>
      <c r="DA161" t="s">
        <v>77</v>
      </c>
      <c r="DC161" t="s">
        <v>7292</v>
      </c>
      <c r="DD161" t="s">
        <v>766</v>
      </c>
      <c r="DE161" t="s">
        <v>4484</v>
      </c>
      <c r="DF161" t="s">
        <v>1730</v>
      </c>
      <c r="DG161" t="s">
        <v>1955</v>
      </c>
      <c r="DH161" t="s">
        <v>8429</v>
      </c>
      <c r="DI161" t="s">
        <v>4519</v>
      </c>
      <c r="DJ161">
        <v>2</v>
      </c>
      <c r="DK161">
        <f t="shared" si="117"/>
        <v>482</v>
      </c>
      <c r="DL161">
        <f t="shared" si="118"/>
        <v>159</v>
      </c>
      <c r="DM161">
        <v>141</v>
      </c>
      <c r="DN161" t="str">
        <f t="shared" ca="1" si="104"/>
        <v/>
      </c>
      <c r="DO161" t="str">
        <f t="shared" ca="1" si="105"/>
        <v/>
      </c>
      <c r="DP161" t="str">
        <f t="shared" ca="1" si="106"/>
        <v/>
      </c>
      <c r="DQ161" t="str">
        <f>IF(EXACT(Zauber!$A$250,""),"",IF(EXACT(RIGHT(HLOOKUP(Zauber!$A$250,PROFMAGIE,$DK161,FALSE)),"H"),CONCATENATE($CX161,","),""))</f>
        <v/>
      </c>
      <c r="DR161" t="str">
        <f t="shared" si="107"/>
        <v/>
      </c>
      <c r="DS161" t="str">
        <f>IF(ZS_IAAK="Ja",IF(EXACT(RIGHT(HLOOKUP(Tabellen_Magie!$IK$1,PROFMAGIE,$DK161,FALSE)),"H"),CONCATENATE($CX161,","),""),"")</f>
        <v/>
      </c>
      <c r="DT161" t="str">
        <f>IF(ZS_IAAK="Ja",IF(NOT(DS161=""),"",IF(OR(EXACT(RIGHT(HLOOKUP(Tabellen_Magie!$IK$1,PROFMAGIE,$DK161,FALSE)),"B"),EXACT(HLOOKUP(Tabellen_Magie!$IK$1,PROFMAGIE,$DK161,FALSE),"")),"",CONCATENATE($CX161,","))),"")</f>
        <v/>
      </c>
      <c r="DU161" t="str">
        <f t="shared" si="108"/>
        <v/>
      </c>
      <c r="DW161" t="s">
        <v>1084</v>
      </c>
      <c r="DX161" t="s">
        <v>74</v>
      </c>
      <c r="DY161" t="s">
        <v>76</v>
      </c>
      <c r="DZ161" t="s">
        <v>77</v>
      </c>
      <c r="EB161" t="s">
        <v>8608</v>
      </c>
      <c r="EC161" t="s">
        <v>4565</v>
      </c>
      <c r="ED161">
        <f t="shared" si="121"/>
        <v>75</v>
      </c>
      <c r="EE161" t="s">
        <v>3221</v>
      </c>
      <c r="EH161">
        <f t="shared" si="122"/>
        <v>2</v>
      </c>
      <c r="EI161">
        <v>75</v>
      </c>
      <c r="FD161" t="s">
        <v>2598</v>
      </c>
      <c r="FE161">
        <f>ROUND(FK161*IF(VT_AKADMAG,3/4,1)*IF(NT_ELFWELT,IF(FN161,1,1.5),1),0)</f>
        <v>200</v>
      </c>
      <c r="FF161">
        <f t="shared" si="125"/>
        <v>4</v>
      </c>
      <c r="FK161">
        <v>200</v>
      </c>
      <c r="FL161">
        <v>2</v>
      </c>
      <c r="FM161" t="b">
        <f t="shared" ca="1" si="123"/>
        <v>0</v>
      </c>
      <c r="FN161" t="b">
        <f t="shared" ca="1" si="124"/>
        <v>0</v>
      </c>
      <c r="GH161" t="s">
        <v>3533</v>
      </c>
      <c r="GI161" t="s">
        <v>3290</v>
      </c>
      <c r="GJ161">
        <v>3</v>
      </c>
      <c r="GK161" t="s">
        <v>4116</v>
      </c>
      <c r="GL161" t="s">
        <v>567</v>
      </c>
      <c r="GM161" t="s">
        <v>1982</v>
      </c>
      <c r="GN161" t="s">
        <v>1690</v>
      </c>
      <c r="GO161">
        <v>259</v>
      </c>
      <c r="GP161">
        <v>320</v>
      </c>
      <c r="GR161">
        <f t="shared" si="111"/>
        <v>510</v>
      </c>
      <c r="GU161" t="str">
        <f t="shared" ca="1" si="112"/>
        <v/>
      </c>
      <c r="GV161" t="str">
        <f t="shared" ca="1" si="113"/>
        <v/>
      </c>
      <c r="GW161" t="str">
        <f t="shared" ca="1" si="114"/>
        <v/>
      </c>
      <c r="GX161" t="str">
        <f t="shared" ca="1" si="115"/>
        <v/>
      </c>
    </row>
    <row r="162" spans="1:206" x14ac:dyDescent="0.2">
      <c r="A162" t="s">
        <v>4683</v>
      </c>
      <c r="B162" t="s">
        <v>74</v>
      </c>
      <c r="C162" t="s">
        <v>76</v>
      </c>
      <c r="D162" t="s">
        <v>751</v>
      </c>
      <c r="E162" t="s">
        <v>339</v>
      </c>
      <c r="F162" t="str">
        <f ca="1">IF(G162="x",IF(MIN(Talente!$O$80,Talente!$O$105,Talente!$O$73,Talente!$O$49,Talente!$O$35)*2&gt;ROUND((Talente!$O$80+Talente!$O$105+Talente!$O$73+Talente!$O$49+Talente!$O$35)/5,0),ROUND((Talente!$O$80+Talente!$O$105+Talente!$O$73+Talente!$O$49+Talente!$O$35)/5,0),MIN(Talente!$O$80,Talente!$O$105,Talente!$O$73,Talente!$O$49,Talente!$O$35)*2),"")</f>
        <v/>
      </c>
      <c r="G162" t="str">
        <f ca="1">IF(NOT(Talente!$O$105=""),IF(NOT(Talente!$O$35=""),"x",""),"")</f>
        <v/>
      </c>
      <c r="Z162" t="s">
        <v>4083</v>
      </c>
      <c r="AA162">
        <v>0.5</v>
      </c>
      <c r="AB162">
        <v>12</v>
      </c>
      <c r="AD162" t="s">
        <v>3995</v>
      </c>
      <c r="AH162" t="s">
        <v>2681</v>
      </c>
      <c r="AI162" t="s">
        <v>7216</v>
      </c>
      <c r="AS162" t="s">
        <v>3689</v>
      </c>
      <c r="AT162">
        <v>3</v>
      </c>
      <c r="BK162" t="s">
        <v>5553</v>
      </c>
      <c r="CD162" t="s">
        <v>7175</v>
      </c>
      <c r="CE162" t="s">
        <v>904</v>
      </c>
      <c r="CF162" t="s">
        <v>275</v>
      </c>
      <c r="CG162" t="s">
        <v>3233</v>
      </c>
      <c r="CH162">
        <v>-3</v>
      </c>
      <c r="CI162">
        <v>5</v>
      </c>
      <c r="CJ162" t="s">
        <v>899</v>
      </c>
      <c r="CK162" t="s">
        <v>2190</v>
      </c>
      <c r="CN162" t="str">
        <f ca="1">IF(AND(ISERR(FIND($CK162,Talente!$CI$41)),ISNA(VLOOKUP($CK162,$AH$51:$AH$55,1))),IF(AND(ISERR(FIND($CL162,Talente!$CI$41)),ISNA(VLOOKUP($CL162,$AH$51:$AH$55,1))),$CM162,$CL162),$CK162)</f>
        <v>Hiebwaffen</v>
      </c>
      <c r="CU162" t="s">
        <v>7577</v>
      </c>
      <c r="CX162" t="s">
        <v>3155</v>
      </c>
      <c r="CY162" t="s">
        <v>76</v>
      </c>
      <c r="CZ162" t="s">
        <v>76</v>
      </c>
      <c r="DA162" t="s">
        <v>77</v>
      </c>
      <c r="DC162" t="s">
        <v>7297</v>
      </c>
      <c r="DD162" t="s">
        <v>3138</v>
      </c>
      <c r="DE162" t="s">
        <v>2164</v>
      </c>
      <c r="DF162" t="s">
        <v>2685</v>
      </c>
      <c r="DG162" t="s">
        <v>1956</v>
      </c>
      <c r="DH162" t="s">
        <v>6944</v>
      </c>
      <c r="DI162" t="s">
        <v>4347</v>
      </c>
      <c r="DJ162">
        <v>2</v>
      </c>
      <c r="DK162">
        <f t="shared" si="117"/>
        <v>483</v>
      </c>
      <c r="DL162">
        <f t="shared" si="118"/>
        <v>160</v>
      </c>
      <c r="DM162">
        <v>142</v>
      </c>
      <c r="DN162" t="str">
        <f t="shared" ca="1" si="104"/>
        <v/>
      </c>
      <c r="DO162" t="str">
        <f t="shared" ca="1" si="105"/>
        <v/>
      </c>
      <c r="DP162" t="str">
        <f t="shared" ca="1" si="106"/>
        <v/>
      </c>
      <c r="DQ162" t="str">
        <f>IF(EXACT(Zauber!$A$250,""),"",IF(EXACT(RIGHT(HLOOKUP(Zauber!$A$250,PROFMAGIE,$DK162,FALSE)),"H"),CONCATENATE($CX162,","),""))</f>
        <v/>
      </c>
      <c r="DR162" t="str">
        <f t="shared" si="107"/>
        <v/>
      </c>
      <c r="DS162" t="str">
        <f>IF(ZS_IAAK="Ja",IF(EXACT(RIGHT(HLOOKUP(Tabellen_Magie!$IK$1,PROFMAGIE,$DK162,FALSE)),"H"),CONCATENATE($CX162,","),""),"")</f>
        <v/>
      </c>
      <c r="DT162" t="str">
        <f>IF(ZS_IAAK="Ja",IF(NOT(DS162=""),"",IF(OR(EXACT(RIGHT(HLOOKUP(Tabellen_Magie!$IK$1,PROFMAGIE,$DK162,FALSE)),"B"),EXACT(HLOOKUP(Tabellen_Magie!$IK$1,PROFMAGIE,$DK162,FALSE),"")),"",CONCATENATE($CX162,","))),"")</f>
        <v/>
      </c>
      <c r="DU162" t="str">
        <f t="shared" si="108"/>
        <v/>
      </c>
      <c r="DW162" t="s">
        <v>1087</v>
      </c>
      <c r="DX162" t="s">
        <v>74</v>
      </c>
      <c r="DY162" t="s">
        <v>5030</v>
      </c>
      <c r="DZ162" t="s">
        <v>77</v>
      </c>
      <c r="EA162" t="s">
        <v>2989</v>
      </c>
      <c r="EB162" t="s">
        <v>8609</v>
      </c>
      <c r="EC162" t="s">
        <v>8610</v>
      </c>
      <c r="ED162">
        <f t="shared" si="121"/>
        <v>125</v>
      </c>
      <c r="EE162" t="s">
        <v>3221</v>
      </c>
      <c r="EH162">
        <f t="shared" si="122"/>
        <v>3</v>
      </c>
      <c r="EI162">
        <v>125</v>
      </c>
      <c r="FD162" t="s">
        <v>1853</v>
      </c>
      <c r="FE162">
        <f>ROUND(FK162*IF(NT_ELFWELT,IF(FN162,1,1.5),1),0)</f>
        <v>250</v>
      </c>
      <c r="FF162">
        <f t="shared" si="125"/>
        <v>5</v>
      </c>
      <c r="FK162">
        <v>250</v>
      </c>
      <c r="FL162">
        <v>2</v>
      </c>
      <c r="FM162" t="b">
        <f t="shared" ca="1" si="123"/>
        <v>0</v>
      </c>
      <c r="FN162" t="b">
        <f t="shared" ca="1" si="124"/>
        <v>0</v>
      </c>
      <c r="GH162" t="s">
        <v>9339</v>
      </c>
      <c r="GI162" t="s">
        <v>3290</v>
      </c>
      <c r="GJ162">
        <v>3</v>
      </c>
      <c r="GK162" t="s">
        <v>1320</v>
      </c>
      <c r="GL162" t="s">
        <v>1976</v>
      </c>
      <c r="GM162" t="s">
        <v>1982</v>
      </c>
      <c r="GN162" t="s">
        <v>1690</v>
      </c>
      <c r="GO162" t="s">
        <v>9314</v>
      </c>
      <c r="GP162">
        <v>127</v>
      </c>
      <c r="GR162">
        <f t="shared" si="111"/>
        <v>511</v>
      </c>
      <c r="GU162" t="str">
        <f t="shared" ca="1" si="112"/>
        <v/>
      </c>
      <c r="GV162" t="str">
        <f t="shared" ca="1" si="113"/>
        <v/>
      </c>
      <c r="GW162" t="str">
        <f t="shared" ca="1" si="114"/>
        <v/>
      </c>
      <c r="GX162" t="str">
        <f t="shared" ca="1" si="115"/>
        <v/>
      </c>
    </row>
    <row r="163" spans="1:206" ht="16.5" customHeight="1" x14ac:dyDescent="0.2">
      <c r="A163" t="s">
        <v>7285</v>
      </c>
      <c r="B163" t="s">
        <v>74</v>
      </c>
      <c r="C163" t="s">
        <v>76</v>
      </c>
      <c r="D163" t="s">
        <v>751</v>
      </c>
      <c r="E163" t="s">
        <v>339</v>
      </c>
      <c r="F163" t="str">
        <f ca="1">IF(G163="x",IF(MIN(Talente!$O$80,Talente!$O$105,Talente!$O$73,Talente!$O$49,Talente!$O$36)*2&gt;ROUND((Talente!$O$80+Talente!$O$105+Talente!$O$73+Talente!$O$49+Talente!$O$36)/5,0),ROUND((Talente!$O$80+Talente!$O$105+Talente!$O$73+Talente!$O$49+Talente!$O$36)/5,0),MIN(Talente!$O$80,Talente!$O$105,Talente!$O$73,Talente!$O$49,Talente!$O$36)*2),"")</f>
        <v/>
      </c>
      <c r="G163" t="str">
        <f ca="1">IF(NOT(Talente!$O$105=""),IF(NOT(Talente!$O$36=""),"x",""),"")</f>
        <v/>
      </c>
      <c r="Z163" t="s">
        <v>4084</v>
      </c>
      <c r="AC163">
        <v>10</v>
      </c>
      <c r="AH163" t="s">
        <v>3283</v>
      </c>
      <c r="AI163" t="s">
        <v>7217</v>
      </c>
      <c r="AS163" t="s">
        <v>3691</v>
      </c>
      <c r="AT163">
        <v>3</v>
      </c>
      <c r="BK163" t="s">
        <v>5554</v>
      </c>
      <c r="BL163">
        <v>8</v>
      </c>
      <c r="BM163">
        <v>9</v>
      </c>
      <c r="BN163">
        <v>12</v>
      </c>
      <c r="BO163">
        <v>11</v>
      </c>
      <c r="BP163" t="s">
        <v>4558</v>
      </c>
      <c r="BQ163">
        <v>2</v>
      </c>
      <c r="BR163" t="s">
        <v>5555</v>
      </c>
      <c r="BS163">
        <v>0</v>
      </c>
      <c r="BT163">
        <v>15</v>
      </c>
      <c r="BU163">
        <v>35</v>
      </c>
      <c r="BW163">
        <v>0</v>
      </c>
      <c r="BY163" t="s">
        <v>4985</v>
      </c>
      <c r="BZ163" t="s">
        <v>4985</v>
      </c>
      <c r="CA163" t="s">
        <v>5556</v>
      </c>
      <c r="CD163" t="s">
        <v>328</v>
      </c>
      <c r="CE163" t="s">
        <v>375</v>
      </c>
      <c r="CF163" t="s">
        <v>4552</v>
      </c>
      <c r="CG163" t="s">
        <v>3234</v>
      </c>
      <c r="CH163">
        <v>-2</v>
      </c>
      <c r="CI163">
        <v>6</v>
      </c>
      <c r="CJ163" t="s">
        <v>4001</v>
      </c>
      <c r="CK163" t="s">
        <v>1957</v>
      </c>
      <c r="CN163" t="str">
        <f ca="1">IF(AND(ISERR(FIND($CK163,Talente!$CI$41)),ISNA(VLOOKUP($CK163,$AH$51:$AH$55,1))),IF(AND(ISERR(FIND($CL163,Talente!$CI$41)),ISNA(VLOOKUP($CL163,$AH$51:$AH$55,1))),$CM163,$CL163),$CK163)</f>
        <v>Dolche</v>
      </c>
      <c r="CU163" t="s">
        <v>2790</v>
      </c>
      <c r="CX163" t="s">
        <v>3156</v>
      </c>
      <c r="CY163" t="s">
        <v>74</v>
      </c>
      <c r="CZ163" t="s">
        <v>75</v>
      </c>
      <c r="DA163" t="s">
        <v>76</v>
      </c>
      <c r="DC163" t="s">
        <v>2456</v>
      </c>
      <c r="DD163" t="s">
        <v>2165</v>
      </c>
      <c r="DE163" t="s">
        <v>2166</v>
      </c>
      <c r="DF163" t="s">
        <v>1358</v>
      </c>
      <c r="DG163" t="s">
        <v>1828</v>
      </c>
      <c r="DH163" t="s">
        <v>6945</v>
      </c>
      <c r="DI163" t="s">
        <v>3504</v>
      </c>
      <c r="DJ163">
        <v>2</v>
      </c>
      <c r="DK163">
        <f t="shared" si="117"/>
        <v>484</v>
      </c>
      <c r="DL163">
        <f t="shared" si="118"/>
        <v>161</v>
      </c>
      <c r="DM163">
        <v>143</v>
      </c>
      <c r="DN163" t="str">
        <f t="shared" ca="1" si="104"/>
        <v/>
      </c>
      <c r="DO163" t="str">
        <f t="shared" ca="1" si="105"/>
        <v/>
      </c>
      <c r="DP163" t="str">
        <f t="shared" ca="1" si="106"/>
        <v/>
      </c>
      <c r="DQ163" t="str">
        <f>IF(EXACT(Zauber!$A$250,""),"",IF(EXACT(RIGHT(HLOOKUP(Zauber!$A$250,PROFMAGIE,$DK163,FALSE)),"H"),CONCATENATE($CX163,","),""))</f>
        <v/>
      </c>
      <c r="DR163" t="str">
        <f t="shared" si="107"/>
        <v/>
      </c>
      <c r="DS163" t="str">
        <f>IF(ZS_IAAK="Ja",IF(EXACT(RIGHT(HLOOKUP(Tabellen_Magie!$IK$1,PROFMAGIE,$DK163,FALSE)),"H"),CONCATENATE($CX163,","),""),"")</f>
        <v/>
      </c>
      <c r="DT163" t="str">
        <f>IF(ZS_IAAK="Ja",IF(NOT(DS163=""),"",IF(OR(EXACT(RIGHT(HLOOKUP(Tabellen_Magie!$IK$1,PROFMAGIE,$DK163,FALSE)),"B"),EXACT(HLOOKUP(Tabellen_Magie!$IK$1,PROFMAGIE,$DK163,FALSE),"")),"",CONCATENATE($CX163,","))),"")</f>
        <v/>
      </c>
      <c r="DU163" t="str">
        <f t="shared" si="108"/>
        <v/>
      </c>
      <c r="DW163" t="s">
        <v>3442</v>
      </c>
      <c r="DX163" t="s">
        <v>76</v>
      </c>
      <c r="DY163" t="s">
        <v>77</v>
      </c>
      <c r="DZ163" t="s">
        <v>5030</v>
      </c>
      <c r="EA163" t="s">
        <v>8611</v>
      </c>
      <c r="EB163" t="s">
        <v>8612</v>
      </c>
      <c r="EC163" t="s">
        <v>1443</v>
      </c>
      <c r="ED163">
        <f t="shared" si="121"/>
        <v>150</v>
      </c>
      <c r="EE163" t="s">
        <v>3221</v>
      </c>
      <c r="EH163">
        <f t="shared" si="122"/>
        <v>3</v>
      </c>
      <c r="EI163">
        <v>150</v>
      </c>
      <c r="FD163" t="s">
        <v>2599</v>
      </c>
      <c r="FE163">
        <f>IF(PROFGEBGENE="Magie",ROUND(IF(VT_AKADMAG,FK163*3/4,FK163),0),50)</f>
        <v>50</v>
      </c>
      <c r="FF163">
        <f t="shared" si="125"/>
        <v>1</v>
      </c>
      <c r="FK163">
        <v>200</v>
      </c>
      <c r="FL163">
        <v>4</v>
      </c>
      <c r="FM163" t="b">
        <f t="shared" ca="1" si="123"/>
        <v>0</v>
      </c>
      <c r="FN163" t="b">
        <f t="shared" ca="1" si="124"/>
        <v>0</v>
      </c>
      <c r="GH163" t="s">
        <v>1106</v>
      </c>
      <c r="GI163" t="s">
        <v>3290</v>
      </c>
      <c r="GJ163">
        <v>3</v>
      </c>
      <c r="GK163" t="s">
        <v>122</v>
      </c>
      <c r="GL163" t="s">
        <v>1977</v>
      </c>
      <c r="GM163" t="s">
        <v>3961</v>
      </c>
      <c r="GN163" t="s">
        <v>1690</v>
      </c>
      <c r="GO163">
        <v>276</v>
      </c>
      <c r="GP163">
        <v>130</v>
      </c>
      <c r="GR163">
        <f t="shared" si="111"/>
        <v>512</v>
      </c>
      <c r="GU163" t="str">
        <f t="shared" ca="1" si="112"/>
        <v/>
      </c>
      <c r="GV163" t="str">
        <f t="shared" ca="1" si="113"/>
        <v/>
      </c>
      <c r="GW163" t="str">
        <f t="shared" ca="1" si="114"/>
        <v/>
      </c>
      <c r="GX163" t="str">
        <f t="shared" ca="1" si="115"/>
        <v/>
      </c>
    </row>
    <row r="164" spans="1:206" x14ac:dyDescent="0.2">
      <c r="A164" t="s">
        <v>1791</v>
      </c>
      <c r="B164" t="s">
        <v>74</v>
      </c>
      <c r="C164" t="s">
        <v>76</v>
      </c>
      <c r="D164" t="s">
        <v>751</v>
      </c>
      <c r="E164" t="s">
        <v>339</v>
      </c>
      <c r="F164" t="str">
        <f ca="1">IF(G164="x",IF(MIN(Talente!$O$80,Talente!$O$105,Talente!$O$73,Talente!$O$49,Talente!$O$37)*2&gt;ROUND((Talente!$O$80+Talente!$O$105+Talente!$O$73+Talente!$O$49+Talente!$O$37)/5,0),ROUND((Talente!$O$80+Talente!$O$105+Talente!$O$73+Talente!$O$49+Talente!$O$37)/5,0),MIN(Talente!$O$80,Talente!$O$105,Talente!$O$73,Talente!$O$49,Talente!$O$37)*2),"")</f>
        <v/>
      </c>
      <c r="G164" t="str">
        <f ca="1">IF(NOT(Talente!$O$105=""),IF(NOT(Talente!$O$37=""),"x",""),"")</f>
        <v/>
      </c>
      <c r="W164" t="s">
        <v>4769</v>
      </c>
      <c r="X164" t="s">
        <v>1783</v>
      </c>
      <c r="Z164" t="s">
        <v>1390</v>
      </c>
      <c r="AC164">
        <v>5</v>
      </c>
      <c r="AE164" t="s">
        <v>2070</v>
      </c>
      <c r="AH164" t="s">
        <v>1248</v>
      </c>
      <c r="AI164" t="s">
        <v>7218</v>
      </c>
      <c r="AS164" t="s">
        <v>3692</v>
      </c>
      <c r="AT164">
        <v>3</v>
      </c>
      <c r="BK164" t="s">
        <v>5557</v>
      </c>
      <c r="BL164">
        <v>10</v>
      </c>
      <c r="BM164">
        <v>9</v>
      </c>
      <c r="BN164">
        <v>12</v>
      </c>
      <c r="BO164">
        <v>11</v>
      </c>
      <c r="BP164" t="s">
        <v>4558</v>
      </c>
      <c r="BQ164">
        <v>2</v>
      </c>
      <c r="BR164" t="s">
        <v>5555</v>
      </c>
      <c r="BS164">
        <v>0</v>
      </c>
      <c r="BT164">
        <v>15</v>
      </c>
      <c r="BU164">
        <v>35</v>
      </c>
      <c r="BW164">
        <v>0</v>
      </c>
      <c r="BY164" t="s">
        <v>4985</v>
      </c>
      <c r="BZ164" t="s">
        <v>4985</v>
      </c>
      <c r="CA164" t="s">
        <v>5556</v>
      </c>
      <c r="CD164" t="s">
        <v>329</v>
      </c>
      <c r="CE164" t="s">
        <v>916</v>
      </c>
      <c r="CF164" t="s">
        <v>4552</v>
      </c>
      <c r="CG164" t="s">
        <v>3236</v>
      </c>
      <c r="CH164">
        <v>-2</v>
      </c>
      <c r="CI164">
        <v>2</v>
      </c>
      <c r="CJ164" t="s">
        <v>4001</v>
      </c>
      <c r="CK164" t="s">
        <v>1957</v>
      </c>
      <c r="CL164" t="s">
        <v>2192</v>
      </c>
      <c r="CN164" t="str">
        <f ca="1">IF(AND(ISERR(FIND($CK164,Talente!$CI$41)),ISNA(VLOOKUP($CK164,$AH$51:$AH$55,1))),IF(AND(ISERR(FIND($CL164,Talente!$CI$41)),ISNA(VLOOKUP($CL164,$AH$51:$AH$55,1))),$CM164,$CL164),$CK164)</f>
        <v>Dolche</v>
      </c>
      <c r="CU164" t="s">
        <v>2614</v>
      </c>
      <c r="CX164" t="s">
        <v>5033</v>
      </c>
      <c r="CY164" t="s">
        <v>74</v>
      </c>
      <c r="CZ164" t="s">
        <v>74</v>
      </c>
      <c r="DA164" t="s">
        <v>77</v>
      </c>
      <c r="DC164" t="s">
        <v>7290</v>
      </c>
      <c r="DD164" t="s">
        <v>2167</v>
      </c>
      <c r="DE164" t="s">
        <v>3380</v>
      </c>
      <c r="DF164" t="s">
        <v>1246</v>
      </c>
      <c r="DG164" t="s">
        <v>1956</v>
      </c>
      <c r="DH164" t="s">
        <v>6946</v>
      </c>
      <c r="DI164" t="s">
        <v>3354</v>
      </c>
      <c r="DJ164">
        <v>2</v>
      </c>
      <c r="DK164">
        <f t="shared" si="117"/>
        <v>485</v>
      </c>
      <c r="DL164">
        <f t="shared" si="118"/>
        <v>162</v>
      </c>
      <c r="DM164">
        <v>144</v>
      </c>
      <c r="DN164" t="str">
        <f t="shared" ca="1" si="104"/>
        <v/>
      </c>
      <c r="DO164" t="str">
        <f t="shared" ca="1" si="105"/>
        <v/>
      </c>
      <c r="DP164" t="str">
        <f t="shared" ca="1" si="106"/>
        <v/>
      </c>
      <c r="DQ164" t="str">
        <f>IF(EXACT(Zauber!$A$250,""),"",IF(EXACT(RIGHT(HLOOKUP(Zauber!$A$250,PROFMAGIE,$DK164,FALSE)),"H"),CONCATENATE($CX164,","),""))</f>
        <v/>
      </c>
      <c r="DR164" t="str">
        <f t="shared" si="107"/>
        <v/>
      </c>
      <c r="DS164" t="str">
        <f>IF(ZS_IAAK="Ja",IF(EXACT(RIGHT(HLOOKUP(Tabellen_Magie!$IK$1,PROFMAGIE,$DK164,FALSE)),"H"),CONCATENATE($CX164,","),""),"")</f>
        <v/>
      </c>
      <c r="DT164" t="str">
        <f>IF(ZS_IAAK="Ja",IF(NOT(DS164=""),"",IF(OR(EXACT(RIGHT(HLOOKUP(Tabellen_Magie!$IK$1,PROFMAGIE,$DK164,FALSE)),"B"),EXACT(HLOOKUP(Tabellen_Magie!$IK$1,PROFMAGIE,$DK164,FALSE),"")),"",CONCATENATE($CX164,","))),"")</f>
        <v/>
      </c>
      <c r="DU164" t="str">
        <f t="shared" si="108"/>
        <v/>
      </c>
      <c r="DW164" t="s">
        <v>1082</v>
      </c>
      <c r="DX164" t="s">
        <v>75</v>
      </c>
      <c r="DY164" t="s">
        <v>76</v>
      </c>
      <c r="DZ164" t="s">
        <v>76</v>
      </c>
      <c r="EA164" t="s">
        <v>1613</v>
      </c>
      <c r="EB164" t="s">
        <v>81</v>
      </c>
      <c r="EC164" t="s">
        <v>1577</v>
      </c>
      <c r="ED164">
        <f t="shared" si="121"/>
        <v>300</v>
      </c>
      <c r="EE164" t="s">
        <v>3221</v>
      </c>
      <c r="EH164">
        <f t="shared" si="122"/>
        <v>6</v>
      </c>
      <c r="EI164">
        <v>300</v>
      </c>
      <c r="FD164" t="s">
        <v>8812</v>
      </c>
      <c r="FE164">
        <f>IF(PROFGEBGENE="Magie",ROUND(IF(VT_AKADMAG,FK164*3/4,FK164),0),50)</f>
        <v>50</v>
      </c>
      <c r="FF164">
        <f>ROUND(FE164/50,0)</f>
        <v>1</v>
      </c>
      <c r="FK164">
        <v>100</v>
      </c>
      <c r="FL164">
        <v>2</v>
      </c>
      <c r="FM164" t="b">
        <f ca="1">IF(OR(IF(NOT(ISNA(VLOOKUP(FD164,SF_Verbilligt_Left,3,FALSE))),VLOOKUP(FD164,SF_Verbilligt_Left,3,FALSE)="x",FALSE),IF(NOT(ISNA(VLOOKUP(FD164,SF_Verbilligt_Right,8,FALSE))),VLOOKUP(FD164,SF_Verbilligt_Right,8,FALSE)="x",FALSE)),TRUE,FALSE)</f>
        <v>0</v>
      </c>
      <c r="FN164" t="b">
        <f ca="1">OR(FM164,NOT(ISERROR(FIND(FD164,$FN$3,1))))</f>
        <v>0</v>
      </c>
      <c r="GH164" t="s">
        <v>1107</v>
      </c>
      <c r="GI164" t="s">
        <v>3290</v>
      </c>
      <c r="GJ164">
        <v>3</v>
      </c>
      <c r="GK164" t="s">
        <v>4529</v>
      </c>
      <c r="GL164" t="s">
        <v>1977</v>
      </c>
      <c r="GM164" t="s">
        <v>1984</v>
      </c>
      <c r="GN164" t="s">
        <v>1690</v>
      </c>
      <c r="GO164">
        <v>263</v>
      </c>
      <c r="GP164">
        <v>131</v>
      </c>
      <c r="GR164">
        <f t="shared" si="111"/>
        <v>513</v>
      </c>
      <c r="GU164" t="str">
        <f t="shared" ca="1" si="112"/>
        <v/>
      </c>
      <c r="GV164" t="str">
        <f t="shared" ca="1" si="113"/>
        <v/>
      </c>
      <c r="GW164" t="str">
        <f t="shared" ca="1" si="114"/>
        <v/>
      </c>
      <c r="GX164" t="str">
        <f t="shared" ca="1" si="115"/>
        <v/>
      </c>
    </row>
    <row r="165" spans="1:206" x14ac:dyDescent="0.2">
      <c r="A165" t="s">
        <v>2161</v>
      </c>
      <c r="B165" t="s">
        <v>74</v>
      </c>
      <c r="C165" t="s">
        <v>76</v>
      </c>
      <c r="D165" t="s">
        <v>751</v>
      </c>
      <c r="E165" t="s">
        <v>339</v>
      </c>
      <c r="F165" t="str">
        <f ca="1">IF(G165="x",IF(MIN(Talente!$O$80,Talente!$O$105,Talente!$O$73,Talente!$O$52,Talente!$O$15)*2&gt;ROUND((Talente!$O$80+Talente!$O$105+Talente!$O$73+Talente!$O$52+Talente!$O$15)/5,0),ROUND((Talente!$O$80+Talente!$O$105+Talente!$O$73+Talente!$O$52+Talente!$O$15)/5,0),MIN(Talente!$O$80,Talente!$O$105,Talente!$O$73,Talente!$O$52,Talente!$O$15)*2),"")</f>
        <v/>
      </c>
      <c r="G165" t="str">
        <f ca="1">IF(NOT(Talente!$O$105=""),IF(NOT(Talente!$O$15=""),"x",""),"")</f>
        <v/>
      </c>
      <c r="W165" t="s">
        <v>4483</v>
      </c>
      <c r="X165">
        <f>IF(VT_ADLIGERBE,0,IF(OR(VT_ADLIGABST,VT_ADLIG),IF(OR(VT_VETERAN,VT_BBILDUNG),2,3),IF(OR(VT_VETERAN,VT_BBILDUNG),5,7)))</f>
        <v>7</v>
      </c>
      <c r="Z165" t="s">
        <v>7107</v>
      </c>
      <c r="AA165">
        <v>1</v>
      </c>
      <c r="AB165">
        <v>12</v>
      </c>
      <c r="AD165" t="s">
        <v>3995</v>
      </c>
      <c r="AH165" t="s">
        <v>2683</v>
      </c>
      <c r="AI165" t="s">
        <v>7219</v>
      </c>
      <c r="AS165" t="s">
        <v>3693</v>
      </c>
      <c r="AT165">
        <v>3</v>
      </c>
      <c r="BK165" t="s">
        <v>5558</v>
      </c>
      <c r="BL165">
        <v>10</v>
      </c>
      <c r="BM165">
        <v>9</v>
      </c>
      <c r="BN165">
        <v>12</v>
      </c>
      <c r="BO165">
        <v>11</v>
      </c>
      <c r="BP165" t="s">
        <v>4558</v>
      </c>
      <c r="BQ165">
        <v>2</v>
      </c>
      <c r="BR165" t="s">
        <v>5555</v>
      </c>
      <c r="BS165">
        <v>0</v>
      </c>
      <c r="BT165">
        <v>15</v>
      </c>
      <c r="BU165">
        <v>35</v>
      </c>
      <c r="BW165">
        <v>0</v>
      </c>
      <c r="BY165" t="s">
        <v>4985</v>
      </c>
      <c r="BZ165" t="s">
        <v>4985</v>
      </c>
      <c r="CA165" t="s">
        <v>5556</v>
      </c>
      <c r="CD165" t="s">
        <v>330</v>
      </c>
      <c r="CE165" t="s">
        <v>4647</v>
      </c>
      <c r="CF165" t="s">
        <v>275</v>
      </c>
      <c r="CG165" t="s">
        <v>908</v>
      </c>
      <c r="CH165">
        <v>-1</v>
      </c>
      <c r="CI165">
        <v>2</v>
      </c>
      <c r="CJ165" t="s">
        <v>905</v>
      </c>
      <c r="CK165" t="s">
        <v>3044</v>
      </c>
      <c r="CL165" t="s">
        <v>3629</v>
      </c>
      <c r="CN165" t="str">
        <f ca="1">IF(AND(ISERR(FIND($CK165,Talente!$CI$41)),ISNA(VLOOKUP($CK165,$AH$51:$AH$55,1))),IF(AND(ISERR(FIND($CL165,Talente!$CI$41)),ISNA(VLOOKUP($CL165,$AH$51:$AH$55,1))),$CM165,$CL165),$CK165)</f>
        <v>Infanteriewaffen</v>
      </c>
      <c r="CU165" t="s">
        <v>3493</v>
      </c>
      <c r="CX165" t="s">
        <v>5034</v>
      </c>
      <c r="CY165" t="s">
        <v>75</v>
      </c>
      <c r="CZ165" t="s">
        <v>5030</v>
      </c>
      <c r="DA165" t="s">
        <v>752</v>
      </c>
      <c r="DC165" t="s">
        <v>7288</v>
      </c>
      <c r="DD165" t="s">
        <v>836</v>
      </c>
      <c r="DE165" t="s">
        <v>2254</v>
      </c>
      <c r="DF165" t="s">
        <v>1617</v>
      </c>
      <c r="DG165" t="s">
        <v>1955</v>
      </c>
      <c r="DH165" t="s">
        <v>6947</v>
      </c>
      <c r="DI165" t="s">
        <v>551</v>
      </c>
      <c r="DJ165">
        <v>2</v>
      </c>
      <c r="DK165">
        <f t="shared" si="117"/>
        <v>486</v>
      </c>
      <c r="DL165">
        <f t="shared" si="118"/>
        <v>163</v>
      </c>
      <c r="DM165">
        <v>145</v>
      </c>
      <c r="DN165" t="str">
        <f t="shared" ca="1" si="104"/>
        <v/>
      </c>
      <c r="DO165" t="str">
        <f t="shared" ca="1" si="105"/>
        <v/>
      </c>
      <c r="DP165" t="str">
        <f t="shared" ca="1" si="106"/>
        <v/>
      </c>
      <c r="DQ165" t="str">
        <f>IF(EXACT(Zauber!$A$250,""),"",IF(EXACT(RIGHT(HLOOKUP(Zauber!$A$250,PROFMAGIE,$DK165,FALSE)),"H"),CONCATENATE($CX165,","),""))</f>
        <v/>
      </c>
      <c r="DR165" t="str">
        <f t="shared" si="107"/>
        <v/>
      </c>
      <c r="DS165" t="str">
        <f>IF(ZS_IAAK="Ja",IF(EXACT(RIGHT(HLOOKUP(Tabellen_Magie!$IK$1,PROFMAGIE,$DK165,FALSE)),"H"),CONCATENATE($CX165,","),""),"")</f>
        <v/>
      </c>
      <c r="DT165" t="str">
        <f>IF(ZS_IAAK="Ja",IF(NOT(DS165=""),"",IF(OR(EXACT(RIGHT(HLOOKUP(Tabellen_Magie!$IK$1,PROFMAGIE,$DK165,FALSE)),"B"),EXACT(HLOOKUP(Tabellen_Magie!$IK$1,PROFMAGIE,$DK165,FALSE),"")),"",CONCATENATE($CX165,","))),"")</f>
        <v/>
      </c>
      <c r="DU165" t="str">
        <f t="shared" si="108"/>
        <v/>
      </c>
      <c r="DW165" t="s">
        <v>3441</v>
      </c>
      <c r="DX165" t="s">
        <v>74</v>
      </c>
      <c r="DY165" t="s">
        <v>76</v>
      </c>
      <c r="DZ165" t="s">
        <v>76</v>
      </c>
      <c r="EA165" t="s">
        <v>8613</v>
      </c>
      <c r="EB165" t="s">
        <v>81</v>
      </c>
      <c r="EC165" t="s">
        <v>8614</v>
      </c>
      <c r="ED165">
        <f t="shared" si="121"/>
        <v>100</v>
      </c>
      <c r="EE165" t="s">
        <v>3221</v>
      </c>
      <c r="EH165">
        <f t="shared" si="122"/>
        <v>2</v>
      </c>
      <c r="EI165">
        <v>100</v>
      </c>
      <c r="FD165" t="s">
        <v>8813</v>
      </c>
      <c r="FE165">
        <f>IF(PROFGEBGENE="Magie",ROUND(IF(VT_AKADMAG,FK165*3/4,FK165),0),50)</f>
        <v>50</v>
      </c>
      <c r="FF165">
        <f>ROUND(FE165/50,0)</f>
        <v>1</v>
      </c>
      <c r="FK165">
        <v>100</v>
      </c>
      <c r="FL165">
        <v>2</v>
      </c>
      <c r="FM165" t="b">
        <f ca="1">IF(OR(IF(NOT(ISNA(VLOOKUP(FD165,SF_Verbilligt_Left,3,FALSE))),VLOOKUP(FD165,SF_Verbilligt_Left,3,FALSE)="x",FALSE),IF(NOT(ISNA(VLOOKUP(FD165,SF_Verbilligt_Right,8,FALSE))),VLOOKUP(FD165,SF_Verbilligt_Right,8,FALSE)="x",FALSE)),TRUE,FALSE)</f>
        <v>0</v>
      </c>
      <c r="FN165" t="b">
        <f ca="1">OR(FM165,NOT(ISERROR(FIND(FD165,$FN$3,1))))</f>
        <v>0</v>
      </c>
      <c r="GH165" t="s">
        <v>3117</v>
      </c>
      <c r="GI165" t="s">
        <v>3290</v>
      </c>
      <c r="GJ165">
        <v>3</v>
      </c>
      <c r="GK165" t="s">
        <v>1397</v>
      </c>
      <c r="GL165" t="s">
        <v>1976</v>
      </c>
      <c r="GM165" t="s">
        <v>1983</v>
      </c>
      <c r="GN165" t="s">
        <v>1974</v>
      </c>
      <c r="GO165">
        <v>272</v>
      </c>
      <c r="GP165">
        <v>134</v>
      </c>
      <c r="GR165">
        <f t="shared" si="111"/>
        <v>514</v>
      </c>
      <c r="GU165" t="str">
        <f t="shared" ca="1" si="112"/>
        <v/>
      </c>
      <c r="GV165" t="str">
        <f t="shared" ca="1" si="113"/>
        <v/>
      </c>
      <c r="GW165" t="str">
        <f t="shared" ca="1" si="114"/>
        <v/>
      </c>
      <c r="GX165" t="str">
        <f t="shared" ca="1" si="115"/>
        <v/>
      </c>
    </row>
    <row r="166" spans="1:206" x14ac:dyDescent="0.2">
      <c r="A166" t="s">
        <v>2433</v>
      </c>
      <c r="B166" t="s">
        <v>74</v>
      </c>
      <c r="C166" t="s">
        <v>76</v>
      </c>
      <c r="D166" t="s">
        <v>751</v>
      </c>
      <c r="E166" t="s">
        <v>339</v>
      </c>
      <c r="F166" t="str">
        <f ca="1">IF(G166="x",IF(MIN(Talente!$O$80,Talente!$O$105,Talente!$O$73,Talente!$O$52,Talente!$O$18)*2&gt;ROUND((Talente!$O$80+Talente!$O$105+Talente!$O$73+Talente!$O$52+Talente!$O$18)/5,0),ROUND((Talente!$O$80+Talente!$O$105+Talente!$O$73+Talente!$O$52+Talente!$O$18)/5,0),MIN(Talente!$O$80,Talente!$O$105,Talente!$O$73,Talente!$O$52,Talente!$O$18)*2),"")</f>
        <v/>
      </c>
      <c r="G166" t="str">
        <f ca="1">IF(NOT(Talente!$O$105=""),IF(NOT(Talente!$O$18=""),"x",""),"")</f>
        <v/>
      </c>
      <c r="W166" t="s">
        <v>1119</v>
      </c>
      <c r="X166">
        <f>IF(VT_ADLIGERBE,IF(VT_VETERAN,2,3),IF(OR(VT_ADLIGABST,VT_ADLIG),IF(OR(VT_VETERAN,VT_BBILDUNG),4,6),IF(OR(VT_VETERAN,VT_BBILDUNG),10,14)))</f>
        <v>14</v>
      </c>
      <c r="Z166" t="s">
        <v>7108</v>
      </c>
      <c r="AA166">
        <v>1</v>
      </c>
      <c r="AB166">
        <v>12</v>
      </c>
      <c r="AD166" t="s">
        <v>3995</v>
      </c>
      <c r="AH166" t="s">
        <v>2682</v>
      </c>
      <c r="AI166" t="s">
        <v>7220</v>
      </c>
      <c r="AS166" t="s">
        <v>3695</v>
      </c>
      <c r="AT166">
        <v>3</v>
      </c>
      <c r="BK166" t="s">
        <v>5559</v>
      </c>
      <c r="BL166">
        <v>8</v>
      </c>
      <c r="BM166">
        <v>9</v>
      </c>
      <c r="BN166">
        <v>12</v>
      </c>
      <c r="BO166">
        <v>11</v>
      </c>
      <c r="BP166" t="s">
        <v>4558</v>
      </c>
      <c r="BQ166">
        <v>2</v>
      </c>
      <c r="BR166" t="s">
        <v>5555</v>
      </c>
      <c r="BS166">
        <v>0</v>
      </c>
      <c r="BT166">
        <v>15</v>
      </c>
      <c r="BU166">
        <v>35</v>
      </c>
      <c r="BW166">
        <v>0</v>
      </c>
      <c r="BY166" t="s">
        <v>4985</v>
      </c>
      <c r="BZ166" t="s">
        <v>4985</v>
      </c>
      <c r="CA166" t="s">
        <v>5556</v>
      </c>
      <c r="CD166" t="s">
        <v>7176</v>
      </c>
      <c r="CE166" t="s">
        <v>4647</v>
      </c>
      <c r="CF166" t="s">
        <v>7177</v>
      </c>
      <c r="CG166" t="s">
        <v>908</v>
      </c>
      <c r="CH166">
        <v>-1</v>
      </c>
      <c r="CI166">
        <v>2</v>
      </c>
      <c r="CJ166" t="s">
        <v>905</v>
      </c>
      <c r="CK166" t="s">
        <v>2190</v>
      </c>
      <c r="CN166" t="str">
        <f ca="1">IF(AND(ISERR(FIND($CK166,Talente!$CI$41)),ISNA(VLOOKUP($CK166,$AH$51:$AH$55,1))),IF(AND(ISERR(FIND($CL166,Talente!$CI$41)),ISNA(VLOOKUP($CL166,$AH$51:$AH$55,1))),$CM166,$CL166),$CK166)</f>
        <v>Hiebwaffen</v>
      </c>
      <c r="CU166" t="s">
        <v>2791</v>
      </c>
      <c r="CX166" t="s">
        <v>8949</v>
      </c>
      <c r="CY166" t="s">
        <v>76</v>
      </c>
      <c r="CZ166" t="s">
        <v>77</v>
      </c>
      <c r="DA166" t="s">
        <v>5030</v>
      </c>
      <c r="DC166" t="s">
        <v>7288</v>
      </c>
      <c r="DD166" t="s">
        <v>1822</v>
      </c>
      <c r="DE166" t="s">
        <v>2254</v>
      </c>
      <c r="DF166" t="s">
        <v>2493</v>
      </c>
      <c r="DG166" t="s">
        <v>1955</v>
      </c>
      <c r="DH166" t="s">
        <v>8950</v>
      </c>
      <c r="DI166" t="s">
        <v>8951</v>
      </c>
      <c r="DJ166">
        <v>2</v>
      </c>
      <c r="DK166">
        <f t="shared" si="117"/>
        <v>487</v>
      </c>
      <c r="DL166">
        <f t="shared" si="118"/>
        <v>164</v>
      </c>
      <c r="DN166" t="str">
        <f t="shared" ca="1" si="104"/>
        <v/>
      </c>
      <c r="DO166" t="str">
        <f t="shared" ca="1" si="105"/>
        <v/>
      </c>
      <c r="DP166" t="str">
        <f t="shared" ca="1" si="106"/>
        <v/>
      </c>
      <c r="DQ166" t="str">
        <f>IF(EXACT(Zauber!$A$250,""),"",IF(EXACT(RIGHT(HLOOKUP(Zauber!$A$250,PROFMAGIE,$DK166,FALSE)),"H"),CONCATENATE($CX166,","),""))</f>
        <v/>
      </c>
      <c r="DR166" t="str">
        <f t="shared" si="107"/>
        <v/>
      </c>
      <c r="DS166" t="str">
        <f>IF(ZS_IAAK="Ja",IF(EXACT(RIGHT(HLOOKUP(Tabellen_Magie!$IK$1,PROFMAGIE,$DK166,FALSE)),"H"),CONCATENATE($CX166,","),""),"")</f>
        <v/>
      </c>
      <c r="DT166" t="str">
        <f>IF(ZS_IAAK="Ja",IF(NOT(DS166=""),"",IF(OR(EXACT(RIGHT(HLOOKUP(Tabellen_Magie!$IK$1,PROFMAGIE,$DK166,FALSE)),"B"),EXACT(HLOOKUP(Tabellen_Magie!$IK$1,PROFMAGIE,$DK166,FALSE),"")),"",CONCATENATE($CX166,","))),"")</f>
        <v/>
      </c>
      <c r="DU166" t="str">
        <f t="shared" si="108"/>
        <v/>
      </c>
      <c r="DW166" t="s">
        <v>3219</v>
      </c>
      <c r="DX166" t="s">
        <v>75</v>
      </c>
      <c r="DY166" t="s">
        <v>5030</v>
      </c>
      <c r="DZ166" t="s">
        <v>752</v>
      </c>
      <c r="EB166" t="s">
        <v>1576</v>
      </c>
      <c r="EC166" t="s">
        <v>1443</v>
      </c>
      <c r="ED166">
        <f t="shared" si="121"/>
        <v>150</v>
      </c>
      <c r="EE166" t="s">
        <v>3221</v>
      </c>
      <c r="EH166">
        <f t="shared" si="122"/>
        <v>3</v>
      </c>
      <c r="EI166">
        <v>150</v>
      </c>
      <c r="FD166" t="s">
        <v>4303</v>
      </c>
      <c r="FE166">
        <f>ROUND(FK166*IF(VT_AKADMAG,3/4,1)*IF(NT_ELFWELT,IF(FN166,1,1.5),1),0)</f>
        <v>100</v>
      </c>
      <c r="FF166">
        <f t="shared" si="125"/>
        <v>2</v>
      </c>
      <c r="FK166">
        <v>100</v>
      </c>
      <c r="FL166">
        <v>6</v>
      </c>
      <c r="FM166" t="b">
        <f t="shared" ca="1" si="123"/>
        <v>0</v>
      </c>
      <c r="FN166" t="b">
        <f t="shared" ca="1" si="124"/>
        <v>1</v>
      </c>
      <c r="GH166" t="s">
        <v>9340</v>
      </c>
      <c r="GI166" t="s">
        <v>3290</v>
      </c>
      <c r="GJ166">
        <v>3</v>
      </c>
      <c r="GK166" t="s">
        <v>1320</v>
      </c>
      <c r="GL166" t="s">
        <v>567</v>
      </c>
      <c r="GM166" t="s">
        <v>9341</v>
      </c>
      <c r="GN166" t="s">
        <v>1974</v>
      </c>
      <c r="GO166" t="s">
        <v>9314</v>
      </c>
      <c r="GP166">
        <v>140</v>
      </c>
      <c r="GR166">
        <f t="shared" si="111"/>
        <v>515</v>
      </c>
      <c r="GU166" t="str">
        <f t="shared" ca="1" si="112"/>
        <v/>
      </c>
      <c r="GV166" t="str">
        <f t="shared" ca="1" si="113"/>
        <v/>
      </c>
      <c r="GW166" t="str">
        <f t="shared" ca="1" si="114"/>
        <v/>
      </c>
      <c r="GX166" t="str">
        <f t="shared" ca="1" si="115"/>
        <v/>
      </c>
    </row>
    <row r="167" spans="1:206" x14ac:dyDescent="0.2">
      <c r="A167" t="s">
        <v>2434</v>
      </c>
      <c r="B167" t="s">
        <v>74</v>
      </c>
      <c r="C167" t="s">
        <v>76</v>
      </c>
      <c r="D167" t="s">
        <v>751</v>
      </c>
      <c r="E167" t="s">
        <v>339</v>
      </c>
      <c r="F167" t="str">
        <f ca="1">IF(G167="x",IF(MIN(Talente!$O$80,Talente!$O$105,Talente!$O$73,Talente!$O$52,Talente!$O$17)*2&gt;ROUND((Talente!$O$80+Talente!$O$105+Talente!$O$73+Talente!$O$52+Talente!$O$17)/5,0),ROUND((Talente!$O$80+Talente!$O$105+Talente!$O$73+Talente!$O$52+Talente!$O$17)/5,0),MIN(Talente!$O$80,Talente!$O$105,Talente!$O$73,Talente!$O$52,Talente!$O$17)*2),"")</f>
        <v/>
      </c>
      <c r="G167" t="str">
        <f ca="1">IF(NOT(Talente!$O$105=""),IF(NOT(Talente!$O$17=""),"x",""),"")</f>
        <v/>
      </c>
      <c r="W167" t="s">
        <v>3290</v>
      </c>
      <c r="X167">
        <f>IF(VT_ADLIGERBE,IF(VT_VETERAN,4,6),IF(OR(VT_ADLIGABST,VT_ADLIG),IF(OR(VT_VETERAN,VT_BBILDUNG),6,9),IF(OR(VT_VETERAN,VT_BBILDUNG),15,21)))</f>
        <v>21</v>
      </c>
      <c r="Z167" t="s">
        <v>7109</v>
      </c>
      <c r="AA167">
        <v>1</v>
      </c>
      <c r="AB167">
        <v>12</v>
      </c>
      <c r="AD167" t="s">
        <v>3995</v>
      </c>
      <c r="AH167" t="s">
        <v>1731</v>
      </c>
      <c r="AI167" t="s">
        <v>2037</v>
      </c>
      <c r="AS167" t="s">
        <v>3696</v>
      </c>
      <c r="AT167">
        <v>3</v>
      </c>
      <c r="BK167" t="s">
        <v>5560</v>
      </c>
      <c r="BL167">
        <v>8</v>
      </c>
      <c r="BM167">
        <v>9</v>
      </c>
      <c r="BN167">
        <v>12</v>
      </c>
      <c r="BO167">
        <v>11</v>
      </c>
      <c r="BP167" t="s">
        <v>4558</v>
      </c>
      <c r="BQ167">
        <v>2</v>
      </c>
      <c r="BR167" t="s">
        <v>5555</v>
      </c>
      <c r="BS167">
        <v>0</v>
      </c>
      <c r="BT167">
        <v>15</v>
      </c>
      <c r="BU167">
        <v>35</v>
      </c>
      <c r="BW167">
        <v>0</v>
      </c>
      <c r="BY167" t="s">
        <v>4985</v>
      </c>
      <c r="BZ167" t="s">
        <v>4985</v>
      </c>
      <c r="CA167" t="s">
        <v>5556</v>
      </c>
      <c r="CD167" t="s">
        <v>331</v>
      </c>
      <c r="CE167" t="s">
        <v>4549</v>
      </c>
      <c r="CF167" t="s">
        <v>917</v>
      </c>
      <c r="CG167" t="s">
        <v>898</v>
      </c>
      <c r="CH167">
        <v>1</v>
      </c>
      <c r="CI167">
        <v>1</v>
      </c>
      <c r="CJ167" t="s">
        <v>899</v>
      </c>
      <c r="CK167" t="s">
        <v>3043</v>
      </c>
      <c r="CL167" t="s">
        <v>2192</v>
      </c>
      <c r="CM167" t="s">
        <v>1938</v>
      </c>
      <c r="CN167" t="str">
        <f ca="1">IF(AND(ISERR(FIND($CK167,Talente!$CI$41)),ISNA(VLOOKUP($CK167,$AH$51:$AH$55,1))),IF(AND(ISERR(FIND($CL167,Talente!$CI$41)),ISNA(VLOOKUP($CL167,$AH$51:$AH$55,1))),$CM167,$CL167),$CK167)</f>
        <v>Fechtwaffen</v>
      </c>
      <c r="CU167" t="s">
        <v>3494</v>
      </c>
      <c r="CX167" t="s">
        <v>5035</v>
      </c>
      <c r="CY167" t="s">
        <v>74</v>
      </c>
      <c r="CZ167" t="s">
        <v>77</v>
      </c>
      <c r="DA167" t="s">
        <v>77</v>
      </c>
      <c r="DC167" t="s">
        <v>7297</v>
      </c>
      <c r="DD167" t="s">
        <v>3138</v>
      </c>
      <c r="DE167" t="s">
        <v>655</v>
      </c>
      <c r="DF167" t="s">
        <v>2212</v>
      </c>
      <c r="DG167" t="s">
        <v>1956</v>
      </c>
      <c r="DH167" t="s">
        <v>6899</v>
      </c>
      <c r="DI167" t="s">
        <v>3355</v>
      </c>
      <c r="DJ167">
        <v>2</v>
      </c>
      <c r="DK167">
        <f t="shared" si="117"/>
        <v>488</v>
      </c>
      <c r="DL167">
        <f t="shared" si="118"/>
        <v>165</v>
      </c>
      <c r="DM167">
        <v>146</v>
      </c>
      <c r="DN167" t="str">
        <f t="shared" ca="1" si="104"/>
        <v/>
      </c>
      <c r="DO167" t="str">
        <f t="shared" ca="1" si="105"/>
        <v/>
      </c>
      <c r="DP167" t="str">
        <f t="shared" ca="1" si="106"/>
        <v/>
      </c>
      <c r="DQ167" t="str">
        <f>IF(EXACT(Zauber!$A$250,""),"",IF(EXACT(RIGHT(HLOOKUP(Zauber!$A$250,PROFMAGIE,$DK167,FALSE)),"H"),CONCATENATE($CX167,","),""))</f>
        <v/>
      </c>
      <c r="DR167" t="str">
        <f t="shared" si="107"/>
        <v/>
      </c>
      <c r="DS167" t="str">
        <f>IF(ZS_IAAK="Ja",IF(EXACT(RIGHT(HLOOKUP(Tabellen_Magie!$IK$1,PROFMAGIE,$DK167,FALSE)),"H"),CONCATENATE($CX167,","),""),"")</f>
        <v/>
      </c>
      <c r="DT167" t="str">
        <f>IF(ZS_IAAK="Ja",IF(NOT(DS167=""),"",IF(OR(EXACT(RIGHT(HLOOKUP(Tabellen_Magie!$IK$1,PROFMAGIE,$DK167,FALSE)),"B"),EXACT(HLOOKUP(Tabellen_Magie!$IK$1,PROFMAGIE,$DK167,FALSE),"")),"",CONCATENATE($CX167,","))),"")</f>
        <v/>
      </c>
      <c r="DU167" t="str">
        <f t="shared" si="108"/>
        <v/>
      </c>
      <c r="DW167" t="s">
        <v>3443</v>
      </c>
      <c r="DX167" t="s">
        <v>76</v>
      </c>
      <c r="DY167" t="s">
        <v>76</v>
      </c>
      <c r="DZ167" t="s">
        <v>77</v>
      </c>
      <c r="EA167" t="s">
        <v>8615</v>
      </c>
      <c r="EB167" t="s">
        <v>8591</v>
      </c>
      <c r="EC167" t="s">
        <v>8616</v>
      </c>
      <c r="ED167">
        <f t="shared" si="121"/>
        <v>100</v>
      </c>
      <c r="EE167" t="s">
        <v>3221</v>
      </c>
      <c r="EH167">
        <f t="shared" si="122"/>
        <v>2</v>
      </c>
      <c r="EI167">
        <v>100</v>
      </c>
      <c r="FD167" t="s">
        <v>2600</v>
      </c>
      <c r="FE167">
        <f>ROUND(FK167*IF(VT_AKADMAG,3/4,1)*IF(NT_ELFWELT,IF(FN167,1,1.5),1),0)</f>
        <v>100</v>
      </c>
      <c r="FF167">
        <f t="shared" si="125"/>
        <v>2</v>
      </c>
      <c r="FK167">
        <f>IF(VT_HALBZBR,200,100)</f>
        <v>100</v>
      </c>
      <c r="FL167">
        <v>5</v>
      </c>
      <c r="FM167" t="b">
        <f t="shared" ca="1" si="123"/>
        <v>0</v>
      </c>
      <c r="FN167" t="b">
        <f t="shared" ca="1" si="124"/>
        <v>1</v>
      </c>
      <c r="GH167" t="s">
        <v>3118</v>
      </c>
      <c r="GI167" t="s">
        <v>3290</v>
      </c>
      <c r="GJ167">
        <v>3</v>
      </c>
      <c r="GK167" t="s">
        <v>1320</v>
      </c>
      <c r="GL167" t="s">
        <v>1978</v>
      </c>
      <c r="GM167" t="s">
        <v>3961</v>
      </c>
      <c r="GN167" t="s">
        <v>1974</v>
      </c>
      <c r="GO167">
        <v>267</v>
      </c>
      <c r="GP167">
        <v>141</v>
      </c>
      <c r="GR167">
        <f t="shared" si="111"/>
        <v>516</v>
      </c>
      <c r="GU167" t="str">
        <f t="shared" ca="1" si="112"/>
        <v/>
      </c>
      <c r="GV167" t="str">
        <f t="shared" ca="1" si="113"/>
        <v/>
      </c>
      <c r="GW167" t="str">
        <f t="shared" ca="1" si="114"/>
        <v/>
      </c>
      <c r="GX167" t="str">
        <f t="shared" ca="1" si="115"/>
        <v/>
      </c>
    </row>
    <row r="168" spans="1:206" x14ac:dyDescent="0.2">
      <c r="A168" t="s">
        <v>7284</v>
      </c>
      <c r="B168" t="s">
        <v>74</v>
      </c>
      <c r="C168" t="s">
        <v>76</v>
      </c>
      <c r="D168" t="s">
        <v>751</v>
      </c>
      <c r="E168" t="s">
        <v>339</v>
      </c>
      <c r="F168" t="str">
        <f ca="1">IF(G168="x",IF(MIN(Talente!$O$80,Talente!$O$105,Talente!$O$73,Talente!$O$52,Talente!$O$19)*2&gt;ROUND((Talente!$O$80+Talente!$O$105+Talente!$O$73+Talente!$O$52+Talente!$O$19)/5,0),ROUND((Talente!$O$80+Talente!$O$105+Talente!$O$73+Talente!$O$52+Talente!$O$19)/5,0),MIN(Talente!$O$80,Talente!$O$105,Talente!$O$73,Talente!$O$52,Talente!$O$19)*2),"")</f>
        <v/>
      </c>
      <c r="G168" t="str">
        <f ca="1">IF(NOT(Talente!$O$105=""),IF(NOT(Talente!$O$19=""),"x",""),"")</f>
        <v/>
      </c>
      <c r="W168" t="s">
        <v>4121</v>
      </c>
      <c r="X168">
        <f>IF(VT_ADLIGERBE,IF(VT_VETERAN,6,9),IF(OR(VT_ADLIGABST,VT_ADLIG),IF(OR(VT_VETERAN,VT_BBILDUNG),8,12),IF(OR(VT_VETERAN,VT_BBILDUNG),20,28)))</f>
        <v>28</v>
      </c>
      <c r="Z168" t="s">
        <v>67</v>
      </c>
      <c r="AC168">
        <f ca="1">IF(NOT(ISERR(FIND("Unansehnlich",Abfragen!O197))),10,15)</f>
        <v>15</v>
      </c>
      <c r="AH168" t="s">
        <v>9283</v>
      </c>
      <c r="AI168" t="s">
        <v>9282</v>
      </c>
      <c r="AS168" t="s">
        <v>3697</v>
      </c>
      <c r="AT168">
        <v>3</v>
      </c>
      <c r="BK168" t="s">
        <v>5561</v>
      </c>
      <c r="CD168" t="s">
        <v>332</v>
      </c>
      <c r="CE168" t="s">
        <v>4549</v>
      </c>
      <c r="CF168" t="s">
        <v>274</v>
      </c>
      <c r="CG168" t="s">
        <v>903</v>
      </c>
      <c r="CH168">
        <v>-1</v>
      </c>
      <c r="CI168">
        <v>2</v>
      </c>
      <c r="CJ168" t="s">
        <v>4001</v>
      </c>
      <c r="CK168" t="s">
        <v>2190</v>
      </c>
      <c r="CN168" t="str">
        <f ca="1">IF(AND(ISERR(FIND($CK168,Talente!$CI$41)),ISNA(VLOOKUP($CK168,$AH$51:$AH$55,1))),IF(AND(ISERR(FIND($CL168,Talente!$CI$41)),ISNA(VLOOKUP($CL168,$AH$51:$AH$55,1))),$CM168,$CL168),$CK168)</f>
        <v>Hiebwaffen</v>
      </c>
      <c r="CU168" t="s">
        <v>4654</v>
      </c>
      <c r="CX168" t="s">
        <v>2222</v>
      </c>
      <c r="CY168" t="s">
        <v>76</v>
      </c>
      <c r="CZ168" t="s">
        <v>751</v>
      </c>
      <c r="DA168" t="s">
        <v>752</v>
      </c>
      <c r="DC168" t="s">
        <v>7297</v>
      </c>
      <c r="DD168" t="s">
        <v>510</v>
      </c>
      <c r="DE168" t="s">
        <v>2397</v>
      </c>
      <c r="DF168" t="s">
        <v>81</v>
      </c>
      <c r="DG168" t="s">
        <v>1321</v>
      </c>
      <c r="DH168" t="s">
        <v>6948</v>
      </c>
      <c r="DI168" t="s">
        <v>1543</v>
      </c>
      <c r="DJ168">
        <v>2</v>
      </c>
      <c r="DK168">
        <f t="shared" si="117"/>
        <v>489</v>
      </c>
      <c r="DL168">
        <f t="shared" si="118"/>
        <v>166</v>
      </c>
      <c r="DM168">
        <v>148</v>
      </c>
      <c r="DN168" t="str">
        <f t="shared" ca="1" si="104"/>
        <v/>
      </c>
      <c r="DO168" t="str">
        <f t="shared" ca="1" si="105"/>
        <v/>
      </c>
      <c r="DP168" t="str">
        <f t="shared" ca="1" si="106"/>
        <v/>
      </c>
      <c r="DQ168" t="str">
        <f>IF(EXACT(Zauber!$A$250,""),"",IF(EXACT(RIGHT(HLOOKUP(Zauber!$A$250,PROFMAGIE,$DK168,FALSE)),"H"),CONCATENATE($CX168,","),""))</f>
        <v/>
      </c>
      <c r="DR168" t="str">
        <f t="shared" si="107"/>
        <v/>
      </c>
      <c r="DS168" t="str">
        <f>IF(ZS_IAAK="Ja",IF(EXACT(RIGHT(HLOOKUP(Tabellen_Magie!$IK$1,PROFMAGIE,$DK168,FALSE)),"H"),CONCATENATE($CX168,","),""),"")</f>
        <v/>
      </c>
      <c r="DT168" t="str">
        <f>IF(ZS_IAAK="Ja",IF(NOT(DS168=""),"",IF(OR(EXACT(RIGHT(HLOOKUP(Tabellen_Magie!$IK$1,PROFMAGIE,$DK168,FALSE)),"B"),EXACT(HLOOKUP(Tabellen_Magie!$IK$1,PROFMAGIE,$DK168,FALSE),"")),"",CONCATENATE($CX168,","))),"")</f>
        <v/>
      </c>
      <c r="DU168" t="str">
        <f t="shared" si="108"/>
        <v/>
      </c>
      <c r="DW168" t="s">
        <v>4105</v>
      </c>
      <c r="DX168" t="s">
        <v>75</v>
      </c>
      <c r="DY168" t="s">
        <v>75</v>
      </c>
      <c r="DZ168" t="s">
        <v>76</v>
      </c>
      <c r="EB168" t="s">
        <v>81</v>
      </c>
      <c r="EC168" t="s">
        <v>4565</v>
      </c>
      <c r="ED168">
        <f t="shared" si="121"/>
        <v>100</v>
      </c>
      <c r="EE168" t="s">
        <v>3221</v>
      </c>
      <c r="EH168">
        <f t="shared" si="122"/>
        <v>2</v>
      </c>
      <c r="EI168">
        <v>100</v>
      </c>
      <c r="FD168" t="s">
        <v>2601</v>
      </c>
      <c r="FE168">
        <f>ROUND(IF(VT_AKADMAG,FK168*3/4,FK168)*IF(NT_ELFWELT,IF(FN168,1,1.5),1)*IF(VT_EIDGED,0.5,IF(VT_GUTGED,0.75,1)),0)</f>
        <v>200</v>
      </c>
      <c r="FF168">
        <f t="shared" si="125"/>
        <v>4</v>
      </c>
      <c r="FK168">
        <v>200</v>
      </c>
      <c r="FL168">
        <v>2</v>
      </c>
      <c r="FM168" t="b">
        <f t="shared" ca="1" si="123"/>
        <v>0</v>
      </c>
      <c r="FN168" t="b">
        <f t="shared" ca="1" si="124"/>
        <v>0</v>
      </c>
      <c r="GH168" t="s">
        <v>3009</v>
      </c>
      <c r="GI168" t="s">
        <v>3290</v>
      </c>
      <c r="GJ168">
        <v>3</v>
      </c>
      <c r="GK168" t="s">
        <v>1320</v>
      </c>
      <c r="GL168" t="s">
        <v>1977</v>
      </c>
      <c r="GM168" t="s">
        <v>3961</v>
      </c>
      <c r="GN168" t="s">
        <v>1690</v>
      </c>
      <c r="GO168">
        <v>255</v>
      </c>
      <c r="GP168">
        <v>145</v>
      </c>
      <c r="GR168">
        <f t="shared" si="111"/>
        <v>517</v>
      </c>
      <c r="GS168">
        <v>5</v>
      </c>
      <c r="GU168" t="str">
        <f t="shared" ca="1" si="112"/>
        <v/>
      </c>
      <c r="GV168" t="str">
        <f t="shared" ca="1" si="113"/>
        <v/>
      </c>
      <c r="GW168" t="str">
        <f t="shared" ca="1" si="114"/>
        <v/>
      </c>
      <c r="GX168" t="str">
        <f t="shared" ca="1" si="115"/>
        <v/>
      </c>
    </row>
    <row r="169" spans="1:206" x14ac:dyDescent="0.2">
      <c r="A169" t="s">
        <v>2435</v>
      </c>
      <c r="B169" t="s">
        <v>74</v>
      </c>
      <c r="C169" t="s">
        <v>76</v>
      </c>
      <c r="D169" t="s">
        <v>751</v>
      </c>
      <c r="E169" t="s">
        <v>339</v>
      </c>
      <c r="F169" t="str">
        <f ca="1">IF(G169="x",IF(MIN(Talente!$O$80,Talente!$O$105,Talente!$O$73,Talente!$O$52,Talente!$O$31)*2&gt;ROUND((Talente!$O$80+Talente!$O$105+Talente!$O$73+Talente!$O$52+Talente!$O$31)/5,0),ROUND((Talente!$O$80+Talente!$O$105+Talente!$O$73+Talente!$O$52+Talente!$O$31)/5,0),MIN(Talente!$O$80,Talente!$O$105,Talente!$O$73,Talente!$O$52,Talente!$O$31)*2),"")</f>
        <v/>
      </c>
      <c r="G169" t="str">
        <f ca="1">IF(NOT(Talente!$O$105=""),IF(NOT(Talente!$O$31=""),"x",""),"")</f>
        <v/>
      </c>
      <c r="W169" t="s">
        <v>4588</v>
      </c>
      <c r="X169">
        <f>IF(VT_ADLIGERBE,IF(VT_VETERAN,8,12),IF(OR(VT_ADLIGABST,VT_ADLIG),IF(OR(VT_VETERAN,VT_BBILDUNG),10,15),IF(OR(VT_VETERAN,VT_BBILDUNG),25,35)))</f>
        <v>35</v>
      </c>
      <c r="Z169" t="s">
        <v>1568</v>
      </c>
      <c r="AC169">
        <v>7</v>
      </c>
      <c r="AE169" t="s">
        <v>1571</v>
      </c>
      <c r="AH169" t="s">
        <v>3284</v>
      </c>
      <c r="AI169" t="s">
        <v>7221</v>
      </c>
      <c r="AS169" t="s">
        <v>3698</v>
      </c>
      <c r="AT169">
        <v>3</v>
      </c>
      <c r="BK169" t="s">
        <v>5562</v>
      </c>
      <c r="BL169">
        <v>8</v>
      </c>
      <c r="BM169">
        <v>16</v>
      </c>
      <c r="BN169" t="s">
        <v>5563</v>
      </c>
      <c r="BO169">
        <v>4</v>
      </c>
      <c r="BP169" t="s">
        <v>5564</v>
      </c>
      <c r="BQ169">
        <v>5</v>
      </c>
      <c r="BR169">
        <v>35</v>
      </c>
      <c r="BS169" t="s">
        <v>5565</v>
      </c>
      <c r="BT169">
        <v>3</v>
      </c>
      <c r="BU169">
        <v>60</v>
      </c>
      <c r="BW169">
        <v>0</v>
      </c>
      <c r="BY169" t="s">
        <v>4985</v>
      </c>
      <c r="BZ169" t="s">
        <v>4985</v>
      </c>
      <c r="CA169" t="s">
        <v>5566</v>
      </c>
      <c r="CD169" t="s">
        <v>2631</v>
      </c>
      <c r="CE169" t="s">
        <v>4558</v>
      </c>
      <c r="CF169" t="s">
        <v>4552</v>
      </c>
      <c r="CG169" t="s">
        <v>4550</v>
      </c>
      <c r="CH169">
        <v>-1</v>
      </c>
      <c r="CI169">
        <v>2</v>
      </c>
      <c r="CJ169" t="s">
        <v>4001</v>
      </c>
      <c r="CK169" t="s">
        <v>1957</v>
      </c>
      <c r="CN169" t="str">
        <f ca="1">IF(AND(ISERR(FIND($CK169,Talente!$CI$41)),ISNA(VLOOKUP($CK169,$AH$51:$AH$55,1))),IF(AND(ISERR(FIND($CL169,Talente!$CI$41)),ISNA(VLOOKUP($CL169,$AH$51:$AH$55,1))),$CM169,$CL169),$CK169)</f>
        <v>Dolche</v>
      </c>
      <c r="CU169" t="s">
        <v>4716</v>
      </c>
      <c r="CX169" t="s">
        <v>457</v>
      </c>
      <c r="CY169" t="s">
        <v>74</v>
      </c>
      <c r="CZ169" t="s">
        <v>76</v>
      </c>
      <c r="DA169" t="s">
        <v>750</v>
      </c>
      <c r="DC169" t="s">
        <v>7295</v>
      </c>
      <c r="DD169" t="s">
        <v>4033</v>
      </c>
      <c r="DE169" t="s">
        <v>2256</v>
      </c>
      <c r="DF169" t="s">
        <v>4029</v>
      </c>
      <c r="DG169" t="s">
        <v>1955</v>
      </c>
      <c r="DH169" t="s">
        <v>6855</v>
      </c>
      <c r="DI169" t="s">
        <v>4348</v>
      </c>
      <c r="DJ169">
        <v>2</v>
      </c>
      <c r="DK169">
        <f t="shared" si="117"/>
        <v>490</v>
      </c>
      <c r="DL169">
        <f t="shared" si="118"/>
        <v>167</v>
      </c>
      <c r="DM169">
        <v>149</v>
      </c>
      <c r="DN169" t="str">
        <f t="shared" ca="1" si="104"/>
        <v/>
      </c>
      <c r="DO169" t="str">
        <f t="shared" ca="1" si="105"/>
        <v/>
      </c>
      <c r="DP169" t="str">
        <f t="shared" ca="1" si="106"/>
        <v/>
      </c>
      <c r="DQ169" t="str">
        <f>IF(EXACT(Zauber!$A$250,""),"",IF(EXACT(RIGHT(HLOOKUP(Zauber!$A$250,PROFMAGIE,$DK169,FALSE)),"H"),CONCATENATE($CX169,","),""))</f>
        <v/>
      </c>
      <c r="DR169" t="str">
        <f t="shared" si="107"/>
        <v/>
      </c>
      <c r="DS169" t="str">
        <f>IF(ZS_IAAK="Ja",IF(EXACT(RIGHT(HLOOKUP(Tabellen_Magie!$IK$1,PROFMAGIE,$DK169,FALSE)),"H"),CONCATENATE($CX169,","),""),"")</f>
        <v/>
      </c>
      <c r="DT169" t="str">
        <f>IF(ZS_IAAK="Ja",IF(NOT(DS169=""),"",IF(OR(EXACT(RIGHT(HLOOKUP(Tabellen_Magie!$IK$1,PROFMAGIE,$DK169,FALSE)),"B"),EXACT(HLOOKUP(Tabellen_Magie!$IK$1,PROFMAGIE,$DK169,FALSE),"")),"",CONCATENATE($CX169,","))),"")</f>
        <v/>
      </c>
      <c r="DU169" t="str">
        <f t="shared" si="108"/>
        <v/>
      </c>
      <c r="DW169" t="s">
        <v>3220</v>
      </c>
      <c r="DX169" t="s">
        <v>75</v>
      </c>
      <c r="DY169" t="s">
        <v>76</v>
      </c>
      <c r="DZ169" t="s">
        <v>77</v>
      </c>
      <c r="EA169" t="s">
        <v>1613</v>
      </c>
      <c r="EB169" t="s">
        <v>2365</v>
      </c>
      <c r="EC169" t="s">
        <v>5328</v>
      </c>
      <c r="ED169">
        <f t="shared" si="121"/>
        <v>150</v>
      </c>
      <c r="EE169" t="s">
        <v>3221</v>
      </c>
      <c r="EH169">
        <f t="shared" si="122"/>
        <v>3</v>
      </c>
      <c r="EI169">
        <v>150</v>
      </c>
      <c r="FD169" t="s">
        <v>4300</v>
      </c>
      <c r="FE169">
        <f>ROUND(FK169*IF(VT_AKADMAG,3/4,1)*IF(NT_ELFWELT,IF(FN169,1,1.5),1),0)</f>
        <v>200</v>
      </c>
      <c r="FF169">
        <f t="shared" si="125"/>
        <v>4</v>
      </c>
      <c r="FK169">
        <v>200</v>
      </c>
      <c r="FL169">
        <v>7</v>
      </c>
      <c r="FM169" t="b">
        <f t="shared" ca="1" si="123"/>
        <v>0</v>
      </c>
      <c r="FN169" t="b">
        <f t="shared" ca="1" si="124"/>
        <v>1</v>
      </c>
      <c r="GH169" t="s">
        <v>857</v>
      </c>
      <c r="GI169" t="s">
        <v>3290</v>
      </c>
      <c r="GJ169">
        <v>3</v>
      </c>
      <c r="GK169" t="s">
        <v>1320</v>
      </c>
      <c r="GL169" t="s">
        <v>1976</v>
      </c>
      <c r="GM169" t="s">
        <v>1369</v>
      </c>
      <c r="GN169" t="s">
        <v>1690</v>
      </c>
      <c r="GO169">
        <v>255</v>
      </c>
      <c r="GP169">
        <v>145</v>
      </c>
      <c r="GR169">
        <f t="shared" si="111"/>
        <v>518</v>
      </c>
      <c r="GS169">
        <v>6</v>
      </c>
      <c r="GU169" t="str">
        <f t="shared" ca="1" si="112"/>
        <v/>
      </c>
      <c r="GV169" t="str">
        <f t="shared" ca="1" si="113"/>
        <v/>
      </c>
      <c r="GW169" t="str">
        <f t="shared" ca="1" si="114"/>
        <v/>
      </c>
      <c r="GX169" t="str">
        <f t="shared" ca="1" si="115"/>
        <v/>
      </c>
    </row>
    <row r="170" spans="1:206" x14ac:dyDescent="0.2">
      <c r="A170" t="s">
        <v>2437</v>
      </c>
      <c r="B170" t="s">
        <v>74</v>
      </c>
      <c r="C170" t="s">
        <v>76</v>
      </c>
      <c r="D170" t="s">
        <v>751</v>
      </c>
      <c r="E170" t="s">
        <v>339</v>
      </c>
      <c r="F170" t="str">
        <f ca="1">IF(G170="x",IF(MIN(Talente!$O$80,Talente!$O$105,Talente!$O$73,Talente!$O$52,Talente!$O$35)*2&gt;ROUND((Talente!$O$80+Talente!$O$105+Talente!$O$73+Talente!$O$52+Talente!$O$35)/5,0),ROUND((Talente!$O$80+Talente!$O$105+Talente!$O$73+Talente!$O$52+Talente!$O$35)/5,0),MIN(Talente!$O$80,Talente!$O$105,Talente!$O$73,Talente!$O$52,Talente!$O$35)*2),"")</f>
        <v/>
      </c>
      <c r="G170" t="str">
        <f ca="1">IF(NOT(Talente!$O$105=""),IF(NOT(Talente!$O$35=""),"x",""),"")</f>
        <v/>
      </c>
      <c r="Z170" t="s">
        <v>1569</v>
      </c>
      <c r="AC170">
        <v>7</v>
      </c>
      <c r="AE170" t="s">
        <v>1571</v>
      </c>
      <c r="AH170" t="s">
        <v>2680</v>
      </c>
      <c r="AI170" t="s">
        <v>7222</v>
      </c>
      <c r="AS170" t="s">
        <v>3699</v>
      </c>
      <c r="AT170">
        <v>3</v>
      </c>
      <c r="BK170" t="s">
        <v>5567</v>
      </c>
      <c r="BL170">
        <v>8</v>
      </c>
      <c r="BM170">
        <v>16</v>
      </c>
      <c r="BN170" t="s">
        <v>5563</v>
      </c>
      <c r="BO170">
        <v>4</v>
      </c>
      <c r="BP170" t="s">
        <v>5564</v>
      </c>
      <c r="BQ170">
        <v>5</v>
      </c>
      <c r="BR170">
        <v>35</v>
      </c>
      <c r="BS170" t="s">
        <v>5565</v>
      </c>
      <c r="BT170">
        <v>3</v>
      </c>
      <c r="BU170">
        <v>60</v>
      </c>
      <c r="BW170">
        <v>0</v>
      </c>
      <c r="BY170" t="s">
        <v>4985</v>
      </c>
      <c r="BZ170" t="s">
        <v>4985</v>
      </c>
      <c r="CA170" t="s">
        <v>5566</v>
      </c>
      <c r="CD170" t="s">
        <v>2632</v>
      </c>
      <c r="CE170" t="s">
        <v>916</v>
      </c>
      <c r="CF170" t="s">
        <v>4552</v>
      </c>
      <c r="CG170" t="s">
        <v>4595</v>
      </c>
      <c r="CH170">
        <v>-1</v>
      </c>
      <c r="CI170">
        <v>3</v>
      </c>
      <c r="CJ170" t="s">
        <v>4001</v>
      </c>
      <c r="CK170" t="s">
        <v>2190</v>
      </c>
      <c r="CN170" t="str">
        <f ca="1">IF(AND(ISERR(FIND($CK170,Talente!$CI$41)),ISNA(VLOOKUP($CK170,$AH$51:$AH$55,1))),IF(AND(ISERR(FIND($CL170,Talente!$CI$41)),ISNA(VLOOKUP($CL170,$AH$51:$AH$55,1))),$CM170,$CL170),$CK170)</f>
        <v>Hiebwaffen</v>
      </c>
      <c r="CU170" t="s">
        <v>3495</v>
      </c>
      <c r="CX170" t="s">
        <v>458</v>
      </c>
      <c r="CY170" t="s">
        <v>74</v>
      </c>
      <c r="CZ170" t="s">
        <v>76</v>
      </c>
      <c r="DA170" t="s">
        <v>77</v>
      </c>
      <c r="DB170" t="s">
        <v>2042</v>
      </c>
      <c r="DC170" t="s">
        <v>7302</v>
      </c>
      <c r="DD170" t="s">
        <v>2259</v>
      </c>
      <c r="DE170" t="s">
        <v>2254</v>
      </c>
      <c r="DF170" t="s">
        <v>1730</v>
      </c>
      <c r="DG170" t="s">
        <v>1321</v>
      </c>
      <c r="DH170" t="s">
        <v>6949</v>
      </c>
      <c r="DI170" t="s">
        <v>2940</v>
      </c>
      <c r="DJ170">
        <v>2</v>
      </c>
      <c r="DK170">
        <f t="shared" si="117"/>
        <v>491</v>
      </c>
      <c r="DL170">
        <f t="shared" si="118"/>
        <v>168</v>
      </c>
      <c r="DM170">
        <v>150</v>
      </c>
      <c r="DN170" t="str">
        <f t="shared" ca="1" si="104"/>
        <v/>
      </c>
      <c r="DO170" t="str">
        <f t="shared" ca="1" si="105"/>
        <v/>
      </c>
      <c r="DP170" t="str">
        <f t="shared" ca="1" si="106"/>
        <v/>
      </c>
      <c r="DQ170" t="str">
        <f>IF(EXACT(Zauber!$A$250,""),"",IF(EXACT(RIGHT(HLOOKUP(Zauber!$A$250,PROFMAGIE,$DK170,FALSE)),"H"),CONCATENATE($CX170,","),""))</f>
        <v/>
      </c>
      <c r="DR170" t="str">
        <f t="shared" si="107"/>
        <v/>
      </c>
      <c r="DS170" t="str">
        <f>IF(ZS_IAAK="Ja",IF(EXACT(RIGHT(HLOOKUP(Tabellen_Magie!$IK$1,PROFMAGIE,$DK170,FALSE)),"H"),CONCATENATE($CX170,","),""),"")</f>
        <v/>
      </c>
      <c r="DT170" t="str">
        <f>IF(ZS_IAAK="Ja",IF(NOT(DS170=""),"",IF(OR(EXACT(RIGHT(HLOOKUP(Tabellen_Magie!$IK$1,PROFMAGIE,$DK170,FALSE)),"B"),EXACT(HLOOKUP(Tabellen_Magie!$IK$1,PROFMAGIE,$DK170,FALSE),"")),"",CONCATENATE($CX170,","))),"")</f>
        <v/>
      </c>
      <c r="DU170" t="str">
        <f t="shared" si="108"/>
        <v/>
      </c>
      <c r="DW170" t="s">
        <v>1085</v>
      </c>
      <c r="DX170" t="s">
        <v>74</v>
      </c>
      <c r="DY170" t="s">
        <v>5030</v>
      </c>
      <c r="DZ170" t="s">
        <v>77</v>
      </c>
      <c r="EB170" t="s">
        <v>8617</v>
      </c>
      <c r="EC170" t="s">
        <v>8618</v>
      </c>
      <c r="ED170">
        <f t="shared" si="121"/>
        <v>125</v>
      </c>
      <c r="EE170" t="s">
        <v>3221</v>
      </c>
      <c r="EH170">
        <f t="shared" si="122"/>
        <v>3</v>
      </c>
      <c r="EI170">
        <v>125</v>
      </c>
      <c r="FD170" t="s">
        <v>5084</v>
      </c>
      <c r="FE170">
        <f ca="1">ROUND(IF(VT_AKADMAG,FK170*3/4,FK170)*IF(NT_ELFWELT,IF(FN170,1,1.5),1)*IF(OR(NOT(ISERROR(FIND("Temp",'Zauber 2'!$D$84,1))),NOT(ISERROR(FIND("Meta",'Zauber 2'!$D$84,1)))),0.5,1),0)</f>
        <v>200</v>
      </c>
      <c r="FF170">
        <f ca="1">ROUND(FE170/50,0)</f>
        <v>4</v>
      </c>
      <c r="FK170">
        <v>200</v>
      </c>
      <c r="FL170">
        <v>3</v>
      </c>
      <c r="FM170" t="b">
        <f t="shared" ca="1" si="123"/>
        <v>0</v>
      </c>
      <c r="FN170" t="b">
        <f t="shared" ca="1" si="124"/>
        <v>0</v>
      </c>
      <c r="GH170" t="s">
        <v>9370</v>
      </c>
      <c r="GI170" t="s">
        <v>3290</v>
      </c>
      <c r="GJ170">
        <v>3</v>
      </c>
      <c r="GK170" t="s">
        <v>1320</v>
      </c>
      <c r="GL170" t="s">
        <v>1978</v>
      </c>
      <c r="GM170" t="s">
        <v>1369</v>
      </c>
      <c r="GN170" t="s">
        <v>1974</v>
      </c>
      <c r="GO170">
        <v>255</v>
      </c>
      <c r="GP170">
        <v>146</v>
      </c>
      <c r="GR170">
        <f t="shared" si="111"/>
        <v>519</v>
      </c>
      <c r="GU170" t="str">
        <f t="shared" ca="1" si="112"/>
        <v/>
      </c>
      <c r="GV170" t="str">
        <f t="shared" ca="1" si="113"/>
        <v/>
      </c>
      <c r="GW170" t="str">
        <f t="shared" ca="1" si="114"/>
        <v/>
      </c>
      <c r="GX170" t="str">
        <f t="shared" ca="1" si="115"/>
        <v/>
      </c>
    </row>
    <row r="171" spans="1:206" x14ac:dyDescent="0.2">
      <c r="A171" t="s">
        <v>2436</v>
      </c>
      <c r="B171" t="s">
        <v>74</v>
      </c>
      <c r="C171" t="s">
        <v>76</v>
      </c>
      <c r="D171" t="s">
        <v>751</v>
      </c>
      <c r="E171" t="s">
        <v>339</v>
      </c>
      <c r="F171" t="str">
        <f ca="1">IF(G171="x",IF(MIN(Talente!$O$80,Talente!$O$105,Talente!$O$73,Talente!$O$52,Talente!$O$37)*2&gt;ROUND((Talente!$O$80+Talente!$O$105+Talente!$O$73+Talente!$O$52+Talente!$O$37)/5,0),ROUND((Talente!$O$80+Talente!$O$105+Talente!$O$73+Talente!$O$52+Talente!$O$37)/5,0),MIN(Talente!$O$80,Talente!$O$105,Talente!$O$73,Talente!$O$52,Talente!$O$37)*2),"")</f>
        <v/>
      </c>
      <c r="G171" t="str">
        <f ca="1">IF(NOT(Talente!$O$105=""),IF(NOT(Talente!$O$37=""),"x",""),"")</f>
        <v/>
      </c>
      <c r="Z171" t="s">
        <v>1570</v>
      </c>
      <c r="AA171">
        <v>2</v>
      </c>
      <c r="AB171">
        <v>5</v>
      </c>
      <c r="AE171" t="s">
        <v>1571</v>
      </c>
      <c r="AH171" t="s">
        <v>3221</v>
      </c>
      <c r="AI171" t="s">
        <v>7223</v>
      </c>
      <c r="AS171" t="s">
        <v>3694</v>
      </c>
      <c r="AT171">
        <v>3</v>
      </c>
      <c r="BK171" t="s">
        <v>5568</v>
      </c>
      <c r="CD171" t="s">
        <v>2193</v>
      </c>
      <c r="CE171" t="s">
        <v>375</v>
      </c>
      <c r="CF171" t="s">
        <v>271</v>
      </c>
      <c r="CG171" t="s">
        <v>3234</v>
      </c>
      <c r="CH171">
        <v>-1</v>
      </c>
      <c r="CI171">
        <v>2</v>
      </c>
      <c r="CJ171" t="s">
        <v>4001</v>
      </c>
      <c r="CK171" t="s">
        <v>1957</v>
      </c>
      <c r="CN171" t="str">
        <f ca="1">IF(AND(ISERR(FIND($CK171,Talente!$CI$41)),ISNA(VLOOKUP($CK171,$AH$51:$AH$55,1))),IF(AND(ISERR(FIND($CL171,Talente!$CI$41)),ISNA(VLOOKUP($CL171,$AH$51:$AH$55,1))),$CM171,$CL171),$CK171)</f>
        <v>Dolche</v>
      </c>
      <c r="CU171" t="s">
        <v>3250</v>
      </c>
      <c r="CX171" t="s">
        <v>459</v>
      </c>
      <c r="CY171" t="s">
        <v>76</v>
      </c>
      <c r="CZ171" t="s">
        <v>77</v>
      </c>
      <c r="DA171" t="s">
        <v>77</v>
      </c>
      <c r="DC171" t="s">
        <v>1134</v>
      </c>
      <c r="DD171" t="s">
        <v>7357</v>
      </c>
      <c r="DE171" t="s">
        <v>1321</v>
      </c>
      <c r="DF171" t="s">
        <v>81</v>
      </c>
      <c r="DG171" t="s">
        <v>1956</v>
      </c>
      <c r="DH171" t="s">
        <v>6854</v>
      </c>
      <c r="DI171" t="s">
        <v>4509</v>
      </c>
      <c r="DJ171">
        <v>2</v>
      </c>
      <c r="DK171">
        <f t="shared" si="117"/>
        <v>492</v>
      </c>
      <c r="DL171">
        <f t="shared" si="118"/>
        <v>169</v>
      </c>
      <c r="DM171">
        <v>151</v>
      </c>
      <c r="DN171" t="str">
        <f t="shared" ca="1" si="104"/>
        <v/>
      </c>
      <c r="DO171" t="str">
        <f t="shared" ca="1" si="105"/>
        <v/>
      </c>
      <c r="DP171" t="str">
        <f t="shared" ca="1" si="106"/>
        <v/>
      </c>
      <c r="DQ171" t="str">
        <f>IF(EXACT(Zauber!$A$250,""),"",IF(EXACT(RIGHT(HLOOKUP(Zauber!$A$250,PROFMAGIE,$DK171,FALSE)),"H"),CONCATENATE($CX171,","),""))</f>
        <v/>
      </c>
      <c r="DR171" t="str">
        <f t="shared" si="107"/>
        <v/>
      </c>
      <c r="DS171" t="str">
        <f>IF(ZS_IAAK="Ja",IF(EXACT(RIGHT(HLOOKUP(Tabellen_Magie!$IK$1,PROFMAGIE,$DK171,FALSE)),"H"),CONCATENATE($CX171,","),""),"")</f>
        <v/>
      </c>
      <c r="DT171" t="str">
        <f>IF(ZS_IAAK="Ja",IF(NOT(DS171=""),"",IF(OR(EXACT(RIGHT(HLOOKUP(Tabellen_Magie!$IK$1,PROFMAGIE,$DK171,FALSE)),"B"),EXACT(HLOOKUP(Tabellen_Magie!$IK$1,PROFMAGIE,$DK171,FALSE),"")),"",CONCATENATE($CX171,","))),"")</f>
        <v/>
      </c>
      <c r="DU171" t="str">
        <f t="shared" si="108"/>
        <v/>
      </c>
      <c r="DW171" t="s">
        <v>886</v>
      </c>
      <c r="DX171" t="s">
        <v>75</v>
      </c>
      <c r="DY171" t="s">
        <v>76</v>
      </c>
      <c r="DZ171" t="s">
        <v>77</v>
      </c>
      <c r="EA171" t="s">
        <v>8619</v>
      </c>
      <c r="EB171" t="s">
        <v>1575</v>
      </c>
      <c r="EC171" t="s">
        <v>8620</v>
      </c>
      <c r="ED171">
        <f t="shared" si="121"/>
        <v>75</v>
      </c>
      <c r="EE171" t="s">
        <v>3221</v>
      </c>
      <c r="EH171">
        <f t="shared" si="122"/>
        <v>2</v>
      </c>
      <c r="EI171">
        <v>75</v>
      </c>
      <c r="FD171" t="s">
        <v>5085</v>
      </c>
      <c r="FE171">
        <f ca="1">ROUND(IF(VT_AKADMAG,FK171*3/4,FK171)*IF(NT_ELFWELT,IF(FN171,1,1.5),1)*IF(OR(NOT(ISERROR(FIND("Temp",'Zauber 2'!$D$84,1))),NOT(ISERROR(FIND("Meta",'Zauber 2'!$D$84,1)))),0.5,1),0)</f>
        <v>200</v>
      </c>
      <c r="FF171">
        <f ca="1">ROUND(FE171/50,0)</f>
        <v>4</v>
      </c>
      <c r="FK171">
        <v>200</v>
      </c>
      <c r="FL171">
        <v>1</v>
      </c>
      <c r="FM171" t="b">
        <f t="shared" ca="1" si="123"/>
        <v>0</v>
      </c>
      <c r="FN171" t="b">
        <f t="shared" ca="1" si="124"/>
        <v>0</v>
      </c>
      <c r="GH171" t="s">
        <v>9342</v>
      </c>
      <c r="GI171" t="s">
        <v>3290</v>
      </c>
      <c r="GJ171">
        <v>3</v>
      </c>
      <c r="GK171" t="s">
        <v>1320</v>
      </c>
      <c r="GL171" t="s">
        <v>1976</v>
      </c>
      <c r="GM171" t="s">
        <v>1980</v>
      </c>
      <c r="GN171" t="s">
        <v>1690</v>
      </c>
      <c r="GO171" t="s">
        <v>9314</v>
      </c>
      <c r="GP171">
        <v>148</v>
      </c>
      <c r="GR171">
        <f t="shared" si="111"/>
        <v>520</v>
      </c>
      <c r="GU171" t="str">
        <f t="shared" ca="1" si="112"/>
        <v/>
      </c>
      <c r="GV171" t="str">
        <f t="shared" ca="1" si="113"/>
        <v/>
      </c>
      <c r="GW171" t="str">
        <f t="shared" ca="1" si="114"/>
        <v/>
      </c>
      <c r="GX171" t="str">
        <f t="shared" ca="1" si="115"/>
        <v/>
      </c>
    </row>
    <row r="172" spans="1:206" x14ac:dyDescent="0.2">
      <c r="A172" t="s">
        <v>2159</v>
      </c>
      <c r="B172" t="s">
        <v>74</v>
      </c>
      <c r="C172" t="s">
        <v>76</v>
      </c>
      <c r="D172" t="s">
        <v>750</v>
      </c>
      <c r="E172" t="s">
        <v>339</v>
      </c>
      <c r="F172" t="str">
        <f ca="1">IF(G172="x",IF(MIN(Talente!$O$80,Talente!$O$95)*2&gt;ROUND((Talente!$O$54+Talente!$O$80+Talente!$O$95)/3,0),ROUND((Talente!$O$54+Talente!$O$80+Talente!$O$95)/3,0),IF(MIN(Talente!$O$80,Talente!$O$95)&lt;0,MIN(Talente!$O$80,Talente!$O$95),MIN(Talente!$O$80,Talente!$O$95)*2)),"")</f>
        <v/>
      </c>
      <c r="G172" t="str">
        <f ca="1">IF(NOT(Talente!$O$95=""),"x","")</f>
        <v/>
      </c>
      <c r="Z172" t="s">
        <v>2872</v>
      </c>
      <c r="AC172">
        <v>7</v>
      </c>
      <c r="AE172" t="s">
        <v>2873</v>
      </c>
      <c r="AH172" t="s">
        <v>7233</v>
      </c>
      <c r="AI172" t="s">
        <v>7234</v>
      </c>
      <c r="AS172" t="s">
        <v>3700</v>
      </c>
      <c r="AT172">
        <v>3</v>
      </c>
      <c r="BK172" t="s">
        <v>5569</v>
      </c>
      <c r="BL172">
        <v>7</v>
      </c>
      <c r="BM172">
        <v>7</v>
      </c>
      <c r="BN172" t="s">
        <v>5152</v>
      </c>
      <c r="BO172">
        <v>11</v>
      </c>
      <c r="BP172" t="s">
        <v>5570</v>
      </c>
      <c r="BQ172">
        <v>1</v>
      </c>
      <c r="BR172">
        <v>10</v>
      </c>
      <c r="BS172" t="s">
        <v>5297</v>
      </c>
      <c r="BT172">
        <v>11</v>
      </c>
      <c r="BU172">
        <v>45</v>
      </c>
      <c r="BW172">
        <v>6</v>
      </c>
      <c r="BY172" t="s">
        <v>4985</v>
      </c>
      <c r="BZ172" t="s">
        <v>4985</v>
      </c>
      <c r="CA172" t="s">
        <v>5571</v>
      </c>
      <c r="CC172" t="s">
        <v>784</v>
      </c>
      <c r="CD172" t="s">
        <v>2633</v>
      </c>
      <c r="CE172" t="s">
        <v>4549</v>
      </c>
      <c r="CF172" t="s">
        <v>378</v>
      </c>
      <c r="CG172" t="s">
        <v>3236</v>
      </c>
      <c r="CH172">
        <v>-2</v>
      </c>
      <c r="CI172">
        <v>4</v>
      </c>
      <c r="CJ172" t="s">
        <v>899</v>
      </c>
      <c r="CK172" t="s">
        <v>1530</v>
      </c>
      <c r="CN172" t="str">
        <f ca="1">IF(AND(ISERR(FIND($CK172,Talente!$CI$41)),ISNA(VLOOKUP($CK172,$AH$51:$AH$55,1))),IF(AND(ISERR(FIND($CL172,Talente!$CI$41)),ISNA(VLOOKUP($CL172,$AH$51:$AH$55,1))),$CM172,$CL172),$CK172)</f>
        <v>Speere</v>
      </c>
      <c r="CU172" t="s">
        <v>4429</v>
      </c>
      <c r="CX172" t="s">
        <v>8407</v>
      </c>
      <c r="CY172" t="s">
        <v>77</v>
      </c>
      <c r="CZ172" t="s">
        <v>77</v>
      </c>
      <c r="DA172" t="s">
        <v>750</v>
      </c>
      <c r="DB172" t="s">
        <v>2042</v>
      </c>
      <c r="DC172" t="s">
        <v>7307</v>
      </c>
      <c r="DD172" t="s">
        <v>2727</v>
      </c>
      <c r="DE172" t="s">
        <v>3142</v>
      </c>
      <c r="DF172" t="s">
        <v>1730</v>
      </c>
      <c r="DG172" t="s">
        <v>1956</v>
      </c>
      <c r="DH172" t="s">
        <v>6944</v>
      </c>
      <c r="DI172" t="s">
        <v>2940</v>
      </c>
      <c r="DJ172">
        <v>2</v>
      </c>
      <c r="DK172">
        <f t="shared" si="117"/>
        <v>493</v>
      </c>
      <c r="DL172">
        <f t="shared" si="118"/>
        <v>170</v>
      </c>
      <c r="DM172">
        <v>152</v>
      </c>
      <c r="DN172" t="str">
        <f t="shared" ca="1" si="104"/>
        <v/>
      </c>
      <c r="DO172" t="str">
        <f t="shared" ca="1" si="105"/>
        <v/>
      </c>
      <c r="DP172" t="str">
        <f t="shared" ca="1" si="106"/>
        <v/>
      </c>
      <c r="DQ172" t="str">
        <f>IF(EXACT(Zauber!$A$250,""),"",IF(EXACT(RIGHT(HLOOKUP(Zauber!$A$250,PROFMAGIE,$DK172,FALSE)),"H"),CONCATENATE($CX172,","),""))</f>
        <v/>
      </c>
      <c r="DR172" t="str">
        <f t="shared" si="107"/>
        <v/>
      </c>
      <c r="DS172" t="str">
        <f>IF(ZS_IAAK="Ja",IF(EXACT(RIGHT(HLOOKUP(Tabellen_Magie!$IK$1,PROFMAGIE,$DK172,FALSE)),"H"),CONCATENATE($CX172,","),""),"")</f>
        <v/>
      </c>
      <c r="DT172" t="str">
        <f>IF(ZS_IAAK="Ja",IF(NOT(DS172=""),"",IF(OR(EXACT(RIGHT(HLOOKUP(Tabellen_Magie!$IK$1,PROFMAGIE,$DK172,FALSE)),"B"),EXACT(HLOOKUP(Tabellen_Magie!$IK$1,PROFMAGIE,$DK172,FALSE),"")),"",CONCATENATE($CX172,","))),"")</f>
        <v/>
      </c>
      <c r="DU172" t="str">
        <f t="shared" si="108"/>
        <v/>
      </c>
      <c r="DW172" t="s">
        <v>1083</v>
      </c>
      <c r="DX172" t="s">
        <v>74</v>
      </c>
      <c r="DY172" t="s">
        <v>5030</v>
      </c>
      <c r="DZ172" t="s">
        <v>77</v>
      </c>
      <c r="EB172" t="s">
        <v>8621</v>
      </c>
      <c r="EC172" t="s">
        <v>2573</v>
      </c>
      <c r="ED172">
        <f t="shared" si="121"/>
        <v>50</v>
      </c>
      <c r="EE172" t="s">
        <v>3221</v>
      </c>
      <c r="EH172">
        <f t="shared" si="122"/>
        <v>1</v>
      </c>
      <c r="EI172">
        <v>50</v>
      </c>
      <c r="FD172" t="s">
        <v>595</v>
      </c>
      <c r="FE172">
        <f>ROUND(IF(VT_AKADMAG,FK172*3/4,FK172)*IF(NT_ELFWELT,IF(FN172,1,1.5),1)*IF(VT_EIDGED,0.5,IF(VT_GUTGED,0.75,1)),0)</f>
        <v>200</v>
      </c>
      <c r="FF172">
        <f t="shared" si="125"/>
        <v>4</v>
      </c>
      <c r="FK172">
        <v>200</v>
      </c>
      <c r="FL172">
        <v>3</v>
      </c>
      <c r="FM172" t="b">
        <f t="shared" ca="1" si="123"/>
        <v>0</v>
      </c>
      <c r="FN172" t="b">
        <f t="shared" ca="1" si="124"/>
        <v>0</v>
      </c>
      <c r="GH172" t="s">
        <v>858</v>
      </c>
      <c r="GI172" t="s">
        <v>3290</v>
      </c>
      <c r="GJ172">
        <v>3</v>
      </c>
      <c r="GK172" t="s">
        <v>1396</v>
      </c>
      <c r="GL172" t="s">
        <v>1978</v>
      </c>
      <c r="GM172" t="s">
        <v>1982</v>
      </c>
      <c r="GN172" t="s">
        <v>1690</v>
      </c>
      <c r="GO172">
        <v>272</v>
      </c>
      <c r="GP172">
        <v>149</v>
      </c>
      <c r="GR172">
        <f t="shared" si="111"/>
        <v>521</v>
      </c>
      <c r="GU172" t="str">
        <f t="shared" ca="1" si="112"/>
        <v/>
      </c>
      <c r="GV172" t="str">
        <f t="shared" ca="1" si="113"/>
        <v/>
      </c>
      <c r="GW172" t="str">
        <f t="shared" ca="1" si="114"/>
        <v/>
      </c>
      <c r="GX172" t="str">
        <f t="shared" ca="1" si="115"/>
        <v/>
      </c>
    </row>
    <row r="173" spans="1:206" x14ac:dyDescent="0.2">
      <c r="A173" t="s">
        <v>2158</v>
      </c>
      <c r="B173" t="s">
        <v>74</v>
      </c>
      <c r="C173" t="s">
        <v>76</v>
      </c>
      <c r="D173" t="s">
        <v>750</v>
      </c>
      <c r="E173" t="s">
        <v>339</v>
      </c>
      <c r="F173" t="str">
        <f ca="1">IF(G173="x",IF(MIN(Talente!$O$80,Talente!$O$95)*2&gt;ROUND((Talente!$O$54+Talente!$O$80+Talente!$O$95)/3,0),ROUND((Talente!$O$54+Talente!$O$80+Talente!$O$95)/3,0),IF(MIN(Talente!$O$80,Talente!$O$95)&lt;0,MIN(Talente!$O$80,Talente!$O$95),MIN(Talente!$O$80,Talente!$O$95)*2)),"")</f>
        <v/>
      </c>
      <c r="G173" t="str">
        <f ca="1">IF(NOT(Talente!$O$95=""),"x","")</f>
        <v/>
      </c>
      <c r="AH173" t="s">
        <v>491</v>
      </c>
      <c r="AI173" t="s">
        <v>7224</v>
      </c>
      <c r="AS173" t="s">
        <v>3701</v>
      </c>
      <c r="AT173">
        <v>3</v>
      </c>
      <c r="BK173" t="s">
        <v>2294</v>
      </c>
      <c r="BL173">
        <v>8</v>
      </c>
      <c r="BM173">
        <v>7</v>
      </c>
      <c r="BN173" t="s">
        <v>5152</v>
      </c>
      <c r="BO173">
        <v>10</v>
      </c>
      <c r="BP173" t="s">
        <v>5570</v>
      </c>
      <c r="BQ173">
        <v>1</v>
      </c>
      <c r="BR173">
        <v>10</v>
      </c>
      <c r="BS173" t="s">
        <v>5297</v>
      </c>
      <c r="BT173">
        <v>10</v>
      </c>
      <c r="BU173">
        <v>45</v>
      </c>
      <c r="BW173">
        <v>6</v>
      </c>
      <c r="BY173" t="s">
        <v>4985</v>
      </c>
      <c r="BZ173" t="s">
        <v>4985</v>
      </c>
      <c r="CA173" t="s">
        <v>5571</v>
      </c>
      <c r="CC173" t="s">
        <v>784</v>
      </c>
      <c r="CD173" t="s">
        <v>2634</v>
      </c>
      <c r="CE173" t="s">
        <v>904</v>
      </c>
      <c r="CF173" t="s">
        <v>3231</v>
      </c>
      <c r="CG173" t="s">
        <v>903</v>
      </c>
      <c r="CH173">
        <v>0</v>
      </c>
      <c r="CI173">
        <v>2</v>
      </c>
      <c r="CJ173" t="s">
        <v>1827</v>
      </c>
      <c r="CK173" t="s">
        <v>3044</v>
      </c>
      <c r="CL173" t="s">
        <v>1530</v>
      </c>
      <c r="CN173" t="str">
        <f ca="1">IF(AND(ISERR(FIND($CK173,Talente!$CI$41)),ISNA(VLOOKUP($CK173,$AH$51:$AH$55,1))),IF(AND(ISERR(FIND($CL173,Talente!$CI$41)),ISNA(VLOOKUP($CL173,$AH$51:$AH$55,1))),$CM173,$CL173),$CK173)</f>
        <v>Infanteriewaffen</v>
      </c>
      <c r="CU173" t="s">
        <v>2745</v>
      </c>
      <c r="CX173" t="s">
        <v>2949</v>
      </c>
      <c r="CY173" t="s">
        <v>77</v>
      </c>
      <c r="CZ173" t="s">
        <v>751</v>
      </c>
      <c r="DA173" t="s">
        <v>752</v>
      </c>
      <c r="DB173" t="s">
        <v>2042</v>
      </c>
      <c r="DC173" t="s">
        <v>7294</v>
      </c>
      <c r="DD173" t="s">
        <v>7358</v>
      </c>
      <c r="DE173" t="s">
        <v>1321</v>
      </c>
      <c r="DF173" t="s">
        <v>5062</v>
      </c>
      <c r="DG173" t="s">
        <v>1955</v>
      </c>
      <c r="DH173" t="s">
        <v>6950</v>
      </c>
      <c r="DI173" t="s">
        <v>4435</v>
      </c>
      <c r="DJ173">
        <v>2</v>
      </c>
      <c r="DK173">
        <f t="shared" si="117"/>
        <v>494</v>
      </c>
      <c r="DL173">
        <f t="shared" si="118"/>
        <v>171</v>
      </c>
      <c r="DM173">
        <v>153</v>
      </c>
      <c r="DN173" t="str">
        <f t="shared" ca="1" si="104"/>
        <v/>
      </c>
      <c r="DO173" t="str">
        <f t="shared" ca="1" si="105"/>
        <v/>
      </c>
      <c r="DP173" t="str">
        <f t="shared" ca="1" si="106"/>
        <v/>
      </c>
      <c r="DQ173" t="str">
        <f>IF(EXACT(Zauber!$A$250,""),"",IF(EXACT(RIGHT(HLOOKUP(Zauber!$A$250,PROFMAGIE,$DK173,FALSE)),"H"),CONCATENATE($CX173,","),""))</f>
        <v/>
      </c>
      <c r="DR173" t="str">
        <f t="shared" si="107"/>
        <v/>
      </c>
      <c r="DS173" t="str">
        <f>IF(ZS_IAAK="Ja",IF(EXACT(RIGHT(HLOOKUP(Tabellen_Magie!$IK$1,PROFMAGIE,$DK173,FALSE)),"H"),CONCATENATE($CX173,","),""),"")</f>
        <v/>
      </c>
      <c r="DT173" t="str">
        <f>IF(ZS_IAAK="Ja",IF(NOT(DS173=""),"",IF(OR(EXACT(RIGHT(HLOOKUP(Tabellen_Magie!$IK$1,PROFMAGIE,$DK173,FALSE)),"B"),EXACT(HLOOKUP(Tabellen_Magie!$IK$1,PROFMAGIE,$DK173,FALSE),"")),"",CONCATENATE($CX173,","))),"")</f>
        <v/>
      </c>
      <c r="DU173" t="str">
        <f t="shared" si="108"/>
        <v/>
      </c>
      <c r="DW173" t="s">
        <v>6703</v>
      </c>
      <c r="FD173" t="s">
        <v>3799</v>
      </c>
      <c r="FE173">
        <f>ROUND(FK173*IF(VT_AKADMAG,3/4,1)*IF(NT_ELFWELT,IF(FN173,1,1.5),1),0)</f>
        <v>150</v>
      </c>
      <c r="FF173">
        <f t="shared" si="125"/>
        <v>3</v>
      </c>
      <c r="FK173">
        <v>150</v>
      </c>
      <c r="FL173">
        <v>4</v>
      </c>
      <c r="FM173" t="b">
        <f t="shared" ca="1" si="123"/>
        <v>0</v>
      </c>
      <c r="FN173" t="b">
        <f t="shared" ca="1" si="124"/>
        <v>1</v>
      </c>
      <c r="GH173" t="s">
        <v>859</v>
      </c>
      <c r="GI173" t="s">
        <v>3290</v>
      </c>
      <c r="GJ173">
        <v>3</v>
      </c>
      <c r="GK173" t="s">
        <v>4116</v>
      </c>
      <c r="GL173" t="s">
        <v>1977</v>
      </c>
      <c r="GM173" t="s">
        <v>1982</v>
      </c>
      <c r="GN173" t="s">
        <v>1975</v>
      </c>
      <c r="GO173">
        <v>282</v>
      </c>
      <c r="GP173">
        <v>151</v>
      </c>
      <c r="GR173">
        <f t="shared" si="111"/>
        <v>522</v>
      </c>
      <c r="GU173" t="str">
        <f t="shared" ca="1" si="112"/>
        <v/>
      </c>
      <c r="GV173" t="str">
        <f t="shared" ca="1" si="113"/>
        <v/>
      </c>
      <c r="GW173" t="str">
        <f t="shared" ca="1" si="114"/>
        <v/>
      </c>
      <c r="GX173" t="str">
        <f t="shared" ca="1" si="115"/>
        <v/>
      </c>
    </row>
    <row r="174" spans="1:206" x14ac:dyDescent="0.2">
      <c r="A174" t="s">
        <v>2160</v>
      </c>
      <c r="B174" t="s">
        <v>74</v>
      </c>
      <c r="C174" t="s">
        <v>76</v>
      </c>
      <c r="D174" t="s">
        <v>5030</v>
      </c>
      <c r="E174" t="s">
        <v>339</v>
      </c>
      <c r="F174">
        <f ca="1">IF(G174="x",IF(MIN(Talente!$O$51,Talente!$O$54)*2&gt;ROUND((Talente!$O$54+2*Talente!$O$51)/3,0),ROUND((Talente!$O$54+2*Talente!$O$51)/3,0),IF(MIN(Talente!$O$51,Talente!$O$54)&lt;0,MIN(Talente!$O$51,Talente!$O$54),MIN(Talente!$O$51,Talente!$O$54)*2)),"")</f>
        <v>0</v>
      </c>
      <c r="G174" t="s">
        <v>3215</v>
      </c>
      <c r="AH174" t="s">
        <v>1054</v>
      </c>
      <c r="AI174" t="s">
        <v>7225</v>
      </c>
      <c r="AS174" t="s">
        <v>3690</v>
      </c>
      <c r="AT174">
        <v>3</v>
      </c>
      <c r="BK174" t="s">
        <v>5572</v>
      </c>
      <c r="BL174">
        <v>8</v>
      </c>
      <c r="BM174">
        <v>7</v>
      </c>
      <c r="BN174" t="s">
        <v>5152</v>
      </c>
      <c r="BO174">
        <v>11</v>
      </c>
      <c r="BP174" t="s">
        <v>5570</v>
      </c>
      <c r="BQ174">
        <v>1</v>
      </c>
      <c r="BR174">
        <v>10</v>
      </c>
      <c r="BS174" t="s">
        <v>5297</v>
      </c>
      <c r="BT174">
        <v>10</v>
      </c>
      <c r="BU174">
        <v>45</v>
      </c>
      <c r="BW174">
        <v>6</v>
      </c>
      <c r="BY174" t="s">
        <v>4985</v>
      </c>
      <c r="BZ174" t="s">
        <v>4985</v>
      </c>
      <c r="CA174" t="s">
        <v>5571</v>
      </c>
      <c r="CC174" t="s">
        <v>784</v>
      </c>
      <c r="CD174" t="s">
        <v>2635</v>
      </c>
      <c r="CE174" t="s">
        <v>912</v>
      </c>
      <c r="CF174" t="s">
        <v>907</v>
      </c>
      <c r="CG174" t="s">
        <v>908</v>
      </c>
      <c r="CH174">
        <v>-1</v>
      </c>
      <c r="CI174">
        <v>2</v>
      </c>
      <c r="CJ174" t="s">
        <v>905</v>
      </c>
      <c r="CK174" t="s">
        <v>1825</v>
      </c>
      <c r="CN174" t="str">
        <f ca="1">IF(AND(ISERR(FIND($CK174,Talente!$CI$41)),ISNA(VLOOKUP($CK174,$AH$51:$AH$55,1))),IF(AND(ISERR(FIND($CL174,Talente!$CI$41)),ISNA(VLOOKUP($CL174,$AH$51:$AH$55,1))),$CM174,$CL174),$CK174)</f>
        <v>Zweihandschwerter/-säbel</v>
      </c>
      <c r="CU174" t="s">
        <v>3585</v>
      </c>
      <c r="CX174" t="s">
        <v>2950</v>
      </c>
      <c r="CY174" t="s">
        <v>76</v>
      </c>
      <c r="CZ174" t="s">
        <v>77</v>
      </c>
      <c r="DA174" t="s">
        <v>5030</v>
      </c>
      <c r="DB174" t="s">
        <v>2042</v>
      </c>
      <c r="DC174" t="s">
        <v>2456</v>
      </c>
      <c r="DD174" t="s">
        <v>1134</v>
      </c>
      <c r="DE174" t="s">
        <v>1321</v>
      </c>
      <c r="DF174" t="s">
        <v>81</v>
      </c>
      <c r="DG174" t="s">
        <v>1828</v>
      </c>
      <c r="DH174" t="s">
        <v>6951</v>
      </c>
      <c r="DI174" t="s">
        <v>3207</v>
      </c>
      <c r="DJ174">
        <v>2</v>
      </c>
      <c r="DK174">
        <f t="shared" si="117"/>
        <v>495</v>
      </c>
      <c r="DL174">
        <f t="shared" si="118"/>
        <v>172</v>
      </c>
      <c r="DM174">
        <v>154</v>
      </c>
      <c r="DN174" t="str">
        <f t="shared" ca="1" si="104"/>
        <v/>
      </c>
      <c r="DO174" t="str">
        <f t="shared" ca="1" si="105"/>
        <v/>
      </c>
      <c r="DP174" t="str">
        <f t="shared" ca="1" si="106"/>
        <v/>
      </c>
      <c r="DQ174" t="str">
        <f>IF(EXACT(Zauber!$A$250,""),"",IF(EXACT(RIGHT(HLOOKUP(Zauber!$A$250,PROFMAGIE,$DK174,FALSE)),"H"),CONCATENATE($CX174,","),""))</f>
        <v/>
      </c>
      <c r="DR174" t="str">
        <f t="shared" si="107"/>
        <v/>
      </c>
      <c r="DS174" t="str">
        <f>IF(ZS_IAAK="Ja",IF(EXACT(RIGHT(HLOOKUP(Tabellen_Magie!$IK$1,PROFMAGIE,$DK174,FALSE)),"H"),CONCATENATE($CX174,","),""),"")</f>
        <v/>
      </c>
      <c r="DT174" t="str">
        <f>IF(ZS_IAAK="Ja",IF(NOT(DS174=""),"",IF(OR(EXACT(RIGHT(HLOOKUP(Tabellen_Magie!$IK$1,PROFMAGIE,$DK174,FALSE)),"B"),EXACT(HLOOKUP(Tabellen_Magie!$IK$1,PROFMAGIE,$DK174,FALSE),"")),"",CONCATENATE($CX174,","))),"")</f>
        <v/>
      </c>
      <c r="DU174" t="str">
        <f t="shared" si="108"/>
        <v/>
      </c>
      <c r="DW174" t="s">
        <v>3934</v>
      </c>
      <c r="EB174" t="s">
        <v>4472</v>
      </c>
      <c r="EC174" t="s">
        <v>8622</v>
      </c>
      <c r="ED174">
        <f t="shared" ref="ED174:ED185" si="126">ROUND(EI174*IF(VT_EIDGED,0.5,IF(VT_GUTGED,0.75,1)),0)</f>
        <v>100</v>
      </c>
      <c r="EE174" t="s">
        <v>3282</v>
      </c>
      <c r="EH174">
        <f t="shared" ref="EH174:EH196" si="127">ROUNDUP($ED174/50,0)</f>
        <v>2</v>
      </c>
      <c r="EI174">
        <v>100</v>
      </c>
      <c r="FD174" t="s">
        <v>8814</v>
      </c>
      <c r="FE174">
        <f>ROUND(FK174*IF(VT_AKADMAG,3/4,1)*IF(NT_ELFWELT,IF(FN174,1,1.5),1),0)</f>
        <v>200</v>
      </c>
      <c r="FF174">
        <f>ROUND(FE174/50,0)</f>
        <v>4</v>
      </c>
      <c r="FK174">
        <v>200</v>
      </c>
      <c r="FL174">
        <v>4</v>
      </c>
      <c r="FM174" t="b">
        <f ca="1">IF(OR(IF(NOT(ISNA(VLOOKUP(FD174,SF_Verbilligt_Left,3,FALSE))),VLOOKUP(FD174,SF_Verbilligt_Left,3,FALSE)="x",FALSE),IF(NOT(ISNA(VLOOKUP(FD174,SF_Verbilligt_Right,8,FALSE))),VLOOKUP(FD174,SF_Verbilligt_Right,8,FALSE)="x",FALSE)),TRUE,FALSE)</f>
        <v>0</v>
      </c>
      <c r="FN174" t="b">
        <f ca="1">OR(FM174,NOT(ISERROR(FIND(FD174,$FN$3,1))))</f>
        <v>0</v>
      </c>
      <c r="GH174" t="s">
        <v>860</v>
      </c>
      <c r="GI174" t="s">
        <v>3290</v>
      </c>
      <c r="GJ174">
        <v>3</v>
      </c>
      <c r="GK174" t="s">
        <v>1320</v>
      </c>
      <c r="GL174" t="s">
        <v>1979</v>
      </c>
      <c r="GM174" t="s">
        <v>1369</v>
      </c>
      <c r="GN174" t="s">
        <v>1974</v>
      </c>
      <c r="GO174">
        <v>276</v>
      </c>
      <c r="GP174">
        <v>154</v>
      </c>
      <c r="GR174">
        <f t="shared" si="111"/>
        <v>523</v>
      </c>
      <c r="GU174" t="str">
        <f t="shared" ca="1" si="112"/>
        <v/>
      </c>
      <c r="GV174" t="str">
        <f t="shared" ca="1" si="113"/>
        <v/>
      </c>
      <c r="GW174" t="str">
        <f t="shared" ca="1" si="114"/>
        <v/>
      </c>
      <c r="GX174" t="str">
        <f t="shared" ca="1" si="115"/>
        <v/>
      </c>
    </row>
    <row r="175" spans="1:206" x14ac:dyDescent="0.2">
      <c r="A175" t="s">
        <v>7148</v>
      </c>
      <c r="B175" t="s">
        <v>74</v>
      </c>
      <c r="C175" t="s">
        <v>75</v>
      </c>
      <c r="D175" t="s">
        <v>77</v>
      </c>
      <c r="E175" t="s">
        <v>339</v>
      </c>
      <c r="F175" t="str">
        <f ca="1">IF(G175="x",ROUND(SUM(2*MU,KL,CH,Zauber!$AX$3)/5,0),"")</f>
        <v/>
      </c>
      <c r="G175" t="str">
        <f ca="1">IF(NOT(Zauber!$AX$3&lt;=0),"x","")</f>
        <v/>
      </c>
      <c r="AH175" t="s">
        <v>1705</v>
      </c>
      <c r="AI175" t="s">
        <v>7226</v>
      </c>
      <c r="AS175" t="s">
        <v>3690</v>
      </c>
      <c r="AT175">
        <v>3</v>
      </c>
      <c r="BK175" t="s">
        <v>5573</v>
      </c>
      <c r="BL175">
        <v>9</v>
      </c>
      <c r="BM175">
        <v>7</v>
      </c>
      <c r="BN175" t="s">
        <v>5152</v>
      </c>
      <c r="BO175">
        <v>11</v>
      </c>
      <c r="BP175" t="s">
        <v>5570</v>
      </c>
      <c r="BQ175">
        <v>1</v>
      </c>
      <c r="BR175">
        <v>10</v>
      </c>
      <c r="BS175" t="s">
        <v>5297</v>
      </c>
      <c r="BT175">
        <v>10</v>
      </c>
      <c r="BU175">
        <v>45</v>
      </c>
      <c r="BW175">
        <v>6</v>
      </c>
      <c r="BY175" t="s">
        <v>4985</v>
      </c>
      <c r="BZ175" t="s">
        <v>4985</v>
      </c>
      <c r="CA175" t="s">
        <v>5571</v>
      </c>
      <c r="CC175" t="s">
        <v>784</v>
      </c>
      <c r="CD175" t="s">
        <v>2636</v>
      </c>
      <c r="CE175" t="s">
        <v>4549</v>
      </c>
      <c r="CF175" t="s">
        <v>917</v>
      </c>
      <c r="CG175" t="s">
        <v>277</v>
      </c>
      <c r="CH175">
        <v>1</v>
      </c>
      <c r="CI175">
        <v>4</v>
      </c>
      <c r="CJ175" t="s">
        <v>899</v>
      </c>
      <c r="CK175" t="s">
        <v>1531</v>
      </c>
      <c r="CN175" t="str">
        <f ca="1">IF(AND(ISERR(FIND($CK175,Talente!$CI$41)),ISNA(VLOOKUP($CK175,$AH$51:$AH$55,1))),IF(AND(ISERR(FIND($CL175,Talente!$CI$41)),ISNA(VLOOKUP($CL175,$AH$51:$AH$55,1))),$CM175,$CL175),$CK175)</f>
        <v>Stäbe</v>
      </c>
      <c r="CU175" t="s">
        <v>2247</v>
      </c>
      <c r="CX175" t="s">
        <v>2951</v>
      </c>
      <c r="CY175" t="s">
        <v>74</v>
      </c>
      <c r="CZ175" t="s">
        <v>76</v>
      </c>
      <c r="DA175" t="s">
        <v>751</v>
      </c>
      <c r="DC175" t="s">
        <v>7290</v>
      </c>
      <c r="DD175" t="s">
        <v>3337</v>
      </c>
      <c r="DE175" t="s">
        <v>4484</v>
      </c>
      <c r="DF175" t="s">
        <v>3338</v>
      </c>
      <c r="DG175" t="s">
        <v>1955</v>
      </c>
      <c r="DH175" t="s">
        <v>6952</v>
      </c>
      <c r="DI175" t="s">
        <v>584</v>
      </c>
      <c r="DJ175">
        <v>2</v>
      </c>
      <c r="DK175">
        <f t="shared" si="117"/>
        <v>496</v>
      </c>
      <c r="DL175">
        <f t="shared" si="118"/>
        <v>173</v>
      </c>
      <c r="DM175">
        <v>155</v>
      </c>
      <c r="DN175" t="str">
        <f t="shared" ca="1" si="104"/>
        <v/>
      </c>
      <c r="DO175" t="str">
        <f t="shared" ca="1" si="105"/>
        <v/>
      </c>
      <c r="DP175" t="str">
        <f t="shared" ca="1" si="106"/>
        <v/>
      </c>
      <c r="DQ175" t="str">
        <f>IF(EXACT(Zauber!$A$250,""),"",IF(EXACT(RIGHT(HLOOKUP(Zauber!$A$250,PROFMAGIE,$DK175,FALSE)),"H"),CONCATENATE($CX175,","),""))</f>
        <v/>
      </c>
      <c r="DR175" t="str">
        <f t="shared" si="107"/>
        <v/>
      </c>
      <c r="DS175" t="str">
        <f>IF(ZS_IAAK="Ja",IF(EXACT(RIGHT(HLOOKUP(Tabellen_Magie!$IK$1,PROFMAGIE,$DK175,FALSE)),"H"),CONCATENATE($CX175,","),""),"")</f>
        <v/>
      </c>
      <c r="DT175" t="str">
        <f>IF(ZS_IAAK="Ja",IF(NOT(DS175=""),"",IF(OR(EXACT(RIGHT(HLOOKUP(Tabellen_Magie!$IK$1,PROFMAGIE,$DK175,FALSE)),"B"),EXACT(HLOOKUP(Tabellen_Magie!$IK$1,PROFMAGIE,$DK175,FALSE),"")),"",CONCATENATE($CX175,","))),"")</f>
        <v/>
      </c>
      <c r="DU175" t="str">
        <f t="shared" si="108"/>
        <v/>
      </c>
      <c r="DV175" t="s">
        <v>2914</v>
      </c>
      <c r="DW175" t="s">
        <v>1469</v>
      </c>
      <c r="DX175" t="s">
        <v>74</v>
      </c>
      <c r="DY175" t="s">
        <v>76</v>
      </c>
      <c r="DZ175" t="s">
        <v>77</v>
      </c>
      <c r="EA175" t="s">
        <v>2341</v>
      </c>
      <c r="EB175" t="s">
        <v>5058</v>
      </c>
      <c r="EC175" t="s">
        <v>2269</v>
      </c>
      <c r="ED175">
        <f t="shared" si="126"/>
        <v>250</v>
      </c>
      <c r="EE175" t="s">
        <v>3282</v>
      </c>
      <c r="EH175">
        <f t="shared" si="127"/>
        <v>5</v>
      </c>
      <c r="EI175">
        <v>250</v>
      </c>
      <c r="FD175" t="s">
        <v>8815</v>
      </c>
      <c r="FE175">
        <f>ROUND(FK175*IF(VT_AKADMAG,3/4,1)*IF(NT_ELFWELT,IF(FN175,1,1.5),1),0)</f>
        <v>200</v>
      </c>
      <c r="FF175">
        <f>ROUND(FE175/50,0)</f>
        <v>4</v>
      </c>
      <c r="FK175">
        <v>200</v>
      </c>
      <c r="FL175">
        <v>4</v>
      </c>
      <c r="FM175" t="b">
        <f ca="1">IF(OR(IF(NOT(ISNA(VLOOKUP(FD175,SF_Verbilligt_Left,3,FALSE))),VLOOKUP(FD175,SF_Verbilligt_Left,3,FALSE)="x",FALSE),IF(NOT(ISNA(VLOOKUP(FD175,SF_Verbilligt_Right,8,FALSE))),VLOOKUP(FD175,SF_Verbilligt_Right,8,FALSE)="x",FALSE)),TRUE,FALSE)</f>
        <v>0</v>
      </c>
      <c r="FN175" t="b">
        <f ca="1">OR(FM175,NOT(ISERROR(FIND(FD175,$FN$3,1))))</f>
        <v>0</v>
      </c>
      <c r="GH175" t="s">
        <v>9368</v>
      </c>
      <c r="GI175" t="s">
        <v>3290</v>
      </c>
      <c r="GJ175">
        <v>3</v>
      </c>
      <c r="GK175" t="s">
        <v>1320</v>
      </c>
      <c r="GL175" t="s">
        <v>1977</v>
      </c>
      <c r="GM175" t="s">
        <v>1982</v>
      </c>
      <c r="GN175" t="s">
        <v>1974</v>
      </c>
      <c r="GO175" t="s">
        <v>9314</v>
      </c>
      <c r="GP175">
        <v>156</v>
      </c>
      <c r="GR175">
        <f t="shared" si="111"/>
        <v>524</v>
      </c>
      <c r="GS175">
        <v>4</v>
      </c>
      <c r="GU175" t="str">
        <f t="shared" ref="GU175:GU176" ca="1" si="128">IF(OR(EXACT(PROFGEBGENE,"Goetter"),GOETTER_EIGN),IF(AND(NOT(GH175=LIT_0),EXACT(UPPER(HLOOKUP(PROFGENE,INDIRECT(PROFGEBIET),$GR175,FALSE)),"X")),"x",""),IF(AKTIV_SPTWHE,IF(EXACT(UPPER(HLOOKUP(PROFSPTWHE,SPTWHE,$GR175,FALSE)),"X"),"x",""),""))</f>
        <v/>
      </c>
      <c r="GV175" t="str">
        <f t="shared" ref="GV175:GV176" ca="1" si="129">IF(OR(EXACT(PROFGEBGENE,"Goetter"),GOETTER_EIGN),IF(AND(NOT(GH175=LIT_0),EXACT(UPPER(HLOOKUP(PROFGENE,INDIRECT(PROFGEBIET),$GR175,FALSE)),"V")),"x",""),IF(AKTIV_SPTWHE,IF(EXACT(UPPER(HLOOKUP(PROFSPTWHE,SPTWHE,$GR175,FALSE)),"V"),"x",""),""))&amp;
IF(PROFGEBZWEITE="Goetter (BGB)",IF(AND(NOT(GH175=LIT_0),OR(EXACT(UPPER(HLOOKUP(PROFZWEITE,INDIRECT(PROFGEBIET2),$GR175,FALSE)),"V"),EXACT(UPPER(HLOOKUP(PROFZWEITE,INDIRECT(PROFGEBIET2),$GR175,FALSE)),"X"))),"x",""),"")</f>
        <v/>
      </c>
      <c r="GW175" t="str">
        <f t="shared" ref="GW175:GW176" ca="1" si="130">IF(OR(EXACT(PROFGEBGENE,"Goetter"),GOETTER_EIGN),IF(AND(GU175="",GV175="",NOT(GH175=LIT_0),EXACT(UPPER(HLOOKUP(PROFGENE,INDIRECT(PROFGEBIET),$GR175,FALSE)),"B")),"x",""),IF(AKTIV_SPTWHE,IF(EXACT(UPPER(HLOOKUP(PROFSPTWHE,SPTWHE,$GR175,FALSE)),"B"),"x",""),""))&amp;
IF(PROFGEBZWEITE="Goetter (BGB)",IF(AND(GU175="",GV175="",NOT(GH175=LIT_0),EXACT(UPPER(HLOOKUP(PROFZWEITE,INDIRECT(PROFGEBIET2),$GR175,FALSE)),"B")),"x",""),"")</f>
        <v/>
      </c>
      <c r="GX175" t="str">
        <f t="shared" ref="GX175:GX176" ca="1" si="131">IF(OR(NOT(GW175=""),NOT(GU175=""),NOT(GV175="")),CONCATENATE($GH175,","),"")</f>
        <v/>
      </c>
    </row>
    <row r="176" spans="1:206" x14ac:dyDescent="0.2">
      <c r="A176" t="s">
        <v>7149</v>
      </c>
      <c r="B176" t="s">
        <v>74</v>
      </c>
      <c r="C176" t="s">
        <v>75</v>
      </c>
      <c r="D176" t="s">
        <v>77</v>
      </c>
      <c r="E176" t="s">
        <v>339</v>
      </c>
      <c r="F176" t="str">
        <f ca="1">IF(G176="x",ROUND(SUM(2*MU,KL,CH,Zauber!$AY$3)/5,0),"")</f>
        <v/>
      </c>
      <c r="G176" t="str">
        <f ca="1">IF(NOT(Zauber!$AY$3&lt;=0),"x","")</f>
        <v/>
      </c>
      <c r="AH176" t="s">
        <v>1001</v>
      </c>
      <c r="AI176" t="s">
        <v>7227</v>
      </c>
      <c r="AS176" t="s">
        <v>3702</v>
      </c>
      <c r="AT176">
        <v>3</v>
      </c>
      <c r="BK176" t="s">
        <v>5574</v>
      </c>
      <c r="BL176">
        <v>9</v>
      </c>
      <c r="BM176">
        <v>7</v>
      </c>
      <c r="BN176" t="s">
        <v>5152</v>
      </c>
      <c r="BO176">
        <v>11</v>
      </c>
      <c r="BP176" t="s">
        <v>5570</v>
      </c>
      <c r="BQ176">
        <v>1</v>
      </c>
      <c r="BR176">
        <v>10</v>
      </c>
      <c r="BS176" t="s">
        <v>5297</v>
      </c>
      <c r="BT176">
        <v>10</v>
      </c>
      <c r="BU176">
        <v>45</v>
      </c>
      <c r="BW176">
        <v>6</v>
      </c>
      <c r="BY176" t="s">
        <v>4985</v>
      </c>
      <c r="BZ176" t="s">
        <v>4985</v>
      </c>
      <c r="CA176" t="s">
        <v>5571</v>
      </c>
      <c r="CC176" t="s">
        <v>784</v>
      </c>
      <c r="CD176" t="s">
        <v>2637</v>
      </c>
      <c r="CE176" t="s">
        <v>904</v>
      </c>
      <c r="CF176" t="s">
        <v>4554</v>
      </c>
      <c r="CG176" t="s">
        <v>908</v>
      </c>
      <c r="CH176">
        <v>-1</v>
      </c>
      <c r="CI176">
        <v>1</v>
      </c>
      <c r="CJ176" t="s">
        <v>899</v>
      </c>
      <c r="CK176" t="s">
        <v>3629</v>
      </c>
      <c r="CN176" t="str">
        <f ca="1">IF(AND(ISERR(FIND($CK176,Talente!$CI$41)),ISNA(VLOOKUP($CK176,$AH$51:$AH$55,1))),IF(AND(ISERR(FIND($CL176,Talente!$CI$41)),ISNA(VLOOKUP($CL176,$AH$51:$AH$55,1))),$CM176,$CL176),$CK176)</f>
        <v>Zweihand-Hiebwaffen</v>
      </c>
      <c r="CU176" t="s">
        <v>4132</v>
      </c>
      <c r="CX176" t="s">
        <v>2952</v>
      </c>
      <c r="CY176" t="s">
        <v>74</v>
      </c>
      <c r="CZ176" t="s">
        <v>75</v>
      </c>
      <c r="DA176" t="s">
        <v>751</v>
      </c>
      <c r="DC176" t="s">
        <v>7290</v>
      </c>
      <c r="DD176" t="s">
        <v>3202</v>
      </c>
      <c r="DE176" t="s">
        <v>4484</v>
      </c>
      <c r="DF176" t="s">
        <v>3338</v>
      </c>
      <c r="DG176" t="s">
        <v>1828</v>
      </c>
      <c r="DH176" t="s">
        <v>8430</v>
      </c>
      <c r="DI176" t="s">
        <v>585</v>
      </c>
      <c r="DJ176">
        <v>2</v>
      </c>
      <c r="DK176">
        <f t="shared" si="117"/>
        <v>497</v>
      </c>
      <c r="DL176">
        <f t="shared" si="118"/>
        <v>174</v>
      </c>
      <c r="DM176">
        <v>157</v>
      </c>
      <c r="DN176" t="str">
        <f t="shared" ca="1" si="104"/>
        <v/>
      </c>
      <c r="DO176" t="str">
        <f t="shared" ca="1" si="105"/>
        <v/>
      </c>
      <c r="DP176" t="str">
        <f t="shared" ca="1" si="106"/>
        <v/>
      </c>
      <c r="DQ176" t="str">
        <f>IF(EXACT(Zauber!$A$250,""),"",IF(EXACT(RIGHT(HLOOKUP(Zauber!$A$250,PROFMAGIE,$DK176,FALSE)),"H"),CONCATENATE($CX176,","),""))</f>
        <v/>
      </c>
      <c r="DR176" t="str">
        <f t="shared" si="107"/>
        <v/>
      </c>
      <c r="DS176" t="str">
        <f>IF(ZS_IAAK="Ja",IF(EXACT(RIGHT(HLOOKUP(Tabellen_Magie!$IK$1,PROFMAGIE,$DK176,FALSE)),"H"),CONCATENATE($CX176,","),""),"")</f>
        <v/>
      </c>
      <c r="DT176" t="str">
        <f>IF(ZS_IAAK="Ja",IF(NOT(DS176=""),"",IF(OR(EXACT(RIGHT(HLOOKUP(Tabellen_Magie!$IK$1,PROFMAGIE,$DK176,FALSE)),"B"),EXACT(HLOOKUP(Tabellen_Magie!$IK$1,PROFMAGIE,$DK176,FALSE),"")),"",CONCATENATE($CX176,","))),"")</f>
        <v/>
      </c>
      <c r="DU176" t="str">
        <f t="shared" si="108"/>
        <v/>
      </c>
      <c r="DW176" t="s">
        <v>257</v>
      </c>
      <c r="DX176" t="s">
        <v>75</v>
      </c>
      <c r="DY176" t="s">
        <v>76</v>
      </c>
      <c r="DZ176" t="s">
        <v>5030</v>
      </c>
      <c r="EB176" t="s">
        <v>1358</v>
      </c>
      <c r="EC176" t="s">
        <v>8623</v>
      </c>
      <c r="ED176">
        <f t="shared" si="126"/>
        <v>75</v>
      </c>
      <c r="EE176" t="s">
        <v>3282</v>
      </c>
      <c r="EH176">
        <f t="shared" si="127"/>
        <v>2</v>
      </c>
      <c r="EI176">
        <v>75</v>
      </c>
      <c r="FD176" t="s">
        <v>596</v>
      </c>
      <c r="FE176">
        <f ca="1">ROUND(IF(VT_AKADMAG,FK176*3/4,FK176)*IF(NT_ELFWELT,IF(FN176,1,1.5),1)*IF(NOT(ISERROR(FIND("Meta",'Zauber 2'!$D$84,1))),0.5,1),0)</f>
        <v>200</v>
      </c>
      <c r="FF176">
        <f ca="1">ROUND(FE176/50,0)</f>
        <v>4</v>
      </c>
      <c r="FK176">
        <v>200</v>
      </c>
      <c r="FL176">
        <v>3</v>
      </c>
      <c r="FM176" t="b">
        <f t="shared" ca="1" si="123"/>
        <v>0</v>
      </c>
      <c r="FN176" t="b">
        <f t="shared" ca="1" si="124"/>
        <v>0</v>
      </c>
      <c r="GH176" t="s">
        <v>1707</v>
      </c>
      <c r="GI176" t="s">
        <v>3290</v>
      </c>
      <c r="GJ176">
        <v>3</v>
      </c>
      <c r="GK176" t="s">
        <v>4116</v>
      </c>
      <c r="GL176" t="s">
        <v>567</v>
      </c>
      <c r="GM176" t="s">
        <v>1982</v>
      </c>
      <c r="GN176" t="s">
        <v>1973</v>
      </c>
      <c r="GO176">
        <v>288</v>
      </c>
      <c r="GP176">
        <v>98</v>
      </c>
      <c r="GR176">
        <f t="shared" si="111"/>
        <v>525</v>
      </c>
      <c r="GU176" t="str">
        <f t="shared" ca="1" si="128"/>
        <v/>
      </c>
      <c r="GV176" t="str">
        <f t="shared" ca="1" si="129"/>
        <v/>
      </c>
      <c r="GW176" t="str">
        <f t="shared" ca="1" si="130"/>
        <v/>
      </c>
      <c r="GX176" t="str">
        <f t="shared" ca="1" si="131"/>
        <v/>
      </c>
    </row>
    <row r="177" spans="1:206" x14ac:dyDescent="0.2">
      <c r="A177" t="s">
        <v>7145</v>
      </c>
      <c r="B177" t="s">
        <v>74</v>
      </c>
      <c r="C177" t="s">
        <v>75</v>
      </c>
      <c r="D177" t="s">
        <v>77</v>
      </c>
      <c r="E177" t="s">
        <v>339</v>
      </c>
      <c r="F177" t="str">
        <f ca="1">IF(G177="x",ROUND(SUM(2*MU,KL,CH,Zauber!$B$203)/5,0),"")</f>
        <v/>
      </c>
      <c r="G177" t="str">
        <f ca="1">IF(SF!AS59="X","x","")</f>
        <v/>
      </c>
      <c r="AH177" t="s">
        <v>2905</v>
      </c>
      <c r="AI177" t="s">
        <v>7228</v>
      </c>
      <c r="AS177" t="s">
        <v>3703</v>
      </c>
      <c r="AT177">
        <v>3</v>
      </c>
      <c r="BK177" t="s">
        <v>5575</v>
      </c>
      <c r="BL177">
        <v>8</v>
      </c>
      <c r="BM177">
        <v>7</v>
      </c>
      <c r="BN177" t="s">
        <v>5152</v>
      </c>
      <c r="BO177">
        <v>11</v>
      </c>
      <c r="BP177" t="s">
        <v>5570</v>
      </c>
      <c r="BQ177">
        <v>1</v>
      </c>
      <c r="BR177">
        <v>10</v>
      </c>
      <c r="BS177" t="s">
        <v>5297</v>
      </c>
      <c r="BT177">
        <v>10</v>
      </c>
      <c r="BU177">
        <v>45</v>
      </c>
      <c r="BW177">
        <v>6</v>
      </c>
      <c r="BY177" t="s">
        <v>4985</v>
      </c>
      <c r="BZ177" t="s">
        <v>4985</v>
      </c>
      <c r="CA177" t="s">
        <v>5571</v>
      </c>
      <c r="CC177" t="s">
        <v>784</v>
      </c>
      <c r="CD177" t="s">
        <v>7178</v>
      </c>
      <c r="CE177" t="s">
        <v>904</v>
      </c>
      <c r="CF177" t="s">
        <v>272</v>
      </c>
      <c r="CG177" t="s">
        <v>908</v>
      </c>
      <c r="CH177">
        <v>-1</v>
      </c>
      <c r="CI177">
        <v>1</v>
      </c>
      <c r="CJ177" t="s">
        <v>899</v>
      </c>
      <c r="CK177" t="s">
        <v>2190</v>
      </c>
      <c r="CN177" t="str">
        <f ca="1">IF(AND(ISERR(FIND($CK177,Talente!$CI$41)),ISNA(VLOOKUP($CK177,$AH$51:$AH$55,1))),IF(AND(ISERR(FIND($CL177,Talente!$CI$41)),ISNA(VLOOKUP($CL177,$AH$51:$AH$55,1))),$CM177,$CL177),$CK177)</f>
        <v>Hiebwaffen</v>
      </c>
      <c r="CU177" t="s">
        <v>4133</v>
      </c>
      <c r="CX177" t="s">
        <v>369</v>
      </c>
      <c r="CY177" t="s">
        <v>74</v>
      </c>
      <c r="CZ177" t="s">
        <v>75</v>
      </c>
      <c r="DA177" t="s">
        <v>751</v>
      </c>
      <c r="DC177" t="s">
        <v>7290</v>
      </c>
      <c r="DD177" t="s">
        <v>819</v>
      </c>
      <c r="DE177" t="s">
        <v>4484</v>
      </c>
      <c r="DF177" t="s">
        <v>3338</v>
      </c>
      <c r="DG177" t="s">
        <v>1828</v>
      </c>
      <c r="DH177" t="s">
        <v>6881</v>
      </c>
      <c r="DI177" t="s">
        <v>586</v>
      </c>
      <c r="DJ177">
        <v>2</v>
      </c>
      <c r="DK177">
        <f t="shared" ref="DK177:DK209" si="132">VLOOKUP($CX177,ZEILENBEZUG,2,FALSE)</f>
        <v>498</v>
      </c>
      <c r="DL177">
        <f t="shared" si="118"/>
        <v>175</v>
      </c>
      <c r="DM177">
        <v>159</v>
      </c>
      <c r="DN177" t="str">
        <f t="shared" ca="1" si="104"/>
        <v/>
      </c>
      <c r="DO177" t="str">
        <f t="shared" ca="1" si="105"/>
        <v/>
      </c>
      <c r="DP177" t="str">
        <f t="shared" ca="1" si="106"/>
        <v/>
      </c>
      <c r="DQ177" t="str">
        <f>IF(EXACT(Zauber!$A$250,""),"",IF(EXACT(RIGHT(HLOOKUP(Zauber!$A$250,PROFMAGIE,$DK177,FALSE)),"H"),CONCATENATE($CX177,","),""))</f>
        <v/>
      </c>
      <c r="DR177" t="str">
        <f t="shared" si="107"/>
        <v/>
      </c>
      <c r="DS177" t="str">
        <f>IF(ZS_IAAK="Ja",IF(EXACT(RIGHT(HLOOKUP(Tabellen_Magie!$IK$1,PROFMAGIE,$DK177,FALSE)),"H"),CONCATENATE($CX177,","),""),"")</f>
        <v/>
      </c>
      <c r="DT177" t="str">
        <f>IF(ZS_IAAK="Ja",IF(NOT(DS177=""),"",IF(OR(EXACT(RIGHT(HLOOKUP(Tabellen_Magie!$IK$1,PROFMAGIE,$DK177,FALSE)),"B"),EXACT(HLOOKUP(Tabellen_Magie!$IK$1,PROFMAGIE,$DK177,FALSE),"")),"",CONCATENATE($CX177,","))),"")</f>
        <v/>
      </c>
      <c r="DU177" t="str">
        <f t="shared" si="108"/>
        <v/>
      </c>
      <c r="DW177" t="s">
        <v>258</v>
      </c>
      <c r="DX177" t="s">
        <v>74</v>
      </c>
      <c r="DY177" t="s">
        <v>74</v>
      </c>
      <c r="DZ177" t="s">
        <v>76</v>
      </c>
      <c r="EB177" t="s">
        <v>8624</v>
      </c>
      <c r="EC177" t="s">
        <v>8625</v>
      </c>
      <c r="ED177">
        <f t="shared" si="126"/>
        <v>150</v>
      </c>
      <c r="EE177" t="s">
        <v>3282</v>
      </c>
      <c r="EH177">
        <f t="shared" si="127"/>
        <v>3</v>
      </c>
      <c r="EI177">
        <v>150</v>
      </c>
      <c r="FD177" t="s">
        <v>597</v>
      </c>
      <c r="FE177">
        <f t="shared" ref="FE177:FE182" si="133">ROUND(FK177*IF(VT_AKADMAG,3/4,1)*IF(NT_ELFWELT,IF(FN177,1,1.5),1),0)</f>
        <v>50</v>
      </c>
      <c r="FF177">
        <f t="shared" si="125"/>
        <v>1</v>
      </c>
      <c r="FK177">
        <f>IF(NT_STUBENHKR,100,50)</f>
        <v>50</v>
      </c>
      <c r="FL177">
        <v>4</v>
      </c>
      <c r="FM177" t="b">
        <f t="shared" ca="1" si="123"/>
        <v>0</v>
      </c>
      <c r="FN177" t="b">
        <f t="shared" ca="1" si="124"/>
        <v>0</v>
      </c>
      <c r="GH177" t="s">
        <v>861</v>
      </c>
      <c r="GI177" t="s">
        <v>3290</v>
      </c>
      <c r="GJ177">
        <v>3</v>
      </c>
      <c r="GK177" t="s">
        <v>1320</v>
      </c>
      <c r="GL177" t="s">
        <v>1977</v>
      </c>
      <c r="GM177" t="s">
        <v>1369</v>
      </c>
      <c r="GN177" t="s">
        <v>1974</v>
      </c>
      <c r="GO177">
        <v>286</v>
      </c>
      <c r="GP177">
        <v>158</v>
      </c>
      <c r="GR177">
        <f t="shared" si="111"/>
        <v>526</v>
      </c>
      <c r="GU177" t="str">
        <f t="shared" ca="1" si="112"/>
        <v/>
      </c>
      <c r="GV177" t="str">
        <f t="shared" ca="1" si="113"/>
        <v/>
      </c>
      <c r="GW177" t="str">
        <f t="shared" ca="1" si="114"/>
        <v/>
      </c>
      <c r="GX177" t="str">
        <f t="shared" ca="1" si="115"/>
        <v/>
      </c>
    </row>
    <row r="178" spans="1:206" x14ac:dyDescent="0.2">
      <c r="A178" t="s">
        <v>7150</v>
      </c>
      <c r="B178" t="s">
        <v>74</v>
      </c>
      <c r="C178" t="s">
        <v>76</v>
      </c>
      <c r="D178" t="s">
        <v>77</v>
      </c>
      <c r="E178" t="s">
        <v>339</v>
      </c>
      <c r="F178" t="str">
        <f ca="1">IF(G178="x",ROUND(SUM(MU,IN,2*CH,Zauber!$BA$3)/5,0),"")</f>
        <v/>
      </c>
      <c r="G178" t="str">
        <f ca="1">IF(NOT(Zauber!$BA$3&lt;=0),"x","")</f>
        <v/>
      </c>
      <c r="AH178" t="s">
        <v>1004</v>
      </c>
      <c r="AI178" t="s">
        <v>7229</v>
      </c>
      <c r="AS178" t="s">
        <v>3704</v>
      </c>
      <c r="AT178">
        <v>3</v>
      </c>
      <c r="BK178" t="s">
        <v>5576</v>
      </c>
      <c r="BL178">
        <v>8</v>
      </c>
      <c r="BM178">
        <v>7</v>
      </c>
      <c r="BN178" t="s">
        <v>5152</v>
      </c>
      <c r="BO178">
        <v>11</v>
      </c>
      <c r="BP178" t="s">
        <v>5570</v>
      </c>
      <c r="BQ178">
        <v>1</v>
      </c>
      <c r="BR178">
        <v>10</v>
      </c>
      <c r="BS178" t="s">
        <v>5297</v>
      </c>
      <c r="BT178">
        <v>10</v>
      </c>
      <c r="BU178">
        <v>45</v>
      </c>
      <c r="BW178">
        <v>6</v>
      </c>
      <c r="BY178" t="s">
        <v>4985</v>
      </c>
      <c r="BZ178" t="s">
        <v>4985</v>
      </c>
      <c r="CA178" t="s">
        <v>5571</v>
      </c>
      <c r="CC178" t="s">
        <v>784</v>
      </c>
      <c r="CD178" t="s">
        <v>431</v>
      </c>
      <c r="CE178" t="s">
        <v>4549</v>
      </c>
      <c r="CF178" t="s">
        <v>919</v>
      </c>
      <c r="CG178" t="s">
        <v>898</v>
      </c>
      <c r="CH178">
        <v>0</v>
      </c>
      <c r="CI178">
        <v>1</v>
      </c>
      <c r="CJ178" t="s">
        <v>3586</v>
      </c>
      <c r="CK178" t="s">
        <v>2190</v>
      </c>
      <c r="CN178" t="str">
        <f ca="1">IF(AND(ISERR(FIND($CK178,Talente!$CI$41)),ISNA(VLOOKUP($CK178,$AH$51:$AH$55,1))),IF(AND(ISERR(FIND($CL178,Talente!$CI$41)),ISNA(VLOOKUP($CL178,$AH$51:$AH$55,1))),$CM178,$CL178),$CK178)</f>
        <v>Hiebwaffen</v>
      </c>
      <c r="CU178" t="s">
        <v>4271</v>
      </c>
      <c r="CX178" t="s">
        <v>4572</v>
      </c>
      <c r="CY178" t="s">
        <v>74</v>
      </c>
      <c r="CZ178" t="s">
        <v>751</v>
      </c>
      <c r="DA178" t="s">
        <v>752</v>
      </c>
      <c r="DC178" t="s">
        <v>7290</v>
      </c>
      <c r="DD178" t="s">
        <v>820</v>
      </c>
      <c r="DE178" t="s">
        <v>4484</v>
      </c>
      <c r="DF178" t="s">
        <v>3338</v>
      </c>
      <c r="DG178" t="s">
        <v>1828</v>
      </c>
      <c r="DH178" t="s">
        <v>6953</v>
      </c>
      <c r="DI178" t="s">
        <v>582</v>
      </c>
      <c r="DJ178">
        <v>2</v>
      </c>
      <c r="DK178">
        <f t="shared" si="132"/>
        <v>499</v>
      </c>
      <c r="DL178">
        <f t="shared" si="118"/>
        <v>176</v>
      </c>
      <c r="DM178">
        <v>160</v>
      </c>
      <c r="DN178" t="str">
        <f t="shared" ca="1" si="104"/>
        <v/>
      </c>
      <c r="DO178" t="str">
        <f t="shared" ca="1" si="105"/>
        <v/>
      </c>
      <c r="DP178" t="str">
        <f t="shared" ca="1" si="106"/>
        <v/>
      </c>
      <c r="DQ178" t="str">
        <f>IF(EXACT(Zauber!$A$250,""),"",IF(EXACT(RIGHT(HLOOKUP(Zauber!$A$250,PROFMAGIE,$DK178,FALSE)),"H"),CONCATENATE($CX178,","),""))</f>
        <v/>
      </c>
      <c r="DR178" t="str">
        <f t="shared" si="107"/>
        <v/>
      </c>
      <c r="DS178" t="str">
        <f>IF(ZS_IAAK="Ja",IF(EXACT(RIGHT(HLOOKUP(Tabellen_Magie!$IK$1,PROFMAGIE,$DK178,FALSE)),"H"),CONCATENATE($CX178,","),""),"")</f>
        <v/>
      </c>
      <c r="DT178" t="str">
        <f>IF(ZS_IAAK="Ja",IF(NOT(DS178=""),"",IF(OR(EXACT(RIGHT(HLOOKUP(Tabellen_Magie!$IK$1,PROFMAGIE,$DK178,FALSE)),"B"),EXACT(HLOOKUP(Tabellen_Magie!$IK$1,PROFMAGIE,$DK178,FALSE),"")),"",CONCATENATE($CX178,","))),"")</f>
        <v/>
      </c>
      <c r="DU178" t="str">
        <f t="shared" si="108"/>
        <v/>
      </c>
      <c r="DW178" t="s">
        <v>260</v>
      </c>
      <c r="DX178" t="s">
        <v>76</v>
      </c>
      <c r="DY178" t="s">
        <v>77</v>
      </c>
      <c r="DZ178" t="s">
        <v>5030</v>
      </c>
      <c r="EB178" t="s">
        <v>81</v>
      </c>
      <c r="EC178" t="s">
        <v>8626</v>
      </c>
      <c r="ED178">
        <f t="shared" si="126"/>
        <v>100</v>
      </c>
      <c r="EE178" t="s">
        <v>3282</v>
      </c>
      <c r="EH178">
        <f t="shared" si="127"/>
        <v>2</v>
      </c>
      <c r="EI178">
        <v>100</v>
      </c>
      <c r="FD178" t="s">
        <v>6277</v>
      </c>
      <c r="FE178">
        <f t="shared" si="133"/>
        <v>200</v>
      </c>
      <c r="FF178">
        <f>ROUND(FE178/50,0)</f>
        <v>4</v>
      </c>
      <c r="FK178">
        <v>200</v>
      </c>
      <c r="FL178">
        <v>5</v>
      </c>
      <c r="FM178" t="b">
        <f t="shared" ca="1" si="123"/>
        <v>0</v>
      </c>
      <c r="FN178" t="b">
        <f t="shared" ca="1" si="124"/>
        <v>1</v>
      </c>
      <c r="GH178" t="s">
        <v>1009</v>
      </c>
      <c r="GI178" t="s">
        <v>3290</v>
      </c>
      <c r="GJ178">
        <v>3</v>
      </c>
      <c r="GK178" t="s">
        <v>4116</v>
      </c>
      <c r="GL178" t="s">
        <v>567</v>
      </c>
      <c r="GM178" t="s">
        <v>1982</v>
      </c>
      <c r="GN178" t="s">
        <v>1973</v>
      </c>
      <c r="GO178">
        <v>259</v>
      </c>
      <c r="GP178">
        <v>98</v>
      </c>
      <c r="GR178">
        <f t="shared" si="111"/>
        <v>527</v>
      </c>
      <c r="GU178" t="str">
        <f t="shared" ca="1" si="112"/>
        <v/>
      </c>
      <c r="GV178" t="str">
        <f t="shared" ca="1" si="113"/>
        <v/>
      </c>
      <c r="GW178" t="str">
        <f t="shared" ca="1" si="114"/>
        <v/>
      </c>
      <c r="GX178" t="str">
        <f t="shared" ca="1" si="115"/>
        <v/>
      </c>
    </row>
    <row r="179" spans="1:206" x14ac:dyDescent="0.2">
      <c r="A179" t="s">
        <v>7146</v>
      </c>
      <c r="B179" t="s">
        <v>74</v>
      </c>
      <c r="C179" t="s">
        <v>76</v>
      </c>
      <c r="D179" t="s">
        <v>77</v>
      </c>
      <c r="E179" t="s">
        <v>339</v>
      </c>
      <c r="F179" t="str">
        <f ca="1">IF(G179="x",ROUND(SUM(MU,IN,2*CH,Zauber!$BB$3)/5,0),"")</f>
        <v/>
      </c>
      <c r="G179" t="str">
        <f ca="1">IF(NOT(Zauber!$BB$3&lt;=0),"x","")</f>
        <v/>
      </c>
      <c r="AH179" t="s">
        <v>1328</v>
      </c>
      <c r="AI179" t="s">
        <v>7230</v>
      </c>
      <c r="BK179" t="s">
        <v>5577</v>
      </c>
      <c r="BL179">
        <v>9</v>
      </c>
      <c r="BM179">
        <v>9</v>
      </c>
      <c r="BN179" t="s">
        <v>5482</v>
      </c>
      <c r="BO179">
        <v>10</v>
      </c>
      <c r="BP179" t="s">
        <v>5578</v>
      </c>
      <c r="BQ179">
        <v>2</v>
      </c>
      <c r="BR179">
        <v>15</v>
      </c>
      <c r="BS179" t="s">
        <v>5297</v>
      </c>
      <c r="BT179">
        <v>10</v>
      </c>
      <c r="BU179">
        <v>25</v>
      </c>
      <c r="BW179">
        <v>1</v>
      </c>
      <c r="BY179" t="s">
        <v>4985</v>
      </c>
      <c r="BZ179" t="s">
        <v>4985</v>
      </c>
      <c r="CA179" t="s">
        <v>5571</v>
      </c>
      <c r="CC179" t="s">
        <v>784</v>
      </c>
      <c r="CU179" t="s">
        <v>3594</v>
      </c>
      <c r="CX179" t="s">
        <v>2617</v>
      </c>
      <c r="CY179" t="s">
        <v>74</v>
      </c>
      <c r="CZ179" t="s">
        <v>74</v>
      </c>
      <c r="DA179" t="s">
        <v>751</v>
      </c>
      <c r="DC179" t="s">
        <v>7290</v>
      </c>
      <c r="DD179" t="s">
        <v>7360</v>
      </c>
      <c r="DE179" t="s">
        <v>4484</v>
      </c>
      <c r="DF179" t="s">
        <v>3338</v>
      </c>
      <c r="DG179" t="s">
        <v>1828</v>
      </c>
      <c r="DH179" t="s">
        <v>8422</v>
      </c>
      <c r="DI179" t="s">
        <v>587</v>
      </c>
      <c r="DJ179">
        <v>2</v>
      </c>
      <c r="DK179">
        <f t="shared" si="132"/>
        <v>500</v>
      </c>
      <c r="DL179">
        <f t="shared" si="118"/>
        <v>177</v>
      </c>
      <c r="DM179">
        <v>162</v>
      </c>
      <c r="DN179" t="str">
        <f t="shared" ca="1" si="104"/>
        <v/>
      </c>
      <c r="DO179" t="str">
        <f t="shared" ca="1" si="105"/>
        <v/>
      </c>
      <c r="DP179" t="str">
        <f t="shared" ca="1" si="106"/>
        <v/>
      </c>
      <c r="DQ179" t="str">
        <f>IF(EXACT(Zauber!$A$250,""),"",IF(EXACT(RIGHT(HLOOKUP(Zauber!$A$250,PROFMAGIE,$DK179,FALSE)),"H"),CONCATENATE($CX179,","),""))</f>
        <v/>
      </c>
      <c r="DR179" t="str">
        <f t="shared" si="107"/>
        <v/>
      </c>
      <c r="DS179" t="str">
        <f>IF(ZS_IAAK="Ja",IF(EXACT(RIGHT(HLOOKUP(Tabellen_Magie!$IK$1,PROFMAGIE,$DK179,FALSE)),"H"),CONCATENATE($CX179,","),""),"")</f>
        <v/>
      </c>
      <c r="DT179" t="str">
        <f>IF(ZS_IAAK="Ja",IF(NOT(DS179=""),"",IF(OR(EXACT(RIGHT(HLOOKUP(Tabellen_Magie!$IK$1,PROFMAGIE,$DK179,FALSE)),"B"),EXACT(HLOOKUP(Tabellen_Magie!$IK$1,PROFMAGIE,$DK179,FALSE),"")),"",CONCATENATE($CX179,","))),"")</f>
        <v/>
      </c>
      <c r="DU179" t="str">
        <f t="shared" si="108"/>
        <v/>
      </c>
      <c r="DW179" t="s">
        <v>1468</v>
      </c>
      <c r="DX179" t="s">
        <v>76</v>
      </c>
      <c r="DY179" t="s">
        <v>750</v>
      </c>
      <c r="DZ179" t="s">
        <v>751</v>
      </c>
      <c r="EB179" t="s">
        <v>2991</v>
      </c>
      <c r="EC179" t="s">
        <v>8627</v>
      </c>
      <c r="ED179">
        <f t="shared" si="126"/>
        <v>250</v>
      </c>
      <c r="EE179" t="s">
        <v>3282</v>
      </c>
      <c r="EH179">
        <f t="shared" si="127"/>
        <v>5</v>
      </c>
      <c r="EI179">
        <v>250</v>
      </c>
      <c r="FD179" t="s">
        <v>27</v>
      </c>
      <c r="FE179">
        <f t="shared" si="133"/>
        <v>150</v>
      </c>
      <c r="FF179">
        <f t="shared" si="125"/>
        <v>3</v>
      </c>
      <c r="FK179">
        <v>150</v>
      </c>
      <c r="FL179">
        <f>IF(OR(PROFGRDGENE="Hexen",PROFGRDGENE="Zibilja"),4,2)</f>
        <v>2</v>
      </c>
      <c r="FM179" t="b">
        <f t="shared" ca="1" si="123"/>
        <v>0</v>
      </c>
      <c r="FN179" t="b">
        <f t="shared" ca="1" si="124"/>
        <v>0</v>
      </c>
      <c r="GH179" t="s">
        <v>1010</v>
      </c>
      <c r="GI179" t="s">
        <v>3290</v>
      </c>
      <c r="GJ179">
        <v>3</v>
      </c>
      <c r="GK179" t="s">
        <v>4116</v>
      </c>
      <c r="GL179" t="s">
        <v>567</v>
      </c>
      <c r="GM179" t="s">
        <v>1981</v>
      </c>
      <c r="GN179" t="s">
        <v>1975</v>
      </c>
      <c r="GO179">
        <v>286</v>
      </c>
      <c r="GP179">
        <v>169</v>
      </c>
      <c r="GR179">
        <f t="shared" si="111"/>
        <v>528</v>
      </c>
      <c r="GU179" t="str">
        <f t="shared" ca="1" si="112"/>
        <v/>
      </c>
      <c r="GV179" t="str">
        <f t="shared" ca="1" si="113"/>
        <v/>
      </c>
      <c r="GW179" t="str">
        <f t="shared" ca="1" si="114"/>
        <v/>
      </c>
      <c r="GX179" t="str">
        <f t="shared" ca="1" si="115"/>
        <v/>
      </c>
    </row>
    <row r="180" spans="1:206" x14ac:dyDescent="0.2">
      <c r="A180" t="s">
        <v>7421</v>
      </c>
      <c r="B180" t="s">
        <v>74</v>
      </c>
      <c r="C180" t="s">
        <v>76</v>
      </c>
      <c r="D180" t="s">
        <v>77</v>
      </c>
      <c r="E180" t="s">
        <v>339</v>
      </c>
      <c r="F180" t="str">
        <f ca="1">IF(G180="x",ROUND(SUM(MU,IN,2*CH,Zauber!$BC$3)/5,0),"")</f>
        <v/>
      </c>
      <c r="G180" t="str">
        <f ca="1">IF(NOT(Zauber!$BC$3&lt;=0),"x","")</f>
        <v/>
      </c>
      <c r="AH180" t="s">
        <v>1888</v>
      </c>
      <c r="AI180" t="s">
        <v>7231</v>
      </c>
      <c r="BK180" t="s">
        <v>5579</v>
      </c>
      <c r="CD180" t="s">
        <v>4804</v>
      </c>
      <c r="CE180" t="s">
        <v>2497</v>
      </c>
      <c r="CF180" t="s">
        <v>2498</v>
      </c>
      <c r="CG180" t="s">
        <v>2500</v>
      </c>
      <c r="CH180" t="s">
        <v>2499</v>
      </c>
      <c r="CI180" t="s">
        <v>4984</v>
      </c>
      <c r="CJ180" t="s">
        <v>2496</v>
      </c>
      <c r="CK180" t="s">
        <v>4805</v>
      </c>
      <c r="CN180" t="s">
        <v>3584</v>
      </c>
      <c r="CU180" t="s">
        <v>4128</v>
      </c>
      <c r="CX180" t="s">
        <v>2618</v>
      </c>
      <c r="CY180" t="s">
        <v>74</v>
      </c>
      <c r="CZ180" t="s">
        <v>751</v>
      </c>
      <c r="DA180" t="s">
        <v>752</v>
      </c>
      <c r="DC180" t="s">
        <v>7290</v>
      </c>
      <c r="DD180" t="s">
        <v>3202</v>
      </c>
      <c r="DE180" t="s">
        <v>4484</v>
      </c>
      <c r="DF180" t="s">
        <v>3338</v>
      </c>
      <c r="DG180" t="s">
        <v>1828</v>
      </c>
      <c r="DH180" t="s">
        <v>6954</v>
      </c>
      <c r="DI180" t="s">
        <v>2393</v>
      </c>
      <c r="DJ180">
        <v>2</v>
      </c>
      <c r="DK180">
        <f t="shared" si="132"/>
        <v>501</v>
      </c>
      <c r="DL180">
        <f t="shared" si="118"/>
        <v>178</v>
      </c>
      <c r="DM180">
        <v>164</v>
      </c>
      <c r="DN180" t="str">
        <f t="shared" ca="1" si="104"/>
        <v/>
      </c>
      <c r="DO180" t="str">
        <f t="shared" ca="1" si="105"/>
        <v/>
      </c>
      <c r="DP180" t="str">
        <f t="shared" ca="1" si="106"/>
        <v/>
      </c>
      <c r="DQ180" t="str">
        <f>IF(EXACT(Zauber!$A$250,""),"",IF(EXACT(RIGHT(HLOOKUP(Zauber!$A$250,PROFMAGIE,$DK180,FALSE)),"H"),CONCATENATE($CX180,","),""))</f>
        <v/>
      </c>
      <c r="DR180" t="str">
        <f t="shared" si="107"/>
        <v/>
      </c>
      <c r="DS180" t="str">
        <f>IF(ZS_IAAK="Ja",IF(EXACT(RIGHT(HLOOKUP(Tabellen_Magie!$IK$1,PROFMAGIE,$DK180,FALSE)),"H"),CONCATENATE($CX180,","),""),"")</f>
        <v/>
      </c>
      <c r="DT180" t="str">
        <f>IF(ZS_IAAK="Ja",IF(NOT(DS180=""),"",IF(OR(EXACT(RIGHT(HLOOKUP(Tabellen_Magie!$IK$1,PROFMAGIE,$DK180,FALSE)),"B"),EXACT(HLOOKUP(Tabellen_Magie!$IK$1,PROFMAGIE,$DK180,FALSE),"")),"",CONCATENATE($CX180,","))),"")</f>
        <v/>
      </c>
      <c r="DU180" t="str">
        <f t="shared" si="108"/>
        <v/>
      </c>
      <c r="DW180" t="s">
        <v>259</v>
      </c>
      <c r="DX180" t="s">
        <v>74</v>
      </c>
      <c r="DY180" t="s">
        <v>76</v>
      </c>
      <c r="DZ180" t="s">
        <v>77</v>
      </c>
      <c r="EB180" t="s">
        <v>8628</v>
      </c>
      <c r="EC180" t="s">
        <v>8629</v>
      </c>
      <c r="ED180">
        <f t="shared" si="126"/>
        <v>150</v>
      </c>
      <c r="EE180" t="s">
        <v>3282</v>
      </c>
      <c r="EH180">
        <f t="shared" si="127"/>
        <v>3</v>
      </c>
      <c r="EI180">
        <v>150</v>
      </c>
      <c r="FD180" t="s">
        <v>28</v>
      </c>
      <c r="FE180">
        <f t="shared" si="133"/>
        <v>100</v>
      </c>
      <c r="FF180">
        <f t="shared" si="125"/>
        <v>2</v>
      </c>
      <c r="FK180">
        <v>100</v>
      </c>
      <c r="FL180">
        <v>4</v>
      </c>
      <c r="FM180" t="b">
        <f t="shared" ca="1" si="123"/>
        <v>0</v>
      </c>
      <c r="FN180" t="b">
        <f t="shared" ca="1" si="124"/>
        <v>0</v>
      </c>
      <c r="GH180" t="s">
        <v>1011</v>
      </c>
      <c r="GI180" t="s">
        <v>3290</v>
      </c>
      <c r="GJ180">
        <v>3</v>
      </c>
      <c r="GK180" t="s">
        <v>1320</v>
      </c>
      <c r="GL180" t="s">
        <v>567</v>
      </c>
      <c r="GM180" t="s">
        <v>3961</v>
      </c>
      <c r="GN180" t="s">
        <v>1974</v>
      </c>
      <c r="GO180">
        <v>274</v>
      </c>
      <c r="GP180">
        <v>172</v>
      </c>
      <c r="GR180">
        <f t="shared" si="111"/>
        <v>529</v>
      </c>
      <c r="GS180">
        <v>4</v>
      </c>
      <c r="GU180" t="str">
        <f t="shared" ca="1" si="112"/>
        <v/>
      </c>
      <c r="GV180" t="str">
        <f t="shared" ca="1" si="113"/>
        <v/>
      </c>
      <c r="GW180" t="str">
        <f t="shared" ca="1" si="114"/>
        <v/>
      </c>
      <c r="GX180" t="str">
        <f t="shared" ca="1" si="115"/>
        <v/>
      </c>
    </row>
    <row r="181" spans="1:206" x14ac:dyDescent="0.2">
      <c r="A181" t="s">
        <v>7147</v>
      </c>
      <c r="B181" t="s">
        <v>74</v>
      </c>
      <c r="C181" t="s">
        <v>76</v>
      </c>
      <c r="D181" t="s">
        <v>77</v>
      </c>
      <c r="E181" t="s">
        <v>339</v>
      </c>
      <c r="F181" t="str">
        <f ca="1">IF(G181="x",ROUND(SUM(MU,IN,2*CH,Zauber!$BD$3)/5,0),"")</f>
        <v/>
      </c>
      <c r="G181" t="str">
        <f ca="1">IF(NOT(Zauber!$BD$3&lt;=0),"x","")</f>
        <v/>
      </c>
      <c r="AH181" t="s">
        <v>4975</v>
      </c>
      <c r="AI181" t="s">
        <v>7232</v>
      </c>
      <c r="BK181" t="s">
        <v>5580</v>
      </c>
      <c r="BL181">
        <v>12</v>
      </c>
      <c r="BM181">
        <v>15</v>
      </c>
      <c r="BN181" t="s">
        <v>5581</v>
      </c>
      <c r="BO181">
        <v>11</v>
      </c>
      <c r="BP181" t="s">
        <v>5582</v>
      </c>
      <c r="BQ181">
        <v>2</v>
      </c>
      <c r="BR181">
        <v>42</v>
      </c>
      <c r="BS181" t="s">
        <v>5583</v>
      </c>
      <c r="BT181">
        <v>10</v>
      </c>
      <c r="BU181">
        <v>55</v>
      </c>
      <c r="BW181">
        <v>0</v>
      </c>
      <c r="BY181" t="s">
        <v>4985</v>
      </c>
      <c r="BZ181" t="s">
        <v>4985</v>
      </c>
      <c r="CA181" t="s">
        <v>5584</v>
      </c>
      <c r="CC181" t="s">
        <v>784</v>
      </c>
      <c r="CU181" t="s">
        <v>4625</v>
      </c>
      <c r="CX181" t="s">
        <v>2619</v>
      </c>
      <c r="CY181" t="s">
        <v>894</v>
      </c>
      <c r="CZ181" t="s">
        <v>895</v>
      </c>
      <c r="DA181" t="s">
        <v>895</v>
      </c>
      <c r="DH181" t="s">
        <v>6955</v>
      </c>
      <c r="DJ181">
        <v>2</v>
      </c>
      <c r="DK181">
        <f t="shared" si="132"/>
        <v>502</v>
      </c>
      <c r="DL181">
        <f t="shared" si="118"/>
        <v>179</v>
      </c>
      <c r="DM181">
        <v>165</v>
      </c>
      <c r="DN181" t="str">
        <f t="shared" ca="1" si="104"/>
        <v/>
      </c>
      <c r="DO181" t="str">
        <f t="shared" ca="1" si="105"/>
        <v/>
      </c>
      <c r="DP181" t="str">
        <f t="shared" ca="1" si="106"/>
        <v/>
      </c>
      <c r="DQ181" t="str">
        <f>IF(EXACT(Zauber!$A$250,""),"",IF(EXACT(RIGHT(HLOOKUP(Zauber!$A$250,PROFMAGIE,$DK181,FALSE)),"H"),CONCATENATE($CX181,","),""))</f>
        <v/>
      </c>
      <c r="DR181" t="str">
        <f t="shared" si="107"/>
        <v/>
      </c>
      <c r="DS181" t="str">
        <f>IF(ZS_IAAK="Ja",IF(EXACT(RIGHT(HLOOKUP(Tabellen_Magie!$IK$1,PROFMAGIE,$DK181,FALSE)),"H"),CONCATENATE($CX181,","),""),"")</f>
        <v/>
      </c>
      <c r="DT181" t="str">
        <f>IF(ZS_IAAK="Ja",IF(NOT(DS181=""),"",IF(OR(EXACT(RIGHT(HLOOKUP(Tabellen_Magie!$IK$1,PROFMAGIE,$DK181,FALSE)),"B"),EXACT(HLOOKUP(Tabellen_Magie!$IK$1,PROFMAGIE,$DK181,FALSE),"")),"",CONCATENATE($CX181,","))),"")</f>
        <v/>
      </c>
      <c r="DU181" t="str">
        <f t="shared" si="108"/>
        <v/>
      </c>
      <c r="DW181" t="s">
        <v>2877</v>
      </c>
      <c r="DX181" t="s">
        <v>76</v>
      </c>
      <c r="DY181" t="s">
        <v>5030</v>
      </c>
      <c r="DZ181" t="s">
        <v>752</v>
      </c>
      <c r="EB181" t="s">
        <v>3016</v>
      </c>
      <c r="EC181" t="s">
        <v>2342</v>
      </c>
      <c r="ED181">
        <f t="shared" si="126"/>
        <v>100</v>
      </c>
      <c r="EE181" t="s">
        <v>3282</v>
      </c>
      <c r="EH181">
        <f t="shared" si="127"/>
        <v>2</v>
      </c>
      <c r="EI181">
        <v>100</v>
      </c>
      <c r="FD181" t="s">
        <v>29</v>
      </c>
      <c r="FE181">
        <f t="shared" si="133"/>
        <v>100</v>
      </c>
      <c r="FF181">
        <f t="shared" si="125"/>
        <v>2</v>
      </c>
      <c r="FK181">
        <v>100</v>
      </c>
      <c r="FL181">
        <f>IF(OR(PROFGRDGENE="Hexen",PROFGRDGENE="Geoden"),4,2)</f>
        <v>2</v>
      </c>
      <c r="FM181" t="b">
        <f t="shared" ca="1" si="123"/>
        <v>0</v>
      </c>
      <c r="FN181" t="b">
        <f t="shared" ca="1" si="124"/>
        <v>0</v>
      </c>
      <c r="GH181" t="s">
        <v>1012</v>
      </c>
      <c r="GI181" t="s">
        <v>3290</v>
      </c>
      <c r="GJ181">
        <v>3</v>
      </c>
      <c r="GK181" t="s">
        <v>122</v>
      </c>
      <c r="GL181" t="s">
        <v>1977</v>
      </c>
      <c r="GM181" t="s">
        <v>3961</v>
      </c>
      <c r="GN181" t="s">
        <v>1690</v>
      </c>
      <c r="GO181">
        <v>289</v>
      </c>
      <c r="GP181">
        <v>130</v>
      </c>
      <c r="GR181">
        <f t="shared" si="111"/>
        <v>530</v>
      </c>
      <c r="GU181" t="str">
        <f t="shared" ca="1" si="112"/>
        <v/>
      </c>
      <c r="GV181" t="str">
        <f t="shared" ca="1" si="113"/>
        <v/>
      </c>
      <c r="GW181" t="str">
        <f t="shared" ca="1" si="114"/>
        <v/>
      </c>
      <c r="GX181" t="str">
        <f t="shared" ca="1" si="115"/>
        <v/>
      </c>
    </row>
    <row r="182" spans="1:206" x14ac:dyDescent="0.2">
      <c r="A182" t="s">
        <v>7420</v>
      </c>
      <c r="B182" t="s">
        <v>74</v>
      </c>
      <c r="C182" t="s">
        <v>76</v>
      </c>
      <c r="D182" t="s">
        <v>77</v>
      </c>
      <c r="E182" t="s">
        <v>339</v>
      </c>
      <c r="F182" t="str">
        <f ca="1">IF(G182="x",ROUND(SUM(MU,IN,2*CH,Zauber!$AZ$3)/5,0),"")</f>
        <v/>
      </c>
      <c r="G182" t="str">
        <f ca="1">IF(NOT(Zauber!$AZ$3&lt;=0),"x","")</f>
        <v/>
      </c>
      <c r="BK182" t="s">
        <v>5585</v>
      </c>
      <c r="BL182">
        <v>9</v>
      </c>
      <c r="BM182">
        <v>15</v>
      </c>
      <c r="BN182" t="s">
        <v>5586</v>
      </c>
      <c r="BO182">
        <v>9</v>
      </c>
      <c r="BP182" t="s">
        <v>5587</v>
      </c>
      <c r="BQ182">
        <v>2</v>
      </c>
      <c r="BR182">
        <v>48</v>
      </c>
      <c r="BS182" t="s">
        <v>5182</v>
      </c>
      <c r="BT182">
        <v>16</v>
      </c>
      <c r="BU182">
        <v>45</v>
      </c>
      <c r="BW182">
        <v>0</v>
      </c>
      <c r="BY182" t="s">
        <v>4985</v>
      </c>
      <c r="BZ182" t="s">
        <v>4985</v>
      </c>
      <c r="CA182" t="s">
        <v>5588</v>
      </c>
      <c r="CC182" t="s">
        <v>784</v>
      </c>
      <c r="CD182" t="s">
        <v>4986</v>
      </c>
      <c r="CU182" t="s">
        <v>4626</v>
      </c>
      <c r="CX182" t="s">
        <v>2620</v>
      </c>
      <c r="CY182" t="s">
        <v>74</v>
      </c>
      <c r="CZ182" t="s">
        <v>76</v>
      </c>
      <c r="DA182" t="s">
        <v>5030</v>
      </c>
      <c r="DC182" t="s">
        <v>544</v>
      </c>
      <c r="DD182" t="s">
        <v>2259</v>
      </c>
      <c r="DE182" t="s">
        <v>1321</v>
      </c>
      <c r="DF182" t="s">
        <v>81</v>
      </c>
      <c r="DG182" t="s">
        <v>1956</v>
      </c>
      <c r="DH182" t="s">
        <v>6956</v>
      </c>
      <c r="DI182" t="s">
        <v>3505</v>
      </c>
      <c r="DJ182">
        <v>2</v>
      </c>
      <c r="DK182">
        <f t="shared" si="132"/>
        <v>503</v>
      </c>
      <c r="DL182">
        <f t="shared" si="118"/>
        <v>180</v>
      </c>
      <c r="DM182">
        <v>165</v>
      </c>
      <c r="DN182" t="str">
        <f t="shared" ca="1" si="104"/>
        <v/>
      </c>
      <c r="DO182" t="str">
        <f t="shared" ca="1" si="105"/>
        <v/>
      </c>
      <c r="DP182" t="str">
        <f t="shared" ca="1" si="106"/>
        <v/>
      </c>
      <c r="DQ182" t="str">
        <f>IF(EXACT(Zauber!$A$250,""),"",IF(EXACT(RIGHT(HLOOKUP(Zauber!$A$250,PROFMAGIE,$DK182,FALSE)),"H"),CONCATENATE($CX182,","),""))</f>
        <v/>
      </c>
      <c r="DR182" t="str">
        <f t="shared" si="107"/>
        <v/>
      </c>
      <c r="DS182" t="str">
        <f>IF(ZS_IAAK="Ja",IF(EXACT(RIGHT(HLOOKUP(Tabellen_Magie!$IK$1,PROFMAGIE,$DK182,FALSE)),"H"),CONCATENATE($CX182,","),""),"")</f>
        <v/>
      </c>
      <c r="DT182" t="str">
        <f>IF(ZS_IAAK="Ja",IF(NOT(DS182=""),"",IF(OR(EXACT(RIGHT(HLOOKUP(Tabellen_Magie!$IK$1,PROFMAGIE,$DK182,FALSE)),"B"),EXACT(HLOOKUP(Tabellen_Magie!$IK$1,PROFMAGIE,$DK182,FALSE),"")),"",CONCATENATE($CX182,","))),"")</f>
        <v/>
      </c>
      <c r="DU182" t="str">
        <f t="shared" si="108"/>
        <v/>
      </c>
      <c r="DW182" t="s">
        <v>2878</v>
      </c>
      <c r="DX182" t="s">
        <v>75</v>
      </c>
      <c r="DY182" t="s">
        <v>5030</v>
      </c>
      <c r="DZ182" t="s">
        <v>752</v>
      </c>
      <c r="EB182" t="s">
        <v>8630</v>
      </c>
      <c r="EC182" t="s">
        <v>1443</v>
      </c>
      <c r="ED182">
        <f t="shared" si="126"/>
        <v>150</v>
      </c>
      <c r="EE182" t="s">
        <v>3282</v>
      </c>
      <c r="EH182">
        <f t="shared" si="127"/>
        <v>3</v>
      </c>
      <c r="EI182">
        <v>150</v>
      </c>
      <c r="FD182" t="s">
        <v>5086</v>
      </c>
      <c r="FE182">
        <f t="shared" si="133"/>
        <v>75</v>
      </c>
      <c r="FF182">
        <f t="shared" si="125"/>
        <v>2</v>
      </c>
      <c r="FK182">
        <v>75</v>
      </c>
      <c r="FL182">
        <v>3</v>
      </c>
      <c r="FM182" t="b">
        <f t="shared" ca="1" si="123"/>
        <v>0</v>
      </c>
      <c r="FN182" t="b">
        <f t="shared" ca="1" si="124"/>
        <v>0</v>
      </c>
      <c r="GH182" t="s">
        <v>1013</v>
      </c>
      <c r="GI182" t="s">
        <v>3290</v>
      </c>
      <c r="GJ182">
        <v>3</v>
      </c>
      <c r="GK182" t="s">
        <v>1320</v>
      </c>
      <c r="GL182" t="s">
        <v>1976</v>
      </c>
      <c r="GM182" t="s">
        <v>1369</v>
      </c>
      <c r="GN182" t="s">
        <v>1690</v>
      </c>
      <c r="GO182">
        <v>258</v>
      </c>
      <c r="GP182">
        <v>146</v>
      </c>
      <c r="GR182">
        <f t="shared" si="111"/>
        <v>531</v>
      </c>
      <c r="GS182">
        <v>6</v>
      </c>
      <c r="GU182" t="str">
        <f t="shared" ca="1" si="112"/>
        <v/>
      </c>
      <c r="GV182" t="str">
        <f t="shared" ca="1" si="113"/>
        <v/>
      </c>
      <c r="GW182" t="str">
        <f t="shared" ca="1" si="114"/>
        <v/>
      </c>
      <c r="GX182" t="str">
        <f t="shared" ca="1" si="115"/>
        <v/>
      </c>
    </row>
    <row r="183" spans="1:206" x14ac:dyDescent="0.2">
      <c r="E183" t="s">
        <v>339</v>
      </c>
      <c r="BK183" t="s">
        <v>5589</v>
      </c>
      <c r="BL183">
        <v>20</v>
      </c>
      <c r="BM183">
        <v>15</v>
      </c>
      <c r="BN183" t="s">
        <v>5590</v>
      </c>
      <c r="BO183">
        <v>11</v>
      </c>
      <c r="BP183" t="s">
        <v>5591</v>
      </c>
      <c r="BQ183">
        <v>2</v>
      </c>
      <c r="BR183">
        <v>45</v>
      </c>
      <c r="BS183" t="s">
        <v>5592</v>
      </c>
      <c r="BT183">
        <v>12</v>
      </c>
      <c r="BU183">
        <v>45</v>
      </c>
      <c r="BW183">
        <v>0</v>
      </c>
      <c r="BY183" t="s">
        <v>4985</v>
      </c>
      <c r="BZ183" t="s">
        <v>4985</v>
      </c>
      <c r="CA183" t="s">
        <v>5593</v>
      </c>
      <c r="CC183" t="s">
        <v>784</v>
      </c>
      <c r="CG183" t="s">
        <v>2500</v>
      </c>
      <c r="CU183" t="s">
        <v>4627</v>
      </c>
      <c r="CX183" t="s">
        <v>2621</v>
      </c>
      <c r="CY183" t="s">
        <v>76</v>
      </c>
      <c r="CZ183" t="s">
        <v>77</v>
      </c>
      <c r="DA183" t="s">
        <v>77</v>
      </c>
      <c r="DB183" t="s">
        <v>2042</v>
      </c>
      <c r="DC183" t="s">
        <v>7297</v>
      </c>
      <c r="DD183" t="s">
        <v>3940</v>
      </c>
      <c r="DE183" t="s">
        <v>1321</v>
      </c>
      <c r="DF183" t="s">
        <v>3137</v>
      </c>
      <c r="DG183" t="s">
        <v>1955</v>
      </c>
      <c r="DH183" t="s">
        <v>6957</v>
      </c>
      <c r="DI183" t="s">
        <v>3503</v>
      </c>
      <c r="DJ183">
        <v>2</v>
      </c>
      <c r="DK183">
        <f t="shared" si="132"/>
        <v>504</v>
      </c>
      <c r="DL183">
        <f t="shared" si="118"/>
        <v>181</v>
      </c>
      <c r="DM183">
        <v>166</v>
      </c>
      <c r="DN183" t="str">
        <f t="shared" ca="1" si="104"/>
        <v/>
      </c>
      <c r="DO183" t="str">
        <f t="shared" ca="1" si="105"/>
        <v/>
      </c>
      <c r="DP183" t="str">
        <f t="shared" ca="1" si="106"/>
        <v/>
      </c>
      <c r="DQ183" t="str">
        <f>IF(EXACT(Zauber!$A$250,""),"",IF(EXACT(RIGHT(HLOOKUP(Zauber!$A$250,PROFMAGIE,$DK183,FALSE)),"H"),CONCATENATE($CX183,","),""))</f>
        <v/>
      </c>
      <c r="DR183" t="str">
        <f t="shared" si="107"/>
        <v/>
      </c>
      <c r="DS183" t="str">
        <f>IF(ZS_IAAK="Ja",IF(EXACT(RIGHT(HLOOKUP(Tabellen_Magie!$IK$1,PROFMAGIE,$DK183,FALSE)),"H"),CONCATENATE($CX183,","),""),"")</f>
        <v/>
      </c>
      <c r="DT183" t="str">
        <f>IF(ZS_IAAK="Ja",IF(NOT(DS183=""),"",IF(OR(EXACT(RIGHT(HLOOKUP(Tabellen_Magie!$IK$1,PROFMAGIE,$DK183,FALSE)),"B"),EXACT(HLOOKUP(Tabellen_Magie!$IK$1,PROFMAGIE,$DK183,FALSE),"")),"",CONCATENATE($CX183,","))),"")</f>
        <v/>
      </c>
      <c r="DU183" t="str">
        <f t="shared" si="108"/>
        <v/>
      </c>
      <c r="DW183" t="s">
        <v>3931</v>
      </c>
      <c r="DX183" t="s">
        <v>76</v>
      </c>
      <c r="DY183" t="s">
        <v>77</v>
      </c>
      <c r="DZ183" t="s">
        <v>752</v>
      </c>
      <c r="EB183" t="s">
        <v>1358</v>
      </c>
      <c r="EC183" t="s">
        <v>8631</v>
      </c>
      <c r="ED183">
        <f t="shared" si="126"/>
        <v>200</v>
      </c>
      <c r="EE183" t="s">
        <v>3282</v>
      </c>
      <c r="EH183">
        <f t="shared" si="127"/>
        <v>4</v>
      </c>
      <c r="EI183">
        <v>200</v>
      </c>
      <c r="FD183" t="s">
        <v>30</v>
      </c>
      <c r="FE183">
        <f ca="1">ROUND(IF(VT_AKADMAG,FK183*3/4,FK183)*IF(NT_ELFWELT,IF(FN183,1,1.5),1)*IF(NOT(ISERROR(FIND("Meta",'Zauber 2'!$D$84,1))),0.5,1),0)</f>
        <v>300</v>
      </c>
      <c r="FF183">
        <f ca="1">ROUND(FE183/50,0)</f>
        <v>6</v>
      </c>
      <c r="FK183">
        <v>300</v>
      </c>
      <c r="FL183">
        <v>3</v>
      </c>
      <c r="FM183" t="b">
        <f t="shared" ca="1" si="123"/>
        <v>0</v>
      </c>
      <c r="FN183" t="b">
        <f t="shared" ca="1" si="124"/>
        <v>0</v>
      </c>
      <c r="GH183" t="s">
        <v>1014</v>
      </c>
      <c r="GI183" t="s">
        <v>3290</v>
      </c>
      <c r="GJ183">
        <v>3</v>
      </c>
      <c r="GK183" t="s">
        <v>1549</v>
      </c>
      <c r="GL183" t="s">
        <v>1977</v>
      </c>
      <c r="GM183" t="s">
        <v>3961</v>
      </c>
      <c r="GN183" t="s">
        <v>1974</v>
      </c>
      <c r="GO183">
        <v>255</v>
      </c>
      <c r="GP183">
        <v>174</v>
      </c>
      <c r="GR183">
        <f t="shared" si="111"/>
        <v>532</v>
      </c>
      <c r="GT183" t="s">
        <v>2098</v>
      </c>
      <c r="GU183" t="str">
        <f t="shared" ca="1" si="112"/>
        <v/>
      </c>
      <c r="GV183" t="str">
        <f t="shared" ca="1" si="113"/>
        <v/>
      </c>
      <c r="GW183" t="str">
        <f t="shared" ca="1" si="114"/>
        <v/>
      </c>
      <c r="GX183" t="str">
        <f t="shared" ca="1" si="115"/>
        <v/>
      </c>
    </row>
    <row r="184" spans="1:206" x14ac:dyDescent="0.2">
      <c r="E184" t="s">
        <v>339</v>
      </c>
      <c r="BK184" t="s">
        <v>5594</v>
      </c>
      <c r="BL184">
        <v>16</v>
      </c>
      <c r="BM184">
        <v>15</v>
      </c>
      <c r="BN184" t="s">
        <v>5581</v>
      </c>
      <c r="BO184">
        <v>11</v>
      </c>
      <c r="BP184" t="s">
        <v>5582</v>
      </c>
      <c r="BQ184">
        <v>2</v>
      </c>
      <c r="BR184">
        <v>42</v>
      </c>
      <c r="BS184" t="s">
        <v>5583</v>
      </c>
      <c r="BT184">
        <v>10</v>
      </c>
      <c r="BU184">
        <v>55</v>
      </c>
      <c r="BW184">
        <v>0</v>
      </c>
      <c r="BY184" t="s">
        <v>4985</v>
      </c>
      <c r="BZ184" t="s">
        <v>4985</v>
      </c>
      <c r="CA184" t="s">
        <v>5595</v>
      </c>
      <c r="CC184" t="s">
        <v>784</v>
      </c>
      <c r="CD184" t="s">
        <v>4987</v>
      </c>
      <c r="CE184" t="s">
        <v>916</v>
      </c>
      <c r="CF184" t="s">
        <v>4992</v>
      </c>
      <c r="CG184" t="s">
        <v>898</v>
      </c>
      <c r="CH184">
        <v>-1</v>
      </c>
      <c r="CI184">
        <v>0</v>
      </c>
      <c r="CJ184" t="s">
        <v>4001</v>
      </c>
      <c r="CK184" t="s">
        <v>2191</v>
      </c>
      <c r="CL184" t="s">
        <v>1930</v>
      </c>
      <c r="CU184" t="s">
        <v>4628</v>
      </c>
      <c r="CX184" t="s">
        <v>2622</v>
      </c>
      <c r="CY184" t="s">
        <v>75</v>
      </c>
      <c r="CZ184" t="s">
        <v>76</v>
      </c>
      <c r="DA184" t="s">
        <v>5030</v>
      </c>
      <c r="DB184" t="s">
        <v>1613</v>
      </c>
      <c r="DC184" t="s">
        <v>7292</v>
      </c>
      <c r="DD184" t="s">
        <v>3140</v>
      </c>
      <c r="DE184" t="s">
        <v>3380</v>
      </c>
      <c r="DF184" t="s">
        <v>81</v>
      </c>
      <c r="DG184" t="s">
        <v>1828</v>
      </c>
      <c r="DH184" t="s">
        <v>6844</v>
      </c>
      <c r="DI184" t="s">
        <v>4520</v>
      </c>
      <c r="DJ184">
        <v>2</v>
      </c>
      <c r="DK184">
        <f t="shared" si="132"/>
        <v>505</v>
      </c>
      <c r="DL184">
        <f t="shared" si="118"/>
        <v>182</v>
      </c>
      <c r="DM184">
        <v>167</v>
      </c>
      <c r="DN184" t="str">
        <f t="shared" ca="1" si="104"/>
        <v/>
      </c>
      <c r="DO184" t="str">
        <f t="shared" ca="1" si="105"/>
        <v/>
      </c>
      <c r="DP184" t="str">
        <f t="shared" ca="1" si="106"/>
        <v/>
      </c>
      <c r="DQ184" t="str">
        <f>IF(EXACT(Zauber!$A$250,""),"",IF(EXACT(RIGHT(HLOOKUP(Zauber!$A$250,PROFMAGIE,$DK184,FALSE)),"H"),CONCATENATE($CX184,","),""))</f>
        <v/>
      </c>
      <c r="DR184" t="str">
        <f t="shared" si="107"/>
        <v/>
      </c>
      <c r="DS184" t="str">
        <f>IF(ZS_IAAK="Ja",IF(EXACT(RIGHT(HLOOKUP(Tabellen_Magie!$IK$1,PROFMAGIE,$DK184,FALSE)),"H"),CONCATENATE($CX184,","),""),"")</f>
        <v/>
      </c>
      <c r="DT184" t="str">
        <f>IF(ZS_IAAK="Ja",IF(NOT(DS184=""),"",IF(OR(EXACT(RIGHT(HLOOKUP(Tabellen_Magie!$IK$1,PROFMAGIE,$DK184,FALSE)),"B"),EXACT(HLOOKUP(Tabellen_Magie!$IK$1,PROFMAGIE,$DK184,FALSE),"")),"",CONCATENATE($CX184,","))),"")</f>
        <v/>
      </c>
      <c r="DU184" t="str">
        <f t="shared" si="108"/>
        <v/>
      </c>
      <c r="DW184" t="s">
        <v>3932</v>
      </c>
      <c r="DX184" t="s">
        <v>74</v>
      </c>
      <c r="DY184" t="s">
        <v>76</v>
      </c>
      <c r="DZ184" t="s">
        <v>752</v>
      </c>
      <c r="EB184" t="s">
        <v>3016</v>
      </c>
      <c r="EC184" t="s">
        <v>8632</v>
      </c>
      <c r="ED184">
        <f t="shared" si="126"/>
        <v>200</v>
      </c>
      <c r="EE184" t="s">
        <v>3282</v>
      </c>
      <c r="EH184">
        <f t="shared" si="127"/>
        <v>4</v>
      </c>
      <c r="EI184">
        <v>200</v>
      </c>
      <c r="FD184" t="s">
        <v>4586</v>
      </c>
      <c r="FE184">
        <f ca="1">ROUND(IF(VT_AKADMAG,FK184*3/4,FK184)*IF(NT_ELFWELT,IF(FN184,1,1.5),1)*IF(NOT(ISERROR(FIND("Meta",'Zauber 2'!$D$84,1))),0.5,1),0)</f>
        <v>300</v>
      </c>
      <c r="FF184">
        <f ca="1">ROUND(FE184/50,0)</f>
        <v>6</v>
      </c>
      <c r="FK184">
        <v>300</v>
      </c>
      <c r="FL184">
        <v>3</v>
      </c>
      <c r="FM184" t="b">
        <f t="shared" ca="1" si="123"/>
        <v>0</v>
      </c>
      <c r="FN184" t="b">
        <f t="shared" ca="1" si="124"/>
        <v>1</v>
      </c>
      <c r="GH184" t="s">
        <v>1015</v>
      </c>
      <c r="GI184" t="s">
        <v>3290</v>
      </c>
      <c r="GJ184">
        <v>3</v>
      </c>
      <c r="GK184" t="s">
        <v>1320</v>
      </c>
      <c r="GL184" t="s">
        <v>567</v>
      </c>
      <c r="GM184" t="s">
        <v>1369</v>
      </c>
      <c r="GN184" t="s">
        <v>1974</v>
      </c>
      <c r="GO184">
        <v>276</v>
      </c>
      <c r="GP184">
        <v>175</v>
      </c>
      <c r="GR184">
        <f t="shared" si="111"/>
        <v>533</v>
      </c>
      <c r="GU184" t="str">
        <f t="shared" ca="1" si="112"/>
        <v/>
      </c>
      <c r="GV184" t="str">
        <f t="shared" ca="1" si="113"/>
        <v/>
      </c>
      <c r="GW184" t="str">
        <f t="shared" ca="1" si="114"/>
        <v/>
      </c>
      <c r="GX184" t="str">
        <f t="shared" ca="1" si="115"/>
        <v/>
      </c>
    </row>
    <row r="185" spans="1:206" x14ac:dyDescent="0.2">
      <c r="BK185" t="s">
        <v>5596</v>
      </c>
      <c r="CD185" t="s">
        <v>1042</v>
      </c>
      <c r="CE185" t="s">
        <v>7592</v>
      </c>
      <c r="CF185" t="s">
        <v>897</v>
      </c>
      <c r="CG185" t="s">
        <v>1929</v>
      </c>
      <c r="CH185">
        <v>-1</v>
      </c>
      <c r="CI185">
        <v>0</v>
      </c>
      <c r="CJ185" t="s">
        <v>4001</v>
      </c>
      <c r="CK185" t="s">
        <v>2191</v>
      </c>
      <c r="CL185" t="s">
        <v>1930</v>
      </c>
      <c r="CU185" t="s">
        <v>7578</v>
      </c>
      <c r="CX185" t="s">
        <v>460</v>
      </c>
      <c r="CY185" t="s">
        <v>76</v>
      </c>
      <c r="CZ185" t="s">
        <v>77</v>
      </c>
      <c r="DA185" t="s">
        <v>750</v>
      </c>
      <c r="DC185" t="s">
        <v>7307</v>
      </c>
      <c r="DD185" t="s">
        <v>3141</v>
      </c>
      <c r="DE185" t="s">
        <v>2254</v>
      </c>
      <c r="DF185" t="s">
        <v>1134</v>
      </c>
      <c r="DG185" t="s">
        <v>1321</v>
      </c>
      <c r="DH185" t="s">
        <v>6950</v>
      </c>
      <c r="DI185" t="s">
        <v>3211</v>
      </c>
      <c r="DJ185">
        <v>2</v>
      </c>
      <c r="DK185">
        <f t="shared" si="132"/>
        <v>506</v>
      </c>
      <c r="DL185">
        <f t="shared" si="118"/>
        <v>183</v>
      </c>
      <c r="DM185">
        <v>168</v>
      </c>
      <c r="DN185" t="str">
        <f t="shared" ca="1" si="104"/>
        <v/>
      </c>
      <c r="DO185" t="str">
        <f t="shared" ca="1" si="105"/>
        <v/>
      </c>
      <c r="DP185" t="str">
        <f t="shared" ca="1" si="106"/>
        <v/>
      </c>
      <c r="DQ185" t="str">
        <f>IF(EXACT(Zauber!$A$250,""),"",IF(EXACT(RIGHT(HLOOKUP(Zauber!$A$250,PROFMAGIE,$DK185,FALSE)),"H"),CONCATENATE($CX185,","),""))</f>
        <v/>
      </c>
      <c r="DR185" t="str">
        <f t="shared" si="107"/>
        <v/>
      </c>
      <c r="DS185" t="str">
        <f>IF(ZS_IAAK="Ja",IF(EXACT(RIGHT(HLOOKUP(Tabellen_Magie!$IK$1,PROFMAGIE,$DK185,FALSE)),"H"),CONCATENATE($CX185,","),""),"")</f>
        <v/>
      </c>
      <c r="DT185" t="str">
        <f>IF(ZS_IAAK="Ja",IF(NOT(DS185=""),"",IF(OR(EXACT(RIGHT(HLOOKUP(Tabellen_Magie!$IK$1,PROFMAGIE,$DK185,FALSE)),"B"),EXACT(HLOOKUP(Tabellen_Magie!$IK$1,PROFMAGIE,$DK185,FALSE),"")),"",CONCATENATE($CX185,","))),"")</f>
        <v/>
      </c>
      <c r="DU185" t="str">
        <f t="shared" si="108"/>
        <v/>
      </c>
      <c r="DW185" t="s">
        <v>261</v>
      </c>
      <c r="DX185" t="s">
        <v>75</v>
      </c>
      <c r="DY185" t="s">
        <v>76</v>
      </c>
      <c r="DZ185" t="s">
        <v>751</v>
      </c>
      <c r="EB185" t="s">
        <v>8633</v>
      </c>
      <c r="EC185" t="s">
        <v>3016</v>
      </c>
      <c r="ED185">
        <f t="shared" si="126"/>
        <v>100</v>
      </c>
      <c r="EE185" t="s">
        <v>3282</v>
      </c>
      <c r="EH185">
        <f t="shared" si="127"/>
        <v>2</v>
      </c>
      <c r="EI185">
        <v>100</v>
      </c>
      <c r="FD185" t="s">
        <v>4587</v>
      </c>
      <c r="FE185">
        <f ca="1">ROUND(IF(VT_AKADMAG,FK185*3/4,FK185)*IF(NT_ELFWELT,IF(FN185,1,1.5),1)*IF(NOT(ISERROR(FIND("Meta",'Zauber 2'!$D$84,1))),0.5,1),0)</f>
        <v>100</v>
      </c>
      <c r="FF185">
        <f ca="1">ROUND(FE185/50,0)</f>
        <v>2</v>
      </c>
      <c r="FK185">
        <v>100</v>
      </c>
      <c r="FL185">
        <v>3</v>
      </c>
      <c r="FM185" t="b">
        <f t="shared" ca="1" si="123"/>
        <v>0</v>
      </c>
      <c r="FN185" t="b">
        <f t="shared" ca="1" si="124"/>
        <v>1</v>
      </c>
      <c r="GH185" t="s">
        <v>1665</v>
      </c>
      <c r="GI185" t="s">
        <v>3290</v>
      </c>
      <c r="GJ185">
        <v>3</v>
      </c>
      <c r="GK185" t="s">
        <v>1320</v>
      </c>
      <c r="GL185" t="s">
        <v>1977</v>
      </c>
      <c r="GM185" t="s">
        <v>1984</v>
      </c>
      <c r="GN185" t="s">
        <v>1974</v>
      </c>
      <c r="GO185">
        <v>264</v>
      </c>
      <c r="GP185">
        <v>253</v>
      </c>
      <c r="GR185">
        <f t="shared" si="111"/>
        <v>534</v>
      </c>
      <c r="GT185" t="s">
        <v>2847</v>
      </c>
      <c r="GU185" t="str">
        <f t="shared" ca="1" si="112"/>
        <v/>
      </c>
      <c r="GV185" t="str">
        <f t="shared" ca="1" si="113"/>
        <v/>
      </c>
      <c r="GW185" t="str">
        <f t="shared" ca="1" si="114"/>
        <v/>
      </c>
      <c r="GX185" t="str">
        <f t="shared" ca="1" si="115"/>
        <v/>
      </c>
    </row>
    <row r="186" spans="1:206" x14ac:dyDescent="0.2">
      <c r="BK186" t="s">
        <v>5597</v>
      </c>
      <c r="BL186">
        <v>13</v>
      </c>
      <c r="BM186">
        <v>13</v>
      </c>
      <c r="BN186" t="s">
        <v>5482</v>
      </c>
      <c r="BO186">
        <v>9</v>
      </c>
      <c r="BP186" t="s">
        <v>5598</v>
      </c>
      <c r="BQ186">
        <v>2</v>
      </c>
      <c r="BR186">
        <v>19</v>
      </c>
      <c r="BS186">
        <v>1</v>
      </c>
      <c r="BT186">
        <v>19</v>
      </c>
      <c r="BU186">
        <v>20</v>
      </c>
      <c r="BW186">
        <v>0</v>
      </c>
      <c r="BY186" t="s">
        <v>4985</v>
      </c>
      <c r="BZ186" t="s">
        <v>4985</v>
      </c>
      <c r="CA186" t="s">
        <v>5599</v>
      </c>
      <c r="CD186" t="s">
        <v>4273</v>
      </c>
      <c r="CE186" t="s">
        <v>916</v>
      </c>
      <c r="CF186" t="s">
        <v>907</v>
      </c>
      <c r="CG186" t="s">
        <v>898</v>
      </c>
      <c r="CH186">
        <v>-1</v>
      </c>
      <c r="CI186">
        <v>0</v>
      </c>
      <c r="CJ186" t="s">
        <v>4001</v>
      </c>
      <c r="CK186" t="s">
        <v>2191</v>
      </c>
      <c r="CL186" t="s">
        <v>1930</v>
      </c>
      <c r="CU186" t="s">
        <v>4629</v>
      </c>
      <c r="CX186" t="s">
        <v>2623</v>
      </c>
      <c r="CY186" t="s">
        <v>74</v>
      </c>
      <c r="CZ186" t="s">
        <v>77</v>
      </c>
      <c r="DA186" t="s">
        <v>5030</v>
      </c>
      <c r="DB186" t="s">
        <v>1613</v>
      </c>
      <c r="DC186" t="s">
        <v>7288</v>
      </c>
      <c r="DD186" t="s">
        <v>124</v>
      </c>
      <c r="DE186" t="s">
        <v>2254</v>
      </c>
      <c r="DF186" t="s">
        <v>81</v>
      </c>
      <c r="DG186" t="s">
        <v>1956</v>
      </c>
      <c r="DH186" t="s">
        <v>6844</v>
      </c>
      <c r="DI186" t="s">
        <v>813</v>
      </c>
      <c r="DJ186">
        <v>2</v>
      </c>
      <c r="DK186">
        <f t="shared" si="132"/>
        <v>507</v>
      </c>
      <c r="DL186">
        <f t="shared" si="118"/>
        <v>184</v>
      </c>
      <c r="DM186">
        <v>63</v>
      </c>
      <c r="DN186" t="str">
        <f t="shared" ca="1" si="104"/>
        <v/>
      </c>
      <c r="DO186" t="str">
        <f t="shared" ca="1" si="105"/>
        <v/>
      </c>
      <c r="DP186" t="str">
        <f t="shared" ca="1" si="106"/>
        <v/>
      </c>
      <c r="DQ186" t="str">
        <f>IF(EXACT(Zauber!$A$250,""),"",IF(EXACT(RIGHT(HLOOKUP(Zauber!$A$250,PROFMAGIE,$DK186,FALSE)),"H"),CONCATENATE($CX186,","),""))</f>
        <v/>
      </c>
      <c r="DR186" t="str">
        <f t="shared" si="107"/>
        <v/>
      </c>
      <c r="DS186" t="str">
        <f>IF(ZS_IAAK="Ja",IF(EXACT(RIGHT(HLOOKUP(Tabellen_Magie!$IK$1,PROFMAGIE,$DK186,FALSE)),"H"),CONCATENATE($CX186,","),""),"")</f>
        <v/>
      </c>
      <c r="DT186" t="str">
        <f>IF(ZS_IAAK="Ja",IF(NOT(DS186=""),"",IF(OR(EXACT(RIGHT(HLOOKUP(Tabellen_Magie!$IK$1,PROFMAGIE,$DK186,FALSE)),"B"),EXACT(HLOOKUP(Tabellen_Magie!$IK$1,PROFMAGIE,$DK186,FALSE),"")),"",CONCATENATE($CX186,","))),"")</f>
        <v/>
      </c>
      <c r="DU186" t="str">
        <f t="shared" si="108"/>
        <v/>
      </c>
      <c r="DW186" t="s">
        <v>1301</v>
      </c>
      <c r="EH186">
        <f t="shared" si="127"/>
        <v>0</v>
      </c>
      <c r="FD186" t="s">
        <v>2066</v>
      </c>
      <c r="FE186">
        <f>ROUND(FK186*IF(VT_AKADMAG,3/4,1)*IF(NT_ELFWELT,IF(FN186,1,1.5),1),0)</f>
        <v>100</v>
      </c>
      <c r="FF186">
        <f t="shared" si="125"/>
        <v>2</v>
      </c>
      <c r="FK186">
        <f>IF(RASSE_ELF,50,100)</f>
        <v>100</v>
      </c>
      <c r="FL186">
        <v>4</v>
      </c>
      <c r="FM186" t="b">
        <f t="shared" ca="1" si="123"/>
        <v>0</v>
      </c>
      <c r="FN186" t="b">
        <f t="shared" ca="1" si="124"/>
        <v>1</v>
      </c>
      <c r="GH186" t="s">
        <v>1666</v>
      </c>
      <c r="GI186" t="s">
        <v>3290</v>
      </c>
      <c r="GJ186">
        <v>3</v>
      </c>
      <c r="GK186" t="s">
        <v>1320</v>
      </c>
      <c r="GL186" t="s">
        <v>567</v>
      </c>
      <c r="GM186" t="s">
        <v>1369</v>
      </c>
      <c r="GN186" t="s">
        <v>1974</v>
      </c>
      <c r="GO186">
        <v>264</v>
      </c>
      <c r="GP186">
        <v>175</v>
      </c>
      <c r="GR186">
        <f t="shared" si="111"/>
        <v>535</v>
      </c>
      <c r="GT186" t="s">
        <v>2230</v>
      </c>
      <c r="GU186" t="str">
        <f t="shared" ca="1" si="112"/>
        <v/>
      </c>
      <c r="GV186" t="str">
        <f t="shared" ca="1" si="113"/>
        <v/>
      </c>
      <c r="GW186" t="str">
        <f t="shared" ca="1" si="114"/>
        <v/>
      </c>
      <c r="GX186" t="str">
        <f t="shared" ca="1" si="115"/>
        <v/>
      </c>
    </row>
    <row r="187" spans="1:206" x14ac:dyDescent="0.2">
      <c r="BK187" t="s">
        <v>5600</v>
      </c>
      <c r="BL187">
        <v>13</v>
      </c>
      <c r="BM187">
        <v>13</v>
      </c>
      <c r="BN187" t="s">
        <v>5482</v>
      </c>
      <c r="BO187">
        <v>9</v>
      </c>
      <c r="BP187" t="s">
        <v>5598</v>
      </c>
      <c r="BQ187">
        <v>2</v>
      </c>
      <c r="BR187">
        <v>19</v>
      </c>
      <c r="BS187">
        <v>1</v>
      </c>
      <c r="BT187">
        <v>19</v>
      </c>
      <c r="BU187">
        <v>20</v>
      </c>
      <c r="BW187">
        <v>0</v>
      </c>
      <c r="BY187" t="s">
        <v>4985</v>
      </c>
      <c r="BZ187" t="s">
        <v>4985</v>
      </c>
      <c r="CA187" t="s">
        <v>5599</v>
      </c>
      <c r="CD187" t="s">
        <v>7582</v>
      </c>
      <c r="CE187" t="s">
        <v>7592</v>
      </c>
      <c r="CF187" t="s">
        <v>4993</v>
      </c>
      <c r="CG187" t="s">
        <v>4550</v>
      </c>
      <c r="CH187">
        <v>-2</v>
      </c>
      <c r="CI187">
        <v>0</v>
      </c>
      <c r="CJ187" t="s">
        <v>4001</v>
      </c>
      <c r="CK187" t="s">
        <v>2191</v>
      </c>
      <c r="CU187" t="s">
        <v>7166</v>
      </c>
      <c r="CX187" t="s">
        <v>2624</v>
      </c>
      <c r="CY187" t="s">
        <v>76</v>
      </c>
      <c r="CZ187" t="s">
        <v>77</v>
      </c>
      <c r="DA187" t="s">
        <v>5030</v>
      </c>
      <c r="DB187" t="s">
        <v>1613</v>
      </c>
      <c r="DC187" t="s">
        <v>7288</v>
      </c>
      <c r="DD187" t="s">
        <v>124</v>
      </c>
      <c r="DE187" t="s">
        <v>2254</v>
      </c>
      <c r="DF187" t="s">
        <v>81</v>
      </c>
      <c r="DG187" t="s">
        <v>1956</v>
      </c>
      <c r="DH187" t="s">
        <v>6887</v>
      </c>
      <c r="DI187" t="s">
        <v>2824</v>
      </c>
      <c r="DJ187">
        <v>2</v>
      </c>
      <c r="DK187">
        <f t="shared" si="132"/>
        <v>508</v>
      </c>
      <c r="DL187">
        <f t="shared" si="118"/>
        <v>185</v>
      </c>
      <c r="DM187">
        <v>79</v>
      </c>
      <c r="DN187" t="str">
        <f t="shared" ca="1" si="104"/>
        <v/>
      </c>
      <c r="DO187" t="str">
        <f t="shared" ca="1" si="105"/>
        <v/>
      </c>
      <c r="DP187" t="str">
        <f t="shared" ca="1" si="106"/>
        <v/>
      </c>
      <c r="DQ187" t="str">
        <f>IF(EXACT(Zauber!$A$250,""),"",IF(EXACT(RIGHT(HLOOKUP(Zauber!$A$250,PROFMAGIE,$DK187,FALSE)),"H"),CONCATENATE($CX187,","),""))</f>
        <v/>
      </c>
      <c r="DR187" t="str">
        <f t="shared" si="107"/>
        <v/>
      </c>
      <c r="DS187" t="str">
        <f>IF(ZS_IAAK="Ja",IF(EXACT(RIGHT(HLOOKUP(Tabellen_Magie!$IK$1,PROFMAGIE,$DK187,FALSE)),"H"),CONCATENATE($CX187,","),""),"")</f>
        <v/>
      </c>
      <c r="DT187" t="str">
        <f>IF(ZS_IAAK="Ja",IF(NOT(DS187=""),"",IF(OR(EXACT(RIGHT(HLOOKUP(Tabellen_Magie!$IK$1,PROFMAGIE,$DK187,FALSE)),"B"),EXACT(HLOOKUP(Tabellen_Magie!$IK$1,PROFMAGIE,$DK187,FALSE),"")),"",CONCATENATE($CX187,","))),"")</f>
        <v/>
      </c>
      <c r="DU187" t="str">
        <f t="shared" si="108"/>
        <v/>
      </c>
      <c r="DW187" t="s">
        <v>2132</v>
      </c>
      <c r="DX187" t="s">
        <v>8634</v>
      </c>
      <c r="DY187" t="s">
        <v>8635</v>
      </c>
      <c r="EA187" t="s">
        <v>8636</v>
      </c>
      <c r="EB187" t="s">
        <v>4472</v>
      </c>
      <c r="EC187" t="s">
        <v>8637</v>
      </c>
      <c r="ED187">
        <f t="shared" ref="ED187:ED197" si="134">ROUND(EI187*IF(VT_EIDGED,0.5,IF(VT_GUTGED,0.75,1)),0)</f>
        <v>100</v>
      </c>
      <c r="EE187" t="s">
        <v>7233</v>
      </c>
      <c r="EF187" t="s">
        <v>3279</v>
      </c>
      <c r="EH187">
        <f t="shared" si="127"/>
        <v>2</v>
      </c>
      <c r="EI187">
        <v>100</v>
      </c>
      <c r="FD187" t="s">
        <v>4585</v>
      </c>
      <c r="FE187">
        <f>ROUND(FK187*IF(VT_AKADMAG,3/4,1)*IF(NT_ELFWELT,IF(FN187,1,1.5),1),0)</f>
        <v>100</v>
      </c>
      <c r="FF187">
        <f t="shared" si="125"/>
        <v>2</v>
      </c>
      <c r="FK187">
        <v>100</v>
      </c>
      <c r="FL187">
        <v>5</v>
      </c>
      <c r="FM187" t="b">
        <f t="shared" ca="1" si="123"/>
        <v>0</v>
      </c>
      <c r="FN187" t="b">
        <f t="shared" ca="1" si="124"/>
        <v>0</v>
      </c>
      <c r="GH187" t="s">
        <v>1667</v>
      </c>
      <c r="GI187" t="s">
        <v>3290</v>
      </c>
      <c r="GJ187">
        <v>3</v>
      </c>
      <c r="GK187" t="s">
        <v>4484</v>
      </c>
      <c r="GL187" t="s">
        <v>567</v>
      </c>
      <c r="GM187" t="s">
        <v>1983</v>
      </c>
      <c r="GN187" t="s">
        <v>1690</v>
      </c>
      <c r="GO187">
        <v>267</v>
      </c>
      <c r="GP187">
        <v>180</v>
      </c>
      <c r="GR187">
        <f t="shared" si="111"/>
        <v>536</v>
      </c>
      <c r="GU187" t="str">
        <f t="shared" ca="1" si="112"/>
        <v/>
      </c>
      <c r="GV187" t="str">
        <f t="shared" ca="1" si="113"/>
        <v/>
      </c>
      <c r="GW187" t="str">
        <f t="shared" ca="1" si="114"/>
        <v/>
      </c>
      <c r="GX187" t="str">
        <f t="shared" ca="1" si="115"/>
        <v/>
      </c>
    </row>
    <row r="188" spans="1:206" x14ac:dyDescent="0.2">
      <c r="BK188" t="s">
        <v>5601</v>
      </c>
      <c r="BL188">
        <v>16</v>
      </c>
      <c r="BM188">
        <v>13</v>
      </c>
      <c r="BN188" t="s">
        <v>5590</v>
      </c>
      <c r="BO188">
        <v>9</v>
      </c>
      <c r="BP188" t="s">
        <v>5598</v>
      </c>
      <c r="BQ188">
        <v>2</v>
      </c>
      <c r="BR188">
        <v>19</v>
      </c>
      <c r="BS188">
        <v>1</v>
      </c>
      <c r="BT188">
        <v>19</v>
      </c>
      <c r="BU188">
        <v>20</v>
      </c>
      <c r="BW188">
        <v>0</v>
      </c>
      <c r="BY188" t="s">
        <v>4985</v>
      </c>
      <c r="BZ188" t="s">
        <v>4985</v>
      </c>
      <c r="CA188" t="s">
        <v>5599</v>
      </c>
      <c r="CD188" t="s">
        <v>4988</v>
      </c>
      <c r="CE188" t="s">
        <v>4558</v>
      </c>
      <c r="CF188" t="s">
        <v>4552</v>
      </c>
      <c r="CG188" t="s">
        <v>4550</v>
      </c>
      <c r="CH188">
        <v>0</v>
      </c>
      <c r="CI188">
        <v>3</v>
      </c>
      <c r="CJ188" t="s">
        <v>4001</v>
      </c>
      <c r="CK188" t="s">
        <v>2191</v>
      </c>
      <c r="CU188" t="s">
        <v>4630</v>
      </c>
      <c r="CX188" t="s">
        <v>461</v>
      </c>
      <c r="CY188" t="s">
        <v>76</v>
      </c>
      <c r="CZ188" t="s">
        <v>77</v>
      </c>
      <c r="DA188" t="s">
        <v>5030</v>
      </c>
      <c r="DC188" t="s">
        <v>7292</v>
      </c>
      <c r="DD188" t="s">
        <v>1819</v>
      </c>
      <c r="DE188" t="s">
        <v>1321</v>
      </c>
      <c r="DF188" t="s">
        <v>1617</v>
      </c>
      <c r="DG188" t="s">
        <v>1956</v>
      </c>
      <c r="DH188" t="s">
        <v>6958</v>
      </c>
      <c r="DI188" t="s">
        <v>4341</v>
      </c>
      <c r="DJ188">
        <v>2</v>
      </c>
      <c r="DK188">
        <f t="shared" si="132"/>
        <v>509</v>
      </c>
      <c r="DL188">
        <f t="shared" si="118"/>
        <v>186</v>
      </c>
      <c r="DM188">
        <v>169</v>
      </c>
      <c r="DN188" t="str">
        <f t="shared" ca="1" si="104"/>
        <v/>
      </c>
      <c r="DO188" t="str">
        <f t="shared" ca="1" si="105"/>
        <v/>
      </c>
      <c r="DP188" t="str">
        <f t="shared" ca="1" si="106"/>
        <v/>
      </c>
      <c r="DQ188" t="str">
        <f>IF(EXACT(Zauber!$A$250,""),"",IF(EXACT(RIGHT(HLOOKUP(Zauber!$A$250,PROFMAGIE,$DK188,FALSE)),"H"),CONCATENATE($CX188,","),""))</f>
        <v/>
      </c>
      <c r="DR188" t="str">
        <f t="shared" si="107"/>
        <v/>
      </c>
      <c r="DS188" t="str">
        <f>IF(ZS_IAAK="Ja",IF(EXACT(RIGHT(HLOOKUP(Tabellen_Magie!$IK$1,PROFMAGIE,$DK188,FALSE)),"H"),CONCATENATE($CX188,","),""),"")</f>
        <v/>
      </c>
      <c r="DT188" t="str">
        <f>IF(ZS_IAAK="Ja",IF(NOT(DS188=""),"",IF(OR(EXACT(RIGHT(HLOOKUP(Tabellen_Magie!$IK$1,PROFMAGIE,$DK188,FALSE)),"B"),EXACT(HLOOKUP(Tabellen_Magie!$IK$1,PROFMAGIE,$DK188,FALSE),"")),"",CONCATENATE($CX188,","))),"")</f>
        <v/>
      </c>
      <c r="DU188" t="str">
        <f t="shared" si="108"/>
        <v/>
      </c>
      <c r="DW188" t="s">
        <v>1546</v>
      </c>
      <c r="DX188" t="s">
        <v>8634</v>
      </c>
      <c r="DY188" t="s">
        <v>8635</v>
      </c>
      <c r="EA188" t="s">
        <v>8597</v>
      </c>
      <c r="EB188" t="s">
        <v>4472</v>
      </c>
      <c r="EC188" t="s">
        <v>3016</v>
      </c>
      <c r="ED188">
        <f t="shared" si="134"/>
        <v>150</v>
      </c>
      <c r="EE188" t="s">
        <v>7233</v>
      </c>
      <c r="EF188" t="s">
        <v>3279</v>
      </c>
      <c r="EH188">
        <f t="shared" si="127"/>
        <v>3</v>
      </c>
      <c r="EI188">
        <v>150</v>
      </c>
      <c r="FD188" t="s">
        <v>1556</v>
      </c>
      <c r="FE188">
        <f>ROUND(IF(VT_AKADMAG,FK188*3/4,FK188)*IF(NT_ELFWELT,IF(FN188,1,1.5),1)*IF(VT_EIDGED,0.5,IF(VT_GUTGED,0.75,1)),0)</f>
        <v>200</v>
      </c>
      <c r="FF188">
        <f t="shared" si="125"/>
        <v>4</v>
      </c>
      <c r="FK188">
        <v>200</v>
      </c>
      <c r="FL188">
        <v>3</v>
      </c>
      <c r="FM188" t="b">
        <f t="shared" ca="1" si="123"/>
        <v>0</v>
      </c>
      <c r="FN188" t="b">
        <f t="shared" ca="1" si="124"/>
        <v>0</v>
      </c>
      <c r="GH188" t="s">
        <v>1668</v>
      </c>
      <c r="GI188" t="s">
        <v>3290</v>
      </c>
      <c r="GJ188">
        <v>3</v>
      </c>
      <c r="GK188" t="s">
        <v>4484</v>
      </c>
      <c r="GL188" t="s">
        <v>567</v>
      </c>
      <c r="GM188" t="s">
        <v>1983</v>
      </c>
      <c r="GN188" t="s">
        <v>1690</v>
      </c>
      <c r="GO188">
        <v>265</v>
      </c>
      <c r="GP188">
        <v>181</v>
      </c>
      <c r="GR188">
        <f t="shared" si="111"/>
        <v>537</v>
      </c>
      <c r="GU188" t="str">
        <f t="shared" ca="1" si="112"/>
        <v/>
      </c>
      <c r="GV188" t="str">
        <f t="shared" ca="1" si="113"/>
        <v/>
      </c>
      <c r="GW188" t="str">
        <f t="shared" ca="1" si="114"/>
        <v/>
      </c>
      <c r="GX188" t="str">
        <f t="shared" ca="1" si="115"/>
        <v/>
      </c>
    </row>
    <row r="189" spans="1:206" x14ac:dyDescent="0.2">
      <c r="BK189" t="s">
        <v>5602</v>
      </c>
      <c r="BL189">
        <v>10</v>
      </c>
      <c r="BM189">
        <v>13</v>
      </c>
      <c r="BN189" t="s">
        <v>5482</v>
      </c>
      <c r="BO189">
        <v>9</v>
      </c>
      <c r="BP189" t="s">
        <v>5598</v>
      </c>
      <c r="BQ189">
        <v>2</v>
      </c>
      <c r="BR189">
        <v>19</v>
      </c>
      <c r="BS189">
        <v>1</v>
      </c>
      <c r="BT189">
        <v>19</v>
      </c>
      <c r="BU189">
        <v>20</v>
      </c>
      <c r="BW189">
        <v>0</v>
      </c>
      <c r="BY189" t="s">
        <v>4985</v>
      </c>
      <c r="BZ189" t="s">
        <v>4985</v>
      </c>
      <c r="CA189" t="s">
        <v>5599</v>
      </c>
      <c r="CD189" t="s">
        <v>4989</v>
      </c>
      <c r="CE189" t="s">
        <v>916</v>
      </c>
      <c r="CF189" t="s">
        <v>919</v>
      </c>
      <c r="CG189" t="s">
        <v>898</v>
      </c>
      <c r="CH189">
        <v>-1</v>
      </c>
      <c r="CI189">
        <v>-2</v>
      </c>
      <c r="CJ189" t="s">
        <v>4001</v>
      </c>
      <c r="CK189" t="s">
        <v>2191</v>
      </c>
      <c r="CL189" t="s">
        <v>1930</v>
      </c>
      <c r="CU189" t="s">
        <v>4631</v>
      </c>
      <c r="CX189" t="s">
        <v>2625</v>
      </c>
      <c r="CY189" t="s">
        <v>74</v>
      </c>
      <c r="CZ189" t="s">
        <v>75</v>
      </c>
      <c r="DA189" t="s">
        <v>76</v>
      </c>
      <c r="DC189" t="s">
        <v>544</v>
      </c>
      <c r="DD189" t="s">
        <v>4026</v>
      </c>
      <c r="DE189" t="s">
        <v>2225</v>
      </c>
      <c r="DF189" t="s">
        <v>1246</v>
      </c>
      <c r="DG189" t="s">
        <v>1955</v>
      </c>
      <c r="DH189" t="s">
        <v>8431</v>
      </c>
      <c r="DI189" t="s">
        <v>3506</v>
      </c>
      <c r="DJ189">
        <v>2</v>
      </c>
      <c r="DK189">
        <f t="shared" si="132"/>
        <v>510</v>
      </c>
      <c r="DL189">
        <f t="shared" si="118"/>
        <v>187</v>
      </c>
      <c r="DM189">
        <v>170</v>
      </c>
      <c r="DN189" t="str">
        <f t="shared" ca="1" si="104"/>
        <v/>
      </c>
      <c r="DO189" t="str">
        <f t="shared" ca="1" si="105"/>
        <v/>
      </c>
      <c r="DP189" t="str">
        <f t="shared" ca="1" si="106"/>
        <v/>
      </c>
      <c r="DQ189" t="str">
        <f>IF(EXACT(Zauber!$A$250,""),"",IF(EXACT(RIGHT(HLOOKUP(Zauber!$A$250,PROFMAGIE,$DK189,FALSE)),"H"),CONCATENATE($CX189,","),""))</f>
        <v/>
      </c>
      <c r="DR189" t="str">
        <f t="shared" si="107"/>
        <v/>
      </c>
      <c r="DS189" t="str">
        <f>IF(ZS_IAAK="Ja",IF(EXACT(RIGHT(HLOOKUP(Tabellen_Magie!$IK$1,PROFMAGIE,$DK189,FALSE)),"H"),CONCATENATE($CX189,","),""),"")</f>
        <v/>
      </c>
      <c r="DT189" t="str">
        <f>IF(ZS_IAAK="Ja",IF(NOT(DS189=""),"",IF(OR(EXACT(RIGHT(HLOOKUP(Tabellen_Magie!$IK$1,PROFMAGIE,$DK189,FALSE)),"B"),EXACT(HLOOKUP(Tabellen_Magie!$IK$1,PROFMAGIE,$DK189,FALSE),"")),"",CONCATENATE($CX189,","))),"")</f>
        <v/>
      </c>
      <c r="DU189" t="str">
        <f t="shared" si="108"/>
        <v/>
      </c>
      <c r="DW189" t="s">
        <v>1547</v>
      </c>
      <c r="DX189" t="s">
        <v>8634</v>
      </c>
      <c r="DY189" t="s">
        <v>8635</v>
      </c>
      <c r="EA189" t="s">
        <v>8597</v>
      </c>
      <c r="EB189" t="s">
        <v>4472</v>
      </c>
      <c r="EC189" t="s">
        <v>3016</v>
      </c>
      <c r="ED189">
        <f t="shared" si="134"/>
        <v>200</v>
      </c>
      <c r="EE189" t="s">
        <v>7233</v>
      </c>
      <c r="EF189" t="s">
        <v>3279</v>
      </c>
      <c r="EH189">
        <f t="shared" si="127"/>
        <v>4</v>
      </c>
      <c r="EI189">
        <v>200</v>
      </c>
      <c r="FD189" t="s">
        <v>2983</v>
      </c>
      <c r="FE189" t="s">
        <v>4006</v>
      </c>
      <c r="FF189" t="s">
        <v>1783</v>
      </c>
      <c r="FK189" t="s">
        <v>4006</v>
      </c>
      <c r="FL189" t="s">
        <v>4912</v>
      </c>
      <c r="GH189" t="s">
        <v>1669</v>
      </c>
      <c r="GI189" t="s">
        <v>3290</v>
      </c>
      <c r="GJ189">
        <v>3</v>
      </c>
      <c r="GK189" t="s">
        <v>4116</v>
      </c>
      <c r="GL189" t="s">
        <v>1976</v>
      </c>
      <c r="GM189" t="s">
        <v>1982</v>
      </c>
      <c r="GN189" t="s">
        <v>1973</v>
      </c>
      <c r="GO189">
        <v>272</v>
      </c>
      <c r="GP189">
        <v>323</v>
      </c>
      <c r="GR189">
        <f t="shared" si="111"/>
        <v>538</v>
      </c>
      <c r="GU189" t="str">
        <f t="shared" ca="1" si="112"/>
        <v/>
      </c>
      <c r="GV189" t="str">
        <f t="shared" ca="1" si="113"/>
        <v/>
      </c>
      <c r="GW189" t="str">
        <f t="shared" ca="1" si="114"/>
        <v/>
      </c>
      <c r="GX189" t="str">
        <f t="shared" ca="1" si="115"/>
        <v/>
      </c>
    </row>
    <row r="190" spans="1:206" x14ac:dyDescent="0.2">
      <c r="BK190" t="s">
        <v>5603</v>
      </c>
      <c r="BL190">
        <v>6</v>
      </c>
      <c r="BM190">
        <v>11</v>
      </c>
      <c r="BN190" t="s">
        <v>5452</v>
      </c>
      <c r="BO190">
        <v>10</v>
      </c>
      <c r="BP190" t="s">
        <v>5578</v>
      </c>
      <c r="BQ190">
        <v>2</v>
      </c>
      <c r="BR190">
        <v>13</v>
      </c>
      <c r="BS190">
        <v>1</v>
      </c>
      <c r="BT190">
        <v>12</v>
      </c>
      <c r="BU190">
        <v>20</v>
      </c>
      <c r="BW190">
        <v>0</v>
      </c>
      <c r="BY190" t="s">
        <v>4985</v>
      </c>
      <c r="BZ190" t="s">
        <v>4985</v>
      </c>
      <c r="CA190" t="s">
        <v>5604</v>
      </c>
      <c r="CD190" t="s">
        <v>4990</v>
      </c>
      <c r="CE190" t="s">
        <v>7589</v>
      </c>
      <c r="CF190" t="s">
        <v>4993</v>
      </c>
      <c r="CG190" t="s">
        <v>4550</v>
      </c>
      <c r="CH190">
        <v>0</v>
      </c>
      <c r="CI190">
        <v>0</v>
      </c>
      <c r="CJ190" t="s">
        <v>4001</v>
      </c>
      <c r="CK190" t="s">
        <v>2191</v>
      </c>
      <c r="CU190" t="s">
        <v>4632</v>
      </c>
      <c r="CX190" t="s">
        <v>2626</v>
      </c>
      <c r="CY190" t="s">
        <v>74</v>
      </c>
      <c r="CZ190" t="s">
        <v>75</v>
      </c>
      <c r="DA190" t="s">
        <v>5030</v>
      </c>
      <c r="DB190" t="s">
        <v>2042</v>
      </c>
      <c r="DC190" t="s">
        <v>7288</v>
      </c>
      <c r="DD190" t="s">
        <v>4127</v>
      </c>
      <c r="DE190" t="s">
        <v>1321</v>
      </c>
      <c r="DF190" t="s">
        <v>2493</v>
      </c>
      <c r="DG190" t="s">
        <v>1955</v>
      </c>
      <c r="DH190" t="s">
        <v>6959</v>
      </c>
      <c r="DI190" t="s">
        <v>4689</v>
      </c>
      <c r="DJ190">
        <v>2</v>
      </c>
      <c r="DK190">
        <f t="shared" si="132"/>
        <v>511</v>
      </c>
      <c r="DL190">
        <f t="shared" si="118"/>
        <v>188</v>
      </c>
      <c r="DM190">
        <v>171</v>
      </c>
      <c r="DN190" t="str">
        <f t="shared" ca="1" si="104"/>
        <v/>
      </c>
      <c r="DO190" t="str">
        <f t="shared" ca="1" si="105"/>
        <v/>
      </c>
      <c r="DP190" t="str">
        <f t="shared" ca="1" si="106"/>
        <v/>
      </c>
      <c r="DQ190" t="str">
        <f>IF(EXACT(Zauber!$A$250,""),"",IF(EXACT(RIGHT(HLOOKUP(Zauber!$A$250,PROFMAGIE,$DK190,FALSE)),"H"),CONCATENATE($CX190,","),""))</f>
        <v/>
      </c>
      <c r="DR190" t="str">
        <f t="shared" si="107"/>
        <v/>
      </c>
      <c r="DS190" t="str">
        <f>IF(ZS_IAAK="Ja",IF(EXACT(RIGHT(HLOOKUP(Tabellen_Magie!$IK$1,PROFMAGIE,$DK190,FALSE)),"H"),CONCATENATE($CX190,","),""),"")</f>
        <v/>
      </c>
      <c r="DT190" t="str">
        <f>IF(ZS_IAAK="Ja",IF(NOT(DS190=""),"",IF(OR(EXACT(RIGHT(HLOOKUP(Tabellen_Magie!$IK$1,PROFMAGIE,$DK190,FALSE)),"B"),EXACT(HLOOKUP(Tabellen_Magie!$IK$1,PROFMAGIE,$DK190,FALSE),"")),"",CONCATENATE($CX190,","))),"")</f>
        <v/>
      </c>
      <c r="DU190" t="str">
        <f t="shared" si="108"/>
        <v/>
      </c>
      <c r="DW190" t="s">
        <v>2135</v>
      </c>
      <c r="DX190" t="s">
        <v>8634</v>
      </c>
      <c r="DY190" t="s">
        <v>8635</v>
      </c>
      <c r="EA190" t="s">
        <v>8597</v>
      </c>
      <c r="EB190" t="s">
        <v>4472</v>
      </c>
      <c r="EC190" t="s">
        <v>3016</v>
      </c>
      <c r="ED190">
        <f t="shared" si="134"/>
        <v>100</v>
      </c>
      <c r="EE190" t="s">
        <v>7233</v>
      </c>
      <c r="EF190" t="s">
        <v>3279</v>
      </c>
      <c r="EH190">
        <f t="shared" si="127"/>
        <v>2</v>
      </c>
      <c r="EI190">
        <v>100</v>
      </c>
      <c r="FF190">
        <f t="shared" ref="FF190:FF196" si="135">ROUND(FE190/50,0)</f>
        <v>0</v>
      </c>
      <c r="GH190" t="s">
        <v>1799</v>
      </c>
      <c r="GI190" t="s">
        <v>3290</v>
      </c>
      <c r="GJ190">
        <v>3</v>
      </c>
      <c r="GK190" t="s">
        <v>1320</v>
      </c>
      <c r="GL190" t="s">
        <v>1979</v>
      </c>
      <c r="GM190" t="s">
        <v>1985</v>
      </c>
      <c r="GN190" t="s">
        <v>1974</v>
      </c>
      <c r="GO190">
        <v>289</v>
      </c>
      <c r="GP190">
        <v>278</v>
      </c>
      <c r="GR190">
        <f t="shared" si="111"/>
        <v>539</v>
      </c>
      <c r="GU190" t="str">
        <f t="shared" ca="1" si="112"/>
        <v/>
      </c>
      <c r="GV190" t="str">
        <f t="shared" ca="1" si="113"/>
        <v/>
      </c>
      <c r="GW190" t="str">
        <f t="shared" ca="1" si="114"/>
        <v/>
      </c>
      <c r="GX190" t="str">
        <f t="shared" ca="1" si="115"/>
        <v/>
      </c>
    </row>
    <row r="191" spans="1:206" x14ac:dyDescent="0.2">
      <c r="BK191" t="s">
        <v>5605</v>
      </c>
      <c r="CD191" t="s">
        <v>7583</v>
      </c>
      <c r="CE191" t="s">
        <v>7592</v>
      </c>
      <c r="CF191" t="s">
        <v>4993</v>
      </c>
      <c r="CG191" t="s">
        <v>4550</v>
      </c>
      <c r="CH191">
        <v>-1</v>
      </c>
      <c r="CI191">
        <v>0</v>
      </c>
      <c r="CJ191" t="s">
        <v>4001</v>
      </c>
      <c r="CK191" t="s">
        <v>2191</v>
      </c>
      <c r="CU191" t="s">
        <v>2707</v>
      </c>
      <c r="CX191" t="s">
        <v>2627</v>
      </c>
      <c r="CY191" t="s">
        <v>74</v>
      </c>
      <c r="CZ191" t="s">
        <v>76</v>
      </c>
      <c r="DA191" t="s">
        <v>752</v>
      </c>
      <c r="DC191" t="s">
        <v>7290</v>
      </c>
      <c r="DD191" t="s">
        <v>2928</v>
      </c>
      <c r="DE191" t="s">
        <v>2929</v>
      </c>
      <c r="DF191" t="s">
        <v>2930</v>
      </c>
      <c r="DG191" t="s">
        <v>1955</v>
      </c>
      <c r="DH191" t="s">
        <v>6891</v>
      </c>
      <c r="DI191" t="s">
        <v>3496</v>
      </c>
      <c r="DJ191">
        <v>2</v>
      </c>
      <c r="DK191">
        <f t="shared" si="132"/>
        <v>512</v>
      </c>
      <c r="DL191">
        <f t="shared" si="118"/>
        <v>189</v>
      </c>
      <c r="DM191">
        <v>172</v>
      </c>
      <c r="DN191" t="str">
        <f t="shared" ca="1" si="104"/>
        <v/>
      </c>
      <c r="DO191" t="str">
        <f t="shared" ca="1" si="105"/>
        <v/>
      </c>
      <c r="DP191" t="str">
        <f t="shared" ca="1" si="106"/>
        <v/>
      </c>
      <c r="DQ191" t="str">
        <f>IF(EXACT(Zauber!$A$250,""),"",IF(EXACT(RIGHT(HLOOKUP(Zauber!$A$250,PROFMAGIE,$DK191,FALSE)),"H"),CONCATENATE($CX191,","),""))</f>
        <v/>
      </c>
      <c r="DR191" t="str">
        <f t="shared" si="107"/>
        <v/>
      </c>
      <c r="DS191" t="str">
        <f>IF(ZS_IAAK="Ja",IF(EXACT(RIGHT(HLOOKUP(Tabellen_Magie!$IK$1,PROFMAGIE,$DK191,FALSE)),"H"),CONCATENATE($CX191,","),""),"")</f>
        <v/>
      </c>
      <c r="DT191" t="str">
        <f>IF(ZS_IAAK="Ja",IF(NOT(DS191=""),"",IF(OR(EXACT(RIGHT(HLOOKUP(Tabellen_Magie!$IK$1,PROFMAGIE,$DK191,FALSE)),"B"),EXACT(HLOOKUP(Tabellen_Magie!$IK$1,PROFMAGIE,$DK191,FALSE),"")),"",CONCATENATE($CX191,","))),"")</f>
        <v/>
      </c>
      <c r="DU191" t="str">
        <f t="shared" si="108"/>
        <v/>
      </c>
      <c r="DW191" t="s">
        <v>2133</v>
      </c>
      <c r="DX191" t="s">
        <v>8634</v>
      </c>
      <c r="DY191" t="s">
        <v>8635</v>
      </c>
      <c r="EA191" t="s">
        <v>8597</v>
      </c>
      <c r="EB191" t="s">
        <v>4472</v>
      </c>
      <c r="EC191" t="s">
        <v>3016</v>
      </c>
      <c r="ED191">
        <f t="shared" si="134"/>
        <v>50</v>
      </c>
      <c r="EE191" t="s">
        <v>7233</v>
      </c>
      <c r="EF191" t="s">
        <v>3279</v>
      </c>
      <c r="EH191">
        <f t="shared" si="127"/>
        <v>1</v>
      </c>
      <c r="EI191">
        <v>50</v>
      </c>
      <c r="FD191" t="s">
        <v>890</v>
      </c>
      <c r="FE191">
        <f t="shared" ref="FE191:FE196" si="136">ROUND(FK191*IF(NT_ELFWELT,IF(FN191,1,1.5),1),0)</f>
        <v>50</v>
      </c>
      <c r="FF191">
        <f t="shared" si="135"/>
        <v>1</v>
      </c>
      <c r="FK191">
        <v>50</v>
      </c>
      <c r="FL191">
        <v>4</v>
      </c>
      <c r="FM191" t="b">
        <f t="shared" ref="FM191:FM196" ca="1" si="137">IF(OR(IF(NOT(ISNA(VLOOKUP(FD191,SF_Verbilligt_Left,3,FALSE))),VLOOKUP(FD191,SF_Verbilligt_Left,3,FALSE)="x",FALSE),IF(NOT(ISNA(VLOOKUP(FD191,SF_Verbilligt_Right,8,FALSE))),VLOOKUP(FD191,SF_Verbilligt_Right,8,FALSE)="x",FALSE)),TRUE,FALSE)</f>
        <v>0</v>
      </c>
      <c r="FN191" t="b">
        <f t="shared" ref="FN191:FN196" ca="1" si="138">OR(FM191,NOT(ISERROR(FIND(FD191,$FN$3,1))))</f>
        <v>0</v>
      </c>
      <c r="GH191" t="s">
        <v>9343</v>
      </c>
      <c r="GI191" t="s">
        <v>3290</v>
      </c>
      <c r="GJ191">
        <v>3</v>
      </c>
      <c r="GK191" t="s">
        <v>4854</v>
      </c>
      <c r="GL191" t="s">
        <v>1976</v>
      </c>
      <c r="GM191" t="s">
        <v>1369</v>
      </c>
      <c r="GN191" t="s">
        <v>1975</v>
      </c>
      <c r="GO191" t="s">
        <v>9314</v>
      </c>
      <c r="GP191">
        <v>186</v>
      </c>
      <c r="GR191">
        <f t="shared" si="111"/>
        <v>540</v>
      </c>
      <c r="GU191" t="str">
        <f t="shared" ca="1" si="112"/>
        <v/>
      </c>
      <c r="GV191" t="str">
        <f t="shared" ca="1" si="113"/>
        <v/>
      </c>
      <c r="GW191" t="str">
        <f t="shared" ca="1" si="114"/>
        <v/>
      </c>
      <c r="GX191" t="str">
        <f t="shared" ca="1" si="115"/>
        <v/>
      </c>
    </row>
    <row r="192" spans="1:206" x14ac:dyDescent="0.2">
      <c r="BK192" t="s">
        <v>5606</v>
      </c>
      <c r="BL192">
        <v>13</v>
      </c>
      <c r="BM192">
        <v>9</v>
      </c>
      <c r="BN192" t="s">
        <v>5607</v>
      </c>
      <c r="BO192">
        <v>9</v>
      </c>
      <c r="BP192" t="s">
        <v>5608</v>
      </c>
      <c r="BQ192">
        <v>2</v>
      </c>
      <c r="BR192">
        <v>28</v>
      </c>
      <c r="BS192" t="s">
        <v>5135</v>
      </c>
      <c r="BT192">
        <v>28</v>
      </c>
      <c r="BU192">
        <v>20</v>
      </c>
      <c r="BW192">
        <v>2</v>
      </c>
      <c r="BY192" t="s">
        <v>4985</v>
      </c>
      <c r="BZ192" t="s">
        <v>4985</v>
      </c>
      <c r="CA192" t="s">
        <v>5609</v>
      </c>
      <c r="CC192" t="s">
        <v>784</v>
      </c>
      <c r="CD192" t="s">
        <v>7584</v>
      </c>
      <c r="CE192" t="s">
        <v>7587</v>
      </c>
      <c r="CF192" t="s">
        <v>4554</v>
      </c>
      <c r="CG192" t="s">
        <v>2260</v>
      </c>
      <c r="CH192" t="s">
        <v>2260</v>
      </c>
      <c r="CI192" t="s">
        <v>2260</v>
      </c>
      <c r="CJ192" t="s">
        <v>4001</v>
      </c>
      <c r="CK192" t="s">
        <v>2191</v>
      </c>
      <c r="CU192" t="s">
        <v>4988</v>
      </c>
      <c r="CX192" t="s">
        <v>115</v>
      </c>
      <c r="CY192" t="s">
        <v>894</v>
      </c>
      <c r="CZ192" t="s">
        <v>895</v>
      </c>
      <c r="DA192" t="s">
        <v>895</v>
      </c>
      <c r="DH192" t="s">
        <v>1833</v>
      </c>
      <c r="DJ192">
        <v>2</v>
      </c>
      <c r="DK192">
        <f t="shared" si="132"/>
        <v>513</v>
      </c>
      <c r="DL192">
        <f t="shared" si="118"/>
        <v>190</v>
      </c>
      <c r="DM192">
        <v>172</v>
      </c>
      <c r="DN192" t="str">
        <f t="shared" ca="1" si="104"/>
        <v/>
      </c>
      <c r="DO192" t="str">
        <f t="shared" ca="1" si="105"/>
        <v/>
      </c>
      <c r="DP192" t="str">
        <f t="shared" ca="1" si="106"/>
        <v/>
      </c>
      <c r="DQ192" t="str">
        <f>IF(EXACT(Zauber!$A$250,""),"",IF(EXACT(RIGHT(HLOOKUP(Zauber!$A$250,PROFMAGIE,$DK192,FALSE)),"H"),CONCATENATE($CX192,","),""))</f>
        <v/>
      </c>
      <c r="DR192" t="str">
        <f t="shared" si="107"/>
        <v/>
      </c>
      <c r="DS192" t="str">
        <f>IF(ZS_IAAK="Ja",IF(EXACT(RIGHT(HLOOKUP(Tabellen_Magie!$IK$1,PROFMAGIE,$DK192,FALSE)),"H"),CONCATENATE($CX192,","),""),"")</f>
        <v/>
      </c>
      <c r="DT192" t="str">
        <f>IF(ZS_IAAK="Ja",IF(NOT(DS192=""),"",IF(OR(EXACT(RIGHT(HLOOKUP(Tabellen_Magie!$IK$1,PROFMAGIE,$DK192,FALSE)),"B"),EXACT(HLOOKUP(Tabellen_Magie!$IK$1,PROFMAGIE,$DK192,FALSE),"")),"",CONCATENATE($CX192,","))),"")</f>
        <v/>
      </c>
      <c r="DU192" t="str">
        <f t="shared" si="108"/>
        <v/>
      </c>
      <c r="DW192" t="s">
        <v>2137</v>
      </c>
      <c r="DX192" t="s">
        <v>8634</v>
      </c>
      <c r="DY192" t="s">
        <v>8635</v>
      </c>
      <c r="EA192" t="s">
        <v>8597</v>
      </c>
      <c r="EB192" t="s">
        <v>4472</v>
      </c>
      <c r="EC192" t="s">
        <v>3016</v>
      </c>
      <c r="ED192">
        <f t="shared" si="134"/>
        <v>100</v>
      </c>
      <c r="EE192" t="s">
        <v>7233</v>
      </c>
      <c r="EF192" t="s">
        <v>3279</v>
      </c>
      <c r="EH192">
        <f t="shared" si="127"/>
        <v>2</v>
      </c>
      <c r="EI192">
        <v>100</v>
      </c>
      <c r="FD192" t="s">
        <v>8826</v>
      </c>
      <c r="FE192">
        <f t="shared" si="136"/>
        <v>250</v>
      </c>
      <c r="FF192">
        <f t="shared" si="135"/>
        <v>5</v>
      </c>
      <c r="FK192">
        <v>250</v>
      </c>
      <c r="FL192">
        <v>3</v>
      </c>
      <c r="FM192" t="b">
        <f t="shared" ca="1" si="137"/>
        <v>0</v>
      </c>
      <c r="FN192" t="b">
        <f t="shared" ca="1" si="138"/>
        <v>0</v>
      </c>
      <c r="GH192" t="s">
        <v>1800</v>
      </c>
      <c r="GI192" t="s">
        <v>3290</v>
      </c>
      <c r="GJ192">
        <v>3</v>
      </c>
      <c r="GK192" t="s">
        <v>1320</v>
      </c>
      <c r="GL192" t="s">
        <v>1977</v>
      </c>
      <c r="GM192" t="s">
        <v>1369</v>
      </c>
      <c r="GN192" t="s">
        <v>1974</v>
      </c>
      <c r="GO192">
        <v>269</v>
      </c>
      <c r="GP192">
        <v>121</v>
      </c>
      <c r="GR192">
        <f t="shared" si="111"/>
        <v>541</v>
      </c>
      <c r="GU192" t="str">
        <f t="shared" ca="1" si="112"/>
        <v/>
      </c>
      <c r="GV192" t="str">
        <f t="shared" ca="1" si="113"/>
        <v/>
      </c>
      <c r="GW192" t="str">
        <f t="shared" ca="1" si="114"/>
        <v/>
      </c>
      <c r="GX192" t="str">
        <f t="shared" ca="1" si="115"/>
        <v/>
      </c>
    </row>
    <row r="193" spans="63:206" x14ac:dyDescent="0.2">
      <c r="BK193" t="s">
        <v>5610</v>
      </c>
      <c r="CD193" t="s">
        <v>4991</v>
      </c>
      <c r="CE193" t="s">
        <v>916</v>
      </c>
      <c r="CF193" t="s">
        <v>917</v>
      </c>
      <c r="CG193" t="s">
        <v>908</v>
      </c>
      <c r="CH193">
        <v>-1</v>
      </c>
      <c r="CI193">
        <v>4</v>
      </c>
      <c r="CJ193" t="s">
        <v>4001</v>
      </c>
      <c r="CK193" t="s">
        <v>2191</v>
      </c>
      <c r="CU193" t="s">
        <v>2792</v>
      </c>
      <c r="CX193" t="s">
        <v>462</v>
      </c>
      <c r="CY193" t="s">
        <v>75</v>
      </c>
      <c r="CZ193" t="s">
        <v>76</v>
      </c>
      <c r="DA193" t="s">
        <v>77</v>
      </c>
      <c r="DB193" t="s">
        <v>1613</v>
      </c>
      <c r="DC193" t="s">
        <v>7292</v>
      </c>
      <c r="DD193" t="s">
        <v>510</v>
      </c>
      <c r="DE193" t="s">
        <v>3591</v>
      </c>
      <c r="DF193" t="s">
        <v>4473</v>
      </c>
      <c r="DG193" t="s">
        <v>1433</v>
      </c>
      <c r="DH193" t="s">
        <v>6960</v>
      </c>
      <c r="DI193" t="s">
        <v>588</v>
      </c>
      <c r="DJ193">
        <v>2</v>
      </c>
      <c r="DK193">
        <f t="shared" si="132"/>
        <v>514</v>
      </c>
      <c r="DL193">
        <f t="shared" si="118"/>
        <v>191</v>
      </c>
      <c r="DM193">
        <v>173</v>
      </c>
      <c r="DN193" t="str">
        <f t="shared" ca="1" si="104"/>
        <v/>
      </c>
      <c r="DO193" t="str">
        <f t="shared" ca="1" si="105"/>
        <v/>
      </c>
      <c r="DP193" t="str">
        <f t="shared" ca="1" si="106"/>
        <v/>
      </c>
      <c r="DQ193" t="str">
        <f>IF(EXACT(Zauber!$A$250,""),"",IF(EXACT(RIGHT(HLOOKUP(Zauber!$A$250,PROFMAGIE,$DK193,FALSE)),"H"),CONCATENATE($CX193,","),""))</f>
        <v/>
      </c>
      <c r="DR193" t="str">
        <f t="shared" si="107"/>
        <v/>
      </c>
      <c r="DS193" t="str">
        <f>IF(ZS_IAAK="Ja",IF(EXACT(RIGHT(HLOOKUP(Tabellen_Magie!$IK$1,PROFMAGIE,$DK193,FALSE)),"H"),CONCATENATE($CX193,","),""),"")</f>
        <v/>
      </c>
      <c r="DT193" t="str">
        <f>IF(ZS_IAAK="Ja",IF(NOT(DS193=""),"",IF(OR(EXACT(RIGHT(HLOOKUP(Tabellen_Magie!$IK$1,PROFMAGIE,$DK193,FALSE)),"B"),EXACT(HLOOKUP(Tabellen_Magie!$IK$1,PROFMAGIE,$DK193,FALSE),"")),"",CONCATENATE($CX193,","))),"")</f>
        <v/>
      </c>
      <c r="DU193" t="str">
        <f t="shared" si="108"/>
        <v/>
      </c>
      <c r="DW193" t="s">
        <v>2136</v>
      </c>
      <c r="DX193" t="s">
        <v>8634</v>
      </c>
      <c r="DY193" t="s">
        <v>8635</v>
      </c>
      <c r="EA193" t="s">
        <v>8597</v>
      </c>
      <c r="EB193" t="s">
        <v>4472</v>
      </c>
      <c r="EC193" t="s">
        <v>3016</v>
      </c>
      <c r="ED193">
        <f t="shared" si="134"/>
        <v>75</v>
      </c>
      <c r="EE193" t="s">
        <v>7233</v>
      </c>
      <c r="EF193" t="s">
        <v>3279</v>
      </c>
      <c r="EH193">
        <f t="shared" si="127"/>
        <v>2</v>
      </c>
      <c r="EI193">
        <v>75</v>
      </c>
      <c r="FD193" t="s">
        <v>2629</v>
      </c>
      <c r="FE193">
        <f t="shared" si="136"/>
        <v>50</v>
      </c>
      <c r="FF193">
        <f t="shared" si="135"/>
        <v>1</v>
      </c>
      <c r="FK193">
        <v>50</v>
      </c>
      <c r="FL193">
        <v>6</v>
      </c>
      <c r="FM193" t="b">
        <f t="shared" ca="1" si="137"/>
        <v>0</v>
      </c>
      <c r="FN193" t="b">
        <f t="shared" ca="1" si="138"/>
        <v>0</v>
      </c>
      <c r="GH193" t="s">
        <v>1801</v>
      </c>
      <c r="GI193" t="s">
        <v>3290</v>
      </c>
      <c r="GJ193">
        <v>3</v>
      </c>
      <c r="GK193" t="s">
        <v>1549</v>
      </c>
      <c r="GL193" t="s">
        <v>567</v>
      </c>
      <c r="GM193" t="s">
        <v>1984</v>
      </c>
      <c r="GN193" t="s">
        <v>1975</v>
      </c>
      <c r="GO193">
        <v>271</v>
      </c>
      <c r="GP193">
        <v>195</v>
      </c>
      <c r="GR193">
        <f t="shared" si="111"/>
        <v>542</v>
      </c>
      <c r="GS193">
        <v>4</v>
      </c>
      <c r="GU193" t="str">
        <f t="shared" ca="1" si="112"/>
        <v/>
      </c>
      <c r="GV193" t="str">
        <f t="shared" ca="1" si="113"/>
        <v/>
      </c>
      <c r="GW193" t="str">
        <f t="shared" ca="1" si="114"/>
        <v/>
      </c>
      <c r="GX193" t="str">
        <f t="shared" ca="1" si="115"/>
        <v/>
      </c>
    </row>
    <row r="194" spans="63:206" x14ac:dyDescent="0.2">
      <c r="BK194" t="s">
        <v>5611</v>
      </c>
      <c r="BL194">
        <v>18</v>
      </c>
      <c r="BM194">
        <v>16</v>
      </c>
      <c r="BN194" t="s">
        <v>5612</v>
      </c>
      <c r="BO194">
        <v>10</v>
      </c>
      <c r="BP194" t="s">
        <v>5613</v>
      </c>
      <c r="BQ194">
        <v>2</v>
      </c>
      <c r="BR194">
        <v>50</v>
      </c>
      <c r="BS194" t="s">
        <v>5166</v>
      </c>
      <c r="BT194" t="s">
        <v>5614</v>
      </c>
      <c r="BU194">
        <v>50</v>
      </c>
      <c r="BW194">
        <v>0</v>
      </c>
      <c r="BY194" t="s">
        <v>4985</v>
      </c>
      <c r="BZ194" t="s">
        <v>4985</v>
      </c>
      <c r="CA194" t="s">
        <v>5615</v>
      </c>
      <c r="CC194" t="s">
        <v>784</v>
      </c>
      <c r="CD194" t="s">
        <v>6679</v>
      </c>
      <c r="CE194" t="s">
        <v>7591</v>
      </c>
      <c r="CF194" t="s">
        <v>897</v>
      </c>
      <c r="CG194" t="s">
        <v>7585</v>
      </c>
      <c r="CH194">
        <v>-1</v>
      </c>
      <c r="CI194">
        <v>-2</v>
      </c>
      <c r="CJ194" t="s">
        <v>4001</v>
      </c>
      <c r="CK194" t="s">
        <v>2191</v>
      </c>
      <c r="CL194" t="s">
        <v>1930</v>
      </c>
      <c r="CU194" t="s">
        <v>2708</v>
      </c>
      <c r="CX194" t="s">
        <v>482</v>
      </c>
      <c r="CY194" t="s">
        <v>74</v>
      </c>
      <c r="CZ194" t="s">
        <v>75</v>
      </c>
      <c r="DA194" t="s">
        <v>77</v>
      </c>
      <c r="DB194" t="s">
        <v>1613</v>
      </c>
      <c r="DC194" t="s">
        <v>4872</v>
      </c>
      <c r="DD194" t="s">
        <v>2024</v>
      </c>
      <c r="DE194" t="s">
        <v>3142</v>
      </c>
      <c r="DF194" t="s">
        <v>1134</v>
      </c>
      <c r="DG194" t="s">
        <v>3916</v>
      </c>
      <c r="DH194" t="s">
        <v>6961</v>
      </c>
      <c r="DI194" t="s">
        <v>3352</v>
      </c>
      <c r="DJ194">
        <v>2</v>
      </c>
      <c r="DK194">
        <f t="shared" si="132"/>
        <v>515</v>
      </c>
      <c r="DL194">
        <f t="shared" si="118"/>
        <v>192</v>
      </c>
      <c r="DM194">
        <v>174</v>
      </c>
      <c r="DN194" t="str">
        <f t="shared" ca="1" si="104"/>
        <v/>
      </c>
      <c r="DO194" t="str">
        <f t="shared" ca="1" si="105"/>
        <v/>
      </c>
      <c r="DP194" t="str">
        <f t="shared" ca="1" si="106"/>
        <v/>
      </c>
      <c r="DQ194" t="str">
        <f>IF(EXACT(Zauber!$A$250,""),"",IF(EXACT(RIGHT(HLOOKUP(Zauber!$A$250,PROFMAGIE,$DK194,FALSE)),"H"),CONCATENATE($CX194,","),""))</f>
        <v/>
      </c>
      <c r="DR194" t="str">
        <f t="shared" si="107"/>
        <v/>
      </c>
      <c r="DS194" t="str">
        <f>IF(ZS_IAAK="Ja",IF(EXACT(RIGHT(HLOOKUP(Tabellen_Magie!$IK$1,PROFMAGIE,$DK194,FALSE)),"H"),CONCATENATE($CX194,","),""),"")</f>
        <v/>
      </c>
      <c r="DT194" t="str">
        <f>IF(ZS_IAAK="Ja",IF(NOT(DS194=""),"",IF(OR(EXACT(RIGHT(HLOOKUP(Tabellen_Magie!$IK$1,PROFMAGIE,$DK194,FALSE)),"B"),EXACT(HLOOKUP(Tabellen_Magie!$IK$1,PROFMAGIE,$DK194,FALSE),"")),"",CONCATENATE($CX194,","))),"")</f>
        <v/>
      </c>
      <c r="DU194" t="str">
        <f t="shared" si="108"/>
        <v/>
      </c>
      <c r="DW194" t="s">
        <v>1544</v>
      </c>
      <c r="DX194" t="s">
        <v>8634</v>
      </c>
      <c r="DY194" t="s">
        <v>8635</v>
      </c>
      <c r="EA194" t="s">
        <v>8597</v>
      </c>
      <c r="EB194" t="s">
        <v>4472</v>
      </c>
      <c r="EC194" t="s">
        <v>3016</v>
      </c>
      <c r="ED194">
        <f t="shared" si="134"/>
        <v>100</v>
      </c>
      <c r="EE194" t="s">
        <v>7233</v>
      </c>
      <c r="EF194" t="s">
        <v>3279</v>
      </c>
      <c r="EH194">
        <f t="shared" si="127"/>
        <v>2</v>
      </c>
      <c r="EI194">
        <v>100</v>
      </c>
      <c r="FD194" t="s">
        <v>2630</v>
      </c>
      <c r="FE194">
        <f t="shared" si="136"/>
        <v>50</v>
      </c>
      <c r="FF194">
        <f t="shared" si="135"/>
        <v>1</v>
      </c>
      <c r="FK194">
        <v>50</v>
      </c>
      <c r="FL194">
        <v>6</v>
      </c>
      <c r="FM194" t="b">
        <f t="shared" ca="1" si="137"/>
        <v>0</v>
      </c>
      <c r="FN194" t="b">
        <f t="shared" ca="1" si="138"/>
        <v>0</v>
      </c>
      <c r="GH194" t="s">
        <v>1802</v>
      </c>
      <c r="GI194" t="s">
        <v>3290</v>
      </c>
      <c r="GJ194">
        <v>3</v>
      </c>
      <c r="GK194" t="s">
        <v>1320</v>
      </c>
      <c r="GL194" t="s">
        <v>567</v>
      </c>
      <c r="GM194" t="s">
        <v>2685</v>
      </c>
      <c r="GN194" t="s">
        <v>1690</v>
      </c>
      <c r="GO194">
        <v>289</v>
      </c>
      <c r="GP194">
        <v>107</v>
      </c>
      <c r="GR194">
        <f t="shared" si="111"/>
        <v>543</v>
      </c>
      <c r="GU194" t="str">
        <f t="shared" ca="1" si="112"/>
        <v/>
      </c>
      <c r="GV194" t="str">
        <f t="shared" ca="1" si="113"/>
        <v/>
      </c>
      <c r="GW194" t="str">
        <f t="shared" ca="1" si="114"/>
        <v/>
      </c>
      <c r="GX194" t="str">
        <f t="shared" ca="1" si="115"/>
        <v/>
      </c>
    </row>
    <row r="195" spans="63:206" x14ac:dyDescent="0.2">
      <c r="BK195" t="s">
        <v>5616</v>
      </c>
      <c r="BL195">
        <v>18</v>
      </c>
      <c r="BM195">
        <v>16</v>
      </c>
      <c r="BN195" t="s">
        <v>5612</v>
      </c>
      <c r="BO195">
        <v>10</v>
      </c>
      <c r="BP195" t="s">
        <v>5613</v>
      </c>
      <c r="BQ195">
        <v>2</v>
      </c>
      <c r="BR195">
        <v>50</v>
      </c>
      <c r="BS195" t="s">
        <v>5166</v>
      </c>
      <c r="BT195" t="s">
        <v>5614</v>
      </c>
      <c r="BU195">
        <v>50</v>
      </c>
      <c r="BW195">
        <v>0</v>
      </c>
      <c r="BY195" t="s">
        <v>4985</v>
      </c>
      <c r="BZ195" t="s">
        <v>4985</v>
      </c>
      <c r="CA195" t="s">
        <v>5617</v>
      </c>
      <c r="CC195" t="s">
        <v>784</v>
      </c>
      <c r="CU195" t="s">
        <v>7167</v>
      </c>
      <c r="CX195" t="s">
        <v>483</v>
      </c>
      <c r="CY195" t="s">
        <v>74</v>
      </c>
      <c r="CZ195" t="s">
        <v>77</v>
      </c>
      <c r="DA195" t="s">
        <v>77</v>
      </c>
      <c r="DC195" t="s">
        <v>7297</v>
      </c>
      <c r="DD195" t="s">
        <v>7361</v>
      </c>
      <c r="DE195" t="s">
        <v>2164</v>
      </c>
      <c r="DF195" t="s">
        <v>2993</v>
      </c>
      <c r="DG195" t="s">
        <v>1321</v>
      </c>
      <c r="DH195" t="s">
        <v>6962</v>
      </c>
      <c r="DI195" t="s">
        <v>4347</v>
      </c>
      <c r="DJ195">
        <v>2</v>
      </c>
      <c r="DK195">
        <f t="shared" si="132"/>
        <v>516</v>
      </c>
      <c r="DL195">
        <f t="shared" si="118"/>
        <v>193</v>
      </c>
      <c r="DM195">
        <v>175</v>
      </c>
      <c r="DN195" t="str">
        <f t="shared" ca="1" si="104"/>
        <v/>
      </c>
      <c r="DO195" t="str">
        <f t="shared" ca="1" si="105"/>
        <v/>
      </c>
      <c r="DP195" t="str">
        <f t="shared" ca="1" si="106"/>
        <v/>
      </c>
      <c r="DQ195" t="str">
        <f>IF(EXACT(Zauber!$A$250,""),"",IF(EXACT(RIGHT(HLOOKUP(Zauber!$A$250,PROFMAGIE,$DK195,FALSE)),"H"),CONCATENATE($CX195,","),""))</f>
        <v/>
      </c>
      <c r="DR195" t="str">
        <f t="shared" si="107"/>
        <v/>
      </c>
      <c r="DS195" t="str">
        <f>IF(ZS_IAAK="Ja",IF(EXACT(RIGHT(HLOOKUP(Tabellen_Magie!$IK$1,PROFMAGIE,$DK195,FALSE)),"H"),CONCATENATE($CX195,","),""),"")</f>
        <v/>
      </c>
      <c r="DT195" t="str">
        <f>IF(ZS_IAAK="Ja",IF(NOT(DS195=""),"",IF(OR(EXACT(RIGHT(HLOOKUP(Tabellen_Magie!$IK$1,PROFMAGIE,$DK195,FALSE)),"B"),EXACT(HLOOKUP(Tabellen_Magie!$IK$1,PROFMAGIE,$DK195,FALSE),"")),"",CONCATENATE($CX195,","))),"")</f>
        <v/>
      </c>
      <c r="DU195" t="str">
        <f t="shared" si="108"/>
        <v/>
      </c>
      <c r="DW195" t="s">
        <v>2134</v>
      </c>
      <c r="DX195" t="s">
        <v>8634</v>
      </c>
      <c r="DY195" t="s">
        <v>8635</v>
      </c>
      <c r="EA195" t="s">
        <v>2340</v>
      </c>
      <c r="EB195" t="s">
        <v>4472</v>
      </c>
      <c r="EC195" t="s">
        <v>8638</v>
      </c>
      <c r="ED195">
        <f t="shared" si="134"/>
        <v>100</v>
      </c>
      <c r="EE195" t="s">
        <v>7233</v>
      </c>
      <c r="EF195" t="s">
        <v>3279</v>
      </c>
      <c r="EH195">
        <f t="shared" si="127"/>
        <v>2</v>
      </c>
      <c r="EI195">
        <v>100</v>
      </c>
      <c r="FD195" t="s">
        <v>4677</v>
      </c>
      <c r="FE195">
        <f t="shared" si="136"/>
        <v>700</v>
      </c>
      <c r="FF195">
        <f t="shared" si="135"/>
        <v>14</v>
      </c>
      <c r="FK195">
        <v>700</v>
      </c>
      <c r="FL195">
        <v>4</v>
      </c>
      <c r="FM195" t="b">
        <f t="shared" ca="1" si="137"/>
        <v>0</v>
      </c>
      <c r="FN195" t="b">
        <f t="shared" ca="1" si="138"/>
        <v>0</v>
      </c>
      <c r="GH195" t="s">
        <v>3466</v>
      </c>
      <c r="GI195" t="s">
        <v>3290</v>
      </c>
      <c r="GJ195">
        <v>3</v>
      </c>
      <c r="GK195" t="s">
        <v>1397</v>
      </c>
      <c r="GL195" t="s">
        <v>1978</v>
      </c>
      <c r="GM195" t="s">
        <v>1685</v>
      </c>
      <c r="GN195" t="s">
        <v>1974</v>
      </c>
      <c r="GO195">
        <v>280</v>
      </c>
      <c r="GP195">
        <v>197</v>
      </c>
      <c r="GR195">
        <f t="shared" si="111"/>
        <v>544</v>
      </c>
      <c r="GS195">
        <v>4</v>
      </c>
      <c r="GU195" t="str">
        <f t="shared" ca="1" si="112"/>
        <v/>
      </c>
      <c r="GV195" t="str">
        <f t="shared" ca="1" si="113"/>
        <v/>
      </c>
      <c r="GW195" t="str">
        <f t="shared" ca="1" si="114"/>
        <v/>
      </c>
      <c r="GX195" t="str">
        <f t="shared" ca="1" si="115"/>
        <v/>
      </c>
    </row>
    <row r="196" spans="63:206" x14ac:dyDescent="0.2">
      <c r="BK196" t="s">
        <v>5618</v>
      </c>
      <c r="BL196">
        <v>20</v>
      </c>
      <c r="BM196">
        <v>16</v>
      </c>
      <c r="BN196" t="s">
        <v>5612</v>
      </c>
      <c r="BO196">
        <v>10</v>
      </c>
      <c r="BP196" t="s">
        <v>5613</v>
      </c>
      <c r="BQ196">
        <v>2</v>
      </c>
      <c r="BR196">
        <v>50</v>
      </c>
      <c r="BS196" t="s">
        <v>5166</v>
      </c>
      <c r="BT196" t="s">
        <v>5614</v>
      </c>
      <c r="BU196">
        <v>50</v>
      </c>
      <c r="BW196">
        <v>0</v>
      </c>
      <c r="BY196" t="s">
        <v>4985</v>
      </c>
      <c r="BZ196" t="s">
        <v>4985</v>
      </c>
      <c r="CA196" t="s">
        <v>5619</v>
      </c>
      <c r="CC196" t="s">
        <v>784</v>
      </c>
      <c r="CU196" t="s">
        <v>2034</v>
      </c>
      <c r="CX196" t="s">
        <v>463</v>
      </c>
      <c r="CY196" t="s">
        <v>75</v>
      </c>
      <c r="CZ196" t="s">
        <v>76</v>
      </c>
      <c r="DA196" t="s">
        <v>77</v>
      </c>
      <c r="DB196" t="s">
        <v>4433</v>
      </c>
      <c r="DC196" t="s">
        <v>2365</v>
      </c>
      <c r="DD196" t="s">
        <v>2727</v>
      </c>
      <c r="DE196" t="s">
        <v>1321</v>
      </c>
      <c r="DF196" t="s">
        <v>4491</v>
      </c>
      <c r="DG196" t="s">
        <v>1828</v>
      </c>
      <c r="DH196" t="s">
        <v>6963</v>
      </c>
      <c r="DI196" t="s">
        <v>4343</v>
      </c>
      <c r="DJ196">
        <v>2</v>
      </c>
      <c r="DK196">
        <f t="shared" si="132"/>
        <v>517</v>
      </c>
      <c r="DL196">
        <f t="shared" si="118"/>
        <v>194</v>
      </c>
      <c r="DM196">
        <v>176</v>
      </c>
      <c r="DN196" t="str">
        <f t="shared" ref="DN196:DN259" ca="1" si="139">IF(VT_VRTLZBR,
IF(NOT(ISERROR(FIND($CX196,VT_UEBERBEG,1))),CONCATENATE($CX196,","),""),
IF(OR(MAGISCH,MAGISCH_EIGN),
IF(OR(EXACT(RIGHT(HLOOKUP(PROFGENE,INDIRECT(PROFGEBIET),$DK196,FALSE)),"H"),EXACT(RIGHT(HLOOKUP(KULTURGENE,KULTUR,$DK196,FALSE)),"H"),IF(EXACT(DQ196,""),FALSE,TRUE),IF(EXACT(DS196,""),FALSE,TRUE)),CONCATENATE($CX196,","),
IF(ISERROR(VLOOKUP(CX196,ZAUBER_HAUS_NEU,1,FALSE)),"",CONCATENATE($CX196,","))
),""))</f>
        <v/>
      </c>
      <c r="DO196" t="str">
        <f t="shared" ref="DO196:DO259" ca="1" si="140">IF(AND(OR(MAGISCH,MAGISCH_EIGN),DN196=""),IF(AND(OR(PROFGEBGENE="Goetter",EXACT(RIGHT(HLOOKUP(PROFGENE,INDIRECT(PROFGEBIET),$DK196,FALSE)),"B"),EXACT(RIGHT(HLOOKUP(PROFGENE,INDIRECT(PROFGEBIET),$DK196,FALSE)),"")),OR(PROFGEBGENE="Goetter",EXACT(RIGHT(HLOOKUP(KULTURGENE,KULTUR,$DK196,FALSE)),"B"),EXACT(RIGHT(HLOOKUP(KULTURGENE,KULTUR,$DK196,FALSE)),""))),
IF(ISERROR(VLOOKUP(CX196,ZAUBER_START_NEU,1,FALSE)),"",CONCATENATE($CX196,",")),
CONCATENATE($CX196,",")),
"")</f>
        <v/>
      </c>
      <c r="DP196" t="str">
        <f t="shared" ref="DP196:DP259" ca="1" si="141">IF(AND(OR(MAGISCH,MAGISCH_EIGN),DN196="",DO196="",
OR(EXACT(RIGHT(HLOOKUP(KULTURGENE,KULTUR,$DK196,FALSE)),"B"),IF(PROFGEBGENE="Goetter",FALSE,EXACT(HLOOKUP(PROFGENE,INDIRECT(PROFGEBIET),$DK196,FALSE),"B")),IF(EXACT(DR196,""),FALSE,TRUE),IF(EXACT(DT196,""),FALSE,TRUE),IF(EXACT(DU196,""),FALSE,TRUE))),CONCATENATE($CX196,","),"")</f>
        <v/>
      </c>
      <c r="DQ196" t="str">
        <f>IF(EXACT(Zauber!$A$250,""),"",IF(EXACT(RIGHT(HLOOKUP(Zauber!$A$250,PROFMAGIE,$DK196,FALSE)),"H"),CONCATENATE($CX196,","),""))</f>
        <v/>
      </c>
      <c r="DR196" t="str">
        <f t="shared" ref="DR196:DR259" si="142">IF(EXACT(ZS_AKADEMIE,""),"",IF(NOT(DQ196=""),"",IF(OR(EXACT(RIGHT(HLOOKUP(ZS_AKADEMIE,PROFMAGIE,$DK196,FALSE)),"B"),EXACT(HLOOKUP(ZS_AKADEMIE,PROFMAGIE,$DK196,FALSE),"")),"",CONCATENATE($CX196,","))))</f>
        <v/>
      </c>
      <c r="DS196" t="str">
        <f>IF(ZS_IAAK="Ja",IF(EXACT(RIGHT(HLOOKUP(Tabellen_Magie!$IK$1,PROFMAGIE,$DK196,FALSE)),"H"),CONCATENATE($CX196,","),""),"")</f>
        <v/>
      </c>
      <c r="DT196" t="str">
        <f>IF(ZS_IAAK="Ja",IF(NOT(DS196=""),"",IF(OR(EXACT(RIGHT(HLOOKUP(Tabellen_Magie!$IK$1,PROFMAGIE,$DK196,FALSE)),"B"),EXACT(HLOOKUP(Tabellen_Magie!$IK$1,PROFMAGIE,$DK196,FALSE),"")),"",CONCATENATE($CX196,","))),"")</f>
        <v/>
      </c>
      <c r="DU196" t="str">
        <f t="shared" ref="DU196:DU259" si="143">IF(EXACT(ZS_AKADEMIE,""),"",IF(NOT(DQ196=""),"",IF(EXACT(RIGHT(HLOOKUP(ZS_AKADEMIE,PROFMAGIE,$DK196,FALSE)),"B"),CONCATENATE($CX196,","),"")))</f>
        <v/>
      </c>
      <c r="DW196" t="s">
        <v>1545</v>
      </c>
      <c r="DX196" t="s">
        <v>8634</v>
      </c>
      <c r="DY196" t="s">
        <v>8635</v>
      </c>
      <c r="EA196" t="s">
        <v>8597</v>
      </c>
      <c r="EB196" t="s">
        <v>4472</v>
      </c>
      <c r="EC196" t="s">
        <v>3016</v>
      </c>
      <c r="ED196">
        <f t="shared" si="134"/>
        <v>100</v>
      </c>
      <c r="EE196" t="s">
        <v>7233</v>
      </c>
      <c r="EF196" t="s">
        <v>3279</v>
      </c>
      <c r="EH196">
        <f t="shared" si="127"/>
        <v>2</v>
      </c>
      <c r="EI196">
        <v>100</v>
      </c>
      <c r="FD196" t="s">
        <v>4279</v>
      </c>
      <c r="FE196">
        <f t="shared" si="136"/>
        <v>250</v>
      </c>
      <c r="FF196">
        <f t="shared" si="135"/>
        <v>5</v>
      </c>
      <c r="FK196">
        <v>250</v>
      </c>
      <c r="FL196">
        <v>6</v>
      </c>
      <c r="FM196" t="b">
        <f t="shared" ca="1" si="137"/>
        <v>0</v>
      </c>
      <c r="FN196" t="b">
        <f t="shared" ca="1" si="138"/>
        <v>0</v>
      </c>
      <c r="GH196" t="s">
        <v>3467</v>
      </c>
      <c r="GI196" t="s">
        <v>3290</v>
      </c>
      <c r="GJ196">
        <v>3</v>
      </c>
      <c r="GK196" t="s">
        <v>1320</v>
      </c>
      <c r="GL196" t="s">
        <v>567</v>
      </c>
      <c r="GM196" t="s">
        <v>1983</v>
      </c>
      <c r="GN196" t="s">
        <v>1690</v>
      </c>
      <c r="GO196">
        <v>280</v>
      </c>
      <c r="GP196">
        <v>206</v>
      </c>
      <c r="GR196">
        <f t="shared" si="111"/>
        <v>545</v>
      </c>
      <c r="GU196" t="str">
        <f t="shared" ca="1" si="112"/>
        <v/>
      </c>
      <c r="GV196" t="str">
        <f t="shared" ca="1" si="113"/>
        <v/>
      </c>
      <c r="GW196" t="str">
        <f t="shared" ca="1" si="114"/>
        <v/>
      </c>
      <c r="GX196" t="str">
        <f t="shared" ca="1" si="115"/>
        <v/>
      </c>
    </row>
    <row r="197" spans="63:206" x14ac:dyDescent="0.2">
      <c r="BK197" t="s">
        <v>5620</v>
      </c>
      <c r="CU197" t="s">
        <v>1436</v>
      </c>
      <c r="CX197" t="s">
        <v>464</v>
      </c>
      <c r="CY197" t="s">
        <v>75</v>
      </c>
      <c r="CZ197" t="s">
        <v>75</v>
      </c>
      <c r="DA197" t="s">
        <v>76</v>
      </c>
      <c r="DC197" t="s">
        <v>3802</v>
      </c>
      <c r="DD197" t="s">
        <v>4492</v>
      </c>
      <c r="DE197" t="s">
        <v>4484</v>
      </c>
      <c r="DF197" t="s">
        <v>1617</v>
      </c>
      <c r="DG197" t="s">
        <v>1956</v>
      </c>
      <c r="DH197" t="s">
        <v>8432</v>
      </c>
      <c r="DI197" t="s">
        <v>1621</v>
      </c>
      <c r="DJ197">
        <v>2</v>
      </c>
      <c r="DK197">
        <f t="shared" si="132"/>
        <v>518</v>
      </c>
      <c r="DL197">
        <f t="shared" si="118"/>
        <v>195</v>
      </c>
      <c r="DM197">
        <v>177</v>
      </c>
      <c r="DN197" t="str">
        <f t="shared" ca="1" si="139"/>
        <v/>
      </c>
      <c r="DO197" t="str">
        <f t="shared" ca="1" si="140"/>
        <v/>
      </c>
      <c r="DP197" t="str">
        <f t="shared" ca="1" si="141"/>
        <v/>
      </c>
      <c r="DQ197" t="str">
        <f>IF(EXACT(Zauber!$A$250,""),"",IF(EXACT(RIGHT(HLOOKUP(Zauber!$A$250,PROFMAGIE,$DK197,FALSE)),"H"),CONCATENATE($CX197,","),""))</f>
        <v/>
      </c>
      <c r="DR197" t="str">
        <f t="shared" si="142"/>
        <v/>
      </c>
      <c r="DS197" t="str">
        <f>IF(ZS_IAAK="Ja",IF(EXACT(RIGHT(HLOOKUP(Tabellen_Magie!$IK$1,PROFMAGIE,$DK197,FALSE)),"H"),CONCATENATE($CX197,","),""),"")</f>
        <v/>
      </c>
      <c r="DT197" t="str">
        <f>IF(ZS_IAAK="Ja",IF(NOT(DS197=""),"",IF(OR(EXACT(RIGHT(HLOOKUP(Tabellen_Magie!$IK$1,PROFMAGIE,$DK197,FALSE)),"B"),EXACT(HLOOKUP(Tabellen_Magie!$IK$1,PROFMAGIE,$DK197,FALSE),"")),"",CONCATENATE($CX197,","))),"")</f>
        <v/>
      </c>
      <c r="DU197" t="str">
        <f t="shared" si="143"/>
        <v/>
      </c>
      <c r="DW197" t="s">
        <v>1548</v>
      </c>
      <c r="DX197" t="s">
        <v>74</v>
      </c>
      <c r="DY197" t="s">
        <v>76</v>
      </c>
      <c r="DZ197" t="s">
        <v>77</v>
      </c>
      <c r="EB197" t="s">
        <v>8584</v>
      </c>
      <c r="EC197" t="s">
        <v>2990</v>
      </c>
      <c r="ED197">
        <f t="shared" si="134"/>
        <v>200</v>
      </c>
      <c r="EE197" t="s">
        <v>7233</v>
      </c>
      <c r="EF197" t="s">
        <v>3279</v>
      </c>
      <c r="EH197">
        <f t="shared" ref="EH197:EH217" si="144">ROUNDUP($ED197/50,0)</f>
        <v>4</v>
      </c>
      <c r="EI197">
        <v>200</v>
      </c>
      <c r="FD197" t="s">
        <v>2628</v>
      </c>
      <c r="FL197" t="s">
        <v>4912</v>
      </c>
      <c r="GH197" t="s">
        <v>3332</v>
      </c>
      <c r="GI197" t="s">
        <v>3290</v>
      </c>
      <c r="GJ197">
        <v>3</v>
      </c>
      <c r="GK197" t="s">
        <v>4484</v>
      </c>
      <c r="GL197" t="s">
        <v>567</v>
      </c>
      <c r="GM197" t="s">
        <v>1982</v>
      </c>
      <c r="GN197" t="s">
        <v>1690</v>
      </c>
      <c r="GO197">
        <v>259</v>
      </c>
      <c r="GP197">
        <v>207</v>
      </c>
      <c r="GR197">
        <f t="shared" ref="GR197:GR260" si="145">GR196+1</f>
        <v>546</v>
      </c>
      <c r="GU197" t="str">
        <f t="shared" ca="1" si="112"/>
        <v/>
      </c>
      <c r="GV197" t="str">
        <f t="shared" ca="1" si="113"/>
        <v/>
      </c>
      <c r="GW197" t="str">
        <f t="shared" ca="1" si="114"/>
        <v/>
      </c>
      <c r="GX197" t="str">
        <f t="shared" ca="1" si="115"/>
        <v/>
      </c>
    </row>
    <row r="198" spans="63:206" x14ac:dyDescent="0.2">
      <c r="BK198" t="s">
        <v>5621</v>
      </c>
      <c r="BL198">
        <v>11</v>
      </c>
      <c r="BM198">
        <v>16</v>
      </c>
      <c r="BN198" t="s">
        <v>5501</v>
      </c>
      <c r="BO198">
        <v>4</v>
      </c>
      <c r="BP198" t="s">
        <v>5622</v>
      </c>
      <c r="BQ198">
        <v>2</v>
      </c>
      <c r="BR198">
        <v>60</v>
      </c>
      <c r="BS198" t="s">
        <v>5623</v>
      </c>
      <c r="BT198" t="s">
        <v>5624</v>
      </c>
      <c r="BU198">
        <v>40</v>
      </c>
      <c r="BW198">
        <v>8</v>
      </c>
      <c r="BX198">
        <v>26</v>
      </c>
      <c r="BY198">
        <f>BX198*7</f>
        <v>182</v>
      </c>
      <c r="BZ198">
        <f>BX198*14</f>
        <v>364</v>
      </c>
      <c r="CU198" t="s">
        <v>7168</v>
      </c>
      <c r="CX198" t="s">
        <v>465</v>
      </c>
      <c r="CY198" t="s">
        <v>75</v>
      </c>
      <c r="CZ198" t="s">
        <v>77</v>
      </c>
      <c r="DA198" t="s">
        <v>750</v>
      </c>
      <c r="DC198" t="s">
        <v>7362</v>
      </c>
      <c r="DD198" t="s">
        <v>4493</v>
      </c>
      <c r="DE198" t="s">
        <v>657</v>
      </c>
      <c r="DF198" t="s">
        <v>2257</v>
      </c>
      <c r="DG198" t="s">
        <v>1321</v>
      </c>
      <c r="DH198" t="s">
        <v>6964</v>
      </c>
      <c r="DI198" t="s">
        <v>2793</v>
      </c>
      <c r="DJ198">
        <v>2</v>
      </c>
      <c r="DK198">
        <f t="shared" si="132"/>
        <v>519</v>
      </c>
      <c r="DL198">
        <f t="shared" si="118"/>
        <v>196</v>
      </c>
      <c r="DM198">
        <v>178</v>
      </c>
      <c r="DN198" t="str">
        <f t="shared" ca="1" si="139"/>
        <v/>
      </c>
      <c r="DO198" t="str">
        <f t="shared" ca="1" si="140"/>
        <v/>
      </c>
      <c r="DP198" t="str">
        <f t="shared" ca="1" si="141"/>
        <v/>
      </c>
      <c r="DQ198" t="str">
        <f>IF(EXACT(Zauber!$A$250,""),"",IF(EXACT(RIGHT(HLOOKUP(Zauber!$A$250,PROFMAGIE,$DK198,FALSE)),"H"),CONCATENATE($CX198,","),""))</f>
        <v/>
      </c>
      <c r="DR198" t="str">
        <f t="shared" si="142"/>
        <v/>
      </c>
      <c r="DS198" t="str">
        <f>IF(ZS_IAAK="Ja",IF(EXACT(RIGHT(HLOOKUP(Tabellen_Magie!$IK$1,PROFMAGIE,$DK198,FALSE)),"H"),CONCATENATE($CX198,","),""),"")</f>
        <v/>
      </c>
      <c r="DT198" t="str">
        <f>IF(ZS_IAAK="Ja",IF(NOT(DS198=""),"",IF(OR(EXACT(RIGHT(HLOOKUP(Tabellen_Magie!$IK$1,PROFMAGIE,$DK198,FALSE)),"B"),EXACT(HLOOKUP(Tabellen_Magie!$IK$1,PROFMAGIE,$DK198,FALSE),"")),"",CONCATENATE($CX198,","))),"")</f>
        <v/>
      </c>
      <c r="DU198" t="str">
        <f t="shared" si="143"/>
        <v/>
      </c>
      <c r="DW198" t="s">
        <v>1517</v>
      </c>
      <c r="EH198">
        <f t="shared" si="144"/>
        <v>0</v>
      </c>
      <c r="GH198" t="s">
        <v>9344</v>
      </c>
      <c r="GI198" t="s">
        <v>3290</v>
      </c>
      <c r="GJ198">
        <v>3</v>
      </c>
      <c r="GK198" t="s">
        <v>1320</v>
      </c>
      <c r="GL198" t="s">
        <v>1976</v>
      </c>
      <c r="GM198" t="s">
        <v>1982</v>
      </c>
      <c r="GN198" t="s">
        <v>1974</v>
      </c>
      <c r="GO198" t="s">
        <v>9314</v>
      </c>
      <c r="GP198">
        <v>209</v>
      </c>
      <c r="GR198">
        <f t="shared" si="145"/>
        <v>547</v>
      </c>
      <c r="GU198" t="str">
        <f t="shared" ref="GU198:GU261" ca="1" si="146">IF(OR(EXACT(PROFGEBGENE,"Goetter"),GOETTER_EIGN),IF(AND(NOT(GH198=LIT_0),EXACT(UPPER(HLOOKUP(PROFGENE,INDIRECT(PROFGEBIET),$GR198,FALSE)),"X")),"x",""),IF(AKTIV_SPTWHE,IF(EXACT(UPPER(HLOOKUP(PROFSPTWHE,SPTWHE,$GR198,FALSE)),"X"),"x",""),""))</f>
        <v/>
      </c>
      <c r="GV198" t="str">
        <f t="shared" ref="GV198:GV261" ca="1" si="147">IF(OR(EXACT(PROFGEBGENE,"Goetter"),GOETTER_EIGN),IF(AND(NOT(GH198=LIT_0),EXACT(UPPER(HLOOKUP(PROFGENE,INDIRECT(PROFGEBIET),$GR198,FALSE)),"V")),"x",""),IF(AKTIV_SPTWHE,IF(EXACT(UPPER(HLOOKUP(PROFSPTWHE,SPTWHE,$GR198,FALSE)),"V"),"x",""),""))&amp;
IF(PROFGEBZWEITE="Goetter (BGB)",IF(AND(NOT(GH198=LIT_0),OR(EXACT(UPPER(HLOOKUP(PROFZWEITE,INDIRECT(PROFGEBIET2),$GR198,FALSE)),"V"),EXACT(UPPER(HLOOKUP(PROFZWEITE,INDIRECT(PROFGEBIET2),$GR198,FALSE)),"X"))),"x",""),"")</f>
        <v/>
      </c>
      <c r="GW198" t="str">
        <f t="shared" ref="GW198:GW261" ca="1" si="148">IF(OR(EXACT(PROFGEBGENE,"Goetter"),GOETTER_EIGN),IF(AND(GU198="",GV198="",NOT(GH198=LIT_0),EXACT(UPPER(HLOOKUP(PROFGENE,INDIRECT(PROFGEBIET),$GR198,FALSE)),"B")),"x",""),IF(AKTIV_SPTWHE,IF(EXACT(UPPER(HLOOKUP(PROFSPTWHE,SPTWHE,$GR198,FALSE)),"B"),"x",""),""))&amp;
IF(PROFGEBZWEITE="Goetter (BGB)",IF(AND(GU198="",GV198="",NOT(GH198=LIT_0),EXACT(UPPER(HLOOKUP(PROFZWEITE,INDIRECT(PROFGEBIET2),$GR198,FALSE)),"B")),"x",""),"")</f>
        <v/>
      </c>
      <c r="GX198" t="str">
        <f t="shared" ref="GX198:GX261" ca="1" si="149">IF(OR(NOT(GW198=""),NOT(GU198=""),NOT(GV198="")),CONCATENATE($GH198,","),"")</f>
        <v/>
      </c>
    </row>
    <row r="199" spans="63:206" x14ac:dyDescent="0.2">
      <c r="BK199" t="s">
        <v>5625</v>
      </c>
      <c r="BL199">
        <v>13</v>
      </c>
      <c r="BM199">
        <v>18</v>
      </c>
      <c r="BN199" t="s">
        <v>5626</v>
      </c>
      <c r="BO199">
        <v>5</v>
      </c>
      <c r="BP199" t="s">
        <v>5627</v>
      </c>
      <c r="BQ199">
        <v>2</v>
      </c>
      <c r="BR199">
        <v>70</v>
      </c>
      <c r="BS199" t="s">
        <v>5623</v>
      </c>
      <c r="BT199" t="s">
        <v>5628</v>
      </c>
      <c r="BU199">
        <v>60</v>
      </c>
      <c r="BW199">
        <v>8</v>
      </c>
      <c r="BX199">
        <v>30</v>
      </c>
      <c r="BY199">
        <f>BX199*8</f>
        <v>240</v>
      </c>
      <c r="BZ199">
        <f>BX199*16</f>
        <v>480</v>
      </c>
      <c r="CD199" t="s">
        <v>1829</v>
      </c>
      <c r="CE199" t="s">
        <v>2190</v>
      </c>
      <c r="CF199" t="s">
        <v>3044</v>
      </c>
      <c r="CH199" t="s">
        <v>2192</v>
      </c>
      <c r="CK199" t="s">
        <v>1530</v>
      </c>
      <c r="CL199" t="s">
        <v>3629</v>
      </c>
      <c r="CM199" t="s">
        <v>3040</v>
      </c>
      <c r="CN199" t="s">
        <v>1533</v>
      </c>
      <c r="CU199" t="s">
        <v>4989</v>
      </c>
      <c r="CX199" t="s">
        <v>2531</v>
      </c>
      <c r="CY199" t="s">
        <v>75</v>
      </c>
      <c r="CZ199" t="s">
        <v>75</v>
      </c>
      <c r="DA199" t="s">
        <v>5030</v>
      </c>
      <c r="DB199" t="s">
        <v>1613</v>
      </c>
      <c r="DC199" t="s">
        <v>7288</v>
      </c>
      <c r="DD199" t="s">
        <v>2451</v>
      </c>
      <c r="DE199" t="s">
        <v>1321</v>
      </c>
      <c r="DF199" t="s">
        <v>81</v>
      </c>
      <c r="DG199" t="s">
        <v>3916</v>
      </c>
      <c r="DH199" t="s">
        <v>6844</v>
      </c>
      <c r="DI199" t="s">
        <v>1749</v>
      </c>
      <c r="DJ199">
        <v>2</v>
      </c>
      <c r="DK199">
        <f t="shared" si="132"/>
        <v>520</v>
      </c>
      <c r="DL199">
        <f t="shared" si="118"/>
        <v>197</v>
      </c>
      <c r="DM199">
        <v>179</v>
      </c>
      <c r="DN199" t="str">
        <f t="shared" ca="1" si="139"/>
        <v/>
      </c>
      <c r="DO199" t="str">
        <f t="shared" ca="1" si="140"/>
        <v/>
      </c>
      <c r="DP199" t="str">
        <f t="shared" ca="1" si="141"/>
        <v/>
      </c>
      <c r="DQ199" t="str">
        <f>IF(EXACT(Zauber!$A$250,""),"",IF(EXACT(RIGHT(HLOOKUP(Zauber!$A$250,PROFMAGIE,$DK199,FALSE)),"H"),CONCATENATE($CX199,","),""))</f>
        <v/>
      </c>
      <c r="DR199" t="str">
        <f t="shared" si="142"/>
        <v/>
      </c>
      <c r="DS199" t="str">
        <f>IF(ZS_IAAK="Ja",IF(EXACT(RIGHT(HLOOKUP(Tabellen_Magie!$IK$1,PROFMAGIE,$DK199,FALSE)),"H"),CONCATENATE($CX199,","),""),"")</f>
        <v/>
      </c>
      <c r="DT199" t="str">
        <f>IF(ZS_IAAK="Ja",IF(NOT(DS199=""),"",IF(OR(EXACT(RIGHT(HLOOKUP(Tabellen_Magie!$IK$1,PROFMAGIE,$DK199,FALSE)),"B"),EXACT(HLOOKUP(Tabellen_Magie!$IK$1,PROFMAGIE,$DK199,FALSE),"")),"",CONCATENATE($CX199,","))),"")</f>
        <v/>
      </c>
      <c r="DU199" t="str">
        <f t="shared" si="143"/>
        <v/>
      </c>
      <c r="DW199" t="s">
        <v>2911</v>
      </c>
      <c r="DX199" t="s">
        <v>74</v>
      </c>
      <c r="DY199" t="s">
        <v>751</v>
      </c>
      <c r="DZ199" t="s">
        <v>752</v>
      </c>
      <c r="EB199" t="s">
        <v>8639</v>
      </c>
      <c r="EC199" t="s">
        <v>4565</v>
      </c>
      <c r="ED199">
        <v>200</v>
      </c>
      <c r="EE199" t="s">
        <v>2919</v>
      </c>
      <c r="EH199">
        <f>ROUNDUP($ED199/50,0)</f>
        <v>4</v>
      </c>
      <c r="EI199">
        <v>200</v>
      </c>
      <c r="FD199" t="s">
        <v>2426</v>
      </c>
      <c r="FE199">
        <f t="shared" ref="FE199:FE219" si="150">ROUND(FK199*IF(NT_ELFWELT,IF(FN199,1,1.5),1),0)</f>
        <v>700</v>
      </c>
      <c r="FK199">
        <f t="shared" ref="FK199:FK207" si="151">IF(VT_HALBZBR,1000,IF(VT_VOLLZBR,1500,700))</f>
        <v>700</v>
      </c>
      <c r="FL199">
        <v>3</v>
      </c>
      <c r="GH199" t="s">
        <v>2215</v>
      </c>
      <c r="GI199" t="s">
        <v>3290</v>
      </c>
      <c r="GJ199">
        <v>3</v>
      </c>
      <c r="GK199" t="s">
        <v>4116</v>
      </c>
      <c r="GL199" t="s">
        <v>567</v>
      </c>
      <c r="GM199" t="s">
        <v>1982</v>
      </c>
      <c r="GN199" t="s">
        <v>1690</v>
      </c>
      <c r="GO199">
        <v>274</v>
      </c>
      <c r="GP199">
        <v>320</v>
      </c>
      <c r="GR199">
        <f t="shared" si="145"/>
        <v>548</v>
      </c>
      <c r="GU199" t="str">
        <f t="shared" ca="1" si="146"/>
        <v/>
      </c>
      <c r="GV199" t="str">
        <f t="shared" ca="1" si="147"/>
        <v/>
      </c>
      <c r="GW199" t="str">
        <f t="shared" ca="1" si="148"/>
        <v/>
      </c>
      <c r="GX199" t="str">
        <f t="shared" ca="1" si="149"/>
        <v/>
      </c>
    </row>
    <row r="200" spans="63:206" x14ac:dyDescent="0.2">
      <c r="BK200" t="s">
        <v>5629</v>
      </c>
      <c r="BL200">
        <v>14</v>
      </c>
      <c r="BM200">
        <v>18</v>
      </c>
      <c r="BN200" t="s">
        <v>5630</v>
      </c>
      <c r="BO200">
        <v>4</v>
      </c>
      <c r="BP200" t="s">
        <v>5631</v>
      </c>
      <c r="BQ200">
        <v>2</v>
      </c>
      <c r="BR200">
        <v>65</v>
      </c>
      <c r="BS200" t="s">
        <v>5632</v>
      </c>
      <c r="BT200" t="s">
        <v>5282</v>
      </c>
      <c r="BU200">
        <v>55</v>
      </c>
      <c r="BW200">
        <v>8</v>
      </c>
      <c r="BX200">
        <v>28</v>
      </c>
      <c r="BY200">
        <f>BX200*8</f>
        <v>224</v>
      </c>
      <c r="BZ200">
        <f>BX200*15</f>
        <v>420</v>
      </c>
      <c r="CD200" t="s">
        <v>1829</v>
      </c>
      <c r="CE200" t="s">
        <v>4134</v>
      </c>
      <c r="CF200" t="s">
        <v>2177</v>
      </c>
      <c r="CH200" t="s">
        <v>896</v>
      </c>
      <c r="CK200" t="s">
        <v>1572</v>
      </c>
      <c r="CL200" t="s">
        <v>911</v>
      </c>
      <c r="CM200" t="s">
        <v>3040</v>
      </c>
      <c r="CN200" t="s">
        <v>4605</v>
      </c>
      <c r="CU200" t="s">
        <v>4130</v>
      </c>
      <c r="CX200" t="s">
        <v>8401</v>
      </c>
      <c r="CY200" t="s">
        <v>75</v>
      </c>
      <c r="CZ200" t="s">
        <v>750</v>
      </c>
      <c r="DA200" t="s">
        <v>752</v>
      </c>
      <c r="DC200" t="s">
        <v>7363</v>
      </c>
      <c r="DD200" t="s">
        <v>4494</v>
      </c>
      <c r="DE200" t="s">
        <v>1321</v>
      </c>
      <c r="DF200" t="s">
        <v>81</v>
      </c>
      <c r="DG200" t="s">
        <v>1955</v>
      </c>
      <c r="DH200" t="s">
        <v>8433</v>
      </c>
      <c r="DI200" t="s">
        <v>551</v>
      </c>
      <c r="DJ200">
        <v>2</v>
      </c>
      <c r="DK200">
        <f t="shared" si="132"/>
        <v>521</v>
      </c>
      <c r="DL200">
        <f t="shared" si="118"/>
        <v>198</v>
      </c>
      <c r="DM200">
        <v>180</v>
      </c>
      <c r="DN200" t="str">
        <f t="shared" ca="1" si="139"/>
        <v/>
      </c>
      <c r="DO200" t="str">
        <f t="shared" ca="1" si="140"/>
        <v/>
      </c>
      <c r="DP200" t="str">
        <f t="shared" ca="1" si="141"/>
        <v/>
      </c>
      <c r="DQ200" t="str">
        <f>IF(EXACT(Zauber!$A$250,""),"",IF(EXACT(RIGHT(HLOOKUP(Zauber!$A$250,PROFMAGIE,$DK200,FALSE)),"H"),CONCATENATE($CX200,","),""))</f>
        <v/>
      </c>
      <c r="DR200" t="str">
        <f t="shared" si="142"/>
        <v/>
      </c>
      <c r="DS200" t="str">
        <f>IF(ZS_IAAK="Ja",IF(EXACT(RIGHT(HLOOKUP(Tabellen_Magie!$IK$1,PROFMAGIE,$DK200,FALSE)),"H"),CONCATENATE($CX200,","),""),"")</f>
        <v/>
      </c>
      <c r="DT200" t="str">
        <f>IF(ZS_IAAK="Ja",IF(NOT(DS200=""),"",IF(OR(EXACT(RIGHT(HLOOKUP(Tabellen_Magie!$IK$1,PROFMAGIE,$DK200,FALSE)),"B"),EXACT(HLOOKUP(Tabellen_Magie!$IK$1,PROFMAGIE,$DK200,FALSE),"")),"",CONCATENATE($CX200,","))),"")</f>
        <v/>
      </c>
      <c r="DU200" t="str">
        <f t="shared" si="143"/>
        <v/>
      </c>
      <c r="DW200" t="s">
        <v>1518</v>
      </c>
      <c r="DX200" t="s">
        <v>4985</v>
      </c>
      <c r="DY200" t="s">
        <v>4985</v>
      </c>
      <c r="DZ200" t="s">
        <v>4985</v>
      </c>
      <c r="EB200" t="s">
        <v>4472</v>
      </c>
      <c r="EC200" t="s">
        <v>4985</v>
      </c>
      <c r="ED200">
        <v>100</v>
      </c>
      <c r="EE200" t="s">
        <v>2919</v>
      </c>
      <c r="EH200">
        <f>ROUNDUP($ED200/50,0)</f>
        <v>2</v>
      </c>
      <c r="EI200">
        <v>100</v>
      </c>
      <c r="FD200" t="s">
        <v>4692</v>
      </c>
      <c r="FE200">
        <f t="shared" si="150"/>
        <v>700</v>
      </c>
      <c r="FK200">
        <f t="shared" si="151"/>
        <v>700</v>
      </c>
      <c r="FL200">
        <v>3</v>
      </c>
      <c r="GH200" t="s">
        <v>2216</v>
      </c>
      <c r="GI200" t="s">
        <v>3290</v>
      </c>
      <c r="GJ200">
        <v>3</v>
      </c>
      <c r="GK200" t="s">
        <v>4854</v>
      </c>
      <c r="GL200" t="s">
        <v>1977</v>
      </c>
      <c r="GM200" t="s">
        <v>1984</v>
      </c>
      <c r="GN200" t="s">
        <v>1974</v>
      </c>
      <c r="GO200">
        <v>264</v>
      </c>
      <c r="GP200">
        <v>211</v>
      </c>
      <c r="GR200">
        <f t="shared" si="145"/>
        <v>549</v>
      </c>
      <c r="GU200" t="str">
        <f t="shared" ca="1" si="146"/>
        <v/>
      </c>
      <c r="GV200" t="str">
        <f t="shared" ca="1" si="147"/>
        <v/>
      </c>
      <c r="GW200" t="str">
        <f t="shared" ca="1" si="148"/>
        <v/>
      </c>
      <c r="GX200" t="str">
        <f t="shared" ca="1" si="149"/>
        <v/>
      </c>
    </row>
    <row r="201" spans="63:206" x14ac:dyDescent="0.2">
      <c r="BK201" t="s">
        <v>5633</v>
      </c>
      <c r="BL201">
        <v>15</v>
      </c>
      <c r="BM201">
        <v>18</v>
      </c>
      <c r="BN201" t="s">
        <v>5634</v>
      </c>
      <c r="BO201">
        <v>5</v>
      </c>
      <c r="BP201" t="s">
        <v>5635</v>
      </c>
      <c r="BQ201">
        <v>2</v>
      </c>
      <c r="BR201">
        <v>80</v>
      </c>
      <c r="BS201" t="s">
        <v>5395</v>
      </c>
      <c r="BT201">
        <v>10</v>
      </c>
      <c r="BU201">
        <v>30</v>
      </c>
      <c r="BW201">
        <v>0</v>
      </c>
      <c r="BY201" t="s">
        <v>4985</v>
      </c>
      <c r="BZ201" t="s">
        <v>4985</v>
      </c>
      <c r="CA201" t="s">
        <v>5636</v>
      </c>
      <c r="CD201" t="s">
        <v>918</v>
      </c>
      <c r="CE201" t="s">
        <v>7568</v>
      </c>
      <c r="CF201" t="s">
        <v>3020</v>
      </c>
      <c r="CH201" t="s">
        <v>3565</v>
      </c>
      <c r="CK201" t="s">
        <v>4601</v>
      </c>
      <c r="CL201" t="s">
        <v>4607</v>
      </c>
      <c r="CN201" t="s">
        <v>4608</v>
      </c>
      <c r="CU201" t="s">
        <v>1437</v>
      </c>
      <c r="CX201" t="s">
        <v>466</v>
      </c>
      <c r="CY201" t="s">
        <v>75</v>
      </c>
      <c r="CZ201" t="s">
        <v>750</v>
      </c>
      <c r="DA201" t="s">
        <v>752</v>
      </c>
      <c r="DC201" t="s">
        <v>7363</v>
      </c>
      <c r="DD201" t="s">
        <v>4494</v>
      </c>
      <c r="DE201" t="s">
        <v>1321</v>
      </c>
      <c r="DF201" t="s">
        <v>81</v>
      </c>
      <c r="DG201" t="s">
        <v>1956</v>
      </c>
      <c r="DH201" t="s">
        <v>6965</v>
      </c>
      <c r="DI201" t="s">
        <v>364</v>
      </c>
      <c r="DJ201">
        <v>2</v>
      </c>
      <c r="DK201">
        <f t="shared" si="132"/>
        <v>522</v>
      </c>
      <c r="DL201">
        <f t="shared" si="118"/>
        <v>199</v>
      </c>
      <c r="DM201">
        <v>180</v>
      </c>
      <c r="DN201" t="str">
        <f t="shared" ca="1" si="139"/>
        <v/>
      </c>
      <c r="DO201" t="str">
        <f t="shared" ca="1" si="140"/>
        <v/>
      </c>
      <c r="DP201" t="str">
        <f t="shared" ca="1" si="141"/>
        <v/>
      </c>
      <c r="DQ201" t="str">
        <f>IF(EXACT(Zauber!$A$250,""),"",IF(EXACT(RIGHT(HLOOKUP(Zauber!$A$250,PROFMAGIE,$DK201,FALSE)),"H"),CONCATENATE($CX201,","),""))</f>
        <v/>
      </c>
      <c r="DR201" t="str">
        <f t="shared" si="142"/>
        <v/>
      </c>
      <c r="DS201" t="str">
        <f>IF(ZS_IAAK="Ja",IF(EXACT(RIGHT(HLOOKUP(Tabellen_Magie!$IK$1,PROFMAGIE,$DK201,FALSE)),"H"),CONCATENATE($CX201,","),""),"")</f>
        <v/>
      </c>
      <c r="DT201" t="str">
        <f>IF(ZS_IAAK="Ja",IF(NOT(DS201=""),"",IF(OR(EXACT(RIGHT(HLOOKUP(Tabellen_Magie!$IK$1,PROFMAGIE,$DK201,FALSE)),"B"),EXACT(HLOOKUP(Tabellen_Magie!$IK$1,PROFMAGIE,$DK201,FALSE),"")),"",CONCATENATE($CX201,","))),"")</f>
        <v/>
      </c>
      <c r="DU201" t="str">
        <f t="shared" si="143"/>
        <v/>
      </c>
      <c r="DW201" t="s">
        <v>2910</v>
      </c>
      <c r="DX201" t="s">
        <v>74</v>
      </c>
      <c r="DY201" t="s">
        <v>5030</v>
      </c>
      <c r="DZ201" t="s">
        <v>752</v>
      </c>
      <c r="EB201" t="s">
        <v>2991</v>
      </c>
      <c r="EC201" t="s">
        <v>2327</v>
      </c>
      <c r="ED201">
        <v>200</v>
      </c>
      <c r="EE201" t="s">
        <v>2919</v>
      </c>
      <c r="EH201">
        <f>ROUNDUP($ED201/50,0)</f>
        <v>4</v>
      </c>
      <c r="EI201">
        <v>200</v>
      </c>
      <c r="FD201" t="s">
        <v>4693</v>
      </c>
      <c r="FE201">
        <f t="shared" si="150"/>
        <v>700</v>
      </c>
      <c r="FK201">
        <f t="shared" si="151"/>
        <v>700</v>
      </c>
      <c r="FL201">
        <v>3</v>
      </c>
      <c r="GH201" t="s">
        <v>9345</v>
      </c>
      <c r="GI201" t="s">
        <v>3290</v>
      </c>
      <c r="GJ201">
        <v>3</v>
      </c>
      <c r="GK201" t="s">
        <v>1320</v>
      </c>
      <c r="GL201" t="s">
        <v>1978</v>
      </c>
      <c r="GM201" t="s">
        <v>3961</v>
      </c>
      <c r="GN201" t="s">
        <v>1974</v>
      </c>
      <c r="GO201" t="s">
        <v>9314</v>
      </c>
      <c r="GP201">
        <v>141</v>
      </c>
      <c r="GR201">
        <f t="shared" si="145"/>
        <v>550</v>
      </c>
      <c r="GT201" t="s">
        <v>3118</v>
      </c>
      <c r="GU201" t="str">
        <f t="shared" ca="1" si="146"/>
        <v/>
      </c>
      <c r="GV201" t="str">
        <f t="shared" ca="1" si="147"/>
        <v/>
      </c>
      <c r="GW201" t="str">
        <f t="shared" ca="1" si="148"/>
        <v/>
      </c>
      <c r="GX201" t="str">
        <f t="shared" ca="1" si="149"/>
        <v/>
      </c>
    </row>
    <row r="202" spans="63:206" x14ac:dyDescent="0.2">
      <c r="BK202" t="s">
        <v>5637</v>
      </c>
      <c r="BL202">
        <v>16</v>
      </c>
      <c r="BM202">
        <v>19</v>
      </c>
      <c r="BN202" t="s">
        <v>5452</v>
      </c>
      <c r="BO202">
        <v>5</v>
      </c>
      <c r="BP202" t="s">
        <v>5622</v>
      </c>
      <c r="BQ202">
        <v>3</v>
      </c>
      <c r="BR202">
        <v>50</v>
      </c>
      <c r="BS202" t="s">
        <v>5403</v>
      </c>
      <c r="BT202">
        <v>8</v>
      </c>
      <c r="BU202">
        <v>50</v>
      </c>
      <c r="BW202">
        <v>0</v>
      </c>
      <c r="BY202" t="s">
        <v>4985</v>
      </c>
      <c r="BZ202" t="s">
        <v>4985</v>
      </c>
      <c r="CA202" t="s">
        <v>5638</v>
      </c>
      <c r="CD202" t="s">
        <v>3566</v>
      </c>
      <c r="CE202" t="s">
        <v>909</v>
      </c>
      <c r="CF202" t="s">
        <v>3022</v>
      </c>
      <c r="CH202" t="s">
        <v>906</v>
      </c>
      <c r="CK202" t="s">
        <v>4603</v>
      </c>
      <c r="CL202" t="s">
        <v>2173</v>
      </c>
      <c r="CN202" t="s">
        <v>2270</v>
      </c>
      <c r="CU202" t="s">
        <v>1527</v>
      </c>
      <c r="CX202" t="s">
        <v>2532</v>
      </c>
      <c r="CY202" t="s">
        <v>75</v>
      </c>
      <c r="CZ202" t="s">
        <v>750</v>
      </c>
      <c r="DA202" t="s">
        <v>752</v>
      </c>
      <c r="DB202" t="s">
        <v>1613</v>
      </c>
      <c r="DC202" t="s">
        <v>7289</v>
      </c>
      <c r="DD202" t="s">
        <v>1832</v>
      </c>
      <c r="DE202" t="s">
        <v>3380</v>
      </c>
      <c r="DF202" t="s">
        <v>544</v>
      </c>
      <c r="DG202" t="s">
        <v>1956</v>
      </c>
      <c r="DH202" t="s">
        <v>6966</v>
      </c>
      <c r="DI202" t="s">
        <v>2942</v>
      </c>
      <c r="DJ202">
        <v>2</v>
      </c>
      <c r="DK202">
        <f t="shared" si="132"/>
        <v>523</v>
      </c>
      <c r="DL202">
        <f t="shared" si="118"/>
        <v>200</v>
      </c>
      <c r="DM202">
        <v>181</v>
      </c>
      <c r="DN202" t="str">
        <f t="shared" ca="1" si="139"/>
        <v/>
      </c>
      <c r="DO202" t="str">
        <f t="shared" ca="1" si="140"/>
        <v/>
      </c>
      <c r="DP202" t="str">
        <f t="shared" ca="1" si="141"/>
        <v/>
      </c>
      <c r="DQ202" t="str">
        <f>IF(EXACT(Zauber!$A$250,""),"",IF(EXACT(RIGHT(HLOOKUP(Zauber!$A$250,PROFMAGIE,$DK202,FALSE)),"H"),CONCATENATE($CX202,","),""))</f>
        <v/>
      </c>
      <c r="DR202" t="str">
        <f t="shared" si="142"/>
        <v/>
      </c>
      <c r="DS202" t="str">
        <f>IF(ZS_IAAK="Ja",IF(EXACT(RIGHT(HLOOKUP(Tabellen_Magie!$IK$1,PROFMAGIE,$DK202,FALSE)),"H"),CONCATENATE($CX202,","),""),"")</f>
        <v/>
      </c>
      <c r="DT202" t="str">
        <f>IF(ZS_IAAK="Ja",IF(NOT(DS202=""),"",IF(OR(EXACT(RIGHT(HLOOKUP(Tabellen_Magie!$IK$1,PROFMAGIE,$DK202,FALSE)),"B"),EXACT(HLOOKUP(Tabellen_Magie!$IK$1,PROFMAGIE,$DK202,FALSE),"")),"",CONCATENATE($CX202,","))),"")</f>
        <v/>
      </c>
      <c r="DU202" t="str">
        <f t="shared" si="143"/>
        <v/>
      </c>
      <c r="DW202" t="s">
        <v>2912</v>
      </c>
      <c r="DX202" t="s">
        <v>74</v>
      </c>
      <c r="DY202" t="s">
        <v>77</v>
      </c>
      <c r="DZ202" t="s">
        <v>751</v>
      </c>
      <c r="EB202" t="s">
        <v>8640</v>
      </c>
      <c r="EC202" t="s">
        <v>8641</v>
      </c>
      <c r="ED202">
        <v>100</v>
      </c>
      <c r="EE202" t="s">
        <v>2919</v>
      </c>
      <c r="EH202">
        <f>ROUNDUP($ED202/50,0)</f>
        <v>2</v>
      </c>
      <c r="EI202">
        <v>100</v>
      </c>
      <c r="FD202" t="s">
        <v>4694</v>
      </c>
      <c r="FE202">
        <f t="shared" si="150"/>
        <v>700</v>
      </c>
      <c r="FK202">
        <f t="shared" si="151"/>
        <v>700</v>
      </c>
      <c r="FL202">
        <v>3</v>
      </c>
      <c r="GH202" t="s">
        <v>9346</v>
      </c>
      <c r="GI202" t="s">
        <v>3290</v>
      </c>
      <c r="GJ202">
        <v>3</v>
      </c>
      <c r="GK202" t="s">
        <v>4116</v>
      </c>
      <c r="GL202" t="s">
        <v>1977</v>
      </c>
      <c r="GM202" t="s">
        <v>1984</v>
      </c>
      <c r="GN202" t="s">
        <v>1973</v>
      </c>
      <c r="GO202" t="s">
        <v>9314</v>
      </c>
      <c r="GP202">
        <v>213</v>
      </c>
      <c r="GR202">
        <f t="shared" si="145"/>
        <v>551</v>
      </c>
      <c r="GU202" t="str">
        <f t="shared" ca="1" si="146"/>
        <v/>
      </c>
      <c r="GV202" t="str">
        <f t="shared" ca="1" si="147"/>
        <v/>
      </c>
      <c r="GW202" t="str">
        <f t="shared" ca="1" si="148"/>
        <v/>
      </c>
      <c r="GX202" t="str">
        <f t="shared" ca="1" si="149"/>
        <v/>
      </c>
    </row>
    <row r="203" spans="63:206" x14ac:dyDescent="0.2">
      <c r="BK203" t="s">
        <v>5639</v>
      </c>
      <c r="BL203">
        <v>14</v>
      </c>
      <c r="BM203">
        <v>18</v>
      </c>
      <c r="BN203" t="s">
        <v>5634</v>
      </c>
      <c r="BO203">
        <v>4</v>
      </c>
      <c r="BP203" t="s">
        <v>5622</v>
      </c>
      <c r="BQ203">
        <v>3</v>
      </c>
      <c r="BR203">
        <v>58</v>
      </c>
      <c r="BS203" t="s">
        <v>5182</v>
      </c>
      <c r="BT203">
        <v>9</v>
      </c>
      <c r="BU203">
        <v>40</v>
      </c>
      <c r="BW203">
        <v>0</v>
      </c>
      <c r="BY203" t="s">
        <v>4985</v>
      </c>
      <c r="BZ203" t="s">
        <v>4985</v>
      </c>
      <c r="CA203" t="s">
        <v>5640</v>
      </c>
      <c r="CD203" t="s">
        <v>4628</v>
      </c>
      <c r="CE203" t="s">
        <v>911</v>
      </c>
      <c r="CF203" t="s">
        <v>1795</v>
      </c>
      <c r="CH203" t="s">
        <v>4609</v>
      </c>
      <c r="CK203" t="s">
        <v>7154</v>
      </c>
      <c r="CL203" t="s">
        <v>3018</v>
      </c>
      <c r="CM203" t="s">
        <v>3041</v>
      </c>
      <c r="CN203" t="s">
        <v>7552</v>
      </c>
      <c r="CU203" t="s">
        <v>1438</v>
      </c>
      <c r="CX203" t="s">
        <v>467</v>
      </c>
      <c r="CY203" t="s">
        <v>76</v>
      </c>
      <c r="CZ203" t="s">
        <v>751</v>
      </c>
      <c r="DA203" t="s">
        <v>5030</v>
      </c>
      <c r="DC203" t="s">
        <v>7290</v>
      </c>
      <c r="DD203" t="s">
        <v>1834</v>
      </c>
      <c r="DE203" t="s">
        <v>1835</v>
      </c>
      <c r="DF203" t="s">
        <v>1836</v>
      </c>
      <c r="DG203" t="s">
        <v>1433</v>
      </c>
      <c r="DH203" t="s">
        <v>8434</v>
      </c>
      <c r="DI203" t="s">
        <v>1543</v>
      </c>
      <c r="DJ203">
        <v>2</v>
      </c>
      <c r="DK203">
        <f t="shared" si="132"/>
        <v>524</v>
      </c>
      <c r="DL203">
        <f t="shared" si="118"/>
        <v>201</v>
      </c>
      <c r="DM203">
        <v>183</v>
      </c>
      <c r="DN203" t="str">
        <f t="shared" ca="1" si="139"/>
        <v/>
      </c>
      <c r="DO203" t="str">
        <f t="shared" ca="1" si="140"/>
        <v/>
      </c>
      <c r="DP203" t="str">
        <f t="shared" ca="1" si="141"/>
        <v/>
      </c>
      <c r="DQ203" t="str">
        <f>IF(EXACT(Zauber!$A$250,""),"",IF(EXACT(RIGHT(HLOOKUP(Zauber!$A$250,PROFMAGIE,$DK203,FALSE)),"H"),CONCATENATE($CX203,","),""))</f>
        <v/>
      </c>
      <c r="DR203" t="str">
        <f t="shared" si="142"/>
        <v/>
      </c>
      <c r="DS203" t="str">
        <f>IF(ZS_IAAK="Ja",IF(EXACT(RIGHT(HLOOKUP(Tabellen_Magie!$IK$1,PROFMAGIE,$DK203,FALSE)),"H"),CONCATENATE($CX203,","),""),"")</f>
        <v/>
      </c>
      <c r="DT203" t="str">
        <f>IF(ZS_IAAK="Ja",IF(NOT(DS203=""),"",IF(OR(EXACT(RIGHT(HLOOKUP(Tabellen_Magie!$IK$1,PROFMAGIE,$DK203,FALSE)),"B"),EXACT(HLOOKUP(Tabellen_Magie!$IK$1,PROFMAGIE,$DK203,FALSE),"")),"",CONCATENATE($CX203,","))),"")</f>
        <v/>
      </c>
      <c r="DU203" t="str">
        <f t="shared" si="143"/>
        <v/>
      </c>
      <c r="DW203" t="s">
        <v>2913</v>
      </c>
      <c r="DX203" t="s">
        <v>74</v>
      </c>
      <c r="DY203" t="s">
        <v>76</v>
      </c>
      <c r="DZ203" t="s">
        <v>751</v>
      </c>
      <c r="EB203" t="s">
        <v>8642</v>
      </c>
      <c r="EC203" t="s">
        <v>8643</v>
      </c>
      <c r="ED203">
        <v>300</v>
      </c>
      <c r="EE203" t="s">
        <v>2919</v>
      </c>
      <c r="EH203">
        <f>ROUNDUP($ED203/50,0)</f>
        <v>6</v>
      </c>
      <c r="EI203">
        <v>300</v>
      </c>
      <c r="FD203" t="s">
        <v>4695</v>
      </c>
      <c r="FE203">
        <f t="shared" si="150"/>
        <v>700</v>
      </c>
      <c r="FK203">
        <f t="shared" si="151"/>
        <v>700</v>
      </c>
      <c r="FL203">
        <v>3</v>
      </c>
      <c r="GH203" t="s">
        <v>683</v>
      </c>
      <c r="GI203" t="s">
        <v>3290</v>
      </c>
      <c r="GJ203">
        <v>3</v>
      </c>
      <c r="GK203" t="s">
        <v>4116</v>
      </c>
      <c r="GL203" t="s">
        <v>1976</v>
      </c>
      <c r="GM203" t="s">
        <v>1982</v>
      </c>
      <c r="GN203" t="s">
        <v>1973</v>
      </c>
      <c r="GO203">
        <v>274</v>
      </c>
      <c r="GP203">
        <v>214</v>
      </c>
      <c r="GR203">
        <f t="shared" si="145"/>
        <v>552</v>
      </c>
      <c r="GU203" t="str">
        <f t="shared" ca="1" si="146"/>
        <v/>
      </c>
      <c r="GV203" t="str">
        <f t="shared" ca="1" si="147"/>
        <v/>
      </c>
      <c r="GW203" t="str">
        <f t="shared" ca="1" si="148"/>
        <v/>
      </c>
      <c r="GX203" t="str">
        <f t="shared" ca="1" si="149"/>
        <v/>
      </c>
    </row>
    <row r="204" spans="63:206" x14ac:dyDescent="0.2">
      <c r="BK204" t="s">
        <v>5641</v>
      </c>
      <c r="BL204">
        <v>20</v>
      </c>
      <c r="BM204">
        <v>18</v>
      </c>
      <c r="BN204" t="s">
        <v>5642</v>
      </c>
      <c r="BO204">
        <v>4</v>
      </c>
      <c r="BP204" t="s">
        <v>5643</v>
      </c>
      <c r="BQ204">
        <v>2</v>
      </c>
      <c r="BR204">
        <v>80</v>
      </c>
      <c r="BS204" t="s">
        <v>5395</v>
      </c>
      <c r="BT204">
        <v>14</v>
      </c>
      <c r="BU204">
        <v>65</v>
      </c>
      <c r="BW204">
        <v>0</v>
      </c>
      <c r="BY204" t="s">
        <v>4985</v>
      </c>
      <c r="BZ204" t="s">
        <v>4985</v>
      </c>
      <c r="CA204" t="s">
        <v>5644</v>
      </c>
      <c r="CD204" t="s">
        <v>4750</v>
      </c>
      <c r="CE204" t="s">
        <v>7151</v>
      </c>
      <c r="CF204" t="s">
        <v>4629</v>
      </c>
      <c r="CH204" t="s">
        <v>3021</v>
      </c>
      <c r="CK204" t="s">
        <v>4605</v>
      </c>
      <c r="CL204" t="s">
        <v>3023</v>
      </c>
      <c r="CM204" t="s">
        <v>4166</v>
      </c>
      <c r="CN204" t="s">
        <v>3024</v>
      </c>
      <c r="CU204" t="s">
        <v>1439</v>
      </c>
      <c r="CX204" t="s">
        <v>468</v>
      </c>
      <c r="CY204" t="s">
        <v>76</v>
      </c>
      <c r="CZ204" t="s">
        <v>76</v>
      </c>
      <c r="DA204" t="s">
        <v>750</v>
      </c>
      <c r="DB204" t="s">
        <v>2042</v>
      </c>
      <c r="DC204" t="s">
        <v>7294</v>
      </c>
      <c r="DD204" t="s">
        <v>7364</v>
      </c>
      <c r="DE204" t="s">
        <v>7365</v>
      </c>
      <c r="DF204" t="s">
        <v>4667</v>
      </c>
      <c r="DG204" t="s">
        <v>1956</v>
      </c>
      <c r="DH204" t="s">
        <v>6877</v>
      </c>
      <c r="DI204" t="s">
        <v>2940</v>
      </c>
      <c r="DJ204">
        <v>2</v>
      </c>
      <c r="DK204">
        <f t="shared" si="132"/>
        <v>525</v>
      </c>
      <c r="DL204">
        <f t="shared" si="118"/>
        <v>202</v>
      </c>
      <c r="DM204">
        <v>184</v>
      </c>
      <c r="DN204" t="str">
        <f t="shared" ca="1" si="139"/>
        <v/>
      </c>
      <c r="DO204" t="str">
        <f t="shared" ca="1" si="140"/>
        <v/>
      </c>
      <c r="DP204" t="str">
        <f t="shared" ca="1" si="141"/>
        <v/>
      </c>
      <c r="DQ204" t="str">
        <f>IF(EXACT(Zauber!$A$250,""),"",IF(EXACT(RIGHT(HLOOKUP(Zauber!$A$250,PROFMAGIE,$DK204,FALSE)),"H"),CONCATENATE($CX204,","),""))</f>
        <v/>
      </c>
      <c r="DR204" t="str">
        <f t="shared" si="142"/>
        <v/>
      </c>
      <c r="DS204" t="str">
        <f>IF(ZS_IAAK="Ja",IF(EXACT(RIGHT(HLOOKUP(Tabellen_Magie!$IK$1,PROFMAGIE,$DK204,FALSE)),"H"),CONCATENATE($CX204,","),""),"")</f>
        <v/>
      </c>
      <c r="DT204" t="str">
        <f>IF(ZS_IAAK="Ja",IF(NOT(DS204=""),"",IF(OR(EXACT(RIGHT(HLOOKUP(Tabellen_Magie!$IK$1,PROFMAGIE,$DK204,FALSE)),"B"),EXACT(HLOOKUP(Tabellen_Magie!$IK$1,PROFMAGIE,$DK204,FALSE),"")),"",CONCATENATE($CX204,","))),"")</f>
        <v/>
      </c>
      <c r="DU204" t="str">
        <f t="shared" si="143"/>
        <v/>
      </c>
      <c r="DW204" t="s">
        <v>6704</v>
      </c>
      <c r="EH204">
        <f t="shared" si="144"/>
        <v>0</v>
      </c>
      <c r="FD204" t="s">
        <v>4696</v>
      </c>
      <c r="FE204">
        <f t="shared" si="150"/>
        <v>700</v>
      </c>
      <c r="FK204">
        <f t="shared" si="151"/>
        <v>700</v>
      </c>
      <c r="FL204">
        <v>3</v>
      </c>
      <c r="GH204" t="s">
        <v>684</v>
      </c>
      <c r="GI204" t="s">
        <v>3290</v>
      </c>
      <c r="GJ204">
        <v>3</v>
      </c>
      <c r="GK204" t="s">
        <v>4116</v>
      </c>
      <c r="GL204" t="s">
        <v>1977</v>
      </c>
      <c r="GM204" t="s">
        <v>1369</v>
      </c>
      <c r="GN204" t="s">
        <v>1973</v>
      </c>
      <c r="GO204">
        <v>284</v>
      </c>
      <c r="GP204">
        <v>269</v>
      </c>
      <c r="GR204">
        <f t="shared" si="145"/>
        <v>553</v>
      </c>
      <c r="GU204" t="str">
        <f t="shared" ca="1" si="146"/>
        <v/>
      </c>
      <c r="GV204" t="str">
        <f t="shared" ca="1" si="147"/>
        <v/>
      </c>
      <c r="GW204" t="str">
        <f t="shared" ca="1" si="148"/>
        <v/>
      </c>
      <c r="GX204" t="str">
        <f t="shared" ca="1" si="149"/>
        <v/>
      </c>
    </row>
    <row r="205" spans="63:206" x14ac:dyDescent="0.2">
      <c r="BK205" t="s">
        <v>5645</v>
      </c>
      <c r="CD205" t="s">
        <v>326</v>
      </c>
      <c r="CE205" t="s">
        <v>920</v>
      </c>
      <c r="CF205" t="s">
        <v>1436</v>
      </c>
      <c r="CH205" t="s">
        <v>1793</v>
      </c>
      <c r="CK205" t="s">
        <v>7155</v>
      </c>
      <c r="CL205" t="s">
        <v>7574</v>
      </c>
      <c r="CM205" t="s">
        <v>4167</v>
      </c>
      <c r="CN205" t="s">
        <v>3026</v>
      </c>
      <c r="CU205" t="s">
        <v>1440</v>
      </c>
      <c r="CX205" t="s">
        <v>2533</v>
      </c>
      <c r="CY205" t="s">
        <v>75</v>
      </c>
      <c r="CZ205" t="s">
        <v>76</v>
      </c>
      <c r="DA205" t="s">
        <v>750</v>
      </c>
      <c r="DB205" t="s">
        <v>1613</v>
      </c>
      <c r="DC205" t="s">
        <v>7299</v>
      </c>
      <c r="DD205" t="s">
        <v>7366</v>
      </c>
      <c r="DE205" t="s">
        <v>2254</v>
      </c>
      <c r="DF205" t="s">
        <v>81</v>
      </c>
      <c r="DG205" t="s">
        <v>1955</v>
      </c>
      <c r="DH205" t="s">
        <v>6950</v>
      </c>
      <c r="DI205" t="s">
        <v>3212</v>
      </c>
      <c r="DJ205">
        <v>2</v>
      </c>
      <c r="DK205">
        <f t="shared" si="132"/>
        <v>526</v>
      </c>
      <c r="DL205">
        <f t="shared" si="118"/>
        <v>203</v>
      </c>
      <c r="DM205">
        <v>185</v>
      </c>
      <c r="DN205" t="str">
        <f t="shared" ca="1" si="139"/>
        <v/>
      </c>
      <c r="DO205" t="str">
        <f t="shared" ca="1" si="140"/>
        <v/>
      </c>
      <c r="DP205" t="str">
        <f t="shared" ca="1" si="141"/>
        <v/>
      </c>
      <c r="DQ205" t="str">
        <f>IF(EXACT(Zauber!$A$250,""),"",IF(EXACT(RIGHT(HLOOKUP(Zauber!$A$250,PROFMAGIE,$DK205,FALSE)),"H"),CONCATENATE($CX205,","),""))</f>
        <v/>
      </c>
      <c r="DR205" t="str">
        <f t="shared" si="142"/>
        <v/>
      </c>
      <c r="DS205" t="str">
        <f>IF(ZS_IAAK="Ja",IF(EXACT(RIGHT(HLOOKUP(Tabellen_Magie!$IK$1,PROFMAGIE,$DK205,FALSE)),"H"),CONCATENATE($CX205,","),""),"")</f>
        <v/>
      </c>
      <c r="DT205" t="str">
        <f>IF(ZS_IAAK="Ja",IF(NOT(DS205=""),"",IF(OR(EXACT(RIGHT(HLOOKUP(Tabellen_Magie!$IK$1,PROFMAGIE,$DK205,FALSE)),"B"),EXACT(HLOOKUP(Tabellen_Magie!$IK$1,PROFMAGIE,$DK205,FALSE),"")),"",CONCATENATE($CX205,","))),"")</f>
        <v/>
      </c>
      <c r="DU205" t="str">
        <f t="shared" si="143"/>
        <v/>
      </c>
      <c r="DW205" t="s">
        <v>9138</v>
      </c>
      <c r="DX205" t="s">
        <v>74</v>
      </c>
      <c r="DY205" t="s">
        <v>74</v>
      </c>
      <c r="DZ205" t="s">
        <v>75</v>
      </c>
      <c r="EA205" t="s">
        <v>2341</v>
      </c>
      <c r="EB205" t="s">
        <v>4472</v>
      </c>
      <c r="EC205" t="s">
        <v>8667</v>
      </c>
      <c r="ED205">
        <f t="shared" ref="ED205:ED212" si="152">ROUND(EI205*IF(VT_AKADMAG,3/4,1)*IF(VT_EIDGED,0.5,IF(VT_GUTGED,0.75,1)),0)</f>
        <v>200</v>
      </c>
      <c r="EE205" t="s">
        <v>1248</v>
      </c>
      <c r="EF205" t="s">
        <v>3283</v>
      </c>
      <c r="EG205" t="s">
        <v>3279</v>
      </c>
      <c r="EH205">
        <f t="shared" si="144"/>
        <v>4</v>
      </c>
      <c r="EI205">
        <v>200</v>
      </c>
      <c r="FD205" t="s">
        <v>4697</v>
      </c>
      <c r="FE205">
        <f t="shared" si="150"/>
        <v>700</v>
      </c>
      <c r="FK205">
        <f t="shared" si="151"/>
        <v>700</v>
      </c>
      <c r="FL205">
        <v>3</v>
      </c>
      <c r="GH205" t="s">
        <v>685</v>
      </c>
      <c r="GI205" t="s">
        <v>3290</v>
      </c>
      <c r="GJ205">
        <v>3</v>
      </c>
      <c r="GK205" t="s">
        <v>1320</v>
      </c>
      <c r="GL205" t="s">
        <v>1978</v>
      </c>
      <c r="GM205" t="s">
        <v>1984</v>
      </c>
      <c r="GN205" t="s">
        <v>1975</v>
      </c>
      <c r="GO205">
        <v>267</v>
      </c>
      <c r="GP205">
        <v>113</v>
      </c>
      <c r="GR205">
        <f t="shared" si="145"/>
        <v>554</v>
      </c>
      <c r="GU205" t="str">
        <f t="shared" ca="1" si="146"/>
        <v/>
      </c>
      <c r="GV205" t="str">
        <f t="shared" ca="1" si="147"/>
        <v/>
      </c>
      <c r="GW205" t="str">
        <f t="shared" ca="1" si="148"/>
        <v/>
      </c>
      <c r="GX205" t="str">
        <f t="shared" ca="1" si="149"/>
        <v/>
      </c>
    </row>
    <row r="206" spans="63:206" x14ac:dyDescent="0.2">
      <c r="BK206" t="s">
        <v>5646</v>
      </c>
      <c r="BL206">
        <v>7</v>
      </c>
      <c r="BM206">
        <v>9</v>
      </c>
      <c r="BN206" t="s">
        <v>5154</v>
      </c>
      <c r="BO206">
        <v>5</v>
      </c>
      <c r="BP206" t="s">
        <v>4558</v>
      </c>
      <c r="BQ206">
        <v>1</v>
      </c>
      <c r="BR206">
        <v>35</v>
      </c>
      <c r="BS206" t="s">
        <v>5129</v>
      </c>
      <c r="BT206" t="s">
        <v>5647</v>
      </c>
      <c r="BU206">
        <v>30</v>
      </c>
      <c r="BW206">
        <v>7</v>
      </c>
      <c r="BX206">
        <v>6</v>
      </c>
      <c r="BY206">
        <f>BX206*5</f>
        <v>30</v>
      </c>
      <c r="BZ206">
        <f>BX206*10</f>
        <v>60</v>
      </c>
      <c r="CA206" t="s">
        <v>5648</v>
      </c>
      <c r="CD206" t="s">
        <v>4569</v>
      </c>
      <c r="CE206" t="s">
        <v>4556</v>
      </c>
      <c r="CF206" t="s">
        <v>1437</v>
      </c>
      <c r="CH206" t="s">
        <v>2614</v>
      </c>
      <c r="CK206" t="s">
        <v>4608</v>
      </c>
      <c r="CL206" t="s">
        <v>1797</v>
      </c>
      <c r="CM206" t="s">
        <v>2789</v>
      </c>
      <c r="CN206" t="s">
        <v>4761</v>
      </c>
      <c r="CU206" t="s">
        <v>7579</v>
      </c>
      <c r="CX206" t="s">
        <v>2717</v>
      </c>
      <c r="CY206" t="s">
        <v>74</v>
      </c>
      <c r="CZ206" t="s">
        <v>76</v>
      </c>
      <c r="DA206" t="s">
        <v>5030</v>
      </c>
      <c r="DC206" t="s">
        <v>7290</v>
      </c>
      <c r="DD206" t="s">
        <v>3545</v>
      </c>
      <c r="DE206" t="s">
        <v>4484</v>
      </c>
      <c r="DF206" t="s">
        <v>665</v>
      </c>
      <c r="DG206" t="s">
        <v>1955</v>
      </c>
      <c r="DH206" t="s">
        <v>6845</v>
      </c>
      <c r="DI206" t="s">
        <v>1961</v>
      </c>
      <c r="DJ206">
        <v>2</v>
      </c>
      <c r="DK206">
        <f t="shared" si="132"/>
        <v>527</v>
      </c>
      <c r="DL206">
        <f t="shared" si="118"/>
        <v>204</v>
      </c>
      <c r="DM206">
        <v>186</v>
      </c>
      <c r="DN206" t="str">
        <f t="shared" ca="1" si="139"/>
        <v/>
      </c>
      <c r="DO206" t="str">
        <f t="shared" ca="1" si="140"/>
        <v/>
      </c>
      <c r="DP206" t="str">
        <f t="shared" ca="1" si="141"/>
        <v/>
      </c>
      <c r="DQ206" t="str">
        <f>IF(EXACT(Zauber!$A$250,""),"",IF(EXACT(RIGHT(HLOOKUP(Zauber!$A$250,PROFMAGIE,$DK206,FALSE)),"H"),CONCATENATE($CX206,","),""))</f>
        <v/>
      </c>
      <c r="DR206" t="str">
        <f t="shared" si="142"/>
        <v/>
      </c>
      <c r="DS206" t="str">
        <f>IF(ZS_IAAK="Ja",IF(EXACT(RIGHT(HLOOKUP(Tabellen_Magie!$IK$1,PROFMAGIE,$DK206,FALSE)),"H"),CONCATENATE($CX206,","),""),"")</f>
        <v/>
      </c>
      <c r="DT206" t="str">
        <f>IF(ZS_IAAK="Ja",IF(NOT(DS206=""),"",IF(OR(EXACT(RIGHT(HLOOKUP(Tabellen_Magie!$IK$1,PROFMAGIE,$DK206,FALSE)),"B"),EXACT(HLOOKUP(Tabellen_Magie!$IK$1,PROFMAGIE,$DK206,FALSE),"")),"",CONCATENATE($CX206,","))),"")</f>
        <v/>
      </c>
      <c r="DU206" t="str">
        <f t="shared" si="143"/>
        <v/>
      </c>
      <c r="DW206" t="s">
        <v>9140</v>
      </c>
      <c r="DX206" t="s">
        <v>8634</v>
      </c>
      <c r="DY206" t="s">
        <v>8635</v>
      </c>
      <c r="EA206" t="s">
        <v>2340</v>
      </c>
      <c r="EB206" t="s">
        <v>4472</v>
      </c>
      <c r="EC206" t="s">
        <v>8667</v>
      </c>
      <c r="ED206">
        <f t="shared" si="152"/>
        <v>200</v>
      </c>
      <c r="EE206" t="s">
        <v>7233</v>
      </c>
      <c r="EH206">
        <f t="shared" si="144"/>
        <v>4</v>
      </c>
      <c r="EI206">
        <v>200</v>
      </c>
      <c r="FD206" t="s">
        <v>4698</v>
      </c>
      <c r="FE206">
        <f t="shared" si="150"/>
        <v>700</v>
      </c>
      <c r="FK206">
        <f t="shared" si="151"/>
        <v>700</v>
      </c>
      <c r="FL206">
        <v>3</v>
      </c>
      <c r="GH206" t="s">
        <v>686</v>
      </c>
      <c r="GI206" t="s">
        <v>3290</v>
      </c>
      <c r="GJ206">
        <v>3</v>
      </c>
      <c r="GK206" t="s">
        <v>1320</v>
      </c>
      <c r="GL206" t="s">
        <v>567</v>
      </c>
      <c r="GM206" t="s">
        <v>1984</v>
      </c>
      <c r="GN206" t="s">
        <v>1974</v>
      </c>
      <c r="GO206">
        <v>268</v>
      </c>
      <c r="GP206">
        <v>280</v>
      </c>
      <c r="GR206">
        <f t="shared" si="145"/>
        <v>555</v>
      </c>
      <c r="GU206" t="str">
        <f t="shared" ca="1" si="146"/>
        <v/>
      </c>
      <c r="GV206" t="str">
        <f t="shared" ca="1" si="147"/>
        <v/>
      </c>
      <c r="GW206" t="str">
        <f t="shared" ca="1" si="148"/>
        <v/>
      </c>
      <c r="GX206" t="str">
        <f t="shared" ca="1" si="149"/>
        <v/>
      </c>
    </row>
    <row r="207" spans="63:206" x14ac:dyDescent="0.2">
      <c r="BK207" t="s">
        <v>5649</v>
      </c>
      <c r="BL207">
        <v>9</v>
      </c>
      <c r="BM207">
        <v>13</v>
      </c>
      <c r="BN207" t="s">
        <v>5607</v>
      </c>
      <c r="BO207">
        <v>6</v>
      </c>
      <c r="BP207" t="s">
        <v>4549</v>
      </c>
      <c r="BQ207">
        <v>2</v>
      </c>
      <c r="BR207">
        <v>15</v>
      </c>
      <c r="BS207" t="s">
        <v>5129</v>
      </c>
      <c r="BT207" t="s">
        <v>5650</v>
      </c>
      <c r="BU207">
        <v>15</v>
      </c>
      <c r="BW207">
        <v>7</v>
      </c>
      <c r="BX207">
        <v>3</v>
      </c>
      <c r="BY207">
        <f>BX207*3</f>
        <v>9</v>
      </c>
      <c r="BZ207">
        <f>BX207*5</f>
        <v>15</v>
      </c>
      <c r="CA207" t="s">
        <v>5648</v>
      </c>
      <c r="CE207" t="s">
        <v>4597</v>
      </c>
      <c r="CF207" t="s">
        <v>4753</v>
      </c>
      <c r="CH207" t="s">
        <v>3493</v>
      </c>
      <c r="CK207" t="s">
        <v>7158</v>
      </c>
      <c r="CL207" t="s">
        <v>4132</v>
      </c>
      <c r="CM207" t="s">
        <v>2790</v>
      </c>
      <c r="CN207" t="s">
        <v>283</v>
      </c>
      <c r="CU207" t="s">
        <v>7169</v>
      </c>
      <c r="CX207" t="s">
        <v>469</v>
      </c>
      <c r="CY207" t="s">
        <v>75</v>
      </c>
      <c r="CZ207" t="s">
        <v>750</v>
      </c>
      <c r="DA207" t="s">
        <v>5030</v>
      </c>
      <c r="DC207" t="s">
        <v>7289</v>
      </c>
      <c r="DD207" t="s">
        <v>1077</v>
      </c>
      <c r="DE207" t="s">
        <v>2254</v>
      </c>
      <c r="DF207" t="s">
        <v>1078</v>
      </c>
      <c r="DG207" t="s">
        <v>1956</v>
      </c>
      <c r="DH207" t="s">
        <v>6967</v>
      </c>
      <c r="DI207" t="s">
        <v>3342</v>
      </c>
      <c r="DJ207">
        <v>2</v>
      </c>
      <c r="DK207">
        <f t="shared" si="132"/>
        <v>528</v>
      </c>
      <c r="DL207">
        <f t="shared" si="118"/>
        <v>205</v>
      </c>
      <c r="DM207">
        <v>187</v>
      </c>
      <c r="DN207" t="str">
        <f t="shared" ca="1" si="139"/>
        <v/>
      </c>
      <c r="DO207" t="str">
        <f t="shared" ca="1" si="140"/>
        <v/>
      </c>
      <c r="DP207" t="str">
        <f t="shared" ca="1" si="141"/>
        <v/>
      </c>
      <c r="DQ207" t="str">
        <f>IF(EXACT(Zauber!$A$250,""),"",IF(EXACT(RIGHT(HLOOKUP(Zauber!$A$250,PROFMAGIE,$DK207,FALSE)),"H"),CONCATENATE($CX207,","),""))</f>
        <v/>
      </c>
      <c r="DR207" t="str">
        <f t="shared" si="142"/>
        <v/>
      </c>
      <c r="DS207" t="str">
        <f>IF(ZS_IAAK="Ja",IF(EXACT(RIGHT(HLOOKUP(Tabellen_Magie!$IK$1,PROFMAGIE,$DK207,FALSE)),"H"),CONCATENATE($CX207,","),""),"")</f>
        <v/>
      </c>
      <c r="DT207" t="str">
        <f>IF(ZS_IAAK="Ja",IF(NOT(DS207=""),"",IF(OR(EXACT(RIGHT(HLOOKUP(Tabellen_Magie!$IK$1,PROFMAGIE,$DK207,FALSE)),"B"),EXACT(HLOOKUP(Tabellen_Magie!$IK$1,PROFMAGIE,$DK207,FALSE),"")),"",CONCATENATE($CX207,","))),"")</f>
        <v/>
      </c>
      <c r="DU207" t="str">
        <f t="shared" si="143"/>
        <v/>
      </c>
      <c r="DW207" t="s">
        <v>3953</v>
      </c>
      <c r="DX207" t="s">
        <v>74</v>
      </c>
      <c r="DY207" t="s">
        <v>74</v>
      </c>
      <c r="DZ207" t="s">
        <v>75</v>
      </c>
      <c r="EA207" t="s">
        <v>2341</v>
      </c>
      <c r="EB207" t="s">
        <v>4472</v>
      </c>
      <c r="EC207" t="s">
        <v>8668</v>
      </c>
      <c r="ED207">
        <f t="shared" si="152"/>
        <v>200</v>
      </c>
      <c r="EE207" t="s">
        <v>1248</v>
      </c>
      <c r="EF207" t="s">
        <v>3283</v>
      </c>
      <c r="EH207">
        <f t="shared" si="144"/>
        <v>4</v>
      </c>
      <c r="EI207">
        <v>200</v>
      </c>
      <c r="FD207" t="s">
        <v>4699</v>
      </c>
      <c r="FE207">
        <f t="shared" si="150"/>
        <v>700</v>
      </c>
      <c r="FK207">
        <f t="shared" si="151"/>
        <v>700</v>
      </c>
      <c r="FL207">
        <v>3</v>
      </c>
      <c r="GG207" t="s">
        <v>3290</v>
      </c>
      <c r="GH207" t="s">
        <v>687</v>
      </c>
      <c r="GI207" t="s">
        <v>3290</v>
      </c>
      <c r="GJ207">
        <v>3</v>
      </c>
      <c r="GK207" t="s">
        <v>1320</v>
      </c>
      <c r="GL207" t="s">
        <v>567</v>
      </c>
      <c r="GM207" t="s">
        <v>3961</v>
      </c>
      <c r="GN207" t="s">
        <v>1974</v>
      </c>
      <c r="GO207">
        <v>277</v>
      </c>
      <c r="GP207">
        <v>226</v>
      </c>
      <c r="GR207">
        <f t="shared" si="145"/>
        <v>556</v>
      </c>
      <c r="GU207" t="str">
        <f t="shared" ca="1" si="146"/>
        <v/>
      </c>
      <c r="GV207" t="str">
        <f t="shared" ca="1" si="147"/>
        <v/>
      </c>
      <c r="GW207" t="str">
        <f t="shared" ca="1" si="148"/>
        <v/>
      </c>
      <c r="GX207" t="str">
        <f t="shared" ca="1" si="149"/>
        <v/>
      </c>
    </row>
    <row r="208" spans="63:206" x14ac:dyDescent="0.2">
      <c r="BK208" t="s">
        <v>5651</v>
      </c>
      <c r="BL208">
        <v>10</v>
      </c>
      <c r="BM208">
        <v>13</v>
      </c>
      <c r="BN208" t="s">
        <v>5607</v>
      </c>
      <c r="BO208">
        <v>6</v>
      </c>
      <c r="BP208" t="s">
        <v>4549</v>
      </c>
      <c r="BQ208">
        <v>2</v>
      </c>
      <c r="BR208">
        <v>15</v>
      </c>
      <c r="BS208" t="s">
        <v>5129</v>
      </c>
      <c r="BT208" t="s">
        <v>5650</v>
      </c>
      <c r="BU208">
        <v>15</v>
      </c>
      <c r="BV208">
        <v>7</v>
      </c>
      <c r="BW208">
        <v>7</v>
      </c>
      <c r="BX208">
        <v>3</v>
      </c>
      <c r="BY208">
        <f>BX208*3</f>
        <v>9</v>
      </c>
      <c r="BZ208">
        <f>BX208*5</f>
        <v>15</v>
      </c>
      <c r="CA208" t="s">
        <v>5648</v>
      </c>
      <c r="CE208" t="s">
        <v>4607</v>
      </c>
      <c r="CF208" t="s">
        <v>4756</v>
      </c>
      <c r="CH208" t="s">
        <v>1442</v>
      </c>
      <c r="CK208" t="s">
        <v>2270</v>
      </c>
      <c r="CL208" t="s">
        <v>4629</v>
      </c>
      <c r="CM208" t="s">
        <v>2791</v>
      </c>
      <c r="CN208" t="s">
        <v>284</v>
      </c>
      <c r="CU208" t="s">
        <v>1441</v>
      </c>
      <c r="CX208" t="s">
        <v>470</v>
      </c>
      <c r="CY208" t="s">
        <v>74</v>
      </c>
      <c r="CZ208" t="s">
        <v>75</v>
      </c>
      <c r="DA208" t="s">
        <v>77</v>
      </c>
      <c r="DB208" t="s">
        <v>1613</v>
      </c>
      <c r="DC208" t="s">
        <v>2365</v>
      </c>
      <c r="DD208" t="s">
        <v>1079</v>
      </c>
      <c r="DE208" t="s">
        <v>1321</v>
      </c>
      <c r="DF208" t="s">
        <v>4473</v>
      </c>
      <c r="DG208" t="s">
        <v>1828</v>
      </c>
      <c r="DH208" t="s">
        <v>8435</v>
      </c>
      <c r="DI208" t="s">
        <v>2366</v>
      </c>
      <c r="DJ208">
        <v>2</v>
      </c>
      <c r="DK208">
        <f t="shared" si="132"/>
        <v>529</v>
      </c>
      <c r="DL208">
        <f t="shared" si="118"/>
        <v>206</v>
      </c>
      <c r="DM208">
        <v>188</v>
      </c>
      <c r="DN208" t="str">
        <f t="shared" ca="1" si="139"/>
        <v/>
      </c>
      <c r="DO208" t="str">
        <f t="shared" ca="1" si="140"/>
        <v/>
      </c>
      <c r="DP208" t="str">
        <f t="shared" ca="1" si="141"/>
        <v/>
      </c>
      <c r="DQ208" t="str">
        <f>IF(EXACT(Zauber!$A$250,""),"",IF(EXACT(RIGHT(HLOOKUP(Zauber!$A$250,PROFMAGIE,$DK208,FALSE)),"H"),CONCATENATE($CX208,","),""))</f>
        <v/>
      </c>
      <c r="DR208" t="str">
        <f t="shared" si="142"/>
        <v/>
      </c>
      <c r="DS208" t="str">
        <f>IF(ZS_IAAK="Ja",IF(EXACT(RIGHT(HLOOKUP(Tabellen_Magie!$IK$1,PROFMAGIE,$DK208,FALSE)),"H"),CONCATENATE($CX208,","),""),"")</f>
        <v/>
      </c>
      <c r="DT208" t="str">
        <f>IF(ZS_IAAK="Ja",IF(NOT(DS208=""),"",IF(OR(EXACT(RIGHT(HLOOKUP(Tabellen_Magie!$IK$1,PROFMAGIE,$DK208,FALSE)),"B"),EXACT(HLOOKUP(Tabellen_Magie!$IK$1,PROFMAGIE,$DK208,FALSE),"")),"",CONCATENATE($CX208,","))),"")</f>
        <v/>
      </c>
      <c r="DU208" t="str">
        <f t="shared" si="143"/>
        <v/>
      </c>
      <c r="DW208" t="s">
        <v>9139</v>
      </c>
      <c r="DX208" t="s">
        <v>8634</v>
      </c>
      <c r="DY208" t="s">
        <v>8669</v>
      </c>
      <c r="EA208" t="s">
        <v>2341</v>
      </c>
      <c r="EB208" t="s">
        <v>4472</v>
      </c>
      <c r="EC208" t="s">
        <v>8668</v>
      </c>
      <c r="ED208">
        <f t="shared" si="152"/>
        <v>200</v>
      </c>
      <c r="EE208" t="s">
        <v>7233</v>
      </c>
      <c r="EH208">
        <f t="shared" si="144"/>
        <v>4</v>
      </c>
      <c r="EI208">
        <v>200</v>
      </c>
      <c r="FD208" t="s">
        <v>4700</v>
      </c>
      <c r="FE208">
        <f t="shared" si="150"/>
        <v>1000</v>
      </c>
      <c r="FK208">
        <f t="shared" ref="FK208:FK219" si="153">IF(VT_HALBZBR,1500,IF(VT_VOLLZBR,2000,1000))</f>
        <v>1000</v>
      </c>
      <c r="FL208">
        <v>3</v>
      </c>
      <c r="GH208" t="s">
        <v>688</v>
      </c>
      <c r="GI208" t="s">
        <v>3290</v>
      </c>
      <c r="GJ208">
        <v>3</v>
      </c>
      <c r="GK208" t="s">
        <v>1320</v>
      </c>
      <c r="GL208" t="s">
        <v>1976</v>
      </c>
      <c r="GM208" t="s">
        <v>1369</v>
      </c>
      <c r="GN208" t="s">
        <v>1690</v>
      </c>
      <c r="GO208">
        <v>274</v>
      </c>
      <c r="GP208">
        <v>229</v>
      </c>
      <c r="GR208">
        <f t="shared" si="145"/>
        <v>557</v>
      </c>
      <c r="GU208" t="str">
        <f t="shared" ca="1" si="146"/>
        <v/>
      </c>
      <c r="GV208" t="str">
        <f t="shared" ca="1" si="147"/>
        <v/>
      </c>
      <c r="GW208" t="str">
        <f t="shared" ca="1" si="148"/>
        <v/>
      </c>
      <c r="GX208" t="str">
        <f t="shared" ca="1" si="149"/>
        <v/>
      </c>
    </row>
    <row r="209" spans="63:206" x14ac:dyDescent="0.2">
      <c r="BK209" t="s">
        <v>5652</v>
      </c>
      <c r="BL209">
        <v>12</v>
      </c>
      <c r="BM209">
        <v>13</v>
      </c>
      <c r="BN209" t="s">
        <v>5607</v>
      </c>
      <c r="BO209">
        <v>6</v>
      </c>
      <c r="BP209" t="s">
        <v>4549</v>
      </c>
      <c r="BQ209">
        <v>2</v>
      </c>
      <c r="BR209">
        <v>15</v>
      </c>
      <c r="BS209" t="s">
        <v>5129</v>
      </c>
      <c r="BT209" t="s">
        <v>5650</v>
      </c>
      <c r="BU209">
        <v>15</v>
      </c>
      <c r="BV209">
        <v>7</v>
      </c>
      <c r="BW209">
        <v>7</v>
      </c>
      <c r="BX209">
        <v>3</v>
      </c>
      <c r="BY209">
        <f>BX209*3</f>
        <v>9</v>
      </c>
      <c r="BZ209">
        <f>BX209*5</f>
        <v>15</v>
      </c>
      <c r="CA209" t="s">
        <v>5648</v>
      </c>
      <c r="CE209" t="s">
        <v>7157</v>
      </c>
      <c r="CF209" t="s">
        <v>323</v>
      </c>
      <c r="CH209" t="s">
        <v>2192</v>
      </c>
      <c r="CK209" t="s">
        <v>7159</v>
      </c>
      <c r="CL209" t="s">
        <v>2708</v>
      </c>
      <c r="CM209" t="s">
        <v>2792</v>
      </c>
      <c r="CN209" t="s">
        <v>2633</v>
      </c>
      <c r="CU209" t="s">
        <v>7170</v>
      </c>
      <c r="CX209" t="s">
        <v>2718</v>
      </c>
      <c r="CY209" t="s">
        <v>894</v>
      </c>
      <c r="CZ209" t="s">
        <v>895</v>
      </c>
      <c r="DA209" t="s">
        <v>895</v>
      </c>
      <c r="DH209" t="s">
        <v>560</v>
      </c>
      <c r="DJ209">
        <v>2</v>
      </c>
      <c r="DK209">
        <f t="shared" si="132"/>
        <v>530</v>
      </c>
      <c r="DL209">
        <f t="shared" si="118"/>
        <v>207</v>
      </c>
      <c r="DM209">
        <v>99</v>
      </c>
      <c r="DN209" t="str">
        <f t="shared" ca="1" si="139"/>
        <v/>
      </c>
      <c r="DO209" t="str">
        <f t="shared" ca="1" si="140"/>
        <v/>
      </c>
      <c r="DP209" t="str">
        <f t="shared" ca="1" si="141"/>
        <v/>
      </c>
      <c r="DQ209" t="str">
        <f>IF(EXACT(Zauber!$A$250,""),"",IF(EXACT(RIGHT(HLOOKUP(Zauber!$A$250,PROFMAGIE,$DK209,FALSE)),"H"),CONCATENATE($CX209,","),""))</f>
        <v/>
      </c>
      <c r="DR209" t="str">
        <f t="shared" si="142"/>
        <v/>
      </c>
      <c r="DS209" t="str">
        <f>IF(ZS_IAAK="Ja",IF(EXACT(RIGHT(HLOOKUP(Tabellen_Magie!$IK$1,PROFMAGIE,$DK209,FALSE)),"H"),CONCATENATE($CX209,","),""),"")</f>
        <v/>
      </c>
      <c r="DT209" t="str">
        <f>IF(ZS_IAAK="Ja",IF(NOT(DS209=""),"",IF(OR(EXACT(RIGHT(HLOOKUP(Tabellen_Magie!$IK$1,PROFMAGIE,$DK209,FALSE)),"B"),EXACT(HLOOKUP(Tabellen_Magie!$IK$1,PROFMAGIE,$DK209,FALSE),"")),"",CONCATENATE($CX209,","))),"")</f>
        <v/>
      </c>
      <c r="DU209" t="str">
        <f t="shared" si="143"/>
        <v/>
      </c>
      <c r="DW209" t="s">
        <v>3923</v>
      </c>
      <c r="DX209" t="s">
        <v>74</v>
      </c>
      <c r="DY209" t="s">
        <v>74</v>
      </c>
      <c r="DZ209" t="s">
        <v>75</v>
      </c>
      <c r="EA209" t="s">
        <v>2341</v>
      </c>
      <c r="EB209" t="s">
        <v>4472</v>
      </c>
      <c r="EC209" t="s">
        <v>8670</v>
      </c>
      <c r="ED209">
        <f t="shared" si="152"/>
        <v>200</v>
      </c>
      <c r="EE209" t="s">
        <v>1248</v>
      </c>
      <c r="EH209">
        <f t="shared" si="144"/>
        <v>4</v>
      </c>
      <c r="EI209">
        <v>200</v>
      </c>
      <c r="FD209" t="s">
        <v>4701</v>
      </c>
      <c r="FE209">
        <f t="shared" si="150"/>
        <v>1000</v>
      </c>
      <c r="FK209">
        <f t="shared" si="153"/>
        <v>1000</v>
      </c>
      <c r="FL209">
        <v>3</v>
      </c>
      <c r="GH209" t="s">
        <v>3060</v>
      </c>
      <c r="GI209" t="s">
        <v>3290</v>
      </c>
      <c r="GJ209">
        <v>3</v>
      </c>
      <c r="GK209" t="s">
        <v>1320</v>
      </c>
      <c r="GL209" t="s">
        <v>1976</v>
      </c>
      <c r="GM209" t="s">
        <v>1369</v>
      </c>
      <c r="GN209" t="s">
        <v>1974</v>
      </c>
      <c r="GO209">
        <v>274</v>
      </c>
      <c r="GP209">
        <v>230</v>
      </c>
      <c r="GR209">
        <f t="shared" si="145"/>
        <v>558</v>
      </c>
      <c r="GU209" t="str">
        <f t="shared" ca="1" si="146"/>
        <v/>
      </c>
      <c r="GV209" t="str">
        <f t="shared" ca="1" si="147"/>
        <v/>
      </c>
      <c r="GW209" t="str">
        <f t="shared" ca="1" si="148"/>
        <v/>
      </c>
      <c r="GX209" t="str">
        <f t="shared" ca="1" si="149"/>
        <v/>
      </c>
    </row>
    <row r="210" spans="63:206" x14ac:dyDescent="0.2">
      <c r="BK210" t="s">
        <v>5653</v>
      </c>
      <c r="BL210">
        <v>13</v>
      </c>
      <c r="BM210">
        <v>13</v>
      </c>
      <c r="BN210" t="s">
        <v>5607</v>
      </c>
      <c r="BO210">
        <v>6</v>
      </c>
      <c r="BP210" t="s">
        <v>4549</v>
      </c>
      <c r="BQ210">
        <v>2</v>
      </c>
      <c r="BR210">
        <v>46</v>
      </c>
      <c r="BS210" t="s">
        <v>5654</v>
      </c>
      <c r="BT210">
        <v>10</v>
      </c>
      <c r="BU210">
        <v>60</v>
      </c>
      <c r="BV210">
        <v>7</v>
      </c>
      <c r="BW210">
        <v>7</v>
      </c>
      <c r="BX210">
        <v>14</v>
      </c>
      <c r="BY210">
        <f>BX210*5</f>
        <v>70</v>
      </c>
      <c r="BZ210">
        <f>BX210*10</f>
        <v>140</v>
      </c>
      <c r="CA210" t="s">
        <v>5648</v>
      </c>
      <c r="CD210" t="s">
        <v>1957</v>
      </c>
      <c r="CE210" t="s">
        <v>4281</v>
      </c>
      <c r="CF210" t="s">
        <v>330</v>
      </c>
      <c r="CH210" t="s">
        <v>4758</v>
      </c>
      <c r="CK210" t="s">
        <v>2271</v>
      </c>
      <c r="CL210" t="s">
        <v>1436</v>
      </c>
      <c r="CU210" t="s">
        <v>1442</v>
      </c>
      <c r="CX210" t="s">
        <v>471</v>
      </c>
      <c r="CY210" t="s">
        <v>75</v>
      </c>
      <c r="CZ210" t="s">
        <v>5030</v>
      </c>
      <c r="DA210" t="s">
        <v>752</v>
      </c>
      <c r="DC210" t="s">
        <v>7287</v>
      </c>
      <c r="DD210" t="s">
        <v>7367</v>
      </c>
      <c r="DE210" t="s">
        <v>2254</v>
      </c>
      <c r="DF210" t="s">
        <v>4479</v>
      </c>
      <c r="DG210" t="s">
        <v>1828</v>
      </c>
      <c r="DH210" t="s">
        <v>6847</v>
      </c>
      <c r="DI210" t="s">
        <v>3497</v>
      </c>
      <c r="DJ210">
        <v>2</v>
      </c>
      <c r="DK210">
        <f t="shared" ref="DK210:DK241" si="154">VLOOKUP($CX210,ZEILENBEZUG,2,FALSE)</f>
        <v>531</v>
      </c>
      <c r="DL210">
        <f t="shared" ref="DL210:DL273" si="155">ROW()-2</f>
        <v>208</v>
      </c>
      <c r="DM210">
        <v>189</v>
      </c>
      <c r="DN210" t="str">
        <f t="shared" ca="1" si="139"/>
        <v/>
      </c>
      <c r="DO210" t="str">
        <f t="shared" ca="1" si="140"/>
        <v/>
      </c>
      <c r="DP210" t="str">
        <f t="shared" ca="1" si="141"/>
        <v/>
      </c>
      <c r="DQ210" t="str">
        <f>IF(EXACT(Zauber!$A$250,""),"",IF(EXACT(RIGHT(HLOOKUP(Zauber!$A$250,PROFMAGIE,$DK210,FALSE)),"H"),CONCATENATE($CX210,","),""))</f>
        <v/>
      </c>
      <c r="DR210" t="str">
        <f t="shared" si="142"/>
        <v/>
      </c>
      <c r="DS210" t="str">
        <f>IF(ZS_IAAK="Ja",IF(EXACT(RIGHT(HLOOKUP(Tabellen_Magie!$IK$1,PROFMAGIE,$DK210,FALSE)),"H"),CONCATENATE($CX210,","),""),"")</f>
        <v/>
      </c>
      <c r="DT210" t="str">
        <f>IF(ZS_IAAK="Ja",IF(NOT(DS210=""),"",IF(OR(EXACT(RIGHT(HLOOKUP(Tabellen_Magie!$IK$1,PROFMAGIE,$DK210,FALSE)),"B"),EXACT(HLOOKUP(Tabellen_Magie!$IK$1,PROFMAGIE,$DK210,FALSE),"")),"",CONCATENATE($CX210,","))),"")</f>
        <v/>
      </c>
      <c r="DU210" t="str">
        <f t="shared" si="143"/>
        <v/>
      </c>
      <c r="DW210" t="s">
        <v>3921</v>
      </c>
      <c r="DX210" t="s">
        <v>74</v>
      </c>
      <c r="DY210" t="s">
        <v>74</v>
      </c>
      <c r="DZ210" t="s">
        <v>75</v>
      </c>
      <c r="EA210" t="s">
        <v>2341</v>
      </c>
      <c r="EB210" t="s">
        <v>4472</v>
      </c>
      <c r="EC210" t="s">
        <v>8671</v>
      </c>
      <c r="ED210">
        <f t="shared" si="152"/>
        <v>200</v>
      </c>
      <c r="EE210" t="s">
        <v>1248</v>
      </c>
      <c r="EH210">
        <f t="shared" si="144"/>
        <v>4</v>
      </c>
      <c r="EI210">
        <v>200</v>
      </c>
      <c r="FD210" t="s">
        <v>4702</v>
      </c>
      <c r="FE210">
        <f t="shared" si="150"/>
        <v>1000</v>
      </c>
      <c r="FK210">
        <f t="shared" si="153"/>
        <v>1000</v>
      </c>
      <c r="FL210">
        <v>3</v>
      </c>
      <c r="GH210" t="s">
        <v>3061</v>
      </c>
      <c r="GI210" t="s">
        <v>3290</v>
      </c>
      <c r="GJ210">
        <v>3</v>
      </c>
      <c r="GK210" t="s">
        <v>1320</v>
      </c>
      <c r="GL210" t="s">
        <v>567</v>
      </c>
      <c r="GM210" t="s">
        <v>1982</v>
      </c>
      <c r="GN210" t="s">
        <v>1974</v>
      </c>
      <c r="GO210">
        <v>260</v>
      </c>
      <c r="GP210">
        <v>238</v>
      </c>
      <c r="GR210">
        <f t="shared" si="145"/>
        <v>559</v>
      </c>
      <c r="GU210" t="str">
        <f t="shared" ca="1" si="146"/>
        <v/>
      </c>
      <c r="GV210" t="str">
        <f t="shared" ca="1" si="147"/>
        <v/>
      </c>
      <c r="GW210" t="str">
        <f t="shared" ca="1" si="148"/>
        <v/>
      </c>
      <c r="GX210" t="str">
        <f t="shared" ca="1" si="149"/>
        <v/>
      </c>
    </row>
    <row r="211" spans="63:206" x14ac:dyDescent="0.2">
      <c r="BK211" t="s">
        <v>5655</v>
      </c>
      <c r="BL211">
        <v>13</v>
      </c>
      <c r="BM211">
        <v>13</v>
      </c>
      <c r="BN211" t="s">
        <v>5607</v>
      </c>
      <c r="BO211">
        <v>6</v>
      </c>
      <c r="BP211" t="s">
        <v>5091</v>
      </c>
      <c r="BQ211">
        <v>2</v>
      </c>
      <c r="BR211">
        <v>46</v>
      </c>
      <c r="BS211" t="s">
        <v>5654</v>
      </c>
      <c r="BT211">
        <v>10</v>
      </c>
      <c r="BU211">
        <v>60</v>
      </c>
      <c r="BV211">
        <v>7</v>
      </c>
      <c r="BW211">
        <v>7</v>
      </c>
      <c r="BX211">
        <v>14</v>
      </c>
      <c r="BY211">
        <f>BX211*5</f>
        <v>70</v>
      </c>
      <c r="BZ211">
        <f>BX211*10</f>
        <v>140</v>
      </c>
      <c r="CA211" t="s">
        <v>5648</v>
      </c>
      <c r="CD211" t="s">
        <v>915</v>
      </c>
      <c r="CE211" t="s">
        <v>2172</v>
      </c>
      <c r="CF211" t="s">
        <v>2634</v>
      </c>
      <c r="CH211" t="s">
        <v>329</v>
      </c>
      <c r="CK211" t="s">
        <v>3024</v>
      </c>
      <c r="CL211" t="s">
        <v>7579</v>
      </c>
      <c r="CU211" t="s">
        <v>4750</v>
      </c>
      <c r="CX211" t="s">
        <v>5064</v>
      </c>
      <c r="CY211" t="s">
        <v>74</v>
      </c>
      <c r="CZ211" t="s">
        <v>75</v>
      </c>
      <c r="DA211" t="s">
        <v>77</v>
      </c>
      <c r="DC211" t="s">
        <v>7290</v>
      </c>
      <c r="DD211" t="s">
        <v>1251</v>
      </c>
      <c r="DE211" t="s">
        <v>1622</v>
      </c>
      <c r="DF211" t="s">
        <v>1252</v>
      </c>
      <c r="DG211" t="s">
        <v>1956</v>
      </c>
      <c r="DH211" t="s">
        <v>8436</v>
      </c>
      <c r="DI211" t="s">
        <v>3556</v>
      </c>
      <c r="DJ211">
        <v>2</v>
      </c>
      <c r="DK211">
        <f t="shared" si="154"/>
        <v>532</v>
      </c>
      <c r="DL211">
        <f t="shared" si="155"/>
        <v>209</v>
      </c>
      <c r="DM211">
        <v>190</v>
      </c>
      <c r="DN211" t="str">
        <f t="shared" ca="1" si="139"/>
        <v/>
      </c>
      <c r="DO211" t="str">
        <f t="shared" ca="1" si="140"/>
        <v/>
      </c>
      <c r="DP211" t="str">
        <f t="shared" ca="1" si="141"/>
        <v/>
      </c>
      <c r="DQ211" t="str">
        <f>IF(EXACT(Zauber!$A$250,""),"",IF(EXACT(RIGHT(HLOOKUP(Zauber!$A$250,PROFMAGIE,$DK211,FALSE)),"H"),CONCATENATE($CX211,","),""))</f>
        <v/>
      </c>
      <c r="DR211" t="str">
        <f t="shared" si="142"/>
        <v/>
      </c>
      <c r="DS211" t="str">
        <f>IF(ZS_IAAK="Ja",IF(EXACT(RIGHT(HLOOKUP(Tabellen_Magie!$IK$1,PROFMAGIE,$DK211,FALSE)),"H"),CONCATENATE($CX211,","),""),"")</f>
        <v/>
      </c>
      <c r="DT211" t="str">
        <f>IF(ZS_IAAK="Ja",IF(NOT(DS211=""),"",IF(OR(EXACT(RIGHT(HLOOKUP(Tabellen_Magie!$IK$1,PROFMAGIE,$DK211,FALSE)),"B"),EXACT(HLOOKUP(Tabellen_Magie!$IK$1,PROFMAGIE,$DK211,FALSE),"")),"",CONCATENATE($CX211,","))),"")</f>
        <v/>
      </c>
      <c r="DU211" t="str">
        <f t="shared" si="143"/>
        <v/>
      </c>
      <c r="DW211" t="s">
        <v>3922</v>
      </c>
      <c r="DX211" t="s">
        <v>74</v>
      </c>
      <c r="DY211" t="s">
        <v>74</v>
      </c>
      <c r="DZ211" t="s">
        <v>75</v>
      </c>
      <c r="EA211" t="s">
        <v>2341</v>
      </c>
      <c r="EB211" t="s">
        <v>4472</v>
      </c>
      <c r="EC211" t="s">
        <v>8667</v>
      </c>
      <c r="ED211">
        <f t="shared" si="152"/>
        <v>200</v>
      </c>
      <c r="EE211" t="s">
        <v>1250</v>
      </c>
      <c r="EF211" t="s">
        <v>3282</v>
      </c>
      <c r="EH211">
        <f t="shared" si="144"/>
        <v>4</v>
      </c>
      <c r="EI211">
        <v>200</v>
      </c>
      <c r="FD211" t="s">
        <v>396</v>
      </c>
      <c r="FE211">
        <f t="shared" si="150"/>
        <v>1000</v>
      </c>
      <c r="FK211">
        <f t="shared" si="153"/>
        <v>1000</v>
      </c>
      <c r="FL211">
        <v>3</v>
      </c>
      <c r="GH211" t="s">
        <v>3062</v>
      </c>
      <c r="GI211" t="s">
        <v>3290</v>
      </c>
      <c r="GJ211">
        <v>3</v>
      </c>
      <c r="GK211" t="s">
        <v>1320</v>
      </c>
      <c r="GL211" t="s">
        <v>1979</v>
      </c>
      <c r="GM211" t="s">
        <v>1369</v>
      </c>
      <c r="GN211" t="s">
        <v>1974</v>
      </c>
      <c r="GO211">
        <v>260</v>
      </c>
      <c r="GP211">
        <v>240</v>
      </c>
      <c r="GR211">
        <f t="shared" si="145"/>
        <v>560</v>
      </c>
      <c r="GS211">
        <v>5</v>
      </c>
      <c r="GU211" t="str">
        <f t="shared" ca="1" si="146"/>
        <v/>
      </c>
      <c r="GV211" t="str">
        <f t="shared" ca="1" si="147"/>
        <v/>
      </c>
      <c r="GW211" t="str">
        <f t="shared" ca="1" si="148"/>
        <v/>
      </c>
      <c r="GX211" t="str">
        <f t="shared" ca="1" si="149"/>
        <v/>
      </c>
    </row>
    <row r="212" spans="63:206" x14ac:dyDescent="0.2">
      <c r="BK212" t="s">
        <v>5656</v>
      </c>
      <c r="CD212" t="s">
        <v>4551</v>
      </c>
      <c r="CE212" t="s">
        <v>2173</v>
      </c>
      <c r="CF212" t="s">
        <v>4569</v>
      </c>
      <c r="CH212" t="s">
        <v>331</v>
      </c>
      <c r="CK212" t="s">
        <v>7163</v>
      </c>
      <c r="CL212" t="s">
        <v>1441</v>
      </c>
      <c r="CU212" t="s">
        <v>4131</v>
      </c>
      <c r="CX212" t="s">
        <v>2719</v>
      </c>
      <c r="CY212" t="s">
        <v>75</v>
      </c>
      <c r="CZ212" t="s">
        <v>750</v>
      </c>
      <c r="DA212" t="s">
        <v>5030</v>
      </c>
      <c r="DC212" t="s">
        <v>7292</v>
      </c>
      <c r="DD212" t="s">
        <v>1253</v>
      </c>
      <c r="DE212" t="s">
        <v>1321</v>
      </c>
      <c r="DF212" t="s">
        <v>4473</v>
      </c>
      <c r="DG212" t="s">
        <v>1955</v>
      </c>
      <c r="DH212" t="s">
        <v>6968</v>
      </c>
      <c r="DI212" t="s">
        <v>4434</v>
      </c>
      <c r="DJ212">
        <v>2</v>
      </c>
      <c r="DK212">
        <f t="shared" si="154"/>
        <v>533</v>
      </c>
      <c r="DL212">
        <f t="shared" si="155"/>
        <v>210</v>
      </c>
      <c r="DM212">
        <v>191</v>
      </c>
      <c r="DN212" t="str">
        <f t="shared" ca="1" si="139"/>
        <v/>
      </c>
      <c r="DO212" t="str">
        <f t="shared" ca="1" si="140"/>
        <v/>
      </c>
      <c r="DP212" t="str">
        <f t="shared" ca="1" si="141"/>
        <v/>
      </c>
      <c r="DQ212" t="str">
        <f>IF(EXACT(Zauber!$A$250,""),"",IF(EXACT(RIGHT(HLOOKUP(Zauber!$A$250,PROFMAGIE,$DK212,FALSE)),"H"),CONCATENATE($CX212,","),""))</f>
        <v/>
      </c>
      <c r="DR212" t="str">
        <f t="shared" si="142"/>
        <v/>
      </c>
      <c r="DS212" t="str">
        <f>IF(ZS_IAAK="Ja",IF(EXACT(RIGHT(HLOOKUP(Tabellen_Magie!$IK$1,PROFMAGIE,$DK212,FALSE)),"H"),CONCATENATE($CX212,","),""),"")</f>
        <v/>
      </c>
      <c r="DT212" t="str">
        <f>IF(ZS_IAAK="Ja",IF(NOT(DS212=""),"",IF(OR(EXACT(RIGHT(HLOOKUP(Tabellen_Magie!$IK$1,PROFMAGIE,$DK212,FALSE)),"B"),EXACT(HLOOKUP(Tabellen_Magie!$IK$1,PROFMAGIE,$DK212,FALSE),"")),"",CONCATENATE($CX212,","))),"")</f>
        <v/>
      </c>
      <c r="DU212" t="str">
        <f t="shared" si="143"/>
        <v/>
      </c>
      <c r="DW212" t="s">
        <v>6696</v>
      </c>
      <c r="DX212" t="s">
        <v>74</v>
      </c>
      <c r="DY212" t="s">
        <v>76</v>
      </c>
      <c r="DZ212" t="s">
        <v>77</v>
      </c>
      <c r="EB212" t="s">
        <v>8584</v>
      </c>
      <c r="EC212" t="s">
        <v>2990</v>
      </c>
      <c r="ED212">
        <f t="shared" si="152"/>
        <v>200</v>
      </c>
      <c r="EE212" t="s">
        <v>1248</v>
      </c>
      <c r="EF212" t="s">
        <v>3283</v>
      </c>
      <c r="EG212" t="s">
        <v>3279</v>
      </c>
      <c r="EH212">
        <f t="shared" si="144"/>
        <v>4</v>
      </c>
      <c r="EI212">
        <v>200</v>
      </c>
      <c r="FD212" t="s">
        <v>397</v>
      </c>
      <c r="FE212">
        <f t="shared" si="150"/>
        <v>1000</v>
      </c>
      <c r="FK212">
        <f t="shared" si="153"/>
        <v>1000</v>
      </c>
      <c r="FL212">
        <v>3</v>
      </c>
      <c r="GH212" t="s">
        <v>3063</v>
      </c>
      <c r="GI212" t="s">
        <v>3290</v>
      </c>
      <c r="GJ212">
        <v>3</v>
      </c>
      <c r="GK212" t="s">
        <v>1320</v>
      </c>
      <c r="GL212" t="s">
        <v>1977</v>
      </c>
      <c r="GM212" t="s">
        <v>1985</v>
      </c>
      <c r="GN212" t="s">
        <v>1974</v>
      </c>
      <c r="GO212">
        <v>264</v>
      </c>
      <c r="GP212">
        <v>241</v>
      </c>
      <c r="GR212">
        <f t="shared" si="145"/>
        <v>561</v>
      </c>
      <c r="GU212" t="str">
        <f t="shared" ca="1" si="146"/>
        <v/>
      </c>
      <c r="GV212" t="str">
        <f t="shared" ca="1" si="147"/>
        <v/>
      </c>
      <c r="GW212" t="str">
        <f t="shared" ca="1" si="148"/>
        <v/>
      </c>
      <c r="GX212" t="str">
        <f t="shared" ca="1" si="149"/>
        <v/>
      </c>
    </row>
    <row r="213" spans="63:206" x14ac:dyDescent="0.2">
      <c r="BK213" t="s">
        <v>5657</v>
      </c>
      <c r="BL213">
        <v>10</v>
      </c>
      <c r="BM213">
        <v>11</v>
      </c>
      <c r="BN213" t="s">
        <v>5157</v>
      </c>
      <c r="BO213">
        <v>0</v>
      </c>
      <c r="BP213" t="s">
        <v>5658</v>
      </c>
      <c r="BQ213">
        <v>0</v>
      </c>
      <c r="BR213">
        <v>2</v>
      </c>
      <c r="BS213" t="s">
        <v>5659</v>
      </c>
      <c r="BT213">
        <v>1</v>
      </c>
      <c r="BU213">
        <v>20</v>
      </c>
      <c r="BW213">
        <v>0</v>
      </c>
      <c r="BY213" t="s">
        <v>4985</v>
      </c>
      <c r="BZ213" t="s">
        <v>4985</v>
      </c>
      <c r="CA213" t="s">
        <v>5660</v>
      </c>
      <c r="CD213" t="s">
        <v>4599</v>
      </c>
      <c r="CE213" t="s">
        <v>7179</v>
      </c>
      <c r="CK213" t="s">
        <v>3026</v>
      </c>
      <c r="CL213" t="s">
        <v>4753</v>
      </c>
      <c r="CU213" t="s">
        <v>2192</v>
      </c>
      <c r="CX213" t="s">
        <v>2720</v>
      </c>
      <c r="CY213" t="s">
        <v>75</v>
      </c>
      <c r="CZ213" t="s">
        <v>75</v>
      </c>
      <c r="DA213" t="s">
        <v>752</v>
      </c>
      <c r="DC213" t="s">
        <v>7292</v>
      </c>
      <c r="DD213" t="s">
        <v>1254</v>
      </c>
      <c r="DE213" t="s">
        <v>1321</v>
      </c>
      <c r="DF213" t="s">
        <v>1255</v>
      </c>
      <c r="DG213" t="s">
        <v>1955</v>
      </c>
      <c r="DH213" t="s">
        <v>6969</v>
      </c>
      <c r="DI213" t="s">
        <v>3203</v>
      </c>
      <c r="DJ213">
        <v>2</v>
      </c>
      <c r="DK213">
        <f t="shared" si="154"/>
        <v>534</v>
      </c>
      <c r="DL213">
        <f t="shared" si="155"/>
        <v>211</v>
      </c>
      <c r="DM213">
        <v>192</v>
      </c>
      <c r="DN213" t="str">
        <f t="shared" ca="1" si="139"/>
        <v/>
      </c>
      <c r="DO213" t="str">
        <f t="shared" ca="1" si="140"/>
        <v/>
      </c>
      <c r="DP213" t="str">
        <f t="shared" ca="1" si="141"/>
        <v/>
      </c>
      <c r="DQ213" t="str">
        <f>IF(EXACT(Zauber!$A$250,""),"",IF(EXACT(RIGHT(HLOOKUP(Zauber!$A$250,PROFMAGIE,$DK213,FALSE)),"H"),CONCATENATE($CX213,","),""))</f>
        <v/>
      </c>
      <c r="DR213" t="str">
        <f t="shared" si="142"/>
        <v/>
      </c>
      <c r="DS213" t="str">
        <f>IF(ZS_IAAK="Ja",IF(EXACT(RIGHT(HLOOKUP(Tabellen_Magie!$IK$1,PROFMAGIE,$DK213,FALSE)),"H"),CONCATENATE($CX213,","),""),"")</f>
        <v/>
      </c>
      <c r="DT213" t="str">
        <f>IF(ZS_IAAK="Ja",IF(NOT(DS213=""),"",IF(OR(EXACT(RIGHT(HLOOKUP(Tabellen_Magie!$IK$1,PROFMAGIE,$DK213,FALSE)),"B"),EXACT(HLOOKUP(Tabellen_Magie!$IK$1,PROFMAGIE,$DK213,FALSE),"")),"",CONCATENATE($CX213,","))),"")</f>
        <v/>
      </c>
      <c r="DU213" t="str">
        <f t="shared" si="143"/>
        <v/>
      </c>
      <c r="DW213" t="s">
        <v>6697</v>
      </c>
      <c r="EH213">
        <f t="shared" si="144"/>
        <v>0</v>
      </c>
      <c r="FD213" t="s">
        <v>3444</v>
      </c>
      <c r="FE213">
        <f t="shared" si="150"/>
        <v>1000</v>
      </c>
      <c r="FK213">
        <f t="shared" si="153"/>
        <v>1000</v>
      </c>
      <c r="FL213">
        <v>3</v>
      </c>
      <c r="GH213" t="s">
        <v>9347</v>
      </c>
      <c r="GI213" t="s">
        <v>3290</v>
      </c>
      <c r="GJ213">
        <v>3</v>
      </c>
      <c r="GK213" t="s">
        <v>1549</v>
      </c>
      <c r="GL213" t="s">
        <v>1977</v>
      </c>
      <c r="GM213" t="s">
        <v>3961</v>
      </c>
      <c r="GN213" t="s">
        <v>1974</v>
      </c>
      <c r="GO213" t="s">
        <v>9314</v>
      </c>
      <c r="GP213">
        <v>174</v>
      </c>
      <c r="GR213">
        <f t="shared" si="145"/>
        <v>562</v>
      </c>
      <c r="GU213" t="str">
        <f t="shared" ca="1" si="146"/>
        <v/>
      </c>
      <c r="GV213" t="str">
        <f t="shared" ca="1" si="147"/>
        <v/>
      </c>
      <c r="GW213" t="str">
        <f t="shared" ca="1" si="148"/>
        <v/>
      </c>
      <c r="GX213" t="str">
        <f t="shared" ca="1" si="149"/>
        <v/>
      </c>
    </row>
    <row r="214" spans="63:206" x14ac:dyDescent="0.2">
      <c r="BK214" t="s">
        <v>5661</v>
      </c>
      <c r="BL214">
        <v>12</v>
      </c>
      <c r="BM214">
        <v>12</v>
      </c>
      <c r="BN214" t="s">
        <v>5662</v>
      </c>
      <c r="BO214">
        <v>7</v>
      </c>
      <c r="BP214" t="s">
        <v>5663</v>
      </c>
      <c r="BQ214">
        <v>1</v>
      </c>
      <c r="BR214">
        <v>20</v>
      </c>
      <c r="BS214" t="s">
        <v>5664</v>
      </c>
      <c r="BT214">
        <v>3</v>
      </c>
      <c r="BU214">
        <v>20</v>
      </c>
      <c r="BW214">
        <v>0</v>
      </c>
      <c r="BY214" t="s">
        <v>4985</v>
      </c>
      <c r="BZ214" t="s">
        <v>4985</v>
      </c>
      <c r="CA214" t="s">
        <v>5665</v>
      </c>
      <c r="CD214" t="s">
        <v>4602</v>
      </c>
      <c r="CE214" t="s">
        <v>2174</v>
      </c>
      <c r="CF214" t="s">
        <v>1524</v>
      </c>
      <c r="CK214" t="s">
        <v>7164</v>
      </c>
      <c r="CL214" t="s">
        <v>4762</v>
      </c>
      <c r="CM214" t="s">
        <v>3042</v>
      </c>
      <c r="CN214" t="s">
        <v>1940</v>
      </c>
      <c r="CU214" t="s">
        <v>4280</v>
      </c>
      <c r="CX214" t="s">
        <v>2721</v>
      </c>
      <c r="CY214" t="s">
        <v>75</v>
      </c>
      <c r="CZ214" t="s">
        <v>76</v>
      </c>
      <c r="DA214" t="s">
        <v>77</v>
      </c>
      <c r="DC214" t="s">
        <v>7308</v>
      </c>
      <c r="DD214" t="s">
        <v>4124</v>
      </c>
      <c r="DE214" t="s">
        <v>1321</v>
      </c>
      <c r="DF214" t="s">
        <v>544</v>
      </c>
      <c r="DG214" t="s">
        <v>1956</v>
      </c>
      <c r="DH214" t="s">
        <v>6970</v>
      </c>
      <c r="DI214" t="s">
        <v>4351</v>
      </c>
      <c r="DJ214">
        <v>2</v>
      </c>
      <c r="DK214">
        <f t="shared" si="154"/>
        <v>535</v>
      </c>
      <c r="DL214">
        <f t="shared" si="155"/>
        <v>212</v>
      </c>
      <c r="DM214">
        <v>193</v>
      </c>
      <c r="DN214" t="str">
        <f t="shared" ca="1" si="139"/>
        <v/>
      </c>
      <c r="DO214" t="str">
        <f t="shared" ca="1" si="140"/>
        <v/>
      </c>
      <c r="DP214" t="str">
        <f t="shared" ca="1" si="141"/>
        <v/>
      </c>
      <c r="DQ214" t="str">
        <f>IF(EXACT(Zauber!$A$250,""),"",IF(EXACT(RIGHT(HLOOKUP(Zauber!$A$250,PROFMAGIE,$DK214,FALSE)),"H"),CONCATENATE($CX214,","),""))</f>
        <v/>
      </c>
      <c r="DR214" t="str">
        <f t="shared" si="142"/>
        <v/>
      </c>
      <c r="DS214" t="str">
        <f>IF(ZS_IAAK="Ja",IF(EXACT(RIGHT(HLOOKUP(Tabellen_Magie!$IK$1,PROFMAGIE,$DK214,FALSE)),"H"),CONCATENATE($CX214,","),""),"")</f>
        <v/>
      </c>
      <c r="DT214" t="str">
        <f>IF(ZS_IAAK="Ja",IF(NOT(DS214=""),"",IF(OR(EXACT(RIGHT(HLOOKUP(Tabellen_Magie!$IK$1,PROFMAGIE,$DK214,FALSE)),"B"),EXACT(HLOOKUP(Tabellen_Magie!$IK$1,PROFMAGIE,$DK214,FALSE),"")),"",CONCATENATE($CX214,","))),"")</f>
        <v/>
      </c>
      <c r="DU214" t="str">
        <f t="shared" si="143"/>
        <v/>
      </c>
      <c r="DW214" t="s">
        <v>6698</v>
      </c>
      <c r="DX214" t="s">
        <v>74</v>
      </c>
      <c r="DY214" t="s">
        <v>76</v>
      </c>
      <c r="DZ214" t="s">
        <v>77</v>
      </c>
      <c r="EB214" t="s">
        <v>8584</v>
      </c>
      <c r="EC214" t="s">
        <v>2990</v>
      </c>
      <c r="ED214">
        <f>ROUND(EI214*IF(VT_EIDGED,0.5,IF(VT_GUTGED,0.75,1)),0)</f>
        <v>200</v>
      </c>
      <c r="EE214" t="s">
        <v>3282</v>
      </c>
      <c r="EH214">
        <f t="shared" si="144"/>
        <v>4</v>
      </c>
      <c r="EI214">
        <v>200</v>
      </c>
      <c r="FD214" t="s">
        <v>3445</v>
      </c>
      <c r="FE214">
        <f t="shared" si="150"/>
        <v>1000</v>
      </c>
      <c r="FK214">
        <f t="shared" si="153"/>
        <v>1000</v>
      </c>
      <c r="FL214">
        <v>3</v>
      </c>
      <c r="GH214" t="s">
        <v>3064</v>
      </c>
      <c r="GI214" t="s">
        <v>3290</v>
      </c>
      <c r="GJ214">
        <v>3</v>
      </c>
      <c r="GK214" t="s">
        <v>1320</v>
      </c>
      <c r="GL214" t="s">
        <v>567</v>
      </c>
      <c r="GM214" t="s">
        <v>3961</v>
      </c>
      <c r="GN214" t="s">
        <v>1974</v>
      </c>
      <c r="GO214">
        <v>280</v>
      </c>
      <c r="GP214">
        <v>226</v>
      </c>
      <c r="GR214">
        <f t="shared" si="145"/>
        <v>563</v>
      </c>
      <c r="GU214" t="str">
        <f t="shared" ca="1" si="146"/>
        <v/>
      </c>
      <c r="GV214" t="str">
        <f t="shared" ca="1" si="147"/>
        <v/>
      </c>
      <c r="GW214" t="str">
        <f t="shared" ca="1" si="148"/>
        <v/>
      </c>
      <c r="GX214" t="str">
        <f t="shared" ca="1" si="149"/>
        <v/>
      </c>
    </row>
    <row r="215" spans="63:206" x14ac:dyDescent="0.2">
      <c r="BK215" t="s">
        <v>5666</v>
      </c>
      <c r="BL215">
        <v>8</v>
      </c>
      <c r="BM215">
        <v>10</v>
      </c>
      <c r="BN215" t="s">
        <v>5667</v>
      </c>
      <c r="BO215">
        <v>0</v>
      </c>
      <c r="BP215" t="s">
        <v>5668</v>
      </c>
      <c r="BQ215">
        <v>0</v>
      </c>
      <c r="BR215">
        <v>12</v>
      </c>
      <c r="BS215" t="s">
        <v>5669</v>
      </c>
      <c r="BT215">
        <v>4</v>
      </c>
      <c r="BU215">
        <v>15</v>
      </c>
      <c r="BW215">
        <v>0</v>
      </c>
      <c r="BY215" t="s">
        <v>4985</v>
      </c>
      <c r="BZ215" t="s">
        <v>4985</v>
      </c>
      <c r="CA215" t="s">
        <v>5670</v>
      </c>
      <c r="CD215" t="s">
        <v>4606</v>
      </c>
      <c r="CE215" t="s">
        <v>3018</v>
      </c>
      <c r="CF215" t="s">
        <v>1205</v>
      </c>
      <c r="CK215" t="s">
        <v>1795</v>
      </c>
      <c r="CL215" t="s">
        <v>327</v>
      </c>
      <c r="CM215" t="s">
        <v>3042</v>
      </c>
      <c r="CN215" t="s">
        <v>1338</v>
      </c>
      <c r="CU215" t="s">
        <v>4751</v>
      </c>
      <c r="CX215" t="s">
        <v>2722</v>
      </c>
      <c r="CY215" t="s">
        <v>75</v>
      </c>
      <c r="CZ215" t="s">
        <v>76</v>
      </c>
      <c r="DA215" t="s">
        <v>750</v>
      </c>
      <c r="DB215" t="s">
        <v>1613</v>
      </c>
      <c r="DC215" t="s">
        <v>7309</v>
      </c>
      <c r="DD215" t="s">
        <v>2451</v>
      </c>
      <c r="DE215" t="s">
        <v>1321</v>
      </c>
      <c r="DF215" t="s">
        <v>81</v>
      </c>
      <c r="DG215" t="s">
        <v>1956</v>
      </c>
      <c r="DH215" t="s">
        <v>6971</v>
      </c>
      <c r="DI215" t="s">
        <v>3351</v>
      </c>
      <c r="DJ215">
        <v>2</v>
      </c>
      <c r="DK215">
        <f t="shared" si="154"/>
        <v>536</v>
      </c>
      <c r="DL215">
        <f t="shared" si="155"/>
        <v>213</v>
      </c>
      <c r="DM215">
        <v>194</v>
      </c>
      <c r="DN215" t="str">
        <f t="shared" ca="1" si="139"/>
        <v/>
      </c>
      <c r="DO215" t="str">
        <f t="shared" ca="1" si="140"/>
        <v/>
      </c>
      <c r="DP215" t="str">
        <f t="shared" ca="1" si="141"/>
        <v/>
      </c>
      <c r="DQ215" t="str">
        <f>IF(EXACT(Zauber!$A$250,""),"",IF(EXACT(RIGHT(HLOOKUP(Zauber!$A$250,PROFMAGIE,$DK215,FALSE)),"H"),CONCATENATE($CX215,","),""))</f>
        <v/>
      </c>
      <c r="DR215" t="str">
        <f t="shared" si="142"/>
        <v/>
      </c>
      <c r="DS215" t="str">
        <f>IF(ZS_IAAK="Ja",IF(EXACT(RIGHT(HLOOKUP(Tabellen_Magie!$IK$1,PROFMAGIE,$DK215,FALSE)),"H"),CONCATENATE($CX215,","),""),"")</f>
        <v/>
      </c>
      <c r="DT215" t="str">
        <f>IF(ZS_IAAK="Ja",IF(NOT(DS215=""),"",IF(OR(EXACT(RIGHT(HLOOKUP(Tabellen_Magie!$IK$1,PROFMAGIE,$DK215,FALSE)),"B"),EXACT(HLOOKUP(Tabellen_Magie!$IK$1,PROFMAGIE,$DK215,FALSE),"")),"",CONCATENATE($CX215,","))),"")</f>
        <v/>
      </c>
      <c r="DU215" t="str">
        <f t="shared" si="143"/>
        <v/>
      </c>
      <c r="DW215" t="s">
        <v>6699</v>
      </c>
      <c r="DX215" t="s">
        <v>74</v>
      </c>
      <c r="DY215" t="s">
        <v>76</v>
      </c>
      <c r="DZ215" t="s">
        <v>77</v>
      </c>
      <c r="EB215" t="s">
        <v>8584</v>
      </c>
      <c r="EC215" t="s">
        <v>2990</v>
      </c>
      <c r="ED215">
        <f>ROUND(EI215*IF(VT_EIDGED,0.5,IF(VT_GUTGED,0.75,1)),0)</f>
        <v>200</v>
      </c>
      <c r="EE215" t="s">
        <v>3283</v>
      </c>
      <c r="EH215">
        <f t="shared" si="144"/>
        <v>4</v>
      </c>
      <c r="EI215">
        <v>200</v>
      </c>
      <c r="FD215" t="s">
        <v>1535</v>
      </c>
      <c r="FE215">
        <f t="shared" si="150"/>
        <v>1000</v>
      </c>
      <c r="FK215">
        <f t="shared" si="153"/>
        <v>1000</v>
      </c>
      <c r="FL215">
        <v>3</v>
      </c>
      <c r="GH215" t="s">
        <v>3632</v>
      </c>
      <c r="GI215" t="s">
        <v>3290</v>
      </c>
      <c r="GJ215">
        <v>3</v>
      </c>
      <c r="GK215" t="s">
        <v>1320</v>
      </c>
      <c r="GL215" t="s">
        <v>1976</v>
      </c>
      <c r="GM215" t="s">
        <v>1980</v>
      </c>
      <c r="GN215" t="s">
        <v>1974</v>
      </c>
      <c r="GO215" t="s">
        <v>9314</v>
      </c>
      <c r="GP215">
        <v>244</v>
      </c>
      <c r="GR215">
        <f t="shared" si="145"/>
        <v>564</v>
      </c>
      <c r="GU215" t="str">
        <f t="shared" ca="1" si="146"/>
        <v/>
      </c>
      <c r="GV215" t="str">
        <f t="shared" ca="1" si="147"/>
        <v/>
      </c>
      <c r="GW215" t="str">
        <f t="shared" ca="1" si="148"/>
        <v/>
      </c>
      <c r="GX215" t="str">
        <f t="shared" ca="1" si="149"/>
        <v/>
      </c>
    </row>
    <row r="216" spans="63:206" x14ac:dyDescent="0.2">
      <c r="BK216" t="s">
        <v>5671</v>
      </c>
      <c r="BL216">
        <v>7</v>
      </c>
      <c r="BM216">
        <v>9</v>
      </c>
      <c r="BN216" t="s">
        <v>5672</v>
      </c>
      <c r="BO216">
        <v>2</v>
      </c>
      <c r="BP216" t="s">
        <v>5673</v>
      </c>
      <c r="BQ216">
        <v>0</v>
      </c>
      <c r="BR216">
        <v>10</v>
      </c>
      <c r="BS216" t="s">
        <v>5669</v>
      </c>
      <c r="BT216">
        <v>3</v>
      </c>
      <c r="BU216">
        <v>15</v>
      </c>
      <c r="BW216">
        <v>0</v>
      </c>
      <c r="BY216" t="s">
        <v>4985</v>
      </c>
      <c r="BZ216" t="s">
        <v>4985</v>
      </c>
      <c r="CA216" t="s">
        <v>5674</v>
      </c>
      <c r="CD216" t="s">
        <v>7571</v>
      </c>
      <c r="CE216" t="s">
        <v>7161</v>
      </c>
      <c r="CF216" t="s">
        <v>3028</v>
      </c>
      <c r="CK216" t="s">
        <v>1798</v>
      </c>
      <c r="CL216" t="s">
        <v>330</v>
      </c>
      <c r="CM216" t="s">
        <v>1934</v>
      </c>
      <c r="CN216" t="s">
        <v>1339</v>
      </c>
      <c r="CU216" t="s">
        <v>4990</v>
      </c>
      <c r="CX216" t="s">
        <v>5065</v>
      </c>
      <c r="CY216" t="s">
        <v>75</v>
      </c>
      <c r="CZ216" t="s">
        <v>76</v>
      </c>
      <c r="DA216" t="s">
        <v>77</v>
      </c>
      <c r="DC216" t="s">
        <v>7287</v>
      </c>
      <c r="DD216" t="s">
        <v>2458</v>
      </c>
      <c r="DE216" t="s">
        <v>4484</v>
      </c>
      <c r="DF216" t="s">
        <v>1358</v>
      </c>
      <c r="DG216" t="s">
        <v>1828</v>
      </c>
      <c r="DH216" t="s">
        <v>6847</v>
      </c>
      <c r="DI216" t="s">
        <v>8460</v>
      </c>
      <c r="DJ216">
        <v>2</v>
      </c>
      <c r="DK216">
        <f t="shared" si="154"/>
        <v>537</v>
      </c>
      <c r="DL216">
        <f t="shared" si="155"/>
        <v>214</v>
      </c>
      <c r="DM216">
        <v>196</v>
      </c>
      <c r="DN216" t="str">
        <f t="shared" ca="1" si="139"/>
        <v/>
      </c>
      <c r="DO216" t="str">
        <f t="shared" ca="1" si="140"/>
        <v/>
      </c>
      <c r="DP216" t="str">
        <f t="shared" ca="1" si="141"/>
        <v/>
      </c>
      <c r="DQ216" t="str">
        <f>IF(EXACT(Zauber!$A$250,""),"",IF(EXACT(RIGHT(HLOOKUP(Zauber!$A$250,PROFMAGIE,$DK216,FALSE)),"H"),CONCATENATE($CX216,","),""))</f>
        <v/>
      </c>
      <c r="DR216" t="str">
        <f t="shared" si="142"/>
        <v/>
      </c>
      <c r="DS216" t="str">
        <f>IF(ZS_IAAK="Ja",IF(EXACT(RIGHT(HLOOKUP(Tabellen_Magie!$IK$1,PROFMAGIE,$DK216,FALSE)),"H"),CONCATENATE($CX216,","),""),"")</f>
        <v/>
      </c>
      <c r="DT216" t="str">
        <f>IF(ZS_IAAK="Ja",IF(NOT(DS216=""),"",IF(OR(EXACT(RIGHT(HLOOKUP(Tabellen_Magie!$IK$1,PROFMAGIE,$DK216,FALSE)),"B"),EXACT(HLOOKUP(Tabellen_Magie!$IK$1,PROFMAGIE,$DK216,FALSE),"")),"",CONCATENATE($CX216,","))),"")</f>
        <v/>
      </c>
      <c r="DU216" t="str">
        <f t="shared" si="143"/>
        <v/>
      </c>
      <c r="DW216" t="s">
        <v>6700</v>
      </c>
      <c r="DX216" t="s">
        <v>74</v>
      </c>
      <c r="DY216" t="s">
        <v>76</v>
      </c>
      <c r="DZ216" t="s">
        <v>77</v>
      </c>
      <c r="EB216" t="s">
        <v>8584</v>
      </c>
      <c r="EC216" t="s">
        <v>2990</v>
      </c>
      <c r="ED216">
        <f>ROUND(EI216*IF(VT_EIDGED,0.5,IF(VT_GUTGED,0.75,1)),0)</f>
        <v>200</v>
      </c>
      <c r="EE216" t="s">
        <v>1250</v>
      </c>
      <c r="EH216">
        <f t="shared" si="144"/>
        <v>4</v>
      </c>
      <c r="EI216">
        <v>200</v>
      </c>
      <c r="FD216" t="s">
        <v>1536</v>
      </c>
      <c r="FE216">
        <f t="shared" si="150"/>
        <v>1000</v>
      </c>
      <c r="FK216">
        <f t="shared" si="153"/>
        <v>1000</v>
      </c>
      <c r="FL216">
        <v>3</v>
      </c>
      <c r="GH216" t="s">
        <v>3065</v>
      </c>
      <c r="GI216" t="s">
        <v>3290</v>
      </c>
      <c r="GJ216">
        <v>3</v>
      </c>
      <c r="GK216" t="s">
        <v>4484</v>
      </c>
      <c r="GL216" t="s">
        <v>567</v>
      </c>
      <c r="GM216" t="s">
        <v>1983</v>
      </c>
      <c r="GN216" t="s">
        <v>1690</v>
      </c>
      <c r="GO216">
        <v>281</v>
      </c>
      <c r="GP216">
        <v>245</v>
      </c>
      <c r="GR216">
        <f t="shared" si="145"/>
        <v>565</v>
      </c>
      <c r="GU216" t="str">
        <f t="shared" ca="1" si="146"/>
        <v/>
      </c>
      <c r="GV216" t="str">
        <f t="shared" ca="1" si="147"/>
        <v/>
      </c>
      <c r="GW216" t="str">
        <f t="shared" ca="1" si="148"/>
        <v/>
      </c>
      <c r="GX216" t="str">
        <f t="shared" ca="1" si="149"/>
        <v/>
      </c>
    </row>
    <row r="217" spans="63:206" x14ac:dyDescent="0.2">
      <c r="BK217" t="s">
        <v>5675</v>
      </c>
      <c r="BL217">
        <v>10</v>
      </c>
      <c r="BM217">
        <v>11</v>
      </c>
      <c r="BN217" t="s">
        <v>5676</v>
      </c>
      <c r="BO217">
        <v>4</v>
      </c>
      <c r="BP217" t="s">
        <v>5677</v>
      </c>
      <c r="BQ217">
        <v>0</v>
      </c>
      <c r="BR217">
        <v>11</v>
      </c>
      <c r="BS217" t="s">
        <v>5669</v>
      </c>
      <c r="BT217">
        <v>2</v>
      </c>
      <c r="BU217">
        <v>30</v>
      </c>
      <c r="BW217">
        <v>0</v>
      </c>
      <c r="BY217" t="s">
        <v>4985</v>
      </c>
      <c r="BZ217" t="s">
        <v>4985</v>
      </c>
      <c r="CA217" t="s">
        <v>5678</v>
      </c>
      <c r="CD217" t="s">
        <v>3019</v>
      </c>
      <c r="CE217" t="s">
        <v>3021</v>
      </c>
      <c r="CK217" t="s">
        <v>4128</v>
      </c>
      <c r="CL217" t="s">
        <v>2637</v>
      </c>
      <c r="CM217" t="s">
        <v>4657</v>
      </c>
      <c r="CN217" t="s">
        <v>1340</v>
      </c>
      <c r="CU217" t="s">
        <v>1529</v>
      </c>
      <c r="CX217" t="s">
        <v>5066</v>
      </c>
      <c r="CY217" t="s">
        <v>75</v>
      </c>
      <c r="CZ217" t="s">
        <v>76</v>
      </c>
      <c r="DA217" t="s">
        <v>76</v>
      </c>
      <c r="DB217" t="s">
        <v>1613</v>
      </c>
      <c r="DC217" t="s">
        <v>7294</v>
      </c>
      <c r="DD217" t="s">
        <v>4127</v>
      </c>
      <c r="DE217" t="s">
        <v>2459</v>
      </c>
      <c r="DF217" t="s">
        <v>4690</v>
      </c>
      <c r="DG217" t="s">
        <v>1433</v>
      </c>
      <c r="DH217" t="s">
        <v>6972</v>
      </c>
      <c r="DI217" t="s">
        <v>1324</v>
      </c>
      <c r="DJ217">
        <v>2</v>
      </c>
      <c r="DK217">
        <f t="shared" si="154"/>
        <v>538</v>
      </c>
      <c r="DL217">
        <f t="shared" si="155"/>
        <v>215</v>
      </c>
      <c r="DM217">
        <v>197</v>
      </c>
      <c r="DN217" t="str">
        <f t="shared" ca="1" si="139"/>
        <v/>
      </c>
      <c r="DO217" t="str">
        <f t="shared" ca="1" si="140"/>
        <v/>
      </c>
      <c r="DP217" t="str">
        <f t="shared" ca="1" si="141"/>
        <v/>
      </c>
      <c r="DQ217" t="str">
        <f>IF(EXACT(Zauber!$A$250,""),"",IF(EXACT(RIGHT(HLOOKUP(Zauber!$A$250,PROFMAGIE,$DK217,FALSE)),"H"),CONCATENATE($CX217,","),""))</f>
        <v/>
      </c>
      <c r="DR217" t="str">
        <f t="shared" si="142"/>
        <v/>
      </c>
      <c r="DS217" t="str">
        <f>IF(ZS_IAAK="Ja",IF(EXACT(RIGHT(HLOOKUP(Tabellen_Magie!$IK$1,PROFMAGIE,$DK217,FALSE)),"H"),CONCATENATE($CX217,","),""),"")</f>
        <v/>
      </c>
      <c r="DT217" t="str">
        <f>IF(ZS_IAAK="Ja",IF(NOT(DS217=""),"",IF(OR(EXACT(RIGHT(HLOOKUP(Tabellen_Magie!$IK$1,PROFMAGIE,$DK217,FALSE)),"B"),EXACT(HLOOKUP(Tabellen_Magie!$IK$1,PROFMAGIE,$DK217,FALSE),"")),"",CONCATENATE($CX217,","))),"")</f>
        <v/>
      </c>
      <c r="DU217" t="str">
        <f t="shared" si="143"/>
        <v/>
      </c>
      <c r="DW217" t="s">
        <v>6701</v>
      </c>
      <c r="DX217" t="s">
        <v>74</v>
      </c>
      <c r="DY217" t="s">
        <v>76</v>
      </c>
      <c r="DZ217" t="s">
        <v>77</v>
      </c>
      <c r="EB217" t="s">
        <v>8584</v>
      </c>
      <c r="EC217" t="s">
        <v>2990</v>
      </c>
      <c r="ED217">
        <f>ROUND(EI217*IF(VT_EIDGED,0.5,IF(VT_GUTGED,0.75,1)),0)</f>
        <v>200</v>
      </c>
      <c r="EE217" t="s">
        <v>3281</v>
      </c>
      <c r="EH217">
        <f t="shared" si="144"/>
        <v>4</v>
      </c>
      <c r="EI217">
        <v>200</v>
      </c>
      <c r="FD217" t="s">
        <v>1537</v>
      </c>
      <c r="FE217">
        <f t="shared" si="150"/>
        <v>1000</v>
      </c>
      <c r="FK217">
        <f t="shared" si="153"/>
        <v>1000</v>
      </c>
      <c r="FL217">
        <v>3</v>
      </c>
      <c r="GH217" t="s">
        <v>3965</v>
      </c>
      <c r="GI217" t="s">
        <v>3290</v>
      </c>
      <c r="GJ217">
        <v>3</v>
      </c>
      <c r="GK217" t="s">
        <v>1320</v>
      </c>
      <c r="GL217" t="s">
        <v>1979</v>
      </c>
      <c r="GM217" t="s">
        <v>1985</v>
      </c>
      <c r="GN217" t="s">
        <v>1974</v>
      </c>
      <c r="GO217">
        <v>281</v>
      </c>
      <c r="GP217">
        <v>278</v>
      </c>
      <c r="GR217">
        <f t="shared" si="145"/>
        <v>566</v>
      </c>
      <c r="GS217">
        <v>4</v>
      </c>
      <c r="GU217" t="str">
        <f t="shared" ca="1" si="146"/>
        <v/>
      </c>
      <c r="GV217" t="str">
        <f t="shared" ca="1" si="147"/>
        <v/>
      </c>
      <c r="GW217" t="str">
        <f t="shared" ca="1" si="148"/>
        <v/>
      </c>
      <c r="GX217" t="str">
        <f t="shared" ca="1" si="149"/>
        <v/>
      </c>
    </row>
    <row r="218" spans="63:206" x14ac:dyDescent="0.2">
      <c r="BK218" t="s">
        <v>5679</v>
      </c>
      <c r="BL218">
        <v>6</v>
      </c>
      <c r="BM218">
        <v>9</v>
      </c>
      <c r="BN218" t="s">
        <v>5676</v>
      </c>
      <c r="BO218">
        <v>2</v>
      </c>
      <c r="BP218" t="s">
        <v>5680</v>
      </c>
      <c r="BQ218">
        <v>0</v>
      </c>
      <c r="BR218">
        <v>5</v>
      </c>
      <c r="BS218" t="s">
        <v>5659</v>
      </c>
      <c r="BT218">
        <v>3</v>
      </c>
      <c r="BU218">
        <v>15</v>
      </c>
      <c r="BW218">
        <v>0</v>
      </c>
      <c r="BY218" t="s">
        <v>4985</v>
      </c>
      <c r="BZ218" t="s">
        <v>4985</v>
      </c>
      <c r="CA218" t="s">
        <v>5681</v>
      </c>
      <c r="CD218" t="s">
        <v>3025</v>
      </c>
      <c r="CE218" t="s">
        <v>3023</v>
      </c>
      <c r="CF218" t="s">
        <v>4569</v>
      </c>
      <c r="CK218" t="s">
        <v>1437</v>
      </c>
      <c r="CL218" t="s">
        <v>4569</v>
      </c>
      <c r="CM218" t="s">
        <v>4569</v>
      </c>
      <c r="CN218" t="s">
        <v>4987</v>
      </c>
      <c r="CU218" t="s">
        <v>4752</v>
      </c>
      <c r="CX218" t="s">
        <v>2723</v>
      </c>
      <c r="CY218" t="s">
        <v>75</v>
      </c>
      <c r="CZ218" t="s">
        <v>750</v>
      </c>
      <c r="DA218" t="s">
        <v>5030</v>
      </c>
      <c r="DC218" t="s">
        <v>7294</v>
      </c>
      <c r="DD218" t="s">
        <v>654</v>
      </c>
      <c r="DE218" t="s">
        <v>655</v>
      </c>
      <c r="DF218" t="s">
        <v>81</v>
      </c>
      <c r="DG218" t="s">
        <v>1956</v>
      </c>
      <c r="DH218" t="s">
        <v>8411</v>
      </c>
      <c r="DI218" t="s">
        <v>2894</v>
      </c>
      <c r="DJ218">
        <v>2</v>
      </c>
      <c r="DK218">
        <f t="shared" si="154"/>
        <v>539</v>
      </c>
      <c r="DL218">
        <f t="shared" si="155"/>
        <v>216</v>
      </c>
      <c r="DM218">
        <v>122</v>
      </c>
      <c r="DN218" t="str">
        <f t="shared" ca="1" si="139"/>
        <v/>
      </c>
      <c r="DO218" t="str">
        <f t="shared" ca="1" si="140"/>
        <v/>
      </c>
      <c r="DP218" t="str">
        <f t="shared" ca="1" si="141"/>
        <v/>
      </c>
      <c r="DQ218" t="str">
        <f>IF(EXACT(Zauber!$A$250,""),"",IF(EXACT(RIGHT(HLOOKUP(Zauber!$A$250,PROFMAGIE,$DK218,FALSE)),"H"),CONCATENATE($CX218,","),""))</f>
        <v/>
      </c>
      <c r="DR218" t="str">
        <f t="shared" si="142"/>
        <v/>
      </c>
      <c r="DS218" t="str">
        <f>IF(ZS_IAAK="Ja",IF(EXACT(RIGHT(HLOOKUP(Tabellen_Magie!$IK$1,PROFMAGIE,$DK218,FALSE)),"H"),CONCATENATE($CX218,","),""),"")</f>
        <v/>
      </c>
      <c r="DT218" t="str">
        <f>IF(ZS_IAAK="Ja",IF(NOT(DS218=""),"",IF(OR(EXACT(RIGHT(HLOOKUP(Tabellen_Magie!$IK$1,PROFMAGIE,$DK218,FALSE)),"B"),EXACT(HLOOKUP(Tabellen_Magie!$IK$1,PROFMAGIE,$DK218,FALSE),"")),"",CONCATENATE($CX218,","))),"")</f>
        <v/>
      </c>
      <c r="DU218" t="str">
        <f t="shared" si="143"/>
        <v/>
      </c>
      <c r="DW218" t="s">
        <v>9286</v>
      </c>
      <c r="EH218">
        <v>0</v>
      </c>
      <c r="FD218" t="s">
        <v>2981</v>
      </c>
      <c r="FE218">
        <f t="shared" si="150"/>
        <v>1000</v>
      </c>
      <c r="FK218">
        <f t="shared" si="153"/>
        <v>1000</v>
      </c>
      <c r="FL218">
        <v>3</v>
      </c>
      <c r="GH218" t="s">
        <v>9348</v>
      </c>
      <c r="GI218" t="s">
        <v>3290</v>
      </c>
      <c r="GJ218">
        <v>3</v>
      </c>
      <c r="GK218" t="s">
        <v>1320</v>
      </c>
      <c r="GL218" t="s">
        <v>567</v>
      </c>
      <c r="GM218" t="s">
        <v>1984</v>
      </c>
      <c r="GN218" t="s">
        <v>1690</v>
      </c>
      <c r="GO218" t="s">
        <v>9314</v>
      </c>
      <c r="GP218">
        <v>254</v>
      </c>
      <c r="GR218">
        <f t="shared" si="145"/>
        <v>567</v>
      </c>
      <c r="GS218">
        <v>6</v>
      </c>
      <c r="GU218" t="str">
        <f t="shared" ca="1" si="146"/>
        <v/>
      </c>
      <c r="GV218" t="str">
        <f t="shared" ca="1" si="147"/>
        <v/>
      </c>
      <c r="GW218" t="str">
        <f t="shared" ca="1" si="148"/>
        <v/>
      </c>
      <c r="GX218" t="str">
        <f t="shared" ca="1" si="149"/>
        <v/>
      </c>
    </row>
    <row r="219" spans="63:206" x14ac:dyDescent="0.2">
      <c r="BK219" t="s">
        <v>5682</v>
      </c>
      <c r="BL219">
        <v>12</v>
      </c>
      <c r="BM219">
        <v>10</v>
      </c>
      <c r="BN219" t="s">
        <v>5683</v>
      </c>
      <c r="BO219">
        <v>2</v>
      </c>
      <c r="BP219" t="s">
        <v>5684</v>
      </c>
      <c r="BQ219">
        <v>0</v>
      </c>
      <c r="BR219">
        <v>4</v>
      </c>
      <c r="BS219" t="s">
        <v>5659</v>
      </c>
      <c r="BT219">
        <v>2</v>
      </c>
      <c r="BU219">
        <v>12</v>
      </c>
      <c r="BW219">
        <v>0</v>
      </c>
      <c r="BY219" t="s">
        <v>4985</v>
      </c>
      <c r="BZ219" t="s">
        <v>4985</v>
      </c>
      <c r="CA219" t="s">
        <v>5685</v>
      </c>
      <c r="CD219" t="s">
        <v>2614</v>
      </c>
      <c r="CE219" t="s">
        <v>7162</v>
      </c>
      <c r="CF219" t="s">
        <v>4569</v>
      </c>
      <c r="CK219" t="s">
        <v>1438</v>
      </c>
      <c r="CL219" t="s">
        <v>4569</v>
      </c>
      <c r="CM219" t="s">
        <v>4569</v>
      </c>
      <c r="CN219" t="s">
        <v>1342</v>
      </c>
      <c r="CU219" t="s">
        <v>285</v>
      </c>
      <c r="CX219" t="s">
        <v>2724</v>
      </c>
      <c r="CY219" t="s">
        <v>74</v>
      </c>
      <c r="CZ219" t="s">
        <v>76</v>
      </c>
      <c r="DA219" t="s">
        <v>5030</v>
      </c>
      <c r="DC219" t="s">
        <v>7297</v>
      </c>
      <c r="DD219" t="s">
        <v>656</v>
      </c>
      <c r="DE219" t="s">
        <v>657</v>
      </c>
      <c r="DF219" t="s">
        <v>81</v>
      </c>
      <c r="DG219" t="s">
        <v>1955</v>
      </c>
      <c r="DH219" t="s">
        <v>8412</v>
      </c>
      <c r="DI219" t="s">
        <v>363</v>
      </c>
      <c r="DJ219">
        <v>2</v>
      </c>
      <c r="DK219">
        <f t="shared" si="154"/>
        <v>540</v>
      </c>
      <c r="DL219">
        <f t="shared" si="155"/>
        <v>217</v>
      </c>
      <c r="DM219">
        <v>124</v>
      </c>
      <c r="DN219" t="str">
        <f t="shared" ca="1" si="139"/>
        <v/>
      </c>
      <c r="DO219" t="str">
        <f t="shared" ca="1" si="140"/>
        <v/>
      </c>
      <c r="DP219" t="str">
        <f t="shared" ca="1" si="141"/>
        <v/>
      </c>
      <c r="DQ219" t="str">
        <f>IF(EXACT(Zauber!$A$250,""),"",IF(EXACT(RIGHT(HLOOKUP(Zauber!$A$250,PROFMAGIE,$DK219,FALSE)),"H"),CONCATENATE($CX219,","),""))</f>
        <v/>
      </c>
      <c r="DR219" t="str">
        <f t="shared" si="142"/>
        <v/>
      </c>
      <c r="DS219" t="str">
        <f>IF(ZS_IAAK="Ja",IF(EXACT(RIGHT(HLOOKUP(Tabellen_Magie!$IK$1,PROFMAGIE,$DK219,FALSE)),"H"),CONCATENATE($CX219,","),""),"")</f>
        <v/>
      </c>
      <c r="DT219" t="str">
        <f>IF(ZS_IAAK="Ja",IF(NOT(DS219=""),"",IF(OR(EXACT(RIGHT(HLOOKUP(Tabellen_Magie!$IK$1,PROFMAGIE,$DK219,FALSE)),"B"),EXACT(HLOOKUP(Tabellen_Magie!$IK$1,PROFMAGIE,$DK219,FALSE),"")),"",CONCATENATE($CX219,","))),"")</f>
        <v/>
      </c>
      <c r="DU219" t="str">
        <f t="shared" si="143"/>
        <v/>
      </c>
      <c r="DW219" t="s">
        <v>9256</v>
      </c>
      <c r="DX219" t="s">
        <v>75</v>
      </c>
      <c r="DY219" t="s">
        <v>750</v>
      </c>
      <c r="DZ219" t="s">
        <v>751</v>
      </c>
      <c r="EB219" t="s">
        <v>4472</v>
      </c>
      <c r="EC219" t="s">
        <v>3016</v>
      </c>
      <c r="ED219">
        <f t="shared" ref="ED219:ED223" si="156">ROUND(EI219*IF(VT_EIDGED,0.5,IF(VT_GUTGED,0.75,1)),0)</f>
        <v>100</v>
      </c>
      <c r="EE219" t="s">
        <v>9283</v>
      </c>
      <c r="EH219">
        <v>2</v>
      </c>
      <c r="EI219">
        <v>100</v>
      </c>
      <c r="FD219" t="s">
        <v>2982</v>
      </c>
      <c r="FE219">
        <f t="shared" si="150"/>
        <v>1000</v>
      </c>
      <c r="FK219">
        <f t="shared" si="153"/>
        <v>1000</v>
      </c>
      <c r="FL219">
        <v>3</v>
      </c>
      <c r="GH219" t="s">
        <v>3966</v>
      </c>
      <c r="GI219" t="s">
        <v>3290</v>
      </c>
      <c r="GJ219">
        <v>3</v>
      </c>
      <c r="GK219" t="s">
        <v>1320</v>
      </c>
      <c r="GL219" t="s">
        <v>1976</v>
      </c>
      <c r="GM219" t="s">
        <v>1369</v>
      </c>
      <c r="GN219" t="s">
        <v>1690</v>
      </c>
      <c r="GO219">
        <v>268</v>
      </c>
      <c r="GP219">
        <v>146</v>
      </c>
      <c r="GR219">
        <f t="shared" si="145"/>
        <v>568</v>
      </c>
      <c r="GU219" t="str">
        <f t="shared" ca="1" si="146"/>
        <v/>
      </c>
      <c r="GV219" t="str">
        <f t="shared" ca="1" si="147"/>
        <v/>
      </c>
      <c r="GW219" t="str">
        <f t="shared" ca="1" si="148"/>
        <v/>
      </c>
      <c r="GX219" t="str">
        <f t="shared" ca="1" si="149"/>
        <v/>
      </c>
    </row>
    <row r="220" spans="63:206" x14ac:dyDescent="0.2">
      <c r="BK220" t="s">
        <v>5686</v>
      </c>
      <c r="BL220">
        <v>13</v>
      </c>
      <c r="BM220">
        <v>10</v>
      </c>
      <c r="BN220" t="s">
        <v>5687</v>
      </c>
      <c r="BO220">
        <v>7</v>
      </c>
      <c r="BP220" t="s">
        <v>5688</v>
      </c>
      <c r="BQ220">
        <v>0</v>
      </c>
      <c r="BR220">
        <v>6</v>
      </c>
      <c r="BS220" t="s">
        <v>5659</v>
      </c>
      <c r="BT220">
        <v>4</v>
      </c>
      <c r="BU220">
        <v>15</v>
      </c>
      <c r="BW220">
        <v>0</v>
      </c>
      <c r="BY220" t="s">
        <v>4985</v>
      </c>
      <c r="BZ220" t="s">
        <v>4985</v>
      </c>
      <c r="CA220" t="s">
        <v>5689</v>
      </c>
      <c r="CD220" t="s">
        <v>3494</v>
      </c>
      <c r="CE220" t="s">
        <v>3029</v>
      </c>
      <c r="CF220" t="s">
        <v>1525</v>
      </c>
      <c r="CH220" t="s">
        <v>1938</v>
      </c>
      <c r="CK220" t="s">
        <v>4753</v>
      </c>
      <c r="CL220" t="s">
        <v>1825</v>
      </c>
      <c r="CM220" t="s">
        <v>1529</v>
      </c>
      <c r="CN220" t="s">
        <v>1343</v>
      </c>
      <c r="CU220" t="s">
        <v>4753</v>
      </c>
      <c r="CX220" t="s">
        <v>581</v>
      </c>
      <c r="CY220" t="s">
        <v>74</v>
      </c>
      <c r="CZ220" t="s">
        <v>75</v>
      </c>
      <c r="DA220" t="s">
        <v>77</v>
      </c>
      <c r="DC220" t="s">
        <v>7296</v>
      </c>
      <c r="DD220" t="s">
        <v>1028</v>
      </c>
      <c r="DE220" t="s">
        <v>3380</v>
      </c>
      <c r="DF220" t="s">
        <v>1617</v>
      </c>
      <c r="DG220" t="s">
        <v>1955</v>
      </c>
      <c r="DH220" t="s">
        <v>6973</v>
      </c>
      <c r="DI220" t="s">
        <v>1633</v>
      </c>
      <c r="DJ220">
        <v>2</v>
      </c>
      <c r="DK220">
        <f t="shared" si="154"/>
        <v>541</v>
      </c>
      <c r="DL220">
        <f t="shared" si="155"/>
        <v>218</v>
      </c>
      <c r="DM220">
        <v>275</v>
      </c>
      <c r="DN220" t="str">
        <f t="shared" ca="1" si="139"/>
        <v/>
      </c>
      <c r="DO220" t="str">
        <f t="shared" ca="1" si="140"/>
        <v/>
      </c>
      <c r="DP220" t="str">
        <f t="shared" ca="1" si="141"/>
        <v/>
      </c>
      <c r="DQ220" t="str">
        <f>IF(EXACT(Zauber!$A$250,""),"",IF(EXACT(RIGHT(HLOOKUP(Zauber!$A$250,PROFMAGIE,$DK220,FALSE)),"H"),CONCATENATE($CX220,","),""))</f>
        <v/>
      </c>
      <c r="DR220" t="str">
        <f t="shared" si="142"/>
        <v/>
      </c>
      <c r="DS220" t="str">
        <f>IF(ZS_IAAK="Ja",IF(EXACT(RIGHT(HLOOKUP(Tabellen_Magie!$IK$1,PROFMAGIE,$DK220,FALSE)),"H"),CONCATENATE($CX220,","),""),"")</f>
        <v/>
      </c>
      <c r="DT220" t="str">
        <f>IF(ZS_IAAK="Ja",IF(NOT(DS220=""),"",IF(OR(EXACT(RIGHT(HLOOKUP(Tabellen_Magie!$IK$1,PROFMAGIE,$DK220,FALSE)),"B"),EXACT(HLOOKUP(Tabellen_Magie!$IK$1,PROFMAGIE,$DK220,FALSE),"")),"",CONCATENATE($CX220,","))),"")</f>
        <v/>
      </c>
      <c r="DU220" t="str">
        <f t="shared" si="143"/>
        <v/>
      </c>
      <c r="DW220" t="s">
        <v>9257</v>
      </c>
      <c r="DX220" t="s">
        <v>76</v>
      </c>
      <c r="DY220" t="s">
        <v>76</v>
      </c>
      <c r="DZ220" t="s">
        <v>77</v>
      </c>
      <c r="EA220" t="s">
        <v>8615</v>
      </c>
      <c r="EB220" t="s">
        <v>8591</v>
      </c>
      <c r="EC220" t="s">
        <v>8616</v>
      </c>
      <c r="ED220">
        <f t="shared" si="156"/>
        <v>100</v>
      </c>
      <c r="EE220" t="s">
        <v>9283</v>
      </c>
      <c r="EH220">
        <v>2</v>
      </c>
      <c r="EI220">
        <v>100</v>
      </c>
      <c r="FD220" t="s">
        <v>8862</v>
      </c>
      <c r="FE220" t="s">
        <v>4006</v>
      </c>
      <c r="FF220" t="s">
        <v>1783</v>
      </c>
      <c r="FK220" t="s">
        <v>4006</v>
      </c>
      <c r="FL220" t="s">
        <v>4912</v>
      </c>
      <c r="GH220" t="s">
        <v>3967</v>
      </c>
      <c r="GI220" t="s">
        <v>3290</v>
      </c>
      <c r="GJ220">
        <v>3</v>
      </c>
      <c r="GK220" t="s">
        <v>4116</v>
      </c>
      <c r="GL220" t="s">
        <v>1977</v>
      </c>
      <c r="GM220" t="s">
        <v>1369</v>
      </c>
      <c r="GN220" t="s">
        <v>1973</v>
      </c>
      <c r="GO220">
        <v>270</v>
      </c>
      <c r="GP220">
        <v>269</v>
      </c>
      <c r="GR220">
        <f t="shared" si="145"/>
        <v>569</v>
      </c>
      <c r="GU220" t="str">
        <f t="shared" ca="1" si="146"/>
        <v/>
      </c>
      <c r="GV220" t="str">
        <f t="shared" ca="1" si="147"/>
        <v/>
      </c>
      <c r="GW220" t="str">
        <f t="shared" ca="1" si="148"/>
        <v/>
      </c>
      <c r="GX220" t="str">
        <f t="shared" ca="1" si="149"/>
        <v/>
      </c>
    </row>
    <row r="221" spans="63:206" x14ac:dyDescent="0.2">
      <c r="BK221" t="s">
        <v>5690</v>
      </c>
      <c r="BL221">
        <v>4</v>
      </c>
      <c r="BM221">
        <v>11</v>
      </c>
      <c r="BN221" t="s">
        <v>5157</v>
      </c>
      <c r="BO221">
        <v>2</v>
      </c>
      <c r="BP221" t="s">
        <v>5691</v>
      </c>
      <c r="BQ221">
        <v>1</v>
      </c>
      <c r="BR221">
        <v>15</v>
      </c>
      <c r="BS221" t="s">
        <v>5669</v>
      </c>
      <c r="BT221">
        <v>2</v>
      </c>
      <c r="BU221">
        <v>30</v>
      </c>
      <c r="BW221">
        <v>0</v>
      </c>
      <c r="BY221" t="s">
        <v>4985</v>
      </c>
      <c r="BZ221" t="s">
        <v>4985</v>
      </c>
      <c r="CA221" t="s">
        <v>4985</v>
      </c>
      <c r="CD221" t="s">
        <v>3250</v>
      </c>
      <c r="CE221" t="s">
        <v>7574</v>
      </c>
      <c r="CF221" t="s">
        <v>2176</v>
      </c>
      <c r="CH221" t="s">
        <v>896</v>
      </c>
      <c r="CK221" t="s">
        <v>7171</v>
      </c>
      <c r="CL221" t="s">
        <v>900</v>
      </c>
      <c r="CM221" t="s">
        <v>5031</v>
      </c>
      <c r="CN221" t="s">
        <v>1344</v>
      </c>
      <c r="CU221" t="s">
        <v>7171</v>
      </c>
      <c r="CX221" t="s">
        <v>2725</v>
      </c>
      <c r="CY221" t="s">
        <v>74</v>
      </c>
      <c r="CZ221" t="s">
        <v>74</v>
      </c>
      <c r="DA221" t="s">
        <v>77</v>
      </c>
      <c r="DC221" t="s">
        <v>7290</v>
      </c>
      <c r="DD221" t="s">
        <v>2460</v>
      </c>
      <c r="DE221" t="s">
        <v>655</v>
      </c>
      <c r="DF221" t="s">
        <v>1617</v>
      </c>
      <c r="DG221" t="s">
        <v>1955</v>
      </c>
      <c r="DH221" t="s">
        <v>6974</v>
      </c>
      <c r="DI221" t="s">
        <v>2364</v>
      </c>
      <c r="DJ221">
        <v>2</v>
      </c>
      <c r="DK221">
        <f t="shared" si="154"/>
        <v>542</v>
      </c>
      <c r="DL221">
        <f t="shared" si="155"/>
        <v>219</v>
      </c>
      <c r="DM221">
        <v>199</v>
      </c>
      <c r="DN221" t="str">
        <f t="shared" ca="1" si="139"/>
        <v/>
      </c>
      <c r="DO221" t="str">
        <f t="shared" ca="1" si="140"/>
        <v/>
      </c>
      <c r="DP221" t="str">
        <f t="shared" ca="1" si="141"/>
        <v/>
      </c>
      <c r="DQ221" t="str">
        <f>IF(EXACT(Zauber!$A$250,""),"",IF(EXACT(RIGHT(HLOOKUP(Zauber!$A$250,PROFMAGIE,$DK221,FALSE)),"H"),CONCATENATE($CX221,","),""))</f>
        <v/>
      </c>
      <c r="DR221" t="str">
        <f t="shared" si="142"/>
        <v/>
      </c>
      <c r="DS221" t="str">
        <f>IF(ZS_IAAK="Ja",IF(EXACT(RIGHT(HLOOKUP(Tabellen_Magie!$IK$1,PROFMAGIE,$DK221,FALSE)),"H"),CONCATENATE($CX221,","),""),"")</f>
        <v/>
      </c>
      <c r="DT221" t="str">
        <f>IF(ZS_IAAK="Ja",IF(NOT(DS221=""),"",IF(OR(EXACT(RIGHT(HLOOKUP(Tabellen_Magie!$IK$1,PROFMAGIE,$DK221,FALSE)),"B"),EXACT(HLOOKUP(Tabellen_Magie!$IK$1,PROFMAGIE,$DK221,FALSE),"")),"",CONCATENATE($CX221,","))),"")</f>
        <v/>
      </c>
      <c r="DU221" t="str">
        <f t="shared" si="143"/>
        <v/>
      </c>
      <c r="DW221" t="s">
        <v>9258</v>
      </c>
      <c r="DX221" t="s">
        <v>74</v>
      </c>
      <c r="DY221" t="s">
        <v>76</v>
      </c>
      <c r="DZ221" t="s">
        <v>77</v>
      </c>
      <c r="EB221" t="s">
        <v>81</v>
      </c>
      <c r="EC221" t="s">
        <v>2327</v>
      </c>
      <c r="ED221">
        <f t="shared" si="156"/>
        <v>150</v>
      </c>
      <c r="EE221" t="s">
        <v>9283</v>
      </c>
      <c r="EH221">
        <v>3</v>
      </c>
      <c r="EI221">
        <v>150</v>
      </c>
      <c r="FD221" t="s">
        <v>8848</v>
      </c>
      <c r="FE221">
        <f t="shared" ref="FE221:FE230" si="157">ROUND(FK221*IF(VT_AKADMAG,3/4,1)*IF(NT_ELFWELT,IF(FN221,1,1.5),1),0)</f>
        <v>150</v>
      </c>
      <c r="FF221">
        <f t="shared" ref="FF221:FF239" si="158">ROUND(FE221/50,0)</f>
        <v>3</v>
      </c>
      <c r="FK221">
        <v>150</v>
      </c>
      <c r="FL221">
        <v>3</v>
      </c>
      <c r="GH221" t="s">
        <v>3968</v>
      </c>
      <c r="GI221" t="s">
        <v>3290</v>
      </c>
      <c r="GJ221">
        <v>3</v>
      </c>
      <c r="GK221" t="s">
        <v>1320</v>
      </c>
      <c r="GL221" t="s">
        <v>1978</v>
      </c>
      <c r="GM221" t="s">
        <v>1369</v>
      </c>
      <c r="GN221" t="s">
        <v>1974</v>
      </c>
      <c r="GO221">
        <v>258</v>
      </c>
      <c r="GP221">
        <v>275</v>
      </c>
      <c r="GR221">
        <f t="shared" si="145"/>
        <v>570</v>
      </c>
      <c r="GS221">
        <v>5</v>
      </c>
      <c r="GU221" t="str">
        <f t="shared" ca="1" si="146"/>
        <v/>
      </c>
      <c r="GV221" t="str">
        <f t="shared" ca="1" si="147"/>
        <v/>
      </c>
      <c r="GW221" t="str">
        <f t="shared" ca="1" si="148"/>
        <v/>
      </c>
      <c r="GX221" t="str">
        <f t="shared" ca="1" si="149"/>
        <v/>
      </c>
    </row>
    <row r="222" spans="63:206" x14ac:dyDescent="0.2">
      <c r="BK222" t="s">
        <v>5692</v>
      </c>
      <c r="BL222">
        <v>9</v>
      </c>
      <c r="BM222">
        <v>12</v>
      </c>
      <c r="BN222" t="s">
        <v>5693</v>
      </c>
      <c r="BO222">
        <v>4</v>
      </c>
      <c r="BP222" t="s">
        <v>5694</v>
      </c>
      <c r="BQ222">
        <v>0</v>
      </c>
      <c r="BR222">
        <v>14</v>
      </c>
      <c r="BS222" t="s">
        <v>5669</v>
      </c>
      <c r="BT222">
        <v>3</v>
      </c>
      <c r="BU222">
        <v>25</v>
      </c>
      <c r="BW222">
        <v>0</v>
      </c>
      <c r="BY222" t="s">
        <v>4985</v>
      </c>
      <c r="BZ222" t="s">
        <v>4985</v>
      </c>
      <c r="CA222" t="s">
        <v>5695</v>
      </c>
      <c r="CD222" t="s">
        <v>3594</v>
      </c>
      <c r="CE222" t="s">
        <v>4270</v>
      </c>
      <c r="CF222" t="s">
        <v>7547</v>
      </c>
      <c r="CH222" t="s">
        <v>3565</v>
      </c>
      <c r="CK222" t="s">
        <v>4761</v>
      </c>
      <c r="CL222" t="s">
        <v>1829</v>
      </c>
      <c r="CM222" t="s">
        <v>7553</v>
      </c>
      <c r="CN222" t="s">
        <v>1345</v>
      </c>
      <c r="CU222" t="s">
        <v>4754</v>
      </c>
      <c r="CX222" t="s">
        <v>5067</v>
      </c>
      <c r="CY222" t="s">
        <v>74</v>
      </c>
      <c r="CZ222" t="s">
        <v>77</v>
      </c>
      <c r="DA222" t="s">
        <v>77</v>
      </c>
      <c r="DC222" t="s">
        <v>7295</v>
      </c>
      <c r="DD222" t="s">
        <v>1072</v>
      </c>
      <c r="DE222" t="s">
        <v>1073</v>
      </c>
      <c r="DF222" t="s">
        <v>1074</v>
      </c>
      <c r="DG222" t="s">
        <v>1828</v>
      </c>
      <c r="DH222" t="s">
        <v>6975</v>
      </c>
      <c r="DI222" t="s">
        <v>1960</v>
      </c>
      <c r="DJ222">
        <v>2</v>
      </c>
      <c r="DK222">
        <f t="shared" si="154"/>
        <v>543</v>
      </c>
      <c r="DL222">
        <f t="shared" si="155"/>
        <v>220</v>
      </c>
      <c r="DM222">
        <v>200</v>
      </c>
      <c r="DN222" t="str">
        <f t="shared" ca="1" si="139"/>
        <v/>
      </c>
      <c r="DO222" t="str">
        <f t="shared" ca="1" si="140"/>
        <v/>
      </c>
      <c r="DP222" t="str">
        <f t="shared" ca="1" si="141"/>
        <v/>
      </c>
      <c r="DQ222" t="str">
        <f>IF(EXACT(Zauber!$A$250,""),"",IF(EXACT(RIGHT(HLOOKUP(Zauber!$A$250,PROFMAGIE,$DK222,FALSE)),"H"),CONCATENATE($CX222,","),""))</f>
        <v/>
      </c>
      <c r="DR222" t="str">
        <f t="shared" si="142"/>
        <v/>
      </c>
      <c r="DS222" t="str">
        <f>IF(ZS_IAAK="Ja",IF(EXACT(RIGHT(HLOOKUP(Tabellen_Magie!$IK$1,PROFMAGIE,$DK222,FALSE)),"H"),CONCATENATE($CX222,","),""),"")</f>
        <v/>
      </c>
      <c r="DT222" t="str">
        <f>IF(ZS_IAAK="Ja",IF(NOT(DS222=""),"",IF(OR(EXACT(RIGHT(HLOOKUP(Tabellen_Magie!$IK$1,PROFMAGIE,$DK222,FALSE)),"B"),EXACT(HLOOKUP(Tabellen_Magie!$IK$1,PROFMAGIE,$DK222,FALSE),"")),"",CONCATENATE($CX222,","))),"")</f>
        <v/>
      </c>
      <c r="DU222" t="str">
        <f t="shared" si="143"/>
        <v/>
      </c>
      <c r="DW222" t="s">
        <v>9287</v>
      </c>
      <c r="DX222" t="s">
        <v>74</v>
      </c>
      <c r="DY222" t="s">
        <v>74</v>
      </c>
      <c r="DZ222" t="s">
        <v>77</v>
      </c>
      <c r="EA222" t="s">
        <v>2989</v>
      </c>
      <c r="EB222" t="s">
        <v>81</v>
      </c>
      <c r="EC222" t="s">
        <v>4565</v>
      </c>
      <c r="ED222">
        <f t="shared" si="156"/>
        <v>250</v>
      </c>
      <c r="EE222" t="s">
        <v>9283</v>
      </c>
      <c r="EH222">
        <v>5</v>
      </c>
      <c r="EI222">
        <v>250</v>
      </c>
      <c r="FD222" t="s">
        <v>8849</v>
      </c>
      <c r="FE222">
        <f t="shared" si="157"/>
        <v>150</v>
      </c>
      <c r="FF222">
        <f t="shared" si="158"/>
        <v>3</v>
      </c>
      <c r="FK222">
        <v>150</v>
      </c>
      <c r="FL222">
        <v>3</v>
      </c>
      <c r="GH222" t="s">
        <v>3969</v>
      </c>
      <c r="GI222" t="s">
        <v>3290</v>
      </c>
      <c r="GJ222">
        <v>3</v>
      </c>
      <c r="GK222" t="s">
        <v>1320</v>
      </c>
      <c r="GL222" t="s">
        <v>567</v>
      </c>
      <c r="GM222" t="s">
        <v>3961</v>
      </c>
      <c r="GN222" t="s">
        <v>1974</v>
      </c>
      <c r="GO222">
        <v>289</v>
      </c>
      <c r="GP222">
        <v>226</v>
      </c>
      <c r="GR222">
        <f t="shared" si="145"/>
        <v>571</v>
      </c>
      <c r="GU222" t="str">
        <f t="shared" ca="1" si="146"/>
        <v/>
      </c>
      <c r="GV222" t="str">
        <f t="shared" ca="1" si="147"/>
        <v/>
      </c>
      <c r="GW222" t="str">
        <f t="shared" ca="1" si="148"/>
        <v/>
      </c>
      <c r="GX222" t="str">
        <f t="shared" ca="1" si="149"/>
        <v/>
      </c>
    </row>
    <row r="223" spans="63:206" x14ac:dyDescent="0.2">
      <c r="BK223" t="s">
        <v>5696</v>
      </c>
      <c r="BL223">
        <v>15</v>
      </c>
      <c r="BM223">
        <v>15</v>
      </c>
      <c r="BN223" t="s">
        <v>5697</v>
      </c>
      <c r="BO223">
        <v>0</v>
      </c>
      <c r="BP223" t="s">
        <v>5698</v>
      </c>
      <c r="BQ223">
        <v>1</v>
      </c>
      <c r="BR223">
        <v>60</v>
      </c>
      <c r="BS223" t="s">
        <v>5501</v>
      </c>
      <c r="BT223">
        <v>2</v>
      </c>
      <c r="BU223">
        <v>50</v>
      </c>
      <c r="BW223">
        <v>0</v>
      </c>
      <c r="BY223" t="s">
        <v>4985</v>
      </c>
      <c r="BZ223" t="s">
        <v>4985</v>
      </c>
      <c r="CA223" t="s">
        <v>5699</v>
      </c>
      <c r="CD223" t="s">
        <v>4625</v>
      </c>
      <c r="CE223" t="s">
        <v>7575</v>
      </c>
      <c r="CF223" t="s">
        <v>4627</v>
      </c>
      <c r="CH223" t="s">
        <v>906</v>
      </c>
      <c r="CK223" t="s">
        <v>7173</v>
      </c>
      <c r="CL223" t="s">
        <v>4553</v>
      </c>
      <c r="CM223" t="s">
        <v>7547</v>
      </c>
      <c r="CN223" t="s">
        <v>1346</v>
      </c>
      <c r="CU223" t="s">
        <v>4656</v>
      </c>
      <c r="CX223" t="s">
        <v>953</v>
      </c>
      <c r="CY223" t="s">
        <v>76</v>
      </c>
      <c r="CZ223" t="s">
        <v>76</v>
      </c>
      <c r="DA223" t="s">
        <v>750</v>
      </c>
      <c r="DB223" t="s">
        <v>2042</v>
      </c>
      <c r="DC223" t="s">
        <v>7292</v>
      </c>
      <c r="DD223" t="s">
        <v>3548</v>
      </c>
      <c r="DE223" t="s">
        <v>2492</v>
      </c>
      <c r="DF223" t="s">
        <v>1617</v>
      </c>
      <c r="DG223" t="s">
        <v>1955</v>
      </c>
      <c r="DH223" t="s">
        <v>6877</v>
      </c>
      <c r="DI223" t="s">
        <v>3561</v>
      </c>
      <c r="DJ223">
        <v>2</v>
      </c>
      <c r="DK223">
        <f t="shared" si="154"/>
        <v>544</v>
      </c>
      <c r="DL223">
        <f t="shared" si="155"/>
        <v>221</v>
      </c>
      <c r="DM223">
        <v>201</v>
      </c>
      <c r="DN223" t="str">
        <f t="shared" ca="1" si="139"/>
        <v/>
      </c>
      <c r="DO223" t="str">
        <f t="shared" ca="1" si="140"/>
        <v/>
      </c>
      <c r="DP223" t="str">
        <f t="shared" ca="1" si="141"/>
        <v/>
      </c>
      <c r="DQ223" t="str">
        <f>IF(EXACT(Zauber!$A$250,""),"",IF(EXACT(RIGHT(HLOOKUP(Zauber!$A$250,PROFMAGIE,$DK223,FALSE)),"H"),CONCATENATE($CX223,","),""))</f>
        <v/>
      </c>
      <c r="DR223" t="str">
        <f t="shared" si="142"/>
        <v/>
      </c>
      <c r="DS223" t="str">
        <f>IF(ZS_IAAK="Ja",IF(EXACT(RIGHT(HLOOKUP(Tabellen_Magie!$IK$1,PROFMAGIE,$DK223,FALSE)),"H"),CONCATENATE($CX223,","),""),"")</f>
        <v/>
      </c>
      <c r="DT223" t="str">
        <f>IF(ZS_IAAK="Ja",IF(NOT(DS223=""),"",IF(OR(EXACT(RIGHT(HLOOKUP(Tabellen_Magie!$IK$1,PROFMAGIE,$DK223,FALSE)),"B"),EXACT(HLOOKUP(Tabellen_Magie!$IK$1,PROFMAGIE,$DK223,FALSE),"")),"",CONCATENATE($CX223,","))),"")</f>
        <v/>
      </c>
      <c r="DU223" t="str">
        <f t="shared" si="143"/>
        <v/>
      </c>
      <c r="DW223" t="s">
        <v>9288</v>
      </c>
      <c r="DX223" t="s">
        <v>74</v>
      </c>
      <c r="DY223" t="s">
        <v>77</v>
      </c>
      <c r="DZ223" t="s">
        <v>77</v>
      </c>
      <c r="EA223" t="s">
        <v>2572</v>
      </c>
      <c r="EB223" t="s">
        <v>9289</v>
      </c>
      <c r="EC223" t="s">
        <v>9290</v>
      </c>
      <c r="ED223">
        <f t="shared" si="156"/>
        <v>500</v>
      </c>
      <c r="EE223" t="s">
        <v>9283</v>
      </c>
      <c r="EH223">
        <v>10</v>
      </c>
      <c r="EI223">
        <v>500</v>
      </c>
      <c r="FD223" t="s">
        <v>8850</v>
      </c>
      <c r="FE223">
        <f t="shared" si="157"/>
        <v>50</v>
      </c>
      <c r="FF223">
        <f t="shared" si="158"/>
        <v>1</v>
      </c>
      <c r="FK223">
        <v>50</v>
      </c>
      <c r="FL223">
        <v>4</v>
      </c>
      <c r="GH223" t="s">
        <v>3970</v>
      </c>
      <c r="GI223" t="s">
        <v>3290</v>
      </c>
      <c r="GJ223">
        <v>3</v>
      </c>
      <c r="GK223" t="s">
        <v>1320</v>
      </c>
      <c r="GL223" t="s">
        <v>1979</v>
      </c>
      <c r="GM223" t="s">
        <v>1985</v>
      </c>
      <c r="GN223" t="s">
        <v>1974</v>
      </c>
      <c r="GO223">
        <v>268</v>
      </c>
      <c r="GP223">
        <v>278</v>
      </c>
      <c r="GR223">
        <f t="shared" si="145"/>
        <v>572</v>
      </c>
      <c r="GS223">
        <v>4</v>
      </c>
      <c r="GU223" t="str">
        <f t="shared" ca="1" si="146"/>
        <v/>
      </c>
      <c r="GV223" t="str">
        <f t="shared" ca="1" si="147"/>
        <v/>
      </c>
      <c r="GW223" t="str">
        <f t="shared" ca="1" si="148"/>
        <v/>
      </c>
      <c r="GX223" t="str">
        <f t="shared" ca="1" si="149"/>
        <v/>
      </c>
    </row>
    <row r="224" spans="63:206" x14ac:dyDescent="0.2">
      <c r="BK224" t="s">
        <v>2299</v>
      </c>
      <c r="BL224">
        <v>6</v>
      </c>
      <c r="BM224">
        <v>10</v>
      </c>
      <c r="BN224">
        <v>12</v>
      </c>
      <c r="BO224">
        <v>2</v>
      </c>
      <c r="BP224" t="s">
        <v>5319</v>
      </c>
      <c r="BQ224">
        <v>0</v>
      </c>
      <c r="BR224">
        <v>7</v>
      </c>
      <c r="BS224" t="s">
        <v>5700</v>
      </c>
      <c r="BT224">
        <v>2</v>
      </c>
      <c r="BU224">
        <v>12</v>
      </c>
      <c r="BW224">
        <v>0</v>
      </c>
      <c r="BY224" t="s">
        <v>4985</v>
      </c>
      <c r="BZ224" t="s">
        <v>4985</v>
      </c>
      <c r="CD224" t="s">
        <v>4632</v>
      </c>
      <c r="CE224" t="s">
        <v>7576</v>
      </c>
      <c r="CF224" t="s">
        <v>4630</v>
      </c>
      <c r="CH224" t="s">
        <v>909</v>
      </c>
      <c r="CK224" t="s">
        <v>4764</v>
      </c>
      <c r="CL224" t="s">
        <v>3566</v>
      </c>
      <c r="CM224" t="s">
        <v>4654</v>
      </c>
      <c r="CN224" t="s">
        <v>1347</v>
      </c>
      <c r="CU224" t="s">
        <v>4755</v>
      </c>
      <c r="CX224" t="s">
        <v>5068</v>
      </c>
      <c r="CY224" t="s">
        <v>76</v>
      </c>
      <c r="CZ224" t="s">
        <v>77</v>
      </c>
      <c r="DA224" t="s">
        <v>752</v>
      </c>
      <c r="DB224" t="s">
        <v>2042</v>
      </c>
      <c r="DC224" t="s">
        <v>7289</v>
      </c>
      <c r="DD224" t="s">
        <v>3138</v>
      </c>
      <c r="DE224" t="s">
        <v>3380</v>
      </c>
      <c r="DF224" t="s">
        <v>1617</v>
      </c>
      <c r="DG224" t="s">
        <v>1956</v>
      </c>
      <c r="DH224" t="s">
        <v>6976</v>
      </c>
      <c r="DI224" t="s">
        <v>582</v>
      </c>
      <c r="DJ224">
        <v>2</v>
      </c>
      <c r="DK224">
        <f t="shared" si="154"/>
        <v>545</v>
      </c>
      <c r="DL224">
        <f t="shared" si="155"/>
        <v>222</v>
      </c>
      <c r="DM224">
        <v>202</v>
      </c>
      <c r="DN224" t="str">
        <f t="shared" ca="1" si="139"/>
        <v/>
      </c>
      <c r="DO224" t="str">
        <f t="shared" ca="1" si="140"/>
        <v/>
      </c>
      <c r="DP224" t="str">
        <f t="shared" ca="1" si="141"/>
        <v/>
      </c>
      <c r="DQ224" t="str">
        <f>IF(EXACT(Zauber!$A$250,""),"",IF(EXACT(RIGHT(HLOOKUP(Zauber!$A$250,PROFMAGIE,$DK224,FALSE)),"H"),CONCATENATE($CX224,","),""))</f>
        <v/>
      </c>
      <c r="DR224" t="str">
        <f t="shared" si="142"/>
        <v/>
      </c>
      <c r="DS224" t="str">
        <f>IF(ZS_IAAK="Ja",IF(EXACT(RIGHT(HLOOKUP(Tabellen_Magie!$IK$1,PROFMAGIE,$DK224,FALSE)),"H"),CONCATENATE($CX224,","),""),"")</f>
        <v/>
      </c>
      <c r="DT224" t="str">
        <f>IF(ZS_IAAK="Ja",IF(NOT(DS224=""),"",IF(OR(EXACT(RIGHT(HLOOKUP(Tabellen_Magie!$IK$1,PROFMAGIE,$DK224,FALSE)),"B"),EXACT(HLOOKUP(Tabellen_Magie!$IK$1,PROFMAGIE,$DK224,FALSE),"")),"",CONCATENATE($CX224,","))),"")</f>
        <v/>
      </c>
      <c r="DU224" t="str">
        <f t="shared" si="143"/>
        <v/>
      </c>
      <c r="DW224" t="s">
        <v>2059</v>
      </c>
      <c r="FD224" t="s">
        <v>8847</v>
      </c>
      <c r="FE224">
        <f t="shared" si="157"/>
        <v>250</v>
      </c>
      <c r="FF224">
        <f t="shared" si="158"/>
        <v>5</v>
      </c>
      <c r="FK224">
        <v>250</v>
      </c>
      <c r="FL224">
        <v>2</v>
      </c>
      <c r="GH224" t="s">
        <v>3971</v>
      </c>
      <c r="GI224" t="s">
        <v>3290</v>
      </c>
      <c r="GJ224">
        <v>3</v>
      </c>
      <c r="GK224" t="s">
        <v>1320</v>
      </c>
      <c r="GL224" t="s">
        <v>567</v>
      </c>
      <c r="GM224" t="s">
        <v>1984</v>
      </c>
      <c r="GN224" t="s">
        <v>1974</v>
      </c>
      <c r="GO224">
        <v>268</v>
      </c>
      <c r="GP224">
        <v>280</v>
      </c>
      <c r="GR224">
        <f t="shared" si="145"/>
        <v>573</v>
      </c>
      <c r="GU224" t="str">
        <f t="shared" ca="1" si="146"/>
        <v/>
      </c>
      <c r="GV224" t="str">
        <f t="shared" ca="1" si="147"/>
        <v/>
      </c>
      <c r="GW224" t="str">
        <f t="shared" ca="1" si="148"/>
        <v/>
      </c>
      <c r="GX224" t="str">
        <f t="shared" ca="1" si="149"/>
        <v/>
      </c>
    </row>
    <row r="225" spans="63:206" x14ac:dyDescent="0.2">
      <c r="BK225" t="s">
        <v>2298</v>
      </c>
      <c r="BL225">
        <v>6</v>
      </c>
      <c r="BM225">
        <v>10</v>
      </c>
      <c r="BN225">
        <v>13</v>
      </c>
      <c r="BO225">
        <v>2</v>
      </c>
      <c r="BP225" t="s">
        <v>5319</v>
      </c>
      <c r="BQ225">
        <v>0</v>
      </c>
      <c r="BR225">
        <v>8</v>
      </c>
      <c r="BS225" t="s">
        <v>5700</v>
      </c>
      <c r="BT225">
        <v>2</v>
      </c>
      <c r="BU225">
        <v>15</v>
      </c>
      <c r="BW225">
        <v>0</v>
      </c>
      <c r="BY225" t="s">
        <v>4985</v>
      </c>
      <c r="BZ225" t="s">
        <v>4985</v>
      </c>
      <c r="CD225" t="s">
        <v>2034</v>
      </c>
      <c r="CE225" t="s">
        <v>1794</v>
      </c>
      <c r="CF225" t="s">
        <v>4631</v>
      </c>
      <c r="CH225" t="s">
        <v>918</v>
      </c>
      <c r="CK225" t="s">
        <v>324</v>
      </c>
      <c r="CL225" t="s">
        <v>4600</v>
      </c>
      <c r="CM225" t="s">
        <v>1529</v>
      </c>
      <c r="CN225" t="s">
        <v>1348</v>
      </c>
      <c r="CU225" t="s">
        <v>4756</v>
      </c>
      <c r="CX225" t="s">
        <v>5069</v>
      </c>
      <c r="CY225" t="s">
        <v>75</v>
      </c>
      <c r="CZ225" t="s">
        <v>77</v>
      </c>
      <c r="DA225" t="s">
        <v>750</v>
      </c>
      <c r="DC225" t="s">
        <v>7295</v>
      </c>
      <c r="DD225" t="s">
        <v>1076</v>
      </c>
      <c r="DE225" t="s">
        <v>4484</v>
      </c>
      <c r="DF225" t="s">
        <v>1360</v>
      </c>
      <c r="DG225" t="s">
        <v>1321</v>
      </c>
      <c r="DH225" t="s">
        <v>6977</v>
      </c>
      <c r="DI225" t="s">
        <v>1075</v>
      </c>
      <c r="DJ225">
        <v>2</v>
      </c>
      <c r="DK225">
        <f t="shared" si="154"/>
        <v>546</v>
      </c>
      <c r="DL225">
        <f t="shared" si="155"/>
        <v>223</v>
      </c>
      <c r="DM225">
        <v>203</v>
      </c>
      <c r="DN225" t="str">
        <f t="shared" ca="1" si="139"/>
        <v/>
      </c>
      <c r="DO225" t="str">
        <f t="shared" ca="1" si="140"/>
        <v/>
      </c>
      <c r="DP225" t="str">
        <f t="shared" ca="1" si="141"/>
        <v/>
      </c>
      <c r="DQ225" t="str">
        <f>IF(EXACT(Zauber!$A$250,""),"",IF(EXACT(RIGHT(HLOOKUP(Zauber!$A$250,PROFMAGIE,$DK225,FALSE)),"H"),CONCATENATE($CX225,","),""))</f>
        <v/>
      </c>
      <c r="DR225" t="str">
        <f t="shared" si="142"/>
        <v/>
      </c>
      <c r="DS225" t="str">
        <f>IF(ZS_IAAK="Ja",IF(EXACT(RIGHT(HLOOKUP(Tabellen_Magie!$IK$1,PROFMAGIE,$DK225,FALSE)),"H"),CONCATENATE($CX225,","),""),"")</f>
        <v/>
      </c>
      <c r="DT225" t="str">
        <f>IF(ZS_IAAK="Ja",IF(NOT(DS225=""),"",IF(OR(EXACT(RIGHT(HLOOKUP(Tabellen_Magie!$IK$1,PROFMAGIE,$DK225,FALSE)),"B"),EXACT(HLOOKUP(Tabellen_Magie!$IK$1,PROFMAGIE,$DK225,FALSE),"")),"",CONCATENATE($CX225,","))),"")</f>
        <v/>
      </c>
      <c r="DU225" t="str">
        <f t="shared" si="143"/>
        <v/>
      </c>
      <c r="DW225" t="s">
        <v>403</v>
      </c>
      <c r="DX225" t="s">
        <v>4266</v>
      </c>
      <c r="EA225" t="s">
        <v>658</v>
      </c>
      <c r="EB225" t="s">
        <v>2232</v>
      </c>
      <c r="EC225" t="s">
        <v>4268</v>
      </c>
      <c r="ED225" t="s">
        <v>4006</v>
      </c>
      <c r="EH225" t="s">
        <v>158</v>
      </c>
      <c r="FD225" t="s">
        <v>8851</v>
      </c>
      <c r="FE225">
        <f t="shared" si="157"/>
        <v>75</v>
      </c>
      <c r="FF225">
        <f t="shared" si="158"/>
        <v>2</v>
      </c>
      <c r="FK225">
        <v>75</v>
      </c>
      <c r="FL225">
        <v>2</v>
      </c>
      <c r="GH225" t="s">
        <v>3972</v>
      </c>
      <c r="GI225" t="s">
        <v>3290</v>
      </c>
      <c r="GJ225">
        <v>3</v>
      </c>
      <c r="GK225" t="s">
        <v>1320</v>
      </c>
      <c r="GL225" t="s">
        <v>1979</v>
      </c>
      <c r="GM225" t="s">
        <v>1985</v>
      </c>
      <c r="GN225" t="s">
        <v>1974</v>
      </c>
      <c r="GO225">
        <v>265</v>
      </c>
      <c r="GP225">
        <v>278</v>
      </c>
      <c r="GR225">
        <f t="shared" si="145"/>
        <v>574</v>
      </c>
      <c r="GU225" t="str">
        <f t="shared" ca="1" si="146"/>
        <v/>
      </c>
      <c r="GV225" t="str">
        <f t="shared" ca="1" si="147"/>
        <v/>
      </c>
      <c r="GW225" t="str">
        <f t="shared" ca="1" si="148"/>
        <v/>
      </c>
      <c r="GX225" t="str">
        <f t="shared" ca="1" si="149"/>
        <v/>
      </c>
    </row>
    <row r="226" spans="63:206" x14ac:dyDescent="0.2">
      <c r="BK226" t="s">
        <v>5701</v>
      </c>
      <c r="BL226">
        <v>6</v>
      </c>
      <c r="BM226">
        <v>11</v>
      </c>
      <c r="BN226">
        <v>14</v>
      </c>
      <c r="BO226">
        <v>3</v>
      </c>
      <c r="BP226" t="s">
        <v>5702</v>
      </c>
      <c r="BQ226">
        <v>0</v>
      </c>
      <c r="BR226">
        <v>5</v>
      </c>
      <c r="BS226" t="s">
        <v>5700</v>
      </c>
      <c r="BT226">
        <v>2</v>
      </c>
      <c r="BU226">
        <v>10</v>
      </c>
      <c r="BW226">
        <v>0</v>
      </c>
      <c r="BY226" t="s">
        <v>4985</v>
      </c>
      <c r="BZ226" t="s">
        <v>4985</v>
      </c>
      <c r="CD226" t="s">
        <v>4751</v>
      </c>
      <c r="CE226" t="s">
        <v>4272</v>
      </c>
      <c r="CF226" t="s">
        <v>2707</v>
      </c>
      <c r="CH226" t="s">
        <v>7153</v>
      </c>
      <c r="CK226" t="s">
        <v>2633</v>
      </c>
      <c r="CL226" t="s">
        <v>1207</v>
      </c>
      <c r="CM226" t="s">
        <v>4656</v>
      </c>
      <c r="CN226" t="s">
        <v>1349</v>
      </c>
      <c r="CU226" t="s">
        <v>4757</v>
      </c>
      <c r="CX226" t="s">
        <v>5070</v>
      </c>
      <c r="CY226" t="s">
        <v>75</v>
      </c>
      <c r="CZ226" t="s">
        <v>75</v>
      </c>
      <c r="DA226" t="s">
        <v>5030</v>
      </c>
      <c r="DC226" t="s">
        <v>7310</v>
      </c>
      <c r="DD226" t="s">
        <v>1753</v>
      </c>
      <c r="DE226" t="s">
        <v>1622</v>
      </c>
      <c r="DF226" t="s">
        <v>1905</v>
      </c>
      <c r="DG226" t="s">
        <v>1956</v>
      </c>
      <c r="DH226" t="s">
        <v>6978</v>
      </c>
      <c r="DI226" t="s">
        <v>4342</v>
      </c>
      <c r="DJ226">
        <v>2</v>
      </c>
      <c r="DK226">
        <f t="shared" si="154"/>
        <v>547</v>
      </c>
      <c r="DL226">
        <f t="shared" si="155"/>
        <v>224</v>
      </c>
      <c r="DM226">
        <v>204</v>
      </c>
      <c r="DN226" t="str">
        <f t="shared" ca="1" si="139"/>
        <v/>
      </c>
      <c r="DO226" t="str">
        <f t="shared" ca="1" si="140"/>
        <v/>
      </c>
      <c r="DP226" t="str">
        <f t="shared" ca="1" si="141"/>
        <v/>
      </c>
      <c r="DQ226" t="str">
        <f>IF(EXACT(Zauber!$A$250,""),"",IF(EXACT(RIGHT(HLOOKUP(Zauber!$A$250,PROFMAGIE,$DK226,FALSE)),"H"),CONCATENATE($CX226,","),""))</f>
        <v/>
      </c>
      <c r="DR226" t="str">
        <f t="shared" si="142"/>
        <v/>
      </c>
      <c r="DS226" t="str">
        <f>IF(ZS_IAAK="Ja",IF(EXACT(RIGHT(HLOOKUP(Tabellen_Magie!$IK$1,PROFMAGIE,$DK226,FALSE)),"H"),CONCATENATE($CX226,","),""),"")</f>
        <v/>
      </c>
      <c r="DT226" t="str">
        <f>IF(ZS_IAAK="Ja",IF(NOT(DS226=""),"",IF(OR(EXACT(RIGHT(HLOOKUP(Tabellen_Magie!$IK$1,PROFMAGIE,$DK226,FALSE)),"B"),EXACT(HLOOKUP(Tabellen_Magie!$IK$1,PROFMAGIE,$DK226,FALSE),"")),"",CONCATENATE($CX226,","))),"")</f>
        <v/>
      </c>
      <c r="DU226" t="str">
        <f t="shared" si="143"/>
        <v/>
      </c>
      <c r="DW226" t="s">
        <v>7264</v>
      </c>
      <c r="DX226" t="s">
        <v>75</v>
      </c>
      <c r="DY226" t="s">
        <v>76</v>
      </c>
      <c r="DZ226" t="s">
        <v>76</v>
      </c>
      <c r="EA226" t="s">
        <v>8673</v>
      </c>
      <c r="EB226" t="s">
        <v>2991</v>
      </c>
      <c r="EC226" t="s">
        <v>2762</v>
      </c>
      <c r="ED226">
        <v>10</v>
      </c>
      <c r="EH226">
        <f t="shared" ref="EH226:EH236" si="159">ROUNDUP($ED226/50,0)</f>
        <v>1</v>
      </c>
      <c r="FD226" t="s">
        <v>8852</v>
      </c>
      <c r="FE226">
        <f t="shared" si="157"/>
        <v>200</v>
      </c>
      <c r="FF226">
        <f t="shared" si="158"/>
        <v>4</v>
      </c>
      <c r="FK226">
        <v>200</v>
      </c>
      <c r="FL226">
        <v>1</v>
      </c>
      <c r="GH226" t="s">
        <v>3973</v>
      </c>
      <c r="GI226" t="s">
        <v>3290</v>
      </c>
      <c r="GJ226">
        <v>3</v>
      </c>
      <c r="GK226" t="s">
        <v>4854</v>
      </c>
      <c r="GL226" t="s">
        <v>1977</v>
      </c>
      <c r="GM226" t="s">
        <v>1985</v>
      </c>
      <c r="GN226" t="s">
        <v>1690</v>
      </c>
      <c r="GO226">
        <v>265</v>
      </c>
      <c r="GP226">
        <v>286</v>
      </c>
      <c r="GR226">
        <f t="shared" si="145"/>
        <v>575</v>
      </c>
      <c r="GU226" t="str">
        <f t="shared" ca="1" si="146"/>
        <v/>
      </c>
      <c r="GV226" t="str">
        <f t="shared" ca="1" si="147"/>
        <v/>
      </c>
      <c r="GW226" t="str">
        <f t="shared" ca="1" si="148"/>
        <v/>
      </c>
      <c r="GX226" t="str">
        <f t="shared" ca="1" si="149"/>
        <v/>
      </c>
    </row>
    <row r="227" spans="63:206" x14ac:dyDescent="0.2">
      <c r="BK227" t="s">
        <v>5703</v>
      </c>
      <c r="BL227">
        <v>6</v>
      </c>
      <c r="BM227">
        <v>12</v>
      </c>
      <c r="BN227">
        <v>12</v>
      </c>
      <c r="BO227">
        <v>0</v>
      </c>
      <c r="BP227" t="s">
        <v>5704</v>
      </c>
      <c r="BQ227">
        <v>1</v>
      </c>
      <c r="BR227">
        <v>8</v>
      </c>
      <c r="BS227" t="s">
        <v>5700</v>
      </c>
      <c r="BT227">
        <v>1</v>
      </c>
      <c r="BU227">
        <v>12</v>
      </c>
      <c r="BW227">
        <v>0</v>
      </c>
      <c r="BY227" t="s">
        <v>4985</v>
      </c>
      <c r="BZ227" t="s">
        <v>4985</v>
      </c>
      <c r="CD227" t="s">
        <v>4754</v>
      </c>
      <c r="CE227" t="s">
        <v>1797</v>
      </c>
      <c r="CF227" t="s">
        <v>4569</v>
      </c>
      <c r="CH227" t="s">
        <v>4557</v>
      </c>
      <c r="CK227" t="s">
        <v>2634</v>
      </c>
      <c r="CL227" t="s">
        <v>1441</v>
      </c>
      <c r="CM227" t="s">
        <v>4655</v>
      </c>
      <c r="CN227" t="s">
        <v>1341</v>
      </c>
      <c r="CU227" t="s">
        <v>4758</v>
      </c>
      <c r="CX227" t="s">
        <v>5071</v>
      </c>
      <c r="CY227" t="s">
        <v>74</v>
      </c>
      <c r="CZ227" t="s">
        <v>74</v>
      </c>
      <c r="DA227" t="s">
        <v>77</v>
      </c>
      <c r="DB227" t="s">
        <v>1613</v>
      </c>
      <c r="DC227" t="s">
        <v>7290</v>
      </c>
      <c r="DD227" t="s">
        <v>1134</v>
      </c>
      <c r="DE227" t="s">
        <v>3380</v>
      </c>
      <c r="DF227" t="s">
        <v>81</v>
      </c>
      <c r="DG227" t="s">
        <v>1955</v>
      </c>
      <c r="DH227" t="s">
        <v>8437</v>
      </c>
      <c r="DI227" t="s">
        <v>8461</v>
      </c>
      <c r="DJ227">
        <v>2</v>
      </c>
      <c r="DK227">
        <f t="shared" si="154"/>
        <v>548</v>
      </c>
      <c r="DL227">
        <f t="shared" si="155"/>
        <v>225</v>
      </c>
      <c r="DM227">
        <v>205</v>
      </c>
      <c r="DN227" t="str">
        <f t="shared" ca="1" si="139"/>
        <v/>
      </c>
      <c r="DO227" t="str">
        <f t="shared" ca="1" si="140"/>
        <v/>
      </c>
      <c r="DP227" t="str">
        <f t="shared" ca="1" si="141"/>
        <v/>
      </c>
      <c r="DQ227" t="str">
        <f>IF(EXACT(Zauber!$A$250,""),"",IF(EXACT(RIGHT(HLOOKUP(Zauber!$A$250,PROFMAGIE,$DK227,FALSE)),"H"),CONCATENATE($CX227,","),""))</f>
        <v/>
      </c>
      <c r="DR227" t="str">
        <f t="shared" si="142"/>
        <v/>
      </c>
      <c r="DS227" t="str">
        <f>IF(ZS_IAAK="Ja",IF(EXACT(RIGHT(HLOOKUP(Tabellen_Magie!$IK$1,PROFMAGIE,$DK227,FALSE)),"H"),CONCATENATE($CX227,","),""),"")</f>
        <v/>
      </c>
      <c r="DT227" t="str">
        <f>IF(ZS_IAAK="Ja",IF(NOT(DS227=""),"",IF(OR(EXACT(RIGHT(HLOOKUP(Tabellen_Magie!$IK$1,PROFMAGIE,$DK227,FALSE)),"B"),EXACT(HLOOKUP(Tabellen_Magie!$IK$1,PROFMAGIE,$DK227,FALSE),"")),"",CONCATENATE($CX227,","))),"")</f>
        <v/>
      </c>
      <c r="DU227" t="str">
        <f t="shared" si="143"/>
        <v/>
      </c>
      <c r="DW227" t="s">
        <v>7265</v>
      </c>
      <c r="DX227" t="s">
        <v>74</v>
      </c>
      <c r="DY227" t="s">
        <v>74</v>
      </c>
      <c r="DZ227" t="s">
        <v>77</v>
      </c>
      <c r="EA227" t="s">
        <v>8674</v>
      </c>
      <c r="EB227" t="s">
        <v>1278</v>
      </c>
      <c r="EC227" t="s">
        <v>2573</v>
      </c>
      <c r="ED227">
        <f>IF(VT_MACHT_VTRT,10,20)</f>
        <v>20</v>
      </c>
      <c r="EH227">
        <f t="shared" si="159"/>
        <v>1</v>
      </c>
      <c r="FD227" t="s">
        <v>8854</v>
      </c>
      <c r="FE227">
        <f t="shared" si="157"/>
        <v>700</v>
      </c>
      <c r="FF227">
        <f t="shared" si="158"/>
        <v>14</v>
      </c>
      <c r="FK227">
        <f>IF(VT_AFF_ELEM,500,700)</f>
        <v>700</v>
      </c>
      <c r="FL227">
        <v>2</v>
      </c>
      <c r="GH227" t="s">
        <v>3974</v>
      </c>
      <c r="GI227" t="s">
        <v>3290</v>
      </c>
      <c r="GJ227">
        <v>3</v>
      </c>
      <c r="GK227" t="s">
        <v>1320</v>
      </c>
      <c r="GL227" t="s">
        <v>567</v>
      </c>
      <c r="GM227" t="s">
        <v>3961</v>
      </c>
      <c r="GN227" t="s">
        <v>1974</v>
      </c>
      <c r="GO227">
        <v>268</v>
      </c>
      <c r="GP227">
        <v>290</v>
      </c>
      <c r="GR227">
        <f t="shared" si="145"/>
        <v>576</v>
      </c>
      <c r="GS227">
        <v>4</v>
      </c>
      <c r="GU227" t="str">
        <f t="shared" ca="1" si="146"/>
        <v/>
      </c>
      <c r="GV227" t="str">
        <f t="shared" ca="1" si="147"/>
        <v/>
      </c>
      <c r="GW227" t="str">
        <f t="shared" ca="1" si="148"/>
        <v/>
      </c>
      <c r="GX227" t="str">
        <f t="shared" ca="1" si="149"/>
        <v/>
      </c>
    </row>
    <row r="228" spans="63:206" x14ac:dyDescent="0.2">
      <c r="BK228" t="s">
        <v>3136</v>
      </c>
      <c r="BL228">
        <v>6</v>
      </c>
      <c r="BM228">
        <v>9</v>
      </c>
      <c r="BN228">
        <v>10</v>
      </c>
      <c r="BO228">
        <v>2</v>
      </c>
      <c r="BP228" t="s">
        <v>5705</v>
      </c>
      <c r="BQ228">
        <v>0</v>
      </c>
      <c r="BR228">
        <v>10</v>
      </c>
      <c r="BS228" t="s">
        <v>5700</v>
      </c>
      <c r="BT228">
        <v>2</v>
      </c>
      <c r="BU228">
        <v>20</v>
      </c>
      <c r="BW228">
        <v>0</v>
      </c>
      <c r="BY228" t="s">
        <v>4985</v>
      </c>
      <c r="BZ228" t="s">
        <v>4985</v>
      </c>
      <c r="CD228" t="s">
        <v>478</v>
      </c>
      <c r="CE228" t="s">
        <v>7165</v>
      </c>
      <c r="CF228" t="s">
        <v>4569</v>
      </c>
      <c r="CH228" t="s">
        <v>8808</v>
      </c>
      <c r="CL228" t="s">
        <v>4750</v>
      </c>
      <c r="CN228" t="s">
        <v>1350</v>
      </c>
      <c r="CU228" t="s">
        <v>4759</v>
      </c>
      <c r="CX228" t="s">
        <v>1908</v>
      </c>
      <c r="CY228" t="s">
        <v>75</v>
      </c>
      <c r="CZ228" t="s">
        <v>76</v>
      </c>
      <c r="DA228" t="s">
        <v>77</v>
      </c>
      <c r="DB228" t="s">
        <v>1613</v>
      </c>
      <c r="DC228" t="s">
        <v>2365</v>
      </c>
      <c r="DD228" t="s">
        <v>1819</v>
      </c>
      <c r="DE228" t="s">
        <v>2397</v>
      </c>
      <c r="DF228" t="s">
        <v>7368</v>
      </c>
      <c r="DG228" t="s">
        <v>1956</v>
      </c>
      <c r="DH228" t="s">
        <v>6979</v>
      </c>
      <c r="DI228" t="s">
        <v>4511</v>
      </c>
      <c r="DJ228">
        <v>2</v>
      </c>
      <c r="DK228">
        <f t="shared" si="154"/>
        <v>549</v>
      </c>
      <c r="DL228">
        <f t="shared" si="155"/>
        <v>226</v>
      </c>
      <c r="DM228">
        <v>207</v>
      </c>
      <c r="DN228" t="str">
        <f t="shared" ca="1" si="139"/>
        <v/>
      </c>
      <c r="DO228" t="str">
        <f t="shared" ca="1" si="140"/>
        <v/>
      </c>
      <c r="DP228" t="str">
        <f t="shared" ca="1" si="141"/>
        <v/>
      </c>
      <c r="DQ228" t="str">
        <f>IF(EXACT(Zauber!$A$250,""),"",IF(EXACT(RIGHT(HLOOKUP(Zauber!$A$250,PROFMAGIE,$DK228,FALSE)),"H"),CONCATENATE($CX228,","),""))</f>
        <v/>
      </c>
      <c r="DR228" t="str">
        <f t="shared" si="142"/>
        <v/>
      </c>
      <c r="DS228" t="str">
        <f>IF(ZS_IAAK="Ja",IF(EXACT(RIGHT(HLOOKUP(Tabellen_Magie!$IK$1,PROFMAGIE,$DK228,FALSE)),"H"),CONCATENATE($CX228,","),""),"")</f>
        <v/>
      </c>
      <c r="DT228" t="str">
        <f>IF(ZS_IAAK="Ja",IF(NOT(DS228=""),"",IF(OR(EXACT(RIGHT(HLOOKUP(Tabellen_Magie!$IK$1,PROFMAGIE,$DK228,FALSE)),"B"),EXACT(HLOOKUP(Tabellen_Magie!$IK$1,PROFMAGIE,$DK228,FALSE),"")),"",CONCATENATE($CX228,","))),"")</f>
        <v/>
      </c>
      <c r="DU228" t="str">
        <f t="shared" si="143"/>
        <v/>
      </c>
      <c r="DW228" t="s">
        <v>2756</v>
      </c>
      <c r="DX228" t="s">
        <v>75</v>
      </c>
      <c r="DY228" t="s">
        <v>76</v>
      </c>
      <c r="DZ228" t="s">
        <v>76</v>
      </c>
      <c r="EA228" t="s">
        <v>8675</v>
      </c>
      <c r="EB228" t="s">
        <v>2991</v>
      </c>
      <c r="EC228" t="s">
        <v>2344</v>
      </c>
      <c r="ED228">
        <v>15</v>
      </c>
      <c r="EH228">
        <f t="shared" si="159"/>
        <v>1</v>
      </c>
      <c r="FD228" t="s">
        <v>8855</v>
      </c>
      <c r="FE228">
        <f t="shared" si="157"/>
        <v>700</v>
      </c>
      <c r="FF228">
        <f t="shared" si="158"/>
        <v>14</v>
      </c>
      <c r="FK228">
        <f>IF(VT_AFF_ELEM,500,700)</f>
        <v>700</v>
      </c>
      <c r="FL228">
        <v>2</v>
      </c>
      <c r="GH228" t="s">
        <v>3975</v>
      </c>
      <c r="GI228" t="s">
        <v>3290</v>
      </c>
      <c r="GJ228">
        <v>3</v>
      </c>
      <c r="GK228" t="s">
        <v>1320</v>
      </c>
      <c r="GL228" t="s">
        <v>567</v>
      </c>
      <c r="GM228" t="s">
        <v>3961</v>
      </c>
      <c r="GN228" t="s">
        <v>1974</v>
      </c>
      <c r="GO228">
        <v>289</v>
      </c>
      <c r="GP228">
        <v>290</v>
      </c>
      <c r="GR228">
        <f t="shared" si="145"/>
        <v>577</v>
      </c>
      <c r="GU228" t="str">
        <f t="shared" ca="1" si="146"/>
        <v/>
      </c>
      <c r="GV228" t="str">
        <f t="shared" ca="1" si="147"/>
        <v/>
      </c>
      <c r="GW228" t="str">
        <f t="shared" ca="1" si="148"/>
        <v/>
      </c>
      <c r="GX228" t="str">
        <f t="shared" ca="1" si="149"/>
        <v/>
      </c>
    </row>
    <row r="229" spans="63:206" x14ac:dyDescent="0.2">
      <c r="BK229" t="s">
        <v>5706</v>
      </c>
      <c r="CD229" t="s">
        <v>328</v>
      </c>
      <c r="CE229" t="s">
        <v>3495</v>
      </c>
      <c r="CF229" t="s">
        <v>4569</v>
      </c>
      <c r="CH229" t="s">
        <v>8807</v>
      </c>
      <c r="CL229" t="s">
        <v>326</v>
      </c>
      <c r="CN229" t="s">
        <v>1351</v>
      </c>
      <c r="CU229" t="s">
        <v>4760</v>
      </c>
      <c r="CX229" t="s">
        <v>1682</v>
      </c>
      <c r="CY229" t="s">
        <v>75</v>
      </c>
      <c r="CZ229" t="s">
        <v>76</v>
      </c>
      <c r="DA229" t="s">
        <v>77</v>
      </c>
      <c r="DC229" t="s">
        <v>7290</v>
      </c>
      <c r="DD229" t="s">
        <v>2727</v>
      </c>
      <c r="DE229" t="s">
        <v>1321</v>
      </c>
      <c r="DF229" t="s">
        <v>4479</v>
      </c>
      <c r="DG229" t="s">
        <v>1956</v>
      </c>
      <c r="DH229" t="s">
        <v>6980</v>
      </c>
      <c r="DI229" t="s">
        <v>721</v>
      </c>
      <c r="DJ229">
        <v>2</v>
      </c>
      <c r="DK229">
        <f t="shared" si="154"/>
        <v>550</v>
      </c>
      <c r="DL229">
        <f t="shared" si="155"/>
        <v>227</v>
      </c>
      <c r="DM229">
        <v>208</v>
      </c>
      <c r="DN229" t="str">
        <f t="shared" ca="1" si="139"/>
        <v/>
      </c>
      <c r="DO229" t="str">
        <f t="shared" ca="1" si="140"/>
        <v/>
      </c>
      <c r="DP229" t="str">
        <f t="shared" ca="1" si="141"/>
        <v/>
      </c>
      <c r="DQ229" t="str">
        <f>IF(EXACT(Zauber!$A$250,""),"",IF(EXACT(RIGHT(HLOOKUP(Zauber!$A$250,PROFMAGIE,$DK229,FALSE)),"H"),CONCATENATE($CX229,","),""))</f>
        <v/>
      </c>
      <c r="DR229" t="str">
        <f t="shared" si="142"/>
        <v/>
      </c>
      <c r="DS229" t="str">
        <f>IF(ZS_IAAK="Ja",IF(EXACT(RIGHT(HLOOKUP(Tabellen_Magie!$IK$1,PROFMAGIE,$DK229,FALSE)),"H"),CONCATENATE($CX229,","),""),"")</f>
        <v/>
      </c>
      <c r="DT229" t="str">
        <f>IF(ZS_IAAK="Ja",IF(NOT(DS229=""),"",IF(OR(EXACT(RIGHT(HLOOKUP(Tabellen_Magie!$IK$1,PROFMAGIE,$DK229,FALSE)),"B"),EXACT(HLOOKUP(Tabellen_Magie!$IK$1,PROFMAGIE,$DK229,FALSE),"")),"",CONCATENATE($CX229,","))),"")</f>
        <v/>
      </c>
      <c r="DU229" t="str">
        <f t="shared" si="143"/>
        <v/>
      </c>
      <c r="DW229" t="s">
        <v>2758</v>
      </c>
      <c r="DX229" t="s">
        <v>76</v>
      </c>
      <c r="DY229" t="s">
        <v>77</v>
      </c>
      <c r="DZ229" t="s">
        <v>5030</v>
      </c>
      <c r="EB229" t="s">
        <v>4472</v>
      </c>
      <c r="EC229" t="s">
        <v>2327</v>
      </c>
      <c r="ED229">
        <v>20</v>
      </c>
      <c r="EH229">
        <f t="shared" si="159"/>
        <v>1</v>
      </c>
      <c r="FD229" t="s">
        <v>8856</v>
      </c>
      <c r="FE229">
        <f t="shared" si="157"/>
        <v>700</v>
      </c>
      <c r="FF229">
        <f t="shared" si="158"/>
        <v>14</v>
      </c>
      <c r="FK229">
        <f>IF(VT_AFF_ELEM,500,700)</f>
        <v>700</v>
      </c>
      <c r="FL229">
        <v>2</v>
      </c>
      <c r="GH229" t="s">
        <v>3976</v>
      </c>
      <c r="GI229" t="s">
        <v>3290</v>
      </c>
      <c r="GJ229">
        <v>3</v>
      </c>
      <c r="GK229" t="s">
        <v>4116</v>
      </c>
      <c r="GL229" t="s">
        <v>1976</v>
      </c>
      <c r="GM229" t="s">
        <v>1982</v>
      </c>
      <c r="GN229" t="s">
        <v>1973</v>
      </c>
      <c r="GO229">
        <v>262</v>
      </c>
      <c r="GP229">
        <v>304</v>
      </c>
      <c r="GR229">
        <f t="shared" si="145"/>
        <v>578</v>
      </c>
      <c r="GU229" t="str">
        <f t="shared" ca="1" si="146"/>
        <v/>
      </c>
      <c r="GV229" t="str">
        <f t="shared" ca="1" si="147"/>
        <v/>
      </c>
      <c r="GW229" t="str">
        <f t="shared" ca="1" si="148"/>
        <v/>
      </c>
      <c r="GX229" t="str">
        <f t="shared" ca="1" si="149"/>
        <v/>
      </c>
    </row>
    <row r="230" spans="63:206" x14ac:dyDescent="0.2">
      <c r="BK230" t="s">
        <v>5707</v>
      </c>
      <c r="BL230">
        <v>7</v>
      </c>
      <c r="BM230">
        <v>11</v>
      </c>
      <c r="BN230">
        <v>12</v>
      </c>
      <c r="BO230">
        <v>0</v>
      </c>
      <c r="BP230" t="s">
        <v>5708</v>
      </c>
      <c r="BQ230">
        <v>1</v>
      </c>
      <c r="BR230">
        <v>1</v>
      </c>
      <c r="BS230" t="s">
        <v>5709</v>
      </c>
      <c r="BT230">
        <v>1</v>
      </c>
      <c r="BU230">
        <v>10</v>
      </c>
      <c r="BW230">
        <v>0</v>
      </c>
      <c r="BY230" t="s">
        <v>4985</v>
      </c>
      <c r="BZ230" t="s">
        <v>4985</v>
      </c>
      <c r="CA230" t="s">
        <v>5710</v>
      </c>
      <c r="CD230" t="s">
        <v>329</v>
      </c>
      <c r="CE230" t="s">
        <v>2247</v>
      </c>
      <c r="CF230" t="s">
        <v>1526</v>
      </c>
      <c r="CH230" t="s">
        <v>2614</v>
      </c>
      <c r="CL230" t="s">
        <v>2635</v>
      </c>
      <c r="CN230" t="s">
        <v>1352</v>
      </c>
      <c r="CU230" t="s">
        <v>4761</v>
      </c>
      <c r="CX230" t="s">
        <v>1678</v>
      </c>
      <c r="CY230" t="s">
        <v>75</v>
      </c>
      <c r="CZ230" t="s">
        <v>76</v>
      </c>
      <c r="DA230" t="s">
        <v>77</v>
      </c>
      <c r="DC230" t="s">
        <v>7290</v>
      </c>
      <c r="DD230" t="s">
        <v>2727</v>
      </c>
      <c r="DE230" t="s">
        <v>1321</v>
      </c>
      <c r="DF230" t="s">
        <v>4479</v>
      </c>
      <c r="DG230" t="s">
        <v>1956</v>
      </c>
      <c r="DH230" t="s">
        <v>6981</v>
      </c>
      <c r="DI230" t="s">
        <v>364</v>
      </c>
      <c r="DJ230">
        <v>2</v>
      </c>
      <c r="DK230">
        <f t="shared" si="154"/>
        <v>551</v>
      </c>
      <c r="DL230">
        <f t="shared" si="155"/>
        <v>228</v>
      </c>
      <c r="DM230">
        <v>208</v>
      </c>
      <c r="DN230" t="str">
        <f t="shared" ca="1" si="139"/>
        <v/>
      </c>
      <c r="DO230" t="str">
        <f t="shared" ca="1" si="140"/>
        <v/>
      </c>
      <c r="DP230" t="str">
        <f t="shared" ca="1" si="141"/>
        <v/>
      </c>
      <c r="DQ230" t="str">
        <f>IF(EXACT(Zauber!$A$250,""),"",IF(EXACT(RIGHT(HLOOKUP(Zauber!$A$250,PROFMAGIE,$DK230,FALSE)),"H"),CONCATENATE($CX230,","),""))</f>
        <v/>
      </c>
      <c r="DR230" t="str">
        <f t="shared" si="142"/>
        <v/>
      </c>
      <c r="DS230" t="str">
        <f>IF(ZS_IAAK="Ja",IF(EXACT(RIGHT(HLOOKUP(Tabellen_Magie!$IK$1,PROFMAGIE,$DK230,FALSE)),"H"),CONCATENATE($CX230,","),""),"")</f>
        <v/>
      </c>
      <c r="DT230" t="str">
        <f>IF(ZS_IAAK="Ja",IF(NOT(DS230=""),"",IF(OR(EXACT(RIGHT(HLOOKUP(Tabellen_Magie!$IK$1,PROFMAGIE,$DK230,FALSE)),"B"),EXACT(HLOOKUP(Tabellen_Magie!$IK$1,PROFMAGIE,$DK230,FALSE),"")),"",CONCATENATE($CX230,","))),"")</f>
        <v/>
      </c>
      <c r="DU230" t="str">
        <f t="shared" si="143"/>
        <v/>
      </c>
      <c r="DW230" t="s">
        <v>2759</v>
      </c>
      <c r="DX230" t="s">
        <v>76</v>
      </c>
      <c r="DY230" t="s">
        <v>77</v>
      </c>
      <c r="DZ230" t="s">
        <v>752</v>
      </c>
      <c r="EB230" t="s">
        <v>1614</v>
      </c>
      <c r="EC230" t="s">
        <v>2328</v>
      </c>
      <c r="ED230">
        <v>50</v>
      </c>
      <c r="EH230">
        <v>0</v>
      </c>
      <c r="FD230" t="s">
        <v>8853</v>
      </c>
      <c r="FE230">
        <f t="shared" si="157"/>
        <v>200</v>
      </c>
      <c r="FF230">
        <f t="shared" si="158"/>
        <v>4</v>
      </c>
      <c r="FK230">
        <v>200</v>
      </c>
      <c r="FL230">
        <v>2</v>
      </c>
      <c r="GH230" t="s">
        <v>3977</v>
      </c>
      <c r="GI230" t="s">
        <v>3290</v>
      </c>
      <c r="GJ230">
        <v>3</v>
      </c>
      <c r="GK230" t="s">
        <v>4116</v>
      </c>
      <c r="GL230" t="s">
        <v>567</v>
      </c>
      <c r="GM230" t="s">
        <v>1983</v>
      </c>
      <c r="GN230" t="s">
        <v>1973</v>
      </c>
      <c r="GO230">
        <v>258</v>
      </c>
      <c r="GP230">
        <v>307</v>
      </c>
      <c r="GR230">
        <f t="shared" si="145"/>
        <v>579</v>
      </c>
      <c r="GU230" t="str">
        <f t="shared" ca="1" si="146"/>
        <v/>
      </c>
      <c r="GV230" t="str">
        <f t="shared" ca="1" si="147"/>
        <v/>
      </c>
      <c r="GW230" t="str">
        <f t="shared" ca="1" si="148"/>
        <v/>
      </c>
      <c r="GX230" t="str">
        <f t="shared" ca="1" si="149"/>
        <v/>
      </c>
    </row>
    <row r="231" spans="63:206" x14ac:dyDescent="0.2">
      <c r="BK231" t="s">
        <v>5711</v>
      </c>
      <c r="BL231">
        <v>7</v>
      </c>
      <c r="BM231">
        <v>12</v>
      </c>
      <c r="BN231">
        <v>12</v>
      </c>
      <c r="BO231">
        <v>0</v>
      </c>
      <c r="BP231" t="s">
        <v>5712</v>
      </c>
      <c r="BQ231">
        <v>1</v>
      </c>
      <c r="BR231">
        <v>2</v>
      </c>
      <c r="BS231" t="s">
        <v>5713</v>
      </c>
      <c r="BT231">
        <v>1</v>
      </c>
      <c r="BU231">
        <v>10</v>
      </c>
      <c r="BW231">
        <v>0</v>
      </c>
      <c r="BY231" t="s">
        <v>4985</v>
      </c>
      <c r="BZ231" t="s">
        <v>4985</v>
      </c>
      <c r="CA231" t="s">
        <v>5714</v>
      </c>
      <c r="CD231" t="s">
        <v>2631</v>
      </c>
      <c r="CE231" t="s">
        <v>4132</v>
      </c>
      <c r="CF231" t="s">
        <v>4605</v>
      </c>
      <c r="CH231" t="s">
        <v>3493</v>
      </c>
      <c r="CL231" t="s">
        <v>4569</v>
      </c>
      <c r="CM231" t="s">
        <v>1532</v>
      </c>
      <c r="CN231" t="s">
        <v>1353</v>
      </c>
      <c r="CU231" t="s">
        <v>7173</v>
      </c>
      <c r="CX231" t="s">
        <v>1679</v>
      </c>
      <c r="CY231" t="s">
        <v>75</v>
      </c>
      <c r="CZ231" t="s">
        <v>76</v>
      </c>
      <c r="DA231" t="s">
        <v>77</v>
      </c>
      <c r="DC231" t="s">
        <v>7290</v>
      </c>
      <c r="DD231" t="s">
        <v>2727</v>
      </c>
      <c r="DE231" t="s">
        <v>1321</v>
      </c>
      <c r="DF231" t="s">
        <v>4479</v>
      </c>
      <c r="DG231" t="s">
        <v>1956</v>
      </c>
      <c r="DH231" t="s">
        <v>6844</v>
      </c>
      <c r="DI231" t="s">
        <v>551</v>
      </c>
      <c r="DJ231">
        <v>2</v>
      </c>
      <c r="DK231">
        <f t="shared" si="154"/>
        <v>552</v>
      </c>
      <c r="DL231">
        <f t="shared" si="155"/>
        <v>229</v>
      </c>
      <c r="DM231">
        <v>208</v>
      </c>
      <c r="DN231" t="str">
        <f t="shared" ca="1" si="139"/>
        <v/>
      </c>
      <c r="DO231" t="str">
        <f t="shared" ca="1" si="140"/>
        <v/>
      </c>
      <c r="DP231" t="str">
        <f t="shared" ca="1" si="141"/>
        <v/>
      </c>
      <c r="DQ231" t="str">
        <f>IF(EXACT(Zauber!$A$250,""),"",IF(EXACT(RIGHT(HLOOKUP(Zauber!$A$250,PROFMAGIE,$DK231,FALSE)),"H"),CONCATENATE($CX231,","),""))</f>
        <v/>
      </c>
      <c r="DR231" t="str">
        <f t="shared" si="142"/>
        <v/>
      </c>
      <c r="DS231" t="str">
        <f>IF(ZS_IAAK="Ja",IF(EXACT(RIGHT(HLOOKUP(Tabellen_Magie!$IK$1,PROFMAGIE,$DK231,FALSE)),"H"),CONCATENATE($CX231,","),""),"")</f>
        <v/>
      </c>
      <c r="DT231" t="str">
        <f>IF(ZS_IAAK="Ja",IF(NOT(DS231=""),"",IF(OR(EXACT(RIGHT(HLOOKUP(Tabellen_Magie!$IK$1,PROFMAGIE,$DK231,FALSE)),"B"),EXACT(HLOOKUP(Tabellen_Magie!$IK$1,PROFMAGIE,$DK231,FALSE),"")),"",CONCATENATE($CX231,","))),"")</f>
        <v/>
      </c>
      <c r="DU231" t="str">
        <f t="shared" si="143"/>
        <v/>
      </c>
      <c r="DW231" t="s">
        <v>2237</v>
      </c>
      <c r="DX231" t="s">
        <v>75</v>
      </c>
      <c r="DY231" t="s">
        <v>76</v>
      </c>
      <c r="DZ231" t="s">
        <v>5030</v>
      </c>
      <c r="EB231" t="s">
        <v>2991</v>
      </c>
      <c r="EC231" t="s">
        <v>2990</v>
      </c>
      <c r="ED231">
        <v>20</v>
      </c>
      <c r="EH231">
        <f t="shared" si="159"/>
        <v>1</v>
      </c>
      <c r="GH231" t="s">
        <v>3978</v>
      </c>
      <c r="GI231" t="s">
        <v>3290</v>
      </c>
      <c r="GJ231">
        <v>3</v>
      </c>
      <c r="GK231" t="s">
        <v>4116</v>
      </c>
      <c r="GL231" t="s">
        <v>2685</v>
      </c>
      <c r="GM231" t="s">
        <v>1982</v>
      </c>
      <c r="GN231" t="s">
        <v>1690</v>
      </c>
      <c r="GO231">
        <v>284</v>
      </c>
      <c r="GP231">
        <v>306</v>
      </c>
      <c r="GR231">
        <f t="shared" si="145"/>
        <v>580</v>
      </c>
      <c r="GU231" t="str">
        <f t="shared" ca="1" si="146"/>
        <v/>
      </c>
      <c r="GV231" t="str">
        <f t="shared" ca="1" si="147"/>
        <v/>
      </c>
      <c r="GW231" t="str">
        <f t="shared" ca="1" si="148"/>
        <v/>
      </c>
      <c r="GX231" t="str">
        <f t="shared" ca="1" si="149"/>
        <v/>
      </c>
    </row>
    <row r="232" spans="63:206" x14ac:dyDescent="0.2">
      <c r="BK232" t="s">
        <v>5715</v>
      </c>
      <c r="BL232" t="s">
        <v>5716</v>
      </c>
      <c r="BM232">
        <v>20</v>
      </c>
      <c r="BN232" t="s">
        <v>5717</v>
      </c>
      <c r="BO232" t="s">
        <v>5718</v>
      </c>
      <c r="BP232" t="s">
        <v>5719</v>
      </c>
      <c r="BQ232" t="s">
        <v>5720</v>
      </c>
      <c r="BR232" t="s">
        <v>5721</v>
      </c>
      <c r="BS232" t="s">
        <v>5722</v>
      </c>
      <c r="BT232" t="s">
        <v>5720</v>
      </c>
      <c r="BU232">
        <v>40</v>
      </c>
      <c r="BW232">
        <v>0</v>
      </c>
      <c r="BY232" t="s">
        <v>4985</v>
      </c>
      <c r="BZ232" t="s">
        <v>4985</v>
      </c>
      <c r="CA232" t="s">
        <v>5723</v>
      </c>
      <c r="CD232" t="s">
        <v>2193</v>
      </c>
      <c r="CE232" t="s">
        <v>4133</v>
      </c>
      <c r="CF232" t="s">
        <v>7570</v>
      </c>
      <c r="CH232" t="s">
        <v>4628</v>
      </c>
      <c r="CM232" t="s">
        <v>285</v>
      </c>
      <c r="CN232" t="s">
        <v>1602</v>
      </c>
      <c r="CU232" t="s">
        <v>283</v>
      </c>
      <c r="CX232" t="s">
        <v>1680</v>
      </c>
      <c r="CY232" t="s">
        <v>75</v>
      </c>
      <c r="CZ232" t="s">
        <v>76</v>
      </c>
      <c r="DA232" t="s">
        <v>77</v>
      </c>
      <c r="DC232" t="s">
        <v>7290</v>
      </c>
      <c r="DD232" t="s">
        <v>2727</v>
      </c>
      <c r="DE232" t="s">
        <v>1321</v>
      </c>
      <c r="DF232" t="s">
        <v>4479</v>
      </c>
      <c r="DG232" t="s">
        <v>1956</v>
      </c>
      <c r="DH232" t="s">
        <v>8438</v>
      </c>
      <c r="DI232" t="s">
        <v>365</v>
      </c>
      <c r="DJ232">
        <v>2</v>
      </c>
      <c r="DK232">
        <f t="shared" si="154"/>
        <v>553</v>
      </c>
      <c r="DL232">
        <f t="shared" si="155"/>
        <v>230</v>
      </c>
      <c r="DM232">
        <v>208</v>
      </c>
      <c r="DN232" t="str">
        <f t="shared" ca="1" si="139"/>
        <v/>
      </c>
      <c r="DO232" t="str">
        <f t="shared" ca="1" si="140"/>
        <v/>
      </c>
      <c r="DP232" t="str">
        <f t="shared" ca="1" si="141"/>
        <v/>
      </c>
      <c r="DQ232" t="str">
        <f>IF(EXACT(Zauber!$A$250,""),"",IF(EXACT(RIGHT(HLOOKUP(Zauber!$A$250,PROFMAGIE,$DK232,FALSE)),"H"),CONCATENATE($CX232,","),""))</f>
        <v/>
      </c>
      <c r="DR232" t="str">
        <f t="shared" si="142"/>
        <v/>
      </c>
      <c r="DS232" t="str">
        <f>IF(ZS_IAAK="Ja",IF(EXACT(RIGHT(HLOOKUP(Tabellen_Magie!$IK$1,PROFMAGIE,$DK232,FALSE)),"H"),CONCATENATE($CX232,","),""),"")</f>
        <v/>
      </c>
      <c r="DT232" t="str">
        <f>IF(ZS_IAAK="Ja",IF(NOT(DS232=""),"",IF(OR(EXACT(RIGHT(HLOOKUP(Tabellen_Magie!$IK$1,PROFMAGIE,$DK232,FALSE)),"B"),EXACT(HLOOKUP(Tabellen_Magie!$IK$1,PROFMAGIE,$DK232,FALSE),"")),"",CONCATENATE($CX232,","))),"")</f>
        <v/>
      </c>
      <c r="DU232" t="str">
        <f t="shared" si="143"/>
        <v/>
      </c>
      <c r="DW232" t="s">
        <v>2061</v>
      </c>
      <c r="DX232" t="s">
        <v>76</v>
      </c>
      <c r="DY232" t="s">
        <v>76</v>
      </c>
      <c r="DZ232" t="s">
        <v>77</v>
      </c>
      <c r="EB232" t="s">
        <v>7266</v>
      </c>
      <c r="EC232" t="s">
        <v>2760</v>
      </c>
      <c r="ED232">
        <v>15</v>
      </c>
      <c r="EH232">
        <f t="shared" si="159"/>
        <v>1</v>
      </c>
      <c r="FD232" t="s">
        <v>1853</v>
      </c>
      <c r="FE232" t="s">
        <v>4006</v>
      </c>
      <c r="FF232" t="s">
        <v>1783</v>
      </c>
      <c r="FK232" t="s">
        <v>4006</v>
      </c>
      <c r="FL232" t="s">
        <v>4912</v>
      </c>
      <c r="GH232" t="s">
        <v>1708</v>
      </c>
      <c r="GI232" t="s">
        <v>3290</v>
      </c>
      <c r="GJ232">
        <v>3</v>
      </c>
      <c r="GK232" t="s">
        <v>1549</v>
      </c>
      <c r="GL232" t="s">
        <v>1977</v>
      </c>
      <c r="GM232" t="s">
        <v>3961</v>
      </c>
      <c r="GN232" t="s">
        <v>1974</v>
      </c>
      <c r="GO232">
        <v>265</v>
      </c>
      <c r="GP232">
        <v>174</v>
      </c>
      <c r="GR232">
        <f t="shared" si="145"/>
        <v>581</v>
      </c>
      <c r="GU232" t="str">
        <f t="shared" ca="1" si="146"/>
        <v/>
      </c>
      <c r="GV232" t="str">
        <f t="shared" ca="1" si="147"/>
        <v/>
      </c>
      <c r="GW232" t="str">
        <f t="shared" ca="1" si="148"/>
        <v/>
      </c>
      <c r="GX232" t="str">
        <f t="shared" ca="1" si="149"/>
        <v/>
      </c>
    </row>
    <row r="233" spans="63:206" x14ac:dyDescent="0.2">
      <c r="BK233" t="s">
        <v>5724</v>
      </c>
      <c r="BL233">
        <v>10</v>
      </c>
      <c r="BM233">
        <v>11</v>
      </c>
      <c r="BN233">
        <v>13</v>
      </c>
      <c r="BO233">
        <v>0</v>
      </c>
      <c r="BP233" t="s">
        <v>5725</v>
      </c>
      <c r="BQ233">
        <v>2</v>
      </c>
      <c r="BR233">
        <v>4</v>
      </c>
      <c r="BS233">
        <v>8</v>
      </c>
      <c r="BT233">
        <v>2</v>
      </c>
      <c r="BU233">
        <v>15</v>
      </c>
      <c r="BW233">
        <v>0</v>
      </c>
      <c r="BY233" t="s">
        <v>4985</v>
      </c>
      <c r="BZ233" t="s">
        <v>4985</v>
      </c>
      <c r="CA233" t="s">
        <v>5726</v>
      </c>
      <c r="CE233" t="s">
        <v>4271</v>
      </c>
      <c r="CF233" t="s">
        <v>1798</v>
      </c>
      <c r="CH233" t="s">
        <v>7578</v>
      </c>
      <c r="CM233" t="s">
        <v>1208</v>
      </c>
      <c r="CN233" t="s">
        <v>1354</v>
      </c>
      <c r="CU233" t="s">
        <v>4762</v>
      </c>
      <c r="CX233" t="s">
        <v>1681</v>
      </c>
      <c r="CY233" t="s">
        <v>75</v>
      </c>
      <c r="CZ233" t="s">
        <v>76</v>
      </c>
      <c r="DA233" t="s">
        <v>77</v>
      </c>
      <c r="DC233" t="s">
        <v>7290</v>
      </c>
      <c r="DD233" t="s">
        <v>2727</v>
      </c>
      <c r="DE233" t="s">
        <v>1321</v>
      </c>
      <c r="DF233" t="s">
        <v>4479</v>
      </c>
      <c r="DG233" t="s">
        <v>1956</v>
      </c>
      <c r="DH233" t="s">
        <v>6982</v>
      </c>
      <c r="DI233" t="s">
        <v>366</v>
      </c>
      <c r="DJ233">
        <v>2</v>
      </c>
      <c r="DK233">
        <f t="shared" si="154"/>
        <v>554</v>
      </c>
      <c r="DL233">
        <f t="shared" si="155"/>
        <v>231</v>
      </c>
      <c r="DM233">
        <v>208</v>
      </c>
      <c r="DN233" t="str">
        <f t="shared" ca="1" si="139"/>
        <v/>
      </c>
      <c r="DO233" t="str">
        <f t="shared" ca="1" si="140"/>
        <v/>
      </c>
      <c r="DP233" t="str">
        <f t="shared" ca="1" si="141"/>
        <v/>
      </c>
      <c r="DQ233" t="str">
        <f>IF(EXACT(Zauber!$A$250,""),"",IF(EXACT(RIGHT(HLOOKUP(Zauber!$A$250,PROFMAGIE,$DK233,FALSE)),"H"),CONCATENATE($CX233,","),""))</f>
        <v/>
      </c>
      <c r="DR233" t="str">
        <f t="shared" si="142"/>
        <v/>
      </c>
      <c r="DS233" t="str">
        <f>IF(ZS_IAAK="Ja",IF(EXACT(RIGHT(HLOOKUP(Tabellen_Magie!$IK$1,PROFMAGIE,$DK233,FALSE)),"H"),CONCATENATE($CX233,","),""),"")</f>
        <v/>
      </c>
      <c r="DT233" t="str">
        <f>IF(ZS_IAAK="Ja",IF(NOT(DS233=""),"",IF(OR(EXACT(RIGHT(HLOOKUP(Tabellen_Magie!$IK$1,PROFMAGIE,$DK233,FALSE)),"B"),EXACT(HLOOKUP(Tabellen_Magie!$IK$1,PROFMAGIE,$DK233,FALSE),"")),"",CONCATENATE($CX233,","))),"")</f>
        <v/>
      </c>
      <c r="DU233" t="str">
        <f t="shared" si="143"/>
        <v/>
      </c>
      <c r="DW233" t="s">
        <v>2757</v>
      </c>
      <c r="DX233" t="s">
        <v>76</v>
      </c>
      <c r="DY233" t="s">
        <v>76</v>
      </c>
      <c r="DZ233" t="s">
        <v>751</v>
      </c>
      <c r="EB233" t="s">
        <v>2991</v>
      </c>
      <c r="EC233" t="s">
        <v>2344</v>
      </c>
      <c r="ED233">
        <v>15</v>
      </c>
      <c r="EH233">
        <f t="shared" si="159"/>
        <v>1</v>
      </c>
      <c r="FD233" t="s">
        <v>8857</v>
      </c>
      <c r="FE233">
        <f t="shared" ref="FE233:FE239" si="160">ROUND(FK233*IF(NT_ELFWELT,IF(FN233,1,1.5),1),0)</f>
        <v>150</v>
      </c>
      <c r="FF233">
        <f t="shared" si="158"/>
        <v>3</v>
      </c>
      <c r="FK233">
        <v>150</v>
      </c>
      <c r="FL233">
        <v>1</v>
      </c>
      <c r="GH233" t="s">
        <v>3511</v>
      </c>
      <c r="GI233" t="s">
        <v>3290</v>
      </c>
      <c r="GJ233">
        <v>3</v>
      </c>
      <c r="GK233" t="s">
        <v>4484</v>
      </c>
      <c r="GL233" t="s">
        <v>567</v>
      </c>
      <c r="GM233" t="s">
        <v>1982</v>
      </c>
      <c r="GN233" t="s">
        <v>1974</v>
      </c>
      <c r="GO233">
        <v>266</v>
      </c>
      <c r="GP233">
        <v>309</v>
      </c>
      <c r="GR233">
        <f t="shared" si="145"/>
        <v>582</v>
      </c>
      <c r="GU233" t="str">
        <f t="shared" ca="1" si="146"/>
        <v/>
      </c>
      <c r="GV233" t="str">
        <f t="shared" ca="1" si="147"/>
        <v/>
      </c>
      <c r="GW233" t="str">
        <f t="shared" ca="1" si="148"/>
        <v/>
      </c>
      <c r="GX233" t="str">
        <f t="shared" ca="1" si="149"/>
        <v/>
      </c>
    </row>
    <row r="234" spans="63:206" x14ac:dyDescent="0.2">
      <c r="BK234" t="s">
        <v>5727</v>
      </c>
      <c r="BL234">
        <v>9</v>
      </c>
      <c r="BM234">
        <v>13</v>
      </c>
      <c r="BN234">
        <v>8</v>
      </c>
      <c r="BO234">
        <v>5</v>
      </c>
      <c r="BP234" t="s">
        <v>5728</v>
      </c>
      <c r="BQ234">
        <v>2</v>
      </c>
      <c r="BR234">
        <v>25</v>
      </c>
      <c r="BS234" t="s">
        <v>5729</v>
      </c>
      <c r="BT234">
        <v>5</v>
      </c>
      <c r="BU234">
        <v>20</v>
      </c>
      <c r="BW234">
        <v>0</v>
      </c>
      <c r="BY234" t="s">
        <v>4985</v>
      </c>
      <c r="BZ234" t="s">
        <v>4985</v>
      </c>
      <c r="CA234" t="s">
        <v>5730</v>
      </c>
      <c r="CE234" t="s">
        <v>4626</v>
      </c>
      <c r="CF234" t="s">
        <v>7577</v>
      </c>
      <c r="CH234" t="s">
        <v>1440</v>
      </c>
      <c r="CM234" t="s">
        <v>332</v>
      </c>
      <c r="CN234" t="s">
        <v>1355</v>
      </c>
      <c r="CU234" t="s">
        <v>7174</v>
      </c>
      <c r="CX234" t="s">
        <v>1683</v>
      </c>
      <c r="CY234" t="s">
        <v>75</v>
      </c>
      <c r="CZ234" t="s">
        <v>76</v>
      </c>
      <c r="DA234" t="s">
        <v>77</v>
      </c>
      <c r="DC234" t="s">
        <v>7290</v>
      </c>
      <c r="DD234" t="s">
        <v>2727</v>
      </c>
      <c r="DE234" t="s">
        <v>1321</v>
      </c>
      <c r="DF234" t="s">
        <v>4479</v>
      </c>
      <c r="DG234" t="s">
        <v>1956</v>
      </c>
      <c r="DH234" t="s">
        <v>6983</v>
      </c>
      <c r="DI234" t="s">
        <v>722</v>
      </c>
      <c r="DJ234">
        <v>2</v>
      </c>
      <c r="DK234">
        <f t="shared" si="154"/>
        <v>555</v>
      </c>
      <c r="DL234">
        <f t="shared" si="155"/>
        <v>232</v>
      </c>
      <c r="DM234">
        <v>208</v>
      </c>
      <c r="DN234" t="str">
        <f t="shared" ca="1" si="139"/>
        <v/>
      </c>
      <c r="DO234" t="str">
        <f t="shared" ca="1" si="140"/>
        <v/>
      </c>
      <c r="DP234" t="str">
        <f t="shared" ca="1" si="141"/>
        <v/>
      </c>
      <c r="DQ234" t="str">
        <f>IF(EXACT(Zauber!$A$250,""),"",IF(EXACT(RIGHT(HLOOKUP(Zauber!$A$250,PROFMAGIE,$DK234,FALSE)),"H"),CONCATENATE($CX234,","),""))</f>
        <v/>
      </c>
      <c r="DR234" t="str">
        <f t="shared" si="142"/>
        <v/>
      </c>
      <c r="DS234" t="str">
        <f>IF(ZS_IAAK="Ja",IF(EXACT(RIGHT(HLOOKUP(Tabellen_Magie!$IK$1,PROFMAGIE,$DK234,FALSE)),"H"),CONCATENATE($CX234,","),""),"")</f>
        <v/>
      </c>
      <c r="DT234" t="str">
        <f>IF(ZS_IAAK="Ja",IF(NOT(DS234=""),"",IF(OR(EXACT(RIGHT(HLOOKUP(Tabellen_Magie!$IK$1,PROFMAGIE,$DK234,FALSE)),"B"),EXACT(HLOOKUP(Tabellen_Magie!$IK$1,PROFMAGIE,$DK234,FALSE),"")),"",CONCATENATE($CX234,","))),"")</f>
        <v/>
      </c>
      <c r="DU234" t="str">
        <f t="shared" si="143"/>
        <v/>
      </c>
      <c r="DW234" t="s">
        <v>2062</v>
      </c>
      <c r="DX234" t="s">
        <v>75</v>
      </c>
      <c r="DY234" t="s">
        <v>76</v>
      </c>
      <c r="DZ234" t="s">
        <v>76</v>
      </c>
      <c r="EB234" t="s">
        <v>484</v>
      </c>
      <c r="EC234" t="s">
        <v>2761</v>
      </c>
      <c r="ED234">
        <v>15</v>
      </c>
      <c r="EH234">
        <f t="shared" si="159"/>
        <v>1</v>
      </c>
      <c r="FD234" t="s">
        <v>8858</v>
      </c>
      <c r="FE234">
        <f t="shared" si="160"/>
        <v>200</v>
      </c>
      <c r="FF234">
        <f t="shared" si="158"/>
        <v>4</v>
      </c>
      <c r="FK234">
        <v>200</v>
      </c>
      <c r="FL234">
        <v>3</v>
      </c>
      <c r="GH234" t="s">
        <v>4704</v>
      </c>
      <c r="GI234" t="s">
        <v>3290</v>
      </c>
      <c r="GJ234">
        <v>3</v>
      </c>
      <c r="GK234" t="s">
        <v>4116</v>
      </c>
      <c r="GL234" t="s">
        <v>567</v>
      </c>
      <c r="GM234" t="s">
        <v>1982</v>
      </c>
      <c r="GN234" t="s">
        <v>1690</v>
      </c>
      <c r="GO234">
        <v>270</v>
      </c>
      <c r="GP234">
        <v>320</v>
      </c>
      <c r="GR234">
        <f t="shared" si="145"/>
        <v>583</v>
      </c>
      <c r="GU234" t="str">
        <f t="shared" ca="1" si="146"/>
        <v/>
      </c>
      <c r="GV234" t="str">
        <f t="shared" ca="1" si="147"/>
        <v/>
      </c>
      <c r="GW234" t="str">
        <f t="shared" ca="1" si="148"/>
        <v/>
      </c>
      <c r="GX234" t="str">
        <f t="shared" ca="1" si="149"/>
        <v/>
      </c>
    </row>
    <row r="235" spans="63:206" x14ac:dyDescent="0.2">
      <c r="BK235" t="s">
        <v>5731</v>
      </c>
      <c r="BL235">
        <v>9</v>
      </c>
      <c r="BM235">
        <v>13</v>
      </c>
      <c r="BN235">
        <v>8</v>
      </c>
      <c r="BO235">
        <v>5</v>
      </c>
      <c r="BP235" t="s">
        <v>5728</v>
      </c>
      <c r="BQ235">
        <v>2</v>
      </c>
      <c r="BR235">
        <v>25</v>
      </c>
      <c r="BS235" t="s">
        <v>5729</v>
      </c>
      <c r="BT235">
        <v>5</v>
      </c>
      <c r="BU235">
        <v>20</v>
      </c>
      <c r="BW235">
        <v>0</v>
      </c>
      <c r="BY235" t="s">
        <v>4985</v>
      </c>
      <c r="BZ235" t="s">
        <v>4985</v>
      </c>
      <c r="CA235" t="s">
        <v>5732</v>
      </c>
      <c r="CE235" t="s">
        <v>4629</v>
      </c>
      <c r="CF235" t="s">
        <v>324</v>
      </c>
      <c r="CH235" t="s">
        <v>7170</v>
      </c>
      <c r="CM235" t="s">
        <v>2632</v>
      </c>
      <c r="CU235" t="s">
        <v>284</v>
      </c>
      <c r="CX235" t="s">
        <v>5072</v>
      </c>
      <c r="CY235" t="s">
        <v>74</v>
      </c>
      <c r="CZ235" t="s">
        <v>74</v>
      </c>
      <c r="DA235" t="s">
        <v>5030</v>
      </c>
      <c r="DC235" t="s">
        <v>7309</v>
      </c>
      <c r="DD235" t="s">
        <v>7369</v>
      </c>
      <c r="DE235" t="s">
        <v>3142</v>
      </c>
      <c r="DF235" t="s">
        <v>1730</v>
      </c>
      <c r="DG235" t="s">
        <v>3916</v>
      </c>
      <c r="DH235" t="s">
        <v>6984</v>
      </c>
      <c r="DI235" t="s">
        <v>4345</v>
      </c>
      <c r="DJ235">
        <v>2</v>
      </c>
      <c r="DK235">
        <f t="shared" si="154"/>
        <v>556</v>
      </c>
      <c r="DL235">
        <f t="shared" si="155"/>
        <v>233</v>
      </c>
      <c r="DM235">
        <v>210</v>
      </c>
      <c r="DN235" t="str">
        <f t="shared" ca="1" si="139"/>
        <v/>
      </c>
      <c r="DO235" t="str">
        <f t="shared" ca="1" si="140"/>
        <v/>
      </c>
      <c r="DP235" t="str">
        <f t="shared" ca="1" si="141"/>
        <v/>
      </c>
      <c r="DQ235" t="str">
        <f>IF(EXACT(Zauber!$A$250,""),"",IF(EXACT(RIGHT(HLOOKUP(Zauber!$A$250,PROFMAGIE,$DK235,FALSE)),"H"),CONCATENATE($CX235,","),""))</f>
        <v/>
      </c>
      <c r="DR235" t="str">
        <f t="shared" si="142"/>
        <v/>
      </c>
      <c r="DS235" t="str">
        <f>IF(ZS_IAAK="Ja",IF(EXACT(RIGHT(HLOOKUP(Tabellen_Magie!$IK$1,PROFMAGIE,$DK235,FALSE)),"H"),CONCATENATE($CX235,","),""),"")</f>
        <v/>
      </c>
      <c r="DT235" t="str">
        <f>IF(ZS_IAAK="Ja",IF(NOT(DS235=""),"",IF(OR(EXACT(RIGHT(HLOOKUP(Tabellen_Magie!$IK$1,PROFMAGIE,$DK235,FALSE)),"B"),EXACT(HLOOKUP(Tabellen_Magie!$IK$1,PROFMAGIE,$DK235,FALSE),"")),"",CONCATENATE($CX235,","))),"")</f>
        <v/>
      </c>
      <c r="DU235" t="str">
        <f t="shared" si="143"/>
        <v/>
      </c>
      <c r="DW235" t="s">
        <v>1964</v>
      </c>
      <c r="DX235" t="s">
        <v>76</v>
      </c>
      <c r="DY235" t="s">
        <v>76</v>
      </c>
      <c r="DZ235" t="s">
        <v>77</v>
      </c>
      <c r="EB235" t="s">
        <v>8672</v>
      </c>
      <c r="EC235" t="s">
        <v>4565</v>
      </c>
      <c r="ED235">
        <v>20</v>
      </c>
      <c r="EH235">
        <f t="shared" si="159"/>
        <v>1</v>
      </c>
      <c r="FD235" t="s">
        <v>8859</v>
      </c>
      <c r="FE235">
        <f t="shared" si="160"/>
        <v>100</v>
      </c>
      <c r="FF235">
        <f t="shared" si="158"/>
        <v>2</v>
      </c>
      <c r="FK235">
        <v>100</v>
      </c>
      <c r="FL235">
        <v>4</v>
      </c>
      <c r="GH235" t="s">
        <v>4705</v>
      </c>
      <c r="GI235" t="s">
        <v>3290</v>
      </c>
      <c r="GJ235">
        <v>3</v>
      </c>
      <c r="GK235" t="s">
        <v>4116</v>
      </c>
      <c r="GL235" t="s">
        <v>1977</v>
      </c>
      <c r="GM235" t="s">
        <v>1369</v>
      </c>
      <c r="GN235" t="s">
        <v>1690</v>
      </c>
      <c r="GO235">
        <v>260</v>
      </c>
      <c r="GP235">
        <v>321</v>
      </c>
      <c r="GR235">
        <f t="shared" si="145"/>
        <v>584</v>
      </c>
      <c r="GU235" t="str">
        <f t="shared" ca="1" si="146"/>
        <v/>
      </c>
      <c r="GV235" t="str">
        <f t="shared" ca="1" si="147"/>
        <v/>
      </c>
      <c r="GW235" t="str">
        <f t="shared" ca="1" si="148"/>
        <v/>
      </c>
      <c r="GX235" t="str">
        <f t="shared" ca="1" si="149"/>
        <v/>
      </c>
    </row>
    <row r="236" spans="63:206" x14ac:dyDescent="0.2">
      <c r="BK236" t="s">
        <v>5733</v>
      </c>
      <c r="BL236">
        <v>13</v>
      </c>
      <c r="BM236">
        <v>10</v>
      </c>
      <c r="BN236">
        <v>12</v>
      </c>
      <c r="BO236">
        <v>0</v>
      </c>
      <c r="BP236" t="s">
        <v>5734</v>
      </c>
      <c r="BQ236">
        <v>0</v>
      </c>
      <c r="BR236">
        <v>1</v>
      </c>
      <c r="BS236">
        <v>8</v>
      </c>
      <c r="BT236">
        <v>1</v>
      </c>
      <c r="BU236">
        <v>20</v>
      </c>
      <c r="BW236">
        <v>0</v>
      </c>
      <c r="BY236" t="s">
        <v>4985</v>
      </c>
      <c r="BZ236" t="s">
        <v>4985</v>
      </c>
      <c r="CA236" t="s">
        <v>5735</v>
      </c>
      <c r="CE236" t="s">
        <v>7166</v>
      </c>
      <c r="CF236" t="s">
        <v>7580</v>
      </c>
      <c r="CH236" t="s">
        <v>1442</v>
      </c>
      <c r="CU236" t="s">
        <v>1208</v>
      </c>
      <c r="CX236" t="s">
        <v>2442</v>
      </c>
      <c r="CY236" t="s">
        <v>77</v>
      </c>
      <c r="CZ236" t="s">
        <v>751</v>
      </c>
      <c r="DA236" t="s">
        <v>752</v>
      </c>
      <c r="DB236" t="s">
        <v>1613</v>
      </c>
      <c r="DC236" t="s">
        <v>7291</v>
      </c>
      <c r="DD236" t="s">
        <v>4411</v>
      </c>
      <c r="DE236" t="s">
        <v>3380</v>
      </c>
      <c r="DF236" t="s">
        <v>4412</v>
      </c>
      <c r="DG236" t="s">
        <v>1321</v>
      </c>
      <c r="DH236" t="s">
        <v>6985</v>
      </c>
      <c r="DI236" t="s">
        <v>2940</v>
      </c>
      <c r="DJ236">
        <v>2</v>
      </c>
      <c r="DK236">
        <f t="shared" si="154"/>
        <v>557</v>
      </c>
      <c r="DL236">
        <f t="shared" si="155"/>
        <v>234</v>
      </c>
      <c r="DM236">
        <v>211</v>
      </c>
      <c r="DN236" t="str">
        <f t="shared" ca="1" si="139"/>
        <v/>
      </c>
      <c r="DO236" t="str">
        <f t="shared" ca="1" si="140"/>
        <v/>
      </c>
      <c r="DP236" t="str">
        <f t="shared" ca="1" si="141"/>
        <v/>
      </c>
      <c r="DQ236" t="str">
        <f>IF(EXACT(Zauber!$A$250,""),"",IF(EXACT(RIGHT(HLOOKUP(Zauber!$A$250,PROFMAGIE,$DK236,FALSE)),"H"),CONCATENATE($CX236,","),""))</f>
        <v/>
      </c>
      <c r="DR236" t="str">
        <f t="shared" si="142"/>
        <v/>
      </c>
      <c r="DS236" t="str">
        <f>IF(ZS_IAAK="Ja",IF(EXACT(RIGHT(HLOOKUP(Tabellen_Magie!$IK$1,PROFMAGIE,$DK236,FALSE)),"H"),CONCATENATE($CX236,","),""),"")</f>
        <v/>
      </c>
      <c r="DT236" t="str">
        <f>IF(ZS_IAAK="Ja",IF(NOT(DS236=""),"",IF(OR(EXACT(RIGHT(HLOOKUP(Tabellen_Magie!$IK$1,PROFMAGIE,$DK236,FALSE)),"B"),EXACT(HLOOKUP(Tabellen_Magie!$IK$1,PROFMAGIE,$DK236,FALSE),"")),"",CONCATENATE($CX236,","))),"")</f>
        <v/>
      </c>
      <c r="DU236" t="str">
        <f t="shared" si="143"/>
        <v/>
      </c>
      <c r="DW236" t="s">
        <v>7267</v>
      </c>
      <c r="DX236" t="s">
        <v>76</v>
      </c>
      <c r="DY236" t="s">
        <v>76</v>
      </c>
      <c r="DZ236" t="s">
        <v>77</v>
      </c>
      <c r="EB236" t="s">
        <v>2100</v>
      </c>
      <c r="EC236" t="s">
        <v>2573</v>
      </c>
      <c r="ED236">
        <v>15</v>
      </c>
      <c r="EH236">
        <f t="shared" si="159"/>
        <v>1</v>
      </c>
      <c r="FD236" t="s">
        <v>8860</v>
      </c>
      <c r="FE236">
        <f t="shared" si="160"/>
        <v>100</v>
      </c>
      <c r="FF236">
        <f t="shared" si="158"/>
        <v>2</v>
      </c>
      <c r="FK236">
        <v>100</v>
      </c>
      <c r="FL236">
        <v>4</v>
      </c>
      <c r="GH236" t="s">
        <v>4706</v>
      </c>
      <c r="GI236" t="s">
        <v>3290</v>
      </c>
      <c r="GJ236">
        <v>3</v>
      </c>
      <c r="GK236" t="s">
        <v>4116</v>
      </c>
      <c r="GL236" t="s">
        <v>1976</v>
      </c>
      <c r="GM236" t="s">
        <v>1982</v>
      </c>
      <c r="GN236" t="s">
        <v>1973</v>
      </c>
      <c r="GO236">
        <v>276</v>
      </c>
      <c r="GP236">
        <v>323</v>
      </c>
      <c r="GR236">
        <f t="shared" si="145"/>
        <v>585</v>
      </c>
      <c r="GU236" t="str">
        <f t="shared" ca="1" si="146"/>
        <v/>
      </c>
      <c r="GV236" t="str">
        <f t="shared" ca="1" si="147"/>
        <v/>
      </c>
      <c r="GW236" t="str">
        <f t="shared" ca="1" si="148"/>
        <v/>
      </c>
      <c r="GX236" t="str">
        <f t="shared" ca="1" si="149"/>
        <v/>
      </c>
    </row>
    <row r="237" spans="63:206" x14ac:dyDescent="0.2">
      <c r="BK237" t="s">
        <v>5736</v>
      </c>
      <c r="BL237" t="s">
        <v>5737</v>
      </c>
      <c r="BM237" t="s">
        <v>5738</v>
      </c>
      <c r="BN237">
        <v>8</v>
      </c>
      <c r="BO237" t="s">
        <v>5739</v>
      </c>
      <c r="BP237" t="s">
        <v>5740</v>
      </c>
      <c r="BQ237">
        <v>2</v>
      </c>
      <c r="BR237" t="s">
        <v>5741</v>
      </c>
      <c r="BS237" t="s">
        <v>5742</v>
      </c>
      <c r="BT237" t="s">
        <v>5743</v>
      </c>
      <c r="BU237">
        <v>40</v>
      </c>
      <c r="BW237">
        <v>0</v>
      </c>
      <c r="BY237" t="s">
        <v>4985</v>
      </c>
      <c r="BZ237" t="s">
        <v>4985</v>
      </c>
      <c r="CA237" t="s">
        <v>4985</v>
      </c>
      <c r="CE237" t="s">
        <v>2708</v>
      </c>
      <c r="CH237" t="s">
        <v>2192</v>
      </c>
      <c r="CU237" t="s">
        <v>477</v>
      </c>
      <c r="CX237" t="s">
        <v>2443</v>
      </c>
      <c r="CY237" t="s">
        <v>74</v>
      </c>
      <c r="CZ237" t="s">
        <v>76</v>
      </c>
      <c r="DA237" t="s">
        <v>77</v>
      </c>
      <c r="DB237" t="s">
        <v>1613</v>
      </c>
      <c r="DC237" t="s">
        <v>7292</v>
      </c>
      <c r="DD237" t="s">
        <v>1134</v>
      </c>
      <c r="DE237" t="s">
        <v>4413</v>
      </c>
      <c r="DF237" t="s">
        <v>1358</v>
      </c>
      <c r="DG237" t="s">
        <v>1955</v>
      </c>
      <c r="DH237" t="s">
        <v>8439</v>
      </c>
      <c r="DI237" t="s">
        <v>3507</v>
      </c>
      <c r="DJ237">
        <v>2</v>
      </c>
      <c r="DK237">
        <f t="shared" si="154"/>
        <v>558</v>
      </c>
      <c r="DL237">
        <f t="shared" si="155"/>
        <v>235</v>
      </c>
      <c r="DM237">
        <v>212</v>
      </c>
      <c r="DN237" t="str">
        <f t="shared" ca="1" si="139"/>
        <v/>
      </c>
      <c r="DO237" t="str">
        <f t="shared" ca="1" si="140"/>
        <v/>
      </c>
      <c r="DP237" t="str">
        <f t="shared" ca="1" si="141"/>
        <v/>
      </c>
      <c r="DQ237" t="str">
        <f>IF(EXACT(Zauber!$A$250,""),"",IF(EXACT(RIGHT(HLOOKUP(Zauber!$A$250,PROFMAGIE,$DK237,FALSE)),"H"),CONCATENATE($CX237,","),""))</f>
        <v/>
      </c>
      <c r="DR237" t="str">
        <f t="shared" si="142"/>
        <v/>
      </c>
      <c r="DS237" t="str">
        <f>IF(ZS_IAAK="Ja",IF(EXACT(RIGHT(HLOOKUP(Tabellen_Magie!$IK$1,PROFMAGIE,$DK237,FALSE)),"H"),CONCATENATE($CX237,","),""),"")</f>
        <v/>
      </c>
      <c r="DT237" t="str">
        <f>IF(ZS_IAAK="Ja",IF(NOT(DS237=""),"",IF(OR(EXACT(RIGHT(HLOOKUP(Tabellen_Magie!$IK$1,PROFMAGIE,$DK237,FALSE)),"B"),EXACT(HLOOKUP(Tabellen_Magie!$IK$1,PROFMAGIE,$DK237,FALSE),"")),"",CONCATENATE($CX237,","))),"")</f>
        <v/>
      </c>
      <c r="DU237" t="str">
        <f t="shared" si="143"/>
        <v/>
      </c>
      <c r="DW237" t="s">
        <v>2060</v>
      </c>
      <c r="DX237" t="s">
        <v>75</v>
      </c>
      <c r="DY237" t="s">
        <v>76</v>
      </c>
      <c r="DZ237" t="s">
        <v>76</v>
      </c>
      <c r="EB237" t="s">
        <v>1974</v>
      </c>
      <c r="EC237" t="s">
        <v>2344</v>
      </c>
      <c r="ED237">
        <v>10</v>
      </c>
      <c r="EH237">
        <v>0</v>
      </c>
      <c r="FD237" t="s">
        <v>3678</v>
      </c>
      <c r="FE237">
        <f t="shared" si="160"/>
        <v>250</v>
      </c>
      <c r="FF237">
        <f t="shared" si="158"/>
        <v>5</v>
      </c>
      <c r="FK237">
        <v>250</v>
      </c>
      <c r="FL237">
        <v>2</v>
      </c>
      <c r="GH237" t="s">
        <v>4707</v>
      </c>
      <c r="GI237" t="s">
        <v>3290</v>
      </c>
      <c r="GJ237">
        <v>3</v>
      </c>
      <c r="GK237" t="s">
        <v>1320</v>
      </c>
      <c r="GL237" t="s">
        <v>567</v>
      </c>
      <c r="GM237" t="s">
        <v>3961</v>
      </c>
      <c r="GN237" t="s">
        <v>1974</v>
      </c>
      <c r="GO237">
        <v>270</v>
      </c>
      <c r="GP237">
        <v>172</v>
      </c>
      <c r="GR237">
        <f t="shared" si="145"/>
        <v>586</v>
      </c>
      <c r="GS237">
        <v>4</v>
      </c>
      <c r="GU237" t="str">
        <f t="shared" ca="1" si="146"/>
        <v/>
      </c>
      <c r="GV237" t="str">
        <f t="shared" ca="1" si="147"/>
        <v/>
      </c>
      <c r="GW237" t="str">
        <f t="shared" ca="1" si="148"/>
        <v/>
      </c>
      <c r="GX237" t="str">
        <f t="shared" ca="1" si="149"/>
        <v/>
      </c>
    </row>
    <row r="238" spans="63:206" x14ac:dyDescent="0.2">
      <c r="BK238" t="s">
        <v>5744</v>
      </c>
      <c r="BL238">
        <v>12</v>
      </c>
      <c r="BM238">
        <v>12</v>
      </c>
      <c r="BN238" t="s">
        <v>5745</v>
      </c>
      <c r="BO238">
        <v>5</v>
      </c>
      <c r="BP238" t="s">
        <v>5312</v>
      </c>
      <c r="BQ238">
        <v>6</v>
      </c>
      <c r="BR238">
        <v>10</v>
      </c>
      <c r="BS238" t="s">
        <v>5746</v>
      </c>
      <c r="BT238">
        <v>5</v>
      </c>
      <c r="BU238">
        <v>25</v>
      </c>
      <c r="BW238">
        <v>0</v>
      </c>
      <c r="BY238" t="s">
        <v>4985</v>
      </c>
      <c r="BZ238" t="s">
        <v>4985</v>
      </c>
      <c r="CA238" t="s">
        <v>5747</v>
      </c>
      <c r="CE238" t="s">
        <v>7167</v>
      </c>
      <c r="CH238" t="s">
        <v>4280</v>
      </c>
      <c r="CU238" t="s">
        <v>478</v>
      </c>
      <c r="CX238" t="s">
        <v>2444</v>
      </c>
      <c r="CY238" t="s">
        <v>75</v>
      </c>
      <c r="CZ238" t="s">
        <v>77</v>
      </c>
      <c r="DA238" t="s">
        <v>5030</v>
      </c>
      <c r="DC238" t="s">
        <v>7311</v>
      </c>
      <c r="DD238" t="s">
        <v>4414</v>
      </c>
      <c r="DE238" t="s">
        <v>4484</v>
      </c>
      <c r="DF238" t="s">
        <v>1388</v>
      </c>
      <c r="DG238" t="s">
        <v>3916</v>
      </c>
      <c r="DH238" t="s">
        <v>6912</v>
      </c>
      <c r="DI238" t="s">
        <v>8462</v>
      </c>
      <c r="DJ238">
        <v>2</v>
      </c>
      <c r="DK238">
        <f t="shared" si="154"/>
        <v>559</v>
      </c>
      <c r="DL238">
        <f t="shared" si="155"/>
        <v>236</v>
      </c>
      <c r="DM238">
        <v>213</v>
      </c>
      <c r="DN238" t="str">
        <f t="shared" ca="1" si="139"/>
        <v/>
      </c>
      <c r="DO238" t="str">
        <f t="shared" ca="1" si="140"/>
        <v/>
      </c>
      <c r="DP238" t="str">
        <f t="shared" ca="1" si="141"/>
        <v/>
      </c>
      <c r="DQ238" t="str">
        <f>IF(EXACT(Zauber!$A$250,""),"",IF(EXACT(RIGHT(HLOOKUP(Zauber!$A$250,PROFMAGIE,$DK238,FALSE)),"H"),CONCATENATE($CX238,","),""))</f>
        <v/>
      </c>
      <c r="DR238" t="str">
        <f t="shared" si="142"/>
        <v/>
      </c>
      <c r="DS238" t="str">
        <f>IF(ZS_IAAK="Ja",IF(EXACT(RIGHT(HLOOKUP(Tabellen_Magie!$IK$1,PROFMAGIE,$DK238,FALSE)),"H"),CONCATENATE($CX238,","),""),"")</f>
        <v/>
      </c>
      <c r="DT238" t="str">
        <f>IF(ZS_IAAK="Ja",IF(NOT(DS238=""),"",IF(OR(EXACT(RIGHT(HLOOKUP(Tabellen_Magie!$IK$1,PROFMAGIE,$DK238,FALSE)),"B"),EXACT(HLOOKUP(Tabellen_Magie!$IK$1,PROFMAGIE,$DK238,FALSE),"")),"",CONCATENATE($CX238,","))),"")</f>
        <v/>
      </c>
      <c r="DU238" t="str">
        <f t="shared" si="143"/>
        <v/>
      </c>
      <c r="DW238" t="s">
        <v>2662</v>
      </c>
      <c r="FD238" t="s">
        <v>8861</v>
      </c>
      <c r="FE238">
        <f t="shared" si="160"/>
        <v>150</v>
      </c>
      <c r="FF238">
        <f t="shared" si="158"/>
        <v>3</v>
      </c>
      <c r="FK238">
        <v>150</v>
      </c>
      <c r="FL238">
        <v>3</v>
      </c>
      <c r="GH238" t="s">
        <v>4708</v>
      </c>
      <c r="GI238" t="s">
        <v>3290</v>
      </c>
      <c r="GJ238">
        <v>3</v>
      </c>
      <c r="GK238" t="s">
        <v>4116</v>
      </c>
      <c r="GL238" t="s">
        <v>1978</v>
      </c>
      <c r="GM238" t="s">
        <v>1369</v>
      </c>
      <c r="GN238" t="s">
        <v>1973</v>
      </c>
      <c r="GO238">
        <v>258</v>
      </c>
      <c r="GP238">
        <v>327</v>
      </c>
      <c r="GR238">
        <f t="shared" si="145"/>
        <v>587</v>
      </c>
      <c r="GU238" t="str">
        <f t="shared" ca="1" si="146"/>
        <v/>
      </c>
      <c r="GV238" t="str">
        <f t="shared" ca="1" si="147"/>
        <v/>
      </c>
      <c r="GW238" t="str">
        <f t="shared" ca="1" si="148"/>
        <v/>
      </c>
      <c r="GX238" t="str">
        <f t="shared" ca="1" si="149"/>
        <v/>
      </c>
    </row>
    <row r="239" spans="63:206" x14ac:dyDescent="0.2">
      <c r="BK239" t="s">
        <v>5748</v>
      </c>
      <c r="BL239">
        <v>9</v>
      </c>
      <c r="BM239">
        <v>12</v>
      </c>
      <c r="BN239">
        <v>12</v>
      </c>
      <c r="BO239">
        <v>2</v>
      </c>
      <c r="BP239" t="s">
        <v>5749</v>
      </c>
      <c r="BQ239">
        <v>0</v>
      </c>
      <c r="BR239">
        <v>6</v>
      </c>
      <c r="BS239">
        <v>8</v>
      </c>
      <c r="BT239">
        <v>2</v>
      </c>
      <c r="BU239">
        <v>25</v>
      </c>
      <c r="BW239">
        <v>0</v>
      </c>
      <c r="BY239" t="s">
        <v>4985</v>
      </c>
      <c r="BZ239" t="s">
        <v>4985</v>
      </c>
      <c r="CA239" t="s">
        <v>5750</v>
      </c>
      <c r="CD239" t="s">
        <v>3043</v>
      </c>
      <c r="CE239" t="s">
        <v>1436</v>
      </c>
      <c r="CF239" t="s">
        <v>1527</v>
      </c>
      <c r="CH239" t="s">
        <v>4755</v>
      </c>
      <c r="CK239" t="s">
        <v>1531</v>
      </c>
      <c r="CL239" t="s">
        <v>1939</v>
      </c>
      <c r="CM239" t="s">
        <v>2193</v>
      </c>
      <c r="CU239" t="s">
        <v>4763</v>
      </c>
      <c r="CX239" t="s">
        <v>1909</v>
      </c>
      <c r="CY239" t="s">
        <v>74</v>
      </c>
      <c r="CZ239" t="s">
        <v>75</v>
      </c>
      <c r="DA239" t="s">
        <v>5030</v>
      </c>
      <c r="DC239" t="s">
        <v>7289</v>
      </c>
      <c r="DD239" t="s">
        <v>3372</v>
      </c>
      <c r="DE239" t="s">
        <v>1321</v>
      </c>
      <c r="DF239" t="s">
        <v>1622</v>
      </c>
      <c r="DG239" t="s">
        <v>1956</v>
      </c>
      <c r="DH239" t="s">
        <v>6986</v>
      </c>
      <c r="DI239" t="s">
        <v>3558</v>
      </c>
      <c r="DJ239">
        <v>2</v>
      </c>
      <c r="DK239">
        <f t="shared" si="154"/>
        <v>560</v>
      </c>
      <c r="DL239">
        <f t="shared" si="155"/>
        <v>237</v>
      </c>
      <c r="DM239">
        <v>214</v>
      </c>
      <c r="DN239" t="str">
        <f t="shared" ca="1" si="139"/>
        <v/>
      </c>
      <c r="DO239" t="str">
        <f t="shared" ca="1" si="140"/>
        <v/>
      </c>
      <c r="DP239" t="str">
        <f t="shared" ca="1" si="141"/>
        <v/>
      </c>
      <c r="DQ239" t="str">
        <f>IF(EXACT(Zauber!$A$250,""),"",IF(EXACT(RIGHT(HLOOKUP(Zauber!$A$250,PROFMAGIE,$DK239,FALSE)),"H"),CONCATENATE($CX239,","),""))</f>
        <v/>
      </c>
      <c r="DR239" t="str">
        <f t="shared" si="142"/>
        <v/>
      </c>
      <c r="DS239" t="str">
        <f>IF(ZS_IAAK="Ja",IF(EXACT(RIGHT(HLOOKUP(Tabellen_Magie!$IK$1,PROFMAGIE,$DK239,FALSE)),"H"),CONCATENATE($CX239,","),""),"")</f>
        <v/>
      </c>
      <c r="DT239" t="str">
        <f>IF(ZS_IAAK="Ja",IF(NOT(DS239=""),"",IF(OR(EXACT(RIGHT(HLOOKUP(Tabellen_Magie!$IK$1,PROFMAGIE,$DK239,FALSE)),"B"),EXACT(HLOOKUP(Tabellen_Magie!$IK$1,PROFMAGIE,$DK239,FALSE),"")),"",CONCATENATE($CX239,","))),"")</f>
        <v/>
      </c>
      <c r="DU239" t="str">
        <f t="shared" si="143"/>
        <v/>
      </c>
      <c r="DW239" t="s">
        <v>403</v>
      </c>
      <c r="DX239" t="s">
        <v>782</v>
      </c>
      <c r="EC239" t="s">
        <v>3087</v>
      </c>
      <c r="ED239" t="s">
        <v>4006</v>
      </c>
      <c r="EE239" t="s">
        <v>4912</v>
      </c>
      <c r="EH239" t="s">
        <v>158</v>
      </c>
      <c r="FD239" t="s">
        <v>1853</v>
      </c>
      <c r="FE239">
        <f t="shared" si="160"/>
        <v>250</v>
      </c>
      <c r="FF239">
        <f t="shared" si="158"/>
        <v>5</v>
      </c>
      <c r="FK239">
        <v>250</v>
      </c>
      <c r="FL239">
        <v>2</v>
      </c>
      <c r="GH239" t="s">
        <v>9349</v>
      </c>
      <c r="GI239" t="s">
        <v>3290</v>
      </c>
      <c r="GJ239">
        <v>3</v>
      </c>
      <c r="GK239" t="s">
        <v>1320</v>
      </c>
      <c r="GL239" t="s">
        <v>567</v>
      </c>
      <c r="GM239" t="s">
        <v>1685</v>
      </c>
      <c r="GN239" t="s">
        <v>1974</v>
      </c>
      <c r="GO239" t="s">
        <v>9314</v>
      </c>
      <c r="GP239">
        <v>329</v>
      </c>
      <c r="GR239">
        <f t="shared" si="145"/>
        <v>588</v>
      </c>
      <c r="GU239" t="str">
        <f t="shared" ca="1" si="146"/>
        <v/>
      </c>
      <c r="GV239" t="str">
        <f t="shared" ca="1" si="147"/>
        <v/>
      </c>
      <c r="GW239" t="str">
        <f t="shared" ca="1" si="148"/>
        <v/>
      </c>
      <c r="GX239" t="str">
        <f t="shared" ca="1" si="149"/>
        <v/>
      </c>
    </row>
    <row r="240" spans="63:206" x14ac:dyDescent="0.2">
      <c r="BK240" t="s">
        <v>5751</v>
      </c>
      <c r="BL240">
        <v>7</v>
      </c>
      <c r="BM240">
        <v>13</v>
      </c>
      <c r="BN240">
        <v>9</v>
      </c>
      <c r="BO240">
        <v>5</v>
      </c>
      <c r="BP240" t="s">
        <v>916</v>
      </c>
      <c r="BQ240">
        <v>2</v>
      </c>
      <c r="BR240">
        <v>22</v>
      </c>
      <c r="BS240" t="s">
        <v>5752</v>
      </c>
      <c r="BT240">
        <v>4</v>
      </c>
      <c r="BU240">
        <v>15</v>
      </c>
      <c r="BW240">
        <v>0</v>
      </c>
      <c r="BY240" t="s">
        <v>4985</v>
      </c>
      <c r="BZ240" t="s">
        <v>4985</v>
      </c>
      <c r="CA240" t="s">
        <v>5753</v>
      </c>
      <c r="CD240" t="s">
        <v>4598</v>
      </c>
      <c r="CE240" t="s">
        <v>7168</v>
      </c>
      <c r="CF240" t="s">
        <v>1527</v>
      </c>
      <c r="CH240" t="s">
        <v>325</v>
      </c>
      <c r="CK240" t="s">
        <v>3027</v>
      </c>
      <c r="CL240" t="s">
        <v>286</v>
      </c>
      <c r="CM240" t="s">
        <v>4551</v>
      </c>
      <c r="CU240" t="s">
        <v>7584</v>
      </c>
      <c r="CX240" t="s">
        <v>1910</v>
      </c>
      <c r="CY240" t="s">
        <v>74</v>
      </c>
      <c r="CZ240" t="s">
        <v>77</v>
      </c>
      <c r="DA240" t="s">
        <v>5030</v>
      </c>
      <c r="DC240" t="s">
        <v>7294</v>
      </c>
      <c r="DD240" t="s">
        <v>3373</v>
      </c>
      <c r="DE240" t="s">
        <v>655</v>
      </c>
      <c r="DF240" t="s">
        <v>1358</v>
      </c>
      <c r="DG240" t="s">
        <v>1956</v>
      </c>
      <c r="DH240" t="s">
        <v>6899</v>
      </c>
      <c r="DI240" t="s">
        <v>3213</v>
      </c>
      <c r="DJ240">
        <v>2</v>
      </c>
      <c r="DK240">
        <f t="shared" si="154"/>
        <v>561</v>
      </c>
      <c r="DL240">
        <f t="shared" si="155"/>
        <v>238</v>
      </c>
      <c r="DM240">
        <v>215</v>
      </c>
      <c r="DN240" t="str">
        <f t="shared" ca="1" si="139"/>
        <v/>
      </c>
      <c r="DO240" t="str">
        <f t="shared" ca="1" si="140"/>
        <v/>
      </c>
      <c r="DP240" t="str">
        <f t="shared" ca="1" si="141"/>
        <v/>
      </c>
      <c r="DQ240" t="str">
        <f>IF(EXACT(Zauber!$A$250,""),"",IF(EXACT(RIGHT(HLOOKUP(Zauber!$A$250,PROFMAGIE,$DK240,FALSE)),"H"),CONCATENATE($CX240,","),""))</f>
        <v/>
      </c>
      <c r="DR240" t="str">
        <f t="shared" si="142"/>
        <v/>
      </c>
      <c r="DS240" t="str">
        <f>IF(ZS_IAAK="Ja",IF(EXACT(RIGHT(HLOOKUP(Tabellen_Magie!$IK$1,PROFMAGIE,$DK240,FALSE)),"H"),CONCATENATE($CX240,","),""),"")</f>
        <v/>
      </c>
      <c r="DT240" t="str">
        <f>IF(ZS_IAAK="Ja",IF(NOT(DS240=""),"",IF(OR(EXACT(RIGHT(HLOOKUP(Tabellen_Magie!$IK$1,PROFMAGIE,$DK240,FALSE)),"B"),EXACT(HLOOKUP(Tabellen_Magie!$IK$1,PROFMAGIE,$DK240,FALSE),"")),"",CONCATENATE($CX240,","))),"")</f>
        <v/>
      </c>
      <c r="DU240" t="str">
        <f t="shared" si="143"/>
        <v/>
      </c>
      <c r="DW240" t="s">
        <v>2420</v>
      </c>
      <c r="DX240" t="s">
        <v>8699</v>
      </c>
      <c r="DY240" t="s">
        <v>4349</v>
      </c>
      <c r="EA240" t="s">
        <v>8677</v>
      </c>
      <c r="EC240" t="s">
        <v>2302</v>
      </c>
      <c r="ED240">
        <v>150</v>
      </c>
      <c r="EE240" t="s">
        <v>2425</v>
      </c>
      <c r="EH240">
        <f t="shared" ref="EH240:EH266" si="161">ROUNDUP($ED240/50,0)</f>
        <v>3</v>
      </c>
      <c r="GH240" t="s">
        <v>4709</v>
      </c>
      <c r="GI240" t="s">
        <v>3290</v>
      </c>
      <c r="GJ240">
        <v>3</v>
      </c>
      <c r="GK240" t="s">
        <v>4484</v>
      </c>
      <c r="GL240" t="s">
        <v>1976</v>
      </c>
      <c r="GM240" t="s">
        <v>1369</v>
      </c>
      <c r="GN240" t="s">
        <v>1690</v>
      </c>
      <c r="GO240">
        <v>279</v>
      </c>
      <c r="GP240">
        <v>330</v>
      </c>
      <c r="GR240">
        <f t="shared" si="145"/>
        <v>589</v>
      </c>
      <c r="GU240" t="str">
        <f t="shared" ca="1" si="146"/>
        <v/>
      </c>
      <c r="GV240" t="str">
        <f t="shared" ca="1" si="147"/>
        <v/>
      </c>
      <c r="GW240" t="str">
        <f t="shared" ca="1" si="148"/>
        <v/>
      </c>
      <c r="GX240" t="str">
        <f t="shared" ca="1" si="149"/>
        <v/>
      </c>
    </row>
    <row r="241" spans="63:206" x14ac:dyDescent="0.2">
      <c r="BK241" t="s">
        <v>5754</v>
      </c>
      <c r="CD241" t="s">
        <v>2175</v>
      </c>
      <c r="CE241" t="s">
        <v>1439</v>
      </c>
      <c r="CH241" t="s">
        <v>7581</v>
      </c>
      <c r="CK241" t="s">
        <v>3585</v>
      </c>
      <c r="CL241" t="s">
        <v>287</v>
      </c>
      <c r="CM241" t="s">
        <v>4599</v>
      </c>
      <c r="CU241" t="s">
        <v>4764</v>
      </c>
      <c r="CX241" t="s">
        <v>2445</v>
      </c>
      <c r="CY241" t="s">
        <v>75</v>
      </c>
      <c r="CZ241" t="s">
        <v>77</v>
      </c>
      <c r="DA241" t="s">
        <v>750</v>
      </c>
      <c r="DC241" t="s">
        <v>7292</v>
      </c>
      <c r="DD241" t="s">
        <v>3374</v>
      </c>
      <c r="DE241" t="s">
        <v>1690</v>
      </c>
      <c r="DF241" t="s">
        <v>1617</v>
      </c>
      <c r="DG241" t="s">
        <v>1321</v>
      </c>
      <c r="DH241" t="s">
        <v>6987</v>
      </c>
      <c r="DI241" t="s">
        <v>2793</v>
      </c>
      <c r="DJ241">
        <v>2</v>
      </c>
      <c r="DK241">
        <f t="shared" si="154"/>
        <v>562</v>
      </c>
      <c r="DL241">
        <f t="shared" si="155"/>
        <v>239</v>
      </c>
      <c r="DM241">
        <v>216</v>
      </c>
      <c r="DN241" t="str">
        <f t="shared" ca="1" si="139"/>
        <v/>
      </c>
      <c r="DO241" t="str">
        <f t="shared" ca="1" si="140"/>
        <v/>
      </c>
      <c r="DP241" t="str">
        <f t="shared" ca="1" si="141"/>
        <v/>
      </c>
      <c r="DQ241" t="str">
        <f>IF(EXACT(Zauber!$A$250,""),"",IF(EXACT(RIGHT(HLOOKUP(Zauber!$A$250,PROFMAGIE,$DK241,FALSE)),"H"),CONCATENATE($CX241,","),""))</f>
        <v/>
      </c>
      <c r="DR241" t="str">
        <f t="shared" si="142"/>
        <v/>
      </c>
      <c r="DS241" t="str">
        <f>IF(ZS_IAAK="Ja",IF(EXACT(RIGHT(HLOOKUP(Tabellen_Magie!$IK$1,PROFMAGIE,$DK241,FALSE)),"H"),CONCATENATE($CX241,","),""),"")</f>
        <v/>
      </c>
      <c r="DT241" t="str">
        <f>IF(ZS_IAAK="Ja",IF(NOT(DS241=""),"",IF(OR(EXACT(RIGHT(HLOOKUP(Tabellen_Magie!$IK$1,PROFMAGIE,$DK241,FALSE)),"B"),EXACT(HLOOKUP(Tabellen_Magie!$IK$1,PROFMAGIE,$DK241,FALSE),"")),"",CONCATENATE($CX241,","))),"")</f>
        <v/>
      </c>
      <c r="DU241" t="str">
        <f t="shared" si="143"/>
        <v/>
      </c>
      <c r="DW241" t="s">
        <v>2421</v>
      </c>
      <c r="DX241" t="s">
        <v>1634</v>
      </c>
      <c r="DY241" t="s">
        <v>1647</v>
      </c>
      <c r="EA241" t="s">
        <v>8677</v>
      </c>
      <c r="EC241" t="s">
        <v>2302</v>
      </c>
      <c r="ED241">
        <v>150</v>
      </c>
      <c r="EE241" t="s">
        <v>2425</v>
      </c>
      <c r="EH241">
        <f t="shared" si="161"/>
        <v>3</v>
      </c>
      <c r="GG241" t="s">
        <v>3290</v>
      </c>
      <c r="GH241" t="s">
        <v>4559</v>
      </c>
      <c r="GI241" t="s">
        <v>3290</v>
      </c>
      <c r="GJ241">
        <v>3</v>
      </c>
      <c r="GK241" t="s">
        <v>1397</v>
      </c>
      <c r="GL241" t="s">
        <v>1978</v>
      </c>
      <c r="GM241" t="s">
        <v>1984</v>
      </c>
      <c r="GN241" t="s">
        <v>1974</v>
      </c>
      <c r="GO241">
        <v>287</v>
      </c>
      <c r="GP241">
        <v>339</v>
      </c>
      <c r="GR241">
        <f t="shared" si="145"/>
        <v>590</v>
      </c>
      <c r="GU241" t="str">
        <f t="shared" ca="1" si="146"/>
        <v/>
      </c>
      <c r="GV241" t="str">
        <f t="shared" ca="1" si="147"/>
        <v/>
      </c>
      <c r="GW241" t="str">
        <f t="shared" ca="1" si="148"/>
        <v/>
      </c>
      <c r="GX241" t="str">
        <f t="shared" ca="1" si="149"/>
        <v/>
      </c>
    </row>
    <row r="242" spans="63:206" x14ac:dyDescent="0.2">
      <c r="BK242" t="s">
        <v>824</v>
      </c>
      <c r="BL242">
        <v>8</v>
      </c>
      <c r="BM242">
        <v>7</v>
      </c>
      <c r="BN242">
        <v>11</v>
      </c>
      <c r="BO242">
        <v>8</v>
      </c>
      <c r="BP242" t="s">
        <v>5755</v>
      </c>
      <c r="BQ242">
        <v>2</v>
      </c>
      <c r="BR242">
        <v>6</v>
      </c>
      <c r="BS242">
        <v>0</v>
      </c>
      <c r="BT242">
        <v>8</v>
      </c>
      <c r="BU242">
        <v>40</v>
      </c>
      <c r="BW242">
        <v>0</v>
      </c>
      <c r="BY242" t="s">
        <v>4985</v>
      </c>
      <c r="BZ242" t="s">
        <v>4985</v>
      </c>
      <c r="CA242" t="s">
        <v>5756</v>
      </c>
      <c r="CD242" t="s">
        <v>3494</v>
      </c>
      <c r="CE242" t="s">
        <v>7579</v>
      </c>
      <c r="CH242" t="s">
        <v>331</v>
      </c>
      <c r="CK242" t="s">
        <v>2636</v>
      </c>
      <c r="CL242" t="s">
        <v>288</v>
      </c>
      <c r="CM242" t="s">
        <v>2631</v>
      </c>
      <c r="CU242" t="s">
        <v>4765</v>
      </c>
      <c r="CX242" t="s">
        <v>2446</v>
      </c>
      <c r="CY242" t="s">
        <v>74</v>
      </c>
      <c r="CZ242" t="s">
        <v>76</v>
      </c>
      <c r="DA242" t="s">
        <v>77</v>
      </c>
      <c r="DC242" t="s">
        <v>7309</v>
      </c>
      <c r="DD242" t="s">
        <v>1691</v>
      </c>
      <c r="DE242" t="s">
        <v>1692</v>
      </c>
      <c r="DF242" t="s">
        <v>3139</v>
      </c>
      <c r="DG242" t="s">
        <v>1955</v>
      </c>
      <c r="DH242" t="s">
        <v>6988</v>
      </c>
      <c r="DI242" t="s">
        <v>3354</v>
      </c>
      <c r="DJ242">
        <v>2</v>
      </c>
      <c r="DK242">
        <f t="shared" ref="DK242:DK273" si="162">VLOOKUP($CX242,ZEILENBEZUG,2,FALSE)</f>
        <v>563</v>
      </c>
      <c r="DL242">
        <f t="shared" si="155"/>
        <v>240</v>
      </c>
      <c r="DM242">
        <v>217</v>
      </c>
      <c r="DN242" t="str">
        <f t="shared" ca="1" si="139"/>
        <v/>
      </c>
      <c r="DO242" t="str">
        <f t="shared" ca="1" si="140"/>
        <v/>
      </c>
      <c r="DP242" t="str">
        <f t="shared" ca="1" si="141"/>
        <v/>
      </c>
      <c r="DQ242" t="str">
        <f>IF(EXACT(Zauber!$A$250,""),"",IF(EXACT(RIGHT(HLOOKUP(Zauber!$A$250,PROFMAGIE,$DK242,FALSE)),"H"),CONCATENATE($CX242,","),""))</f>
        <v/>
      </c>
      <c r="DR242" t="str">
        <f t="shared" si="142"/>
        <v/>
      </c>
      <c r="DS242" t="str">
        <f>IF(ZS_IAAK="Ja",IF(EXACT(RIGHT(HLOOKUP(Tabellen_Magie!$IK$1,PROFMAGIE,$DK242,FALSE)),"H"),CONCATENATE($CX242,","),""),"")</f>
        <v/>
      </c>
      <c r="DT242" t="str">
        <f>IF(ZS_IAAK="Ja",IF(NOT(DS242=""),"",IF(OR(EXACT(RIGHT(HLOOKUP(Tabellen_Magie!$IK$1,PROFMAGIE,$DK242,FALSE)),"B"),EXACT(HLOOKUP(Tabellen_Magie!$IK$1,PROFMAGIE,$DK242,FALSE),"")),"",CONCATENATE($CX242,","))),"")</f>
        <v/>
      </c>
      <c r="DU242" t="str">
        <f t="shared" si="143"/>
        <v/>
      </c>
      <c r="DW242" t="s">
        <v>4495</v>
      </c>
      <c r="DX242" t="s">
        <v>4342</v>
      </c>
      <c r="DY242" t="s">
        <v>2793</v>
      </c>
      <c r="DZ242" t="s">
        <v>4344</v>
      </c>
      <c r="EA242" t="s">
        <v>8677</v>
      </c>
      <c r="EC242" t="s">
        <v>2573</v>
      </c>
      <c r="ED242">
        <v>125</v>
      </c>
      <c r="EE242" t="s">
        <v>8701</v>
      </c>
      <c r="EH242">
        <f t="shared" si="161"/>
        <v>3</v>
      </c>
      <c r="GG242" t="s">
        <v>4121</v>
      </c>
      <c r="GH242" t="s">
        <v>4560</v>
      </c>
      <c r="GI242" t="s">
        <v>4121</v>
      </c>
      <c r="GJ242">
        <v>4</v>
      </c>
      <c r="GK242" t="s">
        <v>4116</v>
      </c>
      <c r="GL242" t="s">
        <v>1976</v>
      </c>
      <c r="GM242" t="s">
        <v>2685</v>
      </c>
      <c r="GN242" t="s">
        <v>1690</v>
      </c>
      <c r="GO242">
        <v>282</v>
      </c>
      <c r="GP242">
        <v>88</v>
      </c>
      <c r="GR242">
        <f t="shared" si="145"/>
        <v>591</v>
      </c>
      <c r="GU242" t="str">
        <f t="shared" ca="1" si="146"/>
        <v/>
      </c>
      <c r="GV242" t="str">
        <f t="shared" ca="1" si="147"/>
        <v/>
      </c>
      <c r="GW242" t="str">
        <f t="shared" ca="1" si="148"/>
        <v/>
      </c>
      <c r="GX242" t="str">
        <f t="shared" ca="1" si="149"/>
        <v/>
      </c>
    </row>
    <row r="243" spans="63:206" x14ac:dyDescent="0.2">
      <c r="BK243" t="s">
        <v>827</v>
      </c>
      <c r="BL243">
        <v>8</v>
      </c>
      <c r="BM243">
        <v>8</v>
      </c>
      <c r="BN243" t="s">
        <v>5757</v>
      </c>
      <c r="BO243">
        <v>7</v>
      </c>
      <c r="BP243" t="s">
        <v>5758</v>
      </c>
      <c r="BQ243">
        <v>2</v>
      </c>
      <c r="BR243">
        <v>9</v>
      </c>
      <c r="BS243">
        <v>1</v>
      </c>
      <c r="BT243">
        <v>7</v>
      </c>
      <c r="BU243">
        <v>35</v>
      </c>
      <c r="BW243">
        <v>0</v>
      </c>
      <c r="BY243" t="s">
        <v>4985</v>
      </c>
      <c r="BZ243" t="s">
        <v>4985</v>
      </c>
      <c r="CA243" t="s">
        <v>5550</v>
      </c>
      <c r="CD243" t="s">
        <v>4429</v>
      </c>
      <c r="CE243" t="s">
        <v>7169</v>
      </c>
      <c r="CK243" t="s">
        <v>4569</v>
      </c>
      <c r="CL243" t="s">
        <v>289</v>
      </c>
      <c r="CM243" t="s">
        <v>2193</v>
      </c>
      <c r="CU243" t="s">
        <v>4766</v>
      </c>
      <c r="CX243" t="s">
        <v>1915</v>
      </c>
      <c r="CY243" t="s">
        <v>74</v>
      </c>
      <c r="CZ243" t="s">
        <v>76</v>
      </c>
      <c r="DA243" t="s">
        <v>77</v>
      </c>
      <c r="DB243" t="s">
        <v>2042</v>
      </c>
      <c r="DC243" t="s">
        <v>7291</v>
      </c>
      <c r="DD243" t="s">
        <v>510</v>
      </c>
      <c r="DE243" t="s">
        <v>3591</v>
      </c>
      <c r="DF243" t="s">
        <v>81</v>
      </c>
      <c r="DG243" t="s">
        <v>1321</v>
      </c>
      <c r="DH243" t="s">
        <v>6989</v>
      </c>
      <c r="DI243" t="s">
        <v>4343</v>
      </c>
      <c r="DJ243">
        <v>2</v>
      </c>
      <c r="DK243">
        <f t="shared" si="162"/>
        <v>564</v>
      </c>
      <c r="DL243">
        <f t="shared" si="155"/>
        <v>241</v>
      </c>
      <c r="DM243">
        <v>218</v>
      </c>
      <c r="DN243" t="str">
        <f t="shared" ca="1" si="139"/>
        <v/>
      </c>
      <c r="DO243" t="str">
        <f t="shared" ca="1" si="140"/>
        <v/>
      </c>
      <c r="DP243" t="str">
        <f t="shared" ca="1" si="141"/>
        <v/>
      </c>
      <c r="DQ243" t="str">
        <f>IF(EXACT(Zauber!$A$250,""),"",IF(EXACT(RIGHT(HLOOKUP(Zauber!$A$250,PROFMAGIE,$DK243,FALSE)),"H"),CONCATENATE($CX243,","),""))</f>
        <v/>
      </c>
      <c r="DR243" t="str">
        <f t="shared" si="142"/>
        <v/>
      </c>
      <c r="DS243" t="str">
        <f>IF(ZS_IAAK="Ja",IF(EXACT(RIGHT(HLOOKUP(Tabellen_Magie!$IK$1,PROFMAGIE,$DK243,FALSE)),"H"),CONCATENATE($CX243,","),""),"")</f>
        <v/>
      </c>
      <c r="DT243" t="str">
        <f>IF(ZS_IAAK="Ja",IF(NOT(DS243=""),"",IF(OR(EXACT(RIGHT(HLOOKUP(Tabellen_Magie!$IK$1,PROFMAGIE,$DK243,FALSE)),"B"),EXACT(HLOOKUP(Tabellen_Magie!$IK$1,PROFMAGIE,$DK243,FALSE),"")),"",CONCATENATE($CX243,","))),"")</f>
        <v/>
      </c>
      <c r="DU243" t="str">
        <f t="shared" si="143"/>
        <v/>
      </c>
      <c r="DW243" t="s">
        <v>8702</v>
      </c>
      <c r="DX243" t="s">
        <v>1631</v>
      </c>
      <c r="DY243" t="s">
        <v>4348</v>
      </c>
      <c r="EA243" t="s">
        <v>8677</v>
      </c>
      <c r="EC243" t="s">
        <v>2762</v>
      </c>
      <c r="ED243">
        <v>100</v>
      </c>
      <c r="EE243" t="s">
        <v>8703</v>
      </c>
      <c r="EH243">
        <f t="shared" si="161"/>
        <v>2</v>
      </c>
      <c r="GH243" t="s">
        <v>4710</v>
      </c>
      <c r="GI243" t="s">
        <v>4121</v>
      </c>
      <c r="GJ243">
        <v>4</v>
      </c>
      <c r="GK243" t="s">
        <v>4116</v>
      </c>
      <c r="GL243" t="s">
        <v>1976</v>
      </c>
      <c r="GM243" t="s">
        <v>1980</v>
      </c>
      <c r="GN243" t="s">
        <v>1690</v>
      </c>
      <c r="GO243">
        <v>269</v>
      </c>
      <c r="GP243">
        <v>99</v>
      </c>
      <c r="GR243">
        <f t="shared" si="145"/>
        <v>592</v>
      </c>
      <c r="GU243" t="str">
        <f t="shared" ca="1" si="146"/>
        <v/>
      </c>
      <c r="GV243" t="str">
        <f t="shared" ca="1" si="147"/>
        <v/>
      </c>
      <c r="GW243" t="str">
        <f t="shared" ca="1" si="148"/>
        <v/>
      </c>
      <c r="GX243" t="str">
        <f t="shared" ca="1" si="149"/>
        <v/>
      </c>
    </row>
    <row r="244" spans="63:206" x14ac:dyDescent="0.2">
      <c r="BK244" t="s">
        <v>5759</v>
      </c>
      <c r="BL244">
        <v>8</v>
      </c>
      <c r="BM244">
        <v>7</v>
      </c>
      <c r="BN244">
        <v>11</v>
      </c>
      <c r="BO244">
        <v>8</v>
      </c>
      <c r="BP244" t="s">
        <v>5755</v>
      </c>
      <c r="BQ244">
        <v>2</v>
      </c>
      <c r="BR244">
        <v>4</v>
      </c>
      <c r="BS244">
        <v>1</v>
      </c>
      <c r="BT244">
        <v>8</v>
      </c>
      <c r="BU244">
        <v>40</v>
      </c>
      <c r="BW244">
        <v>0</v>
      </c>
      <c r="BY244" t="s">
        <v>4985</v>
      </c>
      <c r="BZ244" t="s">
        <v>4985</v>
      </c>
      <c r="CA244" t="s">
        <v>5756</v>
      </c>
      <c r="CD244" t="s">
        <v>2745</v>
      </c>
      <c r="CE244" t="s">
        <v>1441</v>
      </c>
      <c r="CK244" t="s">
        <v>4569</v>
      </c>
      <c r="CL244" t="s">
        <v>290</v>
      </c>
      <c r="CM244" t="s">
        <v>282</v>
      </c>
      <c r="CU244" t="s">
        <v>322</v>
      </c>
      <c r="CX244" t="s">
        <v>1916</v>
      </c>
      <c r="CY244" t="s">
        <v>75</v>
      </c>
      <c r="CZ244" t="s">
        <v>76</v>
      </c>
      <c r="DA244" t="s">
        <v>77</v>
      </c>
      <c r="DC244" t="s">
        <v>7312</v>
      </c>
      <c r="DD244" t="s">
        <v>2452</v>
      </c>
      <c r="DE244" t="s">
        <v>4484</v>
      </c>
      <c r="DF244" t="s">
        <v>81</v>
      </c>
      <c r="DG244" t="s">
        <v>1828</v>
      </c>
      <c r="DH244" t="s">
        <v>8440</v>
      </c>
      <c r="DI244" t="s">
        <v>4346</v>
      </c>
      <c r="DJ244">
        <v>2</v>
      </c>
      <c r="DK244">
        <f t="shared" si="162"/>
        <v>565</v>
      </c>
      <c r="DL244">
        <f t="shared" si="155"/>
        <v>242</v>
      </c>
      <c r="DM244">
        <v>219</v>
      </c>
      <c r="DN244" t="str">
        <f t="shared" ca="1" si="139"/>
        <v/>
      </c>
      <c r="DO244" t="str">
        <f t="shared" ca="1" si="140"/>
        <v/>
      </c>
      <c r="DP244" t="str">
        <f t="shared" ca="1" si="141"/>
        <v/>
      </c>
      <c r="DQ244" t="str">
        <f>IF(EXACT(Zauber!$A$250,""),"",IF(EXACT(RIGHT(HLOOKUP(Zauber!$A$250,PROFMAGIE,$DK244,FALSE)),"H"),CONCATENATE($CX244,","),""))</f>
        <v/>
      </c>
      <c r="DR244" t="str">
        <f t="shared" si="142"/>
        <v/>
      </c>
      <c r="DS244" t="str">
        <f>IF(ZS_IAAK="Ja",IF(EXACT(RIGHT(HLOOKUP(Tabellen_Magie!$IK$1,PROFMAGIE,$DK244,FALSE)),"H"),CONCATENATE($CX244,","),""),"")</f>
        <v/>
      </c>
      <c r="DT244" t="str">
        <f>IF(ZS_IAAK="Ja",IF(NOT(DS244=""),"",IF(OR(EXACT(RIGHT(HLOOKUP(Tabellen_Magie!$IK$1,PROFMAGIE,$DK244,FALSE)),"B"),EXACT(HLOOKUP(Tabellen_Magie!$IK$1,PROFMAGIE,$DK244,FALSE),"")),"",CONCATENATE($CX244,","))),"")</f>
        <v/>
      </c>
      <c r="DU244" t="str">
        <f t="shared" si="143"/>
        <v/>
      </c>
      <c r="DW244" t="s">
        <v>2363</v>
      </c>
      <c r="DX244" t="s">
        <v>1543</v>
      </c>
      <c r="DY244" t="s">
        <v>2940</v>
      </c>
      <c r="EA244" t="s">
        <v>8677</v>
      </c>
      <c r="EC244" t="s">
        <v>4565</v>
      </c>
      <c r="ED244">
        <v>100</v>
      </c>
      <c r="EE244" t="s">
        <v>8704</v>
      </c>
      <c r="EH244">
        <f t="shared" si="161"/>
        <v>2</v>
      </c>
      <c r="GH244" t="s">
        <v>4711</v>
      </c>
      <c r="GI244" t="s">
        <v>4121</v>
      </c>
      <c r="GJ244">
        <v>4</v>
      </c>
      <c r="GK244" t="s">
        <v>4484</v>
      </c>
      <c r="GL244" t="s">
        <v>567</v>
      </c>
      <c r="GM244" t="s">
        <v>1982</v>
      </c>
      <c r="GN244" t="s">
        <v>1690</v>
      </c>
      <c r="GO244">
        <v>288</v>
      </c>
      <c r="GP244">
        <v>237</v>
      </c>
      <c r="GR244">
        <f t="shared" si="145"/>
        <v>593</v>
      </c>
      <c r="GU244" t="str">
        <f t="shared" ca="1" si="146"/>
        <v/>
      </c>
      <c r="GV244" t="str">
        <f t="shared" ca="1" si="147"/>
        <v/>
      </c>
      <c r="GW244" t="str">
        <f t="shared" ca="1" si="148"/>
        <v/>
      </c>
      <c r="GX244" t="str">
        <f t="shared" ca="1" si="149"/>
        <v/>
      </c>
    </row>
    <row r="245" spans="63:206" x14ac:dyDescent="0.2">
      <c r="BK245" t="s">
        <v>5760</v>
      </c>
      <c r="BL245">
        <v>8</v>
      </c>
      <c r="BM245">
        <v>9</v>
      </c>
      <c r="BN245">
        <v>14</v>
      </c>
      <c r="BO245">
        <v>8</v>
      </c>
      <c r="BP245" t="s">
        <v>5291</v>
      </c>
      <c r="BQ245">
        <v>2</v>
      </c>
      <c r="BR245">
        <v>23</v>
      </c>
      <c r="BS245" t="s">
        <v>5761</v>
      </c>
      <c r="BT245">
        <v>7</v>
      </c>
      <c r="BU245">
        <v>50</v>
      </c>
      <c r="BW245">
        <v>0</v>
      </c>
      <c r="BY245" t="s">
        <v>4985</v>
      </c>
      <c r="BZ245" t="s">
        <v>4985</v>
      </c>
      <c r="CA245" t="s">
        <v>5762</v>
      </c>
      <c r="CD245" t="s">
        <v>4130</v>
      </c>
      <c r="CE245" t="s">
        <v>7170</v>
      </c>
      <c r="CK245" t="s">
        <v>4569</v>
      </c>
      <c r="CL245" t="s">
        <v>4715</v>
      </c>
      <c r="CU245" t="s">
        <v>323</v>
      </c>
      <c r="CX245" t="s">
        <v>1917</v>
      </c>
      <c r="CY245" t="s">
        <v>75</v>
      </c>
      <c r="CZ245" t="s">
        <v>77</v>
      </c>
      <c r="DA245" t="s">
        <v>5030</v>
      </c>
      <c r="DC245" t="s">
        <v>7290</v>
      </c>
      <c r="DD245" t="s">
        <v>3898</v>
      </c>
      <c r="DE245" t="s">
        <v>1321</v>
      </c>
      <c r="DF245" t="s">
        <v>81</v>
      </c>
      <c r="DG245" t="s">
        <v>1321</v>
      </c>
      <c r="DH245" t="s">
        <v>6990</v>
      </c>
      <c r="DI245" t="s">
        <v>4341</v>
      </c>
      <c r="DJ245">
        <v>2</v>
      </c>
      <c r="DK245">
        <f t="shared" si="162"/>
        <v>566</v>
      </c>
      <c r="DL245">
        <f t="shared" si="155"/>
        <v>243</v>
      </c>
      <c r="DM245">
        <v>220</v>
      </c>
      <c r="DN245" t="str">
        <f t="shared" ca="1" si="139"/>
        <v/>
      </c>
      <c r="DO245" t="str">
        <f t="shared" ca="1" si="140"/>
        <v/>
      </c>
      <c r="DP245" t="str">
        <f t="shared" ca="1" si="141"/>
        <v/>
      </c>
      <c r="DQ245" t="str">
        <f>IF(EXACT(Zauber!$A$250,""),"",IF(EXACT(RIGHT(HLOOKUP(Zauber!$A$250,PROFMAGIE,$DK245,FALSE)),"H"),CONCATENATE($CX245,","),""))</f>
        <v/>
      </c>
      <c r="DR245" t="str">
        <f t="shared" si="142"/>
        <v/>
      </c>
      <c r="DS245" t="str">
        <f>IF(ZS_IAAK="Ja",IF(EXACT(RIGHT(HLOOKUP(Tabellen_Magie!$IK$1,PROFMAGIE,$DK245,FALSE)),"H"),CONCATENATE($CX245,","),""),"")</f>
        <v/>
      </c>
      <c r="DT245" t="str">
        <f>IF(ZS_IAAK="Ja",IF(NOT(DS245=""),"",IF(OR(EXACT(RIGHT(HLOOKUP(Tabellen_Magie!$IK$1,PROFMAGIE,$DK245,FALSE)),"B"),EXACT(HLOOKUP(Tabellen_Magie!$IK$1,PROFMAGIE,$DK245,FALSE),"")),"",CONCATENATE($CX245,","))),"")</f>
        <v/>
      </c>
      <c r="DU245" t="str">
        <f t="shared" si="143"/>
        <v/>
      </c>
      <c r="DW245" t="s">
        <v>8705</v>
      </c>
      <c r="DX245" t="s">
        <v>1615</v>
      </c>
      <c r="EA245" t="s">
        <v>8677</v>
      </c>
      <c r="EC245" t="s">
        <v>1280</v>
      </c>
      <c r="ED245">
        <v>100</v>
      </c>
      <c r="EE245" t="s">
        <v>8706</v>
      </c>
      <c r="EH245">
        <f t="shared" si="161"/>
        <v>2</v>
      </c>
      <c r="GH245" t="s">
        <v>4712</v>
      </c>
      <c r="GI245" t="s">
        <v>4121</v>
      </c>
      <c r="GJ245">
        <v>4</v>
      </c>
      <c r="GK245" t="s">
        <v>4529</v>
      </c>
      <c r="GL245" t="s">
        <v>567</v>
      </c>
      <c r="GM245" t="s">
        <v>1983</v>
      </c>
      <c r="GN245" t="s">
        <v>1975</v>
      </c>
      <c r="GO245">
        <v>263</v>
      </c>
      <c r="GP245">
        <v>109</v>
      </c>
      <c r="GR245">
        <f t="shared" si="145"/>
        <v>594</v>
      </c>
      <c r="GT245" t="s">
        <v>2376</v>
      </c>
      <c r="GU245" t="str">
        <f t="shared" ca="1" si="146"/>
        <v/>
      </c>
      <c r="GV245" t="str">
        <f t="shared" ca="1" si="147"/>
        <v/>
      </c>
      <c r="GW245" t="str">
        <f t="shared" ca="1" si="148"/>
        <v/>
      </c>
      <c r="GX245" t="str">
        <f t="shared" ca="1" si="149"/>
        <v/>
      </c>
    </row>
    <row r="246" spans="63:206" x14ac:dyDescent="0.2">
      <c r="BK246" t="s">
        <v>5763</v>
      </c>
      <c r="CD246" t="s">
        <v>1440</v>
      </c>
      <c r="CE246" t="s">
        <v>4131</v>
      </c>
      <c r="CK246" t="s">
        <v>4569</v>
      </c>
      <c r="CL246" t="s">
        <v>1933</v>
      </c>
      <c r="CU246" t="s">
        <v>7583</v>
      </c>
      <c r="CX246" t="s">
        <v>1862</v>
      </c>
      <c r="CY246" t="s">
        <v>894</v>
      </c>
      <c r="CZ246" t="s">
        <v>895</v>
      </c>
      <c r="DA246" t="s">
        <v>895</v>
      </c>
      <c r="DH246" t="s">
        <v>6991</v>
      </c>
      <c r="DJ246">
        <v>2</v>
      </c>
      <c r="DK246">
        <f t="shared" si="162"/>
        <v>567</v>
      </c>
      <c r="DL246">
        <f t="shared" si="155"/>
        <v>244</v>
      </c>
      <c r="DM246">
        <v>136</v>
      </c>
      <c r="DN246" t="str">
        <f t="shared" ca="1" si="139"/>
        <v/>
      </c>
      <c r="DO246" t="str">
        <f t="shared" ca="1" si="140"/>
        <v/>
      </c>
      <c r="DP246" t="str">
        <f t="shared" ca="1" si="141"/>
        <v/>
      </c>
      <c r="DQ246" t="str">
        <f>IF(EXACT(Zauber!$A$250,""),"",IF(EXACT(RIGHT(HLOOKUP(Zauber!$A$250,PROFMAGIE,$DK246,FALSE)),"H"),CONCATENATE($CX246,","),""))</f>
        <v/>
      </c>
      <c r="DR246" t="str">
        <f t="shared" si="142"/>
        <v/>
      </c>
      <c r="DS246" t="str">
        <f>IF(ZS_IAAK="Ja",IF(EXACT(RIGHT(HLOOKUP(Tabellen_Magie!$IK$1,PROFMAGIE,$DK246,FALSE)),"H"),CONCATENATE($CX246,","),""),"")</f>
        <v/>
      </c>
      <c r="DT246" t="str">
        <f>IF(ZS_IAAK="Ja",IF(NOT(DS246=""),"",IF(OR(EXACT(RIGHT(HLOOKUP(Tabellen_Magie!$IK$1,PROFMAGIE,$DK246,FALSE)),"B"),EXACT(HLOOKUP(Tabellen_Magie!$IK$1,PROFMAGIE,$DK246,FALSE),"")),"",CONCATENATE($CX246,","))),"")</f>
        <v/>
      </c>
      <c r="DU246" t="str">
        <f t="shared" si="143"/>
        <v/>
      </c>
      <c r="DW246" t="s">
        <v>8707</v>
      </c>
      <c r="DX246" t="s">
        <v>4342</v>
      </c>
      <c r="DY246" t="s">
        <v>4343</v>
      </c>
      <c r="DZ246" t="s">
        <v>4349</v>
      </c>
      <c r="EA246" t="s">
        <v>8677</v>
      </c>
      <c r="EC246" t="s">
        <v>2304</v>
      </c>
      <c r="ED246">
        <v>150</v>
      </c>
      <c r="EE246" t="s">
        <v>8708</v>
      </c>
      <c r="EH246">
        <f t="shared" si="161"/>
        <v>3</v>
      </c>
      <c r="GH246" t="s">
        <v>4713</v>
      </c>
      <c r="GI246" t="s">
        <v>4121</v>
      </c>
      <c r="GJ246">
        <v>4</v>
      </c>
      <c r="GK246" t="s">
        <v>1320</v>
      </c>
      <c r="GL246" t="s">
        <v>1978</v>
      </c>
      <c r="GM246" t="s">
        <v>3961</v>
      </c>
      <c r="GN246" t="s">
        <v>1974</v>
      </c>
      <c r="GO246">
        <v>267</v>
      </c>
      <c r="GP246">
        <v>120</v>
      </c>
      <c r="GR246">
        <f t="shared" si="145"/>
        <v>595</v>
      </c>
      <c r="GS246">
        <v>5</v>
      </c>
      <c r="GU246" t="str">
        <f t="shared" ca="1" si="146"/>
        <v/>
      </c>
      <c r="GV246" t="str">
        <f t="shared" ca="1" si="147"/>
        <v/>
      </c>
      <c r="GW246" t="str">
        <f t="shared" ca="1" si="148"/>
        <v/>
      </c>
      <c r="GX246" t="str">
        <f t="shared" ca="1" si="149"/>
        <v/>
      </c>
    </row>
    <row r="247" spans="63:206" x14ac:dyDescent="0.2">
      <c r="BK247" t="s">
        <v>5764</v>
      </c>
      <c r="BL247">
        <v>8</v>
      </c>
      <c r="BM247">
        <v>13</v>
      </c>
      <c r="BN247">
        <v>10</v>
      </c>
      <c r="BO247">
        <v>13</v>
      </c>
      <c r="BP247" t="s">
        <v>5755</v>
      </c>
      <c r="BQ247">
        <v>1</v>
      </c>
      <c r="BR247">
        <v>5</v>
      </c>
      <c r="BS247">
        <v>0</v>
      </c>
      <c r="BT247">
        <v>12</v>
      </c>
      <c r="BU247">
        <v>20</v>
      </c>
      <c r="BW247">
        <v>0</v>
      </c>
      <c r="BY247" t="s">
        <v>4985</v>
      </c>
      <c r="BZ247" t="s">
        <v>4985</v>
      </c>
      <c r="CA247" t="s">
        <v>5765</v>
      </c>
      <c r="CD247" t="s">
        <v>1442</v>
      </c>
      <c r="CE247" t="s">
        <v>4752</v>
      </c>
      <c r="CL247" t="s">
        <v>4716</v>
      </c>
      <c r="CU247" t="s">
        <v>324</v>
      </c>
      <c r="CX247" t="s">
        <v>1918</v>
      </c>
      <c r="CY247" t="s">
        <v>75</v>
      </c>
      <c r="CZ247" t="s">
        <v>77</v>
      </c>
      <c r="DA247" t="s">
        <v>5030</v>
      </c>
      <c r="DB247" t="s">
        <v>2042</v>
      </c>
      <c r="DC247" t="s">
        <v>7292</v>
      </c>
      <c r="DD247" t="s">
        <v>2167</v>
      </c>
      <c r="DE247" t="s">
        <v>1321</v>
      </c>
      <c r="DF247" t="s">
        <v>2493</v>
      </c>
      <c r="DG247" t="s">
        <v>1828</v>
      </c>
      <c r="DH247" t="s">
        <v>6992</v>
      </c>
      <c r="DI247" t="s">
        <v>1647</v>
      </c>
      <c r="DJ247">
        <v>2</v>
      </c>
      <c r="DK247">
        <f t="shared" si="162"/>
        <v>568</v>
      </c>
      <c r="DL247">
        <f t="shared" si="155"/>
        <v>245</v>
      </c>
      <c r="DM247">
        <v>221</v>
      </c>
      <c r="DN247" t="str">
        <f t="shared" ca="1" si="139"/>
        <v/>
      </c>
      <c r="DO247" t="str">
        <f t="shared" ca="1" si="140"/>
        <v/>
      </c>
      <c r="DP247" t="str">
        <f t="shared" ca="1" si="141"/>
        <v/>
      </c>
      <c r="DQ247" t="str">
        <f>IF(EXACT(Zauber!$A$250,""),"",IF(EXACT(RIGHT(HLOOKUP(Zauber!$A$250,PROFMAGIE,$DK247,FALSE)),"H"),CONCATENATE($CX247,","),""))</f>
        <v/>
      </c>
      <c r="DR247" t="str">
        <f t="shared" si="142"/>
        <v/>
      </c>
      <c r="DS247" t="str">
        <f>IF(ZS_IAAK="Ja",IF(EXACT(RIGHT(HLOOKUP(Tabellen_Magie!$IK$1,PROFMAGIE,$DK247,FALSE)),"H"),CONCATENATE($CX247,","),""),"")</f>
        <v/>
      </c>
      <c r="DT247" t="str">
        <f>IF(ZS_IAAK="Ja",IF(NOT(DS247=""),"",IF(OR(EXACT(RIGHT(HLOOKUP(Tabellen_Magie!$IK$1,PROFMAGIE,$DK247,FALSE)),"B"),EXACT(HLOOKUP(Tabellen_Magie!$IK$1,PROFMAGIE,$DK247,FALSE),"")),"",CONCATENATE($CX247,","))),"")</f>
        <v/>
      </c>
      <c r="DU247" t="str">
        <f t="shared" si="143"/>
        <v/>
      </c>
      <c r="DW247" t="s">
        <v>8996</v>
      </c>
      <c r="DX247" t="s">
        <v>1631</v>
      </c>
      <c r="DY247" t="s">
        <v>4350</v>
      </c>
      <c r="EA247" t="s">
        <v>8677</v>
      </c>
      <c r="EC247" t="s">
        <v>2327</v>
      </c>
      <c r="ED247">
        <v>75</v>
      </c>
      <c r="EE247" t="s">
        <v>8709</v>
      </c>
      <c r="EH247">
        <f t="shared" ref="EH247:EH253" si="163">ROUNDUP($ED247/50,0)</f>
        <v>2</v>
      </c>
      <c r="GH247" t="s">
        <v>9350</v>
      </c>
      <c r="GI247" t="s">
        <v>4121</v>
      </c>
      <c r="GJ247">
        <v>4</v>
      </c>
      <c r="GK247" t="s">
        <v>1320</v>
      </c>
      <c r="GL247" t="s">
        <v>1977</v>
      </c>
      <c r="GM247" t="s">
        <v>1983</v>
      </c>
      <c r="GN247" t="s">
        <v>1975</v>
      </c>
      <c r="GO247" t="s">
        <v>9314</v>
      </c>
      <c r="GP247">
        <v>122</v>
      </c>
      <c r="GR247">
        <f t="shared" si="145"/>
        <v>596</v>
      </c>
      <c r="GU247" t="str">
        <f t="shared" ca="1" si="146"/>
        <v/>
      </c>
      <c r="GV247" t="str">
        <f t="shared" ca="1" si="147"/>
        <v/>
      </c>
      <c r="GW247" t="str">
        <f t="shared" ca="1" si="148"/>
        <v/>
      </c>
      <c r="GX247" t="str">
        <f t="shared" ca="1" si="149"/>
        <v/>
      </c>
    </row>
    <row r="248" spans="63:206" x14ac:dyDescent="0.2">
      <c r="BK248" t="s">
        <v>5766</v>
      </c>
      <c r="BL248">
        <v>8</v>
      </c>
      <c r="BM248">
        <v>13</v>
      </c>
      <c r="BN248">
        <v>10</v>
      </c>
      <c r="BO248">
        <v>13</v>
      </c>
      <c r="BP248" t="s">
        <v>5755</v>
      </c>
      <c r="BQ248">
        <v>1</v>
      </c>
      <c r="BR248">
        <v>6</v>
      </c>
      <c r="BS248">
        <v>0</v>
      </c>
      <c r="BT248">
        <v>12</v>
      </c>
      <c r="BU248">
        <v>20</v>
      </c>
      <c r="BW248">
        <v>0</v>
      </c>
      <c r="BY248" t="s">
        <v>4985</v>
      </c>
      <c r="BZ248" t="s">
        <v>4985</v>
      </c>
      <c r="CA248" t="s">
        <v>5765</v>
      </c>
      <c r="CD248" t="s">
        <v>4763</v>
      </c>
      <c r="CE248" t="s">
        <v>4753</v>
      </c>
      <c r="CL248" t="s">
        <v>4717</v>
      </c>
      <c r="CU248" t="s">
        <v>7580</v>
      </c>
      <c r="CX248" t="s">
        <v>1863</v>
      </c>
      <c r="CY248" t="s">
        <v>74</v>
      </c>
      <c r="CZ248" t="s">
        <v>77</v>
      </c>
      <c r="DA248" t="s">
        <v>77</v>
      </c>
      <c r="DB248" t="s">
        <v>2042</v>
      </c>
      <c r="DC248" t="s">
        <v>7294</v>
      </c>
      <c r="DD248" t="s">
        <v>7370</v>
      </c>
      <c r="DE248" t="s">
        <v>3380</v>
      </c>
      <c r="DF248" t="s">
        <v>544</v>
      </c>
      <c r="DG248" t="s">
        <v>1321</v>
      </c>
      <c r="DH248" t="s">
        <v>6993</v>
      </c>
      <c r="DI248" t="s">
        <v>2940</v>
      </c>
      <c r="DJ248">
        <v>2</v>
      </c>
      <c r="DK248">
        <f t="shared" si="162"/>
        <v>569</v>
      </c>
      <c r="DL248">
        <f t="shared" si="155"/>
        <v>246</v>
      </c>
      <c r="DM248">
        <v>222</v>
      </c>
      <c r="DN248" t="str">
        <f t="shared" ca="1" si="139"/>
        <v/>
      </c>
      <c r="DO248" t="str">
        <f t="shared" ca="1" si="140"/>
        <v/>
      </c>
      <c r="DP248" t="str">
        <f t="shared" ca="1" si="141"/>
        <v/>
      </c>
      <c r="DQ248" t="str">
        <f>IF(EXACT(Zauber!$A$250,""),"",IF(EXACT(RIGHT(HLOOKUP(Zauber!$A$250,PROFMAGIE,$DK248,FALSE)),"H"),CONCATENATE($CX248,","),""))</f>
        <v/>
      </c>
      <c r="DR248" t="str">
        <f t="shared" si="142"/>
        <v/>
      </c>
      <c r="DS248" t="str">
        <f>IF(ZS_IAAK="Ja",IF(EXACT(RIGHT(HLOOKUP(Tabellen_Magie!$IK$1,PROFMAGIE,$DK248,FALSE)),"H"),CONCATENATE($CX248,","),""),"")</f>
        <v/>
      </c>
      <c r="DT248" t="str">
        <f>IF(ZS_IAAK="Ja",IF(NOT(DS248=""),"",IF(OR(EXACT(RIGHT(HLOOKUP(Tabellen_Magie!$IK$1,PROFMAGIE,$DK248,FALSE)),"B"),EXACT(HLOOKUP(Tabellen_Magie!$IK$1,PROFMAGIE,$DK248,FALSE),"")),"",CONCATENATE($CX248,","))),"")</f>
        <v/>
      </c>
      <c r="DU248" t="str">
        <f t="shared" si="143"/>
        <v/>
      </c>
      <c r="DW248" t="s">
        <v>2359</v>
      </c>
      <c r="DX248" t="s">
        <v>1166</v>
      </c>
      <c r="DY248" t="s">
        <v>1631</v>
      </c>
      <c r="EA248" t="s">
        <v>8677</v>
      </c>
      <c r="EC248" t="s">
        <v>2573</v>
      </c>
      <c r="ED248">
        <v>50</v>
      </c>
      <c r="EE248" t="s">
        <v>8710</v>
      </c>
      <c r="EH248">
        <f t="shared" si="163"/>
        <v>1</v>
      </c>
      <c r="GH248" t="s">
        <v>4714</v>
      </c>
      <c r="GI248" t="s">
        <v>4121</v>
      </c>
      <c r="GJ248">
        <v>4</v>
      </c>
      <c r="GK248" t="s">
        <v>4484</v>
      </c>
      <c r="GL248" t="s">
        <v>1977</v>
      </c>
      <c r="GM248" t="s">
        <v>1983</v>
      </c>
      <c r="GN248" t="s">
        <v>1974</v>
      </c>
      <c r="GO248">
        <v>259</v>
      </c>
      <c r="GP248">
        <v>124</v>
      </c>
      <c r="GR248">
        <f t="shared" si="145"/>
        <v>597</v>
      </c>
      <c r="GU248" t="str">
        <f t="shared" ca="1" si="146"/>
        <v/>
      </c>
      <c r="GV248" t="str">
        <f t="shared" ca="1" si="147"/>
        <v/>
      </c>
      <c r="GW248" t="str">
        <f t="shared" ca="1" si="148"/>
        <v/>
      </c>
      <c r="GX248" t="str">
        <f t="shared" ca="1" si="149"/>
        <v/>
      </c>
    </row>
    <row r="249" spans="63:206" x14ac:dyDescent="0.2">
      <c r="BK249" t="s">
        <v>86</v>
      </c>
      <c r="BL249">
        <v>8</v>
      </c>
      <c r="BM249">
        <v>13</v>
      </c>
      <c r="BN249">
        <v>10</v>
      </c>
      <c r="BO249">
        <v>13</v>
      </c>
      <c r="BP249" t="s">
        <v>5755</v>
      </c>
      <c r="BQ249">
        <v>1</v>
      </c>
      <c r="BR249">
        <v>5</v>
      </c>
      <c r="BS249">
        <v>1</v>
      </c>
      <c r="BT249">
        <v>12</v>
      </c>
      <c r="BU249">
        <v>20</v>
      </c>
      <c r="BW249">
        <v>0</v>
      </c>
      <c r="BY249" t="s">
        <v>4985</v>
      </c>
      <c r="BZ249" t="s">
        <v>4985</v>
      </c>
      <c r="CA249" t="s">
        <v>5765</v>
      </c>
      <c r="CD249" t="s">
        <v>331</v>
      </c>
      <c r="CE249" t="s">
        <v>7171</v>
      </c>
      <c r="CK249" t="s">
        <v>1534</v>
      </c>
      <c r="CU249" t="s">
        <v>325</v>
      </c>
      <c r="CX249" t="s">
        <v>1919</v>
      </c>
      <c r="CY249" t="s">
        <v>75</v>
      </c>
      <c r="CZ249" t="s">
        <v>77</v>
      </c>
      <c r="DA249" t="s">
        <v>750</v>
      </c>
      <c r="DC249" t="s">
        <v>7309</v>
      </c>
      <c r="DD249" t="s">
        <v>2259</v>
      </c>
      <c r="DE249" t="s">
        <v>4484</v>
      </c>
      <c r="DF249" t="s">
        <v>81</v>
      </c>
      <c r="DG249" t="s">
        <v>1956</v>
      </c>
      <c r="DH249" t="s">
        <v>6994</v>
      </c>
      <c r="DI249" t="s">
        <v>1907</v>
      </c>
      <c r="DJ249">
        <v>2</v>
      </c>
      <c r="DK249">
        <f t="shared" si="162"/>
        <v>570</v>
      </c>
      <c r="DL249">
        <f t="shared" si="155"/>
        <v>247</v>
      </c>
      <c r="DM249">
        <v>223</v>
      </c>
      <c r="DN249" t="str">
        <f t="shared" ca="1" si="139"/>
        <v/>
      </c>
      <c r="DO249" t="str">
        <f t="shared" ca="1" si="140"/>
        <v/>
      </c>
      <c r="DP249" t="str">
        <f t="shared" ca="1" si="141"/>
        <v/>
      </c>
      <c r="DQ249" t="str">
        <f>IF(EXACT(Zauber!$A$250,""),"",IF(EXACT(RIGHT(HLOOKUP(Zauber!$A$250,PROFMAGIE,$DK249,FALSE)),"H"),CONCATENATE($CX249,","),""))</f>
        <v/>
      </c>
      <c r="DR249" t="str">
        <f t="shared" si="142"/>
        <v/>
      </c>
      <c r="DS249" t="str">
        <f>IF(ZS_IAAK="Ja",IF(EXACT(RIGHT(HLOOKUP(Tabellen_Magie!$IK$1,PROFMAGIE,$DK249,FALSE)),"H"),CONCATENATE($CX249,","),""),"")</f>
        <v/>
      </c>
      <c r="DT249" t="str">
        <f>IF(ZS_IAAK="Ja",IF(NOT(DS249=""),"",IF(OR(EXACT(RIGHT(HLOOKUP(Tabellen_Magie!$IK$1,PROFMAGIE,$DK249,FALSE)),"B"),EXACT(HLOOKUP(Tabellen_Magie!$IK$1,PROFMAGIE,$DK249,FALSE),"")),"",CONCATENATE($CX249,","))),"")</f>
        <v/>
      </c>
      <c r="DU249" t="str">
        <f t="shared" si="143"/>
        <v/>
      </c>
      <c r="DW249" t="s">
        <v>8993</v>
      </c>
      <c r="DX249" t="s">
        <v>1615</v>
      </c>
      <c r="DY249" t="s">
        <v>1631</v>
      </c>
      <c r="EA249" t="s">
        <v>8981</v>
      </c>
      <c r="EC249" t="s">
        <v>2327</v>
      </c>
      <c r="ED249">
        <v>75</v>
      </c>
      <c r="EE249" t="s">
        <v>8998</v>
      </c>
      <c r="EH249">
        <f t="shared" si="163"/>
        <v>2</v>
      </c>
      <c r="GH249" t="s">
        <v>4930</v>
      </c>
      <c r="GI249" t="s">
        <v>4121</v>
      </c>
      <c r="GJ249">
        <v>4</v>
      </c>
      <c r="GK249" t="s">
        <v>4116</v>
      </c>
      <c r="GL249" t="s">
        <v>1979</v>
      </c>
      <c r="GM249" t="s">
        <v>1369</v>
      </c>
      <c r="GN249" t="s">
        <v>1975</v>
      </c>
      <c r="GO249">
        <v>282</v>
      </c>
      <c r="GP249">
        <v>136</v>
      </c>
      <c r="GR249">
        <f t="shared" si="145"/>
        <v>598</v>
      </c>
      <c r="GU249" t="str">
        <f t="shared" ca="1" si="146"/>
        <v/>
      </c>
      <c r="GV249" t="str">
        <f t="shared" ca="1" si="147"/>
        <v/>
      </c>
      <c r="GW249" t="str">
        <f t="shared" ca="1" si="148"/>
        <v/>
      </c>
      <c r="GX249" t="str">
        <f t="shared" ca="1" si="149"/>
        <v/>
      </c>
    </row>
    <row r="250" spans="63:206" x14ac:dyDescent="0.2">
      <c r="BK250" t="s">
        <v>5767</v>
      </c>
      <c r="BL250">
        <v>8</v>
      </c>
      <c r="BM250">
        <v>13</v>
      </c>
      <c r="BN250">
        <v>10</v>
      </c>
      <c r="BO250">
        <v>13</v>
      </c>
      <c r="BP250" t="s">
        <v>5755</v>
      </c>
      <c r="BQ250">
        <v>1</v>
      </c>
      <c r="BR250">
        <v>5</v>
      </c>
      <c r="BS250">
        <v>1</v>
      </c>
      <c r="BT250">
        <v>12</v>
      </c>
      <c r="BU250">
        <v>20</v>
      </c>
      <c r="BW250">
        <v>0</v>
      </c>
      <c r="BY250" t="s">
        <v>4985</v>
      </c>
      <c r="BZ250" t="s">
        <v>4985</v>
      </c>
      <c r="CA250" t="s">
        <v>5765</v>
      </c>
      <c r="CE250" t="s">
        <v>4757</v>
      </c>
      <c r="CK250" t="s">
        <v>4604</v>
      </c>
      <c r="CU250" t="s">
        <v>7581</v>
      </c>
      <c r="CX250" t="s">
        <v>1864</v>
      </c>
      <c r="CY250" t="s">
        <v>76</v>
      </c>
      <c r="CZ250" t="s">
        <v>77</v>
      </c>
      <c r="DA250" t="s">
        <v>77</v>
      </c>
      <c r="DC250" t="s">
        <v>7292</v>
      </c>
      <c r="DD250" t="s">
        <v>3141</v>
      </c>
      <c r="DE250" t="s">
        <v>4484</v>
      </c>
      <c r="DF250" t="s">
        <v>1617</v>
      </c>
      <c r="DG250" t="s">
        <v>1321</v>
      </c>
      <c r="DH250" t="s">
        <v>6995</v>
      </c>
      <c r="DI250" t="s">
        <v>4518</v>
      </c>
      <c r="DJ250">
        <v>2</v>
      </c>
      <c r="DK250">
        <f t="shared" si="162"/>
        <v>571</v>
      </c>
      <c r="DL250">
        <f t="shared" si="155"/>
        <v>248</v>
      </c>
      <c r="DM250">
        <v>224</v>
      </c>
      <c r="DN250" t="str">
        <f t="shared" ca="1" si="139"/>
        <v/>
      </c>
      <c r="DO250" t="str">
        <f t="shared" ca="1" si="140"/>
        <v/>
      </c>
      <c r="DP250" t="str">
        <f t="shared" ca="1" si="141"/>
        <v/>
      </c>
      <c r="DQ250" t="str">
        <f>IF(EXACT(Zauber!$A$250,""),"",IF(EXACT(RIGHT(HLOOKUP(Zauber!$A$250,PROFMAGIE,$DK250,FALSE)),"H"),CONCATENATE($CX250,","),""))</f>
        <v/>
      </c>
      <c r="DR250" t="str">
        <f t="shared" si="142"/>
        <v/>
      </c>
      <c r="DS250" t="str">
        <f>IF(ZS_IAAK="Ja",IF(EXACT(RIGHT(HLOOKUP(Tabellen_Magie!$IK$1,PROFMAGIE,$DK250,FALSE)),"H"),CONCATENATE($CX250,","),""),"")</f>
        <v/>
      </c>
      <c r="DT250" t="str">
        <f>IF(ZS_IAAK="Ja",IF(NOT(DS250=""),"",IF(OR(EXACT(RIGHT(HLOOKUP(Tabellen_Magie!$IK$1,PROFMAGIE,$DK250,FALSE)),"B"),EXACT(HLOOKUP(Tabellen_Magie!$IK$1,PROFMAGIE,$DK250,FALSE),"")),"",CONCATENATE($CX250,","))),"")</f>
        <v/>
      </c>
      <c r="DU250" t="str">
        <f t="shared" si="143"/>
        <v/>
      </c>
      <c r="DW250" t="s">
        <v>8994</v>
      </c>
      <c r="DX250" t="s">
        <v>1615</v>
      </c>
      <c r="DY250" t="s">
        <v>1631</v>
      </c>
      <c r="DZ250" t="s">
        <v>1647</v>
      </c>
      <c r="EA250" t="s">
        <v>8981</v>
      </c>
      <c r="EC250" t="s">
        <v>2573</v>
      </c>
      <c r="ED250">
        <v>150</v>
      </c>
      <c r="EE250" t="s">
        <v>8999</v>
      </c>
      <c r="EH250">
        <f t="shared" si="163"/>
        <v>3</v>
      </c>
      <c r="GH250" t="s">
        <v>9351</v>
      </c>
      <c r="GI250" t="s">
        <v>4121</v>
      </c>
      <c r="GJ250">
        <v>4</v>
      </c>
      <c r="GK250" t="s">
        <v>1320</v>
      </c>
      <c r="GL250" t="s">
        <v>1976</v>
      </c>
      <c r="GM250" t="s">
        <v>1982</v>
      </c>
      <c r="GN250" t="s">
        <v>1974</v>
      </c>
      <c r="GO250" t="s">
        <v>9314</v>
      </c>
      <c r="GP250">
        <v>209</v>
      </c>
      <c r="GR250">
        <f t="shared" si="145"/>
        <v>599</v>
      </c>
      <c r="GT250" t="s">
        <v>9353</v>
      </c>
      <c r="GU250" t="str">
        <f t="shared" ca="1" si="146"/>
        <v/>
      </c>
      <c r="GV250" t="str">
        <f t="shared" ca="1" si="147"/>
        <v/>
      </c>
      <c r="GW250" t="str">
        <f t="shared" ca="1" si="148"/>
        <v/>
      </c>
      <c r="GX250" t="str">
        <f t="shared" ca="1" si="149"/>
        <v/>
      </c>
    </row>
    <row r="251" spans="63:206" x14ac:dyDescent="0.2">
      <c r="BK251" t="s">
        <v>5768</v>
      </c>
      <c r="BL251">
        <v>8</v>
      </c>
      <c r="BM251">
        <v>13</v>
      </c>
      <c r="BN251">
        <v>10</v>
      </c>
      <c r="BO251">
        <v>13</v>
      </c>
      <c r="BP251" t="s">
        <v>5755</v>
      </c>
      <c r="BQ251">
        <v>1</v>
      </c>
      <c r="BR251">
        <v>6</v>
      </c>
      <c r="BS251">
        <v>2</v>
      </c>
      <c r="BT251">
        <v>12</v>
      </c>
      <c r="BU251">
        <v>20</v>
      </c>
      <c r="BW251">
        <v>0</v>
      </c>
      <c r="BY251" t="s">
        <v>4985</v>
      </c>
      <c r="BZ251" t="s">
        <v>4985</v>
      </c>
      <c r="CA251" t="s">
        <v>5765</v>
      </c>
      <c r="CE251" t="s">
        <v>4759</v>
      </c>
      <c r="CK251" t="s">
        <v>1796</v>
      </c>
      <c r="CU251" t="s">
        <v>326</v>
      </c>
      <c r="CX251" t="s">
        <v>1865</v>
      </c>
      <c r="CY251" t="s">
        <v>75</v>
      </c>
      <c r="CZ251" t="s">
        <v>76</v>
      </c>
      <c r="DA251" t="s">
        <v>77</v>
      </c>
      <c r="DB251" t="s">
        <v>2042</v>
      </c>
      <c r="DC251" t="s">
        <v>7289</v>
      </c>
      <c r="DD251" t="s">
        <v>3141</v>
      </c>
      <c r="DE251" t="s">
        <v>2254</v>
      </c>
      <c r="DF251" t="s">
        <v>81</v>
      </c>
      <c r="DG251" t="s">
        <v>1321</v>
      </c>
      <c r="DH251" t="s">
        <v>6944</v>
      </c>
      <c r="DI251" t="s">
        <v>2940</v>
      </c>
      <c r="DJ251">
        <v>2</v>
      </c>
      <c r="DK251">
        <f t="shared" si="162"/>
        <v>572</v>
      </c>
      <c r="DL251">
        <f t="shared" si="155"/>
        <v>249</v>
      </c>
      <c r="DM251">
        <v>225</v>
      </c>
      <c r="DN251" t="str">
        <f t="shared" ca="1" si="139"/>
        <v/>
      </c>
      <c r="DO251" t="str">
        <f t="shared" ca="1" si="140"/>
        <v/>
      </c>
      <c r="DP251" t="str">
        <f t="shared" ca="1" si="141"/>
        <v/>
      </c>
      <c r="DQ251" t="str">
        <f>IF(EXACT(Zauber!$A$250,""),"",IF(EXACT(RIGHT(HLOOKUP(Zauber!$A$250,PROFMAGIE,$DK251,FALSE)),"H"),CONCATENATE($CX251,","),""))</f>
        <v/>
      </c>
      <c r="DR251" t="str">
        <f t="shared" si="142"/>
        <v/>
      </c>
      <c r="DS251" t="str">
        <f>IF(ZS_IAAK="Ja",IF(EXACT(RIGHT(HLOOKUP(Tabellen_Magie!$IK$1,PROFMAGIE,$DK251,FALSE)),"H"),CONCATENATE($CX251,","),""),"")</f>
        <v/>
      </c>
      <c r="DT251" t="str">
        <f>IF(ZS_IAAK="Ja",IF(NOT(DS251=""),"",IF(OR(EXACT(RIGHT(HLOOKUP(Tabellen_Magie!$IK$1,PROFMAGIE,$DK251,FALSE)),"B"),EXACT(HLOOKUP(Tabellen_Magie!$IK$1,PROFMAGIE,$DK251,FALSE),"")),"",CONCATENATE($CX251,","))),"")</f>
        <v/>
      </c>
      <c r="DU251" t="str">
        <f t="shared" si="143"/>
        <v/>
      </c>
      <c r="DW251" t="s">
        <v>8995</v>
      </c>
      <c r="DX251" t="s">
        <v>1543</v>
      </c>
      <c r="DY251" t="s">
        <v>1631</v>
      </c>
      <c r="EA251" t="s">
        <v>8981</v>
      </c>
      <c r="EC251" t="s">
        <v>1280</v>
      </c>
      <c r="ED251">
        <v>100</v>
      </c>
      <c r="EE251" t="s">
        <v>8997</v>
      </c>
      <c r="EH251">
        <f t="shared" si="163"/>
        <v>2</v>
      </c>
      <c r="GH251" t="s">
        <v>4931</v>
      </c>
      <c r="GI251" t="s">
        <v>4121</v>
      </c>
      <c r="GJ251">
        <v>4</v>
      </c>
      <c r="GK251" t="s">
        <v>1320</v>
      </c>
      <c r="GL251" t="s">
        <v>1978</v>
      </c>
      <c r="GM251" t="s">
        <v>3961</v>
      </c>
      <c r="GN251" t="s">
        <v>1974</v>
      </c>
      <c r="GO251">
        <v>288</v>
      </c>
      <c r="GP251">
        <v>120</v>
      </c>
      <c r="GR251">
        <f t="shared" si="145"/>
        <v>600</v>
      </c>
      <c r="GU251" t="str">
        <f t="shared" ca="1" si="146"/>
        <v/>
      </c>
      <c r="GV251" t="str">
        <f t="shared" ca="1" si="147"/>
        <v/>
      </c>
      <c r="GW251" t="str">
        <f t="shared" ca="1" si="148"/>
        <v/>
      </c>
      <c r="GX251" t="str">
        <f t="shared" ca="1" si="149"/>
        <v/>
      </c>
    </row>
    <row r="252" spans="63:206" x14ac:dyDescent="0.2">
      <c r="BK252" t="s">
        <v>5769</v>
      </c>
      <c r="BL252">
        <v>8</v>
      </c>
      <c r="BM252">
        <v>13</v>
      </c>
      <c r="BN252">
        <v>10</v>
      </c>
      <c r="BO252">
        <v>13</v>
      </c>
      <c r="BP252" t="s">
        <v>5755</v>
      </c>
      <c r="BQ252">
        <v>1</v>
      </c>
      <c r="BR252">
        <v>15</v>
      </c>
      <c r="BS252">
        <v>2</v>
      </c>
      <c r="BT252">
        <v>12</v>
      </c>
      <c r="BU252">
        <v>20</v>
      </c>
      <c r="BW252">
        <v>0</v>
      </c>
      <c r="BY252" t="s">
        <v>4985</v>
      </c>
      <c r="BZ252" t="s">
        <v>4985</v>
      </c>
      <c r="CA252" t="s">
        <v>5765</v>
      </c>
      <c r="CE252" t="s">
        <v>4760</v>
      </c>
      <c r="CU252" t="s">
        <v>4991</v>
      </c>
      <c r="CX252" t="s">
        <v>1866</v>
      </c>
      <c r="CY252" t="s">
        <v>74</v>
      </c>
      <c r="CZ252" t="s">
        <v>76</v>
      </c>
      <c r="DA252" t="s">
        <v>5030</v>
      </c>
      <c r="DB252" t="s">
        <v>1613</v>
      </c>
      <c r="DC252" t="s">
        <v>7294</v>
      </c>
      <c r="DD252" t="s">
        <v>4023</v>
      </c>
      <c r="DE252" t="s">
        <v>3380</v>
      </c>
      <c r="DF252" t="s">
        <v>81</v>
      </c>
      <c r="DG252" t="s">
        <v>1956</v>
      </c>
      <c r="DH252" t="s">
        <v>6996</v>
      </c>
      <c r="DI252" t="s">
        <v>3358</v>
      </c>
      <c r="DJ252">
        <v>2</v>
      </c>
      <c r="DK252">
        <f t="shared" si="162"/>
        <v>573</v>
      </c>
      <c r="DL252">
        <f t="shared" si="155"/>
        <v>250</v>
      </c>
      <c r="DM252">
        <v>226</v>
      </c>
      <c r="DN252" t="str">
        <f t="shared" ca="1" si="139"/>
        <v/>
      </c>
      <c r="DO252" t="str">
        <f t="shared" ca="1" si="140"/>
        <v/>
      </c>
      <c r="DP252" t="str">
        <f t="shared" ca="1" si="141"/>
        <v/>
      </c>
      <c r="DQ252" t="str">
        <f>IF(EXACT(Zauber!$A$250,""),"",IF(EXACT(RIGHT(HLOOKUP(Zauber!$A$250,PROFMAGIE,$DK252,FALSE)),"H"),CONCATENATE($CX252,","),""))</f>
        <v/>
      </c>
      <c r="DR252" t="str">
        <f t="shared" si="142"/>
        <v/>
      </c>
      <c r="DS252" t="str">
        <f>IF(ZS_IAAK="Ja",IF(EXACT(RIGHT(HLOOKUP(Tabellen_Magie!$IK$1,PROFMAGIE,$DK252,FALSE)),"H"),CONCATENATE($CX252,","),""),"")</f>
        <v/>
      </c>
      <c r="DT252" t="str">
        <f>IF(ZS_IAAK="Ja",IF(NOT(DS252=""),"",IF(OR(EXACT(RIGHT(HLOOKUP(Tabellen_Magie!$IK$1,PROFMAGIE,$DK252,FALSE)),"B"),EXACT(HLOOKUP(Tabellen_Magie!$IK$1,PROFMAGIE,$DK252,FALSE),"")),"",CONCATENATE($CX252,","))),"")</f>
        <v/>
      </c>
      <c r="DU252" t="str">
        <f t="shared" si="143"/>
        <v/>
      </c>
      <c r="DW252" t="s">
        <v>1906</v>
      </c>
      <c r="DX252" t="s">
        <v>1615</v>
      </c>
      <c r="DY252" t="s">
        <v>1543</v>
      </c>
      <c r="DZ252" t="s">
        <v>4348</v>
      </c>
      <c r="EA252" t="s">
        <v>8677</v>
      </c>
      <c r="EC252" t="s">
        <v>2304</v>
      </c>
      <c r="ED252">
        <v>125</v>
      </c>
      <c r="EE252" t="s">
        <v>8711</v>
      </c>
      <c r="EH252">
        <f t="shared" si="163"/>
        <v>3</v>
      </c>
      <c r="GH252" t="s">
        <v>4932</v>
      </c>
      <c r="GI252" t="s">
        <v>4121</v>
      </c>
      <c r="GJ252">
        <v>4</v>
      </c>
      <c r="GK252" t="s">
        <v>1320</v>
      </c>
      <c r="GL252" t="s">
        <v>1977</v>
      </c>
      <c r="GM252" t="s">
        <v>3961</v>
      </c>
      <c r="GN252" t="s">
        <v>1974</v>
      </c>
      <c r="GO252">
        <v>286</v>
      </c>
      <c r="GP252">
        <v>193</v>
      </c>
      <c r="GR252">
        <f t="shared" si="145"/>
        <v>601</v>
      </c>
      <c r="GU252" t="str">
        <f t="shared" ca="1" si="146"/>
        <v/>
      </c>
      <c r="GV252" t="str">
        <f t="shared" ca="1" si="147"/>
        <v/>
      </c>
      <c r="GW252" t="str">
        <f t="shared" ca="1" si="148"/>
        <v/>
      </c>
      <c r="GX252" t="str">
        <f t="shared" ca="1" si="149"/>
        <v/>
      </c>
    </row>
    <row r="253" spans="63:206" x14ac:dyDescent="0.2">
      <c r="BK253" t="s">
        <v>5770</v>
      </c>
      <c r="BL253">
        <v>8</v>
      </c>
      <c r="BM253">
        <v>13</v>
      </c>
      <c r="BN253">
        <v>10</v>
      </c>
      <c r="BO253">
        <v>13</v>
      </c>
      <c r="BP253" t="s">
        <v>5755</v>
      </c>
      <c r="BQ253">
        <v>1</v>
      </c>
      <c r="BR253">
        <v>7</v>
      </c>
      <c r="BS253">
        <v>0</v>
      </c>
      <c r="BT253">
        <v>11</v>
      </c>
      <c r="BU253">
        <v>20</v>
      </c>
      <c r="BW253">
        <v>0</v>
      </c>
      <c r="BY253" t="s">
        <v>4985</v>
      </c>
      <c r="BZ253" t="s">
        <v>4985</v>
      </c>
      <c r="CA253" t="s">
        <v>5765</v>
      </c>
      <c r="CE253" t="s">
        <v>4762</v>
      </c>
      <c r="CU253" t="s">
        <v>6679</v>
      </c>
      <c r="CX253" t="s">
        <v>1868</v>
      </c>
      <c r="CY253" t="s">
        <v>76</v>
      </c>
      <c r="CZ253" t="s">
        <v>751</v>
      </c>
      <c r="DA253" t="s">
        <v>750</v>
      </c>
      <c r="DC253" t="s">
        <v>7289</v>
      </c>
      <c r="DD253" t="s">
        <v>7371</v>
      </c>
      <c r="DE253" t="s">
        <v>2254</v>
      </c>
      <c r="DF253" t="s">
        <v>2257</v>
      </c>
      <c r="DG253" t="s">
        <v>1956</v>
      </c>
      <c r="DH253" t="s">
        <v>6854</v>
      </c>
      <c r="DI253" t="s">
        <v>4350</v>
      </c>
      <c r="DJ253">
        <v>2</v>
      </c>
      <c r="DK253">
        <f t="shared" si="162"/>
        <v>574</v>
      </c>
      <c r="DL253">
        <f t="shared" si="155"/>
        <v>251</v>
      </c>
      <c r="DM253">
        <v>227</v>
      </c>
      <c r="DN253" t="str">
        <f t="shared" ca="1" si="139"/>
        <v/>
      </c>
      <c r="DO253" t="str">
        <f t="shared" ca="1" si="140"/>
        <v/>
      </c>
      <c r="DP253" t="str">
        <f t="shared" ca="1" si="141"/>
        <v/>
      </c>
      <c r="DQ253" t="str">
        <f>IF(EXACT(Zauber!$A$250,""),"",IF(EXACT(RIGHT(HLOOKUP(Zauber!$A$250,PROFMAGIE,$DK253,FALSE)),"H"),CONCATENATE($CX253,","),""))</f>
        <v/>
      </c>
      <c r="DR253" t="str">
        <f t="shared" si="142"/>
        <v/>
      </c>
      <c r="DS253" t="str">
        <f>IF(ZS_IAAK="Ja",IF(EXACT(RIGHT(HLOOKUP(Tabellen_Magie!$IK$1,PROFMAGIE,$DK253,FALSE)),"H"),CONCATENATE($CX253,","),""),"")</f>
        <v/>
      </c>
      <c r="DT253" t="str">
        <f>IF(ZS_IAAK="Ja",IF(NOT(DS253=""),"",IF(OR(EXACT(RIGHT(HLOOKUP(Tabellen_Magie!$IK$1,PROFMAGIE,$DK253,FALSE)),"B"),EXACT(HLOOKUP(Tabellen_Magie!$IK$1,PROFMAGIE,$DK253,FALSE),"")),"",CONCATENATE($CX253,","))),"")</f>
        <v/>
      </c>
      <c r="DU253" t="str">
        <f t="shared" si="143"/>
        <v/>
      </c>
      <c r="DW253" t="s">
        <v>1392</v>
      </c>
      <c r="DX253" t="s">
        <v>1615</v>
      </c>
      <c r="DY253" t="s">
        <v>4349</v>
      </c>
      <c r="EA253" t="s">
        <v>8677</v>
      </c>
      <c r="EC253" t="s">
        <v>2762</v>
      </c>
      <c r="ED253">
        <v>50</v>
      </c>
      <c r="EE253" t="s">
        <v>8712</v>
      </c>
      <c r="EH253">
        <f t="shared" si="163"/>
        <v>1</v>
      </c>
      <c r="GH253" t="s">
        <v>4933</v>
      </c>
      <c r="GI253" t="s">
        <v>4121</v>
      </c>
      <c r="GJ253">
        <v>4</v>
      </c>
      <c r="GK253" t="s">
        <v>4116</v>
      </c>
      <c r="GL253" t="s">
        <v>1977</v>
      </c>
      <c r="GM253" t="s">
        <v>1982</v>
      </c>
      <c r="GN253" t="s">
        <v>1975</v>
      </c>
      <c r="GO253">
        <v>271</v>
      </c>
      <c r="GP253">
        <v>147</v>
      </c>
      <c r="GR253">
        <f t="shared" si="145"/>
        <v>602</v>
      </c>
      <c r="GU253" t="str">
        <f t="shared" ca="1" si="146"/>
        <v/>
      </c>
      <c r="GV253" t="str">
        <f t="shared" ca="1" si="147"/>
        <v/>
      </c>
      <c r="GW253" t="str">
        <f t="shared" ca="1" si="148"/>
        <v/>
      </c>
      <c r="GX253" t="str">
        <f t="shared" ca="1" si="149"/>
        <v/>
      </c>
    </row>
    <row r="254" spans="63:206" x14ac:dyDescent="0.2">
      <c r="BK254" t="s">
        <v>5771</v>
      </c>
      <c r="BL254">
        <v>8</v>
      </c>
      <c r="BM254">
        <v>13</v>
      </c>
      <c r="BN254">
        <v>10</v>
      </c>
      <c r="BO254">
        <v>13</v>
      </c>
      <c r="BP254" t="s">
        <v>5755</v>
      </c>
      <c r="BQ254">
        <v>1</v>
      </c>
      <c r="BR254">
        <v>8</v>
      </c>
      <c r="BS254">
        <v>0</v>
      </c>
      <c r="BT254">
        <v>11</v>
      </c>
      <c r="BU254">
        <v>20</v>
      </c>
      <c r="BW254">
        <v>0</v>
      </c>
      <c r="BY254" t="s">
        <v>4985</v>
      </c>
      <c r="BZ254" t="s">
        <v>4985</v>
      </c>
      <c r="CA254" t="s">
        <v>5765</v>
      </c>
      <c r="CE254" t="s">
        <v>7174</v>
      </c>
      <c r="CU254" t="s">
        <v>327</v>
      </c>
      <c r="CX254" t="s">
        <v>1869</v>
      </c>
      <c r="CY254" t="s">
        <v>74</v>
      </c>
      <c r="CZ254" t="s">
        <v>76</v>
      </c>
      <c r="DA254" t="s">
        <v>77</v>
      </c>
      <c r="DB254" t="s">
        <v>4433</v>
      </c>
      <c r="DC254" t="s">
        <v>7292</v>
      </c>
      <c r="DD254" t="s">
        <v>7372</v>
      </c>
      <c r="DE254" t="s">
        <v>2254</v>
      </c>
      <c r="DF254" t="s">
        <v>1617</v>
      </c>
      <c r="DG254" t="s">
        <v>1955</v>
      </c>
      <c r="DH254" t="s">
        <v>6877</v>
      </c>
      <c r="DI254" t="s">
        <v>2940</v>
      </c>
      <c r="DJ254">
        <v>2</v>
      </c>
      <c r="DK254">
        <f t="shared" si="162"/>
        <v>575</v>
      </c>
      <c r="DL254">
        <f t="shared" si="155"/>
        <v>252</v>
      </c>
      <c r="DM254">
        <v>228</v>
      </c>
      <c r="DN254" t="str">
        <f t="shared" ca="1" si="139"/>
        <v/>
      </c>
      <c r="DO254" t="str">
        <f t="shared" ca="1" si="140"/>
        <v/>
      </c>
      <c r="DP254" t="str">
        <f t="shared" ca="1" si="141"/>
        <v/>
      </c>
      <c r="DQ254" t="str">
        <f>IF(EXACT(Zauber!$A$250,""),"",IF(EXACT(RIGHT(HLOOKUP(Zauber!$A$250,PROFMAGIE,$DK254,FALSE)),"H"),CONCATENATE($CX254,","),""))</f>
        <v/>
      </c>
      <c r="DR254" t="str">
        <f t="shared" si="142"/>
        <v/>
      </c>
      <c r="DS254" t="str">
        <f>IF(ZS_IAAK="Ja",IF(EXACT(RIGHT(HLOOKUP(Tabellen_Magie!$IK$1,PROFMAGIE,$DK254,FALSE)),"H"),CONCATENATE($CX254,","),""),"")</f>
        <v/>
      </c>
      <c r="DT254" t="str">
        <f>IF(ZS_IAAK="Ja",IF(NOT(DS254=""),"",IF(OR(EXACT(RIGHT(HLOOKUP(Tabellen_Magie!$IK$1,PROFMAGIE,$DK254,FALSE)),"B"),EXACT(HLOOKUP(Tabellen_Magie!$IK$1,PROFMAGIE,$DK254,FALSE),"")),"",CONCATENATE($CX254,","))),"")</f>
        <v/>
      </c>
      <c r="DU254" t="str">
        <f t="shared" si="143"/>
        <v/>
      </c>
      <c r="DW254" t="s">
        <v>8713</v>
      </c>
      <c r="DX254" t="s">
        <v>2940</v>
      </c>
      <c r="EA254" t="s">
        <v>8677</v>
      </c>
      <c r="EC254" t="s">
        <v>2304</v>
      </c>
      <c r="ED254">
        <v>150</v>
      </c>
      <c r="EE254" t="s">
        <v>8714</v>
      </c>
      <c r="EH254">
        <f t="shared" si="161"/>
        <v>3</v>
      </c>
      <c r="GH254" t="s">
        <v>4934</v>
      </c>
      <c r="GI254" t="s">
        <v>4121</v>
      </c>
      <c r="GJ254">
        <v>4</v>
      </c>
      <c r="GK254" t="s">
        <v>1320</v>
      </c>
      <c r="GL254" t="s">
        <v>1978</v>
      </c>
      <c r="GM254" t="s">
        <v>1685</v>
      </c>
      <c r="GN254" t="s">
        <v>1690</v>
      </c>
      <c r="GO254">
        <v>289</v>
      </c>
      <c r="GP254">
        <v>291</v>
      </c>
      <c r="GR254">
        <f t="shared" si="145"/>
        <v>603</v>
      </c>
      <c r="GU254" t="str">
        <f t="shared" ca="1" si="146"/>
        <v/>
      </c>
      <c r="GV254" t="str">
        <f t="shared" ca="1" si="147"/>
        <v/>
      </c>
      <c r="GW254" t="str">
        <f t="shared" ca="1" si="148"/>
        <v/>
      </c>
      <c r="GX254" t="str">
        <f t="shared" ca="1" si="149"/>
        <v/>
      </c>
    </row>
    <row r="255" spans="63:206" x14ac:dyDescent="0.2">
      <c r="CE255" t="s">
        <v>477</v>
      </c>
      <c r="CU255" t="s">
        <v>7175</v>
      </c>
      <c r="CX255" t="s">
        <v>1870</v>
      </c>
      <c r="CY255" t="s">
        <v>76</v>
      </c>
      <c r="CZ255" t="s">
        <v>77</v>
      </c>
      <c r="DA255" t="s">
        <v>751</v>
      </c>
      <c r="DC255" t="s">
        <v>7295</v>
      </c>
      <c r="DD255" t="s">
        <v>7373</v>
      </c>
      <c r="DE255" t="s">
        <v>4484</v>
      </c>
      <c r="DF255" t="s">
        <v>1358</v>
      </c>
      <c r="DG255" t="s">
        <v>1955</v>
      </c>
      <c r="DH255" t="s">
        <v>8441</v>
      </c>
      <c r="DI255" t="s">
        <v>2793</v>
      </c>
      <c r="DJ255">
        <v>2</v>
      </c>
      <c r="DK255">
        <f t="shared" si="162"/>
        <v>576</v>
      </c>
      <c r="DL255">
        <f t="shared" si="155"/>
        <v>253</v>
      </c>
      <c r="DM255">
        <v>229</v>
      </c>
      <c r="DN255" t="str">
        <f t="shared" ca="1" si="139"/>
        <v/>
      </c>
      <c r="DO255" t="str">
        <f t="shared" ca="1" si="140"/>
        <v/>
      </c>
      <c r="DP255" t="str">
        <f t="shared" ca="1" si="141"/>
        <v/>
      </c>
      <c r="DQ255" t="str">
        <f>IF(EXACT(Zauber!$A$250,""),"",IF(EXACT(RIGHT(HLOOKUP(Zauber!$A$250,PROFMAGIE,$DK255,FALSE)),"H"),CONCATENATE($CX255,","),""))</f>
        <v/>
      </c>
      <c r="DR255" t="str">
        <f t="shared" si="142"/>
        <v/>
      </c>
      <c r="DS255" t="str">
        <f>IF(ZS_IAAK="Ja",IF(EXACT(RIGHT(HLOOKUP(Tabellen_Magie!$IK$1,PROFMAGIE,$DK255,FALSE)),"H"),CONCATENATE($CX255,","),""),"")</f>
        <v/>
      </c>
      <c r="DT255" t="str">
        <f>IF(ZS_IAAK="Ja",IF(NOT(DS255=""),"",IF(OR(EXACT(RIGHT(HLOOKUP(Tabellen_Magie!$IK$1,PROFMAGIE,$DK255,FALSE)),"B"),EXACT(HLOOKUP(Tabellen_Magie!$IK$1,PROFMAGIE,$DK255,FALSE),"")),"",CONCATENATE($CX255,","))),"")</f>
        <v/>
      </c>
      <c r="DU255" t="str">
        <f t="shared" si="143"/>
        <v/>
      </c>
      <c r="DW255" t="s">
        <v>2819</v>
      </c>
      <c r="DX255" t="s">
        <v>4350</v>
      </c>
      <c r="EA255" t="s">
        <v>8677</v>
      </c>
      <c r="EC255" t="s">
        <v>2990</v>
      </c>
      <c r="ED255">
        <v>25</v>
      </c>
      <c r="EE255" t="s">
        <v>8715</v>
      </c>
      <c r="EH255">
        <f t="shared" si="161"/>
        <v>1</v>
      </c>
      <c r="GH255" t="s">
        <v>9352</v>
      </c>
      <c r="GI255" t="s">
        <v>4121</v>
      </c>
      <c r="GJ255">
        <v>0</v>
      </c>
      <c r="GK255" t="s">
        <v>9311</v>
      </c>
      <c r="GL255" t="s">
        <v>567</v>
      </c>
      <c r="GM255" t="s">
        <v>1985</v>
      </c>
      <c r="GN255" t="s">
        <v>1974</v>
      </c>
      <c r="GO255" t="s">
        <v>9314</v>
      </c>
      <c r="GP255">
        <v>165</v>
      </c>
      <c r="GR255">
        <f t="shared" si="145"/>
        <v>604</v>
      </c>
      <c r="GS255">
        <v>6</v>
      </c>
      <c r="GU255" t="str">
        <f t="shared" ca="1" si="146"/>
        <v/>
      </c>
      <c r="GV255" t="str">
        <f t="shared" ca="1" si="147"/>
        <v/>
      </c>
      <c r="GW255" t="str">
        <f t="shared" ca="1" si="148"/>
        <v/>
      </c>
      <c r="GX255" t="str">
        <f t="shared" ca="1" si="149"/>
        <v/>
      </c>
    </row>
    <row r="256" spans="63:206" x14ac:dyDescent="0.2">
      <c r="CE256" t="s">
        <v>4765</v>
      </c>
      <c r="CU256" t="s">
        <v>328</v>
      </c>
      <c r="CX256" t="s">
        <v>1871</v>
      </c>
      <c r="CY256" t="s">
        <v>76</v>
      </c>
      <c r="CZ256" t="s">
        <v>77</v>
      </c>
      <c r="DA256" t="s">
        <v>77</v>
      </c>
      <c r="DB256" t="s">
        <v>2042</v>
      </c>
      <c r="DC256" t="s">
        <v>7289</v>
      </c>
      <c r="DD256" t="s">
        <v>2727</v>
      </c>
      <c r="DE256" t="s">
        <v>3142</v>
      </c>
      <c r="DF256" t="s">
        <v>511</v>
      </c>
      <c r="DG256" t="s">
        <v>1956</v>
      </c>
      <c r="DH256" t="s">
        <v>6854</v>
      </c>
      <c r="DI256" t="s">
        <v>2940</v>
      </c>
      <c r="DJ256">
        <v>2</v>
      </c>
      <c r="DK256">
        <f t="shared" si="162"/>
        <v>577</v>
      </c>
      <c r="DL256">
        <f t="shared" si="155"/>
        <v>254</v>
      </c>
      <c r="DM256">
        <v>230</v>
      </c>
      <c r="DN256" t="str">
        <f t="shared" ca="1" si="139"/>
        <v/>
      </c>
      <c r="DO256" t="str">
        <f t="shared" ca="1" si="140"/>
        <v/>
      </c>
      <c r="DP256" t="str">
        <f t="shared" ca="1" si="141"/>
        <v/>
      </c>
      <c r="DQ256" t="str">
        <f>IF(EXACT(Zauber!$A$250,""),"",IF(EXACT(RIGHT(HLOOKUP(Zauber!$A$250,PROFMAGIE,$DK256,FALSE)),"H"),CONCATENATE($CX256,","),""))</f>
        <v/>
      </c>
      <c r="DR256" t="str">
        <f t="shared" si="142"/>
        <v/>
      </c>
      <c r="DS256" t="str">
        <f>IF(ZS_IAAK="Ja",IF(EXACT(RIGHT(HLOOKUP(Tabellen_Magie!$IK$1,PROFMAGIE,$DK256,FALSE)),"H"),CONCATENATE($CX256,","),""),"")</f>
        <v/>
      </c>
      <c r="DT256" t="str">
        <f>IF(ZS_IAAK="Ja",IF(NOT(DS256=""),"",IF(OR(EXACT(RIGHT(HLOOKUP(Tabellen_Magie!$IK$1,PROFMAGIE,$DK256,FALSE)),"B"),EXACT(HLOOKUP(Tabellen_Magie!$IK$1,PROFMAGIE,$DK256,FALSE),"")),"",CONCATENATE($CX256,","))),"")</f>
        <v/>
      </c>
      <c r="DU256" t="str">
        <f t="shared" si="143"/>
        <v/>
      </c>
      <c r="DW256" t="s">
        <v>3442</v>
      </c>
      <c r="EA256" t="s">
        <v>8677</v>
      </c>
      <c r="ED256">
        <v>0</v>
      </c>
      <c r="EE256" t="s">
        <v>5046</v>
      </c>
      <c r="EH256">
        <f t="shared" si="161"/>
        <v>0</v>
      </c>
      <c r="GH256" t="s">
        <v>4935</v>
      </c>
      <c r="GI256" t="s">
        <v>4121</v>
      </c>
      <c r="GJ256">
        <v>4</v>
      </c>
      <c r="GK256" t="s">
        <v>1320</v>
      </c>
      <c r="GL256" t="s">
        <v>1977</v>
      </c>
      <c r="GM256" t="s">
        <v>1984</v>
      </c>
      <c r="GN256" t="s">
        <v>1974</v>
      </c>
      <c r="GO256">
        <v>289</v>
      </c>
      <c r="GP256">
        <v>316</v>
      </c>
      <c r="GR256">
        <f t="shared" si="145"/>
        <v>605</v>
      </c>
      <c r="GU256" t="str">
        <f t="shared" ca="1" si="146"/>
        <v/>
      </c>
      <c r="GV256" t="str">
        <f t="shared" ca="1" si="147"/>
        <v/>
      </c>
      <c r="GW256" t="str">
        <f t="shared" ca="1" si="148"/>
        <v/>
      </c>
      <c r="GX256" t="str">
        <f t="shared" ca="1" si="149"/>
        <v/>
      </c>
    </row>
    <row r="257" spans="63:206" x14ac:dyDescent="0.2">
      <c r="CE257" t="s">
        <v>4766</v>
      </c>
      <c r="CU257" t="s">
        <v>329</v>
      </c>
      <c r="CX257" t="s">
        <v>1872</v>
      </c>
      <c r="CY257" t="s">
        <v>74</v>
      </c>
      <c r="CZ257" t="s">
        <v>77</v>
      </c>
      <c r="DA257" t="s">
        <v>77</v>
      </c>
      <c r="DC257" t="s">
        <v>7297</v>
      </c>
      <c r="DD257" t="s">
        <v>3138</v>
      </c>
      <c r="DE257" t="s">
        <v>655</v>
      </c>
      <c r="DF257" t="s">
        <v>2212</v>
      </c>
      <c r="DG257" t="s">
        <v>1956</v>
      </c>
      <c r="DH257" t="s">
        <v>6899</v>
      </c>
      <c r="DI257" t="s">
        <v>3355</v>
      </c>
      <c r="DJ257">
        <v>2</v>
      </c>
      <c r="DK257">
        <f t="shared" si="162"/>
        <v>578</v>
      </c>
      <c r="DL257">
        <f t="shared" si="155"/>
        <v>255</v>
      </c>
      <c r="DM257">
        <v>146</v>
      </c>
      <c r="DN257" t="str">
        <f t="shared" ca="1" si="139"/>
        <v/>
      </c>
      <c r="DO257" t="str">
        <f t="shared" ca="1" si="140"/>
        <v/>
      </c>
      <c r="DP257" t="str">
        <f t="shared" ca="1" si="141"/>
        <v/>
      </c>
      <c r="DQ257" t="str">
        <f>IF(EXACT(Zauber!$A$250,""),"",IF(EXACT(RIGHT(HLOOKUP(Zauber!$A$250,PROFMAGIE,$DK257,FALSE)),"H"),CONCATENATE($CX257,","),""))</f>
        <v/>
      </c>
      <c r="DR257" t="str">
        <f t="shared" si="142"/>
        <v/>
      </c>
      <c r="DS257" t="str">
        <f>IF(ZS_IAAK="Ja",IF(EXACT(RIGHT(HLOOKUP(Tabellen_Magie!$IK$1,PROFMAGIE,$DK257,FALSE)),"H"),CONCATENATE($CX257,","),""),"")</f>
        <v/>
      </c>
      <c r="DT257" t="str">
        <f>IF(ZS_IAAK="Ja",IF(NOT(DS257=""),"",IF(OR(EXACT(RIGHT(HLOOKUP(Tabellen_Magie!$IK$1,PROFMAGIE,$DK257,FALSE)),"B"),EXACT(HLOOKUP(Tabellen_Magie!$IK$1,PROFMAGIE,$DK257,FALSE),"")),"",CONCATENATE($CX257,","))),"")</f>
        <v/>
      </c>
      <c r="DU257" t="str">
        <f t="shared" si="143"/>
        <v/>
      </c>
      <c r="DW257" t="s">
        <v>2362</v>
      </c>
      <c r="DX257" t="s">
        <v>1615</v>
      </c>
      <c r="DY257" t="s">
        <v>2942</v>
      </c>
      <c r="EA257" t="s">
        <v>8677</v>
      </c>
      <c r="EC257" t="s">
        <v>4565</v>
      </c>
      <c r="ED257">
        <v>100</v>
      </c>
      <c r="EE257" t="s">
        <v>2255</v>
      </c>
      <c r="EH257">
        <f t="shared" si="161"/>
        <v>2</v>
      </c>
      <c r="GH257" t="s">
        <v>4936</v>
      </c>
      <c r="GI257" t="s">
        <v>4121</v>
      </c>
      <c r="GJ257">
        <v>4</v>
      </c>
      <c r="GK257" t="s">
        <v>4484</v>
      </c>
      <c r="GL257" t="s">
        <v>567</v>
      </c>
      <c r="GM257" t="s">
        <v>1983</v>
      </c>
      <c r="GN257" t="s">
        <v>1973</v>
      </c>
      <c r="GO257">
        <v>263</v>
      </c>
      <c r="GP257">
        <v>175</v>
      </c>
      <c r="GR257">
        <f t="shared" si="145"/>
        <v>606</v>
      </c>
      <c r="GU257" t="str">
        <f t="shared" ca="1" si="146"/>
        <v/>
      </c>
      <c r="GV257" t="str">
        <f t="shared" ca="1" si="147"/>
        <v/>
      </c>
      <c r="GW257" t="str">
        <f t="shared" ca="1" si="148"/>
        <v/>
      </c>
      <c r="GX257" t="str">
        <f t="shared" ca="1" si="149"/>
        <v/>
      </c>
    </row>
    <row r="258" spans="63:206" x14ac:dyDescent="0.2">
      <c r="CE258" t="s">
        <v>322</v>
      </c>
      <c r="CU258" t="s">
        <v>330</v>
      </c>
      <c r="CX258" t="s">
        <v>1873</v>
      </c>
      <c r="CY258" t="s">
        <v>75</v>
      </c>
      <c r="CZ258" t="s">
        <v>75</v>
      </c>
      <c r="DA258" t="s">
        <v>750</v>
      </c>
      <c r="DC258" t="s">
        <v>544</v>
      </c>
      <c r="DD258" t="s">
        <v>764</v>
      </c>
      <c r="DE258" t="s">
        <v>2397</v>
      </c>
      <c r="DF258" t="s">
        <v>2493</v>
      </c>
      <c r="DG258" t="s">
        <v>1955</v>
      </c>
      <c r="DH258" t="s">
        <v>6997</v>
      </c>
      <c r="DI258" t="s">
        <v>550</v>
      </c>
      <c r="DJ258">
        <v>2</v>
      </c>
      <c r="DK258">
        <f t="shared" si="162"/>
        <v>579</v>
      </c>
      <c r="DL258">
        <f t="shared" si="155"/>
        <v>256</v>
      </c>
      <c r="DM258">
        <v>231</v>
      </c>
      <c r="DN258" t="str">
        <f t="shared" ca="1" si="139"/>
        <v/>
      </c>
      <c r="DO258" t="str">
        <f t="shared" ca="1" si="140"/>
        <v/>
      </c>
      <c r="DP258" t="str">
        <f t="shared" ca="1" si="141"/>
        <v/>
      </c>
      <c r="DQ258" t="str">
        <f>IF(EXACT(Zauber!$A$250,""),"",IF(EXACT(RIGHT(HLOOKUP(Zauber!$A$250,PROFMAGIE,$DK258,FALSE)),"H"),CONCATENATE($CX258,","),""))</f>
        <v/>
      </c>
      <c r="DR258" t="str">
        <f t="shared" si="142"/>
        <v/>
      </c>
      <c r="DS258" t="str">
        <f>IF(ZS_IAAK="Ja",IF(EXACT(RIGHT(HLOOKUP(Tabellen_Magie!$IK$1,PROFMAGIE,$DK258,FALSE)),"H"),CONCATENATE($CX258,","),""),"")</f>
        <v/>
      </c>
      <c r="DT258" t="str">
        <f>IF(ZS_IAAK="Ja",IF(NOT(DS258=""),"",IF(OR(EXACT(RIGHT(HLOOKUP(Tabellen_Magie!$IK$1,PROFMAGIE,$DK258,FALSE)),"B"),EXACT(HLOOKUP(Tabellen_Magie!$IK$1,PROFMAGIE,$DK258,FALSE),"")),"",CONCATENATE($CX258,","))),"")</f>
        <v/>
      </c>
      <c r="DU258" t="str">
        <f t="shared" si="143"/>
        <v/>
      </c>
      <c r="DW258" t="s">
        <v>3219</v>
      </c>
      <c r="EA258" t="s">
        <v>8677</v>
      </c>
      <c r="ED258">
        <v>0</v>
      </c>
      <c r="EE258" t="s">
        <v>5046</v>
      </c>
      <c r="EH258">
        <f t="shared" si="161"/>
        <v>0</v>
      </c>
      <c r="GH258" t="s">
        <v>4937</v>
      </c>
      <c r="GI258" t="s">
        <v>4121</v>
      </c>
      <c r="GJ258">
        <v>4</v>
      </c>
      <c r="GK258" t="s">
        <v>4484</v>
      </c>
      <c r="GL258" t="s">
        <v>1976</v>
      </c>
      <c r="GM258" t="s">
        <v>1982</v>
      </c>
      <c r="GN258" t="s">
        <v>1690</v>
      </c>
      <c r="GO258">
        <v>278</v>
      </c>
      <c r="GP258">
        <v>187</v>
      </c>
      <c r="GR258">
        <f t="shared" si="145"/>
        <v>607</v>
      </c>
      <c r="GU258" t="str">
        <f t="shared" ca="1" si="146"/>
        <v/>
      </c>
      <c r="GV258" t="str">
        <f t="shared" ca="1" si="147"/>
        <v/>
      </c>
      <c r="GW258" t="str">
        <f t="shared" ca="1" si="148"/>
        <v/>
      </c>
      <c r="GX258" t="str">
        <f t="shared" ca="1" si="149"/>
        <v/>
      </c>
    </row>
    <row r="259" spans="63:206" x14ac:dyDescent="0.2">
      <c r="CE259" t="s">
        <v>327</v>
      </c>
      <c r="CU259" t="s">
        <v>7176</v>
      </c>
      <c r="CX259" t="s">
        <v>1874</v>
      </c>
      <c r="CY259" t="s">
        <v>74</v>
      </c>
      <c r="CZ259" t="s">
        <v>77</v>
      </c>
      <c r="DA259" t="s">
        <v>5030</v>
      </c>
      <c r="DB259" t="s">
        <v>2042</v>
      </c>
      <c r="DC259" t="s">
        <v>7292</v>
      </c>
      <c r="DD259" t="s">
        <v>765</v>
      </c>
      <c r="DE259" t="s">
        <v>1321</v>
      </c>
      <c r="DF259" t="s">
        <v>1622</v>
      </c>
      <c r="DG259" t="s">
        <v>1955</v>
      </c>
      <c r="DH259" t="s">
        <v>8442</v>
      </c>
      <c r="DI259" t="s">
        <v>3359</v>
      </c>
      <c r="DJ259">
        <v>2</v>
      </c>
      <c r="DK259">
        <f t="shared" si="162"/>
        <v>580</v>
      </c>
      <c r="DL259">
        <f t="shared" si="155"/>
        <v>257</v>
      </c>
      <c r="DM259">
        <v>232</v>
      </c>
      <c r="DN259" t="str">
        <f t="shared" ca="1" si="139"/>
        <v/>
      </c>
      <c r="DO259" t="str">
        <f t="shared" ca="1" si="140"/>
        <v/>
      </c>
      <c r="DP259" t="str">
        <f t="shared" ca="1" si="141"/>
        <v/>
      </c>
      <c r="DQ259" t="str">
        <f>IF(EXACT(Zauber!$A$250,""),"",IF(EXACT(RIGHT(HLOOKUP(Zauber!$A$250,PROFMAGIE,$DK259,FALSE)),"H"),CONCATENATE($CX259,","),""))</f>
        <v/>
      </c>
      <c r="DR259" t="str">
        <f t="shared" si="142"/>
        <v/>
      </c>
      <c r="DS259" t="str">
        <f>IF(ZS_IAAK="Ja",IF(EXACT(RIGHT(HLOOKUP(Tabellen_Magie!$IK$1,PROFMAGIE,$DK259,FALSE)),"H"),CONCATENATE($CX259,","),""),"")</f>
        <v/>
      </c>
      <c r="DT259" t="str">
        <f>IF(ZS_IAAK="Ja",IF(NOT(DS259=""),"",IF(OR(EXACT(RIGHT(HLOOKUP(Tabellen_Magie!$IK$1,PROFMAGIE,$DK259,FALSE)),"B"),EXACT(HLOOKUP(Tabellen_Magie!$IK$1,PROFMAGIE,$DK259,FALSE),"")),"",CONCATENATE($CX259,","))),"")</f>
        <v/>
      </c>
      <c r="DU259" t="str">
        <f t="shared" si="143"/>
        <v/>
      </c>
      <c r="DW259" t="s">
        <v>2821</v>
      </c>
      <c r="DX259" t="s">
        <v>2940</v>
      </c>
      <c r="EA259" t="s">
        <v>8677</v>
      </c>
      <c r="EC259" t="s">
        <v>2762</v>
      </c>
      <c r="ED259">
        <v>25</v>
      </c>
      <c r="EE259" t="s">
        <v>8716</v>
      </c>
      <c r="EH259">
        <f t="shared" si="161"/>
        <v>1</v>
      </c>
      <c r="GH259" t="s">
        <v>4938</v>
      </c>
      <c r="GI259" t="s">
        <v>4121</v>
      </c>
      <c r="GJ259">
        <v>4</v>
      </c>
      <c r="GK259" t="s">
        <v>1396</v>
      </c>
      <c r="GL259" t="s">
        <v>567</v>
      </c>
      <c r="GM259" t="s">
        <v>1983</v>
      </c>
      <c r="GN259" t="s">
        <v>1690</v>
      </c>
      <c r="GO259">
        <v>284</v>
      </c>
      <c r="GP259">
        <v>189</v>
      </c>
      <c r="GR259">
        <f t="shared" si="145"/>
        <v>608</v>
      </c>
      <c r="GU259" t="str">
        <f t="shared" ca="1" si="146"/>
        <v/>
      </c>
      <c r="GV259" t="str">
        <f t="shared" ca="1" si="147"/>
        <v/>
      </c>
      <c r="GW259" t="str">
        <f t="shared" ca="1" si="148"/>
        <v/>
      </c>
      <c r="GX259" t="str">
        <f t="shared" ca="1" si="149"/>
        <v/>
      </c>
    </row>
    <row r="260" spans="63:206" x14ac:dyDescent="0.2">
      <c r="CE260" t="s">
        <v>7175</v>
      </c>
      <c r="CU260" t="s">
        <v>4717</v>
      </c>
      <c r="CX260" t="s">
        <v>2826</v>
      </c>
      <c r="CY260" t="s">
        <v>74</v>
      </c>
      <c r="CZ260" t="s">
        <v>76</v>
      </c>
      <c r="DA260" t="s">
        <v>77</v>
      </c>
      <c r="DB260" t="s">
        <v>2042</v>
      </c>
      <c r="DC260" t="s">
        <v>7291</v>
      </c>
      <c r="DD260" t="s">
        <v>766</v>
      </c>
      <c r="DE260" t="s">
        <v>1321</v>
      </c>
      <c r="DF260" t="s">
        <v>1360</v>
      </c>
      <c r="DG260" t="s">
        <v>1955</v>
      </c>
      <c r="DH260" t="s">
        <v>6998</v>
      </c>
      <c r="DI260" t="s">
        <v>2940</v>
      </c>
      <c r="DJ260">
        <v>2</v>
      </c>
      <c r="DK260">
        <f t="shared" si="162"/>
        <v>581</v>
      </c>
      <c r="DL260">
        <f t="shared" si="155"/>
        <v>258</v>
      </c>
      <c r="DM260">
        <v>233</v>
      </c>
      <c r="DN260" t="str">
        <f t="shared" ref="DN260:DN323" ca="1" si="164">IF(VT_VRTLZBR,
IF(NOT(ISERROR(FIND($CX260,VT_UEBERBEG,1))),CONCATENATE($CX260,","),""),
IF(OR(MAGISCH,MAGISCH_EIGN),
IF(OR(EXACT(RIGHT(HLOOKUP(PROFGENE,INDIRECT(PROFGEBIET),$DK260,FALSE)),"H"),EXACT(RIGHT(HLOOKUP(KULTURGENE,KULTUR,$DK260,FALSE)),"H"),IF(EXACT(DQ260,""),FALSE,TRUE),IF(EXACT(DS260,""),FALSE,TRUE)),CONCATENATE($CX260,","),
IF(ISERROR(VLOOKUP(CX260,ZAUBER_HAUS_NEU,1,FALSE)),"",CONCATENATE($CX260,","))
),""))</f>
        <v/>
      </c>
      <c r="DO260" t="str">
        <f t="shared" ref="DO260:DO323" ca="1" si="165">IF(AND(OR(MAGISCH,MAGISCH_EIGN),DN260=""),IF(AND(OR(PROFGEBGENE="Goetter",EXACT(RIGHT(HLOOKUP(PROFGENE,INDIRECT(PROFGEBIET),$DK260,FALSE)),"B"),EXACT(RIGHT(HLOOKUP(PROFGENE,INDIRECT(PROFGEBIET),$DK260,FALSE)),"")),OR(PROFGEBGENE="Goetter",EXACT(RIGHT(HLOOKUP(KULTURGENE,KULTUR,$DK260,FALSE)),"B"),EXACT(RIGHT(HLOOKUP(KULTURGENE,KULTUR,$DK260,FALSE)),""))),
IF(ISERROR(VLOOKUP(CX260,ZAUBER_START_NEU,1,FALSE)),"",CONCATENATE($CX260,",")),
CONCATENATE($CX260,",")),
"")</f>
        <v/>
      </c>
      <c r="DP260" t="str">
        <f t="shared" ref="DP260:DP323" ca="1" si="166">IF(AND(OR(MAGISCH,MAGISCH_EIGN),DN260="",DO260="",
OR(EXACT(RIGHT(HLOOKUP(KULTURGENE,KULTUR,$DK260,FALSE)),"B"),IF(PROFGEBGENE="Goetter",FALSE,EXACT(HLOOKUP(PROFGENE,INDIRECT(PROFGEBIET),$DK260,FALSE),"B")),IF(EXACT(DR260,""),FALSE,TRUE),IF(EXACT(DT260,""),FALSE,TRUE),IF(EXACT(DU260,""),FALSE,TRUE))),CONCATENATE($CX260,","),"")</f>
        <v/>
      </c>
      <c r="DQ260" t="str">
        <f>IF(EXACT(Zauber!$A$250,""),"",IF(EXACT(RIGHT(HLOOKUP(Zauber!$A$250,PROFMAGIE,$DK260,FALSE)),"H"),CONCATENATE($CX260,","),""))</f>
        <v/>
      </c>
      <c r="DR260" t="str">
        <f t="shared" ref="DR260:DR323" si="167">IF(EXACT(ZS_AKADEMIE,""),"",IF(NOT(DQ260=""),"",IF(OR(EXACT(RIGHT(HLOOKUP(ZS_AKADEMIE,PROFMAGIE,$DK260,FALSE)),"B"),EXACT(HLOOKUP(ZS_AKADEMIE,PROFMAGIE,$DK260,FALSE),"")),"",CONCATENATE($CX260,","))))</f>
        <v/>
      </c>
      <c r="DS260" t="str">
        <f>IF(ZS_IAAK="Ja",IF(EXACT(RIGHT(HLOOKUP(Tabellen_Magie!$IK$1,PROFMAGIE,$DK260,FALSE)),"H"),CONCATENATE($CX260,","),""),"")</f>
        <v/>
      </c>
      <c r="DT260" t="str">
        <f>IF(ZS_IAAK="Ja",IF(NOT(DS260=""),"",IF(OR(EXACT(RIGHT(HLOOKUP(Tabellen_Magie!$IK$1,PROFMAGIE,$DK260,FALSE)),"B"),EXACT(HLOOKUP(Tabellen_Magie!$IK$1,PROFMAGIE,$DK260,FALSE),"")),"",CONCATENATE($CX260,","))),"")</f>
        <v/>
      </c>
      <c r="DU260" t="str">
        <f t="shared" ref="DU260:DU323" si="168">IF(EXACT(ZS_AKADEMIE,""),"",IF(NOT(DQ260=""),"",IF(EXACT(RIGHT(HLOOKUP(ZS_AKADEMIE,PROFMAGIE,$DK260,FALSE)),"B"),CONCATENATE($CX260,","),"")))</f>
        <v/>
      </c>
      <c r="DW260" t="s">
        <v>8717</v>
      </c>
      <c r="DX260" t="s">
        <v>4350</v>
      </c>
      <c r="EA260" t="s">
        <v>8677</v>
      </c>
      <c r="EC260" t="s">
        <v>2344</v>
      </c>
      <c r="ED260">
        <v>50</v>
      </c>
      <c r="EE260" t="s">
        <v>8718</v>
      </c>
      <c r="EH260">
        <f t="shared" si="161"/>
        <v>1</v>
      </c>
      <c r="GH260" t="s">
        <v>4939</v>
      </c>
      <c r="GI260" t="s">
        <v>4121</v>
      </c>
      <c r="GJ260">
        <v>4</v>
      </c>
      <c r="GK260" t="s">
        <v>1320</v>
      </c>
      <c r="GL260" t="s">
        <v>1979</v>
      </c>
      <c r="GM260" t="s">
        <v>3961</v>
      </c>
      <c r="GN260" t="s">
        <v>1974</v>
      </c>
      <c r="GO260">
        <v>256</v>
      </c>
      <c r="GP260">
        <v>190</v>
      </c>
      <c r="GR260">
        <f t="shared" si="145"/>
        <v>609</v>
      </c>
      <c r="GU260" t="str">
        <f t="shared" ca="1" si="146"/>
        <v/>
      </c>
      <c r="GV260" t="str">
        <f t="shared" ca="1" si="147"/>
        <v/>
      </c>
      <c r="GW260" t="str">
        <f t="shared" ca="1" si="148"/>
        <v/>
      </c>
      <c r="GX260" t="str">
        <f t="shared" ca="1" si="149"/>
        <v/>
      </c>
    </row>
    <row r="261" spans="63:206" x14ac:dyDescent="0.2">
      <c r="CE261" t="s">
        <v>330</v>
      </c>
      <c r="CU261" t="s">
        <v>331</v>
      </c>
      <c r="CX261" t="s">
        <v>2827</v>
      </c>
      <c r="CY261" t="s">
        <v>894</v>
      </c>
      <c r="CZ261" t="s">
        <v>895</v>
      </c>
      <c r="DA261" t="s">
        <v>895</v>
      </c>
      <c r="DH261" t="s">
        <v>6999</v>
      </c>
      <c r="DJ261">
        <v>2</v>
      </c>
      <c r="DK261">
        <f t="shared" si="162"/>
        <v>582</v>
      </c>
      <c r="DL261">
        <f t="shared" si="155"/>
        <v>259</v>
      </c>
      <c r="DM261">
        <v>99</v>
      </c>
      <c r="DN261" t="str">
        <f t="shared" ca="1" si="164"/>
        <v/>
      </c>
      <c r="DO261" t="str">
        <f t="shared" ca="1" si="165"/>
        <v/>
      </c>
      <c r="DP261" t="str">
        <f t="shared" ca="1" si="166"/>
        <v/>
      </c>
      <c r="DQ261" t="str">
        <f>IF(EXACT(Zauber!$A$250,""),"",IF(EXACT(RIGHT(HLOOKUP(Zauber!$A$250,PROFMAGIE,$DK261,FALSE)),"H"),CONCATENATE($CX261,","),""))</f>
        <v/>
      </c>
      <c r="DR261" t="str">
        <f t="shared" si="167"/>
        <v/>
      </c>
      <c r="DS261" t="str">
        <f>IF(ZS_IAAK="Ja",IF(EXACT(RIGHT(HLOOKUP(Tabellen_Magie!$IK$1,PROFMAGIE,$DK261,FALSE)),"H"),CONCATENATE($CX261,","),""),"")</f>
        <v/>
      </c>
      <c r="DT261" t="str">
        <f>IF(ZS_IAAK="Ja",IF(NOT(DS261=""),"",IF(OR(EXACT(RIGHT(HLOOKUP(Tabellen_Magie!$IK$1,PROFMAGIE,$DK261,FALSE)),"B"),EXACT(HLOOKUP(Tabellen_Magie!$IK$1,PROFMAGIE,$DK261,FALSE),"")),"",CONCATENATE($CX261,","))),"")</f>
        <v/>
      </c>
      <c r="DU261" t="str">
        <f t="shared" si="168"/>
        <v/>
      </c>
      <c r="DW261" t="s">
        <v>8719</v>
      </c>
      <c r="DX261" t="s">
        <v>4344</v>
      </c>
      <c r="DY261" t="s">
        <v>1615</v>
      </c>
      <c r="EA261" t="s">
        <v>8677</v>
      </c>
      <c r="EC261" t="s">
        <v>2762</v>
      </c>
      <c r="ED261">
        <v>50</v>
      </c>
      <c r="EE261" t="s">
        <v>8720</v>
      </c>
      <c r="EH261">
        <f t="shared" si="161"/>
        <v>1</v>
      </c>
      <c r="GH261" t="s">
        <v>4940</v>
      </c>
      <c r="GI261" t="s">
        <v>4121</v>
      </c>
      <c r="GJ261">
        <v>4</v>
      </c>
      <c r="GK261" t="s">
        <v>1320</v>
      </c>
      <c r="GL261" t="s">
        <v>1977</v>
      </c>
      <c r="GM261" t="s">
        <v>1369</v>
      </c>
      <c r="GN261" t="s">
        <v>1975</v>
      </c>
      <c r="GO261">
        <v>269</v>
      </c>
      <c r="GP261">
        <v>191</v>
      </c>
      <c r="GR261">
        <f t="shared" ref="GR261:GR324" si="169">GR260+1</f>
        <v>610</v>
      </c>
      <c r="GU261" t="str">
        <f t="shared" ca="1" si="146"/>
        <v/>
      </c>
      <c r="GV261" t="str">
        <f t="shared" ca="1" si="147"/>
        <v/>
      </c>
      <c r="GW261" t="str">
        <f t="shared" ca="1" si="148"/>
        <v/>
      </c>
      <c r="GX261" t="str">
        <f t="shared" ca="1" si="149"/>
        <v/>
      </c>
    </row>
    <row r="262" spans="63:206" x14ac:dyDescent="0.2">
      <c r="CE262" t="s">
        <v>7176</v>
      </c>
      <c r="CU262" t="s">
        <v>332</v>
      </c>
      <c r="CX262" t="s">
        <v>2093</v>
      </c>
      <c r="CY262" t="s">
        <v>76</v>
      </c>
      <c r="CZ262" t="s">
        <v>76</v>
      </c>
      <c r="DA262" t="s">
        <v>77</v>
      </c>
      <c r="DB262" t="s">
        <v>2042</v>
      </c>
      <c r="DC262" t="s">
        <v>7292</v>
      </c>
      <c r="DD262" t="s">
        <v>3141</v>
      </c>
      <c r="DE262" t="s">
        <v>3142</v>
      </c>
      <c r="DF262" t="s">
        <v>4126</v>
      </c>
      <c r="DG262" t="s">
        <v>1956</v>
      </c>
      <c r="DH262" t="s">
        <v>7000</v>
      </c>
      <c r="DI262" t="s">
        <v>4342</v>
      </c>
      <c r="DJ262">
        <v>2</v>
      </c>
      <c r="DK262">
        <f t="shared" si="162"/>
        <v>583</v>
      </c>
      <c r="DL262">
        <f t="shared" si="155"/>
        <v>260</v>
      </c>
      <c r="DM262">
        <v>234</v>
      </c>
      <c r="DN262" t="str">
        <f t="shared" ca="1" si="164"/>
        <v/>
      </c>
      <c r="DO262" t="str">
        <f t="shared" ca="1" si="165"/>
        <v/>
      </c>
      <c r="DP262" t="str">
        <f t="shared" ca="1" si="166"/>
        <v/>
      </c>
      <c r="DQ262" t="str">
        <f>IF(EXACT(Zauber!$A$250,""),"",IF(EXACT(RIGHT(HLOOKUP(Zauber!$A$250,PROFMAGIE,$DK262,FALSE)),"H"),CONCATENATE($CX262,","),""))</f>
        <v/>
      </c>
      <c r="DR262" t="str">
        <f t="shared" si="167"/>
        <v/>
      </c>
      <c r="DS262" t="str">
        <f>IF(ZS_IAAK="Ja",IF(EXACT(RIGHT(HLOOKUP(Tabellen_Magie!$IK$1,PROFMAGIE,$DK262,FALSE)),"H"),CONCATENATE($CX262,","),""),"")</f>
        <v/>
      </c>
      <c r="DT262" t="str">
        <f>IF(ZS_IAAK="Ja",IF(NOT(DS262=""),"",IF(OR(EXACT(RIGHT(HLOOKUP(Tabellen_Magie!$IK$1,PROFMAGIE,$DK262,FALSE)),"B"),EXACT(HLOOKUP(Tabellen_Magie!$IK$1,PROFMAGIE,$DK262,FALSE),"")),"",CONCATENATE($CX262,","))),"")</f>
        <v/>
      </c>
      <c r="DU262" t="str">
        <f t="shared" si="168"/>
        <v/>
      </c>
      <c r="DW262" t="s">
        <v>8721</v>
      </c>
      <c r="DX262" t="s">
        <v>4350</v>
      </c>
      <c r="EA262" t="s">
        <v>8677</v>
      </c>
      <c r="EC262" t="s">
        <v>2344</v>
      </c>
      <c r="ED262">
        <v>50</v>
      </c>
      <c r="EE262" t="s">
        <v>8722</v>
      </c>
      <c r="EH262">
        <f t="shared" si="161"/>
        <v>1</v>
      </c>
      <c r="GH262" t="s">
        <v>4941</v>
      </c>
      <c r="GI262" t="s">
        <v>4121</v>
      </c>
      <c r="GJ262">
        <v>4</v>
      </c>
      <c r="GK262" t="s">
        <v>1320</v>
      </c>
      <c r="GL262" t="s">
        <v>1978</v>
      </c>
      <c r="GM262" t="s">
        <v>1685</v>
      </c>
      <c r="GN262" t="s">
        <v>1690</v>
      </c>
      <c r="GO262">
        <v>289</v>
      </c>
      <c r="GP262">
        <v>291</v>
      </c>
      <c r="GR262">
        <f t="shared" si="169"/>
        <v>611</v>
      </c>
      <c r="GU262" t="str">
        <f t="shared" ref="GU262:GU325" ca="1" si="170">IF(OR(EXACT(PROFGEBGENE,"Goetter"),GOETTER_EIGN),IF(AND(NOT(GH262=LIT_0),EXACT(UPPER(HLOOKUP(PROFGENE,INDIRECT(PROFGEBIET),$GR262,FALSE)),"X")),"x",""),IF(AKTIV_SPTWHE,IF(EXACT(UPPER(HLOOKUP(PROFSPTWHE,SPTWHE,$GR262,FALSE)),"X"),"x",""),""))</f>
        <v/>
      </c>
      <c r="GV262" t="str">
        <f t="shared" ref="GV262:GV325" ca="1" si="171">IF(OR(EXACT(PROFGEBGENE,"Goetter"),GOETTER_EIGN),IF(AND(NOT(GH262=LIT_0),EXACT(UPPER(HLOOKUP(PROFGENE,INDIRECT(PROFGEBIET),$GR262,FALSE)),"V")),"x",""),IF(AKTIV_SPTWHE,IF(EXACT(UPPER(HLOOKUP(PROFSPTWHE,SPTWHE,$GR262,FALSE)),"V"),"x",""),""))&amp;
IF(PROFGEBZWEITE="Goetter (BGB)",IF(AND(NOT(GH262=LIT_0),OR(EXACT(UPPER(HLOOKUP(PROFZWEITE,INDIRECT(PROFGEBIET2),$GR262,FALSE)),"V"),EXACT(UPPER(HLOOKUP(PROFZWEITE,INDIRECT(PROFGEBIET2),$GR262,FALSE)),"X"))),"x",""),"")</f>
        <v/>
      </c>
      <c r="GW262" t="str">
        <f t="shared" ref="GW262:GW325" ca="1" si="172">IF(OR(EXACT(PROFGEBGENE,"Goetter"),GOETTER_EIGN),IF(AND(GU262="",GV262="",NOT(GH262=LIT_0),EXACT(UPPER(HLOOKUP(PROFGENE,INDIRECT(PROFGEBIET),$GR262,FALSE)),"B")),"x",""),IF(AKTIV_SPTWHE,IF(EXACT(UPPER(HLOOKUP(PROFSPTWHE,SPTWHE,$GR262,FALSE)),"B"),"x",""),""))&amp;
IF(PROFGEBZWEITE="Goetter (BGB)",IF(AND(GU262="",GV262="",NOT(GH262=LIT_0),EXACT(UPPER(HLOOKUP(PROFZWEITE,INDIRECT(PROFGEBIET2),$GR262,FALSE)),"B")),"x",""),"")</f>
        <v/>
      </c>
      <c r="GX262" t="str">
        <f t="shared" ref="GX262:GX325" ca="1" si="173">IF(OR(NOT(GW262=""),NOT(GU262=""),NOT(GV262="")),CONCATENATE($GH262,","),"")</f>
        <v/>
      </c>
    </row>
    <row r="263" spans="63:206" x14ac:dyDescent="0.2">
      <c r="CE263" t="s">
        <v>332</v>
      </c>
      <c r="CU263" t="s">
        <v>2631</v>
      </c>
      <c r="CX263" t="s">
        <v>2094</v>
      </c>
      <c r="CY263" t="s">
        <v>74</v>
      </c>
      <c r="CZ263" t="s">
        <v>77</v>
      </c>
      <c r="DA263" t="s">
        <v>5030</v>
      </c>
      <c r="DB263" t="s">
        <v>7374</v>
      </c>
      <c r="DC263" t="s">
        <v>544</v>
      </c>
      <c r="DD263" t="s">
        <v>7375</v>
      </c>
      <c r="DE263" t="s">
        <v>4413</v>
      </c>
      <c r="DF263" t="s">
        <v>594</v>
      </c>
      <c r="DG263" t="s">
        <v>3916</v>
      </c>
      <c r="DH263" t="s">
        <v>7001</v>
      </c>
      <c r="DI263" t="s">
        <v>436</v>
      </c>
      <c r="DJ263">
        <v>2</v>
      </c>
      <c r="DK263">
        <f t="shared" si="162"/>
        <v>584</v>
      </c>
      <c r="DL263">
        <f t="shared" si="155"/>
        <v>261</v>
      </c>
      <c r="DM263">
        <v>235</v>
      </c>
      <c r="DN263" t="str">
        <f t="shared" ca="1" si="164"/>
        <v/>
      </c>
      <c r="DO263" t="str">
        <f t="shared" ca="1" si="165"/>
        <v/>
      </c>
      <c r="DP263" t="str">
        <f t="shared" ca="1" si="166"/>
        <v/>
      </c>
      <c r="DQ263" t="str">
        <f>IF(EXACT(Zauber!$A$250,""),"",IF(EXACT(RIGHT(HLOOKUP(Zauber!$A$250,PROFMAGIE,$DK263,FALSE)),"H"),CONCATENATE($CX263,","),""))</f>
        <v/>
      </c>
      <c r="DR263" t="str">
        <f t="shared" si="167"/>
        <v/>
      </c>
      <c r="DS263" t="str">
        <f>IF(ZS_IAAK="Ja",IF(EXACT(RIGHT(HLOOKUP(Tabellen_Magie!$IK$1,PROFMAGIE,$DK263,FALSE)),"H"),CONCATENATE($CX263,","),""),"")</f>
        <v/>
      </c>
      <c r="DT263" t="str">
        <f>IF(ZS_IAAK="Ja",IF(NOT(DS263=""),"",IF(OR(EXACT(RIGHT(HLOOKUP(Tabellen_Magie!$IK$1,PROFMAGIE,$DK263,FALSE)),"B"),EXACT(HLOOKUP(Tabellen_Magie!$IK$1,PROFMAGIE,$DK263,FALSE),"")),"",CONCATENATE($CX263,","))),"")</f>
        <v/>
      </c>
      <c r="DU263" t="str">
        <f t="shared" si="168"/>
        <v/>
      </c>
      <c r="DW263" t="s">
        <v>8723</v>
      </c>
      <c r="DX263" t="s">
        <v>8724</v>
      </c>
      <c r="EA263" t="s">
        <v>8677</v>
      </c>
      <c r="EC263" t="s">
        <v>2327</v>
      </c>
      <c r="ED263">
        <v>125</v>
      </c>
      <c r="EE263" t="s">
        <v>8725</v>
      </c>
      <c r="EH263">
        <f t="shared" si="161"/>
        <v>3</v>
      </c>
      <c r="GH263" t="s">
        <v>9354</v>
      </c>
      <c r="GI263" t="s">
        <v>4121</v>
      </c>
      <c r="GJ263">
        <v>4</v>
      </c>
      <c r="GK263" t="s">
        <v>1320</v>
      </c>
      <c r="GL263" t="s">
        <v>567</v>
      </c>
      <c r="GM263" t="s">
        <v>2685</v>
      </c>
      <c r="GN263" t="s">
        <v>1690</v>
      </c>
      <c r="GO263" t="s">
        <v>9314</v>
      </c>
      <c r="GP263">
        <v>217</v>
      </c>
      <c r="GR263">
        <f t="shared" si="169"/>
        <v>612</v>
      </c>
      <c r="GU263" t="str">
        <f t="shared" ca="1" si="170"/>
        <v/>
      </c>
      <c r="GV263" t="str">
        <f t="shared" ca="1" si="171"/>
        <v/>
      </c>
      <c r="GW263" t="str">
        <f t="shared" ca="1" si="172"/>
        <v/>
      </c>
      <c r="GX263" t="str">
        <f t="shared" ca="1" si="173"/>
        <v/>
      </c>
    </row>
    <row r="264" spans="63:206" x14ac:dyDescent="0.2">
      <c r="CE264" t="s">
        <v>2632</v>
      </c>
      <c r="CU264" t="s">
        <v>2632</v>
      </c>
      <c r="CX264" t="s">
        <v>1920</v>
      </c>
      <c r="CY264" t="s">
        <v>76</v>
      </c>
      <c r="CZ264" t="s">
        <v>750</v>
      </c>
      <c r="DA264" t="s">
        <v>750</v>
      </c>
      <c r="DC264" t="s">
        <v>7292</v>
      </c>
      <c r="DD264" t="s">
        <v>2727</v>
      </c>
      <c r="DE264" t="s">
        <v>1321</v>
      </c>
      <c r="DF264" t="s">
        <v>2493</v>
      </c>
      <c r="DG264" t="s">
        <v>1956</v>
      </c>
      <c r="DH264" t="s">
        <v>7002</v>
      </c>
      <c r="DI264" t="s">
        <v>2793</v>
      </c>
      <c r="DJ264">
        <v>2</v>
      </c>
      <c r="DK264">
        <f t="shared" si="162"/>
        <v>585</v>
      </c>
      <c r="DL264">
        <f t="shared" si="155"/>
        <v>262</v>
      </c>
      <c r="DM264">
        <v>236</v>
      </c>
      <c r="DN264" t="str">
        <f t="shared" ca="1" si="164"/>
        <v/>
      </c>
      <c r="DO264" t="str">
        <f t="shared" ca="1" si="165"/>
        <v/>
      </c>
      <c r="DP264" t="str">
        <f t="shared" ca="1" si="166"/>
        <v/>
      </c>
      <c r="DQ264" t="str">
        <f>IF(EXACT(Zauber!$A$250,""),"",IF(EXACT(RIGHT(HLOOKUP(Zauber!$A$250,PROFMAGIE,$DK264,FALSE)),"H"),CONCATENATE($CX264,","),""))</f>
        <v/>
      </c>
      <c r="DR264" t="str">
        <f t="shared" si="167"/>
        <v/>
      </c>
      <c r="DS264" t="str">
        <f>IF(ZS_IAAK="Ja",IF(EXACT(RIGHT(HLOOKUP(Tabellen_Magie!$IK$1,PROFMAGIE,$DK264,FALSE)),"H"),CONCATENATE($CX264,","),""),"")</f>
        <v/>
      </c>
      <c r="DT264" t="str">
        <f>IF(ZS_IAAK="Ja",IF(NOT(DS264=""),"",IF(OR(EXACT(RIGHT(HLOOKUP(Tabellen_Magie!$IK$1,PROFMAGIE,$DK264,FALSE)),"B"),EXACT(HLOOKUP(Tabellen_Magie!$IK$1,PROFMAGIE,$DK264,FALSE),"")),"",CONCATENATE($CX264,","))),"")</f>
        <v/>
      </c>
      <c r="DU264" t="str">
        <f t="shared" si="168"/>
        <v/>
      </c>
      <c r="DW264" t="s">
        <v>8726</v>
      </c>
      <c r="DX264" t="s">
        <v>8724</v>
      </c>
      <c r="DY264" t="s">
        <v>4350</v>
      </c>
      <c r="EA264" t="s">
        <v>8677</v>
      </c>
      <c r="EC264" t="s">
        <v>2327</v>
      </c>
      <c r="ED264">
        <v>100</v>
      </c>
      <c r="EE264" t="s">
        <v>8727</v>
      </c>
      <c r="EH264">
        <f t="shared" si="161"/>
        <v>2</v>
      </c>
      <c r="GH264" t="s">
        <v>4942</v>
      </c>
      <c r="GI264" t="s">
        <v>4121</v>
      </c>
      <c r="GJ264">
        <v>4</v>
      </c>
      <c r="GK264" t="s">
        <v>4116</v>
      </c>
      <c r="GL264" t="s">
        <v>1978</v>
      </c>
      <c r="GM264" t="s">
        <v>1982</v>
      </c>
      <c r="GN264" t="s">
        <v>1973</v>
      </c>
      <c r="GO264">
        <v>267</v>
      </c>
      <c r="GP264">
        <v>220</v>
      </c>
      <c r="GR264">
        <f t="shared" si="169"/>
        <v>613</v>
      </c>
      <c r="GU264" t="str">
        <f t="shared" ca="1" si="170"/>
        <v/>
      </c>
      <c r="GV264" t="str">
        <f t="shared" ca="1" si="171"/>
        <v/>
      </c>
      <c r="GW264" t="str">
        <f t="shared" ca="1" si="172"/>
        <v/>
      </c>
      <c r="GX264" t="str">
        <f t="shared" ca="1" si="173"/>
        <v/>
      </c>
    </row>
    <row r="265" spans="63:206" x14ac:dyDescent="0.2">
      <c r="CE265" t="s">
        <v>2637</v>
      </c>
      <c r="CU265" t="s">
        <v>2193</v>
      </c>
      <c r="CX265" t="s">
        <v>1921</v>
      </c>
      <c r="CY265" t="s">
        <v>75</v>
      </c>
      <c r="CZ265" t="s">
        <v>76</v>
      </c>
      <c r="DA265" t="s">
        <v>77</v>
      </c>
      <c r="DB265" t="s">
        <v>2042</v>
      </c>
      <c r="DC265" t="s">
        <v>7295</v>
      </c>
      <c r="DD265" t="s">
        <v>1819</v>
      </c>
      <c r="DE265" t="s">
        <v>3591</v>
      </c>
      <c r="DF265" t="s">
        <v>727</v>
      </c>
      <c r="DG265" t="s">
        <v>1321</v>
      </c>
      <c r="DH265" t="s">
        <v>7003</v>
      </c>
      <c r="DI265" t="s">
        <v>2940</v>
      </c>
      <c r="DJ265">
        <v>2</v>
      </c>
      <c r="DK265">
        <f t="shared" si="162"/>
        <v>586</v>
      </c>
      <c r="DL265">
        <f t="shared" si="155"/>
        <v>263</v>
      </c>
      <c r="DM265">
        <v>237</v>
      </c>
      <c r="DN265" t="str">
        <f t="shared" ca="1" si="164"/>
        <v/>
      </c>
      <c r="DO265" t="str">
        <f t="shared" ca="1" si="165"/>
        <v/>
      </c>
      <c r="DP265" t="str">
        <f t="shared" ca="1" si="166"/>
        <v/>
      </c>
      <c r="DQ265" t="str">
        <f>IF(EXACT(Zauber!$A$250,""),"",IF(EXACT(RIGHT(HLOOKUP(Zauber!$A$250,PROFMAGIE,$DK265,FALSE)),"H"),CONCATENATE($CX265,","),""))</f>
        <v/>
      </c>
      <c r="DR265" t="str">
        <f t="shared" si="167"/>
        <v/>
      </c>
      <c r="DS265" t="str">
        <f>IF(ZS_IAAK="Ja",IF(EXACT(RIGHT(HLOOKUP(Tabellen_Magie!$IK$1,PROFMAGIE,$DK265,FALSE)),"H"),CONCATENATE($CX265,","),""),"")</f>
        <v/>
      </c>
      <c r="DT265" t="str">
        <f>IF(ZS_IAAK="Ja",IF(NOT(DS265=""),"",IF(OR(EXACT(RIGHT(HLOOKUP(Tabellen_Magie!$IK$1,PROFMAGIE,$DK265,FALSE)),"B"),EXACT(HLOOKUP(Tabellen_Magie!$IK$1,PROFMAGIE,$DK265,FALSE),"")),"",CONCATENATE($CX265,","))),"")</f>
        <v/>
      </c>
      <c r="DU265" t="str">
        <f t="shared" si="168"/>
        <v/>
      </c>
      <c r="DW265" t="s">
        <v>2820</v>
      </c>
      <c r="DX265" t="s">
        <v>2793</v>
      </c>
      <c r="EA265" t="s">
        <v>8677</v>
      </c>
      <c r="EC265" t="s">
        <v>2344</v>
      </c>
      <c r="ED265">
        <v>25</v>
      </c>
      <c r="EE265" t="s">
        <v>8728</v>
      </c>
      <c r="EH265">
        <f t="shared" si="161"/>
        <v>1</v>
      </c>
      <c r="GG265" t="s">
        <v>4121</v>
      </c>
      <c r="GH265" t="s">
        <v>2272</v>
      </c>
      <c r="GI265" t="s">
        <v>4121</v>
      </c>
      <c r="GJ265">
        <v>4</v>
      </c>
      <c r="GK265" t="s">
        <v>1320</v>
      </c>
      <c r="GL265" t="s">
        <v>1979</v>
      </c>
      <c r="GM265" t="s">
        <v>3961</v>
      </c>
      <c r="GN265" t="s">
        <v>1974</v>
      </c>
      <c r="GO265">
        <v>257</v>
      </c>
      <c r="GP265">
        <v>225</v>
      </c>
      <c r="GR265">
        <f t="shared" si="169"/>
        <v>614</v>
      </c>
      <c r="GU265" t="str">
        <f t="shared" ca="1" si="170"/>
        <v/>
      </c>
      <c r="GV265" t="str">
        <f t="shared" ca="1" si="171"/>
        <v/>
      </c>
      <c r="GW265" t="str">
        <f t="shared" ca="1" si="172"/>
        <v/>
      </c>
      <c r="GX265" t="str">
        <f t="shared" ca="1" si="173"/>
        <v/>
      </c>
    </row>
    <row r="266" spans="63:206" x14ac:dyDescent="0.2">
      <c r="CE266" t="s">
        <v>7178</v>
      </c>
      <c r="CU266" t="s">
        <v>4655</v>
      </c>
      <c r="CX266" t="s">
        <v>1922</v>
      </c>
      <c r="CY266" t="s">
        <v>74</v>
      </c>
      <c r="CZ266" t="s">
        <v>76</v>
      </c>
      <c r="DA266" t="s">
        <v>751</v>
      </c>
      <c r="DC266" t="s">
        <v>7297</v>
      </c>
      <c r="DD266" t="s">
        <v>3138</v>
      </c>
      <c r="DE266" t="s">
        <v>2397</v>
      </c>
      <c r="DF266" t="s">
        <v>5057</v>
      </c>
      <c r="DG266" t="s">
        <v>1955</v>
      </c>
      <c r="DH266" t="s">
        <v>6847</v>
      </c>
      <c r="DI266" t="s">
        <v>4512</v>
      </c>
      <c r="DJ266">
        <v>2</v>
      </c>
      <c r="DK266">
        <f t="shared" si="162"/>
        <v>587</v>
      </c>
      <c r="DL266">
        <f t="shared" si="155"/>
        <v>264</v>
      </c>
      <c r="DM266">
        <v>238</v>
      </c>
      <c r="DN266" t="str">
        <f t="shared" ca="1" si="164"/>
        <v/>
      </c>
      <c r="DO266" t="str">
        <f t="shared" ca="1" si="165"/>
        <v/>
      </c>
      <c r="DP266" t="str">
        <f t="shared" ca="1" si="166"/>
        <v/>
      </c>
      <c r="DQ266" t="str">
        <f>IF(EXACT(Zauber!$A$250,""),"",IF(EXACT(RIGHT(HLOOKUP(Zauber!$A$250,PROFMAGIE,$DK266,FALSE)),"H"),CONCATENATE($CX266,","),""))</f>
        <v/>
      </c>
      <c r="DR266" t="str">
        <f t="shared" si="167"/>
        <v/>
      </c>
      <c r="DS266" t="str">
        <f>IF(ZS_IAAK="Ja",IF(EXACT(RIGHT(HLOOKUP(Tabellen_Magie!$IK$1,PROFMAGIE,$DK266,FALSE)),"H"),CONCATENATE($CX266,","),""),"")</f>
        <v/>
      </c>
      <c r="DT266" t="str">
        <f>IF(ZS_IAAK="Ja",IF(NOT(DS266=""),"",IF(OR(EXACT(RIGHT(HLOOKUP(Tabellen_Magie!$IK$1,PROFMAGIE,$DK266,FALSE)),"B"),EXACT(HLOOKUP(Tabellen_Magie!$IK$1,PROFMAGIE,$DK266,FALSE),"")),"",CONCATENATE($CX266,","))),"")</f>
        <v/>
      </c>
      <c r="DU266" t="str">
        <f t="shared" si="168"/>
        <v/>
      </c>
      <c r="DW266" t="s">
        <v>4179</v>
      </c>
      <c r="DX266" t="s">
        <v>2940</v>
      </c>
      <c r="DY266" t="s">
        <v>2793</v>
      </c>
      <c r="EA266" t="s">
        <v>8677</v>
      </c>
      <c r="EC266" t="s">
        <v>2573</v>
      </c>
      <c r="ED266">
        <v>50</v>
      </c>
      <c r="EE266" t="s">
        <v>8729</v>
      </c>
      <c r="EH266">
        <f t="shared" si="161"/>
        <v>1</v>
      </c>
      <c r="GH266" t="s">
        <v>2273</v>
      </c>
      <c r="GI266" t="s">
        <v>4121</v>
      </c>
      <c r="GJ266">
        <v>4</v>
      </c>
      <c r="GK266" t="s">
        <v>4116</v>
      </c>
      <c r="GL266" t="s">
        <v>1977</v>
      </c>
      <c r="GM266" t="s">
        <v>1983</v>
      </c>
      <c r="GN266" t="s">
        <v>1973</v>
      </c>
      <c r="GO266">
        <v>275</v>
      </c>
      <c r="GP266">
        <v>232</v>
      </c>
      <c r="GR266">
        <f t="shared" si="169"/>
        <v>615</v>
      </c>
      <c r="GU266" t="str">
        <f t="shared" ca="1" si="170"/>
        <v/>
      </c>
      <c r="GV266" t="str">
        <f t="shared" ca="1" si="171"/>
        <v/>
      </c>
      <c r="GW266" t="str">
        <f t="shared" ca="1" si="172"/>
        <v/>
      </c>
      <c r="GX266" t="str">
        <f t="shared" ca="1" si="173"/>
        <v/>
      </c>
    </row>
    <row r="267" spans="63:206" ht="14.25" x14ac:dyDescent="0.25">
      <c r="BK267" t="s">
        <v>1419</v>
      </c>
      <c r="BL267" t="s">
        <v>74</v>
      </c>
      <c r="BM267" t="s">
        <v>5030</v>
      </c>
      <c r="BN267" t="s">
        <v>716</v>
      </c>
      <c r="BO267" t="s">
        <v>717</v>
      </c>
      <c r="BP267" t="s">
        <v>6796</v>
      </c>
      <c r="BQ267" t="s">
        <v>406</v>
      </c>
      <c r="BR267" t="s">
        <v>2138</v>
      </c>
      <c r="BS267" t="s">
        <v>3605</v>
      </c>
      <c r="BT267" t="s">
        <v>3603</v>
      </c>
      <c r="BU267" t="s">
        <v>3604</v>
      </c>
      <c r="BV267" t="s">
        <v>5123</v>
      </c>
      <c r="BW267" t="s">
        <v>3606</v>
      </c>
      <c r="BY267" t="s">
        <v>3607</v>
      </c>
      <c r="BZ267" t="s">
        <v>2903</v>
      </c>
      <c r="CA267" t="s">
        <v>5264</v>
      </c>
      <c r="CB267" t="s">
        <v>1454</v>
      </c>
      <c r="CE267" t="s">
        <v>431</v>
      </c>
      <c r="CU267" t="s">
        <v>282</v>
      </c>
      <c r="CX267" t="s">
        <v>1923</v>
      </c>
      <c r="CY267" t="s">
        <v>75</v>
      </c>
      <c r="CZ267" t="s">
        <v>76</v>
      </c>
      <c r="DA267" t="s">
        <v>77</v>
      </c>
      <c r="DB267" t="s">
        <v>2042</v>
      </c>
      <c r="DC267" t="s">
        <v>7292</v>
      </c>
      <c r="DD267" t="s">
        <v>2195</v>
      </c>
      <c r="DE267" t="s">
        <v>2254</v>
      </c>
      <c r="DF267" t="s">
        <v>1358</v>
      </c>
      <c r="DG267" t="s">
        <v>1956</v>
      </c>
      <c r="DH267" t="s">
        <v>7004</v>
      </c>
      <c r="DI267" t="s">
        <v>4342</v>
      </c>
      <c r="DJ267">
        <v>2</v>
      </c>
      <c r="DK267">
        <f t="shared" si="162"/>
        <v>588</v>
      </c>
      <c r="DL267">
        <f t="shared" si="155"/>
        <v>265</v>
      </c>
      <c r="DM267">
        <v>239</v>
      </c>
      <c r="DN267" t="str">
        <f t="shared" ca="1" si="164"/>
        <v/>
      </c>
      <c r="DO267" t="str">
        <f t="shared" ca="1" si="165"/>
        <v/>
      </c>
      <c r="DP267" t="str">
        <f t="shared" ca="1" si="166"/>
        <v/>
      </c>
      <c r="DQ267" t="str">
        <f>IF(EXACT(Zauber!$A$250,""),"",IF(EXACT(RIGHT(HLOOKUP(Zauber!$A$250,PROFMAGIE,$DK267,FALSE)),"H"),CONCATENATE($CX267,","),""))</f>
        <v/>
      </c>
      <c r="DR267" t="str">
        <f t="shared" si="167"/>
        <v/>
      </c>
      <c r="DS267" t="str">
        <f>IF(ZS_IAAK="Ja",IF(EXACT(RIGHT(HLOOKUP(Tabellen_Magie!$IK$1,PROFMAGIE,$DK267,FALSE)),"H"),CONCATENATE($CX267,","),""),"")</f>
        <v/>
      </c>
      <c r="DT267" t="str">
        <f>IF(ZS_IAAK="Ja",IF(NOT(DS267=""),"",IF(OR(EXACT(RIGHT(HLOOKUP(Tabellen_Magie!$IK$1,PROFMAGIE,$DK267,FALSE)),"B"),EXACT(HLOOKUP(Tabellen_Magie!$IK$1,PROFMAGIE,$DK267,FALSE),"")),"",CONCATENATE($CX267,","))),"")</f>
        <v/>
      </c>
      <c r="DU267" t="str">
        <f t="shared" si="168"/>
        <v/>
      </c>
      <c r="DW267" t="s">
        <v>8730</v>
      </c>
      <c r="DX267" t="s">
        <v>8731</v>
      </c>
      <c r="DY267" t="s">
        <v>4348</v>
      </c>
      <c r="DZ267" t="s">
        <v>4351</v>
      </c>
      <c r="EA267" t="s">
        <v>8677</v>
      </c>
      <c r="EC267" t="s">
        <v>2304</v>
      </c>
      <c r="ED267">
        <v>125</v>
      </c>
      <c r="EE267" t="s">
        <v>8732</v>
      </c>
      <c r="EH267">
        <f t="shared" ref="EH267:EH328" si="174">ROUNDUP($ED267/50,0)</f>
        <v>3</v>
      </c>
      <c r="GH267" t="s">
        <v>2274</v>
      </c>
      <c r="GI267" t="s">
        <v>4121</v>
      </c>
      <c r="GJ267">
        <v>4</v>
      </c>
      <c r="GK267" t="s">
        <v>1320</v>
      </c>
      <c r="GL267" t="s">
        <v>1976</v>
      </c>
      <c r="GM267" t="s">
        <v>1981</v>
      </c>
      <c r="GN267" t="s">
        <v>1973</v>
      </c>
      <c r="GO267">
        <v>275</v>
      </c>
      <c r="GP267">
        <v>234</v>
      </c>
      <c r="GR267">
        <f t="shared" si="169"/>
        <v>616</v>
      </c>
      <c r="GU267" t="str">
        <f t="shared" ca="1" si="170"/>
        <v/>
      </c>
      <c r="GV267" t="str">
        <f t="shared" ca="1" si="171"/>
        <v/>
      </c>
      <c r="GW267" t="str">
        <f t="shared" ca="1" si="172"/>
        <v/>
      </c>
      <c r="GX267" t="str">
        <f t="shared" ca="1" si="173"/>
        <v/>
      </c>
    </row>
    <row r="268" spans="63:206" x14ac:dyDescent="0.2">
      <c r="CU268" t="s">
        <v>2633</v>
      </c>
      <c r="CX268" t="s">
        <v>1924</v>
      </c>
      <c r="CY268" t="s">
        <v>74</v>
      </c>
      <c r="CZ268" t="s">
        <v>77</v>
      </c>
      <c r="DA268" t="s">
        <v>751</v>
      </c>
      <c r="DC268" t="s">
        <v>7289</v>
      </c>
      <c r="DD268" t="s">
        <v>2196</v>
      </c>
      <c r="DE268" t="s">
        <v>4484</v>
      </c>
      <c r="DF268" t="s">
        <v>1358</v>
      </c>
      <c r="DG268" t="s">
        <v>1955</v>
      </c>
      <c r="DH268" t="s">
        <v>7005</v>
      </c>
      <c r="DI268" t="s">
        <v>1647</v>
      </c>
      <c r="DJ268">
        <v>2</v>
      </c>
      <c r="DK268">
        <f t="shared" si="162"/>
        <v>589</v>
      </c>
      <c r="DL268">
        <f t="shared" si="155"/>
        <v>266</v>
      </c>
      <c r="DM268">
        <v>240</v>
      </c>
      <c r="DN268" t="str">
        <f t="shared" ca="1" si="164"/>
        <v/>
      </c>
      <c r="DO268" t="str">
        <f t="shared" ca="1" si="165"/>
        <v/>
      </c>
      <c r="DP268" t="str">
        <f t="shared" ca="1" si="166"/>
        <v/>
      </c>
      <c r="DQ268" t="str">
        <f>IF(EXACT(Zauber!$A$250,""),"",IF(EXACT(RIGHT(HLOOKUP(Zauber!$A$250,PROFMAGIE,$DK268,FALSE)),"H"),CONCATENATE($CX268,","),""))</f>
        <v/>
      </c>
      <c r="DR268" t="str">
        <f t="shared" si="167"/>
        <v/>
      </c>
      <c r="DS268" t="str">
        <f>IF(ZS_IAAK="Ja",IF(EXACT(RIGHT(HLOOKUP(Tabellen_Magie!$IK$1,PROFMAGIE,$DK268,FALSE)),"H"),CONCATENATE($CX268,","),""),"")</f>
        <v/>
      </c>
      <c r="DT268" t="str">
        <f>IF(ZS_IAAK="Ja",IF(NOT(DS268=""),"",IF(OR(EXACT(RIGHT(HLOOKUP(Tabellen_Magie!$IK$1,PROFMAGIE,$DK268,FALSE)),"B"),EXACT(HLOOKUP(Tabellen_Magie!$IK$1,PROFMAGIE,$DK268,FALSE),"")),"",CONCATENATE($CX268,","))),"")</f>
        <v/>
      </c>
      <c r="DU268" t="str">
        <f t="shared" si="168"/>
        <v/>
      </c>
      <c r="DW268" t="s">
        <v>8733</v>
      </c>
      <c r="DX268" t="s">
        <v>4351</v>
      </c>
      <c r="EA268" t="s">
        <v>8677</v>
      </c>
      <c r="EC268" t="s">
        <v>2573</v>
      </c>
      <c r="ED268">
        <v>50</v>
      </c>
      <c r="EE268" t="s">
        <v>8734</v>
      </c>
      <c r="EH268">
        <f t="shared" si="174"/>
        <v>1</v>
      </c>
      <c r="GH268" t="s">
        <v>2275</v>
      </c>
      <c r="GI268" t="s">
        <v>4121</v>
      </c>
      <c r="GJ268">
        <v>4</v>
      </c>
      <c r="GK268" t="s">
        <v>4484</v>
      </c>
      <c r="GL268" t="s">
        <v>567</v>
      </c>
      <c r="GM268" t="s">
        <v>1982</v>
      </c>
      <c r="GN268" t="s">
        <v>1690</v>
      </c>
      <c r="GO268">
        <v>259</v>
      </c>
      <c r="GP268">
        <v>237</v>
      </c>
      <c r="GR268">
        <f t="shared" si="169"/>
        <v>617</v>
      </c>
      <c r="GU268" t="str">
        <f t="shared" ca="1" si="170"/>
        <v/>
      </c>
      <c r="GV268" t="str">
        <f t="shared" ca="1" si="171"/>
        <v/>
      </c>
      <c r="GW268" t="str">
        <f t="shared" ca="1" si="172"/>
        <v/>
      </c>
      <c r="GX268" t="str">
        <f t="shared" ca="1" si="173"/>
        <v/>
      </c>
    </row>
    <row r="269" spans="63:206" x14ac:dyDescent="0.2">
      <c r="CU269" t="s">
        <v>2634</v>
      </c>
      <c r="CX269" t="s">
        <v>1925</v>
      </c>
      <c r="CY269" t="s">
        <v>75</v>
      </c>
      <c r="CZ269" t="s">
        <v>76</v>
      </c>
      <c r="DA269" t="s">
        <v>77</v>
      </c>
      <c r="DC269" t="s">
        <v>7299</v>
      </c>
      <c r="DD269" t="s">
        <v>2807</v>
      </c>
      <c r="DE269" t="s">
        <v>2492</v>
      </c>
      <c r="DF269" t="s">
        <v>1358</v>
      </c>
      <c r="DG269" t="s">
        <v>1321</v>
      </c>
      <c r="DH269" t="s">
        <v>7006</v>
      </c>
      <c r="DI269" t="s">
        <v>4350</v>
      </c>
      <c r="DJ269">
        <v>2</v>
      </c>
      <c r="DK269">
        <f t="shared" si="162"/>
        <v>590</v>
      </c>
      <c r="DL269">
        <f t="shared" si="155"/>
        <v>267</v>
      </c>
      <c r="DM269">
        <v>241</v>
      </c>
      <c r="DN269" t="str">
        <f t="shared" ca="1" si="164"/>
        <v/>
      </c>
      <c r="DO269" t="str">
        <f t="shared" ca="1" si="165"/>
        <v/>
      </c>
      <c r="DP269" t="str">
        <f t="shared" ca="1" si="166"/>
        <v/>
      </c>
      <c r="DQ269" t="str">
        <f>IF(EXACT(Zauber!$A$250,""),"",IF(EXACT(RIGHT(HLOOKUP(Zauber!$A$250,PROFMAGIE,$DK269,FALSE)),"H"),CONCATENATE($CX269,","),""))</f>
        <v/>
      </c>
      <c r="DR269" t="str">
        <f t="shared" si="167"/>
        <v/>
      </c>
      <c r="DS269" t="str">
        <f>IF(ZS_IAAK="Ja",IF(EXACT(RIGHT(HLOOKUP(Tabellen_Magie!$IK$1,PROFMAGIE,$DK269,FALSE)),"H"),CONCATENATE($CX269,","),""),"")</f>
        <v/>
      </c>
      <c r="DT269" t="str">
        <f>IF(ZS_IAAK="Ja",IF(NOT(DS269=""),"",IF(OR(EXACT(RIGHT(HLOOKUP(Tabellen_Magie!$IK$1,PROFMAGIE,$DK269,FALSE)),"B"),EXACT(HLOOKUP(Tabellen_Magie!$IK$1,PROFMAGIE,$DK269,FALSE),"")),"",CONCATENATE($CX269,","))),"")</f>
        <v/>
      </c>
      <c r="DU269" t="str">
        <f t="shared" si="168"/>
        <v/>
      </c>
      <c r="DW269" t="s">
        <v>8735</v>
      </c>
      <c r="DX269" t="s">
        <v>8736</v>
      </c>
      <c r="DY269" t="s">
        <v>8694</v>
      </c>
      <c r="EA269" t="s">
        <v>8677</v>
      </c>
      <c r="EC269" t="s">
        <v>2573</v>
      </c>
      <c r="ED269">
        <v>100</v>
      </c>
      <c r="EE269" t="s">
        <v>8737</v>
      </c>
      <c r="EH269">
        <f t="shared" si="174"/>
        <v>2</v>
      </c>
      <c r="GH269" t="s">
        <v>3463</v>
      </c>
      <c r="GI269" t="s">
        <v>4121</v>
      </c>
      <c r="GJ269">
        <v>4</v>
      </c>
      <c r="GK269" t="s">
        <v>1320</v>
      </c>
      <c r="GL269" t="s">
        <v>1977</v>
      </c>
      <c r="GM269" t="s">
        <v>1982</v>
      </c>
      <c r="GN269" t="s">
        <v>1974</v>
      </c>
      <c r="GO269">
        <v>280</v>
      </c>
      <c r="GP269">
        <v>243</v>
      </c>
      <c r="GR269">
        <f t="shared" si="169"/>
        <v>618</v>
      </c>
      <c r="GU269" t="str">
        <f t="shared" ca="1" si="170"/>
        <v/>
      </c>
      <c r="GV269" t="str">
        <f t="shared" ca="1" si="171"/>
        <v/>
      </c>
      <c r="GW269" t="str">
        <f t="shared" ca="1" si="172"/>
        <v/>
      </c>
      <c r="GX269" t="str">
        <f t="shared" ca="1" si="173"/>
        <v/>
      </c>
    </row>
    <row r="270" spans="63:206" x14ac:dyDescent="0.2">
      <c r="CU270" t="s">
        <v>2635</v>
      </c>
      <c r="CX270" t="s">
        <v>1926</v>
      </c>
      <c r="CY270" t="s">
        <v>75</v>
      </c>
      <c r="CZ270" t="s">
        <v>76</v>
      </c>
      <c r="DA270" t="s">
        <v>750</v>
      </c>
      <c r="DC270" t="s">
        <v>7309</v>
      </c>
      <c r="DD270" t="s">
        <v>3141</v>
      </c>
      <c r="DE270" t="s">
        <v>2397</v>
      </c>
      <c r="DF270" t="s">
        <v>7376</v>
      </c>
      <c r="DG270" t="s">
        <v>1955</v>
      </c>
      <c r="DH270" t="s">
        <v>6844</v>
      </c>
      <c r="DI270" t="s">
        <v>2793</v>
      </c>
      <c r="DJ270">
        <v>2</v>
      </c>
      <c r="DK270">
        <f t="shared" si="162"/>
        <v>591</v>
      </c>
      <c r="DL270">
        <f t="shared" si="155"/>
        <v>268</v>
      </c>
      <c r="DM270">
        <v>242</v>
      </c>
      <c r="DN270" t="str">
        <f t="shared" ca="1" si="164"/>
        <v/>
      </c>
      <c r="DO270" t="str">
        <f t="shared" ca="1" si="165"/>
        <v/>
      </c>
      <c r="DP270" t="str">
        <f t="shared" ca="1" si="166"/>
        <v/>
      </c>
      <c r="DQ270" t="str">
        <f>IF(EXACT(Zauber!$A$250,""),"",IF(EXACT(RIGHT(HLOOKUP(Zauber!$A$250,PROFMAGIE,$DK270,FALSE)),"H"),CONCATENATE($CX270,","),""))</f>
        <v/>
      </c>
      <c r="DR270" t="str">
        <f t="shared" si="167"/>
        <v/>
      </c>
      <c r="DS270" t="str">
        <f>IF(ZS_IAAK="Ja",IF(EXACT(RIGHT(HLOOKUP(Tabellen_Magie!$IK$1,PROFMAGIE,$DK270,FALSE)),"H"),CONCATENATE($CX270,","),""),"")</f>
        <v/>
      </c>
      <c r="DT270" t="str">
        <f>IF(ZS_IAAK="Ja",IF(NOT(DS270=""),"",IF(OR(EXACT(RIGHT(HLOOKUP(Tabellen_Magie!$IK$1,PROFMAGIE,$DK270,FALSE)),"B"),EXACT(HLOOKUP(Tabellen_Magie!$IK$1,PROFMAGIE,$DK270,FALSE),"")),"",CONCATENATE($CX270,","))),"")</f>
        <v/>
      </c>
      <c r="DU270" t="str">
        <f t="shared" si="168"/>
        <v/>
      </c>
      <c r="DW270" t="s">
        <v>8738</v>
      </c>
      <c r="DX270" t="s">
        <v>2940</v>
      </c>
      <c r="DY270" t="s">
        <v>4342</v>
      </c>
      <c r="DZ270" t="s">
        <v>2793</v>
      </c>
      <c r="EA270" t="s">
        <v>8677</v>
      </c>
      <c r="EC270" t="s">
        <v>1280</v>
      </c>
      <c r="ED270">
        <v>75</v>
      </c>
      <c r="EE270" t="s">
        <v>8739</v>
      </c>
      <c r="EH270">
        <f t="shared" si="174"/>
        <v>2</v>
      </c>
      <c r="GH270" t="s">
        <v>3464</v>
      </c>
      <c r="GI270" t="s">
        <v>4121</v>
      </c>
      <c r="GJ270">
        <v>4</v>
      </c>
      <c r="GK270" t="s">
        <v>1320</v>
      </c>
      <c r="GL270" t="s">
        <v>1977</v>
      </c>
      <c r="GM270" t="s">
        <v>1369</v>
      </c>
      <c r="GN270" t="s">
        <v>1974</v>
      </c>
      <c r="GO270">
        <v>281</v>
      </c>
      <c r="GP270">
        <v>246</v>
      </c>
      <c r="GR270">
        <f t="shared" si="169"/>
        <v>619</v>
      </c>
      <c r="GU270" t="str">
        <f t="shared" ca="1" si="170"/>
        <v/>
      </c>
      <c r="GV270" t="str">
        <f t="shared" ca="1" si="171"/>
        <v/>
      </c>
      <c r="GW270" t="str">
        <f t="shared" ca="1" si="172"/>
        <v/>
      </c>
      <c r="GX270" t="str">
        <f t="shared" ca="1" si="173"/>
        <v/>
      </c>
    </row>
    <row r="271" spans="63:206" x14ac:dyDescent="0.2">
      <c r="CU271" t="s">
        <v>2636</v>
      </c>
      <c r="CX271" t="s">
        <v>1927</v>
      </c>
      <c r="CY271" t="s">
        <v>74</v>
      </c>
      <c r="CZ271" t="s">
        <v>74</v>
      </c>
      <c r="DA271" t="s">
        <v>77</v>
      </c>
      <c r="DB271" t="s">
        <v>1613</v>
      </c>
      <c r="DC271" t="s">
        <v>7296</v>
      </c>
      <c r="DD271" t="s">
        <v>47</v>
      </c>
      <c r="DE271" t="s">
        <v>1321</v>
      </c>
      <c r="DF271" t="s">
        <v>665</v>
      </c>
      <c r="DG271" t="s">
        <v>1956</v>
      </c>
      <c r="DH271" t="s">
        <v>7007</v>
      </c>
      <c r="DI271" t="s">
        <v>512</v>
      </c>
      <c r="DJ271">
        <v>2</v>
      </c>
      <c r="DK271">
        <f t="shared" si="162"/>
        <v>592</v>
      </c>
      <c r="DL271">
        <f t="shared" si="155"/>
        <v>269</v>
      </c>
      <c r="DM271">
        <v>243</v>
      </c>
      <c r="DN271" t="str">
        <f t="shared" ca="1" si="164"/>
        <v/>
      </c>
      <c r="DO271" t="str">
        <f t="shared" ca="1" si="165"/>
        <v/>
      </c>
      <c r="DP271" t="str">
        <f t="shared" ca="1" si="166"/>
        <v/>
      </c>
      <c r="DQ271" t="str">
        <f>IF(EXACT(Zauber!$A$250,""),"",IF(EXACT(RIGHT(HLOOKUP(Zauber!$A$250,PROFMAGIE,$DK271,FALSE)),"H"),CONCATENATE($CX271,","),""))</f>
        <v/>
      </c>
      <c r="DR271" t="str">
        <f t="shared" si="167"/>
        <v/>
      </c>
      <c r="DS271" t="str">
        <f>IF(ZS_IAAK="Ja",IF(EXACT(RIGHT(HLOOKUP(Tabellen_Magie!$IK$1,PROFMAGIE,$DK271,FALSE)),"H"),CONCATENATE($CX271,","),""),"")</f>
        <v/>
      </c>
      <c r="DT271" t="str">
        <f>IF(ZS_IAAK="Ja",IF(NOT(DS271=""),"",IF(OR(EXACT(RIGHT(HLOOKUP(Tabellen_Magie!$IK$1,PROFMAGIE,$DK271,FALSE)),"B"),EXACT(HLOOKUP(Tabellen_Magie!$IK$1,PROFMAGIE,$DK271,FALSE),"")),"",CONCATENATE($CX271,","))),"")</f>
        <v/>
      </c>
      <c r="DU271" t="str">
        <f t="shared" si="168"/>
        <v/>
      </c>
      <c r="DW271" t="s">
        <v>2361</v>
      </c>
      <c r="DX271" t="s">
        <v>1615</v>
      </c>
      <c r="DY271" t="s">
        <v>4348</v>
      </c>
      <c r="EA271" t="s">
        <v>8677</v>
      </c>
      <c r="EC271" t="s">
        <v>1280</v>
      </c>
      <c r="ED271">
        <v>75</v>
      </c>
      <c r="EE271" t="s">
        <v>8740</v>
      </c>
      <c r="EH271">
        <f t="shared" si="174"/>
        <v>2</v>
      </c>
      <c r="GH271" t="s">
        <v>3465</v>
      </c>
      <c r="GI271" t="s">
        <v>4121</v>
      </c>
      <c r="GJ271">
        <v>4</v>
      </c>
      <c r="GK271" t="s">
        <v>1320</v>
      </c>
      <c r="GL271" t="s">
        <v>1977</v>
      </c>
      <c r="GM271" t="s">
        <v>1369</v>
      </c>
      <c r="GN271" t="s">
        <v>1974</v>
      </c>
      <c r="GO271">
        <v>281</v>
      </c>
      <c r="GP271">
        <v>247</v>
      </c>
      <c r="GR271">
        <f t="shared" si="169"/>
        <v>620</v>
      </c>
      <c r="GU271" t="str">
        <f t="shared" ca="1" si="170"/>
        <v/>
      </c>
      <c r="GV271" t="str">
        <f t="shared" ca="1" si="171"/>
        <v/>
      </c>
      <c r="GW271" t="str">
        <f t="shared" ca="1" si="172"/>
        <v/>
      </c>
      <c r="GX271" t="str">
        <f t="shared" ca="1" si="173"/>
        <v/>
      </c>
    </row>
    <row r="272" spans="63:206" x14ac:dyDescent="0.2">
      <c r="CU272" t="s">
        <v>2637</v>
      </c>
      <c r="CX272" t="s">
        <v>675</v>
      </c>
      <c r="CY272" t="s">
        <v>76</v>
      </c>
      <c r="CZ272" t="s">
        <v>5030</v>
      </c>
      <c r="DA272" t="s">
        <v>752</v>
      </c>
      <c r="DC272" t="s">
        <v>7377</v>
      </c>
      <c r="DD272" t="s">
        <v>7378</v>
      </c>
      <c r="DE272" t="s">
        <v>2615</v>
      </c>
      <c r="DF272" t="s">
        <v>4022</v>
      </c>
      <c r="DG272" t="s">
        <v>1955</v>
      </c>
      <c r="DH272" t="s">
        <v>7008</v>
      </c>
      <c r="DI272" t="s">
        <v>3541</v>
      </c>
      <c r="DJ272">
        <v>2</v>
      </c>
      <c r="DK272">
        <f t="shared" si="162"/>
        <v>593</v>
      </c>
      <c r="DL272">
        <f t="shared" si="155"/>
        <v>270</v>
      </c>
      <c r="DM272">
        <v>245</v>
      </c>
      <c r="DN272" t="str">
        <f t="shared" ca="1" si="164"/>
        <v/>
      </c>
      <c r="DO272" t="str">
        <f t="shared" ca="1" si="165"/>
        <v/>
      </c>
      <c r="DP272" t="str">
        <f t="shared" ca="1" si="166"/>
        <v/>
      </c>
      <c r="DQ272" t="str">
        <f>IF(EXACT(Zauber!$A$250,""),"",IF(EXACT(RIGHT(HLOOKUP(Zauber!$A$250,PROFMAGIE,$DK272,FALSE)),"H"),CONCATENATE($CX272,","),""))</f>
        <v/>
      </c>
      <c r="DR272" t="str">
        <f t="shared" si="167"/>
        <v/>
      </c>
      <c r="DS272" t="str">
        <f>IF(ZS_IAAK="Ja",IF(EXACT(RIGHT(HLOOKUP(Tabellen_Magie!$IK$1,PROFMAGIE,$DK272,FALSE)),"H"),CONCATENATE($CX272,","),""),"")</f>
        <v/>
      </c>
      <c r="DT272" t="str">
        <f>IF(ZS_IAAK="Ja",IF(NOT(DS272=""),"",IF(OR(EXACT(RIGHT(HLOOKUP(Tabellen_Magie!$IK$1,PROFMAGIE,$DK272,FALSE)),"B"),EXACT(HLOOKUP(Tabellen_Magie!$IK$1,PROFMAGIE,$DK272,FALSE),"")),"",CONCATENATE($CX272,","))),"")</f>
        <v/>
      </c>
      <c r="DU272" t="str">
        <f t="shared" si="168"/>
        <v/>
      </c>
      <c r="DW272" t="s">
        <v>2360</v>
      </c>
      <c r="DX272" t="s">
        <v>1615</v>
      </c>
      <c r="DY272" t="s">
        <v>4348</v>
      </c>
      <c r="EA272" t="s">
        <v>8677</v>
      </c>
      <c r="EC272" t="s">
        <v>1280</v>
      </c>
      <c r="ED272">
        <v>75</v>
      </c>
      <c r="EE272" t="s">
        <v>8741</v>
      </c>
      <c r="EH272">
        <f t="shared" si="174"/>
        <v>2</v>
      </c>
      <c r="GH272" t="s">
        <v>1051</v>
      </c>
      <c r="GI272" t="s">
        <v>4121</v>
      </c>
      <c r="GJ272">
        <v>4</v>
      </c>
      <c r="GK272" t="s">
        <v>1320</v>
      </c>
      <c r="GL272" t="s">
        <v>1977</v>
      </c>
      <c r="GM272" t="s">
        <v>1984</v>
      </c>
      <c r="GN272" t="s">
        <v>1974</v>
      </c>
      <c r="GO272">
        <v>281</v>
      </c>
      <c r="GP272">
        <v>249</v>
      </c>
      <c r="GR272">
        <f t="shared" si="169"/>
        <v>621</v>
      </c>
      <c r="GU272" t="str">
        <f t="shared" ca="1" si="170"/>
        <v/>
      </c>
      <c r="GV272" t="str">
        <f t="shared" ca="1" si="171"/>
        <v/>
      </c>
      <c r="GW272" t="str">
        <f t="shared" ca="1" si="172"/>
        <v/>
      </c>
      <c r="GX272" t="str">
        <f t="shared" ca="1" si="173"/>
        <v/>
      </c>
    </row>
    <row r="273" spans="99:206" x14ac:dyDescent="0.2">
      <c r="CU273" t="s">
        <v>7178</v>
      </c>
      <c r="CX273" t="s">
        <v>676</v>
      </c>
      <c r="CY273" t="s">
        <v>75</v>
      </c>
      <c r="CZ273" t="s">
        <v>77</v>
      </c>
      <c r="DA273" t="s">
        <v>77</v>
      </c>
      <c r="DB273" t="s">
        <v>2042</v>
      </c>
      <c r="DC273" t="s">
        <v>7297</v>
      </c>
      <c r="DD273" t="s">
        <v>3141</v>
      </c>
      <c r="DE273" t="s">
        <v>2254</v>
      </c>
      <c r="DF273" t="s">
        <v>2368</v>
      </c>
      <c r="DG273" t="s">
        <v>1321</v>
      </c>
      <c r="DH273" t="s">
        <v>7009</v>
      </c>
      <c r="DI273" t="s">
        <v>2940</v>
      </c>
      <c r="DJ273">
        <v>2</v>
      </c>
      <c r="DK273">
        <f t="shared" si="162"/>
        <v>594</v>
      </c>
      <c r="DL273">
        <f t="shared" si="155"/>
        <v>271</v>
      </c>
      <c r="DM273">
        <v>246</v>
      </c>
      <c r="DN273" t="str">
        <f t="shared" ca="1" si="164"/>
        <v/>
      </c>
      <c r="DO273" t="str">
        <f t="shared" ca="1" si="165"/>
        <v/>
      </c>
      <c r="DP273" t="str">
        <f t="shared" ca="1" si="166"/>
        <v/>
      </c>
      <c r="DQ273" t="str">
        <f>IF(EXACT(Zauber!$A$250,""),"",IF(EXACT(RIGHT(HLOOKUP(Zauber!$A$250,PROFMAGIE,$DK273,FALSE)),"H"),CONCATENATE($CX273,","),""))</f>
        <v/>
      </c>
      <c r="DR273" t="str">
        <f t="shared" si="167"/>
        <v/>
      </c>
      <c r="DS273" t="str">
        <f>IF(ZS_IAAK="Ja",IF(EXACT(RIGHT(HLOOKUP(Tabellen_Magie!$IK$1,PROFMAGIE,$DK273,FALSE)),"H"),CONCATENATE($CX273,","),""),"")</f>
        <v/>
      </c>
      <c r="DT273" t="str">
        <f>IF(ZS_IAAK="Ja",IF(NOT(DS273=""),"",IF(OR(EXACT(RIGHT(HLOOKUP(Tabellen_Magie!$IK$1,PROFMAGIE,$DK273,FALSE)),"B"),EXACT(HLOOKUP(Tabellen_Magie!$IK$1,PROFMAGIE,$DK273,FALSE),"")),"",CONCATENATE($CX273,","))),"")</f>
        <v/>
      </c>
      <c r="DU273" t="str">
        <f t="shared" si="168"/>
        <v/>
      </c>
      <c r="DW273" t="s">
        <v>8742</v>
      </c>
      <c r="DX273" t="s">
        <v>1615</v>
      </c>
      <c r="EA273" t="s">
        <v>8677</v>
      </c>
      <c r="EC273" t="s">
        <v>2573</v>
      </c>
      <c r="ED273">
        <v>125</v>
      </c>
      <c r="EE273" t="s">
        <v>8743</v>
      </c>
      <c r="EH273">
        <f t="shared" si="174"/>
        <v>3</v>
      </c>
      <c r="GH273" t="s">
        <v>1052</v>
      </c>
      <c r="GI273" t="s">
        <v>4121</v>
      </c>
      <c r="GJ273">
        <v>4</v>
      </c>
      <c r="GK273" t="s">
        <v>4529</v>
      </c>
      <c r="GL273" t="s">
        <v>567</v>
      </c>
      <c r="GM273" t="s">
        <v>1983</v>
      </c>
      <c r="GN273" t="s">
        <v>1975</v>
      </c>
      <c r="GO273">
        <v>262</v>
      </c>
      <c r="GP273">
        <v>109</v>
      </c>
      <c r="GR273">
        <f t="shared" si="169"/>
        <v>622</v>
      </c>
      <c r="GU273" t="str">
        <f t="shared" ca="1" si="170"/>
        <v/>
      </c>
      <c r="GV273" t="str">
        <f t="shared" ca="1" si="171"/>
        <v/>
      </c>
      <c r="GW273" t="str">
        <f t="shared" ca="1" si="172"/>
        <v/>
      </c>
      <c r="GX273" t="str">
        <f t="shared" ca="1" si="173"/>
        <v/>
      </c>
    </row>
    <row r="274" spans="99:206" x14ac:dyDescent="0.2">
      <c r="CU274" t="s">
        <v>431</v>
      </c>
      <c r="CX274" t="s">
        <v>3328</v>
      </c>
      <c r="CY274" t="s">
        <v>76</v>
      </c>
      <c r="CZ274" t="s">
        <v>751</v>
      </c>
      <c r="DA274" t="s">
        <v>752</v>
      </c>
      <c r="DC274" t="s">
        <v>7292</v>
      </c>
      <c r="DD274" t="s">
        <v>725</v>
      </c>
      <c r="DE274" t="s">
        <v>2397</v>
      </c>
      <c r="DF274" t="s">
        <v>1358</v>
      </c>
      <c r="DG274" t="s">
        <v>1956</v>
      </c>
      <c r="DH274" t="s">
        <v>7010</v>
      </c>
      <c r="DI274" t="s">
        <v>1543</v>
      </c>
      <c r="DJ274">
        <v>2</v>
      </c>
      <c r="DK274">
        <f t="shared" ref="DK274:DK308" si="175">VLOOKUP($CX274,ZEILENBEZUG,2,FALSE)</f>
        <v>595</v>
      </c>
      <c r="DL274">
        <f t="shared" ref="DL274:DL330" si="176">ROW()-2</f>
        <v>272</v>
      </c>
      <c r="DM274">
        <v>247</v>
      </c>
      <c r="DN274" t="str">
        <f t="shared" ca="1" si="164"/>
        <v/>
      </c>
      <c r="DO274" t="str">
        <f t="shared" ca="1" si="165"/>
        <v/>
      </c>
      <c r="DP274" t="str">
        <f t="shared" ca="1" si="166"/>
        <v/>
      </c>
      <c r="DQ274" t="str">
        <f>IF(EXACT(Zauber!$A$250,""),"",IF(EXACT(RIGHT(HLOOKUP(Zauber!$A$250,PROFMAGIE,$DK274,FALSE)),"H"),CONCATENATE($CX274,","),""))</f>
        <v/>
      </c>
      <c r="DR274" t="str">
        <f t="shared" si="167"/>
        <v/>
      </c>
      <c r="DS274" t="str">
        <f>IF(ZS_IAAK="Ja",IF(EXACT(RIGHT(HLOOKUP(Tabellen_Magie!$IK$1,PROFMAGIE,$DK274,FALSE)),"H"),CONCATENATE($CX274,","),""),"")</f>
        <v/>
      </c>
      <c r="DT274" t="str">
        <f>IF(ZS_IAAK="Ja",IF(NOT(DS274=""),"",IF(OR(EXACT(RIGHT(HLOOKUP(Tabellen_Magie!$IK$1,PROFMAGIE,$DK274,FALSE)),"B"),EXACT(HLOOKUP(Tabellen_Magie!$IK$1,PROFMAGIE,$DK274,FALSE),"")),"",CONCATENATE($CX274,","))),"")</f>
        <v/>
      </c>
      <c r="DU274" t="str">
        <f t="shared" si="168"/>
        <v/>
      </c>
      <c r="DW274" t="s">
        <v>8744</v>
      </c>
      <c r="DX274" t="s">
        <v>4339</v>
      </c>
      <c r="DY274" t="s">
        <v>4350</v>
      </c>
      <c r="EA274" t="s">
        <v>8677</v>
      </c>
      <c r="EC274" t="s">
        <v>1280</v>
      </c>
      <c r="ED274">
        <v>125</v>
      </c>
      <c r="EE274" t="s">
        <v>8745</v>
      </c>
      <c r="EH274">
        <f t="shared" si="174"/>
        <v>3</v>
      </c>
      <c r="GH274" t="s">
        <v>1053</v>
      </c>
      <c r="GI274" t="s">
        <v>4121</v>
      </c>
      <c r="GJ274">
        <v>4</v>
      </c>
      <c r="GK274" t="s">
        <v>4530</v>
      </c>
      <c r="GL274" t="s">
        <v>1977</v>
      </c>
      <c r="GM274" t="s">
        <v>1684</v>
      </c>
      <c r="GN274" t="s">
        <v>1974</v>
      </c>
      <c r="GO274">
        <v>264</v>
      </c>
      <c r="GP274">
        <v>119</v>
      </c>
      <c r="GR274">
        <f t="shared" si="169"/>
        <v>623</v>
      </c>
      <c r="GT274" t="s">
        <v>3531</v>
      </c>
      <c r="GU274" t="str">
        <f t="shared" ca="1" si="170"/>
        <v/>
      </c>
      <c r="GV274" t="str">
        <f t="shared" ca="1" si="171"/>
        <v/>
      </c>
      <c r="GW274" t="str">
        <f t="shared" ca="1" si="172"/>
        <v/>
      </c>
      <c r="GX274" t="str">
        <f t="shared" ca="1" si="173"/>
        <v/>
      </c>
    </row>
    <row r="275" spans="99:206" x14ac:dyDescent="0.2">
      <c r="CX275" t="s">
        <v>3608</v>
      </c>
      <c r="CY275" t="s">
        <v>74</v>
      </c>
      <c r="CZ275" t="s">
        <v>77</v>
      </c>
      <c r="DA275" t="s">
        <v>77</v>
      </c>
      <c r="DC275" t="s">
        <v>7297</v>
      </c>
      <c r="DD275" t="s">
        <v>3138</v>
      </c>
      <c r="DE275" t="s">
        <v>655</v>
      </c>
      <c r="DF275" t="s">
        <v>2212</v>
      </c>
      <c r="DG275" t="s">
        <v>1956</v>
      </c>
      <c r="DH275" t="s">
        <v>6899</v>
      </c>
      <c r="DI275" t="s">
        <v>3355</v>
      </c>
      <c r="DJ275">
        <v>2</v>
      </c>
      <c r="DK275">
        <f t="shared" si="175"/>
        <v>596</v>
      </c>
      <c r="DL275">
        <f t="shared" si="176"/>
        <v>273</v>
      </c>
      <c r="DM275">
        <v>146</v>
      </c>
      <c r="DN275" t="str">
        <f t="shared" ca="1" si="164"/>
        <v/>
      </c>
      <c r="DO275" t="str">
        <f t="shared" ca="1" si="165"/>
        <v/>
      </c>
      <c r="DP275" t="str">
        <f t="shared" ca="1" si="166"/>
        <v/>
      </c>
      <c r="DQ275" t="str">
        <f>IF(EXACT(Zauber!$A$250,""),"",IF(EXACT(RIGHT(HLOOKUP(Zauber!$A$250,PROFMAGIE,$DK275,FALSE)),"H"),CONCATENATE($CX275,","),""))</f>
        <v/>
      </c>
      <c r="DR275" t="str">
        <f t="shared" si="167"/>
        <v/>
      </c>
      <c r="DS275" t="str">
        <f>IF(ZS_IAAK="Ja",IF(EXACT(RIGHT(HLOOKUP(Tabellen_Magie!$IK$1,PROFMAGIE,$DK275,FALSE)),"H"),CONCATENATE($CX275,","),""),"")</f>
        <v/>
      </c>
      <c r="DT275" t="str">
        <f>IF(ZS_IAAK="Ja",IF(NOT(DS275=""),"",IF(OR(EXACT(RIGHT(HLOOKUP(Tabellen_Magie!$IK$1,PROFMAGIE,$DK275,FALSE)),"B"),EXACT(HLOOKUP(Tabellen_Magie!$IK$1,PROFMAGIE,$DK275,FALSE),"")),"",CONCATENATE($CX275,","))),"")</f>
        <v/>
      </c>
      <c r="DU275" t="str">
        <f t="shared" si="168"/>
        <v/>
      </c>
      <c r="DW275" t="s">
        <v>8746</v>
      </c>
      <c r="DX275" t="s">
        <v>1166</v>
      </c>
      <c r="DY275" t="s">
        <v>4342</v>
      </c>
      <c r="EA275" t="s">
        <v>8677</v>
      </c>
      <c r="EC275" t="s">
        <v>4565</v>
      </c>
      <c r="ED275">
        <v>75</v>
      </c>
      <c r="EE275" t="s">
        <v>8747</v>
      </c>
      <c r="EH275">
        <f t="shared" si="174"/>
        <v>2</v>
      </c>
      <c r="GH275" t="s">
        <v>9355</v>
      </c>
      <c r="GI275" t="s">
        <v>4121</v>
      </c>
      <c r="GJ275">
        <v>4</v>
      </c>
      <c r="GK275" t="s">
        <v>1320</v>
      </c>
      <c r="GL275" t="s">
        <v>1976</v>
      </c>
      <c r="GM275" t="s">
        <v>1984</v>
      </c>
      <c r="GN275" t="s">
        <v>1974</v>
      </c>
      <c r="GO275" t="s">
        <v>9314</v>
      </c>
      <c r="GP275">
        <v>266</v>
      </c>
      <c r="GR275">
        <f t="shared" si="169"/>
        <v>624</v>
      </c>
      <c r="GU275" t="str">
        <f t="shared" ca="1" si="170"/>
        <v/>
      </c>
      <c r="GV275" t="str">
        <f t="shared" ca="1" si="171"/>
        <v/>
      </c>
      <c r="GW275" t="str">
        <f t="shared" ca="1" si="172"/>
        <v/>
      </c>
      <c r="GX275" t="str">
        <f t="shared" ca="1" si="173"/>
        <v/>
      </c>
    </row>
    <row r="276" spans="99:206" x14ac:dyDescent="0.2">
      <c r="CX276" t="s">
        <v>4951</v>
      </c>
      <c r="CY276" t="s">
        <v>76</v>
      </c>
      <c r="CZ276" t="s">
        <v>751</v>
      </c>
      <c r="DA276" t="s">
        <v>751</v>
      </c>
      <c r="DC276" t="s">
        <v>7292</v>
      </c>
      <c r="DD276" t="s">
        <v>48</v>
      </c>
      <c r="DE276" t="s">
        <v>4484</v>
      </c>
      <c r="DF276" t="s">
        <v>727</v>
      </c>
      <c r="DG276" t="s">
        <v>1956</v>
      </c>
      <c r="DH276" t="s">
        <v>7011</v>
      </c>
      <c r="DI276" t="s">
        <v>4350</v>
      </c>
      <c r="DJ276">
        <v>2</v>
      </c>
      <c r="DK276">
        <f t="shared" si="175"/>
        <v>597</v>
      </c>
      <c r="DL276">
        <f t="shared" si="176"/>
        <v>274</v>
      </c>
      <c r="DM276">
        <v>248</v>
      </c>
      <c r="DN276" t="str">
        <f t="shared" ca="1" si="164"/>
        <v/>
      </c>
      <c r="DO276" t="str">
        <f t="shared" ca="1" si="165"/>
        <v/>
      </c>
      <c r="DP276" t="str">
        <f t="shared" ca="1" si="166"/>
        <v/>
      </c>
      <c r="DQ276" t="str">
        <f>IF(EXACT(Zauber!$A$250,""),"",IF(EXACT(RIGHT(HLOOKUP(Zauber!$A$250,PROFMAGIE,$DK276,FALSE)),"H"),CONCATENATE($CX276,","),""))</f>
        <v/>
      </c>
      <c r="DR276" t="str">
        <f t="shared" si="167"/>
        <v/>
      </c>
      <c r="DS276" t="str">
        <f>IF(ZS_IAAK="Ja",IF(EXACT(RIGHT(HLOOKUP(Tabellen_Magie!$IK$1,PROFMAGIE,$DK276,FALSE)),"H"),CONCATENATE($CX276,","),""),"")</f>
        <v/>
      </c>
      <c r="DT276" t="str">
        <f>IF(ZS_IAAK="Ja",IF(NOT(DS276=""),"",IF(OR(EXACT(RIGHT(HLOOKUP(Tabellen_Magie!$IK$1,PROFMAGIE,$DK276,FALSE)),"B"),EXACT(HLOOKUP(Tabellen_Magie!$IK$1,PROFMAGIE,$DK276,FALSE),"")),"",CONCATENATE($CX276,","))),"")</f>
        <v/>
      </c>
      <c r="DU276" t="str">
        <f t="shared" si="168"/>
        <v/>
      </c>
      <c r="DW276" t="s">
        <v>8748</v>
      </c>
      <c r="DX276" t="s">
        <v>8749</v>
      </c>
      <c r="DY276" t="s">
        <v>1166</v>
      </c>
      <c r="DZ276" t="s">
        <v>1615</v>
      </c>
      <c r="EA276" t="s">
        <v>8677</v>
      </c>
      <c r="EC276" t="s">
        <v>2327</v>
      </c>
      <c r="ED276">
        <v>100</v>
      </c>
      <c r="EE276" t="s">
        <v>8750</v>
      </c>
      <c r="EH276">
        <f t="shared" si="174"/>
        <v>2</v>
      </c>
      <c r="GH276" t="s">
        <v>9356</v>
      </c>
      <c r="GI276" t="s">
        <v>4121</v>
      </c>
      <c r="GJ276">
        <v>4</v>
      </c>
      <c r="GK276" t="s">
        <v>4484</v>
      </c>
      <c r="GL276" t="s">
        <v>1976</v>
      </c>
      <c r="GM276" t="s">
        <v>1982</v>
      </c>
      <c r="GN276" t="s">
        <v>1690</v>
      </c>
      <c r="GO276" t="s">
        <v>9314</v>
      </c>
      <c r="GP276">
        <v>271</v>
      </c>
      <c r="GR276">
        <f t="shared" si="169"/>
        <v>625</v>
      </c>
      <c r="GU276" t="str">
        <f t="shared" ca="1" si="170"/>
        <v/>
      </c>
      <c r="GV276" t="str">
        <f t="shared" ca="1" si="171"/>
        <v/>
      </c>
      <c r="GW276" t="str">
        <f t="shared" ca="1" si="172"/>
        <v/>
      </c>
      <c r="GX276" t="str">
        <f t="shared" ca="1" si="173"/>
        <v/>
      </c>
    </row>
    <row r="277" spans="99:206" x14ac:dyDescent="0.2">
      <c r="CX277" t="s">
        <v>4952</v>
      </c>
      <c r="CY277" t="s">
        <v>76</v>
      </c>
      <c r="CZ277" t="s">
        <v>751</v>
      </c>
      <c r="DA277" t="s">
        <v>750</v>
      </c>
      <c r="DC277" t="s">
        <v>7294</v>
      </c>
      <c r="DD277" t="s">
        <v>49</v>
      </c>
      <c r="DE277" t="s">
        <v>4484</v>
      </c>
      <c r="DF277" t="s">
        <v>835</v>
      </c>
      <c r="DG277" t="s">
        <v>1956</v>
      </c>
      <c r="DH277" t="s">
        <v>8443</v>
      </c>
      <c r="DI277" t="s">
        <v>1543</v>
      </c>
      <c r="DJ277">
        <v>2</v>
      </c>
      <c r="DK277">
        <f t="shared" si="175"/>
        <v>598</v>
      </c>
      <c r="DL277">
        <f t="shared" si="176"/>
        <v>275</v>
      </c>
      <c r="DM277">
        <v>249</v>
      </c>
      <c r="DN277" t="str">
        <f t="shared" ca="1" si="164"/>
        <v/>
      </c>
      <c r="DO277" t="str">
        <f t="shared" ca="1" si="165"/>
        <v/>
      </c>
      <c r="DP277" t="str">
        <f t="shared" ca="1" si="166"/>
        <v/>
      </c>
      <c r="DQ277" t="str">
        <f>IF(EXACT(Zauber!$A$250,""),"",IF(EXACT(RIGHT(HLOOKUP(Zauber!$A$250,PROFMAGIE,$DK277,FALSE)),"H"),CONCATENATE($CX277,","),""))</f>
        <v/>
      </c>
      <c r="DR277" t="str">
        <f t="shared" si="167"/>
        <v/>
      </c>
      <c r="DS277" t="str">
        <f>IF(ZS_IAAK="Ja",IF(EXACT(RIGHT(HLOOKUP(Tabellen_Magie!$IK$1,PROFMAGIE,$DK277,FALSE)),"H"),CONCATENATE($CX277,","),""),"")</f>
        <v/>
      </c>
      <c r="DT277" t="str">
        <f>IF(ZS_IAAK="Ja",IF(NOT(DS277=""),"",IF(OR(EXACT(RIGHT(HLOOKUP(Tabellen_Magie!$IK$1,PROFMAGIE,$DK277,FALSE)),"B"),EXACT(HLOOKUP(Tabellen_Magie!$IK$1,PROFMAGIE,$DK277,FALSE),"")),"",CONCATENATE($CX277,","))),"")</f>
        <v/>
      </c>
      <c r="DU277" t="str">
        <f t="shared" si="168"/>
        <v/>
      </c>
      <c r="DW277" t="s">
        <v>8816</v>
      </c>
      <c r="GH277" t="s">
        <v>9360</v>
      </c>
      <c r="GI277" t="s">
        <v>9361</v>
      </c>
      <c r="GJ277">
        <v>4</v>
      </c>
      <c r="GK277" t="s">
        <v>1320</v>
      </c>
      <c r="GL277" t="s">
        <v>1977</v>
      </c>
      <c r="GM277" t="s">
        <v>3961</v>
      </c>
      <c r="GN277" t="s">
        <v>1974</v>
      </c>
      <c r="GO277" t="s">
        <v>9314</v>
      </c>
      <c r="GP277">
        <v>273</v>
      </c>
      <c r="GR277">
        <f t="shared" si="169"/>
        <v>626</v>
      </c>
      <c r="GU277" t="str">
        <f t="shared" ca="1" si="170"/>
        <v/>
      </c>
      <c r="GV277" t="str">
        <f t="shared" ca="1" si="171"/>
        <v/>
      </c>
      <c r="GW277" t="str">
        <f t="shared" ca="1" si="172"/>
        <v/>
      </c>
      <c r="GX277" t="str">
        <f t="shared" ca="1" si="173"/>
        <v/>
      </c>
    </row>
    <row r="278" spans="99:206" x14ac:dyDescent="0.2">
      <c r="CX278" t="s">
        <v>4953</v>
      </c>
      <c r="CY278" t="s">
        <v>74</v>
      </c>
      <c r="CZ278" t="s">
        <v>75</v>
      </c>
      <c r="DA278" t="s">
        <v>77</v>
      </c>
      <c r="DB278" t="s">
        <v>1613</v>
      </c>
      <c r="DC278" t="s">
        <v>50</v>
      </c>
      <c r="DD278" t="s">
        <v>51</v>
      </c>
      <c r="DE278" t="s">
        <v>1321</v>
      </c>
      <c r="DF278" t="s">
        <v>7380</v>
      </c>
      <c r="DG278" t="s">
        <v>1828</v>
      </c>
      <c r="DH278" t="s">
        <v>6844</v>
      </c>
      <c r="DI278" t="s">
        <v>1634</v>
      </c>
      <c r="DJ278">
        <v>2</v>
      </c>
      <c r="DK278">
        <f t="shared" si="175"/>
        <v>599</v>
      </c>
      <c r="DL278">
        <f t="shared" si="176"/>
        <v>276</v>
      </c>
      <c r="DM278">
        <v>250</v>
      </c>
      <c r="DN278" t="str">
        <f t="shared" ca="1" si="164"/>
        <v/>
      </c>
      <c r="DO278" t="str">
        <f t="shared" ca="1" si="165"/>
        <v/>
      </c>
      <c r="DP278" t="str">
        <f t="shared" ca="1" si="166"/>
        <v/>
      </c>
      <c r="DQ278" t="str">
        <f>IF(EXACT(Zauber!$A$250,""),"",IF(EXACT(RIGHT(HLOOKUP(Zauber!$A$250,PROFMAGIE,$DK278,FALSE)),"H"),CONCATENATE($CX278,","),""))</f>
        <v/>
      </c>
      <c r="DR278" t="str">
        <f t="shared" si="167"/>
        <v/>
      </c>
      <c r="DS278" t="str">
        <f>IF(ZS_IAAK="Ja",IF(EXACT(RIGHT(HLOOKUP(Tabellen_Magie!$IK$1,PROFMAGIE,$DK278,FALSE)),"H"),CONCATENATE($CX278,","),""),"")</f>
        <v/>
      </c>
      <c r="DT278" t="str">
        <f>IF(ZS_IAAK="Ja",IF(NOT(DS278=""),"",IF(OR(EXACT(RIGHT(HLOOKUP(Tabellen_Magie!$IK$1,PROFMAGIE,$DK278,FALSE)),"B"),EXACT(HLOOKUP(Tabellen_Magie!$IK$1,PROFMAGIE,$DK278,FALSE),"")),"",CONCATENATE($CX278,","))),"")</f>
        <v/>
      </c>
      <c r="DU278" t="str">
        <f t="shared" si="168"/>
        <v/>
      </c>
      <c r="DW278" t="s">
        <v>8751</v>
      </c>
      <c r="DX278" t="s">
        <v>4349</v>
      </c>
      <c r="DY278" t="s">
        <v>4346</v>
      </c>
      <c r="DZ278" t="s">
        <v>4344</v>
      </c>
      <c r="EA278" t="s">
        <v>8677</v>
      </c>
      <c r="EB278" t="s">
        <v>8752</v>
      </c>
      <c r="EC278" t="s">
        <v>2341</v>
      </c>
      <c r="ED278">
        <v>150</v>
      </c>
      <c r="EE278" t="s">
        <v>8753</v>
      </c>
      <c r="EH278">
        <f t="shared" si="174"/>
        <v>3</v>
      </c>
      <c r="GH278" t="s">
        <v>9357</v>
      </c>
      <c r="GI278" t="s">
        <v>4121</v>
      </c>
      <c r="GJ278">
        <v>4</v>
      </c>
      <c r="GK278" t="s">
        <v>4116</v>
      </c>
      <c r="GL278" t="s">
        <v>1977</v>
      </c>
      <c r="GM278" t="s">
        <v>1983</v>
      </c>
      <c r="GN278" t="s">
        <v>1973</v>
      </c>
      <c r="GO278" t="s">
        <v>9314</v>
      </c>
      <c r="GP278">
        <v>274</v>
      </c>
      <c r="GR278">
        <f t="shared" si="169"/>
        <v>627</v>
      </c>
      <c r="GT278" t="s">
        <v>9332</v>
      </c>
      <c r="GU278" t="str">
        <f t="shared" ca="1" si="170"/>
        <v/>
      </c>
      <c r="GV278" t="str">
        <f t="shared" ca="1" si="171"/>
        <v/>
      </c>
      <c r="GW278" t="str">
        <f t="shared" ca="1" si="172"/>
        <v/>
      </c>
      <c r="GX278" t="str">
        <f t="shared" ca="1" si="173"/>
        <v/>
      </c>
    </row>
    <row r="279" spans="99:206" x14ac:dyDescent="0.2">
      <c r="CX279" t="s">
        <v>4954</v>
      </c>
      <c r="CY279" t="s">
        <v>74</v>
      </c>
      <c r="CZ279" t="s">
        <v>77</v>
      </c>
      <c r="DA279" t="s">
        <v>752</v>
      </c>
      <c r="DB279" t="s">
        <v>1613</v>
      </c>
      <c r="DC279" t="s">
        <v>50</v>
      </c>
      <c r="DD279" t="s">
        <v>7379</v>
      </c>
      <c r="DE279" t="s">
        <v>1321</v>
      </c>
      <c r="DF279" t="s">
        <v>4472</v>
      </c>
      <c r="DG279" t="s">
        <v>1828</v>
      </c>
      <c r="DH279" t="s">
        <v>6912</v>
      </c>
      <c r="DI279" t="s">
        <v>3554</v>
      </c>
      <c r="DJ279">
        <v>2</v>
      </c>
      <c r="DK279">
        <f t="shared" si="175"/>
        <v>600</v>
      </c>
      <c r="DL279">
        <f t="shared" si="176"/>
        <v>277</v>
      </c>
      <c r="DM279">
        <v>251</v>
      </c>
      <c r="DN279" t="str">
        <f t="shared" ca="1" si="164"/>
        <v/>
      </c>
      <c r="DO279" t="str">
        <f t="shared" ca="1" si="165"/>
        <v/>
      </c>
      <c r="DP279" t="str">
        <f t="shared" ca="1" si="166"/>
        <v/>
      </c>
      <c r="DQ279" t="str">
        <f>IF(EXACT(Zauber!$A$250,""),"",IF(EXACT(RIGHT(HLOOKUP(Zauber!$A$250,PROFMAGIE,$DK279,FALSE)),"H"),CONCATENATE($CX279,","),""))</f>
        <v/>
      </c>
      <c r="DR279" t="str">
        <f t="shared" si="167"/>
        <v/>
      </c>
      <c r="DS279" t="str">
        <f>IF(ZS_IAAK="Ja",IF(EXACT(RIGHT(HLOOKUP(Tabellen_Magie!$IK$1,PROFMAGIE,$DK279,FALSE)),"H"),CONCATENATE($CX279,","),""),"")</f>
        <v/>
      </c>
      <c r="DT279" t="str">
        <f>IF(ZS_IAAK="Ja",IF(NOT(DS279=""),"",IF(OR(EXACT(RIGHT(HLOOKUP(Tabellen_Magie!$IK$1,PROFMAGIE,$DK279,FALSE)),"B"),EXACT(HLOOKUP(Tabellen_Magie!$IK$1,PROFMAGIE,$DK279,FALSE),"")),"",CONCATENATE($CX279,","))),"")</f>
        <v/>
      </c>
      <c r="DU279" t="str">
        <f t="shared" si="168"/>
        <v/>
      </c>
      <c r="DW279" t="s">
        <v>9000</v>
      </c>
      <c r="DX279" t="s">
        <v>4349</v>
      </c>
      <c r="DY279" t="s">
        <v>4346</v>
      </c>
      <c r="DZ279" t="s">
        <v>1631</v>
      </c>
      <c r="EA279" t="s">
        <v>8981</v>
      </c>
      <c r="EB279" t="s">
        <v>8752</v>
      </c>
      <c r="EC279" t="s">
        <v>1160</v>
      </c>
      <c r="ED279">
        <v>200</v>
      </c>
      <c r="EE279" t="s">
        <v>9001</v>
      </c>
      <c r="EH279">
        <f t="shared" si="174"/>
        <v>4</v>
      </c>
      <c r="GH279" t="s">
        <v>9358</v>
      </c>
      <c r="GI279" t="s">
        <v>4121</v>
      </c>
      <c r="GJ279">
        <v>4</v>
      </c>
      <c r="GK279" t="s">
        <v>4116</v>
      </c>
      <c r="GL279" t="s">
        <v>567</v>
      </c>
      <c r="GM279" t="s">
        <v>1984</v>
      </c>
      <c r="GN279" t="s">
        <v>1973</v>
      </c>
      <c r="GO279" t="s">
        <v>9314</v>
      </c>
      <c r="GP279">
        <v>276</v>
      </c>
      <c r="GR279">
        <f t="shared" si="169"/>
        <v>628</v>
      </c>
      <c r="GS279">
        <v>5</v>
      </c>
      <c r="GU279" t="str">
        <f t="shared" ca="1" si="170"/>
        <v/>
      </c>
      <c r="GV279" t="str">
        <f t="shared" ca="1" si="171"/>
        <v/>
      </c>
      <c r="GW279" t="str">
        <f t="shared" ca="1" si="172"/>
        <v/>
      </c>
      <c r="GX279" t="str">
        <f t="shared" ca="1" si="173"/>
        <v/>
      </c>
    </row>
    <row r="280" spans="99:206" x14ac:dyDescent="0.2">
      <c r="CX280" t="s">
        <v>8952</v>
      </c>
      <c r="CY280" t="s">
        <v>74</v>
      </c>
      <c r="CZ280" t="s">
        <v>75</v>
      </c>
      <c r="DA280" t="s">
        <v>77</v>
      </c>
      <c r="DC280" t="s">
        <v>7296</v>
      </c>
      <c r="DD280" t="s">
        <v>1028</v>
      </c>
      <c r="DE280" t="s">
        <v>3380</v>
      </c>
      <c r="DF280" t="s">
        <v>1617</v>
      </c>
      <c r="DG280" t="s">
        <v>1955</v>
      </c>
      <c r="DH280" t="s">
        <v>8953</v>
      </c>
      <c r="DI280" t="s">
        <v>1634</v>
      </c>
      <c r="DJ280">
        <v>2</v>
      </c>
      <c r="DK280">
        <f t="shared" si="175"/>
        <v>601</v>
      </c>
      <c r="DL280">
        <f t="shared" si="176"/>
        <v>278</v>
      </c>
      <c r="DN280" t="str">
        <f t="shared" ca="1" si="164"/>
        <v/>
      </c>
      <c r="DO280" t="str">
        <f t="shared" ca="1" si="165"/>
        <v/>
      </c>
      <c r="DP280" t="str">
        <f t="shared" ca="1" si="166"/>
        <v/>
      </c>
      <c r="DQ280" t="str">
        <f>IF(EXACT(Zauber!$A$250,""),"",IF(EXACT(RIGHT(HLOOKUP(Zauber!$A$250,PROFMAGIE,$DK280,FALSE)),"H"),CONCATENATE($CX280,","),""))</f>
        <v/>
      </c>
      <c r="DR280" t="str">
        <f t="shared" si="167"/>
        <v/>
      </c>
      <c r="DS280" t="str">
        <f>IF(ZS_IAAK="Ja",IF(EXACT(RIGHT(HLOOKUP(Tabellen_Magie!$IK$1,PROFMAGIE,$DK280,FALSE)),"H"),CONCATENATE($CX280,","),""),"")</f>
        <v/>
      </c>
      <c r="DT280" t="str">
        <f>IF(ZS_IAAK="Ja",IF(NOT(DS280=""),"",IF(OR(EXACT(RIGHT(HLOOKUP(Tabellen_Magie!$IK$1,PROFMAGIE,$DK280,FALSE)),"B"),EXACT(HLOOKUP(Tabellen_Magie!$IK$1,PROFMAGIE,$DK280,FALSE),"")),"",CONCATENATE($CX280,","))),"")</f>
        <v/>
      </c>
      <c r="DU280" t="str">
        <f t="shared" si="168"/>
        <v/>
      </c>
      <c r="DW280" t="s">
        <v>8754</v>
      </c>
      <c r="DX280" t="s">
        <v>8749</v>
      </c>
      <c r="DY280" t="s">
        <v>1166</v>
      </c>
      <c r="DZ280" t="s">
        <v>1615</v>
      </c>
      <c r="EA280" t="s">
        <v>8677</v>
      </c>
      <c r="EB280" t="s">
        <v>8752</v>
      </c>
      <c r="EC280" t="s">
        <v>2989</v>
      </c>
      <c r="ED280">
        <v>0</v>
      </c>
      <c r="EE280" t="s">
        <v>8750</v>
      </c>
      <c r="EH280">
        <f t="shared" si="174"/>
        <v>0</v>
      </c>
      <c r="GH280" t="s">
        <v>2186</v>
      </c>
      <c r="GI280" t="s">
        <v>4121</v>
      </c>
      <c r="GJ280">
        <v>4</v>
      </c>
      <c r="GK280" t="s">
        <v>4116</v>
      </c>
      <c r="GL280" t="s">
        <v>1976</v>
      </c>
      <c r="GM280" t="s">
        <v>1983</v>
      </c>
      <c r="GN280" t="s">
        <v>1973</v>
      </c>
      <c r="GO280">
        <v>262</v>
      </c>
      <c r="GP280">
        <v>277</v>
      </c>
      <c r="GR280">
        <f t="shared" si="169"/>
        <v>629</v>
      </c>
      <c r="GU280" t="str">
        <f t="shared" ca="1" si="170"/>
        <v/>
      </c>
      <c r="GV280" t="str">
        <f t="shared" ca="1" si="171"/>
        <v/>
      </c>
      <c r="GW280" t="str">
        <f t="shared" ca="1" si="172"/>
        <v/>
      </c>
      <c r="GX280" t="str">
        <f t="shared" ca="1" si="173"/>
        <v/>
      </c>
    </row>
    <row r="281" spans="99:206" x14ac:dyDescent="0.2">
      <c r="CX281" t="s">
        <v>3609</v>
      </c>
      <c r="CY281" t="s">
        <v>74</v>
      </c>
      <c r="CZ281" t="s">
        <v>76</v>
      </c>
      <c r="DA281" t="s">
        <v>751</v>
      </c>
      <c r="DC281" t="s">
        <v>7297</v>
      </c>
      <c r="DD281" t="s">
        <v>3512</v>
      </c>
      <c r="DE281" t="s">
        <v>2254</v>
      </c>
      <c r="DF281" t="s">
        <v>3513</v>
      </c>
      <c r="DG281" t="s">
        <v>1828</v>
      </c>
      <c r="DH281" t="s">
        <v>7012</v>
      </c>
      <c r="DI281" t="s">
        <v>3498</v>
      </c>
      <c r="DJ281">
        <v>2</v>
      </c>
      <c r="DK281">
        <f t="shared" si="175"/>
        <v>602</v>
      </c>
      <c r="DL281">
        <f t="shared" si="176"/>
        <v>279</v>
      </c>
      <c r="DM281">
        <v>252</v>
      </c>
      <c r="DN281" t="str">
        <f t="shared" ca="1" si="164"/>
        <v/>
      </c>
      <c r="DO281" t="str">
        <f t="shared" ca="1" si="165"/>
        <v/>
      </c>
      <c r="DP281" t="str">
        <f t="shared" ca="1" si="166"/>
        <v/>
      </c>
      <c r="DQ281" t="str">
        <f>IF(EXACT(Zauber!$A$250,""),"",IF(EXACT(RIGHT(HLOOKUP(Zauber!$A$250,PROFMAGIE,$DK281,FALSE)),"H"),CONCATENATE($CX281,","),""))</f>
        <v/>
      </c>
      <c r="DR281" t="str">
        <f t="shared" si="167"/>
        <v/>
      </c>
      <c r="DS281" t="str">
        <f>IF(ZS_IAAK="Ja",IF(EXACT(RIGHT(HLOOKUP(Tabellen_Magie!$IK$1,PROFMAGIE,$DK281,FALSE)),"H"),CONCATENATE($CX281,","),""),"")</f>
        <v/>
      </c>
      <c r="DT281" t="str">
        <f>IF(ZS_IAAK="Ja",IF(NOT(DS281=""),"",IF(OR(EXACT(RIGHT(HLOOKUP(Tabellen_Magie!$IK$1,PROFMAGIE,$DK281,FALSE)),"B"),EXACT(HLOOKUP(Tabellen_Magie!$IK$1,PROFMAGIE,$DK281,FALSE),"")),"",CONCATENATE($CX281,","))),"")</f>
        <v/>
      </c>
      <c r="DU281" t="str">
        <f t="shared" si="168"/>
        <v/>
      </c>
      <c r="DW281" t="s">
        <v>8755</v>
      </c>
      <c r="DX281" t="s">
        <v>4344</v>
      </c>
      <c r="DY281" t="s">
        <v>4346</v>
      </c>
      <c r="EA281" t="s">
        <v>8677</v>
      </c>
      <c r="EB281" t="s">
        <v>8752</v>
      </c>
      <c r="EC281" t="s">
        <v>8756</v>
      </c>
      <c r="ED281">
        <v>50</v>
      </c>
      <c r="EE281" t="s">
        <v>8863</v>
      </c>
      <c r="EH281">
        <f t="shared" si="174"/>
        <v>1</v>
      </c>
      <c r="GH281" t="s">
        <v>94</v>
      </c>
      <c r="GI281" t="s">
        <v>4121</v>
      </c>
      <c r="GJ281">
        <v>4</v>
      </c>
      <c r="GK281" t="s">
        <v>4854</v>
      </c>
      <c r="GL281" t="s">
        <v>567</v>
      </c>
      <c r="GM281" t="s">
        <v>1983</v>
      </c>
      <c r="GN281" t="s">
        <v>1975</v>
      </c>
      <c r="GO281">
        <v>262</v>
      </c>
      <c r="GP281">
        <v>281</v>
      </c>
      <c r="GR281">
        <f t="shared" si="169"/>
        <v>630</v>
      </c>
      <c r="GU281" t="str">
        <f t="shared" ca="1" si="170"/>
        <v/>
      </c>
      <c r="GV281" t="str">
        <f t="shared" ca="1" si="171"/>
        <v/>
      </c>
      <c r="GW281" t="str">
        <f t="shared" ca="1" si="172"/>
        <v/>
      </c>
      <c r="GX281" t="str">
        <f t="shared" ca="1" si="173"/>
        <v/>
      </c>
    </row>
    <row r="282" spans="99:206" x14ac:dyDescent="0.2">
      <c r="CX282" t="s">
        <v>8954</v>
      </c>
      <c r="CY282" t="s">
        <v>74</v>
      </c>
      <c r="CZ282" t="s">
        <v>76</v>
      </c>
      <c r="DA282" t="s">
        <v>76</v>
      </c>
      <c r="DC282" t="s">
        <v>1362</v>
      </c>
      <c r="DD282" t="s">
        <v>8955</v>
      </c>
      <c r="DE282" t="s">
        <v>1835</v>
      </c>
      <c r="DF282" t="s">
        <v>1358</v>
      </c>
      <c r="DG282" t="s">
        <v>1955</v>
      </c>
      <c r="DH282" t="s">
        <v>8956</v>
      </c>
      <c r="DI282" t="s">
        <v>2393</v>
      </c>
      <c r="DJ282">
        <v>2</v>
      </c>
      <c r="DK282">
        <f t="shared" si="175"/>
        <v>603</v>
      </c>
      <c r="DL282">
        <f t="shared" si="176"/>
        <v>280</v>
      </c>
      <c r="DN282" t="str">
        <f t="shared" ca="1" si="164"/>
        <v/>
      </c>
      <c r="DO282" t="str">
        <f t="shared" ca="1" si="165"/>
        <v/>
      </c>
      <c r="DP282" t="str">
        <f t="shared" ca="1" si="166"/>
        <v/>
      </c>
      <c r="DQ282" t="str">
        <f>IF(EXACT(Zauber!$A$250,""),"",IF(EXACT(RIGHT(HLOOKUP(Zauber!$A$250,PROFMAGIE,$DK282,FALSE)),"H"),CONCATENATE($CX282,","),""))</f>
        <v/>
      </c>
      <c r="DR282" t="str">
        <f t="shared" si="167"/>
        <v/>
      </c>
      <c r="DS282" t="str">
        <f>IF(ZS_IAAK="Ja",IF(EXACT(RIGHT(HLOOKUP(Tabellen_Magie!$IK$1,PROFMAGIE,$DK282,FALSE)),"H"),CONCATENATE($CX282,","),""),"")</f>
        <v/>
      </c>
      <c r="DT282" t="str">
        <f>IF(ZS_IAAK="Ja",IF(NOT(DS282=""),"",IF(OR(EXACT(RIGHT(HLOOKUP(Tabellen_Magie!$IK$1,PROFMAGIE,$DK282,FALSE)),"B"),EXACT(HLOOKUP(Tabellen_Magie!$IK$1,PROFMAGIE,$DK282,FALSE),"")),"",CONCATENATE($CX282,","))),"")</f>
        <v/>
      </c>
      <c r="DU282" t="str">
        <f t="shared" si="168"/>
        <v/>
      </c>
      <c r="DW282" t="s">
        <v>2422</v>
      </c>
      <c r="DX282" t="s">
        <v>4349</v>
      </c>
      <c r="DY282" t="s">
        <v>4346</v>
      </c>
      <c r="EA282" t="s">
        <v>8677</v>
      </c>
      <c r="EB282" t="s">
        <v>8752</v>
      </c>
      <c r="EC282" t="s">
        <v>8757</v>
      </c>
      <c r="ED282">
        <v>0</v>
      </c>
      <c r="EE282" t="s">
        <v>8758</v>
      </c>
      <c r="EH282">
        <f t="shared" si="174"/>
        <v>0</v>
      </c>
      <c r="GH282" t="s">
        <v>9169</v>
      </c>
      <c r="GI282" t="s">
        <v>4121</v>
      </c>
      <c r="GJ282">
        <v>4</v>
      </c>
      <c r="GK282" t="s">
        <v>1320</v>
      </c>
      <c r="GL282" t="s">
        <v>1977</v>
      </c>
      <c r="GM282" t="s">
        <v>1983</v>
      </c>
      <c r="GN282" t="s">
        <v>1975</v>
      </c>
      <c r="GO282">
        <v>277</v>
      </c>
      <c r="GP282">
        <v>283</v>
      </c>
      <c r="GR282">
        <f t="shared" si="169"/>
        <v>631</v>
      </c>
      <c r="GU282" t="str">
        <f t="shared" ca="1" si="170"/>
        <v/>
      </c>
      <c r="GV282" t="str">
        <f t="shared" ca="1" si="171"/>
        <v/>
      </c>
      <c r="GW282" t="str">
        <f t="shared" ca="1" si="172"/>
        <v/>
      </c>
      <c r="GX282" t="str">
        <f t="shared" ca="1" si="173"/>
        <v/>
      </c>
    </row>
    <row r="283" spans="99:206" x14ac:dyDescent="0.2">
      <c r="CX283" t="s">
        <v>1831</v>
      </c>
      <c r="CY283" t="s">
        <v>74</v>
      </c>
      <c r="CZ283" t="s">
        <v>76</v>
      </c>
      <c r="DA283" t="s">
        <v>752</v>
      </c>
      <c r="DC283" t="s">
        <v>8965</v>
      </c>
      <c r="DD283" t="s">
        <v>7371</v>
      </c>
      <c r="DE283" t="s">
        <v>8966</v>
      </c>
      <c r="DF283" t="s">
        <v>8967</v>
      </c>
      <c r="DG283" t="s">
        <v>1955</v>
      </c>
      <c r="DH283" t="s">
        <v>8968</v>
      </c>
      <c r="DI283" t="s">
        <v>8930</v>
      </c>
      <c r="DJ283">
        <v>2</v>
      </c>
      <c r="DK283">
        <f t="shared" si="175"/>
        <v>604</v>
      </c>
      <c r="DL283">
        <f t="shared" si="176"/>
        <v>281</v>
      </c>
      <c r="DN283" t="str">
        <f t="shared" ca="1" si="164"/>
        <v/>
      </c>
      <c r="DO283" t="str">
        <f t="shared" ca="1" si="165"/>
        <v/>
      </c>
      <c r="DP283" t="str">
        <f t="shared" ca="1" si="166"/>
        <v/>
      </c>
      <c r="DQ283" t="str">
        <f>IF(EXACT(Zauber!$A$250,""),"",IF(EXACT(RIGHT(HLOOKUP(Zauber!$A$250,PROFMAGIE,$DK283,FALSE)),"H"),CONCATENATE($CX283,","),""))</f>
        <v/>
      </c>
      <c r="DR283" t="str">
        <f t="shared" si="167"/>
        <v/>
      </c>
      <c r="DS283" t="str">
        <f>IF(ZS_IAAK="Ja",IF(EXACT(RIGHT(HLOOKUP(Tabellen_Magie!$IK$1,PROFMAGIE,$DK283,FALSE)),"H"),CONCATENATE($CX283,","),""),"")</f>
        <v/>
      </c>
      <c r="DT283" t="str">
        <f>IF(ZS_IAAK="Ja",IF(NOT(DS283=""),"",IF(OR(EXACT(RIGHT(HLOOKUP(Tabellen_Magie!$IK$1,PROFMAGIE,$DK283,FALSE)),"B"),EXACT(HLOOKUP(Tabellen_Magie!$IK$1,PROFMAGIE,$DK283,FALSE),"")),"",CONCATENATE($CX283,","))),"")</f>
        <v/>
      </c>
      <c r="DU283" t="str">
        <f t="shared" si="168"/>
        <v/>
      </c>
      <c r="DW283" t="s">
        <v>2423</v>
      </c>
      <c r="DX283" t="s">
        <v>1631</v>
      </c>
      <c r="DY283" t="s">
        <v>4348</v>
      </c>
      <c r="EA283" t="s">
        <v>8677</v>
      </c>
      <c r="EB283" t="s">
        <v>8752</v>
      </c>
      <c r="EC283" t="s">
        <v>1281</v>
      </c>
      <c r="ED283">
        <v>125</v>
      </c>
      <c r="EE283" t="s">
        <v>8759</v>
      </c>
      <c r="EH283">
        <f t="shared" si="174"/>
        <v>3</v>
      </c>
      <c r="GH283" t="s">
        <v>95</v>
      </c>
      <c r="GI283" t="s">
        <v>4121</v>
      </c>
      <c r="GJ283">
        <v>4</v>
      </c>
      <c r="GK283" t="s">
        <v>1396</v>
      </c>
      <c r="GL283" t="s">
        <v>567</v>
      </c>
      <c r="GM283" t="s">
        <v>1983</v>
      </c>
      <c r="GN283" t="s">
        <v>1690</v>
      </c>
      <c r="GO283">
        <v>279</v>
      </c>
      <c r="GP283">
        <v>288</v>
      </c>
      <c r="GR283">
        <f t="shared" si="169"/>
        <v>632</v>
      </c>
      <c r="GU283" t="str">
        <f t="shared" ca="1" si="170"/>
        <v/>
      </c>
      <c r="GV283" t="str">
        <f t="shared" ca="1" si="171"/>
        <v/>
      </c>
      <c r="GW283" t="str">
        <f t="shared" ca="1" si="172"/>
        <v/>
      </c>
      <c r="GX283" t="str">
        <f t="shared" ca="1" si="173"/>
        <v/>
      </c>
    </row>
    <row r="284" spans="99:206" x14ac:dyDescent="0.2">
      <c r="CX284" t="s">
        <v>3611</v>
      </c>
      <c r="CY284" t="s">
        <v>76</v>
      </c>
      <c r="CZ284" t="s">
        <v>77</v>
      </c>
      <c r="DA284" t="s">
        <v>750</v>
      </c>
      <c r="DC284" t="s">
        <v>544</v>
      </c>
      <c r="DD284" t="s">
        <v>2259</v>
      </c>
      <c r="DE284" t="s">
        <v>1321</v>
      </c>
      <c r="DF284" t="s">
        <v>1574</v>
      </c>
      <c r="DG284" t="s">
        <v>1956</v>
      </c>
      <c r="DH284" t="s">
        <v>7013</v>
      </c>
      <c r="DI284" t="s">
        <v>4338</v>
      </c>
      <c r="DJ284">
        <v>2</v>
      </c>
      <c r="DK284">
        <f t="shared" si="175"/>
        <v>605</v>
      </c>
      <c r="DL284">
        <f t="shared" si="176"/>
        <v>282</v>
      </c>
      <c r="DM284">
        <v>253</v>
      </c>
      <c r="DN284" t="str">
        <f t="shared" ca="1" si="164"/>
        <v/>
      </c>
      <c r="DO284" t="str">
        <f t="shared" ca="1" si="165"/>
        <v/>
      </c>
      <c r="DP284" t="str">
        <f t="shared" ca="1" si="166"/>
        <v/>
      </c>
      <c r="DQ284" t="str">
        <f>IF(EXACT(Zauber!$A$250,""),"",IF(EXACT(RIGHT(HLOOKUP(Zauber!$A$250,PROFMAGIE,$DK284,FALSE)),"H"),CONCATENATE($CX284,","),""))</f>
        <v/>
      </c>
      <c r="DR284" t="str">
        <f t="shared" si="167"/>
        <v/>
      </c>
      <c r="DS284" t="str">
        <f>IF(ZS_IAAK="Ja",IF(EXACT(RIGHT(HLOOKUP(Tabellen_Magie!$IK$1,PROFMAGIE,$DK284,FALSE)),"H"),CONCATENATE($CX284,","),""),"")</f>
        <v/>
      </c>
      <c r="DT284" t="str">
        <f>IF(ZS_IAAK="Ja",IF(NOT(DS284=""),"",IF(OR(EXACT(RIGHT(HLOOKUP(Tabellen_Magie!$IK$1,PROFMAGIE,$DK284,FALSE)),"B"),EXACT(HLOOKUP(Tabellen_Magie!$IK$1,PROFMAGIE,$DK284,FALSE),"")),"",CONCATENATE($CX284,","))),"")</f>
        <v/>
      </c>
      <c r="DU284" t="str">
        <f t="shared" si="168"/>
        <v/>
      </c>
      <c r="DW284" t="s">
        <v>2757</v>
      </c>
      <c r="DX284" t="s">
        <v>2793</v>
      </c>
      <c r="EA284" t="s">
        <v>8677</v>
      </c>
      <c r="EB284" t="s">
        <v>8752</v>
      </c>
      <c r="EC284" t="s">
        <v>2989</v>
      </c>
      <c r="ED284">
        <v>50</v>
      </c>
      <c r="EE284" t="s">
        <v>8760</v>
      </c>
      <c r="EH284">
        <f t="shared" si="174"/>
        <v>1</v>
      </c>
      <c r="GH284" t="s">
        <v>96</v>
      </c>
      <c r="GI284" t="s">
        <v>4121</v>
      </c>
      <c r="GJ284">
        <v>4</v>
      </c>
      <c r="GK284" t="s">
        <v>1320</v>
      </c>
      <c r="GL284" t="s">
        <v>1978</v>
      </c>
      <c r="GM284" t="s">
        <v>1685</v>
      </c>
      <c r="GN284" t="s">
        <v>1690</v>
      </c>
      <c r="GO284">
        <v>289</v>
      </c>
      <c r="GP284">
        <v>291</v>
      </c>
      <c r="GR284">
        <f t="shared" si="169"/>
        <v>633</v>
      </c>
      <c r="GS284">
        <v>6</v>
      </c>
      <c r="GU284" t="str">
        <f t="shared" ca="1" si="170"/>
        <v/>
      </c>
      <c r="GV284" t="str">
        <f t="shared" ca="1" si="171"/>
        <v/>
      </c>
      <c r="GW284" t="str">
        <f t="shared" ca="1" si="172"/>
        <v/>
      </c>
      <c r="GX284" t="str">
        <f t="shared" ca="1" si="173"/>
        <v/>
      </c>
    </row>
    <row r="285" spans="99:206" x14ac:dyDescent="0.2">
      <c r="CX285" t="s">
        <v>3612</v>
      </c>
      <c r="CY285" t="s">
        <v>76</v>
      </c>
      <c r="CZ285" t="s">
        <v>750</v>
      </c>
      <c r="DA285" t="s">
        <v>5030</v>
      </c>
      <c r="DC285" t="s">
        <v>7289</v>
      </c>
      <c r="DD285" t="s">
        <v>3138</v>
      </c>
      <c r="DE285" t="s">
        <v>2254</v>
      </c>
      <c r="DF285" t="s">
        <v>81</v>
      </c>
      <c r="DG285" t="s">
        <v>1955</v>
      </c>
      <c r="DH285" t="s">
        <v>6877</v>
      </c>
      <c r="DI285" t="s">
        <v>4521</v>
      </c>
      <c r="DJ285">
        <v>2</v>
      </c>
      <c r="DK285">
        <f t="shared" si="175"/>
        <v>606</v>
      </c>
      <c r="DL285">
        <f t="shared" si="176"/>
        <v>283</v>
      </c>
      <c r="DM285">
        <v>254</v>
      </c>
      <c r="DN285" t="str">
        <f t="shared" ca="1" si="164"/>
        <v/>
      </c>
      <c r="DO285" t="str">
        <f t="shared" ca="1" si="165"/>
        <v/>
      </c>
      <c r="DP285" t="str">
        <f t="shared" ca="1" si="166"/>
        <v/>
      </c>
      <c r="DQ285" t="str">
        <f>IF(EXACT(Zauber!$A$250,""),"",IF(EXACT(RIGHT(HLOOKUP(Zauber!$A$250,PROFMAGIE,$DK285,FALSE)),"H"),CONCATENATE($CX285,","),""))</f>
        <v/>
      </c>
      <c r="DR285" t="str">
        <f t="shared" si="167"/>
        <v/>
      </c>
      <c r="DS285" t="str">
        <f>IF(ZS_IAAK="Ja",IF(EXACT(RIGHT(HLOOKUP(Tabellen_Magie!$IK$1,PROFMAGIE,$DK285,FALSE)),"H"),CONCATENATE($CX285,","),""),"")</f>
        <v/>
      </c>
      <c r="DT285" t="str">
        <f>IF(ZS_IAAK="Ja",IF(NOT(DS285=""),"",IF(OR(EXACT(RIGHT(HLOOKUP(Tabellen_Magie!$IK$1,PROFMAGIE,$DK285,FALSE)),"B"),EXACT(HLOOKUP(Tabellen_Magie!$IK$1,PROFMAGIE,$DK285,FALSE),"")),"",CONCATENATE($CX285,","))),"")</f>
        <v/>
      </c>
      <c r="DU285" t="str">
        <f t="shared" si="168"/>
        <v/>
      </c>
      <c r="DW285" t="s">
        <v>8761</v>
      </c>
      <c r="DX285" t="s">
        <v>8749</v>
      </c>
      <c r="EA285" t="s">
        <v>8677</v>
      </c>
      <c r="EB285" t="s">
        <v>8752</v>
      </c>
      <c r="EC285" t="s">
        <v>8762</v>
      </c>
      <c r="ED285">
        <v>50</v>
      </c>
      <c r="EE285" t="s">
        <v>8763</v>
      </c>
      <c r="EH285">
        <f t="shared" si="174"/>
        <v>1</v>
      </c>
      <c r="GH285" t="s">
        <v>3077</v>
      </c>
      <c r="GI285" t="s">
        <v>4121</v>
      </c>
      <c r="GJ285">
        <v>4</v>
      </c>
      <c r="GK285" t="s">
        <v>1320</v>
      </c>
      <c r="GL285" t="s">
        <v>1978</v>
      </c>
      <c r="GM285" t="s">
        <v>1685</v>
      </c>
      <c r="GN285" t="s">
        <v>1690</v>
      </c>
      <c r="GO285">
        <v>288</v>
      </c>
      <c r="GP285">
        <v>291</v>
      </c>
      <c r="GR285">
        <f t="shared" si="169"/>
        <v>634</v>
      </c>
      <c r="GU285" t="str">
        <f t="shared" ca="1" si="170"/>
        <v/>
      </c>
      <c r="GV285" t="str">
        <f t="shared" ca="1" si="171"/>
        <v/>
      </c>
      <c r="GW285" t="str">
        <f t="shared" ca="1" si="172"/>
        <v/>
      </c>
      <c r="GX285" t="str">
        <f t="shared" ca="1" si="173"/>
        <v/>
      </c>
    </row>
    <row r="286" spans="99:206" x14ac:dyDescent="0.2">
      <c r="CX286" t="s">
        <v>4955</v>
      </c>
      <c r="CY286" t="s">
        <v>74</v>
      </c>
      <c r="CZ286" t="s">
        <v>75</v>
      </c>
      <c r="DA286" t="s">
        <v>752</v>
      </c>
      <c r="DB286" t="s">
        <v>1613</v>
      </c>
      <c r="DC286" t="s">
        <v>7289</v>
      </c>
      <c r="DD286" t="s">
        <v>1691</v>
      </c>
      <c r="DE286" t="s">
        <v>3938</v>
      </c>
      <c r="DF286" t="s">
        <v>3514</v>
      </c>
      <c r="DG286" t="s">
        <v>1828</v>
      </c>
      <c r="DH286" t="s">
        <v>6843</v>
      </c>
      <c r="DI286" t="s">
        <v>4349</v>
      </c>
      <c r="DJ286">
        <v>2</v>
      </c>
      <c r="DK286">
        <f t="shared" si="175"/>
        <v>607</v>
      </c>
      <c r="DL286">
        <f t="shared" si="176"/>
        <v>284</v>
      </c>
      <c r="DM286">
        <v>255</v>
      </c>
      <c r="DN286" t="str">
        <f t="shared" ca="1" si="164"/>
        <v/>
      </c>
      <c r="DO286" t="str">
        <f t="shared" ca="1" si="165"/>
        <v/>
      </c>
      <c r="DP286" t="str">
        <f t="shared" ca="1" si="166"/>
        <v/>
      </c>
      <c r="DQ286" t="str">
        <f>IF(EXACT(Zauber!$A$250,""),"",IF(EXACT(RIGHT(HLOOKUP(Zauber!$A$250,PROFMAGIE,$DK286,FALSE)),"H"),CONCATENATE($CX286,","),""))</f>
        <v/>
      </c>
      <c r="DR286" t="str">
        <f t="shared" si="167"/>
        <v/>
      </c>
      <c r="DS286" t="str">
        <f>IF(ZS_IAAK="Ja",IF(EXACT(RIGHT(HLOOKUP(Tabellen_Magie!$IK$1,PROFMAGIE,$DK286,FALSE)),"H"),CONCATENATE($CX286,","),""),"")</f>
        <v/>
      </c>
      <c r="DT286" t="str">
        <f>IF(ZS_IAAK="Ja",IF(NOT(DS286=""),"",IF(OR(EXACT(RIGHT(HLOOKUP(Tabellen_Magie!$IK$1,PROFMAGIE,$DK286,FALSE)),"B"),EXACT(HLOOKUP(Tabellen_Magie!$IK$1,PROFMAGIE,$DK286,FALSE),"")),"",CONCATENATE($CX286,","))),"")</f>
        <v/>
      </c>
      <c r="DU286" t="str">
        <f t="shared" si="168"/>
        <v/>
      </c>
      <c r="DW286" t="s">
        <v>8764</v>
      </c>
      <c r="DX286" t="s">
        <v>4342</v>
      </c>
      <c r="EA286" t="s">
        <v>8677</v>
      </c>
      <c r="EB286" t="s">
        <v>8752</v>
      </c>
      <c r="EC286" t="s">
        <v>2989</v>
      </c>
      <c r="ED286">
        <v>75</v>
      </c>
      <c r="EE286" t="s">
        <v>8765</v>
      </c>
      <c r="EH286">
        <f t="shared" si="174"/>
        <v>2</v>
      </c>
      <c r="GH286" t="s">
        <v>97</v>
      </c>
      <c r="GI286" t="s">
        <v>4121</v>
      </c>
      <c r="GJ286">
        <v>4</v>
      </c>
      <c r="GK286" t="s">
        <v>1320</v>
      </c>
      <c r="GL286" t="s">
        <v>1977</v>
      </c>
      <c r="GM286" t="s">
        <v>1369</v>
      </c>
      <c r="GN286" t="s">
        <v>1974</v>
      </c>
      <c r="GO286">
        <v>272</v>
      </c>
      <c r="GP286">
        <v>313</v>
      </c>
      <c r="GR286">
        <f t="shared" si="169"/>
        <v>635</v>
      </c>
      <c r="GU286" t="str">
        <f t="shared" ca="1" si="170"/>
        <v/>
      </c>
      <c r="GV286" t="str">
        <f t="shared" ca="1" si="171"/>
        <v/>
      </c>
      <c r="GW286" t="str">
        <f t="shared" ca="1" si="172"/>
        <v/>
      </c>
      <c r="GX286" t="str">
        <f t="shared" ca="1" si="173"/>
        <v/>
      </c>
    </row>
    <row r="287" spans="99:206" x14ac:dyDescent="0.2">
      <c r="CX287" t="s">
        <v>3613</v>
      </c>
      <c r="CY287" t="s">
        <v>74</v>
      </c>
      <c r="CZ287" t="s">
        <v>77</v>
      </c>
      <c r="DA287" t="s">
        <v>5030</v>
      </c>
      <c r="DB287" t="s">
        <v>1613</v>
      </c>
      <c r="DC287" t="s">
        <v>7288</v>
      </c>
      <c r="DD287" t="s">
        <v>124</v>
      </c>
      <c r="DE287" t="s">
        <v>2254</v>
      </c>
      <c r="DF287" t="s">
        <v>81</v>
      </c>
      <c r="DG287" t="s">
        <v>1956</v>
      </c>
      <c r="DH287" t="s">
        <v>6844</v>
      </c>
      <c r="DI287" t="s">
        <v>814</v>
      </c>
      <c r="DJ287">
        <v>2</v>
      </c>
      <c r="DK287">
        <f t="shared" si="175"/>
        <v>608</v>
      </c>
      <c r="DL287">
        <f t="shared" si="176"/>
        <v>285</v>
      </c>
      <c r="DN287" t="str">
        <f t="shared" ca="1" si="164"/>
        <v/>
      </c>
      <c r="DO287" t="str">
        <f t="shared" ca="1" si="165"/>
        <v/>
      </c>
      <c r="DP287" t="str">
        <f t="shared" ca="1" si="166"/>
        <v/>
      </c>
      <c r="DQ287" t="str">
        <f>IF(EXACT(Zauber!$A$250,""),"",IF(EXACT(RIGHT(HLOOKUP(Zauber!$A$250,PROFMAGIE,$DK287,FALSE)),"H"),CONCATENATE($CX287,","),""))</f>
        <v/>
      </c>
      <c r="DR287" t="str">
        <f t="shared" si="167"/>
        <v/>
      </c>
      <c r="DS287" t="str">
        <f>IF(ZS_IAAK="Ja",IF(EXACT(RIGHT(HLOOKUP(Tabellen_Magie!$IK$1,PROFMAGIE,$DK287,FALSE)),"H"),CONCATENATE($CX287,","),""),"")</f>
        <v/>
      </c>
      <c r="DT287" t="str">
        <f>IF(ZS_IAAK="Ja",IF(NOT(DS287=""),"",IF(OR(EXACT(RIGHT(HLOOKUP(Tabellen_Magie!$IK$1,PROFMAGIE,$DK287,FALSE)),"B"),EXACT(HLOOKUP(Tabellen_Magie!$IK$1,PROFMAGIE,$DK287,FALSE),"")),"",CONCATENATE($CX287,","))),"")</f>
        <v/>
      </c>
      <c r="DU287" t="str">
        <f t="shared" si="168"/>
        <v/>
      </c>
      <c r="DW287" t="s">
        <v>2424</v>
      </c>
      <c r="EH287">
        <f t="shared" si="174"/>
        <v>0</v>
      </c>
      <c r="GH287" t="s">
        <v>98</v>
      </c>
      <c r="GI287" t="s">
        <v>4121</v>
      </c>
      <c r="GJ287">
        <v>4</v>
      </c>
      <c r="GK287" t="s">
        <v>1320</v>
      </c>
      <c r="GL287" t="s">
        <v>1977</v>
      </c>
      <c r="GM287" t="s">
        <v>1984</v>
      </c>
      <c r="GN287" t="s">
        <v>1974</v>
      </c>
      <c r="GO287">
        <v>273</v>
      </c>
      <c r="GP287">
        <v>316</v>
      </c>
      <c r="GR287">
        <f t="shared" si="169"/>
        <v>636</v>
      </c>
      <c r="GU287" t="str">
        <f t="shared" ca="1" si="170"/>
        <v/>
      </c>
      <c r="GV287" t="str">
        <f t="shared" ca="1" si="171"/>
        <v/>
      </c>
      <c r="GW287" t="str">
        <f t="shared" ca="1" si="172"/>
        <v/>
      </c>
      <c r="GX287" t="str">
        <f t="shared" ca="1" si="173"/>
        <v/>
      </c>
    </row>
    <row r="288" spans="99:206" x14ac:dyDescent="0.2">
      <c r="CX288" t="s">
        <v>3614</v>
      </c>
      <c r="CY288" t="s">
        <v>74</v>
      </c>
      <c r="CZ288" t="s">
        <v>76</v>
      </c>
      <c r="DA288" t="s">
        <v>77</v>
      </c>
      <c r="DB288" t="s">
        <v>1613</v>
      </c>
      <c r="DC288" t="s">
        <v>7309</v>
      </c>
      <c r="DD288" t="s">
        <v>1134</v>
      </c>
      <c r="DE288" t="s">
        <v>1321</v>
      </c>
      <c r="DF288" t="s">
        <v>81</v>
      </c>
      <c r="DG288" t="s">
        <v>1956</v>
      </c>
      <c r="DH288" t="s">
        <v>7014</v>
      </c>
      <c r="DI288" t="s">
        <v>4506</v>
      </c>
      <c r="DJ288">
        <v>2</v>
      </c>
      <c r="DK288">
        <f t="shared" si="175"/>
        <v>609</v>
      </c>
      <c r="DL288">
        <f t="shared" si="176"/>
        <v>286</v>
      </c>
      <c r="DM288">
        <v>256</v>
      </c>
      <c r="DN288" t="str">
        <f t="shared" ca="1" si="164"/>
        <v/>
      </c>
      <c r="DO288" t="str">
        <f t="shared" ca="1" si="165"/>
        <v/>
      </c>
      <c r="DP288" t="str">
        <f t="shared" ca="1" si="166"/>
        <v/>
      </c>
      <c r="DQ288" t="str">
        <f>IF(EXACT(Zauber!$A$250,""),"",IF(EXACT(RIGHT(HLOOKUP(Zauber!$A$250,PROFMAGIE,$DK288,FALSE)),"H"),CONCATENATE($CX288,","),""))</f>
        <v/>
      </c>
      <c r="DR288" t="str">
        <f t="shared" si="167"/>
        <v/>
      </c>
      <c r="DS288" t="str">
        <f>IF(ZS_IAAK="Ja",IF(EXACT(RIGHT(HLOOKUP(Tabellen_Magie!$IK$1,PROFMAGIE,$DK288,FALSE)),"H"),CONCATENATE($CX288,","),""),"")</f>
        <v/>
      </c>
      <c r="DT288" t="str">
        <f>IF(ZS_IAAK="Ja",IF(NOT(DS288=""),"",IF(OR(EXACT(RIGHT(HLOOKUP(Tabellen_Magie!$IK$1,PROFMAGIE,$DK288,FALSE)),"B"),EXACT(HLOOKUP(Tabellen_Magie!$IK$1,PROFMAGIE,$DK288,FALSE),"")),"",CONCATENATE($CX288,","))),"")</f>
        <v/>
      </c>
      <c r="DU288" t="str">
        <f t="shared" si="168"/>
        <v/>
      </c>
      <c r="DW288" t="s">
        <v>8988</v>
      </c>
      <c r="DX288" t="s">
        <v>1166</v>
      </c>
      <c r="DY288" t="s">
        <v>963</v>
      </c>
      <c r="EA288" t="s">
        <v>8677</v>
      </c>
      <c r="EC288" t="s">
        <v>4565</v>
      </c>
      <c r="ED288">
        <v>75</v>
      </c>
      <c r="EE288" t="s">
        <v>8689</v>
      </c>
      <c r="EH288">
        <f t="shared" ref="EH288:EH298" si="177">ROUNDUP($ED288/50,0)</f>
        <v>2</v>
      </c>
      <c r="GH288" t="s">
        <v>99</v>
      </c>
      <c r="GI288" t="s">
        <v>4121</v>
      </c>
      <c r="GJ288">
        <v>4</v>
      </c>
      <c r="GK288" t="s">
        <v>1320</v>
      </c>
      <c r="GL288" t="s">
        <v>1977</v>
      </c>
      <c r="GM288" t="s">
        <v>1685</v>
      </c>
      <c r="GN288" t="s">
        <v>1974</v>
      </c>
      <c r="GO288">
        <v>279</v>
      </c>
      <c r="GP288">
        <v>319</v>
      </c>
      <c r="GR288">
        <f t="shared" si="169"/>
        <v>637</v>
      </c>
      <c r="GU288" t="str">
        <f t="shared" ca="1" si="170"/>
        <v/>
      </c>
      <c r="GV288" t="str">
        <f t="shared" ca="1" si="171"/>
        <v/>
      </c>
      <c r="GW288" t="str">
        <f t="shared" ca="1" si="172"/>
        <v/>
      </c>
      <c r="GX288" t="str">
        <f t="shared" ca="1" si="173"/>
        <v/>
      </c>
    </row>
    <row r="289" spans="102:206" x14ac:dyDescent="0.2">
      <c r="CX289" t="s">
        <v>3615</v>
      </c>
      <c r="CY289" t="s">
        <v>74</v>
      </c>
      <c r="CZ289" t="s">
        <v>76</v>
      </c>
      <c r="DA289" t="s">
        <v>77</v>
      </c>
      <c r="DB289" t="s">
        <v>2042</v>
      </c>
      <c r="DC289" t="s">
        <v>7290</v>
      </c>
      <c r="DD289" t="s">
        <v>3958</v>
      </c>
      <c r="DE289" t="s">
        <v>2254</v>
      </c>
      <c r="DF289" t="s">
        <v>1358</v>
      </c>
      <c r="DG289" t="s">
        <v>1956</v>
      </c>
      <c r="DH289" t="s">
        <v>7015</v>
      </c>
      <c r="DI289" t="s">
        <v>3501</v>
      </c>
      <c r="DJ289">
        <v>2</v>
      </c>
      <c r="DK289">
        <f t="shared" si="175"/>
        <v>610</v>
      </c>
      <c r="DL289">
        <f t="shared" si="176"/>
        <v>287</v>
      </c>
      <c r="DM289">
        <v>257</v>
      </c>
      <c r="DN289" t="str">
        <f t="shared" ca="1" si="164"/>
        <v/>
      </c>
      <c r="DO289" t="str">
        <f t="shared" ca="1" si="165"/>
        <v/>
      </c>
      <c r="DP289" t="str">
        <f t="shared" ca="1" si="166"/>
        <v/>
      </c>
      <c r="DQ289" t="str">
        <f>IF(EXACT(Zauber!$A$250,""),"",IF(EXACT(RIGHT(HLOOKUP(Zauber!$A$250,PROFMAGIE,$DK289,FALSE)),"H"),CONCATENATE($CX289,","),""))</f>
        <v/>
      </c>
      <c r="DR289" t="str">
        <f t="shared" si="167"/>
        <v/>
      </c>
      <c r="DS289" t="str">
        <f>IF(ZS_IAAK="Ja",IF(EXACT(RIGHT(HLOOKUP(Tabellen_Magie!$IK$1,PROFMAGIE,$DK289,FALSE)),"H"),CONCATENATE($CX289,","),""),"")</f>
        <v/>
      </c>
      <c r="DT289" t="str">
        <f>IF(ZS_IAAK="Ja",IF(NOT(DS289=""),"",IF(OR(EXACT(RIGHT(HLOOKUP(Tabellen_Magie!$IK$1,PROFMAGIE,$DK289,FALSE)),"B"),EXACT(HLOOKUP(Tabellen_Magie!$IK$1,PROFMAGIE,$DK289,FALSE),"")),"",CONCATENATE($CX289,","))),"")</f>
        <v/>
      </c>
      <c r="DU289" t="str">
        <f t="shared" si="168"/>
        <v/>
      </c>
      <c r="DW289" t="s">
        <v>8978</v>
      </c>
      <c r="DX289" t="s">
        <v>1166</v>
      </c>
      <c r="DY289" t="s">
        <v>4339</v>
      </c>
      <c r="EA289" t="s">
        <v>8981</v>
      </c>
      <c r="EC289" t="s">
        <v>2304</v>
      </c>
      <c r="ED289">
        <v>50</v>
      </c>
      <c r="EE289" t="s">
        <v>8985</v>
      </c>
      <c r="EH289">
        <f t="shared" si="177"/>
        <v>1</v>
      </c>
      <c r="GH289" t="s">
        <v>1561</v>
      </c>
      <c r="GI289" t="s">
        <v>4121</v>
      </c>
      <c r="GJ289">
        <v>4</v>
      </c>
      <c r="GK289" t="s">
        <v>1320</v>
      </c>
      <c r="GL289" t="s">
        <v>567</v>
      </c>
      <c r="GM289" t="s">
        <v>1369</v>
      </c>
      <c r="GN289" t="s">
        <v>1690</v>
      </c>
      <c r="GO289">
        <v>289</v>
      </c>
      <c r="GP289">
        <v>322</v>
      </c>
      <c r="GR289">
        <f t="shared" si="169"/>
        <v>638</v>
      </c>
      <c r="GU289" t="str">
        <f t="shared" ca="1" si="170"/>
        <v/>
      </c>
      <c r="GV289" t="str">
        <f t="shared" ca="1" si="171"/>
        <v/>
      </c>
      <c r="GW289" t="str">
        <f t="shared" ca="1" si="172"/>
        <v/>
      </c>
      <c r="GX289" t="str">
        <f t="shared" ca="1" si="173"/>
        <v/>
      </c>
    </row>
    <row r="290" spans="102:206" x14ac:dyDescent="0.2">
      <c r="CX290" t="s">
        <v>4956</v>
      </c>
      <c r="CY290" t="s">
        <v>74</v>
      </c>
      <c r="CZ290" t="s">
        <v>76</v>
      </c>
      <c r="DA290" t="s">
        <v>751</v>
      </c>
      <c r="DC290" t="s">
        <v>7289</v>
      </c>
      <c r="DD290" t="s">
        <v>3138</v>
      </c>
      <c r="DE290" t="s">
        <v>3959</v>
      </c>
      <c r="DF290" t="s">
        <v>1617</v>
      </c>
      <c r="DG290" t="s">
        <v>1956</v>
      </c>
      <c r="DH290" t="s">
        <v>7016</v>
      </c>
      <c r="DI290" t="s">
        <v>4474</v>
      </c>
      <c r="DJ290">
        <v>2</v>
      </c>
      <c r="DK290">
        <f t="shared" si="175"/>
        <v>611</v>
      </c>
      <c r="DL290">
        <f t="shared" si="176"/>
        <v>288</v>
      </c>
      <c r="DM290">
        <v>258</v>
      </c>
      <c r="DN290" t="str">
        <f t="shared" ca="1" si="164"/>
        <v/>
      </c>
      <c r="DO290" t="str">
        <f t="shared" ca="1" si="165"/>
        <v/>
      </c>
      <c r="DP290" t="str">
        <f t="shared" ca="1" si="166"/>
        <v/>
      </c>
      <c r="DQ290" t="str">
        <f>IF(EXACT(Zauber!$A$250,""),"",IF(EXACT(RIGHT(HLOOKUP(Zauber!$A$250,PROFMAGIE,$DK290,FALSE)),"H"),CONCATENATE($CX290,","),""))</f>
        <v/>
      </c>
      <c r="DR290" t="str">
        <f t="shared" si="167"/>
        <v/>
      </c>
      <c r="DS290" t="str">
        <f>IF(ZS_IAAK="Ja",IF(EXACT(RIGHT(HLOOKUP(Tabellen_Magie!$IK$1,PROFMAGIE,$DK290,FALSE)),"H"),CONCATENATE($CX290,","),""),"")</f>
        <v/>
      </c>
      <c r="DT290" t="str">
        <f>IF(ZS_IAAK="Ja",IF(NOT(DS290=""),"",IF(OR(EXACT(RIGHT(HLOOKUP(Tabellen_Magie!$IK$1,PROFMAGIE,$DK290,FALSE)),"B"),EXACT(HLOOKUP(Tabellen_Magie!$IK$1,PROFMAGIE,$DK290,FALSE),"")),"",CONCATENATE($CX290,","))),"")</f>
        <v/>
      </c>
      <c r="DU290" t="str">
        <f t="shared" si="168"/>
        <v/>
      </c>
      <c r="DW290" t="s">
        <v>8990</v>
      </c>
      <c r="DX290" t="s">
        <v>1166</v>
      </c>
      <c r="DY290" t="s">
        <v>1631</v>
      </c>
      <c r="EA290" t="s">
        <v>8677</v>
      </c>
      <c r="EC290" t="s">
        <v>4565</v>
      </c>
      <c r="ED290">
        <v>75</v>
      </c>
      <c r="EE290" t="s">
        <v>8690</v>
      </c>
      <c r="EH290">
        <f t="shared" si="177"/>
        <v>2</v>
      </c>
      <c r="GH290" t="s">
        <v>1562</v>
      </c>
      <c r="GI290" t="s">
        <v>4121</v>
      </c>
      <c r="GJ290">
        <v>4</v>
      </c>
      <c r="GK290" t="s">
        <v>1320</v>
      </c>
      <c r="GL290" t="s">
        <v>1978</v>
      </c>
      <c r="GM290" t="s">
        <v>1369</v>
      </c>
      <c r="GN290" t="s">
        <v>1974</v>
      </c>
      <c r="GO290">
        <v>261</v>
      </c>
      <c r="GP290">
        <v>326</v>
      </c>
      <c r="GR290">
        <f t="shared" si="169"/>
        <v>639</v>
      </c>
      <c r="GS290">
        <v>5</v>
      </c>
      <c r="GU290" t="str">
        <f t="shared" ca="1" si="170"/>
        <v/>
      </c>
      <c r="GV290" t="str">
        <f t="shared" ca="1" si="171"/>
        <v/>
      </c>
      <c r="GW290" t="str">
        <f t="shared" ca="1" si="172"/>
        <v/>
      </c>
      <c r="GX290" t="str">
        <f t="shared" ca="1" si="173"/>
        <v/>
      </c>
    </row>
    <row r="291" spans="102:206" x14ac:dyDescent="0.2">
      <c r="CX291" t="s">
        <v>4957</v>
      </c>
      <c r="CY291" t="s">
        <v>74</v>
      </c>
      <c r="CZ291" t="s">
        <v>77</v>
      </c>
      <c r="DA291" t="s">
        <v>5030</v>
      </c>
      <c r="DB291" t="s">
        <v>1613</v>
      </c>
      <c r="DC291" t="s">
        <v>544</v>
      </c>
      <c r="DD291" t="s">
        <v>3960</v>
      </c>
      <c r="DE291" t="s">
        <v>1321</v>
      </c>
      <c r="DF291" t="s">
        <v>3961</v>
      </c>
      <c r="DG291" t="s">
        <v>1955</v>
      </c>
      <c r="DH291" t="s">
        <v>6912</v>
      </c>
      <c r="DI291" t="s">
        <v>4475</v>
      </c>
      <c r="DJ291">
        <v>2</v>
      </c>
      <c r="DK291">
        <f t="shared" si="175"/>
        <v>612</v>
      </c>
      <c r="DL291">
        <f t="shared" si="176"/>
        <v>289</v>
      </c>
      <c r="DM291">
        <v>259</v>
      </c>
      <c r="DN291" t="str">
        <f t="shared" ca="1" si="164"/>
        <v/>
      </c>
      <c r="DO291" t="str">
        <f t="shared" ca="1" si="165"/>
        <v/>
      </c>
      <c r="DP291" t="str">
        <f t="shared" ca="1" si="166"/>
        <v/>
      </c>
      <c r="DQ291" t="str">
        <f>IF(EXACT(Zauber!$A$250,""),"",IF(EXACT(RIGHT(HLOOKUP(Zauber!$A$250,PROFMAGIE,$DK291,FALSE)),"H"),CONCATENATE($CX291,","),""))</f>
        <v/>
      </c>
      <c r="DR291" t="str">
        <f t="shared" si="167"/>
        <v/>
      </c>
      <c r="DS291" t="str">
        <f>IF(ZS_IAAK="Ja",IF(EXACT(RIGHT(HLOOKUP(Tabellen_Magie!$IK$1,PROFMAGIE,$DK291,FALSE)),"H"),CONCATENATE($CX291,","),""),"")</f>
        <v/>
      </c>
      <c r="DT291" t="str">
        <f>IF(ZS_IAAK="Ja",IF(NOT(DS291=""),"",IF(OR(EXACT(RIGHT(HLOOKUP(Tabellen_Magie!$IK$1,PROFMAGIE,$DK291,FALSE)),"B"),EXACT(HLOOKUP(Tabellen_Magie!$IK$1,PROFMAGIE,$DK291,FALSE),"")),"",CONCATENATE($CX291,","))),"")</f>
        <v/>
      </c>
      <c r="DU291" t="str">
        <f t="shared" si="168"/>
        <v/>
      </c>
      <c r="DW291" t="s">
        <v>8977</v>
      </c>
      <c r="DX291" t="s">
        <v>1166</v>
      </c>
      <c r="DY291" t="s">
        <v>1634</v>
      </c>
      <c r="EA291" t="s">
        <v>8981</v>
      </c>
      <c r="EC291" t="s">
        <v>2304</v>
      </c>
      <c r="ED291">
        <v>50</v>
      </c>
      <c r="EE291" t="s">
        <v>8984</v>
      </c>
      <c r="EH291">
        <f t="shared" si="177"/>
        <v>1</v>
      </c>
      <c r="GH291" t="s">
        <v>1563</v>
      </c>
      <c r="GI291" t="s">
        <v>4121</v>
      </c>
      <c r="GJ291">
        <v>4</v>
      </c>
      <c r="GK291" t="s">
        <v>1320</v>
      </c>
      <c r="GL291" t="s">
        <v>1977</v>
      </c>
      <c r="GM291" t="s">
        <v>1684</v>
      </c>
      <c r="GN291" t="s">
        <v>1974</v>
      </c>
      <c r="GO291">
        <v>280</v>
      </c>
      <c r="GP291">
        <v>334</v>
      </c>
      <c r="GR291">
        <f t="shared" si="169"/>
        <v>640</v>
      </c>
      <c r="GU291" t="str">
        <f t="shared" ca="1" si="170"/>
        <v/>
      </c>
      <c r="GV291" t="str">
        <f t="shared" ca="1" si="171"/>
        <v/>
      </c>
      <c r="GW291" t="str">
        <f t="shared" ca="1" si="172"/>
        <v/>
      </c>
      <c r="GX291" t="str">
        <f t="shared" ca="1" si="173"/>
        <v/>
      </c>
    </row>
    <row r="292" spans="102:206" x14ac:dyDescent="0.2">
      <c r="CX292" t="s">
        <v>4958</v>
      </c>
      <c r="CY292" t="s">
        <v>75</v>
      </c>
      <c r="CZ292" t="s">
        <v>750</v>
      </c>
      <c r="DA292" t="s">
        <v>752</v>
      </c>
      <c r="DB292" t="s">
        <v>1613</v>
      </c>
      <c r="DC292" t="s">
        <v>7303</v>
      </c>
      <c r="DD292" t="s">
        <v>7383</v>
      </c>
      <c r="DE292" t="s">
        <v>1321</v>
      </c>
      <c r="DF292" t="s">
        <v>1617</v>
      </c>
      <c r="DG292" t="s">
        <v>1828</v>
      </c>
      <c r="DH292" t="s">
        <v>7017</v>
      </c>
      <c r="DI292" t="s">
        <v>4436</v>
      </c>
      <c r="DJ292">
        <v>2</v>
      </c>
      <c r="DK292">
        <f t="shared" si="175"/>
        <v>613</v>
      </c>
      <c r="DL292">
        <f t="shared" si="176"/>
        <v>290</v>
      </c>
      <c r="DM292">
        <v>260</v>
      </c>
      <c r="DN292" t="str">
        <f t="shared" ca="1" si="164"/>
        <v/>
      </c>
      <c r="DO292" t="str">
        <f t="shared" ca="1" si="165"/>
        <v/>
      </c>
      <c r="DP292" t="str">
        <f t="shared" ca="1" si="166"/>
        <v/>
      </c>
      <c r="DQ292" t="str">
        <f>IF(EXACT(Zauber!$A$250,""),"",IF(EXACT(RIGHT(HLOOKUP(Zauber!$A$250,PROFMAGIE,$DK292,FALSE)),"H"),CONCATENATE($CX292,","),""))</f>
        <v/>
      </c>
      <c r="DR292" t="str">
        <f t="shared" si="167"/>
        <v/>
      </c>
      <c r="DS292" t="str">
        <f>IF(ZS_IAAK="Ja",IF(EXACT(RIGHT(HLOOKUP(Tabellen_Magie!$IK$1,PROFMAGIE,$DK292,FALSE)),"H"),CONCATENATE($CX292,","),""),"")</f>
        <v/>
      </c>
      <c r="DT292" t="str">
        <f>IF(ZS_IAAK="Ja",IF(NOT(DS292=""),"",IF(OR(EXACT(RIGHT(HLOOKUP(Tabellen_Magie!$IK$1,PROFMAGIE,$DK292,FALSE)),"B"),EXACT(HLOOKUP(Tabellen_Magie!$IK$1,PROFMAGIE,$DK292,FALSE),"")),"",CONCATENATE($CX292,","))),"")</f>
        <v/>
      </c>
      <c r="DU292" t="str">
        <f t="shared" si="168"/>
        <v/>
      </c>
      <c r="DW292" t="s">
        <v>8980</v>
      </c>
      <c r="DX292" t="s">
        <v>1166</v>
      </c>
      <c r="DY292" t="s">
        <v>2996</v>
      </c>
      <c r="EA292" t="s">
        <v>8981</v>
      </c>
      <c r="EC292" t="s">
        <v>2304</v>
      </c>
      <c r="ED292">
        <v>50</v>
      </c>
      <c r="EE292" t="s">
        <v>8987</v>
      </c>
      <c r="EH292">
        <f t="shared" si="177"/>
        <v>1</v>
      </c>
      <c r="GH292" t="s">
        <v>1564</v>
      </c>
      <c r="GI292" t="s">
        <v>4121</v>
      </c>
      <c r="GJ292">
        <v>4</v>
      </c>
      <c r="GK292" t="s">
        <v>4854</v>
      </c>
      <c r="GL292" t="s">
        <v>1977</v>
      </c>
      <c r="GM292" t="s">
        <v>1982</v>
      </c>
      <c r="GN292" t="s">
        <v>1690</v>
      </c>
      <c r="GO292">
        <v>261</v>
      </c>
      <c r="GP292">
        <v>337</v>
      </c>
      <c r="GR292">
        <f t="shared" si="169"/>
        <v>641</v>
      </c>
      <c r="GU292" t="str">
        <f t="shared" ca="1" si="170"/>
        <v/>
      </c>
      <c r="GV292" t="str">
        <f t="shared" ca="1" si="171"/>
        <v/>
      </c>
      <c r="GW292" t="str">
        <f t="shared" ca="1" si="172"/>
        <v/>
      </c>
      <c r="GX292" t="str">
        <f t="shared" ca="1" si="173"/>
        <v/>
      </c>
    </row>
    <row r="293" spans="102:206" x14ac:dyDescent="0.2">
      <c r="CX293" t="s">
        <v>4959</v>
      </c>
      <c r="CY293" t="s">
        <v>77</v>
      </c>
      <c r="CZ293" t="s">
        <v>751</v>
      </c>
      <c r="DA293" t="s">
        <v>5030</v>
      </c>
      <c r="DB293" t="s">
        <v>2042</v>
      </c>
      <c r="DC293" t="s">
        <v>1542</v>
      </c>
      <c r="DD293" t="s">
        <v>3962</v>
      </c>
      <c r="DE293" t="s">
        <v>3591</v>
      </c>
      <c r="DF293" t="s">
        <v>4074</v>
      </c>
      <c r="DG293" t="s">
        <v>1955</v>
      </c>
      <c r="DH293" t="s">
        <v>6844</v>
      </c>
      <c r="DI293" t="s">
        <v>1647</v>
      </c>
      <c r="DJ293">
        <v>2</v>
      </c>
      <c r="DK293">
        <f t="shared" si="175"/>
        <v>614</v>
      </c>
      <c r="DL293">
        <f t="shared" si="176"/>
        <v>291</v>
      </c>
      <c r="DM293">
        <v>261</v>
      </c>
      <c r="DN293" t="str">
        <f t="shared" ca="1" si="164"/>
        <v/>
      </c>
      <c r="DO293" t="str">
        <f t="shared" ca="1" si="165"/>
        <v/>
      </c>
      <c r="DP293" t="str">
        <f t="shared" ca="1" si="166"/>
        <v/>
      </c>
      <c r="DQ293" t="str">
        <f>IF(EXACT(Zauber!$A$250,""),"",IF(EXACT(RIGHT(HLOOKUP(Zauber!$A$250,PROFMAGIE,$DK293,FALSE)),"H"),CONCATENATE($CX293,","),""))</f>
        <v/>
      </c>
      <c r="DR293" t="str">
        <f t="shared" si="167"/>
        <v/>
      </c>
      <c r="DS293" t="str">
        <f>IF(ZS_IAAK="Ja",IF(EXACT(RIGHT(HLOOKUP(Tabellen_Magie!$IK$1,PROFMAGIE,$DK293,FALSE)),"H"),CONCATENATE($CX293,","),""),"")</f>
        <v/>
      </c>
      <c r="DT293" t="str">
        <f>IF(ZS_IAAK="Ja",IF(NOT(DS293=""),"",IF(OR(EXACT(RIGHT(HLOOKUP(Tabellen_Magie!$IK$1,PROFMAGIE,$DK293,FALSE)),"B"),EXACT(HLOOKUP(Tabellen_Magie!$IK$1,PROFMAGIE,$DK293,FALSE),"")),"",CONCATENATE($CX293,","))),"")</f>
        <v/>
      </c>
      <c r="DU293" t="str">
        <f t="shared" si="168"/>
        <v/>
      </c>
      <c r="DW293" t="s">
        <v>8989</v>
      </c>
      <c r="DX293" t="s">
        <v>1166</v>
      </c>
      <c r="DY293" t="s">
        <v>1630</v>
      </c>
      <c r="EA293" t="s">
        <v>8677</v>
      </c>
      <c r="EC293" t="s">
        <v>2304</v>
      </c>
      <c r="ED293">
        <v>75</v>
      </c>
      <c r="EE293" t="s">
        <v>8691</v>
      </c>
      <c r="EH293">
        <f t="shared" si="177"/>
        <v>2</v>
      </c>
      <c r="GH293" t="s">
        <v>1565</v>
      </c>
      <c r="GI293" t="s">
        <v>4121</v>
      </c>
      <c r="GJ293">
        <v>4</v>
      </c>
      <c r="GK293" t="s">
        <v>1320</v>
      </c>
      <c r="GL293" t="s">
        <v>1977</v>
      </c>
      <c r="GM293" t="s">
        <v>1685</v>
      </c>
      <c r="GN293" t="s">
        <v>1974</v>
      </c>
      <c r="GO293">
        <v>271</v>
      </c>
      <c r="GP293">
        <v>338</v>
      </c>
      <c r="GR293">
        <f t="shared" si="169"/>
        <v>642</v>
      </c>
      <c r="GU293" t="str">
        <f t="shared" ca="1" si="170"/>
        <v/>
      </c>
      <c r="GV293" t="str">
        <f t="shared" ca="1" si="171"/>
        <v/>
      </c>
      <c r="GW293" t="str">
        <f t="shared" ca="1" si="172"/>
        <v/>
      </c>
      <c r="GX293" t="str">
        <f t="shared" ca="1" si="173"/>
        <v/>
      </c>
    </row>
    <row r="294" spans="102:206" x14ac:dyDescent="0.2">
      <c r="CX294" t="s">
        <v>4960</v>
      </c>
      <c r="CY294" t="s">
        <v>75</v>
      </c>
      <c r="CZ294" t="s">
        <v>76</v>
      </c>
      <c r="DA294" t="s">
        <v>5030</v>
      </c>
      <c r="DC294" t="s">
        <v>7291</v>
      </c>
      <c r="DD294" t="s">
        <v>7381</v>
      </c>
      <c r="DE294" t="s">
        <v>4413</v>
      </c>
      <c r="DF294" t="s">
        <v>81</v>
      </c>
      <c r="DG294" t="s">
        <v>1828</v>
      </c>
      <c r="DH294" t="s">
        <v>6847</v>
      </c>
      <c r="DI294" t="s">
        <v>4521</v>
      </c>
      <c r="DJ294">
        <v>2</v>
      </c>
      <c r="DK294">
        <f t="shared" si="175"/>
        <v>615</v>
      </c>
      <c r="DL294">
        <f t="shared" si="176"/>
        <v>292</v>
      </c>
      <c r="DM294">
        <v>262</v>
      </c>
      <c r="DN294" t="str">
        <f t="shared" ca="1" si="164"/>
        <v/>
      </c>
      <c r="DO294" t="str">
        <f t="shared" ca="1" si="165"/>
        <v/>
      </c>
      <c r="DP294" t="str">
        <f t="shared" ca="1" si="166"/>
        <v/>
      </c>
      <c r="DQ294" t="str">
        <f>IF(EXACT(Zauber!$A$250,""),"",IF(EXACT(RIGHT(HLOOKUP(Zauber!$A$250,PROFMAGIE,$DK294,FALSE)),"H"),CONCATENATE($CX294,","),""))</f>
        <v/>
      </c>
      <c r="DR294" t="str">
        <f t="shared" si="167"/>
        <v/>
      </c>
      <c r="DS294" t="str">
        <f>IF(ZS_IAAK="Ja",IF(EXACT(RIGHT(HLOOKUP(Tabellen_Magie!$IK$1,PROFMAGIE,$DK294,FALSE)),"H"),CONCATENATE($CX294,","),""),"")</f>
        <v/>
      </c>
      <c r="DT294" t="str">
        <f>IF(ZS_IAAK="Ja",IF(NOT(DS294=""),"",IF(OR(EXACT(RIGHT(HLOOKUP(Tabellen_Magie!$IK$1,PROFMAGIE,$DK294,FALSE)),"B"),EXACT(HLOOKUP(Tabellen_Magie!$IK$1,PROFMAGIE,$DK294,FALSE),"")),"",CONCATENATE($CX294,","))),"")</f>
        <v/>
      </c>
      <c r="DU294" t="str">
        <f t="shared" si="168"/>
        <v/>
      </c>
      <c r="DW294" t="s">
        <v>8991</v>
      </c>
      <c r="DX294" t="s">
        <v>1166</v>
      </c>
      <c r="DY294" t="s">
        <v>8681</v>
      </c>
      <c r="EA294" t="s">
        <v>8677</v>
      </c>
      <c r="EC294" t="s">
        <v>2573</v>
      </c>
      <c r="ED294">
        <v>25</v>
      </c>
      <c r="EE294" t="s">
        <v>7286</v>
      </c>
      <c r="EH294">
        <f t="shared" si="177"/>
        <v>1</v>
      </c>
      <c r="GG294" t="s">
        <v>4121</v>
      </c>
      <c r="GH294" t="s">
        <v>9359</v>
      </c>
      <c r="GI294" t="s">
        <v>4121</v>
      </c>
      <c r="GJ294">
        <v>4</v>
      </c>
      <c r="GK294" t="s">
        <v>1320</v>
      </c>
      <c r="GL294" t="s">
        <v>567</v>
      </c>
      <c r="GM294" t="s">
        <v>1980</v>
      </c>
      <c r="GN294" t="s">
        <v>1690</v>
      </c>
      <c r="GO294" t="s">
        <v>9314</v>
      </c>
      <c r="GP294">
        <v>341</v>
      </c>
      <c r="GR294">
        <f t="shared" si="169"/>
        <v>643</v>
      </c>
      <c r="GS294">
        <v>6</v>
      </c>
      <c r="GU294" t="str">
        <f t="shared" ca="1" si="170"/>
        <v/>
      </c>
      <c r="GV294" t="str">
        <f t="shared" ca="1" si="171"/>
        <v/>
      </c>
      <c r="GW294" t="str">
        <f t="shared" ca="1" si="172"/>
        <v/>
      </c>
      <c r="GX294" t="str">
        <f t="shared" ca="1" si="173"/>
        <v/>
      </c>
    </row>
    <row r="295" spans="102:206" x14ac:dyDescent="0.2">
      <c r="CX295" t="s">
        <v>371</v>
      </c>
      <c r="CY295" t="s">
        <v>76</v>
      </c>
      <c r="CZ295" t="s">
        <v>77</v>
      </c>
      <c r="DA295" t="s">
        <v>77</v>
      </c>
      <c r="DB295" t="s">
        <v>2042</v>
      </c>
      <c r="DC295" t="s">
        <v>544</v>
      </c>
      <c r="DD295" t="s">
        <v>7382</v>
      </c>
      <c r="DE295" t="s">
        <v>3963</v>
      </c>
      <c r="DF295" t="s">
        <v>1358</v>
      </c>
      <c r="DG295" t="s">
        <v>1955</v>
      </c>
      <c r="DH295" t="s">
        <v>7018</v>
      </c>
      <c r="DI295" t="s">
        <v>4351</v>
      </c>
      <c r="DJ295">
        <v>2</v>
      </c>
      <c r="DK295">
        <f t="shared" si="175"/>
        <v>616</v>
      </c>
      <c r="DL295">
        <f t="shared" si="176"/>
        <v>293</v>
      </c>
      <c r="DM295">
        <v>263</v>
      </c>
      <c r="DN295" t="str">
        <f t="shared" ca="1" si="164"/>
        <v/>
      </c>
      <c r="DO295" t="str">
        <f t="shared" ca="1" si="165"/>
        <v/>
      </c>
      <c r="DP295" t="str">
        <f t="shared" ca="1" si="166"/>
        <v/>
      </c>
      <c r="DQ295" t="str">
        <f>IF(EXACT(Zauber!$A$250,""),"",IF(EXACT(RIGHT(HLOOKUP(Zauber!$A$250,PROFMAGIE,$DK295,FALSE)),"H"),CONCATENATE($CX295,","),""))</f>
        <v/>
      </c>
      <c r="DR295" t="str">
        <f t="shared" si="167"/>
        <v/>
      </c>
      <c r="DS295" t="str">
        <f>IF(ZS_IAAK="Ja",IF(EXACT(RIGHT(HLOOKUP(Tabellen_Magie!$IK$1,PROFMAGIE,$DK295,FALSE)),"H"),CONCATENATE($CX295,","),""),"")</f>
        <v/>
      </c>
      <c r="DT295" t="str">
        <f>IF(ZS_IAAK="Ja",IF(NOT(DS295=""),"",IF(OR(EXACT(RIGHT(HLOOKUP(Tabellen_Magie!$IK$1,PROFMAGIE,$DK295,FALSE)),"B"),EXACT(HLOOKUP(Tabellen_Magie!$IK$1,PROFMAGIE,$DK295,FALSE),"")),"",CONCATENATE($CX295,","))),"")</f>
        <v/>
      </c>
      <c r="DU295" t="str">
        <f t="shared" si="168"/>
        <v/>
      </c>
      <c r="DW295" t="s">
        <v>8976</v>
      </c>
      <c r="DX295" t="s">
        <v>1166</v>
      </c>
      <c r="DY295" t="s">
        <v>4338</v>
      </c>
      <c r="EA295" t="s">
        <v>8981</v>
      </c>
      <c r="EC295" t="s">
        <v>2304</v>
      </c>
      <c r="ED295">
        <v>50</v>
      </c>
      <c r="EE295" t="s">
        <v>8983</v>
      </c>
      <c r="EH295">
        <f t="shared" si="177"/>
        <v>1</v>
      </c>
      <c r="GG295" t="s">
        <v>4588</v>
      </c>
      <c r="GH295" t="s">
        <v>1566</v>
      </c>
      <c r="GI295" t="s">
        <v>4588</v>
      </c>
      <c r="GJ295">
        <v>5</v>
      </c>
      <c r="GK295" t="s">
        <v>1320</v>
      </c>
      <c r="GL295" t="s">
        <v>1979</v>
      </c>
      <c r="GM295" t="s">
        <v>3961</v>
      </c>
      <c r="GN295" t="s">
        <v>1974</v>
      </c>
      <c r="GO295">
        <v>254</v>
      </c>
      <c r="GP295">
        <v>91</v>
      </c>
      <c r="GR295">
        <f t="shared" si="169"/>
        <v>644</v>
      </c>
      <c r="GU295" t="str">
        <f t="shared" ca="1" si="170"/>
        <v/>
      </c>
      <c r="GV295" t="str">
        <f t="shared" ca="1" si="171"/>
        <v/>
      </c>
      <c r="GW295" t="str">
        <f t="shared" ca="1" si="172"/>
        <v/>
      </c>
      <c r="GX295" t="str">
        <f t="shared" ca="1" si="173"/>
        <v/>
      </c>
    </row>
    <row r="296" spans="102:206" x14ac:dyDescent="0.2">
      <c r="CX296" t="s">
        <v>372</v>
      </c>
      <c r="CY296" t="s">
        <v>75</v>
      </c>
      <c r="CZ296" t="s">
        <v>750</v>
      </c>
      <c r="DA296" t="s">
        <v>5030</v>
      </c>
      <c r="DB296" t="s">
        <v>1613</v>
      </c>
      <c r="DC296" t="s">
        <v>544</v>
      </c>
      <c r="DD296" t="s">
        <v>3964</v>
      </c>
      <c r="DE296" t="s">
        <v>1321</v>
      </c>
      <c r="DF296" t="s">
        <v>4491</v>
      </c>
      <c r="DG296" t="s">
        <v>1956</v>
      </c>
      <c r="DH296" t="s">
        <v>7019</v>
      </c>
      <c r="DI296" t="s">
        <v>3203</v>
      </c>
      <c r="DJ296">
        <v>2</v>
      </c>
      <c r="DK296">
        <f t="shared" si="175"/>
        <v>617</v>
      </c>
      <c r="DL296">
        <f t="shared" si="176"/>
        <v>294</v>
      </c>
      <c r="DM296">
        <v>264</v>
      </c>
      <c r="DN296" t="str">
        <f t="shared" ca="1" si="164"/>
        <v/>
      </c>
      <c r="DO296" t="str">
        <f t="shared" ca="1" si="165"/>
        <v/>
      </c>
      <c r="DP296" t="str">
        <f t="shared" ca="1" si="166"/>
        <v/>
      </c>
      <c r="DQ296" t="str">
        <f>IF(EXACT(Zauber!$A$250,""),"",IF(EXACT(RIGHT(HLOOKUP(Zauber!$A$250,PROFMAGIE,$DK296,FALSE)),"H"),CONCATENATE($CX296,","),""))</f>
        <v/>
      </c>
      <c r="DR296" t="str">
        <f t="shared" si="167"/>
        <v/>
      </c>
      <c r="DS296" t="str">
        <f>IF(ZS_IAAK="Ja",IF(EXACT(RIGHT(HLOOKUP(Tabellen_Magie!$IK$1,PROFMAGIE,$DK296,FALSE)),"H"),CONCATENATE($CX296,","),""),"")</f>
        <v/>
      </c>
      <c r="DT296" t="str">
        <f>IF(ZS_IAAK="Ja",IF(NOT(DS296=""),"",IF(OR(EXACT(RIGHT(HLOOKUP(Tabellen_Magie!$IK$1,PROFMAGIE,$DK296,FALSE)),"B"),EXACT(HLOOKUP(Tabellen_Magie!$IK$1,PROFMAGIE,$DK296,FALSE),"")),"",CONCATENATE($CX296,","))),"")</f>
        <v/>
      </c>
      <c r="DU296" t="str">
        <f t="shared" si="168"/>
        <v/>
      </c>
      <c r="DW296" t="s">
        <v>8975</v>
      </c>
      <c r="DX296" t="s">
        <v>1166</v>
      </c>
      <c r="DY296" t="s">
        <v>1633</v>
      </c>
      <c r="EA296" t="s">
        <v>8981</v>
      </c>
      <c r="EC296" t="s">
        <v>2304</v>
      </c>
      <c r="ED296">
        <v>50</v>
      </c>
      <c r="EE296" t="s">
        <v>8982</v>
      </c>
      <c r="EH296">
        <f t="shared" si="177"/>
        <v>1</v>
      </c>
      <c r="GH296" t="s">
        <v>1567</v>
      </c>
      <c r="GI296" t="s">
        <v>4588</v>
      </c>
      <c r="GJ296">
        <v>5</v>
      </c>
      <c r="GK296" t="s">
        <v>1320</v>
      </c>
      <c r="GL296" t="s">
        <v>567</v>
      </c>
      <c r="GM296" t="s">
        <v>1983</v>
      </c>
      <c r="GN296" t="s">
        <v>1690</v>
      </c>
      <c r="GO296">
        <v>269</v>
      </c>
      <c r="GP296">
        <v>97</v>
      </c>
      <c r="GR296">
        <f t="shared" si="169"/>
        <v>645</v>
      </c>
      <c r="GU296" t="str">
        <f t="shared" ca="1" si="170"/>
        <v/>
      </c>
      <c r="GV296" t="str">
        <f t="shared" ca="1" si="171"/>
        <v/>
      </c>
      <c r="GW296" t="str">
        <f t="shared" ca="1" si="172"/>
        <v/>
      </c>
      <c r="GX296" t="str">
        <f t="shared" ca="1" si="173"/>
        <v/>
      </c>
    </row>
    <row r="297" spans="102:206" x14ac:dyDescent="0.2">
      <c r="CX297" t="s">
        <v>8957</v>
      </c>
      <c r="CY297" t="s">
        <v>74</v>
      </c>
      <c r="CZ297" t="s">
        <v>76</v>
      </c>
      <c r="DA297" t="s">
        <v>751</v>
      </c>
      <c r="DC297" t="s">
        <v>7291</v>
      </c>
      <c r="DD297" t="s">
        <v>3141</v>
      </c>
      <c r="DE297" t="s">
        <v>1835</v>
      </c>
      <c r="DF297" t="s">
        <v>81</v>
      </c>
      <c r="DG297" t="s">
        <v>1955</v>
      </c>
      <c r="DH297" t="s">
        <v>2255</v>
      </c>
      <c r="DI297" t="s">
        <v>8958</v>
      </c>
      <c r="DJ297">
        <v>2</v>
      </c>
      <c r="DK297">
        <f t="shared" si="175"/>
        <v>618</v>
      </c>
      <c r="DL297">
        <f t="shared" si="176"/>
        <v>295</v>
      </c>
      <c r="DN297" t="str">
        <f t="shared" ca="1" si="164"/>
        <v/>
      </c>
      <c r="DO297" t="str">
        <f t="shared" ca="1" si="165"/>
        <v/>
      </c>
      <c r="DP297" t="str">
        <f t="shared" ca="1" si="166"/>
        <v/>
      </c>
      <c r="DQ297" t="str">
        <f>IF(EXACT(Zauber!$A$250,""),"",IF(EXACT(RIGHT(HLOOKUP(Zauber!$A$250,PROFMAGIE,$DK297,FALSE)),"H"),CONCATENATE($CX297,","),""))</f>
        <v/>
      </c>
      <c r="DR297" t="str">
        <f t="shared" si="167"/>
        <v/>
      </c>
      <c r="DS297" t="str">
        <f>IF(ZS_IAAK="Ja",IF(EXACT(RIGHT(HLOOKUP(Tabellen_Magie!$IK$1,PROFMAGIE,$DK297,FALSE)),"H"),CONCATENATE($CX297,","),""),"")</f>
        <v/>
      </c>
      <c r="DT297" t="str">
        <f>IF(ZS_IAAK="Ja",IF(NOT(DS297=""),"",IF(OR(EXACT(RIGHT(HLOOKUP(Tabellen_Magie!$IK$1,PROFMAGIE,$DK297,FALSE)),"B"),EXACT(HLOOKUP(Tabellen_Magie!$IK$1,PROFMAGIE,$DK297,FALSE),"")),"",CONCATENATE($CX297,","))),"")</f>
        <v/>
      </c>
      <c r="DU297" t="str">
        <f t="shared" si="168"/>
        <v/>
      </c>
      <c r="DW297" t="s">
        <v>8992</v>
      </c>
      <c r="DX297" t="s">
        <v>1166</v>
      </c>
      <c r="DY297" t="s">
        <v>1630</v>
      </c>
      <c r="EA297" t="s">
        <v>8677</v>
      </c>
      <c r="EC297" t="s">
        <v>1280</v>
      </c>
      <c r="ED297">
        <v>50</v>
      </c>
      <c r="EE297" t="s">
        <v>8692</v>
      </c>
      <c r="EH297">
        <f t="shared" si="177"/>
        <v>1</v>
      </c>
      <c r="GH297" t="s">
        <v>9362</v>
      </c>
      <c r="GI297" t="s">
        <v>4588</v>
      </c>
      <c r="GJ297">
        <v>5</v>
      </c>
      <c r="GK297" t="s">
        <v>1396</v>
      </c>
      <c r="GL297" t="s">
        <v>1977</v>
      </c>
      <c r="GM297" t="s">
        <v>2685</v>
      </c>
      <c r="GN297" t="s">
        <v>1690</v>
      </c>
      <c r="GO297" t="s">
        <v>9314</v>
      </c>
      <c r="GP297">
        <v>103</v>
      </c>
      <c r="GR297">
        <f t="shared" si="169"/>
        <v>646</v>
      </c>
      <c r="GU297" t="str">
        <f t="shared" ca="1" si="170"/>
        <v/>
      </c>
      <c r="GV297" t="str">
        <f t="shared" ca="1" si="171"/>
        <v/>
      </c>
      <c r="GW297" t="str">
        <f t="shared" ca="1" si="172"/>
        <v/>
      </c>
      <c r="GX297" t="str">
        <f t="shared" ca="1" si="173"/>
        <v/>
      </c>
    </row>
    <row r="298" spans="102:206" x14ac:dyDescent="0.2">
      <c r="CX298" t="s">
        <v>4961</v>
      </c>
      <c r="CY298" t="s">
        <v>76</v>
      </c>
      <c r="CZ298" t="s">
        <v>77</v>
      </c>
      <c r="DA298" t="s">
        <v>5030</v>
      </c>
      <c r="DC298" t="s">
        <v>7296</v>
      </c>
      <c r="DD298" t="s">
        <v>850</v>
      </c>
      <c r="DE298" t="s">
        <v>1321</v>
      </c>
      <c r="DF298" t="s">
        <v>1134</v>
      </c>
      <c r="DG298" t="s">
        <v>1321</v>
      </c>
      <c r="DH298" t="s">
        <v>7020</v>
      </c>
      <c r="DI298" t="s">
        <v>882</v>
      </c>
      <c r="DJ298">
        <v>2</v>
      </c>
      <c r="DK298">
        <f t="shared" si="175"/>
        <v>619</v>
      </c>
      <c r="DL298">
        <f t="shared" si="176"/>
        <v>296</v>
      </c>
      <c r="DM298">
        <v>265</v>
      </c>
      <c r="DN298" t="str">
        <f t="shared" ca="1" si="164"/>
        <v/>
      </c>
      <c r="DO298" t="str">
        <f t="shared" ca="1" si="165"/>
        <v/>
      </c>
      <c r="DP298" t="str">
        <f t="shared" ca="1" si="166"/>
        <v/>
      </c>
      <c r="DQ298" t="str">
        <f>IF(EXACT(Zauber!$A$250,""),"",IF(EXACT(RIGHT(HLOOKUP(Zauber!$A$250,PROFMAGIE,$DK298,FALSE)),"H"),CONCATENATE($CX298,","),""))</f>
        <v/>
      </c>
      <c r="DR298" t="str">
        <f t="shared" si="167"/>
        <v/>
      </c>
      <c r="DS298" t="str">
        <f>IF(ZS_IAAK="Ja",IF(EXACT(RIGHT(HLOOKUP(Tabellen_Magie!$IK$1,PROFMAGIE,$DK298,FALSE)),"H"),CONCATENATE($CX298,","),""),"")</f>
        <v/>
      </c>
      <c r="DT298" t="str">
        <f>IF(ZS_IAAK="Ja",IF(NOT(DS298=""),"",IF(OR(EXACT(RIGHT(HLOOKUP(Tabellen_Magie!$IK$1,PROFMAGIE,$DK298,FALSE)),"B"),EXACT(HLOOKUP(Tabellen_Magie!$IK$1,PROFMAGIE,$DK298,FALSE),"")),"",CONCATENATE($CX298,","))),"")</f>
        <v/>
      </c>
      <c r="DU298" t="str">
        <f t="shared" si="168"/>
        <v/>
      </c>
      <c r="DW298" t="s">
        <v>8979</v>
      </c>
      <c r="DX298" t="s">
        <v>1166</v>
      </c>
      <c r="DY298" t="s">
        <v>1632</v>
      </c>
      <c r="EA298" t="s">
        <v>8981</v>
      </c>
      <c r="EC298" t="s">
        <v>2304</v>
      </c>
      <c r="ED298">
        <v>50</v>
      </c>
      <c r="EE298" t="s">
        <v>8986</v>
      </c>
      <c r="EH298">
        <f t="shared" si="177"/>
        <v>1</v>
      </c>
      <c r="GH298" t="s">
        <v>9363</v>
      </c>
      <c r="GI298" t="s">
        <v>4588</v>
      </c>
      <c r="GJ298">
        <v>5</v>
      </c>
      <c r="GK298" t="s">
        <v>1320</v>
      </c>
      <c r="GL298" t="s">
        <v>1977</v>
      </c>
      <c r="GM298" t="s">
        <v>1685</v>
      </c>
      <c r="GN298" t="s">
        <v>1974</v>
      </c>
      <c r="GO298" t="s">
        <v>9314</v>
      </c>
      <c r="GP298">
        <v>142</v>
      </c>
      <c r="GR298">
        <f t="shared" si="169"/>
        <v>647</v>
      </c>
      <c r="GU298" t="str">
        <f t="shared" ca="1" si="170"/>
        <v/>
      </c>
      <c r="GV298" t="str">
        <f t="shared" ca="1" si="171"/>
        <v/>
      </c>
      <c r="GW298" t="str">
        <f t="shared" ca="1" si="172"/>
        <v/>
      </c>
      <c r="GX298" t="str">
        <f t="shared" ca="1" si="173"/>
        <v/>
      </c>
    </row>
    <row r="299" spans="102:206" x14ac:dyDescent="0.2">
      <c r="CX299" t="s">
        <v>3346</v>
      </c>
      <c r="CY299" t="s">
        <v>76</v>
      </c>
      <c r="CZ299" t="s">
        <v>750</v>
      </c>
      <c r="DA299" t="s">
        <v>751</v>
      </c>
      <c r="DC299" t="s">
        <v>7292</v>
      </c>
      <c r="DD299" t="s">
        <v>2593</v>
      </c>
      <c r="DE299" t="s">
        <v>4484</v>
      </c>
      <c r="DF299" t="s">
        <v>3954</v>
      </c>
      <c r="DG299" t="s">
        <v>1828</v>
      </c>
      <c r="DH299" t="s">
        <v>7021</v>
      </c>
      <c r="DI299" t="s">
        <v>2793</v>
      </c>
      <c r="DJ299">
        <v>2</v>
      </c>
      <c r="DK299">
        <f t="shared" si="175"/>
        <v>620</v>
      </c>
      <c r="DL299">
        <f t="shared" si="176"/>
        <v>297</v>
      </c>
      <c r="DM299">
        <v>266</v>
      </c>
      <c r="DN299" t="str">
        <f t="shared" ca="1" si="164"/>
        <v/>
      </c>
      <c r="DO299" t="str">
        <f t="shared" ca="1" si="165"/>
        <v/>
      </c>
      <c r="DP299" t="str">
        <f t="shared" ca="1" si="166"/>
        <v/>
      </c>
      <c r="DQ299" t="str">
        <f>IF(EXACT(Zauber!$A$250,""),"",IF(EXACT(RIGHT(HLOOKUP(Zauber!$A$250,PROFMAGIE,$DK299,FALSE)),"H"),CONCATENATE($CX299,","),""))</f>
        <v/>
      </c>
      <c r="DR299" t="str">
        <f t="shared" si="167"/>
        <v/>
      </c>
      <c r="DS299" t="str">
        <f>IF(ZS_IAAK="Ja",IF(EXACT(RIGHT(HLOOKUP(Tabellen_Magie!$IK$1,PROFMAGIE,$DK299,FALSE)),"H"),CONCATENATE($CX299,","),""),"")</f>
        <v/>
      </c>
      <c r="DT299" t="str">
        <f>IF(ZS_IAAK="Ja",IF(NOT(DS299=""),"",IF(OR(EXACT(RIGHT(HLOOKUP(Tabellen_Magie!$IK$1,PROFMAGIE,$DK299,FALSE)),"B"),EXACT(HLOOKUP(Tabellen_Magie!$IK$1,PROFMAGIE,$DK299,FALSE),"")),"",CONCATENATE($CX299,","))),"")</f>
        <v/>
      </c>
      <c r="DU299" t="str">
        <f t="shared" si="168"/>
        <v/>
      </c>
      <c r="DW299" t="s">
        <v>8693</v>
      </c>
      <c r="DX299" t="s">
        <v>1166</v>
      </c>
      <c r="DY299" t="s">
        <v>8694</v>
      </c>
      <c r="EA299" t="s">
        <v>8677</v>
      </c>
      <c r="EC299" t="s">
        <v>2327</v>
      </c>
      <c r="ED299">
        <v>25</v>
      </c>
      <c r="EE299" t="s">
        <v>8695</v>
      </c>
      <c r="EH299">
        <f t="shared" si="174"/>
        <v>1</v>
      </c>
      <c r="GH299" t="s">
        <v>3144</v>
      </c>
      <c r="GI299" t="s">
        <v>4588</v>
      </c>
      <c r="GJ299">
        <v>5</v>
      </c>
      <c r="GK299" t="s">
        <v>4116</v>
      </c>
      <c r="GL299" t="s">
        <v>1977</v>
      </c>
      <c r="GM299" t="s">
        <v>3961</v>
      </c>
      <c r="GN299" t="s">
        <v>1973</v>
      </c>
      <c r="GO299">
        <v>288</v>
      </c>
      <c r="GP299">
        <v>143</v>
      </c>
      <c r="GR299">
        <f t="shared" si="169"/>
        <v>648</v>
      </c>
      <c r="GU299" t="str">
        <f t="shared" ca="1" si="170"/>
        <v/>
      </c>
      <c r="GV299" t="str">
        <f t="shared" ca="1" si="171"/>
        <v/>
      </c>
      <c r="GW299" t="str">
        <f t="shared" ca="1" si="172"/>
        <v/>
      </c>
      <c r="GX299" t="str">
        <f t="shared" ca="1" si="173"/>
        <v/>
      </c>
    </row>
    <row r="300" spans="102:206" x14ac:dyDescent="0.2">
      <c r="CX300" t="s">
        <v>3347</v>
      </c>
      <c r="CY300" t="s">
        <v>894</v>
      </c>
      <c r="CZ300" t="s">
        <v>895</v>
      </c>
      <c r="DA300" t="s">
        <v>895</v>
      </c>
      <c r="DH300" t="s">
        <v>1711</v>
      </c>
      <c r="DJ300">
        <v>2</v>
      </c>
      <c r="DK300">
        <f t="shared" si="175"/>
        <v>621</v>
      </c>
      <c r="DL300">
        <f t="shared" si="176"/>
        <v>298</v>
      </c>
      <c r="DM300">
        <v>91</v>
      </c>
      <c r="DN300" t="str">
        <f t="shared" ca="1" si="164"/>
        <v/>
      </c>
      <c r="DO300" t="str">
        <f t="shared" ca="1" si="165"/>
        <v/>
      </c>
      <c r="DP300" t="str">
        <f t="shared" ca="1" si="166"/>
        <v/>
      </c>
      <c r="DQ300" t="str">
        <f>IF(EXACT(Zauber!$A$250,""),"",IF(EXACT(RIGHT(HLOOKUP(Zauber!$A$250,PROFMAGIE,$DK300,FALSE)),"H"),CONCATENATE($CX300,","),""))</f>
        <v/>
      </c>
      <c r="DR300" t="str">
        <f t="shared" si="167"/>
        <v/>
      </c>
      <c r="DS300" t="str">
        <f>IF(ZS_IAAK="Ja",IF(EXACT(RIGHT(HLOOKUP(Tabellen_Magie!$IK$1,PROFMAGIE,$DK300,FALSE)),"H"),CONCATENATE($CX300,","),""),"")</f>
        <v/>
      </c>
      <c r="DT300" t="str">
        <f>IF(ZS_IAAK="Ja",IF(NOT(DS300=""),"",IF(OR(EXACT(RIGHT(HLOOKUP(Tabellen_Magie!$IK$1,PROFMAGIE,$DK300,FALSE)),"B"),EXACT(HLOOKUP(Tabellen_Magie!$IK$1,PROFMAGIE,$DK300,FALSE),"")),"",CONCATENATE($CX300,","))),"")</f>
        <v/>
      </c>
      <c r="DU300" t="str">
        <f t="shared" si="168"/>
        <v/>
      </c>
      <c r="DW300" t="s">
        <v>2660</v>
      </c>
      <c r="DX300" t="s">
        <v>1166</v>
      </c>
      <c r="DY300" t="s">
        <v>4351</v>
      </c>
      <c r="EA300" t="s">
        <v>8677</v>
      </c>
      <c r="EC300" t="s">
        <v>1280</v>
      </c>
      <c r="ED300">
        <v>50</v>
      </c>
      <c r="EE300" t="s">
        <v>8696</v>
      </c>
      <c r="EH300">
        <f t="shared" si="174"/>
        <v>1</v>
      </c>
      <c r="GH300" t="s">
        <v>3145</v>
      </c>
      <c r="GI300" t="s">
        <v>4588</v>
      </c>
      <c r="GJ300">
        <v>5</v>
      </c>
      <c r="GK300" t="s">
        <v>1320</v>
      </c>
      <c r="GL300" t="s">
        <v>567</v>
      </c>
      <c r="GM300" t="s">
        <v>1369</v>
      </c>
      <c r="GN300" t="s">
        <v>1974</v>
      </c>
      <c r="GO300">
        <v>288</v>
      </c>
      <c r="GP300">
        <v>144</v>
      </c>
      <c r="GR300">
        <f t="shared" si="169"/>
        <v>649</v>
      </c>
      <c r="GU300" t="str">
        <f t="shared" ca="1" si="170"/>
        <v/>
      </c>
      <c r="GV300" t="str">
        <f t="shared" ca="1" si="171"/>
        <v/>
      </c>
      <c r="GW300" t="str">
        <f t="shared" ca="1" si="172"/>
        <v/>
      </c>
      <c r="GX300" t="str">
        <f t="shared" ca="1" si="173"/>
        <v/>
      </c>
    </row>
    <row r="301" spans="102:206" x14ac:dyDescent="0.2">
      <c r="CX301" t="s">
        <v>3348</v>
      </c>
      <c r="CY301" t="s">
        <v>75</v>
      </c>
      <c r="CZ301" t="s">
        <v>76</v>
      </c>
      <c r="DA301" t="s">
        <v>5030</v>
      </c>
      <c r="DB301" t="s">
        <v>1613</v>
      </c>
      <c r="DC301" t="s">
        <v>7309</v>
      </c>
      <c r="DD301" t="s">
        <v>3955</v>
      </c>
      <c r="DE301" t="s">
        <v>1321</v>
      </c>
      <c r="DF301" t="s">
        <v>81</v>
      </c>
      <c r="DG301" t="s">
        <v>1955</v>
      </c>
      <c r="DH301" t="s">
        <v>7022</v>
      </c>
      <c r="DI301" t="s">
        <v>3499</v>
      </c>
      <c r="DJ301">
        <v>2</v>
      </c>
      <c r="DK301">
        <f t="shared" si="175"/>
        <v>622</v>
      </c>
      <c r="DL301">
        <f t="shared" si="176"/>
        <v>299</v>
      </c>
      <c r="DM301">
        <v>267</v>
      </c>
      <c r="DN301" t="str">
        <f t="shared" ca="1" si="164"/>
        <v/>
      </c>
      <c r="DO301" t="str">
        <f t="shared" ca="1" si="165"/>
        <v/>
      </c>
      <c r="DP301" t="str">
        <f t="shared" ca="1" si="166"/>
        <v/>
      </c>
      <c r="DQ301" t="str">
        <f>IF(EXACT(Zauber!$A$250,""),"",IF(EXACT(RIGHT(HLOOKUP(Zauber!$A$250,PROFMAGIE,$DK301,FALSE)),"H"),CONCATENATE($CX301,","),""))</f>
        <v/>
      </c>
      <c r="DR301" t="str">
        <f t="shared" si="167"/>
        <v/>
      </c>
      <c r="DS301" t="str">
        <f>IF(ZS_IAAK="Ja",IF(EXACT(RIGHT(HLOOKUP(Tabellen_Magie!$IK$1,PROFMAGIE,$DK301,FALSE)),"H"),CONCATENATE($CX301,","),""),"")</f>
        <v/>
      </c>
      <c r="DT301" t="str">
        <f>IF(ZS_IAAK="Ja",IF(NOT(DS301=""),"",IF(OR(EXACT(RIGHT(HLOOKUP(Tabellen_Magie!$IK$1,PROFMAGIE,$DK301,FALSE)),"B"),EXACT(HLOOKUP(Tabellen_Magie!$IK$1,PROFMAGIE,$DK301,FALSE),"")),"",CONCATENATE($CX301,","))),"")</f>
        <v/>
      </c>
      <c r="DU301" t="str">
        <f t="shared" si="168"/>
        <v/>
      </c>
      <c r="DW301" t="s">
        <v>2659</v>
      </c>
      <c r="DX301" t="s">
        <v>1166</v>
      </c>
      <c r="DY301" t="s">
        <v>8694</v>
      </c>
      <c r="EA301" t="s">
        <v>8677</v>
      </c>
      <c r="EC301" t="s">
        <v>2762</v>
      </c>
      <c r="ED301">
        <v>25</v>
      </c>
      <c r="EE301" t="s">
        <v>8697</v>
      </c>
      <c r="EH301">
        <f t="shared" si="174"/>
        <v>1</v>
      </c>
      <c r="GH301" t="s">
        <v>9364</v>
      </c>
      <c r="GI301" t="s">
        <v>4588</v>
      </c>
      <c r="GJ301">
        <v>5</v>
      </c>
      <c r="GK301" t="s">
        <v>4484</v>
      </c>
      <c r="GL301" t="s">
        <v>567</v>
      </c>
      <c r="GM301" t="s">
        <v>3961</v>
      </c>
      <c r="GN301" t="s">
        <v>1690</v>
      </c>
      <c r="GO301" t="s">
        <v>9314</v>
      </c>
      <c r="GP301">
        <v>150</v>
      </c>
      <c r="GR301">
        <f t="shared" si="169"/>
        <v>650</v>
      </c>
      <c r="GU301" t="str">
        <f t="shared" ca="1" si="170"/>
        <v/>
      </c>
      <c r="GV301" t="str">
        <f t="shared" ca="1" si="171"/>
        <v/>
      </c>
      <c r="GW301" t="str">
        <f t="shared" ca="1" si="172"/>
        <v/>
      </c>
      <c r="GX301" t="str">
        <f t="shared" ca="1" si="173"/>
        <v/>
      </c>
    </row>
    <row r="302" spans="102:206" x14ac:dyDescent="0.2">
      <c r="CX302" t="s">
        <v>3349</v>
      </c>
      <c r="CY302" t="s">
        <v>76</v>
      </c>
      <c r="CZ302" t="s">
        <v>77</v>
      </c>
      <c r="DA302" t="s">
        <v>751</v>
      </c>
      <c r="DC302" t="s">
        <v>7299</v>
      </c>
      <c r="DD302" t="s">
        <v>1624</v>
      </c>
      <c r="DE302" t="s">
        <v>3956</v>
      </c>
      <c r="DF302" t="s">
        <v>665</v>
      </c>
      <c r="DG302" t="s">
        <v>1956</v>
      </c>
      <c r="DH302" t="s">
        <v>6944</v>
      </c>
      <c r="DI302" t="s">
        <v>4345</v>
      </c>
      <c r="DJ302">
        <v>2</v>
      </c>
      <c r="DK302">
        <f t="shared" si="175"/>
        <v>623</v>
      </c>
      <c r="DL302">
        <f t="shared" si="176"/>
        <v>300</v>
      </c>
      <c r="DM302">
        <v>268</v>
      </c>
      <c r="DN302" t="str">
        <f t="shared" ca="1" si="164"/>
        <v/>
      </c>
      <c r="DO302" t="str">
        <f t="shared" ca="1" si="165"/>
        <v/>
      </c>
      <c r="DP302" t="str">
        <f t="shared" ca="1" si="166"/>
        <v/>
      </c>
      <c r="DQ302" t="str">
        <f>IF(EXACT(Zauber!$A$250,""),"",IF(EXACT(RIGHT(HLOOKUP(Zauber!$A$250,PROFMAGIE,$DK302,FALSE)),"H"),CONCATENATE($CX302,","),""))</f>
        <v/>
      </c>
      <c r="DR302" t="str">
        <f t="shared" si="167"/>
        <v/>
      </c>
      <c r="DS302" t="str">
        <f>IF(ZS_IAAK="Ja",IF(EXACT(RIGHT(HLOOKUP(Tabellen_Magie!$IK$1,PROFMAGIE,$DK302,FALSE)),"H"),CONCATENATE($CX302,","),""),"")</f>
        <v/>
      </c>
      <c r="DT302" t="str">
        <f>IF(ZS_IAAK="Ja",IF(NOT(DS302=""),"",IF(OR(EXACT(RIGHT(HLOOKUP(Tabellen_Magie!$IK$1,PROFMAGIE,$DK302,FALSE)),"B"),EXACT(HLOOKUP(Tabellen_Magie!$IK$1,PROFMAGIE,$DK302,FALSE),"")),"",CONCATENATE($CX302,","))),"")</f>
        <v/>
      </c>
      <c r="DU302" t="str">
        <f t="shared" si="168"/>
        <v/>
      </c>
      <c r="DW302" t="s">
        <v>8698</v>
      </c>
      <c r="DX302" t="s">
        <v>1166</v>
      </c>
      <c r="DY302" t="s">
        <v>8699</v>
      </c>
      <c r="EA302" t="s">
        <v>8677</v>
      </c>
      <c r="EC302" t="s">
        <v>4565</v>
      </c>
      <c r="ED302">
        <v>50</v>
      </c>
      <c r="EE302" t="s">
        <v>8700</v>
      </c>
      <c r="EH302">
        <f t="shared" si="174"/>
        <v>1</v>
      </c>
      <c r="GH302" t="s">
        <v>3146</v>
      </c>
      <c r="GI302" t="s">
        <v>4588</v>
      </c>
      <c r="GJ302">
        <v>5</v>
      </c>
      <c r="GK302" t="s">
        <v>1320</v>
      </c>
      <c r="GL302" t="s">
        <v>1979</v>
      </c>
      <c r="GM302" t="s">
        <v>1369</v>
      </c>
      <c r="GN302" t="s">
        <v>1974</v>
      </c>
      <c r="GO302">
        <v>276</v>
      </c>
      <c r="GP302">
        <v>153</v>
      </c>
      <c r="GR302">
        <f t="shared" si="169"/>
        <v>651</v>
      </c>
      <c r="GU302" t="str">
        <f t="shared" ca="1" si="170"/>
        <v/>
      </c>
      <c r="GV302" t="str">
        <f t="shared" ca="1" si="171"/>
        <v/>
      </c>
      <c r="GW302" t="str">
        <f t="shared" ca="1" si="172"/>
        <v/>
      </c>
      <c r="GX302" t="str">
        <f t="shared" ca="1" si="173"/>
        <v/>
      </c>
    </row>
    <row r="303" spans="102:206" x14ac:dyDescent="0.2">
      <c r="CX303" t="s">
        <v>3350</v>
      </c>
      <c r="CY303" t="s">
        <v>75</v>
      </c>
      <c r="CZ303" t="s">
        <v>75</v>
      </c>
      <c r="DA303" t="s">
        <v>76</v>
      </c>
      <c r="DB303" t="s">
        <v>2042</v>
      </c>
      <c r="DC303" t="s">
        <v>7299</v>
      </c>
      <c r="DD303" t="s">
        <v>3957</v>
      </c>
      <c r="DE303" t="s">
        <v>2254</v>
      </c>
      <c r="DF303" t="s">
        <v>7352</v>
      </c>
      <c r="DG303" t="s">
        <v>1956</v>
      </c>
      <c r="DH303" t="s">
        <v>7023</v>
      </c>
      <c r="DI303" t="s">
        <v>883</v>
      </c>
      <c r="DJ303">
        <v>2</v>
      </c>
      <c r="DK303">
        <f t="shared" si="175"/>
        <v>624</v>
      </c>
      <c r="DL303">
        <f t="shared" si="176"/>
        <v>301</v>
      </c>
      <c r="DM303">
        <v>269</v>
      </c>
      <c r="DN303" t="str">
        <f t="shared" ca="1" si="164"/>
        <v/>
      </c>
      <c r="DO303" t="str">
        <f t="shared" ca="1" si="165"/>
        <v/>
      </c>
      <c r="DP303" t="str">
        <f t="shared" ca="1" si="166"/>
        <v/>
      </c>
      <c r="DQ303" t="str">
        <f>IF(EXACT(Zauber!$A$250,""),"",IF(EXACT(RIGHT(HLOOKUP(Zauber!$A$250,PROFMAGIE,$DK303,FALSE)),"H"),CONCATENATE($CX303,","),""))</f>
        <v/>
      </c>
      <c r="DR303" t="str">
        <f t="shared" si="167"/>
        <v/>
      </c>
      <c r="DS303" t="str">
        <f>IF(ZS_IAAK="Ja",IF(EXACT(RIGHT(HLOOKUP(Tabellen_Magie!$IK$1,PROFMAGIE,$DK303,FALSE)),"H"),CONCATENATE($CX303,","),""),"")</f>
        <v/>
      </c>
      <c r="DT303" t="str">
        <f>IF(ZS_IAAK="Ja",IF(NOT(DS303=""),"",IF(OR(EXACT(RIGHT(HLOOKUP(Tabellen_Magie!$IK$1,PROFMAGIE,$DK303,FALSE)),"B"),EXACT(HLOOKUP(Tabellen_Magie!$IK$1,PROFMAGIE,$DK303,FALSE),"")),"",CONCATENATE($CX303,","))),"")</f>
        <v/>
      </c>
      <c r="DU303" t="str">
        <f t="shared" si="168"/>
        <v/>
      </c>
      <c r="DW303" t="s">
        <v>2661</v>
      </c>
      <c r="GH303" t="s">
        <v>3147</v>
      </c>
      <c r="GI303" t="s">
        <v>4588</v>
      </c>
      <c r="GJ303">
        <v>5</v>
      </c>
      <c r="GK303" t="s">
        <v>1320</v>
      </c>
      <c r="GL303" t="s">
        <v>1978</v>
      </c>
      <c r="GM303" t="s">
        <v>2685</v>
      </c>
      <c r="GN303" t="s">
        <v>1975</v>
      </c>
      <c r="GO303">
        <v>259</v>
      </c>
      <c r="GP303">
        <v>155</v>
      </c>
      <c r="GR303">
        <f t="shared" si="169"/>
        <v>652</v>
      </c>
      <c r="GU303" t="str">
        <f t="shared" ca="1" si="170"/>
        <v/>
      </c>
      <c r="GV303" t="str">
        <f t="shared" ca="1" si="171"/>
        <v/>
      </c>
      <c r="GW303" t="str">
        <f t="shared" ca="1" si="172"/>
        <v/>
      </c>
      <c r="GX303" t="str">
        <f t="shared" ca="1" si="173"/>
        <v/>
      </c>
    </row>
    <row r="304" spans="102:206" x14ac:dyDescent="0.2">
      <c r="CX304" t="s">
        <v>2151</v>
      </c>
      <c r="CY304" t="s">
        <v>75</v>
      </c>
      <c r="CZ304" t="s">
        <v>77</v>
      </c>
      <c r="DA304" t="s">
        <v>750</v>
      </c>
      <c r="DB304" t="s">
        <v>1613</v>
      </c>
      <c r="DC304" t="s">
        <v>7309</v>
      </c>
      <c r="DD304" t="s">
        <v>3140</v>
      </c>
      <c r="DE304" t="s">
        <v>1321</v>
      </c>
      <c r="DF304" t="s">
        <v>81</v>
      </c>
      <c r="DG304" t="s">
        <v>1955</v>
      </c>
      <c r="DH304" t="s">
        <v>7024</v>
      </c>
      <c r="DI304" t="s">
        <v>4437</v>
      </c>
      <c r="DJ304">
        <v>2</v>
      </c>
      <c r="DK304">
        <f t="shared" si="175"/>
        <v>625</v>
      </c>
      <c r="DL304">
        <f t="shared" si="176"/>
        <v>302</v>
      </c>
      <c r="DM304">
        <v>270</v>
      </c>
      <c r="DN304" t="str">
        <f t="shared" ca="1" si="164"/>
        <v/>
      </c>
      <c r="DO304" t="str">
        <f t="shared" ca="1" si="165"/>
        <v/>
      </c>
      <c r="DP304" t="str">
        <f t="shared" ca="1" si="166"/>
        <v/>
      </c>
      <c r="DQ304" t="str">
        <f>IF(EXACT(Zauber!$A$250,""),"",IF(EXACT(RIGHT(HLOOKUP(Zauber!$A$250,PROFMAGIE,$DK304,FALSE)),"H"),CONCATENATE($CX304,","),""))</f>
        <v/>
      </c>
      <c r="DR304" t="str">
        <f t="shared" si="167"/>
        <v/>
      </c>
      <c r="DS304" t="str">
        <f>IF(ZS_IAAK="Ja",IF(EXACT(RIGHT(HLOOKUP(Tabellen_Magie!$IK$1,PROFMAGIE,$DK304,FALSE)),"H"),CONCATENATE($CX304,","),""),"")</f>
        <v/>
      </c>
      <c r="DT304" t="str">
        <f>IF(ZS_IAAK="Ja",IF(NOT(DS304=""),"",IF(OR(EXACT(RIGHT(HLOOKUP(Tabellen_Magie!$IK$1,PROFMAGIE,$DK304,FALSE)),"B"),EXACT(HLOOKUP(Tabellen_Magie!$IK$1,PROFMAGIE,$DK304,FALSE),"")),"",CONCATENATE($CX304,","))),"")</f>
        <v/>
      </c>
      <c r="DU304" t="str">
        <f t="shared" si="168"/>
        <v/>
      </c>
      <c r="DW304" t="s">
        <v>403</v>
      </c>
      <c r="DX304" t="s">
        <v>782</v>
      </c>
      <c r="EC304" t="s">
        <v>3087</v>
      </c>
      <c r="ED304" t="s">
        <v>4006</v>
      </c>
      <c r="EE304" t="s">
        <v>4912</v>
      </c>
      <c r="EH304" t="s">
        <v>158</v>
      </c>
      <c r="GH304" t="s">
        <v>3148</v>
      </c>
      <c r="GI304" t="s">
        <v>4588</v>
      </c>
      <c r="GJ304">
        <v>5</v>
      </c>
      <c r="GK304" t="s">
        <v>4484</v>
      </c>
      <c r="GL304" t="s">
        <v>1977</v>
      </c>
      <c r="GM304" t="s">
        <v>1982</v>
      </c>
      <c r="GN304" t="s">
        <v>1690</v>
      </c>
      <c r="GO304">
        <v>278</v>
      </c>
      <c r="GP304">
        <v>157</v>
      </c>
      <c r="GR304">
        <f t="shared" si="169"/>
        <v>653</v>
      </c>
      <c r="GU304" t="str">
        <f t="shared" ca="1" si="170"/>
        <v/>
      </c>
      <c r="GV304" t="str">
        <f t="shared" ca="1" si="171"/>
        <v/>
      </c>
      <c r="GW304" t="str">
        <f t="shared" ca="1" si="172"/>
        <v/>
      </c>
      <c r="GX304" t="str">
        <f t="shared" ca="1" si="173"/>
        <v/>
      </c>
    </row>
    <row r="305" spans="102:206" x14ac:dyDescent="0.2">
      <c r="CX305" t="s">
        <v>2152</v>
      </c>
      <c r="CY305" t="s">
        <v>74</v>
      </c>
      <c r="CZ305" t="s">
        <v>74</v>
      </c>
      <c r="DA305" t="s">
        <v>77</v>
      </c>
      <c r="DB305" t="s">
        <v>2042</v>
      </c>
      <c r="DC305" t="s">
        <v>7289</v>
      </c>
      <c r="DD305" t="s">
        <v>4127</v>
      </c>
      <c r="DE305" t="s">
        <v>3142</v>
      </c>
      <c r="DF305" t="s">
        <v>2685</v>
      </c>
      <c r="DG305" t="s">
        <v>1321</v>
      </c>
      <c r="DH305" t="s">
        <v>6923</v>
      </c>
      <c r="DI305" t="s">
        <v>2940</v>
      </c>
      <c r="DJ305">
        <v>2</v>
      </c>
      <c r="DK305">
        <f t="shared" si="175"/>
        <v>626</v>
      </c>
      <c r="DL305">
        <f t="shared" si="176"/>
        <v>303</v>
      </c>
      <c r="DM305">
        <v>271</v>
      </c>
      <c r="DN305" t="str">
        <f t="shared" ca="1" si="164"/>
        <v/>
      </c>
      <c r="DO305" t="str">
        <f t="shared" ca="1" si="165"/>
        <v/>
      </c>
      <c r="DP305" t="str">
        <f t="shared" ca="1" si="166"/>
        <v/>
      </c>
      <c r="DQ305" t="str">
        <f>IF(EXACT(Zauber!$A$250,""),"",IF(EXACT(RIGHT(HLOOKUP(Zauber!$A$250,PROFMAGIE,$DK305,FALSE)),"H"),CONCATENATE($CX305,","),""))</f>
        <v/>
      </c>
      <c r="DR305" t="str">
        <f t="shared" si="167"/>
        <v/>
      </c>
      <c r="DS305" t="str">
        <f>IF(ZS_IAAK="Ja",IF(EXACT(RIGHT(HLOOKUP(Tabellen_Magie!$IK$1,PROFMAGIE,$DK305,FALSE)),"H"),CONCATENATE($CX305,","),""),"")</f>
        <v/>
      </c>
      <c r="DT305" t="str">
        <f>IF(ZS_IAAK="Ja",IF(NOT(DS305=""),"",IF(OR(EXACT(RIGHT(HLOOKUP(Tabellen_Magie!$IK$1,PROFMAGIE,$DK305,FALSE)),"B"),EXACT(HLOOKUP(Tabellen_Magie!$IK$1,PROFMAGIE,$DK305,FALSE),"")),"",CONCATENATE($CX305,","))),"")</f>
        <v/>
      </c>
      <c r="DU305" t="str">
        <f t="shared" si="168"/>
        <v/>
      </c>
      <c r="DW305" t="s">
        <v>8676</v>
      </c>
      <c r="DX305" t="s">
        <v>1166</v>
      </c>
      <c r="DY305" t="s">
        <v>2940</v>
      </c>
      <c r="EA305" t="s">
        <v>8677</v>
      </c>
      <c r="EC305" t="s">
        <v>2304</v>
      </c>
      <c r="ED305">
        <v>200</v>
      </c>
      <c r="EE305" t="s">
        <v>2012</v>
      </c>
      <c r="EH305">
        <f t="shared" si="174"/>
        <v>4</v>
      </c>
      <c r="GH305" t="s">
        <v>3149</v>
      </c>
      <c r="GI305" t="s">
        <v>4588</v>
      </c>
      <c r="GJ305">
        <v>5</v>
      </c>
      <c r="GK305" t="s">
        <v>4854</v>
      </c>
      <c r="GL305" t="s">
        <v>567</v>
      </c>
      <c r="GM305" t="s">
        <v>3961</v>
      </c>
      <c r="GN305" t="s">
        <v>1974</v>
      </c>
      <c r="GO305">
        <v>289</v>
      </c>
      <c r="GP305">
        <v>290</v>
      </c>
      <c r="GR305">
        <f t="shared" si="169"/>
        <v>654</v>
      </c>
      <c r="GU305" t="str">
        <f t="shared" ca="1" si="170"/>
        <v/>
      </c>
      <c r="GV305" t="str">
        <f t="shared" ca="1" si="171"/>
        <v/>
      </c>
      <c r="GW305" t="str">
        <f t="shared" ca="1" si="172"/>
        <v/>
      </c>
      <c r="GX305" t="str">
        <f t="shared" ca="1" si="173"/>
        <v/>
      </c>
    </row>
    <row r="306" spans="102:206" x14ac:dyDescent="0.2">
      <c r="CX306" t="s">
        <v>3887</v>
      </c>
      <c r="CY306" t="s">
        <v>75</v>
      </c>
      <c r="CZ306" t="s">
        <v>76</v>
      </c>
      <c r="DA306" t="s">
        <v>751</v>
      </c>
      <c r="DC306" t="s">
        <v>7313</v>
      </c>
      <c r="DD306" t="s">
        <v>1026</v>
      </c>
      <c r="DE306" t="s">
        <v>2397</v>
      </c>
      <c r="DF306" t="s">
        <v>3513</v>
      </c>
      <c r="DG306" t="s">
        <v>1956</v>
      </c>
      <c r="DH306" t="s">
        <v>7025</v>
      </c>
      <c r="DI306" t="s">
        <v>1647</v>
      </c>
      <c r="DJ306">
        <v>2</v>
      </c>
      <c r="DK306">
        <f t="shared" si="175"/>
        <v>627</v>
      </c>
      <c r="DL306">
        <f t="shared" si="176"/>
        <v>304</v>
      </c>
      <c r="DM306">
        <v>272</v>
      </c>
      <c r="DN306" t="str">
        <f t="shared" ca="1" si="164"/>
        <v/>
      </c>
      <c r="DO306" t="str">
        <f t="shared" ca="1" si="165"/>
        <v/>
      </c>
      <c r="DP306" t="str">
        <f t="shared" ca="1" si="166"/>
        <v/>
      </c>
      <c r="DQ306" t="str">
        <f>IF(EXACT(Zauber!$A$250,""),"",IF(EXACT(RIGHT(HLOOKUP(Zauber!$A$250,PROFMAGIE,$DK306,FALSE)),"H"),CONCATENATE($CX306,","),""))</f>
        <v/>
      </c>
      <c r="DR306" t="str">
        <f t="shared" si="167"/>
        <v/>
      </c>
      <c r="DS306" t="str">
        <f>IF(ZS_IAAK="Ja",IF(EXACT(RIGHT(HLOOKUP(Tabellen_Magie!$IK$1,PROFMAGIE,$DK306,FALSE)),"H"),CONCATENATE($CX306,","),""),"")</f>
        <v/>
      </c>
      <c r="DT306" t="str">
        <f>IF(ZS_IAAK="Ja",IF(NOT(DS306=""),"",IF(OR(EXACT(RIGHT(HLOOKUP(Tabellen_Magie!$IK$1,PROFMAGIE,$DK306,FALSE)),"B"),EXACT(HLOOKUP(Tabellen_Magie!$IK$1,PROFMAGIE,$DK306,FALSE),"")),"",CONCATENATE($CX306,","))),"")</f>
        <v/>
      </c>
      <c r="DU306" t="str">
        <f t="shared" si="168"/>
        <v/>
      </c>
      <c r="DW306" t="s">
        <v>8678</v>
      </c>
      <c r="DX306" t="s">
        <v>1543</v>
      </c>
      <c r="DY306" t="s">
        <v>1615</v>
      </c>
      <c r="EA306" t="s">
        <v>8677</v>
      </c>
      <c r="EC306" t="s">
        <v>2573</v>
      </c>
      <c r="ED306">
        <v>100</v>
      </c>
      <c r="EE306" t="s">
        <v>3224</v>
      </c>
      <c r="EH306">
        <f t="shared" si="174"/>
        <v>2</v>
      </c>
      <c r="GH306" t="s">
        <v>3150</v>
      </c>
      <c r="GI306" t="s">
        <v>4588</v>
      </c>
      <c r="GJ306">
        <v>5</v>
      </c>
      <c r="GK306" t="s">
        <v>1320</v>
      </c>
      <c r="GL306" t="s">
        <v>1979</v>
      </c>
      <c r="GM306" t="s">
        <v>1369</v>
      </c>
      <c r="GN306" t="s">
        <v>1974</v>
      </c>
      <c r="GO306">
        <v>277</v>
      </c>
      <c r="GP306">
        <v>312</v>
      </c>
      <c r="GR306">
        <f t="shared" si="169"/>
        <v>655</v>
      </c>
      <c r="GU306" t="str">
        <f t="shared" ca="1" si="170"/>
        <v/>
      </c>
      <c r="GV306" t="str">
        <f t="shared" ca="1" si="171"/>
        <v/>
      </c>
      <c r="GW306" t="str">
        <f t="shared" ca="1" si="172"/>
        <v/>
      </c>
      <c r="GX306" t="str">
        <f t="shared" ca="1" si="173"/>
        <v/>
      </c>
    </row>
    <row r="307" spans="102:206" x14ac:dyDescent="0.2">
      <c r="CX307" t="s">
        <v>3888</v>
      </c>
      <c r="CY307" t="s">
        <v>75</v>
      </c>
      <c r="CZ307" t="s">
        <v>77</v>
      </c>
      <c r="DA307" t="s">
        <v>750</v>
      </c>
      <c r="DC307" t="s">
        <v>7289</v>
      </c>
      <c r="DD307" t="s">
        <v>510</v>
      </c>
      <c r="DE307" t="s">
        <v>2256</v>
      </c>
      <c r="DF307" t="s">
        <v>1027</v>
      </c>
      <c r="DG307" t="s">
        <v>1321</v>
      </c>
      <c r="DH307" t="s">
        <v>8444</v>
      </c>
      <c r="DI307" t="s">
        <v>2793</v>
      </c>
      <c r="DJ307">
        <v>2</v>
      </c>
      <c r="DK307">
        <f t="shared" si="175"/>
        <v>628</v>
      </c>
      <c r="DL307">
        <f t="shared" si="176"/>
        <v>305</v>
      </c>
      <c r="DM307">
        <v>273</v>
      </c>
      <c r="DN307" t="str">
        <f t="shared" ca="1" si="164"/>
        <v/>
      </c>
      <c r="DO307" t="str">
        <f t="shared" ca="1" si="165"/>
        <v/>
      </c>
      <c r="DP307" t="str">
        <f t="shared" ca="1" si="166"/>
        <v/>
      </c>
      <c r="DQ307" t="str">
        <f>IF(EXACT(Zauber!$A$250,""),"",IF(EXACT(RIGHT(HLOOKUP(Zauber!$A$250,PROFMAGIE,$DK307,FALSE)),"H"),CONCATENATE($CX307,","),""))</f>
        <v/>
      </c>
      <c r="DR307" t="str">
        <f t="shared" si="167"/>
        <v/>
      </c>
      <c r="DS307" t="str">
        <f>IF(ZS_IAAK="Ja",IF(EXACT(RIGHT(HLOOKUP(Tabellen_Magie!$IK$1,PROFMAGIE,$DK307,FALSE)),"H"),CONCATENATE($CX307,","),""),"")</f>
        <v/>
      </c>
      <c r="DT307" t="str">
        <f>IF(ZS_IAAK="Ja",IF(NOT(DS307=""),"",IF(OR(EXACT(RIGHT(HLOOKUP(Tabellen_Magie!$IK$1,PROFMAGIE,$DK307,FALSE)),"B"),EXACT(HLOOKUP(Tabellen_Magie!$IK$1,PROFMAGIE,$DK307,FALSE),"")),"",CONCATENATE($CX307,","))),"")</f>
        <v/>
      </c>
      <c r="DU307" t="str">
        <f t="shared" si="168"/>
        <v/>
      </c>
      <c r="DW307" t="s">
        <v>3222</v>
      </c>
      <c r="DX307" t="s">
        <v>4344</v>
      </c>
      <c r="DY307" t="s">
        <v>4348</v>
      </c>
      <c r="DZ307" t="s">
        <v>4351</v>
      </c>
      <c r="EA307" t="s">
        <v>8677</v>
      </c>
      <c r="EC307" t="s">
        <v>1281</v>
      </c>
      <c r="ED307">
        <v>125</v>
      </c>
      <c r="EE307" t="s">
        <v>2012</v>
      </c>
      <c r="EH307">
        <f t="shared" si="174"/>
        <v>3</v>
      </c>
      <c r="GH307" t="s">
        <v>3151</v>
      </c>
      <c r="GI307" t="s">
        <v>4588</v>
      </c>
      <c r="GJ307">
        <v>5</v>
      </c>
      <c r="GK307" t="s">
        <v>1971</v>
      </c>
      <c r="GL307" t="s">
        <v>567</v>
      </c>
      <c r="GM307" t="s">
        <v>1984</v>
      </c>
      <c r="GN307" t="s">
        <v>1975</v>
      </c>
      <c r="GO307">
        <v>278</v>
      </c>
      <c r="GP307">
        <v>192</v>
      </c>
      <c r="GR307">
        <f t="shared" si="169"/>
        <v>656</v>
      </c>
      <c r="GU307" t="str">
        <f t="shared" ca="1" si="170"/>
        <v/>
      </c>
      <c r="GV307" t="str">
        <f t="shared" ca="1" si="171"/>
        <v/>
      </c>
      <c r="GW307" t="str">
        <f t="shared" ca="1" si="172"/>
        <v/>
      </c>
      <c r="GX307" t="str">
        <f t="shared" ca="1" si="173"/>
        <v/>
      </c>
    </row>
    <row r="308" spans="102:206" x14ac:dyDescent="0.2">
      <c r="CX308" t="s">
        <v>3889</v>
      </c>
      <c r="CY308" t="s">
        <v>74</v>
      </c>
      <c r="CZ308" t="s">
        <v>76</v>
      </c>
      <c r="DA308" t="s">
        <v>751</v>
      </c>
      <c r="DC308" t="s">
        <v>7289</v>
      </c>
      <c r="DD308" t="s">
        <v>2727</v>
      </c>
      <c r="DE308" t="s">
        <v>3591</v>
      </c>
      <c r="DF308" t="s">
        <v>2493</v>
      </c>
      <c r="DG308" t="s">
        <v>1321</v>
      </c>
      <c r="DH308" t="s">
        <v>7026</v>
      </c>
      <c r="DI308" t="s">
        <v>2793</v>
      </c>
      <c r="DJ308">
        <v>2</v>
      </c>
      <c r="DK308">
        <f t="shared" si="175"/>
        <v>629</v>
      </c>
      <c r="DL308">
        <f t="shared" si="176"/>
        <v>306</v>
      </c>
      <c r="DM308">
        <v>274</v>
      </c>
      <c r="DN308" t="str">
        <f t="shared" ca="1" si="164"/>
        <v/>
      </c>
      <c r="DO308" t="str">
        <f t="shared" ca="1" si="165"/>
        <v/>
      </c>
      <c r="DP308" t="str">
        <f t="shared" ca="1" si="166"/>
        <v/>
      </c>
      <c r="DQ308" t="str">
        <f>IF(EXACT(Zauber!$A$250,""),"",IF(EXACT(RIGHT(HLOOKUP(Zauber!$A$250,PROFMAGIE,$DK308,FALSE)),"H"),CONCATENATE($CX308,","),""))</f>
        <v/>
      </c>
      <c r="DR308" t="str">
        <f t="shared" si="167"/>
        <v/>
      </c>
      <c r="DS308" t="str">
        <f>IF(ZS_IAAK="Ja",IF(EXACT(RIGHT(HLOOKUP(Tabellen_Magie!$IK$1,PROFMAGIE,$DK308,FALSE)),"H"),CONCATENATE($CX308,","),""),"")</f>
        <v/>
      </c>
      <c r="DT308" t="str">
        <f>IF(ZS_IAAK="Ja",IF(NOT(DS308=""),"",IF(OR(EXACT(RIGHT(HLOOKUP(Tabellen_Magie!$IK$1,PROFMAGIE,$DK308,FALSE)),"B"),EXACT(HLOOKUP(Tabellen_Magie!$IK$1,PROFMAGIE,$DK308,FALSE),"")),"",CONCATENATE($CX308,","))),"")</f>
        <v/>
      </c>
      <c r="DU308" t="str">
        <f t="shared" si="168"/>
        <v/>
      </c>
      <c r="DW308" t="s">
        <v>2535</v>
      </c>
      <c r="DX308" t="s">
        <v>2940</v>
      </c>
      <c r="EA308" t="s">
        <v>8677</v>
      </c>
      <c r="EC308" t="s">
        <v>2304</v>
      </c>
      <c r="ED308">
        <v>150</v>
      </c>
      <c r="EE308" t="s">
        <v>3223</v>
      </c>
      <c r="EH308">
        <f t="shared" si="174"/>
        <v>3</v>
      </c>
      <c r="GH308" t="s">
        <v>1128</v>
      </c>
      <c r="GI308" t="s">
        <v>4588</v>
      </c>
      <c r="GJ308">
        <v>5</v>
      </c>
      <c r="GK308" t="s">
        <v>1320</v>
      </c>
      <c r="GL308" t="s">
        <v>1978</v>
      </c>
      <c r="GM308" t="s">
        <v>3961</v>
      </c>
      <c r="GN308" t="s">
        <v>1974</v>
      </c>
      <c r="GO308">
        <v>280</v>
      </c>
      <c r="GP308">
        <v>198</v>
      </c>
      <c r="GR308">
        <f t="shared" si="169"/>
        <v>657</v>
      </c>
      <c r="GS308">
        <v>6</v>
      </c>
      <c r="GU308" t="str">
        <f t="shared" ca="1" si="170"/>
        <v/>
      </c>
      <c r="GV308" t="str">
        <f t="shared" ca="1" si="171"/>
        <v/>
      </c>
      <c r="GW308" t="str">
        <f t="shared" ca="1" si="172"/>
        <v/>
      </c>
      <c r="GX308" t="str">
        <f t="shared" ca="1" si="173"/>
        <v/>
      </c>
    </row>
    <row r="309" spans="102:206" x14ac:dyDescent="0.2">
      <c r="CX309" t="s">
        <v>1182</v>
      </c>
      <c r="CY309" t="s">
        <v>74</v>
      </c>
      <c r="CZ309" t="s">
        <v>75</v>
      </c>
      <c r="DA309" t="s">
        <v>77</v>
      </c>
      <c r="DC309" t="s">
        <v>7296</v>
      </c>
      <c r="DD309" t="s">
        <v>1028</v>
      </c>
      <c r="DE309" t="s">
        <v>3380</v>
      </c>
      <c r="DF309" t="s">
        <v>1617</v>
      </c>
      <c r="DG309" t="s">
        <v>1955</v>
      </c>
      <c r="DH309" t="s">
        <v>6973</v>
      </c>
      <c r="DI309" t="s">
        <v>4338</v>
      </c>
      <c r="DJ309">
        <v>2</v>
      </c>
      <c r="DK309">
        <f t="shared" ref="DK309:DK330" si="178">VLOOKUP($CX309,ZEILENBEZUG,2,FALSE)</f>
        <v>630</v>
      </c>
      <c r="DL309">
        <f t="shared" si="176"/>
        <v>307</v>
      </c>
      <c r="DM309">
        <v>275</v>
      </c>
      <c r="DN309" t="str">
        <f t="shared" ca="1" si="164"/>
        <v/>
      </c>
      <c r="DO309" t="str">
        <f t="shared" ca="1" si="165"/>
        <v/>
      </c>
      <c r="DP309" t="str">
        <f t="shared" ca="1" si="166"/>
        <v/>
      </c>
      <c r="DQ309" t="str">
        <f>IF(EXACT(Zauber!$A$250,""),"",IF(EXACT(RIGHT(HLOOKUP(Zauber!$A$250,PROFMAGIE,$DK309,FALSE)),"H"),CONCATENATE($CX309,","),""))</f>
        <v/>
      </c>
      <c r="DR309" t="str">
        <f t="shared" si="167"/>
        <v/>
      </c>
      <c r="DS309" t="str">
        <f>IF(ZS_IAAK="Ja",IF(EXACT(RIGHT(HLOOKUP(Tabellen_Magie!$IK$1,PROFMAGIE,$DK309,FALSE)),"H"),CONCATENATE($CX309,","),""),"")</f>
        <v/>
      </c>
      <c r="DT309" t="str">
        <f>IF(ZS_IAAK="Ja",IF(NOT(DS309=""),"",IF(OR(EXACT(RIGHT(HLOOKUP(Tabellen_Magie!$IK$1,PROFMAGIE,$DK309,FALSE)),"B"),EXACT(HLOOKUP(Tabellen_Magie!$IK$1,PROFMAGIE,$DK309,FALSE),"")),"",CONCATENATE($CX309,","))),"")</f>
        <v/>
      </c>
      <c r="DU309" t="str">
        <f t="shared" si="168"/>
        <v/>
      </c>
      <c r="DW309" t="s">
        <v>8679</v>
      </c>
      <c r="DX309" t="s">
        <v>1543</v>
      </c>
      <c r="DY309" t="s">
        <v>1615</v>
      </c>
      <c r="EA309" t="s">
        <v>8677</v>
      </c>
      <c r="EC309" t="s">
        <v>2327</v>
      </c>
      <c r="ED309">
        <v>75</v>
      </c>
      <c r="EE309" t="s">
        <v>3224</v>
      </c>
      <c r="EH309">
        <f t="shared" si="174"/>
        <v>2</v>
      </c>
      <c r="GH309" t="s">
        <v>1129</v>
      </c>
      <c r="GI309" t="s">
        <v>4588</v>
      </c>
      <c r="GJ309">
        <v>5</v>
      </c>
      <c r="GK309" t="s">
        <v>4484</v>
      </c>
      <c r="GL309" t="s">
        <v>1978</v>
      </c>
      <c r="GM309" t="s">
        <v>3961</v>
      </c>
      <c r="GN309" t="s">
        <v>1974</v>
      </c>
      <c r="GO309">
        <v>256</v>
      </c>
      <c r="GP309">
        <v>203</v>
      </c>
      <c r="GR309">
        <f t="shared" si="169"/>
        <v>658</v>
      </c>
      <c r="GU309" t="str">
        <f t="shared" ca="1" si="170"/>
        <v/>
      </c>
      <c r="GV309" t="str">
        <f t="shared" ca="1" si="171"/>
        <v/>
      </c>
      <c r="GW309" t="str">
        <f t="shared" ca="1" si="172"/>
        <v/>
      </c>
      <c r="GX309" t="str">
        <f t="shared" ca="1" si="173"/>
        <v/>
      </c>
    </row>
    <row r="310" spans="102:206" x14ac:dyDescent="0.2">
      <c r="CX310" t="s">
        <v>580</v>
      </c>
      <c r="CY310" t="s">
        <v>74</v>
      </c>
      <c r="CZ310" t="s">
        <v>75</v>
      </c>
      <c r="DA310" t="s">
        <v>77</v>
      </c>
      <c r="DC310" t="s">
        <v>7314</v>
      </c>
      <c r="DD310" t="s">
        <v>1028</v>
      </c>
      <c r="DE310" t="s">
        <v>1913</v>
      </c>
      <c r="DF310" t="s">
        <v>1617</v>
      </c>
      <c r="DG310" t="s">
        <v>1955</v>
      </c>
      <c r="DH310" t="s">
        <v>6973</v>
      </c>
      <c r="DI310" t="s">
        <v>1634</v>
      </c>
      <c r="DJ310">
        <v>2</v>
      </c>
      <c r="DK310">
        <f t="shared" si="178"/>
        <v>631</v>
      </c>
      <c r="DL310">
        <f t="shared" si="176"/>
        <v>308</v>
      </c>
      <c r="DM310">
        <v>275</v>
      </c>
      <c r="DN310" t="str">
        <f t="shared" ca="1" si="164"/>
        <v/>
      </c>
      <c r="DO310" t="str">
        <f t="shared" ca="1" si="165"/>
        <v/>
      </c>
      <c r="DP310" t="str">
        <f t="shared" ca="1" si="166"/>
        <v/>
      </c>
      <c r="DQ310" t="str">
        <f>IF(EXACT(Zauber!$A$250,""),"",IF(EXACT(RIGHT(HLOOKUP(Zauber!$A$250,PROFMAGIE,$DK310,FALSE)),"H"),CONCATENATE($CX310,","),""))</f>
        <v/>
      </c>
      <c r="DR310" t="str">
        <f t="shared" si="167"/>
        <v/>
      </c>
      <c r="DS310" t="str">
        <f>IF(ZS_IAAK="Ja",IF(EXACT(RIGHT(HLOOKUP(Tabellen_Magie!$IK$1,PROFMAGIE,$DK310,FALSE)),"H"),CONCATENATE($CX310,","),""),"")</f>
        <v/>
      </c>
      <c r="DT310" t="str">
        <f>IF(ZS_IAAK="Ja",IF(NOT(DS310=""),"",IF(OR(EXACT(RIGHT(HLOOKUP(Tabellen_Magie!$IK$1,PROFMAGIE,$DK310,FALSE)),"B"),EXACT(HLOOKUP(Tabellen_Magie!$IK$1,PROFMAGIE,$DK310,FALSE),"")),"",CONCATENATE($CX310,","))),"")</f>
        <v/>
      </c>
      <c r="DU310" t="str">
        <f t="shared" si="168"/>
        <v/>
      </c>
      <c r="DW310" t="s">
        <v>3491</v>
      </c>
      <c r="DX310" t="s">
        <v>1543</v>
      </c>
      <c r="DY310" t="s">
        <v>1615</v>
      </c>
      <c r="DZ310" t="s">
        <v>1634</v>
      </c>
      <c r="EA310" t="s">
        <v>8677</v>
      </c>
      <c r="EC310" t="s">
        <v>1280</v>
      </c>
      <c r="ED310">
        <v>75</v>
      </c>
      <c r="EE310" t="s">
        <v>3226</v>
      </c>
      <c r="EH310">
        <f t="shared" si="174"/>
        <v>2</v>
      </c>
      <c r="GH310" t="s">
        <v>9365</v>
      </c>
      <c r="GI310" t="s">
        <v>4588</v>
      </c>
      <c r="GJ310">
        <v>5</v>
      </c>
      <c r="GK310" t="s">
        <v>1320</v>
      </c>
      <c r="GL310" t="s">
        <v>1979</v>
      </c>
      <c r="GM310" t="s">
        <v>1369</v>
      </c>
      <c r="GN310" t="s">
        <v>1974</v>
      </c>
      <c r="GO310">
        <v>277</v>
      </c>
      <c r="GP310">
        <v>204</v>
      </c>
      <c r="GR310">
        <f t="shared" si="169"/>
        <v>659</v>
      </c>
      <c r="GS310">
        <v>6</v>
      </c>
      <c r="GU310" t="str">
        <f t="shared" ca="1" si="170"/>
        <v/>
      </c>
      <c r="GV310" t="str">
        <f t="shared" ca="1" si="171"/>
        <v/>
      </c>
      <c r="GW310" t="str">
        <f t="shared" ca="1" si="172"/>
        <v/>
      </c>
      <c r="GX310" t="str">
        <f t="shared" ca="1" si="173"/>
        <v/>
      </c>
    </row>
    <row r="311" spans="102:206" x14ac:dyDescent="0.2">
      <c r="CX311" t="s">
        <v>291</v>
      </c>
      <c r="CY311" t="s">
        <v>74</v>
      </c>
      <c r="CZ311" t="s">
        <v>75</v>
      </c>
      <c r="DA311" t="s">
        <v>77</v>
      </c>
      <c r="DC311" t="s">
        <v>7315</v>
      </c>
      <c r="DD311" t="s">
        <v>1028</v>
      </c>
      <c r="DE311" t="s">
        <v>4580</v>
      </c>
      <c r="DF311" t="s">
        <v>1617</v>
      </c>
      <c r="DG311" t="s">
        <v>1955</v>
      </c>
      <c r="DH311" t="s">
        <v>8445</v>
      </c>
      <c r="DI311" t="s">
        <v>2996</v>
      </c>
      <c r="DJ311">
        <v>2</v>
      </c>
      <c r="DK311">
        <f t="shared" si="178"/>
        <v>632</v>
      </c>
      <c r="DL311">
        <f t="shared" si="176"/>
        <v>309</v>
      </c>
      <c r="DM311">
        <v>275</v>
      </c>
      <c r="DN311" t="str">
        <f t="shared" ca="1" si="164"/>
        <v/>
      </c>
      <c r="DO311" t="str">
        <f t="shared" ca="1" si="165"/>
        <v/>
      </c>
      <c r="DP311" t="str">
        <f t="shared" ca="1" si="166"/>
        <v/>
      </c>
      <c r="DQ311" t="str">
        <f>IF(EXACT(Zauber!$A$250,""),"",IF(EXACT(RIGHT(HLOOKUP(Zauber!$A$250,PROFMAGIE,$DK311,FALSE)),"H"),CONCATENATE($CX311,","),""))</f>
        <v/>
      </c>
      <c r="DR311" t="str">
        <f t="shared" si="167"/>
        <v/>
      </c>
      <c r="DS311" t="str">
        <f>IF(ZS_IAAK="Ja",IF(EXACT(RIGHT(HLOOKUP(Tabellen_Magie!$IK$1,PROFMAGIE,$DK311,FALSE)),"H"),CONCATENATE($CX311,","),""),"")</f>
        <v/>
      </c>
      <c r="DT311" t="str">
        <f>IF(ZS_IAAK="Ja",IF(NOT(DS311=""),"",IF(OR(EXACT(RIGHT(HLOOKUP(Tabellen_Magie!$IK$1,PROFMAGIE,$DK311,FALSE)),"B"),EXACT(HLOOKUP(Tabellen_Magie!$IK$1,PROFMAGIE,$DK311,FALSE),"")),"",CONCATENATE($CX311,","))),"")</f>
        <v/>
      </c>
      <c r="DU311" t="str">
        <f t="shared" si="168"/>
        <v/>
      </c>
      <c r="DW311" t="s">
        <v>1269</v>
      </c>
      <c r="DX311" t="s">
        <v>4350</v>
      </c>
      <c r="DY311" t="s">
        <v>4351</v>
      </c>
      <c r="EA311" t="s">
        <v>8677</v>
      </c>
      <c r="EC311" t="s">
        <v>2573</v>
      </c>
      <c r="ED311">
        <v>50</v>
      </c>
      <c r="EE311" t="s">
        <v>3224</v>
      </c>
      <c r="EH311">
        <f t="shared" si="174"/>
        <v>1</v>
      </c>
      <c r="GG311" t="s">
        <v>4588</v>
      </c>
      <c r="GH311" t="s">
        <v>1130</v>
      </c>
      <c r="GI311" t="s">
        <v>4588</v>
      </c>
      <c r="GJ311">
        <v>5</v>
      </c>
      <c r="GK311" t="s">
        <v>4116</v>
      </c>
      <c r="GL311" t="s">
        <v>567</v>
      </c>
      <c r="GM311" t="s">
        <v>1982</v>
      </c>
      <c r="GN311" t="s">
        <v>1975</v>
      </c>
      <c r="GO311">
        <v>286</v>
      </c>
      <c r="GP311">
        <v>205</v>
      </c>
      <c r="GR311">
        <f t="shared" si="169"/>
        <v>660</v>
      </c>
      <c r="GU311" t="str">
        <f t="shared" ca="1" si="170"/>
        <v/>
      </c>
      <c r="GV311" t="str">
        <f t="shared" ca="1" si="171"/>
        <v/>
      </c>
      <c r="GW311" t="str">
        <f t="shared" ca="1" si="172"/>
        <v/>
      </c>
      <c r="GX311" t="str">
        <f t="shared" ca="1" si="173"/>
        <v/>
      </c>
    </row>
    <row r="312" spans="102:206" x14ac:dyDescent="0.2">
      <c r="CX312" t="s">
        <v>579</v>
      </c>
      <c r="CY312" t="s">
        <v>74</v>
      </c>
      <c r="CZ312" t="s">
        <v>75</v>
      </c>
      <c r="DA312" t="s">
        <v>77</v>
      </c>
      <c r="DC312" t="s">
        <v>7316</v>
      </c>
      <c r="DD312" t="s">
        <v>1028</v>
      </c>
      <c r="DE312" t="s">
        <v>3571</v>
      </c>
      <c r="DF312" t="s">
        <v>1617</v>
      </c>
      <c r="DG312" t="s">
        <v>1955</v>
      </c>
      <c r="DH312" t="s">
        <v>6973</v>
      </c>
      <c r="DI312" t="s">
        <v>1632</v>
      </c>
      <c r="DJ312">
        <v>2</v>
      </c>
      <c r="DK312">
        <f t="shared" si="178"/>
        <v>633</v>
      </c>
      <c r="DL312">
        <f t="shared" si="176"/>
        <v>310</v>
      </c>
      <c r="DM312">
        <v>275</v>
      </c>
      <c r="DN312" t="str">
        <f t="shared" ca="1" si="164"/>
        <v/>
      </c>
      <c r="DO312" t="str">
        <f t="shared" ca="1" si="165"/>
        <v/>
      </c>
      <c r="DP312" t="str">
        <f t="shared" ca="1" si="166"/>
        <v/>
      </c>
      <c r="DQ312" t="str">
        <f>IF(EXACT(Zauber!$A$250,""),"",IF(EXACT(RIGHT(HLOOKUP(Zauber!$A$250,PROFMAGIE,$DK312,FALSE)),"H"),CONCATENATE($CX312,","),""))</f>
        <v/>
      </c>
      <c r="DR312" t="str">
        <f t="shared" si="167"/>
        <v/>
      </c>
      <c r="DS312" t="str">
        <f>IF(ZS_IAAK="Ja",IF(EXACT(RIGHT(HLOOKUP(Tabellen_Magie!$IK$1,PROFMAGIE,$DK312,FALSE)),"H"),CONCATENATE($CX312,","),""),"")</f>
        <v/>
      </c>
      <c r="DT312" t="str">
        <f>IF(ZS_IAAK="Ja",IF(NOT(DS312=""),"",IF(OR(EXACT(RIGHT(HLOOKUP(Tabellen_Magie!$IK$1,PROFMAGIE,$DK312,FALSE)),"B"),EXACT(HLOOKUP(Tabellen_Magie!$IK$1,PROFMAGIE,$DK312,FALSE),"")),"",CONCATENATE($CX312,","))),"")</f>
        <v/>
      </c>
      <c r="DU312" t="str">
        <f t="shared" si="168"/>
        <v/>
      </c>
      <c r="DW312" t="s">
        <v>4047</v>
      </c>
      <c r="DX312" t="s">
        <v>2940</v>
      </c>
      <c r="EA312" t="s">
        <v>8677</v>
      </c>
      <c r="EC312" t="s">
        <v>2573</v>
      </c>
      <c r="ED312">
        <v>50</v>
      </c>
      <c r="EE312" t="s">
        <v>3223</v>
      </c>
      <c r="EH312">
        <f t="shared" si="174"/>
        <v>1</v>
      </c>
      <c r="GH312" t="s">
        <v>1131</v>
      </c>
      <c r="GI312" t="s">
        <v>4588</v>
      </c>
      <c r="GJ312">
        <v>5</v>
      </c>
      <c r="GK312" t="s">
        <v>1320</v>
      </c>
      <c r="GL312" t="s">
        <v>1978</v>
      </c>
      <c r="GM312" t="s">
        <v>2685</v>
      </c>
      <c r="GN312" t="s">
        <v>1974</v>
      </c>
      <c r="GO312">
        <v>267</v>
      </c>
      <c r="GP312">
        <v>212</v>
      </c>
      <c r="GR312">
        <f t="shared" si="169"/>
        <v>661</v>
      </c>
      <c r="GU312" t="str">
        <f t="shared" ca="1" si="170"/>
        <v/>
      </c>
      <c r="GV312" t="str">
        <f t="shared" ca="1" si="171"/>
        <v/>
      </c>
      <c r="GW312" t="str">
        <f t="shared" ca="1" si="172"/>
        <v/>
      </c>
      <c r="GX312" t="str">
        <f t="shared" ca="1" si="173"/>
        <v/>
      </c>
    </row>
    <row r="313" spans="102:206" x14ac:dyDescent="0.2">
      <c r="CX313" t="s">
        <v>1183</v>
      </c>
      <c r="CY313" t="s">
        <v>74</v>
      </c>
      <c r="CZ313" t="s">
        <v>76</v>
      </c>
      <c r="DA313" t="s">
        <v>76</v>
      </c>
      <c r="DC313" t="s">
        <v>7303</v>
      </c>
      <c r="DD313" t="s">
        <v>370</v>
      </c>
      <c r="DE313" t="s">
        <v>4484</v>
      </c>
      <c r="DF313" t="s">
        <v>1358</v>
      </c>
      <c r="DG313" t="s">
        <v>1321</v>
      </c>
      <c r="DH313" t="s">
        <v>7027</v>
      </c>
      <c r="DI313" t="s">
        <v>4513</v>
      </c>
      <c r="DJ313">
        <v>2</v>
      </c>
      <c r="DK313">
        <f t="shared" si="178"/>
        <v>634</v>
      </c>
      <c r="DL313">
        <f t="shared" si="176"/>
        <v>311</v>
      </c>
      <c r="DM313">
        <v>276</v>
      </c>
      <c r="DN313" t="str">
        <f t="shared" ca="1" si="164"/>
        <v/>
      </c>
      <c r="DO313" t="str">
        <f t="shared" ca="1" si="165"/>
        <v/>
      </c>
      <c r="DP313" t="str">
        <f t="shared" ca="1" si="166"/>
        <v/>
      </c>
      <c r="DQ313" t="str">
        <f>IF(EXACT(Zauber!$A$250,""),"",IF(EXACT(RIGHT(HLOOKUP(Zauber!$A$250,PROFMAGIE,$DK313,FALSE)),"H"),CONCATENATE($CX313,","),""))</f>
        <v/>
      </c>
      <c r="DR313" t="str">
        <f t="shared" si="167"/>
        <v/>
      </c>
      <c r="DS313" t="str">
        <f>IF(ZS_IAAK="Ja",IF(EXACT(RIGHT(HLOOKUP(Tabellen_Magie!$IK$1,PROFMAGIE,$DK313,FALSE)),"H"),CONCATENATE($CX313,","),""),"")</f>
        <v/>
      </c>
      <c r="DT313" t="str">
        <f>IF(ZS_IAAK="Ja",IF(NOT(DS313=""),"",IF(OR(EXACT(RIGHT(HLOOKUP(Tabellen_Magie!$IK$1,PROFMAGIE,$DK313,FALSE)),"B"),EXACT(HLOOKUP(Tabellen_Magie!$IK$1,PROFMAGIE,$DK313,FALSE),"")),"",CONCATENATE($CX313,","))),"")</f>
        <v/>
      </c>
      <c r="DU313" t="str">
        <f t="shared" si="168"/>
        <v/>
      </c>
      <c r="DW313" t="s">
        <v>8973</v>
      </c>
      <c r="DX313" t="s">
        <v>1633</v>
      </c>
      <c r="DY313" t="s">
        <v>1615</v>
      </c>
      <c r="DZ313" t="s">
        <v>1543</v>
      </c>
      <c r="EA313" t="s">
        <v>8981</v>
      </c>
      <c r="EC313" t="s">
        <v>2304</v>
      </c>
      <c r="ED313">
        <v>100</v>
      </c>
      <c r="EE313" t="s">
        <v>3227</v>
      </c>
      <c r="EH313">
        <f t="shared" si="174"/>
        <v>2</v>
      </c>
      <c r="GH313" t="s">
        <v>1132</v>
      </c>
      <c r="GI313" t="s">
        <v>4588</v>
      </c>
      <c r="GJ313">
        <v>5</v>
      </c>
      <c r="GK313" t="s">
        <v>4116</v>
      </c>
      <c r="GL313" t="s">
        <v>1979</v>
      </c>
      <c r="GM313" t="s">
        <v>2685</v>
      </c>
      <c r="GN313" t="s">
        <v>1973</v>
      </c>
      <c r="GO313">
        <v>279</v>
      </c>
      <c r="GP313">
        <v>331</v>
      </c>
      <c r="GR313">
        <f t="shared" si="169"/>
        <v>662</v>
      </c>
      <c r="GU313" t="str">
        <f t="shared" ca="1" si="170"/>
        <v/>
      </c>
      <c r="GV313" t="str">
        <f t="shared" ca="1" si="171"/>
        <v/>
      </c>
      <c r="GW313" t="str">
        <f t="shared" ca="1" si="172"/>
        <v/>
      </c>
      <c r="GX313" t="str">
        <f t="shared" ca="1" si="173"/>
        <v/>
      </c>
    </row>
    <row r="314" spans="102:206" x14ac:dyDescent="0.2">
      <c r="CX314" t="s">
        <v>8959</v>
      </c>
      <c r="CY314" t="s">
        <v>74</v>
      </c>
      <c r="CZ314" t="s">
        <v>75</v>
      </c>
      <c r="DA314" t="s">
        <v>752</v>
      </c>
      <c r="DC314" t="s">
        <v>7299</v>
      </c>
      <c r="DD314" t="s">
        <v>8960</v>
      </c>
      <c r="DE314" t="s">
        <v>1321</v>
      </c>
      <c r="DF314" t="s">
        <v>8961</v>
      </c>
      <c r="DG314" t="s">
        <v>1956</v>
      </c>
      <c r="DH314" t="s">
        <v>8962</v>
      </c>
      <c r="DI314" t="s">
        <v>8963</v>
      </c>
      <c r="DJ314">
        <v>2</v>
      </c>
      <c r="DK314">
        <f t="shared" si="178"/>
        <v>635</v>
      </c>
      <c r="DL314">
        <f t="shared" si="176"/>
        <v>312</v>
      </c>
      <c r="DN314" t="str">
        <f t="shared" ca="1" si="164"/>
        <v/>
      </c>
      <c r="DO314" t="str">
        <f t="shared" ca="1" si="165"/>
        <v/>
      </c>
      <c r="DP314" t="str">
        <f t="shared" ca="1" si="166"/>
        <v/>
      </c>
      <c r="DQ314" t="str">
        <f>IF(EXACT(Zauber!$A$250,""),"",IF(EXACT(RIGHT(HLOOKUP(Zauber!$A$250,PROFMAGIE,$DK314,FALSE)),"H"),CONCATENATE($CX314,","),""))</f>
        <v/>
      </c>
      <c r="DR314" t="str">
        <f t="shared" si="167"/>
        <v/>
      </c>
      <c r="DS314" t="str">
        <f>IF(ZS_IAAK="Ja",IF(EXACT(RIGHT(HLOOKUP(Tabellen_Magie!$IK$1,PROFMAGIE,$DK314,FALSE)),"H"),CONCATENATE($CX314,","),""),"")</f>
        <v/>
      </c>
      <c r="DT314" t="str">
        <f>IF(ZS_IAAK="Ja",IF(NOT(DS314=""),"",IF(OR(EXACT(RIGHT(HLOOKUP(Tabellen_Magie!$IK$1,PROFMAGIE,$DK314,FALSE)),"B"),EXACT(HLOOKUP(Tabellen_Magie!$IK$1,PROFMAGIE,$DK314,FALSE),"")),"",CONCATENATE($CX314,","))),"")</f>
        <v/>
      </c>
      <c r="DU314" t="str">
        <f t="shared" si="168"/>
        <v/>
      </c>
      <c r="DW314" t="s">
        <v>4503</v>
      </c>
      <c r="DX314" t="s">
        <v>2940</v>
      </c>
      <c r="EA314" t="s">
        <v>8677</v>
      </c>
      <c r="EC314" t="s">
        <v>2302</v>
      </c>
      <c r="ED314">
        <v>150</v>
      </c>
      <c r="EE314" t="s">
        <v>3225</v>
      </c>
      <c r="EH314">
        <f t="shared" si="174"/>
        <v>3</v>
      </c>
      <c r="GH314" t="s">
        <v>1133</v>
      </c>
      <c r="GI314" t="s">
        <v>4588</v>
      </c>
      <c r="GJ314">
        <v>5</v>
      </c>
      <c r="GK314" t="s">
        <v>1320</v>
      </c>
      <c r="GL314" t="s">
        <v>1976</v>
      </c>
      <c r="GM314" t="s">
        <v>1369</v>
      </c>
      <c r="GN314" t="s">
        <v>1690</v>
      </c>
      <c r="GO314">
        <v>289</v>
      </c>
      <c r="GP314">
        <v>343</v>
      </c>
      <c r="GR314">
        <f t="shared" si="169"/>
        <v>663</v>
      </c>
      <c r="GU314" t="str">
        <f t="shared" ca="1" si="170"/>
        <v/>
      </c>
      <c r="GV314" t="str">
        <f t="shared" ca="1" si="171"/>
        <v/>
      </c>
      <c r="GW314" t="str">
        <f t="shared" ca="1" si="172"/>
        <v/>
      </c>
      <c r="GX314" t="str">
        <f t="shared" ca="1" si="173"/>
        <v/>
      </c>
    </row>
    <row r="315" spans="102:206" x14ac:dyDescent="0.2">
      <c r="CX315" t="s">
        <v>1184</v>
      </c>
      <c r="CY315" t="s">
        <v>74</v>
      </c>
      <c r="CZ315" t="s">
        <v>75</v>
      </c>
      <c r="DA315" t="s">
        <v>5030</v>
      </c>
      <c r="DC315" t="s">
        <v>7296</v>
      </c>
      <c r="DD315" t="s">
        <v>4718</v>
      </c>
      <c r="DE315" t="s">
        <v>2397</v>
      </c>
      <c r="DF315" t="s">
        <v>1622</v>
      </c>
      <c r="DG315" t="s">
        <v>1956</v>
      </c>
      <c r="DH315" t="s">
        <v>7028</v>
      </c>
      <c r="DI315" t="s">
        <v>1647</v>
      </c>
      <c r="DJ315">
        <v>2</v>
      </c>
      <c r="DK315">
        <f t="shared" si="178"/>
        <v>636</v>
      </c>
      <c r="DL315">
        <f t="shared" si="176"/>
        <v>313</v>
      </c>
      <c r="DM315">
        <v>277</v>
      </c>
      <c r="DN315" t="str">
        <f t="shared" ca="1" si="164"/>
        <v/>
      </c>
      <c r="DO315" t="str">
        <f t="shared" ca="1" si="165"/>
        <v/>
      </c>
      <c r="DP315" t="str">
        <f t="shared" ca="1" si="166"/>
        <v/>
      </c>
      <c r="DQ315" t="str">
        <f>IF(EXACT(Zauber!$A$250,""),"",IF(EXACT(RIGHT(HLOOKUP(Zauber!$A$250,PROFMAGIE,$DK315,FALSE)),"H"),CONCATENATE($CX315,","),""))</f>
        <v/>
      </c>
      <c r="DR315" t="str">
        <f t="shared" si="167"/>
        <v/>
      </c>
      <c r="DS315" t="str">
        <f>IF(ZS_IAAK="Ja",IF(EXACT(RIGHT(HLOOKUP(Tabellen_Magie!$IK$1,PROFMAGIE,$DK315,FALSE)),"H"),CONCATENATE($CX315,","),""),"")</f>
        <v/>
      </c>
      <c r="DT315" t="str">
        <f>IF(ZS_IAAK="Ja",IF(NOT(DS315=""),"",IF(OR(EXACT(RIGHT(HLOOKUP(Tabellen_Magie!$IK$1,PROFMAGIE,$DK315,FALSE)),"B"),EXACT(HLOOKUP(Tabellen_Magie!$IK$1,PROFMAGIE,$DK315,FALSE),"")),"",CONCATENATE($CX315,","))),"")</f>
        <v/>
      </c>
      <c r="DU315" t="str">
        <f t="shared" si="168"/>
        <v/>
      </c>
      <c r="DW315" t="s">
        <v>8680</v>
      </c>
      <c r="DX315" t="s">
        <v>1166</v>
      </c>
      <c r="DY315" t="s">
        <v>8681</v>
      </c>
      <c r="EA315" t="s">
        <v>8677</v>
      </c>
      <c r="EC315" t="s">
        <v>2304</v>
      </c>
      <c r="ED315">
        <v>200</v>
      </c>
      <c r="EE315" t="s">
        <v>3224</v>
      </c>
      <c r="EH315">
        <f t="shared" si="174"/>
        <v>4</v>
      </c>
      <c r="GH315" t="s">
        <v>349</v>
      </c>
      <c r="GI315" t="s">
        <v>4588</v>
      </c>
      <c r="GJ315">
        <v>5</v>
      </c>
      <c r="GK315" t="s">
        <v>1320</v>
      </c>
      <c r="GL315" t="s">
        <v>567</v>
      </c>
      <c r="GM315" t="s">
        <v>1369</v>
      </c>
      <c r="GN315" t="s">
        <v>1974</v>
      </c>
      <c r="GO315">
        <v>274</v>
      </c>
      <c r="GP315">
        <v>231</v>
      </c>
      <c r="GR315">
        <f t="shared" si="169"/>
        <v>664</v>
      </c>
      <c r="GU315" t="str">
        <f t="shared" ca="1" si="170"/>
        <v/>
      </c>
      <c r="GV315" t="str">
        <f t="shared" ca="1" si="171"/>
        <v/>
      </c>
      <c r="GW315" t="str">
        <f t="shared" ca="1" si="172"/>
        <v/>
      </c>
      <c r="GX315" t="str">
        <f t="shared" ca="1" si="173"/>
        <v/>
      </c>
    </row>
    <row r="316" spans="102:206" x14ac:dyDescent="0.2">
      <c r="CX316" t="s">
        <v>1185</v>
      </c>
      <c r="CY316" t="s">
        <v>76</v>
      </c>
      <c r="CZ316" t="s">
        <v>77</v>
      </c>
      <c r="DA316" t="s">
        <v>5030</v>
      </c>
      <c r="DB316" t="s">
        <v>1613</v>
      </c>
      <c r="DC316" t="s">
        <v>7288</v>
      </c>
      <c r="DD316" t="s">
        <v>124</v>
      </c>
      <c r="DE316" t="s">
        <v>2254</v>
      </c>
      <c r="DF316" t="s">
        <v>81</v>
      </c>
      <c r="DG316" t="s">
        <v>1956</v>
      </c>
      <c r="DH316" t="s">
        <v>6887</v>
      </c>
      <c r="DI316" t="s">
        <v>2823</v>
      </c>
      <c r="DJ316">
        <v>2</v>
      </c>
      <c r="DK316">
        <f t="shared" si="178"/>
        <v>637</v>
      </c>
      <c r="DL316">
        <f t="shared" si="176"/>
        <v>314</v>
      </c>
      <c r="DM316">
        <v>79</v>
      </c>
      <c r="DN316" t="str">
        <f t="shared" ca="1" si="164"/>
        <v/>
      </c>
      <c r="DO316" t="str">
        <f t="shared" ca="1" si="165"/>
        <v/>
      </c>
      <c r="DP316" t="str">
        <f t="shared" ca="1" si="166"/>
        <v/>
      </c>
      <c r="DQ316" t="str">
        <f>IF(EXACT(Zauber!$A$250,""),"",IF(EXACT(RIGHT(HLOOKUP(Zauber!$A$250,PROFMAGIE,$DK316,FALSE)),"H"),CONCATENATE($CX316,","),""))</f>
        <v/>
      </c>
      <c r="DR316" t="str">
        <f t="shared" si="167"/>
        <v/>
      </c>
      <c r="DS316" t="str">
        <f>IF(ZS_IAAK="Ja",IF(EXACT(RIGHT(HLOOKUP(Tabellen_Magie!$IK$1,PROFMAGIE,$DK316,FALSE)),"H"),CONCATENATE($CX316,","),""),"")</f>
        <v/>
      </c>
      <c r="DT316" t="str">
        <f>IF(ZS_IAAK="Ja",IF(NOT(DS316=""),"",IF(OR(EXACT(RIGHT(HLOOKUP(Tabellen_Magie!$IK$1,PROFMAGIE,$DK316,FALSE)),"B"),EXACT(HLOOKUP(Tabellen_Magie!$IK$1,PROFMAGIE,$DK316,FALSE),"")),"",CONCATENATE($CX316,","))),"")</f>
        <v/>
      </c>
      <c r="DU316" t="str">
        <f t="shared" si="168"/>
        <v/>
      </c>
      <c r="DW316" t="s">
        <v>8682</v>
      </c>
      <c r="DX316" t="s">
        <v>4349</v>
      </c>
      <c r="DY316" t="s">
        <v>1543</v>
      </c>
      <c r="DZ316" t="s">
        <v>1615</v>
      </c>
      <c r="EA316" t="s">
        <v>8677</v>
      </c>
      <c r="EC316" t="s">
        <v>2304</v>
      </c>
      <c r="ED316">
        <v>175</v>
      </c>
      <c r="EE316" t="s">
        <v>3227</v>
      </c>
      <c r="EH316">
        <f t="shared" si="174"/>
        <v>4</v>
      </c>
      <c r="GH316" t="s">
        <v>350</v>
      </c>
      <c r="GI316" t="s">
        <v>4588</v>
      </c>
      <c r="GJ316">
        <v>5</v>
      </c>
      <c r="GK316" t="s">
        <v>4542</v>
      </c>
      <c r="GL316" t="s">
        <v>1976</v>
      </c>
      <c r="GM316" t="s">
        <v>1982</v>
      </c>
      <c r="GN316" t="s">
        <v>1975</v>
      </c>
      <c r="GO316">
        <v>275</v>
      </c>
      <c r="GP316">
        <v>233</v>
      </c>
      <c r="GR316">
        <f t="shared" si="169"/>
        <v>665</v>
      </c>
      <c r="GU316" t="str">
        <f t="shared" ca="1" si="170"/>
        <v/>
      </c>
      <c r="GV316" t="str">
        <f t="shared" ca="1" si="171"/>
        <v/>
      </c>
      <c r="GW316" t="str">
        <f t="shared" ca="1" si="172"/>
        <v/>
      </c>
      <c r="GX316" t="str">
        <f t="shared" ca="1" si="173"/>
        <v/>
      </c>
    </row>
    <row r="317" spans="102:206" x14ac:dyDescent="0.2">
      <c r="CX317" t="s">
        <v>8964</v>
      </c>
      <c r="CY317" t="s">
        <v>74</v>
      </c>
      <c r="CZ317" t="s">
        <v>75</v>
      </c>
      <c r="DA317" t="s">
        <v>77</v>
      </c>
      <c r="DC317" t="s">
        <v>7296</v>
      </c>
      <c r="DD317" t="s">
        <v>1028</v>
      </c>
      <c r="DE317" t="s">
        <v>3380</v>
      </c>
      <c r="DF317" t="s">
        <v>1617</v>
      </c>
      <c r="DG317" t="s">
        <v>1955</v>
      </c>
      <c r="DH317" t="s">
        <v>8953</v>
      </c>
      <c r="DI317" t="s">
        <v>1632</v>
      </c>
      <c r="DJ317">
        <v>2</v>
      </c>
      <c r="DK317">
        <f t="shared" si="178"/>
        <v>638</v>
      </c>
      <c r="DL317">
        <f t="shared" si="176"/>
        <v>315</v>
      </c>
      <c r="DN317" t="str">
        <f t="shared" ca="1" si="164"/>
        <v/>
      </c>
      <c r="DO317" t="str">
        <f t="shared" ca="1" si="165"/>
        <v/>
      </c>
      <c r="DP317" t="str">
        <f t="shared" ca="1" si="166"/>
        <v/>
      </c>
      <c r="DQ317" t="str">
        <f>IF(EXACT(Zauber!$A$250,""),"",IF(EXACT(RIGHT(HLOOKUP(Zauber!$A$250,PROFMAGIE,$DK317,FALSE)),"H"),CONCATENATE($CX317,","),""))</f>
        <v/>
      </c>
      <c r="DR317" t="str">
        <f t="shared" si="167"/>
        <v/>
      </c>
      <c r="DS317" t="str">
        <f>IF(ZS_IAAK="Ja",IF(EXACT(RIGHT(HLOOKUP(Tabellen_Magie!$IK$1,PROFMAGIE,$DK317,FALSE)),"H"),CONCATENATE($CX317,","),""),"")</f>
        <v/>
      </c>
      <c r="DT317" t="str">
        <f>IF(ZS_IAAK="Ja",IF(NOT(DS317=""),"",IF(OR(EXACT(RIGHT(HLOOKUP(Tabellen_Magie!$IK$1,PROFMAGIE,$DK317,FALSE)),"B"),EXACT(HLOOKUP(Tabellen_Magie!$IK$1,PROFMAGIE,$DK317,FALSE),"")),"",CONCATENATE($CX317,","))),"")</f>
        <v/>
      </c>
      <c r="DU317" t="str">
        <f t="shared" si="168"/>
        <v/>
      </c>
      <c r="DW317" t="s">
        <v>8683</v>
      </c>
      <c r="DX317" t="s">
        <v>4350</v>
      </c>
      <c r="DY317" t="s">
        <v>1543</v>
      </c>
      <c r="EA317" t="s">
        <v>8677</v>
      </c>
      <c r="EC317" t="s">
        <v>2573</v>
      </c>
      <c r="ED317">
        <v>50</v>
      </c>
      <c r="EE317" t="s">
        <v>3223</v>
      </c>
      <c r="EH317">
        <f t="shared" si="174"/>
        <v>1</v>
      </c>
      <c r="GH317" t="s">
        <v>9366</v>
      </c>
      <c r="GI317" t="s">
        <v>4588</v>
      </c>
      <c r="GJ317">
        <v>5</v>
      </c>
      <c r="GK317" t="s">
        <v>4116</v>
      </c>
      <c r="GL317" t="s">
        <v>1977</v>
      </c>
      <c r="GM317" t="s">
        <v>1984</v>
      </c>
      <c r="GN317" t="s">
        <v>1973</v>
      </c>
      <c r="GO317" t="s">
        <v>9314</v>
      </c>
      <c r="GP317">
        <v>255</v>
      </c>
      <c r="GR317">
        <f t="shared" si="169"/>
        <v>666</v>
      </c>
      <c r="GU317" t="str">
        <f t="shared" ca="1" si="170"/>
        <v/>
      </c>
      <c r="GV317" t="str">
        <f t="shared" ca="1" si="171"/>
        <v/>
      </c>
      <c r="GW317" t="str">
        <f t="shared" ca="1" si="172"/>
        <v/>
      </c>
      <c r="GX317" t="str">
        <f t="shared" ca="1" si="173"/>
        <v/>
      </c>
    </row>
    <row r="318" spans="102:206" x14ac:dyDescent="0.2">
      <c r="CX318" t="s">
        <v>3890</v>
      </c>
      <c r="CY318" t="s">
        <v>74</v>
      </c>
      <c r="CZ318" t="s">
        <v>75</v>
      </c>
      <c r="DA318" t="s">
        <v>752</v>
      </c>
      <c r="DC318" t="s">
        <v>7289</v>
      </c>
      <c r="DD318" t="s">
        <v>1691</v>
      </c>
      <c r="DE318" t="s">
        <v>1321</v>
      </c>
      <c r="DF318" t="s">
        <v>1617</v>
      </c>
      <c r="DG318" t="s">
        <v>1956</v>
      </c>
      <c r="DH318" t="s">
        <v>7029</v>
      </c>
      <c r="DI318" t="s">
        <v>8463</v>
      </c>
      <c r="DJ318">
        <v>2</v>
      </c>
      <c r="DK318">
        <f t="shared" si="178"/>
        <v>639</v>
      </c>
      <c r="DL318">
        <f t="shared" si="176"/>
        <v>316</v>
      </c>
      <c r="DM318">
        <v>278</v>
      </c>
      <c r="DN318" t="str">
        <f t="shared" ca="1" si="164"/>
        <v/>
      </c>
      <c r="DO318" t="str">
        <f t="shared" ca="1" si="165"/>
        <v/>
      </c>
      <c r="DP318" t="str">
        <f t="shared" ca="1" si="166"/>
        <v/>
      </c>
      <c r="DQ318" t="str">
        <f>IF(EXACT(Zauber!$A$250,""),"",IF(EXACT(RIGHT(HLOOKUP(Zauber!$A$250,PROFMAGIE,$DK318,FALSE)),"H"),CONCATENATE($CX318,","),""))</f>
        <v/>
      </c>
      <c r="DR318" t="str">
        <f t="shared" si="167"/>
        <v/>
      </c>
      <c r="DS318" t="str">
        <f>IF(ZS_IAAK="Ja",IF(EXACT(RIGHT(HLOOKUP(Tabellen_Magie!$IK$1,PROFMAGIE,$DK318,FALSE)),"H"),CONCATENATE($CX318,","),""),"")</f>
        <v/>
      </c>
      <c r="DT318" t="str">
        <f>IF(ZS_IAAK="Ja",IF(NOT(DS318=""),"",IF(OR(EXACT(RIGHT(HLOOKUP(Tabellen_Magie!$IK$1,PROFMAGIE,$DK318,FALSE)),"B"),EXACT(HLOOKUP(Tabellen_Magie!$IK$1,PROFMAGIE,$DK318,FALSE),"")),"",CONCATENATE($CX318,","))),"")</f>
        <v/>
      </c>
      <c r="DU318" t="str">
        <f t="shared" si="168"/>
        <v/>
      </c>
      <c r="DW318" t="s">
        <v>8684</v>
      </c>
      <c r="DX318" t="s">
        <v>1543</v>
      </c>
      <c r="DY318" t="s">
        <v>1615</v>
      </c>
      <c r="EA318" t="s">
        <v>8677</v>
      </c>
      <c r="EC318" t="s">
        <v>1280</v>
      </c>
      <c r="ED318">
        <v>100</v>
      </c>
      <c r="EE318" t="s">
        <v>2012</v>
      </c>
      <c r="EH318">
        <f t="shared" si="174"/>
        <v>2</v>
      </c>
      <c r="GH318" t="s">
        <v>351</v>
      </c>
      <c r="GI318" t="s">
        <v>4588</v>
      </c>
      <c r="GJ318">
        <v>5</v>
      </c>
      <c r="GK318" t="s">
        <v>4116</v>
      </c>
      <c r="GL318" t="s">
        <v>1976</v>
      </c>
      <c r="GM318" t="s">
        <v>1983</v>
      </c>
      <c r="GN318" t="s">
        <v>1973</v>
      </c>
      <c r="GO318">
        <v>262</v>
      </c>
      <c r="GP318">
        <v>256</v>
      </c>
      <c r="GR318">
        <f t="shared" si="169"/>
        <v>667</v>
      </c>
      <c r="GU318" t="str">
        <f t="shared" ca="1" si="170"/>
        <v/>
      </c>
      <c r="GV318" t="str">
        <f t="shared" ca="1" si="171"/>
        <v/>
      </c>
      <c r="GW318" t="str">
        <f t="shared" ca="1" si="172"/>
        <v/>
      </c>
      <c r="GX318" t="str">
        <f t="shared" ca="1" si="173"/>
        <v/>
      </c>
    </row>
    <row r="319" spans="102:206" x14ac:dyDescent="0.2">
      <c r="CX319" t="s">
        <v>3891</v>
      </c>
      <c r="CY319" t="s">
        <v>76</v>
      </c>
      <c r="CZ319" t="s">
        <v>77</v>
      </c>
      <c r="DA319" t="s">
        <v>750</v>
      </c>
      <c r="DC319" t="s">
        <v>7289</v>
      </c>
      <c r="DD319" t="s">
        <v>1819</v>
      </c>
      <c r="DE319" t="s">
        <v>2397</v>
      </c>
      <c r="DF319" t="s">
        <v>2493</v>
      </c>
      <c r="DG319" t="s">
        <v>1321</v>
      </c>
      <c r="DH319" t="s">
        <v>7030</v>
      </c>
      <c r="DI319" t="s">
        <v>2793</v>
      </c>
      <c r="DJ319">
        <v>2</v>
      </c>
      <c r="DK319">
        <f t="shared" si="178"/>
        <v>640</v>
      </c>
      <c r="DL319">
        <f t="shared" si="176"/>
        <v>317</v>
      </c>
      <c r="DM319">
        <v>279</v>
      </c>
      <c r="DN319" t="str">
        <f t="shared" ca="1" si="164"/>
        <v/>
      </c>
      <c r="DO319" t="str">
        <f t="shared" ca="1" si="165"/>
        <v/>
      </c>
      <c r="DP319" t="str">
        <f t="shared" ca="1" si="166"/>
        <v/>
      </c>
      <c r="DQ319" t="str">
        <f>IF(EXACT(Zauber!$A$250,""),"",IF(EXACT(RIGHT(HLOOKUP(Zauber!$A$250,PROFMAGIE,$DK319,FALSE)),"H"),CONCATENATE($CX319,","),""))</f>
        <v/>
      </c>
      <c r="DR319" t="str">
        <f t="shared" si="167"/>
        <v/>
      </c>
      <c r="DS319" t="str">
        <f>IF(ZS_IAAK="Ja",IF(EXACT(RIGHT(HLOOKUP(Tabellen_Magie!$IK$1,PROFMAGIE,$DK319,FALSE)),"H"),CONCATENATE($CX319,","),""),"")</f>
        <v/>
      </c>
      <c r="DT319" t="str">
        <f>IF(ZS_IAAK="Ja",IF(NOT(DS319=""),"",IF(OR(EXACT(RIGHT(HLOOKUP(Tabellen_Magie!$IK$1,PROFMAGIE,$DK319,FALSE)),"B"),EXACT(HLOOKUP(Tabellen_Magie!$IK$1,PROFMAGIE,$DK319,FALSE),"")),"",CONCATENATE($CX319,","))),"")</f>
        <v/>
      </c>
      <c r="DU319" t="str">
        <f t="shared" si="168"/>
        <v/>
      </c>
      <c r="DW319" t="s">
        <v>4048</v>
      </c>
      <c r="DX319" t="s">
        <v>1543</v>
      </c>
      <c r="DY319" t="s">
        <v>1615</v>
      </c>
      <c r="DZ319" t="s">
        <v>4351</v>
      </c>
      <c r="EA319" t="s">
        <v>8677</v>
      </c>
      <c r="EC319" t="s">
        <v>2573</v>
      </c>
      <c r="ED319">
        <v>0</v>
      </c>
      <c r="EE319" t="s">
        <v>3224</v>
      </c>
      <c r="EH319">
        <f t="shared" si="174"/>
        <v>0</v>
      </c>
      <c r="GH319" t="s">
        <v>352</v>
      </c>
      <c r="GI319" t="s">
        <v>4588</v>
      </c>
      <c r="GJ319">
        <v>5</v>
      </c>
      <c r="GK319" t="s">
        <v>1320</v>
      </c>
      <c r="GL319" t="s">
        <v>567</v>
      </c>
      <c r="GM319" t="s">
        <v>1983</v>
      </c>
      <c r="GN319" t="s">
        <v>1690</v>
      </c>
      <c r="GO319">
        <v>260</v>
      </c>
      <c r="GP319">
        <v>97</v>
      </c>
      <c r="GR319">
        <f t="shared" si="169"/>
        <v>668</v>
      </c>
      <c r="GU319" t="str">
        <f t="shared" ca="1" si="170"/>
        <v/>
      </c>
      <c r="GV319" t="str">
        <f t="shared" ca="1" si="171"/>
        <v/>
      </c>
      <c r="GW319" t="str">
        <f t="shared" ca="1" si="172"/>
        <v/>
      </c>
      <c r="GX319" t="str">
        <f t="shared" ca="1" si="173"/>
        <v/>
      </c>
    </row>
    <row r="320" spans="102:206" x14ac:dyDescent="0.2">
      <c r="CX320" t="s">
        <v>4900</v>
      </c>
      <c r="CY320" t="s">
        <v>74</v>
      </c>
      <c r="CZ320" t="s">
        <v>76</v>
      </c>
      <c r="DA320" t="s">
        <v>5030</v>
      </c>
      <c r="DB320" t="s">
        <v>1613</v>
      </c>
      <c r="DC320" t="s">
        <v>2456</v>
      </c>
      <c r="DD320" t="s">
        <v>4719</v>
      </c>
      <c r="DE320" t="s">
        <v>4484</v>
      </c>
      <c r="DF320" t="s">
        <v>4720</v>
      </c>
      <c r="DG320" t="s">
        <v>1955</v>
      </c>
      <c r="DH320" t="s">
        <v>7031</v>
      </c>
      <c r="DI320" t="s">
        <v>584</v>
      </c>
      <c r="DJ320">
        <v>2</v>
      </c>
      <c r="DK320">
        <f t="shared" si="178"/>
        <v>641</v>
      </c>
      <c r="DL320">
        <f t="shared" si="176"/>
        <v>318</v>
      </c>
      <c r="DM320">
        <v>280</v>
      </c>
      <c r="DN320" t="str">
        <f t="shared" ca="1" si="164"/>
        <v/>
      </c>
      <c r="DO320" t="str">
        <f t="shared" ca="1" si="165"/>
        <v/>
      </c>
      <c r="DP320" t="str">
        <f t="shared" ca="1" si="166"/>
        <v/>
      </c>
      <c r="DQ320" t="str">
        <f>IF(EXACT(Zauber!$A$250,""),"",IF(EXACT(RIGHT(HLOOKUP(Zauber!$A$250,PROFMAGIE,$DK320,FALSE)),"H"),CONCATENATE($CX320,","),""))</f>
        <v/>
      </c>
      <c r="DR320" t="str">
        <f t="shared" si="167"/>
        <v/>
      </c>
      <c r="DS320" t="str">
        <f>IF(ZS_IAAK="Ja",IF(EXACT(RIGHT(HLOOKUP(Tabellen_Magie!$IK$1,PROFMAGIE,$DK320,FALSE)),"H"),CONCATENATE($CX320,","),""),"")</f>
        <v/>
      </c>
      <c r="DT320" t="str">
        <f>IF(ZS_IAAK="Ja",IF(NOT(DS320=""),"",IF(OR(EXACT(RIGHT(HLOOKUP(Tabellen_Magie!$IK$1,PROFMAGIE,$DK320,FALSE)),"B"),EXACT(HLOOKUP(Tabellen_Magie!$IK$1,PROFMAGIE,$DK320,FALSE),"")),"",CONCATENATE($CX320,","))),"")</f>
        <v/>
      </c>
      <c r="DU320" t="str">
        <f t="shared" si="168"/>
        <v/>
      </c>
      <c r="DW320" t="s">
        <v>8685</v>
      </c>
      <c r="DX320" t="s">
        <v>2793</v>
      </c>
      <c r="EA320" t="s">
        <v>8677</v>
      </c>
      <c r="EC320" t="s">
        <v>4565</v>
      </c>
      <c r="ED320">
        <v>100</v>
      </c>
      <c r="EE320" t="s">
        <v>3224</v>
      </c>
      <c r="EH320">
        <f t="shared" si="174"/>
        <v>2</v>
      </c>
      <c r="GH320" t="s">
        <v>353</v>
      </c>
      <c r="GI320" t="s">
        <v>4588</v>
      </c>
      <c r="GJ320">
        <v>5</v>
      </c>
      <c r="GK320" t="s">
        <v>122</v>
      </c>
      <c r="GL320" t="s">
        <v>567</v>
      </c>
      <c r="GM320" t="s">
        <v>1983</v>
      </c>
      <c r="GN320" t="s">
        <v>1690</v>
      </c>
      <c r="GO320">
        <v>271</v>
      </c>
      <c r="GP320">
        <v>267</v>
      </c>
      <c r="GR320">
        <f t="shared" si="169"/>
        <v>669</v>
      </c>
      <c r="GU320" t="str">
        <f t="shared" ca="1" si="170"/>
        <v/>
      </c>
      <c r="GV320" t="str">
        <f t="shared" ca="1" si="171"/>
        <v/>
      </c>
      <c r="GW320" t="str">
        <f t="shared" ca="1" si="172"/>
        <v/>
      </c>
      <c r="GX320" t="str">
        <f t="shared" ca="1" si="173"/>
        <v/>
      </c>
    </row>
    <row r="321" spans="102:206" x14ac:dyDescent="0.2">
      <c r="CX321" t="s">
        <v>3892</v>
      </c>
      <c r="CY321" t="s">
        <v>75</v>
      </c>
      <c r="CZ321" t="s">
        <v>76</v>
      </c>
      <c r="DA321" t="s">
        <v>77</v>
      </c>
      <c r="DC321" t="s">
        <v>7292</v>
      </c>
      <c r="DD321" t="s">
        <v>1822</v>
      </c>
      <c r="DE321" t="s">
        <v>1134</v>
      </c>
      <c r="DF321" t="s">
        <v>2493</v>
      </c>
      <c r="DG321" t="s">
        <v>1955</v>
      </c>
      <c r="DH321" t="s">
        <v>7032</v>
      </c>
      <c r="DI321" t="s">
        <v>1629</v>
      </c>
      <c r="DJ321">
        <v>2</v>
      </c>
      <c r="DK321">
        <f t="shared" si="178"/>
        <v>642</v>
      </c>
      <c r="DL321">
        <f t="shared" si="176"/>
        <v>319</v>
      </c>
      <c r="DM321">
        <v>281</v>
      </c>
      <c r="DN321" t="str">
        <f t="shared" ca="1" si="164"/>
        <v/>
      </c>
      <c r="DO321" t="str">
        <f t="shared" ca="1" si="165"/>
        <v/>
      </c>
      <c r="DP321" t="str">
        <f t="shared" ca="1" si="166"/>
        <v/>
      </c>
      <c r="DQ321" t="str">
        <f>IF(EXACT(Zauber!$A$250,""),"",IF(EXACT(RIGHT(HLOOKUP(Zauber!$A$250,PROFMAGIE,$DK321,FALSE)),"H"),CONCATENATE($CX321,","),""))</f>
        <v/>
      </c>
      <c r="DR321" t="str">
        <f t="shared" si="167"/>
        <v/>
      </c>
      <c r="DS321" t="str">
        <f>IF(ZS_IAAK="Ja",IF(EXACT(RIGHT(HLOOKUP(Tabellen_Magie!$IK$1,PROFMAGIE,$DK321,FALSE)),"H"),CONCATENATE($CX321,","),""),"")</f>
        <v/>
      </c>
      <c r="DT321" t="str">
        <f>IF(ZS_IAAK="Ja",IF(NOT(DS321=""),"",IF(OR(EXACT(RIGHT(HLOOKUP(Tabellen_Magie!$IK$1,PROFMAGIE,$DK321,FALSE)),"B"),EXACT(HLOOKUP(Tabellen_Magie!$IK$1,PROFMAGIE,$DK321,FALSE),"")),"",CONCATENATE($CX321,","))),"")</f>
        <v/>
      </c>
      <c r="DU321" t="str">
        <f t="shared" si="168"/>
        <v/>
      </c>
      <c r="DW321" t="s">
        <v>4046</v>
      </c>
      <c r="DX321" t="s">
        <v>1543</v>
      </c>
      <c r="DY321" t="s">
        <v>1615</v>
      </c>
      <c r="EA321" t="s">
        <v>8677</v>
      </c>
      <c r="EC321" t="s">
        <v>2327</v>
      </c>
      <c r="ED321">
        <v>50</v>
      </c>
      <c r="EE321" t="s">
        <v>3223</v>
      </c>
      <c r="EH321">
        <f t="shared" si="174"/>
        <v>1</v>
      </c>
      <c r="GH321" t="s">
        <v>354</v>
      </c>
      <c r="GI321" t="s">
        <v>4588</v>
      </c>
      <c r="GJ321">
        <v>5</v>
      </c>
      <c r="GK321" t="s">
        <v>1320</v>
      </c>
      <c r="GL321" t="s">
        <v>1979</v>
      </c>
      <c r="GM321" t="s">
        <v>1369</v>
      </c>
      <c r="GN321" t="s">
        <v>1974</v>
      </c>
      <c r="GO321">
        <v>289</v>
      </c>
      <c r="GP321">
        <v>153</v>
      </c>
      <c r="GR321">
        <f t="shared" si="169"/>
        <v>670</v>
      </c>
      <c r="GU321" t="str">
        <f t="shared" ca="1" si="170"/>
        <v/>
      </c>
      <c r="GV321" t="str">
        <f t="shared" ca="1" si="171"/>
        <v/>
      </c>
      <c r="GW321" t="str">
        <f t="shared" ca="1" si="172"/>
        <v/>
      </c>
      <c r="GX321" t="str">
        <f t="shared" ca="1" si="173"/>
        <v/>
      </c>
    </row>
    <row r="322" spans="102:206" x14ac:dyDescent="0.2">
      <c r="CX322" t="s">
        <v>5016</v>
      </c>
      <c r="CY322" t="s">
        <v>74</v>
      </c>
      <c r="CZ322" t="s">
        <v>751</v>
      </c>
      <c r="DA322" t="s">
        <v>751</v>
      </c>
      <c r="DC322" t="s">
        <v>7295</v>
      </c>
      <c r="DD322" t="s">
        <v>3336</v>
      </c>
      <c r="DE322" t="s">
        <v>4484</v>
      </c>
      <c r="DF322" t="s">
        <v>1358</v>
      </c>
      <c r="DG322" t="s">
        <v>1955</v>
      </c>
      <c r="DH322" t="s">
        <v>7033</v>
      </c>
      <c r="DI322" t="s">
        <v>2183</v>
      </c>
      <c r="DJ322">
        <v>2</v>
      </c>
      <c r="DK322">
        <f t="shared" si="178"/>
        <v>643</v>
      </c>
      <c r="DL322">
        <f t="shared" si="176"/>
        <v>320</v>
      </c>
      <c r="DM322">
        <v>282</v>
      </c>
      <c r="DN322" t="str">
        <f t="shared" ca="1" si="164"/>
        <v/>
      </c>
      <c r="DO322" t="str">
        <f t="shared" ca="1" si="165"/>
        <v/>
      </c>
      <c r="DP322" t="str">
        <f t="shared" ca="1" si="166"/>
        <v/>
      </c>
      <c r="DQ322" t="str">
        <f>IF(EXACT(Zauber!$A$250,""),"",IF(EXACT(RIGHT(HLOOKUP(Zauber!$A$250,PROFMAGIE,$DK322,FALSE)),"H"),CONCATENATE($CX322,","),""))</f>
        <v/>
      </c>
      <c r="DR322" t="str">
        <f t="shared" si="167"/>
        <v/>
      </c>
      <c r="DS322" t="str">
        <f>IF(ZS_IAAK="Ja",IF(EXACT(RIGHT(HLOOKUP(Tabellen_Magie!$IK$1,PROFMAGIE,$DK322,FALSE)),"H"),CONCATENATE($CX322,","),""),"")</f>
        <v/>
      </c>
      <c r="DT322" t="str">
        <f>IF(ZS_IAAK="Ja",IF(NOT(DS322=""),"",IF(OR(EXACT(RIGHT(HLOOKUP(Tabellen_Magie!$IK$1,PROFMAGIE,$DK322,FALSE)),"B"),EXACT(HLOOKUP(Tabellen_Magie!$IK$1,PROFMAGIE,$DK322,FALSE),"")),"",CONCATENATE($CX322,","))),"")</f>
        <v/>
      </c>
      <c r="DU322" t="str">
        <f t="shared" si="168"/>
        <v/>
      </c>
      <c r="DW322" t="s">
        <v>8686</v>
      </c>
      <c r="DX322" t="s">
        <v>1543</v>
      </c>
      <c r="DY322" t="s">
        <v>1615</v>
      </c>
      <c r="EA322" t="s">
        <v>8677</v>
      </c>
      <c r="EC322" t="s">
        <v>2327</v>
      </c>
      <c r="ED322">
        <v>100</v>
      </c>
      <c r="EE322" t="s">
        <v>3223</v>
      </c>
      <c r="EH322">
        <f t="shared" si="174"/>
        <v>2</v>
      </c>
      <c r="GH322" t="s">
        <v>2775</v>
      </c>
      <c r="GI322" t="s">
        <v>4588</v>
      </c>
      <c r="GJ322">
        <v>5</v>
      </c>
      <c r="GK322" t="s">
        <v>4854</v>
      </c>
      <c r="GL322" t="s">
        <v>567</v>
      </c>
      <c r="GM322" t="s">
        <v>1983</v>
      </c>
      <c r="GN322" t="s">
        <v>1975</v>
      </c>
      <c r="GO322">
        <v>262</v>
      </c>
      <c r="GP322">
        <v>284</v>
      </c>
      <c r="GR322">
        <f t="shared" si="169"/>
        <v>671</v>
      </c>
      <c r="GU322" t="str">
        <f t="shared" ca="1" si="170"/>
        <v/>
      </c>
      <c r="GV322" t="str">
        <f t="shared" ca="1" si="171"/>
        <v/>
      </c>
      <c r="GW322" t="str">
        <f t="shared" ca="1" si="172"/>
        <v/>
      </c>
      <c r="GX322" t="str">
        <f t="shared" ca="1" si="173"/>
        <v/>
      </c>
    </row>
    <row r="323" spans="102:206" x14ac:dyDescent="0.2">
      <c r="CX323" t="s">
        <v>4049</v>
      </c>
      <c r="CY323" t="s">
        <v>74</v>
      </c>
      <c r="CZ323" t="s">
        <v>77</v>
      </c>
      <c r="DA323" t="s">
        <v>751</v>
      </c>
      <c r="DB323" t="s">
        <v>1613</v>
      </c>
      <c r="DC323" t="s">
        <v>544</v>
      </c>
      <c r="DD323" t="s">
        <v>7384</v>
      </c>
      <c r="DE323" t="s">
        <v>1145</v>
      </c>
      <c r="DF323" t="s">
        <v>2365</v>
      </c>
      <c r="DG323" t="s">
        <v>1828</v>
      </c>
      <c r="DH323" t="s">
        <v>7034</v>
      </c>
      <c r="DI323" t="s">
        <v>3500</v>
      </c>
      <c r="DJ323">
        <v>2</v>
      </c>
      <c r="DK323">
        <f t="shared" si="178"/>
        <v>644</v>
      </c>
      <c r="DL323">
        <f t="shared" si="176"/>
        <v>321</v>
      </c>
      <c r="DM323">
        <v>283</v>
      </c>
      <c r="DN323" t="str">
        <f t="shared" ca="1" si="164"/>
        <v/>
      </c>
      <c r="DO323" t="str">
        <f t="shared" ca="1" si="165"/>
        <v/>
      </c>
      <c r="DP323" t="str">
        <f t="shared" ca="1" si="166"/>
        <v/>
      </c>
      <c r="DQ323" t="str">
        <f>IF(EXACT(Zauber!$A$250,""),"",IF(EXACT(RIGHT(HLOOKUP(Zauber!$A$250,PROFMAGIE,$DK323,FALSE)),"H"),CONCATENATE($CX323,","),""))</f>
        <v/>
      </c>
      <c r="DR323" t="str">
        <f t="shared" si="167"/>
        <v/>
      </c>
      <c r="DS323" t="str">
        <f>IF(ZS_IAAK="Ja",IF(EXACT(RIGHT(HLOOKUP(Tabellen_Magie!$IK$1,PROFMAGIE,$DK323,FALSE)),"H"),CONCATENATE($CX323,","),""),"")</f>
        <v/>
      </c>
      <c r="DT323" t="str">
        <f>IF(ZS_IAAK="Ja",IF(NOT(DS323=""),"",IF(OR(EXACT(RIGHT(HLOOKUP(Tabellen_Magie!$IK$1,PROFMAGIE,$DK323,FALSE)),"B"),EXACT(HLOOKUP(Tabellen_Magie!$IK$1,PROFMAGIE,$DK323,FALSE),"")),"",CONCATENATE($CX323,","))),"")</f>
        <v/>
      </c>
      <c r="DU323" t="str">
        <f t="shared" si="168"/>
        <v/>
      </c>
      <c r="DW323" t="s">
        <v>3492</v>
      </c>
      <c r="DX323" t="s">
        <v>1543</v>
      </c>
      <c r="DY323" t="s">
        <v>1615</v>
      </c>
      <c r="EA323" t="s">
        <v>8677</v>
      </c>
      <c r="EC323" t="s">
        <v>4565</v>
      </c>
      <c r="ED323">
        <v>100</v>
      </c>
      <c r="EE323" t="s">
        <v>3223</v>
      </c>
      <c r="EH323">
        <f t="shared" si="174"/>
        <v>2</v>
      </c>
      <c r="GH323" t="s">
        <v>2776</v>
      </c>
      <c r="GI323" t="s">
        <v>4588</v>
      </c>
      <c r="GJ323">
        <v>5</v>
      </c>
      <c r="GK323" t="s">
        <v>4543</v>
      </c>
      <c r="GL323" t="s">
        <v>1977</v>
      </c>
      <c r="GM323" t="s">
        <v>1983</v>
      </c>
      <c r="GN323" t="s">
        <v>1690</v>
      </c>
      <c r="GO323">
        <v>264</v>
      </c>
      <c r="GP323">
        <v>301</v>
      </c>
      <c r="GR323">
        <f t="shared" si="169"/>
        <v>672</v>
      </c>
      <c r="GU323" t="str">
        <f t="shared" ca="1" si="170"/>
        <v/>
      </c>
      <c r="GV323" t="str">
        <f t="shared" ca="1" si="171"/>
        <v/>
      </c>
      <c r="GW323" t="str">
        <f t="shared" ca="1" si="172"/>
        <v/>
      </c>
      <c r="GX323" t="str">
        <f t="shared" ca="1" si="173"/>
        <v/>
      </c>
    </row>
    <row r="324" spans="102:206" x14ac:dyDescent="0.2">
      <c r="CX324" t="s">
        <v>3893</v>
      </c>
      <c r="CY324" t="s">
        <v>74</v>
      </c>
      <c r="CZ324" t="s">
        <v>76</v>
      </c>
      <c r="DA324" t="s">
        <v>751</v>
      </c>
      <c r="DC324" t="s">
        <v>1362</v>
      </c>
      <c r="DD324" t="s">
        <v>4744</v>
      </c>
      <c r="DE324" t="s">
        <v>1321</v>
      </c>
      <c r="DF324" t="s">
        <v>4074</v>
      </c>
      <c r="DG324" t="s">
        <v>1955</v>
      </c>
      <c r="DH324" t="s">
        <v>6930</v>
      </c>
      <c r="DI324" t="s">
        <v>4516</v>
      </c>
      <c r="DJ324">
        <v>2</v>
      </c>
      <c r="DK324">
        <f>VLOOKUP($CX324,ZEILENBEZUG,2,FALSE)</f>
        <v>645</v>
      </c>
      <c r="DL324">
        <f t="shared" si="176"/>
        <v>322</v>
      </c>
      <c r="DM324">
        <v>285</v>
      </c>
      <c r="DN324" t="str">
        <f t="shared" ref="DN324:DN340" ca="1" si="179">IF(VT_VRTLZBR,
IF(NOT(ISERROR(FIND($CX324,VT_UEBERBEG,1))),CONCATENATE($CX324,","),""),
IF(OR(MAGISCH,MAGISCH_EIGN),
IF(OR(EXACT(RIGHT(HLOOKUP(PROFGENE,INDIRECT(PROFGEBIET),$DK324,FALSE)),"H"),EXACT(RIGHT(HLOOKUP(KULTURGENE,KULTUR,$DK324,FALSE)),"H"),IF(EXACT(DQ324,""),FALSE,TRUE),IF(EXACT(DS324,""),FALSE,TRUE)),CONCATENATE($CX324,","),
IF(ISERROR(VLOOKUP(CX324,ZAUBER_HAUS_NEU,1,FALSE)),"",CONCATENATE($CX324,","))
),""))</f>
        <v/>
      </c>
      <c r="DO324" t="str">
        <f t="shared" ref="DO324:DO340" ca="1" si="180">IF(AND(OR(MAGISCH,MAGISCH_EIGN),DN324=""),IF(AND(OR(PROFGEBGENE="Goetter",EXACT(RIGHT(HLOOKUP(PROFGENE,INDIRECT(PROFGEBIET),$DK324,FALSE)),"B"),EXACT(RIGHT(HLOOKUP(PROFGENE,INDIRECT(PROFGEBIET),$DK324,FALSE)),"")),OR(PROFGEBGENE="Goetter",EXACT(RIGHT(HLOOKUP(KULTURGENE,KULTUR,$DK324,FALSE)),"B"),EXACT(RIGHT(HLOOKUP(KULTURGENE,KULTUR,$DK324,FALSE)),""))),
IF(ISERROR(VLOOKUP(CX324,ZAUBER_START_NEU,1,FALSE)),"",CONCATENATE($CX324,",")),
CONCATENATE($CX324,",")),
"")</f>
        <v/>
      </c>
      <c r="DP324" t="str">
        <f t="shared" ref="DP324:DP340" ca="1" si="181">IF(AND(OR(MAGISCH,MAGISCH_EIGN),DN324="",DO324="",
OR(EXACT(RIGHT(HLOOKUP(KULTURGENE,KULTUR,$DK324,FALSE)),"B"),IF(PROFGEBGENE="Goetter",FALSE,EXACT(HLOOKUP(PROFGENE,INDIRECT(PROFGEBIET),$DK324,FALSE),"B")),IF(EXACT(DR324,""),FALSE,TRUE),IF(EXACT(DT324,""),FALSE,TRUE),IF(EXACT(DU324,""),FALSE,TRUE))),CONCATENATE($CX324,","),"")</f>
        <v/>
      </c>
      <c r="DQ324" t="str">
        <f>IF(EXACT(Zauber!$A$250,""),"",IF(EXACT(RIGHT(HLOOKUP(Zauber!$A$250,PROFMAGIE,$DK324,FALSE)),"H"),CONCATENATE($CX324,","),""))</f>
        <v/>
      </c>
      <c r="DR324" t="str">
        <f t="shared" ref="DR324:DR340" si="182">IF(EXACT(ZS_AKADEMIE,""),"",IF(NOT(DQ324=""),"",IF(OR(EXACT(RIGHT(HLOOKUP(ZS_AKADEMIE,PROFMAGIE,$DK324,FALSE)),"B"),EXACT(HLOOKUP(ZS_AKADEMIE,PROFMAGIE,$DK324,FALSE),"")),"",CONCATENATE($CX324,","))))</f>
        <v/>
      </c>
      <c r="DS324" t="str">
        <f>IF(ZS_IAAK="Ja",IF(EXACT(RIGHT(HLOOKUP(Tabellen_Magie!$IK$1,PROFMAGIE,$DK324,FALSE)),"H"),CONCATENATE($CX324,","),""),"")</f>
        <v/>
      </c>
      <c r="DT324" t="str">
        <f>IF(ZS_IAAK="Ja",IF(NOT(DS324=""),"",IF(OR(EXACT(RIGHT(HLOOKUP(Tabellen_Magie!$IK$1,PROFMAGIE,$DK324,FALSE)),"B"),EXACT(HLOOKUP(Tabellen_Magie!$IK$1,PROFMAGIE,$DK324,FALSE),"")),"",CONCATENATE($CX324,","))),"")</f>
        <v/>
      </c>
      <c r="DU324" t="str">
        <f t="shared" ref="DU324:DU340" si="183">IF(EXACT(ZS_AKADEMIE,""),"",IF(NOT(DQ324=""),"",IF(EXACT(RIGHT(HLOOKUP(ZS_AKADEMIE,PROFMAGIE,$DK324,FALSE)),"B"),CONCATENATE($CX324,","),"")))</f>
        <v/>
      </c>
      <c r="DW324" t="s">
        <v>8687</v>
      </c>
      <c r="DX324" t="s">
        <v>2996</v>
      </c>
      <c r="DY324" t="s">
        <v>1543</v>
      </c>
      <c r="DZ324" t="s">
        <v>1615</v>
      </c>
      <c r="EA324" t="s">
        <v>8677</v>
      </c>
      <c r="EC324" t="s">
        <v>2327</v>
      </c>
      <c r="ED324">
        <v>75</v>
      </c>
      <c r="EE324" t="s">
        <v>3223</v>
      </c>
      <c r="EH324">
        <f t="shared" si="174"/>
        <v>2</v>
      </c>
      <c r="GH324" t="s">
        <v>2777</v>
      </c>
      <c r="GI324" t="s">
        <v>4588</v>
      </c>
      <c r="GJ324">
        <v>5</v>
      </c>
      <c r="GK324" t="s">
        <v>4484</v>
      </c>
      <c r="GL324" t="s">
        <v>567</v>
      </c>
      <c r="GM324" t="s">
        <v>1984</v>
      </c>
      <c r="GN324" t="s">
        <v>1974</v>
      </c>
      <c r="GO324">
        <v>266</v>
      </c>
      <c r="GP324">
        <v>308</v>
      </c>
      <c r="GR324">
        <f t="shared" si="169"/>
        <v>673</v>
      </c>
      <c r="GU324" t="str">
        <f t="shared" ca="1" si="170"/>
        <v/>
      </c>
      <c r="GV324" t="str">
        <f t="shared" ca="1" si="171"/>
        <v/>
      </c>
      <c r="GW324" t="str">
        <f t="shared" ca="1" si="172"/>
        <v/>
      </c>
      <c r="GX324" t="str">
        <f t="shared" ca="1" si="173"/>
        <v/>
      </c>
    </row>
    <row r="325" spans="102:206" x14ac:dyDescent="0.2">
      <c r="CX325" t="s">
        <v>8969</v>
      </c>
      <c r="CY325" t="s">
        <v>74</v>
      </c>
      <c r="CZ325" t="s">
        <v>75</v>
      </c>
      <c r="DA325" t="s">
        <v>77</v>
      </c>
      <c r="DC325" t="s">
        <v>7296</v>
      </c>
      <c r="DD325" t="s">
        <v>1028</v>
      </c>
      <c r="DE325" t="s">
        <v>3380</v>
      </c>
      <c r="DF325" t="s">
        <v>1617</v>
      </c>
      <c r="DG325" t="s">
        <v>1955</v>
      </c>
      <c r="DH325" t="s">
        <v>8953</v>
      </c>
      <c r="DI325" t="s">
        <v>8970</v>
      </c>
      <c r="DJ325">
        <v>2</v>
      </c>
      <c r="DK325">
        <f>VLOOKUP($CX325,ZEILENBEZUG,2,FALSE)</f>
        <v>646</v>
      </c>
      <c r="DL325">
        <f t="shared" si="176"/>
        <v>323</v>
      </c>
      <c r="DN325" t="str">
        <f t="shared" ca="1" si="179"/>
        <v/>
      </c>
      <c r="DO325" t="str">
        <f t="shared" ca="1" si="180"/>
        <v/>
      </c>
      <c r="DP325" t="str">
        <f t="shared" ca="1" si="181"/>
        <v/>
      </c>
      <c r="DQ325" t="str">
        <f>IF(EXACT(Zauber!$A$250,""),"",IF(EXACT(RIGHT(HLOOKUP(Zauber!$A$250,PROFMAGIE,$DK325,FALSE)),"H"),CONCATENATE($CX325,","),""))</f>
        <v/>
      </c>
      <c r="DR325" t="str">
        <f t="shared" si="182"/>
        <v/>
      </c>
      <c r="DS325" t="str">
        <f>IF(ZS_IAAK="Ja",IF(EXACT(RIGHT(HLOOKUP(Tabellen_Magie!$IK$1,PROFMAGIE,$DK325,FALSE)),"H"),CONCATENATE($CX325,","),""),"")</f>
        <v/>
      </c>
      <c r="DT325" t="str">
        <f>IF(ZS_IAAK="Ja",IF(NOT(DS325=""),"",IF(OR(EXACT(RIGHT(HLOOKUP(Tabellen_Magie!$IK$1,PROFMAGIE,$DK325,FALSE)),"B"),EXACT(HLOOKUP(Tabellen_Magie!$IK$1,PROFMAGIE,$DK325,FALSE),"")),"",CONCATENATE($CX325,","))),"")</f>
        <v/>
      </c>
      <c r="DU325" t="str">
        <f t="shared" si="183"/>
        <v/>
      </c>
      <c r="DW325" t="s">
        <v>2534</v>
      </c>
      <c r="DX325" t="s">
        <v>1543</v>
      </c>
      <c r="DY325" t="s">
        <v>1615</v>
      </c>
      <c r="DZ325" t="s">
        <v>4348</v>
      </c>
      <c r="EA325" t="s">
        <v>8677</v>
      </c>
      <c r="EC325" t="s">
        <v>2304</v>
      </c>
      <c r="ED325">
        <v>125</v>
      </c>
      <c r="EE325" t="s">
        <v>3227</v>
      </c>
      <c r="EH325">
        <f t="shared" si="174"/>
        <v>3</v>
      </c>
      <c r="GH325" t="s">
        <v>2517</v>
      </c>
      <c r="GI325" t="s">
        <v>4588</v>
      </c>
      <c r="GJ325">
        <v>5</v>
      </c>
      <c r="GK325" t="s">
        <v>1320</v>
      </c>
      <c r="GL325" t="s">
        <v>1979</v>
      </c>
      <c r="GM325" t="s">
        <v>1369</v>
      </c>
      <c r="GN325" t="s">
        <v>1974</v>
      </c>
      <c r="GO325">
        <v>273</v>
      </c>
      <c r="GP325">
        <v>312</v>
      </c>
      <c r="GR325">
        <f t="shared" ref="GR325:GR342" si="184">GR324+1</f>
        <v>674</v>
      </c>
      <c r="GU325" t="str">
        <f t="shared" ca="1" si="170"/>
        <v/>
      </c>
      <c r="GV325" t="str">
        <f t="shared" ca="1" si="171"/>
        <v/>
      </c>
      <c r="GW325" t="str">
        <f t="shared" ca="1" si="172"/>
        <v/>
      </c>
      <c r="GX325" t="str">
        <f t="shared" ca="1" si="173"/>
        <v/>
      </c>
    </row>
    <row r="326" spans="102:206" x14ac:dyDescent="0.2">
      <c r="CX326" t="s">
        <v>2565</v>
      </c>
      <c r="CY326" t="s">
        <v>75</v>
      </c>
      <c r="CZ326" t="s">
        <v>76</v>
      </c>
      <c r="DA326" t="s">
        <v>76</v>
      </c>
      <c r="DC326" t="s">
        <v>7289</v>
      </c>
      <c r="DD326" t="s">
        <v>1819</v>
      </c>
      <c r="DE326" t="s">
        <v>1835</v>
      </c>
      <c r="DF326" t="s">
        <v>81</v>
      </c>
      <c r="DG326" t="s">
        <v>1321</v>
      </c>
      <c r="DH326" t="s">
        <v>8971</v>
      </c>
      <c r="DI326" t="s">
        <v>8972</v>
      </c>
      <c r="DJ326">
        <v>2</v>
      </c>
      <c r="DK326">
        <f>VLOOKUP($CX326,ZEILENBEZUG,2,FALSE)</f>
        <v>647</v>
      </c>
      <c r="DL326">
        <f t="shared" si="176"/>
        <v>324</v>
      </c>
      <c r="DN326" t="str">
        <f t="shared" ca="1" si="179"/>
        <v/>
      </c>
      <c r="DO326" t="str">
        <f t="shared" ca="1" si="180"/>
        <v/>
      </c>
      <c r="DP326" t="str">
        <f t="shared" ca="1" si="181"/>
        <v/>
      </c>
      <c r="DQ326" t="str">
        <f>IF(EXACT(Zauber!$A$250,""),"",IF(EXACT(RIGHT(HLOOKUP(Zauber!$A$250,PROFMAGIE,$DK326,FALSE)),"H"),CONCATENATE($CX326,","),""))</f>
        <v/>
      </c>
      <c r="DR326" t="str">
        <f t="shared" si="182"/>
        <v/>
      </c>
      <c r="DS326" t="str">
        <f>IF(ZS_IAAK="Ja",IF(EXACT(RIGHT(HLOOKUP(Tabellen_Magie!$IK$1,PROFMAGIE,$DK326,FALSE)),"H"),CONCATENATE($CX326,","),""),"")</f>
        <v/>
      </c>
      <c r="DT326" t="str">
        <f>IF(ZS_IAAK="Ja",IF(NOT(DS326=""),"",IF(OR(EXACT(RIGHT(HLOOKUP(Tabellen_Magie!$IK$1,PROFMAGIE,$DK326,FALSE)),"B"),EXACT(HLOOKUP(Tabellen_Magie!$IK$1,PROFMAGIE,$DK326,FALSE),"")),"",CONCATENATE($CX326,","))),"")</f>
        <v/>
      </c>
      <c r="DU326" t="str">
        <f t="shared" si="183"/>
        <v/>
      </c>
      <c r="DW326" t="s">
        <v>8974</v>
      </c>
      <c r="DX326" t="s">
        <v>4339</v>
      </c>
      <c r="DY326" t="s">
        <v>1615</v>
      </c>
      <c r="DZ326" t="s">
        <v>1543</v>
      </c>
      <c r="EA326" t="s">
        <v>8981</v>
      </c>
      <c r="EC326" t="s">
        <v>1280</v>
      </c>
      <c r="ED326">
        <v>150</v>
      </c>
      <c r="EE326" t="s">
        <v>3224</v>
      </c>
      <c r="EH326">
        <f t="shared" si="174"/>
        <v>3</v>
      </c>
      <c r="GH326" t="s">
        <v>2518</v>
      </c>
      <c r="GI326" t="s">
        <v>4588</v>
      </c>
      <c r="GJ326">
        <v>5</v>
      </c>
      <c r="GK326" t="s">
        <v>1320</v>
      </c>
      <c r="GL326" t="s">
        <v>1979</v>
      </c>
      <c r="GM326" t="s">
        <v>1369</v>
      </c>
      <c r="GN326" t="s">
        <v>1974</v>
      </c>
      <c r="GO326">
        <v>273</v>
      </c>
      <c r="GP326">
        <v>315</v>
      </c>
      <c r="GR326">
        <f t="shared" si="184"/>
        <v>675</v>
      </c>
      <c r="GU326" t="str">
        <f t="shared" ref="GU326:GU342" ca="1" si="185">IF(OR(EXACT(PROFGEBGENE,"Goetter"),GOETTER_EIGN),IF(AND(NOT(GH326=LIT_0),EXACT(UPPER(HLOOKUP(PROFGENE,INDIRECT(PROFGEBIET),$GR326,FALSE)),"X")),"x",""),IF(AKTIV_SPTWHE,IF(EXACT(UPPER(HLOOKUP(PROFSPTWHE,SPTWHE,$GR326,FALSE)),"X"),"x",""),""))</f>
        <v/>
      </c>
      <c r="GV326" t="str">
        <f t="shared" ref="GV326:GV342" ca="1" si="186">IF(OR(EXACT(PROFGEBGENE,"Goetter"),GOETTER_EIGN),IF(AND(NOT(GH326=LIT_0),EXACT(UPPER(HLOOKUP(PROFGENE,INDIRECT(PROFGEBIET),$GR326,FALSE)),"V")),"x",""),IF(AKTIV_SPTWHE,IF(EXACT(UPPER(HLOOKUP(PROFSPTWHE,SPTWHE,$GR326,FALSE)),"V"),"x",""),""))&amp;
IF(PROFGEBZWEITE="Goetter (BGB)",IF(AND(NOT(GH326=LIT_0),OR(EXACT(UPPER(HLOOKUP(PROFZWEITE,INDIRECT(PROFGEBIET2),$GR326,FALSE)),"V"),EXACT(UPPER(HLOOKUP(PROFZWEITE,INDIRECT(PROFGEBIET2),$GR326,FALSE)),"X"))),"x",""),"")</f>
        <v/>
      </c>
      <c r="GW326" t="str">
        <f t="shared" ref="GW326:GW342" ca="1" si="187">IF(OR(EXACT(PROFGEBGENE,"Goetter"),GOETTER_EIGN),IF(AND(GU326="",GV326="",NOT(GH326=LIT_0),EXACT(UPPER(HLOOKUP(PROFGENE,INDIRECT(PROFGEBIET),$GR326,FALSE)),"B")),"x",""),IF(AKTIV_SPTWHE,IF(EXACT(UPPER(HLOOKUP(PROFSPTWHE,SPTWHE,$GR326,FALSE)),"B"),"x",""),""))&amp;
IF(PROFGEBZWEITE="Goetter (BGB)",IF(AND(GU326="",GV326="",NOT(GH326=LIT_0),EXACT(UPPER(HLOOKUP(PROFZWEITE,INDIRECT(PROFGEBIET2),$GR326,FALSE)),"B")),"x",""),"")</f>
        <v/>
      </c>
      <c r="GX326" t="str">
        <f t="shared" ref="GX326:GX342" ca="1" si="188">IF(OR(NOT(GW326=""),NOT(GU326=""),NOT(GV326="")),CONCATENATE($GH326,","),"")</f>
        <v/>
      </c>
    </row>
    <row r="327" spans="102:206" x14ac:dyDescent="0.2">
      <c r="CX327" t="s">
        <v>4050</v>
      </c>
      <c r="CY327" t="s">
        <v>74</v>
      </c>
      <c r="CZ327" t="s">
        <v>76</v>
      </c>
      <c r="DA327" t="s">
        <v>752</v>
      </c>
      <c r="DC327" t="s">
        <v>7287</v>
      </c>
      <c r="DD327" t="s">
        <v>4745</v>
      </c>
      <c r="DE327" t="s">
        <v>1134</v>
      </c>
      <c r="DF327" t="s">
        <v>1388</v>
      </c>
      <c r="DG327" t="s">
        <v>1955</v>
      </c>
      <c r="DH327" t="s">
        <v>7035</v>
      </c>
      <c r="DI327" t="s">
        <v>3500</v>
      </c>
      <c r="DJ327">
        <v>2</v>
      </c>
      <c r="DK327">
        <f t="shared" si="178"/>
        <v>648</v>
      </c>
      <c r="DL327">
        <f t="shared" si="176"/>
        <v>325</v>
      </c>
      <c r="DM327">
        <v>286</v>
      </c>
      <c r="DN327" t="str">
        <f t="shared" ca="1" si="179"/>
        <v/>
      </c>
      <c r="DO327" t="str">
        <f t="shared" ca="1" si="180"/>
        <v/>
      </c>
      <c r="DP327" t="str">
        <f t="shared" ca="1" si="181"/>
        <v/>
      </c>
      <c r="DQ327" t="str">
        <f>IF(EXACT(Zauber!$A$250,""),"",IF(EXACT(RIGHT(HLOOKUP(Zauber!$A$250,PROFMAGIE,$DK327,FALSE)),"H"),CONCATENATE($CX327,","),""))</f>
        <v/>
      </c>
      <c r="DR327" t="str">
        <f t="shared" si="182"/>
        <v/>
      </c>
      <c r="DS327" t="str">
        <f>IF(ZS_IAAK="Ja",IF(EXACT(RIGHT(HLOOKUP(Tabellen_Magie!$IK$1,PROFMAGIE,$DK327,FALSE)),"H"),CONCATENATE($CX327,","),""),"")</f>
        <v/>
      </c>
      <c r="DT327" t="str">
        <f>IF(ZS_IAAK="Ja",IF(NOT(DS327=""),"",IF(OR(EXACT(RIGHT(HLOOKUP(Tabellen_Magie!$IK$1,PROFMAGIE,$DK327,FALSE)),"B"),EXACT(HLOOKUP(Tabellen_Magie!$IK$1,PROFMAGIE,$DK327,FALSE),"")),"",CONCATENATE($CX327,","))),"")</f>
        <v/>
      </c>
      <c r="DU327" t="str">
        <f t="shared" si="183"/>
        <v/>
      </c>
      <c r="DW327" t="s">
        <v>1270</v>
      </c>
      <c r="DX327" t="s">
        <v>1632</v>
      </c>
      <c r="DY327" t="s">
        <v>4350</v>
      </c>
      <c r="EA327" t="s">
        <v>8677</v>
      </c>
      <c r="EC327" t="s">
        <v>1280</v>
      </c>
      <c r="ED327">
        <v>75</v>
      </c>
      <c r="EE327" t="s">
        <v>3225</v>
      </c>
      <c r="EH327">
        <f t="shared" si="174"/>
        <v>2</v>
      </c>
      <c r="GH327" t="s">
        <v>2519</v>
      </c>
      <c r="GI327" t="s">
        <v>4588</v>
      </c>
      <c r="GJ327">
        <v>5</v>
      </c>
      <c r="GK327" t="s">
        <v>4116</v>
      </c>
      <c r="GL327" t="s">
        <v>1978</v>
      </c>
      <c r="GM327" t="s">
        <v>1983</v>
      </c>
      <c r="GN327" t="s">
        <v>1973</v>
      </c>
      <c r="GO327">
        <v>283</v>
      </c>
      <c r="GP327">
        <v>318</v>
      </c>
      <c r="GR327">
        <f t="shared" si="184"/>
        <v>676</v>
      </c>
      <c r="GS327">
        <v>6</v>
      </c>
      <c r="GU327" t="str">
        <f t="shared" ca="1" si="185"/>
        <v/>
      </c>
      <c r="GV327" t="str">
        <f t="shared" ca="1" si="186"/>
        <v/>
      </c>
      <c r="GW327" t="str">
        <f t="shared" ca="1" si="187"/>
        <v/>
      </c>
      <c r="GX327" t="str">
        <f t="shared" ca="1" si="188"/>
        <v/>
      </c>
    </row>
    <row r="328" spans="102:206" x14ac:dyDescent="0.2">
      <c r="CX328" t="s">
        <v>4051</v>
      </c>
      <c r="CY328" t="s">
        <v>75</v>
      </c>
      <c r="CZ328" t="s">
        <v>77</v>
      </c>
      <c r="DA328" t="s">
        <v>752</v>
      </c>
      <c r="DB328" t="s">
        <v>1613</v>
      </c>
      <c r="DC328" t="s">
        <v>7296</v>
      </c>
      <c r="DD328" t="s">
        <v>2165</v>
      </c>
      <c r="DE328" t="s">
        <v>3928</v>
      </c>
      <c r="DF328" t="s">
        <v>1358</v>
      </c>
      <c r="DG328" t="s">
        <v>1956</v>
      </c>
      <c r="DH328" t="s">
        <v>8446</v>
      </c>
      <c r="DI328" t="s">
        <v>3500</v>
      </c>
      <c r="DJ328">
        <v>2</v>
      </c>
      <c r="DK328">
        <f t="shared" si="178"/>
        <v>649</v>
      </c>
      <c r="DL328">
        <f t="shared" si="176"/>
        <v>326</v>
      </c>
      <c r="DM328">
        <v>287</v>
      </c>
      <c r="DN328" t="str">
        <f t="shared" ca="1" si="179"/>
        <v/>
      </c>
      <c r="DO328" t="str">
        <f t="shared" ca="1" si="180"/>
        <v/>
      </c>
      <c r="DP328" t="str">
        <f t="shared" ca="1" si="181"/>
        <v/>
      </c>
      <c r="DQ328" t="str">
        <f>IF(EXACT(Zauber!$A$250,""),"",IF(EXACT(RIGHT(HLOOKUP(Zauber!$A$250,PROFMAGIE,$DK328,FALSE)),"H"),CONCATENATE($CX328,","),""))</f>
        <v/>
      </c>
      <c r="DR328" t="str">
        <f t="shared" si="182"/>
        <v/>
      </c>
      <c r="DS328" t="str">
        <f>IF(ZS_IAAK="Ja",IF(EXACT(RIGHT(HLOOKUP(Tabellen_Magie!$IK$1,PROFMAGIE,$DK328,FALSE)),"H"),CONCATENATE($CX328,","),""),"")</f>
        <v/>
      </c>
      <c r="DT328" t="str">
        <f>IF(ZS_IAAK="Ja",IF(NOT(DS328=""),"",IF(OR(EXACT(RIGHT(HLOOKUP(Tabellen_Magie!$IK$1,PROFMAGIE,$DK328,FALSE)),"B"),EXACT(HLOOKUP(Tabellen_Magie!$IK$1,PROFMAGIE,$DK328,FALSE),"")),"",CONCATENATE($CX328,","))),"")</f>
        <v/>
      </c>
      <c r="DU328" t="str">
        <f t="shared" si="183"/>
        <v/>
      </c>
      <c r="DW328" t="s">
        <v>8688</v>
      </c>
      <c r="DX328" t="s">
        <v>4342</v>
      </c>
      <c r="EA328" t="s">
        <v>8677</v>
      </c>
      <c r="EC328" t="s">
        <v>1280</v>
      </c>
      <c r="ED328">
        <v>175</v>
      </c>
      <c r="EE328" t="s">
        <v>3224</v>
      </c>
      <c r="EH328">
        <f t="shared" si="174"/>
        <v>4</v>
      </c>
      <c r="GH328" t="s">
        <v>2520</v>
      </c>
      <c r="GI328" t="s">
        <v>4588</v>
      </c>
      <c r="GJ328">
        <v>5</v>
      </c>
      <c r="GK328" t="s">
        <v>4116</v>
      </c>
      <c r="GL328" t="s">
        <v>1979</v>
      </c>
      <c r="GM328" t="s">
        <v>2685</v>
      </c>
      <c r="GN328" t="s">
        <v>1973</v>
      </c>
      <c r="GO328">
        <v>270</v>
      </c>
      <c r="GP328">
        <v>331</v>
      </c>
      <c r="GR328">
        <f t="shared" si="184"/>
        <v>677</v>
      </c>
      <c r="GU328" t="str">
        <f t="shared" ca="1" si="185"/>
        <v/>
      </c>
      <c r="GV328" t="str">
        <f t="shared" ca="1" si="186"/>
        <v/>
      </c>
      <c r="GW328" t="str">
        <f t="shared" ca="1" si="187"/>
        <v/>
      </c>
      <c r="GX328" t="str">
        <f t="shared" ca="1" si="188"/>
        <v/>
      </c>
    </row>
    <row r="329" spans="102:206" x14ac:dyDescent="0.2">
      <c r="CX329" t="s">
        <v>4430</v>
      </c>
      <c r="CY329" t="s">
        <v>74</v>
      </c>
      <c r="CZ329" t="s">
        <v>76</v>
      </c>
      <c r="DA329" t="s">
        <v>751</v>
      </c>
      <c r="DC329" t="s">
        <v>7295</v>
      </c>
      <c r="DD329" t="s">
        <v>763</v>
      </c>
      <c r="DE329" t="s">
        <v>4484</v>
      </c>
      <c r="DF329" t="s">
        <v>1358</v>
      </c>
      <c r="DG329" t="s">
        <v>1955</v>
      </c>
      <c r="DH329" t="s">
        <v>7036</v>
      </c>
      <c r="DI329" t="s">
        <v>4505</v>
      </c>
      <c r="DJ329">
        <v>2</v>
      </c>
      <c r="DK329">
        <f t="shared" si="178"/>
        <v>650</v>
      </c>
      <c r="DL329">
        <f t="shared" si="176"/>
        <v>327</v>
      </c>
      <c r="DM329">
        <v>288</v>
      </c>
      <c r="DN329" t="str">
        <f t="shared" ca="1" si="179"/>
        <v/>
      </c>
      <c r="DO329" t="str">
        <f t="shared" ca="1" si="180"/>
        <v/>
      </c>
      <c r="DP329" t="str">
        <f t="shared" ca="1" si="181"/>
        <v/>
      </c>
      <c r="DQ329" t="str">
        <f>IF(EXACT(Zauber!$A$250,""),"",IF(EXACT(RIGHT(HLOOKUP(Zauber!$A$250,PROFMAGIE,$DK329,FALSE)),"H"),CONCATENATE($CX329,","),""))</f>
        <v/>
      </c>
      <c r="DR329" t="str">
        <f t="shared" si="182"/>
        <v/>
      </c>
      <c r="DS329" t="str">
        <f>IF(ZS_IAAK="Ja",IF(EXACT(RIGHT(HLOOKUP(Tabellen_Magie!$IK$1,PROFMAGIE,$DK329,FALSE)),"H"),CONCATENATE($CX329,","),""),"")</f>
        <v/>
      </c>
      <c r="DT329" t="str">
        <f>IF(ZS_IAAK="Ja",IF(NOT(DS329=""),"",IF(OR(EXACT(RIGHT(HLOOKUP(Tabellen_Magie!$IK$1,PROFMAGIE,$DK329,FALSE)),"B"),EXACT(HLOOKUP(Tabellen_Magie!$IK$1,PROFMAGIE,$DK329,FALSE),"")),"",CONCATENATE($CX329,","))),"")</f>
        <v/>
      </c>
      <c r="DU329" t="str">
        <f t="shared" si="183"/>
        <v/>
      </c>
      <c r="GH329" t="s">
        <v>2521</v>
      </c>
      <c r="GI329" t="s">
        <v>4588</v>
      </c>
      <c r="GJ329">
        <v>5</v>
      </c>
      <c r="GK329" t="s">
        <v>1971</v>
      </c>
      <c r="GL329" t="s">
        <v>567</v>
      </c>
      <c r="GM329" t="s">
        <v>1983</v>
      </c>
      <c r="GN329" t="s">
        <v>1975</v>
      </c>
      <c r="GO329">
        <v>264</v>
      </c>
      <c r="GP329">
        <v>94</v>
      </c>
      <c r="GR329">
        <f t="shared" si="184"/>
        <v>678</v>
      </c>
      <c r="GT329" t="s">
        <v>2376</v>
      </c>
      <c r="GU329" t="str">
        <f t="shared" ca="1" si="185"/>
        <v/>
      </c>
      <c r="GV329" t="str">
        <f t="shared" ca="1" si="186"/>
        <v/>
      </c>
      <c r="GW329" t="str">
        <f t="shared" ca="1" si="187"/>
        <v/>
      </c>
      <c r="GX329" t="str">
        <f t="shared" ca="1" si="188"/>
        <v/>
      </c>
    </row>
    <row r="330" spans="102:206" x14ac:dyDescent="0.2">
      <c r="CX330" t="s">
        <v>3894</v>
      </c>
      <c r="CY330" t="s">
        <v>75</v>
      </c>
      <c r="CZ330" t="s">
        <v>75</v>
      </c>
      <c r="DA330" t="s">
        <v>76</v>
      </c>
      <c r="DC330" t="s">
        <v>7290</v>
      </c>
      <c r="DD330" t="s">
        <v>3446</v>
      </c>
      <c r="DE330" t="s">
        <v>3142</v>
      </c>
      <c r="DF330" t="s">
        <v>1358</v>
      </c>
      <c r="DG330" t="s">
        <v>1828</v>
      </c>
      <c r="DH330" t="s">
        <v>6844</v>
      </c>
      <c r="DI330" t="s">
        <v>4342</v>
      </c>
      <c r="DJ330">
        <v>2</v>
      </c>
      <c r="DK330">
        <f t="shared" si="178"/>
        <v>651</v>
      </c>
      <c r="DL330">
        <f t="shared" si="176"/>
        <v>328</v>
      </c>
      <c r="DM330">
        <v>289</v>
      </c>
      <c r="DN330" t="str">
        <f t="shared" ca="1" si="179"/>
        <v/>
      </c>
      <c r="DO330" t="str">
        <f t="shared" ca="1" si="180"/>
        <v/>
      </c>
      <c r="DP330" t="str">
        <f t="shared" ca="1" si="181"/>
        <v/>
      </c>
      <c r="DQ330" t="str">
        <f>IF(EXACT(Zauber!$A$250,""),"",IF(EXACT(RIGHT(HLOOKUP(Zauber!$A$250,PROFMAGIE,$DK330,FALSE)),"H"),CONCATENATE($CX330,","),""))</f>
        <v/>
      </c>
      <c r="DR330" t="str">
        <f t="shared" si="182"/>
        <v/>
      </c>
      <c r="DS330" t="str">
        <f>IF(ZS_IAAK="Ja",IF(EXACT(RIGHT(HLOOKUP(Tabellen_Magie!$IK$1,PROFMAGIE,$DK330,FALSE)),"H"),CONCATENATE($CX330,","),""),"")</f>
        <v/>
      </c>
      <c r="DT330" t="str">
        <f>IF(ZS_IAAK="Ja",IF(NOT(DS330=""),"",IF(OR(EXACT(RIGHT(HLOOKUP(Tabellen_Magie!$IK$1,PROFMAGIE,$DK330,FALSE)),"B"),EXACT(HLOOKUP(Tabellen_Magie!$IK$1,PROFMAGIE,$DK330,FALSE),"")),"",CONCATENATE($CX330,","))),"")</f>
        <v/>
      </c>
      <c r="DU330" t="str">
        <f t="shared" si="183"/>
        <v/>
      </c>
      <c r="GG330" t="s">
        <v>4588</v>
      </c>
      <c r="GH330" t="s">
        <v>4561</v>
      </c>
      <c r="GI330" t="s">
        <v>4588</v>
      </c>
      <c r="GJ330">
        <v>5</v>
      </c>
      <c r="GK330" t="s">
        <v>1320</v>
      </c>
      <c r="GL330" t="s">
        <v>1976</v>
      </c>
      <c r="GM330" t="s">
        <v>1369</v>
      </c>
      <c r="GN330" t="s">
        <v>1690</v>
      </c>
      <c r="GO330">
        <v>261</v>
      </c>
      <c r="GP330">
        <v>343</v>
      </c>
      <c r="GR330">
        <f t="shared" si="184"/>
        <v>679</v>
      </c>
      <c r="GU330" t="str">
        <f t="shared" ca="1" si="185"/>
        <v/>
      </c>
      <c r="GV330" t="str">
        <f t="shared" ca="1" si="186"/>
        <v/>
      </c>
      <c r="GW330" t="str">
        <f t="shared" ca="1" si="187"/>
        <v/>
      </c>
      <c r="GX330" t="str">
        <f t="shared" ca="1" si="188"/>
        <v/>
      </c>
    </row>
    <row r="331" spans="102:206" x14ac:dyDescent="0.2">
      <c r="CX331" t="s">
        <v>3895</v>
      </c>
      <c r="CY331" t="s">
        <v>76</v>
      </c>
      <c r="CZ331" t="s">
        <v>77</v>
      </c>
      <c r="DA331" t="s">
        <v>750</v>
      </c>
      <c r="DC331" t="s">
        <v>7291</v>
      </c>
      <c r="DD331" t="s">
        <v>7385</v>
      </c>
      <c r="DE331" t="s">
        <v>3591</v>
      </c>
      <c r="DF331" t="s">
        <v>81</v>
      </c>
      <c r="DG331" t="s">
        <v>1956</v>
      </c>
      <c r="DH331" t="s">
        <v>8447</v>
      </c>
      <c r="DI331" t="s">
        <v>1618</v>
      </c>
      <c r="DJ331">
        <v>2</v>
      </c>
      <c r="DK331">
        <f t="shared" ref="DK331:DK340" si="189">VLOOKUP($CX331,ZEILENBEZUG,2,FALSE)</f>
        <v>652</v>
      </c>
      <c r="DL331">
        <f>ROW()-2</f>
        <v>329</v>
      </c>
      <c r="DM331">
        <v>290</v>
      </c>
      <c r="DN331" t="str">
        <f t="shared" ca="1" si="179"/>
        <v/>
      </c>
      <c r="DO331" t="str">
        <f t="shared" ca="1" si="180"/>
        <v/>
      </c>
      <c r="DP331" t="str">
        <f t="shared" ca="1" si="181"/>
        <v/>
      </c>
      <c r="DQ331" t="str">
        <f>IF(EXACT(Zauber!$A$250,""),"",IF(EXACT(RIGHT(HLOOKUP(Zauber!$A$250,PROFMAGIE,$DK331,FALSE)),"H"),CONCATENATE($CX331,","),""))</f>
        <v/>
      </c>
      <c r="DR331" t="str">
        <f t="shared" si="182"/>
        <v/>
      </c>
      <c r="DS331" t="str">
        <f>IF(ZS_IAAK="Ja",IF(EXACT(RIGHT(HLOOKUP(Tabellen_Magie!$IK$1,PROFMAGIE,$DK331,FALSE)),"H"),CONCATENATE($CX331,","),""),"")</f>
        <v/>
      </c>
      <c r="DT331" t="str">
        <f>IF(ZS_IAAK="Ja",IF(NOT(DS331=""),"",IF(OR(EXACT(RIGHT(HLOOKUP(Tabellen_Magie!$IK$1,PROFMAGIE,$DK331,FALSE)),"B"),EXACT(HLOOKUP(Tabellen_Magie!$IK$1,PROFMAGIE,$DK331,FALSE),"")),"",CONCATENATE($CX331,","))),"")</f>
        <v/>
      </c>
      <c r="DU331" t="str">
        <f t="shared" si="183"/>
        <v/>
      </c>
      <c r="GH331" t="s">
        <v>2522</v>
      </c>
      <c r="GI331" t="s">
        <v>3124</v>
      </c>
      <c r="GJ331">
        <v>6</v>
      </c>
      <c r="GK331" t="s">
        <v>4854</v>
      </c>
      <c r="GL331" t="s">
        <v>1978</v>
      </c>
      <c r="GM331" t="s">
        <v>1369</v>
      </c>
      <c r="GN331" t="s">
        <v>1975</v>
      </c>
      <c r="GO331">
        <v>261</v>
      </c>
      <c r="GP331">
        <v>260</v>
      </c>
      <c r="GR331">
        <f t="shared" si="184"/>
        <v>680</v>
      </c>
      <c r="GU331" t="str">
        <f t="shared" ca="1" si="185"/>
        <v/>
      </c>
      <c r="GV331" t="str">
        <f t="shared" ca="1" si="186"/>
        <v/>
      </c>
      <c r="GW331" t="str">
        <f t="shared" ca="1" si="187"/>
        <v/>
      </c>
      <c r="GX331" t="str">
        <f t="shared" ca="1" si="188"/>
        <v/>
      </c>
    </row>
    <row r="332" spans="102:206" x14ac:dyDescent="0.2">
      <c r="CX332" t="s">
        <v>4431</v>
      </c>
      <c r="CY332" t="s">
        <v>76</v>
      </c>
      <c r="CZ332" t="s">
        <v>76</v>
      </c>
      <c r="DA332" t="s">
        <v>750</v>
      </c>
      <c r="DC332" t="s">
        <v>7299</v>
      </c>
      <c r="DD332" t="s">
        <v>3138</v>
      </c>
      <c r="DE332" t="s">
        <v>2492</v>
      </c>
      <c r="DF332" t="s">
        <v>4473</v>
      </c>
      <c r="DG332" t="s">
        <v>1956</v>
      </c>
      <c r="DH332" t="s">
        <v>6877</v>
      </c>
      <c r="DI332" t="s">
        <v>3499</v>
      </c>
      <c r="DJ332">
        <v>2</v>
      </c>
      <c r="DK332">
        <f t="shared" si="189"/>
        <v>653</v>
      </c>
      <c r="DL332">
        <f>ROW()-2</f>
        <v>330</v>
      </c>
      <c r="DM332">
        <v>291</v>
      </c>
      <c r="DN332" t="str">
        <f t="shared" ca="1" si="179"/>
        <v/>
      </c>
      <c r="DO332" t="str">
        <f t="shared" ca="1" si="180"/>
        <v/>
      </c>
      <c r="DP332" t="str">
        <f t="shared" ca="1" si="181"/>
        <v/>
      </c>
      <c r="DQ332" t="str">
        <f>IF(EXACT(Zauber!$A$250,""),"",IF(EXACT(RIGHT(HLOOKUP(Zauber!$A$250,PROFMAGIE,$DK332,FALSE)),"H"),CONCATENATE($CX332,","),""))</f>
        <v/>
      </c>
      <c r="DR332" t="str">
        <f t="shared" si="182"/>
        <v/>
      </c>
      <c r="DS332" t="str">
        <f>IF(ZS_IAAK="Ja",IF(EXACT(RIGHT(HLOOKUP(Tabellen_Magie!$IK$1,PROFMAGIE,$DK332,FALSE)),"H"),CONCATENATE($CX332,","),""),"")</f>
        <v/>
      </c>
      <c r="DT332" t="str">
        <f>IF(ZS_IAAK="Ja",IF(NOT(DS332=""),"",IF(OR(EXACT(RIGHT(HLOOKUP(Tabellen_Magie!$IK$1,PROFMAGIE,$DK332,FALSE)),"B"),EXACT(HLOOKUP(Tabellen_Magie!$IK$1,PROFMAGIE,$DK332,FALSE),"")),"",CONCATENATE($CX332,","))),"")</f>
        <v/>
      </c>
      <c r="DU332" t="str">
        <f t="shared" si="183"/>
        <v/>
      </c>
      <c r="GH332" t="s">
        <v>2523</v>
      </c>
      <c r="GI332" t="s">
        <v>3124</v>
      </c>
      <c r="GJ332">
        <v>6</v>
      </c>
      <c r="GK332" t="s">
        <v>4542</v>
      </c>
      <c r="GL332" t="s">
        <v>1978</v>
      </c>
      <c r="GM332" t="s">
        <v>2685</v>
      </c>
      <c r="GN332" t="s">
        <v>1690</v>
      </c>
      <c r="GO332">
        <v>258</v>
      </c>
      <c r="GP332">
        <v>96</v>
      </c>
      <c r="GR332">
        <f t="shared" si="184"/>
        <v>681</v>
      </c>
      <c r="GU332" t="str">
        <f t="shared" ca="1" si="185"/>
        <v/>
      </c>
      <c r="GV332" t="str">
        <f t="shared" ca="1" si="186"/>
        <v/>
      </c>
      <c r="GW332" t="str">
        <f t="shared" ca="1" si="187"/>
        <v/>
      </c>
      <c r="GX332" t="str">
        <f t="shared" ca="1" si="188"/>
        <v/>
      </c>
    </row>
    <row r="333" spans="102:206" x14ac:dyDescent="0.2">
      <c r="CX333" t="s">
        <v>3804</v>
      </c>
      <c r="CY333" t="s">
        <v>75</v>
      </c>
      <c r="CZ333" t="s">
        <v>750</v>
      </c>
      <c r="DA333" t="s">
        <v>5030</v>
      </c>
      <c r="DC333" t="s">
        <v>544</v>
      </c>
      <c r="DD333" t="s">
        <v>7386</v>
      </c>
      <c r="DE333" t="s">
        <v>1321</v>
      </c>
      <c r="DF333" t="s">
        <v>1360</v>
      </c>
      <c r="DG333" t="s">
        <v>1955</v>
      </c>
      <c r="DH333" t="s">
        <v>8448</v>
      </c>
      <c r="DI333" t="s">
        <v>3803</v>
      </c>
      <c r="DJ333">
        <v>2</v>
      </c>
      <c r="DK333">
        <f t="shared" si="189"/>
        <v>654</v>
      </c>
      <c r="DL333">
        <f t="shared" ref="DL333:DL340" si="190">ROW()-2</f>
        <v>331</v>
      </c>
      <c r="DM333">
        <v>292</v>
      </c>
      <c r="DN333" t="str">
        <f t="shared" ca="1" si="179"/>
        <v/>
      </c>
      <c r="DO333" t="str">
        <f t="shared" ca="1" si="180"/>
        <v/>
      </c>
      <c r="DP333" t="str">
        <f t="shared" ca="1" si="181"/>
        <v/>
      </c>
      <c r="DQ333" t="str">
        <f>IF(EXACT(Zauber!$A$250,""),"",IF(EXACT(RIGHT(HLOOKUP(Zauber!$A$250,PROFMAGIE,$DK333,FALSE)),"H"),CONCATENATE($CX333,","),""))</f>
        <v/>
      </c>
      <c r="DR333" t="str">
        <f t="shared" si="182"/>
        <v/>
      </c>
      <c r="DS333" t="str">
        <f>IF(ZS_IAAK="Ja",IF(EXACT(RIGHT(HLOOKUP(Tabellen_Magie!$IK$1,PROFMAGIE,$DK333,FALSE)),"H"),CONCATENATE($CX333,","),""),"")</f>
        <v/>
      </c>
      <c r="DT333" t="str">
        <f>IF(ZS_IAAK="Ja",IF(NOT(DS333=""),"",IF(OR(EXACT(RIGHT(HLOOKUP(Tabellen_Magie!$IK$1,PROFMAGIE,$DK333,FALSE)),"B"),EXACT(HLOOKUP(Tabellen_Magie!$IK$1,PROFMAGIE,$DK333,FALSE),"")),"",CONCATENATE($CX333,","))),"")</f>
        <v/>
      </c>
      <c r="DU333" t="str">
        <f t="shared" si="183"/>
        <v/>
      </c>
      <c r="GH333" t="s">
        <v>2524</v>
      </c>
      <c r="GI333" t="s">
        <v>3124</v>
      </c>
      <c r="GJ333">
        <v>6</v>
      </c>
      <c r="GK333" t="s">
        <v>4854</v>
      </c>
      <c r="GL333" t="s">
        <v>567</v>
      </c>
      <c r="GM333" t="s">
        <v>1369</v>
      </c>
      <c r="GN333" t="s">
        <v>1690</v>
      </c>
      <c r="GO333">
        <v>280</v>
      </c>
      <c r="GP333">
        <v>129</v>
      </c>
      <c r="GR333">
        <f t="shared" si="184"/>
        <v>682</v>
      </c>
      <c r="GU333" t="str">
        <f t="shared" ca="1" si="185"/>
        <v/>
      </c>
      <c r="GV333" t="str">
        <f t="shared" ca="1" si="186"/>
        <v/>
      </c>
      <c r="GW333" t="str">
        <f t="shared" ca="1" si="187"/>
        <v/>
      </c>
      <c r="GX333" t="str">
        <f t="shared" ca="1" si="188"/>
        <v/>
      </c>
    </row>
    <row r="334" spans="102:206" x14ac:dyDescent="0.2">
      <c r="CX334" t="s">
        <v>3896</v>
      </c>
      <c r="CY334" t="s">
        <v>74</v>
      </c>
      <c r="CZ334" t="s">
        <v>74</v>
      </c>
      <c r="DA334" t="s">
        <v>5030</v>
      </c>
      <c r="DB334" t="s">
        <v>1613</v>
      </c>
      <c r="DC334" t="s">
        <v>2365</v>
      </c>
      <c r="DD334" t="s">
        <v>3447</v>
      </c>
      <c r="DE334" t="s">
        <v>4484</v>
      </c>
      <c r="DF334" t="s">
        <v>3137</v>
      </c>
      <c r="DG334" t="s">
        <v>1956</v>
      </c>
      <c r="DH334" t="s">
        <v>6981</v>
      </c>
      <c r="DI334" t="s">
        <v>4455</v>
      </c>
      <c r="DJ334">
        <v>2</v>
      </c>
      <c r="DK334">
        <f t="shared" si="189"/>
        <v>655</v>
      </c>
      <c r="DL334">
        <f t="shared" si="190"/>
        <v>332</v>
      </c>
      <c r="DM334">
        <v>293</v>
      </c>
      <c r="DN334" t="str">
        <f t="shared" ca="1" si="179"/>
        <v/>
      </c>
      <c r="DO334" t="str">
        <f t="shared" ca="1" si="180"/>
        <v/>
      </c>
      <c r="DP334" t="str">
        <f t="shared" ca="1" si="181"/>
        <v/>
      </c>
      <c r="DQ334" t="str">
        <f>IF(EXACT(Zauber!$A$250,""),"",IF(EXACT(RIGHT(HLOOKUP(Zauber!$A$250,PROFMAGIE,$DK334,FALSE)),"H"),CONCATENATE($CX334,","),""))</f>
        <v/>
      </c>
      <c r="DR334" t="str">
        <f t="shared" si="182"/>
        <v/>
      </c>
      <c r="DS334" t="str">
        <f>IF(ZS_IAAK="Ja",IF(EXACT(RIGHT(HLOOKUP(Tabellen_Magie!$IK$1,PROFMAGIE,$DK334,FALSE)),"H"),CONCATENATE($CX334,","),""),"")</f>
        <v/>
      </c>
      <c r="DT334" t="str">
        <f>IF(ZS_IAAK="Ja",IF(NOT(DS334=""),"",IF(OR(EXACT(RIGHT(HLOOKUP(Tabellen_Magie!$IK$1,PROFMAGIE,$DK334,FALSE)),"B"),EXACT(HLOOKUP(Tabellen_Magie!$IK$1,PROFMAGIE,$DK334,FALSE),"")),"",CONCATENATE($CX334,","))),"")</f>
        <v/>
      </c>
      <c r="DU334" t="str">
        <f t="shared" si="183"/>
        <v/>
      </c>
      <c r="GH334" t="s">
        <v>4322</v>
      </c>
      <c r="GI334" t="s">
        <v>3124</v>
      </c>
      <c r="GJ334">
        <v>6</v>
      </c>
      <c r="GK334" t="s">
        <v>4529</v>
      </c>
      <c r="GL334" t="s">
        <v>1977</v>
      </c>
      <c r="GM334" t="s">
        <v>1369</v>
      </c>
      <c r="GN334" t="s">
        <v>1690</v>
      </c>
      <c r="GO334">
        <v>285</v>
      </c>
      <c r="GP334">
        <v>132</v>
      </c>
      <c r="GR334">
        <f t="shared" si="184"/>
        <v>683</v>
      </c>
      <c r="GU334" t="str">
        <f t="shared" ca="1" si="185"/>
        <v/>
      </c>
      <c r="GV334" t="str">
        <f t="shared" ca="1" si="186"/>
        <v/>
      </c>
      <c r="GW334" t="str">
        <f t="shared" ca="1" si="187"/>
        <v/>
      </c>
      <c r="GX334" t="str">
        <f t="shared" ca="1" si="188"/>
        <v/>
      </c>
    </row>
    <row r="335" spans="102:206" x14ac:dyDescent="0.2">
      <c r="CX335" t="s">
        <v>3897</v>
      </c>
      <c r="CY335" t="s">
        <v>74</v>
      </c>
      <c r="CZ335" t="s">
        <v>76</v>
      </c>
      <c r="DA335" t="s">
        <v>77</v>
      </c>
      <c r="DC335" t="s">
        <v>544</v>
      </c>
      <c r="DD335" t="s">
        <v>3138</v>
      </c>
      <c r="DE335" t="s">
        <v>3448</v>
      </c>
      <c r="DF335" t="s">
        <v>1134</v>
      </c>
      <c r="DG335" t="s">
        <v>1321</v>
      </c>
      <c r="DH335" t="s">
        <v>7037</v>
      </c>
      <c r="DI335" t="s">
        <v>884</v>
      </c>
      <c r="DJ335">
        <v>2</v>
      </c>
      <c r="DK335">
        <f t="shared" si="189"/>
        <v>656</v>
      </c>
      <c r="DL335">
        <f t="shared" si="190"/>
        <v>333</v>
      </c>
      <c r="DM335">
        <v>294</v>
      </c>
      <c r="DN335" t="str">
        <f t="shared" ca="1" si="179"/>
        <v/>
      </c>
      <c r="DO335" t="str">
        <f t="shared" ca="1" si="180"/>
        <v/>
      </c>
      <c r="DP335" t="str">
        <f t="shared" ca="1" si="181"/>
        <v/>
      </c>
      <c r="DQ335" t="str">
        <f>IF(EXACT(Zauber!$A$250,""),"",IF(EXACT(RIGHT(HLOOKUP(Zauber!$A$250,PROFMAGIE,$DK335,FALSE)),"H"),CONCATENATE($CX335,","),""))</f>
        <v/>
      </c>
      <c r="DR335" t="str">
        <f t="shared" si="182"/>
        <v/>
      </c>
      <c r="DS335" t="str">
        <f>IF(ZS_IAAK="Ja",IF(EXACT(RIGHT(HLOOKUP(Tabellen_Magie!$IK$1,PROFMAGIE,$DK335,FALSE)),"H"),CONCATENATE($CX335,","),""),"")</f>
        <v/>
      </c>
      <c r="DT335" t="str">
        <f>IF(ZS_IAAK="Ja",IF(NOT(DS335=""),"",IF(OR(EXACT(RIGHT(HLOOKUP(Tabellen_Magie!$IK$1,PROFMAGIE,$DK335,FALSE)),"B"),EXACT(HLOOKUP(Tabellen_Magie!$IK$1,PROFMAGIE,$DK335,FALSE),"")),"",CONCATENATE($CX335,","))),"")</f>
        <v/>
      </c>
      <c r="DU335" t="str">
        <f t="shared" si="183"/>
        <v/>
      </c>
      <c r="GH335" t="s">
        <v>719</v>
      </c>
      <c r="GI335" t="s">
        <v>3124</v>
      </c>
      <c r="GJ335">
        <v>6</v>
      </c>
      <c r="GK335" t="s">
        <v>4484</v>
      </c>
      <c r="GL335" t="s">
        <v>1979</v>
      </c>
      <c r="GM335" t="s">
        <v>3961</v>
      </c>
      <c r="GN335" t="s">
        <v>1974</v>
      </c>
      <c r="GO335">
        <v>265</v>
      </c>
      <c r="GP335">
        <v>173</v>
      </c>
      <c r="GR335">
        <f t="shared" si="184"/>
        <v>684</v>
      </c>
      <c r="GU335" t="str">
        <f t="shared" ca="1" si="185"/>
        <v/>
      </c>
      <c r="GV335" t="str">
        <f t="shared" ca="1" si="186"/>
        <v/>
      </c>
      <c r="GW335" t="str">
        <f t="shared" ca="1" si="187"/>
        <v/>
      </c>
      <c r="GX335" t="str">
        <f t="shared" ca="1" si="188"/>
        <v/>
      </c>
    </row>
    <row r="336" spans="102:206" ht="13.5" customHeight="1" x14ac:dyDescent="0.2">
      <c r="CX336" t="s">
        <v>4806</v>
      </c>
      <c r="CY336" t="s">
        <v>74</v>
      </c>
      <c r="CZ336" t="s">
        <v>77</v>
      </c>
      <c r="DA336" t="s">
        <v>77</v>
      </c>
      <c r="DB336" t="s">
        <v>2042</v>
      </c>
      <c r="DC336" t="s">
        <v>3547</v>
      </c>
      <c r="DD336" t="s">
        <v>3548</v>
      </c>
      <c r="DE336" t="s">
        <v>1321</v>
      </c>
      <c r="DF336" t="s">
        <v>3549</v>
      </c>
      <c r="DG336" t="s">
        <v>1828</v>
      </c>
      <c r="DH336" t="s">
        <v>7038</v>
      </c>
      <c r="DI336" t="s">
        <v>3360</v>
      </c>
      <c r="DJ336">
        <v>2</v>
      </c>
      <c r="DK336">
        <f t="shared" si="189"/>
        <v>657</v>
      </c>
      <c r="DL336">
        <f t="shared" si="190"/>
        <v>334</v>
      </c>
      <c r="DM336">
        <v>295</v>
      </c>
      <c r="DN336" t="str">
        <f t="shared" ca="1" si="179"/>
        <v/>
      </c>
      <c r="DO336" t="str">
        <f t="shared" ca="1" si="180"/>
        <v/>
      </c>
      <c r="DP336" t="str">
        <f t="shared" ca="1" si="181"/>
        <v/>
      </c>
      <c r="DQ336" t="str">
        <f>IF(EXACT(Zauber!$A$250,""),"",IF(EXACT(RIGHT(HLOOKUP(Zauber!$A$250,PROFMAGIE,$DK336,FALSE)),"H"),CONCATENATE($CX336,","),""))</f>
        <v/>
      </c>
      <c r="DR336" t="str">
        <f t="shared" si="182"/>
        <v/>
      </c>
      <c r="DS336" t="str">
        <f>IF(ZS_IAAK="Ja",IF(EXACT(RIGHT(HLOOKUP(Tabellen_Magie!$IK$1,PROFMAGIE,$DK336,FALSE)),"H"),CONCATENATE($CX336,","),""),"")</f>
        <v/>
      </c>
      <c r="DT336" t="str">
        <f>IF(ZS_IAAK="Ja",IF(NOT(DS336=""),"",IF(OR(EXACT(RIGHT(HLOOKUP(Tabellen_Magie!$IK$1,PROFMAGIE,$DK336,FALSE)),"B"),EXACT(HLOOKUP(Tabellen_Magie!$IK$1,PROFMAGIE,$DK336,FALSE),"")),"",CONCATENATE($CX336,","))),"")</f>
        <v/>
      </c>
      <c r="DU336" t="str">
        <f t="shared" si="183"/>
        <v/>
      </c>
      <c r="GG336" t="s">
        <v>3124</v>
      </c>
      <c r="GH336" t="s">
        <v>3264</v>
      </c>
      <c r="GI336" t="s">
        <v>3124</v>
      </c>
      <c r="GJ336">
        <v>6</v>
      </c>
      <c r="GK336" t="s">
        <v>4854</v>
      </c>
      <c r="GL336" t="s">
        <v>567</v>
      </c>
      <c r="GM336" t="s">
        <v>1984</v>
      </c>
      <c r="GN336" t="s">
        <v>1690</v>
      </c>
      <c r="GO336">
        <v>261</v>
      </c>
      <c r="GP336">
        <v>176</v>
      </c>
      <c r="GR336">
        <f t="shared" si="184"/>
        <v>685</v>
      </c>
      <c r="GU336" t="str">
        <f t="shared" ca="1" si="185"/>
        <v/>
      </c>
      <c r="GV336" t="str">
        <f t="shared" ca="1" si="186"/>
        <v/>
      </c>
      <c r="GW336" t="str">
        <f t="shared" ca="1" si="187"/>
        <v/>
      </c>
      <c r="GX336" t="str">
        <f t="shared" ca="1" si="188"/>
        <v/>
      </c>
    </row>
    <row r="337" spans="102:206" x14ac:dyDescent="0.2">
      <c r="CX337" t="s">
        <v>1896</v>
      </c>
      <c r="CY337" t="s">
        <v>74</v>
      </c>
      <c r="CZ337" t="s">
        <v>77</v>
      </c>
      <c r="DA337" t="s">
        <v>5030</v>
      </c>
      <c r="DB337" t="s">
        <v>1613</v>
      </c>
      <c r="DC337" t="s">
        <v>7289</v>
      </c>
      <c r="DD337" t="s">
        <v>893</v>
      </c>
      <c r="DE337" t="s">
        <v>655</v>
      </c>
      <c r="DF337" t="s">
        <v>81</v>
      </c>
      <c r="DG337" t="s">
        <v>1956</v>
      </c>
      <c r="DH337" t="s">
        <v>7039</v>
      </c>
      <c r="DI337" t="s">
        <v>6791</v>
      </c>
      <c r="DJ337">
        <v>2</v>
      </c>
      <c r="DK337">
        <f t="shared" si="189"/>
        <v>658</v>
      </c>
      <c r="DL337">
        <f t="shared" si="190"/>
        <v>335</v>
      </c>
      <c r="DM337">
        <v>296</v>
      </c>
      <c r="DN337" t="str">
        <f t="shared" ca="1" si="179"/>
        <v/>
      </c>
      <c r="DO337" t="str">
        <f t="shared" ca="1" si="180"/>
        <v/>
      </c>
      <c r="DP337" t="str">
        <f t="shared" ca="1" si="181"/>
        <v/>
      </c>
      <c r="DQ337" t="str">
        <f>IF(EXACT(Zauber!$A$250,""),"",IF(EXACT(RIGHT(HLOOKUP(Zauber!$A$250,PROFMAGIE,$DK337,FALSE)),"H"),CONCATENATE($CX337,","),""))</f>
        <v/>
      </c>
      <c r="DR337" t="str">
        <f t="shared" si="182"/>
        <v/>
      </c>
      <c r="DS337" t="str">
        <f>IF(ZS_IAAK="Ja",IF(EXACT(RIGHT(HLOOKUP(Tabellen_Magie!$IK$1,PROFMAGIE,$DK337,FALSE)),"H"),CONCATENATE($CX337,","),""),"")</f>
        <v/>
      </c>
      <c r="DT337" t="str">
        <f>IF(ZS_IAAK="Ja",IF(NOT(DS337=""),"",IF(OR(EXACT(RIGHT(HLOOKUP(Tabellen_Magie!$IK$1,PROFMAGIE,$DK337,FALSE)),"B"),EXACT(HLOOKUP(Tabellen_Magie!$IK$1,PROFMAGIE,$DK337,FALSE),"")),"",CONCATENATE($CX337,","))),"")</f>
        <v/>
      </c>
      <c r="DU337" t="str">
        <f t="shared" si="183"/>
        <v/>
      </c>
      <c r="GH337" t="s">
        <v>3265</v>
      </c>
      <c r="GI337" t="s">
        <v>3124</v>
      </c>
      <c r="GJ337">
        <v>6</v>
      </c>
      <c r="GK337" t="s">
        <v>1397</v>
      </c>
      <c r="GL337" t="s">
        <v>567</v>
      </c>
      <c r="GM337" t="s">
        <v>1982</v>
      </c>
      <c r="GN337" t="s">
        <v>1974</v>
      </c>
      <c r="GO337">
        <v>281</v>
      </c>
      <c r="GP337">
        <v>250</v>
      </c>
      <c r="GR337">
        <f t="shared" si="184"/>
        <v>686</v>
      </c>
      <c r="GU337" t="str">
        <f t="shared" ca="1" si="185"/>
        <v/>
      </c>
      <c r="GV337" t="str">
        <f t="shared" ca="1" si="186"/>
        <v/>
      </c>
      <c r="GW337" t="str">
        <f t="shared" ca="1" si="187"/>
        <v/>
      </c>
      <c r="GX337" t="str">
        <f t="shared" ca="1" si="188"/>
        <v/>
      </c>
    </row>
    <row r="338" spans="102:206" x14ac:dyDescent="0.2">
      <c r="CX338" t="s">
        <v>1897</v>
      </c>
      <c r="CY338" t="s">
        <v>74</v>
      </c>
      <c r="CZ338" t="s">
        <v>77</v>
      </c>
      <c r="DA338" t="s">
        <v>750</v>
      </c>
      <c r="DB338" t="s">
        <v>2042</v>
      </c>
      <c r="DC338" t="s">
        <v>7294</v>
      </c>
      <c r="DD338" t="s">
        <v>1819</v>
      </c>
      <c r="DE338" t="s">
        <v>3380</v>
      </c>
      <c r="DF338" t="s">
        <v>7352</v>
      </c>
      <c r="DG338" t="s">
        <v>1321</v>
      </c>
      <c r="DH338" t="s">
        <v>7040</v>
      </c>
      <c r="DI338" t="s">
        <v>3557</v>
      </c>
      <c r="DJ338">
        <v>2</v>
      </c>
      <c r="DK338">
        <f t="shared" si="189"/>
        <v>659</v>
      </c>
      <c r="DL338">
        <f t="shared" si="190"/>
        <v>336</v>
      </c>
      <c r="DM338">
        <v>297</v>
      </c>
      <c r="DN338" t="str">
        <f t="shared" ca="1" si="179"/>
        <v/>
      </c>
      <c r="DO338" t="str">
        <f t="shared" ca="1" si="180"/>
        <v/>
      </c>
      <c r="DP338" t="str">
        <f t="shared" ca="1" si="181"/>
        <v/>
      </c>
      <c r="DQ338" t="str">
        <f>IF(EXACT(Zauber!$A$250,""),"",IF(EXACT(RIGHT(HLOOKUP(Zauber!$A$250,PROFMAGIE,$DK338,FALSE)),"H"),CONCATENATE($CX338,","),""))</f>
        <v/>
      </c>
      <c r="DR338" t="str">
        <f t="shared" si="182"/>
        <v/>
      </c>
      <c r="DS338" t="str">
        <f>IF(ZS_IAAK="Ja",IF(EXACT(RIGHT(HLOOKUP(Tabellen_Magie!$IK$1,PROFMAGIE,$DK338,FALSE)),"H"),CONCATENATE($CX338,","),""),"")</f>
        <v/>
      </c>
      <c r="DT338" t="str">
        <f>IF(ZS_IAAK="Ja",IF(NOT(DS338=""),"",IF(OR(EXACT(RIGHT(HLOOKUP(Tabellen_Magie!$IK$1,PROFMAGIE,$DK338,FALSE)),"B"),EXACT(HLOOKUP(Tabellen_Magie!$IK$1,PROFMAGIE,$DK338,FALSE),"")),"",CONCATENATE($CX338,","))),"")</f>
        <v/>
      </c>
      <c r="DU338" t="str">
        <f t="shared" si="183"/>
        <v/>
      </c>
      <c r="GH338" t="s">
        <v>9367</v>
      </c>
      <c r="GI338" t="s">
        <v>3124</v>
      </c>
      <c r="GJ338">
        <v>6</v>
      </c>
      <c r="GK338" t="s">
        <v>1970</v>
      </c>
      <c r="GL338" t="s">
        <v>1978</v>
      </c>
      <c r="GM338" t="s">
        <v>1369</v>
      </c>
      <c r="GN338" t="s">
        <v>1975</v>
      </c>
      <c r="GO338" t="s">
        <v>9314</v>
      </c>
      <c r="GP338">
        <v>260</v>
      </c>
      <c r="GR338">
        <f t="shared" si="184"/>
        <v>687</v>
      </c>
      <c r="GU338" t="str">
        <f t="shared" ca="1" si="185"/>
        <v/>
      </c>
      <c r="GV338" t="str">
        <f t="shared" ca="1" si="186"/>
        <v/>
      </c>
      <c r="GW338" t="str">
        <f t="shared" ca="1" si="187"/>
        <v/>
      </c>
      <c r="GX338" t="str">
        <f t="shared" ca="1" si="188"/>
        <v/>
      </c>
    </row>
    <row r="339" spans="102:206" x14ac:dyDescent="0.2">
      <c r="CX339" t="s">
        <v>1898</v>
      </c>
      <c r="CY339" t="s">
        <v>74</v>
      </c>
      <c r="CZ339" t="s">
        <v>76</v>
      </c>
      <c r="DA339" t="s">
        <v>77</v>
      </c>
      <c r="DB339" t="s">
        <v>2042</v>
      </c>
      <c r="DC339" t="s">
        <v>7291</v>
      </c>
      <c r="DD339" t="s">
        <v>510</v>
      </c>
      <c r="DE339" t="s">
        <v>3591</v>
      </c>
      <c r="DF339" t="s">
        <v>81</v>
      </c>
      <c r="DG339" t="s">
        <v>1321</v>
      </c>
      <c r="DH339" t="s">
        <v>6989</v>
      </c>
      <c r="DI339" t="s">
        <v>4343</v>
      </c>
      <c r="DJ339">
        <v>2</v>
      </c>
      <c r="DK339">
        <f t="shared" si="189"/>
        <v>660</v>
      </c>
      <c r="DL339">
        <f t="shared" si="190"/>
        <v>337</v>
      </c>
      <c r="DM339">
        <v>218</v>
      </c>
      <c r="DN339" t="str">
        <f t="shared" ca="1" si="179"/>
        <v/>
      </c>
      <c r="DO339" t="str">
        <f t="shared" ca="1" si="180"/>
        <v/>
      </c>
      <c r="DP339" t="str">
        <f t="shared" ca="1" si="181"/>
        <v/>
      </c>
      <c r="DQ339" t="str">
        <f>IF(EXACT(Zauber!$A$250,""),"",IF(EXACT(RIGHT(HLOOKUP(Zauber!$A$250,PROFMAGIE,$DK339,FALSE)),"H"),CONCATENATE($CX339,","),""))</f>
        <v/>
      </c>
      <c r="DR339" t="str">
        <f t="shared" si="182"/>
        <v/>
      </c>
      <c r="DS339" t="str">
        <f>IF(ZS_IAAK="Ja",IF(EXACT(RIGHT(HLOOKUP(Tabellen_Magie!$IK$1,PROFMAGIE,$DK339,FALSE)),"H"),CONCATENATE($CX339,","),""),"")</f>
        <v/>
      </c>
      <c r="DT339" t="str">
        <f>IF(ZS_IAAK="Ja",IF(NOT(DS339=""),"",IF(OR(EXACT(RIGHT(HLOOKUP(Tabellen_Magie!$IK$1,PROFMAGIE,$DK339,FALSE)),"B"),EXACT(HLOOKUP(Tabellen_Magie!$IK$1,PROFMAGIE,$DK339,FALSE),"")),"",CONCATENATE($CX339,","))),"")</f>
        <v/>
      </c>
      <c r="DU339" t="str">
        <f t="shared" si="183"/>
        <v/>
      </c>
      <c r="GH339" t="s">
        <v>2200</v>
      </c>
      <c r="GI339" t="s">
        <v>3124</v>
      </c>
      <c r="GJ339">
        <v>6</v>
      </c>
      <c r="GK339" t="s">
        <v>1320</v>
      </c>
      <c r="GL339" t="s">
        <v>1979</v>
      </c>
      <c r="GM339" t="s">
        <v>3961</v>
      </c>
      <c r="GN339" t="s">
        <v>1974</v>
      </c>
      <c r="GO339">
        <v>275</v>
      </c>
      <c r="GP339">
        <v>263</v>
      </c>
      <c r="GR339">
        <f t="shared" si="184"/>
        <v>688</v>
      </c>
      <c r="GU339" t="str">
        <f t="shared" ca="1" si="185"/>
        <v/>
      </c>
      <c r="GV339" t="str">
        <f t="shared" ca="1" si="186"/>
        <v/>
      </c>
      <c r="GW339" t="str">
        <f t="shared" ca="1" si="187"/>
        <v/>
      </c>
      <c r="GX339" t="str">
        <f t="shared" ca="1" si="188"/>
        <v/>
      </c>
    </row>
    <row r="340" spans="102:206" x14ac:dyDescent="0.2">
      <c r="CX340" t="s">
        <v>1899</v>
      </c>
      <c r="CY340" t="s">
        <v>74</v>
      </c>
      <c r="CZ340" t="s">
        <v>75</v>
      </c>
      <c r="DA340" t="s">
        <v>77</v>
      </c>
      <c r="DB340" t="s">
        <v>2042</v>
      </c>
      <c r="DC340" t="s">
        <v>7291</v>
      </c>
      <c r="DD340" t="s">
        <v>3141</v>
      </c>
      <c r="DE340" t="s">
        <v>3380</v>
      </c>
      <c r="DF340" t="s">
        <v>7352</v>
      </c>
      <c r="DG340" t="s">
        <v>1955</v>
      </c>
      <c r="DH340" t="s">
        <v>7041</v>
      </c>
      <c r="DI340" t="s">
        <v>4515</v>
      </c>
      <c r="DJ340">
        <v>2</v>
      </c>
      <c r="DK340">
        <f t="shared" si="189"/>
        <v>661</v>
      </c>
      <c r="DL340">
        <f t="shared" si="190"/>
        <v>338</v>
      </c>
      <c r="DM340">
        <v>298</v>
      </c>
      <c r="DN340" t="str">
        <f t="shared" ca="1" si="179"/>
        <v/>
      </c>
      <c r="DO340" t="str">
        <f t="shared" ca="1" si="180"/>
        <v/>
      </c>
      <c r="DP340" t="str">
        <f t="shared" ca="1" si="181"/>
        <v/>
      </c>
      <c r="DQ340" t="str">
        <f>IF(EXACT(Zauber!$A$250,""),"",IF(EXACT(RIGHT(HLOOKUP(Zauber!$A$250,PROFMAGIE,$DK340,FALSE)),"H"),CONCATENATE($CX340,","),""))</f>
        <v/>
      </c>
      <c r="DR340" t="str">
        <f t="shared" si="182"/>
        <v/>
      </c>
      <c r="DS340" t="str">
        <f>IF(ZS_IAAK="Ja",IF(EXACT(RIGHT(HLOOKUP(Tabellen_Magie!$IK$1,PROFMAGIE,$DK340,FALSE)),"H"),CONCATENATE($CX340,","),""),"")</f>
        <v/>
      </c>
      <c r="DT340" t="str">
        <f>IF(ZS_IAAK="Ja",IF(NOT(DS340=""),"",IF(OR(EXACT(RIGHT(HLOOKUP(Tabellen_Magie!$IK$1,PROFMAGIE,$DK340,FALSE)),"B"),EXACT(HLOOKUP(Tabellen_Magie!$IK$1,PROFMAGIE,$DK340,FALSE),"")),"",CONCATENATE($CX340,","))),"")</f>
        <v/>
      </c>
      <c r="DU340" t="str">
        <f t="shared" si="183"/>
        <v/>
      </c>
      <c r="GH340" t="s">
        <v>2201</v>
      </c>
      <c r="GI340" t="s">
        <v>3124</v>
      </c>
      <c r="GJ340">
        <v>6</v>
      </c>
      <c r="GK340" t="s">
        <v>1320</v>
      </c>
      <c r="GL340" t="s">
        <v>1977</v>
      </c>
      <c r="GM340" t="s">
        <v>1369</v>
      </c>
      <c r="GN340" t="s">
        <v>1974</v>
      </c>
      <c r="GO340">
        <v>277</v>
      </c>
      <c r="GP340">
        <v>279</v>
      </c>
      <c r="GR340">
        <f t="shared" si="184"/>
        <v>689</v>
      </c>
      <c r="GU340" t="str">
        <f t="shared" ca="1" si="185"/>
        <v/>
      </c>
      <c r="GV340" t="str">
        <f t="shared" ca="1" si="186"/>
        <v/>
      </c>
      <c r="GW340" t="str">
        <f t="shared" ca="1" si="187"/>
        <v/>
      </c>
      <c r="GX340" t="str">
        <f t="shared" ca="1" si="188"/>
        <v/>
      </c>
    </row>
    <row r="341" spans="102:206" x14ac:dyDescent="0.2">
      <c r="DN341" t="str">
        <f ca="1">CONCATENATE(DN3,DN4,DN5,DN6,DN7,DN8,DN9,DN10,DN11,DN12,DN13,DN14,DN15,DN16,DN17,DN18,DN19,DN20,DN21,DN22,DN23,DN24,DN25,DN26,DN27,DN28,DN29,DN30,DN31,DN32)
&amp;CONCATENATE(DN33,DN34,DN35,DN36,DN37,DN38)</f>
        <v/>
      </c>
      <c r="DO341" t="str">
        <f t="shared" ref="DO341:DU341" ca="1" si="191">CONCATENATE(DO3,DO4,DO5,DO6,DO7,DO8,DO9,DO10,DO11,DO12,DO13,DO14,DO15,DO16,DO17,DO18,DO19,DO20,DO21,DO22,DO23,DO24,DO25,DO26,DO27,DO28,DO29,DO30,DO31,DO32)&amp;CONCATENATE(DO33,DO34,DO35,DO36,DO37,DO38)</f>
        <v/>
      </c>
      <c r="DP341" t="str">
        <f t="shared" ca="1" si="191"/>
        <v/>
      </c>
      <c r="DQ341" t="str">
        <f t="shared" si="191"/>
        <v/>
      </c>
      <c r="DR341" t="str">
        <f t="shared" si="191"/>
        <v/>
      </c>
      <c r="DS341" t="str">
        <f t="shared" si="191"/>
        <v/>
      </c>
      <c r="DT341" t="str">
        <f t="shared" si="191"/>
        <v/>
      </c>
      <c r="DU341" t="str">
        <f t="shared" si="191"/>
        <v/>
      </c>
      <c r="GH341" t="s">
        <v>2202</v>
      </c>
      <c r="GI341" t="s">
        <v>3124</v>
      </c>
      <c r="GJ341">
        <v>6</v>
      </c>
      <c r="GK341" t="s">
        <v>122</v>
      </c>
      <c r="GL341" t="s">
        <v>567</v>
      </c>
      <c r="GM341" t="s">
        <v>1984</v>
      </c>
      <c r="GN341" t="s">
        <v>1974</v>
      </c>
      <c r="GO341">
        <v>266</v>
      </c>
      <c r="GP341">
        <v>308</v>
      </c>
      <c r="GR341">
        <f t="shared" si="184"/>
        <v>690</v>
      </c>
      <c r="GT341" t="s">
        <v>2777</v>
      </c>
      <c r="GU341" t="str">
        <f t="shared" ca="1" si="185"/>
        <v/>
      </c>
      <c r="GV341" t="str">
        <f t="shared" ca="1" si="186"/>
        <v/>
      </c>
      <c r="GW341" t="str">
        <f t="shared" ca="1" si="187"/>
        <v/>
      </c>
      <c r="GX341" t="str">
        <f t="shared" ca="1" si="188"/>
        <v/>
      </c>
    </row>
    <row r="342" spans="102:206" x14ac:dyDescent="0.2">
      <c r="DN342" t="str">
        <f t="shared" ref="DN342:DU342" ca="1" si="192">CONCATENATE(DN39,DN40,DN41,DN42,DN43,DN44,DN45,DN46,DN47,DN48,DN49,DN50,DN51,DN52,DN53,DN54,DN55,DN56,DN57,DN58,DN59,DN60,DN61,DN62,DN63,DN64,DN65,DN66,DN67,DN68)</f>
        <v/>
      </c>
      <c r="DO342" t="str">
        <f t="shared" ca="1" si="192"/>
        <v/>
      </c>
      <c r="DP342" t="str">
        <f t="shared" ca="1" si="192"/>
        <v/>
      </c>
      <c r="DQ342" t="str">
        <f t="shared" si="192"/>
        <v/>
      </c>
      <c r="DR342" t="str">
        <f t="shared" si="192"/>
        <v/>
      </c>
      <c r="DS342" t="str">
        <f t="shared" si="192"/>
        <v/>
      </c>
      <c r="DT342" t="str">
        <f t="shared" si="192"/>
        <v/>
      </c>
      <c r="DU342" t="str">
        <f t="shared" si="192"/>
        <v/>
      </c>
      <c r="GH342" t="s">
        <v>2203</v>
      </c>
      <c r="GI342" t="s">
        <v>3124</v>
      </c>
      <c r="GJ342">
        <v>6</v>
      </c>
      <c r="GK342" t="s">
        <v>1320</v>
      </c>
      <c r="GL342" t="s">
        <v>1978</v>
      </c>
      <c r="GM342" t="s">
        <v>3961</v>
      </c>
      <c r="GN342" t="s">
        <v>1974</v>
      </c>
      <c r="GO342">
        <v>272</v>
      </c>
      <c r="GP342">
        <v>311</v>
      </c>
      <c r="GR342">
        <f t="shared" si="184"/>
        <v>691</v>
      </c>
      <c r="GU342" t="str">
        <f t="shared" ca="1" si="185"/>
        <v/>
      </c>
      <c r="GV342" t="str">
        <f t="shared" ca="1" si="186"/>
        <v/>
      </c>
      <c r="GW342" t="str">
        <f t="shared" ca="1" si="187"/>
        <v/>
      </c>
      <c r="GX342" t="str">
        <f t="shared" ca="1" si="188"/>
        <v/>
      </c>
    </row>
    <row r="343" spans="102:206" x14ac:dyDescent="0.2">
      <c r="DN343" t="str">
        <f t="shared" ref="DN343:DU343" ca="1" si="193">CONCATENATE(OFFSET(DN39,30,0),OFFSET(DN40,30,0),OFFSET(DN41,30,0),OFFSET(DN42,30,0),OFFSET(DN43,30,0),OFFSET(DN44,30,0),OFFSET(DN45,30,0),OFFSET(DN46,30,0),OFFSET(DN47,30,0),OFFSET(DN48,30,0),OFFSET(DN49,30,0),OFFSET(DN50,30,0),OFFSET(DN51,30,0),OFFSET(DN52,30,0),OFFSET(DN53,30,0),OFFSET(DN54,30,0),OFFSET(DN55,30,0),OFFSET(DN56,30,0),OFFSET(DN57,30,0),OFFSET(DN58,30,0),OFFSET(DN59,30,0),OFFSET(DN60,30,0),OFFSET(DN61,30,0),OFFSET(DN62,30,0),OFFSET(DN63,30,0),OFFSET(DN64,30,0),OFFSET(DN65,30,0),OFFSET(DN66,30,0),OFFSET(DN67,30,0),OFFSET(DN68,30,0))</f>
        <v/>
      </c>
      <c r="DO343" t="str">
        <f t="shared" ca="1" si="193"/>
        <v/>
      </c>
      <c r="DP343" t="str">
        <f t="shared" ca="1" si="193"/>
        <v/>
      </c>
      <c r="DQ343" t="str">
        <f t="shared" ca="1" si="193"/>
        <v/>
      </c>
      <c r="DR343" t="str">
        <f t="shared" ca="1" si="193"/>
        <v/>
      </c>
      <c r="DS343" t="str">
        <f t="shared" ca="1" si="193"/>
        <v/>
      </c>
      <c r="DT343" t="str">
        <f t="shared" ca="1" si="193"/>
        <v/>
      </c>
      <c r="DU343" t="str">
        <f t="shared" ca="1" si="193"/>
        <v/>
      </c>
    </row>
    <row r="344" spans="102:206" x14ac:dyDescent="0.2">
      <c r="DN344" t="str">
        <f t="shared" ref="DN344:DU344" ca="1" si="194">CONCATENATE(OFFSET(DN39,60,0),OFFSET(DN40,60,0),OFFSET(DN41,60,0),OFFSET(DN42,60,0),OFFSET(DN43,60,0),OFFSET(DN44,60,0),OFFSET(DN45,60,0),OFFSET(DN46,60,0),OFFSET(DN47,60,0),OFFSET(DN48,60,0),OFFSET(DN49,60,0),OFFSET(DN50,60,0),OFFSET(DN51,60,0),OFFSET(DN52,60,0),OFFSET(DN53,60,0),OFFSET(DN54,60,0),OFFSET(DN55,60,0),OFFSET(DN56,60,0),OFFSET(DN57,60,0),OFFSET(DN58,60,0),OFFSET(DN59,60,0),OFFSET(DN60,60,0),OFFSET(DN61,60,0),OFFSET(DN62,60,0),OFFSET(DN63,60,0),OFFSET(DN64,60,0),OFFSET(DN65,60,0),OFFSET(DN66,60,0),OFFSET(DN67,60,0),OFFSET(DN68,60,0))</f>
        <v/>
      </c>
      <c r="DO344" t="str">
        <f t="shared" ca="1" si="194"/>
        <v/>
      </c>
      <c r="DP344" t="str">
        <f t="shared" ca="1" si="194"/>
        <v/>
      </c>
      <c r="DQ344" t="str">
        <f t="shared" ca="1" si="194"/>
        <v/>
      </c>
      <c r="DR344" t="str">
        <f t="shared" ca="1" si="194"/>
        <v/>
      </c>
      <c r="DS344" t="str">
        <f t="shared" ca="1" si="194"/>
        <v/>
      </c>
      <c r="DT344" t="str">
        <f t="shared" ca="1" si="194"/>
        <v/>
      </c>
      <c r="DU344" t="str">
        <f t="shared" ca="1" si="194"/>
        <v/>
      </c>
    </row>
    <row r="345" spans="102:206" x14ac:dyDescent="0.2">
      <c r="DN345" t="str">
        <f t="shared" ref="DN345:DU345" ca="1" si="195">CONCATENATE(OFFSET(DN39,90,0),OFFSET(DN40,90,0),OFFSET(DN41,90,0),OFFSET(DN42,90,0),OFFSET(DN43,90,0),OFFSET(DN44,90,0),OFFSET(DN45,90,0),OFFSET(DN46,90,0),OFFSET(DN47,90,0),OFFSET(DN48,90,0),OFFSET(DN49,90,0),OFFSET(DN50,90,0),OFFSET(DN51,90,0),OFFSET(DN52,90,0),OFFSET(DN53,90,0),OFFSET(DN54,90,0),OFFSET(DN55,90,0),OFFSET(DN56,90,0),OFFSET(DN57,90,0),OFFSET(DN58,90,0),OFFSET(DN59,90,0),OFFSET(DN60,90,0),OFFSET(DN61,90,0),OFFSET(DN62,90,0),OFFSET(DN63,90,0),OFFSET(DN64,90,0),OFFSET(DN65,90,0),OFFSET(DN66,90,0),OFFSET(DN67,90,0),OFFSET(DN68,90,0))</f>
        <v/>
      </c>
      <c r="DO345" t="str">
        <f t="shared" ca="1" si="195"/>
        <v/>
      </c>
      <c r="DP345" t="str">
        <f t="shared" ca="1" si="195"/>
        <v/>
      </c>
      <c r="DQ345" t="str">
        <f t="shared" ca="1" si="195"/>
        <v/>
      </c>
      <c r="DR345" t="str">
        <f t="shared" ca="1" si="195"/>
        <v/>
      </c>
      <c r="DS345" t="str">
        <f t="shared" ca="1" si="195"/>
        <v/>
      </c>
      <c r="DT345" t="str">
        <f t="shared" ca="1" si="195"/>
        <v/>
      </c>
      <c r="DU345" t="str">
        <f t="shared" ca="1" si="195"/>
        <v/>
      </c>
      <c r="GL345">
        <v>3</v>
      </c>
      <c r="GM345">
        <v>43</v>
      </c>
      <c r="GN345" t="s">
        <v>4781</v>
      </c>
      <c r="GO345" t="str">
        <f ca="1">CONCATENATE(GP345,GQ345)</f>
        <v/>
      </c>
      <c r="GP345" t="str">
        <f ca="1">CONCATENATE(GX3,GX4,GX5,GX6,GX7,GX8,GX9,GX10,GX11,GX12,GX13,GX14,GX15,GX16,GX17,GX18,GX19,GX20,GX21,GX22,GX23,GX24,GX25,GX26,GX27,GX28,GX29,GX30,GX31,GX32,GX33,GX34,GX35,GX36)</f>
        <v/>
      </c>
      <c r="GQ345" t="str">
        <f ca="1">CONCATENATE(GX37,GX38,GX39,GX40,GX41,GX42,GX43,GX44,GX45,GX46,GX47,GX48)</f>
        <v/>
      </c>
    </row>
    <row r="346" spans="102:206" x14ac:dyDescent="0.2">
      <c r="DN346" t="str">
        <f t="shared" ref="DN346:DU346" ca="1" si="196">CONCATENATE(OFFSET(DN39,120,0),OFFSET(DN40,120,0),OFFSET(DN41,120,0),OFFSET(DN42,120,0),OFFSET(DN43,120,0),OFFSET(DN44,120,0),OFFSET(DN45,120,0),OFFSET(DN46,120,0),OFFSET(DN47,120,0),OFFSET(DN48,120,0),OFFSET(DN49,120,0),OFFSET(DN50,120,0),OFFSET(DN51,120,0),OFFSET(DN52,120,0),OFFSET(DN53,120,0),OFFSET(DN54,120,0),OFFSET(DN55,120,0),OFFSET(DN56,120,0),OFFSET(DN57,120,0),OFFSET(DN58,120,0),OFFSET(DN59,120,0),OFFSET(DN60,120,0),OFFSET(DN61,120,0),OFFSET(DN62,120,0),OFFSET(DN63,120,0),OFFSET(DN64,120,0),OFFSET(DN65,120,0),OFFSET(DN66,120,0),OFFSET(DN67,120,0),OFFSET(DN68,120,0))</f>
        <v/>
      </c>
      <c r="DO346" t="str">
        <f t="shared" ca="1" si="196"/>
        <v/>
      </c>
      <c r="DP346" t="str">
        <f t="shared" ca="1" si="196"/>
        <v/>
      </c>
      <c r="DQ346" t="str">
        <f t="shared" ca="1" si="196"/>
        <v/>
      </c>
      <c r="DR346" t="str">
        <f t="shared" ca="1" si="196"/>
        <v/>
      </c>
      <c r="DS346" t="str">
        <f t="shared" ca="1" si="196"/>
        <v/>
      </c>
      <c r="DT346" t="str">
        <f t="shared" ca="1" si="196"/>
        <v/>
      </c>
      <c r="DU346" t="str">
        <f t="shared" ca="1" si="196"/>
        <v/>
      </c>
      <c r="GL346">
        <v>44</v>
      </c>
      <c r="GM346">
        <v>121</v>
      </c>
      <c r="GN346" t="s">
        <v>4782</v>
      </c>
      <c r="GO346" t="str">
        <f ca="1">CONCATENATE(GX49,GP346,GQ346,GR346)</f>
        <v/>
      </c>
      <c r="GP346" t="str">
        <f ca="1">CONCATENATE(GX50,GX51,GX52,GX53,GX54,GX55,GX56,GX57,GX58,GX59,GX60,GX61,GX62,GX63,GX64,GX65,GX66,GX67,GX68,GX69,GX70,GX71,GX72,GX73,GX74,GX75,GX76,GX77,GX78,GX79,GX80,GX81)</f>
        <v/>
      </c>
      <c r="GQ346" t="str">
        <f ca="1">CONCATENATE(GX82,GX83,GX84,GX85,GX86,GX87,GX88,GX89,GX90,GX91,GX92,GX93,GX94,GX95,GX96,GX97,GX98,GX99,GX100,GX101,GX102,GX103,GX104,GX105,GX106,GX107,GX108,GX109,GX110,GX111,GX112)</f>
        <v/>
      </c>
      <c r="GR346" t="str">
        <f ca="1">CONCATENATE(GX113,GX114,GX115,GX116,GX117,GX118,GX119,GX120,GX121,GX122,GX123,GX124,GX125,GX126,GX127,GX128,GX129,GX130,GX131,GX132,GX133,GX134,GX135,GX136,GX137,GX138,GX139,GX140,GX141)</f>
        <v/>
      </c>
    </row>
    <row r="347" spans="102:206" x14ac:dyDescent="0.2">
      <c r="DN347" t="str">
        <f t="shared" ref="DN347:DU347" ca="1" si="197">CONCATENATE(OFFSET(DN39,150,0),OFFSET(DN40,150,0),OFFSET(DN41,150,0),OFFSET(DN42,150,0),OFFSET(DN43,150,0),OFFSET(DN44,150,0),OFFSET(DN45,150,0),OFFSET(DN46,150,0),OFFSET(DN47,150,0),OFFSET(DN48,150,0),OFFSET(DN49,150,0),OFFSET(DN50,150,0),OFFSET(DN51,150,0),OFFSET(DN52,150,0),OFFSET(DN53,150,0),OFFSET(DN54,150,0),OFFSET(DN55,150,0),OFFSET(DN56,150,0),OFFSET(DN57,150,0),OFFSET(DN58,150,0),OFFSET(DN59,150,0),OFFSET(DN60,150,0),OFFSET(DN61,150,0),OFFSET(DN62,150,0),OFFSET(DN63,150,0),OFFSET(DN64,150,0),OFFSET(DN65,150,0),OFFSET(DN66,150,0),OFFSET(DN67,150,0),OFFSET(DN68,150,0))</f>
        <v/>
      </c>
      <c r="DO347" t="str">
        <f t="shared" ca="1" si="197"/>
        <v/>
      </c>
      <c r="DP347" t="str">
        <f t="shared" ca="1" si="197"/>
        <v/>
      </c>
      <c r="DQ347" t="str">
        <f t="shared" ca="1" si="197"/>
        <v/>
      </c>
      <c r="DR347" t="str">
        <f t="shared" ca="1" si="197"/>
        <v/>
      </c>
      <c r="DS347" t="str">
        <f t="shared" ca="1" si="197"/>
        <v/>
      </c>
      <c r="DT347" t="str">
        <f t="shared" ca="1" si="197"/>
        <v/>
      </c>
      <c r="DU347" t="str">
        <f t="shared" ca="1" si="197"/>
        <v/>
      </c>
      <c r="GL347">
        <v>122</v>
      </c>
      <c r="GM347">
        <v>205</v>
      </c>
      <c r="GN347" t="s">
        <v>1216</v>
      </c>
      <c r="GO347" t="str">
        <f ca="1">CONCATENATE(GX142,GP347,GQ347,GR347)</f>
        <v/>
      </c>
      <c r="GP347" t="str">
        <f ca="1">CONCATENATE(GX143,GX144,GX145,GX146,GX147,GX148,GX149,GX150,GX151,GX152,GX153,GX154,GX155,GX156,GX157,GX158,GX159,GX160,GX161,GX162,GX163,GX164,GX165,GX166,GX167,GX168,GX169,GX170,GX171,GX172,GX173,GX174,GX175,GX176,GX177,GX178,GX179,GX180)</f>
        <v/>
      </c>
      <c r="GQ347" t="str">
        <f ca="1">CONCATENATE(GX181,GX182,GX183,GX184,GX185,GX186,GX187,GX188,GX189,GX190,GX191,GX192,GX193,GX194,GX195,GX196,GX197,GX198,GX199,GX200,GX201,GX202,GX203,GX204,GX205,GX206,GX207,GX208,GX209,GX210,GX211,GX212,GX213,GX214,GX215,GX216)</f>
        <v/>
      </c>
      <c r="GR347" t="str">
        <f ca="1">CONCATENATE(GX217,GX218,GX219,GX220,GX221,GX222,GX223,GX224,GX225,GX226,GX227,GX228,GX229,GX230,GX231,GX232,GX233,GX234,GX235,GX236,GX237,GX238,GX239,GX240,GX241)</f>
        <v/>
      </c>
    </row>
    <row r="348" spans="102:206" x14ac:dyDescent="0.2">
      <c r="DN348" t="str">
        <f t="shared" ref="DN348:DU348" ca="1" si="198">CONCATENATE(OFFSET(DN39,180,0),OFFSET(DN40,180,0),OFFSET(DN41,180,0),OFFSET(DN42,180,0),OFFSET(DN43,180,0),OFFSET(DN44,180,0),OFFSET(DN45,180,0),OFFSET(DN46,180,0),OFFSET(DN47,180,0),OFFSET(DN48,180,0),OFFSET(DN49,180,0),OFFSET(DN50,180,0),OFFSET(DN51,180,0),OFFSET(DN52,180,0),OFFSET(DN53,180,0),OFFSET(DN54,180,0),OFFSET(DN55,180,0),OFFSET(DN56,180,0),OFFSET(DN57,180,0),OFFSET(DN58,180,0),OFFSET(DN59,180,0),OFFSET(DN60,180,0),OFFSET(DN61,180,0),OFFSET(DN62,180,0),OFFSET(DN63,180,0),OFFSET(DN64,180,0),OFFSET(DN65,180,0),OFFSET(DN66,180,0),OFFSET(DN67,180,0),OFFSET(DN68,180,0))</f>
        <v/>
      </c>
      <c r="DO348" t="str">
        <f t="shared" ca="1" si="198"/>
        <v/>
      </c>
      <c r="DP348" t="str">
        <f t="shared" ca="1" si="198"/>
        <v/>
      </c>
      <c r="DQ348" t="str">
        <f t="shared" ca="1" si="198"/>
        <v/>
      </c>
      <c r="DR348" t="str">
        <f t="shared" ca="1" si="198"/>
        <v/>
      </c>
      <c r="DS348" t="str">
        <f t="shared" ca="1" si="198"/>
        <v/>
      </c>
      <c r="DT348" t="str">
        <f t="shared" ca="1" si="198"/>
        <v/>
      </c>
      <c r="DU348" t="str">
        <f t="shared" ca="1" si="198"/>
        <v/>
      </c>
      <c r="GL348">
        <v>206</v>
      </c>
      <c r="GM348">
        <v>247</v>
      </c>
      <c r="GN348" t="s">
        <v>1215</v>
      </c>
      <c r="GO348" t="str">
        <f ca="1">CONCATENATE(GX242,GP348,GQ348)</f>
        <v/>
      </c>
      <c r="GP348" t="str">
        <f ca="1">CONCATENATE(GX243,GX244,GX245,GX246,GX247,GX248,GX249,GX250,GX251,GX252,GX253,GX254,GX255,GX256,GX257,GX258,GX259,GX260,GX261,GX262,GX263,GX264,GX265,GX266,GX267,GX268,GX269,GX270,GX271,GX272,GX273,GX274)</f>
        <v/>
      </c>
      <c r="GQ348" t="str">
        <f ca="1">CONCATENATE(GX275,GX276,GX277,GX278,GX279,GX280,GX281,GX282,GX283,GX284,GX285,GX286,GX287,GX288,GX289,GX290,GX291,GX292,GX293,GX294)</f>
        <v/>
      </c>
    </row>
    <row r="349" spans="102:206" x14ac:dyDescent="0.2">
      <c r="DN349" t="str">
        <f t="shared" ref="DN349:DU349" ca="1" si="199">CONCATENATE(OFFSET(DN39,210,0),OFFSET(DN40,210,0),OFFSET(DN41,210,0),OFFSET(DN42,210,0),OFFSET(DN43,210,0),OFFSET(DN44,210,0),OFFSET(DN45,210,0),OFFSET(DN46,210,0),OFFSET(DN47,210,0),OFFSET(DN48,210,0),OFFSET(DN49,210,0),OFFSET(DN50,210,0),OFFSET(DN51,210,0),OFFSET(DN52,210,0),OFFSET(DN53,210,0),OFFSET(DN54,210,0),OFFSET(DN55,210,0),OFFSET(DN56,210,0),OFFSET(DN57,210,0),OFFSET(DN58,210,0),OFFSET(DN59,210,0),OFFSET(DN60,210,0),OFFSET(DN61,210,0),OFFSET(DN62,210,0),OFFSET(DN63,210,0),OFFSET(DN64,210,0),OFFSET(DN65,210,0),OFFSET(DN66,210,0),OFFSET(DN67,210,0),OFFSET(DN68,210,0))</f>
        <v/>
      </c>
      <c r="DO349" t="str">
        <f t="shared" ca="1" si="199"/>
        <v/>
      </c>
      <c r="DP349" t="str">
        <f t="shared" ca="1" si="199"/>
        <v/>
      </c>
      <c r="DQ349" t="str">
        <f t="shared" ca="1" si="199"/>
        <v/>
      </c>
      <c r="DR349" t="str">
        <f t="shared" ca="1" si="199"/>
        <v/>
      </c>
      <c r="DS349" t="str">
        <f t="shared" ca="1" si="199"/>
        <v/>
      </c>
      <c r="DT349" t="str">
        <f t="shared" ca="1" si="199"/>
        <v/>
      </c>
      <c r="DU349" t="str">
        <f t="shared" ca="1" si="199"/>
        <v/>
      </c>
      <c r="GL349">
        <v>248</v>
      </c>
      <c r="GM349">
        <v>279</v>
      </c>
      <c r="GN349" t="s">
        <v>4783</v>
      </c>
      <c r="GO349" t="str">
        <f ca="1">CONCATENATE(GP349,GQ349)</f>
        <v/>
      </c>
      <c r="GP349" t="str">
        <f ca="1">CONCATENATE(GX295,GX296,GX297,GX298,GX299,GX300,GX301,GX302,GX303,GX304,GX305,GX306,GX307,GX308,GX309,GX310,GX311,GX312,GX313,GX314,GX315,GX316,GX317,GX318,GX319,GX320,GX321)</f>
        <v/>
      </c>
      <c r="GQ349" t="str">
        <f ca="1">CONCATENATE(GX322,GX323,GX324,GX325,GX326,GX327,GX328,GX329,GX330)</f>
        <v/>
      </c>
    </row>
    <row r="350" spans="102:206" x14ac:dyDescent="0.2">
      <c r="DN350" t="str">
        <f t="shared" ref="DN350:DU350" ca="1" si="200">CONCATENATE(OFFSET(DN39,240,0),OFFSET(DN40,240,0),OFFSET(DN41,240,0),OFFSET(DN42,240,0),OFFSET(DN43,240,0),OFFSET(DN44,240,0),OFFSET(DN45,240,0),OFFSET(DN46,240,0),OFFSET(DN47,240,0),OFFSET(DN48,240,0),OFFSET(DN49,240,0),OFFSET(DN50,240,0),OFFSET(DN51,240,0),OFFSET(DN52,240,0),OFFSET(DN53,240,0),OFFSET(DN54,240,0),OFFSET(DN55,240,0),OFFSET(DN56,240,0),OFFSET(DN57,240,0),OFFSET(DN58,240,0),OFFSET(DN59,240,0),OFFSET(DN60,240,0),OFFSET(DN61,240,0),OFFSET(DN62,240,0),OFFSET(DN63,240,0),OFFSET(DN64,240,0),OFFSET(DN65,240,0),OFFSET(DN66,240,0),OFFSET(DN67,240,0),OFFSET(DN68,240,0))</f>
        <v/>
      </c>
      <c r="DO350" t="str">
        <f t="shared" ca="1" si="200"/>
        <v/>
      </c>
      <c r="DP350" t="str">
        <f t="shared" ca="1" si="200"/>
        <v/>
      </c>
      <c r="DQ350" t="str">
        <f t="shared" ca="1" si="200"/>
        <v/>
      </c>
      <c r="DR350" t="str">
        <f t="shared" ca="1" si="200"/>
        <v/>
      </c>
      <c r="DS350" t="str">
        <f t="shared" ca="1" si="200"/>
        <v/>
      </c>
      <c r="DT350" t="str">
        <f t="shared" ca="1" si="200"/>
        <v/>
      </c>
      <c r="DU350" t="str">
        <f t="shared" ca="1" si="200"/>
        <v/>
      </c>
      <c r="GL350">
        <v>280</v>
      </c>
      <c r="GM350">
        <v>290</v>
      </c>
      <c r="GN350" t="s">
        <v>1214</v>
      </c>
      <c r="GO350" t="str">
        <f ca="1">CONCATENATE(GX331,GX332,GX333,GX334,GX335,GX336,GX337,GX338,GX339,GX340,GX341,GX342)</f>
        <v/>
      </c>
    </row>
    <row r="351" spans="102:206" x14ac:dyDescent="0.2">
      <c r="DN351" t="str">
        <f ca="1">CONCATENATE(DN309,DN310,DN311,DN312,DN313,DN314,DN315,DN316,DN317,DN318,DN319,DN320,DN321,DN322,DN323,DN324,DN325,DN326,DN327,DN328,DN329,DN330,DN331,DN332,DN333,DN334)&amp;CONCATENATE(DN335,DN336,DN337,DN338,DN339,DN340)</f>
        <v/>
      </c>
      <c r="DO351" t="str">
        <f t="shared" ref="DO351:DU351" ca="1" si="201">CONCATENATE(DO309,DO310,DO311,DO312,DO313,DO314,DO315,DO316,DO317,DO318,DO319,DO320,DO321,DO322,DO323,DO324,DO325,DO326,DO327,DO328,DO329,DO330,DO331,DO332,DO333,DO334)&amp;CONCATENATE(DO335,DO336,DO337,DO338,DO339,DO340)</f>
        <v/>
      </c>
      <c r="DP351" t="str">
        <f t="shared" ca="1" si="201"/>
        <v/>
      </c>
      <c r="DQ351" t="str">
        <f t="shared" si="201"/>
        <v/>
      </c>
      <c r="DR351" t="str">
        <f t="shared" si="201"/>
        <v/>
      </c>
      <c r="DS351" t="str">
        <f t="shared" si="201"/>
        <v/>
      </c>
      <c r="DT351" t="str">
        <f t="shared" si="201"/>
        <v/>
      </c>
      <c r="DU351" t="str">
        <f t="shared" si="201"/>
        <v/>
      </c>
      <c r="GN351" t="s">
        <v>3052</v>
      </c>
      <c r="GO351" t="str">
        <f ca="1">CONCATENATE("Grad I,",LIT_I,"Grad II,",LIT_II,"Grad III,",LIT_III,"Grad IV,",LIT_IV,"Grad V,",LIT_V,"Grad VI,",LIT_VI)</f>
        <v>Grad I,Grad II,Grad III,Grad IV,Grad V,Grad VI,</v>
      </c>
    </row>
    <row r="352" spans="102:206" x14ac:dyDescent="0.2">
      <c r="DN352" t="str">
        <f t="shared" ref="DN352:DU352" ca="1" si="202">CONCATENATE(DN341,DN342,DN343,DN344,DN345,DN346,DN347,DN348,DN349,DN350,DN351)</f>
        <v/>
      </c>
      <c r="DO352" t="str">
        <f t="shared" ca="1" si="202"/>
        <v/>
      </c>
      <c r="DP352" t="str">
        <f t="shared" ca="1" si="202"/>
        <v/>
      </c>
      <c r="DQ352" t="str">
        <f t="shared" ca="1" si="202"/>
        <v/>
      </c>
      <c r="DR352" t="str">
        <f t="shared" ca="1" si="202"/>
        <v/>
      </c>
      <c r="DS352" t="str">
        <f t="shared" ca="1" si="202"/>
        <v/>
      </c>
      <c r="DT352" t="str">
        <f t="shared" ca="1" si="202"/>
        <v/>
      </c>
      <c r="DU352" t="str">
        <f t="shared" ca="1" si="202"/>
        <v/>
      </c>
    </row>
    <row r="353" spans="201:201" x14ac:dyDescent="0.2">
      <c r="GS353" t="str">
        <f ca="1">CONCATENATE(GX142,GP347,GQ347,GR347)</f>
        <v/>
      </c>
    </row>
    <row r="371" spans="102:104" x14ac:dyDescent="0.2">
      <c r="CX371" t="s">
        <v>6485</v>
      </c>
    </row>
    <row r="372" spans="102:104" x14ac:dyDescent="0.2">
      <c r="CX372" t="str">
        <f>CONCATENATE(CY372,CX7,", ",CX8,", ",CX9,", ",CZ372)</f>
        <v>Abvenenum reine Speise, Adlerauge Luchsenohr, Adlerschwinge (V1: Text1 eingeben), Adlerschwinge (V2: Text2 eingeben), Adlerschwinge (V3: Text3 eingeben), Aeolitus  Windgebraus, Armatrutz, Attributo, Axxeleratus Blitzgeschwind, Balsam Salabunde, Band und Fessel, Bannbaladin, Blick aufs Wesen, Blick in die Gedanken, Blitz dich find, Chamaelioni, Eigenschaften wiederherst., Einfluss bannen, Exposami Lebenskraft, Falkenauge Meisterschuss, Flim Flam Funkel, Fulminictus Donnerkeil, Gedankenbilder Elfenruf, Haselbusch und Ginsterkraut, Movimento Dauerlauf, Nebelwand und Morgendunst, Odem Arcanum, Pfeil der Luft, Ruhe Körper - ruhe Geist, Sensibar Empathicus, Silentium Silentille, Somnigravis tiefer Schlaf, Spurlos Trittlos, Tiergedanken, Unitatio Geistesbund, Verständigung stören, Visibili Vanitar, Wasseratem, Weisse Mähn' und gold'ner Huf, Windstille,</v>
      </c>
      <c r="CY372" t="s">
        <v>8537</v>
      </c>
      <c r="CZ372" t="s">
        <v>8538</v>
      </c>
    </row>
    <row r="375" spans="102:104" x14ac:dyDescent="0.2">
      <c r="CX375" t="s">
        <v>730</v>
      </c>
    </row>
    <row r="376" spans="102:104" x14ac:dyDescent="0.2">
      <c r="CX376" t="s">
        <v>731</v>
      </c>
    </row>
    <row r="377" spans="102:104" x14ac:dyDescent="0.2">
      <c r="CX377" t="s">
        <v>732</v>
      </c>
    </row>
    <row r="378" spans="102:104" x14ac:dyDescent="0.2">
      <c r="CX378" t="s">
        <v>733</v>
      </c>
    </row>
    <row r="379" spans="102:104" x14ac:dyDescent="0.2">
      <c r="CX379" t="s">
        <v>3130</v>
      </c>
    </row>
    <row r="380" spans="102:104" x14ac:dyDescent="0.2">
      <c r="CX380" t="s">
        <v>2788</v>
      </c>
    </row>
    <row r="381" spans="102:104" x14ac:dyDescent="0.2">
      <c r="CX381" t="s">
        <v>1048</v>
      </c>
    </row>
  </sheetData>
  <sheetProtection algorithmName="SHA-512" hashValue="VtmDTPNyzRj10RgevE/LICnInWLHgBiuaYp3foTKZwUSrR4IwDKKMNu+bGIXBzE6TCYJqrAokf8hl/D2WQS6Nw==" saltValue="EjBX+Mar9k6Xo1Fvf6W1Lg==" spinCount="100000" sheet="1" objects="1" scenarios="1" selectLockedCells="1" selectUnlockedCells="1"/>
  <sortState ref="CU58:CU288">
    <sortCondition ref="CU58"/>
  </sortState>
  <dataConsolidate/>
  <phoneticPr fontId="3" type="noConversion"/>
  <dataValidations disablePrompts="1" count="8">
    <dataValidation type="list" allowBlank="1" showInputMessage="1" showErrorMessage="1" sqref="EE226:EG237 EG158 EE125:EG125 EE4:EG22 EE72:EG72">
      <formula1>REPRAES</formula1>
    </dataValidation>
    <dataValidation type="list" allowBlank="1" showInputMessage="1" showErrorMessage="1" sqref="EE23:EG71 EE73:EF124 EG80:EG124 EE126:EF223 EG159:EG223">
      <formula1>RITUALKENNTNIS</formula1>
    </dataValidation>
    <dataValidation type="list" allowBlank="1" showInputMessage="1" showErrorMessage="1" sqref="CK101 CK76 CK91:CL91 CK97 CK71:CK74 CK10 CK3:CM4">
      <formula1>KPFALLETL</formula1>
    </dataValidation>
    <dataValidation type="list" allowBlank="1" showInputMessage="1" showErrorMessage="1" sqref="CK130:CM132 CK133:CK139 CL135:CM139 CK142:CK144 CL142:CM179 CK169:CK179">
      <formula1>WAFFENTL</formula1>
    </dataValidation>
    <dataValidation type="list" allowBlank="1" showInputMessage="1" showErrorMessage="1" sqref="HM3:HM8 HM21:HM35 HM89:HM92 HM70:HM87 HM37:HM43 HM10:HM19 HM55:HM63 HM65:HM68 HM45:HM53">
      <formula1>WIRKUNGSDAUER_S</formula1>
    </dataValidation>
    <dataValidation type="list" allowBlank="1" showInputMessage="1" sqref="GC23:GD23">
      <formula1>$GW$8</formula1>
    </dataValidation>
    <dataValidation type="list" allowBlank="1" showInputMessage="1" showErrorMessage="1" sqref="HG3:HG92">
      <formula1>ENTFERNUNG</formula1>
    </dataValidation>
    <dataValidation type="list" allowBlank="1" showInputMessage="1" showErrorMessage="1" sqref="HL3:HL92">
      <formula1>RITUALDAUER_S</formula1>
    </dataValidation>
  </dataValidations>
  <hyperlinks>
    <hyperlink ref="EK93" location="Kampfwerte!A1" display="Bezeichnung"/>
  </hyperlinks>
  <pageMargins left="0.78740157499999996" right="0.78740157499999996" top="0.984251969" bottom="0.984251969" header="0.4921259845" footer="0.4921259845"/>
  <pageSetup paperSize="9" orientation="portrait" verticalDpi="360"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9"/>
  </sheetPr>
  <dimension ref="A1:AC318"/>
  <sheetViews>
    <sheetView view="pageBreakPreview" topLeftCell="A32" zoomScale="85" zoomScaleNormal="100" zoomScaleSheetLayoutView="85" workbookViewId="0">
      <selection activeCell="C59" sqref="C59"/>
    </sheetView>
  </sheetViews>
  <sheetFormatPr baseColWidth="10" defaultRowHeight="12.75" x14ac:dyDescent="0.2"/>
  <cols>
    <col min="1" max="1" width="31.7109375" customWidth="1"/>
    <col min="2" max="2" width="14.7109375" customWidth="1"/>
    <col min="3" max="3" width="88.140625" customWidth="1"/>
    <col min="4" max="4" width="13.5703125" customWidth="1"/>
    <col min="5" max="5" width="24.28515625" customWidth="1"/>
    <col min="6" max="6" width="18.28515625" customWidth="1"/>
    <col min="7" max="7" width="24.28515625" customWidth="1"/>
    <col min="8" max="8" width="9.85546875" customWidth="1"/>
    <col min="9" max="9" width="15.7109375" bestFit="1" customWidth="1"/>
    <col min="11" max="11" width="15.7109375" bestFit="1" customWidth="1"/>
    <col min="12" max="12" width="5.7109375" customWidth="1"/>
    <col min="13" max="13" width="2.85546875" customWidth="1"/>
    <col min="14" max="14" width="33.7109375" customWidth="1"/>
    <col min="15" max="15" width="83" customWidth="1"/>
    <col min="16" max="16" width="10.140625" customWidth="1"/>
    <col min="17" max="17" width="5.85546875" customWidth="1"/>
    <col min="18" max="18" width="8.85546875" customWidth="1"/>
    <col min="19" max="19" width="13.85546875" customWidth="1"/>
    <col min="20" max="20" width="4.85546875" customWidth="1"/>
    <col min="21" max="21" width="52.140625" customWidth="1"/>
    <col min="22" max="22" width="18.140625" customWidth="1"/>
    <col min="23" max="23" width="22.7109375" customWidth="1"/>
    <col min="25" max="25" width="20.42578125" customWidth="1"/>
    <col min="26" max="26" width="15.5703125" customWidth="1"/>
  </cols>
  <sheetData>
    <row r="1" spans="1:26" x14ac:dyDescent="0.2">
      <c r="A1" t="s">
        <v>4383</v>
      </c>
      <c r="N1" t="s">
        <v>1271</v>
      </c>
      <c r="O1" t="s">
        <v>2638</v>
      </c>
      <c r="P1" t="s">
        <v>2639</v>
      </c>
      <c r="Q1" t="s">
        <v>2418</v>
      </c>
      <c r="R1" t="s">
        <v>2417</v>
      </c>
      <c r="U1" t="s">
        <v>2419</v>
      </c>
      <c r="W1" t="s">
        <v>2409</v>
      </c>
      <c r="X1" t="s">
        <v>9133</v>
      </c>
      <c r="Y1" t="s">
        <v>3761</v>
      </c>
      <c r="Z1" t="s">
        <v>3762</v>
      </c>
    </row>
    <row r="2" spans="1:26" x14ac:dyDescent="0.2">
      <c r="A2" t="s">
        <v>4381</v>
      </c>
      <c r="B2" t="str">
        <f>IF(OR(RASSEGENE="LEER",KULTURGENE="LEER",PROFGENE="LEER"),"Keine Vorteile bekannt",CONCATENATE($N$2,IF(EXACT($N$10,""),"",", "),$N$10,IF(EXACT($N$18,""),"",", "),$N$18,IF(EXACT($N$3,""),"",", "),$N$3,IF(EXACT($N$11,""),"",", "),$N$11,IF(EXACT(Generierung!D25,""),"",", "),Generierung!D25,IF(ISBLANK(Generierung!E25),""," "),Generierung!E25,IF(AND(EXACT($N$19,""),EXACT($N$4,""),EXACT($N$12,"")),"",", ")))</f>
        <v>Keine Vorteile bekannt</v>
      </c>
      <c r="N2" t="str">
        <f>IF(EXACT(HLOOKUP(Generierung!$P$5,RASSE,26,FALSE),""),"",HLOOKUP(Generierung!$P$5,RASSE,26,FALSE))</f>
        <v/>
      </c>
      <c r="P2" t="str">
        <f>IF(AND(ZWERG_GEODE,NOT(ISERR(FIND("Schwer zu verzaubern",N2,1)))),"X","")</f>
        <v/>
      </c>
      <c r="Q2" t="str">
        <f t="shared" ref="Q2:Q37" si="0">IF(OR(EXACT($N2,""),EXACT($N2,"Ausdauernder Zauberer"),NOT(ISERR(FIND("Natürliche Waffen",$N2,1))),ISERR(FIND(LEFT($N2,8),$W$62))),"","X")</f>
        <v/>
      </c>
      <c r="U2" t="str">
        <f>IF(OR(EXACT($N2,""),EXACT($P2,"X"),EXACT($Q2,"X")),"",CONCATENATE(", ",$N2))</f>
        <v/>
      </c>
      <c r="W2" t="s">
        <v>4855</v>
      </c>
      <c r="Y2" t="str">
        <f t="shared" ref="Y2:Y48" si="1">IF(ISERR(FIND($Y$1,N2)),"",SUBSTITUTE(N2,$Y$1&amp;" ","")&amp;",")</f>
        <v/>
      </c>
      <c r="Z2" t="str">
        <f t="shared" ref="Z2:Z48" si="2">IF(ISERR(FIND($Z$1,N2)),"",SUBSTITUTE(N2,$Z$1&amp;" ","")&amp;",")</f>
        <v/>
      </c>
    </row>
    <row r="3" spans="1:26" x14ac:dyDescent="0.2">
      <c r="A3" t="s">
        <v>4381</v>
      </c>
      <c r="B3" t="str">
        <f>IF(OR(RASSEGENE="LEER",KULTURGENE="LEER",PROFGENE="LEER"),"",CONCATENATE($N$19,IF(AND(NOT(EXACT($N$19,"")),NOT(EXACT($N$4,""))),", ",""),$N$4,IF(NOT(EXACT($N$12,"")),", ",""),$N$12,IF(NOT(EXACT($N$20,"")),", ",""),$N$20,IF(NOT(EXACT($N$5,"")),", ",""),$N$5,IF(NOT(EXACT($N$13,"")),", ",""),$N$13,IF(NOT(EXACT($N$21,"")),", ",""),$N$21,IF(EXACT(Generierung!D26,""),"",", "),Generierung!D26,IF(ISBLANK(Generierung!E26),""," "),Generierung!E26,IF(AND(EXACT($N$22,""),EXACT($N$6,""),EXACT($N$13,"")),"",", ")))</f>
        <v/>
      </c>
      <c r="N3" t="str">
        <f>IF(EXACT(HLOOKUP(Generierung!$P$5,RASSE,27,FALSE),""),"",HLOOKUP(Generierung!$P$5,RASSE,27,FALSE))</f>
        <v/>
      </c>
      <c r="P3" t="str">
        <f t="shared" ref="P3:P9" si="3">IF(AND(ZWERG_GEODE,NOT(ISERR(FIND("Schwer zu verzaubern",N3,1)))),"X","")</f>
        <v/>
      </c>
      <c r="Q3" t="str">
        <f t="shared" si="0"/>
        <v/>
      </c>
      <c r="U3" t="str">
        <f t="shared" ref="U3:U35" si="4">IF(OR(EXACT($N3,""),EXACT($P3,"X"),EXACT($Q3,"X")),"",CONCATENATE(", ",$N3))</f>
        <v/>
      </c>
      <c r="Y3" t="str">
        <f t="shared" si="1"/>
        <v/>
      </c>
      <c r="Z3" t="str">
        <f t="shared" si="2"/>
        <v/>
      </c>
    </row>
    <row r="4" spans="1:26" x14ac:dyDescent="0.2">
      <c r="A4" t="s">
        <v>4381</v>
      </c>
      <c r="B4" t="str">
        <f>IF(OR(RASSEGENE="LEER",KULTURGENE="LEER",PROFGENE="LEER"),"",CONCATENATE($N$6,IF(AND(NOT(EXACT($N$6,"")),NOT(EXACT($N$14,""))),", ",""),$N$14,IF(NOT(EXACT($N$22,"")),", ",""),$N$22,IF(NOT(EXACT($N$7,"")),", ",""),$N$7,IF(NOT(EXACT($N$15,"")),", ",""),$N$15,IF(NOT(EXACT($N$23,"")),", ",""),$N$23,IF(NOT(EXACT($N$8,"")),", ",""),$N$8,IF(NOT(EXACT($N$16,"")),", ",""),$N$16,IF(NOT(EXACT($N$24,"")),", ",""),$N$24,IF(NOT(EXACT($N$9,"")),", ",""),$N$9,IF(EXACT(Generierung!D27,""),"",", "),Generierung!D27,IF(ISBLANK(Generierung!E27),""," "),Generierung!E27,IF(EXACT(Generierung!D28,""),"",", "),Generierung!D28," ",Generierung!E28))</f>
        <v/>
      </c>
      <c r="N4" t="str">
        <f>IF(EXACT(HLOOKUP(Generierung!$P$5,RASSE,28,FALSE),""),"",HLOOKUP(Generierung!$P$5,RASSE,28,FALSE))</f>
        <v/>
      </c>
      <c r="P4" t="str">
        <f t="shared" si="3"/>
        <v/>
      </c>
      <c r="Q4" t="str">
        <f t="shared" si="0"/>
        <v/>
      </c>
      <c r="U4" t="str">
        <f t="shared" si="4"/>
        <v/>
      </c>
      <c r="Y4" t="str">
        <f t="shared" si="1"/>
        <v/>
      </c>
      <c r="Z4" t="str">
        <f t="shared" si="2"/>
        <v/>
      </c>
    </row>
    <row r="5" spans="1:26" x14ac:dyDescent="0.2">
      <c r="A5" t="s">
        <v>2525</v>
      </c>
      <c r="B5" t="str">
        <f>CONCATENATE(
IF(EXACT(Generierung!D29,""),"",", "),Generierung!D29,IF(ISBLANK(Generierung!E29),""," "),Generierung!E29,
IF(EXACT(Generierung!D30,""),"",", "),Generierung!D30,IF(ISBLANK(Generierung!E30),""," "),Generierung!E30,
IF(EXACT(Generierung!D31,""),"",", "),Generierung!D31,IF(ISBLANK(Generierung!E31),""," "),Generierung!E31,
IF(EXACT(Generierung!D32,""),"",", "),Generierung!D32,IF(ISBLANK(Generierung!E32),""," "),Generierung!E32,
IF(EXACT(Generierung!D33,""),"",", "),Generierung!D33,IF(ISBLANK(Generierung!E33),""," "),Generierung!E33,
IF(EXACT(Generierung!D34,""),"",", "),Generierung!D34,IF(ISBLANK(Generierung!E34),""," "),Generierung!E34)</f>
        <v/>
      </c>
      <c r="N5" t="str">
        <f>IF(EXACT(HLOOKUP(Generierung!$P$5,RASSE,29,FALSE),""),"",HLOOKUP(Generierung!$P$5,RASSE,29,FALSE))</f>
        <v/>
      </c>
      <c r="P5" t="str">
        <f t="shared" si="3"/>
        <v/>
      </c>
      <c r="Q5" t="str">
        <f t="shared" si="0"/>
        <v/>
      </c>
      <c r="U5" t="str">
        <f t="shared" si="4"/>
        <v/>
      </c>
      <c r="Y5" t="str">
        <f t="shared" si="1"/>
        <v/>
      </c>
      <c r="Z5" t="str">
        <f t="shared" si="2"/>
        <v/>
      </c>
    </row>
    <row r="6" spans="1:26" x14ac:dyDescent="0.2">
      <c r="A6" t="s">
        <v>4380</v>
      </c>
      <c r="B6" t="str">
        <f>CONCATENATE(
IF(EXACT(Generierung!D56,""),"",", "),Generierung!D56,IF(ISBLANK(Generierung!E56),""," "),Generierung!E56,
IF(EXACT(Generierung!D61,""),"",", "),Generierung!D61,IF(ISBLANK(Generierung!E61),""," "),Generierung!E61,
IF(EXACT(Generierung!D62,""),"",", "),Generierung!D62,IF(ISBLANK(Generierung!E62),""," "),Generierung!E62,
IF(EXACT(Generierung!D63,""),"",", "),Generierung!D63,IF(ISBLANK(Generierung!E63),""," "),Generierung!E63,
IF(EXACT(GEW_BEGABUNG,""),"",CONCATENATE(", Begabung für ",GEW_BEGABUNG)))</f>
        <v/>
      </c>
      <c r="N6" t="str">
        <f>IF(EXACT(HLOOKUP(Generierung!$P$5,RASSE,30,FALSE),""),"",HLOOKUP(Generierung!$P$5,RASSE,30,FALSE))</f>
        <v/>
      </c>
      <c r="P6" t="str">
        <f t="shared" si="3"/>
        <v/>
      </c>
      <c r="Q6" t="str">
        <f t="shared" si="0"/>
        <v/>
      </c>
      <c r="U6" t="str">
        <f t="shared" si="4"/>
        <v/>
      </c>
      <c r="Y6" t="str">
        <f t="shared" si="1"/>
        <v/>
      </c>
      <c r="Z6" t="str">
        <f t="shared" si="2"/>
        <v/>
      </c>
    </row>
    <row r="7" spans="1:26" x14ac:dyDescent="0.2">
      <c r="A7" t="s">
        <v>4578</v>
      </c>
      <c r="B7" t="str">
        <f>IF(OR(RASSEGENE="LEER",KULTURGENE="LEER",PROFGENE="LEER"),"Erst Rasse, Kultur &amp; Profession festlegen!",CONCATENATE(O90,IF(AND(EXACT(LEFT(VT_EIGEB_VT,2),", "),EXACT(RIGHT(O90,2),", ")),REPLACE(VT_EIGEB_VT,1,2,""),VT_EIGEB_VT),IF(AND(EXACT(LEFT(X89,2),", "),EXACT(RIGHT(VT_EIGEB_VT,2),", ")),REPLACE(X89,1,2,""),X89),VT_UEBERBEG_ANZEIGE))</f>
        <v>Erst Rasse, Kultur &amp; Profession festlegen!</v>
      </c>
      <c r="I7" t="str">
        <f ca="1">CONCATENATE(B2,IF(AND(EXACT(LEFT(B3,2),", "),EXACT(RIGHT(B2,2),", ")),REPLACE(B3,1,2,""),B3),IF(AND(EXACT(LEFT(B4,2),", "),EXACT(RIGHT(B3,2),", ")),REPLACE(B4,1,2,""),B4),IF(AND(EXACT(LEFT(B5,2),", "),EXACT(RIGHT(B4,2),", ")),REPLACE(B5,1,2,""),B5),IF(AND(EXACT(LEFT(B6,2),", "),EXACT(RIGHT(B5,2),", ")),REPLACE(B6,1,2,""),B6),IF(AND(EXACT(LEFT(VT_EIGEB_VT,2),", "),EXACT(RIGHT(B6,2),", ")),REPLACE(VT_EIGEB_VT,1,2,""),VT_EIGEB_VT))</f>
        <v>Keine Vorteile bekannt</v>
      </c>
      <c r="N7" t="str">
        <f>IF(EXACT(HLOOKUP(Generierung!$P$5,RASSE,31,FALSE),""),"",HLOOKUP(Generierung!$P$5,RASSE,31,FALSE))</f>
        <v/>
      </c>
      <c r="P7" t="str">
        <f t="shared" si="3"/>
        <v/>
      </c>
      <c r="Q7" t="str">
        <f t="shared" si="0"/>
        <v/>
      </c>
      <c r="U7" t="str">
        <f t="shared" si="4"/>
        <v/>
      </c>
      <c r="Y7" t="str">
        <f t="shared" si="1"/>
        <v/>
      </c>
      <c r="Z7" t="str">
        <f t="shared" si="2"/>
        <v/>
      </c>
    </row>
    <row r="8" spans="1:26" x14ac:dyDescent="0.2">
      <c r="A8" t="s">
        <v>4579</v>
      </c>
      <c r="B8" t="str">
        <f>IF(OR(RASSEGENE="LEER",KULTURGENE="LEER",PROFGENE="LEER"),"Erst Rasse, Kultur  &amp; Profession festlegen!",CONCATENATE(O199,O258,O266))</f>
        <v>Erst Rasse, Kultur  &amp; Profession festlegen!</v>
      </c>
      <c r="N8" t="str">
        <f>IF(EXACT(HLOOKUP(Generierung!$P$5,RASSE,32,FALSE),""),"",HLOOKUP(Generierung!$P$5,RASSE,32,FALSE))</f>
        <v/>
      </c>
      <c r="P8" t="str">
        <f t="shared" si="3"/>
        <v/>
      </c>
      <c r="Q8" t="str">
        <f t="shared" si="0"/>
        <v/>
      </c>
      <c r="U8" t="str">
        <f t="shared" si="4"/>
        <v/>
      </c>
      <c r="Y8" t="str">
        <f t="shared" si="1"/>
        <v/>
      </c>
      <c r="Z8" t="str">
        <f t="shared" si="2"/>
        <v/>
      </c>
    </row>
    <row r="9" spans="1:26" x14ac:dyDescent="0.2">
      <c r="A9" t="s">
        <v>1314</v>
      </c>
      <c r="B9" t="s">
        <v>8820</v>
      </c>
      <c r="C9" t="s">
        <v>8821</v>
      </c>
      <c r="E9" t="s">
        <v>2897</v>
      </c>
      <c r="N9" t="str">
        <f>IF(EXACT(HLOOKUP(Generierung!$P$5,RASSE,33,FALSE),""),"",HLOOKUP(Generierung!$P$5,RASSE,33,FALSE))</f>
        <v/>
      </c>
      <c r="P9" t="str">
        <f t="shared" si="3"/>
        <v/>
      </c>
      <c r="Q9" t="str">
        <f t="shared" si="0"/>
        <v/>
      </c>
      <c r="R9">
        <f ca="1">IF(U65="Halbzauberer",2,IF(U65="Viertelzauberer",2,IF(AND(O65=1,Q65=1),2,0)))</f>
        <v>0</v>
      </c>
      <c r="U9" t="str">
        <f t="shared" si="4"/>
        <v/>
      </c>
      <c r="W9" t="str">
        <f>CONCATENATE(N2,N3,N4,N5,N6,N7,N8,N9)</f>
        <v/>
      </c>
      <c r="X9" t="str">
        <f>CONCATENATE(N2," ",N3," ",N4," ",N5," ",N6," ",N7," ",N8," ",N9," ")</f>
        <v xml:space="preserve">        </v>
      </c>
      <c r="Y9" t="str">
        <f t="shared" si="1"/>
        <v/>
      </c>
      <c r="Z9" t="str">
        <f t="shared" si="2"/>
        <v/>
      </c>
    </row>
    <row r="10" spans="1:26" x14ac:dyDescent="0.2">
      <c r="A10" t="str">
        <f>INDEX(VORTEILEVARGP,1,1)</f>
        <v>Begabung für [Merkmal]</v>
      </c>
      <c r="B10" t="str">
        <f>CONCATENATE(IF(EXACT($A10,Generierung!$D$25),"Generierung!$E$25",""),IF(EXACT($A10,Generierung!$D$26),"Generierung!$E$26",""),IF(EXACT($A10,Generierung!$D$27),"Generierung!$E$27",""),IF(EXACT($A10,Generierung!$D$28),"Generierung!$E$28",""),IF(EXACT($A10,Generierung!$D$29),"Generierung!$E$29",""),IF(EXACT($A10,Generierung!$D$30),"Generierung!$E$30",""),IF(EXACT($A10,Generierung!$D$31),"Generierung!$E$31",""),IF(EXACT($A10,Generierung!$D$32),"Generierung!$E$32",""),IF(EXACT($A10,Generierung!$D$33),"Generierung!$E$33",""),IF(EXACT($A10,Generierung!$D$34),"Generierung!$E$34",""),IF(EXACT($A10,Generierung!$D$56),"Generierung!$E$55",""),IF(EXACT($A10,Generierung!$D$61),"Generierung!$E$56",""),IF(EXACT($A10,Generierung!$D$62),"Generierung!$E$57",""),IF(EXACT($A10,Generierung!$D$63),"Generierung!$E$58",""))</f>
        <v/>
      </c>
      <c r="E10" t="s">
        <v>1480</v>
      </c>
      <c r="F10" t="str">
        <f>IF(OR(RASSEGENE="LEER",KULTURGENE="LEER",PROFGENE="LEER"),"Keine Vorteile bekannt",CONCATENATE($N$2,IF(EXACT($N$10,""),"",", "),$N$10,IF(EXACT($N$18,""),"",", "),$N$18,IF(EXACT($N$3,""),"",", "),$N$3,IF(EXACT($N$11,""),"",", "),$N$11,IF(AND(EXACT($N$19,""),EXACT($N$4,""),EXACT($N$12,"")),"",", ")))</f>
        <v>Keine Vorteile bekannt</v>
      </c>
      <c r="N10" t="str">
        <f>IF(EXACT(HLOOKUP(Generierung!$P$6,KULTUR,26,FALSE),""),"",HLOOKUP(Generierung!$P$6,KULTUR,26,FALSE))</f>
        <v/>
      </c>
      <c r="P10" t="str">
        <f>IF(OR(EXACT($N10,""),ISERR(FIND($N10,$W$9))),"","X")</f>
        <v/>
      </c>
      <c r="Q10" t="str">
        <f t="shared" si="0"/>
        <v/>
      </c>
      <c r="R10" t="str">
        <f t="shared" ref="R10:R17" si="5">IF(OR(EXACT($N10,""),NOT(ISERR(FIND($N10,$W$70))),ISERR(FIND($N10,$W$9))),"",
IF(NOT(ISNA(VLOOKUP($N10,VORTEILEVARGP,1,FALSE))),"X",IF(Q10="X",0,VLOOKUP($N10,VORTEILEGES,4,FALSE)))
)</f>
        <v/>
      </c>
      <c r="U10" t="str">
        <f t="shared" si="4"/>
        <v/>
      </c>
      <c r="V10" t="str">
        <f t="shared" ref="V10:V17" si="6">IF(OR(EXACT(U10,""),ISERR(FIND(U10,$W$9))),"",
IF(NOT(ISNA(VLOOKUP($U10,VORTEILEVARGP,1,FALSE))),"X",VLOOKUP($U10,VORTEILEGES,4,FALSE))
)</f>
        <v/>
      </c>
      <c r="W10" t="s">
        <v>3623</v>
      </c>
      <c r="Y10" t="str">
        <f t="shared" si="1"/>
        <v/>
      </c>
      <c r="Z10" t="str">
        <f t="shared" si="2"/>
        <v/>
      </c>
    </row>
    <row r="11" spans="1:26" x14ac:dyDescent="0.2">
      <c r="A11" t="str">
        <f>INDEX(VORTEILEVARGP,2,1)</f>
        <v>Begabung für [Ritual]</v>
      </c>
      <c r="B11" t="str">
        <f>CONCATENATE(IF(EXACT($A11,Generierung!$D$25),"Generierung!$E$25",""),IF(EXACT($A11,Generierung!$D$26),"Generierung!$E$26",""),IF(EXACT($A11,Generierung!$D$27),"Generierung!$E$27",""),IF(EXACT($A11,Generierung!$D$28),"Generierung!$E$28",""),IF(EXACT($A11,Generierung!$D$29),"Generierung!$E$29",""),IF(EXACT($A11,Generierung!$D$30),"Generierung!$E$30",""),IF(EXACT($A11,Generierung!$D$31),"Generierung!$E$31",""),IF(EXACT($A11,Generierung!$D$32),"Generierung!$E$32",""),IF(EXACT($A11,Generierung!$D$33),"Generierung!$E$33",""),IF(EXACT($A11,Generierung!$D$34),"Generierung!$E$34",""),IF(EXACT($A11,Generierung!$D$56),"Generierung!$E$55",""),IF(EXACT($A11,Generierung!$D$61),"Generierung!$E$56",""),IF(EXACT($A11,Generierung!$D$62),"Generierung!$E$57",""),IF(EXACT($A11,Generierung!$D$63),"Generierung!$E$58",""))</f>
        <v/>
      </c>
      <c r="E11" t="s">
        <v>1480</v>
      </c>
      <c r="F11" t="str">
        <f>IF(OR(RASSEGENE="LEER",KULTURGENE="LEER",PROFGENE="LEER"),"",CONCATENATE($N$19,IF(AND(NOT(EXACT($N$19,"")),NOT(EXACT($N$4,""))),", ",""),$N$4,IF(NOT(EXACT($N$12,"")),", ",""),$N$12,IF(NOT(EXACT($N$20,"")),", ",""),$N$20,IF(NOT(EXACT($N$5,"")),", ",""),$N$5,IF(NOT(EXACT($N$13,"")),", ",""),$N$13,IF(NOT(EXACT($N$21,"")),", ",""),$N$21,IF(AND(EXACT($N$22,""),EXACT($N$6,""),EXACT($N$13,"")),"",", ")))</f>
        <v/>
      </c>
      <c r="N11" t="str">
        <f>IF(EXACT(HLOOKUP(Generierung!$P$6,KULTUR,27,FALSE),""),"",HLOOKUP(Generierung!$P$6,KULTUR,27,FALSE))</f>
        <v/>
      </c>
      <c r="P11" t="str">
        <f t="shared" ref="P11:P17" si="7">IF(OR(EXACT($N11,""),ISERR(FIND($N11,$W$9))),"","X")</f>
        <v/>
      </c>
      <c r="Q11" t="str">
        <f t="shared" si="0"/>
        <v/>
      </c>
      <c r="R11" t="str">
        <f t="shared" si="5"/>
        <v/>
      </c>
      <c r="U11" t="str">
        <f t="shared" si="4"/>
        <v/>
      </c>
      <c r="V11" t="str">
        <f t="shared" si="6"/>
        <v/>
      </c>
      <c r="Y11" t="str">
        <f t="shared" si="1"/>
        <v/>
      </c>
      <c r="Z11" t="str">
        <f t="shared" si="2"/>
        <v/>
      </c>
    </row>
    <row r="12" spans="1:26" x14ac:dyDescent="0.2">
      <c r="A12" t="str">
        <f>INDEX(VORTEILEVARGP,5,1)</f>
        <v>Begabung für [Zauber]</v>
      </c>
      <c r="B12" t="str">
        <f>CONCATENATE(IF(EXACT($A12,Generierung!$D$25),"Generierung!$E$25",""),IF(EXACT($A12,Generierung!$D$26),"Generierung!$E$26",""),IF(EXACT($A12,Generierung!$D$27),"Generierung!$E$27",""),IF(EXACT($A12,Generierung!$D$28),"Generierung!$E$28",""),IF(EXACT($A12,Generierung!$D$29),"Generierung!$E$29",""),IF(EXACT($A12,Generierung!$D$30),"Generierung!$E$30",""),IF(EXACT($A12,Generierung!$D$31),"Generierung!$E$31",""),IF(EXACT($A12,Generierung!$D$32),"Generierung!$E$32",""),IF(EXACT($A12,Generierung!$D$33),"Generierung!$E$33",""),IF(EXACT($A12,Generierung!$D$34),"Generierung!$E$34",""),IF(EXACT($A12,Generierung!$D$56),"Generierung!$E$55",""),IF(EXACT($A12,Generierung!$D$61),"Generierung!$E$56",""),IF(EXACT($A12,Generierung!$D$62),"Generierung!$E$57",""),IF(EXACT($A12,Generierung!$D$63),"Generierung!$E$58",""))</f>
        <v/>
      </c>
      <c r="E12" t="s">
        <v>1480</v>
      </c>
      <c r="F12" t="str">
        <f>IF(OR(RASSEGENE="LEER",KULTURGENE="LEER",PROFGENE="LEER"),"",CONCATENATE($N$6,IF(AND(NOT(EXACT($N$6,"")),NOT(EXACT($N$14,""))),", ",""),$N$14,IF(NOT(EXACT($N$22,"")),", ",""),$N$22,IF(NOT(EXACT($N$7,"")),", ",""),$N$7,IF(NOT(EXACT($N$15,"")),", ",""),$N$15,IF(NOT(EXACT($N$23,"")),", ",""),$N$23,IF(NOT(EXACT($N$8,"")),", ",""),$N$8,IF(NOT(EXACT($N$16,"")),", ",""),$N$16,IF(NOT(EXACT($N$24,"")),", ",""),$N$24,IF(NOT(EXACT($N$9,"")),", ",""),$N$9))</f>
        <v/>
      </c>
      <c r="N12" t="str">
        <f>IF(EXACT(HLOOKUP(Generierung!$P$6,KULTUR,28,FALSE),""),"",HLOOKUP(Generierung!$P$6,KULTUR,28,FALSE))</f>
        <v/>
      </c>
      <c r="P12" t="str">
        <f t="shared" si="7"/>
        <v/>
      </c>
      <c r="Q12" t="str">
        <f t="shared" si="0"/>
        <v/>
      </c>
      <c r="R12" t="str">
        <f t="shared" si="5"/>
        <v/>
      </c>
      <c r="U12" t="str">
        <f t="shared" si="4"/>
        <v/>
      </c>
      <c r="V12" t="str">
        <f t="shared" si="6"/>
        <v/>
      </c>
      <c r="Y12" t="str">
        <f t="shared" si="1"/>
        <v/>
      </c>
      <c r="Z12" t="str">
        <f t="shared" si="2"/>
        <v/>
      </c>
    </row>
    <row r="13" spans="1:26" x14ac:dyDescent="0.2">
      <c r="A13" t="str">
        <f>INDEX(VORTEILEVARGP,3,1)</f>
        <v>Begabung für [Talent]</v>
      </c>
      <c r="B13" t="str">
        <f>CONCATENATE(IF(EXACT($A13,Generierung!$D$25),Generierung!$E$25&amp;",",""),IF(EXACT($A13,Generierung!$D$26),Generierung!$E$26&amp;",",""),IF(EXACT($A13,Generierung!$D$27),Generierung!$E$27&amp;",",""),IF(EXACT($A13,Generierung!$D$28),Generierung!$E$28&amp;",",""),IF(EXACT($A13,Generierung!$D$29),Generierung!$E$29&amp;",",""),IF(EXACT($A13,Generierung!$D$30),Generierung!$E$30&amp;",",""),IF(EXACT($A13,Generierung!$D$31),Generierung!$E$31&amp;",",""),IF(EXACT($A13,Generierung!$D$32),Generierung!$E$32&amp;",",""),IF(EXACT($A13,Generierung!$D$33),Generierung!$E$33&amp;",",""),IF(EXACT($A13,Generierung!$D$34),Generierung!$E$34&amp;",",""),IF(EXACT($A13,Generierung!$D$56),Generierung!$E$56&amp;",",""),IF(EXACT($A13,Generierung!$D$61),Generierung!$E$61&amp;",",""),IF(EXACT($A13,Generierung!$D$62),Generierung!$E$62&amp;",",""),IF(EXACT($A13,Generierung!$D$63),Generierung!$E$63&amp;",",""))</f>
        <v/>
      </c>
      <c r="E13" t="s">
        <v>4578</v>
      </c>
      <c r="F13" t="str">
        <f>CONCATENATE(F10,F11,F12)</f>
        <v>Keine Vorteile bekannt</v>
      </c>
      <c r="N13" t="str">
        <f>IF(EXACT(HLOOKUP(Generierung!$P$6,KULTUR,29,FALSE),""),"",HLOOKUP(Generierung!$P$6,KULTUR,29,FALSE))</f>
        <v/>
      </c>
      <c r="P13" t="str">
        <f t="shared" si="7"/>
        <v/>
      </c>
      <c r="Q13" t="str">
        <f t="shared" si="0"/>
        <v/>
      </c>
      <c r="R13" t="str">
        <f t="shared" si="5"/>
        <v/>
      </c>
      <c r="U13" t="str">
        <f t="shared" si="4"/>
        <v/>
      </c>
      <c r="V13" t="str">
        <f t="shared" si="6"/>
        <v/>
      </c>
      <c r="Y13" t="str">
        <f t="shared" si="1"/>
        <v/>
      </c>
      <c r="Z13" t="str">
        <f t="shared" si="2"/>
        <v/>
      </c>
    </row>
    <row r="14" spans="1:26" x14ac:dyDescent="0.2">
      <c r="A14" t="str">
        <f>INDEX(VORTEILEVARGP,4,1)</f>
        <v>Begabung für [Talentgruppe]</v>
      </c>
      <c r="B14" t="str">
        <f>CONCATENATE(IF(EXACT($A14,Generierung!$D$25),Generierung!$E$25&amp;",",""),IF(EXACT($A14,Generierung!$D$26),Generierung!$E$26&amp;",",""),IF(EXACT($A14,Generierung!$D$27),Generierung!$E$27&amp;",",""),IF(EXACT($A14,Generierung!$D$28),Generierung!$E$28&amp;",",""),IF(EXACT($A14,Generierung!$D$29),Generierung!$E$29&amp;",",""),IF(EXACT($A14,Generierung!$D$30),Generierung!$E$30&amp;",",""),IF(EXACT($A14,Generierung!$D$31),Generierung!$E$31&amp;",",""),IF(EXACT($A14,Generierung!$D$32),Generierung!$E$32&amp;",",""),IF(EXACT($A14,Generierung!$D$33),Generierung!$E$33&amp;",",""),IF(EXACT($A14,Generierung!$D$34),Generierung!$E$34&amp;",",""),IF(EXACT($A14,Generierung!$D$56),Generierung!$E$56&amp;",",""),IF(EXACT($A14,Generierung!$D$61),Generierung!$E$61&amp;",",""),IF(EXACT($A14,Generierung!$D$62),Generierung!$E$62&amp;",",""),IF(EXACT($A14,Generierung!$D$63),Generierung!$E$63&amp;",",""))</f>
        <v/>
      </c>
      <c r="N14" t="str">
        <f>IF(EXACT(HLOOKUP(Generierung!$P$6,KULTUR,30,FALSE),""),"",HLOOKUP(Generierung!$P$6,KULTUR,30,FALSE))</f>
        <v/>
      </c>
      <c r="P14" t="str">
        <f t="shared" si="7"/>
        <v/>
      </c>
      <c r="Q14" t="str">
        <f t="shared" si="0"/>
        <v/>
      </c>
      <c r="R14" t="str">
        <f t="shared" si="5"/>
        <v/>
      </c>
      <c r="U14" t="str">
        <f t="shared" si="4"/>
        <v/>
      </c>
      <c r="V14" t="str">
        <f t="shared" si="6"/>
        <v/>
      </c>
      <c r="Y14" t="str">
        <f t="shared" si="1"/>
        <v/>
      </c>
      <c r="Z14" t="str">
        <f t="shared" si="2"/>
        <v/>
      </c>
    </row>
    <row r="15" spans="1:26" x14ac:dyDescent="0.2">
      <c r="A15" t="str">
        <f>INDEX(NACHTEILEVARGP,5,1)</f>
        <v>Unfähigkeit für [Merkmal]</v>
      </c>
      <c r="B15" t="str">
        <f>CONCATENATE(IF(EXACT($A15,Generierung!$D$42),"Generierung!$E$42",""),IF(EXACT($A15,Generierung!$D$43),"Generierung!$E$43",""),IF(EXACT($A15,Generierung!$D$44),"Generierung!$E$44",""),IF(EXACT($A15,Generierung!$D$45),"Generierung!$E$45",""),IF(EXACT($A15,Generierung!$D$46),"Generierung!$E$46",""),IF(EXACT($A15,Generierung!$D$47),"Generierung!$E$47",""),IF(EXACT($A15,Generierung!$D$48),"Generierung!$E$48",""),IF(EXACT($A15,Generierung!$D$49),"Generierung!$E$49",""),IF(EXACT($A15,Generierung!$D$50),"Generierung!$E$50",""),IF(EXACT($A15,Generierung!$D$51),"Generierung!$E$51",""),IF(EXACT($A15,Generierung!$D$64),"Generierung!$E$60",""),IF(EXACT($A15,Generierung!$D$67),"Generierung!$E$61",""),IF(EXACT($A15,Generierung!$D$68),"Generierung!$E$62",""),IF(EXACT($A15,Generierung!$D$69),"Generierung!$E$63",""))</f>
        <v/>
      </c>
      <c r="N15" t="str">
        <f>IF(EXACT(HLOOKUP(Generierung!$P$6,KULTUR,31,FALSE),""),"",HLOOKUP(Generierung!$P$6,KULTUR,31,FALSE))</f>
        <v/>
      </c>
      <c r="P15" t="str">
        <f t="shared" si="7"/>
        <v/>
      </c>
      <c r="Q15" t="str">
        <f t="shared" si="0"/>
        <v/>
      </c>
      <c r="R15" t="str">
        <f t="shared" si="5"/>
        <v/>
      </c>
      <c r="U15" t="str">
        <f t="shared" si="4"/>
        <v/>
      </c>
      <c r="V15" t="str">
        <f t="shared" si="6"/>
        <v/>
      </c>
      <c r="Y15" t="str">
        <f t="shared" si="1"/>
        <v/>
      </c>
      <c r="Z15" t="str">
        <f t="shared" si="2"/>
        <v/>
      </c>
    </row>
    <row r="16" spans="1:26" x14ac:dyDescent="0.2">
      <c r="A16" t="str">
        <f>INDEX(NACHTEILEVARGP,6,1)</f>
        <v>Unfähigkeit für [Talent]</v>
      </c>
      <c r="B16" t="str">
        <f>CONCATENATE(IF(EXACT($A16,Generierung!$D$42),Generierung!$E$42&amp;",",""),IF(EXACT($A16,Generierung!$D$43),Generierung!$E$43&amp;", ",""),IF(EXACT($A16,Generierung!$D$44),Generierung!$E$44&amp;", ",""),IF(EXACT($A16,Generierung!$D$45),Generierung!$E$45&amp;", ",""),IF(EXACT($A16,Generierung!$D$46),Generierung!$E$46&amp;", ",""),IF(EXACT($A16,Generierung!$D$47),Generierung!$E$47&amp;", ",""),IF(EXACT($A16,Generierung!$D$48),Generierung!$E$48&amp;", ",""),IF(EXACT($A16,Generierung!$D$49),Generierung!$E$49&amp;", ",""),IF(EXACT($A16,Generierung!$D$50),Generierung!$E$50&amp;", ",""),IF(EXACT($A16,Generierung!$D$51),Generierung!$E$51&amp;", ",""),IF(EXACT($A16,Generierung!$D$64),Generierung!$E$64&amp;", ",""),IF(EXACT($A16,Generierung!$D$67),Generierung!$E$67&amp;", ",""),IF(EXACT($A16,Generierung!$D$68),Generierung!$E$68&amp;", ",""),IF(EXACT($A16,Generierung!$D$69),Generierung!$E$69&amp;", ",""))</f>
        <v/>
      </c>
      <c r="N16" t="str">
        <f>IF(EXACT(HLOOKUP(Generierung!$P$6,KULTUR,32,FALSE),""),"",HLOOKUP(Generierung!$P$6,KULTUR,32,FALSE))</f>
        <v/>
      </c>
      <c r="P16" t="str">
        <f t="shared" si="7"/>
        <v/>
      </c>
      <c r="Q16" t="str">
        <f t="shared" si="0"/>
        <v/>
      </c>
      <c r="R16" t="str">
        <f t="shared" si="5"/>
        <v/>
      </c>
      <c r="U16" t="str">
        <f t="shared" si="4"/>
        <v/>
      </c>
      <c r="V16" t="str">
        <f t="shared" si="6"/>
        <v/>
      </c>
      <c r="Y16" t="str">
        <f t="shared" si="1"/>
        <v/>
      </c>
      <c r="Z16" t="str">
        <f t="shared" si="2"/>
        <v/>
      </c>
    </row>
    <row r="17" spans="1:26" x14ac:dyDescent="0.2">
      <c r="A17" t="str">
        <f>INDEX(NACHTEILEVARGP,7,1)</f>
        <v>Unfähigkeit für [Talentgruppe]</v>
      </c>
      <c r="B17" t="str">
        <f>CONCATENATE(IF(EXACT($A17,Generierung!$D$42),Generierung!$E$42&amp;",",""),IF(EXACT($A17,Generierung!$D$43),Generierung!$E$43&amp;", ",""),IF(EXACT($A17,Generierung!$D$44),Generierung!$E$44&amp;", ",""),IF(EXACT($A17,Generierung!$D$45),Generierung!$E$45&amp;", ",""),IF(EXACT($A17,Generierung!$D$46),Generierung!$E$46&amp;", ",""),IF(EXACT($A17,Generierung!$D$47),Generierung!$E$47&amp;", ",""),IF(EXACT($A17,Generierung!$D$48),Generierung!$E$48&amp;", ",""),IF(EXACT($A17,Generierung!$D$49),Generierung!$E$49&amp;", ",""),IF(EXACT($A17,Generierung!$D$50),Generierung!$E$50&amp;", ",""),IF(EXACT($A17,Generierung!$D$51),Generierung!$E$51&amp;", ",""),IF(EXACT($A17,Generierung!$D$64),Generierung!$E$64&amp;", ",""),IF(EXACT($A17,Generierung!$D$67),Generierung!$E$67&amp;", ",""),IF(EXACT($A17,Generierung!$D$68),Generierung!$E$68&amp;", ",""),IF(EXACT($A17,Generierung!$D$69),Generierung!$E$69&amp;", ",""))</f>
        <v/>
      </c>
      <c r="N17" t="str">
        <f>IF(EXACT(HLOOKUP(Generierung!$P$6,KULTUR,33,FALSE),""),"",HLOOKUP(Generierung!$P$6,KULTUR,33,FALSE))</f>
        <v/>
      </c>
      <c r="P17" t="str">
        <f t="shared" si="7"/>
        <v/>
      </c>
      <c r="Q17" t="str">
        <f t="shared" si="0"/>
        <v/>
      </c>
      <c r="R17" t="str">
        <f t="shared" si="5"/>
        <v/>
      </c>
      <c r="U17" t="str">
        <f t="shared" si="4"/>
        <v/>
      </c>
      <c r="V17" t="str">
        <f t="shared" si="6"/>
        <v/>
      </c>
      <c r="W17" t="str">
        <f>CONCATENATE($N$10,$N$11,$N$12,$N$13,$N$14,$N$15,$N$16,$N$17)</f>
        <v/>
      </c>
      <c r="X17" t="str">
        <f>CONCATENATE($N$10," ",$N$11," ",$N$12," ",$N$13," ",$N$14," ",$N$15," ",$N$16," ",$N$17," ")</f>
        <v xml:space="preserve">        </v>
      </c>
      <c r="Y17" t="str">
        <f t="shared" si="1"/>
        <v/>
      </c>
      <c r="Z17" t="str">
        <f t="shared" si="2"/>
        <v/>
      </c>
    </row>
    <row r="18" spans="1:26" x14ac:dyDescent="0.2">
      <c r="A18" t="s">
        <v>1315</v>
      </c>
      <c r="N18" t="str">
        <f ca="1">IF(EXACT(HLOOKUP(Generierung!$P$9,INDIRECT(PROFGEBIET),26,FALSE),""),"",HLOOKUP(Generierung!$P$9,INDIRECT(PROFGEBIET),26,FALSE))</f>
        <v/>
      </c>
      <c r="P18" t="str">
        <f ca="1">IF(OR(EXACT($N18,""),ISERR(FIND($N18,CONCATENATE($W$9,$W$17)))),"","X")</f>
        <v/>
      </c>
      <c r="Q18" t="str">
        <f t="shared" ca="1" si="0"/>
        <v/>
      </c>
      <c r="R18" t="str">
        <f t="shared" ref="R18:R25" ca="1" si="8">IF(OR(EXACT($N18,""),NOT(ISERR(FIND($N18,$W$70))),ISERR(FIND($N18,CONCATENATE($W$9,$W$17)))),"",
IF(NOT(ISNA(VLOOKUP($N18,VORTEILEVARGP,1,FALSE))),"X",IF($N18="Vollzauberer",6,IF(Q18="X",0,VLOOKUP($N18,VORTEILEGES,4,FALSE))))
)</f>
        <v/>
      </c>
      <c r="U18" t="str">
        <f t="shared" ca="1" si="4"/>
        <v/>
      </c>
      <c r="V18" t="str">
        <f t="shared" ref="V18:V25" ca="1" si="9">IF(OR(EXACT(U18,""),ISERR(FIND(U18,CONCATENATE($W$9,$W$17)))),"",
IF(NOT(ISNA(VLOOKUP($U18,VORTEILEVARGP,1,FALSE))),"X",VLOOKUP($U18,VORTEILEGES,4,FALSE))
)</f>
        <v/>
      </c>
      <c r="W18" t="s">
        <v>3624</v>
      </c>
      <c r="Y18" t="str">
        <f t="shared" ca="1" si="1"/>
        <v/>
      </c>
      <c r="Z18" t="str">
        <f t="shared" ca="1" si="2"/>
        <v/>
      </c>
    </row>
    <row r="19" spans="1:26" x14ac:dyDescent="0.2">
      <c r="A19" t="s">
        <v>748</v>
      </c>
      <c r="B19" t="s">
        <v>1316</v>
      </c>
      <c r="C19" t="s">
        <v>57</v>
      </c>
      <c r="H19" t="s">
        <v>7567</v>
      </c>
      <c r="I19" t="s">
        <v>58</v>
      </c>
      <c r="J19" t="s">
        <v>58</v>
      </c>
      <c r="K19" t="s">
        <v>58</v>
      </c>
      <c r="L19" t="s">
        <v>3426</v>
      </c>
      <c r="N19" t="str">
        <f ca="1">IF(EXACT(HLOOKUP(Generierung!$P$9,INDIRECT(PROFGEBIET),27,FALSE),""),"",HLOOKUP(Generierung!$P$9,INDIRECT(PROFGEBIET),27,FALSE))</f>
        <v/>
      </c>
      <c r="P19" t="str">
        <f t="shared" ref="P19:P25" ca="1" si="10">IF(OR(EXACT($N19,""),ISERR(FIND($N19,CONCATENATE($W$9,$W$17)))),"","X")</f>
        <v/>
      </c>
      <c r="Q19" t="str">
        <f t="shared" ca="1" si="0"/>
        <v/>
      </c>
      <c r="R19" t="str">
        <f t="shared" ca="1" si="8"/>
        <v/>
      </c>
      <c r="U19" t="str">
        <f t="shared" ca="1" si="4"/>
        <v/>
      </c>
      <c r="V19" t="str">
        <f t="shared" ca="1" si="9"/>
        <v/>
      </c>
      <c r="Y19" t="str">
        <f t="shared" ca="1" si="1"/>
        <v/>
      </c>
      <c r="Z19" t="str">
        <f t="shared" ca="1" si="2"/>
        <v/>
      </c>
    </row>
    <row r="20" spans="1:26" x14ac:dyDescent="0.2">
      <c r="A20" t="str">
        <f t="shared" ref="A20:A85" si="11">INDEX(VORTEILE,ROW()-18)</f>
        <v xml:space="preserve">Adlig </v>
      </c>
      <c r="B20" t="b">
        <f>IF(ISERROR(FIND($A20,$B$7)),FALSE,TRUE)</f>
        <v>0</v>
      </c>
      <c r="I20" t="s">
        <v>6712</v>
      </c>
      <c r="N20" t="str">
        <f ca="1">IF(EXACT(HLOOKUP(Generierung!$P$9,INDIRECT(PROFGEBIET),28,FALSE),""),"",HLOOKUP(Generierung!$P$9,INDIRECT(PROFGEBIET),28,FALSE))</f>
        <v/>
      </c>
      <c r="P20" t="str">
        <f t="shared" ca="1" si="10"/>
        <v/>
      </c>
      <c r="Q20" t="str">
        <f t="shared" ca="1" si="0"/>
        <v/>
      </c>
      <c r="R20" t="str">
        <f t="shared" ca="1" si="8"/>
        <v/>
      </c>
      <c r="U20" t="str">
        <f t="shared" ca="1" si="4"/>
        <v/>
      </c>
      <c r="V20" t="str">
        <f t="shared" ca="1" si="9"/>
        <v/>
      </c>
      <c r="Y20" t="str">
        <f t="shared" ca="1" si="1"/>
        <v/>
      </c>
      <c r="Z20" t="str">
        <f t="shared" ca="1" si="2"/>
        <v/>
      </c>
    </row>
    <row r="21" spans="1:26" x14ac:dyDescent="0.2">
      <c r="A21" t="str">
        <f t="shared" si="11"/>
        <v>Adlige Abstammung</v>
      </c>
      <c r="B21" t="b">
        <f>IF(ISERROR(FIND($A21,$B$7)),FALSE,TRUE)</f>
        <v>0</v>
      </c>
      <c r="H21" t="str">
        <f ca="1">IF(AND(VT_ADLIGABST,SO&lt;6),CONCATENATE($A20,": SO min. 6 / 7 / 8 je nach Abstammung; "),"")</f>
        <v/>
      </c>
      <c r="I21" t="s">
        <v>59</v>
      </c>
      <c r="N21" t="str">
        <f ca="1">IF(EXACT(HLOOKUP(Generierung!$P$9,INDIRECT(PROFGEBIET),29,FALSE),""),"",HLOOKUP(Generierung!$P$9,INDIRECT(PROFGEBIET),29,FALSE))</f>
        <v/>
      </c>
      <c r="P21" t="str">
        <f t="shared" ca="1" si="10"/>
        <v/>
      </c>
      <c r="Q21" t="str">
        <f t="shared" ca="1" si="0"/>
        <v/>
      </c>
      <c r="R21" t="str">
        <f t="shared" ca="1" si="8"/>
        <v/>
      </c>
      <c r="U21" t="str">
        <f t="shared" ca="1" si="4"/>
        <v/>
      </c>
      <c r="V21" t="str">
        <f t="shared" ca="1" si="9"/>
        <v/>
      </c>
      <c r="Y21" t="str">
        <f t="shared" ca="1" si="1"/>
        <v/>
      </c>
      <c r="Z21" t="str">
        <f t="shared" ca="1" si="2"/>
        <v/>
      </c>
    </row>
    <row r="22" spans="1:26" x14ac:dyDescent="0.2">
      <c r="A22" t="str">
        <f t="shared" si="11"/>
        <v>Adliges Erbe</v>
      </c>
      <c r="B22" t="b">
        <f>IF(ISERROR(FIND($A22,$B$7)),FALSE,TRUE)</f>
        <v>0</v>
      </c>
      <c r="C22" t="s">
        <v>452</v>
      </c>
      <c r="H22" t="str">
        <f ca="1">IF(AND(VT_ADLIGERBE,SO&lt;8),CONCATENATE($A22,": SO min. 8; "),"")</f>
        <v/>
      </c>
      <c r="I22" t="s">
        <v>60</v>
      </c>
      <c r="N22" t="str">
        <f ca="1">IF(EXACT(HLOOKUP(Generierung!$P$9,INDIRECT(PROFGEBIET),30,FALSE),""),"",HLOOKUP(Generierung!$P$9,INDIRECT(PROFGEBIET),30,FALSE))</f>
        <v/>
      </c>
      <c r="P22" t="str">
        <f t="shared" ca="1" si="10"/>
        <v/>
      </c>
      <c r="Q22" t="str">
        <f t="shared" ca="1" si="0"/>
        <v/>
      </c>
      <c r="R22" t="str">
        <f t="shared" ca="1" si="8"/>
        <v/>
      </c>
      <c r="U22" t="str">
        <f t="shared" ca="1" si="4"/>
        <v/>
      </c>
      <c r="V22" t="str">
        <f t="shared" ca="1" si="9"/>
        <v/>
      </c>
      <c r="Y22" t="str">
        <f t="shared" ca="1" si="1"/>
        <v/>
      </c>
      <c r="Z22" t="str">
        <f t="shared" ca="1" si="2"/>
        <v/>
      </c>
    </row>
    <row r="23" spans="1:26" x14ac:dyDescent="0.2">
      <c r="A23" t="str">
        <f t="shared" si="11"/>
        <v>Affinität zu Dämonen</v>
      </c>
      <c r="N23" t="str">
        <f ca="1">IF(EXACT(HLOOKUP(Generierung!$P$9,INDIRECT(PROFGEBIET),31,FALSE),""),"",HLOOKUP(Generierung!$P$9,INDIRECT(PROFGEBIET),31,FALSE))</f>
        <v/>
      </c>
      <c r="P23" t="str">
        <f t="shared" ca="1" si="10"/>
        <v/>
      </c>
      <c r="Q23" t="str">
        <f t="shared" ca="1" si="0"/>
        <v/>
      </c>
      <c r="R23" t="str">
        <f t="shared" ca="1" si="8"/>
        <v/>
      </c>
      <c r="U23" t="str">
        <f t="shared" ca="1" si="4"/>
        <v/>
      </c>
      <c r="V23" t="str">
        <f t="shared" ca="1" si="9"/>
        <v/>
      </c>
      <c r="Y23" t="str">
        <f t="shared" ca="1" si="1"/>
        <v/>
      </c>
      <c r="Z23" t="str">
        <f t="shared" ca="1" si="2"/>
        <v/>
      </c>
    </row>
    <row r="24" spans="1:26" x14ac:dyDescent="0.2">
      <c r="A24" t="str">
        <f t="shared" si="11"/>
        <v>Affinität zu Elementaren</v>
      </c>
      <c r="B24" t="b">
        <f>IF(ISERROR(FIND($A24,$B$7)),FALSE,TRUE)</f>
        <v>0</v>
      </c>
      <c r="N24" t="str">
        <f ca="1">IF(EXACT(HLOOKUP(Generierung!$P$9,INDIRECT(PROFGEBIET),32,FALSE),""),"",HLOOKUP(Generierung!$P$9,INDIRECT(PROFGEBIET),32,FALSE))</f>
        <v/>
      </c>
      <c r="P24" t="str">
        <f t="shared" ca="1" si="10"/>
        <v/>
      </c>
      <c r="Q24" t="str">
        <f t="shared" ca="1" si="0"/>
        <v/>
      </c>
      <c r="R24" t="str">
        <f t="shared" ca="1" si="8"/>
        <v/>
      </c>
      <c r="U24" t="str">
        <f t="shared" ca="1" si="4"/>
        <v/>
      </c>
      <c r="V24" t="str">
        <f t="shared" ca="1" si="9"/>
        <v/>
      </c>
      <c r="Y24" t="str">
        <f t="shared" ca="1" si="1"/>
        <v/>
      </c>
      <c r="Z24" t="str">
        <f t="shared" ca="1" si="2"/>
        <v/>
      </c>
    </row>
    <row r="25" spans="1:26" x14ac:dyDescent="0.2">
      <c r="A25" t="str">
        <f t="shared" si="11"/>
        <v>Affinität zu Geistern</v>
      </c>
      <c r="N25" t="str">
        <f ca="1">IF(EXACT(HLOOKUP(Generierung!$P$9,INDIRECT(PROFGEBIET),33,FALSE),""),"",HLOOKUP(Generierung!$P$9,INDIRECT(PROFGEBIET),33,FALSE))</f>
        <v/>
      </c>
      <c r="P25" t="str">
        <f t="shared" ca="1" si="10"/>
        <v/>
      </c>
      <c r="Q25" t="str">
        <f t="shared" ca="1" si="0"/>
        <v/>
      </c>
      <c r="R25" t="str">
        <f t="shared" ca="1" si="8"/>
        <v/>
      </c>
      <c r="U25" t="str">
        <f t="shared" ca="1" si="4"/>
        <v/>
      </c>
      <c r="V25" t="str">
        <f t="shared" ca="1" si="9"/>
        <v/>
      </c>
      <c r="W25" t="str">
        <f ca="1">CONCATENATE($N$18,$N$19,$N$20,$N$21,$N$22,$N$23,$N$24,$N$25)</f>
        <v/>
      </c>
      <c r="X25" t="str">
        <f ca="1">CONCATENATE($N$18," ",$N$19," ",$N$20," ",$N$21," ",$N$22," ",$N$23," ",$N$24," ",$N$25," ")</f>
        <v xml:space="preserve">        </v>
      </c>
      <c r="Y25" t="str">
        <f t="shared" ca="1" si="1"/>
        <v/>
      </c>
      <c r="Z25" t="str">
        <f t="shared" ca="1" si="2"/>
        <v/>
      </c>
    </row>
    <row r="26" spans="1:26" x14ac:dyDescent="0.2">
      <c r="A26" t="str">
        <f t="shared" si="11"/>
        <v>Akademische Ausbildung (Gelehrter)</v>
      </c>
      <c r="B26" t="b">
        <f>IF(ISERROR(FIND($A26,$B$7)),FALSE,TRUE)</f>
        <v>0</v>
      </c>
      <c r="C26" t="s">
        <v>453</v>
      </c>
      <c r="I26" t="s">
        <v>61</v>
      </c>
      <c r="N26" t="str">
        <f>IF(EXACT(Generierung!$D25,""),"",CONCATENATE(Generierung!$D25,IF(Generierung!$E25="","",CONCATENATE(" ",Generierung!$E25))))</f>
        <v/>
      </c>
      <c r="O26" t="str">
        <f t="shared" ref="O26:O35" ca="1" si="12">IF(OR(EXACT($N26,""),ISERR(FIND($N26,CONCATENATE($W$9,$W$17,$W$25,$W$48)))),"",IF($Q26="X","","!!!"))</f>
        <v/>
      </c>
      <c r="P26" t="str">
        <f t="shared" ref="P26:P35" ca="1" si="13">IF(OR(EXACT($N26,""),ISERR(FIND($N26,CONCATENATE($W$9,$W$17,$W$25,$W$48)))),"","X")</f>
        <v/>
      </c>
      <c r="Q26" t="str">
        <f t="shared" si="0"/>
        <v/>
      </c>
      <c r="U26" t="str">
        <f t="shared" ca="1" si="4"/>
        <v/>
      </c>
      <c r="W26" t="s">
        <v>3625</v>
      </c>
      <c r="Y26" t="str">
        <f t="shared" si="1"/>
        <v/>
      </c>
      <c r="Z26" t="str">
        <f t="shared" si="2"/>
        <v/>
      </c>
    </row>
    <row r="27" spans="1:26" x14ac:dyDescent="0.2">
      <c r="A27" t="str">
        <f t="shared" si="11"/>
        <v>Akademische Ausbildung (Krieger)</v>
      </c>
      <c r="B27" t="b">
        <f>IF(ISERROR(FIND($A27,$B$7)),FALSE,TRUE)</f>
        <v>0</v>
      </c>
      <c r="C27" t="s">
        <v>1778</v>
      </c>
      <c r="I27" t="s">
        <v>62</v>
      </c>
      <c r="N27" t="str">
        <f>IF(EXACT(Generierung!$D26,""),"",CONCATENATE(Generierung!$D26,IF(Generierung!$E26="","",CONCATENATE(" ",Generierung!$E26))))</f>
        <v/>
      </c>
      <c r="O27" t="str">
        <f t="shared" ca="1" si="12"/>
        <v/>
      </c>
      <c r="P27" t="str">
        <f t="shared" ca="1" si="13"/>
        <v/>
      </c>
      <c r="Q27" t="str">
        <f t="shared" si="0"/>
        <v/>
      </c>
      <c r="U27" t="str">
        <f t="shared" ca="1" si="4"/>
        <v/>
      </c>
      <c r="V27" t="str">
        <f t="shared" ref="V27:V35" ca="1" si="14">IF(OR(EXACT(U27,""),ISERR(FIND(U27,CONCATENATE($W$9,$W$17,$W$25)))),"",
IF(NOT(ISNA(VLOOKUP($U27,VORTEILEVARGP,1,FALSE))),"X",VLOOKUP($U27,VORTEILEGES,4,FALSE))
)</f>
        <v/>
      </c>
      <c r="Y27" t="str">
        <f t="shared" si="1"/>
        <v/>
      </c>
      <c r="Z27" t="str">
        <f t="shared" si="2"/>
        <v/>
      </c>
    </row>
    <row r="28" spans="1:26" x14ac:dyDescent="0.2">
      <c r="A28" t="str">
        <f t="shared" si="11"/>
        <v>Akademische Ausbildung (Magier)</v>
      </c>
      <c r="B28" t="b">
        <f>IF(ISERROR(FIND($A28,$B$7)),FALSE,TRUE)</f>
        <v>0</v>
      </c>
      <c r="C28" t="s">
        <v>453</v>
      </c>
      <c r="I28" t="s">
        <v>63</v>
      </c>
      <c r="N28" t="str">
        <f>IF(EXACT(Generierung!$D27,""),"",CONCATENATE(Generierung!$D27,IF(Generierung!$E27="","",CONCATENATE(" ",Generierung!$E27))))</f>
        <v/>
      </c>
      <c r="O28" t="str">
        <f t="shared" ca="1" si="12"/>
        <v/>
      </c>
      <c r="P28" t="str">
        <f t="shared" ca="1" si="13"/>
        <v/>
      </c>
      <c r="Q28" t="str">
        <f t="shared" si="0"/>
        <v/>
      </c>
      <c r="U28" t="str">
        <f t="shared" ca="1" si="4"/>
        <v/>
      </c>
      <c r="V28" t="str">
        <f t="shared" ca="1" si="14"/>
        <v/>
      </c>
      <c r="Y28" t="str">
        <f t="shared" si="1"/>
        <v/>
      </c>
      <c r="Z28" t="str">
        <f t="shared" si="2"/>
        <v/>
      </c>
    </row>
    <row r="29" spans="1:26" x14ac:dyDescent="0.2">
      <c r="A29" t="str">
        <f t="shared" si="11"/>
        <v>Altersresistenz</v>
      </c>
      <c r="B29" t="b">
        <f ca="1">IF(AND(NOT(ISERROR(FIND($A52,$B$7))),NOT(ISERROR(FIND($A29,$O$83)))),TRUE,FALSE)</f>
        <v>0</v>
      </c>
      <c r="C29" t="str">
        <f>$A52</f>
        <v>Eigeboren</v>
      </c>
      <c r="H29" t="str">
        <f ca="1">IF($B29,CONCATENATE($A29,": bereits in ",$C29," enthalten; "),"")</f>
        <v/>
      </c>
      <c r="N29" t="str">
        <f>IF(EXACT(Generierung!$D28,""),"",CONCATENATE(Generierung!$D28,IF(Generierung!$E28="","",CONCATENATE(" ",Generierung!$E28))))</f>
        <v/>
      </c>
      <c r="O29" t="str">
        <f t="shared" ca="1" si="12"/>
        <v/>
      </c>
      <c r="P29" t="str">
        <f t="shared" ca="1" si="13"/>
        <v/>
      </c>
      <c r="Q29" t="str">
        <f t="shared" si="0"/>
        <v/>
      </c>
      <c r="U29" t="str">
        <f t="shared" ca="1" si="4"/>
        <v/>
      </c>
      <c r="V29" t="str">
        <f t="shared" ca="1" si="14"/>
        <v/>
      </c>
      <c r="Y29" t="str">
        <f t="shared" si="1"/>
        <v/>
      </c>
      <c r="Z29" t="str">
        <f>IF(ISERR(FIND($Z$1,N29)),"",SUBSTITUTE(N29,$Z$1&amp;" ","")&amp;",")</f>
        <v/>
      </c>
    </row>
    <row r="30" spans="1:26" x14ac:dyDescent="0.2">
      <c r="A30" t="str">
        <f t="shared" si="11"/>
        <v>Astrale Regeneration I</v>
      </c>
      <c r="B30" t="b">
        <f t="shared" ref="B30:B35" si="15">IF(ISERROR(FIND($A30,$B$7)),FALSE,TRUE)</f>
        <v>0</v>
      </c>
      <c r="I30" t="s">
        <v>1727</v>
      </c>
      <c r="N30" t="str">
        <f>IF(EXACT(Generierung!$D29,""),"",CONCATENATE(Generierung!$D29,IF(Generierung!$E29="","",CONCATENATE(" ",Generierung!$E29))))</f>
        <v/>
      </c>
      <c r="O30" t="str">
        <f t="shared" ca="1" si="12"/>
        <v/>
      </c>
      <c r="P30" t="str">
        <f t="shared" ca="1" si="13"/>
        <v/>
      </c>
      <c r="Q30" t="str">
        <f t="shared" si="0"/>
        <v/>
      </c>
      <c r="U30" t="str">
        <f t="shared" ca="1" si="4"/>
        <v/>
      </c>
      <c r="V30" t="str">
        <f t="shared" ca="1" si="14"/>
        <v/>
      </c>
      <c r="Y30" t="str">
        <f t="shared" si="1"/>
        <v/>
      </c>
      <c r="Z30" t="str">
        <f t="shared" si="2"/>
        <v/>
      </c>
    </row>
    <row r="31" spans="1:26" x14ac:dyDescent="0.2">
      <c r="A31" t="str">
        <f t="shared" si="11"/>
        <v>Astrale Regeneration II</v>
      </c>
      <c r="B31" t="b">
        <f t="shared" si="15"/>
        <v>0</v>
      </c>
      <c r="I31" t="s">
        <v>1728</v>
      </c>
      <c r="N31" t="str">
        <f>IF(EXACT(Generierung!$D30,""),"",CONCATENATE(Generierung!$D30,IF(Generierung!$E30="","",CONCATENATE(" ",Generierung!$E30))))</f>
        <v/>
      </c>
      <c r="O31" t="str">
        <f t="shared" ca="1" si="12"/>
        <v/>
      </c>
      <c r="P31" t="str">
        <f t="shared" ca="1" si="13"/>
        <v/>
      </c>
      <c r="Q31" t="str">
        <f t="shared" si="0"/>
        <v/>
      </c>
      <c r="U31" t="str">
        <f t="shared" ca="1" si="4"/>
        <v/>
      </c>
      <c r="V31" t="str">
        <f t="shared" ca="1" si="14"/>
        <v/>
      </c>
      <c r="Y31" t="str">
        <f t="shared" si="1"/>
        <v/>
      </c>
      <c r="Z31" t="str">
        <f t="shared" si="2"/>
        <v/>
      </c>
    </row>
    <row r="32" spans="1:26" x14ac:dyDescent="0.2">
      <c r="A32" t="str">
        <f t="shared" si="11"/>
        <v>Astrale Regeneration III</v>
      </c>
      <c r="B32" t="b">
        <f t="shared" si="15"/>
        <v>0</v>
      </c>
      <c r="I32" t="s">
        <v>3564</v>
      </c>
      <c r="N32" t="str">
        <f>IF(EXACT(Generierung!$D31,""),"",CONCATENATE(Generierung!$D31,IF(Generierung!$E31="","",CONCATENATE(" ",Generierung!$E31))))</f>
        <v/>
      </c>
      <c r="O32" t="str">
        <f t="shared" ca="1" si="12"/>
        <v/>
      </c>
      <c r="P32" t="str">
        <f t="shared" ca="1" si="13"/>
        <v/>
      </c>
      <c r="Q32" t="str">
        <f t="shared" si="0"/>
        <v/>
      </c>
      <c r="U32" t="str">
        <f t="shared" ca="1" si="4"/>
        <v/>
      </c>
      <c r="Y32" t="str">
        <f t="shared" si="1"/>
        <v/>
      </c>
      <c r="Z32" t="str">
        <f t="shared" si="2"/>
        <v/>
      </c>
    </row>
    <row r="33" spans="1:26" x14ac:dyDescent="0.2">
      <c r="A33" t="str">
        <f t="shared" si="11"/>
        <v>Astralmacht</v>
      </c>
      <c r="B33" t="b">
        <f t="shared" si="15"/>
        <v>0</v>
      </c>
      <c r="C33" t="s">
        <v>2832</v>
      </c>
      <c r="D33">
        <f>IF(ISERR(FIND($A$33,VORTEILEGENE)),0,IF(ISERROR(VALUE(MID(VORTEILEGENE,SUM(FIND($A$33,VORTEILEGENE),LEN($A$33),1),1))),0,VALUE(MID(VORTEILEGENE,SUM(FIND($A$33,VORTEILEGENE),LEN($A$33),1),1))))</f>
        <v>0</v>
      </c>
      <c r="I33" t="s">
        <v>1477</v>
      </c>
      <c r="J33" t="s">
        <v>2351</v>
      </c>
      <c r="N33" t="str">
        <f>IF(EXACT(Generierung!$D32,""),"",CONCATENATE(Generierung!$D32,IF(Generierung!$E32="","",CONCATENATE(" ",Generierung!$E32))))</f>
        <v/>
      </c>
      <c r="O33" t="str">
        <f t="shared" ca="1" si="12"/>
        <v/>
      </c>
      <c r="P33" t="str">
        <f t="shared" ca="1" si="13"/>
        <v/>
      </c>
      <c r="Q33" t="str">
        <f t="shared" si="0"/>
        <v/>
      </c>
      <c r="U33" t="str">
        <f t="shared" ca="1" si="4"/>
        <v/>
      </c>
      <c r="Y33" t="str">
        <f t="shared" si="1"/>
        <v/>
      </c>
      <c r="Z33" t="str">
        <f t="shared" si="2"/>
        <v/>
      </c>
    </row>
    <row r="34" spans="1:26" x14ac:dyDescent="0.2">
      <c r="A34" t="str">
        <f t="shared" si="11"/>
        <v xml:space="preserve">Ausdauernd </v>
      </c>
      <c r="B34" t="b">
        <f t="shared" si="15"/>
        <v>0</v>
      </c>
      <c r="C34" t="s">
        <v>2833</v>
      </c>
      <c r="D34">
        <f>IF(ISERR(FIND($A$34,VORTEILEGENE)),0,IF(ISERROR(VALUE(MID(VORTEILEGENE,SUM(FIND($A$34,VORTEILEGENE),LEN($A$34)),1))),0,VALUE(MID(VORTEILEGENE,SUM(FIND($A$34,VORTEILEGENE),LEN($A$34)),1))))</f>
        <v>0</v>
      </c>
      <c r="I34" t="s">
        <v>2333</v>
      </c>
      <c r="J34" t="s">
        <v>2352</v>
      </c>
      <c r="N34" t="str">
        <f>IF(EXACT(Generierung!$D33,""),"",CONCATENATE(Generierung!$D33,IF(Generierung!$E33="","",CONCATENATE(" ",Generierung!$E33))))</f>
        <v/>
      </c>
      <c r="O34" t="str">
        <f t="shared" ca="1" si="12"/>
        <v/>
      </c>
      <c r="P34" t="str">
        <f t="shared" ca="1" si="13"/>
        <v/>
      </c>
      <c r="Q34" t="str">
        <f t="shared" si="0"/>
        <v/>
      </c>
      <c r="U34" t="str">
        <f t="shared" ca="1" si="4"/>
        <v/>
      </c>
      <c r="V34" t="str">
        <f t="shared" ca="1" si="14"/>
        <v/>
      </c>
      <c r="Y34" t="str">
        <f>IF(ISERR(FIND($Y$1,N34)),"",SUBSTITUTE(N34,$Y$1&amp;" ","")&amp;",")</f>
        <v/>
      </c>
      <c r="Z34" t="str">
        <f t="shared" si="2"/>
        <v/>
      </c>
    </row>
    <row r="35" spans="1:26" x14ac:dyDescent="0.2">
      <c r="A35" t="str">
        <f t="shared" si="11"/>
        <v>Ausdauernder Zauberer</v>
      </c>
      <c r="B35" t="b">
        <f t="shared" si="15"/>
        <v>0</v>
      </c>
      <c r="N35" t="str">
        <f>IF(EXACT(Generierung!$D34,""),"",CONCATENATE(Generierung!$D34,IF(Generierung!$E34="","",CONCATENATE(" ",Generierung!$E34))))</f>
        <v/>
      </c>
      <c r="O35" t="str">
        <f t="shared" ca="1" si="12"/>
        <v/>
      </c>
      <c r="P35" t="str">
        <f t="shared" ca="1" si="13"/>
        <v/>
      </c>
      <c r="Q35" t="str">
        <f t="shared" si="0"/>
        <v/>
      </c>
      <c r="U35" t="str">
        <f t="shared" ca="1" si="4"/>
        <v/>
      </c>
      <c r="V35" t="str">
        <f t="shared" ca="1" si="14"/>
        <v/>
      </c>
      <c r="W35" t="str">
        <f>CONCATENATE(N26,N27,N28,N29,N30,N31,N32,N33,N34,N35)</f>
        <v/>
      </c>
      <c r="X35" t="str">
        <f>CONCATENATE(N26," ",N27," ",N28," ",N29," ",N30," ",N31," ",N32," ",N33," ",N34," ",N35," ")</f>
        <v xml:space="preserve">          </v>
      </c>
      <c r="Y35" t="str">
        <f t="shared" si="1"/>
        <v/>
      </c>
      <c r="Z35" t="str">
        <f t="shared" si="2"/>
        <v/>
      </c>
    </row>
    <row r="36" spans="1:26" x14ac:dyDescent="0.2">
      <c r="A36" t="str">
        <f t="shared" si="11"/>
        <v>Ausrüstungsvorteil</v>
      </c>
      <c r="B36" t="b">
        <f>IF(NOT(ISERROR(FIND($A36,$B$7))),TRUE,FALSE)</f>
        <v>0</v>
      </c>
      <c r="C36" t="s">
        <v>450</v>
      </c>
      <c r="D36">
        <f>IF(ISERR(FIND($A$36,VORTEILEGENE)),0,IF(ISERROR(VALUE(MID(VORTEILEGENE,SUM(FIND($A$36,VORTEILEGENE),LEN($A$36),1),1))),0,VALUE(MID(VORTEILEGENE,SUM(FIND($A$36,VORTEILEGENE),LEN($A$36),1),1))))</f>
        <v>0</v>
      </c>
      <c r="I36" t="s">
        <v>1779</v>
      </c>
      <c r="N36" t="str">
        <f>IF(EXACT(Generierung!$D56,""),"",CONCATENATE(Generierung!$D56,IF(Generierung!$E56="","",CONCATENATE(" ",Generierung!$E56))))</f>
        <v/>
      </c>
      <c r="O36" t="str">
        <f t="shared" ref="O36:O43" ca="1" si="16">IF(OR(EXACT($N36,""),ISERR(FIND($N36,CONCATENATE($W$9,$W$17,$W$25,$W$35,$W$48)))),"",IF(Q36="X","","!!!"))</f>
        <v/>
      </c>
      <c r="P36" t="str">
        <f ca="1">IF(OR(EXACT($N36,""),ISERR(FIND($N36,CONCATENATE($W$9,$W$17,$W$25,$W$35,$W$48)))),"","X")</f>
        <v/>
      </c>
      <c r="Q36" t="str">
        <f t="shared" si="0"/>
        <v/>
      </c>
      <c r="U36" t="str">
        <f t="shared" ref="U36:U48" ca="1" si="17">IF(OR(EXACT($N36,""),EXACT($P36,"X"),EXACT($Q36,"X")),"",CONCATENATE(", ",$N36))</f>
        <v/>
      </c>
      <c r="W36" t="s">
        <v>2408</v>
      </c>
      <c r="Y36" t="str">
        <f t="shared" si="1"/>
        <v/>
      </c>
      <c r="Z36" t="str">
        <f t="shared" si="2"/>
        <v/>
      </c>
    </row>
    <row r="37" spans="1:26" x14ac:dyDescent="0.2">
      <c r="A37" t="str">
        <f t="shared" si="11"/>
        <v>Balance</v>
      </c>
      <c r="B37" t="b">
        <f ca="1">IF(AND(NOT(ISERROR(FIND($A37,CONCATENATE($W$9,$W$17,$W$25,$W$35,$W$43,$W$48)))),ISERROR(FIND($A$91,$B$7))),
TRUE,FALSE)</f>
        <v>0</v>
      </c>
      <c r="N37" t="str">
        <f>IF(EXACT(Generierung!$D57,""),"",CONCATENATE(Generierung!$D57,IF(Generierung!$E57="","",CONCATENATE(" ",Generierung!$E57))))</f>
        <v/>
      </c>
      <c r="O37" t="str">
        <f t="shared" ca="1" si="16"/>
        <v/>
      </c>
      <c r="P37" t="str">
        <f ca="1">IF(OR(EXACT($N37,""),ISERR(FIND($N37,CONCATENATE($W$9,$W$17,$W$25,$W$35,$W$48)))),"","X")</f>
        <v/>
      </c>
      <c r="Q37" t="str">
        <f t="shared" si="0"/>
        <v/>
      </c>
      <c r="U37" t="str">
        <f t="shared" ca="1" si="17"/>
        <v/>
      </c>
      <c r="Y37" t="str">
        <f t="shared" ref="Y37:Y42" si="18">IF(ISERR(FIND($Y$1,N37)),"",SUBSTITUTE(N37,$Y$1&amp;" ","")&amp;",")</f>
        <v/>
      </c>
      <c r="Z37" t="str">
        <f t="shared" ref="Z37:Z42" si="19">IF(ISERR(FIND($Z$1,N37)),"",SUBSTITUTE(N37,$Z$1&amp;" ","")&amp;",")</f>
        <v/>
      </c>
    </row>
    <row r="38" spans="1:26" x14ac:dyDescent="0.2">
      <c r="A38" t="str">
        <f t="shared" si="11"/>
        <v>Begabung für [Merkmal]</v>
      </c>
      <c r="N38" t="str">
        <f>IF(EXACT(Generierung!$D58,""),"",CONCATENATE(Generierung!$D58,IF(Generierung!$E58="","",CONCATENATE(" ",Generierung!$E58))))</f>
        <v/>
      </c>
      <c r="O38" t="str">
        <f t="shared" ca="1" si="16"/>
        <v/>
      </c>
      <c r="P38" t="str">
        <f t="shared" ref="P38:P43" ca="1" si="20">IF(OR(EXACT($N38,""),ISERR(FIND($N38,CONCATENATE($W$9,$W$17,$W$25,$W$35,$W$48)))),"","X")</f>
        <v/>
      </c>
      <c r="Q38" t="str">
        <f t="shared" ref="Q38:Q43" si="21">IF(OR(EXACT($N38,""),EXACT($N38,"Ausdauernder Zauberer"),NOT(ISERR(FIND("Natürliche Waffen",$N38,1))),ISERR(FIND(LEFT($N38,8),$W$62))),"","X")</f>
        <v/>
      </c>
      <c r="U38" t="str">
        <f t="shared" ca="1" si="17"/>
        <v/>
      </c>
      <c r="Y38" t="str">
        <f t="shared" si="18"/>
        <v/>
      </c>
      <c r="Z38" t="str">
        <f t="shared" si="19"/>
        <v/>
      </c>
    </row>
    <row r="39" spans="1:26" x14ac:dyDescent="0.2">
      <c r="A39" t="str">
        <f t="shared" si="11"/>
        <v>Begabung für [Ritual]</v>
      </c>
      <c r="N39" t="str">
        <f>IF(EXACT(Generierung!$D59,""),"",CONCATENATE(Generierung!$D59,IF(Generierung!$E59="","",CONCATENATE(" ",Generierung!$E59))))</f>
        <v/>
      </c>
      <c r="O39" t="str">
        <f t="shared" ca="1" si="16"/>
        <v/>
      </c>
      <c r="P39" t="str">
        <f t="shared" ca="1" si="20"/>
        <v/>
      </c>
      <c r="Q39" t="str">
        <f t="shared" si="21"/>
        <v/>
      </c>
      <c r="U39" t="str">
        <f t="shared" ca="1" si="17"/>
        <v/>
      </c>
      <c r="Y39" t="str">
        <f t="shared" si="18"/>
        <v/>
      </c>
      <c r="Z39" t="str">
        <f t="shared" si="19"/>
        <v/>
      </c>
    </row>
    <row r="40" spans="1:26" x14ac:dyDescent="0.2">
      <c r="A40" t="str">
        <f t="shared" si="11"/>
        <v>Begabung für [Talent]</v>
      </c>
      <c r="N40" t="str">
        <f>IF(EXACT(Generierung!$D60,""),"",CONCATENATE(Generierung!$D60,IF(Generierung!$E60="","",CONCATENATE(" ",Generierung!$E60))))</f>
        <v/>
      </c>
      <c r="O40" t="str">
        <f t="shared" ca="1" si="16"/>
        <v/>
      </c>
      <c r="P40" t="str">
        <f t="shared" ca="1" si="20"/>
        <v/>
      </c>
      <c r="Q40" t="str">
        <f t="shared" si="21"/>
        <v/>
      </c>
      <c r="U40" t="str">
        <f t="shared" ca="1" si="17"/>
        <v/>
      </c>
      <c r="Y40" t="str">
        <f t="shared" si="18"/>
        <v/>
      </c>
      <c r="Z40" t="str">
        <f t="shared" si="19"/>
        <v/>
      </c>
    </row>
    <row r="41" spans="1:26" x14ac:dyDescent="0.2">
      <c r="A41" t="str">
        <f t="shared" si="11"/>
        <v>Begabung für [Talentgruppe]</v>
      </c>
      <c r="N41" t="str">
        <f>IF(EXACT(Generierung!$D61,""),"",CONCATENATE(Generierung!$D61,IF(Generierung!$E61="","",CONCATENATE(" ",Generierung!$E61))))</f>
        <v/>
      </c>
      <c r="O41" t="str">
        <f t="shared" ca="1" si="16"/>
        <v/>
      </c>
      <c r="P41" t="str">
        <f t="shared" ca="1" si="20"/>
        <v/>
      </c>
      <c r="Q41" t="str">
        <f t="shared" si="21"/>
        <v/>
      </c>
      <c r="U41" t="str">
        <f t="shared" ca="1" si="17"/>
        <v/>
      </c>
      <c r="Y41" t="str">
        <f t="shared" si="18"/>
        <v/>
      </c>
      <c r="Z41" t="str">
        <f t="shared" si="19"/>
        <v/>
      </c>
    </row>
    <row r="42" spans="1:26" x14ac:dyDescent="0.2">
      <c r="A42" t="str">
        <f t="shared" si="11"/>
        <v>Begabung für [Zauber]</v>
      </c>
      <c r="N42" t="str">
        <f>IF(EXACT(Generierung!$D62,""),"",CONCATENATE(Generierung!$D62,IF(Generierung!$E62="","",CONCATENATE(" ",Generierung!$E62))))</f>
        <v/>
      </c>
      <c r="O42" t="str">
        <f t="shared" ca="1" si="16"/>
        <v/>
      </c>
      <c r="P42" t="str">
        <f t="shared" ca="1" si="20"/>
        <v/>
      </c>
      <c r="Q42" t="str">
        <f t="shared" si="21"/>
        <v/>
      </c>
      <c r="U42" t="str">
        <f t="shared" ca="1" si="17"/>
        <v/>
      </c>
      <c r="Y42" t="str">
        <f t="shared" si="18"/>
        <v/>
      </c>
      <c r="Z42" t="str">
        <f t="shared" si="19"/>
        <v/>
      </c>
    </row>
    <row r="43" spans="1:26" x14ac:dyDescent="0.2">
      <c r="A43" t="str">
        <f t="shared" si="11"/>
        <v>Beidhändig</v>
      </c>
      <c r="B43" t="b">
        <f>IF(ISERROR(FIND($A43,$B$7)),FALSE,TRUE)</f>
        <v>0</v>
      </c>
      <c r="C43" t="s">
        <v>451</v>
      </c>
      <c r="I43" t="s">
        <v>1780</v>
      </c>
      <c r="N43" t="str">
        <f>IF(EXACT(Generierung!$D63,""),"",CONCATENATE(Generierung!$D63,IF(Generierung!$E63="","",CONCATENATE(" ",Generierung!$E63))))</f>
        <v/>
      </c>
      <c r="O43" t="str">
        <f t="shared" ca="1" si="16"/>
        <v/>
      </c>
      <c r="P43" t="str">
        <f t="shared" ca="1" si="20"/>
        <v/>
      </c>
      <c r="Q43" t="str">
        <f t="shared" si="21"/>
        <v/>
      </c>
      <c r="U43" t="str">
        <f t="shared" ca="1" si="17"/>
        <v/>
      </c>
      <c r="W43" t="str">
        <f>CONCATENATE(N36,N37,N38,N39,N40,N41,N42,N43)</f>
        <v/>
      </c>
      <c r="X43" t="str">
        <f>CONCATENATE(N36," ",N37," ",N38," ",N39," ",N40," ",N41," ",N42," ",N43," ")</f>
        <v xml:space="preserve">        </v>
      </c>
      <c r="Y43" t="str">
        <f t="shared" si="1"/>
        <v/>
      </c>
      <c r="Z43" t="str">
        <f t="shared" si="2"/>
        <v/>
      </c>
    </row>
    <row r="44" spans="1:26" x14ac:dyDescent="0.2">
      <c r="A44" t="str">
        <f t="shared" si="11"/>
        <v>Beseelte Knochenkeule (Dämon)</v>
      </c>
      <c r="N44" t="str">
        <f ca="1">IF(OR($O$44,PROFZWEITE=""),"",IF(EXACT(HLOOKUP(PROFZWEITE,INDIRECT(PROFGEBIET2),26,FALSE),""),"",HLOOKUP(PROFZWEITE,INDIRECT(PROFGEBIET2),26,FALSE)))</f>
        <v/>
      </c>
      <c r="O44" t="b">
        <f>IF(NOT(ISERROR(FIND("Veteran",W35,1))),TRUE,FALSE)</f>
        <v>0</v>
      </c>
      <c r="P44" t="str">
        <f ca="1">IF(OR(EXACT($N44,""),ISERR(FIND($N44,CONCATENATE($W$9,$W$17,$W$25)))),"","X")</f>
        <v/>
      </c>
      <c r="Q44" t="str">
        <f ca="1">IF(OR(EXACT($N44,""),EXACT($N44,"Ausdauernder Zauberer"),NOT(ISERR(FIND("Natürliche Waffen",$N44,1))),ISERR(FIND(LEFT($N44,8),$W$62))),"","X")</f>
        <v/>
      </c>
      <c r="R44" t="str">
        <f ca="1">IF(OR(EXACT(N44,""),NOT(ISERR(FIND($N44,$W$70))),ISERR(FIND(N44,CONCATENATE($W$9,$W$17,$W$25)))),"",
IF(NOT(ISNA(VLOOKUP($N44,VORTEILEVARGP,1,FALSE))),"X",IF(Q44="X",0,VLOOKUP($N44,VORTEILEGES,4,FALSE)))
)</f>
        <v/>
      </c>
      <c r="U44" t="str">
        <f t="shared" ca="1" si="17"/>
        <v/>
      </c>
      <c r="W44" t="s">
        <v>2640</v>
      </c>
      <c r="Y44" t="str">
        <f t="shared" ca="1" si="1"/>
        <v/>
      </c>
      <c r="Z44" t="str">
        <f t="shared" ca="1" si="2"/>
        <v/>
      </c>
    </row>
    <row r="45" spans="1:26" x14ac:dyDescent="0.2">
      <c r="A45" t="str">
        <f t="shared" si="11"/>
        <v>Beseelte Knochenkeule (Dschinn)</v>
      </c>
      <c r="N45" t="str">
        <f ca="1">IF(OR($O$44,PROFZWEITE=""),"",IF(EXACT(HLOOKUP(PROFZWEITE,INDIRECT(PROFGEBIET2),27,FALSE),""),"",HLOOKUP(PROFZWEITE,INDIRECT(PROFGEBIET2),27,FALSE)))</f>
        <v/>
      </c>
      <c r="P45" t="str">
        <f ca="1">IF(OR(EXACT($N45,""),ISERR(FIND($N45,CONCATENATE($W$9,$W$17,$W$25)))),"","X")</f>
        <v/>
      </c>
      <c r="Q45" t="str">
        <f ca="1">IF(OR(EXACT($N45,""),EXACT($N45,"Ausdauernder Zauberer"),NOT(ISERR(FIND("Natürliche Waffen",$N45,1))),ISERR(FIND(LEFT($N45,8),$W$62))),"","X")</f>
        <v/>
      </c>
      <c r="R45" t="str">
        <f ca="1">IF(OR(EXACT(N45,""),NOT(ISERR(FIND($N45,$W$70))),ISERR(FIND(N45,CONCATENATE($W$9,$W$17,$W$25)))),"",
IF(NOT(ISNA(VLOOKUP($N45,VORTEILEVARGP,1,FALSE))),"X",IF(Q45="X",0,VLOOKUP($N45,VORTEILEGES,4,FALSE)))
)</f>
        <v/>
      </c>
      <c r="U45" t="str">
        <f t="shared" ca="1" si="17"/>
        <v/>
      </c>
      <c r="Y45" t="str">
        <f t="shared" ca="1" si="1"/>
        <v/>
      </c>
      <c r="Z45" t="str">
        <f t="shared" ca="1" si="2"/>
        <v/>
      </c>
    </row>
    <row r="46" spans="1:26" x14ac:dyDescent="0.2">
      <c r="A46" t="str">
        <f t="shared" si="11"/>
        <v>Beseelte Knochenkeule (Elementargeist)</v>
      </c>
      <c r="N46" t="str">
        <f ca="1">IF(OR($O$44,PROFZWEITE=""),"",IF(EXACT(HLOOKUP(PROFZWEITE,INDIRECT(PROFGEBIET2),28,FALSE),""),"",HLOOKUP(PROFZWEITE,INDIRECT(PROFGEBIET2),28,FALSE)))</f>
        <v/>
      </c>
      <c r="P46" t="str">
        <f ca="1">IF(OR(EXACT($N46,""),ISERR(FIND($N46,CONCATENATE($W$9,$W$17,$W$25)))),"","X")</f>
        <v/>
      </c>
      <c r="Q46" t="str">
        <f ca="1">IF(OR(EXACT($N46,""),EXACT($N46,"Ausdauernder Zauberer"),NOT(ISERR(FIND("Natürliche Waffen",$N46,1))),ISERR(FIND(LEFT($N46,8),$W$62))),"","X")</f>
        <v/>
      </c>
      <c r="R46" t="str">
        <f ca="1">IF(OR(EXACT(N46,""),NOT(ISERR(FIND($N46,$W$70))),ISERR(FIND(N46,CONCATENATE($W$9,$W$17,$W$25)))),"",
IF(NOT(ISNA(VLOOKUP($N46,VORTEILEVARGP,1,FALSE))),"X",IF(Q46="X",0,VLOOKUP($N46,VORTEILEGES,4,FALSE)))
)</f>
        <v/>
      </c>
      <c r="U46" t="str">
        <f t="shared" ca="1" si="17"/>
        <v/>
      </c>
      <c r="Y46" t="str">
        <f t="shared" ca="1" si="1"/>
        <v/>
      </c>
      <c r="Z46" t="str">
        <f t="shared" ca="1" si="2"/>
        <v/>
      </c>
    </row>
    <row r="47" spans="1:26" x14ac:dyDescent="0.2">
      <c r="A47" t="str">
        <f t="shared" si="11"/>
        <v>Beseelte Knochenkeule (Totengeist)</v>
      </c>
      <c r="N47" t="str">
        <f ca="1">IF(OR($O$44,PROFZWEITE=""),"",IF(EXACT(HLOOKUP(PROFZWEITE,INDIRECT(PROFGEBIET2),29,FALSE),""),"",HLOOKUP(PROFZWEITE,INDIRECT(PROFGEBIET2),29,FALSE)))</f>
        <v/>
      </c>
      <c r="P47" t="str">
        <f ca="1">IF(OR(EXACT($N47,""),ISERR(FIND($N47,CONCATENATE($W$9,$W$17,$W$25)))),"","X")</f>
        <v/>
      </c>
      <c r="Q47" t="str">
        <f ca="1">IF(OR(EXACT($N47,""),EXACT($N47,"Ausdauernder Zauberer"),NOT(ISERR(FIND("Natürliche Waffen",$N47,1))),ISERR(FIND(LEFT($N47,8),$W$62))),"","X")</f>
        <v/>
      </c>
      <c r="R47" t="str">
        <f ca="1">IF(OR(EXACT(N47,""),NOT(ISERR(FIND($N47,$W$70))),ISERR(FIND(N47,CONCATENATE($W$9,$W$17,$W$25)))),"",
IF(NOT(ISNA(VLOOKUP($N47,VORTEILEVARGP,1,FALSE))),"X",IF(Q47="X",0,VLOOKUP($N47,VORTEILEGES,4,FALSE)))
)</f>
        <v/>
      </c>
      <c r="U47" t="str">
        <f t="shared" ca="1" si="17"/>
        <v/>
      </c>
      <c r="Y47" t="str">
        <f t="shared" ca="1" si="1"/>
        <v/>
      </c>
      <c r="Z47" t="str">
        <f t="shared" ca="1" si="2"/>
        <v/>
      </c>
    </row>
    <row r="48" spans="1:26" x14ac:dyDescent="0.2">
      <c r="A48" t="str">
        <f t="shared" si="11"/>
        <v>Besonderer Besitz</v>
      </c>
      <c r="B48" t="b">
        <f>IF(ISERROR(FIND($A48,$B$7)),FALSE,TRUE)</f>
        <v>0</v>
      </c>
      <c r="C48" t="s">
        <v>450</v>
      </c>
      <c r="I48" t="s">
        <v>1781</v>
      </c>
      <c r="N48" t="str">
        <f ca="1">IF(OR($O$44,PROFZWEITE=""),"",IF(EXACT(HLOOKUP(PROFZWEITE,INDIRECT(PROFGEBIET2),29,FALSE),""),"",HLOOKUP(PROFZWEITE,INDIRECT(PROFGEBIET2),29,FALSE)))</f>
        <v/>
      </c>
      <c r="P48" t="str">
        <f ca="1">IF(OR(EXACT($N48,""),ISERR(FIND($N48,CONCATENATE($W$9,$W$17,$W$25)))),"","X")</f>
        <v/>
      </c>
      <c r="Q48" t="str">
        <f ca="1">IF(OR(EXACT($N48,""),EXACT($N48,"Ausdauernder Zauberer"),NOT(ISERR(FIND("Natürliche Waffen",$N48,1))),ISERR(FIND(LEFT($N48,8),$W$62))),"","X")</f>
        <v/>
      </c>
      <c r="R48" t="str">
        <f ca="1">IF(OR(EXACT(N48,""),NOT(ISERR(FIND($N48,$W$70))),ISERR(FIND(N48,CONCATENATE($W$9,$W$17,$W$25)))),"",
IF(NOT(ISNA(VLOOKUP($N48,VORTEILEVARGP,1,FALSE))),"X",IF(Q48="X",0,VLOOKUP($N48,VORTEILEGES,4,FALSE)))
)</f>
        <v/>
      </c>
      <c r="U48" t="str">
        <f t="shared" ca="1" si="17"/>
        <v/>
      </c>
      <c r="W48" t="str">
        <f ca="1">CONCATENATE(N44,N45,N46,N47,N48)</f>
        <v/>
      </c>
      <c r="X48" t="str">
        <f ca="1">CONCATENATE(N44," ",N45," ",N46," ",N47," ",N48)</f>
        <v xml:space="preserve">    </v>
      </c>
      <c r="Y48" t="str">
        <f t="shared" ca="1" si="1"/>
        <v/>
      </c>
      <c r="Z48" t="str">
        <f t="shared" ca="1" si="2"/>
        <v/>
      </c>
    </row>
    <row r="49" spans="1:26" x14ac:dyDescent="0.2">
      <c r="A49" t="str">
        <f t="shared" si="11"/>
        <v>Breitgefächerte Bildung</v>
      </c>
      <c r="B49" t="b">
        <f>IF(ISERROR(FIND($A49,$B$7)),FALSE,TRUE)</f>
        <v>0</v>
      </c>
      <c r="C49" t="b">
        <f ca="1">IF(IF(LEN(PROFGENE)&lt;1,FALSE,HLOOKUP(PROFGENE,INDIRECT(PROFGEBIET),VLOOKUP("zeitaufwendig",ZEILENBEZUG,2,FALSE),FALSE)=""),FALSE,TRUE)</f>
        <v>0</v>
      </c>
      <c r="D49" t="b">
        <f ca="1">IF(ISBLANK(HLOOKUP(PROFGENE,INDIRECT(PROFGEBIET),VLOOKUP("Erstprofession",ZEILENBEZUG,2,FALSE),FALSE)),FALSE,TRUE)</f>
        <v>0</v>
      </c>
      <c r="E49" t="s">
        <v>3906</v>
      </c>
      <c r="F49" t="b">
        <f ca="1">IF(IF(LEN(PROFZWEITE)&lt;1,FALSE,HLOOKUP(PROFZWEITE,INDIRECT(PROFGEBIET2),VLOOKUP("zeitaufwendig",ZEILENBEZUG,2,FALSE),FALSE)=""),FALSE,TRUE)</f>
        <v>1</v>
      </c>
      <c r="G49" t="s">
        <v>1850</v>
      </c>
      <c r="I49" t="s">
        <v>1852</v>
      </c>
      <c r="J49" t="s">
        <v>1851</v>
      </c>
      <c r="K49" t="s">
        <v>734</v>
      </c>
      <c r="N49" t="s">
        <v>2413</v>
      </c>
      <c r="O49" t="s">
        <v>2410</v>
      </c>
      <c r="P49" t="s">
        <v>2411</v>
      </c>
      <c r="Q49" t="s">
        <v>2412</v>
      </c>
      <c r="R49" t="s">
        <v>2414</v>
      </c>
      <c r="S49" t="s">
        <v>2415</v>
      </c>
      <c r="T49" t="s">
        <v>2416</v>
      </c>
      <c r="U49" t="s">
        <v>626</v>
      </c>
      <c r="Y49" t="str">
        <f ca="1">CONCATENATE(Y2,Y3,Y4,Y5,Y6,Y7,Y8,Y9,Y10,Y12,Y13,Y14,Y15,Y16,Y17,Y18,Y19,Y20,Y21,Y22,Y23,Y24,Y25,Y26,Y27,Y28,Y29,Y30,Y31,Y32)</f>
        <v/>
      </c>
      <c r="Z49" t="str">
        <f ca="1">CONCATENATE(Z2,Z3,Z4,Z5,Z6,Z7,Z8,Z9,Z10,Z12,Z13,Z14,Z15,Z16,Z17,Z18,Z19,Z20,Z21,Z22,Z23,Z24,Z25,Z26,Z27,Z28,Z29,Z30,Z31,Z32)</f>
        <v/>
      </c>
    </row>
    <row r="50" spans="1:26" x14ac:dyDescent="0.2">
      <c r="A50" t="str">
        <f t="shared" si="11"/>
        <v>Dämmerungssicht</v>
      </c>
      <c r="N50" t="s">
        <v>4371</v>
      </c>
      <c r="O50" t="str">
        <f>IF(NOT(ISERR(FIND($N50,$W$9))),MID($W$9,SUM(FIND($N50,$W$9),LEN($N50),1),1),"")</f>
        <v/>
      </c>
      <c r="P50" t="str">
        <f>IF(NOT(ISERR(FIND($N50,$W$17))),MID($W$17,SUM(FIND($N50,$W$17),LEN($N50),1),1),"")</f>
        <v/>
      </c>
      <c r="Q50" t="str">
        <f ca="1">IF(NOT(ISERR(FIND($N50,$W$25))),MID($W$25,SUM(FIND($N50,$W$25),LEN($N50),1),1),"")</f>
        <v/>
      </c>
      <c r="R50" t="str">
        <f t="shared" ref="R50:R61" si="22">IF(NOT(ISERR(FIND($N50,$W$35))),MID($W$35,SUM(FIND($N50,$W$35),LEN($N50),1),IF(ISERROR(VALUE(MID($W$35,SUM(FIND($N50,$W$35),LEN($N50),1),2))),1,2)),"")</f>
        <v/>
      </c>
      <c r="S50" t="str">
        <f t="shared" ref="S50:S61" si="23">IF(NOT(ISERR(FIND($N50,$W$43))),MID($W$43,SUM(FIND($N50,$W$43),LEN($N50),1),1),"")</f>
        <v/>
      </c>
      <c r="T50" t="str">
        <f t="shared" ref="T50:T61" ca="1" si="24">IF(NOT(ISERR(FIND($N50,$W$48))),MID($W$48,SUM(FIND($N50,$W$48),LEN($N50),1),1),"")</f>
        <v/>
      </c>
      <c r="U50">
        <f ca="1">SUM(IF(EXACT($O50,""),0,VALUE($O50)),IF(EXACT($P50,""),0,VALUE($P50)),IF(EXACT($Q50,""),0,VALUE($Q50)),IF(EXACT($R50,""),0,VALUE($R50)),IF(EXACT($S50,""),0,VALUE($S50)),IF(EXACT($T50,""),0,VALUE($T50)))</f>
        <v>0</v>
      </c>
      <c r="V50" t="str">
        <f ca="1">IF(U50&gt;0,CONCATENATE(", ",N50," ",U50),"")</f>
        <v/>
      </c>
      <c r="Y50" t="str">
        <f ca="1">CONCATENATE(Y49,Y33,Y34,Y35,Y36,Y39,Y40,Y41,Y42,Y43,Y44,Y45,Y46,Y47,Y48)</f>
        <v/>
      </c>
      <c r="Z50" t="str">
        <f ca="1">CONCATENATE(Z49,Z33,Z34,Z35,Z36,Z39,Z40,Z41,Z42,Z43,Z44,Z45,Z46,Z47,Z48)</f>
        <v/>
      </c>
    </row>
    <row r="51" spans="1:26" x14ac:dyDescent="0.2">
      <c r="A51" t="str">
        <f t="shared" si="11"/>
        <v>Eidetisches Gedächtnis</v>
      </c>
      <c r="B51" t="b">
        <f>IF(ISERROR(FIND($A51,$B$7)),FALSE,TRUE)</f>
        <v>0</v>
      </c>
      <c r="C51" t="s">
        <v>101</v>
      </c>
      <c r="D51">
        <f>IF(VT_EIDGED,0.5,IF(VT_GUTGED,0.75,1))</f>
        <v>1</v>
      </c>
      <c r="I51" t="s">
        <v>102</v>
      </c>
      <c r="N51" t="s">
        <v>2874</v>
      </c>
      <c r="O51" t="str">
        <f t="shared" ref="O51:O61" si="25">IF(NOT(ISERR(FIND($N51,$W$9))),MID($W$9,SUM(FIND($N51,$W$9),LEN($N51),1),1),"")</f>
        <v/>
      </c>
      <c r="P51" t="str">
        <f t="shared" ref="P51:P61" si="26">IF(NOT(ISERR(FIND($N51,$W$17))),MID($W$17,SUM(FIND($N51,$W$17),LEN($N51),1),1),"")</f>
        <v/>
      </c>
      <c r="Q51" t="str">
        <f ca="1">IF(NOT(ISERR(FIND($N51,$W$25))),MID($W$25,SUM(FIND($N51,$W$25),LEN($N51)-1,1),1),"")</f>
        <v/>
      </c>
      <c r="R51" t="str">
        <f t="shared" si="22"/>
        <v/>
      </c>
      <c r="S51" t="str">
        <f t="shared" si="23"/>
        <v/>
      </c>
      <c r="T51" t="str">
        <f t="shared" ca="1" si="24"/>
        <v/>
      </c>
      <c r="U51">
        <f t="shared" ref="U51:U62" ca="1" si="27">SUM(IF(EXACT($O51,""),0,VALUE($O51)),IF(EXACT($P51,""),0,VALUE($P51)),IF(EXACT($Q51,""),0,VALUE($Q51)),IF(EXACT($R51,""),0,VALUE($R51)),IF(EXACT($S51,""),0,VALUE($S51)),IF(EXACT($T51,""),0,VALUE($T51)))</f>
        <v>0</v>
      </c>
      <c r="V51" t="str">
        <f ca="1">IF(U51&gt;0,CONCATENATE(", ",N51,U51),"")</f>
        <v/>
      </c>
    </row>
    <row r="52" spans="1:26" x14ac:dyDescent="0.2">
      <c r="A52" t="str">
        <f t="shared" si="11"/>
        <v>Eigeboren</v>
      </c>
      <c r="B52" t="b">
        <f ca="1">IF(ISERROR(FIND($A52,$O$83)),FALSE,TRUE)</f>
        <v>0</v>
      </c>
      <c r="C52" t="s">
        <v>4749</v>
      </c>
      <c r="D52" t="str">
        <f ca="1">IF(VT_EIGEB,CONCATENATE(IF(AND(ISERR(FIND("Gutaussehend",O83)),ISERR(FIND("Herausragendes Aussehen",O83))),", Gutaussehend",""),IF(ISERR(FIND("Altersresistenz",O83)),", Altersresistenz",""),IF(ISERR(FIND("Machtvoller Vertrauter",O83)),", Machtvoller Vertrauter","")),"")</f>
        <v/>
      </c>
      <c r="I52" t="s">
        <v>729</v>
      </c>
      <c r="J52" t="s">
        <v>4748</v>
      </c>
      <c r="N52" t="s">
        <v>4768</v>
      </c>
      <c r="O52" t="str">
        <f t="shared" si="25"/>
        <v/>
      </c>
      <c r="P52" t="str">
        <f t="shared" si="26"/>
        <v/>
      </c>
      <c r="Q52" t="str">
        <f t="shared" ref="Q52:Q61" ca="1" si="28">IF(NOT(ISERR(FIND($N52,$W$25))),MID($W$25,SUM(FIND($N52,$W$25),LEN($N52),1),1),"")</f>
        <v/>
      </c>
      <c r="R52" t="str">
        <f t="shared" si="22"/>
        <v/>
      </c>
      <c r="S52" t="str">
        <f t="shared" si="23"/>
        <v/>
      </c>
      <c r="T52" t="str">
        <f t="shared" ca="1" si="24"/>
        <v/>
      </c>
      <c r="U52">
        <f t="shared" ca="1" si="27"/>
        <v>0</v>
      </c>
      <c r="V52" t="str">
        <f t="shared" ref="V52:V62" ca="1" si="29">IF(U52&gt;0,CONCATENATE(", ",N52," ",U52),"")</f>
        <v/>
      </c>
    </row>
    <row r="53" spans="1:26" x14ac:dyDescent="0.2">
      <c r="A53" t="str">
        <f t="shared" si="11"/>
        <v>Eisenaffine Aura</v>
      </c>
      <c r="B53" t="b">
        <f>IF(AND(NOT(ISERROR(FIND($A53,$B$7))),EXACT(PROFGRDGENE,"Druiden")),TRUE,FALSE)</f>
        <v>0</v>
      </c>
      <c r="C53" t="s">
        <v>563</v>
      </c>
      <c r="D53" t="b">
        <f>IF(AND(NOT(ISERR(FIND($A53,$B$7))),EXACT(PROFGRDGENE,"Geoden")),TRUE,FALSE)</f>
        <v>0</v>
      </c>
      <c r="E53" t="s">
        <v>4304</v>
      </c>
      <c r="H53" t="str">
        <f>IF(OR($B53,$D53),CONCATENATE($A53,": nicht für ",IF($B53,$C53,""),IF(AND($B53,$D53)," und ",""),IF($D53,$E53,"")," verfügbar; "),"")</f>
        <v/>
      </c>
      <c r="I53" t="s">
        <v>3775</v>
      </c>
      <c r="N53" t="s">
        <v>1734</v>
      </c>
      <c r="O53" t="str">
        <f t="shared" si="25"/>
        <v/>
      </c>
      <c r="P53" t="str">
        <f t="shared" si="26"/>
        <v/>
      </c>
      <c r="Q53" t="str">
        <f t="shared" ca="1" si="28"/>
        <v/>
      </c>
      <c r="R53" t="str">
        <f t="shared" si="22"/>
        <v/>
      </c>
      <c r="S53" t="str">
        <f t="shared" si="23"/>
        <v/>
      </c>
      <c r="T53" t="str">
        <f t="shared" ca="1" si="24"/>
        <v/>
      </c>
      <c r="U53">
        <f t="shared" ca="1" si="27"/>
        <v>0</v>
      </c>
      <c r="V53" t="str">
        <f t="shared" ca="1" si="29"/>
        <v/>
      </c>
    </row>
    <row r="54" spans="1:26" x14ac:dyDescent="0.2">
      <c r="A54" t="str">
        <f t="shared" si="11"/>
        <v>Eisern</v>
      </c>
      <c r="B54" t="b">
        <f>IF(ISERROR(FIND($A54,$B$7)),FALSE,TRUE)</f>
        <v>0</v>
      </c>
      <c r="N54" t="s">
        <v>1733</v>
      </c>
      <c r="O54" t="str">
        <f t="shared" si="25"/>
        <v/>
      </c>
      <c r="P54" t="str">
        <f t="shared" si="26"/>
        <v/>
      </c>
      <c r="Q54" t="str">
        <f t="shared" ca="1" si="28"/>
        <v/>
      </c>
      <c r="R54" t="str">
        <f t="shared" si="22"/>
        <v/>
      </c>
      <c r="S54" t="str">
        <f t="shared" si="23"/>
        <v/>
      </c>
      <c r="T54" t="str">
        <f t="shared" ca="1" si="24"/>
        <v/>
      </c>
      <c r="U54">
        <f t="shared" ca="1" si="27"/>
        <v>0</v>
      </c>
      <c r="V54" t="str">
        <f t="shared" ca="1" si="29"/>
        <v/>
      </c>
    </row>
    <row r="55" spans="1:26" x14ac:dyDescent="0.2">
      <c r="A55" t="str">
        <f t="shared" si="11"/>
        <v>Empathie</v>
      </c>
      <c r="N55" t="s">
        <v>1732</v>
      </c>
      <c r="O55" t="str">
        <f t="shared" si="25"/>
        <v/>
      </c>
      <c r="P55" t="str">
        <f t="shared" si="26"/>
        <v/>
      </c>
      <c r="Q55" t="str">
        <f t="shared" ca="1" si="28"/>
        <v/>
      </c>
      <c r="R55" t="str">
        <f t="shared" si="22"/>
        <v/>
      </c>
      <c r="S55" t="str">
        <f t="shared" si="23"/>
        <v/>
      </c>
      <c r="T55" t="str">
        <f t="shared" ca="1" si="24"/>
        <v/>
      </c>
      <c r="U55">
        <f t="shared" ca="1" si="27"/>
        <v>0</v>
      </c>
      <c r="V55" t="str">
        <f t="shared" ca="1" si="29"/>
        <v/>
      </c>
    </row>
    <row r="56" spans="1:26" x14ac:dyDescent="0.2">
      <c r="A56" t="str">
        <f t="shared" si="11"/>
        <v>Entfernungssinn</v>
      </c>
      <c r="B56" t="b">
        <f>IF(ISERROR(FIND($A56,$B$7)),FALSE,TRUE)</f>
        <v>0</v>
      </c>
      <c r="C56" t="s">
        <v>735</v>
      </c>
      <c r="I56" t="s">
        <v>736</v>
      </c>
      <c r="N56" t="s">
        <v>565</v>
      </c>
      <c r="O56" t="str">
        <f t="shared" si="25"/>
        <v/>
      </c>
      <c r="P56" t="str">
        <f t="shared" si="26"/>
        <v/>
      </c>
      <c r="Q56" t="str">
        <f t="shared" ca="1" si="28"/>
        <v/>
      </c>
      <c r="R56" t="str">
        <f t="shared" si="22"/>
        <v/>
      </c>
      <c r="S56" t="str">
        <f t="shared" si="23"/>
        <v/>
      </c>
      <c r="T56" t="str">
        <f t="shared" ca="1" si="24"/>
        <v/>
      </c>
      <c r="U56">
        <f t="shared" ca="1" si="27"/>
        <v>0</v>
      </c>
      <c r="V56" t="str">
        <f t="shared" ca="1" si="29"/>
        <v/>
      </c>
    </row>
    <row r="57" spans="1:26" x14ac:dyDescent="0.2">
      <c r="A57" t="str">
        <f t="shared" si="11"/>
        <v>Ererbte Knochenkeule</v>
      </c>
      <c r="N57" t="s">
        <v>4283</v>
      </c>
      <c r="O57" t="str">
        <f t="shared" si="25"/>
        <v/>
      </c>
      <c r="P57" t="str">
        <f t="shared" si="26"/>
        <v/>
      </c>
      <c r="Q57" t="str">
        <f t="shared" ca="1" si="28"/>
        <v/>
      </c>
      <c r="R57" t="str">
        <f t="shared" si="22"/>
        <v/>
      </c>
      <c r="S57" t="str">
        <f t="shared" si="23"/>
        <v/>
      </c>
      <c r="T57" t="str">
        <f t="shared" ca="1" si="24"/>
        <v/>
      </c>
      <c r="U57">
        <f t="shared" ca="1" si="27"/>
        <v>0</v>
      </c>
      <c r="V57" t="str">
        <f t="shared" ca="1" si="29"/>
        <v/>
      </c>
    </row>
    <row r="58" spans="1:26" x14ac:dyDescent="0.2">
      <c r="A58" t="str">
        <f t="shared" si="11"/>
        <v>Feenfreund</v>
      </c>
      <c r="N58" t="s">
        <v>2319</v>
      </c>
      <c r="O58" t="str">
        <f t="shared" si="25"/>
        <v/>
      </c>
      <c r="P58" t="str">
        <f t="shared" si="26"/>
        <v/>
      </c>
      <c r="Q58" t="str">
        <f t="shared" ca="1" si="28"/>
        <v/>
      </c>
      <c r="R58" t="str">
        <f t="shared" si="22"/>
        <v/>
      </c>
      <c r="S58" t="str">
        <f t="shared" si="23"/>
        <v/>
      </c>
      <c r="T58" t="str">
        <f t="shared" ca="1" si="24"/>
        <v/>
      </c>
      <c r="U58">
        <f t="shared" ca="1" si="27"/>
        <v>0</v>
      </c>
      <c r="V58" t="str">
        <f t="shared" ca="1" si="29"/>
        <v/>
      </c>
    </row>
    <row r="59" spans="1:26" x14ac:dyDescent="0.2">
      <c r="A59" t="str">
        <f t="shared" si="11"/>
        <v>Feste Matrix</v>
      </c>
      <c r="N59" t="s">
        <v>1860</v>
      </c>
      <c r="O59" t="str">
        <f t="shared" si="25"/>
        <v/>
      </c>
      <c r="P59" t="str">
        <f t="shared" si="26"/>
        <v/>
      </c>
      <c r="Q59" t="str">
        <f t="shared" ca="1" si="28"/>
        <v/>
      </c>
      <c r="R59" t="str">
        <f t="shared" si="22"/>
        <v/>
      </c>
      <c r="S59" t="str">
        <f t="shared" si="23"/>
        <v/>
      </c>
      <c r="T59" t="str">
        <f t="shared" ca="1" si="24"/>
        <v/>
      </c>
      <c r="U59">
        <f t="shared" ca="1" si="27"/>
        <v>0</v>
      </c>
      <c r="V59" t="str">
        <f t="shared" ca="1" si="29"/>
        <v/>
      </c>
    </row>
    <row r="60" spans="1:26" x14ac:dyDescent="0.2">
      <c r="A60" t="str">
        <f t="shared" si="11"/>
        <v>Flink</v>
      </c>
      <c r="B60" t="b">
        <f>IF(ISERROR(FIND($A60,$B$7)),FALSE,TRUE)</f>
        <v>0</v>
      </c>
      <c r="D60">
        <f ca="1">SUM(IF(NOT(ISERR(FIND($A60,$W$9))),1,0),IF(NOT(ISERR(FIND($A60,$W$17))),1,0),IF(NOT(ISERR(FIND($A60,$W$25))),1,0),IF(NOT(ISERR(FIND($A60,$W$35))),1,0),IF(NOT(ISERR(FIND($A60,$W$43))),1,0),IF(NOT(ISERR(FIND($A60,$W$48))),1,0))</f>
        <v>0</v>
      </c>
      <c r="N60" t="s">
        <v>4774</v>
      </c>
      <c r="O60" t="str">
        <f t="shared" si="25"/>
        <v/>
      </c>
      <c r="P60" t="str">
        <f t="shared" si="26"/>
        <v/>
      </c>
      <c r="Q60" t="str">
        <f t="shared" ca="1" si="28"/>
        <v/>
      </c>
      <c r="R60" t="str">
        <f t="shared" si="22"/>
        <v/>
      </c>
      <c r="S60" t="str">
        <f t="shared" si="23"/>
        <v/>
      </c>
      <c r="T60" t="str">
        <f t="shared" ca="1" si="24"/>
        <v/>
      </c>
      <c r="U60">
        <f t="shared" ca="1" si="27"/>
        <v>0</v>
      </c>
      <c r="V60" t="str">
        <f t="shared" ca="1" si="29"/>
        <v/>
      </c>
    </row>
    <row r="61" spans="1:26" x14ac:dyDescent="0.2">
      <c r="A61" t="str">
        <f t="shared" si="11"/>
        <v>Gebildet</v>
      </c>
      <c r="B61" t="b">
        <f>IF(ISERROR(FIND($A61,$B$7)),FALSE,TRUE)</f>
        <v>0</v>
      </c>
      <c r="D61">
        <f>IF(ISERR(FIND($A61,VORTEILEGENE)),0,IF(ISERROR(VALUE(MID(VORTEILEGENE,SUM(FIND($A61,VORTEILEGENE),LEN($A61),1),1))),0,VALUE(MID(VORTEILEGENE,SUM(FIND($A61,VORTEILEGENE),LEN($A61),1),1))))</f>
        <v>0</v>
      </c>
      <c r="I61" t="s">
        <v>1240</v>
      </c>
      <c r="J61" t="s">
        <v>1159</v>
      </c>
      <c r="N61" t="s">
        <v>3987</v>
      </c>
      <c r="O61" t="str">
        <f t="shared" si="25"/>
        <v/>
      </c>
      <c r="P61" t="str">
        <f t="shared" si="26"/>
        <v/>
      </c>
      <c r="Q61" t="str">
        <f t="shared" ca="1" si="28"/>
        <v/>
      </c>
      <c r="R61" t="str">
        <f t="shared" si="22"/>
        <v/>
      </c>
      <c r="S61" t="str">
        <f t="shared" si="23"/>
        <v/>
      </c>
      <c r="T61" t="str">
        <f t="shared" ca="1" si="24"/>
        <v/>
      </c>
      <c r="U61">
        <f t="shared" ca="1" si="27"/>
        <v>0</v>
      </c>
      <c r="V61" t="str">
        <f t="shared" ca="1" si="29"/>
        <v/>
      </c>
    </row>
    <row r="62" spans="1:26" x14ac:dyDescent="0.2">
      <c r="A62" t="str">
        <f t="shared" si="11"/>
        <v>Gefahreninstinkt</v>
      </c>
      <c r="N62" t="s">
        <v>4527</v>
      </c>
      <c r="O62" t="str">
        <f>IF(NOT(ISERR(FIND($N62,$W$9))),MID($W$9,SUM(FIND($N62,$W$9),LEN($N62),1),IF(ISERROR(VALUE(MID($W$9,SUM(FIND($N62,$W$9),LEN($N62),1),2))),1,2)),"")</f>
        <v/>
      </c>
      <c r="P62" t="str">
        <f>IF(NOT(ISERR(FIND($N62,$W$17))),MID($W$17,SUM(FIND($N62,$W$17),LEN($N62),1),IF(ISERROR(VALUE(MID($W$17,SUM(FIND($N62,$W$17),LEN($N62),1),2))),1,2)),"")</f>
        <v/>
      </c>
      <c r="Q62" t="str">
        <f ca="1">IF(NOT(ISERR(FIND($N62,$W$25))),MID($W$25,SUM(FIND($N62,$W$25),LEN($N62),1),IF(ISERROR(VALUE(MID($W$25,SUM(FIND($N62,$W$25),LEN($N62),1),2))),1,2)),"")</f>
        <v/>
      </c>
      <c r="R62" t="str">
        <f>IF(NOT(ISERR(FIND($N62,$W$35))),MID($W$35,SUM(FIND($N62,$W$35),LEN($N62),1),IF(ISERROR(VALUE(MID($W$35,SUM(FIND($N62,$W$35),LEN($N62),1),2))),1,2)),"0")</f>
        <v>0</v>
      </c>
      <c r="S62" t="str">
        <f>IF(NOT(ISERR(FIND($N62,$W$43))),MID($W$43,SUM(FIND($N62,$W$43),LEN($N62),1),IF(ISERROR(VALUE(MID($W$43,SUM(FIND($N62,$W$43),LEN($N62),1),2))),1,2)),"")</f>
        <v/>
      </c>
      <c r="T62" t="str">
        <f ca="1">IF(NOT(ISERR(FIND($N62,$W$48))),MID($W$48,SUM(FIND($N62,$W$48),LEN($N62),1),IF(ISERROR(VALUE(MID($W$48,SUM(FIND($N62,$W$48),LEN($N62),1),2))),1,2)),"")</f>
        <v/>
      </c>
      <c r="U62">
        <f t="shared" ca="1" si="27"/>
        <v>0</v>
      </c>
      <c r="V62" t="str">
        <f t="shared" ca="1" si="29"/>
        <v/>
      </c>
      <c r="W62" t="str">
        <f>CONCATENATE(N50,N51,N52,N53,N54,N55,N56,N57,N58,N59,N60,N61,N62)</f>
        <v>AstralmachtAusdauernd AusrüstungsvorteilBeseelte Knochenkeule (Dämon)Beseelte Knochenkeule (Dschinn)Beseelte Knochenkeule (Elementargeist)Beseelte Knochenkeule (Totengeist)Ererbte KnochenkeuleGebildetHohe LebenskraftHohe MagieresistenzNatürlicher RüstungsschutzVerbindungen</v>
      </c>
    </row>
    <row r="63" spans="1:26" x14ac:dyDescent="0.2">
      <c r="A63" t="str">
        <f t="shared" si="11"/>
        <v>Geräuschhexerei</v>
      </c>
      <c r="N63" t="s">
        <v>2713</v>
      </c>
      <c r="O63" t="s">
        <v>698</v>
      </c>
      <c r="P63" t="s">
        <v>2411</v>
      </c>
      <c r="Q63" t="s">
        <v>2412</v>
      </c>
      <c r="R63" t="s">
        <v>2414</v>
      </c>
      <c r="S63" t="s">
        <v>2415</v>
      </c>
      <c r="T63" t="s">
        <v>2416</v>
      </c>
      <c r="U63" t="s">
        <v>2714</v>
      </c>
    </row>
    <row r="64" spans="1:26" x14ac:dyDescent="0.2">
      <c r="A64" t="str">
        <f t="shared" si="11"/>
        <v>Geweiht (Angrosch)</v>
      </c>
      <c r="B64" t="b">
        <f t="shared" ref="B64:B84" si="30">IF(ISERROR(FIND($A64,$B$7)),FALSE,TRUE)</f>
        <v>0</v>
      </c>
      <c r="C64" t="b">
        <f>OR(B64,B65,B66,B67,B68,B69,B70,B71,B72,B73,B74,B75,B76,B77,B78,B79,B80,B81,B82,B83,B84)</f>
        <v>0</v>
      </c>
      <c r="N64" t="s">
        <v>4296</v>
      </c>
      <c r="O64">
        <f>IF(NOT(ISERR(FIND($N64,$W$9))),1,0)</f>
        <v>0</v>
      </c>
      <c r="P64">
        <f>IF(NOT(ISERR(FIND($N64,$W$17))),1,0)</f>
        <v>0</v>
      </c>
      <c r="Q64">
        <f ca="1">IF(NOT(ISERR(FIND($N64,$W$25))),1,0)</f>
        <v>0</v>
      </c>
      <c r="R64">
        <f>IF(NOT(ISERR(FIND($N64,$W$35))),1,0)</f>
        <v>0</v>
      </c>
      <c r="S64">
        <f>IF(NOT(ISERR(FIND($N64,$W$43))),1,0)</f>
        <v>0</v>
      </c>
      <c r="T64">
        <f ca="1">IF(NOT(ISERR(FIND($N64,$W$48))),1,0)</f>
        <v>0</v>
      </c>
      <c r="U64">
        <f ca="1">SUM(O64:T64)</f>
        <v>0</v>
      </c>
    </row>
    <row r="65" spans="1:23" x14ac:dyDescent="0.2">
      <c r="A65" t="str">
        <f t="shared" si="11"/>
        <v>Geweiht (Aves)</v>
      </c>
      <c r="B65" t="b">
        <f t="shared" si="30"/>
        <v>0</v>
      </c>
      <c r="N65" t="s">
        <v>71</v>
      </c>
      <c r="O65">
        <f>IF(NOT(ISERR(FIND("Viertelzauberer",$W$9))),1,IF(NOT(ISERR(FIND("Vollzauberer",$W$9))),3,0))</f>
        <v>0</v>
      </c>
      <c r="P65">
        <f>IF(NOT(ISERR(FIND("Viertelzauberer",$W$17))),1,0)</f>
        <v>0</v>
      </c>
      <c r="Q65">
        <f ca="1">IF(NOT(ISERR(FIND("Viertelzauberer",$W$25))),1,IF(NOT(ISERR(FIND("Halbzauberer",$W$25))),2,IF(NOT(ISERR(FIND("Vollzauberer",$W$25))),3,0)))</f>
        <v>0</v>
      </c>
      <c r="R65">
        <f>IF(NOT(ISERR(FIND("Viertelzauberer",$W$35))),1,IF(NOT(ISERR(FIND("Halbzauberer",$W$35))),2,IF(NOT(ISERR(FIND("Vollzauberer",$W$35))),3,0)))</f>
        <v>0</v>
      </c>
      <c r="S65">
        <f ca="1">IF(AND(OR(O65=1,P65=1),Q65&gt;1),1,IF(AND(O65=3,OR(Q65&gt;0,P65&gt;0)),MAX(Q65,P65),IF(AND(OR(O65&gt;0,P65&gt;0,Q65&gt;0),R65=2),1,IF(AND(OR(O65&gt;0,P65&gt;0,Q65&gt;0),R65=2),MAX(O65,P65,Q65),0))))</f>
        <v>0</v>
      </c>
      <c r="U65" t="str">
        <f ca="1">IF(S65=1,"Viertelzauberer",IF(S65=2,"Halbzauberer",""))</f>
        <v/>
      </c>
    </row>
    <row r="66" spans="1:23" x14ac:dyDescent="0.2">
      <c r="A66" t="str">
        <f t="shared" si="11"/>
        <v>Geweiht (Boron)</v>
      </c>
      <c r="B66" t="b">
        <f t="shared" si="30"/>
        <v>0</v>
      </c>
      <c r="N66" t="s">
        <v>2120</v>
      </c>
      <c r="O66">
        <f>IF(NOT(ISERR(FIND($N66,$W$9))),1,0)</f>
        <v>0</v>
      </c>
      <c r="P66">
        <f t="shared" ref="P66:P71" si="31">IF(NOT(ISERR(FIND($N66,$W$17))),1,0)</f>
        <v>0</v>
      </c>
      <c r="Q66">
        <f t="shared" ref="Q66:Q71" ca="1" si="32">IF(NOT(ISERR(FIND($N66,$W$25))),1,0)</f>
        <v>0</v>
      </c>
      <c r="R66">
        <f t="shared" ref="R66:R71" si="33">IF(NOT(ISERR(FIND($N66,$W$35))),1,0)</f>
        <v>0</v>
      </c>
      <c r="S66">
        <f t="shared" ref="S66:S71" si="34">IF(NOT(ISERR(FIND($N66,$W$43))),1,0)</f>
        <v>0</v>
      </c>
      <c r="T66">
        <f t="shared" ref="T66:T71" ca="1" si="35">IF(NOT(ISERR(FIND($N66,$W$48))),1,0)</f>
        <v>0</v>
      </c>
      <c r="U66">
        <f ca="1">SUM(O66:T66)</f>
        <v>0</v>
      </c>
    </row>
    <row r="67" spans="1:23" x14ac:dyDescent="0.2">
      <c r="A67" t="str">
        <f t="shared" si="11"/>
        <v>Geweiht (Efferd)</v>
      </c>
      <c r="B67" t="b">
        <f t="shared" si="30"/>
        <v>0</v>
      </c>
      <c r="N67" t="s">
        <v>1427</v>
      </c>
      <c r="O67">
        <f>IF(NOT(ISERR(FIND($N67,$W$9))),1,0)</f>
        <v>0</v>
      </c>
      <c r="P67">
        <f t="shared" si="31"/>
        <v>0</v>
      </c>
      <c r="Q67">
        <f t="shared" ca="1" si="32"/>
        <v>0</v>
      </c>
      <c r="R67">
        <f t="shared" si="33"/>
        <v>0</v>
      </c>
      <c r="S67">
        <f t="shared" si="34"/>
        <v>0</v>
      </c>
      <c r="T67">
        <f t="shared" ca="1" si="35"/>
        <v>0</v>
      </c>
      <c r="U67">
        <f ca="1">SUM(O67:T67)</f>
        <v>0</v>
      </c>
    </row>
    <row r="68" spans="1:23" x14ac:dyDescent="0.2">
      <c r="A68" t="str">
        <f t="shared" si="11"/>
        <v>Geweiht (Firun)</v>
      </c>
      <c r="B68" t="b">
        <f t="shared" si="30"/>
        <v>0</v>
      </c>
      <c r="N68" t="s">
        <v>4772</v>
      </c>
      <c r="O68">
        <f>IF(NOT(ISERR(FIND($N68,$W$9))),1,0)</f>
        <v>0</v>
      </c>
      <c r="P68">
        <f t="shared" si="31"/>
        <v>0</v>
      </c>
      <c r="Q68">
        <f t="shared" ca="1" si="32"/>
        <v>0</v>
      </c>
      <c r="R68">
        <f t="shared" si="33"/>
        <v>0</v>
      </c>
      <c r="S68">
        <f t="shared" si="34"/>
        <v>0</v>
      </c>
      <c r="T68">
        <f t="shared" ca="1" si="35"/>
        <v>0</v>
      </c>
      <c r="U68">
        <f ca="1">IF(VT_EIGEB,SUM(O68:T68)+1,SUM(O68:T68))</f>
        <v>0</v>
      </c>
    </row>
    <row r="69" spans="1:23" x14ac:dyDescent="0.2">
      <c r="A69" t="str">
        <f t="shared" si="11"/>
        <v>Geweiht (Gravesch)</v>
      </c>
      <c r="B69" t="b">
        <f t="shared" si="30"/>
        <v>0</v>
      </c>
      <c r="N69" t="s">
        <v>2127</v>
      </c>
      <c r="O69">
        <f>IF(NOT(ISERR(FIND($N69,$W$9))),1,0)</f>
        <v>0</v>
      </c>
      <c r="P69">
        <f t="shared" si="31"/>
        <v>0</v>
      </c>
      <c r="Q69">
        <f t="shared" ca="1" si="32"/>
        <v>0</v>
      </c>
      <c r="R69">
        <f t="shared" si="33"/>
        <v>0</v>
      </c>
      <c r="S69">
        <f t="shared" si="34"/>
        <v>0</v>
      </c>
      <c r="T69">
        <f t="shared" ca="1" si="35"/>
        <v>0</v>
      </c>
      <c r="U69">
        <f ca="1">SUM(O69:T69)</f>
        <v>0</v>
      </c>
    </row>
    <row r="70" spans="1:23" x14ac:dyDescent="0.2">
      <c r="A70" t="str">
        <f t="shared" si="11"/>
        <v>Geweiht (Hesinde)</v>
      </c>
      <c r="B70" t="b">
        <f t="shared" si="30"/>
        <v>0</v>
      </c>
      <c r="N70" t="s">
        <v>1305</v>
      </c>
      <c r="O70">
        <f>IF(NOT(ISERR(FIND($N70,$W$9))),1,0)</f>
        <v>0</v>
      </c>
      <c r="P70">
        <f t="shared" si="31"/>
        <v>0</v>
      </c>
      <c r="Q70">
        <f t="shared" ca="1" si="32"/>
        <v>0</v>
      </c>
      <c r="R70">
        <f t="shared" si="33"/>
        <v>0</v>
      </c>
      <c r="S70">
        <f t="shared" si="34"/>
        <v>0</v>
      </c>
      <c r="T70">
        <f t="shared" ca="1" si="35"/>
        <v>0</v>
      </c>
      <c r="U70">
        <f ca="1">SUM(O70:T70)</f>
        <v>0</v>
      </c>
      <c r="W70" t="str">
        <f>CONCATENATE(N64,N68,N69,N70)</f>
        <v>BalanceGutaussehendRichtungssinnResistenz gegen Gift</v>
      </c>
    </row>
    <row r="71" spans="1:23" x14ac:dyDescent="0.2">
      <c r="A71" t="str">
        <f t="shared" si="11"/>
        <v>Geweiht (H'Szint)</v>
      </c>
      <c r="B71" t="b">
        <f t="shared" si="30"/>
        <v>0</v>
      </c>
      <c r="N71" t="s">
        <v>2716</v>
      </c>
      <c r="O71" t="s">
        <v>2715</v>
      </c>
      <c r="P71">
        <f t="shared" si="31"/>
        <v>0</v>
      </c>
      <c r="Q71">
        <f t="shared" ca="1" si="32"/>
        <v>0</v>
      </c>
      <c r="R71">
        <f t="shared" si="33"/>
        <v>0</v>
      </c>
      <c r="S71">
        <f t="shared" si="34"/>
        <v>0</v>
      </c>
      <c r="T71">
        <f t="shared" ca="1" si="35"/>
        <v>0</v>
      </c>
    </row>
    <row r="72" spans="1:23" x14ac:dyDescent="0.2">
      <c r="A72" t="str">
        <f t="shared" si="11"/>
        <v>Geweiht (Ifirn)</v>
      </c>
      <c r="B72" t="b">
        <f t="shared" si="30"/>
        <v>0</v>
      </c>
      <c r="N72" t="s">
        <v>4855</v>
      </c>
      <c r="O72" t="str">
        <f>CONCATENATE(U2,U3,U4,U5,U6,U7,U8,U9)</f>
        <v/>
      </c>
    </row>
    <row r="73" spans="1:23" x14ac:dyDescent="0.2">
      <c r="A73" t="str">
        <f t="shared" si="11"/>
        <v>Geweiht (Ingerimm)</v>
      </c>
      <c r="B73" t="b">
        <f t="shared" si="30"/>
        <v>0</v>
      </c>
      <c r="N73" t="s">
        <v>3623</v>
      </c>
      <c r="O73" t="str">
        <f>CONCATENATE($U$10,$U$11,$U$12,$U$13,$U$14,$U$15,$U$16,$U$17)</f>
        <v/>
      </c>
    </row>
    <row r="74" spans="1:23" x14ac:dyDescent="0.2">
      <c r="A74" t="str">
        <f t="shared" si="11"/>
        <v>Geweiht (Kor)</v>
      </c>
      <c r="B74" t="b">
        <f t="shared" si="30"/>
        <v>0</v>
      </c>
      <c r="N74" t="s">
        <v>3624</v>
      </c>
      <c r="O74" t="str">
        <f ca="1">CONCATENATE($U$18,$U$19,$U$20,$U$21,$U$22,$U$23,$U$24,$U$25)</f>
        <v/>
      </c>
    </row>
    <row r="75" spans="1:23" x14ac:dyDescent="0.2">
      <c r="A75" t="str">
        <f t="shared" si="11"/>
        <v>Geweiht (Nandus)</v>
      </c>
      <c r="B75" t="b">
        <f t="shared" si="30"/>
        <v>0</v>
      </c>
      <c r="N75" t="s">
        <v>2709</v>
      </c>
      <c r="O75" t="str">
        <f ca="1">CONCATENATE(U26,U27,U28,U29,U30,U31,U32,U33,U34,U35)</f>
        <v/>
      </c>
    </row>
    <row r="76" spans="1:23" x14ac:dyDescent="0.2">
      <c r="A76" t="str">
        <f t="shared" si="11"/>
        <v>Geweiht (Peraine)</v>
      </c>
      <c r="B76" t="b">
        <f t="shared" si="30"/>
        <v>0</v>
      </c>
      <c r="N76" t="s">
        <v>2710</v>
      </c>
      <c r="O76" t="str">
        <f ca="1">CONCATENATE(U36,U37,U38,U39,U40,U41,U42,U43)</f>
        <v/>
      </c>
    </row>
    <row r="77" spans="1:23" x14ac:dyDescent="0.2">
      <c r="A77" t="str">
        <f t="shared" si="11"/>
        <v>Geweiht (Phex)</v>
      </c>
      <c r="B77" t="b">
        <f t="shared" si="30"/>
        <v>0</v>
      </c>
      <c r="N77" t="s">
        <v>2711</v>
      </c>
      <c r="O77" t="str">
        <f ca="1">CONCATENATE(U44,U45,U46,U47,U48)</f>
        <v/>
      </c>
    </row>
    <row r="78" spans="1:23" x14ac:dyDescent="0.2">
      <c r="A78" t="str">
        <f t="shared" si="11"/>
        <v>Geweiht (Praios)</v>
      </c>
      <c r="B78" t="b">
        <f t="shared" si="30"/>
        <v>0</v>
      </c>
      <c r="N78" t="s">
        <v>2712</v>
      </c>
      <c r="O78" t="str">
        <f ca="1">CONCATENATE(V50,V51,V52,V53,V54,V55,V56,V57,V58,V59,V60,V61,V62)</f>
        <v/>
      </c>
    </row>
    <row r="79" spans="1:23" x14ac:dyDescent="0.2">
      <c r="A79" t="str">
        <f t="shared" si="11"/>
        <v>Geweiht (Rahja)</v>
      </c>
      <c r="B79" t="b">
        <f t="shared" si="30"/>
        <v>0</v>
      </c>
      <c r="N79" t="s">
        <v>4527</v>
      </c>
      <c r="O79">
        <f ca="1">SUM(IF(Eigenschaften!B30="",0,Eigenschaften!B30),IF(Eigenschaften!G30="",0,Eigenschaften!G30))</f>
        <v>0</v>
      </c>
      <c r="P79" t="str">
        <f ca="1">IF(O79&gt;0,CONCATENATE(", ",N79," ",O79,IF(VT_VERBINDUNG_NW="",IF(VT_VERBINDUNG_TXT="",""," ("&amp;SUBSTITUTE(VT_VERBINDUNG_TXT,",",";")&amp;")")," ("&amp;SUBSTITUTE(VT_VERBINDUNG_NW,",",";")&amp;")")),"")</f>
        <v/>
      </c>
    </row>
    <row r="80" spans="1:23" x14ac:dyDescent="0.2">
      <c r="A80" t="str">
        <f t="shared" si="11"/>
        <v>Geweiht (Rondra)</v>
      </c>
      <c r="B80" t="b">
        <f t="shared" si="30"/>
        <v>0</v>
      </c>
      <c r="N80" t="s">
        <v>9129</v>
      </c>
      <c r="O80" t="str">
        <f ca="1">IF(U62&gt;1,SUBSTITUTE(O78,V62,P79),O78)</f>
        <v/>
      </c>
    </row>
    <row r="81" spans="1:24" x14ac:dyDescent="0.2">
      <c r="A81" t="str">
        <f t="shared" si="11"/>
        <v>Geweiht (Swafnir)</v>
      </c>
      <c r="B81" t="b">
        <f t="shared" si="30"/>
        <v>0</v>
      </c>
      <c r="U81" t="str">
        <f ca="1">CONCATENATE(O72,O73,O74,O75,O76,O77,O80)</f>
        <v/>
      </c>
    </row>
    <row r="82" spans="1:24" x14ac:dyDescent="0.2">
      <c r="A82" t="str">
        <f t="shared" si="11"/>
        <v>Geweiht (Travia)</v>
      </c>
      <c r="B82" t="b">
        <f t="shared" si="30"/>
        <v>0</v>
      </c>
      <c r="N82" t="s">
        <v>3763</v>
      </c>
      <c r="X82" t="s">
        <v>126</v>
      </c>
    </row>
    <row r="83" spans="1:24" x14ac:dyDescent="0.2">
      <c r="A83" t="str">
        <f t="shared" si="11"/>
        <v>Geweiht (Tsa)</v>
      </c>
      <c r="B83" t="b">
        <f t="shared" si="30"/>
        <v>0</v>
      </c>
      <c r="N83" t="s">
        <v>4296</v>
      </c>
      <c r="O83" t="str">
        <f ca="1">IF(U64&gt;1,SUBSTITUTE(U81,", Balance","")&amp;IF(ISERR(FIND("Herausragende Balance",U81)),", Herausragende Balance",""),U81)</f>
        <v/>
      </c>
      <c r="P83" t="str">
        <f ca="1">IF(AND(NOT(ISERR(FIND($A$91,Abfragen!$U$81))),NT_SCHWANZLOS),SUBSTITUTE(O83,", Herausragende Balance",", Balance"),
IF(AND(NOT(ISERR(FIND($A$37,Abfragen!$U$81))),NT_SCHWANZLOS),SUBSTITUTE(O83,", Balance",""),
O83))</f>
        <v/>
      </c>
      <c r="X83" t="str">
        <f>IF(AKTIV_SPTWHE,IF(HLOOKUP(PROFSPTWHE,SPTWHE,26,FALSE)="","",HLOOKUP(PROFSPTWHE,SPTWHE,26,FALSE)),"")</f>
        <v/>
      </c>
    </row>
    <row r="84" spans="1:24" x14ac:dyDescent="0.2">
      <c r="A84" t="str">
        <f t="shared" si="11"/>
        <v>Geweiht (Zsahh)</v>
      </c>
      <c r="B84" t="b">
        <f t="shared" si="30"/>
        <v>0</v>
      </c>
      <c r="N84" t="s">
        <v>71</v>
      </c>
      <c r="O84" t="str">
        <f ca="1">IF(NOT(U65=""),
SUBSTITUTE(P83,", "&amp;U65,""),P83)</f>
        <v/>
      </c>
    </row>
    <row r="85" spans="1:24" x14ac:dyDescent="0.2">
      <c r="A85" t="str">
        <f t="shared" si="11"/>
        <v>Glück</v>
      </c>
      <c r="N85" t="s">
        <v>2120</v>
      </c>
      <c r="O85" t="str">
        <f ca="1">IF(U66&gt;1,
SUBSTITUTE(O84,", "&amp;N85,"")&amp;IF(ISERR(FIND("Nachtsicht",O84)),", Nachtsicht",""),
IF(AND(U66=1,NOT(ISERR(FIND("Nachtsicht",O84)))),SUBSTITUTE(O84,", "&amp;N85,""),
O84))</f>
        <v/>
      </c>
    </row>
    <row r="86" spans="1:24" x14ac:dyDescent="0.2">
      <c r="A86" t="str">
        <f t="shared" ref="A86:A144" si="36">INDEX(VORTEILE,ROW()-18)</f>
        <v>Glück im Spiel</v>
      </c>
      <c r="N86" t="s">
        <v>1427</v>
      </c>
      <c r="O86" t="str">
        <f ca="1">IF(AND(U67&gt;1,NOT(ISERR(FIND("Eidetisches Gedächtnis",O85)))),SUBSTITUTE(O85,", "&amp;N86,""),
O85)</f>
        <v/>
      </c>
    </row>
    <row r="87" spans="1:24" x14ac:dyDescent="0.2">
      <c r="A87" t="str">
        <f t="shared" si="36"/>
        <v>Gutaussehend</v>
      </c>
      <c r="B87" t="b">
        <f>IF(AND(NOT(ISERROR(FIND($A87,$B$7))),NOT(ISERROR(FIND($A95,$B$7)))),TRUE,FALSE)</f>
        <v>0</v>
      </c>
      <c r="C87" t="str">
        <f>$A95</f>
        <v>Herausragendes Aussehen</v>
      </c>
      <c r="D87" t="b">
        <f>IF(AND(NOT(ISERR(FIND($A87,$B$7))),NOT(ISERR(FIND($A314,$B$7)))),TRUE,FALSE)</f>
        <v>0</v>
      </c>
      <c r="E87" t="str">
        <f>$A314</f>
        <v>Widerwärtiges Aussehen</v>
      </c>
      <c r="F87" t="b">
        <f>IF(AND(NOT(ISERR(FIND($A87,$B$7))),NOT(ISERR(FIND($A296,$B$7)))),TRUE,FALSE)</f>
        <v>0</v>
      </c>
      <c r="G87" t="str">
        <f>$A296</f>
        <v>Unansehnlich</v>
      </c>
      <c r="H87" t="str">
        <f>IF(OR($B87,$D87,$F87),CONCATENATE($A87,": nicht kombinierbar mit ",IF($B87,$C87,""),IF(AND($B87,OR($D87,$F87)),", ",""),IF($D87,$E87,""),IF(AND($D87,$F87),", ",""),IF($F87,$G87,""),"; "),"")</f>
        <v/>
      </c>
      <c r="N87" t="s">
        <v>4772</v>
      </c>
      <c r="O87" t="str">
        <f ca="1">IF(U68&gt;1,
SUBSTITUTE(O86,", "&amp;N87,"")&amp;IF(ISERR(FIND("Herausragendes Aussehen",O86)),", Herausragendes Aussehen",""),
IF(AND(U68=1,NOT(ISERR(FIND("Herausragendes Aussehen",O86)))),SUBSTITUTE(O86,", "&amp;N87,""),
O86))</f>
        <v/>
      </c>
      <c r="X87" t="str">
        <f>IF(AKTIV_SPTWHE,IF(HLOOKUP(PROFSPTWHE,SPTWHE,27,FALSE)="","",HLOOKUP(PROFSPTWHE,SPTWHE,27,FALSE)),"")</f>
        <v/>
      </c>
    </row>
    <row r="88" spans="1:24" x14ac:dyDescent="0.2">
      <c r="A88" t="str">
        <f t="shared" si="36"/>
        <v>Guter Ruf</v>
      </c>
      <c r="N88" t="s">
        <v>2127</v>
      </c>
      <c r="O88" t="str">
        <f ca="1">IF(U69&gt;1,
SUBSTITUTE(O87,", "&amp;N88,"")&amp;IF(ISERR(FIND("Innerer Kompass",O87)),", Innerer Kompass",""),
IF(AND(U69=1,NOT(ISERR(FIND("Innerer Kompass",O87)))),SUBSTITUTE(O87,", "&amp;N88,""),
O87))</f>
        <v/>
      </c>
      <c r="X88" t="str">
        <f>IF(AKTIV_SPTWHE,IF(HLOOKUP(PROFSPTWHE,SPTWHE,28,FALSE)="","",HLOOKUP(PROFSPTWHE,SPTWHE,28,FALSE)),"")</f>
        <v/>
      </c>
    </row>
    <row r="89" spans="1:24" x14ac:dyDescent="0.2">
      <c r="A89" t="str">
        <f t="shared" si="36"/>
        <v>Gutes Gedächtnis</v>
      </c>
      <c r="B89" t="b">
        <f>IF(AND(NOT(ISERROR(FIND($A89,$B$7))),ISERROR(FIND($A51,$B$7))),TRUE,FALSE)</f>
        <v>0</v>
      </c>
      <c r="C89" t="s">
        <v>4158</v>
      </c>
      <c r="D89" t="b">
        <f>IF(OR(VT_GUTGED,VT_EIDGED),TRUE,FALSE)</f>
        <v>0</v>
      </c>
      <c r="H89" t="str">
        <f>IF(AND($B51,$B89),CONCATENATE($A51,": nicht mit ",$A89," kombinierbar; "),"")</f>
        <v/>
      </c>
      <c r="I89" t="s">
        <v>103</v>
      </c>
      <c r="N89" t="s">
        <v>1305</v>
      </c>
      <c r="O89" t="str">
        <f ca="1">IF(U70&gt;1,
SUBSTITUTE(O88,", Resistenz gegen Gift","")&amp;IF(ISERR(FIND("Immunität gegen Gift",O88)),", Immunität gegen Gift",""),O88)</f>
        <v/>
      </c>
      <c r="P89" t="str">
        <f ca="1">IF(Tabellen_Andere!AS153="",O89,
SUBSTITUTE(O89,", Resistenz gegen Gift"&amp;" "&amp;Tabellen_Andere!AS153,""))</f>
        <v/>
      </c>
      <c r="Q89" t="str">
        <f ca="1">IF(Tabellen_Andere!AT153="",P89,
SUBSTITUTE(P89,", Resistenz gegen Gift"&amp;" "&amp;Tabellen_Andere!AT153,""))</f>
        <v/>
      </c>
      <c r="X89" t="str">
        <f>CONCATENATE(IF(X83="","",", "&amp;X83),IF(X87="","",", "&amp;X87),IF(X88="","",", "&amp;X88))</f>
        <v/>
      </c>
    </row>
    <row r="90" spans="1:24" x14ac:dyDescent="0.2">
      <c r="A90" t="str">
        <f t="shared" si="36"/>
        <v>Halbzauberer</v>
      </c>
      <c r="B90" t="b">
        <f>IF(ISERROR(FIND($A90,$B$7)),FALSE,TRUE)</f>
        <v>0</v>
      </c>
      <c r="C90" t="s">
        <v>4177</v>
      </c>
      <c r="I90" t="s">
        <v>2778</v>
      </c>
      <c r="N90" t="s">
        <v>3946</v>
      </c>
      <c r="O90" t="str">
        <f ca="1">IF(NT_HEIMKRANK,IF(NOT(ISERR(FIND("Resistenz gegen Krankheit",Q89))),SUBSTITUTE(Q89,", Resistenz gegen Krankheiten",""),Q89),Q89)</f>
        <v/>
      </c>
      <c r="V90" t="str">
        <f ca="1">IF(NT_HEIMKRANK,IF(NOT(ISERR(FIND("Resistenz gegen Krankheit",O89))),"",", Krankheitsanfällig"),"")</f>
        <v/>
      </c>
    </row>
    <row r="91" spans="1:24" x14ac:dyDescent="0.2">
      <c r="A91" t="str">
        <f t="shared" si="36"/>
        <v>Herausragende Balance</v>
      </c>
      <c r="B91" t="b">
        <f>IF(ISERROR(FIND($A91,$B$7)),FALSE,TRUE)</f>
        <v>0</v>
      </c>
      <c r="N91" t="s">
        <v>1272</v>
      </c>
      <c r="O91" t="s">
        <v>2638</v>
      </c>
      <c r="P91" t="s">
        <v>2639</v>
      </c>
      <c r="Q91" t="s">
        <v>5088</v>
      </c>
      <c r="U91" t="s">
        <v>5089</v>
      </c>
    </row>
    <row r="92" spans="1:24" x14ac:dyDescent="0.2">
      <c r="A92" t="str">
        <f t="shared" si="36"/>
        <v>Herausragende Eigenschaft</v>
      </c>
      <c r="B92" t="b">
        <f>IF(ISERROR(FIND($A92,$B$7)),FALSE,TRUE)</f>
        <v>0</v>
      </c>
      <c r="C92" t="s">
        <v>3979</v>
      </c>
      <c r="D92" t="str">
        <f>IF(ISERR(FIND($A92,VORTEILEGENE)),"",IF(ISERROR(MID(VORTEILEGENE,SUM(FIND($A92,VORTEILEGENE),LEN($A92),1),2)),0,MID(VORTEILEGENE,SUM(FIND($A92,VORTEILEGENE),LEN($A92),1),2)))</f>
        <v/>
      </c>
      <c r="E92" t="s">
        <v>3301</v>
      </c>
      <c r="F92" t="str">
        <f>IF(ISERR(FIND($A92,VORTEILEGENE)),"",IF(ISERROR(VALUE(MID(VORTEILEGENE,SUM(FIND($A92,VORTEILEGENE),LEN($A92),4),2))),0,VALUE(MID(VORTEILEGENE,SUM(FIND($A92,VORTEILEGENE),LEN($A92),4),2))-Generierung!$R$4))</f>
        <v/>
      </c>
      <c r="I92" t="s">
        <v>4066</v>
      </c>
      <c r="J92" t="s">
        <v>4486</v>
      </c>
      <c r="K92" t="s">
        <v>3300</v>
      </c>
      <c r="N92" t="str">
        <f>IF(EXACT(HLOOKUP(Generierung!$P$5,RASSE,34,FALSE),""),"",HLOOKUP(Generierung!$P$5,RASSE,34,FALSE))</f>
        <v/>
      </c>
      <c r="P92" t="str">
        <f>IF(EXACT($N92,""),"",IF(ISERR(FIND("Unansehlich",$N92)),"","X"))</f>
        <v/>
      </c>
      <c r="Q92" t="str">
        <f t="shared" ref="Q92:Q127" si="37">IF(OR(EXACT($N92,""),ISERR(FIND(LEFT($N92,4),$O$200))),"",IF(AND(ISERR(FIND("Krankheitsanfällig",$N92)),ISERR(FIND("Blutrausch",$N92))),"X",""))</f>
        <v/>
      </c>
      <c r="U92" t="str">
        <f>IF(OR(EXACT($N92,""),EXACT($P92,"X"),EXACT($Q92,"X")),"",CONCATENATE(", ",$N92))</f>
        <v/>
      </c>
      <c r="W92" t="s">
        <v>24</v>
      </c>
    </row>
    <row r="93" spans="1:24" x14ac:dyDescent="0.2">
      <c r="A93" t="str">
        <f t="shared" si="36"/>
        <v>Herausragender sechster Sinn</v>
      </c>
      <c r="B93" t="b">
        <f>IF(ISERROR(FIND($A93,$B$7)),FALSE,TRUE)</f>
        <v>0</v>
      </c>
      <c r="I93" t="s">
        <v>1406</v>
      </c>
      <c r="N93" t="str">
        <f>IF(EXACT(HLOOKUP(Generierung!$P$5,RASSE,35,FALSE),""),"",HLOOKUP(Generierung!$P$5,RASSE,35,FALSE))</f>
        <v/>
      </c>
      <c r="P93" t="str">
        <f>IF(EXACT($N93,""),"",IF(ISERR(FIND("Unansehlich",$N93)),"","X"))</f>
        <v/>
      </c>
      <c r="Q93" t="str">
        <f t="shared" si="37"/>
        <v/>
      </c>
      <c r="U93" t="str">
        <f t="shared" ref="U93:U116" si="38">IF(OR(EXACT($N93,""),EXACT($P93,"X"),EXACT($Q93,"X")),"",CONCATENATE(", ",$N93))</f>
        <v/>
      </c>
    </row>
    <row r="94" spans="1:24" x14ac:dyDescent="0.2">
      <c r="A94" t="str">
        <f t="shared" si="36"/>
        <v>Herausragender Sinn</v>
      </c>
      <c r="N94" t="str">
        <f>IF(EXACT(HLOOKUP(Generierung!$P$5,RASSE,36,FALSE),""),"",HLOOKUP(Generierung!$P$5,RASSE,36,FALSE))</f>
        <v/>
      </c>
      <c r="P94" t="str">
        <f>IF(EXACT($N94,""),"",IF(ISERR(FIND("Unansehlich",$N94)),"","X"))</f>
        <v/>
      </c>
      <c r="Q94" t="str">
        <f t="shared" si="37"/>
        <v/>
      </c>
      <c r="U94" t="str">
        <f t="shared" si="38"/>
        <v/>
      </c>
    </row>
    <row r="95" spans="1:24" x14ac:dyDescent="0.2">
      <c r="A95" t="str">
        <f t="shared" si="36"/>
        <v>Herausragendes Aussehen</v>
      </c>
      <c r="N95" t="str">
        <f>IF(EXACT(HLOOKUP(Generierung!$P$5,RASSE,37,FALSE),""),"",HLOOKUP(Generierung!$P$5,RASSE,37,FALSE))</f>
        <v/>
      </c>
      <c r="P95" t="str">
        <f>IF(EXACT($N95,""),"",IF(ISERR(FIND("Unansehlich",$N95)),"","X"))</f>
        <v/>
      </c>
      <c r="Q95" t="str">
        <f t="shared" si="37"/>
        <v/>
      </c>
      <c r="U95" t="str">
        <f t="shared" si="38"/>
        <v/>
      </c>
    </row>
    <row r="96" spans="1:24" x14ac:dyDescent="0.2">
      <c r="A96" t="str">
        <f t="shared" si="36"/>
        <v>Hitzeresistenz</v>
      </c>
      <c r="N96" t="str">
        <f>IF(EXACT(HLOOKUP(Generierung!$P$5,RASSE,38,FALSE),""),"",HLOOKUP(Generierung!$P$5,RASSE,38,FALSE))</f>
        <v/>
      </c>
      <c r="P96" t="str">
        <f>IF(EXACT($N96,""),"",IF(ISERR(FIND("Unansehlich",$N96)),"","X"))</f>
        <v/>
      </c>
      <c r="Q96" t="str">
        <f t="shared" si="37"/>
        <v/>
      </c>
      <c r="U96" t="str">
        <f t="shared" si="38"/>
        <v/>
      </c>
      <c r="W96" t="str">
        <f>CONCATENATE($N$92," ",$N$93," ",$N$94," ",$N$95," ",$N$96," ")</f>
        <v xml:space="preserve">     </v>
      </c>
    </row>
    <row r="97" spans="1:29" x14ac:dyDescent="0.2">
      <c r="A97" t="str">
        <f t="shared" si="36"/>
        <v>Hohe Lebenskraft</v>
      </c>
      <c r="B97" t="b">
        <f>IF(ISERROR(FIND($A97,$B$7)),FALSE,TRUE)</f>
        <v>0</v>
      </c>
      <c r="C97" t="s">
        <v>2830</v>
      </c>
      <c r="D97">
        <f>IF(ISERR(FIND($A97,VORTEILEGENE)),0,IF(ISERROR(VALUE(MID(VORTEILEGENE,SUM(FIND($A97,VORTEILEGENE),LEN($A97),1),1))),0,VALUE(MID(VORTEILEGENE,SUM(FIND($A97,VORTEILEGENE),LEN($A97),1),1))))</f>
        <v>0</v>
      </c>
      <c r="I97" t="s">
        <v>2829</v>
      </c>
      <c r="J97" t="s">
        <v>1102</v>
      </c>
      <c r="N97" t="str">
        <f>IF(EXACT(HLOOKUP(Generierung!$P$6,KULTUR,34,FALSE),""),"",HLOOKUP(Generierung!$P$6,KULTUR,34,FALSE))</f>
        <v/>
      </c>
      <c r="P97" t="str">
        <f>IF(OR(EXACT($N97,""),ISERR(FIND($N97,$W$96))),"","X")</f>
        <v/>
      </c>
      <c r="Q97" t="str">
        <f t="shared" si="37"/>
        <v/>
      </c>
      <c r="U97" t="str">
        <f t="shared" si="38"/>
        <v/>
      </c>
      <c r="W97" t="s">
        <v>25</v>
      </c>
    </row>
    <row r="98" spans="1:29" x14ac:dyDescent="0.2">
      <c r="A98" t="str">
        <f t="shared" si="36"/>
        <v>Hohe Magieresistenz</v>
      </c>
      <c r="B98" t="b">
        <f>IF(ISERROR(FIND($A98,$B$7)),FALSE,TRUE)</f>
        <v>0</v>
      </c>
      <c r="C98" t="s">
        <v>2831</v>
      </c>
      <c r="D98">
        <f>IF(ISERR(FIND($A98,VORTEILEGENE)),0,IF(ISERROR(VALUE(MID(VORTEILEGENE,SUM(FIND($A98,VORTEILEGENE),LEN($A98),1),1))),0,VALUE(MID(VORTEILEGENE,SUM(FIND($A98,VORTEILEGENE),LEN($A98),1),1))))</f>
        <v>0</v>
      </c>
      <c r="I98" t="s">
        <v>2828</v>
      </c>
      <c r="J98" t="s">
        <v>2353</v>
      </c>
      <c r="N98" t="str">
        <f>IF(EXACT(HLOOKUP(Generierung!$P$6,KULTUR,35,FALSE),""),"",HLOOKUP(Generierung!$P$6,KULTUR,35,FALSE))</f>
        <v/>
      </c>
      <c r="P98" t="str">
        <f>IF(OR(EXACT($N98,""),ISERR(FIND($N98,$W$96))),"","X")</f>
        <v/>
      </c>
      <c r="Q98" t="str">
        <f t="shared" si="37"/>
        <v/>
      </c>
      <c r="U98" t="str">
        <f t="shared" si="38"/>
        <v/>
      </c>
    </row>
    <row r="99" spans="1:29" x14ac:dyDescent="0.2">
      <c r="A99" t="str">
        <f t="shared" si="36"/>
        <v>Immunität gegen Gift</v>
      </c>
      <c r="N99" t="str">
        <f>IF(EXACT(HLOOKUP(Generierung!$P$6,KULTUR,36,FALSE),""),"",HLOOKUP(Generierung!$P$6,KULTUR,36,FALSE))</f>
        <v/>
      </c>
      <c r="P99" t="str">
        <f>IF(OR(EXACT($N99,""),ISERR(FIND($N99,$W$96))),"","X")</f>
        <v/>
      </c>
      <c r="Q99" t="str">
        <f t="shared" si="37"/>
        <v/>
      </c>
      <c r="U99" t="str">
        <f t="shared" si="38"/>
        <v/>
      </c>
      <c r="AC99">
        <f>IF(ISERROR(VLOOKUP("GE",VT_HEIGEN_B,2,FALSE)),0,VLOOKUP("GE",VT_HEIGEN_B,2,FALSE))</f>
        <v>0</v>
      </c>
    </row>
    <row r="100" spans="1:29" x14ac:dyDescent="0.2">
      <c r="A100" t="str">
        <f t="shared" si="36"/>
        <v>Immunität gegen Krankheiten</v>
      </c>
      <c r="N100" t="str">
        <f>IF(EXACT(HLOOKUP(Generierung!$P$6,KULTUR,37,FALSE),""),"",HLOOKUP(Generierung!$P$6,KULTUR,37,FALSE))</f>
        <v/>
      </c>
      <c r="P100" t="str">
        <f>IF(OR(EXACT($N100,""),ISERR(FIND($N100,$W$96))),"","X")</f>
        <v/>
      </c>
      <c r="Q100" t="str">
        <f t="shared" si="37"/>
        <v/>
      </c>
      <c r="U100" t="str">
        <f t="shared" si="38"/>
        <v/>
      </c>
      <c r="X100" t="s">
        <v>2655</v>
      </c>
    </row>
    <row r="101" spans="1:29" x14ac:dyDescent="0.2">
      <c r="A101" t="str">
        <f t="shared" si="36"/>
        <v>Innerer Kompass</v>
      </c>
      <c r="B101" t="b">
        <f>IF(AND(NOT(ISERROR(FIND($A101,$B$7))),NOT(ISERROR(FIND($A117,$B$7)))),TRUE,FALSE)</f>
        <v>0</v>
      </c>
      <c r="C101" t="str">
        <f>$A117</f>
        <v>Richtungssinn</v>
      </c>
      <c r="H101" t="str">
        <f>IF($B101,CONCATENATE($A101,": nicht mit ",$C101," kombinierbar; "),"")</f>
        <v/>
      </c>
      <c r="N101" t="str">
        <f>IF(EXACT(HLOOKUP(Generierung!$P$6,KULTUR,38,FALSE),""),"",HLOOKUP(Generierung!$P$6,KULTUR,38,FALSE))</f>
        <v/>
      </c>
      <c r="P101" t="str">
        <f>IF(OR(EXACT($N101,""),ISERR(FIND($N101,$W$96))),"","X")</f>
        <v/>
      </c>
      <c r="Q101" t="str">
        <f t="shared" si="37"/>
        <v/>
      </c>
      <c r="U101" t="str">
        <f t="shared" si="38"/>
        <v/>
      </c>
      <c r="W101" t="str">
        <f>CONCATENATE($N$97," ",$N$98," ",$N$99," ",$N$100," ",$N$101," ")</f>
        <v xml:space="preserve">     </v>
      </c>
      <c r="X101" t="str">
        <f>IF(ISERR(FIND($A92,VORTEILEGENE)),"",IF(ISERROR(MID(VORTEILEGENE,SUM(FIND($A92,VORTEILEGENE),LEN($A92),1),2)),0,MID(VORTEILEGENE,SUM(FIND($A92,VORTEILEGENE),LEN($A92),1),2)))</f>
        <v/>
      </c>
      <c r="Y101">
        <f>IF(ISERR(FIND($A92,VORTEILEGENE)),0,IF(ISERROR(VALUE(MID(VORTEILEGENE,SUM(FIND($A92,VORTEILEGENE),LEN($A92),4),2))),0,VALUE(MID(VORTEILEGENE,SUM(FIND($A92,VORTEILEGENE),LEN($A92),4),2))-Generierung!$R$4))</f>
        <v>0</v>
      </c>
      <c r="Z101" t="str">
        <f>IF(ISERR(FIND($A$92,VORTEILEGENE)),"",FIND($A$92,VORTEILEGENE))</f>
        <v/>
      </c>
      <c r="AA101" t="s">
        <v>4914</v>
      </c>
    </row>
    <row r="102" spans="1:29" x14ac:dyDescent="0.2">
      <c r="A102" t="str">
        <f t="shared" si="36"/>
        <v>Kälteresistenz</v>
      </c>
      <c r="N102" t="str">
        <f ca="1">IF(EXACT(HLOOKUP(Generierung!$P$9,INDIRECT(PROFGEBIET),34,FALSE),""),"",HLOOKUP(Generierung!$P$9,INDIRECT(PROFGEBIET),34,FALSE))</f>
        <v/>
      </c>
      <c r="P102" t="str">
        <f ca="1">IF(OR(EXACT($N102,""),ISERR(FIND($N102,CONCATENATE($W$96,$W$101)))),"","X")</f>
        <v/>
      </c>
      <c r="Q102" t="str">
        <f t="shared" ca="1" si="37"/>
        <v/>
      </c>
      <c r="U102" t="str">
        <f t="shared" ca="1" si="38"/>
        <v/>
      </c>
      <c r="W102" t="s">
        <v>26</v>
      </c>
      <c r="X102" t="str">
        <f t="shared" ref="X102:X108" si="39">IF(ISERR(FIND($A$92,VORTEILEGENE,Z102)),"",IF(ISERROR(MID(VORTEILEGENE,SUM(FIND($A$92,VORTEILEGENE,Z102),LEN($A$92),1),2)),0,MID(VORTEILEGENE,SUM(FIND($A$92,VORTEILEGENE,Z102),LEN($A$92),1),2)))</f>
        <v/>
      </c>
      <c r="Y102" t="str">
        <f>IF(ISERR(FIND($A$92,VORTEILEGENE,Z102)),"",IF(ISERROR(VALUE(MID(VORTEILEGENE,SUM(FIND($A$92,VORTEILEGENE,Z102),LEN($A$92),4),2))),0,VALUE(MID(VORTEILEGENE,SUM(FIND($A$92,VORTEILEGENE,Z102),LEN($A$92),4),2))-Generierung!$R$4))</f>
        <v/>
      </c>
      <c r="Z102" t="str">
        <f>IF(ISERR(FIND($A$92,VORTEILEGENE,Z101)),"",FIND($A$92,VORTEILEGENE,Z101)+LEN($A$92)+7)</f>
        <v/>
      </c>
      <c r="AA102" t="s">
        <v>2656</v>
      </c>
    </row>
    <row r="103" spans="1:29" x14ac:dyDescent="0.2">
      <c r="A103" t="str">
        <f t="shared" si="36"/>
        <v>Kampfrausch</v>
      </c>
      <c r="B103" t="b">
        <f>IF(AND(NOT(ISERROR(FIND($A103,$B$7))),ISERROR(FIND($A164,$B$7))),TRUE,FALSE)</f>
        <v>0</v>
      </c>
      <c r="N103" t="str">
        <f ca="1">IF(EXACT(HLOOKUP(Generierung!$P$9,INDIRECT(PROFGEBIET),35,FALSE),""),"",HLOOKUP(Generierung!$P$9,INDIRECT(PROFGEBIET),35,FALSE))</f>
        <v/>
      </c>
      <c r="P103" t="str">
        <f ca="1">IF(OR(EXACT($N103,""),ISERR(FIND($N103,CONCATENATE($W$96,$W$101)))),"","X")</f>
        <v/>
      </c>
      <c r="Q103" t="str">
        <f t="shared" ca="1" si="37"/>
        <v/>
      </c>
      <c r="U103" t="str">
        <f t="shared" ca="1" si="38"/>
        <v/>
      </c>
      <c r="X103" t="str">
        <f t="shared" si="39"/>
        <v/>
      </c>
      <c r="Y103" t="str">
        <f>IF(ISERR(FIND($A$92,VORTEILEGENE,Z103)),"",IF(ISERROR(VALUE(MID(VORTEILEGENE,SUM(FIND($A$92,VORTEILEGENE,Z103),LEN($A$92),4),2))),0,VALUE(MID(VORTEILEGENE,SUM(FIND($A$92,VORTEILEGENE,Z103),LEN($A$92),4),2))-Generierung!$R$4))</f>
        <v/>
      </c>
      <c r="Z103" t="str">
        <f t="shared" ref="Z103:Z108" si="40">IF(ISERR(FIND($A$92,VORTEILEGENE,Z102)),"",FIND($A$92,VORTEILEGENE,Z102)+LEN($A$92)+7)</f>
        <v/>
      </c>
      <c r="AA103" t="s">
        <v>2657</v>
      </c>
    </row>
    <row r="104" spans="1:29" x14ac:dyDescent="0.2">
      <c r="A104" t="str">
        <f t="shared" si="36"/>
        <v>Koboldfreund</v>
      </c>
      <c r="N104" t="str">
        <f ca="1">IF(EXACT(HLOOKUP(Generierung!$P$9,INDIRECT(PROFGEBIET),36,FALSE),""),"",HLOOKUP(Generierung!$P$9,INDIRECT(PROFGEBIET),36,FALSE))</f>
        <v/>
      </c>
      <c r="P104" t="str">
        <f ca="1">IF(OR(EXACT($N104,""),ISERR(FIND($N104,CONCATENATE($W$96,$W$101)))),"","X")</f>
        <v/>
      </c>
      <c r="Q104" t="str">
        <f t="shared" ca="1" si="37"/>
        <v/>
      </c>
      <c r="U104" t="str">
        <f t="shared" ca="1" si="38"/>
        <v/>
      </c>
      <c r="X104" t="str">
        <f t="shared" si="39"/>
        <v/>
      </c>
      <c r="Y104" t="str">
        <f>IF(ISERR(FIND($A$92,VORTEILEGENE,Z104)),"",IF(ISERROR(VALUE(MID(VORTEILEGENE,SUM(FIND($A$92,VORTEILEGENE,Z104),LEN($A$92),4),2))),0,VALUE(MID(VORTEILEGENE,SUM(FIND($A$92,VORTEILEGENE,Z104),LEN($A$92),4),2))-Generierung!$R$4))</f>
        <v/>
      </c>
      <c r="Z104" t="str">
        <f t="shared" si="40"/>
        <v/>
      </c>
      <c r="AA104" t="s">
        <v>2658</v>
      </c>
    </row>
    <row r="105" spans="1:29" x14ac:dyDescent="0.2">
      <c r="A105" t="str">
        <f t="shared" si="36"/>
        <v>Kräfteschub</v>
      </c>
      <c r="N105" t="str">
        <f ca="1">IF(EXACT(HLOOKUP(Generierung!$P$9,INDIRECT(PROFGEBIET),37,FALSE),""),"",HLOOKUP(Generierung!$P$9,INDIRECT(PROFGEBIET),37,FALSE))</f>
        <v/>
      </c>
      <c r="P105" t="str">
        <f ca="1">IF(OR(EXACT($N105,""),ISERR(FIND($N105,CONCATENATE($W$96,$W$101)))),"","X")</f>
        <v/>
      </c>
      <c r="Q105" t="str">
        <f t="shared" ca="1" si="37"/>
        <v/>
      </c>
      <c r="U105" t="str">
        <f t="shared" ca="1" si="38"/>
        <v/>
      </c>
      <c r="X105" t="str">
        <f t="shared" si="39"/>
        <v/>
      </c>
      <c r="Y105" t="str">
        <f>IF(ISERR(FIND($A$92,VORTEILEGENE,Z105)),"",IF(ISERROR(VALUE(MID(VORTEILEGENE,SUM(FIND($A$92,VORTEILEGENE,Z105),LEN($A$92),4),2))),0,VALUE(MID(VORTEILEGENE,SUM(FIND($A$92,VORTEILEGENE,Z105),LEN($A$92),4),2))-Generierung!$R$4))</f>
        <v/>
      </c>
      <c r="Z105" t="str">
        <f t="shared" si="40"/>
        <v/>
      </c>
      <c r="AA105" t="s">
        <v>4913</v>
      </c>
    </row>
    <row r="106" spans="1:29" x14ac:dyDescent="0.2">
      <c r="A106" t="str">
        <f t="shared" si="36"/>
        <v>Linkshänder</v>
      </c>
      <c r="B106" t="b">
        <f>IF(ISERROR(FIND($A106,$B$7)),FALSE,TRUE)</f>
        <v>0</v>
      </c>
      <c r="C106" t="s">
        <v>4297</v>
      </c>
      <c r="D106" t="b">
        <f>IF(ISERR(FIND($A43,$B$7)),FALSE,TRUE)</f>
        <v>0</v>
      </c>
      <c r="E106" t="s">
        <v>100</v>
      </c>
      <c r="H106" t="str">
        <f>IF(AND($B106,D106),CONCATENATE($A106,": nicht mit ",$B106," kombinierbar; "),"")</f>
        <v/>
      </c>
      <c r="I106" t="s">
        <v>340</v>
      </c>
      <c r="N106" t="str">
        <f ca="1">IF(EXACT(HLOOKUP(Generierung!$P$9,INDIRECT(PROFGEBIET),38,FALSE),""),"",HLOOKUP(Generierung!$P$9,INDIRECT(PROFGEBIET),38,FALSE))</f>
        <v/>
      </c>
      <c r="P106" t="str">
        <f ca="1">IF(OR(EXACT($N106,""),ISERR(FIND($N106,CONCATENATE($W$96,$W$101)))),"","X")</f>
        <v/>
      </c>
      <c r="Q106" t="str">
        <f t="shared" ca="1" si="37"/>
        <v/>
      </c>
      <c r="U106" t="str">
        <f t="shared" ca="1" si="38"/>
        <v/>
      </c>
      <c r="W106" t="str">
        <f ca="1">CONCATENATE($N$102," ",$N$103," ",$N$104," ",$N$105," ",$N$106," ")</f>
        <v xml:space="preserve">     </v>
      </c>
      <c r="X106" t="str">
        <f t="shared" si="39"/>
        <v/>
      </c>
      <c r="Y106" t="str">
        <f>IF(ISERR(FIND($A$92,VORTEILEGENE,Z106)),"",IF(ISERROR(VALUE(MID(VORTEILEGENE,SUM(FIND($A$92,VORTEILEGENE,Z106),LEN($A$92),4),2))),0,VALUE(MID(VORTEILEGENE,SUM(FIND($A$92,VORTEILEGENE,Z106),LEN($A$92),4),2))-Generierung!$R$4))</f>
        <v/>
      </c>
      <c r="Z106" t="str">
        <f t="shared" si="40"/>
        <v/>
      </c>
      <c r="AA106" t="s">
        <v>4915</v>
      </c>
    </row>
    <row r="107" spans="1:29" x14ac:dyDescent="0.2">
      <c r="A107" t="str">
        <f t="shared" si="36"/>
        <v>Machtvoller Vertrauter</v>
      </c>
      <c r="B107" t="b">
        <f>IF(ISERROR(FIND($A107,$B$7)),FALSE,TRUE)</f>
        <v>0</v>
      </c>
      <c r="I107" t="s">
        <v>1167</v>
      </c>
      <c r="N107" t="str">
        <f>IF(EXACT(Generierung!$D42,""),"",CONCATENATE(Generierung!$D42, IF(Generierung!$E42="","",CONCATENATE(" ",Generierung!$E42))))</f>
        <v/>
      </c>
      <c r="O107" t="str">
        <f t="shared" ref="O107:O116" ca="1" si="41">IF(OR(EXACT($N107,""),ISERR(FIND($N107,CONCATENATE($W$96,$W$101,$W$106,$W$127)))),"",IF($Q107="X","","!!!"))</f>
        <v/>
      </c>
      <c r="P107" t="str">
        <f t="shared" ref="P107:P116" ca="1" si="42">IF(OR(EXACT($N107,""),ISERR(FIND($N107,CONCATENATE($W$96,$W$101,$W$106,$W$127)))),"","X")</f>
        <v/>
      </c>
      <c r="Q107" t="str">
        <f t="shared" si="37"/>
        <v/>
      </c>
      <c r="U107" t="str">
        <f t="shared" ca="1" si="38"/>
        <v/>
      </c>
      <c r="W107" t="s">
        <v>2180</v>
      </c>
      <c r="X107" t="str">
        <f t="shared" si="39"/>
        <v/>
      </c>
      <c r="Y107" t="str">
        <f>IF(ISERR(FIND($A$92,VORTEILEGENE,Z107)),"",IF(ISERROR(VALUE(MID(VORTEILEGENE,SUM(FIND($A$92,VORTEILEGENE,Z107),LEN($A$92),4),2))),0,VALUE(MID(VORTEILEGENE,SUM(FIND($A$92,VORTEILEGENE,Z107),LEN($A$92),4),2))-Generierung!$R$4))</f>
        <v/>
      </c>
      <c r="Z107" t="str">
        <f t="shared" si="40"/>
        <v/>
      </c>
      <c r="AA107" t="s">
        <v>4916</v>
      </c>
    </row>
    <row r="108" spans="1:29" x14ac:dyDescent="0.2">
      <c r="A108" t="str">
        <f t="shared" si="36"/>
        <v>Magiegespür</v>
      </c>
      <c r="N108" t="str">
        <f>IF(EXACT(Generierung!$D43,""),"",CONCATENATE(Generierung!$D43, IF(Generierung!$E43="","",CONCATENATE(" ",Generierung!$E43))))</f>
        <v/>
      </c>
      <c r="O108" t="str">
        <f t="shared" ca="1" si="41"/>
        <v/>
      </c>
      <c r="P108" t="str">
        <f t="shared" ca="1" si="42"/>
        <v/>
      </c>
      <c r="Q108" t="str">
        <f t="shared" si="37"/>
        <v/>
      </c>
      <c r="U108" t="str">
        <f t="shared" ca="1" si="38"/>
        <v/>
      </c>
      <c r="X108" t="str">
        <f t="shared" si="39"/>
        <v/>
      </c>
      <c r="Y108" t="str">
        <f>IF(ISERR(FIND($A$92,VORTEILEGENE,Z108)),"",IF(ISERROR(VALUE(MID(VORTEILEGENE,SUM(FIND($A$92,VORTEILEGENE,Z108),LEN($A$92),4),2))),0,VALUE(MID(VORTEILEGENE,SUM(FIND($A$92,VORTEILEGENE,Z108),LEN($A$92),4),2))-Generierung!$R$4))</f>
        <v/>
      </c>
      <c r="Z108" t="str">
        <f t="shared" si="40"/>
        <v/>
      </c>
      <c r="AA108" t="s">
        <v>4917</v>
      </c>
    </row>
    <row r="109" spans="1:29" x14ac:dyDescent="0.2">
      <c r="A109" t="str">
        <f t="shared" si="36"/>
        <v>Meisterhandwerk</v>
      </c>
      <c r="C109" t="s">
        <v>4802</v>
      </c>
      <c r="N109" t="str">
        <f>IF(EXACT(Generierung!$D44,""),"",CONCATENATE(Generierung!$D44, IF(Generierung!$E44="","",CONCATENATE(" ",Generierung!$E44))))</f>
        <v/>
      </c>
      <c r="O109" t="str">
        <f t="shared" ca="1" si="41"/>
        <v/>
      </c>
      <c r="P109" t="str">
        <f t="shared" ca="1" si="42"/>
        <v/>
      </c>
      <c r="Q109" t="str">
        <f t="shared" si="37"/>
        <v/>
      </c>
      <c r="U109" t="str">
        <f t="shared" ca="1" si="38"/>
        <v/>
      </c>
    </row>
    <row r="110" spans="1:29" x14ac:dyDescent="0.2">
      <c r="A110" t="str">
        <f t="shared" si="36"/>
        <v>Nachtsicht</v>
      </c>
      <c r="N110" t="str">
        <f>IF(EXACT(Generierung!$D45,""),"",CONCATENATE(Generierung!$D45, IF(Generierung!$E45="","",CONCATENATE(" ",Generierung!$E45))))</f>
        <v/>
      </c>
      <c r="O110" t="str">
        <f t="shared" ca="1" si="41"/>
        <v/>
      </c>
      <c r="P110" t="str">
        <f t="shared" ca="1" si="42"/>
        <v/>
      </c>
      <c r="Q110" t="str">
        <f t="shared" si="37"/>
        <v/>
      </c>
      <c r="U110" t="str">
        <f t="shared" ca="1" si="38"/>
        <v/>
      </c>
    </row>
    <row r="111" spans="1:29" x14ac:dyDescent="0.2">
      <c r="A111" t="str">
        <f t="shared" si="36"/>
        <v>Natürliche Waffen</v>
      </c>
      <c r="N111" t="str">
        <f>IF(EXACT(Generierung!$D46,""),"",CONCATENATE(Generierung!$D46, IF(Generierung!$E46="","",CONCATENATE(" ",Generierung!$E46))))</f>
        <v/>
      </c>
      <c r="O111" t="str">
        <f t="shared" ca="1" si="41"/>
        <v/>
      </c>
      <c r="P111" t="str">
        <f t="shared" ca="1" si="42"/>
        <v/>
      </c>
      <c r="Q111" t="str">
        <f t="shared" si="37"/>
        <v/>
      </c>
      <c r="U111" t="str">
        <f t="shared" ca="1" si="38"/>
        <v/>
      </c>
    </row>
    <row r="112" spans="1:29" x14ac:dyDescent="0.2">
      <c r="A112" t="str">
        <f t="shared" si="36"/>
        <v>Natürlicher Rüstungsschutz</v>
      </c>
      <c r="B112" t="b">
        <f>IF(ISERROR(FIND($A112,$B$7)),FALSE,TRUE)</f>
        <v>0</v>
      </c>
      <c r="C112" t="s">
        <v>671</v>
      </c>
      <c r="D112">
        <f>IF(ISERR(FIND($A112,VORTEILEGENE)),0,IF(ISERROR(VALUE(MID(VORTEILEGENE,SUM(FIND($A112,VORTEILEGENE),LEN($A112),1),1))),0,VALUE(MID(VORTEILEGENE,SUM(FIND($A112,VORTEILEGENE),LEN($A112),1),1))))</f>
        <v>0</v>
      </c>
      <c r="E112" t="s">
        <v>2528</v>
      </c>
      <c r="I112" t="s">
        <v>2526</v>
      </c>
      <c r="J112" t="s">
        <v>2527</v>
      </c>
      <c r="N112" t="str">
        <f>IF(EXACT(Generierung!$D47,""),"",CONCATENATE(Generierung!$D47, IF(Generierung!$E47="","",CONCATENATE(" ",Generierung!$E47))))</f>
        <v/>
      </c>
      <c r="O112" t="str">
        <f t="shared" ca="1" si="41"/>
        <v/>
      </c>
      <c r="P112" t="str">
        <f t="shared" ca="1" si="42"/>
        <v/>
      </c>
      <c r="Q112" t="str">
        <f t="shared" si="37"/>
        <v/>
      </c>
      <c r="U112" t="str">
        <f t="shared" ca="1" si="38"/>
        <v/>
      </c>
    </row>
    <row r="113" spans="1:23" x14ac:dyDescent="0.2">
      <c r="A113" t="str">
        <f t="shared" si="36"/>
        <v>Niedrige Schlechte Eigenschaft</v>
      </c>
      <c r="C113" t="s">
        <v>672</v>
      </c>
      <c r="N113" t="str">
        <f>IF(EXACT(Generierung!$D48,""),"",CONCATENATE(Generierung!$D48, IF(Generierung!$E48="","",CONCATENATE(" ",Generierung!$E48))))</f>
        <v/>
      </c>
      <c r="O113" t="str">
        <f t="shared" ca="1" si="41"/>
        <v/>
      </c>
      <c r="P113" t="str">
        <f t="shared" ca="1" si="42"/>
        <v/>
      </c>
      <c r="Q113" t="str">
        <f t="shared" si="37"/>
        <v/>
      </c>
      <c r="U113" t="str">
        <f t="shared" ca="1" si="38"/>
        <v/>
      </c>
    </row>
    <row r="114" spans="1:23" x14ac:dyDescent="0.2">
      <c r="A114" t="str">
        <f t="shared" si="36"/>
        <v>Prophezeien</v>
      </c>
      <c r="N114" t="str">
        <f>IF(EXACT(Generierung!$D49,""),"",CONCATENATE(Generierung!$D49, IF(Generierung!$E49="","",CONCATENATE(" ",Generierung!$E49))))</f>
        <v/>
      </c>
      <c r="O114" t="str">
        <f t="shared" ca="1" si="41"/>
        <v/>
      </c>
      <c r="P114" t="str">
        <f t="shared" ca="1" si="42"/>
        <v/>
      </c>
      <c r="Q114" t="str">
        <f t="shared" si="37"/>
        <v/>
      </c>
      <c r="U114" t="str">
        <f t="shared" ca="1" si="38"/>
        <v/>
      </c>
    </row>
    <row r="115" spans="1:23" x14ac:dyDescent="0.2">
      <c r="A115" t="str">
        <f t="shared" si="36"/>
        <v>Resistenz gegen Gift</v>
      </c>
      <c r="N115" t="str">
        <f>IF(EXACT(Generierung!$D50,""),"",CONCATENATE(Generierung!$D50, IF(Generierung!$E50="","",CONCATENATE(" ",Generierung!$E50))))</f>
        <v/>
      </c>
      <c r="O115" t="str">
        <f t="shared" ca="1" si="41"/>
        <v/>
      </c>
      <c r="P115" t="str">
        <f t="shared" ca="1" si="42"/>
        <v/>
      </c>
      <c r="Q115" t="str">
        <f t="shared" si="37"/>
        <v/>
      </c>
      <c r="U115" t="str">
        <f t="shared" ca="1" si="38"/>
        <v/>
      </c>
    </row>
    <row r="116" spans="1:23" x14ac:dyDescent="0.2">
      <c r="A116" t="str">
        <f t="shared" si="36"/>
        <v>Resistenz gegen Krankheiten</v>
      </c>
      <c r="N116" t="str">
        <f>IF(EXACT(Generierung!$D51,""),"",CONCATENATE(Generierung!$D51, IF(Generierung!$E51="","",CONCATENATE(" ",Generierung!$E51))))</f>
        <v/>
      </c>
      <c r="O116" t="str">
        <f t="shared" ca="1" si="41"/>
        <v/>
      </c>
      <c r="P116" t="str">
        <f t="shared" ca="1" si="42"/>
        <v/>
      </c>
      <c r="Q116" t="str">
        <f t="shared" si="37"/>
        <v/>
      </c>
      <c r="U116" t="str">
        <f t="shared" ca="1" si="38"/>
        <v/>
      </c>
      <c r="W116" t="str">
        <f>CONCATENATE($N$107," ",$N$108," ",$N$109," ",$N$110," ",$N$111," ",$N$112," ",$N$113," ",$N$114," ",$N$115," ",$N$116," ")</f>
        <v xml:space="preserve">          </v>
      </c>
    </row>
    <row r="117" spans="1:23" x14ac:dyDescent="0.2">
      <c r="A117" t="str">
        <f t="shared" si="36"/>
        <v>Richtungssinn</v>
      </c>
      <c r="N117" t="str">
        <f>IF(EXACT(Generierung!$D64,""),"",CONCATENATE(Generierung!$D64,IF(Generierung!$E64="","",CONCATENATE(" ",Generierung!$E64))))</f>
        <v/>
      </c>
      <c r="O117" t="str">
        <f t="shared" ref="O117:O122" ca="1" si="43">IF(OR(EXACT($N117,""),ISERR(FIND($N117,CONCATENATE($W$96,$W$101,$W$106,$W$116,$W$127)))),"",IF($Q117="X","","!!!"))</f>
        <v/>
      </c>
      <c r="P117" t="str">
        <f t="shared" ref="P117:P122" ca="1" si="44">IF(OR(EXACT($N117,""),ISERR(FIND($N117,CONCATENATE($W$96,$W$101,$W$106,$W$116,$W$127)))),"","X")</f>
        <v/>
      </c>
      <c r="Q117" t="str">
        <f t="shared" si="37"/>
        <v/>
      </c>
      <c r="U117" t="str">
        <f t="shared" ref="U117:U127" ca="1" si="45">IF(OR(EXACT($N117,""),EXACT($P117,"X"),EXACT($Q117,"X")),"",CONCATENATE(", ",$N117))</f>
        <v/>
      </c>
      <c r="W117" t="s">
        <v>2181</v>
      </c>
    </row>
    <row r="118" spans="1:23" x14ac:dyDescent="0.2">
      <c r="A118" t="str">
        <f t="shared" si="36"/>
        <v>Schlangenmensch</v>
      </c>
      <c r="B118" t="b">
        <f>IF(ISERROR(FIND($A118,$B$7)),FALSE,TRUE)</f>
        <v>0</v>
      </c>
      <c r="C118" t="s">
        <v>2095</v>
      </c>
      <c r="I118" t="s">
        <v>520</v>
      </c>
      <c r="N118" t="str">
        <f>IF(EXACT(Generierung!$D65,""),"",CONCATENATE(Generierung!$D65,IF(Generierung!$E65="","",CONCATENATE(" ",Generierung!$E65))))</f>
        <v/>
      </c>
      <c r="O118" t="str">
        <f t="shared" ca="1" si="43"/>
        <v/>
      </c>
      <c r="P118" t="str">
        <f t="shared" ca="1" si="44"/>
        <v/>
      </c>
      <c r="Q118" t="str">
        <f t="shared" si="37"/>
        <v/>
      </c>
      <c r="U118" t="str">
        <f t="shared" ca="1" si="45"/>
        <v/>
      </c>
    </row>
    <row r="119" spans="1:23" x14ac:dyDescent="0.2">
      <c r="A119" t="str">
        <f t="shared" si="36"/>
        <v>Schnelle Heilung</v>
      </c>
      <c r="B119" t="b">
        <f>IF(ISERROR(FIND($A119,$B$7)),FALSE,TRUE)</f>
        <v>0</v>
      </c>
      <c r="C119" t="s">
        <v>3643</v>
      </c>
      <c r="D119">
        <f>IF(ISERR(FIND($A119,VORTEILEGENE)),0,IF(ISERROR(VALUE(MID(VORTEILEGENE,SUM(FIND($A119,VORTEILEGENE),LEN($A119),1),1))),0,VALUE(MID(VORTEILEGENE,SUM(FIND($A119,VORTEILEGENE),LEN($A119),1),1))))</f>
        <v>0</v>
      </c>
      <c r="I119" t="s">
        <v>2325</v>
      </c>
      <c r="N119" t="str">
        <f>IF(EXACT(Generierung!$D66,""),"",CONCATENATE(Generierung!$D66,IF(Generierung!$E66="","",CONCATENATE(" ",Generierung!$E66))))</f>
        <v/>
      </c>
      <c r="O119" t="str">
        <f t="shared" ca="1" si="43"/>
        <v/>
      </c>
      <c r="P119" t="str">
        <f t="shared" ca="1" si="44"/>
        <v/>
      </c>
      <c r="Q119" t="str">
        <f t="shared" si="37"/>
        <v/>
      </c>
      <c r="U119" t="str">
        <f t="shared" ca="1" si="45"/>
        <v/>
      </c>
    </row>
    <row r="120" spans="1:23" x14ac:dyDescent="0.2">
      <c r="A120" t="str">
        <f t="shared" si="36"/>
        <v>Schutzgeist</v>
      </c>
      <c r="N120" t="str">
        <f>IF(EXACT(Generierung!$D67,""),"",CONCATENATE(Generierung!$D67,IF(Generierung!$E67="","",CONCATENATE(" ",Generierung!$E67))))</f>
        <v/>
      </c>
      <c r="O120" t="str">
        <f t="shared" ca="1" si="43"/>
        <v/>
      </c>
      <c r="P120" t="str">
        <f t="shared" ca="1" si="44"/>
        <v/>
      </c>
      <c r="Q120" t="str">
        <f t="shared" si="37"/>
        <v/>
      </c>
      <c r="U120" t="str">
        <f t="shared" ca="1" si="45"/>
        <v/>
      </c>
    </row>
    <row r="121" spans="1:23" x14ac:dyDescent="0.2">
      <c r="A121" t="str">
        <f t="shared" si="36"/>
        <v>Schwer zu verzaubern</v>
      </c>
      <c r="B121" t="b">
        <f>IF(AND(NOT(ISERROR(FIND($A121,$B$7))),EXACT(PROFGEBGENE,"Magie")),TRUE,FALSE)</f>
        <v>0</v>
      </c>
      <c r="C121" t="s">
        <v>1331</v>
      </c>
      <c r="H121" t="str">
        <f>IF(ZWERG_MAGISCH,"",IF($B121,CONCATENATE($A121,": kann nicht von magischen Prof. gewählt werden; "),""))</f>
        <v/>
      </c>
      <c r="N121" t="str">
        <f>IF(EXACT(Generierung!$D68,""),"",CONCATENATE(Generierung!$D68,IF(Generierung!$E68="","",CONCATENATE(" ",Generierung!$E68))))</f>
        <v/>
      </c>
      <c r="O121" t="str">
        <f t="shared" ca="1" si="43"/>
        <v/>
      </c>
      <c r="P121" t="str">
        <f t="shared" ca="1" si="44"/>
        <v/>
      </c>
      <c r="Q121" t="str">
        <f t="shared" si="37"/>
        <v/>
      </c>
      <c r="U121" t="str">
        <f t="shared" ca="1" si="45"/>
        <v/>
      </c>
    </row>
    <row r="122" spans="1:23" x14ac:dyDescent="0.2">
      <c r="A122" t="str">
        <f t="shared" si="36"/>
        <v>Soziale Anpassungsfähigkeit</v>
      </c>
      <c r="B122" t="b">
        <f>IF(ISERROR(FIND($A122,$B$7)),FALSE,TRUE)</f>
        <v>0</v>
      </c>
      <c r="C122" t="s">
        <v>673</v>
      </c>
      <c r="I122" t="s">
        <v>3302</v>
      </c>
      <c r="N122" t="str">
        <f>IF(EXACT(Generierung!$D69,""),"",CONCATENATE(Generierung!$D69,IF(Generierung!$E69="","",CONCATENATE(" ",Generierung!$E69))))</f>
        <v/>
      </c>
      <c r="O122" t="str">
        <f t="shared" ca="1" si="43"/>
        <v/>
      </c>
      <c r="P122" t="str">
        <f t="shared" ca="1" si="44"/>
        <v/>
      </c>
      <c r="Q122" t="str">
        <f t="shared" si="37"/>
        <v/>
      </c>
      <c r="U122" t="str">
        <f t="shared" ca="1" si="45"/>
        <v/>
      </c>
      <c r="W122" t="str">
        <f>CONCATENATE(N117," ",N118," ",N119," ",N120," ",N121," ",N122," ")</f>
        <v xml:space="preserve">      </v>
      </c>
    </row>
    <row r="123" spans="1:23" x14ac:dyDescent="0.2">
      <c r="A123" t="str">
        <f t="shared" si="36"/>
        <v>Talentschub</v>
      </c>
      <c r="N123" t="str">
        <f ca="1">IF(OR($O$44,PROFZWEITE=""),"",IF(EXACT(HLOOKUP(PROFZWEITE,INDIRECT(PROFGEBIET2),34,FALSE),""),"",HLOOKUP(PROFZWEITE,INDIRECT(PROFGEBIET2),34,FALSE)))</f>
        <v/>
      </c>
      <c r="P123" t="str">
        <f ca="1">IF(OR(EXACT($N123,""),ISERR(FIND($N123,CONCATENATE($W$96,$W$101,$W$106)))),"","X")</f>
        <v/>
      </c>
      <c r="Q123" t="str">
        <f t="shared" ca="1" si="37"/>
        <v/>
      </c>
      <c r="U123" t="str">
        <f t="shared" ca="1" si="45"/>
        <v/>
      </c>
      <c r="W123" t="s">
        <v>2182</v>
      </c>
    </row>
    <row r="124" spans="1:23" x14ac:dyDescent="0.2">
      <c r="A124" t="str">
        <f t="shared" si="36"/>
        <v>Tierempathie</v>
      </c>
      <c r="B124" t="b">
        <f>IF(ISERROR(FIND($A124,$B$7)),FALSE,TRUE)</f>
        <v>0</v>
      </c>
      <c r="D124" t="str">
        <f>IF(E124="","",MID(E124,1,FIND(",",E124)-1))</f>
        <v/>
      </c>
      <c r="E124" t="str">
        <f>IF(ISERR(FIND($A124,VORTEILEGENE)),"",
IF(ISERROR(MID(VORTEILEGENE,SUM(FIND($A124,VORTEILEGENE),LEN($A124),1),LEN(VORTEILEGENE)-SUM(FIND($A124,VORTEILEGENE),LEN($A124),1))),0,
MID(VORTEILEGENE,SUM(FIND($A124,VORTEILEGENE),LEN($A124),1),LEN(VORTEILEGENE)-SUM(FIND($A124,VORTEILEGENE),LEN($A124),1))))</f>
        <v/>
      </c>
      <c r="N124" t="str">
        <f ca="1">IF(OR($O$44,PROFZWEITE=""),"",IF(EXACT(HLOOKUP(PROFZWEITE,INDIRECT(PROFGEBIET2),35,FALSE),""),"",HLOOKUP(PROFZWEITE,INDIRECT(PROFGEBIET2),35,FALSE)))</f>
        <v/>
      </c>
      <c r="P124" t="str">
        <f ca="1">IF(OR(EXACT($N124,""),ISERR(FIND($N124,CONCATENATE($W$96,$W$101,$W$106)))),"","X")</f>
        <v/>
      </c>
      <c r="Q124" t="str">
        <f t="shared" ca="1" si="37"/>
        <v/>
      </c>
      <c r="U124" t="str">
        <f t="shared" ca="1" si="45"/>
        <v/>
      </c>
    </row>
    <row r="125" spans="1:23" x14ac:dyDescent="0.2">
      <c r="A125" t="str">
        <f t="shared" si="36"/>
        <v>Tierfreund</v>
      </c>
      <c r="B125" t="b">
        <f>IF(ISERROR(FIND($A125,$B$7)),FALSE,TRUE)</f>
        <v>0</v>
      </c>
      <c r="C125" t="s">
        <v>4801</v>
      </c>
      <c r="I125" t="s">
        <v>2737</v>
      </c>
      <c r="N125" t="str">
        <f ca="1">IF(OR($O$44,PROFZWEITE=""),"",IF(EXACT(HLOOKUP(PROFZWEITE,INDIRECT(PROFGEBIET2),36,FALSE),""),"",HLOOKUP(PROFZWEITE,INDIRECT(PROFGEBIET2),36,FALSE)))</f>
        <v/>
      </c>
      <c r="P125" t="str">
        <f ca="1">IF(OR(EXACT($N125,""),ISERR(FIND($N125,CONCATENATE($W$96,$W$101,$W$106)))),"","X")</f>
        <v/>
      </c>
      <c r="Q125" t="str">
        <f t="shared" ca="1" si="37"/>
        <v/>
      </c>
      <c r="U125" t="str">
        <f t="shared" ca="1" si="45"/>
        <v/>
      </c>
    </row>
    <row r="126" spans="1:23" x14ac:dyDescent="0.2">
      <c r="A126" t="str">
        <f t="shared" si="36"/>
        <v>Titularadel</v>
      </c>
      <c r="B126" t="b">
        <f>IF(ISERROR(FIND($A126,$B$7)),FALSE,TRUE)</f>
        <v>0</v>
      </c>
      <c r="C126" t="s">
        <v>1963</v>
      </c>
      <c r="H126" t="str">
        <f ca="1">IF(AND($B126,SO&lt;7),CONCATENATE($A126,": SO min. 7; "),"")</f>
        <v/>
      </c>
      <c r="N126" t="str">
        <f ca="1">IF(OR($O$44,PROFZWEITE=""),"",IF(EXACT(HLOOKUP(PROFZWEITE,INDIRECT(PROFGEBIET2),37,FALSE),""),"",HLOOKUP(PROFZWEITE,INDIRECT(PROFGEBIET2),37,FALSE)))</f>
        <v/>
      </c>
      <c r="P126" t="str">
        <f ca="1">IF(OR(EXACT($N126,""),ISERR(FIND($N126,CONCATENATE($W$96,$W$101,$W$106)))),"","X")</f>
        <v/>
      </c>
      <c r="Q126" t="str">
        <f t="shared" ca="1" si="37"/>
        <v/>
      </c>
      <c r="U126" t="str">
        <f t="shared" ca="1" si="45"/>
        <v/>
      </c>
    </row>
    <row r="127" spans="1:23" x14ac:dyDescent="0.2">
      <c r="A127" t="str">
        <f t="shared" si="36"/>
        <v>Übernatürliche Begabung</v>
      </c>
      <c r="B127" t="str">
        <f ca="1">IF(VT_VRTLZBR,CONCATENATE(C127,D127,E127,Generierung!C93,Generierung!C94,Generierung!C95,Generierung!C96,Generierung!C97),"")</f>
        <v/>
      </c>
      <c r="C127" t="str">
        <f>CONCATENATE(IF(OR(Generierung!D25="",NOT(Generierung!D25=$A127)),"",CONCATENATE(", ",Generierung!E25)),IF(OR(Generierung!D26="",NOT(Generierung!D26=$A127)),"",CONCATENATE(", ",Generierung!E26)),IF(OR(Generierung!D27="",NOT(Generierung!D27=$A127)),"",CONCATENATE(", ",Generierung!E27)),IF(OR(Generierung!D28="",NOT(Generierung!D28=$A127)),"",CONCATENATE(", ",Generierung!E28)),IF(OR(Generierung!D29="",NOT(Generierung!D29=$A127)),"",CONCATENATE(", ",Generierung!E29)),IF(OR(Generierung!D30="",NOT(Generierung!D30=$A127)),"",CONCATENATE(", ",Generierung!E30)),IF(OR(Generierung!D31="",NOT(Generierung!D31=$A127)),"",CONCATENATE(", ",Generierung!E31)),IF(OR(Generierung!D32="",NOT(Generierung!D32=$A127)),"",CONCATENATE(", ",Generierung!E32)),IF(OR(Generierung!D33="",NOT(Generierung!D33=$A127)),"",CONCATENATE(", ",Generierung!E33)),IF(OR(Generierung!D34="",NOT(Generierung!D34=$A127)),"",CONCATENATE(", ",Generierung!E34)))</f>
        <v/>
      </c>
      <c r="D127" t="str">
        <f>CONCATENATE(IF(OR(Generierung!D56="",NOT(Generierung!D56=$A127)),"",CONCATENATE(", ",Generierung!E56)),IF(OR(Generierung!D61="",NOT(Generierung!D61=$A127)),"",CONCATENATE(", ",Generierung!E61)),IF(OR(Generierung!D62="",NOT(Generierung!D62=$A127)),"",CONCATENATE(", ",Generierung!E62)),IF(OR(Generierung!D63="",NOT(Generierung!D63=$A127)),"",CONCATENATE(", ",Generierung!E63)))</f>
        <v/>
      </c>
      <c r="E127" t="str">
        <f ca="1">CONCATENATE(IF(NOT(ISERR(FIND(A127,N18,1))),", "&amp;RIGHT(N18,LEN(N18)-LEN(A127)-1),""),
IF(NOT(ISERR(FIND(A127,N19,1))),", "&amp;RIGHT(N19,LEN(N19)-LEN(A127)-1),""),
IF(NOT(ISERR(FIND(A127,N20,1))),", "&amp;RIGHT(N20,LEN(N20)-LEN(A127)-1),""),
IF(NOT(ISERR(FIND(A127,N21,1))),", "&amp;RIGHT(N21,LEN(N21)-LEN(A127)-1),""),
IF(NOT(ISERR(FIND(A127,N22,1))),", "&amp;RIGHT(N22,LEN(N22)-LEN(A127)-1),""),
IF(NOT(ISERR(FIND(A127,N23,1))),", "&amp;RIGHT(N23,LEN(N23)-LEN(A127)-1),""),
IF(NOT(ISERR(FIND(A127,N23,1))),", "&amp;RIGHT(N24,LEN(N24)-LEN(A127)-1),""),
IF(NOT(ISERR(FIND(A127,N25,1))),", "&amp;RIGHT(N25,LEN(N25)-LEN(A127)-1),""))</f>
        <v/>
      </c>
      <c r="I127" t="s">
        <v>4803</v>
      </c>
      <c r="N127" t="str">
        <f ca="1">IF(OR($O$44,PROFZWEITE=""),"",IF(EXACT(HLOOKUP(PROFZWEITE,INDIRECT(PROFGEBIET2),38,FALSE),""),"",HLOOKUP(PROFZWEITE,INDIRECT(PROFGEBIET2),38,FALSE)))</f>
        <v/>
      </c>
      <c r="P127" t="str">
        <f ca="1">IF(OR(EXACT($N127,""),ISERR(FIND($N127,CONCATENATE($W$96,$W$101,$W$106)))),"","X")</f>
        <v/>
      </c>
      <c r="Q127" t="str">
        <f t="shared" ca="1" si="37"/>
        <v/>
      </c>
      <c r="U127" t="str">
        <f t="shared" ca="1" si="45"/>
        <v/>
      </c>
      <c r="W127" t="str">
        <f ca="1">CONCATENATE(N123," ",N124," ",N125," ",N126," ",N127," ")</f>
        <v xml:space="preserve">     </v>
      </c>
    </row>
    <row r="128" spans="1:23" x14ac:dyDescent="0.2">
      <c r="A128" t="str">
        <f t="shared" si="36"/>
        <v>Unbeschwertes Zaubern</v>
      </c>
      <c r="N128" t="s">
        <v>8913</v>
      </c>
      <c r="O128" t="s">
        <v>2410</v>
      </c>
      <c r="P128" t="s">
        <v>2411</v>
      </c>
      <c r="Q128" t="s">
        <v>2412</v>
      </c>
      <c r="R128" t="s">
        <v>2414</v>
      </c>
      <c r="S128" t="s">
        <v>2415</v>
      </c>
      <c r="T128" t="s">
        <v>2416</v>
      </c>
      <c r="U128" t="s">
        <v>626</v>
      </c>
    </row>
    <row r="129" spans="1:22" x14ac:dyDescent="0.2">
      <c r="A129" t="str">
        <f t="shared" si="36"/>
        <v>Verbindungen</v>
      </c>
      <c r="B129" t="b">
        <f ca="1">IF(ISERROR(FIND($A129,VORTEILE_NATIV)),FALSE,TRUE)</f>
        <v>0</v>
      </c>
      <c r="C129" t="str">
        <f ca="1">IF(ISERR(FIND($A129&amp;" "&amp;D129&amp;" (",VORTEILE_NATIV)),"",LEFT(RIGHT(VORTEILE_NATIV,LEN(VORTEILE_NATIV)-LEN($A129&amp;" "&amp;D129&amp;" (")+1-FIND($A129&amp;" "&amp;D129&amp;" (",VORTEILE_NATIV)),FIND(")",RIGHT(VORTEILE_NATIV,LEN(VORTEILE_NATIV)-LEN($A129&amp;" "&amp;D129&amp;" (")+1-FIND($A129&amp;" "&amp;D129&amp;" (",VORTEILE_NATIV)))-1))</f>
        <v/>
      </c>
      <c r="D129">
        <f ca="1">IF(ISERR(FIND($A129,VORTEILE_NATIV)),0,IF(ISERROR(VALUE(MID(VORTEILE_NATIV,SUM(FIND($A129,VORTEILE_NATIV),LEN($A129),1),2))),IF(ISERROR(VALUE(MID(VORTEILE_NATIV,SUM(FIND($A129,VORTEILE_NATIV),LEN($A129),1),1))),0,VALUE(MID(VORTEILE_NATIV,SUM(FIND($A129,VORTEILE_NATIV),LEN($A129),1),1))),VALUE(MID(VORTEILE_NATIV,SUM(FIND($A129,VORTEILE_NATIV),LEN($A129),1),2))))</f>
        <v>0</v>
      </c>
      <c r="H129" t="str">
        <f ca="1">IF(AND(B129,VALUE(R62) &gt; SO+5),"Verbindungs-Wert &gt; SO+5","")</f>
        <v/>
      </c>
      <c r="N129" t="s">
        <v>4897</v>
      </c>
      <c r="O129" t="str">
        <f>IF(NOT(ISERR(FIND($N129,$W$96))),MID($W$96,SUM(FIND($N129,$W$96),LEN($N129),1),2),"")</f>
        <v/>
      </c>
      <c r="P129" t="str">
        <f>IF(NOT(ISERR(FIND($N129,$W$101))),MID($W$101,SUM(FIND($N129,$W$101),LEN($N129),1),2),"")</f>
        <v/>
      </c>
      <c r="Q129" t="str">
        <f t="shared" ref="Q129:Q159" ca="1" si="46">IF(NOT(ISERR(FIND($N129,$W$106))),MID($W$106,SUM(FIND($N129,$W$106),LEN($N129),1),2),"")</f>
        <v/>
      </c>
      <c r="R129" t="str">
        <f t="shared" ref="R129:R183" si="47">IF(NOT(ISERR(FIND($N129,$W$116))),MID($W$116,SUM(FIND($N129,$W$116),LEN($N129),1),IF(ISERROR(VALUE(MID($W$116,SUM(FIND($N129,$W$116),LEN($N129),1),2))),1,2)),"")</f>
        <v/>
      </c>
      <c r="S129" t="str">
        <f>IF(NOT(ISERR(FIND($N129,$W$122))),MID($W$122,SUM(FIND($N129,$W$122),LEN($N129),1),2),"")</f>
        <v/>
      </c>
      <c r="T129" t="str">
        <f ca="1">IF(NOT(ISERR(FIND($N129,$W$127))),MID($W$127,SUM(FIND($N129,$W$127),LEN($N129),1),2),"")</f>
        <v/>
      </c>
      <c r="U129">
        <f ca="1">SUM(IF(ISNUMBER(VALUE($O129)),VALUE($O129),0),IF(ISNUMBER(VALUE($P129)),VALUE($P129),0),IF(ISNUMBER(VALUE($Q129)),VALUE($Q129),0),IF(ISNUMBER(VALUE($R129)),VALUE($R129),0),IF(ISNUMBER(VALUE($S129)),VALUE($S129),0),IF(ISNUMBER(VALUE($T129)),VALUE($T129),0))-SUM(IF($N129=Generierung!$D$35,Generierung!$E$35,0),IF($N129=Generierung!$D$36,Generierung!$E$36,0))</f>
        <v>0</v>
      </c>
      <c r="V129" t="str">
        <f t="shared" ref="V129:V183" ca="1" si="48">IF(U129&gt;0,CONCATENATE(", ",N129," ",U129),"")</f>
        <v/>
      </c>
    </row>
    <row r="130" spans="1:22" x14ac:dyDescent="0.2">
      <c r="A130" t="str">
        <f t="shared" si="36"/>
        <v>Verhüllte Aura</v>
      </c>
      <c r="N130" t="s">
        <v>254</v>
      </c>
      <c r="O130" t="str">
        <f t="shared" ref="O130:O183" si="49">IF(NOT(ISERR(FIND($N130,$W$96))),MID($W$96,SUM(FIND($N130,$W$96),LEN($N130),1),2),"")</f>
        <v/>
      </c>
      <c r="P130" t="str">
        <f t="shared" ref="P130:P183" si="50">IF(NOT(ISERR(FIND($N130,$W$101))),MID($W$101,SUM(FIND($N130,$W$101),LEN($N130),1),2),"")</f>
        <v/>
      </c>
      <c r="Q130" t="str">
        <f t="shared" ca="1" si="46"/>
        <v/>
      </c>
      <c r="R130" t="str">
        <f t="shared" si="47"/>
        <v/>
      </c>
      <c r="S130" t="str">
        <f t="shared" ref="S130:S183" si="51">IF(NOT(ISERR(FIND($N130,$W$122))),MID($W$122,SUM(FIND($N130,$W$122),LEN($N130),1),2),"")</f>
        <v/>
      </c>
      <c r="T130" t="str">
        <f t="shared" ref="T130:T183" ca="1" si="52">IF(NOT(ISERR(FIND($N130,$W$127))),MID($W$127,SUM(FIND($N130,$W$127),LEN($N130),1),2),"")</f>
        <v/>
      </c>
      <c r="U130">
        <f ca="1">SUM(IF(ISNUMBER(VALUE($O130)),VALUE($O130),0),IF(ISNUMBER(VALUE($P130)),VALUE($P130),0),IF(ISNUMBER(VALUE($Q130)),VALUE($Q130),0),IF(ISNUMBER(VALUE($R130)),VALUE($R130),0),IF(ISNUMBER(VALUE($S130)),VALUE($S130),0),IF(ISNUMBER(VALUE($T130)),VALUE($T130),0))-SUM(IF($N130=Generierung!$D$35,Generierung!$E$35,0),IF($N130=Generierung!$D$36,Generierung!$E$36,0))</f>
        <v>0</v>
      </c>
      <c r="V130" t="str">
        <f t="shared" ca="1" si="48"/>
        <v/>
      </c>
    </row>
    <row r="131" spans="1:22" x14ac:dyDescent="0.2">
      <c r="A131" t="str">
        <f t="shared" si="36"/>
        <v>Veteran</v>
      </c>
      <c r="B131" t="b">
        <f>IF(ISERROR(FIND($A131,$B$7)),FALSE,TRUE)</f>
        <v>0</v>
      </c>
      <c r="C131" t="s">
        <v>2998</v>
      </c>
      <c r="I131" t="s">
        <v>1962</v>
      </c>
      <c r="N131" t="s">
        <v>7104</v>
      </c>
      <c r="O131" t="str">
        <f t="shared" si="49"/>
        <v/>
      </c>
      <c r="P131" t="str">
        <f t="shared" si="50"/>
        <v/>
      </c>
      <c r="Q131" t="str">
        <f t="shared" ca="1" si="46"/>
        <v/>
      </c>
      <c r="R131" t="str">
        <f t="shared" si="47"/>
        <v/>
      </c>
      <c r="S131" t="str">
        <f t="shared" si="51"/>
        <v/>
      </c>
      <c r="T131" t="str">
        <f t="shared" ca="1" si="52"/>
        <v/>
      </c>
      <c r="U131">
        <f ca="1">SUM(IF(ISNUMBER(VALUE($O131)),VALUE($O131),0),IF(ISNUMBER(VALUE($P131)),VALUE($P131),0),IF(ISNUMBER(VALUE($Q131)),VALUE($Q131),0),IF(ISNUMBER(VALUE($R131)),VALUE($R131),0),IF(ISNUMBER(VALUE($S131)),VALUE($S131),0),IF(ISNUMBER(VALUE($T131)),VALUE($T131),0))-SUM(IF($N131=Generierung!$D$35,Generierung!$E$35,0),IF($N131=Generierung!$D$36,Generierung!$E$36,0))</f>
        <v>0</v>
      </c>
      <c r="V131" t="str">
        <f t="shared" ca="1" si="48"/>
        <v/>
      </c>
    </row>
    <row r="132" spans="1:22" x14ac:dyDescent="0.2">
      <c r="A132" t="str">
        <f t="shared" si="36"/>
        <v>Viertelzauberer</v>
      </c>
      <c r="B132" t="b">
        <f ca="1">IF(ISERROR(FIND($A132,$O$90)),FALSE,TRUE)</f>
        <v>0</v>
      </c>
      <c r="C132" t="b">
        <f>IF(ISERR(FIND("Viertelzauberer Später",$B$7)),TRUE,FALSE)</f>
        <v>1</v>
      </c>
      <c r="I132" t="s">
        <v>1404</v>
      </c>
      <c r="J132" t="s">
        <v>1710</v>
      </c>
      <c r="N132" t="s">
        <v>7105</v>
      </c>
      <c r="O132" t="str">
        <f t="shared" si="49"/>
        <v/>
      </c>
      <c r="P132" t="str">
        <f t="shared" si="50"/>
        <v/>
      </c>
      <c r="Q132" t="str">
        <f t="shared" ca="1" si="46"/>
        <v/>
      </c>
      <c r="R132" t="str">
        <f t="shared" si="47"/>
        <v/>
      </c>
      <c r="S132" t="str">
        <f t="shared" si="51"/>
        <v/>
      </c>
      <c r="T132" t="str">
        <f t="shared" ca="1" si="52"/>
        <v/>
      </c>
      <c r="U132">
        <f ca="1">SUM(IF(ISNUMBER(VALUE($O132)),VALUE($O132),0),IF(ISNUMBER(VALUE($P132)),VALUE($P132),0),IF(ISNUMBER(VALUE($Q132)),VALUE($Q132),0),IF(ISNUMBER(VALUE($R132)),VALUE($R132),0),IF(ISNUMBER(VALUE($S132)),VALUE($S132),0),IF(ISNUMBER(VALUE($T132)),VALUE($T132),0))-SUM(IF($N132=Generierung!$D$35,Generierung!$E$35,0),IF($N132=Generierung!$D$36,Generierung!$E$36,0))</f>
        <v>0</v>
      </c>
      <c r="V132" t="str">
        <f ca="1">IF(U132&gt;0,CONCATENATE(", ",N132," ",U132),"")</f>
        <v/>
      </c>
    </row>
    <row r="133" spans="1:22" x14ac:dyDescent="0.2">
      <c r="A133" t="str">
        <f t="shared" si="36"/>
        <v>Vollzauberer</v>
      </c>
      <c r="B133" t="b">
        <f>IF(ISERROR(FIND($A133,$B$7)),FALSE,TRUE)</f>
        <v>0</v>
      </c>
      <c r="I133" t="s">
        <v>1405</v>
      </c>
      <c r="N133" t="s">
        <v>7106</v>
      </c>
      <c r="O133" t="str">
        <f t="shared" si="49"/>
        <v/>
      </c>
      <c r="P133" t="str">
        <f t="shared" si="50"/>
        <v/>
      </c>
      <c r="Q133" t="str">
        <f t="shared" ca="1" si="46"/>
        <v/>
      </c>
      <c r="R133" t="str">
        <f t="shared" si="47"/>
        <v/>
      </c>
      <c r="S133" t="str">
        <f t="shared" si="51"/>
        <v/>
      </c>
      <c r="T133" t="str">
        <f t="shared" ca="1" si="52"/>
        <v/>
      </c>
      <c r="U133">
        <f ca="1">SUM(IF(ISNUMBER(VALUE($O133)),VALUE($O133),0),IF(ISNUMBER(VALUE($P133)),VALUE($P133),0),IF(ISNUMBER(VALUE($Q133)),VALUE($Q133),0),IF(ISNUMBER(VALUE($R133)),VALUE($R133),0),IF(ISNUMBER(VALUE($S133)),VALUE($S133),0),IF(ISNUMBER(VALUE($T133)),VALUE($T133),0))-SUM(IF($N133=Generierung!$D$35,Generierung!$E$35,0),IF($N133=Generierung!$D$36,Generierung!$E$36,0))</f>
        <v>0</v>
      </c>
      <c r="V133" t="str">
        <f ca="1">IF(U133&gt;0,CONCATENATE(", ",N133," ",U133),"")</f>
        <v/>
      </c>
    </row>
    <row r="134" spans="1:22" x14ac:dyDescent="0.2">
      <c r="A134" t="str">
        <f t="shared" si="36"/>
        <v>Vom Schicksal begünstigt</v>
      </c>
      <c r="N134" t="s">
        <v>4460</v>
      </c>
      <c r="O134" t="str">
        <f t="shared" si="49"/>
        <v/>
      </c>
      <c r="P134" t="str">
        <f t="shared" si="50"/>
        <v/>
      </c>
      <c r="Q134" t="str">
        <f t="shared" ca="1" si="46"/>
        <v/>
      </c>
      <c r="R134" t="str">
        <f t="shared" si="47"/>
        <v/>
      </c>
      <c r="S134" t="str">
        <f t="shared" si="51"/>
        <v/>
      </c>
      <c r="T134" t="str">
        <f t="shared" ca="1" si="52"/>
        <v/>
      </c>
      <c r="U134">
        <f ca="1">SUM(IF(ISNUMBER(VALUE($O134)),VALUE($O134),0),IF(ISNUMBER(VALUE($P134)),VALUE($P134),0),IF(ISNUMBER(VALUE($Q134)),VALUE($Q134),0),IF(ISNUMBER(VALUE($R134)),VALUE($R134),0),IF(ISNUMBER(VALUE($S134)),VALUE($S134),0),IF(ISNUMBER(VALUE($T134)),VALUE($T134),0))-SUM(IF($N134=Generierung!$D$35,Generierung!$E$35,0),IF($N134=Generierung!$D$36,Generierung!$E$36,0))</f>
        <v>0</v>
      </c>
      <c r="V134" t="str">
        <f t="shared" ca="1" si="48"/>
        <v/>
      </c>
    </row>
    <row r="135" spans="1:22" x14ac:dyDescent="0.2">
      <c r="A135" t="str">
        <f t="shared" si="36"/>
        <v>Wesen der Nacht I</v>
      </c>
      <c r="N135" t="s">
        <v>4946</v>
      </c>
      <c r="O135" t="str">
        <f t="shared" si="49"/>
        <v/>
      </c>
      <c r="P135" t="str">
        <f t="shared" si="50"/>
        <v/>
      </c>
      <c r="Q135" t="str">
        <f t="shared" ca="1" si="46"/>
        <v/>
      </c>
      <c r="R135" t="str">
        <f t="shared" si="47"/>
        <v/>
      </c>
      <c r="S135" t="str">
        <f t="shared" si="51"/>
        <v/>
      </c>
      <c r="T135" t="str">
        <f t="shared" ca="1" si="52"/>
        <v/>
      </c>
      <c r="U135">
        <f ca="1">SUM(IF(ISNUMBER(VALUE($O135)),VALUE($O135),0),IF(ISNUMBER(VALUE($P135)),VALUE($P135),0),IF(ISNUMBER(VALUE($Q135)),VALUE($Q135),0),IF(ISNUMBER(VALUE($R135)),VALUE($R135),0),IF(ISNUMBER(VALUE($S135)),VALUE($S135),0),IF(ISNUMBER(VALUE($T135)),VALUE($T135),0))-SUM(IF($N135=Generierung!$D$35,Generierung!$E$35,0),IF($N135=Generierung!$D$36,Generierung!$E$36,0))</f>
        <v>0</v>
      </c>
      <c r="V135" t="str">
        <f t="shared" ca="1" si="48"/>
        <v/>
      </c>
    </row>
    <row r="136" spans="1:22" x14ac:dyDescent="0.2">
      <c r="A136" t="str">
        <f t="shared" si="36"/>
        <v>Wesen der Nacht II</v>
      </c>
      <c r="N136" t="s">
        <v>252</v>
      </c>
      <c r="O136" t="str">
        <f t="shared" si="49"/>
        <v/>
      </c>
      <c r="P136" t="str">
        <f t="shared" si="50"/>
        <v/>
      </c>
      <c r="Q136" t="str">
        <f t="shared" ca="1" si="46"/>
        <v/>
      </c>
      <c r="R136" t="str">
        <f t="shared" si="47"/>
        <v/>
      </c>
      <c r="S136" t="str">
        <f t="shared" si="51"/>
        <v/>
      </c>
      <c r="T136" t="str">
        <f t="shared" ca="1" si="52"/>
        <v/>
      </c>
      <c r="U136">
        <f ca="1">SUM(IF(ISNUMBER(VALUE($O136)),VALUE($O136),0),IF(ISNUMBER(VALUE($P136)),VALUE($P136),0),IF(ISNUMBER(VALUE($Q136)),VALUE($Q136),0),IF(ISNUMBER(VALUE($R136)),VALUE($R136),0),IF(ISNUMBER(VALUE($S136)),VALUE($S136),0),IF(ISNUMBER(VALUE($T136)),VALUE($T136),0))-SUM(IF($N136=Generierung!$D$35,Generierung!$E$35,0),IF($N136=Generierung!$D$36,Generierung!$E$36,0))</f>
        <v>0</v>
      </c>
      <c r="V136" t="str">
        <f t="shared" ca="1" si="48"/>
        <v/>
      </c>
    </row>
    <row r="137" spans="1:22" x14ac:dyDescent="0.2">
      <c r="A137" t="str">
        <f t="shared" si="36"/>
        <v>Wesen der Nacht III</v>
      </c>
      <c r="N137" t="s">
        <v>627</v>
      </c>
      <c r="O137" t="str">
        <f t="shared" si="49"/>
        <v/>
      </c>
      <c r="P137" t="str">
        <f t="shared" si="50"/>
        <v/>
      </c>
      <c r="Q137" t="str">
        <f t="shared" ca="1" si="46"/>
        <v/>
      </c>
      <c r="R137" t="str">
        <f t="shared" si="47"/>
        <v/>
      </c>
      <c r="S137" t="str">
        <f t="shared" si="51"/>
        <v/>
      </c>
      <c r="T137" t="str">
        <f t="shared" ca="1" si="52"/>
        <v/>
      </c>
      <c r="U137">
        <f ca="1">SUM(IF(ISNUMBER(VALUE($O137)),VALUE($O137),0),IF(ISNUMBER(VALUE($P137)),VALUE($P137),0),IF(ISNUMBER(VALUE($Q137)),VALUE($Q137),0),IF(ISNUMBER(VALUE($R137)),VALUE($R137),0),IF(ISNUMBER(VALUE($S137)),VALUE($S137),0),IF(ISNUMBER(VALUE($T137)),VALUE($T137),0))-SUM(IF($N137=Generierung!$D$35,Generierung!$E$35,0),IF($N137=Generierung!$D$36,Generierung!$E$36,0))</f>
        <v>0</v>
      </c>
      <c r="V137" t="str">
        <f t="shared" ca="1" si="48"/>
        <v/>
      </c>
    </row>
    <row r="138" spans="1:22" x14ac:dyDescent="0.2">
      <c r="A138" t="str">
        <f t="shared" si="36"/>
        <v>Wohlklang</v>
      </c>
      <c r="B138" t="b">
        <f>IF(ISERROR(FIND($A138,$B$7)),FALSE,TRUE)</f>
        <v>0</v>
      </c>
      <c r="C138" t="s">
        <v>4889</v>
      </c>
      <c r="I138" t="s">
        <v>4890</v>
      </c>
      <c r="N138" t="s">
        <v>628</v>
      </c>
      <c r="O138" t="str">
        <f t="shared" si="49"/>
        <v/>
      </c>
      <c r="P138" t="str">
        <f t="shared" si="50"/>
        <v/>
      </c>
      <c r="Q138" t="str">
        <f t="shared" ca="1" si="46"/>
        <v/>
      </c>
      <c r="R138" t="str">
        <f t="shared" si="47"/>
        <v/>
      </c>
      <c r="S138" t="str">
        <f t="shared" si="51"/>
        <v/>
      </c>
      <c r="T138" t="str">
        <f t="shared" ca="1" si="52"/>
        <v/>
      </c>
      <c r="U138">
        <f ca="1">SUM(IF(ISNUMBER(VALUE($O138)),VALUE($O138),0),IF(ISNUMBER(VALUE($P138)),VALUE($P138),0),IF(ISNUMBER(VALUE($Q138)),VALUE($Q138),0),IF(ISNUMBER(VALUE($R138)),VALUE($R138),0),IF(ISNUMBER(VALUE($S138)),VALUE($S138),0),IF(ISNUMBER(VALUE($T138)),VALUE($T138),0))-SUM(IF($N138=Generierung!$D$35,Generierung!$E$35,0),IF($N138=Generierung!$D$36,Generierung!$E$36,0))</f>
        <v>0</v>
      </c>
      <c r="V138" t="str">
        <f t="shared" ca="1" si="48"/>
        <v/>
      </c>
    </row>
    <row r="139" spans="1:22" x14ac:dyDescent="0.2">
      <c r="A139" t="str">
        <f t="shared" si="36"/>
        <v>Wolfskind (nicht willentlich)</v>
      </c>
      <c r="N139" t="s">
        <v>4839</v>
      </c>
      <c r="O139" t="str">
        <f t="shared" si="49"/>
        <v/>
      </c>
      <c r="P139" t="str">
        <f t="shared" si="50"/>
        <v/>
      </c>
      <c r="Q139" t="str">
        <f t="shared" ca="1" si="46"/>
        <v/>
      </c>
      <c r="R139" t="str">
        <f t="shared" si="47"/>
        <v/>
      </c>
      <c r="S139" t="str">
        <f t="shared" si="51"/>
        <v/>
      </c>
      <c r="T139" t="str">
        <f t="shared" ca="1" si="52"/>
        <v/>
      </c>
      <c r="U139">
        <f ca="1">SUM(IF(ISNUMBER(VALUE($O139)),VALUE($O139),0),IF(ISNUMBER(VALUE($P139)),VALUE($P139),0),IF(ISNUMBER(VALUE($Q139)),VALUE($Q139),0),IF(ISNUMBER(VALUE($R139)),VALUE($R139),0),IF(ISNUMBER(VALUE($S139)),VALUE($S139),0),IF(ISNUMBER(VALUE($T139)),VALUE($T139),0))-SUM(IF($N139=Generierung!$D$35,Generierung!$E$35,0),IF($N139=Generierung!$D$36,Generierung!$E$36,0))</f>
        <v>0</v>
      </c>
      <c r="V139" t="str">
        <f t="shared" ca="1" si="48"/>
        <v/>
      </c>
    </row>
    <row r="140" spans="1:22" x14ac:dyDescent="0.2">
      <c r="A140" t="str">
        <f t="shared" si="36"/>
        <v>Wolfskind (willentlich)</v>
      </c>
      <c r="N140" t="s">
        <v>4948</v>
      </c>
      <c r="O140" t="str">
        <f t="shared" si="49"/>
        <v/>
      </c>
      <c r="P140" t="str">
        <f t="shared" si="50"/>
        <v/>
      </c>
      <c r="Q140" t="str">
        <f t="shared" ca="1" si="46"/>
        <v/>
      </c>
      <c r="R140" t="str">
        <f t="shared" si="47"/>
        <v/>
      </c>
      <c r="S140" t="str">
        <f t="shared" si="51"/>
        <v/>
      </c>
      <c r="T140" t="str">
        <f t="shared" ca="1" si="52"/>
        <v/>
      </c>
      <c r="U140">
        <f ca="1">SUM(IF(ISNUMBER(VALUE($O140)),VALUE($O140),0),IF(ISNUMBER(VALUE($P140)),VALUE($P140),0),IF(ISNUMBER(VALUE($Q140)),VALUE($Q140),0),IF(ISNUMBER(VALUE($R140)),VALUE($R140),0),IF(ISNUMBER(VALUE($S140)),VALUE($S140),0),IF(ISNUMBER(VALUE($T140)),VALUE($T140),0))-SUM(IF($N140=Generierung!$D$35,Generierung!$E$35,0),IF($N140=Generierung!$D$36,Generierung!$E$36,0))</f>
        <v>0</v>
      </c>
      <c r="V140" t="str">
        <f t="shared" ca="1" si="48"/>
        <v/>
      </c>
    </row>
    <row r="141" spans="1:22" x14ac:dyDescent="0.2">
      <c r="A141" t="str">
        <f t="shared" si="36"/>
        <v>Zäher Hund</v>
      </c>
      <c r="N141" t="s">
        <v>4612</v>
      </c>
      <c r="O141" t="str">
        <f t="shared" si="49"/>
        <v/>
      </c>
      <c r="P141" t="str">
        <f t="shared" si="50"/>
        <v/>
      </c>
      <c r="Q141" t="str">
        <f t="shared" ca="1" si="46"/>
        <v/>
      </c>
      <c r="R141" t="str">
        <f t="shared" si="47"/>
        <v/>
      </c>
      <c r="S141" t="str">
        <f t="shared" si="51"/>
        <v/>
      </c>
      <c r="T141" t="str">
        <f t="shared" ca="1" si="52"/>
        <v/>
      </c>
      <c r="U141">
        <f ca="1">SUM(IF(ISNUMBER(VALUE($O141)),VALUE($O141),0),IF(ISNUMBER(VALUE($P141)),VALUE($P141),0),IF(ISNUMBER(VALUE($Q141)),VALUE($Q141),0),IF(ISNUMBER(VALUE($R141)),VALUE($R141),0),IF(ISNUMBER(VALUE($S141)),VALUE($S141),0),IF(ISNUMBER(VALUE($T141)),VALUE($T141),0))-SUM(IF($N141=Generierung!$D$35,Generierung!$E$35,0),IF($N141=Generierung!$D$36,Generierung!$E$36,0))</f>
        <v>0</v>
      </c>
      <c r="V141" t="str">
        <f t="shared" ca="1" si="48"/>
        <v/>
      </c>
    </row>
    <row r="142" spans="1:22" x14ac:dyDescent="0.2">
      <c r="A142" t="str">
        <f t="shared" si="36"/>
        <v>Zauberhaar</v>
      </c>
      <c r="B142" t="b">
        <f>IF(ISERROR(FIND($A142,SUBSTITUTE($B$7,"Pectetondo Zauberhaar",""))),FALSE,TRUE)</f>
        <v>0</v>
      </c>
      <c r="C142" t="s">
        <v>7259</v>
      </c>
      <c r="N142" t="s">
        <v>4840</v>
      </c>
      <c r="O142" t="str">
        <f t="shared" si="49"/>
        <v/>
      </c>
      <c r="P142" t="str">
        <f t="shared" si="50"/>
        <v/>
      </c>
      <c r="Q142" t="str">
        <f t="shared" ca="1" si="46"/>
        <v/>
      </c>
      <c r="R142" t="str">
        <f t="shared" si="47"/>
        <v/>
      </c>
      <c r="S142" t="str">
        <f t="shared" si="51"/>
        <v/>
      </c>
      <c r="T142" t="str">
        <f t="shared" ca="1" si="52"/>
        <v/>
      </c>
      <c r="U142">
        <f ca="1">SUM(IF(ISNUMBER(VALUE($O142)),VALUE($O142),0),IF(ISNUMBER(VALUE($P142)),VALUE($P142),0),IF(ISNUMBER(VALUE($Q142)),VALUE($Q142),0),IF(ISNUMBER(VALUE($R142)),VALUE($R142),0),IF(ISNUMBER(VALUE($S142)),VALUE($S142),0),IF(ISNUMBER(VALUE($T142)),VALUE($T142),0))-SUM(IF($N142=Generierung!$D$35,Generierung!$E$35,0),IF($N142=Generierung!$D$36,Generierung!$E$36,0))</f>
        <v>0</v>
      </c>
      <c r="V142" t="str">
        <f t="shared" ca="1" si="48"/>
        <v/>
      </c>
    </row>
    <row r="143" spans="1:22" x14ac:dyDescent="0.2">
      <c r="A143" t="str">
        <f t="shared" si="36"/>
        <v>Zeitgefühl</v>
      </c>
      <c r="N143" t="s">
        <v>4841</v>
      </c>
      <c r="O143" t="str">
        <f t="shared" si="49"/>
        <v/>
      </c>
      <c r="P143" t="str">
        <f t="shared" si="50"/>
        <v/>
      </c>
      <c r="Q143" t="str">
        <f t="shared" ca="1" si="46"/>
        <v/>
      </c>
      <c r="R143" t="str">
        <f t="shared" si="47"/>
        <v/>
      </c>
      <c r="S143" t="str">
        <f t="shared" si="51"/>
        <v/>
      </c>
      <c r="T143" t="str">
        <f t="shared" ca="1" si="52"/>
        <v/>
      </c>
      <c r="U143">
        <f ca="1">SUM(IF(ISNUMBER(VALUE($O143)),VALUE($O143),0),IF(ISNUMBER(VALUE($P143)),VALUE($P143),0),IF(ISNUMBER(VALUE($Q143)),VALUE($Q143),0),IF(ISNUMBER(VALUE($R143)),VALUE($R143),0),IF(ISNUMBER(VALUE($S143)),VALUE($S143),0),IF(ISNUMBER(VALUE($T143)),VALUE($T143),0))-SUM(IF($N143=Generierung!$D$35,Generierung!$E$35,0),IF($N143=Generierung!$D$36,Generierung!$E$36,0))</f>
        <v>0</v>
      </c>
      <c r="V143" t="str">
        <f t="shared" ca="1" si="48"/>
        <v/>
      </c>
    </row>
    <row r="144" spans="1:22" x14ac:dyDescent="0.2">
      <c r="A144" t="str">
        <f t="shared" si="36"/>
        <v>Zusätzliche Gliedmassen</v>
      </c>
      <c r="N144" t="s">
        <v>3344</v>
      </c>
      <c r="O144" t="str">
        <f t="shared" si="49"/>
        <v/>
      </c>
      <c r="P144" t="str">
        <f t="shared" si="50"/>
        <v/>
      </c>
      <c r="Q144" t="str">
        <f t="shared" ca="1" si="46"/>
        <v/>
      </c>
      <c r="R144" t="str">
        <f t="shared" si="47"/>
        <v/>
      </c>
      <c r="S144" t="str">
        <f t="shared" si="51"/>
        <v/>
      </c>
      <c r="T144" t="str">
        <f t="shared" ca="1" si="52"/>
        <v/>
      </c>
      <c r="U144">
        <f ca="1">SUM(IF(ISNUMBER(VALUE($O144)),VALUE($O144),0),IF(ISNUMBER(VALUE($P144)),VALUE($P144),0),IF(ISNUMBER(VALUE($Q144)),VALUE($Q144),0),IF(ISNUMBER(VALUE($R144)),VALUE($R144),0),IF(ISNUMBER(VALUE($S144)),VALUE($S144),0),IF(ISNUMBER(VALUE($T144)),VALUE($T144),0))-SUM(IF($N144=Generierung!$D$35,Generierung!$E$35,0),IF($N144=Generierung!$D$36,Generierung!$E$36,0))</f>
        <v>0</v>
      </c>
      <c r="V144" t="str">
        <f t="shared" ca="1" si="48"/>
        <v/>
      </c>
    </row>
    <row r="145" spans="1:22" x14ac:dyDescent="0.2">
      <c r="A145" t="str">
        <f>INDEX(VORTEILE,ROW()-18)</f>
        <v>Zweistimmiger Gesang</v>
      </c>
      <c r="B145" t="b">
        <f>IF(ISERROR(FIND($A145,$B$7)),FALSE,TRUE)</f>
        <v>0</v>
      </c>
      <c r="N145" t="s">
        <v>3240</v>
      </c>
      <c r="O145" t="str">
        <f t="shared" si="49"/>
        <v/>
      </c>
      <c r="P145" t="str">
        <f t="shared" si="50"/>
        <v/>
      </c>
      <c r="Q145" t="str">
        <f t="shared" ca="1" si="46"/>
        <v/>
      </c>
      <c r="R145" t="str">
        <f t="shared" si="47"/>
        <v/>
      </c>
      <c r="S145" t="str">
        <f t="shared" si="51"/>
        <v/>
      </c>
      <c r="T145" t="str">
        <f t="shared" ca="1" si="52"/>
        <v/>
      </c>
      <c r="U145">
        <f ca="1">SUM(IF(ISNUMBER(VALUE($O145)),VALUE($O145),0),IF(ISNUMBER(VALUE($P145)),VALUE($P145),0),IF(ISNUMBER(VALUE($Q145)),VALUE($Q145),0),IF(ISNUMBER(VALUE($R145)),VALUE($R145),0),IF(ISNUMBER(VALUE($S145)),VALUE($S145),0),IF(ISNUMBER(VALUE($T145)),VALUE($T145),0))-SUM(IF($N145=Generierung!$D$35,Generierung!$E$35,0),IF($N145=Generierung!$D$36,Generierung!$E$36,0))</f>
        <v>0</v>
      </c>
      <c r="V145" t="str">
        <f t="shared" ca="1" si="48"/>
        <v/>
      </c>
    </row>
    <row r="146" spans="1:22" x14ac:dyDescent="0.2">
      <c r="A146" t="str">
        <f>INDEX(VORTEILE,ROW()-18)</f>
        <v>Zwergennase</v>
      </c>
      <c r="N146" t="s">
        <v>4842</v>
      </c>
      <c r="O146" t="str">
        <f t="shared" si="49"/>
        <v/>
      </c>
      <c r="P146" t="str">
        <f t="shared" si="50"/>
        <v/>
      </c>
      <c r="Q146" t="str">
        <f t="shared" ca="1" si="46"/>
        <v/>
      </c>
      <c r="R146" t="str">
        <f t="shared" si="47"/>
        <v/>
      </c>
      <c r="S146" t="str">
        <f t="shared" si="51"/>
        <v/>
      </c>
      <c r="T146" t="str">
        <f t="shared" ca="1" si="52"/>
        <v/>
      </c>
      <c r="U146">
        <f ca="1">SUM(IF(ISNUMBER(VALUE($O146)),VALUE($O146),0),IF(ISNUMBER(VALUE($P146)),VALUE($P146),0),IF(ISNUMBER(VALUE($Q146)),VALUE($Q146),0),IF(ISNUMBER(VALUE($R146)),VALUE($R146),0),IF(ISNUMBER(VALUE($S146)),VALUE($S146),0),IF(ISNUMBER(VALUE($T146)),VALUE($T146),0))-SUM(IF($N146=Generierung!$D$35,Generierung!$E$35,0),IF($N146=Generierung!$D$36,Generierung!$E$36,0))</f>
        <v>0</v>
      </c>
      <c r="V146" t="str">
        <f t="shared" ca="1" si="48"/>
        <v/>
      </c>
    </row>
    <row r="147" spans="1:22" x14ac:dyDescent="0.2">
      <c r="A147" t="s">
        <v>747</v>
      </c>
      <c r="N147" t="s">
        <v>2187</v>
      </c>
      <c r="O147" t="str">
        <f t="shared" si="49"/>
        <v/>
      </c>
      <c r="P147" t="str">
        <f t="shared" si="50"/>
        <v/>
      </c>
      <c r="Q147" t="str">
        <f t="shared" ca="1" si="46"/>
        <v/>
      </c>
      <c r="R147" t="str">
        <f t="shared" si="47"/>
        <v/>
      </c>
      <c r="S147" t="str">
        <f t="shared" si="51"/>
        <v/>
      </c>
      <c r="T147" t="str">
        <f t="shared" ca="1" si="52"/>
        <v/>
      </c>
      <c r="U147">
        <f ca="1">SUM(IF(ISNUMBER(VALUE($O147)),VALUE($O147),0),IF(ISNUMBER(VALUE($P147)),VALUE($P147),0),IF(ISNUMBER(VALUE($Q147)),VALUE($Q147),0),IF(ISNUMBER(VALUE($R147)),VALUE($R147),0),IF(ISNUMBER(VALUE($S147)),VALUE($S147),0),IF(ISNUMBER(VALUE($T147)),VALUE($T147),0))-SUM(IF($N147=Generierung!$D$35,Generierung!$E$35,0),IF($N147=Generierung!$D$36,Generierung!$E$36,0))</f>
        <v>0</v>
      </c>
      <c r="V147" t="str">
        <f t="shared" ca="1" si="48"/>
        <v/>
      </c>
    </row>
    <row r="148" spans="1:22" x14ac:dyDescent="0.2">
      <c r="A148" t="s">
        <v>737</v>
      </c>
      <c r="L148" t="s">
        <v>3426</v>
      </c>
      <c r="N148" t="s">
        <v>2574</v>
      </c>
      <c r="O148" t="str">
        <f t="shared" si="49"/>
        <v/>
      </c>
      <c r="P148" t="str">
        <f t="shared" si="50"/>
        <v/>
      </c>
      <c r="Q148" t="str">
        <f t="shared" ca="1" si="46"/>
        <v/>
      </c>
      <c r="R148" t="str">
        <f t="shared" si="47"/>
        <v/>
      </c>
      <c r="S148" t="str">
        <f t="shared" si="51"/>
        <v/>
      </c>
      <c r="T148" t="str">
        <f t="shared" ca="1" si="52"/>
        <v/>
      </c>
      <c r="U148">
        <f ca="1">SUM(IF(ISNUMBER(VALUE($O148)),VALUE($O148),0),IF(ISNUMBER(VALUE($P148)),VALUE($P148),0),IF(ISNUMBER(VALUE($Q148)),VALUE($Q148),0),IF(ISNUMBER(VALUE($R148)),VALUE($R148),0),IF(ISNUMBER(VALUE($S148)),VALUE($S148),0),IF(ISNUMBER(VALUE($T148)),VALUE($T148),0))-SUM(IF($N148=Generierung!$D$35,Generierung!$E$35,0),IF($N148=Generierung!$D$36,Generierung!$E$36,0))</f>
        <v>0</v>
      </c>
      <c r="V148" t="str">
        <f t="shared" ca="1" si="48"/>
        <v/>
      </c>
    </row>
    <row r="149" spans="1:22" x14ac:dyDescent="0.2">
      <c r="A149" t="str">
        <f t="shared" ref="A149:A214" si="53">INDEX(NACHTEILE,ROW()-ROW($A$147))</f>
        <v>Aberglaube</v>
      </c>
      <c r="N149" t="s">
        <v>3241</v>
      </c>
      <c r="O149" t="str">
        <f t="shared" si="49"/>
        <v/>
      </c>
      <c r="P149" t="str">
        <f t="shared" si="50"/>
        <v/>
      </c>
      <c r="Q149" t="str">
        <f t="shared" ca="1" si="46"/>
        <v/>
      </c>
      <c r="R149" t="str">
        <f t="shared" si="47"/>
        <v/>
      </c>
      <c r="S149" t="str">
        <f t="shared" si="51"/>
        <v/>
      </c>
      <c r="T149" t="str">
        <f t="shared" ca="1" si="52"/>
        <v/>
      </c>
      <c r="U149">
        <f ca="1">SUM(IF(ISNUMBER(VALUE($O149)),VALUE($O149),0),IF(ISNUMBER(VALUE($P149)),VALUE($P149),0),IF(ISNUMBER(VALUE($Q149)),VALUE($Q149),0),IF(ISNUMBER(VALUE($R149)),VALUE($R149),0),IF(ISNUMBER(VALUE($S149)),VALUE($S149),0),IF(ISNUMBER(VALUE($T149)),VALUE($T149),0))-SUM(IF($N149=Generierung!$D$35,Generierung!$E$35,0),IF($N149=Generierung!$D$36,Generierung!$E$36,0))</f>
        <v>0</v>
      </c>
      <c r="V149" t="str">
        <f t="shared" ca="1" si="48"/>
        <v/>
      </c>
    </row>
    <row r="150" spans="1:22" x14ac:dyDescent="0.2">
      <c r="A150" t="str">
        <f t="shared" si="53"/>
        <v>Agrimothwahn</v>
      </c>
      <c r="N150" t="s">
        <v>2575</v>
      </c>
      <c r="O150" t="str">
        <f t="shared" si="49"/>
        <v/>
      </c>
      <c r="P150" t="str">
        <f t="shared" si="50"/>
        <v/>
      </c>
      <c r="Q150" t="str">
        <f t="shared" ca="1" si="46"/>
        <v/>
      </c>
      <c r="R150" t="str">
        <f t="shared" si="47"/>
        <v/>
      </c>
      <c r="S150" t="str">
        <f t="shared" si="51"/>
        <v/>
      </c>
      <c r="T150" t="str">
        <f t="shared" ca="1" si="52"/>
        <v/>
      </c>
      <c r="U150">
        <f ca="1">SUM(IF(ISNUMBER(VALUE($O150)),VALUE($O150),0),IF(ISNUMBER(VALUE($P150)),VALUE($P150),0),IF(ISNUMBER(VALUE($Q150)),VALUE($Q150),0),IF(ISNUMBER(VALUE($R150)),VALUE($R150),0),IF(ISNUMBER(VALUE($S150)),VALUE($S150),0),IF(ISNUMBER(VALUE($T150)),VALUE($T150),0))-SUM(IF($N150=Generierung!$D$35,Generierung!$E$35,0),IF($N150=Generierung!$D$36,Generierung!$E$36,0))</f>
        <v>0</v>
      </c>
      <c r="V150" t="str">
        <f t="shared" ca="1" si="48"/>
        <v/>
      </c>
    </row>
    <row r="151" spans="1:22" x14ac:dyDescent="0.2">
      <c r="A151" t="str">
        <f t="shared" si="53"/>
        <v>Albino</v>
      </c>
      <c r="B151" t="b">
        <f>IF(ISERROR(FIND($A151,$B$8)),FALSE,TRUE)</f>
        <v>0</v>
      </c>
      <c r="C151" t="s">
        <v>554</v>
      </c>
      <c r="I151" t="s">
        <v>553</v>
      </c>
      <c r="N151" t="s">
        <v>3242</v>
      </c>
      <c r="O151" t="str">
        <f t="shared" si="49"/>
        <v/>
      </c>
      <c r="P151" t="str">
        <f t="shared" si="50"/>
        <v/>
      </c>
      <c r="Q151" t="str">
        <f t="shared" ca="1" si="46"/>
        <v/>
      </c>
      <c r="R151" t="str">
        <f t="shared" si="47"/>
        <v/>
      </c>
      <c r="S151" t="str">
        <f t="shared" si="51"/>
        <v/>
      </c>
      <c r="T151" t="str">
        <f t="shared" ca="1" si="52"/>
        <v/>
      </c>
      <c r="U151">
        <f ca="1">SUM(IF(ISNUMBER(VALUE($O151)),VALUE($O151),0),IF(ISNUMBER(VALUE($P151)),VALUE($P151),0),IF(ISNUMBER(VALUE($Q151)),VALUE($Q151),0),IF(ISNUMBER(VALUE($R151)),VALUE($R151),0),IF(ISNUMBER(VALUE($S151)),VALUE($S151),0),IF(ISNUMBER(VALUE($T151)),VALUE($T151),0))-SUM(IF($N151=Generierung!$D$35,Generierung!$E$35,0),IF($N151=Generierung!$D$36,Generierung!$E$36,0))</f>
        <v>0</v>
      </c>
      <c r="V151" t="str">
        <f t="shared" ca="1" si="48"/>
        <v/>
      </c>
    </row>
    <row r="152" spans="1:22" x14ac:dyDescent="0.2">
      <c r="A152" t="str">
        <f t="shared" si="53"/>
        <v>Angst vor A</v>
      </c>
      <c r="E152" t="str">
        <f ca="1">IF(ISERR(FIND($A152,NACHTEILE_RKPROF)),"",LEFT(RIGHT(NACHTEILE_RKPROF,LEN(NACHTEILE_RKPROF)-14-FIND($A152,NACHTEILE_RKPROF)),FIND(")",RIGHT(NACHTEILE_RKPROF,LEN(NACHTEILE_RKPROF)-14-FIND($A152,NACHTEILE_RKPROF)))-1))</f>
        <v/>
      </c>
      <c r="N152" t="s">
        <v>3243</v>
      </c>
      <c r="O152" t="str">
        <f t="shared" si="49"/>
        <v/>
      </c>
      <c r="P152" t="str">
        <f t="shared" si="50"/>
        <v/>
      </c>
      <c r="Q152" t="str">
        <f t="shared" ca="1" si="46"/>
        <v/>
      </c>
      <c r="R152" t="str">
        <f t="shared" si="47"/>
        <v/>
      </c>
      <c r="S152" t="str">
        <f t="shared" si="51"/>
        <v/>
      </c>
      <c r="T152" t="str">
        <f t="shared" ca="1" si="52"/>
        <v/>
      </c>
      <c r="U152">
        <f ca="1">SUM(IF(ISNUMBER(VALUE($O152)),VALUE($O152),0),IF(ISNUMBER(VALUE($P152)),VALUE($P152),0),IF(ISNUMBER(VALUE($Q152)),VALUE($Q152),0),IF(ISNUMBER(VALUE($R152)),VALUE($R152),0),IF(ISNUMBER(VALUE($S152)),VALUE($S152),0),IF(ISNUMBER(VALUE($T152)),VALUE($T152),0))-SUM(IF($N152=Generierung!$D$35,Generierung!$E$35,0),IF($N152=Generierung!$D$36,Generierung!$E$36,0))</f>
        <v>0</v>
      </c>
      <c r="V152" t="str">
        <f t="shared" ca="1" si="48"/>
        <v/>
      </c>
    </row>
    <row r="153" spans="1:22" x14ac:dyDescent="0.2">
      <c r="A153" t="str">
        <f t="shared" si="53"/>
        <v>Angst vor B</v>
      </c>
      <c r="E153" t="str">
        <f ca="1">IF(ISERR(FIND($A153,NACHTEILE_RKPROF)),"",LEFT(RIGHT(NACHTEILE_RKPROF,LEN(NACHTEILE_RKPROF)-14-FIND($A153,NACHTEILE_RKPROF)),FIND(")",RIGHT(NACHTEILE_RKPROF,LEN(NACHTEILE_RKPROF)-14-FIND($A153,NACHTEILE_RKPROF)))-1))</f>
        <v/>
      </c>
      <c r="N153" t="s">
        <v>2577</v>
      </c>
      <c r="O153" t="str">
        <f t="shared" si="49"/>
        <v/>
      </c>
      <c r="P153" t="str">
        <f t="shared" si="50"/>
        <v/>
      </c>
      <c r="Q153" t="str">
        <f t="shared" ca="1" si="46"/>
        <v/>
      </c>
      <c r="R153" t="str">
        <f t="shared" si="47"/>
        <v/>
      </c>
      <c r="S153" t="str">
        <f t="shared" si="51"/>
        <v/>
      </c>
      <c r="T153" t="str">
        <f t="shared" ca="1" si="52"/>
        <v/>
      </c>
      <c r="U153">
        <f ca="1">SUM(IF(ISNUMBER(VALUE($O153)),VALUE($O153),0),IF(ISNUMBER(VALUE($P153)),VALUE($P153),0),IF(ISNUMBER(VALUE($Q153)),VALUE($Q153),0),IF(ISNUMBER(VALUE($R153)),VALUE($R153),0),IF(ISNUMBER(VALUE($S153)),VALUE($S153),0),IF(ISNUMBER(VALUE($T153)),VALUE($T153),0))-SUM(IF($N153=Generierung!$D$35,Generierung!$E$35,0),IF($N153=Generierung!$D$36,Generierung!$E$36,0))</f>
        <v>0</v>
      </c>
      <c r="V153" t="str">
        <f t="shared" ca="1" si="48"/>
        <v/>
      </c>
    </row>
    <row r="154" spans="1:22" x14ac:dyDescent="0.2">
      <c r="A154" t="str">
        <f t="shared" si="53"/>
        <v>Angst vor C</v>
      </c>
      <c r="E154" t="str">
        <f ca="1">IF(ISERR(FIND($A154,NACHTEILE_RKPROF)),"",LEFT(RIGHT(NACHTEILE_RKPROF,LEN(NACHTEILE_RKPROF)-14-FIND($A154,NACHTEILE_RKPROF)),FIND(")",RIGHT(NACHTEILE_RKPROF,LEN(NACHTEILE_RKPROF)-14-FIND($A154,NACHTEILE_RKPROF)))-1))</f>
        <v/>
      </c>
      <c r="N154" t="s">
        <v>2881</v>
      </c>
      <c r="O154" t="str">
        <f t="shared" si="49"/>
        <v/>
      </c>
      <c r="P154" t="str">
        <f t="shared" si="50"/>
        <v/>
      </c>
      <c r="Q154" t="str">
        <f t="shared" ca="1" si="46"/>
        <v/>
      </c>
      <c r="R154" t="str">
        <f t="shared" si="47"/>
        <v/>
      </c>
      <c r="S154" t="str">
        <f t="shared" si="51"/>
        <v/>
      </c>
      <c r="T154" t="str">
        <f t="shared" ca="1" si="52"/>
        <v/>
      </c>
      <c r="U154">
        <f ca="1">SUM(IF(ISNUMBER(VALUE($O154)),VALUE($O154),0),IF(ISNUMBER(VALUE($P154)),VALUE($P154),0),IF(ISNUMBER(VALUE($Q154)),VALUE($Q154),0),IF(ISNUMBER(VALUE($R154)),VALUE($R154),0),IF(ISNUMBER(VALUE($S154)),VALUE($S154),0),IF(ISNUMBER(VALUE($T154)),VALUE($T154),0))-SUM(IF($N154=Generierung!$D$35,Generierung!$E$35,0),IF($N154=Generierung!$D$36,Generierung!$E$36,0))</f>
        <v>0</v>
      </c>
      <c r="V154" t="str">
        <f t="shared" ca="1" si="48"/>
        <v/>
      </c>
    </row>
    <row r="155" spans="1:22" x14ac:dyDescent="0.2">
      <c r="A155" t="str">
        <f t="shared" si="53"/>
        <v>Animalische Magie</v>
      </c>
      <c r="B155" t="b">
        <f>IF(ISERROR(FIND($A155,$B$8)),FALSE,TRUE)</f>
        <v>0</v>
      </c>
      <c r="N155" t="s">
        <v>839</v>
      </c>
      <c r="O155" t="str">
        <f t="shared" si="49"/>
        <v/>
      </c>
      <c r="P155" t="str">
        <f t="shared" si="50"/>
        <v/>
      </c>
      <c r="Q155" t="str">
        <f t="shared" ca="1" si="46"/>
        <v/>
      </c>
      <c r="R155" t="str">
        <f t="shared" si="47"/>
        <v/>
      </c>
      <c r="S155" t="str">
        <f t="shared" si="51"/>
        <v/>
      </c>
      <c r="T155" t="str">
        <f t="shared" ca="1" si="52"/>
        <v/>
      </c>
      <c r="U155">
        <f ca="1">SUM(IF(ISNUMBER(VALUE($O155)),VALUE($O155),0),IF(ISNUMBER(VALUE($P155)),VALUE($P155),0),IF(ISNUMBER(VALUE($Q155)),VALUE($Q155),0),IF(ISNUMBER(VALUE($R155)),VALUE($R155),0),IF(ISNUMBER(VALUE($S155)),VALUE($S155),0),IF(ISNUMBER(VALUE($T155)),VALUE($T155),0))-SUM(IF($N155=Generierung!$D$35,Generierung!$E$35,0),IF($N155=Generierung!$D$36,Generierung!$E$36,0))</f>
        <v>0</v>
      </c>
      <c r="V155" t="str">
        <f t="shared" ca="1" si="48"/>
        <v/>
      </c>
    </row>
    <row r="156" spans="1:22" x14ac:dyDescent="0.2">
      <c r="A156" t="str">
        <f t="shared" si="53"/>
        <v>Arkanophobie</v>
      </c>
      <c r="N156" t="s">
        <v>3981</v>
      </c>
      <c r="O156" t="str">
        <f t="shared" si="49"/>
        <v/>
      </c>
      <c r="P156" t="str">
        <f t="shared" si="50"/>
        <v/>
      </c>
      <c r="Q156" t="str">
        <f t="shared" ca="1" si="46"/>
        <v/>
      </c>
      <c r="R156" t="str">
        <f t="shared" si="47"/>
        <v/>
      </c>
      <c r="S156" t="str">
        <f t="shared" si="51"/>
        <v/>
      </c>
      <c r="T156" t="str">
        <f t="shared" ca="1" si="52"/>
        <v/>
      </c>
      <c r="U156">
        <f ca="1">SUM(IF(ISNUMBER(VALUE($O156)),VALUE($O156),0),IF(ISNUMBER(VALUE($P156)),VALUE($P156),0),IF(ISNUMBER(VALUE($Q156)),VALUE($Q156),0),IF(ISNUMBER(VALUE($R156)),VALUE($R156),0),IF(ISNUMBER(VALUE($S156)),VALUE($S156),0),IF(ISNUMBER(VALUE($T156)),VALUE($T156),0))-SUM(IF($N156=Generierung!$D$35,Generierung!$E$35,0),IF($N156=Generierung!$D$36,Generierung!$E$36,0))</f>
        <v>0</v>
      </c>
      <c r="V156" t="str">
        <f t="shared" ca="1" si="48"/>
        <v/>
      </c>
    </row>
    <row r="157" spans="1:22" x14ac:dyDescent="0.2">
      <c r="A157" t="str">
        <f t="shared" si="53"/>
        <v>Arroganz</v>
      </c>
      <c r="N157" t="s">
        <v>841</v>
      </c>
      <c r="O157" t="str">
        <f t="shared" si="49"/>
        <v/>
      </c>
      <c r="P157" t="str">
        <f t="shared" si="50"/>
        <v/>
      </c>
      <c r="Q157" t="str">
        <f t="shared" ca="1" si="46"/>
        <v/>
      </c>
      <c r="R157" t="str">
        <f t="shared" si="47"/>
        <v/>
      </c>
      <c r="S157" t="str">
        <f t="shared" si="51"/>
        <v/>
      </c>
      <c r="T157" t="str">
        <f t="shared" ca="1" si="52"/>
        <v/>
      </c>
      <c r="U157">
        <f ca="1">SUM(IF(ISNUMBER(VALUE($O157)),VALUE($O157),0),IF(ISNUMBER(VALUE($P157)),VALUE($P157),0),IF(ISNUMBER(VALUE($Q157)),VALUE($Q157),0),IF(ISNUMBER(VALUE($R157)),VALUE($R157),0),IF(ISNUMBER(VALUE($S157)),VALUE($S157),0),IF(ISNUMBER(VALUE($T157)),VALUE($T157),0))-SUM(IF($N157=Generierung!$D$35,Generierung!$E$35,0),IF($N157=Generierung!$D$36,Generierung!$E$36,0))</f>
        <v>0</v>
      </c>
      <c r="V157" t="str">
        <f t="shared" ca="1" si="48"/>
        <v/>
      </c>
    </row>
    <row r="158" spans="1:22" x14ac:dyDescent="0.2">
      <c r="A158" t="str">
        <f t="shared" si="53"/>
        <v>Artefaktgebunden</v>
      </c>
      <c r="N158" t="s">
        <v>842</v>
      </c>
      <c r="O158" t="str">
        <f t="shared" si="49"/>
        <v/>
      </c>
      <c r="P158" t="str">
        <f t="shared" si="50"/>
        <v/>
      </c>
      <c r="Q158" t="str">
        <f t="shared" ca="1" si="46"/>
        <v/>
      </c>
      <c r="R158" t="str">
        <f t="shared" si="47"/>
        <v/>
      </c>
      <c r="S158" t="str">
        <f t="shared" si="51"/>
        <v/>
      </c>
      <c r="T158" t="str">
        <f t="shared" ca="1" si="52"/>
        <v/>
      </c>
      <c r="U158">
        <f ca="1">SUM(IF(ISNUMBER(VALUE($O158)),VALUE($O158),0),IF(ISNUMBER(VALUE($P158)),VALUE($P158),0),IF(ISNUMBER(VALUE($Q158)),VALUE($Q158),0),IF(ISNUMBER(VALUE($R158)),VALUE($R158),0),IF(ISNUMBER(VALUE($S158)),VALUE($S158),0),IF(ISNUMBER(VALUE($T158)),VALUE($T158),0))-SUM(IF($N158=Generierung!$D$35,Generierung!$E$35,0),IF($N158=Generierung!$D$36,Generierung!$E$36,0))</f>
        <v>0</v>
      </c>
      <c r="V158" t="str">
        <f t="shared" ca="1" si="48"/>
        <v/>
      </c>
    </row>
    <row r="159" spans="1:22" x14ac:dyDescent="0.2">
      <c r="A159" t="str">
        <f t="shared" si="53"/>
        <v>Astraler Block (V)</v>
      </c>
      <c r="B159" t="b">
        <f>OR(IF(ISERROR(FIND($A159,$B$8)),FALSE,TRUE),B160)</f>
        <v>0</v>
      </c>
      <c r="I159" t="s">
        <v>2731</v>
      </c>
      <c r="N159" t="s">
        <v>843</v>
      </c>
      <c r="O159" t="str">
        <f t="shared" si="49"/>
        <v/>
      </c>
      <c r="P159" t="str">
        <f t="shared" si="50"/>
        <v/>
      </c>
      <c r="Q159" t="str">
        <f t="shared" ca="1" si="46"/>
        <v/>
      </c>
      <c r="R159" t="str">
        <f t="shared" si="47"/>
        <v/>
      </c>
      <c r="S159" t="str">
        <f t="shared" si="51"/>
        <v/>
      </c>
      <c r="T159" t="str">
        <f t="shared" ca="1" si="52"/>
        <v/>
      </c>
      <c r="U159">
        <f ca="1">SUM(IF(ISNUMBER(VALUE($O159)),VALUE($O159),0),IF(ISNUMBER(VALUE($P159)),VALUE($P159),0),IF(ISNUMBER(VALUE($Q159)),VALUE($Q159),0),IF(ISNUMBER(VALUE($R159)),VALUE($R159),0),IF(ISNUMBER(VALUE($S159)),VALUE($S159),0),IF(ISNUMBER(VALUE($T159)),VALUE($T159),0))-SUM(IF($N159=Generierung!$D$35,Generierung!$E$35,0),IF($N159=Generierung!$D$36,Generierung!$E$36,0))</f>
        <v>0</v>
      </c>
      <c r="V159" t="str">
        <f t="shared" ca="1" si="48"/>
        <v/>
      </c>
    </row>
    <row r="160" spans="1:22" x14ac:dyDescent="0.2">
      <c r="A160" t="str">
        <f t="shared" si="53"/>
        <v>Astraler Block (ZH)</v>
      </c>
      <c r="B160" t="b">
        <f>IF(ISERROR(FIND($A160,$B$8)),FALSE,TRUE)</f>
        <v>0</v>
      </c>
      <c r="N160" t="s">
        <v>3986</v>
      </c>
      <c r="O160" t="str">
        <f t="shared" si="49"/>
        <v/>
      </c>
      <c r="P160" t="str">
        <f t="shared" si="50"/>
        <v/>
      </c>
      <c r="Q160" t="str">
        <f ca="1">IF(NOT(ISERR(FIND($N160,$W$106))),MID($W$106,SUM(FIND($N160,$W$106),LEN($N160),1),2),"")</f>
        <v/>
      </c>
      <c r="R160" t="str">
        <f t="shared" si="47"/>
        <v/>
      </c>
      <c r="S160" t="str">
        <f t="shared" si="51"/>
        <v/>
      </c>
      <c r="T160" t="str">
        <f t="shared" ca="1" si="52"/>
        <v/>
      </c>
      <c r="U160">
        <f ca="1">SUM(IF(ISNUMBER(VALUE($O160)),VALUE($O160),0),IF(ISNUMBER(VALUE($P160)),VALUE($P160),0),IF(ISNUMBER(VALUE($Q160)),VALUE($Q160),0),IF(ISNUMBER(VALUE($R160)),VALUE($R160),0),IF(ISNUMBER(VALUE($S160)),VALUE($S160),0),IF(ISNUMBER(VALUE($T160)),VALUE($T160),0))-SUM(IF($N160=Generierung!$D$35,Generierung!$E$35,0),IF($N160=Generierung!$D$36,Generierung!$E$36,0))</f>
        <v>0</v>
      </c>
      <c r="V160" t="str">
        <f t="shared" ca="1" si="48"/>
        <v/>
      </c>
    </row>
    <row r="161" spans="1:22" x14ac:dyDescent="0.2">
      <c r="A161" t="str">
        <f t="shared" si="53"/>
        <v>Autoritätsgläubig</v>
      </c>
      <c r="N161" t="s">
        <v>3655</v>
      </c>
      <c r="O161" t="str">
        <f t="shared" si="49"/>
        <v/>
      </c>
      <c r="P161" t="str">
        <f t="shared" si="50"/>
        <v/>
      </c>
      <c r="Q161" t="str">
        <f ca="1">IF(NOT(ISERR(FIND($N161,$W$106))),MID($W$106,SUM(FIND($N161,$W$106),LEN($N161),1),2),"")</f>
        <v/>
      </c>
      <c r="R161" t="str">
        <f t="shared" si="47"/>
        <v/>
      </c>
      <c r="S161" t="str">
        <f t="shared" si="51"/>
        <v/>
      </c>
      <c r="T161" t="str">
        <f t="shared" ca="1" si="52"/>
        <v/>
      </c>
      <c r="U161">
        <f ca="1">SUM(IF(ISNUMBER(VALUE($O161)),VALUE($O161),0),IF(ISNUMBER(VALUE($P161)),VALUE($P161),0),IF(ISNUMBER(VALUE($Q161)),VALUE($Q161),0),IF(ISNUMBER(VALUE($R161)),VALUE($R161),0),IF(ISNUMBER(VALUE($S161)),VALUE($S161),0),IF(ISNUMBER(VALUE($T161)),VALUE($T161),0))-SUM(IF($N161=Generierung!$D$35,Generierung!$E$35,0),IF($N161=Generierung!$D$36,Generierung!$E$36,0))</f>
        <v>0</v>
      </c>
      <c r="V161" t="str">
        <f t="shared" ca="1" si="48"/>
        <v/>
      </c>
    </row>
    <row r="162" spans="1:22" x14ac:dyDescent="0.2">
      <c r="A162" t="str">
        <f t="shared" si="53"/>
        <v>Behäbig</v>
      </c>
      <c r="B162" t="b">
        <f>IF(ISERROR(FIND($A162,$B$8)),FALSE,TRUE)</f>
        <v>0</v>
      </c>
      <c r="N162" t="s">
        <v>753</v>
      </c>
      <c r="O162" t="str">
        <f t="shared" si="49"/>
        <v/>
      </c>
      <c r="P162" t="str">
        <f t="shared" si="50"/>
        <v/>
      </c>
      <c r="Q162" t="str">
        <f ca="1">IF(NOT(ISERR(FIND($N162,$W$106))),MID($W$106,SUM(FIND($N162,$W$106),LEN($N162),1),2),"")</f>
        <v/>
      </c>
      <c r="R162" t="str">
        <f t="shared" si="47"/>
        <v/>
      </c>
      <c r="S162" t="str">
        <f t="shared" si="51"/>
        <v/>
      </c>
      <c r="T162" t="str">
        <f t="shared" ca="1" si="52"/>
        <v/>
      </c>
      <c r="U162">
        <f ca="1">SUM(IF(ISNUMBER(VALUE($O162)),VALUE($O162),0),IF(ISNUMBER(VALUE($P162)),VALUE($P162),0),IF(ISNUMBER(VALUE($Q162)),VALUE($Q162),0),IF(ISNUMBER(VALUE($R162)),VALUE($R162),0),IF(ISNUMBER(VALUE($S162)),VALUE($S162),0),IF(ISNUMBER(VALUE($T162)),VALUE($T162),0))-SUM(IF($N162=Generierung!$D$35,Generierung!$E$35,0),IF($N162=Generierung!$D$36,Generierung!$E$36,0))</f>
        <v>0</v>
      </c>
      <c r="V162" t="str">
        <f t="shared" ca="1" si="48"/>
        <v/>
      </c>
    </row>
    <row r="163" spans="1:22" x14ac:dyDescent="0.2">
      <c r="A163" t="str">
        <f t="shared" si="53"/>
        <v>Blutdurst</v>
      </c>
      <c r="N163" t="s">
        <v>754</v>
      </c>
      <c r="O163" t="str">
        <f t="shared" si="49"/>
        <v/>
      </c>
      <c r="P163" t="str">
        <f t="shared" si="50"/>
        <v/>
      </c>
      <c r="Q163" t="str">
        <f ca="1">IF(NOT(ISERR(FIND($N163,$W$106))),MID($W$106,SUM(FIND($N163,$W$106),LEN($N163),1),2),"")</f>
        <v/>
      </c>
      <c r="R163" t="str">
        <f t="shared" si="47"/>
        <v/>
      </c>
      <c r="S163" t="str">
        <f t="shared" si="51"/>
        <v/>
      </c>
      <c r="T163" t="str">
        <f t="shared" ca="1" si="52"/>
        <v/>
      </c>
      <c r="U163">
        <f ca="1">SUM(IF(ISNUMBER(VALUE($O163)),VALUE($O163),0),IF(ISNUMBER(VALUE($P163)),VALUE($P163),0),IF(ISNUMBER(VALUE($Q163)),VALUE($Q163),0),IF(ISNUMBER(VALUE($R163)),VALUE($R163),0),IF(ISNUMBER(VALUE($S163)),VALUE($S163),0),IF(ISNUMBER(VALUE($T163)),VALUE($T163),0))-SUM(IF($N163=Generierung!$D$35,Generierung!$E$35,0),IF($N163=Generierung!$D$36,Generierung!$E$36,0))</f>
        <v>0</v>
      </c>
      <c r="V163" t="str">
        <f t="shared" ca="1" si="48"/>
        <v/>
      </c>
    </row>
    <row r="164" spans="1:22" x14ac:dyDescent="0.2">
      <c r="A164" t="str">
        <f t="shared" si="53"/>
        <v>Blutrausch</v>
      </c>
      <c r="B164" t="b">
        <f>IF(AND(NOT(ISERROR(FIND($A164,$B$8))),NOT(ISERROR(FIND($A103,$B$7)))),TRUE,FALSE)</f>
        <v>0</v>
      </c>
      <c r="C164" t="str">
        <f>$A103</f>
        <v>Kampfrausch</v>
      </c>
      <c r="H164" t="str">
        <f>IF($B164,CONCATENATE($A164,": nicht mit ",$C164," kombinierbar; "),"")</f>
        <v/>
      </c>
      <c r="N164" t="s">
        <v>756</v>
      </c>
      <c r="O164" t="str">
        <f t="shared" si="49"/>
        <v/>
      </c>
      <c r="P164" t="str">
        <f t="shared" si="50"/>
        <v/>
      </c>
      <c r="Q164" t="str">
        <f t="shared" ref="Q164:Q183" ca="1" si="54">IF(NOT(ISERR(FIND($N164,$W$106))),MID($W$106,SUM(FIND($N164,$W$106),LEN($N164),1),2),"")</f>
        <v/>
      </c>
      <c r="R164" t="str">
        <f t="shared" si="47"/>
        <v/>
      </c>
      <c r="S164" t="str">
        <f t="shared" si="51"/>
        <v/>
      </c>
      <c r="T164" t="str">
        <f t="shared" ca="1" si="52"/>
        <v/>
      </c>
      <c r="U164">
        <f ca="1">SUM(IF(ISNUMBER(VALUE($O164)),VALUE($O164),0),IF(ISNUMBER(VALUE($P164)),VALUE($P164),0),IF(ISNUMBER(VALUE($Q164)),VALUE($Q164),0),IF(ISNUMBER(VALUE($R164)),VALUE($R164),0),IF(ISNUMBER(VALUE($S164)),VALUE($S164),0),IF(ISNUMBER(VALUE($T164)),VALUE($T164),0))-SUM(IF($N164=Generierung!$D$35,Generierung!$E$35,0),IF($N164=Generierung!$D$36,Generierung!$E$36,0))</f>
        <v>0</v>
      </c>
      <c r="V164" t="str">
        <f t="shared" ca="1" si="48"/>
        <v/>
      </c>
    </row>
    <row r="165" spans="1:22" x14ac:dyDescent="0.2">
      <c r="A165" t="str">
        <f t="shared" si="53"/>
        <v>Brünstigkeit</v>
      </c>
      <c r="N165" t="s">
        <v>1232</v>
      </c>
      <c r="O165" t="str">
        <f t="shared" si="49"/>
        <v/>
      </c>
      <c r="P165" t="str">
        <f t="shared" si="50"/>
        <v/>
      </c>
      <c r="Q165" t="str">
        <f t="shared" ca="1" si="54"/>
        <v/>
      </c>
      <c r="R165" t="str">
        <f t="shared" si="47"/>
        <v/>
      </c>
      <c r="S165" t="str">
        <f t="shared" si="51"/>
        <v/>
      </c>
      <c r="T165" t="str">
        <f t="shared" ca="1" si="52"/>
        <v/>
      </c>
      <c r="U165">
        <f ca="1">SUM(IF(ISNUMBER(VALUE($O165)),VALUE($O165),0),IF(ISNUMBER(VALUE($P165)),VALUE($P165),0),IF(ISNUMBER(VALUE($Q165)),VALUE($Q165),0),IF(ISNUMBER(VALUE($R165)),VALUE($R165),0),IF(ISNUMBER(VALUE($S165)),VALUE($S165),0),IF(ISNUMBER(VALUE($T165)),VALUE($T165),0))-SUM(IF($N165=Generierung!$D$35,Generierung!$E$35,0),IF($N165=Generierung!$D$36,Generierung!$E$36,0))</f>
        <v>0</v>
      </c>
    </row>
    <row r="166" spans="1:22" x14ac:dyDescent="0.2">
      <c r="A166" t="str">
        <f t="shared" si="53"/>
        <v>Charyptophilie</v>
      </c>
      <c r="N166" t="s">
        <v>757</v>
      </c>
      <c r="O166" t="str">
        <f t="shared" si="49"/>
        <v/>
      </c>
      <c r="P166" t="str">
        <f t="shared" si="50"/>
        <v/>
      </c>
      <c r="Q166" t="str">
        <f t="shared" ca="1" si="54"/>
        <v/>
      </c>
      <c r="R166" t="str">
        <f t="shared" si="47"/>
        <v/>
      </c>
      <c r="S166" t="str">
        <f t="shared" si="51"/>
        <v/>
      </c>
      <c r="T166" t="str">
        <f t="shared" ca="1" si="52"/>
        <v/>
      </c>
      <c r="U166">
        <f ca="1">SUM(IF(ISNUMBER(VALUE($O166)),VALUE($O166),0),IF(ISNUMBER(VALUE($P166)),VALUE($P166),0),IF(ISNUMBER(VALUE($Q166)),VALUE($Q166),0),IF(ISNUMBER(VALUE($R166)),VALUE($R166),0),IF(ISNUMBER(VALUE($S166)),VALUE($S166),0),IF(ISNUMBER(VALUE($T166)),VALUE($T166),0))-SUM(IF($N166=Generierung!$D$35,Generierung!$E$35,0),IF($N166=Generierung!$D$36,Generierung!$E$36,0))</f>
        <v>0</v>
      </c>
      <c r="V166" t="str">
        <f t="shared" ca="1" si="48"/>
        <v/>
      </c>
    </row>
    <row r="167" spans="1:22" x14ac:dyDescent="0.2">
      <c r="A167" t="str">
        <f t="shared" si="53"/>
        <v>Dunkelangst</v>
      </c>
      <c r="N167" t="s">
        <v>758</v>
      </c>
      <c r="O167" t="str">
        <f t="shared" si="49"/>
        <v/>
      </c>
      <c r="P167" t="str">
        <f t="shared" si="50"/>
        <v/>
      </c>
      <c r="Q167" t="str">
        <f t="shared" ca="1" si="54"/>
        <v/>
      </c>
      <c r="R167" t="str">
        <f t="shared" si="47"/>
        <v/>
      </c>
      <c r="S167" t="str">
        <f t="shared" si="51"/>
        <v/>
      </c>
      <c r="T167" t="str">
        <f t="shared" ca="1" si="52"/>
        <v/>
      </c>
      <c r="U167">
        <f ca="1">SUM(IF(ISNUMBER(VALUE($O167)),VALUE($O167),0),IF(ISNUMBER(VALUE($P167)),VALUE($P167),0),IF(ISNUMBER(VALUE($Q167)),VALUE($Q167),0),IF(ISNUMBER(VALUE($R167)),VALUE($R167),0),IF(ISNUMBER(VALUE($S167)),VALUE($S167),0),IF(ISNUMBER(VALUE($T167)),VALUE($T167),0))-SUM(IF($N167=Generierung!$D$35,Generierung!$E$35,0),IF($N167=Generierung!$D$36,Generierung!$E$36,0))</f>
        <v>0</v>
      </c>
      <c r="V167" t="str">
        <f t="shared" ca="1" si="48"/>
        <v/>
      </c>
    </row>
    <row r="168" spans="1:22" x14ac:dyDescent="0.2">
      <c r="A168" t="str">
        <f t="shared" si="53"/>
        <v>Einarmig</v>
      </c>
      <c r="N168" t="s">
        <v>845</v>
      </c>
      <c r="O168" t="str">
        <f t="shared" si="49"/>
        <v/>
      </c>
      <c r="P168" t="str">
        <f t="shared" si="50"/>
        <v/>
      </c>
      <c r="Q168" t="str">
        <f t="shared" ca="1" si="54"/>
        <v/>
      </c>
      <c r="R168" t="str">
        <f t="shared" si="47"/>
        <v/>
      </c>
      <c r="S168" t="str">
        <f t="shared" si="51"/>
        <v/>
      </c>
      <c r="T168" t="str">
        <f t="shared" ca="1" si="52"/>
        <v/>
      </c>
      <c r="U168">
        <f ca="1">SUM(IF(ISNUMBER(VALUE($O168)),VALUE($O168),0),IF(ISNUMBER(VALUE($P168)),VALUE($P168),0),IF(ISNUMBER(VALUE($Q168)),VALUE($Q168),0),IF(ISNUMBER(VALUE($R168)),VALUE($R168),0),IF(ISNUMBER(VALUE($S168)),VALUE($S168),0),IF(ISNUMBER(VALUE($T168)),VALUE($T168),0))-SUM(IF($N168=Generierung!$D$35,Generierung!$E$35,0),IF($N168=Generierung!$D$36,Generierung!$E$36,0))</f>
        <v>0</v>
      </c>
      <c r="V168" t="str">
        <f t="shared" ca="1" si="48"/>
        <v/>
      </c>
    </row>
    <row r="169" spans="1:22" x14ac:dyDescent="0.2">
      <c r="A169" t="str">
        <f t="shared" si="53"/>
        <v>Einäugig</v>
      </c>
      <c r="N169" t="s">
        <v>844</v>
      </c>
      <c r="O169" t="str">
        <f t="shared" si="49"/>
        <v/>
      </c>
      <c r="P169" t="str">
        <f t="shared" si="50"/>
        <v/>
      </c>
      <c r="Q169" t="str">
        <f t="shared" ca="1" si="54"/>
        <v/>
      </c>
      <c r="R169" t="str">
        <f t="shared" si="47"/>
        <v/>
      </c>
      <c r="S169" t="str">
        <f t="shared" si="51"/>
        <v/>
      </c>
      <c r="T169" t="str">
        <f t="shared" ca="1" si="52"/>
        <v/>
      </c>
      <c r="U169">
        <f ca="1">SUM(IF(ISNUMBER(VALUE($O169)),VALUE($O169),0),IF(ISNUMBER(VALUE($P169)),VALUE($P169),0),IF(ISNUMBER(VALUE($Q169)),VALUE($Q169),0),IF(ISNUMBER(VALUE($R169)),VALUE($R169),0),IF(ISNUMBER(VALUE($S169)),VALUE($S169),0),IF(ISNUMBER(VALUE($T169)),VALUE($T169),0))-SUM(IF($N169=Generierung!$D$35,Generierung!$E$35,0),IF($N169=Generierung!$D$36,Generierung!$E$36,0))</f>
        <v>0</v>
      </c>
      <c r="V169" t="str">
        <f t="shared" ca="1" si="48"/>
        <v/>
      </c>
    </row>
    <row r="170" spans="1:22" x14ac:dyDescent="0.2">
      <c r="A170" t="str">
        <f t="shared" si="53"/>
        <v>Einbeinig</v>
      </c>
      <c r="B170" t="b">
        <f>IF(ISERROR(FIND($A170,$B$8)),FALSE,TRUE)</f>
        <v>0</v>
      </c>
      <c r="C170" t="s">
        <v>674</v>
      </c>
      <c r="I170" t="s">
        <v>4859</v>
      </c>
      <c r="N170" t="s">
        <v>760</v>
      </c>
      <c r="O170">
        <f>IF($W$96="",0,IF(ISERROR(FIND($N170&amp;" ",$W$96)),0,VALUE(LEFT(MID($W$96,FIND($N170&amp;" ",$W$96)+9,7),FIND("D",MID($W$96,FIND($N170&amp;" ",$W$96)+9,7))-1))))</f>
        <v>0</v>
      </c>
      <c r="P170">
        <f>IF($W$101="",0,IF(ISERROR(FIND($N170&amp;" ",$W$101)),0,VALUE(LEFT(MID($W$101,FIND($N170&amp;" ",$W$101)+9,7),FIND("D",MID($W$101,FIND($N170&amp;" ",$W$101)+9,7))-1))))</f>
        <v>0</v>
      </c>
      <c r="Q170">
        <f ca="1">IF($W$106="",0,IF(ISERROR(FIND($N170&amp;" ",$W$106)),0,VALUE(LEFT(MID($W$106,FIND($N170&amp;" ",$W$106)+9,7),FIND("D",MID($W$106,FIND($N170&amp;" ",$W$106)+9,7))-1))))</f>
        <v>0</v>
      </c>
      <c r="R170">
        <f>IF($W$116="",0,IF(ISERROR(FIND($N170&amp;" ",$W$116)),0,VALUE(LEFT(MID($W$116,FIND($N170&amp;" ",$W$116)+9,7),FIND("D",MID($W$116,FIND($N170&amp;" ",$W$116)+9,7))-1))))</f>
        <v>0</v>
      </c>
      <c r="S170">
        <f>IF($W$122="",0,IF(ISERROR(FIND($N170&amp;" ",$W$122)),0,VALUE(LEFT(MID($W$122,FIND($N170&amp;" ",$W$122)+9,7),FIND("D",MID($W$122,FIND($N170&amp;" ",$W$122)+9,7))-1))))</f>
        <v>0</v>
      </c>
      <c r="T170">
        <f ca="1">IF($W$127="",0,IF(ISERROR(FIND($N170&amp;" ",$W$127)),0,VALUE(LEFT(MID($W$127,FIND($N170&amp;" ",$W$127)+9,7),FIND("D",MID($W$127,FIND($N170&amp;" ",$W$127)+9,7))-1))))</f>
        <v>0</v>
      </c>
      <c r="U170">
        <f ca="1">SUM(IF(ISNUMBER(VALUE($O170)),VALUE($O170),0),IF(ISNUMBER(VALUE($P170)),VALUE($P170),0),IF(ISNUMBER(VALUE($Q170)),VALUE($Q170),0),IF(ISNUMBER(VALUE($R170)),VALUE($R170),0),IF(ISNUMBER(VALUE($S170)),VALUE($S170),0),IF(ISNUMBER(VALUE($T170)),VALUE($T170),0))-SUM(IF($N170=Generierung!$D$35,Generierung!$E$35,0),IF($N170=Generierung!$D$36,Generierung!$E$36,0))</f>
        <v>0</v>
      </c>
      <c r="V170" t="str">
        <f ca="1">IF(U170&gt;0,CONCATENATE(", ",N170," ",U170," D"),"")</f>
        <v/>
      </c>
    </row>
    <row r="171" spans="1:22" x14ac:dyDescent="0.2">
      <c r="A171" t="str">
        <f t="shared" si="53"/>
        <v>Einbildungen</v>
      </c>
      <c r="N171" t="s">
        <v>4648</v>
      </c>
      <c r="O171" t="str">
        <f t="shared" si="49"/>
        <v/>
      </c>
      <c r="P171" t="str">
        <f t="shared" si="50"/>
        <v/>
      </c>
      <c r="Q171" t="str">
        <f t="shared" ca="1" si="54"/>
        <v/>
      </c>
      <c r="R171" t="str">
        <f t="shared" si="47"/>
        <v/>
      </c>
      <c r="S171" t="str">
        <f t="shared" si="51"/>
        <v/>
      </c>
      <c r="T171" t="str">
        <f t="shared" ca="1" si="52"/>
        <v/>
      </c>
      <c r="U171">
        <f ca="1">SUM(IF(ISNUMBER(VALUE($O171)),VALUE($O171),0),IF(ISNUMBER(VALUE($P171)),VALUE($P171),0),IF(ISNUMBER(VALUE($Q171)),VALUE($Q171),0),IF(ISNUMBER(VALUE($R171)),VALUE($R171),0),IF(ISNUMBER(VALUE($S171)),VALUE($S171),0),IF(ISNUMBER(VALUE($T171)),VALUE($T171),0))-SUM(IF($N171=Generierung!$D$35,Generierung!$E$35,0),IF($N171=Generierung!$D$36,Generierung!$E$36,0))</f>
        <v>0</v>
      </c>
      <c r="V171" t="str">
        <f t="shared" ca="1" si="48"/>
        <v/>
      </c>
    </row>
    <row r="172" spans="1:22" x14ac:dyDescent="0.2">
      <c r="A172" t="str">
        <f t="shared" si="53"/>
        <v>Eingeschränkter Sinn</v>
      </c>
      <c r="N172" t="s">
        <v>3646</v>
      </c>
      <c r="O172" t="str">
        <f t="shared" si="49"/>
        <v/>
      </c>
      <c r="P172" t="str">
        <f t="shared" si="50"/>
        <v/>
      </c>
      <c r="Q172" t="str">
        <f t="shared" ca="1" si="54"/>
        <v/>
      </c>
      <c r="R172" t="str">
        <f t="shared" si="47"/>
        <v/>
      </c>
      <c r="S172" t="str">
        <f t="shared" si="51"/>
        <v/>
      </c>
      <c r="T172" t="str">
        <f t="shared" ca="1" si="52"/>
        <v/>
      </c>
      <c r="U172">
        <f ca="1">SUM(IF(ISNUMBER(VALUE($O172)),VALUE($O172),0),IF(ISNUMBER(VALUE($P172)),VALUE($P172),0),IF(ISNUMBER(VALUE($Q172)),VALUE($Q172),0),IF(ISNUMBER(VALUE($R172)),VALUE($R172),0),IF(ISNUMBER(VALUE($S172)),VALUE($S172),0),IF(ISNUMBER(VALUE($T172)),VALUE($T172),0))-SUM(IF($N172=Generierung!$D$35,Generierung!$E$35,0),IF($N172=Generierung!$D$36,Generierung!$E$36,0))</f>
        <v>0</v>
      </c>
      <c r="V172" t="str">
        <f t="shared" ca="1" si="48"/>
        <v/>
      </c>
    </row>
    <row r="173" spans="1:22" x14ac:dyDescent="0.2">
      <c r="A173" t="str">
        <f t="shared" si="53"/>
        <v>Eingeschränte Elementarnähe</v>
      </c>
      <c r="N173" t="s">
        <v>3647</v>
      </c>
      <c r="O173" t="str">
        <f t="shared" si="49"/>
        <v/>
      </c>
      <c r="P173" t="str">
        <f t="shared" si="50"/>
        <v/>
      </c>
      <c r="Q173" t="str">
        <f t="shared" ca="1" si="54"/>
        <v/>
      </c>
      <c r="R173" t="str">
        <f t="shared" si="47"/>
        <v/>
      </c>
      <c r="S173" t="str">
        <f t="shared" si="51"/>
        <v/>
      </c>
      <c r="T173" t="str">
        <f t="shared" ca="1" si="52"/>
        <v/>
      </c>
      <c r="U173">
        <f ca="1">SUM(IF(ISNUMBER(VALUE($O173)),VALUE($O173),0),IF(ISNUMBER(VALUE($P173)),VALUE($P173),0),IF(ISNUMBER(VALUE($Q173)),VALUE($Q173),0),IF(ISNUMBER(VALUE($R173)),VALUE($R173),0),IF(ISNUMBER(VALUE($S173)),VALUE($S173),0),IF(ISNUMBER(VALUE($T173)),VALUE($T173),0))-SUM(IF($N173=Generierung!$D$35,Generierung!$E$35,0),IF($N173=Generierung!$D$36,Generierung!$E$36,0))</f>
        <v>0</v>
      </c>
      <c r="V173" t="str">
        <f t="shared" ca="1" si="48"/>
        <v/>
      </c>
    </row>
    <row r="174" spans="1:22" x14ac:dyDescent="0.2">
      <c r="A174" t="str">
        <f t="shared" si="53"/>
        <v>Einhändig</v>
      </c>
      <c r="N174" t="s">
        <v>847</v>
      </c>
      <c r="O174" t="str">
        <f t="shared" si="49"/>
        <v/>
      </c>
      <c r="P174" t="str">
        <f t="shared" si="50"/>
        <v/>
      </c>
      <c r="Q174" t="str">
        <f t="shared" ca="1" si="54"/>
        <v/>
      </c>
      <c r="R174" t="str">
        <f t="shared" si="47"/>
        <v/>
      </c>
      <c r="S174" t="str">
        <f t="shared" si="51"/>
        <v/>
      </c>
      <c r="T174" t="str">
        <f t="shared" ca="1" si="52"/>
        <v/>
      </c>
      <c r="U174">
        <f ca="1">SUM(IF(ISNUMBER(VALUE($O174)),VALUE($O174),0),IF(ISNUMBER(VALUE($P174)),VALUE($P174),0),IF(ISNUMBER(VALUE($Q174)),VALUE($Q174),0),IF(ISNUMBER(VALUE($R174)),VALUE($R174),0),IF(ISNUMBER(VALUE($S174)),VALUE($S174),0),IF(ISNUMBER(VALUE($T174)),VALUE($T174),0))-SUM(IF($N174=Generierung!$D$35,Generierung!$E$35,0),IF($N174=Generierung!$D$36,Generierung!$E$36,0))</f>
        <v>0</v>
      </c>
      <c r="V174" t="str">
        <f t="shared" ca="1" si="48"/>
        <v/>
      </c>
    </row>
    <row r="175" spans="1:22" x14ac:dyDescent="0.2">
      <c r="A175" t="str">
        <f t="shared" si="53"/>
        <v>Eitelkeit</v>
      </c>
      <c r="N175" t="s">
        <v>4067</v>
      </c>
      <c r="O175" t="str">
        <f t="shared" si="49"/>
        <v/>
      </c>
      <c r="P175" t="str">
        <f t="shared" si="50"/>
        <v/>
      </c>
      <c r="Q175" t="str">
        <f t="shared" ca="1" si="54"/>
        <v/>
      </c>
      <c r="R175" t="str">
        <f t="shared" si="47"/>
        <v/>
      </c>
      <c r="S175" t="str">
        <f t="shared" si="51"/>
        <v/>
      </c>
      <c r="T175" t="str">
        <f t="shared" ca="1" si="52"/>
        <v/>
      </c>
      <c r="U175">
        <f ca="1">SUM(IF(ISNUMBER(VALUE($O175)),VALUE($O175),0),IF(ISNUMBER(VALUE($P175)),VALUE($P175),0),IF(ISNUMBER(VALUE($Q175)),VALUE($Q175),0),IF(ISNUMBER(VALUE($R175)),VALUE($R175),0),IF(ISNUMBER(VALUE($S175)),VALUE($S175),0),IF(ISNUMBER(VALUE($T175)),VALUE($T175),0))-SUM(IF($N175=Generierung!$D$35,Generierung!$E$35,0),IF($N175=Generierung!$D$36,Generierung!$E$36,0))</f>
        <v>0</v>
      </c>
      <c r="V175" t="str">
        <f t="shared" ca="1" si="48"/>
        <v/>
      </c>
    </row>
    <row r="176" spans="1:22" x14ac:dyDescent="0.2">
      <c r="A176" t="str">
        <f t="shared" si="53"/>
        <v>Elfische Weltsicht</v>
      </c>
      <c r="B176" t="b">
        <f>IF(ISERROR(FIND($A176,$B$8)),FALSE,TRUE)</f>
        <v>0</v>
      </c>
      <c r="I176" t="s">
        <v>516</v>
      </c>
      <c r="N176" t="s">
        <v>848</v>
      </c>
      <c r="O176" t="str">
        <f t="shared" si="49"/>
        <v/>
      </c>
      <c r="P176" t="str">
        <f t="shared" si="50"/>
        <v/>
      </c>
      <c r="Q176" t="str">
        <f t="shared" ca="1" si="54"/>
        <v/>
      </c>
      <c r="R176" t="str">
        <f t="shared" si="47"/>
        <v/>
      </c>
      <c r="S176" t="str">
        <f t="shared" si="51"/>
        <v/>
      </c>
      <c r="T176" t="str">
        <f t="shared" ca="1" si="52"/>
        <v/>
      </c>
      <c r="U176">
        <f ca="1">SUM(IF(ISNUMBER(VALUE($O176)),VALUE($O176),0),IF(ISNUMBER(VALUE($P176)),VALUE($P176),0),IF(ISNUMBER(VALUE($Q176)),VALUE($Q176),0),IF(ISNUMBER(VALUE($R176)),VALUE($R176),0),IF(ISNUMBER(VALUE($S176)),VALUE($S176),0),IF(ISNUMBER(VALUE($T176)),VALUE($T176),0))-SUM(IF($N176=Generierung!$D$35,Generierung!$E$35,0),IF($N176=Generierung!$D$36,Generierung!$E$36,0))</f>
        <v>0</v>
      </c>
      <c r="V176" t="str">
        <f t="shared" ca="1" si="48"/>
        <v/>
      </c>
    </row>
    <row r="177" spans="1:22" x14ac:dyDescent="0.2">
      <c r="A177" t="str">
        <f t="shared" si="53"/>
        <v>Farbenblind</v>
      </c>
      <c r="N177" t="s">
        <v>849</v>
      </c>
      <c r="O177" t="str">
        <f t="shared" si="49"/>
        <v/>
      </c>
      <c r="P177" t="str">
        <f t="shared" si="50"/>
        <v/>
      </c>
      <c r="Q177" t="str">
        <f t="shared" ca="1" si="54"/>
        <v/>
      </c>
      <c r="R177" t="str">
        <f t="shared" si="47"/>
        <v/>
      </c>
      <c r="S177" t="str">
        <f t="shared" si="51"/>
        <v/>
      </c>
      <c r="T177" t="str">
        <f t="shared" ca="1" si="52"/>
        <v/>
      </c>
      <c r="U177">
        <f ca="1">SUM(IF(ISNUMBER(VALUE($O177)),VALUE($O177),0),IF(ISNUMBER(VALUE($P177)),VALUE($P177),0),IF(ISNUMBER(VALUE($Q177)),VALUE($Q177),0),IF(ISNUMBER(VALUE($R177)),VALUE($R177),0),IF(ISNUMBER(VALUE($S177)),VALUE($S177),0),IF(ISNUMBER(VALUE($T177)),VALUE($T177),0))-SUM(IF($N177=Generierung!$D$35,Generierung!$E$35,0),IF($N177=Generierung!$D$36,Generierung!$E$36,0))</f>
        <v>0</v>
      </c>
      <c r="V177" t="str">
        <f t="shared" ca="1" si="48"/>
        <v/>
      </c>
    </row>
    <row r="178" spans="1:22" x14ac:dyDescent="0.2">
      <c r="A178" t="str">
        <f t="shared" si="53"/>
        <v>Feind</v>
      </c>
      <c r="N178" t="s">
        <v>3644</v>
      </c>
      <c r="O178" t="str">
        <f t="shared" si="49"/>
        <v/>
      </c>
      <c r="P178" t="str">
        <f t="shared" si="50"/>
        <v/>
      </c>
      <c r="Q178" t="str">
        <f t="shared" ca="1" si="54"/>
        <v/>
      </c>
      <c r="R178" t="str">
        <f t="shared" si="47"/>
        <v/>
      </c>
      <c r="S178" t="str">
        <f t="shared" si="51"/>
        <v/>
      </c>
      <c r="T178" t="str">
        <f t="shared" ca="1" si="52"/>
        <v/>
      </c>
      <c r="U178">
        <f ca="1">SUM(IF(ISNUMBER(VALUE($O178)),VALUE($O178),0),IF(ISNUMBER(VALUE($P178)),VALUE($P178),0),IF(ISNUMBER(VALUE($Q178)),VALUE($Q178),0),IF(ISNUMBER(VALUE($R178)),VALUE($R178),0),IF(ISNUMBER(VALUE($S178)),VALUE($S178),0),IF(ISNUMBER(VALUE($T178)),VALUE($T178),0))-SUM(IF($N178=Generierung!$D$35,Generierung!$E$35,0),IF($N178=Generierung!$D$36,Generierung!$E$36,0))</f>
        <v>0</v>
      </c>
      <c r="V178" t="str">
        <f t="shared" ca="1" si="48"/>
        <v/>
      </c>
    </row>
    <row r="179" spans="1:22" x14ac:dyDescent="0.2">
      <c r="A179" t="str">
        <f t="shared" si="53"/>
        <v>Feste Gewohnheit</v>
      </c>
      <c r="N179" t="s">
        <v>3645</v>
      </c>
      <c r="O179" t="str">
        <f t="shared" si="49"/>
        <v/>
      </c>
      <c r="P179" t="str">
        <f t="shared" si="50"/>
        <v/>
      </c>
      <c r="Q179" t="str">
        <f t="shared" ca="1" si="54"/>
        <v/>
      </c>
      <c r="R179" t="str">
        <f t="shared" si="47"/>
        <v/>
      </c>
      <c r="S179" t="str">
        <f t="shared" si="51"/>
        <v/>
      </c>
      <c r="T179" t="str">
        <f t="shared" ca="1" si="52"/>
        <v/>
      </c>
      <c r="U179">
        <f ca="1">SUM(IF(ISNUMBER(VALUE($O179)),VALUE($O179),0),IF(ISNUMBER(VALUE($P179)),VALUE($P179),0),IF(ISNUMBER(VALUE($Q179)),VALUE($Q179),0),IF(ISNUMBER(VALUE($R179)),VALUE($R179),0),IF(ISNUMBER(VALUE($S179)),VALUE($S179),0),IF(ISNUMBER(VALUE($T179)),VALUE($T179),0))-SUM(IF($N179=Generierung!$D$35,Generierung!$E$35,0),IF($N179=Generierung!$D$36,Generierung!$E$36,0))</f>
        <v>0</v>
      </c>
      <c r="V179" t="str">
        <f t="shared" ca="1" si="48"/>
        <v/>
      </c>
    </row>
    <row r="180" spans="1:22" x14ac:dyDescent="0.2">
      <c r="A180" t="str">
        <f t="shared" si="53"/>
        <v>Festgefügtes Denken</v>
      </c>
      <c r="B180" t="b">
        <f>IF(ISERROR(FIND($A180,$B$8)),FALSE,TRUE)</f>
        <v>0</v>
      </c>
      <c r="N180" t="s">
        <v>4083</v>
      </c>
      <c r="O180" t="str">
        <f t="shared" si="49"/>
        <v/>
      </c>
      <c r="P180" t="str">
        <f t="shared" si="50"/>
        <v/>
      </c>
      <c r="Q180" t="str">
        <f t="shared" ca="1" si="54"/>
        <v/>
      </c>
      <c r="R180" t="str">
        <f t="shared" si="47"/>
        <v/>
      </c>
      <c r="S180" t="str">
        <f t="shared" si="51"/>
        <v/>
      </c>
      <c r="T180" t="str">
        <f t="shared" ca="1" si="52"/>
        <v/>
      </c>
      <c r="U180">
        <f ca="1">SUM(IF(ISNUMBER(VALUE($O180)),VALUE($O180),0),IF(ISNUMBER(VALUE($P180)),VALUE($P180),0),IF(ISNUMBER(VALUE($Q180)),VALUE($Q180),0),IF(ISNUMBER(VALUE($R180)),VALUE($R180),0),IF(ISNUMBER(VALUE($S180)),VALUE($S180),0),IF(ISNUMBER(VALUE($T180)),VALUE($T180),0))-SUM(IF($N180=Generierung!$D$35,Generierung!$E$35,0),IF($N180=Generierung!$D$36,Generierung!$E$36,0))</f>
        <v>0</v>
      </c>
      <c r="V180" t="str">
        <f t="shared" ca="1" si="48"/>
        <v/>
      </c>
    </row>
    <row r="181" spans="1:22" x14ac:dyDescent="0.2">
      <c r="A181" t="str">
        <f t="shared" si="53"/>
        <v>Fettleibig</v>
      </c>
      <c r="B181" t="b">
        <f>IF(ISERROR(FIND($A181,$B$8)),FALSE,TRUE)</f>
        <v>0</v>
      </c>
      <c r="N181" t="s">
        <v>7107</v>
      </c>
      <c r="O181" t="str">
        <f t="shared" si="49"/>
        <v/>
      </c>
      <c r="P181" t="str">
        <f t="shared" si="50"/>
        <v/>
      </c>
      <c r="Q181" t="str">
        <f t="shared" ca="1" si="54"/>
        <v/>
      </c>
      <c r="R181" t="str">
        <f t="shared" si="47"/>
        <v/>
      </c>
      <c r="S181" t="str">
        <f t="shared" si="51"/>
        <v/>
      </c>
      <c r="T181" t="str">
        <f t="shared" ca="1" si="52"/>
        <v/>
      </c>
      <c r="U181">
        <f ca="1">SUM(IF(ISNUMBER(VALUE($O181)),VALUE($O181),0),IF(ISNUMBER(VALUE($P181)),VALUE($P181),0),IF(ISNUMBER(VALUE($Q181)),VALUE($Q181),0),IF(ISNUMBER(VALUE($R181)),VALUE($R181),0),IF(ISNUMBER(VALUE($S181)),VALUE($S181),0),IF(ISNUMBER(VALUE($T181)),VALUE($T181),0))-SUM(IF($N181=Generierung!$D$35,Generierung!$E$35,0),IF($N181=Generierung!$D$36,Generierung!$E$36,0))</f>
        <v>0</v>
      </c>
      <c r="V181" t="str">
        <f ca="1">IF(U181&gt;0,CONCATENATE(", ",N181," ",U181),"")</f>
        <v/>
      </c>
    </row>
    <row r="182" spans="1:22" x14ac:dyDescent="0.2">
      <c r="A182" t="str">
        <f t="shared" si="53"/>
        <v>Fluch der Finsternis I</v>
      </c>
      <c r="N182" t="s">
        <v>7108</v>
      </c>
      <c r="O182" t="str">
        <f t="shared" si="49"/>
        <v/>
      </c>
      <c r="P182" t="str">
        <f t="shared" si="50"/>
        <v/>
      </c>
      <c r="Q182" t="str">
        <f t="shared" ca="1" si="54"/>
        <v/>
      </c>
      <c r="R182" t="str">
        <f t="shared" si="47"/>
        <v/>
      </c>
      <c r="S182" t="str">
        <f t="shared" si="51"/>
        <v/>
      </c>
      <c r="T182" t="str">
        <f t="shared" ca="1" si="52"/>
        <v/>
      </c>
      <c r="U182">
        <f ca="1">SUM(IF(ISNUMBER(VALUE($O182)),VALUE($O182),0),IF(ISNUMBER(VALUE($P182)),VALUE($P182),0),IF(ISNUMBER(VALUE($Q182)),VALUE($Q182),0),IF(ISNUMBER(VALUE($R182)),VALUE($R182),0),IF(ISNUMBER(VALUE($S182)),VALUE($S182),0),IF(ISNUMBER(VALUE($T182)),VALUE($T182),0))-SUM(IF($N182=Generierung!$D$35,Generierung!$E$35,0),IF($N182=Generierung!$D$36,Generierung!$E$36,0))</f>
        <v>0</v>
      </c>
      <c r="V182" t="str">
        <f ca="1">IF(U182&gt;0,CONCATENATE(", ",N182," ",U182),"")</f>
        <v/>
      </c>
    </row>
    <row r="183" spans="1:22" x14ac:dyDescent="0.2">
      <c r="A183" t="str">
        <f t="shared" si="53"/>
        <v>Fluch der Finsternis II</v>
      </c>
      <c r="N183" t="s">
        <v>7109</v>
      </c>
      <c r="O183" t="str">
        <f t="shared" si="49"/>
        <v/>
      </c>
      <c r="P183" t="str">
        <f t="shared" si="50"/>
        <v/>
      </c>
      <c r="Q183" t="str">
        <f t="shared" ca="1" si="54"/>
        <v/>
      </c>
      <c r="R183" t="str">
        <f t="shared" si="47"/>
        <v/>
      </c>
      <c r="S183" t="str">
        <f t="shared" si="51"/>
        <v/>
      </c>
      <c r="T183" t="str">
        <f t="shared" ca="1" si="52"/>
        <v/>
      </c>
      <c r="U183">
        <f ca="1">SUM(IF(ISNUMBER(VALUE($O183)),VALUE($O183),0),IF(ISNUMBER(VALUE($P183)),VALUE($P183),0),IF(ISNUMBER(VALUE($Q183)),VALUE($Q183),0),IF(ISNUMBER(VALUE($R183)),VALUE($R183),0),IF(ISNUMBER(VALUE($S183)),VALUE($S183),0),IF(ISNUMBER(VALUE($T183)),VALUE($T183),0))-SUM(IF($N183=Generierung!$D$35,Generierung!$E$35,0),IF($N183=Generierung!$D$36,Generierung!$E$36,0))</f>
        <v>0</v>
      </c>
      <c r="V183" t="str">
        <f t="shared" ca="1" si="48"/>
        <v/>
      </c>
    </row>
    <row r="184" spans="1:22" x14ac:dyDescent="0.2">
      <c r="A184" t="str">
        <f t="shared" si="53"/>
        <v>Fluch der Finsternis III</v>
      </c>
      <c r="N184" t="s">
        <v>8914</v>
      </c>
    </row>
    <row r="185" spans="1:22" x14ac:dyDescent="0.2">
      <c r="A185" t="str">
        <f t="shared" si="53"/>
        <v>Geiz</v>
      </c>
      <c r="N185" t="s">
        <v>1480</v>
      </c>
      <c r="O185" t="s">
        <v>8918</v>
      </c>
      <c r="P185" t="s">
        <v>8919</v>
      </c>
    </row>
    <row r="186" spans="1:22" x14ac:dyDescent="0.2">
      <c r="A186" t="str">
        <f t="shared" si="53"/>
        <v>Gerechtigkeitswahn</v>
      </c>
      <c r="N186" t="s">
        <v>1273</v>
      </c>
    </row>
    <row r="187" spans="1:22" x14ac:dyDescent="0.2">
      <c r="A187" t="str">
        <f t="shared" si="53"/>
        <v>Gesucht I</v>
      </c>
      <c r="N187" t="s">
        <v>4374</v>
      </c>
      <c r="O187" t="str">
        <f>CONCATENATE(U92,U93,U94,U95,U96)</f>
        <v/>
      </c>
    </row>
    <row r="188" spans="1:22" x14ac:dyDescent="0.2">
      <c r="A188" t="str">
        <f t="shared" si="53"/>
        <v>Gesucht II</v>
      </c>
      <c r="N188" t="s">
        <v>4375</v>
      </c>
      <c r="O188" t="str">
        <f>CONCATENATE(U97,U98,U99,U100,U101)</f>
        <v/>
      </c>
    </row>
    <row r="189" spans="1:22" x14ac:dyDescent="0.2">
      <c r="A189" t="str">
        <f t="shared" si="53"/>
        <v>Gesucht III</v>
      </c>
      <c r="N189" t="s">
        <v>4376</v>
      </c>
      <c r="O189" t="str">
        <f ca="1">CONCATENATE(U102,U103,U104,U105,U106)</f>
        <v/>
      </c>
    </row>
    <row r="190" spans="1:22" x14ac:dyDescent="0.2">
      <c r="A190" t="str">
        <f t="shared" si="53"/>
        <v>Glasknochen</v>
      </c>
      <c r="B190" t="b">
        <f>IF(ISERROR(FIND($A190,$B$8)),FALSE,TRUE)</f>
        <v>0</v>
      </c>
      <c r="N190" t="s">
        <v>4377</v>
      </c>
      <c r="O190" t="str">
        <f ca="1">CONCATENATE(U107,U108,U109,U110,U111,U112,U113,U114,U115,U116)</f>
        <v/>
      </c>
    </row>
    <row r="191" spans="1:22" x14ac:dyDescent="0.2">
      <c r="A191" t="str">
        <f t="shared" si="53"/>
        <v>Goldgier</v>
      </c>
      <c r="N191" t="s">
        <v>4378</v>
      </c>
      <c r="O191" t="str">
        <f ca="1">CONCATENATE(U117,U118,U119,U120,U121,U122)</f>
        <v/>
      </c>
    </row>
    <row r="192" spans="1:22" x14ac:dyDescent="0.2">
      <c r="A192" t="str">
        <f t="shared" si="53"/>
        <v>Grausamkeit</v>
      </c>
      <c r="N192" t="s">
        <v>4379</v>
      </c>
      <c r="O192" t="str">
        <f ca="1">CONCATENATE(U123,U124,U125,U126,U127)</f>
        <v/>
      </c>
    </row>
    <row r="193" spans="1:21" x14ac:dyDescent="0.2">
      <c r="A193" t="str">
        <f t="shared" si="53"/>
        <v>Grössenwahn</v>
      </c>
      <c r="N193" t="s">
        <v>1503</v>
      </c>
      <c r="O193" t="str">
        <f ca="1">CONCATENATE(O187,O188,O189,O190,O191,O192)</f>
        <v/>
      </c>
    </row>
    <row r="194" spans="1:21" x14ac:dyDescent="0.2">
      <c r="A194" t="str">
        <f t="shared" si="53"/>
        <v>Heimwehkrank</v>
      </c>
      <c r="B194" t="b">
        <f ca="1">IF(ISERROR(FIND($A194,$O$193)),FALSE,TRUE)</f>
        <v>0</v>
      </c>
      <c r="I194" t="s">
        <v>2205</v>
      </c>
    </row>
    <row r="195" spans="1:21" x14ac:dyDescent="0.2">
      <c r="A195" t="str">
        <f t="shared" si="53"/>
        <v>Herrschsucht</v>
      </c>
      <c r="N195" t="s">
        <v>8562</v>
      </c>
      <c r="O195" t="str">
        <f ca="1">IF(AND(NT_SPEISE,NOT(NT_SPEISE_NW="")),
IF(NT_SPEISE_WERT="", SUBSTITUTE(O193,"Speisegebote","Speisegebote ("&amp;SUBSTITUTE(NT_SPEISE_NW,",",";")&amp;")"),SUBSTITUTE(O193,"("&amp;SUBSTITUTE(NT_SPEISE_WERT,",",";")&amp;")","("&amp;SUBSTITUTE(NT_SPEISE_NW,",",";")&amp;")")),O193)</f>
        <v/>
      </c>
      <c r="U195" t="str">
        <f>SUBSTITUTE(,",",";")</f>
        <v/>
      </c>
    </row>
    <row r="196" spans="1:21" x14ac:dyDescent="0.2">
      <c r="A196" t="str">
        <f t="shared" si="53"/>
        <v>Hitzeempfindlichkeit</v>
      </c>
      <c r="N196" t="s">
        <v>7408</v>
      </c>
      <c r="O196" t="str">
        <f ca="1">IF(AND(NT_VERPFLICHT,NOT(NT_VERPFLICHT_NW="")),
IF(NT_VERPFLICHT_WERT="", SUBSTITUTE(O195,"Verpflichtungen","Verpflichtungen ("&amp;SUBSTITUTE(NT_VERPFLICHT_NW,",",";")&amp;")"),SUBSTITUTE(O195,"("&amp;SUBSTITUTE(NT_VERPFLICHT_WERT,",",";")&amp;")","("&amp;SUBSTITUTE(NT_VERPFLICHT_NW,",",";")&amp;")")),O195)</f>
        <v/>
      </c>
      <c r="P196" t="s">
        <v>6716</v>
      </c>
    </row>
    <row r="197" spans="1:21" x14ac:dyDescent="0.2">
      <c r="A197" t="str">
        <f t="shared" si="53"/>
        <v>Höhenangst</v>
      </c>
      <c r="N197" t="s">
        <v>8561</v>
      </c>
      <c r="O197" t="str">
        <f ca="1">IF(NT_UNFREI_WERT,
SUBSTITUTE(O196,", Unfrei",", Ehemals Unfrei"),O196)</f>
        <v/>
      </c>
    </row>
    <row r="198" spans="1:21" x14ac:dyDescent="0.2">
      <c r="A198" t="str">
        <f t="shared" si="53"/>
        <v>Impulsiv</v>
      </c>
      <c r="N198" t="s">
        <v>6717</v>
      </c>
      <c r="O198" t="str">
        <f ca="1">IF(AND(NOT(ISERR(FIND("Unansehnlich",O197))),NOT(ISERR(FIND("Widerwärtiges Aussehen",O197)))),
SUBSTITUTE(O197,", Unansehnlich",""),O197)</f>
        <v/>
      </c>
    </row>
    <row r="199" spans="1:21" x14ac:dyDescent="0.2">
      <c r="A199" t="str">
        <f t="shared" si="53"/>
        <v>Jagdfieber</v>
      </c>
      <c r="N199" t="s">
        <v>3764</v>
      </c>
      <c r="O199" t="str">
        <f ca="1">IF(NT_HEIMKRANK,O198&amp;V90,O198)</f>
        <v/>
      </c>
    </row>
    <row r="200" spans="1:21" x14ac:dyDescent="0.2">
      <c r="A200" t="str">
        <f t="shared" si="53"/>
        <v>Jähzorn</v>
      </c>
      <c r="N200" t="s">
        <v>8917</v>
      </c>
      <c r="O200" t="str">
        <f>CONCATENATE(N129,N130,N131,N134,N135,N136,N137&amp;" ",N138,N139,N140,N141,N142,N143,N144,N145,N146,N147,N148,N149,N150,N151,N152,N153,N154,N155,N156,N157,P200)</f>
        <v>AberglaubeAgrimothwahnAngst vor AArkanophobieArroganzAutoritätsgläubigBlutdurst BrünstigkeitCharyptophilieDunkelangstEitelkeitGeizGerechtigkeitswahnGoldgierGrausamkeitGrössenwahnHerrschsuchtHöhenangstJagdfieberJähzornKonstruktionswahnKrankhafte NekromantieKrankhafte ReinlichkeitKurzatmigLandangstMeeresangstMorbiditätNagrachwahnNeidNeugierNiedrige AstralkraftNiedrige LebenskraftNiedrige MagieresistenzPlatzangstPrinzipientreueRachsuchtRaumangstRuhelosigkeitSchöpferwahnSchuldenSensibler GeruchssinnSonnensuchtSpielsuchtStreitsuchtTotenangstTrägheitTreuelosigkeitVerschwendungssuchtVerwöhntVorurteileWeltfremd AWeltfremd BWeltfremd C</v>
      </c>
      <c r="P200" t="str">
        <f>CONCATENATE(N158,N159,N160,N161,N162,N163,N164,N165,N166,N167,N168,N169,N170,N171,N172,N173,N174,N175,N176,N177,N178,N179,N180,N181,N182,N183)</f>
        <v>NagrachwahnNeidNeugierNiedrige AstralkraftNiedrige LebenskraftNiedrige MagieresistenzPlatzangstPrinzipientreueRachsuchtRaumangstRuhelosigkeitSchöpferwahnSchuldenSensibler GeruchssinnSonnensuchtSpielsuchtStreitsuchtTotenangstTrägheitTreuelosigkeitVerschwendungssuchtVerwöhntVorurteileWeltfremd AWeltfremd BWeltfremd C</v>
      </c>
      <c r="T200" t="str">
        <f>O200</f>
        <v>AberglaubeAgrimothwahnAngst vor AArkanophobieArroganzAutoritätsgläubigBlutdurst BrünstigkeitCharyptophilieDunkelangstEitelkeitGeizGerechtigkeitswahnGoldgierGrausamkeitGrössenwahnHerrschsuchtHöhenangstJagdfieberJähzornKonstruktionswahnKrankhafte NekromantieKrankhafte ReinlichkeitKurzatmigLandangstMeeresangstMorbiditätNagrachwahnNeidNeugierNiedrige AstralkraftNiedrige LebenskraftNiedrige MagieresistenzPlatzangstPrinzipientreueRachsuchtRaumangstRuhelosigkeitSchöpferwahnSchuldenSensibler GeruchssinnSonnensuchtSpielsuchtStreitsuchtTotenangstTrägheitTreuelosigkeitVerschwendungssuchtVerwöhntVorurteileWeltfremd AWeltfremd BWeltfremd C</v>
      </c>
    </row>
    <row r="201" spans="1:21" x14ac:dyDescent="0.2">
      <c r="A201" t="str">
        <f t="shared" si="53"/>
        <v>Kälteempfindlichkeit</v>
      </c>
      <c r="N201" t="s">
        <v>8916</v>
      </c>
    </row>
    <row r="202" spans="1:21" x14ac:dyDescent="0.2">
      <c r="A202" t="str">
        <f t="shared" si="53"/>
        <v>Kältestarre</v>
      </c>
      <c r="N202" t="s">
        <v>4897</v>
      </c>
      <c r="O202">
        <f ca="1">SUM(IF(ISERROR(VALUE(Eigenschaften!B46)),0,Eigenschaften!B46),-IF(ISERROR(VALUE(Eigenschaften!G46)),0,Eigenschaften!G46),-IF(ISERROR(VALUE(Eigenschaften!F46)),0,Eigenschaften!F46))</f>
        <v>0</v>
      </c>
      <c r="P202" t="str">
        <f t="shared" ref="P202:P221" ca="1" si="55">IF(O202&gt;0,CONCATENATE(", ",N202," ",O202),"")</f>
        <v/>
      </c>
    </row>
    <row r="203" spans="1:21" x14ac:dyDescent="0.2">
      <c r="A203" t="str">
        <f t="shared" si="53"/>
        <v>Kein Vertrauter</v>
      </c>
      <c r="N203" t="s">
        <v>254</v>
      </c>
      <c r="O203">
        <f ca="1">SUM(IF(ISERROR(VALUE(Eigenschaften!B47)),0,Eigenschaften!B47),-IF(ISERROR(VALUE(Eigenschaften!G47)),0,Eigenschaften!G47),-IF(ISERROR(VALUE(Eigenschaften!F47)),0,Eigenschaften!F47))</f>
        <v>0</v>
      </c>
      <c r="P203" t="str">
        <f t="shared" ca="1" si="55"/>
        <v/>
      </c>
    </row>
    <row r="204" spans="1:21" x14ac:dyDescent="0.2">
      <c r="A204" t="str">
        <f t="shared" si="53"/>
        <v>Kleinwüchsig</v>
      </c>
      <c r="B204" t="b">
        <f>IF(ISERROR(FIND($A204,$B$8)),FALSE,TRUE)</f>
        <v>0</v>
      </c>
      <c r="N204" t="s">
        <v>7104</v>
      </c>
      <c r="O204">
        <f ca="1">SUM(IF(ISERROR(VALUE(Eigenschaften!B48)),0,Eigenschaften!B48),-IF(ISERROR(VALUE(Eigenschaften!G48)),0,Eigenschaften!G48),-IF(ISERROR(VALUE(Eigenschaften!F48)),0,Eigenschaften!F48))</f>
        <v>0</v>
      </c>
      <c r="P204" t="str">
        <f ca="1">IF(O204&gt;0,CONCATENATE(", ",LEFT(N204,LEN(N204)-2)&amp;" ",IF(Eigenschaften!E48="","",SUBSTITUTE(Eigenschaften!E48,",",";")&amp;" "),O204),"")</f>
        <v/>
      </c>
    </row>
    <row r="205" spans="1:21" x14ac:dyDescent="0.2">
      <c r="A205" t="str">
        <f t="shared" si="53"/>
        <v>Konstruktionswahn</v>
      </c>
      <c r="N205" t="s">
        <v>7105</v>
      </c>
      <c r="O205">
        <f ca="1">SUM(IF(ISERROR(VALUE(Eigenschaften!B49)),0,Eigenschaften!B49),-IF(ISERROR(VALUE(Eigenschaften!G49)),0,Eigenschaften!G49),-IF(ISERROR(VALUE(Eigenschaften!F49)),0,Eigenschaften!F49))</f>
        <v>0</v>
      </c>
      <c r="P205" t="str">
        <f ca="1">IF(O205&gt;0,CONCATENATE(", ",LEFT(N205,LEN(N205)-2)&amp;" ",IF(Eigenschaften!E49="","",SUBSTITUTE(Eigenschaften!E49,",",";")&amp;" "),O205),"")</f>
        <v/>
      </c>
    </row>
    <row r="206" spans="1:21" x14ac:dyDescent="0.2">
      <c r="A206" t="str">
        <f t="shared" si="53"/>
        <v>Körpergebundene Kraft</v>
      </c>
      <c r="N206" t="s">
        <v>7106</v>
      </c>
      <c r="O206">
        <f ca="1">SUM(IF(ISERROR(VALUE(Eigenschaften!B50)),0,Eigenschaften!B50),-IF(ISERROR(VALUE(Eigenschaften!G50)),0,Eigenschaften!G50),-IF(ISERROR(VALUE(Eigenschaften!F50)),0,Eigenschaften!F50))</f>
        <v>0</v>
      </c>
      <c r="P206" t="str">
        <f ca="1">IF(O206&gt;0,CONCATENATE(", ",LEFT(N206,LEN(N206)-2)&amp;" ",IF(Eigenschaften!E50="","",SUBSTITUTE(Eigenschaften!E50,",",";")&amp;" "),O206),"")</f>
        <v/>
      </c>
    </row>
    <row r="207" spans="1:21" x14ac:dyDescent="0.2">
      <c r="A207" t="str">
        <f t="shared" si="53"/>
        <v>Krankhafte Nekromantie</v>
      </c>
      <c r="N207" t="s">
        <v>4460</v>
      </c>
      <c r="O207">
        <f ca="1">SUM(IF(ISERROR(VALUE(Eigenschaften!B51)),0,Eigenschaften!B51),-IF(ISERROR(VALUE(Eigenschaften!G51)),0,Eigenschaften!G51),-IF(ISERROR(VALUE(Eigenschaften!F51)),0,Eigenschaften!F51))</f>
        <v>0</v>
      </c>
      <c r="P207" t="str">
        <f t="shared" ca="1" si="55"/>
        <v/>
      </c>
    </row>
    <row r="208" spans="1:21" x14ac:dyDescent="0.2">
      <c r="A208" t="str">
        <f t="shared" si="53"/>
        <v>Krankhafte Reinlichkeit</v>
      </c>
      <c r="N208" t="s">
        <v>4946</v>
      </c>
      <c r="O208">
        <f ca="1">SUM(IF(ISERROR(VALUE(Eigenschaften!B52)),0,Eigenschaften!B52),-IF(ISERROR(VALUE(Eigenschaften!G52)),0,Eigenschaften!G52),-IF(ISERROR(VALUE(Eigenschaften!F52)),0,Eigenschaften!F52))</f>
        <v>0</v>
      </c>
      <c r="P208" t="str">
        <f t="shared" ca="1" si="55"/>
        <v/>
      </c>
    </row>
    <row r="209" spans="1:16" x14ac:dyDescent="0.2">
      <c r="A209" t="str">
        <f t="shared" si="53"/>
        <v>Krankheitsanfällig</v>
      </c>
      <c r="B209" t="b">
        <f>IF(AND(NOT(ISERROR(FIND($A209,$B$8))),NOT(ISERROR(FIND($A116,$B$7)))),TRUE,FALSE)</f>
        <v>0</v>
      </c>
      <c r="C209" t="str">
        <f>$A116</f>
        <v>Resistenz gegen Krankheiten</v>
      </c>
      <c r="H209" t="str">
        <f>IF($B209,CONCATENATE($A209,": nicht mit ",$C209," kombinierbar; "),"")</f>
        <v/>
      </c>
      <c r="N209" t="s">
        <v>252</v>
      </c>
      <c r="O209">
        <f ca="1">SUM(IF(ISERROR(VALUE(Eigenschaften!B53)),0,Eigenschaften!B53),-IF(ISERROR(VALUE(Eigenschaften!G53)),0,Eigenschaften!G53),-IF(ISERROR(VALUE(Eigenschaften!F53)),0,Eigenschaften!F53))</f>
        <v>0</v>
      </c>
      <c r="P209" t="str">
        <f t="shared" ca="1" si="55"/>
        <v/>
      </c>
    </row>
    <row r="210" spans="1:16" x14ac:dyDescent="0.2">
      <c r="A210" t="str">
        <f t="shared" si="53"/>
        <v>Kristallgebunden</v>
      </c>
      <c r="N210" t="s">
        <v>627</v>
      </c>
      <c r="O210">
        <f ca="1">SUM(IF(ISERROR(VALUE(Eigenschaften!B54)),0,Eigenschaften!B54),-IF(ISERROR(VALUE(Eigenschaften!G54)),0,Eigenschaften!G54),-IF(ISERROR(VALUE(Eigenschaften!F54)),0,Eigenschaften!F54))</f>
        <v>0</v>
      </c>
      <c r="P210" t="str">
        <f t="shared" ca="1" si="55"/>
        <v/>
      </c>
    </row>
    <row r="211" spans="1:16" x14ac:dyDescent="0.2">
      <c r="A211" t="str">
        <f t="shared" si="53"/>
        <v>Kurzatmig</v>
      </c>
      <c r="B211" t="b">
        <f>IF(ISERROR(FIND($A211,$B$8)),FALSE,TRUE)</f>
        <v>0</v>
      </c>
      <c r="C211" t="s">
        <v>2331</v>
      </c>
      <c r="D211">
        <f>IF(ISERR(FIND($A211,NACHTEILEGENE)),0,IF(ISERROR(VALUE(MID(NACHTEILEGENE,SUM(FIND($A211,NACHTEILEGENE),LEN($A211),1),1))),0,-VALUE(MID(NACHTEILEGENE,SUM(FIND($A211,NACHTEILEGENE),LEN($A211),1),1))))</f>
        <v>0</v>
      </c>
      <c r="I211" t="s">
        <v>2329</v>
      </c>
      <c r="J211" t="s">
        <v>2330</v>
      </c>
      <c r="N211" t="s">
        <v>628</v>
      </c>
      <c r="O211">
        <f ca="1">SUM(IF(ISERROR(VALUE(Eigenschaften!B55)),0,Eigenschaften!B55),-IF(ISERROR(VALUE(Eigenschaften!G55)),0,Eigenschaften!G55),-IF(ISERROR(VALUE(Eigenschaften!F55)),0,Eigenschaften!F55))</f>
        <v>0</v>
      </c>
      <c r="P211" t="str">
        <f t="shared" ca="1" si="55"/>
        <v/>
      </c>
    </row>
    <row r="212" spans="1:16" x14ac:dyDescent="0.2">
      <c r="A212" t="str">
        <f t="shared" si="53"/>
        <v>Lahm</v>
      </c>
      <c r="B212" t="b">
        <f>IF(ISERROR(FIND($A212,$B$8)),FALSE,TRUE)</f>
        <v>0</v>
      </c>
      <c r="C212" t="s">
        <v>398</v>
      </c>
      <c r="I212" t="s">
        <v>555</v>
      </c>
      <c r="N212" t="s">
        <v>4839</v>
      </c>
      <c r="O212">
        <f ca="1">SUM(IF(ISERROR(VALUE(Eigenschaften!B56)),0,Eigenschaften!B56),-IF(ISERROR(VALUE(Eigenschaften!G56)),0,Eigenschaften!G56),-IF(ISERROR(VALUE(Eigenschaften!F56)),0,Eigenschaften!F56))</f>
        <v>0</v>
      </c>
      <c r="P212" t="str">
        <f t="shared" ca="1" si="55"/>
        <v/>
      </c>
    </row>
    <row r="213" spans="1:16" x14ac:dyDescent="0.2">
      <c r="A213" t="str">
        <f t="shared" si="53"/>
        <v>Landangst</v>
      </c>
      <c r="N213" t="s">
        <v>4948</v>
      </c>
      <c r="O213">
        <f ca="1">SUM(IF(ISERROR(VALUE(Eigenschaften!B57)),0,Eigenschaften!B57),-IF(ISERROR(VALUE(Eigenschaften!G57)),0,Eigenschaften!G57),-IF(ISERROR(VALUE(Eigenschaften!F57)),0,Eigenschaften!F57))</f>
        <v>0</v>
      </c>
      <c r="P213" t="str">
        <f t="shared" ca="1" si="55"/>
        <v/>
      </c>
    </row>
    <row r="214" spans="1:16" x14ac:dyDescent="0.2">
      <c r="A214" t="str">
        <f t="shared" si="53"/>
        <v>Lästige Mindergeister</v>
      </c>
      <c r="N214" t="s">
        <v>4612</v>
      </c>
      <c r="O214">
        <f ca="1">SUM(IF(ISERROR(VALUE(Eigenschaften!B58)),0,Eigenschaften!B58),-IF(ISERROR(VALUE(Eigenschaften!G58)),0,Eigenschaften!G58),-IF(ISERROR(VALUE(Eigenschaften!F58)),0,Eigenschaften!F58))</f>
        <v>0</v>
      </c>
      <c r="P214" t="str">
        <f t="shared" ca="1" si="55"/>
        <v/>
      </c>
    </row>
    <row r="215" spans="1:16" x14ac:dyDescent="0.2">
      <c r="A215" t="str">
        <f t="shared" ref="A215:A278" si="56">INDEX(NACHTEILE,ROW()-ROW($A$147))</f>
        <v>Lichtempfindlich</v>
      </c>
      <c r="N215" t="s">
        <v>4840</v>
      </c>
      <c r="O215">
        <f ca="1">SUM(IF(ISERROR(VALUE(Eigenschaften!B59)),0,Eigenschaften!B59),-IF(ISERROR(VALUE(Eigenschaften!G59)),0,Eigenschaften!G59),-IF(ISERROR(VALUE(Eigenschaften!F59)),0,Eigenschaften!F59))</f>
        <v>0</v>
      </c>
      <c r="P215" t="str">
        <f t="shared" ca="1" si="55"/>
        <v/>
      </c>
    </row>
    <row r="216" spans="1:16" x14ac:dyDescent="0.2">
      <c r="A216" t="str">
        <f t="shared" si="56"/>
        <v>Lichtscheu</v>
      </c>
      <c r="N216" t="s">
        <v>4841</v>
      </c>
      <c r="O216">
        <f ca="1">SUM(IF(ISERROR(VALUE(Eigenschaften!B60)),0,Eigenschaften!B60),-IF(ISERROR(VALUE(Eigenschaften!G60)),0,Eigenschaften!G60),-IF(ISERROR(VALUE(Eigenschaften!F60)),0,Eigenschaften!F60))</f>
        <v>0</v>
      </c>
      <c r="P216" t="str">
        <f t="shared" ca="1" si="55"/>
        <v/>
      </c>
    </row>
    <row r="217" spans="1:16" x14ac:dyDescent="0.2">
      <c r="A217" t="str">
        <f t="shared" si="56"/>
        <v>Madas Fluch</v>
      </c>
      <c r="N217" t="s">
        <v>3344</v>
      </c>
      <c r="O217">
        <f ca="1">SUM(IF(ISERROR(VALUE(Eigenschaften!B61)),0,Eigenschaften!B61),-IF(ISERROR(VALUE(Eigenschaften!G61)),0,Eigenschaften!G61),-IF(ISERROR(VALUE(Eigenschaften!F61)),0,Eigenschaften!F61))</f>
        <v>0</v>
      </c>
      <c r="P217" t="str">
        <f t="shared" ca="1" si="55"/>
        <v/>
      </c>
    </row>
    <row r="218" spans="1:16" x14ac:dyDescent="0.2">
      <c r="A218" t="str">
        <f t="shared" si="56"/>
        <v>Medium</v>
      </c>
      <c r="N218" t="s">
        <v>3240</v>
      </c>
      <c r="O218">
        <f ca="1">SUM(IF(ISERROR(VALUE(Eigenschaften!B62)),0,Eigenschaften!B62),-IF(ISERROR(VALUE(Eigenschaften!G62)),0,Eigenschaften!G62),-IF(ISERROR(VALUE(Eigenschaften!F62)),0,Eigenschaften!F62))</f>
        <v>0</v>
      </c>
      <c r="P218" t="str">
        <f t="shared" ca="1" si="55"/>
        <v/>
      </c>
    </row>
    <row r="219" spans="1:16" x14ac:dyDescent="0.2">
      <c r="A219" t="str">
        <f t="shared" si="56"/>
        <v>Meeresangst</v>
      </c>
      <c r="N219" t="s">
        <v>4842</v>
      </c>
      <c r="O219">
        <f ca="1">SUM(IF(ISERROR(VALUE(Eigenschaften!B63)),0,Eigenschaften!B63),-IF(ISERROR(VALUE(Eigenschaften!G63)),0,Eigenschaften!G63),-IF(ISERROR(VALUE(Eigenschaften!F63)),0,Eigenschaften!F63))</f>
        <v>0</v>
      </c>
      <c r="P219" t="str">
        <f t="shared" ca="1" si="55"/>
        <v/>
      </c>
    </row>
    <row r="220" spans="1:16" x14ac:dyDescent="0.2">
      <c r="A220" t="str">
        <f t="shared" si="56"/>
        <v>Miserable Eigenschaft</v>
      </c>
      <c r="B220" t="b">
        <f>IF(ISERROR(FIND($A220,$B$8)),FALSE,TRUE)</f>
        <v>0</v>
      </c>
      <c r="C220" t="s">
        <v>3664</v>
      </c>
      <c r="D220" t="str">
        <f>IF(ISERR(FIND($A220,NACHTEILEGENE)),"",IF(ISERROR(MID(NACHTEILEGENE,SUM(FIND($A220,NACHTEILEGENE),LEN($A220),1),2)),0,MID(NACHTEILEGENE,SUM(FIND($A220,NACHTEILEGENE),LEN($A220),1),2)))</f>
        <v/>
      </c>
      <c r="I220" t="s">
        <v>4487</v>
      </c>
      <c r="J220" t="s">
        <v>4488</v>
      </c>
      <c r="N220" t="s">
        <v>2187</v>
      </c>
      <c r="O220">
        <f ca="1">SUM(IF(ISERROR(VALUE(Eigenschaften!B64)),0,Eigenschaften!B64),-IF(ISERROR(VALUE(Eigenschaften!G64)),0,Eigenschaften!G64),-IF(ISERROR(VALUE(Eigenschaften!F64)),0,Eigenschaften!F64))</f>
        <v>0</v>
      </c>
      <c r="P220" t="str">
        <f t="shared" ca="1" si="55"/>
        <v/>
      </c>
    </row>
    <row r="221" spans="1:16" x14ac:dyDescent="0.2">
      <c r="A221" t="str">
        <f t="shared" si="56"/>
        <v>Mondsüchtig</v>
      </c>
      <c r="N221" t="s">
        <v>2574</v>
      </c>
      <c r="O221">
        <f ca="1">SUM(IF(ISERROR(VALUE(Eigenschaften!B65)),0,Eigenschaften!B65),-IF(ISERROR(VALUE(Eigenschaften!G65)),0,Eigenschaften!G65),-IF(ISERROR(VALUE(Eigenschaften!F65)),0,Eigenschaften!F65))</f>
        <v>0</v>
      </c>
      <c r="P221" t="str">
        <f t="shared" ca="1" si="55"/>
        <v/>
      </c>
    </row>
    <row r="222" spans="1:16" x14ac:dyDescent="0.2">
      <c r="A222" t="str">
        <f t="shared" si="56"/>
        <v>Moralkodex (6; Angrosch-Kult)</v>
      </c>
      <c r="N222" t="s">
        <v>3241</v>
      </c>
      <c r="O222">
        <f ca="1">SUM(IF(ISERROR(VALUE(Eigenschaften!B66)),0,Eigenschaften!B66),-IF(ISERROR(VALUE(Eigenschaften!G66)),0,Eigenschaften!G66),-IF(ISERROR(VALUE(Eigenschaften!F66)),0,Eigenschaften!F66))</f>
        <v>0</v>
      </c>
      <c r="P222" t="str">
        <f t="shared" ref="P222:P252" ca="1" si="57">IF(O222&gt;0,CONCATENATE(", ",N222," ",O222),"")</f>
        <v/>
      </c>
    </row>
    <row r="223" spans="1:16" x14ac:dyDescent="0.2">
      <c r="A223" t="str">
        <f t="shared" si="56"/>
        <v>Moralkodex (6; Aves-Kirche)</v>
      </c>
      <c r="N223" t="s">
        <v>2575</v>
      </c>
      <c r="O223">
        <f ca="1">SUM(IF(ISERROR(VALUE(Eigenschaften!B67)),0,Eigenschaften!B67),-IF(ISERROR(VALUE(Eigenschaften!G67)),0,Eigenschaften!G67),-IF(ISERROR(VALUE(Eigenschaften!F67)),0,Eigenschaften!F67))</f>
        <v>0</v>
      </c>
      <c r="P223" t="str">
        <f t="shared" ca="1" si="57"/>
        <v/>
      </c>
    </row>
    <row r="224" spans="1:16" x14ac:dyDescent="0.2">
      <c r="A224" t="str">
        <f t="shared" si="56"/>
        <v>Moralkodex (12; Badilakaner)</v>
      </c>
      <c r="N224" t="s">
        <v>3242</v>
      </c>
      <c r="O224">
        <f ca="1">SUM(IF(ISERROR(VALUE(Eigenschaften!B68)),0,Eigenschaften!B68),-IF(ISERROR(VALUE(Eigenschaften!G68)),0,Eigenschaften!G68),-IF(ISERROR(VALUE(Eigenschaften!F68)),0,Eigenschaften!F68))</f>
        <v>0</v>
      </c>
      <c r="P224" t="str">
        <f t="shared" ca="1" si="57"/>
        <v/>
      </c>
    </row>
    <row r="225" spans="1:16" x14ac:dyDescent="0.2">
      <c r="A225" t="str">
        <f t="shared" si="56"/>
        <v>Moralkodex (6; Boron-Kirche)</v>
      </c>
      <c r="N225" t="s">
        <v>3243</v>
      </c>
      <c r="O225">
        <f ca="1">SUM(IF(ISERROR(VALUE(Eigenschaften!B69)),0,Eigenschaften!B69),-IF(ISERROR(VALUE(Eigenschaften!G69)),0,Eigenschaften!G69),-IF(ISERROR(VALUE(Eigenschaften!F69)),0,Eigenschaften!F69))</f>
        <v>0</v>
      </c>
      <c r="P225" t="str">
        <f t="shared" ca="1" si="57"/>
        <v/>
      </c>
    </row>
    <row r="226" spans="1:16" x14ac:dyDescent="0.2">
      <c r="A226" t="str">
        <f t="shared" si="56"/>
        <v>Moralkodex (6; Bund des wahren Glaubens)</v>
      </c>
      <c r="N226" t="s">
        <v>2577</v>
      </c>
      <c r="O226">
        <f ca="1">SUM(IF(ISERROR(VALUE(Eigenschaften!B70)),0,Eigenschaften!B70),-IF(ISERROR(VALUE(Eigenschaften!G70)),0,Eigenschaften!G70),-IF(ISERROR(VALUE(Eigenschaften!F70)),0,Eigenschaften!F70))</f>
        <v>0</v>
      </c>
      <c r="P226" t="str">
        <f t="shared" ca="1" si="57"/>
        <v/>
      </c>
    </row>
    <row r="227" spans="1:16" x14ac:dyDescent="0.2">
      <c r="A227" t="str">
        <f t="shared" si="56"/>
        <v>Moralkodex (6; Dreischwesternorden)</v>
      </c>
      <c r="N227" t="s">
        <v>2881</v>
      </c>
      <c r="O227">
        <f ca="1">SUM(IF(ISERROR(VALUE(Eigenschaften!B97)),0,Eigenschaften!B97),-IF(ISERROR(VALUE(Eigenschaften!G97)),0,Eigenschaften!G97))</f>
        <v>0</v>
      </c>
      <c r="P227" t="str">
        <f t="shared" ca="1" si="57"/>
        <v/>
      </c>
    </row>
    <row r="228" spans="1:16" x14ac:dyDescent="0.2">
      <c r="A228" t="str">
        <f t="shared" si="56"/>
        <v>Moralkodex (9; Efferd-Kirche)</v>
      </c>
      <c r="N228" t="s">
        <v>839</v>
      </c>
      <c r="O228">
        <f ca="1">SUM(IF(ISERROR(VALUE(Eigenschaften!B71)),0,Eigenschaften!B71),-IF(ISERROR(VALUE(Eigenschaften!G71)),0,Eigenschaften!G71),-IF(ISERROR(VALUE(Eigenschaften!F71)),0,Eigenschaften!F71))</f>
        <v>0</v>
      </c>
      <c r="P228" t="str">
        <f t="shared" ca="1" si="57"/>
        <v/>
      </c>
    </row>
    <row r="229" spans="1:16" x14ac:dyDescent="0.2">
      <c r="A229" t="str">
        <f t="shared" si="56"/>
        <v>Moralkodex (9; Firun-Kirche)</v>
      </c>
      <c r="N229" t="s">
        <v>3981</v>
      </c>
      <c r="O229">
        <f ca="1">SUM(IF(ISERROR(VALUE(Eigenschaften!B72)),0,Eigenschaften!B72),-IF(ISERROR(VALUE(Eigenschaften!G72)),0,Eigenschaften!G72),-IF(ISERROR(VALUE(Eigenschaften!F72)),0,Eigenschaften!F72))</f>
        <v>0</v>
      </c>
      <c r="P229" t="str">
        <f t="shared" ca="1" si="57"/>
        <v/>
      </c>
    </row>
    <row r="230" spans="1:16" x14ac:dyDescent="0.2">
      <c r="A230" t="str">
        <f t="shared" si="56"/>
        <v>Moralkodex (3; Hesinde-Kirche)</v>
      </c>
      <c r="N230" t="s">
        <v>841</v>
      </c>
      <c r="O230">
        <f ca="1">SUM(IF(ISERROR(VALUE(Eigenschaften!B73)),0,Eigenschaften!B73),-IF(ISERROR(VALUE(Eigenschaften!G73)),0,Eigenschaften!G73),-IF(ISERROR(VALUE(Eigenschaften!F73)),0,Eigenschaften!F73))</f>
        <v>0</v>
      </c>
      <c r="P230" t="str">
        <f t="shared" ca="1" si="57"/>
        <v/>
      </c>
    </row>
    <row r="231" spans="1:16" x14ac:dyDescent="0.2">
      <c r="A231" t="str">
        <f t="shared" si="56"/>
        <v>Moralkodex (3; H'Szint-Kult)</v>
      </c>
      <c r="N231" t="s">
        <v>842</v>
      </c>
      <c r="O231">
        <f ca="1">SUM(IF(ISERROR(VALUE(Eigenschaften!B74)),0,Eigenschaften!B74),-IF(ISERROR(VALUE(Eigenschaften!G74)),0,Eigenschaften!G74),-IF(ISERROR(VALUE(Eigenschaften!F74)),0,Eigenschaften!F74))</f>
        <v>0</v>
      </c>
      <c r="P231" t="str">
        <f t="shared" ca="1" si="57"/>
        <v/>
      </c>
    </row>
    <row r="232" spans="1:16" x14ac:dyDescent="0.2">
      <c r="A232" t="str">
        <f t="shared" si="56"/>
        <v>Moralkodex (3; Ifirn-Kirche)</v>
      </c>
      <c r="N232" t="s">
        <v>843</v>
      </c>
      <c r="O232">
        <f ca="1">SUM(IF(ISERROR(VALUE(Eigenschaften!B75)),0,Eigenschaften!B75),-IF(ISERROR(VALUE(Eigenschaften!G75)),0,Eigenschaften!G75),-IF(ISERROR(VALUE(Eigenschaften!F75)),0,Eigenschaften!F75))</f>
        <v>0</v>
      </c>
      <c r="P232" t="str">
        <f t="shared" ca="1" si="57"/>
        <v/>
      </c>
    </row>
    <row r="233" spans="1:16" x14ac:dyDescent="0.2">
      <c r="A233" t="str">
        <f t="shared" si="56"/>
        <v>Moralkodex (6; Ingerimm-Kirche)</v>
      </c>
      <c r="N233" t="s">
        <v>3986</v>
      </c>
      <c r="O233">
        <f ca="1">SUM(IF(ISERROR(VALUE(Eigenschaften!B76)),0,Eigenschaften!B76),-IF(ISERROR(VALUE(Eigenschaften!G76)),0,Eigenschaften!G76),-IF(ISERROR(VALUE(Eigenschaften!F76)),0,Eigenschaften!F76))</f>
        <v>0</v>
      </c>
      <c r="P233" t="str">
        <f t="shared" ca="1" si="57"/>
        <v/>
      </c>
    </row>
    <row r="234" spans="1:16" x14ac:dyDescent="0.2">
      <c r="A234" t="str">
        <f t="shared" si="56"/>
        <v>Moralkodex (3; Kor-Kirche)</v>
      </c>
      <c r="N234" t="s">
        <v>3655</v>
      </c>
      <c r="O234">
        <f ca="1">U161</f>
        <v>0</v>
      </c>
      <c r="P234" t="str">
        <f t="shared" ca="1" si="57"/>
        <v/>
      </c>
    </row>
    <row r="235" spans="1:16" x14ac:dyDescent="0.2">
      <c r="A235" t="str">
        <f t="shared" si="56"/>
        <v>Moralkodex (3; Nandus-Kirche)</v>
      </c>
      <c r="N235" t="s">
        <v>753</v>
      </c>
      <c r="O235">
        <f ca="1">U162</f>
        <v>0</v>
      </c>
      <c r="P235" t="str">
        <f t="shared" ca="1" si="57"/>
        <v/>
      </c>
    </row>
    <row r="236" spans="1:16" x14ac:dyDescent="0.2">
      <c r="A236" t="str">
        <f t="shared" si="56"/>
        <v>Moralkodex (6; Peraine-Kirche)</v>
      </c>
      <c r="N236" t="s">
        <v>754</v>
      </c>
      <c r="O236">
        <f ca="1">U163</f>
        <v>0</v>
      </c>
      <c r="P236" t="str">
        <f t="shared" ca="1" si="57"/>
        <v/>
      </c>
    </row>
    <row r="237" spans="1:16" x14ac:dyDescent="0.2">
      <c r="A237" t="str">
        <f t="shared" si="56"/>
        <v>Moralkodex (6; Phex-Kirche)</v>
      </c>
      <c r="N237" t="s">
        <v>756</v>
      </c>
      <c r="O237">
        <f ca="1">SUM(IF(ISERROR(VALUE(Eigenschaften!B77)),0,Eigenschaften!B77),-IF(ISERROR(VALUE(Eigenschaften!G77)),0,Eigenschaften!G77),-IF(ISERROR(VALUE(Eigenschaften!F77)),0,Eigenschaften!F77))</f>
        <v>0</v>
      </c>
      <c r="P237" t="str">
        <f t="shared" ca="1" si="57"/>
        <v/>
      </c>
    </row>
    <row r="238" spans="1:16" x14ac:dyDescent="0.2">
      <c r="A238" t="str">
        <f t="shared" si="56"/>
        <v>Moralkodex (12; Praios-Kirche)</v>
      </c>
      <c r="N238" t="s">
        <v>1232</v>
      </c>
      <c r="O238">
        <f ca="1">SUM(IF(ISERROR(VALUE(Eigenschaften!B96)),0,Eigenschaften!B96),-IF(ISERROR(VALUE(Eigenschaften!G96)),0,Eigenschaften!G96))</f>
        <v>0</v>
      </c>
      <c r="P238" t="str">
        <f ca="1">IF(O238&gt;0,CONCATENATE(", ",N238," ",O238,IF(NT_PRINZIP_NT="",IF(NT_PRINZIP_TXT="",""," ("&amp;SUBSTITUTE(NT_PRINZIP_TXT,",",";")&amp;")")," ("&amp;SUBSTITUTE(NT_PRINZIP_NT,",",";")&amp;")")),"")</f>
        <v/>
      </c>
    </row>
    <row r="239" spans="1:16" x14ac:dyDescent="0.2">
      <c r="A239" t="str">
        <f t="shared" si="56"/>
        <v>Moralkodex (6; Rahja-Kirche)</v>
      </c>
      <c r="N239" t="s">
        <v>757</v>
      </c>
      <c r="O239">
        <f ca="1">SUM(IF(ISERROR(VALUE(Eigenschaften!B78)),0,Eigenschaften!B78),-IF(ISERROR(VALUE(Eigenschaften!G78)),0,Eigenschaften!G78),-IF(ISERROR(VALUE(Eigenschaften!F78)),0,Eigenschaften!F78))</f>
        <v>0</v>
      </c>
      <c r="P239" t="str">
        <f t="shared" ca="1" si="57"/>
        <v/>
      </c>
    </row>
    <row r="240" spans="1:16" x14ac:dyDescent="0.2">
      <c r="A240" t="str">
        <f t="shared" si="56"/>
        <v>Moralkodex (12; Rondra-Kirche)</v>
      </c>
      <c r="N240" t="s">
        <v>758</v>
      </c>
      <c r="O240">
        <f ca="1">SUM(IF(ISERROR(VALUE(Eigenschaften!B79)),0,Eigenschaften!B79),-IF(ISERROR(VALUE(Eigenschaften!G79)),0,Eigenschaften!G79),-IF(ISERROR(VALUE(Eigenschaften!F79)),0,Eigenschaften!F79))</f>
        <v>0</v>
      </c>
      <c r="P240" t="str">
        <f t="shared" ca="1" si="57"/>
        <v/>
      </c>
    </row>
    <row r="241" spans="1:16" x14ac:dyDescent="0.2">
      <c r="A241" t="str">
        <f t="shared" si="56"/>
        <v>Moralkodex (9; Swafnir-Kult)</v>
      </c>
      <c r="N241" t="s">
        <v>845</v>
      </c>
      <c r="O241">
        <f ca="1">SUM(IF(ISERROR(VALUE(Eigenschaften!B80)),0,Eigenschaften!B80),-IF(ISERROR(VALUE(Eigenschaften!G80)),0,Eigenschaften!G80),-IF(ISERROR(VALUE(Eigenschaften!F80)),0,Eigenschaften!F80))</f>
        <v>0</v>
      </c>
      <c r="P241" t="str">
        <f t="shared" ca="1" si="57"/>
        <v/>
      </c>
    </row>
    <row r="242" spans="1:16" x14ac:dyDescent="0.2">
      <c r="A242" t="str">
        <f t="shared" si="56"/>
        <v>Moralkodex (9; Therbûniten)</v>
      </c>
      <c r="N242" t="s">
        <v>844</v>
      </c>
      <c r="O242">
        <f ca="1">SUM(IF(ISERROR(VALUE(Eigenschaften!B81)),0,Eigenschaften!B81),-IF(ISERROR(VALUE(Eigenschaften!G81)),0,Eigenschaften!G81),-IF(ISERROR(VALUE(Eigenschaften!F81)),0,Eigenschaften!F81))</f>
        <v>0</v>
      </c>
      <c r="P242" t="str">
        <f t="shared" ca="1" si="57"/>
        <v/>
      </c>
    </row>
    <row r="243" spans="1:16" x14ac:dyDescent="0.2">
      <c r="A243" t="str">
        <f t="shared" si="56"/>
        <v>Moralkodex (6; Travia-Kirche)</v>
      </c>
      <c r="N243" t="s">
        <v>760</v>
      </c>
      <c r="O243">
        <f ca="1">SUM(IF(ISERROR(VALUE(Eigenschaften!B98)),0,Eigenschaften!B98),-IF(ISERROR(VALUE(Eigenschaften!G98)),0,Eigenschaften!G98),-100*IF(ISERROR(VALUE(Eigenschaften!F98)),0,Eigenschaften!F98))</f>
        <v>0</v>
      </c>
      <c r="P243" t="str">
        <f ca="1">IF(O243&gt;0,CONCATENATE(", ",N243," ",O243," D"),"")</f>
        <v/>
      </c>
    </row>
    <row r="244" spans="1:16" x14ac:dyDescent="0.2">
      <c r="A244" t="str">
        <f t="shared" si="56"/>
        <v>Moralkodex (12; Tsa-Kirche)</v>
      </c>
      <c r="N244" t="s">
        <v>4648</v>
      </c>
      <c r="O244">
        <f ca="1">SUM(IF(ISERROR(VALUE(Eigenschaften!B82)),0,Eigenschaften!B82),-IF(ISERROR(VALUE(Eigenschaften!G82)),0,Eigenschaften!G82),-IF(ISERROR(VALUE(Eigenschaften!F82)),0,Eigenschaften!F82))</f>
        <v>0</v>
      </c>
      <c r="P244" t="str">
        <f t="shared" ca="1" si="57"/>
        <v/>
      </c>
    </row>
    <row r="245" spans="1:16" x14ac:dyDescent="0.2">
      <c r="A245" t="str">
        <f t="shared" si="56"/>
        <v>Moralkodex (6; Zsaah-Kult)</v>
      </c>
      <c r="N245" t="s">
        <v>3646</v>
      </c>
      <c r="O245">
        <f ca="1">SUM(IF(ISERROR(VALUE(Eigenschaften!B83)),0,Eigenschaften!B83),-IF(ISERROR(VALUE(Eigenschaften!G83)),0,Eigenschaften!G83),-IF(ISERROR(VALUE(Eigenschaften!F83)),0,Eigenschaften!F83))</f>
        <v>0</v>
      </c>
      <c r="P245" t="str">
        <f t="shared" ca="1" si="57"/>
        <v/>
      </c>
    </row>
    <row r="246" spans="1:16" x14ac:dyDescent="0.2">
      <c r="A246" t="str">
        <f t="shared" si="56"/>
        <v>Morbidität</v>
      </c>
      <c r="N246" t="s">
        <v>3647</v>
      </c>
      <c r="O246">
        <f ca="1">SUM(IF(ISERROR(VALUE(Eigenschaften!B84)),0,Eigenschaften!B84),-IF(ISERROR(VALUE(Eigenschaften!G84)),0,Eigenschaften!G84),-IF(ISERROR(VALUE(Eigenschaften!F84)),0,Eigenschaften!F84))</f>
        <v>0</v>
      </c>
      <c r="P246" t="str">
        <f t="shared" ca="1" si="57"/>
        <v/>
      </c>
    </row>
    <row r="247" spans="1:16" x14ac:dyDescent="0.2">
      <c r="A247" t="str">
        <f t="shared" si="56"/>
        <v>Nachtblind</v>
      </c>
      <c r="B247" t="b">
        <f>IF(AND(NOT(ISERROR(FIND($A247,$B$8))),NOT(ISERROR(FIND($A50,$B$7)))),TRUE,FALSE)</f>
        <v>0</v>
      </c>
      <c r="C247" t="str">
        <f>$A50</f>
        <v>Dämmerungssicht</v>
      </c>
      <c r="D247" t="b">
        <f>IF(AND(NOT(ISERR(FIND($A247,$B$7))),NOT(ISERR(FIND($A110,$B$7)))),TRUE,FALSE)</f>
        <v>0</v>
      </c>
      <c r="E247" t="str">
        <f>$A110</f>
        <v>Nachtsicht</v>
      </c>
      <c r="H247" t="str">
        <f>IF(OR($B247,$D247,$F247),CONCATENATE($A247,": nicht kombinierbar mit ",IF($B247,$C247,""),IF(AND($B247,$D247),", ",""),IF($D247,$E247,""),"; "),"")</f>
        <v/>
      </c>
      <c r="N247" t="s">
        <v>847</v>
      </c>
      <c r="O247">
        <f ca="1">SUM(IF(ISERROR(VALUE(Eigenschaften!B85)),0,Eigenschaften!B85),-IF(ISERROR(VALUE(Eigenschaften!G85)),0,Eigenschaften!G85),-IF(ISERROR(VALUE(Eigenschaften!F85)),0,Eigenschaften!F85))</f>
        <v>0</v>
      </c>
      <c r="P247" t="str">
        <f t="shared" ca="1" si="57"/>
        <v/>
      </c>
    </row>
    <row r="248" spans="1:16" x14ac:dyDescent="0.2">
      <c r="A248" t="str">
        <f t="shared" si="56"/>
        <v>Nagrachwahn</v>
      </c>
      <c r="N248" t="s">
        <v>4067</v>
      </c>
      <c r="O248">
        <f ca="1">SUM(IF(ISERROR(VALUE(Eigenschaften!B86)),0,Eigenschaften!B86),-IF(ISERROR(VALUE(Eigenschaften!G86)),0,Eigenschaften!G86),-IF(ISERROR(VALUE(Eigenschaften!F86)),0,Eigenschaften!F86))</f>
        <v>0</v>
      </c>
      <c r="P248" t="str">
        <f t="shared" ca="1" si="57"/>
        <v/>
      </c>
    </row>
    <row r="249" spans="1:16" x14ac:dyDescent="0.2">
      <c r="A249" t="str">
        <f t="shared" si="56"/>
        <v>Nahrungsrestriktion</v>
      </c>
      <c r="N249" t="s">
        <v>848</v>
      </c>
      <c r="O249">
        <f ca="1">SUM(IF(ISERROR(VALUE(Eigenschaften!B87)),0,Eigenschaften!B87),-IF(ISERROR(VALUE(Eigenschaften!G87)),0,Eigenschaften!G87),-IF(ISERROR(VALUE(Eigenschaften!F87)),0,Eigenschaften!F87))</f>
        <v>0</v>
      </c>
      <c r="P249" t="str">
        <f t="shared" ca="1" si="57"/>
        <v/>
      </c>
    </row>
    <row r="250" spans="1:16" x14ac:dyDescent="0.2">
      <c r="A250" t="str">
        <f t="shared" si="56"/>
        <v>Neid</v>
      </c>
      <c r="N250" t="s">
        <v>849</v>
      </c>
      <c r="O250">
        <f ca="1">SUM(IF(ISERROR(VALUE(Eigenschaften!B88)),0,Eigenschaften!B88),-IF(ISERROR(VALUE(Eigenschaften!G88)),0,Eigenschaften!G88),-IF(ISERROR(VALUE(Eigenschaften!F88)),0,Eigenschaften!F88))</f>
        <v>0</v>
      </c>
      <c r="P250" t="str">
        <f t="shared" ca="1" si="57"/>
        <v/>
      </c>
    </row>
    <row r="251" spans="1:16" x14ac:dyDescent="0.2">
      <c r="A251" t="str">
        <f t="shared" si="56"/>
        <v>Neugier</v>
      </c>
      <c r="N251" t="s">
        <v>3644</v>
      </c>
      <c r="O251">
        <f ca="1">SUM(IF(ISERROR(VALUE(Eigenschaften!B89)),0,Eigenschaften!B89),-IF(ISERROR(VALUE(Eigenschaften!G89)),0,Eigenschaften!G89),-IF(ISERROR(VALUE(Eigenschaften!F89)),0,Eigenschaften!F89))</f>
        <v>0</v>
      </c>
      <c r="P251" t="str">
        <f t="shared" ca="1" si="57"/>
        <v/>
      </c>
    </row>
    <row r="252" spans="1:16" x14ac:dyDescent="0.2">
      <c r="A252" t="str">
        <f t="shared" si="56"/>
        <v>Niedrige Astralkraft</v>
      </c>
      <c r="B252" t="b">
        <f>IF(ISERROR(FIND($A252,$B$8)),FALSE,TRUE)</f>
        <v>0</v>
      </c>
      <c r="C252" t="s">
        <v>3665</v>
      </c>
      <c r="D252">
        <f>IF(ISERR(FIND($A252,NACHTEILEGENE)),0,IF(ISERROR(VALUE(MID(NACHTEILEGENE,SUM(FIND($A252,NACHTEILEGENE),LEN($A252),1),1))),0,-VALUE(MID(NACHTEILEGENE,SUM(FIND($A252,NACHTEILEGENE),LEN($A252),1),1))))</f>
        <v>0</v>
      </c>
      <c r="N252" t="s">
        <v>3645</v>
      </c>
      <c r="O252">
        <f ca="1">SUM(IF(ISERROR(VALUE(Eigenschaften!B90)),0,Eigenschaften!B90),-IF(ISERROR(VALUE(Eigenschaften!G90)),0,Eigenschaften!G90),-IF(ISERROR(VALUE(Eigenschaften!F90)),0,Eigenschaften!F90))</f>
        <v>0</v>
      </c>
      <c r="P252" t="str">
        <f t="shared" ca="1" si="57"/>
        <v/>
      </c>
    </row>
    <row r="253" spans="1:16" x14ac:dyDescent="0.2">
      <c r="A253" t="str">
        <f t="shared" si="56"/>
        <v>Niedrige Lebenskraft</v>
      </c>
      <c r="B253" t="b">
        <f>IF(ISERROR(FIND($A253,$B$8)),FALSE,TRUE)</f>
        <v>0</v>
      </c>
      <c r="C253" t="s">
        <v>2332</v>
      </c>
      <c r="D253">
        <f>IF(ISERR(FIND($A253,NACHTEILEGENE)),0,IF(ISERROR(VALUE(MID(NACHTEILEGENE,SUM(FIND($A253,NACHTEILEGENE),LEN($A253),1),1))),0,-VALUE(MID(NACHTEILEGENE,SUM(FIND($A253,NACHTEILEGENE),LEN($A253),1),1))))</f>
        <v>0</v>
      </c>
      <c r="I253" t="s">
        <v>1103</v>
      </c>
      <c r="J253" t="s">
        <v>1105</v>
      </c>
      <c r="N253" t="s">
        <v>4083</v>
      </c>
      <c r="O253">
        <f ca="1">SUM(IF(ISERROR(VALUE(Eigenschaften!B91)),0,Eigenschaften!B91),-IF(ISERROR(VALUE(Eigenschaften!G91)),0,Eigenschaften!G91),-IF(ISERROR(VALUE(Eigenschaften!F91)),0,Eigenschaften!F91))</f>
        <v>0</v>
      </c>
      <c r="P253" t="str">
        <f ca="1">IF(O253&gt;0,CONCATENATE(", ",N253&amp;" ",O253,IF(Eigenschaften!E91="",IF(ISERROR(E308),"",IF(E308="",""," ("&amp;SUBSTITUTE(E308,",",";")&amp;")"))," ("&amp;SUBSTITUTE(Eigenschaften!E91,",",";")&amp;")")),"")</f>
        <v/>
      </c>
    </row>
    <row r="254" spans="1:16" x14ac:dyDescent="0.2">
      <c r="A254" t="str">
        <f t="shared" si="56"/>
        <v>Niedrige Magieresistenz</v>
      </c>
      <c r="B254" t="b">
        <f>IF(ISERROR(FIND($A254,$B$8)),FALSE,TRUE)</f>
        <v>0</v>
      </c>
      <c r="C254" t="s">
        <v>69</v>
      </c>
      <c r="D254">
        <f>IF(ISERR(FIND($A254,NACHTEILEGENE)),0,IF(ISERROR(VALUE(MID(NACHTEILEGENE,SUM(FIND($A254,NACHTEILEGENE),LEN($A254),1),1))),0,-VALUE(MID(NACHTEILEGENE,SUM(FIND($A254,NACHTEILEGENE),LEN($A254),1),1))))</f>
        <v>0</v>
      </c>
      <c r="I254" t="s">
        <v>1104</v>
      </c>
      <c r="J254" t="s">
        <v>4149</v>
      </c>
      <c r="N254" t="s">
        <v>7107</v>
      </c>
      <c r="O254">
        <f ca="1">SUM(IF(ISERROR(VALUE(Eigenschaften!B92)),0,Eigenschaften!B92),-IF(ISERROR(VALUE(Eigenschaften!G92)),0,Eigenschaften!G92),-IF(ISERROR(VALUE(Eigenschaften!F92)),0,Eigenschaften!F92))</f>
        <v>0</v>
      </c>
      <c r="P254" t="str">
        <f ca="1">IF(O254&gt;0,CONCATENATE(", ",LEFT(N254,LEN(N254)-2)&amp;" ",O254,IF(Eigenschaften!E92="",IF(ISERROR(E311),"",IF(E311="",""," ("&amp;SUBSTITUTE(E311,",",";")&amp;")"))," ("&amp;SUBSTITUTE(Eigenschaften!E92,",",";")&amp;")")),"")</f>
        <v/>
      </c>
    </row>
    <row r="255" spans="1:16" x14ac:dyDescent="0.2">
      <c r="A255" t="str">
        <f t="shared" si="56"/>
        <v>Pechmagnet</v>
      </c>
      <c r="N255" t="s">
        <v>7108</v>
      </c>
      <c r="O255">
        <f ca="1">SUM(IF(ISERROR(VALUE(Eigenschaften!B93)),0,Eigenschaften!B93),-IF(ISERROR(VALUE(Eigenschaften!G93)),0,Eigenschaften!G93),-IF(ISERROR(VALUE(Eigenschaften!F93)),0,Eigenschaften!F93))</f>
        <v>0</v>
      </c>
      <c r="P255" t="str">
        <f ca="1">IF(O255&gt;0,CONCATENATE(", ",LEFT(N255,LEN(N255)-2)&amp;" ",O255,IF(Eigenschaften!E93="",IF(ISERROR(E312),"",IF(E312="",""," ("&amp;SUBSTITUTE(E312,",",";")&amp;")"))," ("&amp;SUBSTITUTE(Eigenschaften!E93,",",";")&amp;")")),"")</f>
        <v/>
      </c>
    </row>
    <row r="256" spans="1:16" x14ac:dyDescent="0.2">
      <c r="A256" t="str">
        <f t="shared" si="56"/>
        <v>Platzangst</v>
      </c>
      <c r="N256" t="s">
        <v>7109</v>
      </c>
      <c r="O256">
        <f ca="1">SUM(IF(ISERROR(VALUE(Eigenschaften!B94)),0,Eigenschaften!B94),-IF(ISERROR(VALUE(Eigenschaften!G94)),0,Eigenschaften!G94),-IF(ISERROR(VALUE(Eigenschaften!F94)),0,Eigenschaften!F94))</f>
        <v>0</v>
      </c>
      <c r="P256" t="str">
        <f ca="1">IF(O256&gt;0,CONCATENATE(", ",LEFT(N256,LEN(N256)-2)&amp;" ",O256,IF(Eigenschaften!E94="",IF(ISERROR(E313),"",IF(E313="",""," ("&amp;SUBSTITUTE(E313,",",";")&amp;")"))," ("&amp;SUBSTITUTE(Eigenschaften!E94,",",";")&amp;")")),"")</f>
        <v/>
      </c>
    </row>
    <row r="257" spans="1:20" x14ac:dyDescent="0.2">
      <c r="A257" t="str">
        <f t="shared" si="56"/>
        <v>Prinzipientreue</v>
      </c>
      <c r="B257" t="b">
        <f ca="1">IF(ISERROR(FIND($A257,$N$270)),FALSE,TRUE)</f>
        <v>0</v>
      </c>
      <c r="C257" t="str">
        <f ca="1">IF(ISERR(FIND($A257&amp;" "&amp;D257&amp;" (",$N$270)),"",LEFT(RIGHT($N$270,LEN($N$270)-LEN($A257&amp;" "&amp;D257&amp;" (")+1-FIND($A257&amp;" "&amp;D257&amp;" (",$N$270)),FIND(")",RIGHT($N$270,LEN($N$270)-LEN($A257&amp;" "&amp;D257&amp;" (")+1-FIND($A257&amp;" "&amp;D257&amp;" (",$N$270)))-1))</f>
        <v/>
      </c>
      <c r="D257">
        <f ca="1">IF(ISERR(FIND($A257,$N$270)),0,IF(ISERROR(VALUE(MID($N$270,SUM(FIND($A257,$N$270),LEN($A257),1),2))),IF(ISERROR(VALUE(MID($N$270,SUM(FIND($A257,$N$270),LEN($A257),1),1))),0,VALUE(MID($N$270,SUM(FIND($A257,$N$270),LEN($A257),1),1))),VALUE(MID($N$270,SUM(FIND($A257,$N$270),LEN($A257),1),2))))</f>
        <v>0</v>
      </c>
      <c r="N257" t="s">
        <v>8914</v>
      </c>
    </row>
    <row r="258" spans="1:20" x14ac:dyDescent="0.2">
      <c r="A258" t="str">
        <f t="shared" si="56"/>
        <v>Rachsucht</v>
      </c>
      <c r="N258" t="s">
        <v>1480</v>
      </c>
      <c r="O258" t="str">
        <f ca="1">CONCATENATE(P258,P230,P231,P232,P233,P234,P235,P236,P237,P238,P239,P240,P241,P242,P243,P244,P245,P246,P247,P248,P249,P250,P251,P252,P253,P254,P255,P256)</f>
        <v/>
      </c>
      <c r="P258" t="str">
        <f ca="1">CONCATENATE(P202,P203,P204,P205,P206,P207,P208,P209,P210,P211,P212,P213,P214,P215,P216,P217,P218,P219,P220,P221,P222,P223,P224,P225,P226,P227,P228,P229)</f>
        <v/>
      </c>
      <c r="T258" t="str">
        <f ca="1">O258</f>
        <v/>
      </c>
    </row>
    <row r="259" spans="1:20" x14ac:dyDescent="0.2">
      <c r="A259" t="str">
        <f t="shared" si="56"/>
        <v>Randgruppe</v>
      </c>
      <c r="N259" t="s">
        <v>2895</v>
      </c>
    </row>
    <row r="260" spans="1:20" x14ac:dyDescent="0.2">
      <c r="A260" t="str">
        <f t="shared" si="56"/>
        <v>Raubtiergeruch</v>
      </c>
      <c r="B260" t="b">
        <f>IF(ISERROR(FIND($A260,$B$8)),FALSE,TRUE)</f>
        <v>0</v>
      </c>
      <c r="I260" t="s">
        <v>556</v>
      </c>
      <c r="N260" t="s">
        <v>1480</v>
      </c>
      <c r="O260" t="str">
        <f ca="1">CONCATENATE(H21,H22,H29,H53,H87,H89,H101,H103,H106,H121,H126,H129)</f>
        <v/>
      </c>
    </row>
    <row r="261" spans="1:20" x14ac:dyDescent="0.2">
      <c r="A261" t="str">
        <f t="shared" si="56"/>
        <v>Raumangst</v>
      </c>
      <c r="N261" t="s">
        <v>2896</v>
      </c>
    </row>
    <row r="262" spans="1:20" x14ac:dyDescent="0.2">
      <c r="A262" t="str">
        <f t="shared" si="56"/>
        <v>Rückschlag</v>
      </c>
      <c r="N262" t="s">
        <v>1480</v>
      </c>
      <c r="O262" t="str">
        <f ca="1">CONCATENATE(H164,H209,H247,H272)</f>
        <v/>
      </c>
    </row>
    <row r="263" spans="1:20" x14ac:dyDescent="0.2">
      <c r="A263" t="str">
        <f t="shared" si="56"/>
        <v>Ruhelosigkeit</v>
      </c>
      <c r="N263" t="s">
        <v>1580</v>
      </c>
    </row>
    <row r="264" spans="1:20" x14ac:dyDescent="0.2">
      <c r="A264" t="str">
        <f t="shared" si="56"/>
        <v>Schlaflosigkeit</v>
      </c>
      <c r="N264" t="s">
        <v>1480</v>
      </c>
      <c r="O264" t="str">
        <f ca="1">CONCATENATE(HLOOKUP(RASSEGENE,RASSE,VLOOKUP("Talentspezialisierung",ZEILENBEZUG,2,FALSE),FALSE),",",HLOOKUP(KULTURGENE,KULTUR,VLOOKUP("Talentspezialisierung",ZEILENBEZUG,2,FALSE),FALSE),",",HLOOKUP(PROFGENE,INDIRECT(PROFGEBIET),VLOOKUP("Talentspezialisierung",ZEILENBEZUG,2,FALSE),FALSE),",")</f>
        <v>,,,</v>
      </c>
    </row>
    <row r="265" spans="1:20" x14ac:dyDescent="0.2">
      <c r="A265" t="str">
        <f t="shared" si="56"/>
        <v>Schlafstörungen I</v>
      </c>
      <c r="N265" t="s">
        <v>127</v>
      </c>
    </row>
    <row r="266" spans="1:20" x14ac:dyDescent="0.2">
      <c r="A266" t="str">
        <f t="shared" si="56"/>
        <v>Schlafstörungen II</v>
      </c>
      <c r="O266" t="str">
        <f>CONCATENATE(IF(R266="","",", "&amp;R266),IF(S266="","",", "&amp;S266),IF(T266="","",", "&amp;T266))</f>
        <v/>
      </c>
      <c r="R266" t="str">
        <f>IF(AKTIV_SPTWHE,IF(HLOOKUP(PROFSPTWHE,SPTWHE,34,FALSE)="","",HLOOKUP(PROFSPTWHE,SPTWHE,34,FALSE)),"")</f>
        <v/>
      </c>
      <c r="S266" t="str">
        <f>IF(AKTIV_SPTWHE,IF(HLOOKUP(PROFSPTWHE,SPTWHE,35,FALSE)="","",HLOOKUP(PROFSPTWHE,SPTWHE,35,FALSE)),"")</f>
        <v/>
      </c>
      <c r="T266" t="str">
        <f>IF(AKTIV_SPTWHE,IF(HLOOKUP(PROFSPTWHE,SPTWHE,36,FALSE)="","",HLOOKUP(PROFSPTWHE,SPTWHE,36,FALSE)),"")</f>
        <v/>
      </c>
    </row>
    <row r="267" spans="1:20" x14ac:dyDescent="0.2">
      <c r="A267" t="str">
        <f t="shared" si="56"/>
        <v>Schlafwandler</v>
      </c>
      <c r="N267" t="s">
        <v>9128</v>
      </c>
    </row>
    <row r="268" spans="1:20" x14ac:dyDescent="0.2">
      <c r="A268" t="str">
        <f t="shared" si="56"/>
        <v>Schlechte Regeneration</v>
      </c>
      <c r="B268" t="b">
        <f>IF(ISERROR(FIND($A268,$B$8)),FALSE,TRUE)</f>
        <v>0</v>
      </c>
      <c r="I268" t="s">
        <v>2730</v>
      </c>
      <c r="N268" t="str">
        <f ca="1">CONCATENATE(X9,X17,X25,X35,X43,X48)</f>
        <v xml:space="preserve">                                              </v>
      </c>
    </row>
    <row r="269" spans="1:20" x14ac:dyDescent="0.2">
      <c r="A269" t="str">
        <f t="shared" si="56"/>
        <v>Schlechter Ruf</v>
      </c>
      <c r="N269" t="s">
        <v>9127</v>
      </c>
    </row>
    <row r="270" spans="1:20" x14ac:dyDescent="0.2">
      <c r="A270" t="str">
        <f t="shared" si="56"/>
        <v>Schneller Alternd</v>
      </c>
      <c r="N270" t="str">
        <f ca="1">CONCATENATE(W96,W101,W106,W116,W122,W127)</f>
        <v xml:space="preserve">                                    </v>
      </c>
    </row>
    <row r="271" spans="1:20" x14ac:dyDescent="0.2">
      <c r="A271" t="str">
        <f t="shared" si="56"/>
        <v>Schöpferwahn</v>
      </c>
      <c r="N271" t="s">
        <v>9015</v>
      </c>
    </row>
    <row r="272" spans="1:20" x14ac:dyDescent="0.2">
      <c r="A272" t="str">
        <f t="shared" si="56"/>
        <v>Schulden</v>
      </c>
      <c r="B272" t="b">
        <f>IF(ISERROR(FIND($A272,$B$8)),FALSE,TRUE)</f>
        <v>0</v>
      </c>
      <c r="C272" t="s">
        <v>557</v>
      </c>
      <c r="H272" t="str">
        <f ca="1">IF(AND($B272,SO&lt;7),CONCATENATE($A272,": SO min. 7; "),"")</f>
        <v/>
      </c>
      <c r="N272" t="str">
        <f ca="1">CONCATENATE(W96,W101,W106,W127)</f>
        <v xml:space="preserve">                    </v>
      </c>
    </row>
    <row r="273" spans="1:15" x14ac:dyDescent="0.2">
      <c r="A273" t="str">
        <f t="shared" si="56"/>
        <v>Schwache Ausstrahlung</v>
      </c>
      <c r="B273" t="b">
        <f>IF(ISERROR(FIND($A273,$B$8)),FALSE,TRUE)</f>
        <v>0</v>
      </c>
      <c r="I273" t="s">
        <v>344</v>
      </c>
    </row>
    <row r="274" spans="1:15" x14ac:dyDescent="0.2">
      <c r="A274" t="str">
        <f t="shared" si="56"/>
        <v>Schwacher Astralkörper</v>
      </c>
      <c r="N274" t="s">
        <v>6705</v>
      </c>
    </row>
    <row r="275" spans="1:15" x14ac:dyDescent="0.2">
      <c r="A275" t="str">
        <f t="shared" si="56"/>
        <v>Schwanzlos</v>
      </c>
      <c r="B275" t="b">
        <f ca="1">IF(ISERROR(FIND($A275,$O$193)),FALSE,TRUE)</f>
        <v>0</v>
      </c>
      <c r="N275" t="s">
        <v>4846</v>
      </c>
      <c r="O275" t="b">
        <f>OR(IF(ISERR(FIND("Auelf",RASSEGENE,1)),FALSE,TRUE),IF(ISERR(FIND("Waldelf",RASSEGENE,1)),FALSE,TRUE),IF(ISERR(FIND("Firnelf",RASSEGENE,1)),FALSE,TRUE))</f>
        <v>0</v>
      </c>
    </row>
    <row r="276" spans="1:15" x14ac:dyDescent="0.2">
      <c r="A276" t="str">
        <f t="shared" si="56"/>
        <v>Seffer Manich</v>
      </c>
      <c r="N276" t="s">
        <v>2578</v>
      </c>
      <c r="O276" t="b">
        <f>IF(AND(RASSE_ELF,PROFGRDGENE="Magier"),TRUE,FALSE)</f>
        <v>0</v>
      </c>
    </row>
    <row r="277" spans="1:15" x14ac:dyDescent="0.2">
      <c r="A277" t="str">
        <f t="shared" si="56"/>
        <v>Selbstgespräche</v>
      </c>
      <c r="N277" t="s">
        <v>4847</v>
      </c>
      <c r="O277" t="b">
        <f>OR(IF(ISERR(FIND("Brilliantzwerg",RASSEGENE,1)),FALSE,TRUE),IF(ISERR(FIND("Erz- und Hügelzwerg",RASSEGENE,1)),FALSE,TRUE),IF(ISERR(FIND("Ambosszwerg",RASSEGENE,1)),FALSE,TRUE),IF(ISERR(FIND("Wilde Zwerge",RASSEGENE,1)),FALSE,TRUE))</f>
        <v>0</v>
      </c>
    </row>
    <row r="278" spans="1:15" x14ac:dyDescent="0.2">
      <c r="A278" t="str">
        <f t="shared" si="56"/>
        <v>Sensibler Geruchssinn</v>
      </c>
      <c r="N278" t="s">
        <v>4843</v>
      </c>
      <c r="O278" t="b">
        <f>IF(AND(RASSE_ZWERG,PROFGEBGENE="Magie",NOT(PROFGRDGENE="Geoden")),TRUE,FALSE)</f>
        <v>0</v>
      </c>
    </row>
    <row r="279" spans="1:15" x14ac:dyDescent="0.2">
      <c r="A279" t="str">
        <f t="shared" ref="A279:A318" si="58">INDEX(NACHTEILE,ROW()-ROW($A$147))</f>
        <v>Sippenlosigkeit</v>
      </c>
      <c r="N279" t="s">
        <v>4844</v>
      </c>
      <c r="O279" t="b">
        <f>IF(AND(RASSE_ZWERG,PROFGEBGENE="Magie",PROFGRDGENE="Geoden"),TRUE,FALSE)</f>
        <v>0</v>
      </c>
    </row>
    <row r="280" spans="1:15" x14ac:dyDescent="0.2">
      <c r="A280" t="str">
        <f t="shared" si="58"/>
        <v>Sonnensucht</v>
      </c>
      <c r="N280" t="s">
        <v>4845</v>
      </c>
      <c r="O280" t="b">
        <f>IF(AND(RASSE_ZWERG,PROFGEBGENE="Magie"),TRUE,FALSE)</f>
        <v>0</v>
      </c>
    </row>
    <row r="281" spans="1:15" x14ac:dyDescent="0.2">
      <c r="A281" t="str">
        <f t="shared" si="58"/>
        <v>Speisegebote</v>
      </c>
      <c r="B281" t="b">
        <f ca="1">IF(ISERROR(FIND($A281,$O$193)),FALSE,TRUE)</f>
        <v>0</v>
      </c>
      <c r="E281" t="str">
        <f ca="1">IF(ISERR(FIND($A281&amp;" (",$O$193)),"",LEFT(RIGHT($O$193,LEN($O$193)-16-FIND($A281&amp;" (",$O$193)),FIND(")",RIGHT($O$193,LEN($O$193)-16-FIND($A281&amp;" (",$O$193)))-1))</f>
        <v/>
      </c>
      <c r="N281" t="s">
        <v>6706</v>
      </c>
      <c r="O281" t="b">
        <f>C64</f>
        <v>0</v>
      </c>
    </row>
    <row r="282" spans="1:15" x14ac:dyDescent="0.2">
      <c r="A282" t="str">
        <f t="shared" si="58"/>
        <v>Spielsucht</v>
      </c>
      <c r="N282" t="s">
        <v>7098</v>
      </c>
      <c r="O282" t="b">
        <f>IF(NOT(ISERROR(FIND("Halbelf",RASSEGENE,1))),TRUE,FALSE)</f>
        <v>0</v>
      </c>
    </row>
    <row r="283" spans="1:15" x14ac:dyDescent="0.2">
      <c r="A283" t="str">
        <f t="shared" si="58"/>
        <v>Sprachfehler</v>
      </c>
      <c r="N283" t="s">
        <v>7099</v>
      </c>
      <c r="O283" t="b">
        <f>IF(AND(OR(VT_HALBZBR,VT_VOLLZBR),OR(PROFGRDGENE="Magier",PROFGRDGENE="Druiden",PROFGRDGENE="Geoden",PROFGRDGENE="Elfen",PROFGRDGENE="Hexen",PROFGRDGENE="Scharlatane",PROFGRDGENE="Schelme",PROFGRDGENE="Lehrmeister",PROFGRDGENE="Kristallomanten",PROFGEBGENE="Eigene")),TRUE,FALSE)</f>
        <v>0</v>
      </c>
    </row>
    <row r="284" spans="1:15" x14ac:dyDescent="0.2">
      <c r="A284" t="str">
        <f t="shared" si="58"/>
        <v>Spruchhemmung</v>
      </c>
      <c r="N284" t="s">
        <v>8475</v>
      </c>
      <c r="O284" t="b">
        <f>OR(IF(RASSEGENE="Ork",TRUE,FALSE),IF(ISERR(FIND("Orkfrau",RASSEGENE,1)),FALSE,TRUE))</f>
        <v>0</v>
      </c>
    </row>
    <row r="285" spans="1:15" x14ac:dyDescent="0.2">
      <c r="A285" t="str">
        <f t="shared" si="58"/>
        <v>Stigma</v>
      </c>
    </row>
    <row r="286" spans="1:15" x14ac:dyDescent="0.2">
      <c r="A286" t="str">
        <f t="shared" si="58"/>
        <v>Streitsucht</v>
      </c>
    </row>
    <row r="287" spans="1:15" x14ac:dyDescent="0.2">
      <c r="A287" t="str">
        <f t="shared" si="58"/>
        <v>Stubenhocker</v>
      </c>
      <c r="B287" t="b">
        <f>IF(ISERROR(FIND($A287,$B$8)),FALSE,TRUE)</f>
        <v>0</v>
      </c>
      <c r="C287" t="s">
        <v>2931</v>
      </c>
      <c r="I287" t="s">
        <v>1644</v>
      </c>
      <c r="J287" t="s">
        <v>1645</v>
      </c>
    </row>
    <row r="288" spans="1:15" x14ac:dyDescent="0.2">
      <c r="A288" t="str">
        <f t="shared" si="58"/>
        <v>Sucht</v>
      </c>
    </row>
    <row r="289" spans="1:10" x14ac:dyDescent="0.2">
      <c r="A289" t="str">
        <f t="shared" si="58"/>
        <v>Thesisgebunden</v>
      </c>
    </row>
    <row r="290" spans="1:10" x14ac:dyDescent="0.2">
      <c r="A290" t="str">
        <f t="shared" si="58"/>
        <v>Tollpatsch</v>
      </c>
    </row>
    <row r="291" spans="1:10" x14ac:dyDescent="0.2">
      <c r="A291" t="str">
        <f t="shared" si="58"/>
        <v>Totenangst</v>
      </c>
      <c r="B291" t="b">
        <f>IF(ISERROR(FIND($A291,$B$8)),FALSE,TRUE)</f>
        <v>0</v>
      </c>
    </row>
    <row r="292" spans="1:10" x14ac:dyDescent="0.2">
      <c r="A292" t="str">
        <f t="shared" si="58"/>
        <v>Trägheit</v>
      </c>
    </row>
    <row r="293" spans="1:10" x14ac:dyDescent="0.2">
      <c r="A293" t="str">
        <f t="shared" si="58"/>
        <v>Treuelosigkeit</v>
      </c>
    </row>
    <row r="294" spans="1:10" x14ac:dyDescent="0.2">
      <c r="A294" t="str">
        <f t="shared" si="58"/>
        <v>Übler Geruch</v>
      </c>
    </row>
    <row r="295" spans="1:10" x14ac:dyDescent="0.2">
      <c r="A295" t="str">
        <f t="shared" si="58"/>
        <v>Unangenehme Stimme</v>
      </c>
    </row>
    <row r="296" spans="1:10" x14ac:dyDescent="0.2">
      <c r="A296" t="str">
        <f t="shared" si="58"/>
        <v>Unansehnlich</v>
      </c>
    </row>
    <row r="297" spans="1:10" x14ac:dyDescent="0.2">
      <c r="A297" t="str">
        <f t="shared" si="58"/>
        <v>Unfähigkeit für [Merkmal]</v>
      </c>
    </row>
    <row r="298" spans="1:10" x14ac:dyDescent="0.2">
      <c r="A298" t="str">
        <f t="shared" si="58"/>
        <v>Unfähigkeit für [Talent]</v>
      </c>
    </row>
    <row r="299" spans="1:10" x14ac:dyDescent="0.2">
      <c r="A299" t="str">
        <f t="shared" si="58"/>
        <v>Unfähigkeit für [Talentgruppe]</v>
      </c>
      <c r="B299" t="b">
        <f>IF(ISERROR(FIND($A299,$B$8)),FALSE,TRUE)</f>
        <v>0</v>
      </c>
      <c r="C299" t="str">
        <f>IF(NT_UNF_TGR=TRUE,IF(NT_UNFTALENTGR="",MID($B$8,FIND($A299,$B$8)+LEN($A299)+1,FIND(",",$B$8,FIND($A299,$B$8))-(FIND($A299,$B$8)+LEN($A299)+1)),NT_UNFTALENTGR),"")</f>
        <v/>
      </c>
      <c r="I299" t="s">
        <v>571</v>
      </c>
      <c r="J299" t="s">
        <v>572</v>
      </c>
    </row>
    <row r="300" spans="1:10" x14ac:dyDescent="0.2">
      <c r="A300" t="str">
        <f t="shared" si="58"/>
        <v>Unfrei</v>
      </c>
      <c r="D300" t="b">
        <f>IF(Eigenschaften!G100="",FALSE,TRUE)</f>
        <v>0</v>
      </c>
    </row>
    <row r="301" spans="1:10" x14ac:dyDescent="0.2">
      <c r="A301" t="str">
        <f t="shared" si="58"/>
        <v>Ungebildet</v>
      </c>
      <c r="B301" t="b">
        <f>IF(ISERROR(FIND($A301,$B$8)),FALSE,TRUE)</f>
        <v>0</v>
      </c>
      <c r="C301" t="s">
        <v>3748</v>
      </c>
      <c r="D301">
        <f>IF(ISERR(FIND($A301,NACHTEILEGENE)),0,IF(ISERROR(VALUE(MID(NACHTEILEGENE,SUM(FIND($A301,NACHTEILEGENE),LEN($A301),1),1))),0,-VALUE(MID(NACHTEILEGENE,SUM(FIND($A301,NACHTEILEGENE),LEN($A301),1),1))))</f>
        <v>0</v>
      </c>
      <c r="I301" t="s">
        <v>1241</v>
      </c>
      <c r="J301" t="s">
        <v>1158</v>
      </c>
    </row>
    <row r="302" spans="1:10" x14ac:dyDescent="0.2">
      <c r="A302" t="str">
        <f t="shared" si="58"/>
        <v>Unstet</v>
      </c>
      <c r="B302" t="b">
        <f>IF(ISERROR(FIND($A302,$B$8)),FALSE,TRUE)</f>
        <v>0</v>
      </c>
      <c r="C302" t="s">
        <v>4382</v>
      </c>
      <c r="I302" t="s">
        <v>741</v>
      </c>
    </row>
    <row r="303" spans="1:10" x14ac:dyDescent="0.2">
      <c r="A303" t="str">
        <f t="shared" si="58"/>
        <v>Unverträglichkeit mit verarbeitetem Metall</v>
      </c>
    </row>
    <row r="304" spans="1:10" x14ac:dyDescent="0.2">
      <c r="A304" t="str">
        <f t="shared" si="58"/>
        <v>Vergesslichkeit</v>
      </c>
    </row>
    <row r="305" spans="1:5" x14ac:dyDescent="0.2">
      <c r="A305" t="str">
        <f t="shared" si="58"/>
        <v>Verpflichtungen</v>
      </c>
      <c r="B305" t="b">
        <f ca="1">IF(ISERROR(FIND($A305,$O$193)),FALSE,TRUE)</f>
        <v>0</v>
      </c>
      <c r="E305" t="str">
        <f ca="1">IF(ISERR(FIND($A305&amp;" (",$O$193)),"",LEFT(RIGHT($O$193,LEN($O$193)-16-FIND($A305&amp;" (",$O$193)),FIND(")",RIGHT($O$193,LEN($O$193)-16-FIND($A305&amp;" (",$O$193)))-1))</f>
        <v/>
      </c>
    </row>
    <row r="306" spans="1:5" x14ac:dyDescent="0.2">
      <c r="A306" t="str">
        <f t="shared" si="58"/>
        <v>Verschwendungssucht</v>
      </c>
    </row>
    <row r="307" spans="1:5" x14ac:dyDescent="0.2">
      <c r="A307" t="str">
        <f t="shared" si="58"/>
        <v>Verwöhnt</v>
      </c>
      <c r="B307" t="b">
        <f>IF(ISERROR(FIND($A307,$B$8)),FALSE,TRUE)</f>
        <v>0</v>
      </c>
    </row>
    <row r="308" spans="1:5" x14ac:dyDescent="0.2">
      <c r="A308" t="str">
        <f t="shared" si="58"/>
        <v>Vorurteile</v>
      </c>
      <c r="D308" t="str">
        <f ca="1">IF(ISERR(SEARCH($A308&amp;" ? (",NACHTEILE_RKPROF)),"",LEFT(RIGHT(NACHTEILE_RKPROF,LEN(NACHTEILE_RKPROF)-13-SEARCH($A308&amp;" ? (",NACHTEILE_RKPROF)),FIND(")",RIGHT(NACHTEILE_RKPROF,LEN(NACHTEILE_RKPROF)-13-SEARCH($A308&amp;" ? (",NACHTEILE_RKPROF)))-1))</f>
        <v/>
      </c>
      <c r="E308" t="str">
        <f ca="1">IF(ISERR(FIND($A308,NACHTEILE_RKPROF)),"",LEFT(RIGHT(NACHTEILE_RKPROF,LEN(NACHTEILE_RKPROF)-13-FIND($A308,NACHTEILE_RKPROF)),FIND(")",RIGHT(NACHTEILE_RKPROF,LEN(NACHTEILE_RKPROF)-13-FIND($A308,NACHTEILE_RKPROF)))-1))</f>
        <v/>
      </c>
    </row>
    <row r="309" spans="1:5" x14ac:dyDescent="0.2">
      <c r="A309" t="str">
        <f t="shared" si="58"/>
        <v>Wahnvorstellungen</v>
      </c>
    </row>
    <row r="310" spans="1:5" x14ac:dyDescent="0.2">
      <c r="A310" t="str">
        <f t="shared" si="58"/>
        <v>Wahrer Name</v>
      </c>
    </row>
    <row r="311" spans="1:5" x14ac:dyDescent="0.2">
      <c r="A311" t="str">
        <f t="shared" si="58"/>
        <v>Weltfremd A</v>
      </c>
      <c r="E311" t="str">
        <f ca="1">IF(ISERR(FIND($A311,NACHTEILE_RKPROF)),"",IF(ISERROR(FIND(")",RIGHT(NACHTEILE_RKPROF,LEN(NACHTEILE_RKPROF)-14-FIND($A311,NACHTEILE_RKPROF)))),"",
LEFT(RIGHT(NACHTEILE_RKPROF,LEN(NACHTEILE_RKPROF)-14-FIND($A311,NACHTEILE_RKPROF)),FIND(")",RIGHT(NACHTEILE_RKPROF,LEN(NACHTEILE_RKPROF)-14-FIND($A311,NACHTEILE_RKPROF)))-1)))</f>
        <v/>
      </c>
    </row>
    <row r="312" spans="1:5" x14ac:dyDescent="0.2">
      <c r="A312" t="str">
        <f t="shared" si="58"/>
        <v>Weltfremd B</v>
      </c>
      <c r="E312" t="str">
        <f ca="1">IF(ISERR(FIND($A312,NACHTEILE_RKPROF)),"",IF(ISERROR(FIND(")",RIGHT(NACHTEILE_RKPROF,LEN(NACHTEILE_RKPROF)-14-FIND($A312,NACHTEILE_RKPROF)))),"",
LEFT(RIGHT(NACHTEILE_RKPROF,LEN(NACHTEILE_RKPROF)-14-FIND($A312,NACHTEILE_RKPROF)),FIND(")",RIGHT(NACHTEILE_RKPROF,LEN(NACHTEILE_RKPROF)-14-FIND($A312,NACHTEILE_RKPROF)))-1)))</f>
        <v/>
      </c>
    </row>
    <row r="313" spans="1:5" x14ac:dyDescent="0.2">
      <c r="A313" t="str">
        <f t="shared" si="58"/>
        <v>Weltfremd C</v>
      </c>
      <c r="E313" t="str">
        <f ca="1">IF(ISERR(FIND($A313,NACHTEILE_RKPROF)),"",IF(ISERROR(FIND(")",RIGHT(NACHTEILE_RKPROF,LEN(NACHTEILE_RKPROF)-14-FIND($A313,NACHTEILE_RKPROF)))),"",
LEFT(RIGHT(NACHTEILE_RKPROF,LEN(NACHTEILE_RKPROF)-14-FIND($A313,NACHTEILE_RKPROF)),FIND(")",RIGHT(NACHTEILE_RKPROF,LEN(NACHTEILE_RKPROF)-14-FIND($A313,NACHTEILE_RKPROF)))-1)))</f>
        <v/>
      </c>
    </row>
    <row r="314" spans="1:5" x14ac:dyDescent="0.2">
      <c r="A314" t="str">
        <f t="shared" si="58"/>
        <v>Widerwärtiges Aussehen</v>
      </c>
      <c r="B314" t="b">
        <f>IF(ISERROR(FIND($A314,$B$8)),FALSE,TRUE)</f>
        <v>0</v>
      </c>
    </row>
    <row r="315" spans="1:5" x14ac:dyDescent="0.2">
      <c r="A315" t="str">
        <f t="shared" si="58"/>
        <v>Wilde Magie</v>
      </c>
    </row>
    <row r="316" spans="1:5" x14ac:dyDescent="0.2">
      <c r="A316" t="str">
        <f t="shared" si="58"/>
        <v>Zielschwierigkeiten</v>
      </c>
    </row>
    <row r="317" spans="1:5" x14ac:dyDescent="0.2">
      <c r="A317" t="str">
        <f t="shared" si="58"/>
        <v>Zögerlicher Zauberer</v>
      </c>
      <c r="B317" t="b">
        <f>IF(ISERROR(FIND($A317,$B$8)),FALSE,TRUE)</f>
        <v>0</v>
      </c>
    </row>
    <row r="318" spans="1:5" x14ac:dyDescent="0.2">
      <c r="A318" t="str">
        <f t="shared" si="58"/>
        <v>Zwergenwuchs</v>
      </c>
      <c r="B318" t="b">
        <f>IF(ISERROR(FIND($A318,$B$8)),FALSE,TRUE)</f>
        <v>0</v>
      </c>
    </row>
  </sheetData>
  <sheetProtection selectLockedCells="1" selectUnlockedCells="1"/>
  <phoneticPr fontId="3" type="noConversion"/>
  <pageMargins left="0.78740157499999996" right="0.78740157499999996" top="0.984251969" bottom="0.984251969" header="0.4921259845" footer="0.4921259845"/>
  <pageSetup paperSize="9" scale="50" orientation="portrait" horizontalDpi="300" verticalDpi="300" r:id="rId1"/>
  <headerFooter alignWithMargins="0"/>
  <rowBreaks count="1" manualBreakCount="1">
    <brk id="111" max="16383" man="1"/>
  </rowBreaks>
  <colBreaks count="1" manualBreakCount="1">
    <brk id="9" max="221"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tabColor theme="2" tint="-0.249977111117893"/>
  </sheetPr>
  <dimension ref="A1:IY853"/>
  <sheetViews>
    <sheetView zoomScale="70" zoomScaleNormal="70" workbookViewId="0">
      <pane xSplit="1" ySplit="1" topLeftCell="GQ2" activePane="bottomRight" state="frozenSplit"/>
      <selection activeCell="A671" sqref="A671"/>
      <selection pane="topRight" activeCell="A671" sqref="A671"/>
      <selection pane="bottomLeft" activeCell="A671" sqref="A671"/>
      <selection pane="bottomRight" activeCell="IJ1" sqref="IJ1"/>
    </sheetView>
  </sheetViews>
  <sheetFormatPr baseColWidth="10" defaultColWidth="5.7109375" defaultRowHeight="12.75" outlineLevelRow="1" x14ac:dyDescent="0.2"/>
  <cols>
    <col min="1" max="1" width="27.5703125" customWidth="1"/>
    <col min="2" max="2" width="5.7109375" customWidth="1"/>
    <col min="3" max="3" width="4.28515625" customWidth="1"/>
    <col min="4" max="39" width="5.7109375" customWidth="1"/>
    <col min="40" max="40" width="4.28515625" customWidth="1"/>
    <col min="41" max="259" width="5.7109375" customWidth="1"/>
  </cols>
  <sheetData>
    <row r="1" spans="1:259" ht="105" customHeight="1" x14ac:dyDescent="0.2">
      <c r="A1" t="s">
        <v>3537</v>
      </c>
      <c r="B1" t="s">
        <v>1717</v>
      </c>
      <c r="C1" t="s">
        <v>698</v>
      </c>
      <c r="D1" t="s">
        <v>3404</v>
      </c>
      <c r="E1" t="s">
        <v>2907</v>
      </c>
      <c r="F1" t="s">
        <v>3405</v>
      </c>
      <c r="G1" t="s">
        <v>2908</v>
      </c>
      <c r="H1" t="s">
        <v>2909</v>
      </c>
      <c r="I1" t="s">
        <v>2904</v>
      </c>
      <c r="J1" t="s">
        <v>2529</v>
      </c>
      <c r="K1" t="s">
        <v>3049</v>
      </c>
      <c r="L1" t="s">
        <v>4223</v>
      </c>
      <c r="M1" t="s">
        <v>4222</v>
      </c>
      <c r="N1" t="s">
        <v>73</v>
      </c>
      <c r="O1" t="s">
        <v>72</v>
      </c>
      <c r="P1" t="s">
        <v>1784</v>
      </c>
      <c r="Q1" t="s">
        <v>4225</v>
      </c>
      <c r="R1" t="s">
        <v>309</v>
      </c>
      <c r="S1" t="s">
        <v>310</v>
      </c>
      <c r="T1" t="s">
        <v>311</v>
      </c>
      <c r="U1" t="s">
        <v>9167</v>
      </c>
      <c r="V1" t="s">
        <v>312</v>
      </c>
      <c r="W1" t="s">
        <v>3421</v>
      </c>
      <c r="X1" t="s">
        <v>3422</v>
      </c>
      <c r="Y1" t="s">
        <v>3423</v>
      </c>
      <c r="Z1" t="s">
        <v>7274</v>
      </c>
      <c r="AA1" t="s">
        <v>7275</v>
      </c>
      <c r="AB1" t="s">
        <v>7276</v>
      </c>
      <c r="AC1" t="s">
        <v>7277</v>
      </c>
      <c r="AD1" t="s">
        <v>2905</v>
      </c>
      <c r="AE1" t="s">
        <v>4227</v>
      </c>
      <c r="AF1" t="s">
        <v>2906</v>
      </c>
      <c r="AG1" t="s">
        <v>1154</v>
      </c>
      <c r="AH1" t="s">
        <v>1153</v>
      </c>
      <c r="AI1" t="s">
        <v>6518</v>
      </c>
      <c r="AJ1" t="s">
        <v>1156</v>
      </c>
      <c r="AK1" t="s">
        <v>4226</v>
      </c>
      <c r="AL1" t="s">
        <v>1157</v>
      </c>
      <c r="AM1" t="s">
        <v>7674</v>
      </c>
      <c r="AN1" t="s">
        <v>699</v>
      </c>
      <c r="AO1" t="s">
        <v>5912</v>
      </c>
      <c r="AP1" t="s">
        <v>5913</v>
      </c>
      <c r="AQ1" t="s">
        <v>5914</v>
      </c>
      <c r="AR1" t="s">
        <v>5915</v>
      </c>
      <c r="AS1" t="s">
        <v>5916</v>
      </c>
      <c r="AT1" t="s">
        <v>5917</v>
      </c>
      <c r="AU1" t="s">
        <v>5918</v>
      </c>
      <c r="AV1" t="s">
        <v>5919</v>
      </c>
      <c r="AW1" t="s">
        <v>5920</v>
      </c>
      <c r="AX1" t="s">
        <v>5921</v>
      </c>
      <c r="AY1" t="s">
        <v>5922</v>
      </c>
      <c r="AZ1" t="s">
        <v>5923</v>
      </c>
      <c r="BA1" t="s">
        <v>5924</v>
      </c>
      <c r="BB1" t="s">
        <v>5925</v>
      </c>
      <c r="BC1" t="s">
        <v>5926</v>
      </c>
      <c r="BD1" t="s">
        <v>5927</v>
      </c>
      <c r="BE1" t="s">
        <v>5928</v>
      </c>
      <c r="BF1" t="s">
        <v>5929</v>
      </c>
      <c r="BG1" t="s">
        <v>5930</v>
      </c>
      <c r="BH1" t="s">
        <v>5931</v>
      </c>
      <c r="BI1" t="s">
        <v>5932</v>
      </c>
      <c r="BJ1" t="s">
        <v>5933</v>
      </c>
      <c r="BK1" t="s">
        <v>2530</v>
      </c>
      <c r="BL1" t="s">
        <v>5934</v>
      </c>
      <c r="BM1" t="s">
        <v>5935</v>
      </c>
      <c r="BN1" t="s">
        <v>5936</v>
      </c>
      <c r="BO1" t="s">
        <v>5937</v>
      </c>
      <c r="BP1" t="s">
        <v>5938</v>
      </c>
      <c r="BQ1" t="s">
        <v>5939</v>
      </c>
      <c r="BR1" t="s">
        <v>5940</v>
      </c>
      <c r="BS1" t="s">
        <v>5941</v>
      </c>
      <c r="BT1" t="s">
        <v>5942</v>
      </c>
      <c r="BU1" t="s">
        <v>5943</v>
      </c>
      <c r="BV1" t="s">
        <v>5944</v>
      </c>
      <c r="BW1" t="s">
        <v>5945</v>
      </c>
      <c r="BX1" t="s">
        <v>5946</v>
      </c>
      <c r="BY1" t="s">
        <v>5947</v>
      </c>
      <c r="BZ1" t="s">
        <v>5948</v>
      </c>
      <c r="CA1" t="s">
        <v>5949</v>
      </c>
      <c r="CB1" t="s">
        <v>5950</v>
      </c>
      <c r="CC1" t="s">
        <v>5951</v>
      </c>
      <c r="CD1" t="s">
        <v>5952</v>
      </c>
      <c r="CE1" t="s">
        <v>5953</v>
      </c>
      <c r="CF1" t="s">
        <v>5954</v>
      </c>
      <c r="CG1" t="s">
        <v>5955</v>
      </c>
      <c r="CH1" t="s">
        <v>5956</v>
      </c>
      <c r="CI1" t="s">
        <v>5957</v>
      </c>
      <c r="CJ1" t="s">
        <v>5958</v>
      </c>
      <c r="CK1" t="s">
        <v>2142</v>
      </c>
      <c r="CL1" t="s">
        <v>4187</v>
      </c>
      <c r="CM1" t="s">
        <v>2143</v>
      </c>
      <c r="CN1" t="s">
        <v>4038</v>
      </c>
      <c r="CO1" t="s">
        <v>4037</v>
      </c>
      <c r="CP1" t="s">
        <v>5959</v>
      </c>
      <c r="CQ1" t="s">
        <v>5960</v>
      </c>
      <c r="CR1" t="s">
        <v>5961</v>
      </c>
      <c r="CS1" t="s">
        <v>5962</v>
      </c>
      <c r="CT1" t="s">
        <v>5963</v>
      </c>
      <c r="CU1" t="s">
        <v>5964</v>
      </c>
      <c r="CV1" t="s">
        <v>2144</v>
      </c>
      <c r="CW1" t="s">
        <v>5965</v>
      </c>
      <c r="CX1" t="s">
        <v>5966</v>
      </c>
      <c r="CY1" t="s">
        <v>5967</v>
      </c>
      <c r="CZ1" t="s">
        <v>5968</v>
      </c>
      <c r="DA1" t="s">
        <v>5969</v>
      </c>
      <c r="DB1" t="s">
        <v>2977</v>
      </c>
      <c r="DC1" t="s">
        <v>5970</v>
      </c>
      <c r="DD1" t="s">
        <v>5971</v>
      </c>
      <c r="DE1" t="s">
        <v>5972</v>
      </c>
      <c r="DF1" t="s">
        <v>5973</v>
      </c>
      <c r="DG1" t="s">
        <v>5974</v>
      </c>
      <c r="DH1" t="s">
        <v>5975</v>
      </c>
      <c r="DI1" t="s">
        <v>2145</v>
      </c>
      <c r="DJ1" t="s">
        <v>2146</v>
      </c>
      <c r="DK1" t="s">
        <v>5976</v>
      </c>
      <c r="DL1" t="s">
        <v>4646</v>
      </c>
      <c r="DM1" t="s">
        <v>9171</v>
      </c>
      <c r="DN1" t="s">
        <v>9172</v>
      </c>
      <c r="DO1" t="s">
        <v>9173</v>
      </c>
      <c r="DP1" t="s">
        <v>9174</v>
      </c>
      <c r="DQ1" t="s">
        <v>9175</v>
      </c>
      <c r="DR1" t="s">
        <v>9176</v>
      </c>
      <c r="DS1" t="s">
        <v>5977</v>
      </c>
      <c r="DT1" t="s">
        <v>3050</v>
      </c>
      <c r="DU1" t="s">
        <v>3051</v>
      </c>
      <c r="DV1" t="s">
        <v>5978</v>
      </c>
      <c r="DW1" t="s">
        <v>5979</v>
      </c>
      <c r="DX1" t="s">
        <v>5980</v>
      </c>
      <c r="DY1" t="s">
        <v>5981</v>
      </c>
      <c r="DZ1" t="s">
        <v>5982</v>
      </c>
      <c r="EA1" t="s">
        <v>5983</v>
      </c>
      <c r="EB1" t="s">
        <v>5984</v>
      </c>
      <c r="EC1" t="s">
        <v>5985</v>
      </c>
      <c r="ED1" t="s">
        <v>2263</v>
      </c>
      <c r="EE1" t="s">
        <v>9170</v>
      </c>
      <c r="EF1" t="s">
        <v>5987</v>
      </c>
      <c r="EG1" t="s">
        <v>5988</v>
      </c>
      <c r="EH1" t="s">
        <v>5989</v>
      </c>
      <c r="EI1" t="s">
        <v>5990</v>
      </c>
      <c r="EJ1" t="s">
        <v>5991</v>
      </c>
      <c r="EK1" t="s">
        <v>5992</v>
      </c>
      <c r="EL1" t="s">
        <v>5993</v>
      </c>
      <c r="EM1" t="s">
        <v>2264</v>
      </c>
      <c r="EN1" t="s">
        <v>5994</v>
      </c>
      <c r="EO1" t="s">
        <v>5995</v>
      </c>
      <c r="EP1" t="s">
        <v>5996</v>
      </c>
      <c r="EQ1" t="s">
        <v>5997</v>
      </c>
      <c r="ER1" t="s">
        <v>5998</v>
      </c>
      <c r="ES1" t="s">
        <v>5999</v>
      </c>
      <c r="ET1" t="s">
        <v>6000</v>
      </c>
      <c r="EU1" t="s">
        <v>6001</v>
      </c>
      <c r="EV1" t="s">
        <v>6002</v>
      </c>
      <c r="EW1" t="s">
        <v>6003</v>
      </c>
      <c r="EX1" t="s">
        <v>6004</v>
      </c>
      <c r="EY1" t="s">
        <v>6005</v>
      </c>
      <c r="EZ1" t="s">
        <v>2265</v>
      </c>
      <c r="FA1" t="s">
        <v>2898</v>
      </c>
      <c r="FB1" t="s">
        <v>6006</v>
      </c>
      <c r="FC1" t="s">
        <v>569</v>
      </c>
      <c r="FD1" t="s">
        <v>6007</v>
      </c>
      <c r="FE1" t="s">
        <v>2899</v>
      </c>
      <c r="FF1" t="s">
        <v>9307</v>
      </c>
      <c r="FG1" t="s">
        <v>2900</v>
      </c>
      <c r="FH1" t="s">
        <v>1374</v>
      </c>
      <c r="FI1" t="s">
        <v>3424</v>
      </c>
      <c r="FJ1" t="s">
        <v>7254</v>
      </c>
      <c r="FK1" t="s">
        <v>1375</v>
      </c>
      <c r="FL1" t="s">
        <v>6008</v>
      </c>
      <c r="FM1" t="s">
        <v>6009</v>
      </c>
      <c r="FN1" t="s">
        <v>6010</v>
      </c>
      <c r="FO1" t="s">
        <v>6011</v>
      </c>
      <c r="FP1" t="s">
        <v>6012</v>
      </c>
      <c r="FQ1" t="s">
        <v>6013</v>
      </c>
      <c r="FR1" t="s">
        <v>7255</v>
      </c>
      <c r="FS1" t="s">
        <v>1376</v>
      </c>
      <c r="FT1" t="s">
        <v>307</v>
      </c>
      <c r="FU1" t="s">
        <v>308</v>
      </c>
      <c r="FV1" t="s">
        <v>6014</v>
      </c>
      <c r="FW1" t="s">
        <v>7253</v>
      </c>
      <c r="FX1" t="s">
        <v>9168</v>
      </c>
      <c r="FY1" t="s">
        <v>2902</v>
      </c>
      <c r="FZ1" t="s">
        <v>2147</v>
      </c>
      <c r="GA1" t="s">
        <v>2148</v>
      </c>
      <c r="GB1" t="s">
        <v>2901</v>
      </c>
      <c r="GC1" t="s">
        <v>6015</v>
      </c>
      <c r="GD1" t="s">
        <v>6025</v>
      </c>
      <c r="GE1" t="s">
        <v>6026</v>
      </c>
      <c r="GF1" t="s">
        <v>6027</v>
      </c>
      <c r="GG1" t="s">
        <v>6028</v>
      </c>
      <c r="GH1" t="s">
        <v>6029</v>
      </c>
      <c r="GI1" t="s">
        <v>6030</v>
      </c>
      <c r="GJ1" t="s">
        <v>6031</v>
      </c>
      <c r="GK1" t="s">
        <v>6032</v>
      </c>
      <c r="GL1" t="s">
        <v>6033</v>
      </c>
      <c r="GM1" t="s">
        <v>6034</v>
      </c>
      <c r="GN1" t="s">
        <v>6035</v>
      </c>
      <c r="GO1" t="s">
        <v>6036</v>
      </c>
      <c r="GP1" t="s">
        <v>6037</v>
      </c>
      <c r="GQ1" t="s">
        <v>6038</v>
      </c>
      <c r="GR1" t="s">
        <v>6039</v>
      </c>
      <c r="GS1" t="s">
        <v>6040</v>
      </c>
      <c r="GT1" t="s">
        <v>6041</v>
      </c>
      <c r="GU1" t="s">
        <v>6042</v>
      </c>
      <c r="GV1" t="s">
        <v>6043</v>
      </c>
      <c r="GW1" t="s">
        <v>6044</v>
      </c>
      <c r="GX1" t="s">
        <v>6045</v>
      </c>
      <c r="GY1" t="s">
        <v>6046</v>
      </c>
      <c r="GZ1" t="s">
        <v>6047</v>
      </c>
      <c r="HA1" t="s">
        <v>6048</v>
      </c>
      <c r="HB1" t="s">
        <v>6049</v>
      </c>
      <c r="HC1" t="s">
        <v>6050</v>
      </c>
      <c r="HD1" t="s">
        <v>6051</v>
      </c>
      <c r="HE1" t="s">
        <v>6052</v>
      </c>
      <c r="HF1" t="s">
        <v>6053</v>
      </c>
      <c r="HG1" t="s">
        <v>6054</v>
      </c>
      <c r="HH1" t="s">
        <v>6055</v>
      </c>
      <c r="HI1" t="s">
        <v>6056</v>
      </c>
      <c r="HJ1" t="s">
        <v>6057</v>
      </c>
      <c r="HK1" t="s">
        <v>6058</v>
      </c>
      <c r="HL1" t="s">
        <v>6059</v>
      </c>
      <c r="HM1" t="s">
        <v>6060</v>
      </c>
      <c r="HN1" t="s">
        <v>6062</v>
      </c>
      <c r="HO1" t="s">
        <v>6063</v>
      </c>
      <c r="HP1" t="s">
        <v>6064</v>
      </c>
      <c r="HQ1" t="s">
        <v>6065</v>
      </c>
      <c r="HR1" t="s">
        <v>6066</v>
      </c>
      <c r="HS1" t="s">
        <v>6067</v>
      </c>
      <c r="HT1" t="s">
        <v>6068</v>
      </c>
      <c r="HU1" t="s">
        <v>6069</v>
      </c>
      <c r="HV1" t="s">
        <v>6070</v>
      </c>
      <c r="HW1" t="s">
        <v>6071</v>
      </c>
      <c r="HX1" t="s">
        <v>6072</v>
      </c>
      <c r="HY1" t="s">
        <v>6073</v>
      </c>
      <c r="HZ1" t="s">
        <v>6074</v>
      </c>
      <c r="IA1" t="s">
        <v>4480</v>
      </c>
      <c r="IB1" t="s">
        <v>6075</v>
      </c>
      <c r="IC1" t="s">
        <v>4481</v>
      </c>
      <c r="ID1" t="s">
        <v>4482</v>
      </c>
      <c r="IE1" t="s">
        <v>6076</v>
      </c>
      <c r="IF1" t="s">
        <v>6077</v>
      </c>
      <c r="IG1" t="s">
        <v>6078</v>
      </c>
      <c r="IH1" t="s">
        <v>6079</v>
      </c>
      <c r="II1" t="s">
        <v>6080</v>
      </c>
      <c r="IJ1" t="s">
        <v>7674</v>
      </c>
      <c r="IL1" t="s">
        <v>6016</v>
      </c>
      <c r="IM1" t="s">
        <v>6017</v>
      </c>
      <c r="IN1" t="s">
        <v>7624</v>
      </c>
      <c r="IO1" t="s">
        <v>7625</v>
      </c>
      <c r="IP1" t="s">
        <v>7626</v>
      </c>
      <c r="IQ1" t="s">
        <v>7627</v>
      </c>
      <c r="IR1" t="s">
        <v>6018</v>
      </c>
      <c r="IS1" t="s">
        <v>6019</v>
      </c>
      <c r="IT1" t="s">
        <v>6020</v>
      </c>
      <c r="IU1" t="s">
        <v>6021</v>
      </c>
      <c r="IV1" t="s">
        <v>6022</v>
      </c>
      <c r="IW1" t="s">
        <v>6023</v>
      </c>
      <c r="IX1" t="s">
        <v>6024</v>
      </c>
      <c r="IY1" t="s">
        <v>6061</v>
      </c>
    </row>
    <row r="2" spans="1:259" x14ac:dyDescent="0.2">
      <c r="A2" t="s">
        <v>1783</v>
      </c>
      <c r="B2">
        <f>ROW()</f>
        <v>2</v>
      </c>
      <c r="D2">
        <v>0</v>
      </c>
      <c r="E2">
        <v>0</v>
      </c>
      <c r="F2">
        <v>5</v>
      </c>
      <c r="G2">
        <v>4</v>
      </c>
      <c r="H2">
        <v>3</v>
      </c>
      <c r="I2">
        <v>7</v>
      </c>
      <c r="J2">
        <v>6</v>
      </c>
      <c r="K2">
        <v>5</v>
      </c>
      <c r="L2">
        <v>3</v>
      </c>
      <c r="M2">
        <v>9</v>
      </c>
      <c r="N2">
        <v>12</v>
      </c>
      <c r="O2">
        <v>12</v>
      </c>
      <c r="P2">
        <v>16</v>
      </c>
      <c r="Q2">
        <v>16</v>
      </c>
      <c r="R2">
        <v>20</v>
      </c>
      <c r="S2">
        <v>23</v>
      </c>
      <c r="T2">
        <v>24</v>
      </c>
      <c r="U2">
        <v>24</v>
      </c>
      <c r="V2">
        <v>3</v>
      </c>
      <c r="W2">
        <v>5</v>
      </c>
      <c r="X2">
        <v>8</v>
      </c>
      <c r="Y2">
        <v>4</v>
      </c>
      <c r="Z2">
        <v>10</v>
      </c>
      <c r="AA2">
        <v>12</v>
      </c>
      <c r="AB2">
        <v>15</v>
      </c>
      <c r="AC2">
        <v>11</v>
      </c>
      <c r="AD2">
        <v>12</v>
      </c>
      <c r="AE2">
        <v>2</v>
      </c>
      <c r="AF2">
        <v>1</v>
      </c>
      <c r="AG2">
        <v>3</v>
      </c>
      <c r="AH2">
        <v>7</v>
      </c>
      <c r="AI2">
        <v>14</v>
      </c>
      <c r="AJ2">
        <v>9</v>
      </c>
      <c r="AK2">
        <v>16</v>
      </c>
      <c r="AL2">
        <v>5</v>
      </c>
      <c r="AO2">
        <v>0</v>
      </c>
      <c r="AP2">
        <v>3</v>
      </c>
      <c r="AQ2">
        <v>2</v>
      </c>
      <c r="AR2">
        <v>1</v>
      </c>
      <c r="AS2">
        <v>1</v>
      </c>
      <c r="AT2">
        <v>3</v>
      </c>
      <c r="AU2">
        <v>0</v>
      </c>
      <c r="AV2">
        <v>0</v>
      </c>
      <c r="AW2">
        <v>3</v>
      </c>
      <c r="AX2">
        <v>2</v>
      </c>
      <c r="AY2">
        <v>2</v>
      </c>
      <c r="AZ2">
        <v>1</v>
      </c>
      <c r="BA2">
        <v>4</v>
      </c>
      <c r="BB2">
        <v>3</v>
      </c>
      <c r="BC2">
        <v>4</v>
      </c>
      <c r="BD2">
        <v>0</v>
      </c>
      <c r="BE2">
        <v>6</v>
      </c>
      <c r="BF2">
        <v>6</v>
      </c>
      <c r="BG2">
        <v>9</v>
      </c>
      <c r="BH2">
        <v>7</v>
      </c>
      <c r="BI2">
        <v>8</v>
      </c>
      <c r="BJ2">
        <v>10</v>
      </c>
      <c r="BK2">
        <v>0</v>
      </c>
      <c r="BL2">
        <v>3</v>
      </c>
      <c r="BM2">
        <v>3</v>
      </c>
      <c r="BN2">
        <v>5</v>
      </c>
      <c r="BO2">
        <v>7</v>
      </c>
      <c r="BP2">
        <v>7</v>
      </c>
      <c r="BQ2">
        <v>6</v>
      </c>
      <c r="BR2">
        <v>9</v>
      </c>
      <c r="BS2">
        <v>9</v>
      </c>
      <c r="BT2">
        <v>6</v>
      </c>
      <c r="BU2">
        <v>3</v>
      </c>
      <c r="BV2">
        <v>5</v>
      </c>
      <c r="BW2">
        <v>5</v>
      </c>
      <c r="BX2">
        <v>5</v>
      </c>
      <c r="BY2">
        <v>4</v>
      </c>
      <c r="BZ2">
        <v>4</v>
      </c>
      <c r="CA2">
        <v>5</v>
      </c>
      <c r="CB2">
        <v>3</v>
      </c>
      <c r="CC2">
        <v>6</v>
      </c>
      <c r="CD2">
        <v>5</v>
      </c>
      <c r="CE2">
        <v>4</v>
      </c>
      <c r="CF2">
        <v>6</v>
      </c>
      <c r="CG2">
        <v>5</v>
      </c>
      <c r="CH2">
        <v>4</v>
      </c>
      <c r="CI2">
        <v>4</v>
      </c>
      <c r="CJ2">
        <v>5</v>
      </c>
      <c r="CK2">
        <v>4</v>
      </c>
      <c r="CL2">
        <v>6</v>
      </c>
      <c r="CM2">
        <v>7</v>
      </c>
      <c r="CN2">
        <v>2</v>
      </c>
      <c r="CO2">
        <v>2</v>
      </c>
      <c r="CP2">
        <v>4</v>
      </c>
      <c r="CQ2">
        <v>4</v>
      </c>
      <c r="CR2">
        <v>4</v>
      </c>
      <c r="CS2">
        <v>4</v>
      </c>
      <c r="CT2">
        <v>4</v>
      </c>
      <c r="CU2">
        <v>4</v>
      </c>
      <c r="CV2">
        <v>0</v>
      </c>
      <c r="CW2">
        <v>1</v>
      </c>
      <c r="CX2">
        <v>1</v>
      </c>
      <c r="CY2">
        <v>3</v>
      </c>
      <c r="CZ2">
        <v>2</v>
      </c>
      <c r="DA2">
        <v>1</v>
      </c>
      <c r="DB2">
        <v>3</v>
      </c>
      <c r="DC2">
        <v>6</v>
      </c>
      <c r="DD2">
        <v>4</v>
      </c>
      <c r="DE2">
        <v>3</v>
      </c>
      <c r="DF2">
        <v>1</v>
      </c>
      <c r="DG2">
        <v>1</v>
      </c>
      <c r="DH2">
        <v>0</v>
      </c>
      <c r="DI2">
        <v>11</v>
      </c>
      <c r="DJ2">
        <v>2</v>
      </c>
      <c r="DK2">
        <v>4</v>
      </c>
      <c r="DL2">
        <v>5</v>
      </c>
      <c r="DM2">
        <v>5</v>
      </c>
      <c r="DN2">
        <v>5</v>
      </c>
      <c r="DO2">
        <v>4</v>
      </c>
      <c r="DP2">
        <v>5</v>
      </c>
      <c r="DQ2">
        <v>7</v>
      </c>
      <c r="DR2">
        <v>4</v>
      </c>
      <c r="DS2">
        <v>9</v>
      </c>
      <c r="DT2">
        <v>11</v>
      </c>
      <c r="DU2">
        <v>11</v>
      </c>
      <c r="DV2">
        <v>10</v>
      </c>
      <c r="DW2">
        <v>10</v>
      </c>
      <c r="DX2">
        <v>13</v>
      </c>
      <c r="DY2">
        <v>9</v>
      </c>
      <c r="DZ2">
        <v>12</v>
      </c>
      <c r="EA2">
        <v>11</v>
      </c>
      <c r="EB2">
        <v>10</v>
      </c>
      <c r="EC2">
        <v>10</v>
      </c>
      <c r="ED2">
        <v>14</v>
      </c>
      <c r="EE2">
        <v>9</v>
      </c>
      <c r="EF2">
        <v>5</v>
      </c>
      <c r="EG2">
        <v>10</v>
      </c>
      <c r="EH2">
        <v>8</v>
      </c>
      <c r="EI2">
        <v>6</v>
      </c>
      <c r="EJ2">
        <v>3</v>
      </c>
      <c r="EK2">
        <v>2</v>
      </c>
      <c r="EL2">
        <v>4</v>
      </c>
      <c r="EM2">
        <v>2</v>
      </c>
      <c r="EN2">
        <v>4</v>
      </c>
      <c r="EO2">
        <v>4</v>
      </c>
      <c r="EP2">
        <v>4</v>
      </c>
      <c r="EQ2">
        <v>4</v>
      </c>
      <c r="ER2">
        <v>4</v>
      </c>
      <c r="ES2">
        <v>4</v>
      </c>
      <c r="ET2">
        <v>4</v>
      </c>
      <c r="EU2">
        <v>4</v>
      </c>
      <c r="EV2">
        <v>4</v>
      </c>
      <c r="EW2">
        <v>5</v>
      </c>
      <c r="EX2">
        <v>2</v>
      </c>
      <c r="EY2">
        <v>4</v>
      </c>
      <c r="EZ2">
        <v>2</v>
      </c>
      <c r="FA2">
        <v>10</v>
      </c>
      <c r="FB2">
        <v>11</v>
      </c>
      <c r="FC2">
        <v>7</v>
      </c>
      <c r="FD2">
        <v>17</v>
      </c>
      <c r="FE2">
        <v>8</v>
      </c>
      <c r="FF2">
        <v>11</v>
      </c>
      <c r="FG2">
        <v>10</v>
      </c>
      <c r="FH2">
        <v>4</v>
      </c>
      <c r="FI2">
        <v>4</v>
      </c>
      <c r="FJ2">
        <v>9</v>
      </c>
      <c r="FK2">
        <v>3</v>
      </c>
      <c r="FL2">
        <v>4</v>
      </c>
      <c r="FM2">
        <v>2</v>
      </c>
      <c r="FN2">
        <v>4</v>
      </c>
      <c r="FO2">
        <v>4</v>
      </c>
      <c r="FP2">
        <v>5</v>
      </c>
      <c r="FQ2">
        <v>3</v>
      </c>
      <c r="FR2">
        <v>8</v>
      </c>
      <c r="FS2">
        <v>4</v>
      </c>
      <c r="FT2">
        <v>6</v>
      </c>
      <c r="FU2">
        <v>6</v>
      </c>
      <c r="FV2">
        <v>6</v>
      </c>
      <c r="FW2">
        <v>11</v>
      </c>
      <c r="FX2">
        <v>6</v>
      </c>
      <c r="FY2">
        <v>0</v>
      </c>
      <c r="FZ2">
        <v>1</v>
      </c>
      <c r="GA2">
        <v>4</v>
      </c>
      <c r="GB2">
        <v>3</v>
      </c>
      <c r="GC2">
        <v>0</v>
      </c>
      <c r="GD2">
        <v>4</v>
      </c>
      <c r="GE2">
        <v>6</v>
      </c>
      <c r="GF2">
        <v>8</v>
      </c>
      <c r="GG2">
        <v>8</v>
      </c>
      <c r="GH2">
        <v>11</v>
      </c>
      <c r="GI2">
        <v>4</v>
      </c>
      <c r="GJ2">
        <v>6</v>
      </c>
      <c r="GK2">
        <v>8</v>
      </c>
      <c r="GL2">
        <v>8</v>
      </c>
      <c r="GM2">
        <v>11</v>
      </c>
      <c r="GN2">
        <v>5</v>
      </c>
      <c r="GO2">
        <v>7</v>
      </c>
      <c r="GP2">
        <v>9</v>
      </c>
      <c r="GQ2">
        <v>9</v>
      </c>
      <c r="GR2">
        <v>12</v>
      </c>
      <c r="GS2">
        <v>3</v>
      </c>
      <c r="GT2">
        <v>5</v>
      </c>
      <c r="GU2">
        <v>7</v>
      </c>
      <c r="GV2">
        <v>7</v>
      </c>
      <c r="GW2">
        <v>10</v>
      </c>
      <c r="GX2">
        <v>4</v>
      </c>
      <c r="GY2">
        <v>6</v>
      </c>
      <c r="GZ2">
        <v>8</v>
      </c>
      <c r="HA2">
        <v>8</v>
      </c>
      <c r="HB2">
        <v>11</v>
      </c>
      <c r="HC2">
        <v>6</v>
      </c>
      <c r="HD2">
        <v>8</v>
      </c>
      <c r="HE2">
        <v>10</v>
      </c>
      <c r="HF2">
        <v>10</v>
      </c>
      <c r="HG2">
        <v>13</v>
      </c>
      <c r="HH2">
        <v>5</v>
      </c>
      <c r="HI2">
        <v>7</v>
      </c>
      <c r="HJ2">
        <v>9</v>
      </c>
      <c r="HK2">
        <v>9</v>
      </c>
      <c r="HL2">
        <v>12</v>
      </c>
      <c r="HM2">
        <v>0</v>
      </c>
      <c r="HN2">
        <v>1</v>
      </c>
      <c r="HO2">
        <v>3</v>
      </c>
      <c r="HP2">
        <v>6</v>
      </c>
      <c r="HQ2">
        <v>6</v>
      </c>
      <c r="HR2">
        <v>8</v>
      </c>
      <c r="HS2">
        <v>4</v>
      </c>
      <c r="HT2">
        <v>5</v>
      </c>
      <c r="HU2">
        <v>8</v>
      </c>
      <c r="HV2">
        <v>9</v>
      </c>
      <c r="HW2">
        <v>7</v>
      </c>
      <c r="HX2">
        <v>8</v>
      </c>
      <c r="HY2">
        <v>5</v>
      </c>
      <c r="HZ2">
        <v>6</v>
      </c>
      <c r="IA2">
        <v>1</v>
      </c>
      <c r="IB2">
        <v>6</v>
      </c>
      <c r="IC2">
        <v>9</v>
      </c>
      <c r="ID2">
        <v>10</v>
      </c>
      <c r="IE2">
        <v>10</v>
      </c>
      <c r="IF2">
        <v>10</v>
      </c>
      <c r="IG2">
        <v>11</v>
      </c>
      <c r="IH2">
        <v>13</v>
      </c>
      <c r="II2">
        <v>10</v>
      </c>
      <c r="IL2">
        <v>0</v>
      </c>
      <c r="IM2">
        <v>1</v>
      </c>
      <c r="IN2">
        <v>3</v>
      </c>
      <c r="IO2">
        <v>5</v>
      </c>
      <c r="IP2">
        <v>5</v>
      </c>
      <c r="IQ2">
        <v>8</v>
      </c>
      <c r="IR2">
        <v>3</v>
      </c>
      <c r="IS2">
        <v>3</v>
      </c>
      <c r="IT2">
        <v>4</v>
      </c>
      <c r="IU2">
        <v>2</v>
      </c>
      <c r="IV2">
        <v>3</v>
      </c>
      <c r="IW2">
        <v>5</v>
      </c>
      <c r="IX2">
        <v>4</v>
      </c>
      <c r="IY2">
        <v>0</v>
      </c>
    </row>
    <row r="3" spans="1:259" x14ac:dyDescent="0.2">
      <c r="A3" t="s">
        <v>2138</v>
      </c>
      <c r="B3">
        <f>ROW()</f>
        <v>3</v>
      </c>
      <c r="D3">
        <v>10</v>
      </c>
      <c r="E3">
        <v>10</v>
      </c>
      <c r="F3">
        <v>11</v>
      </c>
      <c r="G3">
        <v>9</v>
      </c>
      <c r="H3">
        <v>11</v>
      </c>
      <c r="I3">
        <v>11</v>
      </c>
      <c r="J3">
        <v>12</v>
      </c>
      <c r="K3">
        <v>8</v>
      </c>
      <c r="L3">
        <v>8</v>
      </c>
      <c r="M3">
        <v>11</v>
      </c>
      <c r="N3">
        <v>10</v>
      </c>
      <c r="O3">
        <v>11</v>
      </c>
      <c r="P3">
        <v>12</v>
      </c>
      <c r="Q3">
        <v>12</v>
      </c>
      <c r="R3">
        <v>6</v>
      </c>
      <c r="S3">
        <v>6</v>
      </c>
      <c r="T3">
        <v>7</v>
      </c>
      <c r="U3">
        <v>7</v>
      </c>
      <c r="V3">
        <v>8</v>
      </c>
      <c r="W3">
        <v>8</v>
      </c>
      <c r="X3">
        <v>8</v>
      </c>
      <c r="Y3">
        <v>9</v>
      </c>
      <c r="Z3">
        <v>8</v>
      </c>
      <c r="AA3">
        <v>8</v>
      </c>
      <c r="AB3">
        <v>8</v>
      </c>
      <c r="AC3">
        <v>9</v>
      </c>
      <c r="AD3">
        <v>12</v>
      </c>
      <c r="AE3">
        <v>10</v>
      </c>
      <c r="AF3">
        <v>11</v>
      </c>
      <c r="AG3">
        <v>4</v>
      </c>
      <c r="AH3">
        <v>4</v>
      </c>
      <c r="AI3">
        <v>8</v>
      </c>
      <c r="AJ3">
        <v>8</v>
      </c>
      <c r="AK3">
        <v>7</v>
      </c>
      <c r="AL3">
        <v>7</v>
      </c>
      <c r="AO3">
        <v>0</v>
      </c>
      <c r="AP3">
        <v>0</v>
      </c>
      <c r="AQ3">
        <v>0</v>
      </c>
      <c r="AR3">
        <v>0</v>
      </c>
      <c r="AS3">
        <v>0</v>
      </c>
      <c r="AT3">
        <v>0</v>
      </c>
      <c r="AU3">
        <v>0</v>
      </c>
      <c r="AV3">
        <v>0</v>
      </c>
      <c r="AW3">
        <v>0</v>
      </c>
      <c r="AX3">
        <v>0</v>
      </c>
      <c r="AY3">
        <v>0</v>
      </c>
      <c r="AZ3">
        <v>0</v>
      </c>
      <c r="BA3">
        <v>0</v>
      </c>
      <c r="BB3">
        <v>0</v>
      </c>
      <c r="BC3">
        <v>0</v>
      </c>
      <c r="BD3">
        <v>0</v>
      </c>
      <c r="BE3">
        <v>1</v>
      </c>
      <c r="BF3">
        <v>1</v>
      </c>
      <c r="BG3">
        <v>1</v>
      </c>
      <c r="BH3">
        <v>1</v>
      </c>
      <c r="BI3">
        <v>1</v>
      </c>
      <c r="BJ3">
        <v>1</v>
      </c>
      <c r="BK3">
        <v>0</v>
      </c>
      <c r="BL3">
        <v>0</v>
      </c>
      <c r="BM3">
        <v>0</v>
      </c>
      <c r="BN3">
        <v>0</v>
      </c>
      <c r="BO3">
        <v>1</v>
      </c>
      <c r="BP3">
        <v>1</v>
      </c>
      <c r="BQ3">
        <v>1</v>
      </c>
      <c r="BR3">
        <v>1</v>
      </c>
      <c r="BS3">
        <v>1</v>
      </c>
      <c r="BT3">
        <v>0</v>
      </c>
      <c r="BU3">
        <v>0</v>
      </c>
      <c r="BV3">
        <v>0</v>
      </c>
      <c r="BW3">
        <v>0</v>
      </c>
      <c r="BX3">
        <v>0</v>
      </c>
      <c r="BY3">
        <v>0</v>
      </c>
      <c r="BZ3">
        <v>0</v>
      </c>
      <c r="CA3">
        <v>0</v>
      </c>
      <c r="CB3">
        <v>0</v>
      </c>
      <c r="CC3">
        <v>0</v>
      </c>
      <c r="CD3">
        <v>0</v>
      </c>
      <c r="CE3">
        <v>0</v>
      </c>
      <c r="CF3">
        <v>0</v>
      </c>
      <c r="CG3">
        <v>0</v>
      </c>
      <c r="CH3">
        <v>0</v>
      </c>
      <c r="CI3">
        <v>0</v>
      </c>
      <c r="CJ3">
        <v>0</v>
      </c>
      <c r="CK3">
        <v>0</v>
      </c>
      <c r="CL3">
        <v>0</v>
      </c>
      <c r="CM3">
        <v>1</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1</v>
      </c>
      <c r="DJ3">
        <v>0</v>
      </c>
      <c r="DK3">
        <v>0</v>
      </c>
      <c r="DL3">
        <v>0</v>
      </c>
      <c r="DM3">
        <v>0</v>
      </c>
      <c r="DN3">
        <v>0</v>
      </c>
      <c r="DO3">
        <v>0</v>
      </c>
      <c r="DP3">
        <v>0</v>
      </c>
      <c r="DQ3">
        <v>0</v>
      </c>
      <c r="DR3">
        <v>0</v>
      </c>
      <c r="DS3">
        <v>0</v>
      </c>
      <c r="DT3">
        <v>2</v>
      </c>
      <c r="DU3">
        <v>0</v>
      </c>
      <c r="DV3">
        <v>0</v>
      </c>
      <c r="DW3">
        <v>0</v>
      </c>
      <c r="DX3">
        <v>0</v>
      </c>
      <c r="DY3">
        <v>0</v>
      </c>
      <c r="DZ3">
        <v>0</v>
      </c>
      <c r="EA3">
        <v>0</v>
      </c>
      <c r="EB3">
        <v>0</v>
      </c>
      <c r="EC3">
        <v>0</v>
      </c>
      <c r="ED3">
        <v>0</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1</v>
      </c>
      <c r="FA3">
        <v>0</v>
      </c>
      <c r="FB3">
        <v>0</v>
      </c>
      <c r="FC3">
        <v>0</v>
      </c>
      <c r="FD3">
        <v>0</v>
      </c>
      <c r="FE3">
        <v>0</v>
      </c>
      <c r="FF3">
        <v>0</v>
      </c>
      <c r="FG3">
        <v>1</v>
      </c>
      <c r="FH3">
        <v>0</v>
      </c>
      <c r="FI3">
        <v>0</v>
      </c>
      <c r="FJ3">
        <v>0</v>
      </c>
      <c r="FK3">
        <v>0</v>
      </c>
      <c r="FL3">
        <v>0</v>
      </c>
      <c r="FM3">
        <v>0</v>
      </c>
      <c r="FN3">
        <v>0</v>
      </c>
      <c r="FO3">
        <v>0</v>
      </c>
      <c r="FP3">
        <v>0</v>
      </c>
      <c r="FQ3">
        <v>0</v>
      </c>
      <c r="FR3">
        <v>0</v>
      </c>
      <c r="FS3">
        <v>0</v>
      </c>
      <c r="FT3">
        <v>0</v>
      </c>
      <c r="FU3">
        <v>0</v>
      </c>
      <c r="FV3">
        <v>0</v>
      </c>
      <c r="FW3">
        <v>0</v>
      </c>
      <c r="FX3">
        <v>0</v>
      </c>
      <c r="FY3">
        <v>0</v>
      </c>
      <c r="FZ3">
        <v>0</v>
      </c>
      <c r="GA3">
        <v>0</v>
      </c>
      <c r="GB3">
        <v>0</v>
      </c>
      <c r="GC3">
        <v>0</v>
      </c>
      <c r="GD3">
        <v>1</v>
      </c>
      <c r="GE3">
        <v>1</v>
      </c>
      <c r="GF3">
        <v>1</v>
      </c>
      <c r="GG3">
        <v>1</v>
      </c>
      <c r="GH3">
        <v>1</v>
      </c>
      <c r="GI3">
        <v>1</v>
      </c>
      <c r="GJ3">
        <v>1</v>
      </c>
      <c r="GK3">
        <v>1</v>
      </c>
      <c r="GL3">
        <v>1</v>
      </c>
      <c r="GM3">
        <v>1</v>
      </c>
      <c r="GN3">
        <v>1</v>
      </c>
      <c r="GO3">
        <v>1</v>
      </c>
      <c r="GP3">
        <v>1</v>
      </c>
      <c r="GQ3">
        <v>1</v>
      </c>
      <c r="GR3">
        <v>1</v>
      </c>
      <c r="GS3">
        <v>1</v>
      </c>
      <c r="GT3">
        <v>1</v>
      </c>
      <c r="GU3">
        <v>1</v>
      </c>
      <c r="GV3">
        <v>1</v>
      </c>
      <c r="GW3">
        <v>1</v>
      </c>
      <c r="GX3">
        <v>1</v>
      </c>
      <c r="GY3">
        <v>1</v>
      </c>
      <c r="GZ3">
        <v>1</v>
      </c>
      <c r="HA3">
        <v>1</v>
      </c>
      <c r="HB3">
        <v>1</v>
      </c>
      <c r="HC3">
        <v>1</v>
      </c>
      <c r="HD3">
        <v>1</v>
      </c>
      <c r="HE3">
        <v>1</v>
      </c>
      <c r="HF3">
        <v>1</v>
      </c>
      <c r="HG3">
        <v>1</v>
      </c>
      <c r="HH3">
        <v>1</v>
      </c>
      <c r="HI3">
        <v>1</v>
      </c>
      <c r="HJ3">
        <v>1</v>
      </c>
      <c r="HK3">
        <v>1</v>
      </c>
      <c r="HL3">
        <v>1</v>
      </c>
      <c r="HM3">
        <v>0</v>
      </c>
      <c r="HN3">
        <v>0</v>
      </c>
      <c r="HO3">
        <v>0</v>
      </c>
      <c r="HP3">
        <v>0</v>
      </c>
      <c r="HQ3">
        <v>0</v>
      </c>
      <c r="HR3">
        <v>0</v>
      </c>
      <c r="HS3">
        <v>1</v>
      </c>
      <c r="HT3">
        <v>1</v>
      </c>
      <c r="HU3">
        <v>1</v>
      </c>
      <c r="HV3">
        <v>1</v>
      </c>
      <c r="HW3">
        <v>1</v>
      </c>
      <c r="HX3">
        <v>1</v>
      </c>
      <c r="HY3">
        <v>1</v>
      </c>
      <c r="HZ3">
        <v>1</v>
      </c>
      <c r="IA3">
        <v>0</v>
      </c>
      <c r="IB3">
        <v>0</v>
      </c>
      <c r="IC3">
        <v>0</v>
      </c>
      <c r="ID3">
        <v>1</v>
      </c>
      <c r="IE3">
        <v>1</v>
      </c>
      <c r="IF3">
        <v>1</v>
      </c>
      <c r="IG3">
        <v>1</v>
      </c>
      <c r="IH3">
        <v>1</v>
      </c>
      <c r="II3">
        <v>1</v>
      </c>
      <c r="IL3">
        <v>1</v>
      </c>
      <c r="IM3">
        <v>1</v>
      </c>
      <c r="IN3">
        <v>1</v>
      </c>
      <c r="IO3">
        <v>1</v>
      </c>
      <c r="IP3">
        <v>1</v>
      </c>
      <c r="IQ3">
        <v>1</v>
      </c>
      <c r="IR3">
        <v>0</v>
      </c>
      <c r="IS3">
        <v>0</v>
      </c>
      <c r="IT3">
        <v>0</v>
      </c>
      <c r="IU3">
        <v>0</v>
      </c>
      <c r="IV3">
        <v>0</v>
      </c>
      <c r="IW3">
        <v>0</v>
      </c>
      <c r="IX3">
        <v>0</v>
      </c>
      <c r="IY3">
        <v>0</v>
      </c>
    </row>
    <row r="4" spans="1:259" x14ac:dyDescent="0.2">
      <c r="A4" t="s">
        <v>564</v>
      </c>
      <c r="B4">
        <f>ROW()</f>
        <v>4</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-3</v>
      </c>
      <c r="FK4">
        <v>0</v>
      </c>
      <c r="FL4">
        <v>0</v>
      </c>
      <c r="FM4">
        <v>0</v>
      </c>
      <c r="FN4">
        <v>0</v>
      </c>
      <c r="FO4">
        <v>0</v>
      </c>
      <c r="FP4">
        <v>0</v>
      </c>
      <c r="FQ4">
        <v>0</v>
      </c>
      <c r="FR4">
        <v>-3</v>
      </c>
      <c r="FS4">
        <v>0</v>
      </c>
      <c r="FT4">
        <v>0</v>
      </c>
      <c r="FU4">
        <v>0</v>
      </c>
      <c r="FV4">
        <v>0</v>
      </c>
      <c r="FW4">
        <v>-3</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c r="HP4">
        <v>0</v>
      </c>
      <c r="HQ4">
        <v>0</v>
      </c>
      <c r="HR4">
        <v>0</v>
      </c>
      <c r="HS4">
        <v>0</v>
      </c>
      <c r="HT4">
        <v>0</v>
      </c>
      <c r="HU4">
        <v>0</v>
      </c>
      <c r="HV4">
        <v>0</v>
      </c>
      <c r="HW4">
        <v>0</v>
      </c>
      <c r="HX4">
        <v>0</v>
      </c>
      <c r="HY4">
        <v>0</v>
      </c>
      <c r="HZ4">
        <v>0</v>
      </c>
      <c r="IA4">
        <v>0</v>
      </c>
      <c r="IB4">
        <v>0</v>
      </c>
      <c r="IC4">
        <v>0</v>
      </c>
      <c r="ID4">
        <v>0</v>
      </c>
      <c r="IE4">
        <v>0</v>
      </c>
      <c r="IF4">
        <v>0</v>
      </c>
      <c r="IG4">
        <v>0</v>
      </c>
      <c r="IH4">
        <v>0</v>
      </c>
      <c r="II4">
        <v>0</v>
      </c>
      <c r="IL4">
        <v>0</v>
      </c>
      <c r="IM4">
        <v>0</v>
      </c>
      <c r="IN4">
        <v>0</v>
      </c>
      <c r="IO4">
        <v>0</v>
      </c>
      <c r="IP4">
        <v>0</v>
      </c>
      <c r="IQ4">
        <v>0</v>
      </c>
      <c r="IR4">
        <v>0</v>
      </c>
      <c r="IS4">
        <v>0</v>
      </c>
      <c r="IT4">
        <v>0</v>
      </c>
      <c r="IU4">
        <v>0</v>
      </c>
      <c r="IV4">
        <v>0</v>
      </c>
      <c r="IW4">
        <v>0</v>
      </c>
      <c r="IX4">
        <v>0</v>
      </c>
      <c r="IY4">
        <v>0</v>
      </c>
    </row>
    <row r="5" spans="1:259" x14ac:dyDescent="0.2">
      <c r="A5" t="s">
        <v>3604</v>
      </c>
      <c r="B5">
        <f>ROW()</f>
        <v>5</v>
      </c>
      <c r="D5">
        <v>10</v>
      </c>
      <c r="E5">
        <v>10</v>
      </c>
      <c r="F5">
        <v>10</v>
      </c>
      <c r="G5">
        <v>12</v>
      </c>
      <c r="H5">
        <v>10</v>
      </c>
      <c r="I5">
        <v>18</v>
      </c>
      <c r="J5">
        <v>20</v>
      </c>
      <c r="K5">
        <v>12</v>
      </c>
      <c r="L5">
        <v>12</v>
      </c>
      <c r="M5">
        <v>12</v>
      </c>
      <c r="N5">
        <v>18</v>
      </c>
      <c r="O5">
        <v>15</v>
      </c>
      <c r="P5">
        <v>18</v>
      </c>
      <c r="Q5">
        <v>18</v>
      </c>
      <c r="R5">
        <v>12</v>
      </c>
      <c r="S5">
        <v>10</v>
      </c>
      <c r="T5">
        <v>15</v>
      </c>
      <c r="U5">
        <v>15</v>
      </c>
      <c r="V5">
        <v>10</v>
      </c>
      <c r="W5">
        <v>12</v>
      </c>
      <c r="X5">
        <v>11</v>
      </c>
      <c r="Y5">
        <v>10</v>
      </c>
      <c r="Z5">
        <v>10</v>
      </c>
      <c r="AA5">
        <v>12</v>
      </c>
      <c r="AB5">
        <v>11</v>
      </c>
      <c r="AC5">
        <v>10</v>
      </c>
      <c r="AD5">
        <v>18</v>
      </c>
      <c r="AE5">
        <v>15</v>
      </c>
      <c r="AF5">
        <v>15</v>
      </c>
      <c r="AG5">
        <v>12</v>
      </c>
      <c r="AH5">
        <v>12</v>
      </c>
      <c r="AI5">
        <v>7</v>
      </c>
      <c r="AJ5">
        <v>7</v>
      </c>
      <c r="AK5">
        <v>7</v>
      </c>
      <c r="AL5">
        <v>7</v>
      </c>
      <c r="AO5">
        <v>0</v>
      </c>
      <c r="AP5">
        <v>0</v>
      </c>
      <c r="AQ5">
        <v>0</v>
      </c>
      <c r="AR5">
        <v>0</v>
      </c>
      <c r="AS5">
        <v>0</v>
      </c>
      <c r="AT5">
        <v>0</v>
      </c>
      <c r="AU5">
        <v>0</v>
      </c>
      <c r="AV5">
        <v>0</v>
      </c>
      <c r="AW5">
        <v>0</v>
      </c>
      <c r="AX5">
        <v>0</v>
      </c>
      <c r="AY5">
        <v>0</v>
      </c>
      <c r="AZ5">
        <v>0</v>
      </c>
      <c r="BA5">
        <v>0</v>
      </c>
      <c r="BB5">
        <v>0</v>
      </c>
      <c r="BC5">
        <v>0</v>
      </c>
      <c r="BD5">
        <v>0</v>
      </c>
      <c r="BE5">
        <v>2</v>
      </c>
      <c r="BF5">
        <v>2</v>
      </c>
      <c r="BG5">
        <v>2</v>
      </c>
      <c r="BH5">
        <v>2</v>
      </c>
      <c r="BI5">
        <v>2</v>
      </c>
      <c r="BJ5">
        <v>2</v>
      </c>
      <c r="BK5">
        <v>0</v>
      </c>
      <c r="BL5">
        <v>0</v>
      </c>
      <c r="BM5">
        <v>0</v>
      </c>
      <c r="BN5">
        <v>0</v>
      </c>
      <c r="BO5">
        <v>2</v>
      </c>
      <c r="BP5">
        <v>2</v>
      </c>
      <c r="BQ5">
        <v>2</v>
      </c>
      <c r="BR5">
        <v>2</v>
      </c>
      <c r="BS5">
        <v>2</v>
      </c>
      <c r="BT5">
        <v>2</v>
      </c>
      <c r="BU5">
        <v>0</v>
      </c>
      <c r="BV5">
        <v>0</v>
      </c>
      <c r="BW5">
        <v>0</v>
      </c>
      <c r="BX5">
        <v>0</v>
      </c>
      <c r="BY5">
        <v>0</v>
      </c>
      <c r="BZ5">
        <v>0</v>
      </c>
      <c r="CA5">
        <v>0</v>
      </c>
      <c r="CB5">
        <v>0</v>
      </c>
      <c r="CC5">
        <v>0</v>
      </c>
      <c r="CD5">
        <v>0</v>
      </c>
      <c r="CE5">
        <v>0</v>
      </c>
      <c r="CF5">
        <v>0</v>
      </c>
      <c r="CG5">
        <v>0</v>
      </c>
      <c r="CH5">
        <v>0</v>
      </c>
      <c r="CI5">
        <v>0</v>
      </c>
      <c r="CJ5">
        <v>0</v>
      </c>
      <c r="CK5">
        <v>0</v>
      </c>
      <c r="CL5">
        <v>0</v>
      </c>
      <c r="CM5">
        <v>3</v>
      </c>
      <c r="CN5">
        <v>0</v>
      </c>
      <c r="CO5">
        <v>0</v>
      </c>
      <c r="CP5">
        <v>0</v>
      </c>
      <c r="CQ5">
        <v>0</v>
      </c>
      <c r="CR5">
        <v>0</v>
      </c>
      <c r="CS5">
        <v>0</v>
      </c>
      <c r="CT5">
        <v>0</v>
      </c>
      <c r="CU5">
        <v>0</v>
      </c>
      <c r="CV5">
        <v>0</v>
      </c>
      <c r="CW5">
        <v>0</v>
      </c>
      <c r="CX5">
        <v>0</v>
      </c>
      <c r="CY5">
        <v>0</v>
      </c>
      <c r="CZ5">
        <v>0</v>
      </c>
      <c r="DA5">
        <v>0</v>
      </c>
      <c r="DB5">
        <v>0</v>
      </c>
      <c r="DC5">
        <v>0</v>
      </c>
      <c r="DD5">
        <v>0</v>
      </c>
      <c r="DE5">
        <v>2</v>
      </c>
      <c r="DF5">
        <v>2</v>
      </c>
      <c r="DG5">
        <v>1</v>
      </c>
      <c r="DH5">
        <v>1</v>
      </c>
      <c r="DI5">
        <v>5</v>
      </c>
      <c r="DJ5">
        <v>0</v>
      </c>
      <c r="DK5">
        <v>2</v>
      </c>
      <c r="DL5">
        <v>2</v>
      </c>
      <c r="DM5">
        <v>2</v>
      </c>
      <c r="DN5">
        <v>2</v>
      </c>
      <c r="DO5">
        <v>2</v>
      </c>
      <c r="DP5">
        <v>2</v>
      </c>
      <c r="DQ5">
        <v>2</v>
      </c>
      <c r="DR5">
        <v>2</v>
      </c>
      <c r="DS5">
        <v>5</v>
      </c>
      <c r="DT5">
        <v>6</v>
      </c>
      <c r="DU5">
        <v>0</v>
      </c>
      <c r="DV5">
        <v>0</v>
      </c>
      <c r="DW5">
        <v>2</v>
      </c>
      <c r="DX5">
        <v>0</v>
      </c>
      <c r="DY5">
        <v>0</v>
      </c>
      <c r="DZ5">
        <v>0</v>
      </c>
      <c r="EA5">
        <v>0</v>
      </c>
      <c r="EB5">
        <v>0</v>
      </c>
      <c r="EC5">
        <v>0</v>
      </c>
      <c r="ED5">
        <v>-2</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2</v>
      </c>
      <c r="FA5">
        <v>5</v>
      </c>
      <c r="FB5">
        <v>5</v>
      </c>
      <c r="FC5">
        <v>5</v>
      </c>
      <c r="FD5">
        <v>5</v>
      </c>
      <c r="FE5">
        <v>2</v>
      </c>
      <c r="FF5">
        <v>2</v>
      </c>
      <c r="FG5">
        <v>2</v>
      </c>
      <c r="FH5">
        <v>0</v>
      </c>
      <c r="FI5">
        <v>0</v>
      </c>
      <c r="FJ5">
        <v>0</v>
      </c>
      <c r="FK5">
        <v>0</v>
      </c>
      <c r="FL5">
        <v>0</v>
      </c>
      <c r="FM5">
        <v>0</v>
      </c>
      <c r="FN5">
        <v>0</v>
      </c>
      <c r="FO5">
        <v>0</v>
      </c>
      <c r="FP5">
        <v>0</v>
      </c>
      <c r="FQ5">
        <v>0</v>
      </c>
      <c r="FR5">
        <v>0</v>
      </c>
      <c r="FS5">
        <v>0</v>
      </c>
      <c r="FT5">
        <v>0</v>
      </c>
      <c r="FU5">
        <v>2</v>
      </c>
      <c r="FV5">
        <v>2</v>
      </c>
      <c r="FW5">
        <v>2</v>
      </c>
      <c r="FX5">
        <v>2</v>
      </c>
      <c r="FY5">
        <v>0</v>
      </c>
      <c r="FZ5">
        <v>0</v>
      </c>
      <c r="GA5">
        <v>0</v>
      </c>
      <c r="GB5">
        <v>0</v>
      </c>
      <c r="GC5">
        <v>0</v>
      </c>
      <c r="GD5">
        <v>2</v>
      </c>
      <c r="GE5">
        <v>2</v>
      </c>
      <c r="GF5">
        <v>2</v>
      </c>
      <c r="GG5">
        <v>2</v>
      </c>
      <c r="GH5">
        <v>2</v>
      </c>
      <c r="GI5">
        <v>2</v>
      </c>
      <c r="GJ5">
        <v>2</v>
      </c>
      <c r="GK5">
        <v>2</v>
      </c>
      <c r="GL5">
        <v>2</v>
      </c>
      <c r="GM5">
        <v>2</v>
      </c>
      <c r="GN5">
        <v>4</v>
      </c>
      <c r="GO5">
        <v>4</v>
      </c>
      <c r="GP5">
        <v>4</v>
      </c>
      <c r="GQ5">
        <v>4</v>
      </c>
      <c r="GR5">
        <v>4</v>
      </c>
      <c r="GS5">
        <v>2</v>
      </c>
      <c r="GT5">
        <v>2</v>
      </c>
      <c r="GU5">
        <v>2</v>
      </c>
      <c r="GV5">
        <v>2</v>
      </c>
      <c r="GW5">
        <v>2</v>
      </c>
      <c r="GX5">
        <v>2</v>
      </c>
      <c r="GY5">
        <v>2</v>
      </c>
      <c r="GZ5">
        <v>2</v>
      </c>
      <c r="HA5">
        <v>2</v>
      </c>
      <c r="HB5">
        <v>2</v>
      </c>
      <c r="HC5">
        <v>2</v>
      </c>
      <c r="HD5">
        <v>2</v>
      </c>
      <c r="HE5">
        <v>2</v>
      </c>
      <c r="HF5">
        <v>2</v>
      </c>
      <c r="HG5">
        <v>2</v>
      </c>
      <c r="HH5">
        <v>2</v>
      </c>
      <c r="HI5">
        <v>2</v>
      </c>
      <c r="HJ5">
        <v>2</v>
      </c>
      <c r="HK5">
        <v>2</v>
      </c>
      <c r="HL5">
        <v>2</v>
      </c>
      <c r="HM5">
        <v>0</v>
      </c>
      <c r="HN5">
        <v>0</v>
      </c>
      <c r="HO5">
        <v>0</v>
      </c>
      <c r="HP5">
        <v>0</v>
      </c>
      <c r="HQ5">
        <v>0</v>
      </c>
      <c r="HR5">
        <v>0</v>
      </c>
      <c r="HS5">
        <v>4</v>
      </c>
      <c r="HT5">
        <v>4</v>
      </c>
      <c r="HU5">
        <v>4</v>
      </c>
      <c r="HV5">
        <v>4</v>
      </c>
      <c r="HW5">
        <v>4</v>
      </c>
      <c r="HX5">
        <v>4</v>
      </c>
      <c r="HY5">
        <v>4</v>
      </c>
      <c r="HZ5">
        <v>4</v>
      </c>
      <c r="IA5">
        <v>0</v>
      </c>
      <c r="IB5">
        <v>-2</v>
      </c>
      <c r="IC5">
        <v>0</v>
      </c>
      <c r="ID5">
        <v>3</v>
      </c>
      <c r="IE5">
        <v>3</v>
      </c>
      <c r="IF5">
        <v>3</v>
      </c>
      <c r="IG5">
        <v>3</v>
      </c>
      <c r="IH5">
        <v>3</v>
      </c>
      <c r="II5">
        <v>3</v>
      </c>
      <c r="IL5">
        <v>2</v>
      </c>
      <c r="IM5">
        <v>2</v>
      </c>
      <c r="IN5">
        <v>2</v>
      </c>
      <c r="IO5">
        <v>2</v>
      </c>
      <c r="IP5">
        <v>2</v>
      </c>
      <c r="IQ5">
        <v>2</v>
      </c>
      <c r="IR5">
        <v>0</v>
      </c>
      <c r="IS5">
        <v>0</v>
      </c>
      <c r="IT5">
        <v>2</v>
      </c>
      <c r="IU5">
        <v>0</v>
      </c>
      <c r="IV5">
        <v>0</v>
      </c>
      <c r="IW5">
        <v>0</v>
      </c>
      <c r="IX5">
        <v>0</v>
      </c>
      <c r="IY5">
        <v>0</v>
      </c>
    </row>
    <row r="6" spans="1:259" x14ac:dyDescent="0.2">
      <c r="A6" t="s">
        <v>3605</v>
      </c>
      <c r="B6">
        <f>ROW()</f>
        <v>6</v>
      </c>
      <c r="D6">
        <v>-4</v>
      </c>
      <c r="E6">
        <v>-4</v>
      </c>
      <c r="F6">
        <v>-5</v>
      </c>
      <c r="G6">
        <v>-5</v>
      </c>
      <c r="H6">
        <v>-4</v>
      </c>
      <c r="I6">
        <v>-5</v>
      </c>
      <c r="J6">
        <v>-5</v>
      </c>
      <c r="K6">
        <v>-6</v>
      </c>
      <c r="L6">
        <v>-6</v>
      </c>
      <c r="M6">
        <v>-6</v>
      </c>
      <c r="N6">
        <v>-4</v>
      </c>
      <c r="O6">
        <v>-4</v>
      </c>
      <c r="P6">
        <v>-4</v>
      </c>
      <c r="Q6">
        <v>-4</v>
      </c>
      <c r="R6">
        <v>-2</v>
      </c>
      <c r="S6">
        <v>-2</v>
      </c>
      <c r="T6">
        <v>-1</v>
      </c>
      <c r="U6">
        <v>-1</v>
      </c>
      <c r="V6">
        <v>-4</v>
      </c>
      <c r="W6">
        <v>-3</v>
      </c>
      <c r="X6">
        <v>-4</v>
      </c>
      <c r="Y6">
        <v>-4</v>
      </c>
      <c r="Z6">
        <v>-2</v>
      </c>
      <c r="AA6">
        <v>-1</v>
      </c>
      <c r="AB6">
        <v>-2</v>
      </c>
      <c r="AC6">
        <v>-2</v>
      </c>
      <c r="AD6">
        <v>-7</v>
      </c>
      <c r="AE6">
        <v>-7</v>
      </c>
      <c r="AF6">
        <v>-6</v>
      </c>
      <c r="AG6">
        <v>-5</v>
      </c>
      <c r="AH6">
        <v>-5</v>
      </c>
      <c r="AI6">
        <v>-2</v>
      </c>
      <c r="AJ6">
        <v>-2</v>
      </c>
      <c r="AK6">
        <v>-2</v>
      </c>
      <c r="AL6">
        <v>-2</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1</v>
      </c>
      <c r="DC6">
        <v>1</v>
      </c>
      <c r="DD6">
        <v>1</v>
      </c>
      <c r="DE6">
        <v>0</v>
      </c>
      <c r="DF6">
        <v>0</v>
      </c>
      <c r="DG6">
        <v>0</v>
      </c>
      <c r="DH6">
        <v>0</v>
      </c>
      <c r="DI6">
        <v>-2</v>
      </c>
      <c r="DJ6">
        <v>-1</v>
      </c>
      <c r="DK6">
        <v>0</v>
      </c>
      <c r="DL6">
        <v>0</v>
      </c>
      <c r="DM6">
        <v>0</v>
      </c>
      <c r="DN6">
        <v>0</v>
      </c>
      <c r="DO6">
        <v>0</v>
      </c>
      <c r="DP6">
        <v>0</v>
      </c>
      <c r="DQ6">
        <v>0</v>
      </c>
      <c r="DR6">
        <v>0</v>
      </c>
      <c r="DS6">
        <v>0</v>
      </c>
      <c r="DT6">
        <v>-1</v>
      </c>
      <c r="DU6">
        <v>0</v>
      </c>
      <c r="DV6">
        <v>0</v>
      </c>
      <c r="DW6">
        <v>0</v>
      </c>
      <c r="DX6">
        <v>0</v>
      </c>
      <c r="DY6">
        <v>0</v>
      </c>
      <c r="DZ6">
        <v>0</v>
      </c>
      <c r="EA6">
        <v>0</v>
      </c>
      <c r="EB6">
        <v>1</v>
      </c>
      <c r="EC6">
        <v>0</v>
      </c>
      <c r="ED6">
        <v>1</v>
      </c>
      <c r="EE6">
        <v>1</v>
      </c>
      <c r="EF6">
        <v>1</v>
      </c>
      <c r="EG6">
        <v>1</v>
      </c>
      <c r="EH6">
        <v>1</v>
      </c>
      <c r="EI6">
        <v>1</v>
      </c>
      <c r="EJ6">
        <v>2</v>
      </c>
      <c r="EK6">
        <v>1</v>
      </c>
      <c r="EL6">
        <v>1</v>
      </c>
      <c r="EM6">
        <v>0</v>
      </c>
      <c r="EN6">
        <v>0</v>
      </c>
      <c r="EO6">
        <v>0</v>
      </c>
      <c r="EP6">
        <v>0</v>
      </c>
      <c r="EQ6">
        <v>0</v>
      </c>
      <c r="ER6">
        <v>0</v>
      </c>
      <c r="ES6">
        <v>0</v>
      </c>
      <c r="ET6">
        <v>0</v>
      </c>
      <c r="EU6">
        <v>0</v>
      </c>
      <c r="EV6">
        <v>0</v>
      </c>
      <c r="EW6">
        <v>0</v>
      </c>
      <c r="EX6">
        <v>0</v>
      </c>
      <c r="EY6">
        <v>0</v>
      </c>
      <c r="EZ6">
        <v>-1</v>
      </c>
      <c r="FA6">
        <v>0</v>
      </c>
      <c r="FB6">
        <v>0</v>
      </c>
      <c r="FC6">
        <v>0</v>
      </c>
      <c r="FD6">
        <v>0</v>
      </c>
      <c r="FE6">
        <v>0</v>
      </c>
      <c r="FF6">
        <v>0</v>
      </c>
      <c r="FG6">
        <v>0</v>
      </c>
      <c r="FH6">
        <v>0</v>
      </c>
      <c r="FI6">
        <v>0</v>
      </c>
      <c r="FJ6">
        <v>-1</v>
      </c>
      <c r="FK6">
        <v>0</v>
      </c>
      <c r="FL6">
        <v>0</v>
      </c>
      <c r="FM6">
        <v>0</v>
      </c>
      <c r="FN6">
        <v>0</v>
      </c>
      <c r="FO6">
        <v>0</v>
      </c>
      <c r="FP6">
        <v>0</v>
      </c>
      <c r="FQ6">
        <v>0</v>
      </c>
      <c r="FR6">
        <v>-1</v>
      </c>
      <c r="FS6">
        <v>0</v>
      </c>
      <c r="FT6">
        <v>0</v>
      </c>
      <c r="FU6">
        <v>0</v>
      </c>
      <c r="FV6">
        <v>0</v>
      </c>
      <c r="FW6">
        <v>-1</v>
      </c>
      <c r="FX6">
        <v>0</v>
      </c>
      <c r="FY6">
        <v>0</v>
      </c>
      <c r="FZ6">
        <v>1</v>
      </c>
      <c r="GA6">
        <v>0</v>
      </c>
      <c r="GB6">
        <v>0</v>
      </c>
      <c r="GC6">
        <v>0</v>
      </c>
      <c r="GD6">
        <v>1</v>
      </c>
      <c r="GE6">
        <v>1</v>
      </c>
      <c r="GF6">
        <v>1</v>
      </c>
      <c r="GG6">
        <v>1</v>
      </c>
      <c r="GH6">
        <v>1</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2</v>
      </c>
      <c r="HO6">
        <v>2</v>
      </c>
      <c r="HP6">
        <v>2</v>
      </c>
      <c r="HQ6">
        <v>2</v>
      </c>
      <c r="HR6">
        <v>2</v>
      </c>
      <c r="HS6">
        <v>0</v>
      </c>
      <c r="HT6">
        <v>0</v>
      </c>
      <c r="HU6">
        <v>0</v>
      </c>
      <c r="HV6">
        <v>0</v>
      </c>
      <c r="HW6">
        <v>0</v>
      </c>
      <c r="HX6">
        <v>0</v>
      </c>
      <c r="HY6">
        <v>0</v>
      </c>
      <c r="HZ6">
        <v>0</v>
      </c>
      <c r="IA6">
        <v>0</v>
      </c>
      <c r="IB6">
        <v>1</v>
      </c>
      <c r="IC6">
        <v>1</v>
      </c>
      <c r="ID6">
        <v>0</v>
      </c>
      <c r="IE6">
        <v>0</v>
      </c>
      <c r="IF6">
        <v>0</v>
      </c>
      <c r="IG6">
        <v>0</v>
      </c>
      <c r="IH6">
        <v>0</v>
      </c>
      <c r="II6">
        <v>0</v>
      </c>
      <c r="IL6">
        <v>0</v>
      </c>
      <c r="IM6">
        <v>0</v>
      </c>
      <c r="IN6">
        <v>0</v>
      </c>
      <c r="IO6">
        <v>0</v>
      </c>
      <c r="IP6">
        <v>0</v>
      </c>
      <c r="IQ6">
        <v>0</v>
      </c>
      <c r="IR6">
        <v>1</v>
      </c>
      <c r="IS6">
        <v>0</v>
      </c>
      <c r="IT6">
        <v>0</v>
      </c>
      <c r="IU6">
        <v>0</v>
      </c>
      <c r="IV6">
        <v>0</v>
      </c>
      <c r="IW6">
        <v>0</v>
      </c>
      <c r="IX6">
        <v>0</v>
      </c>
      <c r="IY6">
        <v>2</v>
      </c>
    </row>
    <row r="7" spans="1:259" x14ac:dyDescent="0.2">
      <c r="A7" t="s">
        <v>74</v>
      </c>
      <c r="B7">
        <f>ROW()</f>
        <v>7</v>
      </c>
    </row>
    <row r="8" spans="1:259" x14ac:dyDescent="0.2">
      <c r="A8" t="s">
        <v>75</v>
      </c>
      <c r="B8">
        <f>ROW()</f>
        <v>8</v>
      </c>
    </row>
    <row r="9" spans="1:259" x14ac:dyDescent="0.2">
      <c r="A9" t="s">
        <v>76</v>
      </c>
      <c r="B9">
        <f>ROW()</f>
        <v>9</v>
      </c>
    </row>
    <row r="10" spans="1:259" x14ac:dyDescent="0.2">
      <c r="A10" t="s">
        <v>77</v>
      </c>
      <c r="B10">
        <f>ROW()</f>
        <v>10</v>
      </c>
    </row>
    <row r="11" spans="1:259" x14ac:dyDescent="0.2">
      <c r="A11" t="s">
        <v>750</v>
      </c>
      <c r="B11">
        <f>ROW()</f>
        <v>11</v>
      </c>
    </row>
    <row r="12" spans="1:259" x14ac:dyDescent="0.2">
      <c r="A12" t="s">
        <v>751</v>
      </c>
      <c r="B12">
        <f>ROW()</f>
        <v>12</v>
      </c>
    </row>
    <row r="13" spans="1:259" x14ac:dyDescent="0.2">
      <c r="A13" t="s">
        <v>5030</v>
      </c>
      <c r="B13">
        <f>ROW()</f>
        <v>13</v>
      </c>
    </row>
    <row r="14" spans="1:259" x14ac:dyDescent="0.2">
      <c r="A14" t="s">
        <v>752</v>
      </c>
      <c r="B14">
        <f>ROW()</f>
        <v>14</v>
      </c>
    </row>
    <row r="15" spans="1:259" x14ac:dyDescent="0.2">
      <c r="A15" t="s">
        <v>1900</v>
      </c>
      <c r="B15">
        <f>ROW()</f>
        <v>15</v>
      </c>
      <c r="AS15">
        <v>7</v>
      </c>
      <c r="BB15">
        <v>7</v>
      </c>
      <c r="BG15">
        <v>7</v>
      </c>
      <c r="BN15">
        <v>7</v>
      </c>
      <c r="BX15">
        <v>7</v>
      </c>
      <c r="CA15">
        <v>7</v>
      </c>
      <c r="CE15">
        <v>7</v>
      </c>
      <c r="CJ15">
        <v>7</v>
      </c>
      <c r="CL15">
        <v>7</v>
      </c>
      <c r="CT15">
        <v>7</v>
      </c>
      <c r="CU15">
        <v>7</v>
      </c>
      <c r="GE15">
        <v>1</v>
      </c>
      <c r="GF15">
        <v>2</v>
      </c>
      <c r="GG15">
        <v>3</v>
      </c>
      <c r="GH15">
        <v>4</v>
      </c>
      <c r="GJ15">
        <v>1</v>
      </c>
      <c r="GK15">
        <v>2</v>
      </c>
      <c r="GL15">
        <v>3</v>
      </c>
      <c r="GM15">
        <v>4</v>
      </c>
      <c r="GO15">
        <v>1</v>
      </c>
      <c r="GP15">
        <v>2</v>
      </c>
      <c r="GQ15">
        <v>3</v>
      </c>
      <c r="GR15">
        <v>4</v>
      </c>
      <c r="GT15">
        <v>1</v>
      </c>
      <c r="GU15">
        <v>2</v>
      </c>
      <c r="GV15">
        <v>3</v>
      </c>
      <c r="GW15">
        <v>4</v>
      </c>
      <c r="GY15">
        <v>1</v>
      </c>
      <c r="GZ15">
        <v>2</v>
      </c>
      <c r="HA15">
        <v>3</v>
      </c>
      <c r="HB15">
        <v>4</v>
      </c>
      <c r="HD15">
        <v>1</v>
      </c>
      <c r="HE15">
        <v>2</v>
      </c>
      <c r="HF15">
        <v>3</v>
      </c>
      <c r="HG15">
        <v>4</v>
      </c>
      <c r="HI15">
        <v>1</v>
      </c>
      <c r="HJ15">
        <v>2</v>
      </c>
      <c r="HK15">
        <v>3</v>
      </c>
      <c r="HL15">
        <v>4</v>
      </c>
      <c r="HO15">
        <v>1</v>
      </c>
      <c r="HP15">
        <v>2</v>
      </c>
      <c r="HQ15">
        <v>3</v>
      </c>
      <c r="HR15">
        <v>4</v>
      </c>
      <c r="HS15">
        <v>0</v>
      </c>
      <c r="HT15">
        <v>0</v>
      </c>
      <c r="HU15">
        <v>0</v>
      </c>
      <c r="HV15">
        <v>0</v>
      </c>
      <c r="HW15">
        <v>0</v>
      </c>
      <c r="HX15">
        <v>0</v>
      </c>
      <c r="HY15">
        <v>0</v>
      </c>
      <c r="HZ15">
        <v>0</v>
      </c>
      <c r="IA15">
        <v>0</v>
      </c>
      <c r="IB15">
        <v>0</v>
      </c>
      <c r="IC15">
        <v>0</v>
      </c>
      <c r="ID15">
        <v>0</v>
      </c>
      <c r="IE15">
        <v>0</v>
      </c>
      <c r="IF15">
        <v>0</v>
      </c>
      <c r="IG15">
        <v>0</v>
      </c>
      <c r="IH15">
        <v>0</v>
      </c>
      <c r="II15">
        <v>0</v>
      </c>
      <c r="IM15">
        <v>0</v>
      </c>
      <c r="IN15">
        <v>1</v>
      </c>
      <c r="IO15">
        <v>2</v>
      </c>
      <c r="IP15">
        <v>3</v>
      </c>
      <c r="IQ15">
        <v>4</v>
      </c>
    </row>
    <row r="16" spans="1:259" x14ac:dyDescent="0.2">
      <c r="A16" t="s">
        <v>1901</v>
      </c>
      <c r="B16">
        <f>ROW()</f>
        <v>16</v>
      </c>
      <c r="AO16">
        <v>30</v>
      </c>
      <c r="AP16">
        <v>30</v>
      </c>
      <c r="AQ16">
        <v>30</v>
      </c>
      <c r="AR16">
        <v>30</v>
      </c>
      <c r="AS16">
        <v>30</v>
      </c>
      <c r="AT16">
        <v>30</v>
      </c>
      <c r="AU16">
        <v>30</v>
      </c>
      <c r="AV16">
        <v>30</v>
      </c>
      <c r="AW16">
        <v>30</v>
      </c>
      <c r="AX16">
        <v>30</v>
      </c>
      <c r="AY16">
        <v>30</v>
      </c>
      <c r="AZ16">
        <v>30</v>
      </c>
      <c r="BA16">
        <v>30</v>
      </c>
      <c r="BB16">
        <v>30</v>
      </c>
      <c r="BC16">
        <v>30</v>
      </c>
      <c r="BD16">
        <v>30</v>
      </c>
      <c r="BE16">
        <v>12</v>
      </c>
      <c r="BF16">
        <v>12</v>
      </c>
      <c r="BG16">
        <v>12</v>
      </c>
      <c r="BH16">
        <v>12</v>
      </c>
      <c r="BI16">
        <v>12</v>
      </c>
      <c r="BJ16">
        <v>12</v>
      </c>
      <c r="BK16">
        <v>30</v>
      </c>
      <c r="BL16">
        <v>30</v>
      </c>
      <c r="BM16">
        <v>30</v>
      </c>
      <c r="BN16">
        <v>30</v>
      </c>
      <c r="BO16">
        <v>10</v>
      </c>
      <c r="BP16">
        <v>10</v>
      </c>
      <c r="BQ16">
        <v>10</v>
      </c>
      <c r="BR16">
        <v>10</v>
      </c>
      <c r="BS16">
        <v>10</v>
      </c>
      <c r="BT16">
        <v>10</v>
      </c>
      <c r="BU16">
        <v>30</v>
      </c>
      <c r="BV16">
        <v>30</v>
      </c>
      <c r="BW16">
        <v>30</v>
      </c>
      <c r="BX16">
        <v>30</v>
      </c>
      <c r="BY16">
        <v>30</v>
      </c>
      <c r="BZ16">
        <v>30</v>
      </c>
      <c r="CA16">
        <v>30</v>
      </c>
      <c r="CB16">
        <v>30</v>
      </c>
      <c r="CC16">
        <v>30</v>
      </c>
      <c r="CD16">
        <v>30</v>
      </c>
      <c r="CE16">
        <v>30</v>
      </c>
      <c r="CF16">
        <v>30</v>
      </c>
      <c r="CG16">
        <v>30</v>
      </c>
      <c r="CH16">
        <v>30</v>
      </c>
      <c r="CI16">
        <v>30</v>
      </c>
      <c r="CJ16">
        <v>30</v>
      </c>
      <c r="CK16">
        <v>30</v>
      </c>
      <c r="CL16">
        <v>30</v>
      </c>
      <c r="CM16">
        <v>30</v>
      </c>
      <c r="CN16">
        <v>30</v>
      </c>
      <c r="CO16">
        <v>30</v>
      </c>
      <c r="CP16">
        <v>30</v>
      </c>
      <c r="CQ16">
        <v>30</v>
      </c>
      <c r="CR16">
        <v>30</v>
      </c>
      <c r="CS16">
        <v>30</v>
      </c>
      <c r="CT16">
        <v>30</v>
      </c>
      <c r="CU16">
        <v>30</v>
      </c>
      <c r="CV16">
        <v>30</v>
      </c>
      <c r="CW16">
        <v>30</v>
      </c>
      <c r="CX16">
        <v>30</v>
      </c>
      <c r="CY16">
        <v>30</v>
      </c>
      <c r="CZ16">
        <v>30</v>
      </c>
      <c r="DA16">
        <v>30</v>
      </c>
      <c r="DB16">
        <v>30</v>
      </c>
      <c r="DC16">
        <v>30</v>
      </c>
      <c r="DD16">
        <v>30</v>
      </c>
      <c r="DE16">
        <v>30</v>
      </c>
      <c r="DF16">
        <v>30</v>
      </c>
      <c r="DG16">
        <v>30</v>
      </c>
      <c r="DH16">
        <v>30</v>
      </c>
      <c r="DI16">
        <v>5</v>
      </c>
      <c r="DJ16">
        <v>8</v>
      </c>
      <c r="DK16">
        <v>10</v>
      </c>
      <c r="DL16">
        <v>10</v>
      </c>
      <c r="DM16">
        <v>10</v>
      </c>
      <c r="DN16">
        <v>10</v>
      </c>
      <c r="DO16">
        <v>10</v>
      </c>
      <c r="DP16">
        <v>10</v>
      </c>
      <c r="DQ16">
        <v>10</v>
      </c>
      <c r="DR16">
        <v>10</v>
      </c>
      <c r="DS16">
        <v>6</v>
      </c>
      <c r="DT16">
        <v>4</v>
      </c>
      <c r="DU16">
        <v>4</v>
      </c>
      <c r="DV16">
        <v>4</v>
      </c>
      <c r="DW16">
        <v>4</v>
      </c>
      <c r="DX16">
        <v>4</v>
      </c>
      <c r="DY16">
        <v>4</v>
      </c>
      <c r="DZ16">
        <v>4</v>
      </c>
      <c r="EA16">
        <v>4</v>
      </c>
      <c r="EB16">
        <v>4</v>
      </c>
      <c r="EC16">
        <v>4</v>
      </c>
      <c r="ED16">
        <v>6</v>
      </c>
      <c r="EE16">
        <v>4</v>
      </c>
      <c r="EF16">
        <v>30</v>
      </c>
      <c r="EG16">
        <v>30</v>
      </c>
      <c r="EH16">
        <v>30</v>
      </c>
      <c r="EI16">
        <v>30</v>
      </c>
      <c r="EJ16">
        <v>30</v>
      </c>
      <c r="EK16">
        <v>30</v>
      </c>
      <c r="EL16">
        <v>30</v>
      </c>
      <c r="EM16">
        <v>30</v>
      </c>
      <c r="EN16">
        <v>30</v>
      </c>
      <c r="EO16">
        <v>30</v>
      </c>
      <c r="EP16">
        <v>30</v>
      </c>
      <c r="EQ16">
        <v>30</v>
      </c>
      <c r="ER16">
        <v>30</v>
      </c>
      <c r="ES16">
        <v>30</v>
      </c>
      <c r="ET16">
        <v>30</v>
      </c>
      <c r="EU16">
        <v>30</v>
      </c>
      <c r="EV16">
        <v>30</v>
      </c>
      <c r="EW16">
        <v>30</v>
      </c>
      <c r="EX16">
        <v>30</v>
      </c>
      <c r="EY16">
        <v>30</v>
      </c>
      <c r="EZ16">
        <v>6</v>
      </c>
      <c r="FA16">
        <v>8</v>
      </c>
      <c r="FB16">
        <v>8</v>
      </c>
      <c r="FC16">
        <v>5</v>
      </c>
      <c r="FD16">
        <v>5</v>
      </c>
      <c r="FE16">
        <v>10</v>
      </c>
      <c r="FF16">
        <v>10</v>
      </c>
      <c r="FG16">
        <v>4</v>
      </c>
      <c r="FH16">
        <v>8</v>
      </c>
      <c r="FI16">
        <v>8</v>
      </c>
      <c r="FJ16">
        <v>8</v>
      </c>
      <c r="FK16">
        <v>10</v>
      </c>
      <c r="FL16">
        <v>10</v>
      </c>
      <c r="FM16">
        <v>10</v>
      </c>
      <c r="FN16">
        <v>10</v>
      </c>
      <c r="FO16">
        <v>10</v>
      </c>
      <c r="FP16">
        <v>10</v>
      </c>
      <c r="FQ16">
        <v>10</v>
      </c>
      <c r="FR16">
        <v>10</v>
      </c>
      <c r="FS16">
        <v>7</v>
      </c>
      <c r="FT16">
        <v>8</v>
      </c>
      <c r="FU16">
        <v>7</v>
      </c>
      <c r="FV16">
        <v>7</v>
      </c>
      <c r="FW16">
        <v>7</v>
      </c>
      <c r="FX16">
        <v>7</v>
      </c>
      <c r="FY16">
        <v>30</v>
      </c>
      <c r="FZ16">
        <v>30</v>
      </c>
      <c r="GA16">
        <v>30</v>
      </c>
      <c r="GB16">
        <v>30</v>
      </c>
      <c r="GC16">
        <v>4</v>
      </c>
      <c r="GD16">
        <v>2</v>
      </c>
      <c r="GE16">
        <v>4</v>
      </c>
      <c r="GF16">
        <v>4</v>
      </c>
      <c r="GG16">
        <v>5</v>
      </c>
      <c r="GH16">
        <v>5</v>
      </c>
      <c r="GI16">
        <v>2</v>
      </c>
      <c r="GJ16">
        <v>4</v>
      </c>
      <c r="GK16">
        <v>4</v>
      </c>
      <c r="GL16">
        <v>5</v>
      </c>
      <c r="GM16">
        <v>5</v>
      </c>
      <c r="GN16">
        <v>2</v>
      </c>
      <c r="GO16">
        <v>4</v>
      </c>
      <c r="GP16">
        <v>4</v>
      </c>
      <c r="GQ16">
        <v>5</v>
      </c>
      <c r="GR16">
        <v>5</v>
      </c>
      <c r="GS16">
        <v>2</v>
      </c>
      <c r="GT16">
        <v>4</v>
      </c>
      <c r="GU16">
        <v>4</v>
      </c>
      <c r="GV16">
        <v>5</v>
      </c>
      <c r="GW16">
        <v>5</v>
      </c>
      <c r="GX16">
        <v>2</v>
      </c>
      <c r="GY16">
        <v>4</v>
      </c>
      <c r="GZ16">
        <v>4</v>
      </c>
      <c r="HA16">
        <v>5</v>
      </c>
      <c r="HB16">
        <v>5</v>
      </c>
      <c r="HC16">
        <v>2</v>
      </c>
      <c r="HD16">
        <v>4</v>
      </c>
      <c r="HE16">
        <v>4</v>
      </c>
      <c r="HF16">
        <v>5</v>
      </c>
      <c r="HG16">
        <v>5</v>
      </c>
      <c r="HH16">
        <v>2</v>
      </c>
      <c r="HI16">
        <v>4</v>
      </c>
      <c r="HJ16">
        <v>4</v>
      </c>
      <c r="HK16">
        <v>5</v>
      </c>
      <c r="HL16">
        <v>5</v>
      </c>
      <c r="HM16">
        <v>3</v>
      </c>
      <c r="HN16">
        <v>2</v>
      </c>
      <c r="HO16">
        <v>4</v>
      </c>
      <c r="HP16">
        <v>4</v>
      </c>
      <c r="HQ16">
        <v>5</v>
      </c>
      <c r="HR16">
        <v>5</v>
      </c>
      <c r="HS16">
        <v>3</v>
      </c>
      <c r="HT16">
        <v>3</v>
      </c>
      <c r="HU16">
        <v>3</v>
      </c>
      <c r="HV16">
        <v>3</v>
      </c>
      <c r="HW16">
        <v>3</v>
      </c>
      <c r="HX16">
        <v>3</v>
      </c>
      <c r="HY16">
        <v>3</v>
      </c>
      <c r="HZ16">
        <v>3</v>
      </c>
      <c r="IA16">
        <v>3</v>
      </c>
      <c r="IB16">
        <v>5</v>
      </c>
      <c r="IC16">
        <v>5</v>
      </c>
      <c r="ID16">
        <v>4</v>
      </c>
      <c r="IE16">
        <v>4</v>
      </c>
      <c r="IF16">
        <v>4</v>
      </c>
      <c r="IG16">
        <v>4</v>
      </c>
      <c r="IH16">
        <v>4</v>
      </c>
      <c r="II16">
        <v>4</v>
      </c>
      <c r="IM16">
        <v>2</v>
      </c>
      <c r="IN16">
        <v>4</v>
      </c>
      <c r="IO16">
        <v>4</v>
      </c>
      <c r="IP16">
        <v>5</v>
      </c>
      <c r="IQ16">
        <v>5</v>
      </c>
      <c r="IY16">
        <v>5</v>
      </c>
    </row>
    <row r="17" spans="1:258" x14ac:dyDescent="0.2">
      <c r="A17" t="s">
        <v>74</v>
      </c>
      <c r="B17">
        <f>ROW()</f>
        <v>17</v>
      </c>
      <c r="F17">
        <v>1</v>
      </c>
      <c r="I17">
        <v>2</v>
      </c>
      <c r="J17">
        <v>2</v>
      </c>
      <c r="AD17">
        <v>2</v>
      </c>
      <c r="AF17">
        <v>1</v>
      </c>
      <c r="AG17">
        <v>-1</v>
      </c>
      <c r="AH17">
        <v>-1</v>
      </c>
      <c r="AI17">
        <v>-1</v>
      </c>
      <c r="AJ17">
        <v>-1</v>
      </c>
      <c r="AK17">
        <v>-1</v>
      </c>
      <c r="AL17">
        <v>-1</v>
      </c>
      <c r="AU17">
        <v>-1</v>
      </c>
      <c r="BD17">
        <v>-1</v>
      </c>
      <c r="BT17">
        <v>-1</v>
      </c>
      <c r="DE17">
        <v>1</v>
      </c>
      <c r="DF17">
        <v>1</v>
      </c>
      <c r="DI17">
        <v>2</v>
      </c>
      <c r="DT17">
        <v>1</v>
      </c>
      <c r="GB17">
        <v>1</v>
      </c>
      <c r="GC17">
        <v>1</v>
      </c>
      <c r="GD17">
        <v>-2</v>
      </c>
      <c r="GG17">
        <v>1</v>
      </c>
      <c r="GH17">
        <v>1</v>
      </c>
      <c r="GI17">
        <v>-2</v>
      </c>
      <c r="GL17">
        <v>1</v>
      </c>
      <c r="GM17">
        <v>1</v>
      </c>
      <c r="GN17">
        <v>-2</v>
      </c>
      <c r="GQ17">
        <v>1</v>
      </c>
      <c r="GR17">
        <v>1</v>
      </c>
      <c r="GS17">
        <v>-2</v>
      </c>
      <c r="GV17">
        <v>1</v>
      </c>
      <c r="GW17">
        <v>1</v>
      </c>
      <c r="GX17">
        <v>-2</v>
      </c>
      <c r="HA17">
        <v>1</v>
      </c>
      <c r="HB17">
        <v>1</v>
      </c>
      <c r="HC17">
        <v>-2</v>
      </c>
      <c r="HF17">
        <v>1</v>
      </c>
      <c r="HG17">
        <v>1</v>
      </c>
      <c r="HH17">
        <v>-1</v>
      </c>
      <c r="HI17">
        <v>1</v>
      </c>
      <c r="HJ17">
        <v>1</v>
      </c>
      <c r="HK17">
        <v>2</v>
      </c>
      <c r="HL17">
        <v>2</v>
      </c>
      <c r="HM17">
        <v>-1</v>
      </c>
      <c r="HN17">
        <v>-2</v>
      </c>
      <c r="HQ17">
        <v>1</v>
      </c>
      <c r="HR17">
        <v>1</v>
      </c>
      <c r="HS17">
        <v>-1</v>
      </c>
      <c r="HT17">
        <v>-1</v>
      </c>
      <c r="HU17">
        <v>-1</v>
      </c>
      <c r="HV17">
        <v>-1</v>
      </c>
      <c r="HW17">
        <v>-1</v>
      </c>
      <c r="HX17">
        <v>-1</v>
      </c>
      <c r="HY17">
        <v>-1</v>
      </c>
      <c r="HZ17">
        <v>-1</v>
      </c>
      <c r="IA17">
        <v>-1</v>
      </c>
      <c r="IB17">
        <v>-1</v>
      </c>
      <c r="IM17">
        <v>-2</v>
      </c>
      <c r="IP17">
        <v>1</v>
      </c>
      <c r="IQ17">
        <v>1</v>
      </c>
      <c r="IX17">
        <v>1</v>
      </c>
    </row>
    <row r="18" spans="1:258" x14ac:dyDescent="0.2">
      <c r="A18" t="s">
        <v>75</v>
      </c>
      <c r="B18">
        <f>ROW()</f>
        <v>18</v>
      </c>
      <c r="I18">
        <v>-1</v>
      </c>
      <c r="J18">
        <v>-1</v>
      </c>
      <c r="R18">
        <v>-1</v>
      </c>
      <c r="S18">
        <v>-1</v>
      </c>
      <c r="T18">
        <v>-1</v>
      </c>
      <c r="U18">
        <v>-1</v>
      </c>
      <c r="AD18">
        <v>-2</v>
      </c>
      <c r="AE18">
        <v>-2</v>
      </c>
      <c r="AF18">
        <v>-1</v>
      </c>
      <c r="AG18">
        <v>-2</v>
      </c>
      <c r="AH18">
        <v>-2</v>
      </c>
      <c r="DI18">
        <v>-1</v>
      </c>
      <c r="DT18">
        <v>-1</v>
      </c>
      <c r="FZ18">
        <v>1</v>
      </c>
      <c r="GH18">
        <v>1</v>
      </c>
      <c r="GM18">
        <v>1</v>
      </c>
      <c r="GR18">
        <v>1</v>
      </c>
      <c r="GW18">
        <v>1</v>
      </c>
      <c r="HB18">
        <v>1</v>
      </c>
      <c r="HC18">
        <v>1</v>
      </c>
      <c r="HD18">
        <v>1</v>
      </c>
      <c r="HE18">
        <v>1</v>
      </c>
      <c r="HF18">
        <v>1</v>
      </c>
      <c r="HG18">
        <v>2</v>
      </c>
      <c r="HL18">
        <v>1</v>
      </c>
      <c r="HR18">
        <v>1</v>
      </c>
      <c r="IB18">
        <v>1</v>
      </c>
      <c r="IQ18">
        <v>1</v>
      </c>
      <c r="IW18">
        <v>1</v>
      </c>
    </row>
    <row r="19" spans="1:258" x14ac:dyDescent="0.2">
      <c r="A19" t="s">
        <v>76</v>
      </c>
      <c r="B19">
        <f>ROW()</f>
        <v>19</v>
      </c>
      <c r="G19">
        <v>1</v>
      </c>
      <c r="R19">
        <v>1</v>
      </c>
      <c r="S19">
        <v>2</v>
      </c>
      <c r="T19">
        <v>1</v>
      </c>
      <c r="U19">
        <v>1</v>
      </c>
      <c r="X19">
        <v>1</v>
      </c>
      <c r="AB19">
        <v>1</v>
      </c>
      <c r="AH19">
        <v>1</v>
      </c>
      <c r="AI19">
        <v>2</v>
      </c>
      <c r="AJ19">
        <v>2</v>
      </c>
      <c r="AK19">
        <v>2</v>
      </c>
      <c r="AL19">
        <v>2</v>
      </c>
      <c r="EF19">
        <v>1</v>
      </c>
      <c r="EG19">
        <v>1</v>
      </c>
      <c r="EH19">
        <v>1</v>
      </c>
      <c r="EI19">
        <v>1</v>
      </c>
      <c r="FZ19">
        <v>-1</v>
      </c>
      <c r="GA19">
        <v>1</v>
      </c>
    </row>
    <row r="20" spans="1:258" x14ac:dyDescent="0.2">
      <c r="A20" t="s">
        <v>77</v>
      </c>
      <c r="B20">
        <f>ROW()</f>
        <v>20</v>
      </c>
      <c r="H20">
        <v>1</v>
      </c>
      <c r="K20">
        <v>1</v>
      </c>
      <c r="L20">
        <v>1</v>
      </c>
      <c r="AD20">
        <v>-2</v>
      </c>
      <c r="AE20">
        <v>-2</v>
      </c>
      <c r="AF20">
        <v>-2</v>
      </c>
      <c r="DJ20">
        <v>1</v>
      </c>
      <c r="GB20">
        <v>1</v>
      </c>
    </row>
    <row r="21" spans="1:258" x14ac:dyDescent="0.2">
      <c r="A21" t="s">
        <v>750</v>
      </c>
      <c r="B21">
        <f>ROW()</f>
        <v>21</v>
      </c>
      <c r="J21">
        <v>-1</v>
      </c>
      <c r="N21">
        <v>1</v>
      </c>
      <c r="O21">
        <v>1</v>
      </c>
      <c r="P21">
        <v>1</v>
      </c>
      <c r="AD21">
        <v>-1</v>
      </c>
      <c r="AE21">
        <v>-1</v>
      </c>
      <c r="AG21">
        <v>2</v>
      </c>
      <c r="AH21">
        <v>2</v>
      </c>
      <c r="AI21">
        <v>1</v>
      </c>
      <c r="AJ21">
        <v>1</v>
      </c>
      <c r="AK21">
        <v>1</v>
      </c>
      <c r="AL21">
        <v>-2</v>
      </c>
      <c r="GC21">
        <v>-1</v>
      </c>
      <c r="GF21">
        <v>1</v>
      </c>
      <c r="GK21">
        <v>1</v>
      </c>
      <c r="GP21">
        <v>1</v>
      </c>
      <c r="GU21">
        <v>1</v>
      </c>
      <c r="GZ21">
        <v>1</v>
      </c>
      <c r="HE21">
        <v>1</v>
      </c>
      <c r="HJ21">
        <v>1</v>
      </c>
      <c r="HP21">
        <v>1</v>
      </c>
      <c r="IO21">
        <v>1</v>
      </c>
    </row>
    <row r="22" spans="1:258" x14ac:dyDescent="0.2">
      <c r="A22" t="s">
        <v>751</v>
      </c>
      <c r="B22">
        <f>ROW()</f>
        <v>22</v>
      </c>
      <c r="J22">
        <v>-1</v>
      </c>
      <c r="K22">
        <v>1</v>
      </c>
      <c r="L22">
        <v>1</v>
      </c>
      <c r="M22">
        <v>1</v>
      </c>
      <c r="N22">
        <v>-1</v>
      </c>
      <c r="O22">
        <v>-1</v>
      </c>
      <c r="P22">
        <v>-1</v>
      </c>
      <c r="Q22">
        <v>-1</v>
      </c>
      <c r="R22">
        <v>2</v>
      </c>
      <c r="S22">
        <v>2</v>
      </c>
      <c r="T22">
        <v>2</v>
      </c>
      <c r="U22">
        <v>2</v>
      </c>
      <c r="V22">
        <v>1</v>
      </c>
      <c r="W22">
        <v>1</v>
      </c>
      <c r="X22">
        <v>1</v>
      </c>
      <c r="Z22">
        <v>1</v>
      </c>
      <c r="AA22">
        <v>1</v>
      </c>
      <c r="AB22">
        <v>1</v>
      </c>
      <c r="AG22">
        <v>2</v>
      </c>
      <c r="AH22">
        <v>2</v>
      </c>
      <c r="AI22">
        <v>1</v>
      </c>
      <c r="AJ22">
        <v>1</v>
      </c>
      <c r="AK22">
        <v>1</v>
      </c>
      <c r="AL22">
        <v>1</v>
      </c>
    </row>
    <row r="23" spans="1:258" x14ac:dyDescent="0.2">
      <c r="A23" t="s">
        <v>5030</v>
      </c>
      <c r="B23">
        <f>ROW()</f>
        <v>23</v>
      </c>
      <c r="F23">
        <v>1</v>
      </c>
      <c r="G23">
        <v>1</v>
      </c>
      <c r="I23">
        <v>1</v>
      </c>
      <c r="J23">
        <v>2</v>
      </c>
      <c r="K23">
        <v>1</v>
      </c>
      <c r="L23">
        <v>1</v>
      </c>
      <c r="M23">
        <v>1</v>
      </c>
      <c r="N23">
        <v>2</v>
      </c>
      <c r="O23">
        <v>2</v>
      </c>
      <c r="P23">
        <v>2</v>
      </c>
      <c r="Q23">
        <v>2</v>
      </c>
      <c r="T23">
        <v>1</v>
      </c>
      <c r="U23">
        <v>1</v>
      </c>
      <c r="AD23">
        <v>2</v>
      </c>
      <c r="AE23">
        <v>1</v>
      </c>
      <c r="AF23">
        <v>1</v>
      </c>
      <c r="AI23">
        <v>1</v>
      </c>
      <c r="CM23">
        <v>1</v>
      </c>
      <c r="DI23">
        <v>1</v>
      </c>
      <c r="DS23">
        <v>1</v>
      </c>
      <c r="DT23">
        <v>1</v>
      </c>
      <c r="FG23">
        <v>1</v>
      </c>
      <c r="GD23">
        <v>1</v>
      </c>
      <c r="GI23">
        <v>1</v>
      </c>
      <c r="GN23">
        <v>1</v>
      </c>
      <c r="GS23">
        <v>1</v>
      </c>
      <c r="GX23">
        <v>1</v>
      </c>
      <c r="HC23">
        <v>1</v>
      </c>
      <c r="HH23">
        <v>1</v>
      </c>
      <c r="HN23">
        <v>1</v>
      </c>
      <c r="HS23">
        <v>1</v>
      </c>
      <c r="HT23">
        <v>1</v>
      </c>
      <c r="HU23">
        <v>1</v>
      </c>
      <c r="HV23">
        <v>1</v>
      </c>
      <c r="HW23">
        <v>1</v>
      </c>
      <c r="HX23">
        <v>1</v>
      </c>
      <c r="HY23">
        <v>1</v>
      </c>
      <c r="HZ23">
        <v>1</v>
      </c>
      <c r="IM23">
        <v>1</v>
      </c>
    </row>
    <row r="24" spans="1:258" x14ac:dyDescent="0.2">
      <c r="A24" t="s">
        <v>752</v>
      </c>
      <c r="B24">
        <f>ROW()</f>
        <v>24</v>
      </c>
      <c r="F24">
        <v>1</v>
      </c>
      <c r="I24">
        <v>1</v>
      </c>
      <c r="J24">
        <v>2</v>
      </c>
      <c r="K24">
        <v>-1</v>
      </c>
      <c r="L24">
        <v>-1</v>
      </c>
      <c r="N24">
        <v>1</v>
      </c>
      <c r="O24">
        <v>1</v>
      </c>
      <c r="P24">
        <v>2</v>
      </c>
      <c r="Q24">
        <v>2</v>
      </c>
      <c r="R24">
        <v>-1</v>
      </c>
      <c r="S24">
        <v>-1</v>
      </c>
      <c r="T24">
        <v>-1</v>
      </c>
      <c r="U24">
        <v>-1</v>
      </c>
      <c r="V24">
        <v>-1</v>
      </c>
      <c r="W24">
        <v>-1</v>
      </c>
      <c r="X24">
        <v>-1</v>
      </c>
      <c r="Z24">
        <v>-1</v>
      </c>
      <c r="AA24">
        <v>-1</v>
      </c>
      <c r="AB24">
        <v>-1</v>
      </c>
      <c r="AD24">
        <v>2</v>
      </c>
      <c r="AE24">
        <v>1</v>
      </c>
      <c r="AF24">
        <v>1</v>
      </c>
      <c r="AG24">
        <v>-1</v>
      </c>
      <c r="AH24">
        <v>-1</v>
      </c>
      <c r="AI24">
        <v>-1</v>
      </c>
      <c r="AJ24">
        <v>-1</v>
      </c>
      <c r="AK24">
        <v>-1</v>
      </c>
      <c r="AL24">
        <v>-1</v>
      </c>
      <c r="DT24">
        <v>1</v>
      </c>
    </row>
    <row r="25" spans="1:258" x14ac:dyDescent="0.2">
      <c r="A25" t="s">
        <v>2139</v>
      </c>
      <c r="B25">
        <f>ROW()</f>
        <v>25</v>
      </c>
    </row>
    <row r="26" spans="1:258" x14ac:dyDescent="0.2">
      <c r="A26" t="s">
        <v>2116</v>
      </c>
      <c r="B26">
        <f>ROW()</f>
        <v>26</v>
      </c>
      <c r="M26" t="s">
        <v>2119</v>
      </c>
      <c r="N26" t="s">
        <v>2120</v>
      </c>
      <c r="O26" t="s">
        <v>2120</v>
      </c>
      <c r="P26" t="s">
        <v>2120</v>
      </c>
      <c r="Q26" t="s">
        <v>2120</v>
      </c>
      <c r="R26" t="s">
        <v>314</v>
      </c>
      <c r="S26" t="s">
        <v>314</v>
      </c>
      <c r="T26" t="s">
        <v>314</v>
      </c>
      <c r="U26" t="s">
        <v>314</v>
      </c>
      <c r="V26" t="s">
        <v>316</v>
      </c>
      <c r="W26" t="s">
        <v>316</v>
      </c>
      <c r="X26" t="s">
        <v>316</v>
      </c>
      <c r="Y26" t="s">
        <v>316</v>
      </c>
      <c r="Z26" t="s">
        <v>315</v>
      </c>
      <c r="AA26" t="s">
        <v>315</v>
      </c>
      <c r="AB26" t="s">
        <v>315</v>
      </c>
      <c r="AC26" t="s">
        <v>315</v>
      </c>
      <c r="AD26" t="s">
        <v>2120</v>
      </c>
      <c r="AE26" t="s">
        <v>2120</v>
      </c>
      <c r="AF26" t="s">
        <v>2127</v>
      </c>
      <c r="AG26" t="s">
        <v>2120</v>
      </c>
      <c r="AH26" t="s">
        <v>4295</v>
      </c>
      <c r="AI26" t="s">
        <v>4296</v>
      </c>
      <c r="AJ26" t="s">
        <v>4296</v>
      </c>
      <c r="AK26" t="s">
        <v>4296</v>
      </c>
      <c r="AL26" t="s">
        <v>4296</v>
      </c>
      <c r="DE26" t="s">
        <v>2119</v>
      </c>
      <c r="DF26" t="s">
        <v>2119</v>
      </c>
      <c r="DG26" t="s">
        <v>2119</v>
      </c>
      <c r="DH26" t="s">
        <v>2119</v>
      </c>
      <c r="DS26" t="s">
        <v>2126</v>
      </c>
      <c r="DT26" t="s">
        <v>4296</v>
      </c>
      <c r="DU26" t="s">
        <v>4293</v>
      </c>
      <c r="DV26" t="s">
        <v>4293</v>
      </c>
      <c r="DW26" t="s">
        <v>4293</v>
      </c>
      <c r="DX26" t="s">
        <v>4293</v>
      </c>
      <c r="DY26" t="s">
        <v>316</v>
      </c>
      <c r="DZ26" t="s">
        <v>4293</v>
      </c>
      <c r="EA26" t="s">
        <v>4293</v>
      </c>
      <c r="EB26" t="s">
        <v>4293</v>
      </c>
      <c r="EC26" t="s">
        <v>4293</v>
      </c>
      <c r="ED26" t="s">
        <v>4085</v>
      </c>
      <c r="EE26" t="s">
        <v>2127</v>
      </c>
      <c r="EL26" t="s">
        <v>4086</v>
      </c>
      <c r="EM26" t="s">
        <v>4086</v>
      </c>
      <c r="EN26" t="s">
        <v>4086</v>
      </c>
      <c r="EO26" t="s">
        <v>4086</v>
      </c>
      <c r="EP26" t="s">
        <v>4086</v>
      </c>
      <c r="EQ26" t="s">
        <v>4086</v>
      </c>
      <c r="ER26" t="s">
        <v>4086</v>
      </c>
      <c r="ES26" t="s">
        <v>4086</v>
      </c>
      <c r="ET26" t="s">
        <v>4086</v>
      </c>
      <c r="EU26" t="s">
        <v>4086</v>
      </c>
      <c r="EV26" t="s">
        <v>4086</v>
      </c>
      <c r="EW26" t="s">
        <v>4086</v>
      </c>
      <c r="EY26" t="s">
        <v>4086</v>
      </c>
      <c r="FD26" t="s">
        <v>3015</v>
      </c>
    </row>
    <row r="27" spans="1:258" x14ac:dyDescent="0.2">
      <c r="B27">
        <f>ROW()</f>
        <v>27</v>
      </c>
      <c r="N27" t="s">
        <v>2121</v>
      </c>
      <c r="O27" t="s">
        <v>2121</v>
      </c>
      <c r="P27" t="s">
        <v>2121</v>
      </c>
      <c r="Q27" t="s">
        <v>2121</v>
      </c>
      <c r="R27" t="s">
        <v>2120</v>
      </c>
      <c r="S27" t="s">
        <v>2120</v>
      </c>
      <c r="T27" t="s">
        <v>2120</v>
      </c>
      <c r="U27" t="s">
        <v>2120</v>
      </c>
      <c r="V27" t="s">
        <v>4772</v>
      </c>
      <c r="W27" t="s">
        <v>2126</v>
      </c>
      <c r="X27" t="s">
        <v>4772</v>
      </c>
      <c r="Y27" t="s">
        <v>4772</v>
      </c>
      <c r="Z27" t="s">
        <v>4772</v>
      </c>
      <c r="AA27" t="s">
        <v>2126</v>
      </c>
      <c r="AB27" t="s">
        <v>4772</v>
      </c>
      <c r="AC27" t="s">
        <v>4772</v>
      </c>
      <c r="AD27" t="s">
        <v>2126</v>
      </c>
      <c r="AE27" t="s">
        <v>2126</v>
      </c>
      <c r="AF27" t="s">
        <v>2128</v>
      </c>
      <c r="AG27" t="s">
        <v>4293</v>
      </c>
      <c r="AH27" t="s">
        <v>4293</v>
      </c>
      <c r="AI27" t="s">
        <v>4297</v>
      </c>
      <c r="AJ27" t="s">
        <v>4297</v>
      </c>
      <c r="AK27" t="s">
        <v>4297</v>
      </c>
      <c r="AL27" t="s">
        <v>4297</v>
      </c>
      <c r="DE27" t="s">
        <v>2127</v>
      </c>
      <c r="DF27" t="s">
        <v>2127</v>
      </c>
      <c r="DG27" t="s">
        <v>2127</v>
      </c>
      <c r="DH27" t="s">
        <v>2127</v>
      </c>
      <c r="DT27" t="s">
        <v>2126</v>
      </c>
      <c r="DU27" t="s">
        <v>2119</v>
      </c>
      <c r="DX27" t="s">
        <v>2119</v>
      </c>
      <c r="DZ27" t="s">
        <v>2119</v>
      </c>
      <c r="EB27" t="s">
        <v>2119</v>
      </c>
      <c r="ED27" t="s">
        <v>2119</v>
      </c>
    </row>
    <row r="28" spans="1:258" x14ac:dyDescent="0.2">
      <c r="B28">
        <f>ROW()</f>
        <v>28</v>
      </c>
      <c r="N28" t="s">
        <v>2122</v>
      </c>
      <c r="O28" t="s">
        <v>2122</v>
      </c>
      <c r="P28" t="s">
        <v>2122</v>
      </c>
      <c r="Q28" t="s">
        <v>2122</v>
      </c>
      <c r="R28" t="s">
        <v>4772</v>
      </c>
      <c r="S28" t="s">
        <v>4772</v>
      </c>
      <c r="T28" t="s">
        <v>2126</v>
      </c>
      <c r="U28" t="s">
        <v>2119</v>
      </c>
      <c r="Z28" t="s">
        <v>4898</v>
      </c>
      <c r="AA28" t="s">
        <v>4898</v>
      </c>
      <c r="AB28" t="s">
        <v>4898</v>
      </c>
      <c r="AC28" t="s">
        <v>4898</v>
      </c>
      <c r="AD28" t="s">
        <v>3809</v>
      </c>
      <c r="AE28" t="s">
        <v>3809</v>
      </c>
      <c r="AG28" t="s">
        <v>3638</v>
      </c>
      <c r="AH28" t="s">
        <v>3638</v>
      </c>
      <c r="AI28" t="s">
        <v>2120</v>
      </c>
      <c r="AJ28" t="s">
        <v>2120</v>
      </c>
      <c r="AK28" t="s">
        <v>2120</v>
      </c>
      <c r="AL28" t="s">
        <v>2120</v>
      </c>
      <c r="DT28" t="s">
        <v>2127</v>
      </c>
    </row>
    <row r="29" spans="1:258" x14ac:dyDescent="0.2">
      <c r="B29">
        <f>ROW()</f>
        <v>29</v>
      </c>
      <c r="N29" t="str">
        <f>IF(ZWERG_GILDE,"Hohe Magieresistenz 3",IF(PROFGRDGENE="Geoden","","Schwer zu verzaubern"))</f>
        <v>Schwer zu verzaubern</v>
      </c>
      <c r="O29" t="str">
        <f>IF(ZWERG_GILDE,"Hohe Magieresistenz 3",IF(PROFGRDGENE="Geoden","","Schwer zu verzaubern"))</f>
        <v>Schwer zu verzaubern</v>
      </c>
      <c r="P29" t="str">
        <f>IF(ZWERG_GILDE,"Hohe Magieresistenz 3",IF(PROFGRDGENE="Geoden","","Schwer zu verzaubern"))</f>
        <v>Schwer zu verzaubern</v>
      </c>
      <c r="Q29" t="str">
        <f>IF(ZWERG_GILDE,"Hohe Magieresistenz 3",IF(PROFGRDGENE="Geoden","","Schwer zu verzaubern"))</f>
        <v>Schwer zu verzaubern</v>
      </c>
      <c r="S29" t="s">
        <v>2127</v>
      </c>
      <c r="T29" t="s">
        <v>2127</v>
      </c>
      <c r="U29" t="s">
        <v>2127</v>
      </c>
      <c r="AD29" t="s">
        <v>2127</v>
      </c>
      <c r="AE29" t="s">
        <v>2127</v>
      </c>
      <c r="AG29" t="s">
        <v>2126</v>
      </c>
      <c r="AH29" t="s">
        <v>2126</v>
      </c>
      <c r="AI29" t="s">
        <v>6683</v>
      </c>
      <c r="AJ29" t="s">
        <v>6683</v>
      </c>
      <c r="AK29" t="s">
        <v>6683</v>
      </c>
      <c r="AL29" t="s">
        <v>6683</v>
      </c>
    </row>
    <row r="30" spans="1:258" x14ac:dyDescent="0.2">
      <c r="B30">
        <f>ROW()</f>
        <v>30</v>
      </c>
      <c r="Q30" t="s">
        <v>4776</v>
      </c>
      <c r="R30" t="s">
        <v>2122</v>
      </c>
      <c r="S30" t="s">
        <v>2122</v>
      </c>
      <c r="T30" t="s">
        <v>2122</v>
      </c>
      <c r="U30" t="s">
        <v>2122</v>
      </c>
      <c r="AD30" t="s">
        <v>2128</v>
      </c>
      <c r="AE30" t="s">
        <v>2128</v>
      </c>
      <c r="AG30" t="s">
        <v>3809</v>
      </c>
      <c r="AH30" t="s">
        <v>3809</v>
      </c>
      <c r="AI30" t="s">
        <v>3810</v>
      </c>
      <c r="AJ30" t="s">
        <v>3809</v>
      </c>
      <c r="AK30" t="s">
        <v>3810</v>
      </c>
      <c r="AL30" t="s">
        <v>3810</v>
      </c>
    </row>
    <row r="31" spans="1:258" x14ac:dyDescent="0.2">
      <c r="B31">
        <f>ROW()</f>
        <v>31</v>
      </c>
      <c r="N31" t="str">
        <f>IF(ZWERG_GILDE,"Eisenaffine Aura","")</f>
        <v/>
      </c>
      <c r="O31" t="str">
        <f>IF(ZWERG_GILDE,"Eisenaffine Aura","")</f>
        <v/>
      </c>
      <c r="P31" t="str">
        <f>IF(ZWERG_GILDE,"Eisenaffine Aura","")</f>
        <v/>
      </c>
      <c r="Q31" t="str">
        <f>IF(ZWERG_GILDE,"Eisenaffine Aura","")</f>
        <v/>
      </c>
      <c r="R31" t="s">
        <v>315</v>
      </c>
      <c r="S31" t="s">
        <v>315</v>
      </c>
      <c r="T31" t="s">
        <v>315</v>
      </c>
      <c r="U31" t="s">
        <v>315</v>
      </c>
      <c r="AD31" t="s">
        <v>7593</v>
      </c>
      <c r="AE31" t="s">
        <v>7593</v>
      </c>
      <c r="AG31" t="s">
        <v>7594</v>
      </c>
      <c r="AH31" t="s">
        <v>7594</v>
      </c>
      <c r="AI31" t="s">
        <v>2127</v>
      </c>
      <c r="AJ31" t="s">
        <v>2127</v>
      </c>
      <c r="AK31" t="s">
        <v>2127</v>
      </c>
      <c r="AL31" t="s">
        <v>2127</v>
      </c>
    </row>
    <row r="32" spans="1:258" x14ac:dyDescent="0.2">
      <c r="B32">
        <f>ROW()</f>
        <v>32</v>
      </c>
      <c r="R32" t="s">
        <v>2958</v>
      </c>
      <c r="S32" t="s">
        <v>2958</v>
      </c>
      <c r="T32" t="s">
        <v>2958</v>
      </c>
      <c r="U32" t="s">
        <v>2958</v>
      </c>
      <c r="AI32" t="s">
        <v>6264</v>
      </c>
      <c r="AJ32" t="s">
        <v>6264</v>
      </c>
      <c r="AK32" t="s">
        <v>6264</v>
      </c>
      <c r="AL32" t="s">
        <v>6264</v>
      </c>
    </row>
    <row r="33" spans="1:259" x14ac:dyDescent="0.2">
      <c r="B33">
        <f>ROW()</f>
        <v>33</v>
      </c>
      <c r="R33" t="s">
        <v>4898</v>
      </c>
      <c r="S33" t="s">
        <v>4898</v>
      </c>
      <c r="T33" t="s">
        <v>4898</v>
      </c>
      <c r="U33" t="s">
        <v>4898</v>
      </c>
      <c r="AI33" t="s">
        <v>7595</v>
      </c>
      <c r="AJ33" t="s">
        <v>7595</v>
      </c>
      <c r="AK33" t="s">
        <v>7595</v>
      </c>
      <c r="AL33" t="s">
        <v>7595</v>
      </c>
    </row>
    <row r="34" spans="1:259" x14ac:dyDescent="0.2">
      <c r="A34" t="s">
        <v>2140</v>
      </c>
      <c r="B34">
        <f>ROW()</f>
        <v>34</v>
      </c>
      <c r="F34" t="s">
        <v>2888</v>
      </c>
      <c r="I34" t="s">
        <v>2374</v>
      </c>
      <c r="J34" t="s">
        <v>2374</v>
      </c>
      <c r="L34" t="s">
        <v>3653</v>
      </c>
      <c r="N34" t="str">
        <f>IF(PROFGENE="Diener Sumus","Weltfremd A 5",IF(OR(PROFGENE="Herr der Erde",PROFGENE="Brobim-Geode"),"Arroganz 5","Goldgier 5"))</f>
        <v>Goldgier 5</v>
      </c>
      <c r="O34" t="str">
        <f>IF(PROFGENE="Diener Sumus","Weltfremd A 5",IF(OR(PROFGENE="Herr der Erde",PROFGENE="Brobim-Geode"),"Arroganz 5","Goldgier 5"))</f>
        <v>Goldgier 5</v>
      </c>
      <c r="P34" t="str">
        <f>IF(PROFGENE="Diener Sumus","Weltfremd A 5",IF(OR(PROFGENE="Herr der Erde",PROFGENE="Brobim-Geode"),"Arroganz 5","Goldgier 5"))</f>
        <v>Goldgier 5</v>
      </c>
      <c r="Q34" t="str">
        <f>IF(PROFGENE="Diener Sumus","Weltfremd A 5",IF(OR(PROFGENE="Herr der Erde",PROFGENE="Brobim-Geode"),"Arroganz 5","Goldgier 5"))</f>
        <v>Goldgier 5</v>
      </c>
      <c r="R34" t="s">
        <v>4224</v>
      </c>
      <c r="S34" t="s">
        <v>4224</v>
      </c>
      <c r="T34" t="s">
        <v>4224</v>
      </c>
      <c r="U34" t="s">
        <v>4224</v>
      </c>
      <c r="AD34" t="s">
        <v>2888</v>
      </c>
      <c r="AE34" t="s">
        <v>4292</v>
      </c>
      <c r="AF34" t="s">
        <v>2888</v>
      </c>
      <c r="AG34" t="s">
        <v>4291</v>
      </c>
      <c r="AH34" t="s">
        <v>4291</v>
      </c>
      <c r="AI34" t="s">
        <v>4291</v>
      </c>
      <c r="AJ34" t="s">
        <v>4291</v>
      </c>
      <c r="AK34" t="s">
        <v>4291</v>
      </c>
      <c r="AL34" t="s">
        <v>4291</v>
      </c>
      <c r="CM34" t="s">
        <v>1379</v>
      </c>
      <c r="DA34" t="s">
        <v>7516</v>
      </c>
      <c r="DD34" t="s">
        <v>7602</v>
      </c>
      <c r="DE34" t="s">
        <v>2117</v>
      </c>
      <c r="DF34" t="s">
        <v>2117</v>
      </c>
      <c r="DG34" t="s">
        <v>2117</v>
      </c>
      <c r="DH34" t="s">
        <v>2117</v>
      </c>
      <c r="DI34" t="s">
        <v>832</v>
      </c>
      <c r="DJ34" t="s">
        <v>832</v>
      </c>
      <c r="DK34" t="s">
        <v>1381</v>
      </c>
      <c r="DL34" t="s">
        <v>1381</v>
      </c>
      <c r="DM34" t="s">
        <v>1381</v>
      </c>
      <c r="DN34" t="s">
        <v>1381</v>
      </c>
      <c r="DO34" t="s">
        <v>1381</v>
      </c>
      <c r="DP34" t="s">
        <v>1381</v>
      </c>
      <c r="DQ34" t="s">
        <v>1381</v>
      </c>
      <c r="DR34" t="s">
        <v>1381</v>
      </c>
      <c r="DS34" t="s">
        <v>1867</v>
      </c>
      <c r="DT34" t="s">
        <v>1381</v>
      </c>
      <c r="DU34" t="s">
        <v>1381</v>
      </c>
      <c r="DV34" t="s">
        <v>1381</v>
      </c>
      <c r="DW34" t="s">
        <v>1381</v>
      </c>
      <c r="DX34" t="s">
        <v>1381</v>
      </c>
      <c r="DY34" t="s">
        <v>1381</v>
      </c>
      <c r="DZ34" t="s">
        <v>1381</v>
      </c>
      <c r="EA34" t="s">
        <v>1381</v>
      </c>
      <c r="EB34" t="s">
        <v>1381</v>
      </c>
      <c r="EC34" t="s">
        <v>1381</v>
      </c>
      <c r="ED34" t="s">
        <v>1381</v>
      </c>
      <c r="EE34" t="s">
        <v>1381</v>
      </c>
      <c r="EF34" t="s">
        <v>1379</v>
      </c>
      <c r="EG34" t="s">
        <v>1379</v>
      </c>
      <c r="EH34" t="s">
        <v>1379</v>
      </c>
      <c r="EI34" t="s">
        <v>1379</v>
      </c>
      <c r="EJ34" t="s">
        <v>1379</v>
      </c>
      <c r="EK34" t="s">
        <v>1379</v>
      </c>
      <c r="EL34" t="s">
        <v>1379</v>
      </c>
      <c r="EZ34" t="s">
        <v>4291</v>
      </c>
      <c r="FA34" t="s">
        <v>22</v>
      </c>
      <c r="FB34" t="s">
        <v>22</v>
      </c>
      <c r="FC34" t="s">
        <v>4291</v>
      </c>
      <c r="FD34" t="s">
        <v>4291</v>
      </c>
      <c r="FE34" t="s">
        <v>6081</v>
      </c>
      <c r="FF34" t="s">
        <v>6081</v>
      </c>
      <c r="FG34" t="s">
        <v>4291</v>
      </c>
      <c r="FH34" t="s">
        <v>318</v>
      </c>
      <c r="FI34" t="s">
        <v>318</v>
      </c>
      <c r="FK34" t="s">
        <v>318</v>
      </c>
      <c r="FL34" t="s">
        <v>318</v>
      </c>
      <c r="FM34" t="s">
        <v>318</v>
      </c>
      <c r="FN34" t="s">
        <v>318</v>
      </c>
      <c r="FO34" t="s">
        <v>318</v>
      </c>
      <c r="FP34" t="s">
        <v>318</v>
      </c>
      <c r="FQ34" t="s">
        <v>318</v>
      </c>
      <c r="FS34" t="s">
        <v>318</v>
      </c>
      <c r="FT34" t="s">
        <v>318</v>
      </c>
      <c r="FU34" t="s">
        <v>318</v>
      </c>
      <c r="FV34" t="s">
        <v>318</v>
      </c>
      <c r="FX34" t="s">
        <v>318</v>
      </c>
      <c r="FY34" t="s">
        <v>2374</v>
      </c>
      <c r="FZ34" t="s">
        <v>3546</v>
      </c>
      <c r="GA34" t="s">
        <v>1867</v>
      </c>
      <c r="GB34" t="s">
        <v>2374</v>
      </c>
      <c r="GC34" t="s">
        <v>1381</v>
      </c>
      <c r="GD34" t="s">
        <v>1381</v>
      </c>
      <c r="GE34" t="s">
        <v>1381</v>
      </c>
      <c r="GF34" t="s">
        <v>1381</v>
      </c>
      <c r="GG34" t="s">
        <v>1381</v>
      </c>
      <c r="GH34" t="s">
        <v>1381</v>
      </c>
      <c r="GI34" t="s">
        <v>1381</v>
      </c>
      <c r="GJ34" t="s">
        <v>1381</v>
      </c>
      <c r="GK34" t="s">
        <v>1381</v>
      </c>
      <c r="GL34" t="s">
        <v>1381</v>
      </c>
      <c r="GM34" t="s">
        <v>1381</v>
      </c>
      <c r="GN34" t="s">
        <v>1381</v>
      </c>
      <c r="GO34" t="s">
        <v>1381</v>
      </c>
      <c r="GP34" t="s">
        <v>1381</v>
      </c>
      <c r="GQ34" t="s">
        <v>1381</v>
      </c>
      <c r="GR34" t="s">
        <v>1381</v>
      </c>
      <c r="GS34" t="s">
        <v>1381</v>
      </c>
      <c r="GT34" t="s">
        <v>1381</v>
      </c>
      <c r="GU34" t="s">
        <v>1381</v>
      </c>
      <c r="GV34" t="s">
        <v>1381</v>
      </c>
      <c r="GW34" t="s">
        <v>1381</v>
      </c>
      <c r="GX34" t="s">
        <v>1381</v>
      </c>
      <c r="GY34" t="s">
        <v>1381</v>
      </c>
      <c r="GZ34" t="s">
        <v>1381</v>
      </c>
      <c r="HA34" t="s">
        <v>1381</v>
      </c>
      <c r="HB34" t="s">
        <v>1381</v>
      </c>
      <c r="HC34" t="s">
        <v>1381</v>
      </c>
      <c r="HD34" t="s">
        <v>1381</v>
      </c>
      <c r="HE34" t="s">
        <v>1381</v>
      </c>
      <c r="HF34" t="s">
        <v>1381</v>
      </c>
      <c r="HG34" t="s">
        <v>1381</v>
      </c>
      <c r="HH34" t="s">
        <v>1381</v>
      </c>
      <c r="HI34" t="s">
        <v>1381</v>
      </c>
      <c r="HJ34" t="s">
        <v>1381</v>
      </c>
      <c r="HK34" t="s">
        <v>1381</v>
      </c>
      <c r="HL34" t="s">
        <v>1381</v>
      </c>
      <c r="HM34" t="s">
        <v>1381</v>
      </c>
      <c r="HN34" t="s">
        <v>1381</v>
      </c>
      <c r="HO34" t="s">
        <v>1381</v>
      </c>
      <c r="HP34" t="s">
        <v>1381</v>
      </c>
      <c r="HQ34" t="s">
        <v>1381</v>
      </c>
      <c r="HR34" t="s">
        <v>1381</v>
      </c>
      <c r="HS34" t="s">
        <v>1381</v>
      </c>
      <c r="HT34" t="s">
        <v>1381</v>
      </c>
      <c r="HU34" t="s">
        <v>1381</v>
      </c>
      <c r="HV34" t="s">
        <v>1381</v>
      </c>
      <c r="HW34" t="s">
        <v>1381</v>
      </c>
      <c r="HX34" t="s">
        <v>1381</v>
      </c>
      <c r="HY34" t="s">
        <v>1381</v>
      </c>
      <c r="HZ34" t="s">
        <v>1381</v>
      </c>
      <c r="IA34" t="s">
        <v>1381</v>
      </c>
      <c r="IB34" t="s">
        <v>1381</v>
      </c>
      <c r="IL34" t="s">
        <v>1381</v>
      </c>
      <c r="IM34" t="s">
        <v>1381</v>
      </c>
      <c r="IN34" t="s">
        <v>1381</v>
      </c>
      <c r="IO34" t="s">
        <v>1381</v>
      </c>
      <c r="IP34" t="s">
        <v>1381</v>
      </c>
      <c r="IQ34" t="s">
        <v>1381</v>
      </c>
      <c r="IY34" t="s">
        <v>1381</v>
      </c>
    </row>
    <row r="35" spans="1:259" x14ac:dyDescent="0.2">
      <c r="B35">
        <f>ROW()</f>
        <v>35</v>
      </c>
      <c r="J35" t="s">
        <v>2888</v>
      </c>
      <c r="N35" t="s">
        <v>2872</v>
      </c>
      <c r="O35" t="s">
        <v>2872</v>
      </c>
      <c r="P35" t="s">
        <v>2872</v>
      </c>
      <c r="Q35" t="s">
        <v>2872</v>
      </c>
      <c r="T35" t="s">
        <v>317</v>
      </c>
      <c r="U35" t="s">
        <v>317</v>
      </c>
      <c r="AD35" t="s">
        <v>4291</v>
      </c>
      <c r="AE35" t="s">
        <v>4291</v>
      </c>
      <c r="AF35" t="s">
        <v>4291</v>
      </c>
      <c r="AG35" t="s">
        <v>4294</v>
      </c>
      <c r="AH35" t="s">
        <v>4294</v>
      </c>
      <c r="AI35" t="s">
        <v>3345</v>
      </c>
      <c r="AJ35" t="s">
        <v>3345</v>
      </c>
      <c r="AK35" t="s">
        <v>3345</v>
      </c>
      <c r="AL35" t="s">
        <v>3345</v>
      </c>
      <c r="CM35" t="s">
        <v>7515</v>
      </c>
      <c r="DE35" t="s">
        <v>1378</v>
      </c>
      <c r="DF35" t="s">
        <v>1378</v>
      </c>
      <c r="DG35" t="s">
        <v>1378</v>
      </c>
      <c r="DH35" t="s">
        <v>1378</v>
      </c>
      <c r="DI35" t="s">
        <v>4291</v>
      </c>
      <c r="DJ35" t="s">
        <v>4291</v>
      </c>
      <c r="DM35" t="s">
        <v>9177</v>
      </c>
      <c r="DN35" t="s">
        <v>6657</v>
      </c>
      <c r="DO35" t="s">
        <v>9178</v>
      </c>
      <c r="DP35" t="s">
        <v>9178</v>
      </c>
      <c r="DR35" t="s">
        <v>832</v>
      </c>
      <c r="DS35" t="s">
        <v>22</v>
      </c>
      <c r="DT35" t="s">
        <v>1867</v>
      </c>
      <c r="DU35" t="s">
        <v>1382</v>
      </c>
      <c r="DV35" t="s">
        <v>1382</v>
      </c>
      <c r="DW35" t="s">
        <v>1382</v>
      </c>
      <c r="DX35" t="s">
        <v>1382</v>
      </c>
      <c r="DY35" t="s">
        <v>1382</v>
      </c>
      <c r="DZ35" t="s">
        <v>1382</v>
      </c>
      <c r="EA35" t="s">
        <v>1382</v>
      </c>
      <c r="EB35" t="s">
        <v>1382</v>
      </c>
      <c r="EC35" t="s">
        <v>1867</v>
      </c>
      <c r="ED35" t="s">
        <v>1382</v>
      </c>
      <c r="EE35" t="s">
        <v>3546</v>
      </c>
      <c r="EF35" t="s">
        <v>1383</v>
      </c>
      <c r="EG35" t="s">
        <v>1383</v>
      </c>
      <c r="EH35" t="s">
        <v>1383</v>
      </c>
      <c r="EI35" t="s">
        <v>1383</v>
      </c>
      <c r="EJ35" t="s">
        <v>1383</v>
      </c>
      <c r="EK35" t="s">
        <v>1383</v>
      </c>
      <c r="EL35" t="s">
        <v>1383</v>
      </c>
      <c r="EZ35" t="s">
        <v>6627</v>
      </c>
      <c r="FC35" t="s">
        <v>570</v>
      </c>
      <c r="FD35" t="s">
        <v>570</v>
      </c>
      <c r="FE35" t="s">
        <v>1383</v>
      </c>
      <c r="FF35" t="s">
        <v>1383</v>
      </c>
      <c r="FG35" t="s">
        <v>4087</v>
      </c>
      <c r="FH35" t="s">
        <v>1383</v>
      </c>
      <c r="FI35" t="s">
        <v>1379</v>
      </c>
      <c r="FJ35" t="s">
        <v>1383</v>
      </c>
      <c r="FK35" t="s">
        <v>1383</v>
      </c>
      <c r="FL35" t="s">
        <v>1383</v>
      </c>
      <c r="FM35" t="s">
        <v>1383</v>
      </c>
      <c r="FN35" t="s">
        <v>1383</v>
      </c>
      <c r="FO35" t="s">
        <v>1383</v>
      </c>
      <c r="FQ35" t="s">
        <v>1383</v>
      </c>
      <c r="FR35" t="s">
        <v>1383</v>
      </c>
      <c r="FS35" t="s">
        <v>1379</v>
      </c>
      <c r="FT35" t="s">
        <v>1379</v>
      </c>
      <c r="FU35" t="s">
        <v>1379</v>
      </c>
      <c r="FV35" t="s">
        <v>1379</v>
      </c>
      <c r="FW35" t="s">
        <v>1379</v>
      </c>
      <c r="FX35" t="s">
        <v>1379</v>
      </c>
      <c r="FY35" t="s">
        <v>1867</v>
      </c>
      <c r="FZ35" t="s">
        <v>2118</v>
      </c>
      <c r="GB35" t="s">
        <v>1867</v>
      </c>
      <c r="GC35" t="s">
        <v>2118</v>
      </c>
      <c r="GN35" t="s">
        <v>1380</v>
      </c>
      <c r="GO35" t="s">
        <v>1380</v>
      </c>
      <c r="GP35" t="s">
        <v>1380</v>
      </c>
      <c r="GQ35" t="s">
        <v>1380</v>
      </c>
      <c r="GR35" t="s">
        <v>1380</v>
      </c>
      <c r="HY35" t="s">
        <v>3947</v>
      </c>
      <c r="HZ35" t="s">
        <v>3947</v>
      </c>
    </row>
    <row r="36" spans="1:259" x14ac:dyDescent="0.2">
      <c r="B36">
        <f>ROW()</f>
        <v>36</v>
      </c>
      <c r="AD36" t="s">
        <v>4292</v>
      </c>
      <c r="AG36" t="s">
        <v>3653</v>
      </c>
      <c r="AH36" t="s">
        <v>3653</v>
      </c>
      <c r="AI36" t="s">
        <v>6310</v>
      </c>
      <c r="AJ36" t="s">
        <v>6310</v>
      </c>
      <c r="AK36" t="s">
        <v>6310</v>
      </c>
      <c r="AL36" t="s">
        <v>6310</v>
      </c>
      <c r="DE36" t="s">
        <v>1380</v>
      </c>
      <c r="DF36" t="s">
        <v>1380</v>
      </c>
      <c r="DG36" t="s">
        <v>1380</v>
      </c>
      <c r="DH36" t="s">
        <v>1380</v>
      </c>
      <c r="DR36" t="s">
        <v>9179</v>
      </c>
      <c r="DU36" t="s">
        <v>1867</v>
      </c>
      <c r="DV36" t="s">
        <v>1867</v>
      </c>
      <c r="DW36" t="s">
        <v>1867</v>
      </c>
      <c r="DX36" t="s">
        <v>1383</v>
      </c>
      <c r="DY36" t="s">
        <v>1383</v>
      </c>
      <c r="DZ36" t="s">
        <v>1867</v>
      </c>
      <c r="EA36" t="s">
        <v>1867</v>
      </c>
      <c r="EB36" t="s">
        <v>1867</v>
      </c>
      <c r="EC36" t="s">
        <v>22</v>
      </c>
      <c r="ED36" t="s">
        <v>1383</v>
      </c>
      <c r="EE36" t="s">
        <v>1378</v>
      </c>
      <c r="FC36" t="s">
        <v>7121</v>
      </c>
      <c r="FD36" t="s">
        <v>7121</v>
      </c>
      <c r="FH36" t="s">
        <v>4291</v>
      </c>
      <c r="FI36" t="s">
        <v>4291</v>
      </c>
      <c r="FJ36" t="s">
        <v>4291</v>
      </c>
      <c r="FK36" t="s">
        <v>7271</v>
      </c>
      <c r="FL36" t="s">
        <v>7271</v>
      </c>
      <c r="FM36" t="s">
        <v>7271</v>
      </c>
      <c r="FN36" t="s">
        <v>7271</v>
      </c>
      <c r="FO36" t="s">
        <v>7271</v>
      </c>
      <c r="FP36" t="s">
        <v>7271</v>
      </c>
      <c r="FQ36" t="s">
        <v>7271</v>
      </c>
      <c r="FR36" t="s">
        <v>7271</v>
      </c>
      <c r="FS36" t="s">
        <v>6082</v>
      </c>
      <c r="FT36" t="s">
        <v>6083</v>
      </c>
      <c r="FU36" t="s">
        <v>7110</v>
      </c>
      <c r="FV36" t="s">
        <v>7110</v>
      </c>
      <c r="FW36" t="s">
        <v>7110</v>
      </c>
      <c r="FX36" t="s">
        <v>7110</v>
      </c>
      <c r="FZ36" t="s">
        <v>1867</v>
      </c>
      <c r="GC36" t="s">
        <v>6628</v>
      </c>
    </row>
    <row r="37" spans="1:259" x14ac:dyDescent="0.2">
      <c r="B37">
        <f>ROW()</f>
        <v>37</v>
      </c>
      <c r="AI37" t="s">
        <v>4292</v>
      </c>
      <c r="AJ37" t="s">
        <v>4292</v>
      </c>
      <c r="AK37" t="s">
        <v>4292</v>
      </c>
      <c r="AL37" t="s">
        <v>4292</v>
      </c>
      <c r="DU37" t="s">
        <v>1383</v>
      </c>
      <c r="DV37" t="s">
        <v>1383</v>
      </c>
      <c r="DW37" t="s">
        <v>1383</v>
      </c>
      <c r="DZ37" t="s">
        <v>1383</v>
      </c>
      <c r="EA37" t="s">
        <v>1383</v>
      </c>
      <c r="EB37" t="s">
        <v>1383</v>
      </c>
      <c r="FC37" t="s">
        <v>7136</v>
      </c>
      <c r="FD37" t="s">
        <v>7136</v>
      </c>
      <c r="FH37" t="s">
        <v>7111</v>
      </c>
      <c r="FI37" t="s">
        <v>7111</v>
      </c>
      <c r="FJ37" t="s">
        <v>7111</v>
      </c>
      <c r="FS37" t="s">
        <v>7110</v>
      </c>
      <c r="FT37" t="s">
        <v>7110</v>
      </c>
      <c r="FU37" t="s">
        <v>7113</v>
      </c>
      <c r="FV37" t="s">
        <v>7113</v>
      </c>
      <c r="FW37" t="s">
        <v>7113</v>
      </c>
      <c r="FX37" t="s">
        <v>7113</v>
      </c>
    </row>
    <row r="38" spans="1:259" x14ac:dyDescent="0.2">
      <c r="B38">
        <f>ROW()</f>
        <v>38</v>
      </c>
      <c r="AI38" t="s">
        <v>2576</v>
      </c>
      <c r="AK38" t="s">
        <v>2576</v>
      </c>
      <c r="AL38" t="s">
        <v>2576</v>
      </c>
      <c r="FC38" t="s">
        <v>7137</v>
      </c>
      <c r="FD38" t="s">
        <v>7137</v>
      </c>
      <c r="FH38" t="s">
        <v>7112</v>
      </c>
      <c r="FI38" t="s">
        <v>7112</v>
      </c>
      <c r="FJ38" t="s">
        <v>7112</v>
      </c>
      <c r="FS38" t="s">
        <v>7113</v>
      </c>
      <c r="FT38" t="s">
        <v>7113</v>
      </c>
      <c r="FU38" t="s">
        <v>7114</v>
      </c>
      <c r="FV38" t="s">
        <v>7114</v>
      </c>
      <c r="FW38" t="s">
        <v>7114</v>
      </c>
      <c r="FX38" t="s">
        <v>7114</v>
      </c>
    </row>
    <row r="39" spans="1:259" x14ac:dyDescent="0.2">
      <c r="A39" t="s">
        <v>3084</v>
      </c>
      <c r="B39">
        <f>ROW()</f>
        <v>39</v>
      </c>
      <c r="AI39" t="s">
        <v>4107</v>
      </c>
      <c r="AJ39" t="s">
        <v>4107</v>
      </c>
      <c r="AK39" t="s">
        <v>4107</v>
      </c>
      <c r="AL39" t="s">
        <v>4107</v>
      </c>
      <c r="EE39" t="s">
        <v>4107</v>
      </c>
    </row>
    <row r="40" spans="1:259" x14ac:dyDescent="0.2">
      <c r="A40" t="s">
        <v>1902</v>
      </c>
      <c r="B40">
        <f>ROW()</f>
        <v>40</v>
      </c>
      <c r="N40" t="s">
        <v>4107</v>
      </c>
      <c r="O40" t="s">
        <v>4107</v>
      </c>
      <c r="P40" t="s">
        <v>4107</v>
      </c>
      <c r="Q40" t="s">
        <v>4107</v>
      </c>
      <c r="R40" t="s">
        <v>4115</v>
      </c>
      <c r="S40" t="s">
        <v>4115</v>
      </c>
      <c r="T40" t="s">
        <v>4115</v>
      </c>
      <c r="U40" t="s">
        <v>4115</v>
      </c>
      <c r="X40" t="s">
        <v>4115</v>
      </c>
      <c r="AB40" t="s">
        <v>4115</v>
      </c>
      <c r="AE40" t="s">
        <v>1515</v>
      </c>
      <c r="AI40" t="s">
        <v>4109</v>
      </c>
      <c r="AJ40" t="s">
        <v>4109</v>
      </c>
      <c r="AK40" t="s">
        <v>4109</v>
      </c>
      <c r="AL40" t="s">
        <v>4109</v>
      </c>
      <c r="DT40" t="s">
        <v>4118</v>
      </c>
      <c r="GC40" t="s">
        <v>3915</v>
      </c>
    </row>
    <row r="41" spans="1:259" x14ac:dyDescent="0.2">
      <c r="B41">
        <f>ROW()</f>
        <v>41</v>
      </c>
      <c r="AI41" t="s">
        <v>4112</v>
      </c>
      <c r="AJ41" t="s">
        <v>4112</v>
      </c>
      <c r="AK41" t="s">
        <v>4112</v>
      </c>
      <c r="AL41" t="s">
        <v>4112</v>
      </c>
    </row>
    <row r="42" spans="1:259" x14ac:dyDescent="0.2">
      <c r="B42">
        <f>ROW()</f>
        <v>42</v>
      </c>
      <c r="AI42" t="s">
        <v>2440</v>
      </c>
      <c r="AJ42" t="s">
        <v>2440</v>
      </c>
      <c r="AK42" t="s">
        <v>2440</v>
      </c>
      <c r="AL42" t="s">
        <v>2440</v>
      </c>
    </row>
    <row r="43" spans="1:259" ht="12.75" customHeight="1" x14ac:dyDescent="0.2">
      <c r="A43" t="str">
        <f>INDEX(TL_KPF,ROW()-41)</f>
        <v>Anderthalbhänder</v>
      </c>
      <c r="B43">
        <f>ROW()</f>
        <v>43</v>
      </c>
      <c r="C43" t="s">
        <v>1608</v>
      </c>
      <c r="AN43" t="s">
        <v>1608</v>
      </c>
    </row>
    <row r="44" spans="1:259" x14ac:dyDescent="0.2">
      <c r="A44" t="str">
        <f t="shared" ref="A44:A69" si="0">INDEX(TL_KPF,ROW()-41)</f>
        <v>Armbrust</v>
      </c>
      <c r="B44">
        <f>ROW()</f>
        <v>44</v>
      </c>
      <c r="CB44">
        <v>1</v>
      </c>
      <c r="CC44">
        <v>1</v>
      </c>
      <c r="CD44">
        <v>1</v>
      </c>
      <c r="CE44">
        <v>1</v>
      </c>
      <c r="CF44">
        <v>1</v>
      </c>
      <c r="CG44">
        <v>1</v>
      </c>
      <c r="CH44">
        <v>1</v>
      </c>
      <c r="CJ44">
        <v>1</v>
      </c>
      <c r="DQ44">
        <v>1</v>
      </c>
      <c r="FY44">
        <v>3</v>
      </c>
      <c r="FZ44">
        <v>1</v>
      </c>
      <c r="GA44">
        <v>2</v>
      </c>
      <c r="GB44">
        <v>2</v>
      </c>
    </row>
    <row r="45" spans="1:259" x14ac:dyDescent="0.2">
      <c r="A45" t="str">
        <f t="shared" si="0"/>
        <v>Belagerungswaffen</v>
      </c>
      <c r="B45">
        <f>ROW()</f>
        <v>45</v>
      </c>
    </row>
    <row r="46" spans="1:259" x14ac:dyDescent="0.2">
      <c r="A46" t="str">
        <f t="shared" si="0"/>
        <v>Blasrohr</v>
      </c>
      <c r="B46">
        <f>ROW()</f>
        <v>46</v>
      </c>
    </row>
    <row r="47" spans="1:259" x14ac:dyDescent="0.2">
      <c r="A47" t="str">
        <f t="shared" si="0"/>
        <v>Bogen</v>
      </c>
      <c r="B47">
        <f>ROW()</f>
        <v>47</v>
      </c>
      <c r="BL47">
        <v>1</v>
      </c>
      <c r="BN47">
        <v>1</v>
      </c>
      <c r="BO47">
        <v>1</v>
      </c>
      <c r="BP47">
        <v>1</v>
      </c>
      <c r="BS47">
        <v>1</v>
      </c>
      <c r="BT47">
        <v>1</v>
      </c>
      <c r="CL47">
        <v>1</v>
      </c>
      <c r="DE47">
        <v>1</v>
      </c>
      <c r="EZ47">
        <v>1</v>
      </c>
      <c r="FH47" t="s">
        <v>1719</v>
      </c>
      <c r="FI47" t="s">
        <v>1719</v>
      </c>
      <c r="FJ47" t="s">
        <v>1719</v>
      </c>
      <c r="FK47" t="s">
        <v>1721</v>
      </c>
      <c r="FL47" t="s">
        <v>666</v>
      </c>
      <c r="FM47" t="s">
        <v>1722</v>
      </c>
      <c r="FN47" t="s">
        <v>1721</v>
      </c>
      <c r="FO47" t="s">
        <v>1721</v>
      </c>
      <c r="FP47" t="s">
        <v>1721</v>
      </c>
      <c r="FQ47" t="s">
        <v>1721</v>
      </c>
      <c r="FR47" t="s">
        <v>1721</v>
      </c>
      <c r="FS47" t="s">
        <v>1719</v>
      </c>
      <c r="GE47">
        <v>1</v>
      </c>
      <c r="GF47">
        <v>1</v>
      </c>
      <c r="GG47">
        <v>1</v>
      </c>
      <c r="GH47">
        <v>1</v>
      </c>
      <c r="GJ47">
        <v>1</v>
      </c>
      <c r="GK47">
        <v>1</v>
      </c>
      <c r="GL47">
        <v>1</v>
      </c>
      <c r="GM47">
        <v>1</v>
      </c>
      <c r="GO47">
        <v>1</v>
      </c>
      <c r="GP47">
        <v>1</v>
      </c>
      <c r="GQ47">
        <v>1</v>
      </c>
      <c r="GR47">
        <v>1</v>
      </c>
      <c r="GT47">
        <v>1</v>
      </c>
      <c r="GU47">
        <v>1</v>
      </c>
      <c r="GV47">
        <v>1</v>
      </c>
      <c r="GW47">
        <v>1</v>
      </c>
      <c r="GY47">
        <v>1</v>
      </c>
      <c r="GZ47">
        <v>1</v>
      </c>
      <c r="HA47">
        <v>1</v>
      </c>
      <c r="HB47">
        <v>1</v>
      </c>
      <c r="HD47">
        <v>1</v>
      </c>
      <c r="HE47">
        <v>1</v>
      </c>
      <c r="HF47">
        <v>1</v>
      </c>
      <c r="HG47">
        <v>1</v>
      </c>
      <c r="HI47">
        <v>1</v>
      </c>
      <c r="HJ47">
        <v>1</v>
      </c>
      <c r="HK47">
        <v>1</v>
      </c>
      <c r="HL47">
        <v>1</v>
      </c>
      <c r="HO47">
        <v>1</v>
      </c>
      <c r="HP47">
        <v>1</v>
      </c>
      <c r="HQ47">
        <v>1</v>
      </c>
      <c r="HR47">
        <v>1</v>
      </c>
      <c r="IL47">
        <v>1</v>
      </c>
      <c r="IN47">
        <v>1</v>
      </c>
      <c r="IO47">
        <v>1</v>
      </c>
      <c r="IP47">
        <v>1</v>
      </c>
      <c r="IQ47">
        <v>1</v>
      </c>
      <c r="IY47">
        <v>1</v>
      </c>
    </row>
    <row r="48" spans="1:259" x14ac:dyDescent="0.2">
      <c r="A48" t="str">
        <f t="shared" si="0"/>
        <v>Diskus</v>
      </c>
      <c r="B48">
        <f>ROW()</f>
        <v>48</v>
      </c>
      <c r="EF48">
        <v>2</v>
      </c>
      <c r="EG48">
        <v>2</v>
      </c>
      <c r="EH48">
        <v>2</v>
      </c>
      <c r="EI48">
        <v>2</v>
      </c>
      <c r="EJ48">
        <v>2</v>
      </c>
      <c r="EK48">
        <v>2</v>
      </c>
      <c r="EL48">
        <v>2</v>
      </c>
    </row>
    <row r="49" spans="1:259" x14ac:dyDescent="0.2">
      <c r="A49" t="str">
        <f t="shared" si="0"/>
        <v>Dolche</v>
      </c>
      <c r="B49">
        <f>ROW()</f>
        <v>49</v>
      </c>
      <c r="AO49">
        <v>1</v>
      </c>
      <c r="AP49">
        <v>1</v>
      </c>
      <c r="AQ49">
        <v>1</v>
      </c>
      <c r="AR49">
        <v>1</v>
      </c>
      <c r="AS49">
        <v>1</v>
      </c>
      <c r="AT49">
        <v>1</v>
      </c>
      <c r="AU49">
        <v>1</v>
      </c>
      <c r="AV49">
        <v>1</v>
      </c>
      <c r="AW49">
        <v>1</v>
      </c>
      <c r="AX49">
        <v>1</v>
      </c>
      <c r="AY49">
        <v>1</v>
      </c>
      <c r="AZ49">
        <v>1</v>
      </c>
      <c r="BA49">
        <v>1</v>
      </c>
      <c r="BB49">
        <v>1</v>
      </c>
      <c r="BD49">
        <v>1</v>
      </c>
      <c r="BE49">
        <v>1</v>
      </c>
      <c r="BF49">
        <v>1</v>
      </c>
      <c r="BG49">
        <v>1</v>
      </c>
      <c r="BH49">
        <v>1</v>
      </c>
      <c r="BI49">
        <v>1</v>
      </c>
      <c r="BJ49">
        <v>1</v>
      </c>
      <c r="BK49">
        <v>1</v>
      </c>
      <c r="BL49">
        <v>1</v>
      </c>
      <c r="BM49">
        <v>1</v>
      </c>
      <c r="BN49">
        <v>1</v>
      </c>
      <c r="BO49">
        <v>1</v>
      </c>
      <c r="BP49">
        <v>1</v>
      </c>
      <c r="BQ49">
        <v>1</v>
      </c>
      <c r="BR49">
        <v>1</v>
      </c>
      <c r="BS49">
        <v>1</v>
      </c>
      <c r="BT49">
        <v>1</v>
      </c>
      <c r="BU49">
        <v>1</v>
      </c>
      <c r="BV49">
        <v>1</v>
      </c>
      <c r="BW49">
        <v>1</v>
      </c>
      <c r="BX49">
        <v>1</v>
      </c>
      <c r="BY49">
        <v>1</v>
      </c>
      <c r="BZ49">
        <v>1</v>
      </c>
      <c r="CA49">
        <v>1</v>
      </c>
      <c r="CB49">
        <v>1</v>
      </c>
      <c r="CC49">
        <v>1</v>
      </c>
      <c r="CD49">
        <v>1</v>
      </c>
      <c r="CE49">
        <v>1</v>
      </c>
      <c r="CF49">
        <v>1</v>
      </c>
      <c r="CG49">
        <v>1</v>
      </c>
      <c r="CH49">
        <v>1</v>
      </c>
      <c r="CI49">
        <v>1</v>
      </c>
      <c r="CJ49">
        <v>1</v>
      </c>
      <c r="CK49">
        <v>1</v>
      </c>
      <c r="CL49">
        <v>1</v>
      </c>
      <c r="CM49">
        <v>2</v>
      </c>
      <c r="CN49">
        <v>1</v>
      </c>
      <c r="CO49">
        <v>1</v>
      </c>
      <c r="CP49">
        <v>1</v>
      </c>
      <c r="CQ49">
        <v>1</v>
      </c>
      <c r="CR49">
        <v>1</v>
      </c>
      <c r="CS49">
        <v>1</v>
      </c>
      <c r="CT49">
        <v>1</v>
      </c>
      <c r="CU49">
        <v>1</v>
      </c>
      <c r="CV49">
        <v>1</v>
      </c>
      <c r="CW49">
        <v>1</v>
      </c>
      <c r="CX49">
        <v>1</v>
      </c>
      <c r="CY49">
        <v>1</v>
      </c>
      <c r="CZ49">
        <v>1</v>
      </c>
      <c r="DA49">
        <v>1</v>
      </c>
      <c r="DB49">
        <v>2</v>
      </c>
      <c r="DC49">
        <v>2</v>
      </c>
      <c r="DD49">
        <v>2</v>
      </c>
      <c r="DE49">
        <v>1</v>
      </c>
      <c r="DF49">
        <v>1</v>
      </c>
      <c r="DG49">
        <v>1</v>
      </c>
      <c r="DH49">
        <v>1</v>
      </c>
      <c r="DI49">
        <v>1</v>
      </c>
      <c r="DJ49">
        <v>1</v>
      </c>
      <c r="DU49">
        <v>1</v>
      </c>
      <c r="DV49">
        <v>1</v>
      </c>
      <c r="DW49">
        <v>1</v>
      </c>
      <c r="DX49">
        <v>1</v>
      </c>
      <c r="DY49">
        <v>2</v>
      </c>
      <c r="DZ49">
        <v>2</v>
      </c>
      <c r="EA49">
        <v>2</v>
      </c>
      <c r="EB49">
        <v>2</v>
      </c>
      <c r="EC49">
        <v>1</v>
      </c>
      <c r="ED49">
        <v>2</v>
      </c>
      <c r="EE49">
        <v>1</v>
      </c>
      <c r="EF49">
        <v>1</v>
      </c>
      <c r="EG49">
        <v>1</v>
      </c>
      <c r="EH49">
        <v>1</v>
      </c>
      <c r="EI49">
        <v>1</v>
      </c>
      <c r="EJ49">
        <v>2</v>
      </c>
      <c r="EK49">
        <v>1</v>
      </c>
      <c r="EL49">
        <v>2</v>
      </c>
      <c r="EM49">
        <v>2</v>
      </c>
      <c r="EN49">
        <v>2</v>
      </c>
      <c r="EO49">
        <v>2</v>
      </c>
      <c r="EP49">
        <v>2</v>
      </c>
      <c r="EQ49">
        <v>2</v>
      </c>
      <c r="ER49">
        <v>2</v>
      </c>
      <c r="ES49">
        <v>2</v>
      </c>
      <c r="ET49">
        <v>2</v>
      </c>
      <c r="EU49">
        <v>2</v>
      </c>
      <c r="EV49">
        <v>2</v>
      </c>
      <c r="EW49">
        <v>2</v>
      </c>
      <c r="EX49">
        <v>2</v>
      </c>
      <c r="EY49">
        <v>2</v>
      </c>
      <c r="EZ49">
        <v>1</v>
      </c>
      <c r="FA49">
        <v>1</v>
      </c>
      <c r="FB49">
        <v>1</v>
      </c>
      <c r="FC49">
        <v>1</v>
      </c>
      <c r="FD49">
        <v>1</v>
      </c>
      <c r="FE49">
        <v>1</v>
      </c>
      <c r="FF49">
        <v>1</v>
      </c>
      <c r="FH49">
        <v>2</v>
      </c>
      <c r="FI49">
        <v>2</v>
      </c>
      <c r="FJ49">
        <v>2</v>
      </c>
      <c r="FK49">
        <v>2</v>
      </c>
      <c r="FL49">
        <v>2</v>
      </c>
      <c r="FM49">
        <v>2</v>
      </c>
      <c r="FN49">
        <v>2</v>
      </c>
      <c r="FO49">
        <v>2</v>
      </c>
      <c r="FP49">
        <v>2</v>
      </c>
      <c r="FQ49">
        <v>2</v>
      </c>
      <c r="FR49">
        <v>2</v>
      </c>
      <c r="FS49">
        <v>2</v>
      </c>
      <c r="FT49">
        <v>2</v>
      </c>
      <c r="FU49">
        <v>2</v>
      </c>
      <c r="FV49">
        <v>2</v>
      </c>
      <c r="FW49">
        <v>2</v>
      </c>
      <c r="FX49">
        <v>2</v>
      </c>
      <c r="FZ49">
        <v>1</v>
      </c>
      <c r="GA49">
        <v>1</v>
      </c>
      <c r="GC49">
        <v>2</v>
      </c>
      <c r="HM49">
        <v>1</v>
      </c>
      <c r="HN49">
        <v>1</v>
      </c>
      <c r="HO49">
        <v>1</v>
      </c>
      <c r="HP49">
        <v>1</v>
      </c>
      <c r="HQ49">
        <v>1</v>
      </c>
      <c r="HR49">
        <v>1</v>
      </c>
      <c r="IB49">
        <v>2</v>
      </c>
      <c r="IY49">
        <v>1</v>
      </c>
    </row>
    <row r="50" spans="1:259" x14ac:dyDescent="0.2">
      <c r="A50" t="str">
        <f t="shared" si="0"/>
        <v>Fechtwaffen</v>
      </c>
      <c r="B50">
        <f>ROW()</f>
        <v>50</v>
      </c>
      <c r="BU50">
        <v>1</v>
      </c>
      <c r="BV50">
        <v>1</v>
      </c>
      <c r="BW50">
        <v>1</v>
      </c>
      <c r="BX50">
        <v>1</v>
      </c>
      <c r="BY50">
        <v>1</v>
      </c>
      <c r="BZ50">
        <v>1</v>
      </c>
      <c r="CA50">
        <v>1</v>
      </c>
      <c r="CB50">
        <v>1</v>
      </c>
      <c r="CC50">
        <v>1</v>
      </c>
      <c r="CD50">
        <v>1</v>
      </c>
      <c r="CE50">
        <v>1</v>
      </c>
      <c r="CF50">
        <v>1</v>
      </c>
      <c r="CG50">
        <v>1</v>
      </c>
      <c r="CH50">
        <v>1</v>
      </c>
      <c r="CJ50">
        <v>1</v>
      </c>
    </row>
    <row r="51" spans="1:259" x14ac:dyDescent="0.2">
      <c r="A51" t="str">
        <f t="shared" si="0"/>
        <v>Hiebwaffen</v>
      </c>
      <c r="B51">
        <f>ROW()</f>
        <v>51</v>
      </c>
      <c r="AV51">
        <v>1</v>
      </c>
      <c r="AW51">
        <v>1</v>
      </c>
      <c r="AX51">
        <v>1</v>
      </c>
      <c r="AY51">
        <v>1</v>
      </c>
      <c r="AZ51">
        <v>1</v>
      </c>
      <c r="BA51">
        <v>1</v>
      </c>
      <c r="BB51">
        <v>1</v>
      </c>
      <c r="BC51">
        <v>2</v>
      </c>
      <c r="BD51">
        <v>1</v>
      </c>
      <c r="BE51">
        <v>1</v>
      </c>
      <c r="BF51">
        <v>1</v>
      </c>
      <c r="BG51">
        <v>1</v>
      </c>
      <c r="BH51">
        <v>1</v>
      </c>
      <c r="BI51">
        <v>1</v>
      </c>
      <c r="BJ51">
        <v>1</v>
      </c>
      <c r="BO51">
        <v>1</v>
      </c>
      <c r="BP51">
        <v>1</v>
      </c>
      <c r="BQ51">
        <v>1</v>
      </c>
      <c r="BR51">
        <v>1</v>
      </c>
      <c r="BS51">
        <v>1</v>
      </c>
      <c r="BT51">
        <v>1</v>
      </c>
      <c r="CL51">
        <v>1</v>
      </c>
      <c r="DI51">
        <v>1</v>
      </c>
      <c r="DJ51">
        <v>1</v>
      </c>
      <c r="DK51">
        <v>1</v>
      </c>
      <c r="DL51">
        <v>1</v>
      </c>
      <c r="DM51">
        <v>2</v>
      </c>
      <c r="DN51">
        <v>2</v>
      </c>
      <c r="DO51">
        <v>2</v>
      </c>
      <c r="DP51">
        <v>2</v>
      </c>
      <c r="DQ51">
        <v>2</v>
      </c>
      <c r="DR51">
        <v>3</v>
      </c>
      <c r="DS51">
        <v>2</v>
      </c>
      <c r="DT51">
        <v>1</v>
      </c>
      <c r="DU51">
        <v>1</v>
      </c>
      <c r="DV51">
        <v>1</v>
      </c>
      <c r="DW51">
        <v>1</v>
      </c>
      <c r="DX51">
        <v>1</v>
      </c>
      <c r="DY51">
        <v>1</v>
      </c>
      <c r="DZ51">
        <v>3</v>
      </c>
      <c r="EA51">
        <v>3</v>
      </c>
      <c r="EB51">
        <v>3</v>
      </c>
      <c r="EC51">
        <v>1</v>
      </c>
      <c r="ED51">
        <v>2</v>
      </c>
      <c r="EE51">
        <v>2</v>
      </c>
      <c r="EW51">
        <v>1</v>
      </c>
      <c r="EX51">
        <v>1</v>
      </c>
      <c r="FC51">
        <v>2</v>
      </c>
      <c r="FD51">
        <v>2</v>
      </c>
      <c r="FE51">
        <v>1</v>
      </c>
      <c r="FF51">
        <v>1</v>
      </c>
      <c r="FG51">
        <v>2</v>
      </c>
      <c r="FY51">
        <v>1</v>
      </c>
      <c r="FZ51">
        <v>1</v>
      </c>
      <c r="GA51">
        <v>2</v>
      </c>
      <c r="GB51">
        <v>1</v>
      </c>
      <c r="GC51">
        <v>2</v>
      </c>
    </row>
    <row r="52" spans="1:259" x14ac:dyDescent="0.2">
      <c r="A52" t="str">
        <f t="shared" si="0"/>
        <v>Infanteriewaffen</v>
      </c>
      <c r="B52">
        <f>ROW()</f>
        <v>52</v>
      </c>
      <c r="AO52">
        <v>1</v>
      </c>
      <c r="AP52">
        <v>1</v>
      </c>
      <c r="AQ52">
        <v>1</v>
      </c>
      <c r="AR52">
        <v>1</v>
      </c>
      <c r="AT52">
        <v>1</v>
      </c>
      <c r="AU52">
        <v>1</v>
      </c>
      <c r="BF52">
        <v>1</v>
      </c>
      <c r="BL52">
        <v>1</v>
      </c>
      <c r="BP52">
        <v>1</v>
      </c>
      <c r="BU52">
        <v>1</v>
      </c>
      <c r="BV52">
        <v>1</v>
      </c>
      <c r="BW52">
        <v>1</v>
      </c>
      <c r="BY52">
        <v>1</v>
      </c>
      <c r="BZ52">
        <v>1</v>
      </c>
      <c r="CB52">
        <v>1</v>
      </c>
      <c r="CC52">
        <v>1</v>
      </c>
      <c r="CD52">
        <v>1</v>
      </c>
      <c r="CF52">
        <v>1</v>
      </c>
      <c r="CG52">
        <v>1</v>
      </c>
      <c r="CH52">
        <v>1</v>
      </c>
      <c r="EK52">
        <v>1</v>
      </c>
      <c r="IB52">
        <v>2</v>
      </c>
    </row>
    <row r="53" spans="1:259" x14ac:dyDescent="0.2">
      <c r="A53" t="str">
        <f t="shared" si="0"/>
        <v>Kettenstäbe</v>
      </c>
      <c r="B53">
        <f>ROW()</f>
        <v>53</v>
      </c>
    </row>
    <row r="54" spans="1:259" x14ac:dyDescent="0.2">
      <c r="A54" t="str">
        <f t="shared" si="0"/>
        <v>Kettenwaffen</v>
      </c>
      <c r="B54">
        <f>ROW()</f>
        <v>54</v>
      </c>
    </row>
    <row r="55" spans="1:259" x14ac:dyDescent="0.2">
      <c r="A55" t="str">
        <f t="shared" si="0"/>
        <v>Lanzenreiten</v>
      </c>
      <c r="B55">
        <f>ROW()</f>
        <v>55</v>
      </c>
      <c r="DE55">
        <v>1</v>
      </c>
    </row>
    <row r="56" spans="1:259" x14ac:dyDescent="0.2">
      <c r="A56" t="str">
        <f t="shared" si="0"/>
        <v>Peitsche</v>
      </c>
      <c r="B56">
        <f>ROW()</f>
        <v>56</v>
      </c>
    </row>
    <row r="57" spans="1:259" x14ac:dyDescent="0.2">
      <c r="A57" t="str">
        <f t="shared" si="0"/>
        <v>Raufen</v>
      </c>
      <c r="B57">
        <f>ROW()</f>
        <v>57</v>
      </c>
      <c r="AD57">
        <v>1</v>
      </c>
      <c r="AE57">
        <v>1</v>
      </c>
      <c r="AI57">
        <v>1</v>
      </c>
      <c r="AJ57">
        <v>1</v>
      </c>
      <c r="AL57">
        <v>1</v>
      </c>
      <c r="AO57">
        <v>1</v>
      </c>
      <c r="AP57">
        <v>1</v>
      </c>
      <c r="AQ57">
        <v>1</v>
      </c>
      <c r="AR57">
        <v>1</v>
      </c>
      <c r="AS57">
        <v>1</v>
      </c>
      <c r="AT57">
        <v>1</v>
      </c>
      <c r="AU57">
        <v>1</v>
      </c>
      <c r="AV57">
        <v>1</v>
      </c>
      <c r="AW57">
        <v>1</v>
      </c>
      <c r="AX57">
        <v>1</v>
      </c>
      <c r="AY57">
        <v>1</v>
      </c>
      <c r="AZ57">
        <v>1</v>
      </c>
      <c r="BA57">
        <v>1</v>
      </c>
      <c r="BB57">
        <v>1</v>
      </c>
      <c r="BC57">
        <v>1</v>
      </c>
      <c r="BD57">
        <v>1</v>
      </c>
      <c r="BE57">
        <v>1</v>
      </c>
      <c r="BF57">
        <v>1</v>
      </c>
      <c r="BG57">
        <v>1</v>
      </c>
      <c r="BH57">
        <v>1</v>
      </c>
      <c r="BI57">
        <v>1</v>
      </c>
      <c r="BJ57">
        <v>1</v>
      </c>
      <c r="BK57">
        <v>1</v>
      </c>
      <c r="BL57">
        <v>1</v>
      </c>
      <c r="BM57">
        <v>1</v>
      </c>
      <c r="BN57">
        <v>1</v>
      </c>
      <c r="BO57">
        <v>1</v>
      </c>
      <c r="BP57">
        <v>1</v>
      </c>
      <c r="BQ57">
        <v>1</v>
      </c>
      <c r="BR57">
        <v>1</v>
      </c>
      <c r="BS57">
        <v>1</v>
      </c>
      <c r="BT57">
        <v>1</v>
      </c>
      <c r="BU57">
        <v>1</v>
      </c>
      <c r="BV57">
        <v>1</v>
      </c>
      <c r="BW57">
        <v>1</v>
      </c>
      <c r="BX57">
        <v>1</v>
      </c>
      <c r="BY57">
        <v>1</v>
      </c>
      <c r="BZ57">
        <v>1</v>
      </c>
      <c r="CA57">
        <v>1</v>
      </c>
      <c r="CB57">
        <v>1</v>
      </c>
      <c r="CC57">
        <v>1</v>
      </c>
      <c r="CD57">
        <v>1</v>
      </c>
      <c r="CE57">
        <v>1</v>
      </c>
      <c r="CF57">
        <v>1</v>
      </c>
      <c r="CG57">
        <v>1</v>
      </c>
      <c r="CH57">
        <v>1</v>
      </c>
      <c r="CI57">
        <v>2</v>
      </c>
      <c r="CJ57">
        <v>1</v>
      </c>
      <c r="CK57">
        <v>2</v>
      </c>
      <c r="CL57">
        <v>2</v>
      </c>
      <c r="CM57">
        <v>2</v>
      </c>
      <c r="CN57">
        <v>1</v>
      </c>
      <c r="CO57">
        <v>1</v>
      </c>
      <c r="CP57">
        <v>1</v>
      </c>
      <c r="CQ57">
        <v>1</v>
      </c>
      <c r="CR57">
        <v>1</v>
      </c>
      <c r="CS57">
        <v>1</v>
      </c>
      <c r="CT57">
        <v>1</v>
      </c>
      <c r="CU57">
        <v>1</v>
      </c>
      <c r="CV57">
        <v>1</v>
      </c>
      <c r="CW57">
        <v>1</v>
      </c>
      <c r="CX57">
        <v>1</v>
      </c>
      <c r="CY57">
        <v>1</v>
      </c>
      <c r="CZ57">
        <v>1</v>
      </c>
      <c r="DA57">
        <v>1</v>
      </c>
      <c r="DB57">
        <v>1</v>
      </c>
      <c r="DC57">
        <v>1</v>
      </c>
      <c r="DD57">
        <v>1</v>
      </c>
      <c r="DE57">
        <v>1</v>
      </c>
      <c r="DF57">
        <v>1</v>
      </c>
      <c r="DG57">
        <v>2</v>
      </c>
      <c r="DH57">
        <v>2</v>
      </c>
      <c r="DI57">
        <v>2</v>
      </c>
      <c r="DJ57">
        <v>1</v>
      </c>
      <c r="DK57">
        <v>2</v>
      </c>
      <c r="DL57">
        <v>2</v>
      </c>
      <c r="DM57">
        <v>4</v>
      </c>
      <c r="DN57">
        <v>3</v>
      </c>
      <c r="DO57">
        <v>2</v>
      </c>
      <c r="DP57">
        <v>2</v>
      </c>
      <c r="DQ57">
        <v>2</v>
      </c>
      <c r="DR57">
        <v>2</v>
      </c>
      <c r="DS57">
        <v>2</v>
      </c>
      <c r="DT57">
        <v>1</v>
      </c>
      <c r="DU57">
        <v>2</v>
      </c>
      <c r="DV57">
        <v>2</v>
      </c>
      <c r="DW57">
        <v>2</v>
      </c>
      <c r="DX57">
        <v>2</v>
      </c>
      <c r="DY57">
        <v>2</v>
      </c>
      <c r="DZ57">
        <v>2</v>
      </c>
      <c r="EA57">
        <v>2</v>
      </c>
      <c r="EB57">
        <v>2</v>
      </c>
      <c r="EC57">
        <v>2</v>
      </c>
      <c r="ED57">
        <v>4</v>
      </c>
      <c r="EE57">
        <v>3</v>
      </c>
      <c r="EF57">
        <v>2</v>
      </c>
      <c r="EG57">
        <v>2</v>
      </c>
      <c r="EH57">
        <v>2</v>
      </c>
      <c r="EI57">
        <v>2</v>
      </c>
      <c r="EJ57">
        <v>1</v>
      </c>
      <c r="EK57">
        <v>1</v>
      </c>
      <c r="EL57">
        <v>1</v>
      </c>
      <c r="EM57">
        <v>1</v>
      </c>
      <c r="EN57">
        <v>1</v>
      </c>
      <c r="EO57">
        <v>1</v>
      </c>
      <c r="EP57">
        <v>1</v>
      </c>
      <c r="EQ57">
        <v>1</v>
      </c>
      <c r="ER57">
        <v>1</v>
      </c>
      <c r="ES57">
        <v>1</v>
      </c>
      <c r="ET57">
        <v>1</v>
      </c>
      <c r="EU57">
        <v>1</v>
      </c>
      <c r="EV57">
        <v>1</v>
      </c>
      <c r="EW57">
        <v>1</v>
      </c>
      <c r="EX57">
        <v>1</v>
      </c>
      <c r="EY57">
        <v>1</v>
      </c>
      <c r="EZ57">
        <v>2</v>
      </c>
      <c r="FA57">
        <v>2</v>
      </c>
      <c r="FB57">
        <v>2</v>
      </c>
      <c r="FC57">
        <v>4</v>
      </c>
      <c r="FD57">
        <v>6</v>
      </c>
      <c r="FE57">
        <v>1</v>
      </c>
      <c r="FF57">
        <v>2</v>
      </c>
      <c r="FG57">
        <v>3</v>
      </c>
      <c r="FK57">
        <v>1</v>
      </c>
      <c r="FL57">
        <v>1</v>
      </c>
      <c r="FM57">
        <v>1</v>
      </c>
      <c r="FN57">
        <v>1</v>
      </c>
      <c r="FO57">
        <v>1</v>
      </c>
      <c r="FP57">
        <v>1</v>
      </c>
      <c r="FQ57">
        <v>1</v>
      </c>
      <c r="FR57">
        <v>1</v>
      </c>
      <c r="FY57">
        <v>1</v>
      </c>
      <c r="GB57">
        <v>1</v>
      </c>
      <c r="GC57">
        <v>2</v>
      </c>
      <c r="GD57">
        <v>2</v>
      </c>
      <c r="GE57">
        <v>2</v>
      </c>
      <c r="GF57">
        <v>2</v>
      </c>
      <c r="GG57">
        <v>3</v>
      </c>
      <c r="GH57">
        <v>3</v>
      </c>
      <c r="GI57">
        <v>2</v>
      </c>
      <c r="GJ57">
        <v>2</v>
      </c>
      <c r="GK57">
        <v>2</v>
      </c>
      <c r="GL57">
        <v>3</v>
      </c>
      <c r="GM57">
        <v>3</v>
      </c>
      <c r="GN57">
        <v>2</v>
      </c>
      <c r="GO57">
        <v>2</v>
      </c>
      <c r="GP57">
        <v>2</v>
      </c>
      <c r="GQ57">
        <v>3</v>
      </c>
      <c r="GR57">
        <v>3</v>
      </c>
      <c r="GS57">
        <v>2</v>
      </c>
      <c r="GT57">
        <v>2</v>
      </c>
      <c r="GU57">
        <v>2</v>
      </c>
      <c r="GV57">
        <v>3</v>
      </c>
      <c r="GW57">
        <v>3</v>
      </c>
      <c r="GX57">
        <v>2</v>
      </c>
      <c r="GY57">
        <v>2</v>
      </c>
      <c r="GZ57">
        <v>2</v>
      </c>
      <c r="HA57">
        <v>3</v>
      </c>
      <c r="HB57">
        <v>3</v>
      </c>
      <c r="HC57">
        <v>2</v>
      </c>
      <c r="HD57">
        <v>2</v>
      </c>
      <c r="HE57">
        <v>2</v>
      </c>
      <c r="HF57">
        <v>3</v>
      </c>
      <c r="HG57">
        <v>3</v>
      </c>
      <c r="HH57">
        <v>3</v>
      </c>
      <c r="HI57">
        <v>3</v>
      </c>
      <c r="HJ57">
        <v>3</v>
      </c>
      <c r="HK57">
        <v>4</v>
      </c>
      <c r="HL57">
        <v>4</v>
      </c>
      <c r="HM57">
        <v>3</v>
      </c>
      <c r="HN57">
        <v>1</v>
      </c>
      <c r="HO57">
        <v>1</v>
      </c>
      <c r="HP57">
        <v>1</v>
      </c>
      <c r="HQ57">
        <v>2</v>
      </c>
      <c r="HR57">
        <v>2</v>
      </c>
      <c r="HS57">
        <v>2</v>
      </c>
      <c r="HT57">
        <v>2</v>
      </c>
      <c r="HU57">
        <v>2</v>
      </c>
      <c r="HV57">
        <v>2</v>
      </c>
      <c r="HW57">
        <v>2</v>
      </c>
      <c r="HX57">
        <v>2</v>
      </c>
      <c r="HY57">
        <v>2</v>
      </c>
      <c r="HZ57">
        <v>2</v>
      </c>
      <c r="IA57">
        <v>1</v>
      </c>
      <c r="ID57">
        <v>2</v>
      </c>
      <c r="IE57">
        <v>2</v>
      </c>
      <c r="IF57">
        <v>2</v>
      </c>
      <c r="IG57">
        <v>2</v>
      </c>
      <c r="IH57">
        <v>2</v>
      </c>
      <c r="II57">
        <v>2</v>
      </c>
      <c r="IL57">
        <v>2</v>
      </c>
      <c r="IM57">
        <v>2</v>
      </c>
      <c r="IN57">
        <v>2</v>
      </c>
      <c r="IO57">
        <v>2</v>
      </c>
      <c r="IP57">
        <v>3</v>
      </c>
      <c r="IQ57">
        <v>3</v>
      </c>
      <c r="IX57">
        <v>1</v>
      </c>
      <c r="IY57">
        <v>1</v>
      </c>
    </row>
    <row r="58" spans="1:259" x14ac:dyDescent="0.2">
      <c r="A58" t="str">
        <f t="shared" si="0"/>
        <v>Ringen</v>
      </c>
      <c r="B58">
        <f>ROW()</f>
        <v>58</v>
      </c>
      <c r="N58">
        <v>1</v>
      </c>
      <c r="O58">
        <v>1</v>
      </c>
      <c r="P58">
        <v>1</v>
      </c>
      <c r="Q58">
        <v>1</v>
      </c>
      <c r="AD58">
        <v>1</v>
      </c>
      <c r="AE58">
        <v>1</v>
      </c>
      <c r="AF58">
        <v>1</v>
      </c>
      <c r="AV58">
        <v>1</v>
      </c>
      <c r="AW58">
        <v>1</v>
      </c>
      <c r="AX58">
        <v>1</v>
      </c>
      <c r="AY58">
        <v>1</v>
      </c>
      <c r="AZ58">
        <v>1</v>
      </c>
      <c r="BA58">
        <v>1</v>
      </c>
      <c r="BB58">
        <v>1</v>
      </c>
      <c r="BC58">
        <v>1</v>
      </c>
      <c r="BD58">
        <v>1</v>
      </c>
      <c r="BE58">
        <v>1</v>
      </c>
      <c r="BF58">
        <v>1</v>
      </c>
      <c r="BG58">
        <v>1</v>
      </c>
      <c r="BH58">
        <v>1</v>
      </c>
      <c r="BI58">
        <v>1</v>
      </c>
      <c r="BJ58">
        <v>1</v>
      </c>
      <c r="BO58">
        <v>1</v>
      </c>
      <c r="BP58">
        <v>1</v>
      </c>
      <c r="BQ58">
        <v>1</v>
      </c>
      <c r="BR58">
        <v>1</v>
      </c>
      <c r="BS58">
        <v>1</v>
      </c>
      <c r="BT58">
        <v>1</v>
      </c>
      <c r="CI58">
        <v>1</v>
      </c>
      <c r="CK58">
        <v>2</v>
      </c>
      <c r="CL58">
        <v>2</v>
      </c>
      <c r="CM58">
        <v>2</v>
      </c>
      <c r="CN58">
        <v>1</v>
      </c>
      <c r="CO58">
        <v>1</v>
      </c>
      <c r="CP58">
        <v>1</v>
      </c>
      <c r="CQ58">
        <v>1</v>
      </c>
      <c r="CR58">
        <v>1</v>
      </c>
      <c r="CS58">
        <v>1</v>
      </c>
      <c r="CT58">
        <v>1</v>
      </c>
      <c r="CU58">
        <v>1</v>
      </c>
      <c r="CV58">
        <v>1</v>
      </c>
      <c r="CW58">
        <v>1</v>
      </c>
      <c r="CX58">
        <v>1</v>
      </c>
      <c r="CY58">
        <v>1</v>
      </c>
      <c r="CZ58">
        <v>1</v>
      </c>
      <c r="DA58">
        <v>3</v>
      </c>
      <c r="DB58">
        <v>2</v>
      </c>
      <c r="DC58">
        <v>2</v>
      </c>
      <c r="DD58">
        <v>4</v>
      </c>
      <c r="DE58">
        <v>1</v>
      </c>
      <c r="DF58">
        <v>1</v>
      </c>
      <c r="DI58">
        <v>2</v>
      </c>
      <c r="DJ58">
        <v>1</v>
      </c>
      <c r="DS58">
        <v>3</v>
      </c>
      <c r="DT58">
        <v>2</v>
      </c>
      <c r="DU58">
        <v>2</v>
      </c>
      <c r="DV58">
        <v>2</v>
      </c>
      <c r="DW58">
        <v>2</v>
      </c>
      <c r="DX58">
        <v>2</v>
      </c>
      <c r="DY58">
        <v>2</v>
      </c>
      <c r="DZ58">
        <v>2</v>
      </c>
      <c r="EA58">
        <v>2</v>
      </c>
      <c r="EB58">
        <v>1</v>
      </c>
      <c r="EC58">
        <v>2</v>
      </c>
      <c r="ED58">
        <v>4</v>
      </c>
      <c r="EE58">
        <v>3</v>
      </c>
      <c r="EJ58">
        <v>2</v>
      </c>
      <c r="EL58">
        <v>1</v>
      </c>
      <c r="EM58">
        <v>1</v>
      </c>
      <c r="EN58">
        <v>1</v>
      </c>
      <c r="EO58">
        <v>1</v>
      </c>
      <c r="EP58">
        <v>1</v>
      </c>
      <c r="EQ58">
        <v>1</v>
      </c>
      <c r="ER58">
        <v>1</v>
      </c>
      <c r="ES58">
        <v>1</v>
      </c>
      <c r="ET58">
        <v>1</v>
      </c>
      <c r="EU58">
        <v>1</v>
      </c>
      <c r="EV58">
        <v>1</v>
      </c>
      <c r="EW58">
        <v>1</v>
      </c>
      <c r="EX58">
        <v>1</v>
      </c>
      <c r="EY58">
        <v>1</v>
      </c>
      <c r="EZ58">
        <v>2</v>
      </c>
      <c r="FA58">
        <v>2</v>
      </c>
      <c r="FB58">
        <v>2</v>
      </c>
      <c r="FC58">
        <v>2</v>
      </c>
      <c r="FD58">
        <v>5</v>
      </c>
      <c r="FE58">
        <v>1</v>
      </c>
      <c r="FF58">
        <v>1</v>
      </c>
      <c r="FG58">
        <v>2</v>
      </c>
      <c r="FY58">
        <v>2</v>
      </c>
      <c r="GA58">
        <v>2</v>
      </c>
      <c r="GB58">
        <v>1</v>
      </c>
      <c r="GC58">
        <v>2</v>
      </c>
      <c r="GD58">
        <v>2</v>
      </c>
      <c r="GE58">
        <v>2</v>
      </c>
      <c r="GF58">
        <v>2</v>
      </c>
      <c r="GG58">
        <v>2</v>
      </c>
      <c r="GH58">
        <v>2</v>
      </c>
      <c r="GI58">
        <v>2</v>
      </c>
      <c r="GJ58">
        <v>2</v>
      </c>
      <c r="GK58">
        <v>2</v>
      </c>
      <c r="GL58">
        <v>2</v>
      </c>
      <c r="GM58">
        <v>2</v>
      </c>
      <c r="GN58">
        <v>3</v>
      </c>
      <c r="GO58">
        <v>3</v>
      </c>
      <c r="GP58">
        <v>3</v>
      </c>
      <c r="GQ58">
        <v>3</v>
      </c>
      <c r="GR58">
        <v>3</v>
      </c>
      <c r="GS58">
        <v>2</v>
      </c>
      <c r="GT58">
        <v>2</v>
      </c>
      <c r="GU58">
        <v>2</v>
      </c>
      <c r="GV58">
        <v>2</v>
      </c>
      <c r="GW58">
        <v>2</v>
      </c>
      <c r="GX58">
        <v>2</v>
      </c>
      <c r="GY58">
        <v>2</v>
      </c>
      <c r="GZ58">
        <v>2</v>
      </c>
      <c r="HA58">
        <v>2</v>
      </c>
      <c r="HB58">
        <v>2</v>
      </c>
      <c r="HC58">
        <v>2</v>
      </c>
      <c r="HD58">
        <v>2</v>
      </c>
      <c r="HE58">
        <v>2</v>
      </c>
      <c r="HF58">
        <v>2</v>
      </c>
      <c r="HG58">
        <v>2</v>
      </c>
      <c r="HH58">
        <v>3</v>
      </c>
      <c r="HI58">
        <v>3</v>
      </c>
      <c r="HJ58">
        <v>3</v>
      </c>
      <c r="HK58">
        <v>3</v>
      </c>
      <c r="HL58">
        <v>3</v>
      </c>
      <c r="HM58">
        <v>2</v>
      </c>
      <c r="HN58">
        <v>1</v>
      </c>
      <c r="HO58">
        <v>1</v>
      </c>
      <c r="HP58">
        <v>1</v>
      </c>
      <c r="HQ58">
        <v>1</v>
      </c>
      <c r="HR58">
        <v>1</v>
      </c>
      <c r="HS58">
        <v>1</v>
      </c>
      <c r="HT58">
        <v>1</v>
      </c>
      <c r="HU58">
        <v>1</v>
      </c>
      <c r="HV58">
        <v>1</v>
      </c>
      <c r="HW58">
        <v>1</v>
      </c>
      <c r="HX58">
        <v>1</v>
      </c>
      <c r="HY58">
        <v>1</v>
      </c>
      <c r="HZ58">
        <v>1</v>
      </c>
      <c r="IA58">
        <v>1</v>
      </c>
      <c r="IC58">
        <v>1</v>
      </c>
      <c r="ID58">
        <v>1</v>
      </c>
      <c r="IE58">
        <v>1</v>
      </c>
      <c r="IF58">
        <v>1</v>
      </c>
      <c r="IG58">
        <v>1</v>
      </c>
      <c r="IH58">
        <v>1</v>
      </c>
      <c r="II58">
        <v>1</v>
      </c>
      <c r="IL58">
        <v>2</v>
      </c>
      <c r="IM58">
        <v>2</v>
      </c>
      <c r="IN58">
        <v>2</v>
      </c>
      <c r="IO58">
        <v>2</v>
      </c>
      <c r="IP58">
        <v>2</v>
      </c>
      <c r="IQ58">
        <v>2</v>
      </c>
      <c r="IT58">
        <v>1</v>
      </c>
      <c r="IX58">
        <v>1</v>
      </c>
      <c r="IY58">
        <v>1</v>
      </c>
    </row>
    <row r="59" spans="1:259" x14ac:dyDescent="0.2">
      <c r="A59" t="str">
        <f t="shared" si="0"/>
        <v>Säbel</v>
      </c>
      <c r="B59">
        <f>ROW()</f>
        <v>59</v>
      </c>
      <c r="BU59">
        <v>1</v>
      </c>
      <c r="BV59">
        <v>1</v>
      </c>
      <c r="BW59">
        <v>1</v>
      </c>
      <c r="BX59">
        <v>1</v>
      </c>
      <c r="BY59">
        <v>1</v>
      </c>
      <c r="BZ59">
        <v>1</v>
      </c>
      <c r="CA59">
        <v>1</v>
      </c>
      <c r="CN59">
        <v>1</v>
      </c>
      <c r="CO59">
        <v>1</v>
      </c>
      <c r="CP59">
        <v>1</v>
      </c>
      <c r="CQ59">
        <v>1</v>
      </c>
      <c r="CR59">
        <v>1</v>
      </c>
      <c r="CS59">
        <v>1</v>
      </c>
      <c r="CT59">
        <v>2</v>
      </c>
      <c r="CU59">
        <v>2</v>
      </c>
      <c r="DB59">
        <v>1</v>
      </c>
      <c r="DC59">
        <v>1</v>
      </c>
      <c r="DD59">
        <v>1</v>
      </c>
      <c r="DE59">
        <v>1</v>
      </c>
      <c r="DF59">
        <v>1</v>
      </c>
      <c r="EJ59">
        <v>1</v>
      </c>
      <c r="EL59">
        <v>1</v>
      </c>
      <c r="EM59">
        <v>1</v>
      </c>
      <c r="EN59">
        <v>1</v>
      </c>
      <c r="EO59">
        <v>1</v>
      </c>
      <c r="EP59">
        <v>1</v>
      </c>
      <c r="EQ59">
        <v>1</v>
      </c>
      <c r="ER59">
        <v>1</v>
      </c>
      <c r="ES59">
        <v>1</v>
      </c>
      <c r="ET59">
        <v>1</v>
      </c>
      <c r="EU59">
        <v>1</v>
      </c>
      <c r="EV59">
        <v>1</v>
      </c>
      <c r="EW59">
        <v>1</v>
      </c>
      <c r="EX59">
        <v>2</v>
      </c>
      <c r="EY59">
        <v>1</v>
      </c>
    </row>
    <row r="60" spans="1:259" x14ac:dyDescent="0.2">
      <c r="A60" t="str">
        <f t="shared" si="0"/>
        <v>Schleuder</v>
      </c>
      <c r="B60">
        <f>ROW()</f>
        <v>60</v>
      </c>
      <c r="CK60">
        <v>1</v>
      </c>
      <c r="FG60">
        <v>2</v>
      </c>
      <c r="GA60">
        <v>1</v>
      </c>
    </row>
    <row r="61" spans="1:259" x14ac:dyDescent="0.2">
      <c r="A61" t="str">
        <f t="shared" si="0"/>
        <v>Schwerter</v>
      </c>
      <c r="B61">
        <f>ROW()</f>
        <v>61</v>
      </c>
      <c r="BB61">
        <v>1</v>
      </c>
      <c r="CA61">
        <v>1</v>
      </c>
      <c r="CJ61">
        <v>1</v>
      </c>
      <c r="DR61">
        <v>1</v>
      </c>
    </row>
    <row r="62" spans="1:259" x14ac:dyDescent="0.2">
      <c r="A62" t="str">
        <f t="shared" si="0"/>
        <v>Speere</v>
      </c>
      <c r="B62">
        <f>ROW()</f>
        <v>62</v>
      </c>
      <c r="BE62">
        <v>1</v>
      </c>
      <c r="BH62">
        <v>1</v>
      </c>
      <c r="BI62">
        <v>1</v>
      </c>
      <c r="BJ62">
        <v>1</v>
      </c>
      <c r="BO62">
        <v>1</v>
      </c>
      <c r="BR62">
        <v>1</v>
      </c>
      <c r="BS62">
        <v>1</v>
      </c>
      <c r="BT62">
        <v>1</v>
      </c>
      <c r="CI62">
        <v>1</v>
      </c>
      <c r="DE62">
        <v>1</v>
      </c>
      <c r="DF62">
        <v>1</v>
      </c>
      <c r="DS62">
        <v>2</v>
      </c>
      <c r="DU62">
        <v>2</v>
      </c>
      <c r="DV62">
        <v>2</v>
      </c>
      <c r="DW62">
        <v>2</v>
      </c>
      <c r="DX62">
        <v>2</v>
      </c>
      <c r="DY62">
        <v>2</v>
      </c>
      <c r="DZ62">
        <v>2</v>
      </c>
      <c r="EA62">
        <v>2</v>
      </c>
      <c r="EB62">
        <v>2</v>
      </c>
      <c r="EC62">
        <v>3</v>
      </c>
      <c r="ED62">
        <v>3</v>
      </c>
      <c r="EE62">
        <v>2</v>
      </c>
      <c r="FA62">
        <v>2</v>
      </c>
      <c r="FB62">
        <v>2</v>
      </c>
      <c r="FC62">
        <v>3</v>
      </c>
      <c r="FD62">
        <v>4</v>
      </c>
      <c r="FS62">
        <v>2</v>
      </c>
      <c r="FT62">
        <v>2</v>
      </c>
      <c r="ID62">
        <v>3</v>
      </c>
      <c r="IE62">
        <v>3</v>
      </c>
      <c r="IF62">
        <v>3</v>
      </c>
      <c r="IG62">
        <v>3</v>
      </c>
      <c r="IH62">
        <v>3</v>
      </c>
      <c r="II62">
        <v>3</v>
      </c>
    </row>
    <row r="63" spans="1:259" x14ac:dyDescent="0.2">
      <c r="A63" t="str">
        <f t="shared" si="0"/>
        <v>Stäbe</v>
      </c>
      <c r="B63">
        <f>ROW()</f>
        <v>63</v>
      </c>
      <c r="CM63">
        <v>2</v>
      </c>
    </row>
    <row r="64" spans="1:259" x14ac:dyDescent="0.2">
      <c r="A64" t="str">
        <f t="shared" si="0"/>
        <v>Wurfbeile</v>
      </c>
      <c r="B64">
        <f>ROW()</f>
        <v>64</v>
      </c>
      <c r="DK64">
        <v>2</v>
      </c>
      <c r="DL64">
        <v>2</v>
      </c>
      <c r="DM64">
        <v>3</v>
      </c>
      <c r="DN64">
        <v>2</v>
      </c>
      <c r="DO64">
        <v>2</v>
      </c>
      <c r="DP64">
        <v>2</v>
      </c>
      <c r="DQ64">
        <v>2</v>
      </c>
      <c r="DR64">
        <v>2</v>
      </c>
      <c r="FA64">
        <v>1</v>
      </c>
      <c r="FB64">
        <v>1</v>
      </c>
      <c r="FF64">
        <v>2</v>
      </c>
      <c r="FG64">
        <v>1</v>
      </c>
    </row>
    <row r="65" spans="1:259" x14ac:dyDescent="0.2">
      <c r="A65" t="str">
        <f t="shared" si="0"/>
        <v>Wurfmesser</v>
      </c>
      <c r="B65">
        <f>ROW()</f>
        <v>65</v>
      </c>
      <c r="BK65">
        <v>1</v>
      </c>
      <c r="BL65">
        <v>1</v>
      </c>
      <c r="BM65">
        <v>1</v>
      </c>
      <c r="BN65">
        <v>1</v>
      </c>
      <c r="DJ65">
        <v>1</v>
      </c>
    </row>
    <row r="66" spans="1:259" x14ac:dyDescent="0.2">
      <c r="A66" t="str">
        <f t="shared" si="0"/>
        <v>Wurfspeere</v>
      </c>
      <c r="B66">
        <f>ROW()</f>
        <v>66</v>
      </c>
      <c r="BE66">
        <v>1</v>
      </c>
      <c r="BG66">
        <v>1</v>
      </c>
      <c r="BH66">
        <v>1</v>
      </c>
      <c r="BI66">
        <v>1</v>
      </c>
      <c r="BJ66">
        <v>1</v>
      </c>
      <c r="DE66">
        <v>1</v>
      </c>
      <c r="DM66">
        <v>1</v>
      </c>
      <c r="DP66">
        <v>1</v>
      </c>
      <c r="DT66">
        <v>1</v>
      </c>
      <c r="DY66">
        <v>1</v>
      </c>
      <c r="EE66">
        <v>2</v>
      </c>
      <c r="EH66">
        <v>1</v>
      </c>
      <c r="HM66">
        <v>1</v>
      </c>
      <c r="IA66">
        <v>1</v>
      </c>
      <c r="IF66">
        <v>2</v>
      </c>
    </row>
    <row r="67" spans="1:259" x14ac:dyDescent="0.2">
      <c r="A67" t="str">
        <f t="shared" si="0"/>
        <v>Zweihandflegel</v>
      </c>
      <c r="B67">
        <f>ROW()</f>
        <v>67</v>
      </c>
    </row>
    <row r="68" spans="1:259" x14ac:dyDescent="0.2">
      <c r="A68" t="str">
        <f t="shared" si="0"/>
        <v>Zweihand-Hiebwaffen</v>
      </c>
      <c r="B68">
        <f>ROW()</f>
        <v>68</v>
      </c>
      <c r="DL68">
        <v>1</v>
      </c>
      <c r="DN68">
        <v>1</v>
      </c>
      <c r="DS68">
        <v>1</v>
      </c>
      <c r="DT68">
        <v>2</v>
      </c>
      <c r="FY68">
        <v>1</v>
      </c>
      <c r="FZ68">
        <v>1</v>
      </c>
    </row>
    <row r="69" spans="1:259" x14ac:dyDescent="0.2">
      <c r="A69" t="str">
        <f t="shared" si="0"/>
        <v>Zweihandschwerter/-säbel</v>
      </c>
      <c r="B69">
        <f>ROW()</f>
        <v>69</v>
      </c>
    </row>
    <row r="70" spans="1:259" ht="12.75" customHeight="1" x14ac:dyDescent="0.2">
      <c r="A70" t="str">
        <f>INDEX(TL_KRP,ROW()-69)</f>
        <v>Akrobatik</v>
      </c>
      <c r="B70">
        <f>ROW()</f>
        <v>70</v>
      </c>
      <c r="C70" t="s">
        <v>3311</v>
      </c>
      <c r="N70">
        <v>-3</v>
      </c>
      <c r="O70">
        <v>-3</v>
      </c>
      <c r="P70">
        <v>-3</v>
      </c>
      <c r="Q70">
        <v>-3</v>
      </c>
      <c r="AN70" t="s">
        <v>3311</v>
      </c>
    </row>
    <row r="71" spans="1:259" x14ac:dyDescent="0.2">
      <c r="A71" t="str">
        <f t="shared" ref="A71:A87" si="1">INDEX(TL_KRP,ROW()-69)</f>
        <v>Athletik</v>
      </c>
      <c r="B71">
        <f>ROW()</f>
        <v>71</v>
      </c>
      <c r="F71">
        <v>1</v>
      </c>
      <c r="I71">
        <v>1</v>
      </c>
      <c r="J71">
        <v>2</v>
      </c>
      <c r="T71">
        <v>1</v>
      </c>
      <c r="U71">
        <v>1</v>
      </c>
      <c r="AD71">
        <v>1</v>
      </c>
      <c r="AE71">
        <v>1</v>
      </c>
      <c r="AF71">
        <v>1</v>
      </c>
      <c r="AV71">
        <v>1</v>
      </c>
      <c r="AW71">
        <v>1</v>
      </c>
      <c r="AX71">
        <v>1</v>
      </c>
      <c r="AY71">
        <v>1</v>
      </c>
      <c r="AZ71">
        <v>2</v>
      </c>
      <c r="BA71">
        <v>2</v>
      </c>
      <c r="BB71">
        <v>1</v>
      </c>
      <c r="BC71">
        <v>1</v>
      </c>
      <c r="BD71">
        <v>1</v>
      </c>
      <c r="BE71">
        <v>1</v>
      </c>
      <c r="BF71">
        <v>1</v>
      </c>
      <c r="BG71">
        <v>1</v>
      </c>
      <c r="BH71">
        <v>2</v>
      </c>
      <c r="BI71">
        <v>1</v>
      </c>
      <c r="BJ71">
        <v>1</v>
      </c>
      <c r="BO71">
        <v>1</v>
      </c>
      <c r="BP71">
        <v>1</v>
      </c>
      <c r="BQ71">
        <v>1</v>
      </c>
      <c r="BR71">
        <v>1</v>
      </c>
      <c r="BS71">
        <v>2</v>
      </c>
      <c r="BT71">
        <v>1</v>
      </c>
      <c r="BZ71">
        <v>1</v>
      </c>
      <c r="CH71">
        <v>1</v>
      </c>
      <c r="CI71">
        <v>1</v>
      </c>
      <c r="CK71">
        <v>1</v>
      </c>
      <c r="CL71">
        <v>1</v>
      </c>
      <c r="CM71">
        <v>2</v>
      </c>
      <c r="CZ71">
        <v>1</v>
      </c>
      <c r="DE71">
        <v>1</v>
      </c>
      <c r="DF71">
        <v>1</v>
      </c>
      <c r="DG71">
        <v>1</v>
      </c>
      <c r="DI71">
        <v>1</v>
      </c>
      <c r="DK71">
        <v>1</v>
      </c>
      <c r="DL71">
        <v>2</v>
      </c>
      <c r="DM71">
        <v>1</v>
      </c>
      <c r="DN71">
        <v>2</v>
      </c>
      <c r="DO71">
        <v>1</v>
      </c>
      <c r="DP71">
        <v>1</v>
      </c>
      <c r="DQ71">
        <v>1</v>
      </c>
      <c r="DR71">
        <v>1</v>
      </c>
      <c r="DS71">
        <v>2</v>
      </c>
      <c r="DT71">
        <v>1</v>
      </c>
      <c r="EG71">
        <v>1</v>
      </c>
      <c r="FA71">
        <v>1</v>
      </c>
      <c r="FB71">
        <v>1</v>
      </c>
      <c r="FC71">
        <v>3</v>
      </c>
      <c r="FD71">
        <v>4</v>
      </c>
      <c r="FG71">
        <v>1</v>
      </c>
      <c r="FH71" t="s">
        <v>1722</v>
      </c>
      <c r="FI71" t="s">
        <v>1722</v>
      </c>
      <c r="FJ71" t="s">
        <v>1722</v>
      </c>
      <c r="FK71" t="s">
        <v>1722</v>
      </c>
      <c r="FL71" t="s">
        <v>1722</v>
      </c>
      <c r="FM71" t="s">
        <v>1722</v>
      </c>
      <c r="FN71" t="s">
        <v>1722</v>
      </c>
      <c r="FO71" t="s">
        <v>1722</v>
      </c>
      <c r="FP71" t="s">
        <v>1722</v>
      </c>
      <c r="FQ71" t="s">
        <v>1722</v>
      </c>
      <c r="FR71" t="s">
        <v>1722</v>
      </c>
      <c r="FS71" t="s">
        <v>1722</v>
      </c>
      <c r="FT71" t="s">
        <v>2334</v>
      </c>
      <c r="FU71" t="s">
        <v>666</v>
      </c>
      <c r="FV71" t="s">
        <v>666</v>
      </c>
      <c r="FW71" t="s">
        <v>666</v>
      </c>
      <c r="FX71" t="s">
        <v>666</v>
      </c>
      <c r="FY71">
        <v>1</v>
      </c>
      <c r="FZ71">
        <v>1</v>
      </c>
      <c r="GB71">
        <v>1</v>
      </c>
      <c r="GC71">
        <v>1</v>
      </c>
      <c r="HM71">
        <v>1</v>
      </c>
      <c r="HS71">
        <v>2</v>
      </c>
      <c r="HT71">
        <v>1</v>
      </c>
      <c r="HU71">
        <v>2</v>
      </c>
      <c r="HV71">
        <v>1</v>
      </c>
      <c r="HW71">
        <v>2</v>
      </c>
      <c r="HX71">
        <v>1</v>
      </c>
      <c r="HY71">
        <v>2</v>
      </c>
      <c r="HZ71">
        <v>1</v>
      </c>
      <c r="IA71">
        <v>1</v>
      </c>
    </row>
    <row r="72" spans="1:259" x14ac:dyDescent="0.2">
      <c r="A72" t="str">
        <f t="shared" si="1"/>
        <v>Fliegen</v>
      </c>
      <c r="B72">
        <f>ROW()</f>
        <v>72</v>
      </c>
    </row>
    <row r="73" spans="1:259" x14ac:dyDescent="0.2">
      <c r="A73" t="str">
        <f t="shared" si="1"/>
        <v>Gaukeleien</v>
      </c>
      <c r="B73">
        <f>ROW()</f>
        <v>73</v>
      </c>
    </row>
    <row r="74" spans="1:259" x14ac:dyDescent="0.2">
      <c r="A74" t="str">
        <f t="shared" si="1"/>
        <v>Klettern</v>
      </c>
      <c r="B74">
        <f>ROW()</f>
        <v>74</v>
      </c>
      <c r="I74">
        <v>1</v>
      </c>
      <c r="J74">
        <v>1</v>
      </c>
      <c r="K74">
        <v>1</v>
      </c>
      <c r="M74">
        <v>1</v>
      </c>
      <c r="AG74">
        <v>2</v>
      </c>
      <c r="AH74">
        <v>2</v>
      </c>
      <c r="AZ74">
        <v>1</v>
      </c>
      <c r="BH74">
        <v>1</v>
      </c>
      <c r="BZ74">
        <v>1</v>
      </c>
      <c r="CH74">
        <v>1</v>
      </c>
      <c r="CK74">
        <v>1</v>
      </c>
      <c r="CL74">
        <v>1</v>
      </c>
      <c r="DF74">
        <v>2</v>
      </c>
      <c r="DI74">
        <v>2</v>
      </c>
      <c r="DL74">
        <v>1</v>
      </c>
      <c r="DN74">
        <v>1</v>
      </c>
      <c r="DS74">
        <v>1</v>
      </c>
      <c r="DT74">
        <v>2</v>
      </c>
      <c r="DU74">
        <v>2</v>
      </c>
      <c r="DV74">
        <v>2</v>
      </c>
      <c r="DW74">
        <v>4</v>
      </c>
      <c r="DY74">
        <v>3</v>
      </c>
      <c r="DZ74">
        <v>1</v>
      </c>
      <c r="EA74">
        <v>1</v>
      </c>
      <c r="EB74">
        <v>2</v>
      </c>
      <c r="EC74">
        <v>2</v>
      </c>
      <c r="ED74">
        <v>1</v>
      </c>
      <c r="EG74">
        <v>1</v>
      </c>
      <c r="FA74">
        <v>1</v>
      </c>
      <c r="FB74">
        <v>1</v>
      </c>
      <c r="FC74">
        <v>3</v>
      </c>
      <c r="FD74">
        <v>4</v>
      </c>
      <c r="FG74">
        <v>2</v>
      </c>
      <c r="FH74">
        <v>1</v>
      </c>
      <c r="FI74">
        <v>1</v>
      </c>
      <c r="FJ74">
        <v>1</v>
      </c>
      <c r="FK74">
        <v>1</v>
      </c>
      <c r="FL74">
        <v>1</v>
      </c>
      <c r="FM74">
        <v>1</v>
      </c>
      <c r="FN74">
        <v>1</v>
      </c>
      <c r="FO74">
        <v>1</v>
      </c>
      <c r="FP74">
        <v>2</v>
      </c>
      <c r="FQ74">
        <v>1</v>
      </c>
      <c r="FR74">
        <v>1</v>
      </c>
      <c r="FT74" t="s">
        <v>1720</v>
      </c>
      <c r="FU74" t="s">
        <v>1721</v>
      </c>
      <c r="FV74" t="s">
        <v>666</v>
      </c>
      <c r="FW74" t="s">
        <v>666</v>
      </c>
      <c r="FX74" t="s">
        <v>1721</v>
      </c>
      <c r="FY74">
        <v>1</v>
      </c>
      <c r="FZ74">
        <v>1</v>
      </c>
      <c r="GC74">
        <v>2</v>
      </c>
      <c r="GN74">
        <v>2</v>
      </c>
      <c r="GO74">
        <v>2</v>
      </c>
      <c r="GP74">
        <v>2</v>
      </c>
      <c r="GQ74">
        <v>2</v>
      </c>
      <c r="GR74">
        <v>2</v>
      </c>
      <c r="GX74">
        <v>1</v>
      </c>
      <c r="GY74">
        <v>1</v>
      </c>
      <c r="GZ74">
        <v>1</v>
      </c>
      <c r="HA74">
        <v>1</v>
      </c>
      <c r="HB74">
        <v>1</v>
      </c>
      <c r="HS74">
        <v>1</v>
      </c>
      <c r="HT74">
        <v>1</v>
      </c>
      <c r="HU74">
        <v>1</v>
      </c>
      <c r="HV74">
        <v>1</v>
      </c>
      <c r="HW74">
        <v>4</v>
      </c>
      <c r="HX74">
        <v>4</v>
      </c>
      <c r="HY74">
        <v>3</v>
      </c>
      <c r="HZ74">
        <v>3</v>
      </c>
      <c r="IA74">
        <v>1</v>
      </c>
      <c r="IB74">
        <v>1</v>
      </c>
      <c r="IT74">
        <v>2</v>
      </c>
      <c r="IV74">
        <v>1</v>
      </c>
    </row>
    <row r="75" spans="1:259" x14ac:dyDescent="0.2">
      <c r="A75" t="str">
        <f t="shared" si="1"/>
        <v>Körperbeherrschung</v>
      </c>
      <c r="B75">
        <f>ROW()</f>
        <v>75</v>
      </c>
      <c r="K75">
        <v>2</v>
      </c>
      <c r="L75">
        <v>3</v>
      </c>
      <c r="M75">
        <v>2</v>
      </c>
      <c r="R75">
        <v>3</v>
      </c>
      <c r="S75">
        <v>4</v>
      </c>
      <c r="T75">
        <v>3</v>
      </c>
      <c r="U75">
        <v>3</v>
      </c>
      <c r="V75">
        <v>2</v>
      </c>
      <c r="W75">
        <v>2</v>
      </c>
      <c r="X75">
        <v>2</v>
      </c>
      <c r="Y75">
        <v>2</v>
      </c>
      <c r="Z75">
        <v>2</v>
      </c>
      <c r="AA75">
        <v>2</v>
      </c>
      <c r="AB75">
        <v>2</v>
      </c>
      <c r="AC75">
        <v>2</v>
      </c>
      <c r="AD75">
        <v>1</v>
      </c>
      <c r="AE75">
        <v>1</v>
      </c>
      <c r="AG75">
        <v>1</v>
      </c>
      <c r="AH75">
        <v>1</v>
      </c>
      <c r="AI75">
        <v>1</v>
      </c>
      <c r="AJ75">
        <v>1</v>
      </c>
      <c r="AK75">
        <v>1</v>
      </c>
      <c r="AL75">
        <v>1</v>
      </c>
      <c r="BO75">
        <v>1</v>
      </c>
      <c r="BR75">
        <v>1</v>
      </c>
      <c r="BS75">
        <v>1</v>
      </c>
      <c r="BT75">
        <v>1</v>
      </c>
      <c r="CK75">
        <v>2</v>
      </c>
      <c r="CL75">
        <v>2</v>
      </c>
      <c r="CM75">
        <v>3</v>
      </c>
      <c r="CN75">
        <v>1</v>
      </c>
      <c r="CO75">
        <v>1</v>
      </c>
      <c r="CP75">
        <v>1</v>
      </c>
      <c r="CQ75">
        <v>1</v>
      </c>
      <c r="CR75">
        <v>1</v>
      </c>
      <c r="CS75">
        <v>1</v>
      </c>
      <c r="CT75">
        <v>1</v>
      </c>
      <c r="CU75">
        <v>1</v>
      </c>
      <c r="CZ75">
        <v>1</v>
      </c>
      <c r="DE75">
        <v>1</v>
      </c>
      <c r="DF75">
        <v>1</v>
      </c>
      <c r="DG75">
        <v>1</v>
      </c>
      <c r="DI75">
        <v>2</v>
      </c>
      <c r="DJ75">
        <v>2</v>
      </c>
      <c r="DK75">
        <v>1</v>
      </c>
      <c r="DL75">
        <v>1</v>
      </c>
      <c r="DM75">
        <v>1</v>
      </c>
      <c r="DN75">
        <v>1</v>
      </c>
      <c r="DO75">
        <v>1</v>
      </c>
      <c r="DP75">
        <v>1</v>
      </c>
      <c r="DQ75">
        <v>1</v>
      </c>
      <c r="DR75">
        <v>1</v>
      </c>
      <c r="DS75">
        <v>1</v>
      </c>
      <c r="DT75">
        <v>2</v>
      </c>
      <c r="DU75">
        <v>2</v>
      </c>
      <c r="DV75">
        <v>2</v>
      </c>
      <c r="DW75">
        <v>2</v>
      </c>
      <c r="DX75">
        <v>2</v>
      </c>
      <c r="DY75">
        <v>2</v>
      </c>
      <c r="DZ75">
        <v>3</v>
      </c>
      <c r="EA75">
        <v>3</v>
      </c>
      <c r="EB75">
        <v>2</v>
      </c>
      <c r="EC75">
        <v>2</v>
      </c>
      <c r="ED75">
        <v>2</v>
      </c>
      <c r="EE75">
        <v>3</v>
      </c>
      <c r="EG75">
        <v>1</v>
      </c>
      <c r="EZ75">
        <v>1</v>
      </c>
      <c r="FA75">
        <v>1</v>
      </c>
      <c r="FB75">
        <v>1</v>
      </c>
      <c r="FC75">
        <v>3</v>
      </c>
      <c r="FD75">
        <v>4</v>
      </c>
      <c r="FE75">
        <v>1</v>
      </c>
      <c r="FF75">
        <v>1</v>
      </c>
      <c r="FG75">
        <v>1</v>
      </c>
      <c r="FH75" t="s">
        <v>666</v>
      </c>
      <c r="FI75" t="s">
        <v>666</v>
      </c>
      <c r="FJ75" t="s">
        <v>666</v>
      </c>
      <c r="FK75" t="s">
        <v>1722</v>
      </c>
      <c r="FL75" t="s">
        <v>1722</v>
      </c>
      <c r="FM75" t="s">
        <v>1722</v>
      </c>
      <c r="FN75" t="s">
        <v>1722</v>
      </c>
      <c r="FO75" t="s">
        <v>1722</v>
      </c>
      <c r="FP75" t="s">
        <v>1722</v>
      </c>
      <c r="FQ75" t="s">
        <v>1722</v>
      </c>
      <c r="FR75" t="s">
        <v>1722</v>
      </c>
      <c r="FS75" t="s">
        <v>666</v>
      </c>
      <c r="FT75" t="s">
        <v>666</v>
      </c>
      <c r="FU75" t="s">
        <v>666</v>
      </c>
      <c r="FV75" t="s">
        <v>666</v>
      </c>
      <c r="FW75" t="s">
        <v>666</v>
      </c>
      <c r="FX75" t="s">
        <v>666</v>
      </c>
      <c r="GB75">
        <v>1</v>
      </c>
      <c r="GD75">
        <v>2</v>
      </c>
      <c r="GE75">
        <v>2</v>
      </c>
      <c r="GF75">
        <v>2</v>
      </c>
      <c r="GG75">
        <v>2</v>
      </c>
      <c r="GH75">
        <v>2</v>
      </c>
      <c r="GI75">
        <v>2</v>
      </c>
      <c r="GJ75">
        <v>2</v>
      </c>
      <c r="GK75">
        <v>2</v>
      </c>
      <c r="GL75">
        <v>2</v>
      </c>
      <c r="GM75">
        <v>2</v>
      </c>
      <c r="GN75">
        <v>2</v>
      </c>
      <c r="GO75">
        <v>2</v>
      </c>
      <c r="GP75">
        <v>2</v>
      </c>
      <c r="GQ75">
        <v>2</v>
      </c>
      <c r="GR75">
        <v>2</v>
      </c>
      <c r="GS75">
        <v>2</v>
      </c>
      <c r="GT75">
        <v>2</v>
      </c>
      <c r="GU75">
        <v>2</v>
      </c>
      <c r="GV75">
        <v>2</v>
      </c>
      <c r="GW75">
        <v>2</v>
      </c>
      <c r="GX75">
        <v>2</v>
      </c>
      <c r="GY75">
        <v>2</v>
      </c>
      <c r="GZ75">
        <v>2</v>
      </c>
      <c r="HA75">
        <v>2</v>
      </c>
      <c r="HB75">
        <v>2</v>
      </c>
      <c r="HC75">
        <v>2</v>
      </c>
      <c r="HD75">
        <v>2</v>
      </c>
      <c r="HE75">
        <v>2</v>
      </c>
      <c r="HF75">
        <v>2</v>
      </c>
      <c r="HG75">
        <v>2</v>
      </c>
      <c r="HH75">
        <v>2</v>
      </c>
      <c r="HI75">
        <v>2</v>
      </c>
      <c r="HJ75">
        <v>2</v>
      </c>
      <c r="HK75">
        <v>2</v>
      </c>
      <c r="HL75">
        <v>2</v>
      </c>
      <c r="HM75">
        <v>2</v>
      </c>
      <c r="HN75">
        <v>1</v>
      </c>
      <c r="HO75">
        <v>1</v>
      </c>
      <c r="HP75">
        <v>1</v>
      </c>
      <c r="HQ75">
        <v>1</v>
      </c>
      <c r="HR75">
        <v>1</v>
      </c>
      <c r="HS75">
        <v>2</v>
      </c>
      <c r="HT75">
        <v>2</v>
      </c>
      <c r="HU75">
        <v>2</v>
      </c>
      <c r="HV75">
        <v>2</v>
      </c>
      <c r="HW75">
        <v>2</v>
      </c>
      <c r="HX75">
        <v>2</v>
      </c>
      <c r="HY75">
        <v>4</v>
      </c>
      <c r="HZ75">
        <v>4</v>
      </c>
      <c r="IA75">
        <v>1</v>
      </c>
      <c r="ID75">
        <v>2</v>
      </c>
      <c r="IE75">
        <v>2</v>
      </c>
      <c r="IF75">
        <v>2</v>
      </c>
      <c r="IG75">
        <v>2</v>
      </c>
      <c r="IH75">
        <v>2</v>
      </c>
      <c r="II75">
        <v>2</v>
      </c>
      <c r="IL75">
        <v>2</v>
      </c>
      <c r="IM75">
        <v>2</v>
      </c>
      <c r="IN75">
        <v>2</v>
      </c>
      <c r="IO75">
        <v>2</v>
      </c>
      <c r="IP75">
        <v>2</v>
      </c>
      <c r="IQ75">
        <v>2</v>
      </c>
      <c r="IY75">
        <v>1</v>
      </c>
    </row>
    <row r="76" spans="1:259" x14ac:dyDescent="0.2">
      <c r="A76" t="str">
        <f t="shared" si="1"/>
        <v>Reiten</v>
      </c>
      <c r="B76">
        <f>ROW()</f>
        <v>76</v>
      </c>
      <c r="N76">
        <v>-1</v>
      </c>
      <c r="O76">
        <v>-1</v>
      </c>
      <c r="P76">
        <v>-1</v>
      </c>
      <c r="Q76">
        <v>-1</v>
      </c>
      <c r="BB76">
        <v>1</v>
      </c>
      <c r="BG76">
        <v>2</v>
      </c>
      <c r="BJ76">
        <v>2</v>
      </c>
      <c r="BN76">
        <v>2</v>
      </c>
      <c r="BS76">
        <v>1</v>
      </c>
      <c r="BU76">
        <v>2</v>
      </c>
      <c r="BV76">
        <v>2</v>
      </c>
      <c r="BW76">
        <v>2</v>
      </c>
      <c r="BX76">
        <v>2</v>
      </c>
      <c r="BY76">
        <v>2</v>
      </c>
      <c r="BZ76">
        <v>2</v>
      </c>
      <c r="CA76">
        <v>3</v>
      </c>
      <c r="CJ76">
        <v>2</v>
      </c>
      <c r="CM76">
        <v>3</v>
      </c>
      <c r="CN76">
        <v>1</v>
      </c>
      <c r="CO76">
        <v>1</v>
      </c>
      <c r="CP76">
        <v>1</v>
      </c>
      <c r="CQ76">
        <v>1</v>
      </c>
      <c r="CR76">
        <v>1</v>
      </c>
      <c r="CS76">
        <v>1</v>
      </c>
      <c r="CT76">
        <v>1</v>
      </c>
      <c r="CU76">
        <v>1</v>
      </c>
      <c r="CZ76">
        <v>2</v>
      </c>
      <c r="DE76">
        <v>3</v>
      </c>
      <c r="DF76">
        <v>1</v>
      </c>
      <c r="DG76">
        <v>2</v>
      </c>
      <c r="DH76">
        <v>1</v>
      </c>
      <c r="DI76">
        <v>1</v>
      </c>
      <c r="FE76">
        <v>1</v>
      </c>
      <c r="FF76">
        <v>1</v>
      </c>
      <c r="FS76" t="s">
        <v>1720</v>
      </c>
      <c r="HN76">
        <v>1</v>
      </c>
      <c r="HO76">
        <v>1</v>
      </c>
      <c r="HP76">
        <v>1</v>
      </c>
      <c r="HQ76">
        <v>1</v>
      </c>
      <c r="HR76">
        <v>1</v>
      </c>
      <c r="HU76">
        <v>2</v>
      </c>
      <c r="HV76">
        <v>2</v>
      </c>
      <c r="IY76">
        <v>1</v>
      </c>
    </row>
    <row r="77" spans="1:259" x14ac:dyDescent="0.2">
      <c r="A77" t="str">
        <f t="shared" si="1"/>
        <v>Schleichen</v>
      </c>
      <c r="B77">
        <f>ROW()</f>
        <v>77</v>
      </c>
      <c r="G77">
        <v>1</v>
      </c>
      <c r="K77">
        <v>2</v>
      </c>
      <c r="M77">
        <v>2</v>
      </c>
      <c r="R77">
        <v>2</v>
      </c>
      <c r="S77">
        <v>2</v>
      </c>
      <c r="T77">
        <v>2</v>
      </c>
      <c r="U77">
        <v>2</v>
      </c>
      <c r="V77">
        <v>1</v>
      </c>
      <c r="W77">
        <v>1</v>
      </c>
      <c r="X77">
        <v>1</v>
      </c>
      <c r="Y77">
        <v>1</v>
      </c>
      <c r="Z77">
        <v>1</v>
      </c>
      <c r="AA77">
        <v>1</v>
      </c>
      <c r="AB77">
        <v>1</v>
      </c>
      <c r="AC77">
        <v>1</v>
      </c>
      <c r="AD77">
        <v>1</v>
      </c>
      <c r="AE77">
        <v>1</v>
      </c>
      <c r="AF77">
        <v>1</v>
      </c>
      <c r="AG77">
        <v>2</v>
      </c>
      <c r="AH77">
        <v>2</v>
      </c>
      <c r="BE77">
        <v>1</v>
      </c>
      <c r="BF77">
        <v>1</v>
      </c>
      <c r="BG77">
        <v>1</v>
      </c>
      <c r="BH77">
        <v>1</v>
      </c>
      <c r="BI77">
        <v>1</v>
      </c>
      <c r="BJ77">
        <v>1</v>
      </c>
      <c r="BO77">
        <v>1</v>
      </c>
      <c r="BP77">
        <v>1</v>
      </c>
      <c r="BQ77">
        <v>1</v>
      </c>
      <c r="BR77">
        <v>1</v>
      </c>
      <c r="BS77">
        <v>1</v>
      </c>
      <c r="BT77">
        <v>1</v>
      </c>
      <c r="DB77">
        <v>1</v>
      </c>
      <c r="DC77">
        <v>1</v>
      </c>
      <c r="DD77">
        <v>1</v>
      </c>
      <c r="DG77">
        <v>1</v>
      </c>
      <c r="DH77">
        <v>1</v>
      </c>
      <c r="DJ77">
        <v>1</v>
      </c>
      <c r="DU77">
        <v>3</v>
      </c>
      <c r="DV77">
        <v>3</v>
      </c>
      <c r="DW77">
        <v>3</v>
      </c>
      <c r="DX77">
        <v>3</v>
      </c>
      <c r="DY77">
        <v>3</v>
      </c>
      <c r="DZ77">
        <v>4</v>
      </c>
      <c r="EA77">
        <v>4</v>
      </c>
      <c r="EB77">
        <v>2</v>
      </c>
      <c r="EC77">
        <v>2</v>
      </c>
      <c r="ED77">
        <v>2</v>
      </c>
      <c r="EG77">
        <v>1</v>
      </c>
      <c r="EJ77">
        <v>1</v>
      </c>
      <c r="EZ77">
        <v>1</v>
      </c>
      <c r="FA77">
        <v>1</v>
      </c>
      <c r="FB77">
        <v>1</v>
      </c>
      <c r="FC77">
        <v>3</v>
      </c>
      <c r="FD77">
        <v>4</v>
      </c>
      <c r="FE77">
        <v>1</v>
      </c>
      <c r="FF77">
        <v>1</v>
      </c>
      <c r="FG77">
        <v>2</v>
      </c>
      <c r="FH77" t="s">
        <v>1721</v>
      </c>
      <c r="FI77" t="s">
        <v>1721</v>
      </c>
      <c r="FJ77" t="s">
        <v>1721</v>
      </c>
      <c r="FK77" t="s">
        <v>1722</v>
      </c>
      <c r="FL77" t="s">
        <v>1722</v>
      </c>
      <c r="FM77" t="s">
        <v>1722</v>
      </c>
      <c r="FN77" t="s">
        <v>1722</v>
      </c>
      <c r="FO77" t="s">
        <v>1722</v>
      </c>
      <c r="FP77" t="s">
        <v>1722</v>
      </c>
      <c r="FQ77" t="s">
        <v>1722</v>
      </c>
      <c r="FR77" t="s">
        <v>1722</v>
      </c>
      <c r="FS77" t="s">
        <v>666</v>
      </c>
      <c r="FT77" t="s">
        <v>666</v>
      </c>
      <c r="FU77" t="s">
        <v>2334</v>
      </c>
      <c r="FV77" t="s">
        <v>2334</v>
      </c>
      <c r="FW77" t="s">
        <v>2334</v>
      </c>
      <c r="FX77" t="s">
        <v>2334</v>
      </c>
      <c r="GB77">
        <v>1</v>
      </c>
      <c r="GD77">
        <v>1</v>
      </c>
      <c r="GE77">
        <v>1</v>
      </c>
      <c r="GF77">
        <v>1</v>
      </c>
      <c r="GG77">
        <v>1</v>
      </c>
      <c r="GH77">
        <v>1</v>
      </c>
      <c r="GI77">
        <v>1</v>
      </c>
      <c r="GJ77">
        <v>1</v>
      </c>
      <c r="GK77">
        <v>1</v>
      </c>
      <c r="GL77">
        <v>1</v>
      </c>
      <c r="GM77">
        <v>1</v>
      </c>
      <c r="GN77">
        <v>1</v>
      </c>
      <c r="GO77">
        <v>1</v>
      </c>
      <c r="GP77">
        <v>1</v>
      </c>
      <c r="GQ77">
        <v>1</v>
      </c>
      <c r="GR77">
        <v>1</v>
      </c>
      <c r="GS77">
        <v>1</v>
      </c>
      <c r="GT77">
        <v>1</v>
      </c>
      <c r="GU77">
        <v>1</v>
      </c>
      <c r="GV77">
        <v>1</v>
      </c>
      <c r="GW77">
        <v>1</v>
      </c>
      <c r="GX77">
        <v>1</v>
      </c>
      <c r="GY77">
        <v>1</v>
      </c>
      <c r="GZ77">
        <v>1</v>
      </c>
      <c r="HA77">
        <v>1</v>
      </c>
      <c r="HB77">
        <v>1</v>
      </c>
      <c r="HC77">
        <v>1</v>
      </c>
      <c r="HD77">
        <v>1</v>
      </c>
      <c r="HE77">
        <v>1</v>
      </c>
      <c r="HF77">
        <v>1</v>
      </c>
      <c r="HG77">
        <v>1</v>
      </c>
      <c r="HH77">
        <v>1</v>
      </c>
      <c r="HI77">
        <v>1</v>
      </c>
      <c r="HJ77">
        <v>1</v>
      </c>
      <c r="HK77">
        <v>1</v>
      </c>
      <c r="HL77">
        <v>1</v>
      </c>
      <c r="HM77">
        <v>1</v>
      </c>
      <c r="HS77">
        <v>3</v>
      </c>
      <c r="HT77">
        <v>3</v>
      </c>
      <c r="HU77">
        <v>3</v>
      </c>
      <c r="HV77">
        <v>3</v>
      </c>
      <c r="HW77">
        <v>3</v>
      </c>
      <c r="HX77">
        <v>3</v>
      </c>
      <c r="HY77">
        <v>3</v>
      </c>
      <c r="HZ77">
        <v>3</v>
      </c>
      <c r="IA77">
        <v>3</v>
      </c>
      <c r="IB77">
        <v>1</v>
      </c>
      <c r="ID77">
        <v>1</v>
      </c>
      <c r="IE77">
        <v>1</v>
      </c>
      <c r="IF77">
        <v>1</v>
      </c>
      <c r="IG77">
        <v>1</v>
      </c>
      <c r="IH77">
        <v>1</v>
      </c>
      <c r="II77">
        <v>1</v>
      </c>
      <c r="IL77">
        <v>1</v>
      </c>
      <c r="IM77">
        <v>1</v>
      </c>
      <c r="IN77">
        <v>1</v>
      </c>
      <c r="IO77">
        <v>1</v>
      </c>
      <c r="IP77">
        <v>1</v>
      </c>
      <c r="IQ77">
        <v>1</v>
      </c>
    </row>
    <row r="78" spans="1:259" x14ac:dyDescent="0.2">
      <c r="A78" t="str">
        <f t="shared" si="1"/>
        <v>Schwimmen</v>
      </c>
      <c r="B78">
        <f>ROW()</f>
        <v>78</v>
      </c>
      <c r="L78">
        <v>3</v>
      </c>
      <c r="N78">
        <v>-3</v>
      </c>
      <c r="O78">
        <v>-3</v>
      </c>
      <c r="P78">
        <v>-3</v>
      </c>
      <c r="Q78">
        <v>-3</v>
      </c>
      <c r="AI78">
        <v>5</v>
      </c>
      <c r="AJ78">
        <v>5</v>
      </c>
      <c r="AK78">
        <v>3</v>
      </c>
      <c r="AL78">
        <v>5</v>
      </c>
      <c r="AP78">
        <v>1</v>
      </c>
      <c r="AW78">
        <v>2</v>
      </c>
      <c r="BI78">
        <v>1</v>
      </c>
      <c r="BM78">
        <v>2</v>
      </c>
      <c r="BO78">
        <v>1</v>
      </c>
      <c r="BP78">
        <v>1</v>
      </c>
      <c r="BQ78">
        <v>1</v>
      </c>
      <c r="BR78">
        <v>2</v>
      </c>
      <c r="BS78">
        <v>1</v>
      </c>
      <c r="BU78">
        <v>1</v>
      </c>
      <c r="BV78">
        <v>2</v>
      </c>
      <c r="BW78">
        <v>1</v>
      </c>
      <c r="BX78">
        <v>1</v>
      </c>
      <c r="BY78">
        <v>1</v>
      </c>
      <c r="BZ78">
        <v>1</v>
      </c>
      <c r="CA78">
        <v>1</v>
      </c>
      <c r="CB78">
        <v>1</v>
      </c>
      <c r="CC78">
        <v>2</v>
      </c>
      <c r="CD78">
        <v>1</v>
      </c>
      <c r="CE78">
        <v>1</v>
      </c>
      <c r="CF78">
        <v>3</v>
      </c>
      <c r="CG78">
        <v>1</v>
      </c>
      <c r="CH78">
        <v>1</v>
      </c>
      <c r="CI78">
        <v>1</v>
      </c>
      <c r="CJ78">
        <v>1</v>
      </c>
      <c r="CK78">
        <v>2</v>
      </c>
      <c r="CL78">
        <v>2</v>
      </c>
      <c r="CR78">
        <v>2</v>
      </c>
      <c r="CS78">
        <v>2</v>
      </c>
      <c r="CY78">
        <v>2</v>
      </c>
      <c r="DC78">
        <v>2</v>
      </c>
      <c r="DE78">
        <v>-1</v>
      </c>
      <c r="DF78">
        <v>-1</v>
      </c>
      <c r="DG78">
        <v>-1</v>
      </c>
      <c r="DH78">
        <v>-1</v>
      </c>
      <c r="DK78">
        <v>3</v>
      </c>
      <c r="DL78">
        <v>2</v>
      </c>
      <c r="DM78">
        <v>4</v>
      </c>
      <c r="DN78">
        <v>2</v>
      </c>
      <c r="DO78">
        <v>3</v>
      </c>
      <c r="DP78">
        <v>3</v>
      </c>
      <c r="DQ78">
        <v>3</v>
      </c>
      <c r="DR78">
        <v>3</v>
      </c>
      <c r="DS78">
        <v>1</v>
      </c>
      <c r="DT78">
        <v>-2</v>
      </c>
      <c r="DU78">
        <v>1</v>
      </c>
      <c r="DV78">
        <v>1</v>
      </c>
      <c r="DX78">
        <v>4</v>
      </c>
      <c r="DZ78">
        <v>1</v>
      </c>
      <c r="EA78">
        <v>1</v>
      </c>
      <c r="EC78">
        <v>2</v>
      </c>
      <c r="ED78">
        <v>3</v>
      </c>
      <c r="EE78">
        <v>5</v>
      </c>
      <c r="EF78">
        <v>1</v>
      </c>
      <c r="EG78">
        <v>1</v>
      </c>
      <c r="EH78">
        <v>2</v>
      </c>
      <c r="EI78">
        <v>1</v>
      </c>
      <c r="EL78">
        <v>1</v>
      </c>
      <c r="EM78">
        <v>1</v>
      </c>
      <c r="EN78">
        <v>1</v>
      </c>
      <c r="EO78">
        <v>1</v>
      </c>
      <c r="EP78">
        <v>1</v>
      </c>
      <c r="EQ78">
        <v>2</v>
      </c>
      <c r="ER78">
        <v>1</v>
      </c>
      <c r="ES78">
        <v>1</v>
      </c>
      <c r="ET78">
        <v>1</v>
      </c>
      <c r="EU78">
        <v>1</v>
      </c>
      <c r="EV78">
        <v>1</v>
      </c>
      <c r="EW78">
        <v>1</v>
      </c>
      <c r="EX78">
        <v>1</v>
      </c>
      <c r="EY78">
        <v>1</v>
      </c>
      <c r="EZ78">
        <v>3</v>
      </c>
      <c r="FB78">
        <v>1</v>
      </c>
      <c r="FC78">
        <v>2</v>
      </c>
      <c r="FD78">
        <v>2</v>
      </c>
      <c r="FE78">
        <v>1</v>
      </c>
      <c r="FF78">
        <v>1</v>
      </c>
      <c r="FH78" t="s">
        <v>1719</v>
      </c>
      <c r="FI78" t="s">
        <v>666</v>
      </c>
      <c r="FJ78" t="s">
        <v>1719</v>
      </c>
      <c r="FK78" t="s">
        <v>666</v>
      </c>
      <c r="FL78" t="s">
        <v>666</v>
      </c>
      <c r="FM78" t="s">
        <v>2334</v>
      </c>
      <c r="FN78" t="s">
        <v>1722</v>
      </c>
      <c r="FO78" t="s">
        <v>1722</v>
      </c>
      <c r="FP78" t="s">
        <v>666</v>
      </c>
      <c r="FQ78" t="s">
        <v>666</v>
      </c>
      <c r="FR78" t="s">
        <v>666</v>
      </c>
      <c r="FS78">
        <v>2</v>
      </c>
      <c r="FT78">
        <v>2</v>
      </c>
      <c r="FU78">
        <v>1</v>
      </c>
      <c r="FV78">
        <v>1</v>
      </c>
      <c r="FW78">
        <v>1</v>
      </c>
      <c r="FX78">
        <v>1</v>
      </c>
      <c r="GA78">
        <v>2</v>
      </c>
      <c r="GI78">
        <v>2</v>
      </c>
      <c r="GJ78">
        <v>2</v>
      </c>
      <c r="GK78">
        <v>2</v>
      </c>
      <c r="GL78">
        <v>2</v>
      </c>
      <c r="GM78">
        <v>2</v>
      </c>
      <c r="IB78">
        <v>2</v>
      </c>
      <c r="ID78">
        <v>2</v>
      </c>
      <c r="IE78">
        <v>1</v>
      </c>
      <c r="IF78">
        <v>2</v>
      </c>
      <c r="IG78">
        <v>2</v>
      </c>
      <c r="IH78">
        <v>3</v>
      </c>
      <c r="II78">
        <v>2</v>
      </c>
      <c r="IS78">
        <v>2</v>
      </c>
    </row>
    <row r="79" spans="1:259" x14ac:dyDescent="0.2">
      <c r="A79" t="str">
        <f t="shared" si="1"/>
        <v>Selbstbeherrschung</v>
      </c>
      <c r="B79">
        <f>ROW()</f>
        <v>79</v>
      </c>
      <c r="G79">
        <v>1</v>
      </c>
      <c r="I79">
        <v>1</v>
      </c>
      <c r="J79">
        <v>1</v>
      </c>
      <c r="N79">
        <v>2</v>
      </c>
      <c r="O79">
        <v>2</v>
      </c>
      <c r="P79">
        <v>2</v>
      </c>
      <c r="Q79">
        <v>2</v>
      </c>
      <c r="AD79">
        <v>1</v>
      </c>
      <c r="AE79">
        <v>1</v>
      </c>
      <c r="AF79">
        <v>1</v>
      </c>
      <c r="AG79">
        <v>-1</v>
      </c>
      <c r="AH79">
        <v>-1</v>
      </c>
      <c r="AU79">
        <v>1</v>
      </c>
      <c r="AV79">
        <v>1</v>
      </c>
      <c r="AW79">
        <v>1</v>
      </c>
      <c r="AX79">
        <v>1</v>
      </c>
      <c r="AY79">
        <v>2</v>
      </c>
      <c r="AZ79">
        <v>1</v>
      </c>
      <c r="BA79">
        <v>1</v>
      </c>
      <c r="BB79">
        <v>1</v>
      </c>
      <c r="BC79">
        <v>3</v>
      </c>
      <c r="BD79">
        <v>2</v>
      </c>
      <c r="BE79">
        <v>1</v>
      </c>
      <c r="BF79">
        <v>1</v>
      </c>
      <c r="BG79">
        <v>1</v>
      </c>
      <c r="BH79">
        <v>1</v>
      </c>
      <c r="BI79">
        <v>1</v>
      </c>
      <c r="BJ79">
        <v>1</v>
      </c>
      <c r="BO79">
        <v>1</v>
      </c>
      <c r="BP79">
        <v>1</v>
      </c>
      <c r="BQ79">
        <v>1</v>
      </c>
      <c r="BR79">
        <v>1</v>
      </c>
      <c r="BS79">
        <v>1</v>
      </c>
      <c r="BT79">
        <v>1</v>
      </c>
      <c r="CM79">
        <v>3</v>
      </c>
      <c r="CX79">
        <v>1</v>
      </c>
      <c r="DG79">
        <v>1</v>
      </c>
      <c r="DH79">
        <v>1</v>
      </c>
      <c r="DI79">
        <v>2</v>
      </c>
      <c r="DT79">
        <v>2</v>
      </c>
      <c r="EF79">
        <v>2</v>
      </c>
      <c r="EG79">
        <v>2</v>
      </c>
      <c r="EH79">
        <v>2</v>
      </c>
      <c r="EI79">
        <v>2</v>
      </c>
      <c r="EJ79">
        <v>1</v>
      </c>
      <c r="EK79">
        <v>1</v>
      </c>
      <c r="EL79">
        <v>1</v>
      </c>
      <c r="FA79">
        <v>1</v>
      </c>
      <c r="FB79">
        <v>1</v>
      </c>
      <c r="FC79">
        <v>2</v>
      </c>
      <c r="FD79">
        <v>4</v>
      </c>
      <c r="FG79">
        <v>2</v>
      </c>
      <c r="FS79" t="s">
        <v>666</v>
      </c>
      <c r="FT79">
        <v>2</v>
      </c>
      <c r="FU79" t="s">
        <v>1721</v>
      </c>
      <c r="FV79" t="s">
        <v>1721</v>
      </c>
      <c r="FW79" t="s">
        <v>1721</v>
      </c>
      <c r="FX79" t="s">
        <v>1721</v>
      </c>
      <c r="FZ79">
        <v>2</v>
      </c>
      <c r="GC79">
        <v>2</v>
      </c>
      <c r="GD79">
        <v>1</v>
      </c>
      <c r="GE79">
        <v>1</v>
      </c>
      <c r="GF79">
        <v>1</v>
      </c>
      <c r="GG79">
        <v>1</v>
      </c>
      <c r="GH79">
        <v>1</v>
      </c>
      <c r="GI79">
        <v>1</v>
      </c>
      <c r="GJ79">
        <v>1</v>
      </c>
      <c r="GK79">
        <v>1</v>
      </c>
      <c r="GL79">
        <v>1</v>
      </c>
      <c r="GM79">
        <v>1</v>
      </c>
      <c r="GN79">
        <v>1</v>
      </c>
      <c r="GO79">
        <v>1</v>
      </c>
      <c r="GP79">
        <v>1</v>
      </c>
      <c r="GQ79">
        <v>1</v>
      </c>
      <c r="GR79">
        <v>1</v>
      </c>
      <c r="GS79">
        <v>1</v>
      </c>
      <c r="GT79">
        <v>1</v>
      </c>
      <c r="GU79">
        <v>1</v>
      </c>
      <c r="GV79">
        <v>1</v>
      </c>
      <c r="GW79">
        <v>1</v>
      </c>
      <c r="GX79">
        <v>1</v>
      </c>
      <c r="GY79">
        <v>1</v>
      </c>
      <c r="GZ79">
        <v>1</v>
      </c>
      <c r="HA79">
        <v>1</v>
      </c>
      <c r="HB79">
        <v>1</v>
      </c>
      <c r="HC79">
        <v>1</v>
      </c>
      <c r="HD79">
        <v>1</v>
      </c>
      <c r="HE79">
        <v>1</v>
      </c>
      <c r="HF79">
        <v>1</v>
      </c>
      <c r="HG79">
        <v>1</v>
      </c>
      <c r="HH79">
        <v>1</v>
      </c>
      <c r="HI79">
        <v>1</v>
      </c>
      <c r="HJ79">
        <v>1</v>
      </c>
      <c r="HK79">
        <v>1</v>
      </c>
      <c r="HL79">
        <v>1</v>
      </c>
      <c r="HM79">
        <v>1</v>
      </c>
      <c r="HN79">
        <v>1</v>
      </c>
      <c r="HO79">
        <v>1</v>
      </c>
      <c r="HP79">
        <v>1</v>
      </c>
      <c r="HQ79">
        <v>1</v>
      </c>
      <c r="HR79">
        <v>1</v>
      </c>
      <c r="HS79">
        <v>1</v>
      </c>
      <c r="HT79">
        <v>1</v>
      </c>
      <c r="HU79">
        <v>1</v>
      </c>
      <c r="HV79">
        <v>1</v>
      </c>
      <c r="HW79">
        <v>1</v>
      </c>
      <c r="HX79">
        <v>1</v>
      </c>
      <c r="HY79">
        <v>1</v>
      </c>
      <c r="HZ79">
        <v>1</v>
      </c>
      <c r="IB79">
        <v>1</v>
      </c>
      <c r="IC79">
        <v>2</v>
      </c>
      <c r="ID79">
        <v>1</v>
      </c>
      <c r="IE79">
        <v>1</v>
      </c>
      <c r="IF79">
        <v>1</v>
      </c>
      <c r="IG79">
        <v>1</v>
      </c>
      <c r="IH79">
        <v>1</v>
      </c>
      <c r="II79">
        <v>1</v>
      </c>
      <c r="IL79">
        <v>1</v>
      </c>
      <c r="IM79">
        <v>1</v>
      </c>
      <c r="IN79">
        <v>1</v>
      </c>
      <c r="IO79">
        <v>1</v>
      </c>
      <c r="IP79">
        <v>1</v>
      </c>
      <c r="IQ79">
        <v>1</v>
      </c>
      <c r="IY79">
        <v>1</v>
      </c>
    </row>
    <row r="80" spans="1:259" x14ac:dyDescent="0.2">
      <c r="A80" t="str">
        <f t="shared" si="1"/>
        <v>Sich Verstecken</v>
      </c>
      <c r="B80">
        <f>ROW()</f>
        <v>80</v>
      </c>
      <c r="AG80">
        <v>1</v>
      </c>
      <c r="AH80">
        <v>1</v>
      </c>
      <c r="AU80">
        <v>1</v>
      </c>
      <c r="BD80">
        <v>1</v>
      </c>
      <c r="BE80">
        <v>1</v>
      </c>
      <c r="BF80">
        <v>1</v>
      </c>
      <c r="BG80">
        <v>1</v>
      </c>
      <c r="BH80">
        <v>1</v>
      </c>
      <c r="BI80">
        <v>1</v>
      </c>
      <c r="BJ80">
        <v>1</v>
      </c>
      <c r="BO80">
        <v>1</v>
      </c>
      <c r="BP80">
        <v>1</v>
      </c>
      <c r="BQ80">
        <v>1</v>
      </c>
      <c r="BR80">
        <v>1</v>
      </c>
      <c r="BS80">
        <v>1</v>
      </c>
      <c r="BT80">
        <v>1</v>
      </c>
      <c r="DB80">
        <v>1</v>
      </c>
      <c r="DC80">
        <v>1</v>
      </c>
      <c r="DD80">
        <v>1</v>
      </c>
      <c r="DG80">
        <v>1</v>
      </c>
      <c r="DH80">
        <v>1</v>
      </c>
      <c r="DJ80">
        <v>1</v>
      </c>
      <c r="DU80">
        <v>3</v>
      </c>
      <c r="DV80">
        <v>3</v>
      </c>
      <c r="DW80">
        <v>3</v>
      </c>
      <c r="DX80">
        <v>2</v>
      </c>
      <c r="DY80">
        <v>3</v>
      </c>
      <c r="DZ80">
        <v>3</v>
      </c>
      <c r="EA80">
        <v>3</v>
      </c>
      <c r="EB80">
        <v>1</v>
      </c>
      <c r="EC80">
        <v>1</v>
      </c>
      <c r="ED80">
        <v>4</v>
      </c>
      <c r="EG80">
        <v>1</v>
      </c>
      <c r="EJ80">
        <v>1</v>
      </c>
      <c r="EL80">
        <v>1</v>
      </c>
      <c r="EM80">
        <v>1</v>
      </c>
      <c r="EN80">
        <v>1</v>
      </c>
      <c r="EO80">
        <v>1</v>
      </c>
      <c r="EP80">
        <v>1</v>
      </c>
      <c r="EQ80">
        <v>1</v>
      </c>
      <c r="ER80">
        <v>1</v>
      </c>
      <c r="ES80">
        <v>1</v>
      </c>
      <c r="ET80">
        <v>1</v>
      </c>
      <c r="EU80">
        <v>1</v>
      </c>
      <c r="EV80">
        <v>1</v>
      </c>
      <c r="EW80">
        <v>1</v>
      </c>
      <c r="EX80">
        <v>1</v>
      </c>
      <c r="EY80">
        <v>1</v>
      </c>
      <c r="FA80">
        <v>1</v>
      </c>
      <c r="FB80">
        <v>1</v>
      </c>
      <c r="FC80">
        <v>1</v>
      </c>
      <c r="FD80">
        <v>1</v>
      </c>
      <c r="FG80">
        <v>2</v>
      </c>
      <c r="FH80" t="s">
        <v>1720</v>
      </c>
      <c r="FI80" t="s">
        <v>1719</v>
      </c>
      <c r="FJ80" t="s">
        <v>1720</v>
      </c>
      <c r="FK80">
        <v>2</v>
      </c>
      <c r="FL80">
        <v>2</v>
      </c>
      <c r="FM80">
        <v>2</v>
      </c>
      <c r="FN80">
        <v>2</v>
      </c>
      <c r="FO80">
        <v>2</v>
      </c>
      <c r="FP80">
        <v>2</v>
      </c>
      <c r="FQ80">
        <v>2</v>
      </c>
      <c r="FR80">
        <v>2</v>
      </c>
      <c r="FS80" t="s">
        <v>666</v>
      </c>
      <c r="FT80" t="s">
        <v>1721</v>
      </c>
      <c r="FU80" t="s">
        <v>1721</v>
      </c>
      <c r="FV80" t="s">
        <v>1721</v>
      </c>
      <c r="FW80" t="s">
        <v>1721</v>
      </c>
      <c r="FX80" t="s">
        <v>1721</v>
      </c>
      <c r="GB80">
        <v>1</v>
      </c>
      <c r="GD80">
        <v>2</v>
      </c>
      <c r="GI80">
        <v>2</v>
      </c>
      <c r="GN80">
        <v>2</v>
      </c>
      <c r="GS80">
        <v>2</v>
      </c>
      <c r="GX80">
        <v>2</v>
      </c>
      <c r="HC80">
        <v>2</v>
      </c>
      <c r="HH80">
        <v>2</v>
      </c>
      <c r="HM80">
        <v>1</v>
      </c>
      <c r="HN80">
        <v>2</v>
      </c>
      <c r="HS80">
        <v>1</v>
      </c>
      <c r="HT80">
        <v>1</v>
      </c>
      <c r="HU80">
        <v>1</v>
      </c>
      <c r="HV80">
        <v>1</v>
      </c>
      <c r="HW80">
        <v>1</v>
      </c>
      <c r="HX80">
        <v>1</v>
      </c>
      <c r="HY80">
        <v>1</v>
      </c>
      <c r="HZ80">
        <v>1</v>
      </c>
      <c r="IA80">
        <v>1</v>
      </c>
      <c r="IB80">
        <v>2</v>
      </c>
      <c r="IM80">
        <v>2</v>
      </c>
    </row>
    <row r="81" spans="1:259" x14ac:dyDescent="0.2">
      <c r="A81" t="str">
        <f t="shared" si="1"/>
        <v>Singen</v>
      </c>
      <c r="B81">
        <f>ROW()</f>
        <v>81</v>
      </c>
      <c r="R81">
        <v>2</v>
      </c>
      <c r="S81">
        <v>2</v>
      </c>
      <c r="T81">
        <v>1</v>
      </c>
      <c r="U81">
        <v>1</v>
      </c>
      <c r="V81">
        <v>1</v>
      </c>
      <c r="W81">
        <v>1</v>
      </c>
      <c r="X81">
        <v>1</v>
      </c>
      <c r="Y81">
        <v>1</v>
      </c>
      <c r="Z81">
        <v>1</v>
      </c>
      <c r="AA81">
        <v>1</v>
      </c>
      <c r="AB81">
        <v>1</v>
      </c>
      <c r="AC81">
        <v>1</v>
      </c>
      <c r="AD81">
        <v>-2</v>
      </c>
      <c r="AE81">
        <v>-2</v>
      </c>
      <c r="AF81">
        <v>-2</v>
      </c>
      <c r="AG81">
        <v>-1</v>
      </c>
      <c r="AH81">
        <v>-1</v>
      </c>
      <c r="AI81">
        <v>-3</v>
      </c>
      <c r="AJ81">
        <v>-3</v>
      </c>
      <c r="AK81">
        <v>-3</v>
      </c>
      <c r="AL81">
        <v>-3</v>
      </c>
      <c r="BC81">
        <v>2</v>
      </c>
      <c r="DJ81">
        <v>1</v>
      </c>
      <c r="DM81">
        <v>1</v>
      </c>
      <c r="DN81">
        <v>1</v>
      </c>
      <c r="DV81">
        <v>1</v>
      </c>
      <c r="EA81">
        <v>1</v>
      </c>
      <c r="FE81">
        <v>1</v>
      </c>
      <c r="FF81">
        <v>1</v>
      </c>
      <c r="FH81" t="s">
        <v>666</v>
      </c>
      <c r="FI81" t="s">
        <v>666</v>
      </c>
      <c r="FJ81" t="s">
        <v>666</v>
      </c>
      <c r="FK81" t="s">
        <v>666</v>
      </c>
      <c r="FL81" t="s">
        <v>666</v>
      </c>
      <c r="FM81" t="s">
        <v>666</v>
      </c>
      <c r="FN81" t="s">
        <v>666</v>
      </c>
      <c r="FO81" t="s">
        <v>666</v>
      </c>
      <c r="FP81" t="s">
        <v>666</v>
      </c>
      <c r="FQ81" t="s">
        <v>666</v>
      </c>
      <c r="FR81" t="s">
        <v>666</v>
      </c>
      <c r="FS81" t="s">
        <v>666</v>
      </c>
      <c r="FT81" t="s">
        <v>666</v>
      </c>
      <c r="FU81" t="s">
        <v>1722</v>
      </c>
      <c r="FV81" t="s">
        <v>1722</v>
      </c>
      <c r="FW81" t="s">
        <v>1722</v>
      </c>
      <c r="FX81" t="s">
        <v>1722</v>
      </c>
      <c r="FZ81">
        <v>1</v>
      </c>
    </row>
    <row r="82" spans="1:259" x14ac:dyDescent="0.2">
      <c r="A82" t="str">
        <f t="shared" si="1"/>
        <v>Sinnenschärfe</v>
      </c>
      <c r="B82">
        <f>ROW()</f>
        <v>82</v>
      </c>
      <c r="F82">
        <v>1</v>
      </c>
      <c r="I82">
        <v>1</v>
      </c>
      <c r="J82">
        <v>1</v>
      </c>
      <c r="K82">
        <v>3</v>
      </c>
      <c r="L82">
        <v>3</v>
      </c>
      <c r="M82">
        <v>3</v>
      </c>
      <c r="R82">
        <v>5</v>
      </c>
      <c r="S82">
        <v>5</v>
      </c>
      <c r="T82">
        <v>5</v>
      </c>
      <c r="U82">
        <v>5</v>
      </c>
      <c r="V82">
        <v>2</v>
      </c>
      <c r="W82">
        <v>2</v>
      </c>
      <c r="X82">
        <v>2</v>
      </c>
      <c r="Y82">
        <v>2</v>
      </c>
      <c r="Z82">
        <v>2</v>
      </c>
      <c r="AA82">
        <v>2</v>
      </c>
      <c r="AB82">
        <v>2</v>
      </c>
      <c r="AC82">
        <v>2</v>
      </c>
      <c r="AD82">
        <v>2</v>
      </c>
      <c r="AE82">
        <v>2</v>
      </c>
      <c r="AG82">
        <v>4</v>
      </c>
      <c r="AH82">
        <v>4</v>
      </c>
      <c r="AI82">
        <v>5</v>
      </c>
      <c r="AJ82">
        <v>5</v>
      </c>
      <c r="AK82">
        <v>7</v>
      </c>
      <c r="AL82">
        <v>5</v>
      </c>
      <c r="AU82">
        <v>1</v>
      </c>
      <c r="BD82">
        <v>1</v>
      </c>
      <c r="BT82">
        <v>1</v>
      </c>
      <c r="DE82">
        <v>1</v>
      </c>
      <c r="DF82">
        <v>1</v>
      </c>
      <c r="DG82">
        <v>1</v>
      </c>
      <c r="DH82">
        <v>1</v>
      </c>
      <c r="DI82">
        <v>1</v>
      </c>
      <c r="DS82">
        <v>1</v>
      </c>
      <c r="DT82">
        <v>1</v>
      </c>
      <c r="DU82">
        <v>2</v>
      </c>
      <c r="DV82">
        <v>2</v>
      </c>
      <c r="DW82">
        <v>2</v>
      </c>
      <c r="DX82">
        <v>2</v>
      </c>
      <c r="DY82">
        <v>2</v>
      </c>
      <c r="DZ82">
        <v>2</v>
      </c>
      <c r="EA82">
        <v>2</v>
      </c>
      <c r="EB82">
        <v>2</v>
      </c>
      <c r="EC82">
        <v>2</v>
      </c>
      <c r="ED82">
        <v>2</v>
      </c>
      <c r="EE82">
        <v>3</v>
      </c>
      <c r="EG82">
        <v>2</v>
      </c>
      <c r="EH82">
        <v>1</v>
      </c>
      <c r="EZ82">
        <v>1</v>
      </c>
      <c r="FA82">
        <v>2</v>
      </c>
      <c r="FB82">
        <v>2</v>
      </c>
      <c r="FC82">
        <v>2</v>
      </c>
      <c r="FD82">
        <v>3</v>
      </c>
      <c r="FE82">
        <v>1</v>
      </c>
      <c r="FF82">
        <v>1</v>
      </c>
      <c r="FH82" t="s">
        <v>1722</v>
      </c>
      <c r="FI82" t="s">
        <v>1722</v>
      </c>
      <c r="FJ82" t="s">
        <v>1722</v>
      </c>
      <c r="FK82" t="s">
        <v>2334</v>
      </c>
      <c r="FL82" t="s">
        <v>2334</v>
      </c>
      <c r="FM82" t="s">
        <v>2334</v>
      </c>
      <c r="FN82" t="s">
        <v>2334</v>
      </c>
      <c r="FO82" t="s">
        <v>2334</v>
      </c>
      <c r="FP82" t="s">
        <v>2334</v>
      </c>
      <c r="FQ82" t="s">
        <v>2334</v>
      </c>
      <c r="FR82" t="s">
        <v>2334</v>
      </c>
      <c r="FS82" t="s">
        <v>1722</v>
      </c>
      <c r="FT82" t="s">
        <v>1722</v>
      </c>
      <c r="FU82" t="s">
        <v>666</v>
      </c>
      <c r="FV82" t="s">
        <v>666</v>
      </c>
      <c r="FW82" t="s">
        <v>666</v>
      </c>
      <c r="FX82" t="s">
        <v>666</v>
      </c>
      <c r="GD82">
        <v>1</v>
      </c>
      <c r="GE82">
        <v>1</v>
      </c>
      <c r="GF82">
        <v>1</v>
      </c>
      <c r="GG82">
        <v>1</v>
      </c>
      <c r="GH82">
        <v>1</v>
      </c>
      <c r="GI82">
        <v>1</v>
      </c>
      <c r="GJ82">
        <v>1</v>
      </c>
      <c r="GK82">
        <v>1</v>
      </c>
      <c r="GL82">
        <v>1</v>
      </c>
      <c r="GM82">
        <v>1</v>
      </c>
      <c r="GN82">
        <v>1</v>
      </c>
      <c r="GO82">
        <v>1</v>
      </c>
      <c r="GP82">
        <v>1</v>
      </c>
      <c r="GQ82">
        <v>1</v>
      </c>
      <c r="GR82">
        <v>1</v>
      </c>
      <c r="GS82">
        <v>1</v>
      </c>
      <c r="GT82">
        <v>1</v>
      </c>
      <c r="GU82">
        <v>1</v>
      </c>
      <c r="GV82">
        <v>1</v>
      </c>
      <c r="GW82">
        <v>1</v>
      </c>
      <c r="GX82">
        <v>1</v>
      </c>
      <c r="GY82">
        <v>1</v>
      </c>
      <c r="GZ82">
        <v>1</v>
      </c>
      <c r="HA82">
        <v>1</v>
      </c>
      <c r="HB82">
        <v>1</v>
      </c>
      <c r="HC82">
        <v>1</v>
      </c>
      <c r="HD82">
        <v>1</v>
      </c>
      <c r="HE82">
        <v>1</v>
      </c>
      <c r="HF82">
        <v>1</v>
      </c>
      <c r="HG82">
        <v>1</v>
      </c>
      <c r="HH82">
        <v>1</v>
      </c>
      <c r="HI82">
        <v>1</v>
      </c>
      <c r="HJ82">
        <v>1</v>
      </c>
      <c r="HK82">
        <v>1</v>
      </c>
      <c r="HL82">
        <v>1</v>
      </c>
      <c r="HM82">
        <v>2</v>
      </c>
      <c r="HS82">
        <v>2</v>
      </c>
      <c r="HT82">
        <v>2</v>
      </c>
      <c r="HU82">
        <v>2</v>
      </c>
      <c r="HV82">
        <v>2</v>
      </c>
      <c r="HW82">
        <v>2</v>
      </c>
      <c r="HX82">
        <v>2</v>
      </c>
      <c r="HY82">
        <v>2</v>
      </c>
      <c r="HZ82">
        <v>2</v>
      </c>
      <c r="IA82">
        <v>1</v>
      </c>
      <c r="IC82">
        <v>1</v>
      </c>
      <c r="ID82">
        <v>1</v>
      </c>
      <c r="IE82">
        <v>1</v>
      </c>
      <c r="IF82">
        <v>1</v>
      </c>
      <c r="IG82">
        <v>1</v>
      </c>
      <c r="IH82">
        <v>1</v>
      </c>
      <c r="II82">
        <v>1</v>
      </c>
      <c r="IL82">
        <v>1</v>
      </c>
      <c r="IM82">
        <v>1</v>
      </c>
      <c r="IN82">
        <v>1</v>
      </c>
      <c r="IO82">
        <v>1</v>
      </c>
      <c r="IP82">
        <v>1</v>
      </c>
      <c r="IQ82">
        <v>1</v>
      </c>
    </row>
    <row r="83" spans="1:259" x14ac:dyDescent="0.2">
      <c r="A83" t="str">
        <f t="shared" si="1"/>
        <v>Skifahren</v>
      </c>
      <c r="B83">
        <f>ROW()</f>
        <v>83</v>
      </c>
      <c r="BT83">
        <v>2</v>
      </c>
      <c r="DT83">
        <v>1</v>
      </c>
      <c r="FA83">
        <v>2</v>
      </c>
      <c r="FB83">
        <v>2</v>
      </c>
      <c r="FF83">
        <v>1</v>
      </c>
      <c r="FI83">
        <v>1</v>
      </c>
      <c r="FN83">
        <v>1</v>
      </c>
      <c r="FO83">
        <v>1</v>
      </c>
      <c r="FU83">
        <v>1</v>
      </c>
      <c r="FV83">
        <v>1</v>
      </c>
      <c r="FW83">
        <v>1</v>
      </c>
      <c r="FX83">
        <v>1</v>
      </c>
    </row>
    <row r="84" spans="1:259" x14ac:dyDescent="0.2">
      <c r="A84" t="str">
        <f t="shared" si="1"/>
        <v>Stimmen imitieren</v>
      </c>
      <c r="B84">
        <f>ROW()</f>
        <v>84</v>
      </c>
      <c r="AI84">
        <v>-3</v>
      </c>
      <c r="AJ84">
        <v>-3</v>
      </c>
      <c r="AK84">
        <v>-3</v>
      </c>
      <c r="AL84">
        <v>-3</v>
      </c>
      <c r="FT84">
        <v>2</v>
      </c>
    </row>
    <row r="85" spans="1:259" x14ac:dyDescent="0.2">
      <c r="A85" t="str">
        <f t="shared" si="1"/>
        <v>Tanzen</v>
      </c>
      <c r="B85">
        <f>ROW()</f>
        <v>85</v>
      </c>
      <c r="K85">
        <v>1</v>
      </c>
      <c r="M85">
        <v>1</v>
      </c>
      <c r="R85">
        <v>1</v>
      </c>
      <c r="S85">
        <v>1</v>
      </c>
      <c r="V85">
        <v>1</v>
      </c>
      <c r="W85">
        <v>1</v>
      </c>
      <c r="X85">
        <v>1</v>
      </c>
      <c r="Y85">
        <v>1</v>
      </c>
      <c r="Z85">
        <v>1</v>
      </c>
      <c r="AA85">
        <v>1</v>
      </c>
      <c r="AB85">
        <v>1</v>
      </c>
      <c r="AC85">
        <v>1</v>
      </c>
      <c r="BK85">
        <v>1</v>
      </c>
      <c r="BL85">
        <v>1</v>
      </c>
      <c r="BM85">
        <v>1</v>
      </c>
      <c r="BN85">
        <v>1</v>
      </c>
      <c r="BU85">
        <v>1</v>
      </c>
      <c r="BV85">
        <v>1</v>
      </c>
      <c r="BW85">
        <v>1</v>
      </c>
      <c r="BX85">
        <v>1</v>
      </c>
      <c r="BY85">
        <v>1</v>
      </c>
      <c r="BZ85">
        <v>1</v>
      </c>
      <c r="CA85">
        <v>1</v>
      </c>
      <c r="CB85">
        <v>1</v>
      </c>
      <c r="CC85">
        <v>1</v>
      </c>
      <c r="CD85">
        <v>1</v>
      </c>
      <c r="CE85">
        <v>1</v>
      </c>
      <c r="CF85">
        <v>1</v>
      </c>
      <c r="CG85">
        <v>1</v>
      </c>
      <c r="CH85">
        <v>1</v>
      </c>
      <c r="CI85">
        <v>1</v>
      </c>
      <c r="CJ85">
        <v>1</v>
      </c>
      <c r="CK85">
        <v>1</v>
      </c>
      <c r="CL85">
        <v>1</v>
      </c>
      <c r="CN85">
        <v>1</v>
      </c>
      <c r="CO85">
        <v>1</v>
      </c>
      <c r="CP85">
        <v>1</v>
      </c>
      <c r="CQ85">
        <v>1</v>
      </c>
      <c r="CR85">
        <v>1</v>
      </c>
      <c r="CS85">
        <v>1</v>
      </c>
      <c r="CT85">
        <v>1</v>
      </c>
      <c r="CU85">
        <v>1</v>
      </c>
      <c r="CV85">
        <v>1</v>
      </c>
      <c r="CW85">
        <v>1</v>
      </c>
      <c r="CX85">
        <v>1</v>
      </c>
      <c r="CY85">
        <v>1</v>
      </c>
      <c r="CZ85">
        <v>1</v>
      </c>
      <c r="DA85">
        <v>1</v>
      </c>
      <c r="DB85">
        <v>1</v>
      </c>
      <c r="DC85">
        <v>1</v>
      </c>
      <c r="DD85">
        <v>1</v>
      </c>
      <c r="DE85">
        <v>1</v>
      </c>
      <c r="DF85">
        <v>1</v>
      </c>
      <c r="DG85">
        <v>3</v>
      </c>
      <c r="DH85">
        <v>3</v>
      </c>
      <c r="DJ85">
        <v>1</v>
      </c>
      <c r="DU85">
        <v>1</v>
      </c>
      <c r="DV85">
        <v>1</v>
      </c>
      <c r="DW85">
        <v>1</v>
      </c>
      <c r="DX85">
        <v>1</v>
      </c>
      <c r="DY85">
        <v>1</v>
      </c>
      <c r="EC85">
        <v>2</v>
      </c>
      <c r="EJ85">
        <v>1</v>
      </c>
      <c r="FE85">
        <v>2</v>
      </c>
      <c r="FF85">
        <v>2</v>
      </c>
      <c r="FH85" t="s">
        <v>666</v>
      </c>
      <c r="FI85" t="s">
        <v>666</v>
      </c>
      <c r="FJ85" t="s">
        <v>666</v>
      </c>
      <c r="FK85" t="s">
        <v>666</v>
      </c>
      <c r="FL85" t="s">
        <v>666</v>
      </c>
      <c r="FM85" t="s">
        <v>666</v>
      </c>
      <c r="FN85" t="s">
        <v>666</v>
      </c>
      <c r="FO85" t="s">
        <v>666</v>
      </c>
      <c r="FP85" t="s">
        <v>666</v>
      </c>
      <c r="FQ85" t="s">
        <v>666</v>
      </c>
      <c r="FR85" t="s">
        <v>666</v>
      </c>
      <c r="FS85" t="s">
        <v>666</v>
      </c>
      <c r="FT85" t="s">
        <v>1721</v>
      </c>
      <c r="FU85" t="s">
        <v>2334</v>
      </c>
      <c r="FV85" t="s">
        <v>2334</v>
      </c>
      <c r="FW85" t="s">
        <v>2334</v>
      </c>
      <c r="FX85" t="s">
        <v>2334</v>
      </c>
    </row>
    <row r="86" spans="1:259" x14ac:dyDescent="0.2">
      <c r="A86" t="str">
        <f t="shared" si="1"/>
        <v>Taschendiebstahl</v>
      </c>
      <c r="B86">
        <f>ROW()</f>
        <v>86</v>
      </c>
      <c r="IB86">
        <v>1</v>
      </c>
    </row>
    <row r="87" spans="1:259" x14ac:dyDescent="0.2">
      <c r="A87" t="str">
        <f t="shared" si="1"/>
        <v>Zechen</v>
      </c>
      <c r="B87">
        <f>ROW()</f>
        <v>87</v>
      </c>
      <c r="F87">
        <v>1</v>
      </c>
      <c r="N87">
        <v>1</v>
      </c>
      <c r="O87">
        <v>1</v>
      </c>
      <c r="P87">
        <v>1</v>
      </c>
      <c r="Q87">
        <v>1</v>
      </c>
      <c r="R87">
        <v>-2</v>
      </c>
      <c r="S87">
        <v>-2</v>
      </c>
      <c r="T87">
        <v>-2</v>
      </c>
      <c r="U87">
        <v>-2</v>
      </c>
      <c r="V87">
        <v>-1</v>
      </c>
      <c r="W87">
        <v>-1</v>
      </c>
      <c r="X87">
        <v>-1</v>
      </c>
      <c r="Y87">
        <v>-1</v>
      </c>
      <c r="Z87">
        <v>-1</v>
      </c>
      <c r="AA87">
        <v>-1</v>
      </c>
      <c r="AB87">
        <v>-1</v>
      </c>
      <c r="AC87">
        <v>-1</v>
      </c>
      <c r="AG87">
        <v>-1</v>
      </c>
      <c r="AH87">
        <v>-3</v>
      </c>
      <c r="AI87">
        <v>-1</v>
      </c>
      <c r="AJ87">
        <v>-1</v>
      </c>
      <c r="AK87">
        <v>-1</v>
      </c>
      <c r="AL87">
        <v>-1</v>
      </c>
      <c r="AO87">
        <v>1</v>
      </c>
      <c r="AP87">
        <v>1</v>
      </c>
      <c r="AQ87">
        <v>1</v>
      </c>
      <c r="AR87">
        <v>1</v>
      </c>
      <c r="AS87">
        <v>1</v>
      </c>
      <c r="AT87">
        <v>1</v>
      </c>
      <c r="AU87">
        <v>2</v>
      </c>
      <c r="AV87">
        <v>1</v>
      </c>
      <c r="AW87">
        <v>1</v>
      </c>
      <c r="AX87">
        <v>1</v>
      </c>
      <c r="AY87">
        <v>1</v>
      </c>
      <c r="AZ87">
        <v>1</v>
      </c>
      <c r="BA87">
        <v>1</v>
      </c>
      <c r="BB87">
        <v>1</v>
      </c>
      <c r="BD87">
        <v>2</v>
      </c>
      <c r="BE87">
        <v>1</v>
      </c>
      <c r="BF87">
        <v>1</v>
      </c>
      <c r="BG87">
        <v>1</v>
      </c>
      <c r="BH87">
        <v>1</v>
      </c>
      <c r="BI87">
        <v>1</v>
      </c>
      <c r="BJ87">
        <v>1</v>
      </c>
      <c r="BK87">
        <v>2</v>
      </c>
      <c r="BL87">
        <v>2</v>
      </c>
      <c r="BM87">
        <v>2</v>
      </c>
      <c r="BN87">
        <v>3</v>
      </c>
      <c r="BO87">
        <v>1</v>
      </c>
      <c r="BP87">
        <v>1</v>
      </c>
      <c r="BQ87">
        <v>1</v>
      </c>
      <c r="BR87">
        <v>1</v>
      </c>
      <c r="BS87">
        <v>1</v>
      </c>
      <c r="BT87">
        <v>1</v>
      </c>
      <c r="BU87">
        <v>1</v>
      </c>
      <c r="BV87">
        <v>1</v>
      </c>
      <c r="BW87">
        <v>1</v>
      </c>
      <c r="BX87">
        <v>1</v>
      </c>
      <c r="BY87">
        <v>1</v>
      </c>
      <c r="BZ87">
        <v>1</v>
      </c>
      <c r="CA87">
        <v>1</v>
      </c>
      <c r="DK87">
        <v>3</v>
      </c>
      <c r="DL87">
        <v>3</v>
      </c>
      <c r="DM87">
        <v>3</v>
      </c>
      <c r="DN87">
        <v>3</v>
      </c>
      <c r="DO87">
        <v>3</v>
      </c>
      <c r="DP87">
        <v>3</v>
      </c>
      <c r="DQ87">
        <v>3</v>
      </c>
      <c r="DR87">
        <v>3</v>
      </c>
      <c r="DT87">
        <v>-1</v>
      </c>
      <c r="DU87">
        <v>-2</v>
      </c>
      <c r="DV87">
        <v>-2</v>
      </c>
      <c r="DW87">
        <v>-2</v>
      </c>
      <c r="DX87">
        <v>-2</v>
      </c>
      <c r="DY87">
        <v>-2</v>
      </c>
      <c r="DZ87">
        <v>-2</v>
      </c>
      <c r="EA87">
        <v>-2</v>
      </c>
      <c r="EB87">
        <v>-1</v>
      </c>
      <c r="EC87">
        <v>-2</v>
      </c>
      <c r="ED87">
        <v>-2</v>
      </c>
      <c r="EE87">
        <v>-2</v>
      </c>
      <c r="EK87">
        <v>1</v>
      </c>
      <c r="FE87">
        <v>3</v>
      </c>
      <c r="FF87">
        <v>3</v>
      </c>
      <c r="FY87">
        <v>3</v>
      </c>
      <c r="GA87">
        <v>3</v>
      </c>
      <c r="GB87">
        <v>1</v>
      </c>
      <c r="GC87">
        <v>1</v>
      </c>
      <c r="HN87">
        <v>2</v>
      </c>
      <c r="HO87">
        <v>2</v>
      </c>
      <c r="HP87">
        <v>2</v>
      </c>
      <c r="HQ87">
        <v>2</v>
      </c>
      <c r="HR87">
        <v>2</v>
      </c>
      <c r="IB87">
        <v>1</v>
      </c>
      <c r="IY87">
        <v>2</v>
      </c>
    </row>
    <row r="88" spans="1:259" ht="12.75" customHeight="1" x14ac:dyDescent="0.2">
      <c r="A88" t="str">
        <f>INDEX(TL_GES,ROW()-87)</f>
        <v>Betören</v>
      </c>
      <c r="B88">
        <f>ROW()</f>
        <v>88</v>
      </c>
      <c r="C88" t="s">
        <v>3310</v>
      </c>
      <c r="AN88" t="s">
        <v>3310</v>
      </c>
      <c r="CB88">
        <v>1</v>
      </c>
      <c r="CC88">
        <v>1</v>
      </c>
      <c r="CD88">
        <v>1</v>
      </c>
      <c r="CE88">
        <v>1</v>
      </c>
      <c r="CF88">
        <v>1</v>
      </c>
      <c r="CG88">
        <v>1</v>
      </c>
      <c r="CH88">
        <v>1</v>
      </c>
      <c r="CI88">
        <v>1</v>
      </c>
      <c r="CJ88">
        <v>1</v>
      </c>
      <c r="DG88">
        <v>1</v>
      </c>
      <c r="DH88">
        <v>1</v>
      </c>
      <c r="DJ88">
        <v>1</v>
      </c>
      <c r="FH88">
        <v>3</v>
      </c>
      <c r="FJ88">
        <v>3</v>
      </c>
      <c r="FK88">
        <v>3</v>
      </c>
      <c r="FL88">
        <v>3</v>
      </c>
      <c r="FM88">
        <v>3</v>
      </c>
      <c r="FN88">
        <v>1</v>
      </c>
      <c r="FO88">
        <v>1</v>
      </c>
      <c r="FP88">
        <v>3</v>
      </c>
      <c r="FQ88">
        <v>3</v>
      </c>
      <c r="FR88">
        <v>3</v>
      </c>
    </row>
    <row r="89" spans="1:259" x14ac:dyDescent="0.2">
      <c r="A89" t="str">
        <f t="shared" ref="A89:A98" si="2">INDEX(TL_GES,ROW()-87)</f>
        <v>Etikette</v>
      </c>
      <c r="B89">
        <f>ROW()</f>
        <v>89</v>
      </c>
      <c r="AO89">
        <v>1</v>
      </c>
      <c r="AP89">
        <v>1</v>
      </c>
      <c r="AQ89">
        <v>1</v>
      </c>
      <c r="AR89">
        <v>1</v>
      </c>
      <c r="AS89">
        <v>3</v>
      </c>
      <c r="AT89">
        <v>1</v>
      </c>
      <c r="AU89">
        <v>1</v>
      </c>
      <c r="AX89">
        <v>1</v>
      </c>
      <c r="BB89">
        <v>1</v>
      </c>
      <c r="BG89">
        <v>1</v>
      </c>
      <c r="BK89">
        <v>1</v>
      </c>
      <c r="BL89">
        <v>1</v>
      </c>
      <c r="BM89">
        <v>1</v>
      </c>
      <c r="BN89">
        <v>2</v>
      </c>
      <c r="BU89">
        <v>1</v>
      </c>
      <c r="BV89">
        <v>1</v>
      </c>
      <c r="BW89">
        <v>1</v>
      </c>
      <c r="BX89">
        <v>3</v>
      </c>
      <c r="BY89">
        <v>2</v>
      </c>
      <c r="BZ89">
        <v>1</v>
      </c>
      <c r="CA89">
        <v>2</v>
      </c>
      <c r="CB89">
        <v>2</v>
      </c>
      <c r="CC89">
        <v>2</v>
      </c>
      <c r="CD89">
        <v>2</v>
      </c>
      <c r="CE89">
        <v>4</v>
      </c>
      <c r="CF89">
        <v>2</v>
      </c>
      <c r="CG89">
        <v>3</v>
      </c>
      <c r="CH89">
        <v>2</v>
      </c>
      <c r="CI89">
        <v>1</v>
      </c>
      <c r="CJ89">
        <v>3</v>
      </c>
      <c r="CL89">
        <v>1</v>
      </c>
      <c r="CM89">
        <v>1</v>
      </c>
      <c r="CN89">
        <v>1</v>
      </c>
      <c r="CO89">
        <v>2</v>
      </c>
      <c r="CP89">
        <v>1</v>
      </c>
      <c r="CQ89">
        <v>2</v>
      </c>
      <c r="CR89">
        <v>1</v>
      </c>
      <c r="CS89">
        <v>2</v>
      </c>
      <c r="CT89">
        <v>3</v>
      </c>
      <c r="CU89">
        <v>4</v>
      </c>
      <c r="CV89">
        <v>1</v>
      </c>
      <c r="CW89">
        <v>2</v>
      </c>
      <c r="CX89">
        <v>1</v>
      </c>
      <c r="CY89">
        <v>1</v>
      </c>
      <c r="DA89">
        <v>1</v>
      </c>
      <c r="DB89">
        <v>1</v>
      </c>
      <c r="DC89">
        <v>1</v>
      </c>
      <c r="DD89">
        <v>1</v>
      </c>
      <c r="DO89">
        <v>1</v>
      </c>
      <c r="DQ89">
        <v>1</v>
      </c>
      <c r="EJ89">
        <v>1</v>
      </c>
      <c r="EK89">
        <v>1</v>
      </c>
      <c r="ET89">
        <v>1</v>
      </c>
      <c r="FZ89">
        <v>2</v>
      </c>
      <c r="IB89">
        <v>1</v>
      </c>
      <c r="IC89">
        <v>1</v>
      </c>
    </row>
    <row r="90" spans="1:259" x14ac:dyDescent="0.2">
      <c r="A90" t="str">
        <f t="shared" si="2"/>
        <v>Galanterie</v>
      </c>
      <c r="B90">
        <f>ROW()</f>
        <v>90</v>
      </c>
    </row>
    <row r="91" spans="1:259" x14ac:dyDescent="0.2">
      <c r="A91" t="str">
        <f t="shared" si="2"/>
        <v>Gassenwissen</v>
      </c>
      <c r="B91">
        <f>ROW()</f>
        <v>91</v>
      </c>
      <c r="AO91">
        <v>1</v>
      </c>
      <c r="AP91">
        <v>1</v>
      </c>
      <c r="AQ91">
        <v>1</v>
      </c>
      <c r="AR91">
        <v>1</v>
      </c>
      <c r="AT91">
        <v>1</v>
      </c>
      <c r="AU91">
        <v>1</v>
      </c>
      <c r="BU91">
        <v>1</v>
      </c>
      <c r="BV91">
        <v>1</v>
      </c>
      <c r="BW91">
        <v>1</v>
      </c>
      <c r="BX91">
        <v>1</v>
      </c>
      <c r="BY91">
        <v>1</v>
      </c>
      <c r="BZ91">
        <v>1</v>
      </c>
      <c r="CA91">
        <v>1</v>
      </c>
      <c r="CB91">
        <v>2</v>
      </c>
      <c r="CC91">
        <v>2</v>
      </c>
      <c r="CD91">
        <v>2</v>
      </c>
      <c r="CE91">
        <v>2</v>
      </c>
      <c r="CF91">
        <v>2</v>
      </c>
      <c r="CG91">
        <v>2</v>
      </c>
      <c r="CH91">
        <v>2</v>
      </c>
      <c r="CJ91">
        <v>2</v>
      </c>
      <c r="CM91">
        <v>-2</v>
      </c>
      <c r="CN91">
        <v>1</v>
      </c>
      <c r="CO91">
        <v>1</v>
      </c>
      <c r="CP91">
        <v>2</v>
      </c>
      <c r="CQ91">
        <v>2</v>
      </c>
      <c r="CR91">
        <v>1</v>
      </c>
      <c r="CS91">
        <v>1</v>
      </c>
      <c r="CT91">
        <v>1</v>
      </c>
      <c r="CU91">
        <v>1</v>
      </c>
      <c r="DB91">
        <v>1</v>
      </c>
      <c r="DC91">
        <v>1</v>
      </c>
      <c r="DD91">
        <v>1</v>
      </c>
      <c r="DO91">
        <v>1</v>
      </c>
      <c r="EJ91">
        <v>1</v>
      </c>
      <c r="EK91">
        <v>1</v>
      </c>
      <c r="EL91">
        <v>1</v>
      </c>
      <c r="EM91">
        <v>1</v>
      </c>
      <c r="EN91">
        <v>2</v>
      </c>
      <c r="EO91">
        <v>3</v>
      </c>
      <c r="EP91">
        <v>2</v>
      </c>
      <c r="EQ91">
        <v>2</v>
      </c>
      <c r="ER91">
        <v>2</v>
      </c>
      <c r="ES91">
        <v>2</v>
      </c>
      <c r="ET91">
        <v>2</v>
      </c>
      <c r="EU91">
        <v>2</v>
      </c>
      <c r="EV91">
        <v>2</v>
      </c>
      <c r="EW91">
        <v>1</v>
      </c>
      <c r="EY91">
        <v>1</v>
      </c>
      <c r="FH91">
        <v>-2</v>
      </c>
      <c r="FI91">
        <v>-2</v>
      </c>
      <c r="FJ91">
        <v>-2</v>
      </c>
      <c r="FS91">
        <v>-2</v>
      </c>
      <c r="FT91">
        <v>-2</v>
      </c>
      <c r="FU91">
        <v>-2</v>
      </c>
      <c r="FV91">
        <v>-2</v>
      </c>
      <c r="FW91">
        <v>-2</v>
      </c>
      <c r="FX91">
        <v>-2</v>
      </c>
      <c r="FY91">
        <v>-2</v>
      </c>
      <c r="IB91">
        <v>3</v>
      </c>
    </row>
    <row r="92" spans="1:259" x14ac:dyDescent="0.2">
      <c r="A92" t="str">
        <f t="shared" si="2"/>
        <v>Lehren</v>
      </c>
      <c r="B92">
        <f>ROW()</f>
        <v>92</v>
      </c>
      <c r="DG92">
        <v>1</v>
      </c>
      <c r="DH92">
        <v>1</v>
      </c>
      <c r="FZ92">
        <v>1</v>
      </c>
      <c r="HT92">
        <v>1</v>
      </c>
      <c r="HV92">
        <v>1</v>
      </c>
      <c r="HX92">
        <v>1</v>
      </c>
      <c r="HZ92">
        <v>1</v>
      </c>
      <c r="IC92">
        <v>2</v>
      </c>
    </row>
    <row r="93" spans="1:259" x14ac:dyDescent="0.2">
      <c r="A93" t="str">
        <f t="shared" si="2"/>
        <v>Menschenkenntnis</v>
      </c>
      <c r="B93">
        <f>ROW()</f>
        <v>93</v>
      </c>
      <c r="AO93">
        <v>1</v>
      </c>
      <c r="AP93">
        <v>2</v>
      </c>
      <c r="AQ93">
        <v>1</v>
      </c>
      <c r="AR93">
        <v>1</v>
      </c>
      <c r="AS93">
        <v>1</v>
      </c>
      <c r="AT93">
        <v>2</v>
      </c>
      <c r="AU93">
        <v>2</v>
      </c>
      <c r="AV93">
        <v>1</v>
      </c>
      <c r="AW93">
        <v>1</v>
      </c>
      <c r="AX93">
        <v>2</v>
      </c>
      <c r="AY93">
        <v>1</v>
      </c>
      <c r="AZ93">
        <v>1</v>
      </c>
      <c r="BB93">
        <v>1</v>
      </c>
      <c r="BC93">
        <v>1</v>
      </c>
      <c r="BD93">
        <v>2</v>
      </c>
      <c r="BF93">
        <v>1</v>
      </c>
      <c r="BK93">
        <v>1</v>
      </c>
      <c r="BL93">
        <v>1</v>
      </c>
      <c r="BM93">
        <v>1</v>
      </c>
      <c r="BN93">
        <v>1</v>
      </c>
      <c r="BP93">
        <v>1</v>
      </c>
      <c r="BQ93">
        <v>1</v>
      </c>
      <c r="BU93">
        <v>1</v>
      </c>
      <c r="BV93">
        <v>2</v>
      </c>
      <c r="BW93">
        <v>1</v>
      </c>
      <c r="BX93">
        <v>1</v>
      </c>
      <c r="BY93">
        <v>2</v>
      </c>
      <c r="BZ93">
        <v>1</v>
      </c>
      <c r="CA93">
        <v>1</v>
      </c>
      <c r="CB93">
        <v>2</v>
      </c>
      <c r="CC93">
        <v>3</v>
      </c>
      <c r="CD93">
        <v>2</v>
      </c>
      <c r="CE93">
        <v>2</v>
      </c>
      <c r="CF93">
        <v>2</v>
      </c>
      <c r="CG93">
        <v>3</v>
      </c>
      <c r="CH93">
        <v>2</v>
      </c>
      <c r="CI93">
        <v>2</v>
      </c>
      <c r="CJ93">
        <v>2</v>
      </c>
      <c r="CN93">
        <v>1</v>
      </c>
      <c r="CO93">
        <v>2</v>
      </c>
      <c r="CP93">
        <v>1</v>
      </c>
      <c r="CQ93">
        <v>2</v>
      </c>
      <c r="CR93">
        <v>1</v>
      </c>
      <c r="CS93">
        <v>2</v>
      </c>
      <c r="CT93">
        <v>1</v>
      </c>
      <c r="CU93">
        <v>2</v>
      </c>
      <c r="CV93">
        <v>1</v>
      </c>
      <c r="CW93">
        <v>2</v>
      </c>
      <c r="CX93">
        <v>1</v>
      </c>
      <c r="CY93">
        <v>1</v>
      </c>
      <c r="CZ93">
        <v>1</v>
      </c>
      <c r="DA93">
        <v>1</v>
      </c>
      <c r="DB93">
        <v>2</v>
      </c>
      <c r="DC93">
        <v>2</v>
      </c>
      <c r="DD93">
        <v>2</v>
      </c>
      <c r="DF93">
        <v>1</v>
      </c>
      <c r="DJ93">
        <v>1</v>
      </c>
      <c r="DQ93">
        <v>1</v>
      </c>
      <c r="EE93">
        <v>1</v>
      </c>
      <c r="EF93">
        <v>1</v>
      </c>
      <c r="EG93">
        <v>1</v>
      </c>
      <c r="EH93">
        <v>1</v>
      </c>
      <c r="EI93">
        <v>3</v>
      </c>
      <c r="EJ93">
        <v>2</v>
      </c>
      <c r="EK93">
        <v>1</v>
      </c>
      <c r="EN93">
        <v>2</v>
      </c>
      <c r="EO93">
        <v>2</v>
      </c>
      <c r="EP93">
        <v>2</v>
      </c>
      <c r="EQ93">
        <v>2</v>
      </c>
      <c r="ER93">
        <v>2</v>
      </c>
      <c r="ES93">
        <v>2</v>
      </c>
      <c r="ET93">
        <v>2</v>
      </c>
      <c r="EU93">
        <v>2</v>
      </c>
      <c r="EV93">
        <v>2</v>
      </c>
      <c r="FE93">
        <v>3</v>
      </c>
      <c r="FF93">
        <v>3</v>
      </c>
      <c r="FK93">
        <v>1</v>
      </c>
      <c r="FL93">
        <v>1</v>
      </c>
      <c r="FM93">
        <v>1</v>
      </c>
      <c r="FN93">
        <v>1</v>
      </c>
      <c r="FO93">
        <v>1</v>
      </c>
      <c r="FP93">
        <v>1</v>
      </c>
      <c r="FQ93">
        <v>1</v>
      </c>
      <c r="FR93">
        <v>1</v>
      </c>
      <c r="FZ93">
        <v>2</v>
      </c>
      <c r="GA93">
        <v>1</v>
      </c>
      <c r="GB93">
        <v>1</v>
      </c>
      <c r="GD93">
        <v>1</v>
      </c>
      <c r="GE93">
        <v>1</v>
      </c>
      <c r="GF93">
        <v>1</v>
      </c>
      <c r="GG93">
        <v>1</v>
      </c>
      <c r="GH93">
        <v>1</v>
      </c>
      <c r="GI93">
        <v>1</v>
      </c>
      <c r="GJ93">
        <v>1</v>
      </c>
      <c r="GK93">
        <v>1</v>
      </c>
      <c r="GL93">
        <v>1</v>
      </c>
      <c r="GM93">
        <v>1</v>
      </c>
      <c r="GN93">
        <v>1</v>
      </c>
      <c r="GO93">
        <v>1</v>
      </c>
      <c r="GP93">
        <v>1</v>
      </c>
      <c r="GQ93">
        <v>1</v>
      </c>
      <c r="GR93">
        <v>1</v>
      </c>
      <c r="GS93">
        <v>1</v>
      </c>
      <c r="GT93">
        <v>1</v>
      </c>
      <c r="GU93">
        <v>1</v>
      </c>
      <c r="GV93">
        <v>1</v>
      </c>
      <c r="GW93">
        <v>1</v>
      </c>
      <c r="GX93">
        <v>1</v>
      </c>
      <c r="GY93">
        <v>1</v>
      </c>
      <c r="GZ93">
        <v>1</v>
      </c>
      <c r="HA93">
        <v>1</v>
      </c>
      <c r="HB93">
        <v>1</v>
      </c>
      <c r="HC93">
        <v>1</v>
      </c>
      <c r="HD93">
        <v>1</v>
      </c>
      <c r="HE93">
        <v>1</v>
      </c>
      <c r="HF93">
        <v>1</v>
      </c>
      <c r="HG93">
        <v>1</v>
      </c>
      <c r="HH93">
        <v>1</v>
      </c>
      <c r="HI93">
        <v>1</v>
      </c>
      <c r="HJ93">
        <v>1</v>
      </c>
      <c r="HK93">
        <v>1</v>
      </c>
      <c r="HL93">
        <v>1</v>
      </c>
      <c r="HM93">
        <v>1</v>
      </c>
      <c r="HN93">
        <v>1</v>
      </c>
      <c r="HO93">
        <v>1</v>
      </c>
      <c r="HP93">
        <v>1</v>
      </c>
      <c r="HQ93">
        <v>1</v>
      </c>
      <c r="HR93">
        <v>1</v>
      </c>
      <c r="HT93">
        <v>2</v>
      </c>
      <c r="HV93">
        <v>2</v>
      </c>
      <c r="HX93">
        <v>2</v>
      </c>
      <c r="HZ93">
        <v>2</v>
      </c>
      <c r="IB93">
        <v>3</v>
      </c>
      <c r="IC93">
        <v>1</v>
      </c>
      <c r="ID93">
        <v>2</v>
      </c>
      <c r="IE93">
        <v>2</v>
      </c>
      <c r="IF93">
        <v>2</v>
      </c>
      <c r="IG93">
        <v>2</v>
      </c>
      <c r="IH93">
        <v>2</v>
      </c>
      <c r="II93">
        <v>2</v>
      </c>
      <c r="IL93">
        <v>1</v>
      </c>
      <c r="IM93">
        <v>1</v>
      </c>
      <c r="IN93">
        <v>1</v>
      </c>
      <c r="IO93">
        <v>1</v>
      </c>
      <c r="IP93">
        <v>1</v>
      </c>
      <c r="IQ93">
        <v>1</v>
      </c>
      <c r="IY93">
        <v>1</v>
      </c>
    </row>
    <row r="94" spans="1:259" x14ac:dyDescent="0.2">
      <c r="A94" t="str">
        <f t="shared" si="2"/>
        <v>Schauspielerei</v>
      </c>
      <c r="B94">
        <f>ROW()</f>
        <v>94</v>
      </c>
    </row>
    <row r="95" spans="1:259" x14ac:dyDescent="0.2">
      <c r="A95" t="str">
        <f t="shared" si="2"/>
        <v>Schriftl. Ausdruck</v>
      </c>
      <c r="B95">
        <f>ROW()</f>
        <v>95</v>
      </c>
    </row>
    <row r="96" spans="1:259" x14ac:dyDescent="0.2">
      <c r="A96" t="str">
        <f t="shared" si="2"/>
        <v>Sich Verkleiden</v>
      </c>
      <c r="B96">
        <f>ROW()</f>
        <v>96</v>
      </c>
      <c r="DB96">
        <v>1</v>
      </c>
      <c r="DC96">
        <v>1</v>
      </c>
      <c r="DD96">
        <v>1</v>
      </c>
      <c r="DJ96">
        <v>1</v>
      </c>
      <c r="DO96">
        <v>1</v>
      </c>
      <c r="DY96">
        <v>-1</v>
      </c>
      <c r="EF96">
        <v>1</v>
      </c>
      <c r="EG96">
        <v>1</v>
      </c>
      <c r="EH96">
        <v>1</v>
      </c>
      <c r="EI96">
        <v>1</v>
      </c>
      <c r="EJ96">
        <v>2</v>
      </c>
      <c r="EK96">
        <v>1</v>
      </c>
      <c r="EL96">
        <v>2</v>
      </c>
      <c r="EM96">
        <v>1</v>
      </c>
      <c r="EN96">
        <v>1</v>
      </c>
      <c r="EO96">
        <v>1</v>
      </c>
      <c r="EP96">
        <v>1</v>
      </c>
      <c r="EQ96">
        <v>1</v>
      </c>
      <c r="ER96">
        <v>1</v>
      </c>
      <c r="ES96">
        <v>1</v>
      </c>
      <c r="ET96">
        <v>1</v>
      </c>
      <c r="EU96">
        <v>1</v>
      </c>
      <c r="EV96">
        <v>1</v>
      </c>
      <c r="EW96">
        <v>1</v>
      </c>
      <c r="EX96">
        <v>1</v>
      </c>
      <c r="EY96">
        <v>1</v>
      </c>
    </row>
    <row r="97" spans="1:259" x14ac:dyDescent="0.2">
      <c r="A97" t="str">
        <f t="shared" si="2"/>
        <v>Überreden</v>
      </c>
      <c r="B97">
        <f>ROW()</f>
        <v>97</v>
      </c>
      <c r="AO97">
        <v>1</v>
      </c>
      <c r="AP97">
        <v>2</v>
      </c>
      <c r="AQ97">
        <v>3</v>
      </c>
      <c r="AR97">
        <v>1</v>
      </c>
      <c r="AS97">
        <v>1</v>
      </c>
      <c r="AT97">
        <v>2</v>
      </c>
      <c r="AU97">
        <v>1</v>
      </c>
      <c r="AV97">
        <v>1</v>
      </c>
      <c r="AW97">
        <v>1</v>
      </c>
      <c r="AX97">
        <v>1</v>
      </c>
      <c r="AY97">
        <v>1</v>
      </c>
      <c r="AZ97">
        <v>1</v>
      </c>
      <c r="BB97">
        <v>1</v>
      </c>
      <c r="BD97">
        <v>1</v>
      </c>
      <c r="BF97">
        <v>1</v>
      </c>
      <c r="BL97">
        <v>1</v>
      </c>
      <c r="BP97">
        <v>1</v>
      </c>
      <c r="BQ97">
        <v>1</v>
      </c>
      <c r="BU97">
        <v>1</v>
      </c>
      <c r="BV97">
        <v>2</v>
      </c>
      <c r="BW97">
        <v>3</v>
      </c>
      <c r="BX97">
        <v>1</v>
      </c>
      <c r="BY97">
        <v>1</v>
      </c>
      <c r="BZ97">
        <v>1</v>
      </c>
      <c r="CA97">
        <v>1</v>
      </c>
      <c r="CB97">
        <v>1</v>
      </c>
      <c r="CC97">
        <v>2</v>
      </c>
      <c r="CD97">
        <v>3</v>
      </c>
      <c r="CE97">
        <v>1</v>
      </c>
      <c r="CF97">
        <v>1</v>
      </c>
      <c r="CG97">
        <v>1</v>
      </c>
      <c r="CH97">
        <v>1</v>
      </c>
      <c r="CI97">
        <v>1</v>
      </c>
      <c r="CJ97">
        <v>1</v>
      </c>
      <c r="CN97">
        <v>1</v>
      </c>
      <c r="CO97">
        <v>1</v>
      </c>
      <c r="CP97">
        <v>2</v>
      </c>
      <c r="CQ97">
        <v>2</v>
      </c>
      <c r="CR97">
        <v>1</v>
      </c>
      <c r="CS97">
        <v>1</v>
      </c>
      <c r="CT97">
        <v>1</v>
      </c>
      <c r="CU97">
        <v>1</v>
      </c>
      <c r="CV97">
        <v>2</v>
      </c>
      <c r="CW97">
        <v>2</v>
      </c>
      <c r="CX97">
        <v>1</v>
      </c>
      <c r="CY97">
        <v>2</v>
      </c>
      <c r="DA97">
        <v>2</v>
      </c>
      <c r="DB97">
        <v>1</v>
      </c>
      <c r="DC97">
        <v>1</v>
      </c>
      <c r="DD97">
        <v>1</v>
      </c>
      <c r="DF97">
        <v>1</v>
      </c>
      <c r="DG97">
        <v>1</v>
      </c>
      <c r="DH97">
        <v>1</v>
      </c>
      <c r="DI97">
        <v>2</v>
      </c>
      <c r="DJ97">
        <v>2</v>
      </c>
      <c r="EF97">
        <v>2</v>
      </c>
      <c r="EG97">
        <v>2</v>
      </c>
      <c r="EH97">
        <v>2</v>
      </c>
      <c r="EI97">
        <v>3</v>
      </c>
      <c r="EJ97">
        <v>1</v>
      </c>
      <c r="EK97">
        <v>1</v>
      </c>
      <c r="EL97">
        <v>1</v>
      </c>
      <c r="EM97">
        <v>1</v>
      </c>
      <c r="EN97">
        <v>1</v>
      </c>
      <c r="EO97">
        <v>1</v>
      </c>
      <c r="EP97">
        <v>1</v>
      </c>
      <c r="EQ97">
        <v>1</v>
      </c>
      <c r="ER97">
        <v>1</v>
      </c>
      <c r="ES97">
        <v>1</v>
      </c>
      <c r="ET97">
        <v>1</v>
      </c>
      <c r="EU97">
        <v>1</v>
      </c>
      <c r="EV97">
        <v>1</v>
      </c>
      <c r="EW97">
        <v>1</v>
      </c>
      <c r="EX97">
        <v>1</v>
      </c>
      <c r="EY97">
        <v>1</v>
      </c>
      <c r="EZ97">
        <v>1</v>
      </c>
      <c r="FE97">
        <v>3</v>
      </c>
      <c r="FF97">
        <v>3</v>
      </c>
      <c r="FG97">
        <v>-1</v>
      </c>
      <c r="FK97">
        <v>1</v>
      </c>
      <c r="FL97">
        <v>1</v>
      </c>
      <c r="FM97">
        <v>2</v>
      </c>
      <c r="FN97">
        <v>1</v>
      </c>
      <c r="FO97">
        <v>1</v>
      </c>
      <c r="FP97">
        <v>1</v>
      </c>
      <c r="FQ97">
        <v>1</v>
      </c>
      <c r="FR97">
        <v>1</v>
      </c>
      <c r="GA97">
        <v>1</v>
      </c>
      <c r="GB97">
        <v>1</v>
      </c>
      <c r="GD97">
        <v>3</v>
      </c>
      <c r="GE97">
        <v>2</v>
      </c>
      <c r="GF97">
        <v>2</v>
      </c>
      <c r="GG97">
        <v>2</v>
      </c>
      <c r="GH97">
        <v>3</v>
      </c>
      <c r="GI97">
        <v>3</v>
      </c>
      <c r="GJ97">
        <v>2</v>
      </c>
      <c r="GK97">
        <v>2</v>
      </c>
      <c r="GL97">
        <v>2</v>
      </c>
      <c r="GM97">
        <v>3</v>
      </c>
      <c r="GN97">
        <v>3</v>
      </c>
      <c r="GO97">
        <v>2</v>
      </c>
      <c r="GP97">
        <v>2</v>
      </c>
      <c r="GQ97">
        <v>2</v>
      </c>
      <c r="GR97">
        <v>3</v>
      </c>
      <c r="GS97">
        <v>3</v>
      </c>
      <c r="GT97">
        <v>2</v>
      </c>
      <c r="GU97">
        <v>2</v>
      </c>
      <c r="GV97">
        <v>2</v>
      </c>
      <c r="GW97">
        <v>3</v>
      </c>
      <c r="GX97">
        <v>3</v>
      </c>
      <c r="GY97">
        <v>2</v>
      </c>
      <c r="GZ97">
        <v>2</v>
      </c>
      <c r="HA97">
        <v>2</v>
      </c>
      <c r="HB97">
        <v>3</v>
      </c>
      <c r="HC97">
        <v>4</v>
      </c>
      <c r="HD97">
        <v>3</v>
      </c>
      <c r="HE97">
        <v>3</v>
      </c>
      <c r="HF97">
        <v>3</v>
      </c>
      <c r="HG97">
        <v>4</v>
      </c>
      <c r="HH97">
        <v>3</v>
      </c>
      <c r="HI97">
        <v>2</v>
      </c>
      <c r="HJ97">
        <v>2</v>
      </c>
      <c r="HK97">
        <v>2</v>
      </c>
      <c r="HL97">
        <v>3</v>
      </c>
      <c r="HM97">
        <v>1</v>
      </c>
      <c r="HN97">
        <v>3</v>
      </c>
      <c r="HO97">
        <v>2</v>
      </c>
      <c r="HP97">
        <v>2</v>
      </c>
      <c r="HQ97">
        <v>2</v>
      </c>
      <c r="HR97">
        <v>3</v>
      </c>
      <c r="IB97">
        <v>2</v>
      </c>
      <c r="IL97">
        <v>2</v>
      </c>
      <c r="IM97">
        <v>3</v>
      </c>
      <c r="IN97">
        <v>2</v>
      </c>
      <c r="IO97">
        <v>2</v>
      </c>
      <c r="IP97">
        <v>2</v>
      </c>
      <c r="IQ97">
        <v>3</v>
      </c>
      <c r="IW97">
        <v>1</v>
      </c>
      <c r="IY97">
        <v>2</v>
      </c>
    </row>
    <row r="98" spans="1:259" x14ac:dyDescent="0.2">
      <c r="A98" t="str">
        <f t="shared" si="2"/>
        <v>Überzeugen</v>
      </c>
      <c r="B98">
        <f>ROW()</f>
        <v>98</v>
      </c>
    </row>
    <row r="99" spans="1:259" ht="12.75" customHeight="1" x14ac:dyDescent="0.2">
      <c r="A99" t="str">
        <f>INDEX(TL_NAT,ROW()-98)</f>
        <v>Fährtensuchen</v>
      </c>
      <c r="B99">
        <f>ROW()</f>
        <v>99</v>
      </c>
      <c r="C99" t="s">
        <v>3997</v>
      </c>
      <c r="AG99">
        <v>1</v>
      </c>
      <c r="AH99">
        <v>1</v>
      </c>
      <c r="AI99">
        <v>2</v>
      </c>
      <c r="AJ99">
        <v>2</v>
      </c>
      <c r="AK99">
        <v>3</v>
      </c>
      <c r="AL99">
        <v>2</v>
      </c>
      <c r="AN99" t="s">
        <v>3997</v>
      </c>
      <c r="AV99">
        <v>1</v>
      </c>
      <c r="AW99">
        <v>1</v>
      </c>
      <c r="AX99">
        <v>1</v>
      </c>
      <c r="AY99">
        <v>1</v>
      </c>
      <c r="AZ99">
        <v>1</v>
      </c>
      <c r="BA99">
        <v>2</v>
      </c>
      <c r="BB99">
        <v>1</v>
      </c>
      <c r="BC99">
        <v>1</v>
      </c>
      <c r="BD99">
        <v>1</v>
      </c>
      <c r="BE99">
        <v>1</v>
      </c>
      <c r="BF99">
        <v>1</v>
      </c>
      <c r="BG99">
        <v>1</v>
      </c>
      <c r="BH99">
        <v>2</v>
      </c>
      <c r="BI99">
        <v>1</v>
      </c>
      <c r="BJ99">
        <v>3</v>
      </c>
      <c r="BO99">
        <v>1</v>
      </c>
      <c r="BP99">
        <v>1</v>
      </c>
      <c r="BQ99">
        <v>1</v>
      </c>
      <c r="BR99">
        <v>1</v>
      </c>
      <c r="BS99">
        <v>1</v>
      </c>
      <c r="BT99">
        <v>2</v>
      </c>
      <c r="CI99">
        <v>1</v>
      </c>
      <c r="CV99">
        <v>1</v>
      </c>
      <c r="CW99">
        <v>1</v>
      </c>
      <c r="CX99">
        <v>1</v>
      </c>
      <c r="CY99">
        <v>1</v>
      </c>
      <c r="CZ99">
        <v>1</v>
      </c>
      <c r="DA99">
        <v>1</v>
      </c>
      <c r="DI99">
        <v>2</v>
      </c>
      <c r="DL99">
        <v>1</v>
      </c>
      <c r="DN99">
        <v>1</v>
      </c>
      <c r="DP99">
        <v>1</v>
      </c>
      <c r="DS99">
        <v>2</v>
      </c>
      <c r="DT99">
        <v>1</v>
      </c>
      <c r="DU99">
        <v>4</v>
      </c>
      <c r="DV99">
        <v>4</v>
      </c>
      <c r="DW99">
        <v>4</v>
      </c>
      <c r="DX99">
        <v>3</v>
      </c>
      <c r="DY99">
        <v>3</v>
      </c>
      <c r="DZ99">
        <v>4</v>
      </c>
      <c r="EA99">
        <v>4</v>
      </c>
      <c r="EB99">
        <v>2</v>
      </c>
      <c r="EC99">
        <v>3</v>
      </c>
      <c r="ED99">
        <v>3</v>
      </c>
      <c r="EG99">
        <v>1</v>
      </c>
      <c r="EZ99">
        <v>1</v>
      </c>
      <c r="FA99">
        <v>3</v>
      </c>
      <c r="FB99">
        <v>3</v>
      </c>
      <c r="FC99">
        <v>4</v>
      </c>
      <c r="FD99">
        <v>5</v>
      </c>
      <c r="FE99">
        <v>1</v>
      </c>
      <c r="FF99">
        <v>1</v>
      </c>
      <c r="FG99">
        <v>1</v>
      </c>
      <c r="FH99" t="s">
        <v>1721</v>
      </c>
      <c r="FI99" t="s">
        <v>1721</v>
      </c>
      <c r="FJ99" t="s">
        <v>1721</v>
      </c>
      <c r="FK99">
        <v>2</v>
      </c>
      <c r="FL99">
        <v>1</v>
      </c>
      <c r="FM99">
        <v>1</v>
      </c>
      <c r="FN99">
        <v>2</v>
      </c>
      <c r="FO99">
        <v>2</v>
      </c>
      <c r="FP99">
        <v>2</v>
      </c>
      <c r="FQ99">
        <v>2</v>
      </c>
      <c r="FR99">
        <v>2</v>
      </c>
      <c r="FS99" t="s">
        <v>666</v>
      </c>
      <c r="FT99" t="s">
        <v>1721</v>
      </c>
      <c r="FU99">
        <v>3</v>
      </c>
      <c r="FV99">
        <v>1</v>
      </c>
      <c r="FW99">
        <v>1</v>
      </c>
      <c r="FX99">
        <v>3</v>
      </c>
      <c r="FZ99">
        <v>-1</v>
      </c>
      <c r="GD99">
        <v>1</v>
      </c>
      <c r="GE99">
        <v>1</v>
      </c>
      <c r="GF99">
        <v>1</v>
      </c>
      <c r="GG99">
        <v>1</v>
      </c>
      <c r="GH99">
        <v>1</v>
      </c>
      <c r="GI99">
        <v>1</v>
      </c>
      <c r="GJ99">
        <v>1</v>
      </c>
      <c r="GK99">
        <v>1</v>
      </c>
      <c r="GL99">
        <v>1</v>
      </c>
      <c r="GM99">
        <v>1</v>
      </c>
      <c r="GN99">
        <v>1</v>
      </c>
      <c r="GO99">
        <v>1</v>
      </c>
      <c r="GP99">
        <v>1</v>
      </c>
      <c r="GQ99">
        <v>1</v>
      </c>
      <c r="GR99">
        <v>1</v>
      </c>
      <c r="GS99">
        <v>1</v>
      </c>
      <c r="GT99">
        <v>1</v>
      </c>
      <c r="GU99">
        <v>1</v>
      </c>
      <c r="GV99">
        <v>1</v>
      </c>
      <c r="GW99">
        <v>1</v>
      </c>
      <c r="GX99">
        <v>1</v>
      </c>
      <c r="GY99">
        <v>1</v>
      </c>
      <c r="GZ99">
        <v>1</v>
      </c>
      <c r="HA99">
        <v>1</v>
      </c>
      <c r="HB99">
        <v>1</v>
      </c>
      <c r="HC99">
        <v>1</v>
      </c>
      <c r="HD99">
        <v>1</v>
      </c>
      <c r="HE99">
        <v>1</v>
      </c>
      <c r="HF99">
        <v>1</v>
      </c>
      <c r="HG99">
        <v>1</v>
      </c>
      <c r="HH99">
        <v>2</v>
      </c>
      <c r="HI99">
        <v>2</v>
      </c>
      <c r="HJ99">
        <v>2</v>
      </c>
      <c r="HK99">
        <v>2</v>
      </c>
      <c r="HL99">
        <v>2</v>
      </c>
      <c r="HM99">
        <v>1</v>
      </c>
      <c r="HS99">
        <v>2</v>
      </c>
      <c r="HT99">
        <v>1</v>
      </c>
      <c r="HU99">
        <v>2</v>
      </c>
      <c r="HV99">
        <v>1</v>
      </c>
      <c r="HW99">
        <v>2</v>
      </c>
      <c r="HX99">
        <v>1</v>
      </c>
      <c r="HY99">
        <v>2</v>
      </c>
      <c r="HZ99">
        <v>1</v>
      </c>
      <c r="IA99">
        <v>2</v>
      </c>
      <c r="IL99">
        <v>1</v>
      </c>
      <c r="IM99">
        <v>1</v>
      </c>
      <c r="IN99">
        <v>1</v>
      </c>
      <c r="IO99">
        <v>1</v>
      </c>
      <c r="IP99">
        <v>1</v>
      </c>
      <c r="IQ99">
        <v>1</v>
      </c>
      <c r="IX99">
        <v>1</v>
      </c>
    </row>
    <row r="100" spans="1:259" x14ac:dyDescent="0.2">
      <c r="A100" t="str">
        <f t="shared" ref="A100:A106" si="3">INDEX(TL_NAT,ROW()-98)</f>
        <v>Fallenstellen</v>
      </c>
      <c r="B100">
        <f>ROW()</f>
        <v>100</v>
      </c>
      <c r="AY100">
        <v>1</v>
      </c>
      <c r="BE100">
        <v>1</v>
      </c>
      <c r="BG100">
        <v>1</v>
      </c>
      <c r="BH100">
        <v>1</v>
      </c>
      <c r="BI100">
        <v>1</v>
      </c>
      <c r="BJ100">
        <v>2</v>
      </c>
      <c r="BO100">
        <v>1</v>
      </c>
      <c r="BR100">
        <v>1</v>
      </c>
      <c r="BS100">
        <v>1</v>
      </c>
      <c r="BT100">
        <v>1</v>
      </c>
      <c r="CI100">
        <v>1</v>
      </c>
      <c r="DI100">
        <v>1</v>
      </c>
      <c r="DL100">
        <v>1</v>
      </c>
      <c r="DN100">
        <v>1</v>
      </c>
      <c r="DP100">
        <v>1</v>
      </c>
      <c r="DS100">
        <v>1</v>
      </c>
      <c r="DU100">
        <v>1</v>
      </c>
      <c r="DV100">
        <v>1</v>
      </c>
      <c r="DW100">
        <v>1</v>
      </c>
      <c r="DX100">
        <v>1</v>
      </c>
      <c r="DY100">
        <v>1</v>
      </c>
      <c r="DZ100">
        <v>1</v>
      </c>
      <c r="EA100">
        <v>1</v>
      </c>
      <c r="EB100">
        <v>1</v>
      </c>
      <c r="EC100">
        <v>1</v>
      </c>
      <c r="ED100">
        <v>1</v>
      </c>
      <c r="EZ100">
        <v>1</v>
      </c>
      <c r="IA100">
        <v>2</v>
      </c>
    </row>
    <row r="101" spans="1:259" x14ac:dyDescent="0.2">
      <c r="A101" t="str">
        <f t="shared" si="3"/>
        <v>Fesseln/Entfesseln</v>
      </c>
      <c r="B101">
        <f>ROW()</f>
        <v>101</v>
      </c>
      <c r="AP101">
        <v>1</v>
      </c>
      <c r="AW101">
        <v>1</v>
      </c>
      <c r="BI101">
        <v>1</v>
      </c>
      <c r="BM101">
        <v>1</v>
      </c>
      <c r="BR101">
        <v>1</v>
      </c>
      <c r="BV101">
        <v>1</v>
      </c>
      <c r="CC101">
        <v>1</v>
      </c>
      <c r="CF101">
        <v>1</v>
      </c>
      <c r="CK101">
        <v>1</v>
      </c>
      <c r="CL101">
        <v>1</v>
      </c>
      <c r="CR101">
        <v>1</v>
      </c>
      <c r="CS101">
        <v>1</v>
      </c>
      <c r="CY101">
        <v>1</v>
      </c>
      <c r="DC101">
        <v>1</v>
      </c>
      <c r="DK101">
        <v>1</v>
      </c>
      <c r="DL101">
        <v>1</v>
      </c>
      <c r="DM101">
        <v>2</v>
      </c>
      <c r="DN101">
        <v>1</v>
      </c>
      <c r="DO101">
        <v>1</v>
      </c>
      <c r="DP101">
        <v>1</v>
      </c>
      <c r="DQ101">
        <v>1</v>
      </c>
      <c r="DR101">
        <v>1</v>
      </c>
      <c r="DZ101">
        <v>3</v>
      </c>
      <c r="EA101">
        <v>3</v>
      </c>
      <c r="EC101">
        <v>2</v>
      </c>
      <c r="ED101">
        <v>2</v>
      </c>
      <c r="EE101">
        <v>3</v>
      </c>
      <c r="EZ101">
        <v>1</v>
      </c>
      <c r="FF101">
        <v>1</v>
      </c>
      <c r="FV101">
        <v>1</v>
      </c>
      <c r="FW101">
        <v>1</v>
      </c>
      <c r="GC101">
        <v>1</v>
      </c>
    </row>
    <row r="102" spans="1:259" x14ac:dyDescent="0.2">
      <c r="A102" t="str">
        <f t="shared" si="3"/>
        <v>Fischen/Angeln</v>
      </c>
      <c r="B102">
        <f>ROW()</f>
        <v>102</v>
      </c>
      <c r="AI102">
        <v>1</v>
      </c>
      <c r="AJ102">
        <v>1</v>
      </c>
      <c r="AK102">
        <v>1</v>
      </c>
      <c r="AL102">
        <v>1</v>
      </c>
      <c r="AP102">
        <v>1</v>
      </c>
      <c r="AW102">
        <v>1</v>
      </c>
      <c r="BI102">
        <v>2</v>
      </c>
      <c r="BM102">
        <v>1</v>
      </c>
      <c r="BR102">
        <v>1</v>
      </c>
      <c r="BS102">
        <v>1</v>
      </c>
      <c r="BV102">
        <v>1</v>
      </c>
      <c r="CC102">
        <v>1</v>
      </c>
      <c r="CF102">
        <v>1</v>
      </c>
      <c r="CI102">
        <v>1</v>
      </c>
      <c r="CK102">
        <v>1</v>
      </c>
      <c r="CL102">
        <v>1</v>
      </c>
      <c r="CR102">
        <v>1</v>
      </c>
      <c r="CS102">
        <v>1</v>
      </c>
      <c r="CY102">
        <v>1</v>
      </c>
      <c r="DC102">
        <v>1</v>
      </c>
      <c r="DK102">
        <v>3</v>
      </c>
      <c r="DL102">
        <v>1</v>
      </c>
      <c r="DM102">
        <v>3</v>
      </c>
      <c r="DN102">
        <v>1</v>
      </c>
      <c r="DO102">
        <v>3</v>
      </c>
      <c r="DP102">
        <v>3</v>
      </c>
      <c r="DQ102">
        <v>3</v>
      </c>
      <c r="DR102">
        <v>3</v>
      </c>
      <c r="DS102">
        <v>1</v>
      </c>
      <c r="DU102">
        <v>1</v>
      </c>
      <c r="DV102">
        <v>1</v>
      </c>
      <c r="DW102">
        <v>1</v>
      </c>
      <c r="DX102">
        <v>2</v>
      </c>
      <c r="DY102">
        <v>1</v>
      </c>
      <c r="DZ102">
        <v>1</v>
      </c>
      <c r="EA102">
        <v>1</v>
      </c>
      <c r="EB102">
        <v>1</v>
      </c>
      <c r="EC102">
        <v>2</v>
      </c>
      <c r="ED102">
        <v>2</v>
      </c>
      <c r="EE102">
        <v>4</v>
      </c>
      <c r="EG102">
        <v>1</v>
      </c>
      <c r="EH102">
        <v>2</v>
      </c>
      <c r="EW102">
        <v>2</v>
      </c>
      <c r="EZ102">
        <v>2</v>
      </c>
      <c r="FA102">
        <v>1</v>
      </c>
      <c r="FB102">
        <v>1</v>
      </c>
      <c r="FC102">
        <v>3</v>
      </c>
      <c r="FD102">
        <v>3</v>
      </c>
      <c r="FF102">
        <v>1</v>
      </c>
      <c r="FG102">
        <v>1</v>
      </c>
      <c r="FH102" t="s">
        <v>1721</v>
      </c>
      <c r="FI102" t="s">
        <v>1721</v>
      </c>
      <c r="FJ102" t="s">
        <v>1721</v>
      </c>
      <c r="FK102" t="s">
        <v>1722</v>
      </c>
      <c r="FL102" t="s">
        <v>666</v>
      </c>
      <c r="FM102" t="s">
        <v>1722</v>
      </c>
      <c r="FN102" t="s">
        <v>666</v>
      </c>
      <c r="FO102" t="s">
        <v>666</v>
      </c>
      <c r="FP102" t="s">
        <v>1722</v>
      </c>
      <c r="FQ102" t="s">
        <v>1722</v>
      </c>
      <c r="FR102" t="s">
        <v>1722</v>
      </c>
      <c r="FS102">
        <v>2</v>
      </c>
      <c r="FU102" t="s">
        <v>666</v>
      </c>
      <c r="FV102" t="s">
        <v>1721</v>
      </c>
      <c r="FW102" t="s">
        <v>1721</v>
      </c>
      <c r="FX102" t="s">
        <v>666</v>
      </c>
      <c r="GI102">
        <v>2</v>
      </c>
      <c r="GJ102">
        <v>2</v>
      </c>
      <c r="GK102">
        <v>2</v>
      </c>
      <c r="GL102">
        <v>2</v>
      </c>
      <c r="GM102">
        <v>2</v>
      </c>
      <c r="HS102">
        <v>1</v>
      </c>
      <c r="HT102">
        <v>1</v>
      </c>
      <c r="HU102">
        <v>1</v>
      </c>
      <c r="HV102">
        <v>1</v>
      </c>
      <c r="HW102">
        <v>1</v>
      </c>
      <c r="HX102">
        <v>1</v>
      </c>
      <c r="HY102">
        <v>1</v>
      </c>
      <c r="HZ102">
        <v>1</v>
      </c>
      <c r="IA102">
        <v>1</v>
      </c>
      <c r="ID102">
        <v>2</v>
      </c>
      <c r="IE102">
        <v>2</v>
      </c>
      <c r="IF102">
        <v>2</v>
      </c>
      <c r="IG102">
        <v>2</v>
      </c>
      <c r="IH102">
        <v>4</v>
      </c>
      <c r="II102">
        <v>2</v>
      </c>
      <c r="IS102">
        <v>2</v>
      </c>
    </row>
    <row r="103" spans="1:259" x14ac:dyDescent="0.2">
      <c r="A103" t="str">
        <f t="shared" si="3"/>
        <v>Orientierung</v>
      </c>
      <c r="B103">
        <f>ROW()</f>
        <v>103</v>
      </c>
      <c r="G103">
        <v>1</v>
      </c>
      <c r="H103">
        <v>1</v>
      </c>
      <c r="K103">
        <v>1</v>
      </c>
      <c r="L103">
        <v>1</v>
      </c>
      <c r="M103">
        <v>1</v>
      </c>
      <c r="N103">
        <v>1</v>
      </c>
      <c r="O103">
        <v>1</v>
      </c>
      <c r="P103">
        <v>1</v>
      </c>
      <c r="Q103">
        <v>1</v>
      </c>
      <c r="S103">
        <v>2</v>
      </c>
      <c r="T103">
        <v>2</v>
      </c>
      <c r="U103">
        <v>2</v>
      </c>
      <c r="W103">
        <v>1</v>
      </c>
      <c r="AA103">
        <v>1</v>
      </c>
      <c r="AD103">
        <v>2</v>
      </c>
      <c r="AE103">
        <v>2</v>
      </c>
      <c r="AG103">
        <v>1</v>
      </c>
      <c r="AH103">
        <v>1</v>
      </c>
      <c r="AI103">
        <v>1</v>
      </c>
      <c r="AJ103">
        <v>1</v>
      </c>
      <c r="AK103">
        <v>1</v>
      </c>
      <c r="AL103">
        <v>1</v>
      </c>
      <c r="BA103">
        <v>1</v>
      </c>
      <c r="BE103">
        <v>1</v>
      </c>
      <c r="BF103">
        <v>1</v>
      </c>
      <c r="BG103">
        <v>1</v>
      </c>
      <c r="BH103">
        <v>1</v>
      </c>
      <c r="BI103">
        <v>1</v>
      </c>
      <c r="BJ103">
        <v>2</v>
      </c>
      <c r="BK103">
        <v>1</v>
      </c>
      <c r="BL103">
        <v>1</v>
      </c>
      <c r="BM103">
        <v>1</v>
      </c>
      <c r="BN103">
        <v>1</v>
      </c>
      <c r="BO103">
        <v>1</v>
      </c>
      <c r="BP103">
        <v>1</v>
      </c>
      <c r="BQ103">
        <v>1</v>
      </c>
      <c r="BR103">
        <v>1</v>
      </c>
      <c r="BS103">
        <v>1</v>
      </c>
      <c r="BT103">
        <v>1</v>
      </c>
      <c r="CK103">
        <v>1</v>
      </c>
      <c r="CL103">
        <v>1</v>
      </c>
      <c r="CX103">
        <v>1</v>
      </c>
      <c r="CZ103">
        <v>1</v>
      </c>
      <c r="DE103">
        <v>3</v>
      </c>
      <c r="DF103">
        <v>1</v>
      </c>
      <c r="DG103">
        <v>3</v>
      </c>
      <c r="DH103">
        <v>1</v>
      </c>
      <c r="DI103">
        <v>2</v>
      </c>
      <c r="DJ103">
        <v>1</v>
      </c>
      <c r="DK103">
        <v>3</v>
      </c>
      <c r="DL103">
        <v>2</v>
      </c>
      <c r="DM103">
        <v>5</v>
      </c>
      <c r="DN103">
        <v>2</v>
      </c>
      <c r="DO103">
        <v>4</v>
      </c>
      <c r="DP103">
        <v>3</v>
      </c>
      <c r="DQ103">
        <v>3</v>
      </c>
      <c r="DR103">
        <v>3</v>
      </c>
      <c r="DS103">
        <v>2</v>
      </c>
      <c r="DT103">
        <v>3</v>
      </c>
      <c r="DU103">
        <v>3</v>
      </c>
      <c r="DV103">
        <v>3</v>
      </c>
      <c r="DW103">
        <v>3</v>
      </c>
      <c r="DX103">
        <v>3</v>
      </c>
      <c r="DY103">
        <v>3</v>
      </c>
      <c r="DZ103">
        <v>4</v>
      </c>
      <c r="EA103">
        <v>4</v>
      </c>
      <c r="EB103">
        <v>2</v>
      </c>
      <c r="EC103">
        <v>1</v>
      </c>
      <c r="ED103">
        <v>3</v>
      </c>
      <c r="EE103">
        <v>4</v>
      </c>
      <c r="EG103">
        <v>1</v>
      </c>
      <c r="FA103">
        <v>2</v>
      </c>
      <c r="FB103">
        <v>2</v>
      </c>
      <c r="FC103">
        <v>3</v>
      </c>
      <c r="FD103">
        <v>4</v>
      </c>
      <c r="FE103">
        <v>2</v>
      </c>
      <c r="FF103">
        <v>3</v>
      </c>
      <c r="FG103">
        <v>1</v>
      </c>
      <c r="FH103" t="s">
        <v>666</v>
      </c>
      <c r="FI103" t="s">
        <v>666</v>
      </c>
      <c r="FJ103" t="s">
        <v>666</v>
      </c>
      <c r="FK103" t="s">
        <v>2334</v>
      </c>
      <c r="FL103" t="s">
        <v>2334</v>
      </c>
      <c r="FM103" t="s">
        <v>2334</v>
      </c>
      <c r="FN103" t="s">
        <v>2334</v>
      </c>
      <c r="FO103" t="s">
        <v>2334</v>
      </c>
      <c r="FP103" t="s">
        <v>2334</v>
      </c>
      <c r="FQ103" t="s">
        <v>2334</v>
      </c>
      <c r="FR103" t="s">
        <v>2334</v>
      </c>
      <c r="FS103" t="s">
        <v>666</v>
      </c>
      <c r="FT103" t="s">
        <v>666</v>
      </c>
      <c r="FU103" t="s">
        <v>1721</v>
      </c>
      <c r="FV103" t="s">
        <v>1721</v>
      </c>
      <c r="FW103" t="s">
        <v>1721</v>
      </c>
      <c r="FX103" t="s">
        <v>1721</v>
      </c>
      <c r="GC103">
        <v>1</v>
      </c>
      <c r="GD103">
        <v>2</v>
      </c>
      <c r="GE103">
        <v>2</v>
      </c>
      <c r="GF103">
        <v>2</v>
      </c>
      <c r="GG103">
        <v>2</v>
      </c>
      <c r="GH103">
        <v>2</v>
      </c>
      <c r="GI103">
        <v>2</v>
      </c>
      <c r="GJ103">
        <v>2</v>
      </c>
      <c r="GK103">
        <v>2</v>
      </c>
      <c r="GL103">
        <v>2</v>
      </c>
      <c r="GM103">
        <v>2</v>
      </c>
      <c r="GN103">
        <v>2</v>
      </c>
      <c r="GO103">
        <v>2</v>
      </c>
      <c r="GP103">
        <v>2</v>
      </c>
      <c r="GQ103">
        <v>2</v>
      </c>
      <c r="GR103">
        <v>2</v>
      </c>
      <c r="GS103">
        <v>2</v>
      </c>
      <c r="GT103">
        <v>2</v>
      </c>
      <c r="GU103">
        <v>2</v>
      </c>
      <c r="GV103">
        <v>2</v>
      </c>
      <c r="GW103">
        <v>2</v>
      </c>
      <c r="GX103">
        <v>3</v>
      </c>
      <c r="GY103">
        <v>3</v>
      </c>
      <c r="GZ103">
        <v>3</v>
      </c>
      <c r="HA103">
        <v>3</v>
      </c>
      <c r="HB103">
        <v>3</v>
      </c>
      <c r="HC103">
        <v>2</v>
      </c>
      <c r="HD103">
        <v>2</v>
      </c>
      <c r="HE103">
        <v>2</v>
      </c>
      <c r="HF103">
        <v>2</v>
      </c>
      <c r="HG103">
        <v>2</v>
      </c>
      <c r="HH103">
        <v>2</v>
      </c>
      <c r="HI103">
        <v>2</v>
      </c>
      <c r="HJ103">
        <v>2</v>
      </c>
      <c r="HK103">
        <v>2</v>
      </c>
      <c r="HL103">
        <v>2</v>
      </c>
      <c r="HM103">
        <v>1</v>
      </c>
      <c r="HN103">
        <v>1</v>
      </c>
      <c r="HO103">
        <v>1</v>
      </c>
      <c r="HP103">
        <v>1</v>
      </c>
      <c r="HQ103">
        <v>1</v>
      </c>
      <c r="HR103">
        <v>1</v>
      </c>
      <c r="HS103">
        <v>2</v>
      </c>
      <c r="HT103">
        <v>2</v>
      </c>
      <c r="HU103">
        <v>2</v>
      </c>
      <c r="HV103">
        <v>2</v>
      </c>
      <c r="HW103">
        <v>2</v>
      </c>
      <c r="HX103">
        <v>2</v>
      </c>
      <c r="HY103">
        <v>2</v>
      </c>
      <c r="HZ103">
        <v>2</v>
      </c>
      <c r="IA103">
        <v>1</v>
      </c>
      <c r="IC103">
        <v>1</v>
      </c>
      <c r="ID103">
        <v>2</v>
      </c>
      <c r="IE103">
        <v>2</v>
      </c>
      <c r="IF103">
        <v>2</v>
      </c>
      <c r="IG103">
        <v>2</v>
      </c>
      <c r="IH103">
        <v>2</v>
      </c>
      <c r="II103">
        <v>2</v>
      </c>
      <c r="IL103">
        <v>2</v>
      </c>
      <c r="IM103">
        <v>2</v>
      </c>
      <c r="IN103">
        <v>2</v>
      </c>
      <c r="IO103">
        <v>2</v>
      </c>
      <c r="IP103">
        <v>2</v>
      </c>
      <c r="IQ103">
        <v>2</v>
      </c>
      <c r="IV103">
        <v>1</v>
      </c>
      <c r="IY103">
        <v>1</v>
      </c>
    </row>
    <row r="104" spans="1:259" x14ac:dyDescent="0.2">
      <c r="A104" t="str">
        <f t="shared" si="3"/>
        <v>Seefischerei</v>
      </c>
      <c r="B104">
        <f>ROW()</f>
        <v>104</v>
      </c>
    </row>
    <row r="105" spans="1:259" x14ac:dyDescent="0.2">
      <c r="A105" t="str">
        <f t="shared" si="3"/>
        <v>Wettervorhersage</v>
      </c>
      <c r="B105">
        <f>ROW()</f>
        <v>105</v>
      </c>
      <c r="F105">
        <v>1</v>
      </c>
      <c r="AI105">
        <v>1</v>
      </c>
      <c r="AJ105">
        <v>1</v>
      </c>
      <c r="AL105">
        <v>1</v>
      </c>
      <c r="AV105">
        <v>1</v>
      </c>
      <c r="AW105">
        <v>1</v>
      </c>
      <c r="AX105">
        <v>1</v>
      </c>
      <c r="AY105">
        <v>1</v>
      </c>
      <c r="AZ105">
        <v>1</v>
      </c>
      <c r="BA105">
        <v>2</v>
      </c>
      <c r="BB105">
        <v>1</v>
      </c>
      <c r="BC105">
        <v>1</v>
      </c>
      <c r="BD105">
        <v>1</v>
      </c>
      <c r="BR105">
        <v>1</v>
      </c>
      <c r="BS105">
        <v>1</v>
      </c>
      <c r="CK105">
        <v>1</v>
      </c>
      <c r="CL105">
        <v>1</v>
      </c>
      <c r="CV105">
        <v>1</v>
      </c>
      <c r="CW105">
        <v>1</v>
      </c>
      <c r="CX105">
        <v>1</v>
      </c>
      <c r="CY105">
        <v>2</v>
      </c>
      <c r="CZ105">
        <v>1</v>
      </c>
      <c r="DA105">
        <v>1</v>
      </c>
      <c r="DC105">
        <v>1</v>
      </c>
      <c r="DI105">
        <v>1</v>
      </c>
      <c r="DM105">
        <v>1</v>
      </c>
      <c r="DO105">
        <v>1</v>
      </c>
      <c r="DP105">
        <v>1</v>
      </c>
      <c r="DR105">
        <v>3</v>
      </c>
      <c r="DS105">
        <v>1</v>
      </c>
      <c r="EE105">
        <v>3</v>
      </c>
      <c r="FG105">
        <v>1</v>
      </c>
      <c r="FH105" t="s">
        <v>2334</v>
      </c>
      <c r="FI105" t="s">
        <v>2334</v>
      </c>
      <c r="FJ105" t="s">
        <v>2334</v>
      </c>
      <c r="FK105" t="s">
        <v>2334</v>
      </c>
      <c r="FL105" t="s">
        <v>2334</v>
      </c>
      <c r="FM105" t="s">
        <v>2334</v>
      </c>
      <c r="FN105" t="s">
        <v>1722</v>
      </c>
      <c r="FO105" t="s">
        <v>1722</v>
      </c>
      <c r="FP105" t="s">
        <v>2334</v>
      </c>
      <c r="FQ105" t="s">
        <v>2334</v>
      </c>
      <c r="FR105" t="s">
        <v>2334</v>
      </c>
      <c r="FS105" t="s">
        <v>666</v>
      </c>
      <c r="FT105" t="s">
        <v>666</v>
      </c>
      <c r="FU105" t="s">
        <v>1719</v>
      </c>
      <c r="FV105" t="s">
        <v>1719</v>
      </c>
      <c r="FW105" t="s">
        <v>1719</v>
      </c>
      <c r="FX105" t="s">
        <v>1719</v>
      </c>
      <c r="FY105">
        <v>-2</v>
      </c>
      <c r="FZ105">
        <v>-2</v>
      </c>
      <c r="GB105">
        <v>-2</v>
      </c>
      <c r="IC105">
        <v>1</v>
      </c>
      <c r="ID105">
        <v>2</v>
      </c>
      <c r="IE105">
        <v>2</v>
      </c>
      <c r="IF105">
        <v>2</v>
      </c>
      <c r="IG105">
        <v>2</v>
      </c>
      <c r="IH105">
        <v>2</v>
      </c>
      <c r="II105">
        <v>2</v>
      </c>
    </row>
    <row r="106" spans="1:259" x14ac:dyDescent="0.2">
      <c r="A106" t="str">
        <f t="shared" si="3"/>
        <v>Wildnisleben</v>
      </c>
      <c r="B106">
        <f>ROW()</f>
        <v>106</v>
      </c>
      <c r="AR106">
        <v>1</v>
      </c>
      <c r="AV106">
        <v>1</v>
      </c>
      <c r="AW106">
        <v>1</v>
      </c>
      <c r="AX106">
        <v>1</v>
      </c>
      <c r="AY106">
        <v>2</v>
      </c>
      <c r="AZ106">
        <v>2</v>
      </c>
      <c r="BA106">
        <v>3</v>
      </c>
      <c r="BB106">
        <v>1</v>
      </c>
      <c r="BC106">
        <v>1</v>
      </c>
      <c r="BD106">
        <v>1</v>
      </c>
      <c r="BE106">
        <v>2</v>
      </c>
      <c r="BF106">
        <v>1</v>
      </c>
      <c r="BG106">
        <v>2</v>
      </c>
      <c r="BH106">
        <v>2</v>
      </c>
      <c r="BI106">
        <v>2</v>
      </c>
      <c r="BJ106">
        <v>2</v>
      </c>
      <c r="BK106">
        <v>2</v>
      </c>
      <c r="BL106">
        <v>2</v>
      </c>
      <c r="BM106">
        <v>2</v>
      </c>
      <c r="BN106">
        <v>2</v>
      </c>
      <c r="BO106">
        <v>2</v>
      </c>
      <c r="BP106">
        <v>2</v>
      </c>
      <c r="BQ106">
        <v>2</v>
      </c>
      <c r="BR106">
        <v>2</v>
      </c>
      <c r="BS106">
        <v>2</v>
      </c>
      <c r="BT106">
        <v>2</v>
      </c>
      <c r="BZ106">
        <v>1</v>
      </c>
      <c r="CH106">
        <v>1</v>
      </c>
      <c r="CI106">
        <v>2</v>
      </c>
      <c r="CV106">
        <v>1</v>
      </c>
      <c r="CW106">
        <v>1</v>
      </c>
      <c r="CX106">
        <v>2</v>
      </c>
      <c r="CY106">
        <v>1</v>
      </c>
      <c r="CZ106">
        <v>2</v>
      </c>
      <c r="DA106">
        <v>1</v>
      </c>
      <c r="DE106">
        <v>1</v>
      </c>
      <c r="DF106">
        <v>1</v>
      </c>
      <c r="DG106">
        <v>1</v>
      </c>
      <c r="DH106">
        <v>1</v>
      </c>
      <c r="DI106">
        <v>3</v>
      </c>
      <c r="DJ106">
        <v>1</v>
      </c>
      <c r="DL106">
        <v>2</v>
      </c>
      <c r="DN106">
        <v>3</v>
      </c>
      <c r="DP106">
        <v>1</v>
      </c>
      <c r="DS106">
        <v>3</v>
      </c>
      <c r="DT106">
        <v>4</v>
      </c>
      <c r="DU106">
        <v>5</v>
      </c>
      <c r="DV106">
        <v>5</v>
      </c>
      <c r="DW106">
        <v>5</v>
      </c>
      <c r="DX106">
        <v>4</v>
      </c>
      <c r="DY106">
        <v>4</v>
      </c>
      <c r="DZ106">
        <v>3</v>
      </c>
      <c r="EA106">
        <v>3</v>
      </c>
      <c r="EB106">
        <v>2</v>
      </c>
      <c r="EC106">
        <v>4</v>
      </c>
      <c r="ED106">
        <v>3</v>
      </c>
      <c r="EE106">
        <v>1</v>
      </c>
      <c r="EG106">
        <v>2</v>
      </c>
      <c r="ES106">
        <v>2</v>
      </c>
      <c r="EW106">
        <v>1</v>
      </c>
      <c r="EX106">
        <v>2</v>
      </c>
      <c r="EZ106">
        <v>2</v>
      </c>
      <c r="FA106">
        <v>2</v>
      </c>
      <c r="FB106">
        <v>2</v>
      </c>
      <c r="FC106">
        <v>4</v>
      </c>
      <c r="FD106">
        <v>4</v>
      </c>
      <c r="FE106">
        <v>2</v>
      </c>
      <c r="FF106">
        <v>2</v>
      </c>
      <c r="FG106">
        <v>4</v>
      </c>
      <c r="FH106" t="s">
        <v>1720</v>
      </c>
      <c r="FI106" t="s">
        <v>1720</v>
      </c>
      <c r="FJ106" t="s">
        <v>1720</v>
      </c>
      <c r="FK106" t="s">
        <v>1721</v>
      </c>
      <c r="FL106">
        <v>2</v>
      </c>
      <c r="FM106" t="s">
        <v>1722</v>
      </c>
      <c r="FN106" t="s">
        <v>1721</v>
      </c>
      <c r="FO106" t="s">
        <v>1721</v>
      </c>
      <c r="FP106" t="s">
        <v>1721</v>
      </c>
      <c r="FQ106" t="s">
        <v>1721</v>
      </c>
      <c r="FR106" t="s">
        <v>1721</v>
      </c>
      <c r="FS106" t="s">
        <v>1720</v>
      </c>
      <c r="FT106" t="s">
        <v>1720</v>
      </c>
      <c r="FU106" t="s">
        <v>1720</v>
      </c>
      <c r="FV106" t="s">
        <v>1720</v>
      </c>
      <c r="FW106" t="s">
        <v>1720</v>
      </c>
      <c r="FX106" t="s">
        <v>1720</v>
      </c>
      <c r="FZ106">
        <v>-1</v>
      </c>
      <c r="GD106">
        <v>2</v>
      </c>
      <c r="GE106">
        <v>2</v>
      </c>
      <c r="GF106">
        <v>2</v>
      </c>
      <c r="GG106">
        <v>2</v>
      </c>
      <c r="GH106">
        <v>2</v>
      </c>
      <c r="GI106">
        <v>2</v>
      </c>
      <c r="GJ106">
        <v>2</v>
      </c>
      <c r="GK106">
        <v>2</v>
      </c>
      <c r="GL106">
        <v>2</v>
      </c>
      <c r="GM106">
        <v>2</v>
      </c>
      <c r="GN106">
        <v>4</v>
      </c>
      <c r="GO106">
        <v>4</v>
      </c>
      <c r="GP106">
        <v>4</v>
      </c>
      <c r="GQ106">
        <v>4</v>
      </c>
      <c r="GR106">
        <v>4</v>
      </c>
      <c r="GS106">
        <v>2</v>
      </c>
      <c r="GT106">
        <v>2</v>
      </c>
      <c r="GU106">
        <v>2</v>
      </c>
      <c r="GV106">
        <v>2</v>
      </c>
      <c r="GW106">
        <v>2</v>
      </c>
      <c r="GX106">
        <v>3</v>
      </c>
      <c r="GY106">
        <v>3</v>
      </c>
      <c r="GZ106">
        <v>3</v>
      </c>
      <c r="HA106">
        <v>3</v>
      </c>
      <c r="HB106">
        <v>3</v>
      </c>
      <c r="HC106">
        <v>2</v>
      </c>
      <c r="HD106">
        <v>2</v>
      </c>
      <c r="HE106">
        <v>2</v>
      </c>
      <c r="HF106">
        <v>2</v>
      </c>
      <c r="HG106">
        <v>2</v>
      </c>
      <c r="HH106">
        <v>2</v>
      </c>
      <c r="HI106">
        <v>2</v>
      </c>
      <c r="HJ106">
        <v>2</v>
      </c>
      <c r="HK106">
        <v>2</v>
      </c>
      <c r="HL106">
        <v>2</v>
      </c>
      <c r="HM106">
        <v>3</v>
      </c>
      <c r="HN106">
        <v>1</v>
      </c>
      <c r="HO106">
        <v>1</v>
      </c>
      <c r="HP106">
        <v>1</v>
      </c>
      <c r="HQ106">
        <v>1</v>
      </c>
      <c r="HR106">
        <v>1</v>
      </c>
      <c r="HS106">
        <v>4</v>
      </c>
      <c r="HT106">
        <v>3</v>
      </c>
      <c r="HU106">
        <v>4</v>
      </c>
      <c r="HV106">
        <v>3</v>
      </c>
      <c r="HW106">
        <v>4</v>
      </c>
      <c r="HX106">
        <v>3</v>
      </c>
      <c r="HY106">
        <v>4</v>
      </c>
      <c r="HZ106">
        <v>3</v>
      </c>
      <c r="IA106">
        <v>3</v>
      </c>
      <c r="IC106">
        <v>1</v>
      </c>
      <c r="ID106">
        <v>4</v>
      </c>
      <c r="IE106">
        <v>4</v>
      </c>
      <c r="IF106">
        <v>4</v>
      </c>
      <c r="IG106">
        <v>4</v>
      </c>
      <c r="IH106">
        <v>4</v>
      </c>
      <c r="II106">
        <v>4</v>
      </c>
      <c r="IL106">
        <v>2</v>
      </c>
      <c r="IM106">
        <v>2</v>
      </c>
      <c r="IN106">
        <v>2</v>
      </c>
      <c r="IO106">
        <v>2</v>
      </c>
      <c r="IP106">
        <v>2</v>
      </c>
      <c r="IQ106">
        <v>2</v>
      </c>
      <c r="IT106">
        <v>2</v>
      </c>
      <c r="IV106">
        <v>1</v>
      </c>
      <c r="IY106">
        <v>1</v>
      </c>
    </row>
    <row r="107" spans="1:259" ht="12.75" customHeight="1" x14ac:dyDescent="0.2">
      <c r="A107" t="str">
        <f>INDEX(TL_WIS,ROW()-106)</f>
        <v>Anatomie</v>
      </c>
      <c r="B107">
        <f>ROW()</f>
        <v>107</v>
      </c>
      <c r="C107" t="s">
        <v>3321</v>
      </c>
      <c r="AN107" t="s">
        <v>3321</v>
      </c>
    </row>
    <row r="108" spans="1:259" x14ac:dyDescent="0.2">
      <c r="A108" t="str">
        <f t="shared" ref="A108:A130" si="4">INDEX(TL_WIS,ROW()-106)</f>
        <v>Baukunst</v>
      </c>
      <c r="B108">
        <f>ROW()</f>
        <v>108</v>
      </c>
    </row>
    <row r="109" spans="1:259" x14ac:dyDescent="0.2">
      <c r="A109" t="str">
        <f t="shared" si="4"/>
        <v>Brett-/Kartenspiel</v>
      </c>
      <c r="B109">
        <f>ROW()</f>
        <v>109</v>
      </c>
      <c r="CN109">
        <v>1</v>
      </c>
      <c r="CO109">
        <v>1</v>
      </c>
      <c r="CP109">
        <v>1</v>
      </c>
      <c r="CQ109">
        <v>1</v>
      </c>
      <c r="CR109">
        <v>1</v>
      </c>
      <c r="CS109">
        <v>1</v>
      </c>
      <c r="CT109">
        <v>1</v>
      </c>
      <c r="CU109">
        <v>1</v>
      </c>
      <c r="CV109">
        <v>1</v>
      </c>
      <c r="CW109">
        <v>1</v>
      </c>
      <c r="CX109">
        <v>1</v>
      </c>
      <c r="CY109">
        <v>1</v>
      </c>
      <c r="CZ109">
        <v>1</v>
      </c>
      <c r="DA109">
        <v>1</v>
      </c>
      <c r="DB109">
        <v>2</v>
      </c>
      <c r="DC109">
        <v>2</v>
      </c>
      <c r="DD109">
        <v>2</v>
      </c>
      <c r="DE109">
        <v>2</v>
      </c>
      <c r="DF109">
        <v>2</v>
      </c>
      <c r="DG109">
        <v>3</v>
      </c>
      <c r="DH109">
        <v>3</v>
      </c>
      <c r="EJ109">
        <v>2</v>
      </c>
    </row>
    <row r="110" spans="1:259" x14ac:dyDescent="0.2">
      <c r="A110" t="str">
        <f t="shared" si="4"/>
        <v>Geographie</v>
      </c>
      <c r="B110">
        <f>ROW()</f>
        <v>110</v>
      </c>
      <c r="AP110">
        <v>1</v>
      </c>
      <c r="AQ110">
        <v>1</v>
      </c>
      <c r="AT110">
        <v>1</v>
      </c>
      <c r="AW110">
        <v>1</v>
      </c>
      <c r="AX110">
        <v>1</v>
      </c>
      <c r="BL110">
        <v>1</v>
      </c>
      <c r="BM110">
        <v>1</v>
      </c>
      <c r="BV110">
        <v>1</v>
      </c>
      <c r="BW110">
        <v>1</v>
      </c>
      <c r="BY110">
        <v>1</v>
      </c>
      <c r="CC110">
        <v>1</v>
      </c>
      <c r="CD110">
        <v>1</v>
      </c>
      <c r="CF110">
        <v>1</v>
      </c>
      <c r="CG110">
        <v>1</v>
      </c>
      <c r="CR110">
        <v>1</v>
      </c>
      <c r="CS110">
        <v>1</v>
      </c>
      <c r="CW110">
        <v>1</v>
      </c>
      <c r="CY110">
        <v>1</v>
      </c>
      <c r="DC110">
        <v>1</v>
      </c>
      <c r="DJ110">
        <v>1</v>
      </c>
      <c r="EW110">
        <v>1</v>
      </c>
      <c r="FE110">
        <v>1</v>
      </c>
      <c r="FF110">
        <v>1</v>
      </c>
      <c r="HM110">
        <v>1</v>
      </c>
    </row>
    <row r="111" spans="1:259" x14ac:dyDescent="0.2">
      <c r="A111" t="str">
        <f t="shared" si="4"/>
        <v>Geschichtswissen</v>
      </c>
      <c r="B111">
        <f>ROW()</f>
        <v>111</v>
      </c>
      <c r="AQ111">
        <v>1</v>
      </c>
      <c r="BB111">
        <v>1</v>
      </c>
      <c r="BG111">
        <v>1</v>
      </c>
      <c r="BN111">
        <v>1</v>
      </c>
      <c r="BU111">
        <v>1</v>
      </c>
      <c r="BV111">
        <v>1</v>
      </c>
      <c r="BW111">
        <v>2</v>
      </c>
      <c r="BX111">
        <v>2</v>
      </c>
      <c r="BY111">
        <v>1</v>
      </c>
      <c r="BZ111">
        <v>1</v>
      </c>
      <c r="CA111">
        <v>2</v>
      </c>
      <c r="CB111">
        <v>1</v>
      </c>
      <c r="CC111">
        <v>1</v>
      </c>
      <c r="CD111">
        <v>2</v>
      </c>
      <c r="CE111">
        <v>2</v>
      </c>
      <c r="CF111">
        <v>1</v>
      </c>
      <c r="CG111">
        <v>1</v>
      </c>
      <c r="CH111">
        <v>1</v>
      </c>
      <c r="CI111">
        <v>1</v>
      </c>
      <c r="CJ111">
        <v>2</v>
      </c>
      <c r="CL111">
        <v>1</v>
      </c>
      <c r="CM111">
        <v>1</v>
      </c>
      <c r="CT111">
        <v>1</v>
      </c>
      <c r="CU111">
        <v>1</v>
      </c>
      <c r="DB111">
        <v>1</v>
      </c>
      <c r="DC111">
        <v>1</v>
      </c>
      <c r="DD111">
        <v>1</v>
      </c>
      <c r="DQ111">
        <v>1</v>
      </c>
      <c r="EJ111">
        <v>1</v>
      </c>
      <c r="EL111">
        <v>1</v>
      </c>
      <c r="EM111">
        <v>1</v>
      </c>
      <c r="EN111">
        <v>1</v>
      </c>
      <c r="EO111">
        <v>1</v>
      </c>
      <c r="EP111">
        <v>1</v>
      </c>
      <c r="EQ111">
        <v>1</v>
      </c>
      <c r="ER111">
        <v>1</v>
      </c>
      <c r="ES111">
        <v>2</v>
      </c>
      <c r="ET111">
        <v>1</v>
      </c>
      <c r="EU111">
        <v>1</v>
      </c>
      <c r="EV111">
        <v>1</v>
      </c>
      <c r="EW111">
        <v>1</v>
      </c>
      <c r="EX111">
        <v>1</v>
      </c>
      <c r="EY111">
        <v>1</v>
      </c>
      <c r="FZ111">
        <v>3</v>
      </c>
      <c r="HS111">
        <v>-2</v>
      </c>
      <c r="HU111">
        <v>-2</v>
      </c>
      <c r="HW111">
        <v>-2</v>
      </c>
      <c r="HY111">
        <v>-2</v>
      </c>
      <c r="IC111">
        <v>3</v>
      </c>
      <c r="ID111">
        <v>1</v>
      </c>
      <c r="IE111">
        <v>1</v>
      </c>
      <c r="IF111">
        <v>1</v>
      </c>
      <c r="IG111">
        <v>1</v>
      </c>
      <c r="IH111">
        <v>1</v>
      </c>
      <c r="II111">
        <v>1</v>
      </c>
    </row>
    <row r="112" spans="1:259" x14ac:dyDescent="0.2">
      <c r="A112" t="str">
        <f t="shared" si="4"/>
        <v>Gesteinskunde</v>
      </c>
      <c r="B112">
        <f>ROW()</f>
        <v>112</v>
      </c>
      <c r="N112">
        <v>1</v>
      </c>
      <c r="O112">
        <v>1</v>
      </c>
      <c r="P112">
        <v>1</v>
      </c>
      <c r="Q112">
        <v>1</v>
      </c>
      <c r="DI112">
        <v>1</v>
      </c>
      <c r="DY112">
        <v>2</v>
      </c>
      <c r="FY112">
        <v>4</v>
      </c>
      <c r="FZ112">
        <v>4</v>
      </c>
      <c r="GB112">
        <v>1</v>
      </c>
      <c r="GC112">
        <v>2</v>
      </c>
      <c r="IC112">
        <v>2</v>
      </c>
    </row>
    <row r="113" spans="1:259" x14ac:dyDescent="0.2">
      <c r="A113" t="str">
        <f t="shared" si="4"/>
        <v>Götter/Kulte</v>
      </c>
      <c r="B113">
        <f>ROW()</f>
        <v>113</v>
      </c>
      <c r="AO113">
        <v>2</v>
      </c>
      <c r="AP113">
        <v>2</v>
      </c>
      <c r="AQ113">
        <v>4</v>
      </c>
      <c r="AR113">
        <v>2</v>
      </c>
      <c r="AS113">
        <v>2</v>
      </c>
      <c r="AT113">
        <v>2</v>
      </c>
      <c r="AU113">
        <v>1</v>
      </c>
      <c r="AV113">
        <v>1</v>
      </c>
      <c r="AW113">
        <v>1</v>
      </c>
      <c r="AX113">
        <v>1</v>
      </c>
      <c r="AY113">
        <v>1</v>
      </c>
      <c r="AZ113">
        <v>1</v>
      </c>
      <c r="BA113">
        <v>1</v>
      </c>
      <c r="BB113">
        <v>1</v>
      </c>
      <c r="BC113">
        <v>3</v>
      </c>
      <c r="BE113">
        <v>1</v>
      </c>
      <c r="BF113">
        <v>1</v>
      </c>
      <c r="BG113">
        <v>1</v>
      </c>
      <c r="BH113">
        <v>1</v>
      </c>
      <c r="BI113">
        <v>1</v>
      </c>
      <c r="BJ113">
        <v>1</v>
      </c>
      <c r="BK113">
        <v>1</v>
      </c>
      <c r="BL113">
        <v>1</v>
      </c>
      <c r="BM113">
        <v>1</v>
      </c>
      <c r="BN113">
        <v>1</v>
      </c>
      <c r="BP113">
        <v>1</v>
      </c>
      <c r="BQ113">
        <v>1</v>
      </c>
      <c r="BU113">
        <v>2</v>
      </c>
      <c r="BV113">
        <v>2</v>
      </c>
      <c r="BW113">
        <v>4</v>
      </c>
      <c r="BX113">
        <v>2</v>
      </c>
      <c r="BY113">
        <v>2</v>
      </c>
      <c r="BZ113">
        <v>2</v>
      </c>
      <c r="CA113">
        <v>2</v>
      </c>
      <c r="CB113">
        <v>1</v>
      </c>
      <c r="CC113">
        <v>1</v>
      </c>
      <c r="CD113">
        <v>3</v>
      </c>
      <c r="CE113">
        <v>1</v>
      </c>
      <c r="CF113">
        <v>1</v>
      </c>
      <c r="CG113">
        <v>1</v>
      </c>
      <c r="CH113">
        <v>1</v>
      </c>
      <c r="CI113">
        <v>1</v>
      </c>
      <c r="CJ113">
        <v>1</v>
      </c>
      <c r="CK113">
        <v>2</v>
      </c>
      <c r="CL113">
        <v>2</v>
      </c>
      <c r="CM113">
        <v>1</v>
      </c>
      <c r="CN113">
        <v>1</v>
      </c>
      <c r="CO113">
        <v>1</v>
      </c>
      <c r="CP113">
        <v>1</v>
      </c>
      <c r="CQ113">
        <v>1</v>
      </c>
      <c r="CR113">
        <v>1</v>
      </c>
      <c r="CS113">
        <v>1</v>
      </c>
      <c r="CT113">
        <v>1</v>
      </c>
      <c r="CU113">
        <v>1</v>
      </c>
      <c r="CV113">
        <v>1</v>
      </c>
      <c r="CW113">
        <v>1</v>
      </c>
      <c r="CX113">
        <v>1</v>
      </c>
      <c r="CY113">
        <v>1</v>
      </c>
      <c r="CZ113">
        <v>1</v>
      </c>
      <c r="DA113">
        <v>3</v>
      </c>
      <c r="DB113">
        <v>1</v>
      </c>
      <c r="DC113">
        <v>1</v>
      </c>
      <c r="DD113">
        <v>3</v>
      </c>
      <c r="DE113">
        <v>1</v>
      </c>
      <c r="DF113">
        <v>1</v>
      </c>
      <c r="DG113">
        <v>1</v>
      </c>
      <c r="DH113">
        <v>1</v>
      </c>
      <c r="DI113">
        <v>1</v>
      </c>
      <c r="DJ113">
        <v>1</v>
      </c>
      <c r="DK113">
        <v>1</v>
      </c>
      <c r="DL113">
        <v>1</v>
      </c>
      <c r="DM113">
        <v>1</v>
      </c>
      <c r="DN113">
        <v>2</v>
      </c>
      <c r="DO113">
        <v>2</v>
      </c>
      <c r="DP113">
        <v>2</v>
      </c>
      <c r="DQ113">
        <v>2</v>
      </c>
      <c r="DR113">
        <v>1</v>
      </c>
      <c r="DS113">
        <v>2</v>
      </c>
      <c r="DT113">
        <v>1</v>
      </c>
      <c r="EF113">
        <v>2</v>
      </c>
      <c r="EG113">
        <v>2</v>
      </c>
      <c r="EH113">
        <v>2</v>
      </c>
      <c r="EI113">
        <v>2</v>
      </c>
      <c r="EJ113">
        <v>2</v>
      </c>
      <c r="EK113">
        <v>3</v>
      </c>
      <c r="EL113">
        <v>2</v>
      </c>
      <c r="EM113">
        <v>1</v>
      </c>
      <c r="EN113">
        <v>1</v>
      </c>
      <c r="EO113">
        <v>3</v>
      </c>
      <c r="EP113">
        <v>1</v>
      </c>
      <c r="EQ113">
        <v>1</v>
      </c>
      <c r="ER113">
        <v>1</v>
      </c>
      <c r="ES113">
        <v>1</v>
      </c>
      <c r="ET113">
        <v>1</v>
      </c>
      <c r="EU113">
        <v>2</v>
      </c>
      <c r="EV113">
        <v>1</v>
      </c>
      <c r="EW113">
        <v>1</v>
      </c>
      <c r="EX113">
        <v>1</v>
      </c>
      <c r="EY113">
        <v>1</v>
      </c>
      <c r="FA113">
        <v>2</v>
      </c>
      <c r="FB113">
        <v>2</v>
      </c>
      <c r="FE113">
        <v>2</v>
      </c>
      <c r="FF113">
        <v>2</v>
      </c>
      <c r="FG113">
        <v>1</v>
      </c>
      <c r="FY113">
        <v>1</v>
      </c>
      <c r="FZ113">
        <v>2</v>
      </c>
      <c r="GA113">
        <v>1</v>
      </c>
      <c r="GB113">
        <v>1</v>
      </c>
      <c r="GD113">
        <v>1</v>
      </c>
      <c r="GE113">
        <v>1</v>
      </c>
      <c r="GF113">
        <v>1</v>
      </c>
      <c r="GG113">
        <v>1</v>
      </c>
      <c r="GH113">
        <v>1</v>
      </c>
      <c r="GI113">
        <v>1</v>
      </c>
      <c r="GJ113">
        <v>1</v>
      </c>
      <c r="GK113">
        <v>1</v>
      </c>
      <c r="GL113">
        <v>1</v>
      </c>
      <c r="GM113">
        <v>1</v>
      </c>
      <c r="GN113">
        <v>1</v>
      </c>
      <c r="GO113">
        <v>1</v>
      </c>
      <c r="GP113">
        <v>1</v>
      </c>
      <c r="GQ113">
        <v>1</v>
      </c>
      <c r="GR113">
        <v>1</v>
      </c>
      <c r="GS113">
        <v>1</v>
      </c>
      <c r="GT113">
        <v>1</v>
      </c>
      <c r="GU113">
        <v>1</v>
      </c>
      <c r="GV113">
        <v>1</v>
      </c>
      <c r="GW113">
        <v>1</v>
      </c>
      <c r="GX113">
        <v>1</v>
      </c>
      <c r="GY113">
        <v>1</v>
      </c>
      <c r="GZ113">
        <v>1</v>
      </c>
      <c r="HA113">
        <v>1</v>
      </c>
      <c r="HB113">
        <v>1</v>
      </c>
      <c r="HC113">
        <v>1</v>
      </c>
      <c r="HD113">
        <v>1</v>
      </c>
      <c r="HE113">
        <v>1</v>
      </c>
      <c r="HF113">
        <v>1</v>
      </c>
      <c r="HG113">
        <v>1</v>
      </c>
      <c r="HH113">
        <v>1</v>
      </c>
      <c r="HI113">
        <v>1</v>
      </c>
      <c r="HJ113">
        <v>1</v>
      </c>
      <c r="HK113">
        <v>1</v>
      </c>
      <c r="HL113">
        <v>1</v>
      </c>
      <c r="HM113">
        <v>1</v>
      </c>
      <c r="HN113">
        <v>2</v>
      </c>
      <c r="HO113">
        <v>2</v>
      </c>
      <c r="HP113">
        <v>2</v>
      </c>
      <c r="HQ113">
        <v>2</v>
      </c>
      <c r="HR113">
        <v>2</v>
      </c>
      <c r="HS113">
        <v>1</v>
      </c>
      <c r="HT113">
        <v>1</v>
      </c>
      <c r="HU113">
        <v>1</v>
      </c>
      <c r="HV113">
        <v>1</v>
      </c>
      <c r="HW113">
        <v>1</v>
      </c>
      <c r="HX113">
        <v>1</v>
      </c>
      <c r="HY113">
        <v>1</v>
      </c>
      <c r="HZ113">
        <v>1</v>
      </c>
      <c r="IB113">
        <v>1</v>
      </c>
      <c r="IC113">
        <v>2</v>
      </c>
      <c r="ID113">
        <v>1</v>
      </c>
      <c r="IE113">
        <v>1</v>
      </c>
      <c r="IF113">
        <v>1</v>
      </c>
      <c r="IG113">
        <v>1</v>
      </c>
      <c r="IH113">
        <v>1</v>
      </c>
      <c r="II113">
        <v>1</v>
      </c>
      <c r="IL113">
        <v>1</v>
      </c>
      <c r="IM113">
        <v>1</v>
      </c>
      <c r="IN113">
        <v>1</v>
      </c>
      <c r="IO113">
        <v>1</v>
      </c>
      <c r="IP113">
        <v>1</v>
      </c>
      <c r="IQ113">
        <v>1</v>
      </c>
      <c r="IY113">
        <v>2</v>
      </c>
    </row>
    <row r="114" spans="1:259" x14ac:dyDescent="0.2">
      <c r="A114" t="str">
        <f t="shared" si="4"/>
        <v>Heraldik</v>
      </c>
      <c r="B114">
        <f>ROW()</f>
        <v>114</v>
      </c>
      <c r="AO114">
        <v>1</v>
      </c>
      <c r="AP114">
        <v>1</v>
      </c>
      <c r="AQ114">
        <v>1</v>
      </c>
      <c r="AR114">
        <v>1</v>
      </c>
      <c r="AS114">
        <v>3</v>
      </c>
      <c r="AT114">
        <v>1</v>
      </c>
      <c r="AU114">
        <v>1</v>
      </c>
      <c r="BB114">
        <v>1</v>
      </c>
      <c r="BG114">
        <v>1</v>
      </c>
      <c r="BN114">
        <v>2</v>
      </c>
      <c r="BX114">
        <v>2</v>
      </c>
      <c r="CA114">
        <v>1</v>
      </c>
      <c r="CE114">
        <v>2</v>
      </c>
      <c r="CJ114">
        <v>1</v>
      </c>
      <c r="CL114">
        <v>1</v>
      </c>
      <c r="CM114">
        <v>1</v>
      </c>
      <c r="EK114">
        <v>1</v>
      </c>
    </row>
    <row r="115" spans="1:259" x14ac:dyDescent="0.2">
      <c r="A115" t="str">
        <f t="shared" si="4"/>
        <v>Hüttenkunde</v>
      </c>
      <c r="B115">
        <f>ROW()</f>
        <v>115</v>
      </c>
    </row>
    <row r="116" spans="1:259" x14ac:dyDescent="0.2">
      <c r="A116" t="str">
        <f t="shared" si="4"/>
        <v>Kriegskunst</v>
      </c>
      <c r="B116">
        <f>ROW()</f>
        <v>116</v>
      </c>
      <c r="CM116">
        <v>2</v>
      </c>
      <c r="HH116">
        <v>1</v>
      </c>
      <c r="HI116">
        <v>1</v>
      </c>
      <c r="HJ116">
        <v>1</v>
      </c>
      <c r="HK116">
        <v>1</v>
      </c>
      <c r="HL116">
        <v>1</v>
      </c>
      <c r="IX116">
        <v>1</v>
      </c>
    </row>
    <row r="117" spans="1:259" x14ac:dyDescent="0.2">
      <c r="A117" t="str">
        <f t="shared" si="4"/>
        <v>Kryptographie</v>
      </c>
      <c r="B117">
        <f>ROW()</f>
        <v>117</v>
      </c>
    </row>
    <row r="118" spans="1:259" x14ac:dyDescent="0.2">
      <c r="A118" t="str">
        <f t="shared" si="4"/>
        <v>Magiekunde</v>
      </c>
      <c r="B118">
        <f>ROW()</f>
        <v>118</v>
      </c>
      <c r="AU118">
        <v>1</v>
      </c>
      <c r="BD118">
        <v>1</v>
      </c>
      <c r="BT118">
        <v>1</v>
      </c>
      <c r="DR118">
        <v>1</v>
      </c>
      <c r="FH118">
        <v>3</v>
      </c>
      <c r="FI118">
        <v>1</v>
      </c>
      <c r="FJ118">
        <v>3</v>
      </c>
      <c r="FK118">
        <v>3</v>
      </c>
      <c r="FL118">
        <v>3</v>
      </c>
      <c r="FM118">
        <v>3</v>
      </c>
      <c r="FN118">
        <v>3</v>
      </c>
      <c r="FO118">
        <v>3</v>
      </c>
      <c r="FP118">
        <v>3</v>
      </c>
      <c r="FQ118">
        <v>3</v>
      </c>
      <c r="FR118">
        <v>3</v>
      </c>
      <c r="FS118">
        <v>2</v>
      </c>
      <c r="FT118">
        <v>2</v>
      </c>
      <c r="FU118">
        <v>3</v>
      </c>
      <c r="FV118">
        <v>3</v>
      </c>
      <c r="FW118">
        <v>3</v>
      </c>
      <c r="FX118">
        <v>3</v>
      </c>
      <c r="IC118">
        <v>1</v>
      </c>
    </row>
    <row r="119" spans="1:259" x14ac:dyDescent="0.2">
      <c r="A119" t="str">
        <f t="shared" si="4"/>
        <v>Mechanik</v>
      </c>
      <c r="B119">
        <f>ROW()</f>
        <v>119</v>
      </c>
      <c r="CB119">
        <v>1</v>
      </c>
      <c r="CC119">
        <v>1</v>
      </c>
      <c r="CD119">
        <v>1</v>
      </c>
      <c r="CE119">
        <v>1</v>
      </c>
      <c r="CF119">
        <v>1</v>
      </c>
      <c r="CG119">
        <v>1</v>
      </c>
      <c r="CH119">
        <v>1</v>
      </c>
      <c r="CI119">
        <v>1</v>
      </c>
      <c r="CJ119">
        <v>1</v>
      </c>
      <c r="FY119">
        <v>1</v>
      </c>
      <c r="FZ119">
        <v>1</v>
      </c>
      <c r="GA119">
        <v>1</v>
      </c>
      <c r="GB119">
        <v>1</v>
      </c>
    </row>
    <row r="120" spans="1:259" x14ac:dyDescent="0.2">
      <c r="A120" t="str">
        <f t="shared" si="4"/>
        <v>Pflanzenkunde</v>
      </c>
      <c r="B120">
        <f>ROW()</f>
        <v>120</v>
      </c>
      <c r="BA120">
        <v>1</v>
      </c>
      <c r="BC120">
        <v>1</v>
      </c>
      <c r="BO120">
        <v>1</v>
      </c>
      <c r="BP120">
        <v>1</v>
      </c>
      <c r="BQ120">
        <v>1</v>
      </c>
      <c r="BR120">
        <v>1</v>
      </c>
      <c r="BS120">
        <v>1</v>
      </c>
      <c r="DI120">
        <v>1</v>
      </c>
      <c r="DU120">
        <v>4</v>
      </c>
      <c r="DV120">
        <v>4</v>
      </c>
      <c r="DW120">
        <v>4</v>
      </c>
      <c r="DX120">
        <v>4</v>
      </c>
      <c r="DY120">
        <v>3</v>
      </c>
      <c r="DZ120">
        <v>2</v>
      </c>
      <c r="EA120">
        <v>2</v>
      </c>
      <c r="EB120">
        <v>2</v>
      </c>
      <c r="EC120">
        <v>3</v>
      </c>
      <c r="ED120">
        <v>2</v>
      </c>
      <c r="EE120">
        <v>1</v>
      </c>
      <c r="EF120">
        <v>1</v>
      </c>
      <c r="EG120">
        <v>2</v>
      </c>
      <c r="EH120">
        <v>1</v>
      </c>
      <c r="EI120">
        <v>1</v>
      </c>
      <c r="EX120">
        <v>2</v>
      </c>
      <c r="FH120">
        <v>3</v>
      </c>
      <c r="FI120">
        <v>2</v>
      </c>
      <c r="FJ120">
        <v>3</v>
      </c>
      <c r="FK120">
        <v>2</v>
      </c>
      <c r="FL120" t="s">
        <v>1721</v>
      </c>
      <c r="FM120">
        <v>2</v>
      </c>
      <c r="FN120">
        <v>2</v>
      </c>
      <c r="FO120">
        <v>2</v>
      </c>
      <c r="FP120">
        <v>2</v>
      </c>
      <c r="FQ120">
        <v>2</v>
      </c>
      <c r="FR120">
        <v>2</v>
      </c>
      <c r="FS120">
        <v>4</v>
      </c>
      <c r="FT120" t="s">
        <v>1720</v>
      </c>
      <c r="GD120">
        <v>1</v>
      </c>
      <c r="GE120">
        <v>1</v>
      </c>
      <c r="GF120">
        <v>1</v>
      </c>
      <c r="GG120">
        <v>1</v>
      </c>
      <c r="GH120">
        <v>1</v>
      </c>
      <c r="GI120">
        <v>1</v>
      </c>
      <c r="GJ120">
        <v>1</v>
      </c>
      <c r="GK120">
        <v>1</v>
      </c>
      <c r="GL120">
        <v>1</v>
      </c>
      <c r="GM120">
        <v>1</v>
      </c>
      <c r="GN120">
        <v>1</v>
      </c>
      <c r="GO120">
        <v>1</v>
      </c>
      <c r="GP120">
        <v>1</v>
      </c>
      <c r="GQ120">
        <v>1</v>
      </c>
      <c r="GR120">
        <v>1</v>
      </c>
      <c r="GS120">
        <v>1</v>
      </c>
      <c r="GT120">
        <v>1</v>
      </c>
      <c r="GU120">
        <v>1</v>
      </c>
      <c r="GV120">
        <v>1</v>
      </c>
      <c r="GW120">
        <v>1</v>
      </c>
      <c r="GX120">
        <v>1</v>
      </c>
      <c r="GY120">
        <v>1</v>
      </c>
      <c r="GZ120">
        <v>1</v>
      </c>
      <c r="HA120">
        <v>1</v>
      </c>
      <c r="HB120">
        <v>1</v>
      </c>
      <c r="HC120">
        <v>1</v>
      </c>
      <c r="HD120">
        <v>1</v>
      </c>
      <c r="HE120">
        <v>1</v>
      </c>
      <c r="HF120">
        <v>1</v>
      </c>
      <c r="HG120">
        <v>1</v>
      </c>
      <c r="HH120">
        <v>1</v>
      </c>
      <c r="HI120">
        <v>1</v>
      </c>
      <c r="HJ120">
        <v>1</v>
      </c>
      <c r="HK120">
        <v>1</v>
      </c>
      <c r="HL120">
        <v>1</v>
      </c>
      <c r="HS120">
        <v>2</v>
      </c>
      <c r="HT120">
        <v>2</v>
      </c>
      <c r="HU120">
        <v>2</v>
      </c>
      <c r="HV120">
        <v>2</v>
      </c>
      <c r="HW120">
        <v>2</v>
      </c>
      <c r="HX120">
        <v>2</v>
      </c>
      <c r="HY120">
        <v>2</v>
      </c>
      <c r="HZ120">
        <v>2</v>
      </c>
      <c r="IA120">
        <v>1</v>
      </c>
      <c r="IC120">
        <v>2</v>
      </c>
      <c r="ID120">
        <v>2</v>
      </c>
      <c r="IE120">
        <v>3</v>
      </c>
      <c r="IF120">
        <v>2</v>
      </c>
      <c r="IG120">
        <v>2</v>
      </c>
      <c r="IH120">
        <v>2</v>
      </c>
      <c r="II120">
        <v>2</v>
      </c>
      <c r="IL120">
        <v>1</v>
      </c>
      <c r="IM120">
        <v>1</v>
      </c>
      <c r="IN120">
        <v>1</v>
      </c>
      <c r="IO120">
        <v>1</v>
      </c>
      <c r="IP120">
        <v>1</v>
      </c>
      <c r="IQ120">
        <v>1</v>
      </c>
    </row>
    <row r="121" spans="1:259" x14ac:dyDescent="0.2">
      <c r="A121" t="str">
        <f t="shared" si="4"/>
        <v>Philosophie</v>
      </c>
      <c r="B121">
        <f>ROW()</f>
        <v>121</v>
      </c>
      <c r="CK121">
        <v>1</v>
      </c>
      <c r="CL121">
        <v>1</v>
      </c>
      <c r="EF121">
        <v>2</v>
      </c>
      <c r="EG121">
        <v>2</v>
      </c>
      <c r="EH121">
        <v>2</v>
      </c>
      <c r="EI121">
        <v>2</v>
      </c>
      <c r="EJ121">
        <v>1</v>
      </c>
      <c r="EK121">
        <v>1</v>
      </c>
      <c r="EL121">
        <v>1</v>
      </c>
      <c r="IC121">
        <v>1</v>
      </c>
    </row>
    <row r="122" spans="1:259" x14ac:dyDescent="0.2">
      <c r="A122" t="str">
        <f t="shared" si="4"/>
        <v>Rechnen</v>
      </c>
      <c r="B122">
        <f>ROW()</f>
        <v>122</v>
      </c>
      <c r="H122">
        <v>1</v>
      </c>
      <c r="AD122">
        <v>-1</v>
      </c>
      <c r="AE122">
        <v>-1</v>
      </c>
      <c r="AG122">
        <v>-1</v>
      </c>
      <c r="AH122">
        <v>-1</v>
      </c>
      <c r="AO122">
        <v>1</v>
      </c>
      <c r="AP122">
        <v>1</v>
      </c>
      <c r="AQ122">
        <v>1</v>
      </c>
      <c r="AR122">
        <v>1</v>
      </c>
      <c r="AS122">
        <v>1</v>
      </c>
      <c r="AT122">
        <v>2</v>
      </c>
      <c r="AU122">
        <v>1</v>
      </c>
      <c r="BU122">
        <v>1</v>
      </c>
      <c r="BV122">
        <v>1</v>
      </c>
      <c r="BW122">
        <v>1</v>
      </c>
      <c r="BX122">
        <v>1</v>
      </c>
      <c r="BY122">
        <v>1</v>
      </c>
      <c r="BZ122">
        <v>1</v>
      </c>
      <c r="CA122">
        <v>1</v>
      </c>
      <c r="CB122">
        <v>2</v>
      </c>
      <c r="CC122">
        <v>2</v>
      </c>
      <c r="CD122">
        <v>2</v>
      </c>
      <c r="CE122">
        <v>2</v>
      </c>
      <c r="CF122">
        <v>2</v>
      </c>
      <c r="CG122">
        <v>2</v>
      </c>
      <c r="CH122">
        <v>2</v>
      </c>
      <c r="CI122">
        <v>2</v>
      </c>
      <c r="CJ122">
        <v>2</v>
      </c>
      <c r="CN122">
        <v>1</v>
      </c>
      <c r="CO122">
        <v>1</v>
      </c>
      <c r="CP122">
        <v>1</v>
      </c>
      <c r="CQ122">
        <v>1</v>
      </c>
      <c r="CR122">
        <v>1</v>
      </c>
      <c r="CS122">
        <v>1</v>
      </c>
      <c r="CT122">
        <v>1</v>
      </c>
      <c r="CU122">
        <v>1</v>
      </c>
      <c r="CW122">
        <v>1</v>
      </c>
      <c r="CZ122">
        <v>1</v>
      </c>
      <c r="DB122">
        <v>1</v>
      </c>
      <c r="DC122">
        <v>1</v>
      </c>
      <c r="DD122">
        <v>1</v>
      </c>
      <c r="DE122">
        <v>1</v>
      </c>
      <c r="DF122">
        <v>1</v>
      </c>
      <c r="DG122">
        <v>1</v>
      </c>
      <c r="DH122">
        <v>1</v>
      </c>
      <c r="DI122">
        <v>1</v>
      </c>
      <c r="DO122">
        <v>1</v>
      </c>
      <c r="DQ122">
        <v>1</v>
      </c>
      <c r="DR122">
        <v>1</v>
      </c>
      <c r="EF122">
        <v>2</v>
      </c>
      <c r="EG122">
        <v>2</v>
      </c>
      <c r="EH122">
        <v>2</v>
      </c>
      <c r="EI122">
        <v>2</v>
      </c>
      <c r="EJ122">
        <v>1</v>
      </c>
      <c r="EK122">
        <v>1</v>
      </c>
      <c r="EL122">
        <v>1</v>
      </c>
      <c r="EM122">
        <v>1</v>
      </c>
      <c r="EN122">
        <v>1</v>
      </c>
      <c r="EO122">
        <v>1</v>
      </c>
      <c r="EP122">
        <v>1</v>
      </c>
      <c r="EQ122">
        <v>1</v>
      </c>
      <c r="ER122">
        <v>1</v>
      </c>
      <c r="ES122">
        <v>1</v>
      </c>
      <c r="ET122">
        <v>1</v>
      </c>
      <c r="EU122">
        <v>1</v>
      </c>
      <c r="EV122">
        <v>1</v>
      </c>
      <c r="EW122">
        <v>1</v>
      </c>
      <c r="EX122">
        <v>1</v>
      </c>
      <c r="EY122">
        <v>1</v>
      </c>
      <c r="FA122">
        <v>1</v>
      </c>
      <c r="FB122">
        <v>1</v>
      </c>
      <c r="FE122">
        <v>1</v>
      </c>
      <c r="FF122">
        <v>1</v>
      </c>
      <c r="FY122">
        <v>1</v>
      </c>
      <c r="FZ122">
        <v>4</v>
      </c>
      <c r="GA122">
        <v>1</v>
      </c>
      <c r="GB122">
        <v>1</v>
      </c>
      <c r="GC122">
        <v>2</v>
      </c>
      <c r="HC122">
        <v>2</v>
      </c>
      <c r="HD122">
        <v>2</v>
      </c>
      <c r="HE122">
        <v>2</v>
      </c>
      <c r="HF122">
        <v>2</v>
      </c>
      <c r="HG122">
        <v>2</v>
      </c>
      <c r="IB122">
        <v>1</v>
      </c>
      <c r="IC122">
        <v>4</v>
      </c>
      <c r="IW122">
        <v>2</v>
      </c>
    </row>
    <row r="123" spans="1:259" x14ac:dyDescent="0.2">
      <c r="A123" t="str">
        <f t="shared" si="4"/>
        <v>Rechtskunde</v>
      </c>
      <c r="B123">
        <f>ROW()</f>
        <v>123</v>
      </c>
      <c r="AO123">
        <v>1</v>
      </c>
      <c r="AP123">
        <v>1</v>
      </c>
      <c r="AQ123">
        <v>1</v>
      </c>
      <c r="AR123">
        <v>1</v>
      </c>
      <c r="AS123">
        <v>1</v>
      </c>
      <c r="AT123">
        <v>1</v>
      </c>
      <c r="AU123">
        <v>1</v>
      </c>
      <c r="BB123">
        <v>1</v>
      </c>
      <c r="BC123">
        <v>2</v>
      </c>
      <c r="BG123">
        <v>1</v>
      </c>
      <c r="CB123">
        <v>1</v>
      </c>
      <c r="CC123">
        <v>1</v>
      </c>
      <c r="CD123">
        <v>1</v>
      </c>
      <c r="CE123">
        <v>1</v>
      </c>
      <c r="CF123">
        <v>1</v>
      </c>
      <c r="CG123">
        <v>1</v>
      </c>
      <c r="CH123">
        <v>1</v>
      </c>
      <c r="CJ123">
        <v>2</v>
      </c>
      <c r="CL123">
        <v>1</v>
      </c>
      <c r="CT123">
        <v>1</v>
      </c>
      <c r="CU123">
        <v>1</v>
      </c>
      <c r="DA123">
        <v>2</v>
      </c>
      <c r="DB123">
        <v>1</v>
      </c>
      <c r="DC123">
        <v>1</v>
      </c>
      <c r="DD123">
        <v>3</v>
      </c>
      <c r="DE123">
        <v>1</v>
      </c>
      <c r="DF123">
        <v>1</v>
      </c>
      <c r="DG123">
        <v>1</v>
      </c>
      <c r="DH123">
        <v>1</v>
      </c>
      <c r="EJ123">
        <v>1</v>
      </c>
      <c r="EK123">
        <v>1</v>
      </c>
      <c r="FH123">
        <v>-2</v>
      </c>
      <c r="FI123">
        <v>-2</v>
      </c>
      <c r="FJ123">
        <v>-2</v>
      </c>
      <c r="FK123">
        <v>-1</v>
      </c>
      <c r="FL123">
        <v>-1</v>
      </c>
      <c r="FM123">
        <v>1</v>
      </c>
      <c r="FN123">
        <v>-1</v>
      </c>
      <c r="FO123">
        <v>-1</v>
      </c>
      <c r="FP123">
        <v>-1</v>
      </c>
      <c r="FQ123">
        <v>-1</v>
      </c>
      <c r="FR123">
        <v>-1</v>
      </c>
      <c r="FS123">
        <v>-2</v>
      </c>
      <c r="FT123">
        <v>-2</v>
      </c>
      <c r="FU123">
        <v>-2</v>
      </c>
      <c r="FV123">
        <v>-2</v>
      </c>
      <c r="FW123">
        <v>-2</v>
      </c>
      <c r="FX123">
        <v>-2</v>
      </c>
    </row>
    <row r="124" spans="1:259" x14ac:dyDescent="0.2">
      <c r="A124" t="str">
        <f t="shared" si="4"/>
        <v>Sagen/Legenden</v>
      </c>
      <c r="B124">
        <f>ROW()</f>
        <v>124</v>
      </c>
      <c r="AO124">
        <v>2</v>
      </c>
      <c r="AP124">
        <v>2</v>
      </c>
      <c r="AQ124">
        <v>2</v>
      </c>
      <c r="AR124">
        <v>2</v>
      </c>
      <c r="AS124">
        <v>2</v>
      </c>
      <c r="AT124">
        <v>2</v>
      </c>
      <c r="AU124">
        <v>2</v>
      </c>
      <c r="AV124">
        <v>2</v>
      </c>
      <c r="AW124">
        <v>2</v>
      </c>
      <c r="AX124">
        <v>3</v>
      </c>
      <c r="AY124">
        <v>2</v>
      </c>
      <c r="AZ124">
        <v>2</v>
      </c>
      <c r="BA124">
        <v>2</v>
      </c>
      <c r="BB124">
        <v>2</v>
      </c>
      <c r="BC124">
        <v>2</v>
      </c>
      <c r="BD124">
        <v>2</v>
      </c>
      <c r="BE124">
        <v>2</v>
      </c>
      <c r="BF124">
        <v>2</v>
      </c>
      <c r="BG124">
        <v>2</v>
      </c>
      <c r="BH124">
        <v>2</v>
      </c>
      <c r="BI124">
        <v>2</v>
      </c>
      <c r="BJ124">
        <v>2</v>
      </c>
      <c r="BK124">
        <v>2</v>
      </c>
      <c r="BL124">
        <v>2</v>
      </c>
      <c r="BM124">
        <v>2</v>
      </c>
      <c r="BN124">
        <v>2</v>
      </c>
      <c r="BO124">
        <v>2</v>
      </c>
      <c r="BP124">
        <v>2</v>
      </c>
      <c r="BQ124">
        <v>2</v>
      </c>
      <c r="BR124">
        <v>2</v>
      </c>
      <c r="BS124">
        <v>2</v>
      </c>
      <c r="BT124">
        <v>2</v>
      </c>
      <c r="BU124">
        <v>2</v>
      </c>
      <c r="BV124">
        <v>2</v>
      </c>
      <c r="BW124">
        <v>2</v>
      </c>
      <c r="BX124">
        <v>2</v>
      </c>
      <c r="BY124">
        <v>3</v>
      </c>
      <c r="BZ124">
        <v>2</v>
      </c>
      <c r="CA124">
        <v>2</v>
      </c>
      <c r="CB124">
        <v>2</v>
      </c>
      <c r="CC124">
        <v>2</v>
      </c>
      <c r="CD124">
        <v>2</v>
      </c>
      <c r="CE124">
        <v>2</v>
      </c>
      <c r="CF124">
        <v>2</v>
      </c>
      <c r="CG124">
        <v>3</v>
      </c>
      <c r="CH124">
        <v>2</v>
      </c>
      <c r="CI124">
        <v>2</v>
      </c>
      <c r="CJ124">
        <v>2</v>
      </c>
      <c r="CK124">
        <v>2</v>
      </c>
      <c r="CL124">
        <v>2</v>
      </c>
      <c r="CM124">
        <v>2</v>
      </c>
      <c r="CN124">
        <v>2</v>
      </c>
      <c r="CO124">
        <v>2</v>
      </c>
      <c r="CP124">
        <v>2</v>
      </c>
      <c r="CQ124">
        <v>2</v>
      </c>
      <c r="CR124">
        <v>2</v>
      </c>
      <c r="CS124">
        <v>2</v>
      </c>
      <c r="CT124">
        <v>2</v>
      </c>
      <c r="CU124">
        <v>2</v>
      </c>
      <c r="CV124">
        <v>3</v>
      </c>
      <c r="CW124">
        <v>3</v>
      </c>
      <c r="CX124">
        <v>3</v>
      </c>
      <c r="CY124">
        <v>3</v>
      </c>
      <c r="CZ124">
        <v>3</v>
      </c>
      <c r="DA124">
        <v>5</v>
      </c>
      <c r="DB124">
        <v>2</v>
      </c>
      <c r="DC124">
        <v>2</v>
      </c>
      <c r="DD124">
        <v>4</v>
      </c>
      <c r="DE124">
        <v>1</v>
      </c>
      <c r="DF124">
        <v>1</v>
      </c>
      <c r="DG124">
        <v>3</v>
      </c>
      <c r="DH124">
        <v>3</v>
      </c>
      <c r="DI124">
        <v>2</v>
      </c>
      <c r="DJ124">
        <v>2</v>
      </c>
      <c r="DK124">
        <v>4</v>
      </c>
      <c r="DL124">
        <v>4</v>
      </c>
      <c r="DM124">
        <v>4</v>
      </c>
      <c r="DN124">
        <v>5</v>
      </c>
      <c r="DO124">
        <v>3</v>
      </c>
      <c r="DP124">
        <v>3</v>
      </c>
      <c r="DQ124">
        <v>3</v>
      </c>
      <c r="DR124">
        <v>3</v>
      </c>
      <c r="DS124">
        <v>2</v>
      </c>
      <c r="DT124">
        <v>1</v>
      </c>
      <c r="EF124">
        <v>2</v>
      </c>
      <c r="EG124">
        <v>2</v>
      </c>
      <c r="EH124">
        <v>2</v>
      </c>
      <c r="EI124">
        <v>2</v>
      </c>
      <c r="EJ124">
        <v>2</v>
      </c>
      <c r="EK124">
        <v>2</v>
      </c>
      <c r="EL124">
        <v>1</v>
      </c>
      <c r="EM124">
        <v>1</v>
      </c>
      <c r="EN124">
        <v>1</v>
      </c>
      <c r="EO124">
        <v>1</v>
      </c>
      <c r="EP124">
        <v>1</v>
      </c>
      <c r="EQ124">
        <v>1</v>
      </c>
      <c r="ER124">
        <v>1</v>
      </c>
      <c r="ES124">
        <v>1</v>
      </c>
      <c r="ET124">
        <v>1</v>
      </c>
      <c r="EU124">
        <v>1</v>
      </c>
      <c r="EV124">
        <v>1</v>
      </c>
      <c r="EW124">
        <v>1</v>
      </c>
      <c r="EX124">
        <v>1</v>
      </c>
      <c r="EY124">
        <v>1</v>
      </c>
      <c r="EZ124">
        <v>1</v>
      </c>
      <c r="FA124">
        <v>2</v>
      </c>
      <c r="FB124">
        <v>2</v>
      </c>
      <c r="FC124">
        <v>1</v>
      </c>
      <c r="FD124">
        <v>1</v>
      </c>
      <c r="FE124">
        <v>2</v>
      </c>
      <c r="FF124">
        <v>2</v>
      </c>
      <c r="FG124">
        <v>1</v>
      </c>
      <c r="FH124">
        <v>2</v>
      </c>
      <c r="FI124">
        <v>2</v>
      </c>
      <c r="FJ124">
        <v>2</v>
      </c>
      <c r="FK124">
        <v>2</v>
      </c>
      <c r="FL124">
        <v>3</v>
      </c>
      <c r="FM124">
        <v>2</v>
      </c>
      <c r="FN124">
        <v>2</v>
      </c>
      <c r="FO124">
        <v>2</v>
      </c>
      <c r="FP124">
        <v>2</v>
      </c>
      <c r="FQ124">
        <v>2</v>
      </c>
      <c r="FR124">
        <v>2</v>
      </c>
      <c r="FS124">
        <v>2</v>
      </c>
      <c r="FT124">
        <v>2</v>
      </c>
      <c r="FU124">
        <v>3</v>
      </c>
      <c r="FV124">
        <v>3</v>
      </c>
      <c r="FW124">
        <v>3</v>
      </c>
      <c r="FX124">
        <v>3</v>
      </c>
      <c r="FY124">
        <v>2</v>
      </c>
      <c r="FZ124">
        <v>3</v>
      </c>
      <c r="GA124">
        <v>1</v>
      </c>
      <c r="GB124">
        <v>2</v>
      </c>
      <c r="GC124">
        <v>3</v>
      </c>
      <c r="GD124">
        <v>1</v>
      </c>
      <c r="GE124">
        <v>1</v>
      </c>
      <c r="GF124">
        <v>1</v>
      </c>
      <c r="GG124">
        <v>1</v>
      </c>
      <c r="GH124">
        <v>1</v>
      </c>
      <c r="GI124">
        <v>1</v>
      </c>
      <c r="GJ124">
        <v>1</v>
      </c>
      <c r="GK124">
        <v>1</v>
      </c>
      <c r="GL124">
        <v>1</v>
      </c>
      <c r="GM124">
        <v>1</v>
      </c>
      <c r="GN124">
        <v>1</v>
      </c>
      <c r="GO124">
        <v>1</v>
      </c>
      <c r="GP124">
        <v>1</v>
      </c>
      <c r="GQ124">
        <v>1</v>
      </c>
      <c r="GR124">
        <v>1</v>
      </c>
      <c r="GS124">
        <v>1</v>
      </c>
      <c r="GT124">
        <v>1</v>
      </c>
      <c r="GU124">
        <v>1</v>
      </c>
      <c r="GV124">
        <v>1</v>
      </c>
      <c r="GW124">
        <v>1</v>
      </c>
      <c r="GX124">
        <v>1</v>
      </c>
      <c r="GY124">
        <v>1</v>
      </c>
      <c r="GZ124">
        <v>1</v>
      </c>
      <c r="HA124">
        <v>1</v>
      </c>
      <c r="HB124">
        <v>1</v>
      </c>
      <c r="HC124">
        <v>1</v>
      </c>
      <c r="HD124">
        <v>1</v>
      </c>
      <c r="HE124">
        <v>1</v>
      </c>
      <c r="HF124">
        <v>1</v>
      </c>
      <c r="HG124">
        <v>1</v>
      </c>
      <c r="HH124">
        <v>1</v>
      </c>
      <c r="HI124">
        <v>1</v>
      </c>
      <c r="HJ124">
        <v>1</v>
      </c>
      <c r="HK124">
        <v>1</v>
      </c>
      <c r="HL124">
        <v>1</v>
      </c>
      <c r="HM124">
        <v>2</v>
      </c>
      <c r="HN124">
        <v>1</v>
      </c>
      <c r="HO124">
        <v>1</v>
      </c>
      <c r="HP124">
        <v>1</v>
      </c>
      <c r="HQ124">
        <v>1</v>
      </c>
      <c r="HR124">
        <v>1</v>
      </c>
      <c r="HS124">
        <v>1</v>
      </c>
      <c r="HT124">
        <v>1</v>
      </c>
      <c r="HU124">
        <v>1</v>
      </c>
      <c r="HV124">
        <v>1</v>
      </c>
      <c r="HW124">
        <v>1</v>
      </c>
      <c r="HX124">
        <v>1</v>
      </c>
      <c r="HY124">
        <v>1</v>
      </c>
      <c r="HZ124">
        <v>1</v>
      </c>
      <c r="IA124">
        <v>1</v>
      </c>
      <c r="IB124">
        <v>1</v>
      </c>
      <c r="IC124">
        <v>3</v>
      </c>
      <c r="ID124">
        <v>2</v>
      </c>
      <c r="IE124">
        <v>2</v>
      </c>
      <c r="IF124">
        <v>2</v>
      </c>
      <c r="IG124">
        <v>2</v>
      </c>
      <c r="IH124">
        <v>2</v>
      </c>
      <c r="II124">
        <v>2</v>
      </c>
      <c r="IL124">
        <v>1</v>
      </c>
      <c r="IM124">
        <v>1</v>
      </c>
      <c r="IN124">
        <v>1</v>
      </c>
      <c r="IO124">
        <v>1</v>
      </c>
      <c r="IP124">
        <v>1</v>
      </c>
      <c r="IQ124">
        <v>1</v>
      </c>
      <c r="IY124">
        <v>1</v>
      </c>
    </row>
    <row r="125" spans="1:259" x14ac:dyDescent="0.2">
      <c r="A125" t="str">
        <f t="shared" si="4"/>
        <v>Schätzen</v>
      </c>
      <c r="B125">
        <f>ROW()</f>
        <v>125</v>
      </c>
      <c r="CN125">
        <v>1</v>
      </c>
      <c r="CO125">
        <v>1</v>
      </c>
      <c r="CP125">
        <v>1</v>
      </c>
      <c r="CQ125">
        <v>1</v>
      </c>
      <c r="CR125">
        <v>1</v>
      </c>
      <c r="CS125">
        <v>1</v>
      </c>
      <c r="CT125">
        <v>1</v>
      </c>
      <c r="CU125">
        <v>1</v>
      </c>
      <c r="CW125">
        <v>1</v>
      </c>
      <c r="DB125">
        <v>2</v>
      </c>
      <c r="DC125">
        <v>2</v>
      </c>
      <c r="DD125">
        <v>2</v>
      </c>
      <c r="DE125">
        <v>1</v>
      </c>
      <c r="DF125">
        <v>1</v>
      </c>
      <c r="DG125">
        <v>1</v>
      </c>
      <c r="DH125">
        <v>1</v>
      </c>
      <c r="DJ125">
        <v>1</v>
      </c>
      <c r="DO125">
        <v>1</v>
      </c>
      <c r="DR125">
        <v>1</v>
      </c>
      <c r="EI125">
        <v>1</v>
      </c>
      <c r="EJ125">
        <v>2</v>
      </c>
      <c r="EL125">
        <v>1</v>
      </c>
      <c r="EM125">
        <v>1</v>
      </c>
      <c r="EN125">
        <v>1</v>
      </c>
      <c r="EO125">
        <v>1</v>
      </c>
      <c r="EP125">
        <v>1</v>
      </c>
      <c r="EQ125">
        <v>1</v>
      </c>
      <c r="ER125">
        <v>1</v>
      </c>
      <c r="ES125">
        <v>1</v>
      </c>
      <c r="ET125">
        <v>1</v>
      </c>
      <c r="EU125">
        <v>1</v>
      </c>
      <c r="EV125">
        <v>1</v>
      </c>
      <c r="EW125">
        <v>1</v>
      </c>
      <c r="EX125">
        <v>1</v>
      </c>
      <c r="EY125">
        <v>1</v>
      </c>
      <c r="FE125">
        <v>2</v>
      </c>
      <c r="FF125">
        <v>2</v>
      </c>
      <c r="FY125">
        <v>3</v>
      </c>
      <c r="FZ125">
        <v>2</v>
      </c>
      <c r="GA125">
        <v>2</v>
      </c>
      <c r="GB125">
        <v>3</v>
      </c>
      <c r="HC125">
        <v>2</v>
      </c>
      <c r="HD125">
        <v>2</v>
      </c>
      <c r="HE125">
        <v>2</v>
      </c>
      <c r="HF125">
        <v>2</v>
      </c>
      <c r="HG125">
        <v>2</v>
      </c>
      <c r="HM125">
        <v>1</v>
      </c>
      <c r="IB125">
        <v>1</v>
      </c>
      <c r="IW125">
        <v>2</v>
      </c>
    </row>
    <row r="126" spans="1:259" x14ac:dyDescent="0.2">
      <c r="A126" t="str">
        <f t="shared" si="4"/>
        <v>Schiffbau</v>
      </c>
      <c r="B126">
        <f>ROW()</f>
        <v>126</v>
      </c>
    </row>
    <row r="127" spans="1:259" x14ac:dyDescent="0.2">
      <c r="A127" t="str">
        <f t="shared" si="4"/>
        <v>Sprachenkunde</v>
      </c>
      <c r="B127">
        <f>ROW()</f>
        <v>127</v>
      </c>
    </row>
    <row r="128" spans="1:259" x14ac:dyDescent="0.2">
      <c r="A128" t="str">
        <f t="shared" si="4"/>
        <v>Staatskunst</v>
      </c>
      <c r="B128">
        <f>ROW()</f>
        <v>128</v>
      </c>
    </row>
    <row r="129" spans="1:257" x14ac:dyDescent="0.2">
      <c r="A129" t="str">
        <f t="shared" si="4"/>
        <v>Sternkunde</v>
      </c>
      <c r="B129">
        <f>ROW()</f>
        <v>129</v>
      </c>
      <c r="DE129">
        <v>1</v>
      </c>
      <c r="DF129">
        <v>1</v>
      </c>
      <c r="DG129">
        <v>1</v>
      </c>
      <c r="DH129">
        <v>1</v>
      </c>
      <c r="DI129">
        <v>1</v>
      </c>
      <c r="DJ129">
        <v>1</v>
      </c>
      <c r="DK129">
        <v>1</v>
      </c>
      <c r="DL129">
        <v>1</v>
      </c>
      <c r="DM129">
        <v>2</v>
      </c>
      <c r="DO129">
        <v>1</v>
      </c>
      <c r="DP129">
        <v>1</v>
      </c>
      <c r="DQ129">
        <v>1</v>
      </c>
      <c r="DR129">
        <v>2</v>
      </c>
      <c r="FU129">
        <v>2</v>
      </c>
      <c r="FV129">
        <v>2</v>
      </c>
      <c r="FW129">
        <v>2</v>
      </c>
      <c r="FX129">
        <v>2</v>
      </c>
      <c r="IC129">
        <v>1</v>
      </c>
    </row>
    <row r="130" spans="1:257" x14ac:dyDescent="0.2">
      <c r="A130" t="str">
        <f t="shared" si="4"/>
        <v>Tierkunde</v>
      </c>
      <c r="B130">
        <f>ROW()</f>
        <v>130</v>
      </c>
      <c r="BA130">
        <v>1</v>
      </c>
      <c r="BC130">
        <v>1</v>
      </c>
      <c r="BO130">
        <v>1</v>
      </c>
      <c r="BP130">
        <v>1</v>
      </c>
      <c r="BQ130">
        <v>1</v>
      </c>
      <c r="BR130">
        <v>1</v>
      </c>
      <c r="BS130">
        <v>1</v>
      </c>
      <c r="BT130">
        <v>1</v>
      </c>
      <c r="DI130">
        <v>1</v>
      </c>
      <c r="DN130">
        <v>1</v>
      </c>
      <c r="DT130">
        <v>1</v>
      </c>
      <c r="DU130">
        <v>4</v>
      </c>
      <c r="DV130">
        <v>4</v>
      </c>
      <c r="DW130">
        <v>4</v>
      </c>
      <c r="DX130">
        <v>4</v>
      </c>
      <c r="DY130">
        <v>3</v>
      </c>
      <c r="DZ130">
        <v>2</v>
      </c>
      <c r="EA130">
        <v>2</v>
      </c>
      <c r="EB130">
        <v>3</v>
      </c>
      <c r="EC130">
        <v>2</v>
      </c>
      <c r="ED130">
        <v>2</v>
      </c>
      <c r="EE130">
        <v>3</v>
      </c>
      <c r="EF130">
        <v>1</v>
      </c>
      <c r="EG130">
        <v>2</v>
      </c>
      <c r="EH130">
        <v>2</v>
      </c>
      <c r="EI130">
        <v>1</v>
      </c>
      <c r="EX130">
        <v>1</v>
      </c>
      <c r="FA130">
        <v>2</v>
      </c>
      <c r="FB130">
        <v>2</v>
      </c>
      <c r="FC130">
        <v>2</v>
      </c>
      <c r="FD130">
        <v>4</v>
      </c>
      <c r="FH130">
        <v>2</v>
      </c>
      <c r="FI130">
        <v>3</v>
      </c>
      <c r="FJ130">
        <v>2</v>
      </c>
      <c r="FK130">
        <v>2</v>
      </c>
      <c r="FL130">
        <v>2</v>
      </c>
      <c r="FM130">
        <v>2</v>
      </c>
      <c r="FN130">
        <v>2</v>
      </c>
      <c r="FO130">
        <v>2</v>
      </c>
      <c r="FP130">
        <v>2</v>
      </c>
      <c r="FQ130">
        <v>2</v>
      </c>
      <c r="FR130">
        <v>2</v>
      </c>
      <c r="FS130" t="s">
        <v>1719</v>
      </c>
      <c r="FT130" t="s">
        <v>1720</v>
      </c>
      <c r="FU130">
        <v>2</v>
      </c>
      <c r="FV130">
        <v>2</v>
      </c>
      <c r="FW130">
        <v>2</v>
      </c>
      <c r="FX130">
        <v>2</v>
      </c>
      <c r="GC130">
        <v>1</v>
      </c>
      <c r="GD130">
        <v>2</v>
      </c>
      <c r="GE130">
        <v>2</v>
      </c>
      <c r="GF130">
        <v>2</v>
      </c>
      <c r="GG130">
        <v>2</v>
      </c>
      <c r="GH130">
        <v>2</v>
      </c>
      <c r="GI130">
        <v>2</v>
      </c>
      <c r="GJ130">
        <v>2</v>
      </c>
      <c r="GK130">
        <v>2</v>
      </c>
      <c r="GL130">
        <v>2</v>
      </c>
      <c r="GM130">
        <v>2</v>
      </c>
      <c r="GN130">
        <v>2</v>
      </c>
      <c r="GO130">
        <v>2</v>
      </c>
      <c r="GP130">
        <v>2</v>
      </c>
      <c r="GQ130">
        <v>2</v>
      </c>
      <c r="GR130">
        <v>2</v>
      </c>
      <c r="GS130">
        <v>2</v>
      </c>
      <c r="GT130">
        <v>2</v>
      </c>
      <c r="GU130">
        <v>2</v>
      </c>
      <c r="GV130">
        <v>2</v>
      </c>
      <c r="GW130">
        <v>2</v>
      </c>
      <c r="GX130">
        <v>2</v>
      </c>
      <c r="GY130">
        <v>2</v>
      </c>
      <c r="GZ130">
        <v>2</v>
      </c>
      <c r="HA130">
        <v>2</v>
      </c>
      <c r="HB130">
        <v>2</v>
      </c>
      <c r="HC130">
        <v>2</v>
      </c>
      <c r="HD130">
        <v>2</v>
      </c>
      <c r="HE130">
        <v>2</v>
      </c>
      <c r="HF130">
        <v>2</v>
      </c>
      <c r="HG130">
        <v>2</v>
      </c>
      <c r="HH130">
        <v>2</v>
      </c>
      <c r="HI130">
        <v>2</v>
      </c>
      <c r="HJ130">
        <v>2</v>
      </c>
      <c r="HK130">
        <v>2</v>
      </c>
      <c r="HL130">
        <v>2</v>
      </c>
      <c r="HS130">
        <v>2</v>
      </c>
      <c r="HT130">
        <v>2</v>
      </c>
      <c r="HU130">
        <v>2</v>
      </c>
      <c r="HV130">
        <v>2</v>
      </c>
      <c r="HW130">
        <v>2</v>
      </c>
      <c r="HX130">
        <v>2</v>
      </c>
      <c r="HY130">
        <v>2</v>
      </c>
      <c r="HZ130">
        <v>2</v>
      </c>
      <c r="IA130">
        <v>1</v>
      </c>
      <c r="IC130">
        <v>1</v>
      </c>
      <c r="IE130">
        <v>2</v>
      </c>
      <c r="IH130">
        <v>2</v>
      </c>
      <c r="IL130">
        <v>2</v>
      </c>
      <c r="IM130">
        <v>2</v>
      </c>
      <c r="IN130">
        <v>2</v>
      </c>
      <c r="IO130">
        <v>2</v>
      </c>
      <c r="IP130">
        <v>2</v>
      </c>
      <c r="IQ130">
        <v>2</v>
      </c>
    </row>
    <row r="131" spans="1:257" ht="12.75" customHeight="1" x14ac:dyDescent="0.2">
      <c r="A131" t="str">
        <f>INDEX(TL_HWK,ROW()-130)</f>
        <v>Abrichten</v>
      </c>
      <c r="B131">
        <f>ROW()</f>
        <v>131</v>
      </c>
      <c r="C131" t="s">
        <v>3309</v>
      </c>
      <c r="AN131" t="s">
        <v>3309</v>
      </c>
      <c r="BJ131">
        <v>2</v>
      </c>
      <c r="BU131">
        <v>1</v>
      </c>
      <c r="BV131">
        <v>1</v>
      </c>
      <c r="BW131">
        <v>1</v>
      </c>
      <c r="BX131">
        <v>1</v>
      </c>
      <c r="BY131">
        <v>1</v>
      </c>
      <c r="BZ131">
        <v>1</v>
      </c>
      <c r="CA131">
        <v>1</v>
      </c>
      <c r="CM131">
        <v>1</v>
      </c>
      <c r="FA131">
        <v>1</v>
      </c>
      <c r="FB131">
        <v>1</v>
      </c>
      <c r="FS131" t="s">
        <v>666</v>
      </c>
      <c r="HU131">
        <v>2</v>
      </c>
      <c r="HV131">
        <v>2</v>
      </c>
    </row>
    <row r="132" spans="1:257" x14ac:dyDescent="0.2">
      <c r="A132" t="str">
        <f t="shared" ref="A132:A181" si="5">INDEX(TL_HWK,ROW()-130)</f>
        <v>Ackerbau</v>
      </c>
      <c r="B132">
        <f>ROW()</f>
        <v>132</v>
      </c>
      <c r="AR132">
        <v>1</v>
      </c>
      <c r="AV132">
        <v>1</v>
      </c>
      <c r="AW132">
        <v>1</v>
      </c>
      <c r="AX132">
        <v>1</v>
      </c>
      <c r="AY132">
        <v>1</v>
      </c>
      <c r="AZ132">
        <v>1</v>
      </c>
      <c r="BA132">
        <v>1</v>
      </c>
      <c r="BB132">
        <v>1</v>
      </c>
      <c r="BC132">
        <v>1</v>
      </c>
      <c r="BD132">
        <v>1</v>
      </c>
      <c r="BE132">
        <v>1</v>
      </c>
      <c r="BF132">
        <v>1</v>
      </c>
      <c r="BG132">
        <v>1</v>
      </c>
      <c r="BH132">
        <v>1</v>
      </c>
      <c r="BI132">
        <v>1</v>
      </c>
      <c r="BJ132">
        <v>1</v>
      </c>
      <c r="BK132">
        <v>1</v>
      </c>
      <c r="BL132">
        <v>1</v>
      </c>
      <c r="BM132">
        <v>1</v>
      </c>
      <c r="BN132">
        <v>1</v>
      </c>
      <c r="CV132">
        <v>1</v>
      </c>
      <c r="CW132">
        <v>1</v>
      </c>
      <c r="CX132">
        <v>1</v>
      </c>
      <c r="CY132">
        <v>1</v>
      </c>
      <c r="DA132">
        <v>1</v>
      </c>
      <c r="DF132">
        <v>1</v>
      </c>
      <c r="DH132">
        <v>1</v>
      </c>
      <c r="EF132">
        <v>1</v>
      </c>
      <c r="EG132">
        <v>1</v>
      </c>
      <c r="EH132">
        <v>1</v>
      </c>
      <c r="EI132">
        <v>1</v>
      </c>
      <c r="FL132">
        <v>2</v>
      </c>
      <c r="GS132">
        <v>1</v>
      </c>
      <c r="GT132">
        <v>1</v>
      </c>
      <c r="GU132">
        <v>1</v>
      </c>
      <c r="GV132">
        <v>1</v>
      </c>
      <c r="GW132">
        <v>1</v>
      </c>
      <c r="IU132">
        <v>1</v>
      </c>
    </row>
    <row r="133" spans="1:257" x14ac:dyDescent="0.2">
      <c r="A133" t="str">
        <f t="shared" si="5"/>
        <v>Alchimie</v>
      </c>
      <c r="B133">
        <f>ROW()</f>
        <v>133</v>
      </c>
    </row>
    <row r="134" spans="1:257" x14ac:dyDescent="0.2">
      <c r="A134" t="str">
        <f t="shared" si="5"/>
        <v>Bergbau</v>
      </c>
      <c r="B134">
        <f>ROW()</f>
        <v>134</v>
      </c>
      <c r="FY134">
        <v>2</v>
      </c>
      <c r="FZ134">
        <v>2</v>
      </c>
      <c r="GB134">
        <v>1</v>
      </c>
      <c r="GC134">
        <v>1</v>
      </c>
      <c r="GD134">
        <v>1</v>
      </c>
      <c r="GE134">
        <v>1</v>
      </c>
      <c r="GF134">
        <v>1</v>
      </c>
      <c r="GG134">
        <v>1</v>
      </c>
      <c r="GH134">
        <v>1</v>
      </c>
      <c r="IR134">
        <v>1</v>
      </c>
    </row>
    <row r="135" spans="1:257" x14ac:dyDescent="0.2">
      <c r="A135" t="str">
        <f t="shared" si="5"/>
        <v>Bogenbau</v>
      </c>
      <c r="B135">
        <f>ROW()</f>
        <v>135</v>
      </c>
      <c r="FI135" t="s">
        <v>666</v>
      </c>
      <c r="FS135">
        <v>2</v>
      </c>
      <c r="FT135">
        <v>2</v>
      </c>
    </row>
    <row r="136" spans="1:257" x14ac:dyDescent="0.2">
      <c r="A136" t="str">
        <f t="shared" si="5"/>
        <v>Boote Fahren</v>
      </c>
      <c r="B136">
        <f>ROW()</f>
        <v>136</v>
      </c>
      <c r="AP136">
        <v>1</v>
      </c>
      <c r="AW136">
        <v>1</v>
      </c>
      <c r="BM136">
        <v>1</v>
      </c>
      <c r="BR136">
        <v>1</v>
      </c>
      <c r="BV136">
        <v>1</v>
      </c>
      <c r="CC136">
        <v>1</v>
      </c>
      <c r="CF136">
        <v>1</v>
      </c>
      <c r="CK136">
        <v>1</v>
      </c>
      <c r="CL136">
        <v>1</v>
      </c>
      <c r="CR136">
        <v>1</v>
      </c>
      <c r="CS136">
        <v>1</v>
      </c>
      <c r="DE136">
        <v>-1</v>
      </c>
      <c r="DF136">
        <v>-1</v>
      </c>
      <c r="DG136">
        <v>-1</v>
      </c>
      <c r="DH136">
        <v>-1</v>
      </c>
      <c r="DK136">
        <v>2</v>
      </c>
      <c r="DL136">
        <v>1</v>
      </c>
      <c r="DM136">
        <v>4</v>
      </c>
      <c r="DN136">
        <v>1</v>
      </c>
      <c r="DO136">
        <v>3</v>
      </c>
      <c r="DP136">
        <v>3</v>
      </c>
      <c r="DQ136">
        <v>2</v>
      </c>
      <c r="DR136">
        <v>4</v>
      </c>
      <c r="DU136">
        <v>1</v>
      </c>
      <c r="DV136">
        <v>1</v>
      </c>
      <c r="DX136">
        <v>3</v>
      </c>
      <c r="EC136">
        <v>1</v>
      </c>
      <c r="ED136">
        <v>4</v>
      </c>
      <c r="EE136">
        <v>5</v>
      </c>
      <c r="EH136">
        <v>1</v>
      </c>
      <c r="EL136">
        <v>1</v>
      </c>
      <c r="EM136">
        <v>1</v>
      </c>
      <c r="EN136">
        <v>1</v>
      </c>
      <c r="EO136">
        <v>1</v>
      </c>
      <c r="EP136">
        <v>1</v>
      </c>
      <c r="EQ136">
        <v>2</v>
      </c>
      <c r="ER136">
        <v>1</v>
      </c>
      <c r="ES136">
        <v>1</v>
      </c>
      <c r="ET136">
        <v>1</v>
      </c>
      <c r="EU136">
        <v>1</v>
      </c>
      <c r="EV136">
        <v>1</v>
      </c>
      <c r="EW136">
        <v>1</v>
      </c>
      <c r="EX136">
        <v>1</v>
      </c>
      <c r="EY136">
        <v>1</v>
      </c>
      <c r="EZ136">
        <v>2</v>
      </c>
      <c r="FA136">
        <v>1</v>
      </c>
      <c r="FB136">
        <v>3</v>
      </c>
      <c r="FI136" t="s">
        <v>666</v>
      </c>
      <c r="FU136">
        <v>3</v>
      </c>
      <c r="FV136">
        <v>3</v>
      </c>
      <c r="FW136">
        <v>3</v>
      </c>
      <c r="FX136">
        <v>3</v>
      </c>
      <c r="GI136">
        <v>1</v>
      </c>
      <c r="GJ136">
        <v>1</v>
      </c>
      <c r="GK136">
        <v>1</v>
      </c>
      <c r="GL136">
        <v>1</v>
      </c>
      <c r="GM136">
        <v>1</v>
      </c>
      <c r="IC136">
        <v>1</v>
      </c>
      <c r="ID136">
        <v>2</v>
      </c>
      <c r="IE136">
        <v>1</v>
      </c>
      <c r="IF136">
        <v>2</v>
      </c>
      <c r="IG136">
        <v>2</v>
      </c>
      <c r="IH136">
        <v>4</v>
      </c>
      <c r="II136">
        <v>2</v>
      </c>
      <c r="IS136">
        <v>1</v>
      </c>
    </row>
    <row r="137" spans="1:257" x14ac:dyDescent="0.2">
      <c r="A137" t="str">
        <f t="shared" si="5"/>
        <v>Brauer</v>
      </c>
      <c r="B137">
        <f>ROW()</f>
        <v>137</v>
      </c>
    </row>
    <row r="138" spans="1:257" x14ac:dyDescent="0.2">
      <c r="A138" t="str">
        <f t="shared" si="5"/>
        <v>Drucker</v>
      </c>
      <c r="B138">
        <f>ROW()</f>
        <v>138</v>
      </c>
    </row>
    <row r="139" spans="1:257" x14ac:dyDescent="0.2">
      <c r="A139" t="str">
        <f t="shared" si="5"/>
        <v>Eissegler Fahren</v>
      </c>
      <c r="B139">
        <f>ROW()</f>
        <v>139</v>
      </c>
    </row>
    <row r="140" spans="1:257" x14ac:dyDescent="0.2">
      <c r="A140" t="str">
        <f t="shared" si="5"/>
        <v>Fahrzeug Lenken</v>
      </c>
      <c r="B140">
        <f>ROW()</f>
        <v>140</v>
      </c>
      <c r="AX140">
        <v>1</v>
      </c>
      <c r="BJ140">
        <v>2</v>
      </c>
      <c r="BS140">
        <v>1</v>
      </c>
      <c r="BY140">
        <v>1</v>
      </c>
      <c r="CG140">
        <v>1</v>
      </c>
      <c r="DJ140">
        <v>2</v>
      </c>
      <c r="FA140">
        <v>2</v>
      </c>
      <c r="FB140">
        <v>2</v>
      </c>
      <c r="FE140">
        <v>2</v>
      </c>
      <c r="FF140">
        <v>2</v>
      </c>
      <c r="GB140">
        <v>1</v>
      </c>
      <c r="HC140">
        <v>2</v>
      </c>
      <c r="HD140">
        <v>2</v>
      </c>
      <c r="HE140">
        <v>2</v>
      </c>
      <c r="HF140">
        <v>2</v>
      </c>
      <c r="HG140">
        <v>2</v>
      </c>
      <c r="IW140">
        <v>2</v>
      </c>
    </row>
    <row r="141" spans="1:257" x14ac:dyDescent="0.2">
      <c r="A141" t="str">
        <f t="shared" si="5"/>
        <v>Falschspiel</v>
      </c>
      <c r="B141">
        <f>ROW()</f>
        <v>141</v>
      </c>
    </row>
    <row r="142" spans="1:257" x14ac:dyDescent="0.2">
      <c r="A142" t="str">
        <f t="shared" si="5"/>
        <v>Feinmechanik</v>
      </c>
      <c r="B142">
        <f>ROW()</f>
        <v>142</v>
      </c>
    </row>
    <row r="143" spans="1:257" x14ac:dyDescent="0.2">
      <c r="A143" t="str">
        <f t="shared" si="5"/>
        <v>Feuersteinbearbeitung</v>
      </c>
      <c r="B143">
        <f>ROW()</f>
        <v>143</v>
      </c>
      <c r="DI143">
        <v>1</v>
      </c>
      <c r="DS143">
        <v>1</v>
      </c>
      <c r="DT143">
        <v>1</v>
      </c>
      <c r="DU143">
        <v>2</v>
      </c>
      <c r="DV143">
        <v>2</v>
      </c>
      <c r="DW143">
        <v>3</v>
      </c>
      <c r="DX143">
        <v>2</v>
      </c>
      <c r="DY143">
        <v>3</v>
      </c>
      <c r="EC143">
        <v>2</v>
      </c>
      <c r="EE143">
        <v>1</v>
      </c>
      <c r="FG143">
        <v>2</v>
      </c>
      <c r="GC143">
        <v>2</v>
      </c>
      <c r="GD143">
        <v>1</v>
      </c>
      <c r="GE143">
        <v>1</v>
      </c>
      <c r="GF143">
        <v>1</v>
      </c>
      <c r="GG143">
        <v>1</v>
      </c>
      <c r="GH143">
        <v>1</v>
      </c>
      <c r="GI143">
        <v>1</v>
      </c>
      <c r="GJ143">
        <v>1</v>
      </c>
      <c r="GK143">
        <v>1</v>
      </c>
      <c r="GL143">
        <v>1</v>
      </c>
      <c r="GM143">
        <v>1</v>
      </c>
      <c r="GN143">
        <v>3</v>
      </c>
      <c r="GO143">
        <v>3</v>
      </c>
      <c r="GP143">
        <v>3</v>
      </c>
      <c r="GQ143">
        <v>3</v>
      </c>
      <c r="GR143">
        <v>3</v>
      </c>
      <c r="GS143">
        <v>2</v>
      </c>
      <c r="GT143">
        <v>2</v>
      </c>
      <c r="GU143">
        <v>2</v>
      </c>
      <c r="GV143">
        <v>2</v>
      </c>
      <c r="GW143">
        <v>2</v>
      </c>
      <c r="GX143">
        <v>1</v>
      </c>
      <c r="GY143">
        <v>1</v>
      </c>
      <c r="GZ143">
        <v>1</v>
      </c>
      <c r="HA143">
        <v>1</v>
      </c>
      <c r="HB143">
        <v>1</v>
      </c>
      <c r="HC143">
        <v>1</v>
      </c>
      <c r="HD143">
        <v>1</v>
      </c>
      <c r="HE143">
        <v>1</v>
      </c>
      <c r="HF143">
        <v>1</v>
      </c>
      <c r="HG143">
        <v>1</v>
      </c>
      <c r="HH143">
        <v>1</v>
      </c>
      <c r="HI143">
        <v>1</v>
      </c>
      <c r="HJ143">
        <v>1</v>
      </c>
      <c r="HK143">
        <v>1</v>
      </c>
      <c r="HL143">
        <v>1</v>
      </c>
      <c r="HS143">
        <v>2</v>
      </c>
      <c r="HT143">
        <v>2</v>
      </c>
      <c r="HU143">
        <v>2</v>
      </c>
      <c r="HV143">
        <v>2</v>
      </c>
      <c r="HW143">
        <v>2</v>
      </c>
      <c r="HX143">
        <v>2</v>
      </c>
      <c r="HY143">
        <v>2</v>
      </c>
      <c r="HZ143">
        <v>2</v>
      </c>
      <c r="IC143">
        <v>1</v>
      </c>
      <c r="ID143">
        <v>1</v>
      </c>
      <c r="IE143">
        <v>1</v>
      </c>
      <c r="IF143">
        <v>1</v>
      </c>
      <c r="IG143">
        <v>1</v>
      </c>
      <c r="IH143">
        <v>1</v>
      </c>
      <c r="II143">
        <v>1</v>
      </c>
      <c r="IL143">
        <v>1</v>
      </c>
      <c r="IM143">
        <v>1</v>
      </c>
      <c r="IN143">
        <v>1</v>
      </c>
      <c r="IO143">
        <v>1</v>
      </c>
      <c r="IP143">
        <v>1</v>
      </c>
      <c r="IQ143">
        <v>1</v>
      </c>
      <c r="IT143">
        <v>2</v>
      </c>
      <c r="IU143">
        <v>1</v>
      </c>
    </row>
    <row r="144" spans="1:257" x14ac:dyDescent="0.2">
      <c r="A144" t="str">
        <f t="shared" si="5"/>
        <v>Fleischer</v>
      </c>
      <c r="B144">
        <f>ROW()</f>
        <v>144</v>
      </c>
      <c r="EZ144">
        <v>1</v>
      </c>
    </row>
    <row r="145" spans="1:255" x14ac:dyDescent="0.2">
      <c r="A145" t="str">
        <f t="shared" si="5"/>
        <v>Gerber/Kürschner</v>
      </c>
      <c r="B145">
        <f>ROW()</f>
        <v>145</v>
      </c>
      <c r="EZ145">
        <v>1</v>
      </c>
      <c r="IB145">
        <v>2</v>
      </c>
    </row>
    <row r="146" spans="1:255" x14ac:dyDescent="0.2">
      <c r="A146" t="str">
        <f t="shared" si="5"/>
        <v>Glaskunst</v>
      </c>
      <c r="B146">
        <f>ROW()</f>
        <v>146</v>
      </c>
    </row>
    <row r="147" spans="1:255" x14ac:dyDescent="0.2">
      <c r="A147" t="str">
        <f t="shared" si="5"/>
        <v>Grobschmied</v>
      </c>
      <c r="B147">
        <f>ROW()</f>
        <v>147</v>
      </c>
      <c r="FY147">
        <v>3</v>
      </c>
      <c r="GD147">
        <v>1</v>
      </c>
      <c r="GE147">
        <v>1</v>
      </c>
      <c r="GF147">
        <v>1</v>
      </c>
      <c r="GG147">
        <v>1</v>
      </c>
      <c r="GH147">
        <v>1</v>
      </c>
      <c r="IR147">
        <v>1</v>
      </c>
    </row>
    <row r="148" spans="1:255" x14ac:dyDescent="0.2">
      <c r="A148" t="str">
        <f t="shared" si="5"/>
        <v>Handel</v>
      </c>
      <c r="B148">
        <f>ROW()</f>
        <v>148</v>
      </c>
    </row>
    <row r="149" spans="1:255" x14ac:dyDescent="0.2">
      <c r="A149" t="str">
        <f t="shared" si="5"/>
        <v>Hauswirtschaft</v>
      </c>
      <c r="B149">
        <f>ROW()</f>
        <v>149</v>
      </c>
      <c r="BN149">
        <v>1</v>
      </c>
      <c r="CN149">
        <v>1</v>
      </c>
      <c r="CO149">
        <v>1</v>
      </c>
      <c r="CP149">
        <v>1</v>
      </c>
      <c r="CQ149">
        <v>1</v>
      </c>
      <c r="CR149">
        <v>1</v>
      </c>
      <c r="CS149">
        <v>1</v>
      </c>
      <c r="CT149">
        <v>1</v>
      </c>
      <c r="CU149">
        <v>1</v>
      </c>
      <c r="DB149">
        <v>1</v>
      </c>
      <c r="DC149">
        <v>1</v>
      </c>
      <c r="DD149">
        <v>1</v>
      </c>
      <c r="DH149">
        <v>1</v>
      </c>
      <c r="EJ149">
        <v>1</v>
      </c>
    </row>
    <row r="150" spans="1:255" x14ac:dyDescent="0.2">
      <c r="A150" t="str">
        <f t="shared" si="5"/>
        <v>Heilkunde Gift</v>
      </c>
      <c r="B150">
        <f>ROW()</f>
        <v>150</v>
      </c>
      <c r="BC150">
        <v>1</v>
      </c>
      <c r="DG150">
        <v>1</v>
      </c>
      <c r="DH150">
        <v>1</v>
      </c>
      <c r="DU150">
        <v>1</v>
      </c>
      <c r="DV150">
        <v>1</v>
      </c>
      <c r="DW150">
        <v>1</v>
      </c>
      <c r="DX150">
        <v>1</v>
      </c>
      <c r="DY150">
        <v>1</v>
      </c>
      <c r="DZ150">
        <v>2</v>
      </c>
      <c r="EA150">
        <v>2</v>
      </c>
      <c r="EB150">
        <v>1</v>
      </c>
      <c r="EC150">
        <v>1</v>
      </c>
      <c r="ED150">
        <v>1</v>
      </c>
      <c r="EE150">
        <v>1</v>
      </c>
      <c r="EF150">
        <v>2</v>
      </c>
      <c r="EG150">
        <v>2</v>
      </c>
      <c r="EH150">
        <v>2</v>
      </c>
      <c r="EI150">
        <v>2</v>
      </c>
      <c r="EJ150">
        <v>1</v>
      </c>
      <c r="EK150">
        <v>1</v>
      </c>
      <c r="EL150">
        <v>1</v>
      </c>
      <c r="ER150">
        <v>1</v>
      </c>
      <c r="FH150">
        <v>1</v>
      </c>
      <c r="FI150">
        <v>1</v>
      </c>
      <c r="FJ150">
        <v>1</v>
      </c>
      <c r="FS150">
        <v>1</v>
      </c>
      <c r="FT150">
        <v>2</v>
      </c>
    </row>
    <row r="151" spans="1:255" x14ac:dyDescent="0.2">
      <c r="A151" t="str">
        <f t="shared" si="5"/>
        <v>Heilkunde Krankheiten</v>
      </c>
      <c r="B151">
        <f>ROW()</f>
        <v>151</v>
      </c>
      <c r="DG151">
        <v>1</v>
      </c>
      <c r="DH151">
        <v>1</v>
      </c>
      <c r="EB151">
        <v>1</v>
      </c>
      <c r="HT151">
        <v>1</v>
      </c>
      <c r="HV151">
        <v>1</v>
      </c>
      <c r="HX151">
        <v>1</v>
      </c>
      <c r="HZ151">
        <v>1</v>
      </c>
      <c r="IC151">
        <v>1</v>
      </c>
      <c r="ID151">
        <v>1</v>
      </c>
      <c r="IE151">
        <v>1</v>
      </c>
      <c r="IF151">
        <v>1</v>
      </c>
      <c r="IG151">
        <v>1</v>
      </c>
      <c r="IH151">
        <v>1</v>
      </c>
      <c r="II151">
        <v>1</v>
      </c>
    </row>
    <row r="152" spans="1:255" x14ac:dyDescent="0.2">
      <c r="A152" t="str">
        <f t="shared" si="5"/>
        <v>Heilkunde Seele</v>
      </c>
      <c r="B152">
        <f>ROW()</f>
        <v>152</v>
      </c>
      <c r="DG152">
        <v>1</v>
      </c>
      <c r="DH152">
        <v>1</v>
      </c>
    </row>
    <row r="153" spans="1:255" x14ac:dyDescent="0.2">
      <c r="A153" t="str">
        <f t="shared" si="5"/>
        <v>Heilkunde Wunden</v>
      </c>
      <c r="B153">
        <f>ROW()</f>
        <v>153</v>
      </c>
      <c r="AV153">
        <v>1</v>
      </c>
      <c r="AW153">
        <v>1</v>
      </c>
      <c r="AX153">
        <v>1</v>
      </c>
      <c r="AY153">
        <v>1</v>
      </c>
      <c r="AZ153">
        <v>1</v>
      </c>
      <c r="BA153">
        <v>1</v>
      </c>
      <c r="BB153">
        <v>1</v>
      </c>
      <c r="BC153">
        <v>1</v>
      </c>
      <c r="BD153">
        <v>1</v>
      </c>
      <c r="BE153">
        <v>1</v>
      </c>
      <c r="BF153">
        <v>1</v>
      </c>
      <c r="BG153">
        <v>1</v>
      </c>
      <c r="BH153">
        <v>1</v>
      </c>
      <c r="BI153">
        <v>1</v>
      </c>
      <c r="BJ153">
        <v>1</v>
      </c>
      <c r="BO153">
        <v>1</v>
      </c>
      <c r="BP153">
        <v>1</v>
      </c>
      <c r="BQ153">
        <v>1</v>
      </c>
      <c r="BR153">
        <v>1</v>
      </c>
      <c r="BS153">
        <v>1</v>
      </c>
      <c r="BT153">
        <v>1</v>
      </c>
      <c r="CN153">
        <v>1</v>
      </c>
      <c r="CO153">
        <v>1</v>
      </c>
      <c r="CP153">
        <v>1</v>
      </c>
      <c r="CQ153">
        <v>1</v>
      </c>
      <c r="CR153">
        <v>1</v>
      </c>
      <c r="CS153">
        <v>1</v>
      </c>
      <c r="CT153">
        <v>1</v>
      </c>
      <c r="CU153">
        <v>1</v>
      </c>
      <c r="DG153">
        <v>2</v>
      </c>
      <c r="DH153">
        <v>2</v>
      </c>
      <c r="DI153">
        <v>1</v>
      </c>
      <c r="DJ153">
        <v>1</v>
      </c>
      <c r="DS153">
        <v>1</v>
      </c>
      <c r="DT153">
        <v>1</v>
      </c>
      <c r="DU153">
        <v>1</v>
      </c>
      <c r="DV153">
        <v>1</v>
      </c>
      <c r="DW153">
        <v>1</v>
      </c>
      <c r="DX153">
        <v>1</v>
      </c>
      <c r="DY153">
        <v>1</v>
      </c>
      <c r="DZ153">
        <v>1</v>
      </c>
      <c r="EA153">
        <v>1</v>
      </c>
      <c r="EB153">
        <v>2</v>
      </c>
      <c r="EC153">
        <v>1</v>
      </c>
      <c r="ED153">
        <v>1</v>
      </c>
      <c r="EE153">
        <v>1</v>
      </c>
      <c r="EF153">
        <v>1</v>
      </c>
      <c r="EG153">
        <v>1</v>
      </c>
      <c r="EH153">
        <v>1</v>
      </c>
      <c r="EI153">
        <v>1</v>
      </c>
      <c r="FA153">
        <v>1</v>
      </c>
      <c r="FB153">
        <v>1</v>
      </c>
      <c r="FC153">
        <v>2</v>
      </c>
      <c r="FD153">
        <v>2</v>
      </c>
      <c r="FE153">
        <v>1</v>
      </c>
      <c r="FF153">
        <v>1</v>
      </c>
      <c r="FG153">
        <v>1</v>
      </c>
      <c r="FH153" t="s">
        <v>1722</v>
      </c>
      <c r="FI153">
        <v>1</v>
      </c>
      <c r="FJ153" t="s">
        <v>1722</v>
      </c>
      <c r="FS153">
        <v>3</v>
      </c>
      <c r="FT153">
        <v>3</v>
      </c>
      <c r="FU153">
        <v>4</v>
      </c>
      <c r="FV153">
        <v>4</v>
      </c>
      <c r="FW153">
        <v>4</v>
      </c>
      <c r="FX153">
        <v>4</v>
      </c>
      <c r="FZ153">
        <v>1</v>
      </c>
      <c r="GD153">
        <v>1</v>
      </c>
      <c r="GE153">
        <v>1</v>
      </c>
      <c r="GF153">
        <v>1</v>
      </c>
      <c r="GG153">
        <v>1</v>
      </c>
      <c r="GH153">
        <v>1</v>
      </c>
      <c r="GI153">
        <v>1</v>
      </c>
      <c r="GJ153">
        <v>1</v>
      </c>
      <c r="GK153">
        <v>1</v>
      </c>
      <c r="GL153">
        <v>1</v>
      </c>
      <c r="GM153">
        <v>1</v>
      </c>
      <c r="GN153">
        <v>1</v>
      </c>
      <c r="GO153">
        <v>1</v>
      </c>
      <c r="GP153">
        <v>1</v>
      </c>
      <c r="GQ153">
        <v>1</v>
      </c>
      <c r="GR153">
        <v>1</v>
      </c>
      <c r="GS153">
        <v>1</v>
      </c>
      <c r="GT153">
        <v>1</v>
      </c>
      <c r="GU153">
        <v>1</v>
      </c>
      <c r="GV153">
        <v>1</v>
      </c>
      <c r="GW153">
        <v>1</v>
      </c>
      <c r="GX153">
        <v>1</v>
      </c>
      <c r="GY153">
        <v>1</v>
      </c>
      <c r="GZ153">
        <v>1</v>
      </c>
      <c r="HA153">
        <v>1</v>
      </c>
      <c r="HB153">
        <v>1</v>
      </c>
      <c r="HC153">
        <v>1</v>
      </c>
      <c r="HD153">
        <v>1</v>
      </c>
      <c r="HE153">
        <v>1</v>
      </c>
      <c r="HF153">
        <v>1</v>
      </c>
      <c r="HG153">
        <v>1</v>
      </c>
      <c r="HH153">
        <v>1</v>
      </c>
      <c r="HI153">
        <v>1</v>
      </c>
      <c r="HJ153">
        <v>1</v>
      </c>
      <c r="HK153">
        <v>1</v>
      </c>
      <c r="HL153">
        <v>1</v>
      </c>
      <c r="HM153">
        <v>2</v>
      </c>
      <c r="HS153">
        <v>1</v>
      </c>
      <c r="HT153">
        <v>1</v>
      </c>
      <c r="HU153">
        <v>1</v>
      </c>
      <c r="HV153">
        <v>1</v>
      </c>
      <c r="HW153">
        <v>1</v>
      </c>
      <c r="HX153">
        <v>1</v>
      </c>
      <c r="HY153">
        <v>1</v>
      </c>
      <c r="HZ153">
        <v>1</v>
      </c>
      <c r="IA153">
        <v>1</v>
      </c>
      <c r="IL153">
        <v>1</v>
      </c>
      <c r="IM153">
        <v>1</v>
      </c>
      <c r="IN153">
        <v>1</v>
      </c>
      <c r="IO153">
        <v>1</v>
      </c>
      <c r="IP153">
        <v>1</v>
      </c>
      <c r="IQ153">
        <v>1</v>
      </c>
    </row>
    <row r="154" spans="1:255" x14ac:dyDescent="0.2">
      <c r="A154" t="str">
        <f t="shared" si="5"/>
        <v>Holzbearbeitung</v>
      </c>
      <c r="B154">
        <f>ROW()</f>
        <v>154</v>
      </c>
      <c r="AV154">
        <v>1</v>
      </c>
      <c r="AW154">
        <v>1</v>
      </c>
      <c r="AX154">
        <v>1</v>
      </c>
      <c r="AY154">
        <v>1</v>
      </c>
      <c r="AZ154">
        <v>1</v>
      </c>
      <c r="BA154">
        <v>1</v>
      </c>
      <c r="BB154">
        <v>1</v>
      </c>
      <c r="BC154">
        <v>1</v>
      </c>
      <c r="BD154">
        <v>1</v>
      </c>
      <c r="BE154">
        <v>2</v>
      </c>
      <c r="BF154">
        <v>2</v>
      </c>
      <c r="BG154">
        <v>2</v>
      </c>
      <c r="BH154">
        <v>2</v>
      </c>
      <c r="BI154">
        <v>2</v>
      </c>
      <c r="BJ154">
        <v>2</v>
      </c>
      <c r="BK154">
        <v>2</v>
      </c>
      <c r="BL154">
        <v>2</v>
      </c>
      <c r="BM154">
        <v>2</v>
      </c>
      <c r="BN154">
        <v>2</v>
      </c>
      <c r="BO154">
        <v>1</v>
      </c>
      <c r="BP154">
        <v>1</v>
      </c>
      <c r="BQ154">
        <v>1</v>
      </c>
      <c r="BR154">
        <v>2</v>
      </c>
      <c r="BS154">
        <v>1</v>
      </c>
      <c r="BT154">
        <v>1</v>
      </c>
      <c r="CI154">
        <v>1</v>
      </c>
      <c r="CK154">
        <v>1</v>
      </c>
      <c r="CL154">
        <v>1</v>
      </c>
      <c r="CM154">
        <v>1</v>
      </c>
      <c r="CN154">
        <v>1</v>
      </c>
      <c r="CO154">
        <v>1</v>
      </c>
      <c r="CP154">
        <v>1</v>
      </c>
      <c r="CQ154">
        <v>1</v>
      </c>
      <c r="CR154">
        <v>1</v>
      </c>
      <c r="CS154">
        <v>1</v>
      </c>
      <c r="CT154">
        <v>1</v>
      </c>
      <c r="CU154">
        <v>1</v>
      </c>
      <c r="CV154">
        <v>1</v>
      </c>
      <c r="CW154">
        <v>1</v>
      </c>
      <c r="CX154">
        <v>1</v>
      </c>
      <c r="CY154">
        <v>1</v>
      </c>
      <c r="CZ154">
        <v>1</v>
      </c>
      <c r="DA154">
        <v>1</v>
      </c>
      <c r="DG154">
        <v>1</v>
      </c>
      <c r="DH154">
        <v>1</v>
      </c>
      <c r="DI154">
        <v>1</v>
      </c>
      <c r="DJ154">
        <v>1</v>
      </c>
      <c r="DK154">
        <v>1</v>
      </c>
      <c r="DL154">
        <v>1</v>
      </c>
      <c r="DM154">
        <v>2</v>
      </c>
      <c r="DN154">
        <v>2</v>
      </c>
      <c r="DO154">
        <v>2</v>
      </c>
      <c r="DP154">
        <v>3</v>
      </c>
      <c r="DQ154">
        <v>1</v>
      </c>
      <c r="DR154">
        <v>1</v>
      </c>
      <c r="DS154">
        <v>1</v>
      </c>
      <c r="DT154">
        <v>1</v>
      </c>
      <c r="DU154">
        <v>1</v>
      </c>
      <c r="DV154">
        <v>1</v>
      </c>
      <c r="DW154">
        <v>1</v>
      </c>
      <c r="DX154">
        <v>1</v>
      </c>
      <c r="DY154">
        <v>1</v>
      </c>
      <c r="DZ154">
        <v>1</v>
      </c>
      <c r="EA154">
        <v>1</v>
      </c>
      <c r="EB154">
        <v>1</v>
      </c>
      <c r="EC154">
        <v>1</v>
      </c>
      <c r="ED154">
        <v>1</v>
      </c>
      <c r="EE154">
        <v>2</v>
      </c>
      <c r="EF154">
        <v>1</v>
      </c>
      <c r="EG154">
        <v>1</v>
      </c>
      <c r="EH154">
        <v>1</v>
      </c>
      <c r="EI154">
        <v>1</v>
      </c>
      <c r="EL154">
        <v>1</v>
      </c>
      <c r="EM154">
        <v>1</v>
      </c>
      <c r="EN154">
        <v>1</v>
      </c>
      <c r="EO154">
        <v>1</v>
      </c>
      <c r="EP154">
        <v>1</v>
      </c>
      <c r="EQ154">
        <v>1</v>
      </c>
      <c r="ER154">
        <v>1</v>
      </c>
      <c r="ES154">
        <v>1</v>
      </c>
      <c r="ET154">
        <v>1</v>
      </c>
      <c r="EU154">
        <v>1</v>
      </c>
      <c r="EV154">
        <v>3</v>
      </c>
      <c r="EW154">
        <v>2</v>
      </c>
      <c r="EX154">
        <v>1</v>
      </c>
      <c r="EY154">
        <v>1</v>
      </c>
      <c r="EZ154">
        <v>1</v>
      </c>
      <c r="FA154">
        <v>1</v>
      </c>
      <c r="FB154">
        <v>1</v>
      </c>
      <c r="FC154">
        <v>2</v>
      </c>
      <c r="FD154">
        <v>2</v>
      </c>
      <c r="FE154">
        <v>1</v>
      </c>
      <c r="FF154">
        <v>1</v>
      </c>
      <c r="FG154">
        <v>1</v>
      </c>
      <c r="FH154">
        <v>2</v>
      </c>
      <c r="FI154">
        <v>2</v>
      </c>
      <c r="FJ154">
        <v>2</v>
      </c>
      <c r="FK154" t="s">
        <v>666</v>
      </c>
      <c r="FL154" t="s">
        <v>666</v>
      </c>
      <c r="FM154" t="s">
        <v>666</v>
      </c>
      <c r="FN154" t="s">
        <v>666</v>
      </c>
      <c r="FO154" t="s">
        <v>666</v>
      </c>
      <c r="FP154" t="s">
        <v>666</v>
      </c>
      <c r="FQ154" t="s">
        <v>666</v>
      </c>
      <c r="FR154" t="s">
        <v>666</v>
      </c>
      <c r="FS154">
        <v>2</v>
      </c>
      <c r="FT154" t="s">
        <v>1720</v>
      </c>
      <c r="FU154">
        <v>3</v>
      </c>
      <c r="FV154">
        <v>3</v>
      </c>
      <c r="FW154">
        <v>3</v>
      </c>
      <c r="FX154">
        <v>3</v>
      </c>
      <c r="FZ154">
        <v>1</v>
      </c>
      <c r="GB154">
        <v>1</v>
      </c>
      <c r="GC154">
        <v>1</v>
      </c>
      <c r="GS154">
        <v>1</v>
      </c>
      <c r="GT154">
        <v>1</v>
      </c>
      <c r="GU154">
        <v>1</v>
      </c>
      <c r="GV154">
        <v>1</v>
      </c>
      <c r="GW154">
        <v>1</v>
      </c>
      <c r="HS154">
        <v>1</v>
      </c>
      <c r="HT154">
        <v>2</v>
      </c>
      <c r="HU154">
        <v>1</v>
      </c>
      <c r="HV154">
        <v>2</v>
      </c>
      <c r="HW154">
        <v>1</v>
      </c>
      <c r="HX154">
        <v>2</v>
      </c>
      <c r="HY154">
        <v>1</v>
      </c>
      <c r="HZ154">
        <v>2</v>
      </c>
      <c r="IA154">
        <v>2</v>
      </c>
      <c r="IC154">
        <v>1</v>
      </c>
      <c r="ID154">
        <v>1</v>
      </c>
      <c r="IE154">
        <v>1</v>
      </c>
      <c r="IF154">
        <v>1</v>
      </c>
      <c r="IG154">
        <v>1</v>
      </c>
      <c r="IH154">
        <v>1</v>
      </c>
      <c r="II154">
        <v>1</v>
      </c>
      <c r="IU154">
        <v>1</v>
      </c>
    </row>
    <row r="155" spans="1:255" x14ac:dyDescent="0.2">
      <c r="A155" t="str">
        <f t="shared" si="5"/>
        <v>Hundeschlitten Fahren</v>
      </c>
      <c r="B155">
        <f>ROW()</f>
        <v>155</v>
      </c>
    </row>
    <row r="156" spans="1:255" x14ac:dyDescent="0.2">
      <c r="A156" t="str">
        <f t="shared" si="5"/>
        <v>Instrumentenbauer</v>
      </c>
      <c r="B156">
        <f>ROW()</f>
        <v>156</v>
      </c>
    </row>
    <row r="157" spans="1:255" x14ac:dyDescent="0.2">
      <c r="A157" t="str">
        <f t="shared" si="5"/>
        <v>Kapellmeister</v>
      </c>
      <c r="B157">
        <f>ROW()</f>
        <v>157</v>
      </c>
    </row>
    <row r="158" spans="1:255" x14ac:dyDescent="0.2">
      <c r="A158" t="str">
        <f t="shared" si="5"/>
        <v>Kartographie</v>
      </c>
      <c r="B158">
        <f>ROW()</f>
        <v>158</v>
      </c>
    </row>
    <row r="159" spans="1:255" x14ac:dyDescent="0.2">
      <c r="A159" t="str">
        <f t="shared" si="5"/>
        <v>Kochen</v>
      </c>
      <c r="B159">
        <f>ROW()</f>
        <v>159</v>
      </c>
      <c r="BK159">
        <v>1</v>
      </c>
      <c r="BL159">
        <v>1</v>
      </c>
      <c r="BM159">
        <v>1</v>
      </c>
      <c r="BN159">
        <v>1</v>
      </c>
      <c r="CX159">
        <v>1</v>
      </c>
      <c r="DG159">
        <v>1</v>
      </c>
      <c r="DH159">
        <v>1</v>
      </c>
      <c r="DN159">
        <v>1</v>
      </c>
      <c r="EZ159">
        <v>1</v>
      </c>
      <c r="FM159">
        <v>1</v>
      </c>
      <c r="GA159">
        <v>2</v>
      </c>
      <c r="GC159">
        <v>1</v>
      </c>
      <c r="HT159">
        <v>1</v>
      </c>
      <c r="HV159">
        <v>1</v>
      </c>
      <c r="HX159">
        <v>1</v>
      </c>
      <c r="HZ159">
        <v>1</v>
      </c>
      <c r="IA159">
        <v>1</v>
      </c>
    </row>
    <row r="160" spans="1:255" x14ac:dyDescent="0.2">
      <c r="A160" t="str">
        <f t="shared" si="5"/>
        <v>Kristallzüchter</v>
      </c>
      <c r="B160">
        <f>ROW()</f>
        <v>160</v>
      </c>
    </row>
    <row r="161" spans="1:259" x14ac:dyDescent="0.2">
      <c r="A161" t="str">
        <f t="shared" si="5"/>
        <v>Lederarbeiten</v>
      </c>
      <c r="B161">
        <f>ROW()</f>
        <v>161</v>
      </c>
      <c r="AV161">
        <v>1</v>
      </c>
      <c r="AW161">
        <v>1</v>
      </c>
      <c r="AX161">
        <v>1</v>
      </c>
      <c r="AY161">
        <v>1</v>
      </c>
      <c r="AZ161">
        <v>1</v>
      </c>
      <c r="BA161">
        <v>1</v>
      </c>
      <c r="BB161">
        <v>1</v>
      </c>
      <c r="BC161">
        <v>1</v>
      </c>
      <c r="BD161">
        <v>1</v>
      </c>
      <c r="BE161">
        <v>1</v>
      </c>
      <c r="BF161">
        <v>1</v>
      </c>
      <c r="BG161">
        <v>1</v>
      </c>
      <c r="BH161">
        <v>1</v>
      </c>
      <c r="BI161">
        <v>1</v>
      </c>
      <c r="BJ161">
        <v>1</v>
      </c>
      <c r="BK161">
        <v>1</v>
      </c>
      <c r="BL161">
        <v>1</v>
      </c>
      <c r="BM161">
        <v>1</v>
      </c>
      <c r="BN161">
        <v>1</v>
      </c>
      <c r="BO161">
        <v>1</v>
      </c>
      <c r="BP161">
        <v>1</v>
      </c>
      <c r="BQ161">
        <v>1</v>
      </c>
      <c r="BR161">
        <v>1</v>
      </c>
      <c r="BS161">
        <v>1</v>
      </c>
      <c r="BT161">
        <v>1</v>
      </c>
      <c r="CK161">
        <v>1</v>
      </c>
      <c r="CL161">
        <v>1</v>
      </c>
      <c r="CM161">
        <v>1</v>
      </c>
      <c r="CN161">
        <v>1</v>
      </c>
      <c r="CO161">
        <v>1</v>
      </c>
      <c r="CP161">
        <v>1</v>
      </c>
      <c r="CQ161">
        <v>1</v>
      </c>
      <c r="CR161">
        <v>1</v>
      </c>
      <c r="CS161">
        <v>1</v>
      </c>
      <c r="CT161">
        <v>1</v>
      </c>
      <c r="CU161">
        <v>1</v>
      </c>
      <c r="CV161">
        <v>1</v>
      </c>
      <c r="CW161">
        <v>1</v>
      </c>
      <c r="CX161">
        <v>1</v>
      </c>
      <c r="CY161">
        <v>1</v>
      </c>
      <c r="CZ161">
        <v>1</v>
      </c>
      <c r="DA161">
        <v>1</v>
      </c>
      <c r="DG161">
        <v>2</v>
      </c>
      <c r="DH161">
        <v>1</v>
      </c>
      <c r="DI161">
        <v>1</v>
      </c>
      <c r="DJ161">
        <v>1</v>
      </c>
      <c r="DS161">
        <v>1</v>
      </c>
      <c r="DT161">
        <v>1</v>
      </c>
      <c r="DU161">
        <v>1</v>
      </c>
      <c r="DV161">
        <v>1</v>
      </c>
      <c r="DW161">
        <v>1</v>
      </c>
      <c r="DX161">
        <v>1</v>
      </c>
      <c r="DY161">
        <v>1</v>
      </c>
      <c r="DZ161">
        <v>1</v>
      </c>
      <c r="EA161">
        <v>1</v>
      </c>
      <c r="EB161">
        <v>1</v>
      </c>
      <c r="EC161">
        <v>1</v>
      </c>
      <c r="ED161">
        <v>1</v>
      </c>
      <c r="EE161">
        <v>1</v>
      </c>
      <c r="EF161">
        <v>1</v>
      </c>
      <c r="EG161">
        <v>1</v>
      </c>
      <c r="EH161">
        <v>1</v>
      </c>
      <c r="EI161">
        <v>1</v>
      </c>
      <c r="EL161">
        <v>1</v>
      </c>
      <c r="EM161">
        <v>1</v>
      </c>
      <c r="EN161">
        <v>1</v>
      </c>
      <c r="EO161">
        <v>1</v>
      </c>
      <c r="EP161">
        <v>1</v>
      </c>
      <c r="EQ161">
        <v>1</v>
      </c>
      <c r="ER161">
        <v>1</v>
      </c>
      <c r="ES161">
        <v>1</v>
      </c>
      <c r="ET161">
        <v>1</v>
      </c>
      <c r="EU161">
        <v>1</v>
      </c>
      <c r="EV161">
        <v>1</v>
      </c>
      <c r="EW161">
        <v>2</v>
      </c>
      <c r="EX161">
        <v>1</v>
      </c>
      <c r="EY161">
        <v>1</v>
      </c>
      <c r="EZ161">
        <v>1</v>
      </c>
      <c r="FA161">
        <v>2</v>
      </c>
      <c r="FB161">
        <v>2</v>
      </c>
      <c r="FC161">
        <v>1</v>
      </c>
      <c r="FD161">
        <v>1</v>
      </c>
      <c r="FE161">
        <v>1</v>
      </c>
      <c r="FF161">
        <v>1</v>
      </c>
      <c r="FG161">
        <v>1</v>
      </c>
      <c r="FH161">
        <v>2</v>
      </c>
      <c r="FI161">
        <v>2</v>
      </c>
      <c r="FJ161">
        <v>2</v>
      </c>
      <c r="FK161">
        <v>2</v>
      </c>
      <c r="FL161">
        <v>2</v>
      </c>
      <c r="FM161">
        <v>2</v>
      </c>
      <c r="FN161">
        <v>2</v>
      </c>
      <c r="FO161">
        <v>2</v>
      </c>
      <c r="FP161">
        <v>2</v>
      </c>
      <c r="FQ161">
        <v>2</v>
      </c>
      <c r="FR161">
        <v>2</v>
      </c>
      <c r="FS161">
        <v>3</v>
      </c>
      <c r="FT161">
        <v>5</v>
      </c>
      <c r="FU161">
        <v>4</v>
      </c>
      <c r="FV161">
        <v>4</v>
      </c>
      <c r="FW161">
        <v>4</v>
      </c>
      <c r="FX161">
        <v>4</v>
      </c>
      <c r="FZ161">
        <v>1</v>
      </c>
      <c r="GA161">
        <v>1</v>
      </c>
      <c r="GB161">
        <v>1</v>
      </c>
      <c r="GD161">
        <v>1</v>
      </c>
      <c r="GE161">
        <v>1</v>
      </c>
      <c r="GF161">
        <v>1</v>
      </c>
      <c r="GG161">
        <v>1</v>
      </c>
      <c r="GH161">
        <v>1</v>
      </c>
      <c r="GI161">
        <v>1</v>
      </c>
      <c r="GJ161">
        <v>1</v>
      </c>
      <c r="GK161">
        <v>1</v>
      </c>
      <c r="GL161">
        <v>1</v>
      </c>
      <c r="GM161">
        <v>1</v>
      </c>
      <c r="GN161">
        <v>1</v>
      </c>
      <c r="GO161">
        <v>1</v>
      </c>
      <c r="GP161">
        <v>1</v>
      </c>
      <c r="GQ161">
        <v>1</v>
      </c>
      <c r="GR161">
        <v>1</v>
      </c>
      <c r="GS161">
        <v>2</v>
      </c>
      <c r="GT161">
        <v>2</v>
      </c>
      <c r="GU161">
        <v>2</v>
      </c>
      <c r="GV161">
        <v>2</v>
      </c>
      <c r="GW161">
        <v>2</v>
      </c>
      <c r="GX161">
        <v>2</v>
      </c>
      <c r="GY161">
        <v>2</v>
      </c>
      <c r="GZ161">
        <v>2</v>
      </c>
      <c r="HA161">
        <v>2</v>
      </c>
      <c r="HB161">
        <v>2</v>
      </c>
      <c r="HC161">
        <v>1</v>
      </c>
      <c r="HD161">
        <v>1</v>
      </c>
      <c r="HE161">
        <v>1</v>
      </c>
      <c r="HF161">
        <v>1</v>
      </c>
      <c r="HG161">
        <v>1</v>
      </c>
      <c r="HH161">
        <v>1</v>
      </c>
      <c r="HI161">
        <v>1</v>
      </c>
      <c r="HJ161">
        <v>1</v>
      </c>
      <c r="HK161">
        <v>1</v>
      </c>
      <c r="HL161">
        <v>1</v>
      </c>
      <c r="HM161">
        <v>1</v>
      </c>
      <c r="HN161">
        <v>2</v>
      </c>
      <c r="HO161">
        <v>2</v>
      </c>
      <c r="HP161">
        <v>2</v>
      </c>
      <c r="HQ161">
        <v>2</v>
      </c>
      <c r="HR161">
        <v>2</v>
      </c>
      <c r="HS161">
        <v>1</v>
      </c>
      <c r="HT161">
        <v>2</v>
      </c>
      <c r="HU161">
        <v>1</v>
      </c>
      <c r="HV161">
        <v>2</v>
      </c>
      <c r="HW161">
        <v>1</v>
      </c>
      <c r="HX161">
        <v>2</v>
      </c>
      <c r="HY161">
        <v>1</v>
      </c>
      <c r="HZ161">
        <v>2</v>
      </c>
      <c r="IA161">
        <v>2</v>
      </c>
      <c r="IB161">
        <v>2</v>
      </c>
      <c r="IC161">
        <v>1</v>
      </c>
      <c r="ID161">
        <v>1</v>
      </c>
      <c r="IE161">
        <v>1</v>
      </c>
      <c r="IF161">
        <v>1</v>
      </c>
      <c r="IG161">
        <v>1</v>
      </c>
      <c r="IH161">
        <v>1</v>
      </c>
      <c r="II161">
        <v>1</v>
      </c>
      <c r="IL161">
        <v>1</v>
      </c>
      <c r="IM161">
        <v>1</v>
      </c>
      <c r="IN161">
        <v>1</v>
      </c>
      <c r="IO161">
        <v>1</v>
      </c>
      <c r="IP161">
        <v>1</v>
      </c>
      <c r="IQ161">
        <v>1</v>
      </c>
      <c r="IU161">
        <v>1</v>
      </c>
      <c r="IV161">
        <v>1</v>
      </c>
      <c r="IY161">
        <v>2</v>
      </c>
    </row>
    <row r="162" spans="1:259" x14ac:dyDescent="0.2">
      <c r="A162" t="str">
        <f t="shared" si="5"/>
        <v>Malen/Zeichnen</v>
      </c>
      <c r="B162">
        <f>ROW()</f>
        <v>162</v>
      </c>
      <c r="DU162">
        <v>1</v>
      </c>
      <c r="DV162">
        <v>1</v>
      </c>
      <c r="DW162">
        <v>1</v>
      </c>
      <c r="DX162">
        <v>1</v>
      </c>
      <c r="DY162">
        <v>1</v>
      </c>
      <c r="FH162" t="s">
        <v>2334</v>
      </c>
      <c r="FI162" t="s">
        <v>2334</v>
      </c>
      <c r="FJ162" t="s">
        <v>2334</v>
      </c>
      <c r="FK162" t="s">
        <v>2334</v>
      </c>
      <c r="FL162" t="s">
        <v>2334</v>
      </c>
      <c r="FM162" t="s">
        <v>2334</v>
      </c>
      <c r="FN162" t="s">
        <v>2334</v>
      </c>
      <c r="FO162" t="s">
        <v>2334</v>
      </c>
      <c r="FP162" t="s">
        <v>2334</v>
      </c>
      <c r="FQ162" t="s">
        <v>2334</v>
      </c>
      <c r="FR162" t="s">
        <v>2334</v>
      </c>
      <c r="FS162" t="s">
        <v>2334</v>
      </c>
      <c r="FT162" t="s">
        <v>2334</v>
      </c>
      <c r="FU162" t="s">
        <v>2334</v>
      </c>
      <c r="FV162" t="s">
        <v>2334</v>
      </c>
      <c r="FW162" t="s">
        <v>2334</v>
      </c>
      <c r="FX162" t="s">
        <v>2334</v>
      </c>
      <c r="GB162">
        <v>3</v>
      </c>
    </row>
    <row r="163" spans="1:259" x14ac:dyDescent="0.2">
      <c r="A163" t="str">
        <f t="shared" si="5"/>
        <v>Maurer</v>
      </c>
      <c r="B163">
        <f>ROW()</f>
        <v>163</v>
      </c>
    </row>
    <row r="164" spans="1:259" x14ac:dyDescent="0.2">
      <c r="A164" t="str">
        <f t="shared" si="5"/>
        <v>Metallguss</v>
      </c>
      <c r="B164">
        <f>ROW()</f>
        <v>164</v>
      </c>
    </row>
    <row r="165" spans="1:259" x14ac:dyDescent="0.2">
      <c r="A165" t="str">
        <f t="shared" si="5"/>
        <v>Musizieren</v>
      </c>
      <c r="B165">
        <f>ROW()</f>
        <v>165</v>
      </c>
      <c r="AI165">
        <v>-3</v>
      </c>
      <c r="AJ165">
        <v>-3</v>
      </c>
      <c r="AK165">
        <v>-3</v>
      </c>
      <c r="AL165">
        <v>-3</v>
      </c>
      <c r="BU165">
        <v>1</v>
      </c>
      <c r="BV165">
        <v>1</v>
      </c>
      <c r="BW165">
        <v>1</v>
      </c>
      <c r="BX165">
        <v>1</v>
      </c>
      <c r="BY165">
        <v>1</v>
      </c>
      <c r="BZ165">
        <v>1</v>
      </c>
      <c r="CA165">
        <v>1</v>
      </c>
      <c r="DV165">
        <v>2</v>
      </c>
      <c r="EA165">
        <v>2</v>
      </c>
      <c r="EC165">
        <v>3</v>
      </c>
      <c r="FE165">
        <v>1</v>
      </c>
      <c r="FF165">
        <v>1</v>
      </c>
      <c r="FH165" t="s">
        <v>1721</v>
      </c>
      <c r="FI165" t="s">
        <v>1721</v>
      </c>
      <c r="FJ165" t="s">
        <v>1721</v>
      </c>
      <c r="FK165" t="s">
        <v>1721</v>
      </c>
      <c r="FL165" t="s">
        <v>1721</v>
      </c>
      <c r="FM165" t="s">
        <v>1721</v>
      </c>
      <c r="FN165" t="s">
        <v>1721</v>
      </c>
      <c r="FO165" t="s">
        <v>1721</v>
      </c>
      <c r="FP165" t="s">
        <v>1721</v>
      </c>
      <c r="FQ165" t="s">
        <v>1721</v>
      </c>
      <c r="FR165" t="s">
        <v>1721</v>
      </c>
      <c r="FS165" t="s">
        <v>666</v>
      </c>
      <c r="FT165" t="s">
        <v>1720</v>
      </c>
      <c r="FU165" t="s">
        <v>666</v>
      </c>
      <c r="FV165" t="s">
        <v>666</v>
      </c>
      <c r="FW165" t="s">
        <v>666</v>
      </c>
      <c r="FX165" t="s">
        <v>666</v>
      </c>
    </row>
    <row r="166" spans="1:259" x14ac:dyDescent="0.2">
      <c r="A166" t="str">
        <f t="shared" si="5"/>
        <v>Schlösser Knacken</v>
      </c>
      <c r="B166">
        <f>ROW()</f>
        <v>166</v>
      </c>
      <c r="GB166">
        <v>1</v>
      </c>
    </row>
    <row r="167" spans="1:259" x14ac:dyDescent="0.2">
      <c r="A167" t="str">
        <f t="shared" si="5"/>
        <v>Schnaps Brennen</v>
      </c>
      <c r="B167">
        <f>ROW()</f>
        <v>167</v>
      </c>
    </row>
    <row r="168" spans="1:259" x14ac:dyDescent="0.2">
      <c r="A168" t="str">
        <f t="shared" si="5"/>
        <v>Schneidern</v>
      </c>
      <c r="B168">
        <f>ROW()</f>
        <v>168</v>
      </c>
      <c r="AV168">
        <v>1</v>
      </c>
      <c r="AW168">
        <v>1</v>
      </c>
      <c r="AX168">
        <v>1</v>
      </c>
      <c r="AY168">
        <v>1</v>
      </c>
      <c r="AZ168">
        <v>1</v>
      </c>
      <c r="BA168">
        <v>1</v>
      </c>
      <c r="BB168">
        <v>1</v>
      </c>
      <c r="BC168">
        <v>1</v>
      </c>
      <c r="BD168">
        <v>1</v>
      </c>
      <c r="BE168">
        <v>1</v>
      </c>
      <c r="BF168">
        <v>1</v>
      </c>
      <c r="BG168">
        <v>1</v>
      </c>
      <c r="BH168">
        <v>1</v>
      </c>
      <c r="BI168">
        <v>1</v>
      </c>
      <c r="BJ168">
        <v>1</v>
      </c>
      <c r="BK168">
        <v>1</v>
      </c>
      <c r="BL168">
        <v>1</v>
      </c>
      <c r="BM168">
        <v>1</v>
      </c>
      <c r="BN168">
        <v>1</v>
      </c>
      <c r="BO168">
        <v>1</v>
      </c>
      <c r="BP168">
        <v>1</v>
      </c>
      <c r="BQ168">
        <v>1</v>
      </c>
      <c r="BR168">
        <v>1</v>
      </c>
      <c r="BS168">
        <v>1</v>
      </c>
      <c r="BT168">
        <v>1</v>
      </c>
      <c r="DG168">
        <v>1</v>
      </c>
      <c r="DH168">
        <v>1</v>
      </c>
      <c r="DJ168">
        <v>1</v>
      </c>
      <c r="FA168">
        <v>1</v>
      </c>
      <c r="FB168">
        <v>1</v>
      </c>
      <c r="FE168">
        <v>1</v>
      </c>
      <c r="FF168">
        <v>1</v>
      </c>
      <c r="FH168">
        <v>2</v>
      </c>
      <c r="FI168">
        <v>2</v>
      </c>
      <c r="FJ168">
        <v>2</v>
      </c>
      <c r="FK168">
        <v>2</v>
      </c>
      <c r="FL168">
        <v>2</v>
      </c>
      <c r="FM168">
        <v>2</v>
      </c>
      <c r="FN168">
        <v>2</v>
      </c>
      <c r="FO168">
        <v>2</v>
      </c>
      <c r="FP168">
        <v>2</v>
      </c>
      <c r="FQ168">
        <v>2</v>
      </c>
      <c r="FR168">
        <v>2</v>
      </c>
      <c r="FS168">
        <v>2</v>
      </c>
      <c r="FT168">
        <v>3</v>
      </c>
      <c r="FU168">
        <v>3</v>
      </c>
      <c r="FV168">
        <v>3</v>
      </c>
      <c r="FW168">
        <v>3</v>
      </c>
      <c r="FX168">
        <v>3</v>
      </c>
      <c r="IB168">
        <v>1</v>
      </c>
    </row>
    <row r="169" spans="1:259" x14ac:dyDescent="0.2">
      <c r="A169" t="str">
        <f t="shared" si="5"/>
        <v>Seefahrt</v>
      </c>
      <c r="B169">
        <f>ROW()</f>
        <v>169</v>
      </c>
      <c r="AP169">
        <v>1</v>
      </c>
      <c r="AW169">
        <v>1</v>
      </c>
      <c r="BM169">
        <v>1</v>
      </c>
      <c r="BV169">
        <v>1</v>
      </c>
      <c r="CC169">
        <v>1</v>
      </c>
      <c r="CF169">
        <v>1</v>
      </c>
      <c r="CK169">
        <v>1</v>
      </c>
      <c r="CL169">
        <v>1</v>
      </c>
      <c r="CR169">
        <v>1</v>
      </c>
      <c r="CS169">
        <v>1</v>
      </c>
      <c r="DK169">
        <v>2</v>
      </c>
      <c r="DM169">
        <v>3</v>
      </c>
      <c r="DN169">
        <v>-1</v>
      </c>
      <c r="DO169">
        <v>3</v>
      </c>
      <c r="DP169">
        <v>3</v>
      </c>
      <c r="DQ169">
        <v>2</v>
      </c>
      <c r="DR169">
        <v>4</v>
      </c>
      <c r="EH169">
        <v>1</v>
      </c>
      <c r="EN169">
        <v>1</v>
      </c>
      <c r="EO169">
        <v>1</v>
      </c>
      <c r="EP169">
        <v>2</v>
      </c>
      <c r="EQ169">
        <v>1</v>
      </c>
      <c r="ER169">
        <v>1</v>
      </c>
      <c r="ES169">
        <v>1</v>
      </c>
      <c r="ET169">
        <v>1</v>
      </c>
      <c r="EU169">
        <v>1</v>
      </c>
      <c r="EV169">
        <v>1</v>
      </c>
      <c r="EW169">
        <v>2</v>
      </c>
    </row>
    <row r="170" spans="1:259" x14ac:dyDescent="0.2">
      <c r="A170" t="str">
        <f t="shared" si="5"/>
        <v>Seiler</v>
      </c>
      <c r="B170">
        <f>ROW()</f>
        <v>170</v>
      </c>
    </row>
    <row r="171" spans="1:259" x14ac:dyDescent="0.2">
      <c r="A171" t="str">
        <f t="shared" si="5"/>
        <v>Steinmetz</v>
      </c>
      <c r="B171">
        <f>ROW()</f>
        <v>171</v>
      </c>
    </row>
    <row r="172" spans="1:259" x14ac:dyDescent="0.2">
      <c r="A172" t="str">
        <f t="shared" si="5"/>
        <v>Steinschneider/Juwelier</v>
      </c>
      <c r="B172">
        <f>ROW()</f>
        <v>172</v>
      </c>
    </row>
    <row r="173" spans="1:259" x14ac:dyDescent="0.2">
      <c r="A173" t="str">
        <f t="shared" si="5"/>
        <v>Stellmacher</v>
      </c>
      <c r="B173">
        <f>ROW()</f>
        <v>173</v>
      </c>
    </row>
    <row r="174" spans="1:259" x14ac:dyDescent="0.2">
      <c r="A174" t="str">
        <f t="shared" si="5"/>
        <v>Steuermann</v>
      </c>
      <c r="B174">
        <f>ROW()</f>
        <v>174</v>
      </c>
    </row>
    <row r="175" spans="1:259" x14ac:dyDescent="0.2">
      <c r="A175" t="str">
        <f t="shared" si="5"/>
        <v>Stoffe Färben</v>
      </c>
      <c r="B175">
        <f>ROW()</f>
        <v>175</v>
      </c>
      <c r="EF175">
        <v>1</v>
      </c>
      <c r="EG175">
        <v>1</v>
      </c>
      <c r="EH175">
        <v>1</v>
      </c>
      <c r="EI175">
        <v>1</v>
      </c>
      <c r="EJ175">
        <v>1</v>
      </c>
      <c r="EK175">
        <v>1</v>
      </c>
      <c r="EL175">
        <v>1</v>
      </c>
      <c r="IB175">
        <v>2</v>
      </c>
    </row>
    <row r="176" spans="1:259" x14ac:dyDescent="0.2">
      <c r="A176" t="str">
        <f t="shared" si="5"/>
        <v>Tätowieren</v>
      </c>
      <c r="B176">
        <f>ROW()</f>
        <v>176</v>
      </c>
    </row>
    <row r="177" spans="1:255" x14ac:dyDescent="0.2">
      <c r="A177" t="str">
        <f t="shared" si="5"/>
        <v>Töpfern</v>
      </c>
      <c r="B177">
        <f>ROW()</f>
        <v>177</v>
      </c>
    </row>
    <row r="178" spans="1:255" x14ac:dyDescent="0.2">
      <c r="A178" t="str">
        <f t="shared" si="5"/>
        <v>Viehzucht</v>
      </c>
      <c r="B178">
        <f>ROW()</f>
        <v>178</v>
      </c>
      <c r="AR178">
        <v>1</v>
      </c>
      <c r="AY178">
        <v>1</v>
      </c>
      <c r="BO178">
        <v>1</v>
      </c>
      <c r="BP178">
        <v>1</v>
      </c>
      <c r="BQ178">
        <v>1</v>
      </c>
      <c r="BR178">
        <v>1</v>
      </c>
      <c r="BS178">
        <v>1</v>
      </c>
      <c r="BT178">
        <v>1</v>
      </c>
      <c r="BU178">
        <v>1</v>
      </c>
      <c r="BV178">
        <v>1</v>
      </c>
      <c r="BW178">
        <v>1</v>
      </c>
      <c r="BX178">
        <v>1</v>
      </c>
      <c r="BY178">
        <v>1</v>
      </c>
      <c r="BZ178">
        <v>1</v>
      </c>
      <c r="CA178">
        <v>1</v>
      </c>
      <c r="CK178">
        <v>1</v>
      </c>
      <c r="CL178">
        <v>1</v>
      </c>
      <c r="CV178">
        <v>2</v>
      </c>
      <c r="CW178">
        <v>2</v>
      </c>
      <c r="CX178">
        <v>2</v>
      </c>
      <c r="CY178">
        <v>2</v>
      </c>
      <c r="CZ178">
        <v>2</v>
      </c>
      <c r="DA178">
        <v>2</v>
      </c>
      <c r="DE178">
        <v>2</v>
      </c>
      <c r="DF178">
        <v>2</v>
      </c>
      <c r="DI178">
        <v>2</v>
      </c>
      <c r="FA178">
        <v>2</v>
      </c>
      <c r="FB178">
        <v>2</v>
      </c>
      <c r="GC178">
        <v>1</v>
      </c>
      <c r="GD178">
        <v>1</v>
      </c>
      <c r="GE178">
        <v>1</v>
      </c>
      <c r="GF178">
        <v>1</v>
      </c>
      <c r="GG178">
        <v>1</v>
      </c>
      <c r="GH178">
        <v>1</v>
      </c>
      <c r="GI178">
        <v>1</v>
      </c>
      <c r="GJ178">
        <v>1</v>
      </c>
      <c r="GK178">
        <v>1</v>
      </c>
      <c r="GL178">
        <v>1</v>
      </c>
      <c r="GM178">
        <v>1</v>
      </c>
      <c r="GN178">
        <v>1</v>
      </c>
      <c r="GO178">
        <v>1</v>
      </c>
      <c r="GP178">
        <v>1</v>
      </c>
      <c r="GQ178">
        <v>1</v>
      </c>
      <c r="GR178">
        <v>1</v>
      </c>
      <c r="GS178">
        <v>2</v>
      </c>
      <c r="GT178">
        <v>2</v>
      </c>
      <c r="GU178">
        <v>2</v>
      </c>
      <c r="GV178">
        <v>2</v>
      </c>
      <c r="GW178">
        <v>2</v>
      </c>
      <c r="GX178">
        <v>1</v>
      </c>
      <c r="GY178">
        <v>1</v>
      </c>
      <c r="GZ178">
        <v>1</v>
      </c>
      <c r="HA178">
        <v>1</v>
      </c>
      <c r="HB178">
        <v>1</v>
      </c>
      <c r="HC178">
        <v>1</v>
      </c>
      <c r="HD178">
        <v>1</v>
      </c>
      <c r="HE178">
        <v>1</v>
      </c>
      <c r="HF178">
        <v>1</v>
      </c>
      <c r="HG178">
        <v>1</v>
      </c>
      <c r="HH178">
        <v>1</v>
      </c>
      <c r="HI178">
        <v>1</v>
      </c>
      <c r="HJ178">
        <v>1</v>
      </c>
      <c r="HK178">
        <v>1</v>
      </c>
      <c r="HL178">
        <v>1</v>
      </c>
      <c r="IL178">
        <v>1</v>
      </c>
      <c r="IM178">
        <v>1</v>
      </c>
      <c r="IN178">
        <v>1</v>
      </c>
      <c r="IO178">
        <v>1</v>
      </c>
      <c r="IP178">
        <v>1</v>
      </c>
      <c r="IQ178">
        <v>1</v>
      </c>
      <c r="IU178">
        <v>1</v>
      </c>
    </row>
    <row r="179" spans="1:255" x14ac:dyDescent="0.2">
      <c r="A179" t="str">
        <f t="shared" si="5"/>
        <v>Webkunst</v>
      </c>
      <c r="B179">
        <f>ROW()</f>
        <v>179</v>
      </c>
      <c r="DM179">
        <v>1</v>
      </c>
    </row>
    <row r="180" spans="1:255" x14ac:dyDescent="0.2">
      <c r="A180" t="str">
        <f t="shared" si="5"/>
        <v>Winzer</v>
      </c>
      <c r="B180">
        <f>ROW()</f>
        <v>180</v>
      </c>
    </row>
    <row r="181" spans="1:255" x14ac:dyDescent="0.2">
      <c r="A181" t="str">
        <f t="shared" si="5"/>
        <v>Zimmermann</v>
      </c>
      <c r="B181">
        <f>ROW()</f>
        <v>181</v>
      </c>
    </row>
    <row r="182" spans="1:255" ht="12.75" customHeight="1" x14ac:dyDescent="0.2">
      <c r="A182" t="str">
        <f t="shared" ref="A182:A227" si="6">INDEX(SPRACHEN,ROW()-IDX_S+1)</f>
        <v>Alaani ('Norbardisch')</v>
      </c>
      <c r="B182">
        <f>ROW()</f>
        <v>182</v>
      </c>
      <c r="C182" t="s">
        <v>1642</v>
      </c>
      <c r="AN182" t="s">
        <v>1642</v>
      </c>
      <c r="DS182">
        <v>4</v>
      </c>
      <c r="FE182" t="s">
        <v>339</v>
      </c>
      <c r="FF182" t="s">
        <v>339</v>
      </c>
    </row>
    <row r="183" spans="1:255" x14ac:dyDescent="0.2">
      <c r="A183" t="str">
        <f t="shared" si="6"/>
        <v>Alberned (Dialekt)</v>
      </c>
      <c r="B183">
        <f>ROW()</f>
        <v>183</v>
      </c>
    </row>
    <row r="184" spans="1:255" ht="12.75" customHeight="1" x14ac:dyDescent="0.2">
      <c r="A184" t="str">
        <f t="shared" si="6"/>
        <v>Andergastisch (Dialekt)</v>
      </c>
      <c r="B184">
        <f>ROW()</f>
        <v>184</v>
      </c>
    </row>
    <row r="185" spans="1:255" x14ac:dyDescent="0.2">
      <c r="A185" t="str">
        <f t="shared" si="6"/>
        <v>Angram</v>
      </c>
      <c r="B185">
        <f>ROW()</f>
        <v>185</v>
      </c>
    </row>
    <row r="186" spans="1:255" ht="12.75" customHeight="1" x14ac:dyDescent="0.2">
      <c r="A186" t="str">
        <f t="shared" si="6"/>
        <v>Asdharia</v>
      </c>
      <c r="B186">
        <f>ROW()</f>
        <v>186</v>
      </c>
    </row>
    <row r="187" spans="1:255" x14ac:dyDescent="0.2">
      <c r="A187" t="str">
        <f t="shared" si="6"/>
        <v>Atak (inkl.  Schrift)</v>
      </c>
      <c r="B187">
        <f>ROW()</f>
        <v>187</v>
      </c>
      <c r="DJ187">
        <v>4</v>
      </c>
    </row>
    <row r="188" spans="1:255" ht="12.75" customHeight="1" x14ac:dyDescent="0.2">
      <c r="A188" t="str">
        <f t="shared" si="6"/>
        <v>Aureliani ('Altgüldenländisch')</v>
      </c>
      <c r="B188">
        <f>ROW()</f>
        <v>188</v>
      </c>
    </row>
    <row r="189" spans="1:255" x14ac:dyDescent="0.2">
      <c r="A189" t="str">
        <f t="shared" si="6"/>
        <v>Bornländisch  (Dialekt)</v>
      </c>
      <c r="B189">
        <f>ROW()</f>
        <v>189</v>
      </c>
      <c r="IB189" t="s">
        <v>4484</v>
      </c>
    </row>
    <row r="190" spans="1:255" ht="12.75" customHeight="1" x14ac:dyDescent="0.2">
      <c r="A190" t="str">
        <f t="shared" si="6"/>
        <v>Bosparano</v>
      </c>
      <c r="B190">
        <f>ROW()</f>
        <v>190</v>
      </c>
    </row>
    <row r="191" spans="1:255" x14ac:dyDescent="0.2">
      <c r="A191" t="str">
        <f t="shared" si="6"/>
        <v>Brabaci  (Dialekt)</v>
      </c>
      <c r="B191">
        <f>ROW()</f>
        <v>191</v>
      </c>
    </row>
    <row r="192" spans="1:255" ht="12.75" customHeight="1" x14ac:dyDescent="0.2">
      <c r="A192" t="str">
        <f t="shared" si="6"/>
        <v>Charypto  (Dialekt)</v>
      </c>
      <c r="B192">
        <f>ROW()</f>
        <v>192</v>
      </c>
      <c r="EZ192" t="s">
        <v>339</v>
      </c>
    </row>
    <row r="193" spans="1:259" x14ac:dyDescent="0.2">
      <c r="A193" t="str">
        <f t="shared" si="6"/>
        <v>Drachisch</v>
      </c>
      <c r="B193">
        <f>ROW()</f>
        <v>193</v>
      </c>
    </row>
    <row r="194" spans="1:259" ht="12.75" customHeight="1" x14ac:dyDescent="0.2">
      <c r="A194" t="str">
        <f t="shared" si="6"/>
        <v>Ferkina</v>
      </c>
      <c r="B194">
        <f>ROW()</f>
        <v>194</v>
      </c>
      <c r="DI194" t="s">
        <v>339</v>
      </c>
    </row>
    <row r="195" spans="1:259" x14ac:dyDescent="0.2">
      <c r="A195" t="str">
        <f t="shared" si="6"/>
        <v>Fjarningsch</v>
      </c>
      <c r="B195">
        <f>ROW()</f>
        <v>195</v>
      </c>
      <c r="DT195" t="s">
        <v>339</v>
      </c>
    </row>
    <row r="196" spans="1:259" ht="12.75" customHeight="1" x14ac:dyDescent="0.2">
      <c r="A196" t="str">
        <f t="shared" si="6"/>
        <v>Füchsisch (inkl. 'Schrift')</v>
      </c>
      <c r="B196">
        <f>ROW()</f>
        <v>196</v>
      </c>
    </row>
    <row r="197" spans="1:259" x14ac:dyDescent="0.2">
      <c r="A197" t="str">
        <f t="shared" si="6"/>
        <v>Garethi</v>
      </c>
      <c r="B197">
        <f>ROW()</f>
        <v>197</v>
      </c>
      <c r="AO197" t="s">
        <v>339</v>
      </c>
      <c r="AP197" t="s">
        <v>339</v>
      </c>
      <c r="AQ197" t="s">
        <v>339</v>
      </c>
      <c r="AR197" t="s">
        <v>339</v>
      </c>
      <c r="AS197" t="s">
        <v>339</v>
      </c>
      <c r="AT197" t="s">
        <v>339</v>
      </c>
      <c r="AU197" t="s">
        <v>339</v>
      </c>
      <c r="AV197" t="s">
        <v>339</v>
      </c>
      <c r="AW197" t="s">
        <v>339</v>
      </c>
      <c r="AX197" t="s">
        <v>339</v>
      </c>
      <c r="AY197" t="s">
        <v>339</v>
      </c>
      <c r="AZ197" t="s">
        <v>339</v>
      </c>
      <c r="BA197" t="s">
        <v>339</v>
      </c>
      <c r="BB197" t="s">
        <v>339</v>
      </c>
      <c r="BC197" t="s">
        <v>339</v>
      </c>
      <c r="BD197" t="s">
        <v>339</v>
      </c>
      <c r="BE197" t="s">
        <v>339</v>
      </c>
      <c r="BF197" t="s">
        <v>339</v>
      </c>
      <c r="BG197" t="s">
        <v>339</v>
      </c>
      <c r="BH197" t="s">
        <v>339</v>
      </c>
      <c r="BI197" t="s">
        <v>339</v>
      </c>
      <c r="BJ197" t="s">
        <v>339</v>
      </c>
      <c r="BK197" t="s">
        <v>339</v>
      </c>
      <c r="BL197" t="s">
        <v>339</v>
      </c>
      <c r="BM197" t="s">
        <v>339</v>
      </c>
      <c r="BN197" t="s">
        <v>339</v>
      </c>
      <c r="BU197" t="s">
        <v>339</v>
      </c>
      <c r="BV197" t="s">
        <v>339</v>
      </c>
      <c r="BW197" t="s">
        <v>339</v>
      </c>
      <c r="BX197" t="s">
        <v>339</v>
      </c>
      <c r="BY197" t="s">
        <v>339</v>
      </c>
      <c r="BZ197" t="s">
        <v>339</v>
      </c>
      <c r="CA197" t="s">
        <v>339</v>
      </c>
      <c r="CM197" t="s">
        <v>339</v>
      </c>
      <c r="CV197" t="s">
        <v>4484</v>
      </c>
      <c r="CW197" t="s">
        <v>4484</v>
      </c>
      <c r="CY197" t="s">
        <v>4484</v>
      </c>
      <c r="DB197" t="s">
        <v>4484</v>
      </c>
      <c r="DC197" t="s">
        <v>4484</v>
      </c>
      <c r="DJ197" t="s">
        <v>4484</v>
      </c>
      <c r="DK197" t="s">
        <v>4484</v>
      </c>
      <c r="DL197" t="s">
        <v>4484</v>
      </c>
      <c r="DM197" t="s">
        <v>4484</v>
      </c>
      <c r="DN197" t="s">
        <v>4484</v>
      </c>
      <c r="DQ197" t="s">
        <v>4484</v>
      </c>
      <c r="DR197">
        <v>4</v>
      </c>
      <c r="FG197">
        <v>4</v>
      </c>
      <c r="GA197" t="s">
        <v>4484</v>
      </c>
      <c r="HM197">
        <v>3</v>
      </c>
      <c r="HN197" t="s">
        <v>4484</v>
      </c>
      <c r="HO197" t="s">
        <v>4484</v>
      </c>
      <c r="HP197" t="s">
        <v>4484</v>
      </c>
      <c r="HQ197" t="s">
        <v>4484</v>
      </c>
      <c r="HR197" t="s">
        <v>4484</v>
      </c>
      <c r="HU197">
        <v>3</v>
      </c>
      <c r="HV197">
        <v>3</v>
      </c>
      <c r="IA197" t="s">
        <v>4484</v>
      </c>
      <c r="IY197" t="s">
        <v>4484</v>
      </c>
    </row>
    <row r="198" spans="1:259" ht="12.75" customHeight="1" x14ac:dyDescent="0.2">
      <c r="A198" t="str">
        <f t="shared" si="6"/>
        <v>Gatamo  (Dialekt)</v>
      </c>
      <c r="B198">
        <f>ROW()</f>
        <v>198</v>
      </c>
    </row>
    <row r="199" spans="1:259" x14ac:dyDescent="0.2">
      <c r="A199" t="str">
        <f t="shared" si="6"/>
        <v>Gjalskisch</v>
      </c>
      <c r="B199">
        <f>ROW()</f>
        <v>199</v>
      </c>
      <c r="DS199" t="s">
        <v>339</v>
      </c>
    </row>
    <row r="200" spans="1:259" ht="12.75" customHeight="1" x14ac:dyDescent="0.2">
      <c r="A200" t="str">
        <f t="shared" si="6"/>
        <v>Goblinisch</v>
      </c>
      <c r="B200">
        <f>ROW()</f>
        <v>200</v>
      </c>
      <c r="HS200" t="s">
        <v>339</v>
      </c>
      <c r="HT200" t="s">
        <v>339</v>
      </c>
      <c r="HU200" t="s">
        <v>339</v>
      </c>
      <c r="HV200" t="s">
        <v>339</v>
      </c>
      <c r="HW200" t="s">
        <v>339</v>
      </c>
      <c r="HX200" t="s">
        <v>339</v>
      </c>
      <c r="HY200" t="s">
        <v>339</v>
      </c>
      <c r="HZ200" t="s">
        <v>339</v>
      </c>
      <c r="IA200" t="s">
        <v>339</v>
      </c>
      <c r="IB200" t="s">
        <v>339</v>
      </c>
    </row>
    <row r="201" spans="1:259" x14ac:dyDescent="0.2">
      <c r="A201" t="str">
        <f t="shared" si="6"/>
        <v>Grolmisch</v>
      </c>
      <c r="B201">
        <f>ROW()</f>
        <v>201</v>
      </c>
    </row>
    <row r="202" spans="1:259" ht="12.75" customHeight="1" x14ac:dyDescent="0.2">
      <c r="A202" t="str">
        <f t="shared" si="6"/>
        <v>Hjaldingsch ('Saga-Thorwalsch')</v>
      </c>
      <c r="B202">
        <f>ROW()</f>
        <v>202</v>
      </c>
    </row>
    <row r="203" spans="1:259" x14ac:dyDescent="0.2">
      <c r="A203" t="str">
        <f t="shared" si="6"/>
        <v>Horathi  (Dialekt)</v>
      </c>
      <c r="B203">
        <f>ROW()</f>
        <v>203</v>
      </c>
      <c r="CB203" t="s">
        <v>339</v>
      </c>
      <c r="CC203" t="s">
        <v>339</v>
      </c>
      <c r="CD203" t="s">
        <v>339</v>
      </c>
      <c r="CE203" t="s">
        <v>339</v>
      </c>
      <c r="CF203" t="s">
        <v>339</v>
      </c>
      <c r="CG203" t="s">
        <v>339</v>
      </c>
      <c r="CH203" t="s">
        <v>339</v>
      </c>
      <c r="CI203" t="s">
        <v>339</v>
      </c>
      <c r="CJ203" t="s">
        <v>339</v>
      </c>
    </row>
    <row r="204" spans="1:259" ht="12.75" customHeight="1" x14ac:dyDescent="0.2">
      <c r="A204" t="str">
        <f t="shared" si="6"/>
        <v>Isdira</v>
      </c>
      <c r="B204">
        <f>ROW()</f>
        <v>204</v>
      </c>
      <c r="FH204" t="s">
        <v>339</v>
      </c>
      <c r="FI204" t="s">
        <v>339</v>
      </c>
      <c r="FJ204" t="s">
        <v>339</v>
      </c>
      <c r="FK204" t="s">
        <v>339</v>
      </c>
      <c r="FL204" t="s">
        <v>339</v>
      </c>
      <c r="FM204" t="s">
        <v>339</v>
      </c>
      <c r="FN204" t="s">
        <v>339</v>
      </c>
      <c r="FO204" t="s">
        <v>339</v>
      </c>
      <c r="FP204" t="s">
        <v>339</v>
      </c>
      <c r="FQ204" t="s">
        <v>339</v>
      </c>
      <c r="FR204" t="s">
        <v>339</v>
      </c>
      <c r="FS204" t="s">
        <v>339</v>
      </c>
      <c r="FT204" t="s">
        <v>339</v>
      </c>
      <c r="FU204" t="s">
        <v>339</v>
      </c>
      <c r="FV204" t="s">
        <v>339</v>
      </c>
      <c r="FW204" t="s">
        <v>339</v>
      </c>
      <c r="FX204" t="s">
        <v>339</v>
      </c>
    </row>
    <row r="205" spans="1:259" x14ac:dyDescent="0.2">
      <c r="A205" t="str">
        <f t="shared" si="6"/>
        <v>Koboldisch</v>
      </c>
      <c r="B205">
        <f>ROW()</f>
        <v>205</v>
      </c>
    </row>
    <row r="206" spans="1:259" ht="12.75" customHeight="1" x14ac:dyDescent="0.2">
      <c r="A206" t="str">
        <f t="shared" si="6"/>
        <v>Mahrisch</v>
      </c>
      <c r="B206">
        <f>ROW()</f>
        <v>206</v>
      </c>
    </row>
    <row r="207" spans="1:259" x14ac:dyDescent="0.2">
      <c r="A207" t="str">
        <f t="shared" si="6"/>
        <v>Maraskani  (Dialekt)</v>
      </c>
      <c r="B207">
        <f>ROW()</f>
        <v>207</v>
      </c>
      <c r="EJ207" t="s">
        <v>4484</v>
      </c>
      <c r="EK207" t="s">
        <v>339</v>
      </c>
      <c r="EL207" t="s">
        <v>339</v>
      </c>
    </row>
    <row r="208" spans="1:259" ht="12.75" customHeight="1" x14ac:dyDescent="0.2">
      <c r="A208" t="str">
        <f t="shared" si="6"/>
        <v>Mohisch</v>
      </c>
      <c r="B208">
        <f>ROW()</f>
        <v>208</v>
      </c>
      <c r="DP208">
        <v>4</v>
      </c>
      <c r="DU208" t="s">
        <v>339</v>
      </c>
      <c r="DV208" t="s">
        <v>339</v>
      </c>
      <c r="DW208" t="s">
        <v>339</v>
      </c>
      <c r="DX208" t="s">
        <v>339</v>
      </c>
      <c r="DY208" t="s">
        <v>339</v>
      </c>
      <c r="DZ208" t="s">
        <v>339</v>
      </c>
      <c r="EA208" t="s">
        <v>339</v>
      </c>
      <c r="EB208" t="s">
        <v>339</v>
      </c>
      <c r="EC208" t="s">
        <v>339</v>
      </c>
      <c r="ED208" t="s">
        <v>339</v>
      </c>
      <c r="EE208" t="s">
        <v>339</v>
      </c>
      <c r="EL208">
        <v>4</v>
      </c>
      <c r="EM208">
        <v>4</v>
      </c>
      <c r="EN208">
        <v>4</v>
      </c>
      <c r="EO208">
        <v>4</v>
      </c>
      <c r="EP208">
        <v>4</v>
      </c>
      <c r="EQ208">
        <v>4</v>
      </c>
      <c r="ER208">
        <v>4</v>
      </c>
      <c r="ES208">
        <v>4</v>
      </c>
      <c r="ET208">
        <v>4</v>
      </c>
      <c r="EU208">
        <v>8</v>
      </c>
      <c r="EV208">
        <v>4</v>
      </c>
      <c r="EW208">
        <v>6</v>
      </c>
      <c r="EX208">
        <v>4</v>
      </c>
      <c r="EZ208">
        <v>2</v>
      </c>
      <c r="II208">
        <v>2</v>
      </c>
    </row>
    <row r="209" spans="1:259" x14ac:dyDescent="0.2">
      <c r="A209" t="str">
        <f t="shared" si="6"/>
        <v>Molochisch</v>
      </c>
      <c r="B209">
        <f>ROW()</f>
        <v>209</v>
      </c>
    </row>
    <row r="210" spans="1:259" ht="12.75" customHeight="1" x14ac:dyDescent="0.2">
      <c r="A210" t="str">
        <f t="shared" si="6"/>
        <v>Neckergesang</v>
      </c>
      <c r="B210">
        <f>ROW()</f>
        <v>210</v>
      </c>
    </row>
    <row r="211" spans="1:259" x14ac:dyDescent="0.2">
      <c r="A211" t="str">
        <f t="shared" si="6"/>
        <v>Nujuka ('Nivesisch')</v>
      </c>
      <c r="B211">
        <f>ROW()</f>
        <v>211</v>
      </c>
      <c r="FA211" t="s">
        <v>339</v>
      </c>
      <c r="FB211" t="s">
        <v>339</v>
      </c>
      <c r="FC211" t="s">
        <v>339</v>
      </c>
      <c r="FD211" t="s">
        <v>339</v>
      </c>
    </row>
    <row r="212" spans="1:259" ht="12.75" customHeight="1" x14ac:dyDescent="0.2">
      <c r="A212" t="str">
        <f t="shared" si="6"/>
        <v>Oloarkh</v>
      </c>
      <c r="B212">
        <f>ROW()</f>
        <v>212</v>
      </c>
      <c r="HM212" t="s">
        <v>339</v>
      </c>
    </row>
    <row r="213" spans="1:259" x14ac:dyDescent="0.2">
      <c r="A213" t="str">
        <f t="shared" si="6"/>
        <v>Ologhaijan ('Hochorkisch')</v>
      </c>
      <c r="B213">
        <f>ROW()</f>
        <v>213</v>
      </c>
      <c r="DS213">
        <v>6</v>
      </c>
      <c r="FE213">
        <v>4</v>
      </c>
      <c r="FF213">
        <v>4</v>
      </c>
      <c r="GD213" t="s">
        <v>339</v>
      </c>
      <c r="GE213" t="s">
        <v>339</v>
      </c>
      <c r="GF213" t="s">
        <v>339</v>
      </c>
      <c r="GG213" t="s">
        <v>339</v>
      </c>
      <c r="GH213" t="s">
        <v>339</v>
      </c>
      <c r="GI213" t="s">
        <v>339</v>
      </c>
      <c r="GJ213" t="s">
        <v>339</v>
      </c>
      <c r="GK213" t="s">
        <v>339</v>
      </c>
      <c r="GL213" t="s">
        <v>339</v>
      </c>
      <c r="GM213" t="s">
        <v>339</v>
      </c>
      <c r="GN213" t="s">
        <v>339</v>
      </c>
      <c r="GO213" t="s">
        <v>339</v>
      </c>
      <c r="GP213" t="s">
        <v>339</v>
      </c>
      <c r="GQ213" t="s">
        <v>339</v>
      </c>
      <c r="GR213" t="s">
        <v>339</v>
      </c>
      <c r="GS213" t="s">
        <v>339</v>
      </c>
      <c r="GT213" t="s">
        <v>339</v>
      </c>
      <c r="GU213" t="s">
        <v>339</v>
      </c>
      <c r="GV213" t="s">
        <v>339</v>
      </c>
      <c r="GW213" t="s">
        <v>339</v>
      </c>
      <c r="GX213" t="s">
        <v>339</v>
      </c>
      <c r="GY213" t="s">
        <v>339</v>
      </c>
      <c r="GZ213" t="s">
        <v>339</v>
      </c>
      <c r="HA213" t="s">
        <v>339</v>
      </c>
      <c r="HB213" t="s">
        <v>339</v>
      </c>
      <c r="HC213" t="s">
        <v>339</v>
      </c>
      <c r="HD213" t="s">
        <v>339</v>
      </c>
      <c r="HE213" t="s">
        <v>339</v>
      </c>
      <c r="HF213" t="s">
        <v>339</v>
      </c>
      <c r="HG213" t="s">
        <v>339</v>
      </c>
      <c r="HH213" t="s">
        <v>339</v>
      </c>
      <c r="HI213" t="s">
        <v>339</v>
      </c>
      <c r="HJ213" t="s">
        <v>339</v>
      </c>
      <c r="HK213" t="s">
        <v>339</v>
      </c>
      <c r="HL213" t="s">
        <v>339</v>
      </c>
      <c r="HN213" t="s">
        <v>339</v>
      </c>
      <c r="HO213" t="s">
        <v>339</v>
      </c>
      <c r="HP213" t="s">
        <v>339</v>
      </c>
      <c r="HQ213" t="s">
        <v>339</v>
      </c>
      <c r="HR213" t="s">
        <v>339</v>
      </c>
      <c r="IL213" t="s">
        <v>339</v>
      </c>
      <c r="IM213" t="s">
        <v>339</v>
      </c>
      <c r="IN213" t="s">
        <v>339</v>
      </c>
      <c r="IO213" t="s">
        <v>339</v>
      </c>
      <c r="IP213" t="s">
        <v>339</v>
      </c>
      <c r="IQ213" t="s">
        <v>339</v>
      </c>
      <c r="IY213" t="s">
        <v>339</v>
      </c>
    </row>
    <row r="214" spans="1:259" ht="12.75" customHeight="1" x14ac:dyDescent="0.2">
      <c r="A214" t="str">
        <f t="shared" si="6"/>
        <v>Rabensprache</v>
      </c>
      <c r="B214">
        <f>ROW()</f>
        <v>214</v>
      </c>
    </row>
    <row r="215" spans="1:259" x14ac:dyDescent="0.2">
      <c r="A215" t="str">
        <f t="shared" si="6"/>
        <v>Rissoal</v>
      </c>
      <c r="B215">
        <f>ROW()</f>
        <v>215</v>
      </c>
    </row>
    <row r="216" spans="1:259" ht="12.75" customHeight="1" x14ac:dyDescent="0.2">
      <c r="A216" t="str">
        <f t="shared" si="6"/>
        <v>Rogolan</v>
      </c>
      <c r="B216">
        <f>ROW()</f>
        <v>216</v>
      </c>
      <c r="FY216" t="s">
        <v>339</v>
      </c>
      <c r="FZ216" t="s">
        <v>339</v>
      </c>
      <c r="GA216" t="s">
        <v>339</v>
      </c>
      <c r="GB216" t="s">
        <v>339</v>
      </c>
      <c r="GC216" t="s">
        <v>339</v>
      </c>
    </row>
    <row r="217" spans="1:259" x14ac:dyDescent="0.2">
      <c r="A217" t="str">
        <f t="shared" si="6"/>
        <v>Rssahh</v>
      </c>
      <c r="B217">
        <f>ROW()</f>
        <v>217</v>
      </c>
      <c r="IC217" t="s">
        <v>339</v>
      </c>
      <c r="ID217" t="s">
        <v>339</v>
      </c>
      <c r="IE217" t="s">
        <v>339</v>
      </c>
      <c r="IF217" t="s">
        <v>339</v>
      </c>
      <c r="IG217" t="s">
        <v>339</v>
      </c>
      <c r="IH217" t="s">
        <v>339</v>
      </c>
      <c r="II217" t="s">
        <v>339</v>
      </c>
    </row>
    <row r="218" spans="1:259" ht="12.75" customHeight="1" x14ac:dyDescent="0.2">
      <c r="A218" t="str">
        <f t="shared" si="6"/>
        <v>Ruuz ('Ur-Maraskanisch' )</v>
      </c>
      <c r="B218">
        <f>ROW()</f>
        <v>218</v>
      </c>
    </row>
    <row r="219" spans="1:259" x14ac:dyDescent="0.2">
      <c r="A219" t="str">
        <f t="shared" si="6"/>
        <v>Thorwalsch</v>
      </c>
      <c r="B219">
        <f>ROW()</f>
        <v>219</v>
      </c>
      <c r="DK219" t="s">
        <v>339</v>
      </c>
      <c r="DL219" t="s">
        <v>339</v>
      </c>
      <c r="DM219" t="s">
        <v>339</v>
      </c>
      <c r="DN219" t="s">
        <v>339</v>
      </c>
      <c r="DO219" t="s">
        <v>339</v>
      </c>
      <c r="DP219" t="s">
        <v>339</v>
      </c>
      <c r="DQ219" t="s">
        <v>339</v>
      </c>
      <c r="DR219" t="s">
        <v>339</v>
      </c>
      <c r="EP219">
        <v>2</v>
      </c>
      <c r="EZ219">
        <v>2</v>
      </c>
      <c r="FE219">
        <v>4</v>
      </c>
      <c r="FF219" t="s">
        <v>4484</v>
      </c>
    </row>
    <row r="220" spans="1:259" ht="12.75" customHeight="1" x14ac:dyDescent="0.2">
      <c r="A220" t="str">
        <f t="shared" si="6"/>
        <v>Trollisch</v>
      </c>
      <c r="B220">
        <f>ROW()</f>
        <v>220</v>
      </c>
      <c r="FG220">
        <v>4</v>
      </c>
    </row>
    <row r="221" spans="1:259" x14ac:dyDescent="0.2">
      <c r="A221" t="str">
        <f t="shared" si="6"/>
        <v>Tulamidya</v>
      </c>
      <c r="B221">
        <f>ROW()</f>
        <v>221</v>
      </c>
      <c r="AT221" t="s">
        <v>4484</v>
      </c>
      <c r="CV221" t="s">
        <v>339</v>
      </c>
      <c r="CW221" t="s">
        <v>339</v>
      </c>
      <c r="CX221" t="s">
        <v>339</v>
      </c>
      <c r="CY221" t="s">
        <v>339</v>
      </c>
      <c r="CZ221" t="s">
        <v>339</v>
      </c>
      <c r="DA221" t="s">
        <v>339</v>
      </c>
      <c r="DB221" t="s">
        <v>339</v>
      </c>
      <c r="DC221" t="s">
        <v>339</v>
      </c>
      <c r="DD221" t="s">
        <v>339</v>
      </c>
      <c r="DE221" t="s">
        <v>339</v>
      </c>
      <c r="DF221" t="s">
        <v>339</v>
      </c>
      <c r="DG221" t="s">
        <v>339</v>
      </c>
      <c r="DH221" t="s">
        <v>339</v>
      </c>
      <c r="DI221" t="s">
        <v>4484</v>
      </c>
      <c r="DJ221" t="s">
        <v>339</v>
      </c>
      <c r="DR221" t="s">
        <v>4484</v>
      </c>
      <c r="EJ221" t="s">
        <v>339</v>
      </c>
      <c r="EK221" t="s">
        <v>4484</v>
      </c>
      <c r="EL221" t="s">
        <v>4484</v>
      </c>
      <c r="EM221">
        <v>4</v>
      </c>
      <c r="EN221">
        <v>4</v>
      </c>
      <c r="EO221">
        <v>4</v>
      </c>
      <c r="EP221">
        <v>4</v>
      </c>
      <c r="EQ221">
        <v>4</v>
      </c>
      <c r="ER221">
        <v>4</v>
      </c>
      <c r="ES221">
        <v>4</v>
      </c>
      <c r="ET221">
        <v>4</v>
      </c>
      <c r="EU221">
        <v>4</v>
      </c>
      <c r="EV221">
        <v>6</v>
      </c>
      <c r="EW221">
        <v>4</v>
      </c>
      <c r="EX221">
        <v>4</v>
      </c>
      <c r="EZ221">
        <v>2</v>
      </c>
    </row>
    <row r="222" spans="1:259" ht="12.75" customHeight="1" x14ac:dyDescent="0.2">
      <c r="A222" t="str">
        <f t="shared" si="6"/>
        <v>Ur-Tulamidya</v>
      </c>
      <c r="B222">
        <f>ROW()</f>
        <v>222</v>
      </c>
    </row>
    <row r="223" spans="1:259" x14ac:dyDescent="0.2">
      <c r="A223" t="str">
        <f t="shared" si="6"/>
        <v>Zelemja</v>
      </c>
      <c r="B223">
        <f>ROW()</f>
        <v>223</v>
      </c>
    </row>
    <row r="224" spans="1:259" ht="12.75" customHeight="1" x14ac:dyDescent="0.2">
      <c r="A224" t="str">
        <f t="shared" si="6"/>
        <v>Zhayad</v>
      </c>
      <c r="B224">
        <f>ROW()</f>
        <v>224</v>
      </c>
    </row>
    <row r="225" spans="1:237" x14ac:dyDescent="0.2">
      <c r="A225" t="str">
        <f t="shared" si="6"/>
        <v>Zhulchammaqra ('Trollzackisch')</v>
      </c>
      <c r="B225">
        <f>ROW()</f>
        <v>225</v>
      </c>
      <c r="FG225" t="s">
        <v>339</v>
      </c>
    </row>
    <row r="226" spans="1:237" ht="12.75" customHeight="1" x14ac:dyDescent="0.2">
      <c r="A226" t="str">
        <f t="shared" si="6"/>
        <v>Z'Lit</v>
      </c>
      <c r="B226">
        <f>ROW()</f>
        <v>226</v>
      </c>
    </row>
    <row r="227" spans="1:237" x14ac:dyDescent="0.2">
      <c r="A227" t="str">
        <f t="shared" si="6"/>
        <v>Zyklopäisch</v>
      </c>
      <c r="B227">
        <f>ROW()</f>
        <v>227</v>
      </c>
    </row>
    <row r="228" spans="1:237" ht="21.75" customHeight="1" x14ac:dyDescent="0.2">
      <c r="A228" t="str">
        <f t="shared" ref="A228:A249" si="7">INDEX(SCHRIFTEN,ROW()-ROW($B$228)+1)</f>
        <v>Altes Alaani</v>
      </c>
      <c r="B228">
        <f>ROW()</f>
        <v>228</v>
      </c>
      <c r="C228" t="s">
        <v>1642</v>
      </c>
      <c r="AN228" t="s">
        <v>1642</v>
      </c>
    </row>
    <row r="229" spans="1:237" x14ac:dyDescent="0.2">
      <c r="A229" t="str">
        <f t="shared" si="7"/>
        <v>Amulashtra (mod./hist.)</v>
      </c>
      <c r="B229">
        <f>ROW()</f>
        <v>229</v>
      </c>
    </row>
    <row r="230" spans="1:237" x14ac:dyDescent="0.2">
      <c r="A230" t="str">
        <f t="shared" si="7"/>
        <v>Angram</v>
      </c>
      <c r="B230">
        <f>ROW()</f>
        <v>230</v>
      </c>
    </row>
    <row r="231" spans="1:237" x14ac:dyDescent="0.2">
      <c r="A231" t="str">
        <f t="shared" si="7"/>
        <v>Arkanil ('Rohalsschrift')</v>
      </c>
      <c r="B231">
        <f>ROW()</f>
        <v>231</v>
      </c>
    </row>
    <row r="232" spans="1:237" x14ac:dyDescent="0.2">
      <c r="A232" t="str">
        <f t="shared" si="7"/>
        <v>Chrmk ('Zelemja')</v>
      </c>
      <c r="B232">
        <f>ROW()</f>
        <v>232</v>
      </c>
      <c r="IC232">
        <v>4</v>
      </c>
    </row>
    <row r="233" spans="1:237" x14ac:dyDescent="0.2">
      <c r="A233" t="str">
        <f t="shared" si="7"/>
        <v>Chuchas ('Protozelemja')</v>
      </c>
      <c r="B233">
        <f>ROW()</f>
        <v>233</v>
      </c>
    </row>
    <row r="234" spans="1:237" x14ac:dyDescent="0.2">
      <c r="A234" t="str">
        <f t="shared" si="7"/>
        <v>Drakhard-Zinken</v>
      </c>
      <c r="B234">
        <f>ROW()</f>
        <v>234</v>
      </c>
    </row>
    <row r="235" spans="1:237" x14ac:dyDescent="0.2">
      <c r="A235" t="str">
        <f t="shared" si="7"/>
        <v>Drakned-Glyphen</v>
      </c>
      <c r="B235">
        <f>ROW()</f>
        <v>235</v>
      </c>
    </row>
    <row r="236" spans="1:237" x14ac:dyDescent="0.2">
      <c r="A236" t="str">
        <f t="shared" si="7"/>
        <v>Gimaril</v>
      </c>
      <c r="B236">
        <f>ROW()</f>
        <v>236</v>
      </c>
    </row>
    <row r="237" spans="1:237" x14ac:dyDescent="0.2">
      <c r="A237" t="str">
        <f t="shared" si="7"/>
        <v>Gjalskisch</v>
      </c>
      <c r="B237">
        <f>ROW()</f>
        <v>237</v>
      </c>
    </row>
    <row r="238" spans="1:237" x14ac:dyDescent="0.2">
      <c r="A238" t="str">
        <f t="shared" si="7"/>
        <v>Hjaldingsche Runen</v>
      </c>
      <c r="B238">
        <f>ROW()</f>
        <v>238</v>
      </c>
    </row>
    <row r="239" spans="1:237" x14ac:dyDescent="0.2">
      <c r="A239" t="str">
        <f t="shared" si="7"/>
        <v>Imperiale Zeichen ('Altgüldenländisch')</v>
      </c>
      <c r="B239">
        <f>ROW()</f>
        <v>239</v>
      </c>
    </row>
    <row r="240" spans="1:237" x14ac:dyDescent="0.2">
      <c r="A240" t="str">
        <f t="shared" si="7"/>
        <v>Isdira / Asdharia</v>
      </c>
      <c r="B240">
        <f>ROW()</f>
        <v>240</v>
      </c>
    </row>
    <row r="241" spans="1:184" x14ac:dyDescent="0.2">
      <c r="A241" t="str">
        <f t="shared" si="7"/>
        <v>Kusliker Zeichen</v>
      </c>
      <c r="B241">
        <f>ROW()</f>
        <v>241</v>
      </c>
      <c r="AS241">
        <v>2</v>
      </c>
      <c r="BB241">
        <v>2</v>
      </c>
      <c r="BG241">
        <v>2</v>
      </c>
      <c r="BX241">
        <v>2</v>
      </c>
      <c r="CA241">
        <v>4</v>
      </c>
      <c r="CB241">
        <v>2</v>
      </c>
      <c r="CC241">
        <v>2</v>
      </c>
      <c r="CD241">
        <v>2</v>
      </c>
      <c r="CE241">
        <v>4</v>
      </c>
      <c r="CF241">
        <v>2</v>
      </c>
      <c r="CG241">
        <v>2</v>
      </c>
      <c r="CH241">
        <v>2</v>
      </c>
      <c r="CI241">
        <v>2</v>
      </c>
      <c r="CJ241">
        <v>4</v>
      </c>
      <c r="CL241">
        <v>2</v>
      </c>
      <c r="DQ241">
        <v>2</v>
      </c>
    </row>
    <row r="242" spans="1:184" x14ac:dyDescent="0.2">
      <c r="A242" t="str">
        <f t="shared" si="7"/>
        <v>Mahrische Glyphen</v>
      </c>
      <c r="B242">
        <f>ROW()</f>
        <v>242</v>
      </c>
    </row>
    <row r="243" spans="1:184" x14ac:dyDescent="0.2">
      <c r="A243" t="str">
        <f t="shared" si="7"/>
        <v>Nanduria</v>
      </c>
      <c r="B243">
        <f>ROW()</f>
        <v>243</v>
      </c>
    </row>
    <row r="244" spans="1:184" x14ac:dyDescent="0.2">
      <c r="A244" t="str">
        <f t="shared" si="7"/>
        <v>Rogolan</v>
      </c>
      <c r="B244">
        <f>ROW()</f>
        <v>244</v>
      </c>
      <c r="FZ244">
        <v>8</v>
      </c>
      <c r="GB244">
        <v>6</v>
      </c>
    </row>
    <row r="245" spans="1:184" x14ac:dyDescent="0.2">
      <c r="A245" t="str">
        <f t="shared" si="7"/>
        <v>Trollische Raumbilderschrift</v>
      </c>
      <c r="B245">
        <f>ROW()</f>
        <v>245</v>
      </c>
    </row>
    <row r="246" spans="1:184" x14ac:dyDescent="0.2">
      <c r="A246" t="str">
        <f t="shared" si="7"/>
        <v>Tulamidya</v>
      </c>
      <c r="B246">
        <f>ROW()</f>
        <v>246</v>
      </c>
    </row>
    <row r="247" spans="1:184" x14ac:dyDescent="0.2">
      <c r="A247" t="str">
        <f t="shared" si="7"/>
        <v>Unauer Glyphen</v>
      </c>
      <c r="B247">
        <f>ROW()</f>
        <v>247</v>
      </c>
    </row>
    <row r="248" spans="1:184" x14ac:dyDescent="0.2">
      <c r="A248" t="str">
        <f t="shared" si="7"/>
        <v>Ur-Tulamidya</v>
      </c>
      <c r="B248">
        <f>ROW()</f>
        <v>248</v>
      </c>
    </row>
    <row r="249" spans="1:184" x14ac:dyDescent="0.2">
      <c r="A249" t="str">
        <f t="shared" si="7"/>
        <v>Zhayad</v>
      </c>
      <c r="B249">
        <f>ROW()</f>
        <v>249</v>
      </c>
    </row>
    <row r="250" spans="1:184" x14ac:dyDescent="0.2">
      <c r="A250" t="s">
        <v>1319</v>
      </c>
      <c r="B250">
        <f>ROW()</f>
        <v>250</v>
      </c>
      <c r="AD250" t="s">
        <v>788</v>
      </c>
      <c r="AE250" t="s">
        <v>788</v>
      </c>
      <c r="AG250" t="s">
        <v>788</v>
      </c>
      <c r="AH250" t="s">
        <v>788</v>
      </c>
      <c r="AI250" t="s">
        <v>4063</v>
      </c>
      <c r="AJ250" t="s">
        <v>4063</v>
      </c>
      <c r="AK250" t="s">
        <v>4063</v>
      </c>
      <c r="AL250" t="s">
        <v>4063</v>
      </c>
    </row>
    <row r="251" spans="1:184" x14ac:dyDescent="0.2">
      <c r="B251">
        <f>ROW()</f>
        <v>251</v>
      </c>
      <c r="AI251" t="s">
        <v>788</v>
      </c>
      <c r="AJ251" t="s">
        <v>788</v>
      </c>
      <c r="AK251" t="s">
        <v>788</v>
      </c>
      <c r="AL251" t="s">
        <v>788</v>
      </c>
    </row>
    <row r="252" spans="1:184" x14ac:dyDescent="0.2">
      <c r="B252">
        <f>ROW()</f>
        <v>252</v>
      </c>
    </row>
    <row r="253" spans="1:184" x14ac:dyDescent="0.2">
      <c r="A253" t="s">
        <v>3592</v>
      </c>
      <c r="B253">
        <f>ROW()</f>
        <v>253</v>
      </c>
      <c r="FY253" t="s">
        <v>3252</v>
      </c>
    </row>
    <row r="254" spans="1:184" x14ac:dyDescent="0.2">
      <c r="B254">
        <f>ROW()</f>
        <v>254</v>
      </c>
    </row>
    <row r="255" spans="1:184" x14ac:dyDescent="0.2">
      <c r="B255">
        <f>ROW()</f>
        <v>255</v>
      </c>
    </row>
    <row r="256" spans="1:184" x14ac:dyDescent="0.2">
      <c r="B256">
        <f>ROW()</f>
        <v>256</v>
      </c>
    </row>
    <row r="257" spans="1:259" x14ac:dyDescent="0.2">
      <c r="B257">
        <f>ROW()</f>
        <v>257</v>
      </c>
    </row>
    <row r="258" spans="1:259" x14ac:dyDescent="0.2">
      <c r="B258">
        <f>ROW()</f>
        <v>258</v>
      </c>
    </row>
    <row r="259" spans="1:259" x14ac:dyDescent="0.2">
      <c r="B259">
        <f>ROW()</f>
        <v>259</v>
      </c>
    </row>
    <row r="260" spans="1:259" x14ac:dyDescent="0.2">
      <c r="B260">
        <f>ROW()</f>
        <v>260</v>
      </c>
    </row>
    <row r="261" spans="1:259" x14ac:dyDescent="0.2">
      <c r="B261">
        <f>ROW()</f>
        <v>261</v>
      </c>
    </row>
    <row r="262" spans="1:259" x14ac:dyDescent="0.2">
      <c r="B262">
        <f>ROW()</f>
        <v>262</v>
      </c>
    </row>
    <row r="263" spans="1:259" x14ac:dyDescent="0.2">
      <c r="A263" t="s">
        <v>3630</v>
      </c>
      <c r="B263">
        <f>ROW()</f>
        <v>263</v>
      </c>
    </row>
    <row r="264" spans="1:259" x14ac:dyDescent="0.2">
      <c r="B264">
        <f>ROW()</f>
        <v>264</v>
      </c>
    </row>
    <row r="265" spans="1:259" x14ac:dyDescent="0.2">
      <c r="B265">
        <f>ROW()</f>
        <v>265</v>
      </c>
    </row>
    <row r="266" spans="1:259" x14ac:dyDescent="0.2">
      <c r="A266" t="s">
        <v>3798</v>
      </c>
      <c r="B266">
        <f>ROW()</f>
        <v>266</v>
      </c>
      <c r="AO266" t="s">
        <v>6084</v>
      </c>
      <c r="AP266" t="s">
        <v>6084</v>
      </c>
      <c r="AQ266" t="s">
        <v>6084</v>
      </c>
      <c r="AR266" t="s">
        <v>6084</v>
      </c>
      <c r="AS266" t="s">
        <v>6084</v>
      </c>
      <c r="AT266" t="s">
        <v>6084</v>
      </c>
      <c r="AU266" t="s">
        <v>6084</v>
      </c>
      <c r="AV266" t="s">
        <v>6084</v>
      </c>
      <c r="AW266" t="s">
        <v>6084</v>
      </c>
      <c r="AX266" t="s">
        <v>6084</v>
      </c>
      <c r="AY266" t="s">
        <v>6084</v>
      </c>
      <c r="AZ266" t="s">
        <v>6084</v>
      </c>
      <c r="BA266" t="s">
        <v>6084</v>
      </c>
      <c r="BB266" t="s">
        <v>6084</v>
      </c>
      <c r="BC266" t="s">
        <v>6084</v>
      </c>
      <c r="BD266" t="s">
        <v>6084</v>
      </c>
      <c r="BE266" t="s">
        <v>6085</v>
      </c>
      <c r="BF266" t="s">
        <v>6085</v>
      </c>
      <c r="BG266" t="s">
        <v>6085</v>
      </c>
      <c r="BH266" t="s">
        <v>6085</v>
      </c>
      <c r="BI266" t="s">
        <v>6085</v>
      </c>
      <c r="BJ266" t="s">
        <v>6085</v>
      </c>
      <c r="BK266" t="s">
        <v>6086</v>
      </c>
      <c r="BL266" t="s">
        <v>6086</v>
      </c>
      <c r="BM266" t="s">
        <v>6086</v>
      </c>
      <c r="BN266" t="s">
        <v>6086</v>
      </c>
      <c r="BO266" t="s">
        <v>6087</v>
      </c>
      <c r="BP266" t="s">
        <v>6087</v>
      </c>
      <c r="BQ266" t="s">
        <v>6087</v>
      </c>
      <c r="BR266" t="s">
        <v>6087</v>
      </c>
      <c r="BS266" t="s">
        <v>6087</v>
      </c>
      <c r="BT266" t="s">
        <v>6087</v>
      </c>
      <c r="BU266" t="s">
        <v>6088</v>
      </c>
      <c r="BV266" t="s">
        <v>6088</v>
      </c>
      <c r="BW266" t="s">
        <v>6088</v>
      </c>
      <c r="BX266" t="s">
        <v>6088</v>
      </c>
      <c r="BY266" t="s">
        <v>6088</v>
      </c>
      <c r="BZ266" t="s">
        <v>6088</v>
      </c>
      <c r="CA266" t="s">
        <v>6088</v>
      </c>
      <c r="CB266" t="s">
        <v>7603</v>
      </c>
      <c r="CC266" t="s">
        <v>7603</v>
      </c>
      <c r="CD266" t="s">
        <v>7603</v>
      </c>
      <c r="CE266" t="s">
        <v>7603</v>
      </c>
      <c r="CF266" t="s">
        <v>7603</v>
      </c>
      <c r="CG266" t="s">
        <v>7603</v>
      </c>
      <c r="CH266" t="s">
        <v>7603</v>
      </c>
      <c r="CI266" t="s">
        <v>7603</v>
      </c>
      <c r="CJ266" t="s">
        <v>7603</v>
      </c>
      <c r="CK266" t="s">
        <v>6089</v>
      </c>
      <c r="CL266" t="s">
        <v>6089</v>
      </c>
      <c r="CM266" t="s">
        <v>6090</v>
      </c>
      <c r="CN266" t="s">
        <v>6091</v>
      </c>
      <c r="CO266" t="s">
        <v>6091</v>
      </c>
      <c r="CP266" t="s">
        <v>6091</v>
      </c>
      <c r="CQ266" t="s">
        <v>6091</v>
      </c>
      <c r="CR266" t="s">
        <v>6091</v>
      </c>
      <c r="CS266" t="s">
        <v>6091</v>
      </c>
      <c r="CT266" t="s">
        <v>6091</v>
      </c>
      <c r="CU266" t="s">
        <v>6091</v>
      </c>
      <c r="CV266" t="s">
        <v>6092</v>
      </c>
      <c r="CW266" t="s">
        <v>6092</v>
      </c>
      <c r="CX266" t="s">
        <v>6092</v>
      </c>
      <c r="CY266" t="s">
        <v>6092</v>
      </c>
      <c r="CZ266" t="s">
        <v>6092</v>
      </c>
      <c r="DA266" t="s">
        <v>6092</v>
      </c>
      <c r="DB266" t="s">
        <v>6092</v>
      </c>
      <c r="DC266" t="s">
        <v>6092</v>
      </c>
      <c r="DD266" t="s">
        <v>6092</v>
      </c>
      <c r="DE266" t="s">
        <v>6093</v>
      </c>
      <c r="DF266" t="s">
        <v>6093</v>
      </c>
      <c r="DG266" t="s">
        <v>6093</v>
      </c>
      <c r="DH266" t="s">
        <v>6093</v>
      </c>
      <c r="DI266" t="s">
        <v>6094</v>
      </c>
      <c r="DJ266" t="s">
        <v>6095</v>
      </c>
      <c r="DK266" t="s">
        <v>6096</v>
      </c>
      <c r="DL266" t="s">
        <v>6096</v>
      </c>
      <c r="DM266" t="s">
        <v>6096</v>
      </c>
      <c r="DN266" t="s">
        <v>6096</v>
      </c>
      <c r="DO266" t="s">
        <v>6096</v>
      </c>
      <c r="DP266" t="s">
        <v>6096</v>
      </c>
      <c r="DQ266" t="s">
        <v>6096</v>
      </c>
      <c r="DR266" t="s">
        <v>6096</v>
      </c>
      <c r="DS266" t="s">
        <v>6097</v>
      </c>
      <c r="DT266" t="s">
        <v>6098</v>
      </c>
      <c r="DU266" t="s">
        <v>6099</v>
      </c>
      <c r="DV266" t="s">
        <v>6099</v>
      </c>
      <c r="DW266" t="s">
        <v>6099</v>
      </c>
      <c r="DX266" t="s">
        <v>6099</v>
      </c>
      <c r="DY266" t="s">
        <v>6099</v>
      </c>
      <c r="DZ266" t="s">
        <v>6099</v>
      </c>
      <c r="EA266" t="s">
        <v>6099</v>
      </c>
      <c r="EB266" t="s">
        <v>6099</v>
      </c>
      <c r="EC266" t="s">
        <v>6099</v>
      </c>
      <c r="ED266" t="s">
        <v>6099</v>
      </c>
      <c r="EE266" t="s">
        <v>6100</v>
      </c>
      <c r="EF266" t="s">
        <v>6101</v>
      </c>
      <c r="EG266" t="s">
        <v>6101</v>
      </c>
      <c r="EH266" t="s">
        <v>6101</v>
      </c>
      <c r="EI266" t="s">
        <v>6101</v>
      </c>
      <c r="EJ266" t="s">
        <v>6092</v>
      </c>
      <c r="EK266" t="s">
        <v>6084</v>
      </c>
      <c r="EL266" t="s">
        <v>6102</v>
      </c>
      <c r="EM266" t="s">
        <v>6102</v>
      </c>
      <c r="EN266" t="s">
        <v>6102</v>
      </c>
      <c r="EO266" t="s">
        <v>6102</v>
      </c>
      <c r="EP266" t="s">
        <v>6102</v>
      </c>
      <c r="EQ266" t="s">
        <v>6102</v>
      </c>
      <c r="ER266" t="s">
        <v>6102</v>
      </c>
      <c r="ES266" t="s">
        <v>6102</v>
      </c>
      <c r="ET266" t="s">
        <v>6102</v>
      </c>
      <c r="EU266" t="s">
        <v>6102</v>
      </c>
      <c r="EV266" t="s">
        <v>6102</v>
      </c>
      <c r="EW266" t="s">
        <v>6102</v>
      </c>
      <c r="EX266" t="s">
        <v>6102</v>
      </c>
      <c r="EY266" t="s">
        <v>6102</v>
      </c>
      <c r="EZ266" t="s">
        <v>6103</v>
      </c>
      <c r="FA266" t="s">
        <v>6104</v>
      </c>
      <c r="FB266" t="s">
        <v>6104</v>
      </c>
      <c r="FC266" t="s">
        <v>6104</v>
      </c>
      <c r="FD266" t="s">
        <v>6104</v>
      </c>
      <c r="FE266" t="s">
        <v>6105</v>
      </c>
      <c r="FF266" t="s">
        <v>6105</v>
      </c>
      <c r="FG266" t="s">
        <v>6106</v>
      </c>
      <c r="FH266" t="s">
        <v>6107</v>
      </c>
      <c r="FI266" t="s">
        <v>6107</v>
      </c>
      <c r="FJ266" t="s">
        <v>6107</v>
      </c>
      <c r="FK266" t="s">
        <v>6107</v>
      </c>
      <c r="FL266" t="s">
        <v>6107</v>
      </c>
      <c r="FM266" t="s">
        <v>6107</v>
      </c>
      <c r="FN266" t="s">
        <v>6107</v>
      </c>
      <c r="FO266" t="s">
        <v>6107</v>
      </c>
      <c r="FP266" t="s">
        <v>6107</v>
      </c>
      <c r="FQ266" t="s">
        <v>6107</v>
      </c>
      <c r="FR266" t="s">
        <v>6107</v>
      </c>
      <c r="FS266" t="s">
        <v>6108</v>
      </c>
      <c r="FT266" t="s">
        <v>6109</v>
      </c>
      <c r="FU266" t="s">
        <v>6110</v>
      </c>
      <c r="FV266" t="s">
        <v>6110</v>
      </c>
      <c r="FW266" t="s">
        <v>6110</v>
      </c>
      <c r="FX266" t="s">
        <v>6110</v>
      </c>
      <c r="FY266" t="s">
        <v>6111</v>
      </c>
      <c r="FZ266" t="s">
        <v>6112</v>
      </c>
      <c r="GA266" t="s">
        <v>6113</v>
      </c>
      <c r="GB266" t="s">
        <v>6114</v>
      </c>
      <c r="GC266" t="s">
        <v>6115</v>
      </c>
      <c r="GD266" t="s">
        <v>6116</v>
      </c>
      <c r="GE266" t="s">
        <v>6116</v>
      </c>
      <c r="GF266" t="s">
        <v>6116</v>
      </c>
      <c r="GG266" t="s">
        <v>6116</v>
      </c>
      <c r="GH266" t="s">
        <v>6116</v>
      </c>
      <c r="GI266" t="s">
        <v>6116</v>
      </c>
      <c r="GJ266" t="s">
        <v>6116</v>
      </c>
      <c r="GK266" t="s">
        <v>6116</v>
      </c>
      <c r="GL266" t="s">
        <v>6116</v>
      </c>
      <c r="GM266" t="s">
        <v>6116</v>
      </c>
      <c r="GN266" t="s">
        <v>6116</v>
      </c>
      <c r="GO266" t="s">
        <v>6116</v>
      </c>
      <c r="GP266" t="s">
        <v>6116</v>
      </c>
      <c r="GQ266" t="s">
        <v>6116</v>
      </c>
      <c r="GR266" t="s">
        <v>6116</v>
      </c>
      <c r="GS266" t="s">
        <v>6116</v>
      </c>
      <c r="GT266" t="s">
        <v>6116</v>
      </c>
      <c r="GU266" t="s">
        <v>6116</v>
      </c>
      <c r="GV266" t="s">
        <v>6116</v>
      </c>
      <c r="GW266" t="s">
        <v>6116</v>
      </c>
      <c r="GX266" t="s">
        <v>6116</v>
      </c>
      <c r="GY266" t="s">
        <v>6116</v>
      </c>
      <c r="GZ266" t="s">
        <v>6116</v>
      </c>
      <c r="HA266" t="s">
        <v>6116</v>
      </c>
      <c r="HB266" t="s">
        <v>6116</v>
      </c>
      <c r="HC266" t="s">
        <v>6116</v>
      </c>
      <c r="HD266" t="s">
        <v>6116</v>
      </c>
      <c r="HE266" t="s">
        <v>6116</v>
      </c>
      <c r="HF266" t="s">
        <v>6116</v>
      </c>
      <c r="HG266" t="s">
        <v>6116</v>
      </c>
      <c r="HH266" t="s">
        <v>6116</v>
      </c>
      <c r="HI266" t="s">
        <v>6116</v>
      </c>
      <c r="HJ266" t="s">
        <v>6116</v>
      </c>
      <c r="HK266" t="s">
        <v>6116</v>
      </c>
      <c r="HL266" t="s">
        <v>6116</v>
      </c>
      <c r="HM266" t="s">
        <v>6116</v>
      </c>
      <c r="HN266" t="s">
        <v>6116</v>
      </c>
      <c r="HO266" t="s">
        <v>6116</v>
      </c>
      <c r="HP266" t="s">
        <v>6116</v>
      </c>
      <c r="HQ266" t="s">
        <v>6116</v>
      </c>
      <c r="HR266" t="s">
        <v>6116</v>
      </c>
      <c r="HS266" t="s">
        <v>6117</v>
      </c>
      <c r="HT266" t="s">
        <v>6117</v>
      </c>
      <c r="HU266" t="s">
        <v>6117</v>
      </c>
      <c r="HV266" t="s">
        <v>6117</v>
      </c>
      <c r="HW266" t="s">
        <v>6117</v>
      </c>
      <c r="HX266" t="s">
        <v>6117</v>
      </c>
      <c r="HY266" t="s">
        <v>6117</v>
      </c>
      <c r="HZ266" t="s">
        <v>6117</v>
      </c>
      <c r="IA266" t="s">
        <v>6117</v>
      </c>
      <c r="IB266" t="s">
        <v>6117</v>
      </c>
      <c r="IC266" t="s">
        <v>6118</v>
      </c>
      <c r="ID266" t="s">
        <v>6119</v>
      </c>
      <c r="IE266" t="s">
        <v>6119</v>
      </c>
      <c r="IF266" t="s">
        <v>6119</v>
      </c>
      <c r="IG266" t="s">
        <v>6119</v>
      </c>
      <c r="IH266" t="s">
        <v>6119</v>
      </c>
      <c r="II266" t="s">
        <v>6119</v>
      </c>
      <c r="IL266" t="s">
        <v>6116</v>
      </c>
      <c r="IM266" t="s">
        <v>6116</v>
      </c>
      <c r="IN266" t="s">
        <v>6116</v>
      </c>
      <c r="IO266" t="s">
        <v>6116</v>
      </c>
      <c r="IP266" t="s">
        <v>6116</v>
      </c>
      <c r="IQ266" t="s">
        <v>6116</v>
      </c>
      <c r="IR266" t="s">
        <v>1490</v>
      </c>
      <c r="IS266" t="s">
        <v>2064</v>
      </c>
      <c r="IT266" t="s">
        <v>593</v>
      </c>
      <c r="IU266" t="s">
        <v>593</v>
      </c>
      <c r="IV266" t="s">
        <v>343</v>
      </c>
      <c r="IW266" t="s">
        <v>593</v>
      </c>
      <c r="IX266" t="s">
        <v>593</v>
      </c>
      <c r="IY266" t="s">
        <v>6116</v>
      </c>
    </row>
    <row r="267" spans="1:259" x14ac:dyDescent="0.2">
      <c r="B267">
        <f>ROW()</f>
        <v>267</v>
      </c>
      <c r="AO267" t="s">
        <v>6120</v>
      </c>
      <c r="AP267" t="s">
        <v>6120</v>
      </c>
      <c r="AQ267" t="s">
        <v>6120</v>
      </c>
      <c r="AR267" t="s">
        <v>6120</v>
      </c>
      <c r="AS267" t="s">
        <v>6120</v>
      </c>
      <c r="AT267" t="s">
        <v>6120</v>
      </c>
      <c r="AU267" t="s">
        <v>6120</v>
      </c>
      <c r="BE267" t="s">
        <v>1490</v>
      </c>
      <c r="BF267" t="s">
        <v>1490</v>
      </c>
      <c r="BG267" t="s">
        <v>1490</v>
      </c>
      <c r="BH267" t="s">
        <v>1490</v>
      </c>
      <c r="BI267" t="s">
        <v>1490</v>
      </c>
      <c r="BJ267" t="s">
        <v>1490</v>
      </c>
      <c r="BT267" t="s">
        <v>2065</v>
      </c>
      <c r="CP267" t="s">
        <v>6120</v>
      </c>
      <c r="CQ267" t="s">
        <v>6120</v>
      </c>
      <c r="DE267" t="s">
        <v>342</v>
      </c>
      <c r="DF267" t="s">
        <v>342</v>
      </c>
      <c r="DG267" t="s">
        <v>342</v>
      </c>
      <c r="DH267" t="s">
        <v>342</v>
      </c>
      <c r="DI267" t="s">
        <v>343</v>
      </c>
      <c r="DT267" t="s">
        <v>2065</v>
      </c>
      <c r="DU267" t="s">
        <v>4581</v>
      </c>
      <c r="DV267" t="s">
        <v>4581</v>
      </c>
      <c r="DW267" t="s">
        <v>4581</v>
      </c>
      <c r="DX267" t="s">
        <v>4581</v>
      </c>
      <c r="DY267" t="s">
        <v>4581</v>
      </c>
      <c r="DZ267" t="s">
        <v>4581</v>
      </c>
      <c r="EA267" t="s">
        <v>4581</v>
      </c>
      <c r="EB267" t="s">
        <v>4581</v>
      </c>
      <c r="EC267" t="s">
        <v>4581</v>
      </c>
      <c r="ED267" t="s">
        <v>4581</v>
      </c>
      <c r="EE267" t="s">
        <v>2800</v>
      </c>
      <c r="EG267" t="s">
        <v>2457</v>
      </c>
      <c r="EK267" t="s">
        <v>6120</v>
      </c>
      <c r="FA267" t="s">
        <v>2065</v>
      </c>
      <c r="FB267" t="s">
        <v>2065</v>
      </c>
      <c r="FC267" t="s">
        <v>343</v>
      </c>
      <c r="FD267" t="s">
        <v>343</v>
      </c>
      <c r="FG267" t="s">
        <v>343</v>
      </c>
      <c r="FH267" t="s">
        <v>2064</v>
      </c>
      <c r="FI267" t="s">
        <v>2064</v>
      </c>
      <c r="FJ267" t="s">
        <v>2064</v>
      </c>
      <c r="FS267" t="s">
        <v>593</v>
      </c>
      <c r="FT267" t="s">
        <v>1712</v>
      </c>
      <c r="FU267" t="s">
        <v>2065</v>
      </c>
      <c r="FX267" t="s">
        <v>342</v>
      </c>
      <c r="FY267" t="s">
        <v>3001</v>
      </c>
      <c r="FZ267" t="s">
        <v>3001</v>
      </c>
      <c r="GB267" t="s">
        <v>3001</v>
      </c>
      <c r="GC267" t="s">
        <v>3001</v>
      </c>
      <c r="GD267" t="s">
        <v>1490</v>
      </c>
      <c r="GE267" t="s">
        <v>1490</v>
      </c>
      <c r="GF267" t="s">
        <v>1490</v>
      </c>
      <c r="GG267" t="s">
        <v>1490</v>
      </c>
      <c r="GH267" t="s">
        <v>1490</v>
      </c>
      <c r="GI267" t="s">
        <v>2064</v>
      </c>
      <c r="GJ267" t="s">
        <v>2064</v>
      </c>
      <c r="GK267" t="s">
        <v>2064</v>
      </c>
      <c r="GL267" t="s">
        <v>2064</v>
      </c>
      <c r="GM267" t="s">
        <v>2064</v>
      </c>
      <c r="GN267" t="s">
        <v>593</v>
      </c>
      <c r="GO267" t="s">
        <v>593</v>
      </c>
      <c r="GP267" t="s">
        <v>593</v>
      </c>
      <c r="GQ267" t="s">
        <v>593</v>
      </c>
      <c r="GR267" t="s">
        <v>593</v>
      </c>
      <c r="GS267" t="s">
        <v>593</v>
      </c>
      <c r="GT267" t="s">
        <v>593</v>
      </c>
      <c r="GU267" t="s">
        <v>593</v>
      </c>
      <c r="GV267" t="s">
        <v>593</v>
      </c>
      <c r="GW267" t="s">
        <v>593</v>
      </c>
      <c r="GX267" t="s">
        <v>343</v>
      </c>
      <c r="GY267" t="s">
        <v>343</v>
      </c>
      <c r="GZ267" t="s">
        <v>343</v>
      </c>
      <c r="HA267" t="s">
        <v>343</v>
      </c>
      <c r="HB267" t="s">
        <v>343</v>
      </c>
      <c r="HC267" t="s">
        <v>593</v>
      </c>
      <c r="HD267" t="s">
        <v>593</v>
      </c>
      <c r="HE267" t="s">
        <v>593</v>
      </c>
      <c r="HF267" t="s">
        <v>593</v>
      </c>
      <c r="HG267" t="s">
        <v>593</v>
      </c>
      <c r="HH267" t="s">
        <v>593</v>
      </c>
      <c r="HI267" t="s">
        <v>593</v>
      </c>
      <c r="HJ267" t="s">
        <v>593</v>
      </c>
      <c r="HK267" t="s">
        <v>593</v>
      </c>
      <c r="HL267" t="s">
        <v>593</v>
      </c>
      <c r="HU267" t="s">
        <v>593</v>
      </c>
      <c r="HV267" t="s">
        <v>593</v>
      </c>
      <c r="HW267" t="s">
        <v>343</v>
      </c>
      <c r="HX267" t="s">
        <v>343</v>
      </c>
      <c r="HY267" t="s">
        <v>2065</v>
      </c>
      <c r="HZ267" t="s">
        <v>2065</v>
      </c>
      <c r="IA267" t="s">
        <v>6121</v>
      </c>
      <c r="IB267" t="s">
        <v>1490</v>
      </c>
      <c r="IF267" t="s">
        <v>2064</v>
      </c>
      <c r="IG267" t="s">
        <v>4581</v>
      </c>
      <c r="IV267" t="s">
        <v>593</v>
      </c>
    </row>
    <row r="268" spans="1:259" x14ac:dyDescent="0.2">
      <c r="B268">
        <f>ROW()</f>
        <v>268</v>
      </c>
      <c r="BJ268" t="s">
        <v>593</v>
      </c>
      <c r="DT268" t="s">
        <v>343</v>
      </c>
      <c r="FA268" t="s">
        <v>593</v>
      </c>
      <c r="FB268" t="s">
        <v>593</v>
      </c>
      <c r="GX268" t="s">
        <v>593</v>
      </c>
      <c r="GY268" t="s">
        <v>593</v>
      </c>
      <c r="GZ268" t="s">
        <v>593</v>
      </c>
      <c r="HA268" t="s">
        <v>593</v>
      </c>
      <c r="HB268" t="s">
        <v>593</v>
      </c>
      <c r="IG268" t="s">
        <v>2064</v>
      </c>
    </row>
    <row r="269" spans="1:259" x14ac:dyDescent="0.2">
      <c r="B269">
        <f>ROW()</f>
        <v>269</v>
      </c>
    </row>
    <row r="270" spans="1:259" x14ac:dyDescent="0.2">
      <c r="B270">
        <f>ROW()</f>
        <v>270</v>
      </c>
    </row>
    <row r="271" spans="1:259" x14ac:dyDescent="0.2">
      <c r="A271" t="s">
        <v>320</v>
      </c>
      <c r="B271">
        <f>ROW()</f>
        <v>271</v>
      </c>
      <c r="FH271" t="s">
        <v>319</v>
      </c>
      <c r="FI271" t="s">
        <v>319</v>
      </c>
      <c r="FK271" t="s">
        <v>319</v>
      </c>
      <c r="FL271" t="s">
        <v>319</v>
      </c>
      <c r="FM271" t="s">
        <v>319</v>
      </c>
      <c r="FN271" t="s">
        <v>319</v>
      </c>
      <c r="FO271" t="s">
        <v>319</v>
      </c>
      <c r="FP271" t="s">
        <v>319</v>
      </c>
      <c r="FQ271" t="s">
        <v>319</v>
      </c>
      <c r="FS271" t="s">
        <v>319</v>
      </c>
      <c r="FT271" t="s">
        <v>319</v>
      </c>
      <c r="FU271" t="s">
        <v>319</v>
      </c>
      <c r="FV271" t="s">
        <v>319</v>
      </c>
      <c r="FX271" t="s">
        <v>319</v>
      </c>
    </row>
    <row r="272" spans="1:259" x14ac:dyDescent="0.2">
      <c r="B272">
        <f>ROW()</f>
        <v>272</v>
      </c>
      <c r="FH272" t="s">
        <v>4300</v>
      </c>
      <c r="FI272" t="s">
        <v>4300</v>
      </c>
      <c r="FJ272" t="s">
        <v>4300</v>
      </c>
      <c r="FK272" t="s">
        <v>4300</v>
      </c>
      <c r="FL272" t="s">
        <v>4300</v>
      </c>
      <c r="FM272" t="s">
        <v>4300</v>
      </c>
      <c r="FN272" t="s">
        <v>4300</v>
      </c>
      <c r="FO272" t="s">
        <v>4300</v>
      </c>
      <c r="FP272" t="s">
        <v>4300</v>
      </c>
      <c r="FQ272" t="s">
        <v>4300</v>
      </c>
      <c r="FR272" t="s">
        <v>4300</v>
      </c>
      <c r="FS272" t="s">
        <v>4300</v>
      </c>
      <c r="FT272" t="s">
        <v>4300</v>
      </c>
      <c r="FU272" t="s">
        <v>4300</v>
      </c>
      <c r="FV272" t="s">
        <v>4300</v>
      </c>
      <c r="FW272" t="s">
        <v>4300</v>
      </c>
      <c r="FX272" t="s">
        <v>4300</v>
      </c>
    </row>
    <row r="273" spans="1:180" x14ac:dyDescent="0.2">
      <c r="B273">
        <f>ROW()</f>
        <v>273</v>
      </c>
      <c r="FS273" t="s">
        <v>6277</v>
      </c>
    </row>
    <row r="274" spans="1:180" x14ac:dyDescent="0.2">
      <c r="B274">
        <f>ROW()</f>
        <v>274</v>
      </c>
    </row>
    <row r="275" spans="1:180" x14ac:dyDescent="0.2">
      <c r="B275">
        <f>ROW()</f>
        <v>275</v>
      </c>
    </row>
    <row r="276" spans="1:180" x14ac:dyDescent="0.2">
      <c r="B276">
        <f>ROW()</f>
        <v>276</v>
      </c>
    </row>
    <row r="277" spans="1:180" x14ac:dyDescent="0.2">
      <c r="B277">
        <f>ROW()</f>
        <v>277</v>
      </c>
    </row>
    <row r="278" spans="1:180" x14ac:dyDescent="0.2">
      <c r="A278" t="s">
        <v>782</v>
      </c>
      <c r="B278">
        <f>ROW()</f>
        <v>278</v>
      </c>
    </row>
    <row r="279" spans="1:180" x14ac:dyDescent="0.2">
      <c r="B279">
        <f>ROW()</f>
        <v>279</v>
      </c>
    </row>
    <row r="280" spans="1:180" x14ac:dyDescent="0.2">
      <c r="A280" t="s">
        <v>2755</v>
      </c>
      <c r="B280">
        <f>ROW()</f>
        <v>280</v>
      </c>
      <c r="FH280" t="s">
        <v>3281</v>
      </c>
      <c r="FI280" t="s">
        <v>3281</v>
      </c>
      <c r="FJ280" t="s">
        <v>3281</v>
      </c>
      <c r="FK280" t="s">
        <v>3281</v>
      </c>
      <c r="FL280" t="s">
        <v>3281</v>
      </c>
      <c r="FM280" t="s">
        <v>3281</v>
      </c>
      <c r="FN280" t="s">
        <v>3281</v>
      </c>
      <c r="FO280" t="s">
        <v>3281</v>
      </c>
      <c r="FP280" t="s">
        <v>3281</v>
      </c>
      <c r="FQ280" t="s">
        <v>3281</v>
      </c>
      <c r="FR280" t="s">
        <v>3281</v>
      </c>
      <c r="FS280" t="s">
        <v>3281</v>
      </c>
      <c r="FT280" t="s">
        <v>3281</v>
      </c>
      <c r="FU280" t="s">
        <v>3281</v>
      </c>
      <c r="FV280" t="s">
        <v>3281</v>
      </c>
      <c r="FW280" t="s">
        <v>3281</v>
      </c>
      <c r="FX280" t="s">
        <v>3281</v>
      </c>
    </row>
    <row r="281" spans="1:180" x14ac:dyDescent="0.2">
      <c r="B281">
        <f>ROW()</f>
        <v>281</v>
      </c>
    </row>
    <row r="282" spans="1:180" ht="12.75" customHeight="1" x14ac:dyDescent="0.2">
      <c r="A282" t="s">
        <v>2768</v>
      </c>
      <c r="B282">
        <f>ROW()</f>
        <v>282</v>
      </c>
      <c r="AI282" t="s">
        <v>3682</v>
      </c>
      <c r="AJ282" t="s">
        <v>3682</v>
      </c>
      <c r="AK282" t="s">
        <v>3682</v>
      </c>
      <c r="AL282" t="s">
        <v>3682</v>
      </c>
      <c r="DA282" t="s">
        <v>90</v>
      </c>
      <c r="DD282" t="s">
        <v>90</v>
      </c>
      <c r="DE282" t="s">
        <v>90</v>
      </c>
      <c r="DF282" t="s">
        <v>90</v>
      </c>
      <c r="DK282" t="s">
        <v>3114</v>
      </c>
      <c r="DL282" t="s">
        <v>3114</v>
      </c>
      <c r="DM282" t="s">
        <v>3114</v>
      </c>
      <c r="DN282" t="s">
        <v>3114</v>
      </c>
      <c r="DO282" t="s">
        <v>3114</v>
      </c>
      <c r="DP282" t="s">
        <v>3114</v>
      </c>
      <c r="DQ282" t="s">
        <v>3114</v>
      </c>
      <c r="DR282" t="s">
        <v>3114</v>
      </c>
      <c r="DU282" t="s">
        <v>3115</v>
      </c>
      <c r="DV282" t="s">
        <v>3115</v>
      </c>
      <c r="DW282" t="s">
        <v>3115</v>
      </c>
      <c r="DX282" t="s">
        <v>3115</v>
      </c>
      <c r="DY282" t="s">
        <v>3115</v>
      </c>
      <c r="DZ282" t="s">
        <v>3115</v>
      </c>
      <c r="EA282" t="s">
        <v>3115</v>
      </c>
      <c r="EB282" t="s">
        <v>3115</v>
      </c>
      <c r="ED282" t="s">
        <v>3115</v>
      </c>
      <c r="EE282" t="s">
        <v>3115</v>
      </c>
      <c r="FF282" t="s">
        <v>3114</v>
      </c>
    </row>
    <row r="283" spans="1:180" x14ac:dyDescent="0.2">
      <c r="B283">
        <f>ROW()</f>
        <v>283</v>
      </c>
    </row>
    <row r="284" spans="1:180" x14ac:dyDescent="0.2">
      <c r="B284">
        <f>ROW()</f>
        <v>284</v>
      </c>
    </row>
    <row r="285" spans="1:180" x14ac:dyDescent="0.2">
      <c r="A285" t="s">
        <v>3257</v>
      </c>
      <c r="B285">
        <f>ROW()</f>
        <v>285</v>
      </c>
      <c r="DQ285" t="s">
        <v>3253</v>
      </c>
      <c r="FH285" t="s">
        <v>3254</v>
      </c>
      <c r="FI285" t="s">
        <v>3254</v>
      </c>
      <c r="FJ285" t="s">
        <v>3254</v>
      </c>
      <c r="FS285" t="s">
        <v>3254</v>
      </c>
      <c r="FT285" t="s">
        <v>3254</v>
      </c>
      <c r="FU285" t="s">
        <v>3254</v>
      </c>
      <c r="FV285" t="s">
        <v>3254</v>
      </c>
      <c r="FW285" t="s">
        <v>3254</v>
      </c>
      <c r="FX285" t="s">
        <v>3254</v>
      </c>
    </row>
    <row r="286" spans="1:180" x14ac:dyDescent="0.2">
      <c r="B286">
        <f>ROW()</f>
        <v>286</v>
      </c>
      <c r="FH286" t="s">
        <v>1393</v>
      </c>
      <c r="FI286" t="s">
        <v>1393</v>
      </c>
      <c r="FJ286" t="s">
        <v>1393</v>
      </c>
      <c r="FS286" t="s">
        <v>3249</v>
      </c>
      <c r="FT286" t="s">
        <v>3249</v>
      </c>
    </row>
    <row r="287" spans="1:180" x14ac:dyDescent="0.2">
      <c r="B287">
        <f>ROW()</f>
        <v>287</v>
      </c>
    </row>
    <row r="288" spans="1:180" x14ac:dyDescent="0.2">
      <c r="B288">
        <f>ROW()</f>
        <v>288</v>
      </c>
    </row>
    <row r="289" spans="1:259" x14ac:dyDescent="0.2">
      <c r="B289">
        <f>ROW()</f>
        <v>289</v>
      </c>
    </row>
    <row r="290" spans="1:259" x14ac:dyDescent="0.2">
      <c r="B290">
        <f>ROW()</f>
        <v>290</v>
      </c>
    </row>
    <row r="291" spans="1:259" x14ac:dyDescent="0.2">
      <c r="B291">
        <f>ROW()</f>
        <v>291</v>
      </c>
    </row>
    <row r="292" spans="1:259" x14ac:dyDescent="0.2">
      <c r="B292">
        <f>ROW()</f>
        <v>292</v>
      </c>
    </row>
    <row r="293" spans="1:259" x14ac:dyDescent="0.2">
      <c r="B293">
        <f>ROW()</f>
        <v>293</v>
      </c>
    </row>
    <row r="294" spans="1:259" x14ac:dyDescent="0.2">
      <c r="B294">
        <f>ROW()</f>
        <v>294</v>
      </c>
    </row>
    <row r="295" spans="1:259" x14ac:dyDescent="0.2">
      <c r="B295">
        <f>ROW()</f>
        <v>295</v>
      </c>
    </row>
    <row r="296" spans="1:259" x14ac:dyDescent="0.2">
      <c r="B296">
        <f>ROW()</f>
        <v>296</v>
      </c>
    </row>
    <row r="297" spans="1:259" x14ac:dyDescent="0.2">
      <c r="B297">
        <f>ROW()</f>
        <v>297</v>
      </c>
    </row>
    <row r="298" spans="1:259" x14ac:dyDescent="0.2">
      <c r="B298">
        <f>ROW()</f>
        <v>298</v>
      </c>
    </row>
    <row r="299" spans="1:259" x14ac:dyDescent="0.2">
      <c r="A299" t="s">
        <v>3258</v>
      </c>
      <c r="B299">
        <f>ROW()</f>
        <v>299</v>
      </c>
      <c r="FS299" t="s">
        <v>1367</v>
      </c>
    </row>
    <row r="300" spans="1:259" x14ac:dyDescent="0.2">
      <c r="B300">
        <f>ROW()</f>
        <v>300</v>
      </c>
    </row>
    <row r="301" spans="1:259" x14ac:dyDescent="0.2">
      <c r="B301">
        <f>ROW()</f>
        <v>301</v>
      </c>
    </row>
    <row r="302" spans="1:259" x14ac:dyDescent="0.2">
      <c r="B302">
        <f>ROW()</f>
        <v>302</v>
      </c>
    </row>
    <row r="303" spans="1:259" x14ac:dyDescent="0.2">
      <c r="A303" t="s">
        <v>3807</v>
      </c>
      <c r="B303">
        <f>ROW()</f>
        <v>303</v>
      </c>
      <c r="AT303" t="s">
        <v>6092</v>
      </c>
      <c r="BC303" t="s">
        <v>2457</v>
      </c>
      <c r="BE303" t="s">
        <v>1712</v>
      </c>
      <c r="BF303" t="s">
        <v>1712</v>
      </c>
      <c r="BG303" t="s">
        <v>1712</v>
      </c>
      <c r="BJ303" t="s">
        <v>1712</v>
      </c>
      <c r="BK303" t="s">
        <v>2065</v>
      </c>
      <c r="BL303" t="s">
        <v>2065</v>
      </c>
      <c r="BM303" t="s">
        <v>2065</v>
      </c>
      <c r="BN303" t="s">
        <v>2065</v>
      </c>
      <c r="BO303" t="s">
        <v>1490</v>
      </c>
      <c r="BP303" t="s">
        <v>1490</v>
      </c>
      <c r="BQ303" t="s">
        <v>1490</v>
      </c>
      <c r="BR303" t="s">
        <v>1490</v>
      </c>
      <c r="BS303" t="s">
        <v>1490</v>
      </c>
      <c r="BT303" t="s">
        <v>1490</v>
      </c>
      <c r="CB303" t="s">
        <v>2488</v>
      </c>
      <c r="CC303" t="s">
        <v>2488</v>
      </c>
      <c r="CD303" t="s">
        <v>2488</v>
      </c>
      <c r="CE303" t="s">
        <v>2488</v>
      </c>
      <c r="CF303" t="s">
        <v>2488</v>
      </c>
      <c r="CG303" t="s">
        <v>2488</v>
      </c>
      <c r="CH303" t="s">
        <v>2488</v>
      </c>
      <c r="CI303" t="s">
        <v>2488</v>
      </c>
      <c r="CJ303" t="s">
        <v>2488</v>
      </c>
      <c r="CK303" t="s">
        <v>2800</v>
      </c>
      <c r="CL303" t="s">
        <v>2800</v>
      </c>
      <c r="DK303" t="s">
        <v>2800</v>
      </c>
      <c r="DM303" t="s">
        <v>2800</v>
      </c>
      <c r="DO303" t="s">
        <v>2800</v>
      </c>
      <c r="DP303" t="s">
        <v>2800</v>
      </c>
      <c r="DQ303" t="s">
        <v>2800</v>
      </c>
      <c r="DR303" t="s">
        <v>2800</v>
      </c>
      <c r="DS303" t="s">
        <v>2065</v>
      </c>
      <c r="DZ303" t="s">
        <v>7610</v>
      </c>
      <c r="EA303" t="s">
        <v>7610</v>
      </c>
      <c r="EB303" t="s">
        <v>7610</v>
      </c>
      <c r="EF303" t="s">
        <v>2457</v>
      </c>
      <c r="EH303" t="s">
        <v>2457</v>
      </c>
      <c r="EI303" t="s">
        <v>2457</v>
      </c>
      <c r="EY303" t="s">
        <v>6122</v>
      </c>
      <c r="FA303" t="s">
        <v>6123</v>
      </c>
      <c r="FB303" t="s">
        <v>6123</v>
      </c>
      <c r="FE303" t="s">
        <v>6086</v>
      </c>
      <c r="FF303" t="s">
        <v>6086</v>
      </c>
      <c r="FG303" t="s">
        <v>6124</v>
      </c>
      <c r="HN303" t="s">
        <v>7622</v>
      </c>
      <c r="HO303" t="s">
        <v>7622</v>
      </c>
      <c r="HP303" t="s">
        <v>7622</v>
      </c>
      <c r="HQ303" t="s">
        <v>7622</v>
      </c>
      <c r="HR303" t="s">
        <v>7622</v>
      </c>
      <c r="IB303" t="s">
        <v>6086</v>
      </c>
      <c r="IF303" t="s">
        <v>593</v>
      </c>
      <c r="IY303" t="s">
        <v>7622</v>
      </c>
    </row>
    <row r="304" spans="1:259" x14ac:dyDescent="0.2">
      <c r="B304">
        <f>ROW()</f>
        <v>304</v>
      </c>
      <c r="BO304" t="s">
        <v>593</v>
      </c>
      <c r="BP304" t="s">
        <v>593</v>
      </c>
      <c r="BQ304" t="s">
        <v>593</v>
      </c>
      <c r="BR304" t="s">
        <v>593</v>
      </c>
      <c r="BS304" t="s">
        <v>593</v>
      </c>
      <c r="BT304" t="s">
        <v>593</v>
      </c>
      <c r="DP304" t="s">
        <v>4581</v>
      </c>
      <c r="DS304" t="s">
        <v>343</v>
      </c>
      <c r="EY304" t="s">
        <v>2064</v>
      </c>
      <c r="FE304" t="s">
        <v>6104</v>
      </c>
      <c r="FF304" t="s">
        <v>6104</v>
      </c>
      <c r="HN304" t="s">
        <v>593</v>
      </c>
      <c r="HO304" t="s">
        <v>593</v>
      </c>
      <c r="HP304" t="s">
        <v>593</v>
      </c>
      <c r="HQ304" t="s">
        <v>593</v>
      </c>
      <c r="HR304" t="s">
        <v>593</v>
      </c>
      <c r="IY304" t="s">
        <v>593</v>
      </c>
    </row>
    <row r="305" spans="1:259" x14ac:dyDescent="0.2">
      <c r="B305">
        <f>ROW()</f>
        <v>305</v>
      </c>
      <c r="BO305" t="s">
        <v>2064</v>
      </c>
      <c r="BP305" t="s">
        <v>2064</v>
      </c>
      <c r="BQ305" t="s">
        <v>2064</v>
      </c>
      <c r="BR305" t="s">
        <v>2064</v>
      </c>
      <c r="BS305" t="s">
        <v>2064</v>
      </c>
      <c r="DS305" t="s">
        <v>2064</v>
      </c>
      <c r="HN305" t="s">
        <v>2064</v>
      </c>
      <c r="HO305" t="s">
        <v>2064</v>
      </c>
      <c r="HP305" t="s">
        <v>2064</v>
      </c>
      <c r="HQ305" t="s">
        <v>2064</v>
      </c>
      <c r="HR305" t="s">
        <v>2064</v>
      </c>
      <c r="IY305" t="s">
        <v>2064</v>
      </c>
    </row>
    <row r="306" spans="1:259" x14ac:dyDescent="0.2">
      <c r="B306">
        <f>ROW()</f>
        <v>306</v>
      </c>
    </row>
    <row r="307" spans="1:259" x14ac:dyDescent="0.2">
      <c r="B307">
        <f>ROW()</f>
        <v>307</v>
      </c>
    </row>
    <row r="308" spans="1:259" x14ac:dyDescent="0.2">
      <c r="A308" t="s">
        <v>2767</v>
      </c>
      <c r="B308">
        <f>ROW()</f>
        <v>308</v>
      </c>
      <c r="FH308" t="s">
        <v>4303</v>
      </c>
      <c r="FI308" t="s">
        <v>4303</v>
      </c>
      <c r="FK308" t="s">
        <v>4303</v>
      </c>
      <c r="FL308" t="s">
        <v>4303</v>
      </c>
      <c r="FM308" t="s">
        <v>4303</v>
      </c>
      <c r="FN308" t="s">
        <v>4303</v>
      </c>
      <c r="FO308" t="s">
        <v>4303</v>
      </c>
      <c r="FP308" t="s">
        <v>4303</v>
      </c>
      <c r="FQ308" t="s">
        <v>4303</v>
      </c>
      <c r="FS308" t="s">
        <v>4303</v>
      </c>
      <c r="FT308" t="s">
        <v>4303</v>
      </c>
      <c r="FU308" t="s">
        <v>4303</v>
      </c>
      <c r="FV308" t="s">
        <v>4303</v>
      </c>
      <c r="FX308" t="s">
        <v>4303</v>
      </c>
    </row>
    <row r="309" spans="1:259" x14ac:dyDescent="0.2">
      <c r="B309">
        <f>ROW()</f>
        <v>309</v>
      </c>
      <c r="FU309" t="s">
        <v>2933</v>
      </c>
      <c r="FV309" t="s">
        <v>2933</v>
      </c>
      <c r="FW309" t="s">
        <v>2933</v>
      </c>
      <c r="FX309" t="s">
        <v>2933</v>
      </c>
    </row>
    <row r="310" spans="1:259" x14ac:dyDescent="0.2">
      <c r="B310">
        <f>ROW()</f>
        <v>310</v>
      </c>
    </row>
    <row r="311" spans="1:259" x14ac:dyDescent="0.2">
      <c r="B311">
        <f>ROW()</f>
        <v>311</v>
      </c>
    </row>
    <row r="312" spans="1:259" x14ac:dyDescent="0.2">
      <c r="B312">
        <f>ROW()</f>
        <v>312</v>
      </c>
    </row>
    <row r="313" spans="1:259" x14ac:dyDescent="0.2">
      <c r="B313">
        <f>ROW()</f>
        <v>313</v>
      </c>
    </row>
    <row r="314" spans="1:259" x14ac:dyDescent="0.2">
      <c r="B314">
        <f>ROW()</f>
        <v>314</v>
      </c>
    </row>
    <row r="315" spans="1:259" x14ac:dyDescent="0.2">
      <c r="B315">
        <f>ROW()</f>
        <v>315</v>
      </c>
    </row>
    <row r="316" spans="1:259" x14ac:dyDescent="0.2">
      <c r="A316" t="s">
        <v>2766</v>
      </c>
      <c r="B316">
        <f>ROW()</f>
        <v>316</v>
      </c>
    </row>
    <row r="317" spans="1:259" x14ac:dyDescent="0.2">
      <c r="B317">
        <f>ROW()</f>
        <v>317</v>
      </c>
    </row>
    <row r="318" spans="1:259" x14ac:dyDescent="0.2">
      <c r="B318">
        <f>ROW()</f>
        <v>318</v>
      </c>
    </row>
    <row r="319" spans="1:259" x14ac:dyDescent="0.2">
      <c r="A319" t="s">
        <v>2513</v>
      </c>
      <c r="B319">
        <f>ROW()</f>
        <v>319</v>
      </c>
    </row>
    <row r="320" spans="1:259" x14ac:dyDescent="0.2">
      <c r="B320">
        <f>ROW()</f>
        <v>320</v>
      </c>
    </row>
    <row r="321" spans="1:245" x14ac:dyDescent="0.2">
      <c r="A321" t="s">
        <v>1713</v>
      </c>
      <c r="B321">
        <f>ROW()</f>
        <v>321</v>
      </c>
      <c r="AK321" t="s">
        <v>6265</v>
      </c>
      <c r="EE321" t="s">
        <v>3818</v>
      </c>
      <c r="IH321" t="s">
        <v>2652</v>
      </c>
    </row>
    <row r="322" spans="1:245" x14ac:dyDescent="0.2">
      <c r="A322" t="s">
        <v>3906</v>
      </c>
      <c r="B322">
        <f>ROW()</f>
        <v>322</v>
      </c>
    </row>
    <row r="323" spans="1:245" x14ac:dyDescent="0.2">
      <c r="A323" t="s">
        <v>3907</v>
      </c>
      <c r="B323">
        <f>ROW()</f>
        <v>323</v>
      </c>
      <c r="IK323">
        <f>ROW()</f>
        <v>323</v>
      </c>
    </row>
    <row r="324" spans="1:245" outlineLevel="1" x14ac:dyDescent="0.2">
      <c r="A324" t="str">
        <f t="shared" ref="A324:A393" si="8">INDEX(ZAUBER,$IK324)</f>
        <v>Abvenenum reine Speise</v>
      </c>
      <c r="B324">
        <f>ROW()</f>
        <v>324</v>
      </c>
      <c r="C324" t="s">
        <v>1433</v>
      </c>
      <c r="AN324" t="s">
        <v>1433</v>
      </c>
      <c r="FH324" t="s">
        <v>1321</v>
      </c>
      <c r="FI324" t="s">
        <v>1321</v>
      </c>
      <c r="FJ324" t="s">
        <v>1321</v>
      </c>
      <c r="FK324" t="s">
        <v>1321</v>
      </c>
      <c r="FL324" t="s">
        <v>1321</v>
      </c>
      <c r="FM324" t="s">
        <v>1321</v>
      </c>
      <c r="FN324" t="s">
        <v>1321</v>
      </c>
      <c r="FO324" t="s">
        <v>1321</v>
      </c>
      <c r="FP324" t="s">
        <v>1321</v>
      </c>
      <c r="FQ324" t="s">
        <v>1321</v>
      </c>
      <c r="FR324" t="s">
        <v>1321</v>
      </c>
      <c r="FS324" t="s">
        <v>1321</v>
      </c>
      <c r="FT324" t="s">
        <v>1321</v>
      </c>
      <c r="FU324" t="s">
        <v>1321</v>
      </c>
      <c r="FV324" t="s">
        <v>1321</v>
      </c>
      <c r="FW324" t="s">
        <v>1321</v>
      </c>
      <c r="FX324" t="s">
        <v>1321</v>
      </c>
      <c r="IK324">
        <f>ROW()-$IK$323</f>
        <v>1</v>
      </c>
    </row>
    <row r="325" spans="1:245" outlineLevel="1" x14ac:dyDescent="0.2">
      <c r="A325" t="str">
        <f t="shared" si="8"/>
        <v>Accuratum Zaubernadel</v>
      </c>
      <c r="B325">
        <f>ROW()</f>
        <v>325</v>
      </c>
      <c r="IK325">
        <f t="shared" ref="IK325:IK394" si="9">ROW()-$IK$323</f>
        <v>2</v>
      </c>
    </row>
    <row r="326" spans="1:245" outlineLevel="1" x14ac:dyDescent="0.2">
      <c r="A326" t="str">
        <f t="shared" si="8"/>
        <v>Adamantium Erzstruktur</v>
      </c>
      <c r="B326">
        <f>ROW()</f>
        <v>326</v>
      </c>
      <c r="IK326">
        <f t="shared" si="9"/>
        <v>3</v>
      </c>
    </row>
    <row r="327" spans="1:245" outlineLevel="1" x14ac:dyDescent="0.2">
      <c r="A327" t="str">
        <f t="shared" si="8"/>
        <v>Adlerauge Luchsenohr</v>
      </c>
      <c r="B327">
        <f>ROW()</f>
        <v>327</v>
      </c>
      <c r="FH327" t="s">
        <v>1321</v>
      </c>
      <c r="FI327" t="s">
        <v>1321</v>
      </c>
      <c r="FJ327" t="s">
        <v>1321</v>
      </c>
      <c r="FK327" t="s">
        <v>1321</v>
      </c>
      <c r="FL327" t="s">
        <v>1321</v>
      </c>
      <c r="FM327" t="s">
        <v>1321</v>
      </c>
      <c r="FN327" t="s">
        <v>1321</v>
      </c>
      <c r="FO327" t="s">
        <v>1321</v>
      </c>
      <c r="FP327" t="s">
        <v>1321</v>
      </c>
      <c r="FQ327" t="s">
        <v>1321</v>
      </c>
      <c r="FR327" t="s">
        <v>1321</v>
      </c>
      <c r="FS327" t="s">
        <v>1321</v>
      </c>
      <c r="FT327" t="s">
        <v>1321</v>
      </c>
      <c r="FU327" t="s">
        <v>1321</v>
      </c>
      <c r="FV327" t="s">
        <v>1321</v>
      </c>
      <c r="FW327" t="s">
        <v>1321</v>
      </c>
      <c r="FX327" t="s">
        <v>1321</v>
      </c>
      <c r="IK327">
        <f t="shared" si="9"/>
        <v>4</v>
      </c>
    </row>
    <row r="328" spans="1:245" outlineLevel="1" x14ac:dyDescent="0.2">
      <c r="A328" t="str">
        <f t="shared" si="8"/>
        <v>Adlerschwinge (V1: Text1 eingeben)</v>
      </c>
      <c r="B328">
        <f>ROW()</f>
        <v>328</v>
      </c>
      <c r="FH328" t="s">
        <v>1321</v>
      </c>
      <c r="FI328" t="s">
        <v>1321</v>
      </c>
      <c r="FJ328" t="s">
        <v>1321</v>
      </c>
      <c r="FK328" t="s">
        <v>1321</v>
      </c>
      <c r="FL328" t="s">
        <v>1321</v>
      </c>
      <c r="FM328" t="s">
        <v>1321</v>
      </c>
      <c r="FN328" t="s">
        <v>1321</v>
      </c>
      <c r="FO328" t="s">
        <v>1321</v>
      </c>
      <c r="FP328" t="s">
        <v>1321</v>
      </c>
      <c r="FQ328" t="s">
        <v>1321</v>
      </c>
      <c r="FR328" t="s">
        <v>1321</v>
      </c>
      <c r="FS328" t="s">
        <v>1321</v>
      </c>
      <c r="FT328" t="s">
        <v>1321</v>
      </c>
      <c r="FU328" t="s">
        <v>1321</v>
      </c>
      <c r="FV328" t="s">
        <v>1321</v>
      </c>
      <c r="FW328" t="s">
        <v>1321</v>
      </c>
      <c r="FX328" t="s">
        <v>1321</v>
      </c>
      <c r="IK328">
        <f t="shared" si="9"/>
        <v>5</v>
      </c>
    </row>
    <row r="329" spans="1:245" outlineLevel="1" x14ac:dyDescent="0.2">
      <c r="A329" t="str">
        <f t="shared" si="8"/>
        <v>Adlerschwinge (V2: Text2 eingeben)</v>
      </c>
      <c r="B329">
        <f>ROW()</f>
        <v>329</v>
      </c>
      <c r="IK329">
        <f t="shared" si="9"/>
        <v>6</v>
      </c>
    </row>
    <row r="330" spans="1:245" outlineLevel="1" x14ac:dyDescent="0.2">
      <c r="A330" t="str">
        <f t="shared" si="8"/>
        <v>Adlerschwinge (V3: Text3 eingeben)</v>
      </c>
      <c r="B330">
        <f>ROW()</f>
        <v>330</v>
      </c>
      <c r="IK330">
        <f t="shared" si="9"/>
        <v>7</v>
      </c>
    </row>
    <row r="331" spans="1:245" outlineLevel="1" x14ac:dyDescent="0.2">
      <c r="A331" t="str">
        <f t="shared" si="8"/>
        <v>Aeolitus Windgebraus</v>
      </c>
      <c r="B331">
        <f>ROW()</f>
        <v>331</v>
      </c>
      <c r="FH331" t="s">
        <v>1321</v>
      </c>
      <c r="FI331" t="s">
        <v>1321</v>
      </c>
      <c r="FJ331" t="s">
        <v>1321</v>
      </c>
      <c r="FK331" t="s">
        <v>1321</v>
      </c>
      <c r="FL331" t="s">
        <v>1321</v>
      </c>
      <c r="FM331" t="s">
        <v>1321</v>
      </c>
      <c r="FN331" t="s">
        <v>1321</v>
      </c>
      <c r="FO331" t="s">
        <v>1321</v>
      </c>
      <c r="FP331" t="s">
        <v>1321</v>
      </c>
      <c r="FQ331" t="s">
        <v>1321</v>
      </c>
      <c r="FR331" t="s">
        <v>1321</v>
      </c>
      <c r="FS331" t="s">
        <v>1321</v>
      </c>
      <c r="FT331" t="s">
        <v>1321</v>
      </c>
      <c r="FU331" t="s">
        <v>1321</v>
      </c>
      <c r="FV331" t="s">
        <v>1321</v>
      </c>
      <c r="FW331" t="s">
        <v>1321</v>
      </c>
      <c r="FX331" t="s">
        <v>1321</v>
      </c>
      <c r="IK331">
        <f t="shared" si="9"/>
        <v>8</v>
      </c>
    </row>
    <row r="332" spans="1:245" outlineLevel="1" x14ac:dyDescent="0.2">
      <c r="A332" t="str">
        <f t="shared" si="8"/>
        <v>Aerofugo Vakuum</v>
      </c>
      <c r="B332">
        <f>ROW()</f>
        <v>332</v>
      </c>
      <c r="IK332">
        <f t="shared" si="9"/>
        <v>9</v>
      </c>
    </row>
    <row r="333" spans="1:245" outlineLevel="1" x14ac:dyDescent="0.2">
      <c r="A333" t="str">
        <f t="shared" si="8"/>
        <v>Aerogelo Atemqual</v>
      </c>
      <c r="B333">
        <f>ROW()</f>
        <v>333</v>
      </c>
      <c r="IK333">
        <f t="shared" si="9"/>
        <v>10</v>
      </c>
    </row>
    <row r="334" spans="1:245" outlineLevel="1" x14ac:dyDescent="0.2">
      <c r="A334" t="str">
        <f t="shared" si="8"/>
        <v>Aeropulvis sanfter Fall</v>
      </c>
      <c r="B334">
        <f>ROW()</f>
        <v>334</v>
      </c>
      <c r="IK334">
        <f t="shared" si="9"/>
        <v>11</v>
      </c>
    </row>
    <row r="335" spans="1:245" outlineLevel="1" x14ac:dyDescent="0.2">
      <c r="A335" t="str">
        <f t="shared" si="8"/>
        <v>Agrimothbann</v>
      </c>
      <c r="B335">
        <f>ROW()</f>
        <v>335</v>
      </c>
      <c r="IK335">
        <f t="shared" si="9"/>
        <v>12</v>
      </c>
    </row>
    <row r="336" spans="1:245" outlineLevel="1" x14ac:dyDescent="0.2">
      <c r="A336" t="str">
        <f t="shared" si="8"/>
        <v>Alpgestalt</v>
      </c>
      <c r="B336">
        <f>ROW()</f>
        <v>336</v>
      </c>
      <c r="IK336">
        <f t="shared" si="9"/>
        <v>13</v>
      </c>
    </row>
    <row r="337" spans="1:245" outlineLevel="1" x14ac:dyDescent="0.2">
      <c r="A337" t="str">
        <f t="shared" si="8"/>
        <v>Amazerothbann</v>
      </c>
      <c r="B337">
        <f>ROW()</f>
        <v>337</v>
      </c>
      <c r="IK337">
        <f t="shared" si="9"/>
        <v>14</v>
      </c>
    </row>
    <row r="338" spans="1:245" outlineLevel="1" x14ac:dyDescent="0.2">
      <c r="A338" t="str">
        <f t="shared" si="8"/>
        <v>Analys Arcanstructur</v>
      </c>
      <c r="B338">
        <f>ROW()</f>
        <v>338</v>
      </c>
      <c r="IK338">
        <f t="shared" si="9"/>
        <v>15</v>
      </c>
    </row>
    <row r="339" spans="1:245" outlineLevel="1" x14ac:dyDescent="0.2">
      <c r="A339" t="str">
        <f t="shared" si="8"/>
        <v>Ängste lindern</v>
      </c>
      <c r="B339">
        <f>ROW()</f>
        <v>339</v>
      </c>
      <c r="IK339">
        <f t="shared" si="9"/>
        <v>16</v>
      </c>
    </row>
    <row r="340" spans="1:245" outlineLevel="1" x14ac:dyDescent="0.2">
      <c r="A340" t="str">
        <f t="shared" si="8"/>
        <v>Animatio stummer Diener</v>
      </c>
      <c r="B340">
        <f>ROW()</f>
        <v>340</v>
      </c>
      <c r="IK340">
        <f t="shared" si="9"/>
        <v>17</v>
      </c>
    </row>
    <row r="341" spans="1:245" outlineLevel="1" x14ac:dyDescent="0.2">
      <c r="A341" t="str">
        <f t="shared" si="8"/>
        <v>Applicatus Zauberspeicher</v>
      </c>
      <c r="B341">
        <f>ROW()</f>
        <v>341</v>
      </c>
      <c r="IK341">
        <f t="shared" si="9"/>
        <v>18</v>
      </c>
    </row>
    <row r="342" spans="1:245" outlineLevel="1" x14ac:dyDescent="0.2">
      <c r="A342" t="str">
        <f t="shared" si="8"/>
        <v>Aquafaxius</v>
      </c>
      <c r="B342">
        <f>ROW()</f>
        <v>342</v>
      </c>
      <c r="IK342">
        <f t="shared" si="9"/>
        <v>19</v>
      </c>
    </row>
    <row r="343" spans="1:245" outlineLevel="1" x14ac:dyDescent="0.2">
      <c r="A343" t="str">
        <f t="shared" si="8"/>
        <v>Aquaqueris Wasserfluch</v>
      </c>
      <c r="B343">
        <f>ROW()</f>
        <v>343</v>
      </c>
      <c r="IK343">
        <f t="shared" si="9"/>
        <v>20</v>
      </c>
    </row>
    <row r="344" spans="1:245" outlineLevel="1" x14ac:dyDescent="0.2">
      <c r="A344" t="str">
        <f t="shared" si="8"/>
        <v>Aquasphaero</v>
      </c>
      <c r="B344">
        <f>ROW()</f>
        <v>344</v>
      </c>
      <c r="IK344">
        <f t="shared" si="9"/>
        <v>21</v>
      </c>
    </row>
    <row r="345" spans="1:245" outlineLevel="1" x14ac:dyDescent="0.2">
      <c r="A345" t="str">
        <f t="shared" si="8"/>
        <v>Arachnea Krabbeltier</v>
      </c>
      <c r="B345">
        <f>ROW()</f>
        <v>345</v>
      </c>
      <c r="IK345">
        <f t="shared" si="9"/>
        <v>22</v>
      </c>
    </row>
    <row r="346" spans="1:245" outlineLevel="1" x14ac:dyDescent="0.2">
      <c r="A346" t="str">
        <f t="shared" si="8"/>
        <v>Arcanovi Artefakt</v>
      </c>
      <c r="B346">
        <f>ROW()</f>
        <v>346</v>
      </c>
      <c r="IK346">
        <f t="shared" si="9"/>
        <v>23</v>
      </c>
    </row>
    <row r="347" spans="1:245" outlineLevel="1" x14ac:dyDescent="0.2">
      <c r="A347" t="str">
        <f t="shared" si="8"/>
        <v>Archofaxius</v>
      </c>
      <c r="B347">
        <f>ROW()</f>
        <v>347</v>
      </c>
      <c r="IK347">
        <f t="shared" si="9"/>
        <v>24</v>
      </c>
    </row>
    <row r="348" spans="1:245" outlineLevel="1" x14ac:dyDescent="0.2">
      <c r="A348" t="str">
        <f t="shared" si="8"/>
        <v>Archosphaero</v>
      </c>
      <c r="B348">
        <f>ROW()</f>
        <v>348</v>
      </c>
      <c r="IK348">
        <f t="shared" si="9"/>
        <v>25</v>
      </c>
    </row>
    <row r="349" spans="1:245" outlineLevel="1" x14ac:dyDescent="0.2">
      <c r="A349" t="str">
        <f t="shared" si="8"/>
        <v>Armatrutz</v>
      </c>
      <c r="B349">
        <f>ROW()</f>
        <v>349</v>
      </c>
      <c r="FH349" t="s">
        <v>1321</v>
      </c>
      <c r="FI349" t="s">
        <v>1321</v>
      </c>
      <c r="FJ349" t="s">
        <v>1321</v>
      </c>
      <c r="FK349" t="s">
        <v>1321</v>
      </c>
      <c r="FL349" t="s">
        <v>1321</v>
      </c>
      <c r="FM349" t="s">
        <v>1321</v>
      </c>
      <c r="FN349" t="s">
        <v>1321</v>
      </c>
      <c r="FO349" t="s">
        <v>1321</v>
      </c>
      <c r="FP349" t="s">
        <v>1321</v>
      </c>
      <c r="FQ349" t="s">
        <v>1321</v>
      </c>
      <c r="FR349" t="s">
        <v>1321</v>
      </c>
      <c r="FS349" t="s">
        <v>1321</v>
      </c>
      <c r="FT349" t="s">
        <v>1321</v>
      </c>
      <c r="FU349" t="s">
        <v>1321</v>
      </c>
      <c r="FV349" t="s">
        <v>1321</v>
      </c>
      <c r="FW349" t="s">
        <v>1321</v>
      </c>
      <c r="FX349" t="s">
        <v>1321</v>
      </c>
      <c r="IK349">
        <f t="shared" si="9"/>
        <v>26</v>
      </c>
    </row>
    <row r="350" spans="1:245" outlineLevel="1" x14ac:dyDescent="0.2">
      <c r="A350" t="str">
        <f t="shared" si="8"/>
        <v>Atemnot</v>
      </c>
      <c r="B350">
        <f>ROW()</f>
        <v>350</v>
      </c>
      <c r="IK350">
        <f t="shared" si="9"/>
        <v>27</v>
      </c>
    </row>
    <row r="351" spans="1:245" outlineLevel="1" x14ac:dyDescent="0.2">
      <c r="A351" t="str">
        <f t="shared" si="8"/>
        <v>Attributo</v>
      </c>
      <c r="B351">
        <f>ROW()</f>
        <v>351</v>
      </c>
      <c r="FH351" t="s">
        <v>1321</v>
      </c>
      <c r="FI351" t="s">
        <v>1321</v>
      </c>
      <c r="FJ351" t="s">
        <v>1321</v>
      </c>
      <c r="FK351" t="s">
        <v>1321</v>
      </c>
      <c r="FL351" t="s">
        <v>1321</v>
      </c>
      <c r="FM351" t="s">
        <v>1321</v>
      </c>
      <c r="FN351" t="s">
        <v>1321</v>
      </c>
      <c r="FO351" t="s">
        <v>1321</v>
      </c>
      <c r="FP351" t="s">
        <v>1321</v>
      </c>
      <c r="FQ351" t="s">
        <v>1321</v>
      </c>
      <c r="FR351" t="s">
        <v>1321</v>
      </c>
      <c r="FS351" t="s">
        <v>1321</v>
      </c>
      <c r="FT351" t="s">
        <v>1321</v>
      </c>
      <c r="FU351" t="s">
        <v>1321</v>
      </c>
      <c r="FV351" t="s">
        <v>1321</v>
      </c>
      <c r="FW351" t="s">
        <v>1321</v>
      </c>
      <c r="FX351" t="s">
        <v>1321</v>
      </c>
      <c r="IK351">
        <f t="shared" si="9"/>
        <v>28</v>
      </c>
    </row>
    <row r="352" spans="1:245" outlineLevel="1" x14ac:dyDescent="0.2">
      <c r="A352" t="str">
        <f t="shared" si="8"/>
        <v>Aufgeblasen abgehoben</v>
      </c>
      <c r="B352">
        <f>ROW()</f>
        <v>352</v>
      </c>
      <c r="IK352">
        <f t="shared" si="9"/>
        <v>29</v>
      </c>
    </row>
    <row r="353" spans="1:245" outlineLevel="1" x14ac:dyDescent="0.2">
      <c r="A353" t="str">
        <f t="shared" si="8"/>
        <v>Auge des Limbus</v>
      </c>
      <c r="B353">
        <f>ROW()</f>
        <v>353</v>
      </c>
      <c r="IK353">
        <f t="shared" si="9"/>
        <v>30</v>
      </c>
    </row>
    <row r="354" spans="1:245" outlineLevel="1" x14ac:dyDescent="0.2">
      <c r="A354" t="str">
        <f t="shared" si="8"/>
        <v>Aureolus Güldenglanz</v>
      </c>
      <c r="B354">
        <f>ROW()</f>
        <v>354</v>
      </c>
      <c r="IK354">
        <f t="shared" si="9"/>
        <v>31</v>
      </c>
    </row>
    <row r="355" spans="1:245" outlineLevel="1" x14ac:dyDescent="0.2">
      <c r="A355" t="str">
        <f t="shared" si="8"/>
        <v>Auris Nasus Oculus</v>
      </c>
      <c r="B355">
        <f>ROW()</f>
        <v>355</v>
      </c>
      <c r="IK355">
        <f t="shared" si="9"/>
        <v>32</v>
      </c>
    </row>
    <row r="356" spans="1:245" outlineLevel="1" x14ac:dyDescent="0.2">
      <c r="A356" t="str">
        <f t="shared" si="8"/>
        <v>Axxeleratus Blitzgeschwind</v>
      </c>
      <c r="B356">
        <f>ROW()</f>
        <v>356</v>
      </c>
      <c r="FH356" t="s">
        <v>1321</v>
      </c>
      <c r="FI356" t="s">
        <v>1321</v>
      </c>
      <c r="FJ356" t="s">
        <v>1321</v>
      </c>
      <c r="FK356" t="s">
        <v>1321</v>
      </c>
      <c r="FL356" t="s">
        <v>1321</v>
      </c>
      <c r="FM356" t="s">
        <v>1321</v>
      </c>
      <c r="FN356" t="s">
        <v>1321</v>
      </c>
      <c r="FO356" t="s">
        <v>1321</v>
      </c>
      <c r="FP356" t="s">
        <v>1321</v>
      </c>
      <c r="FQ356" t="s">
        <v>1321</v>
      </c>
      <c r="FR356" t="s">
        <v>1321</v>
      </c>
      <c r="FS356" t="s">
        <v>1321</v>
      </c>
      <c r="FT356" t="s">
        <v>1321</v>
      </c>
      <c r="FU356" t="s">
        <v>1321</v>
      </c>
      <c r="FV356" t="s">
        <v>1321</v>
      </c>
      <c r="FW356" t="s">
        <v>1321</v>
      </c>
      <c r="FX356" t="s">
        <v>1321</v>
      </c>
      <c r="IK356">
        <f t="shared" si="9"/>
        <v>33</v>
      </c>
    </row>
    <row r="357" spans="1:245" outlineLevel="1" x14ac:dyDescent="0.2">
      <c r="A357" t="str">
        <f t="shared" si="8"/>
        <v>Balsam Salabunde</v>
      </c>
      <c r="B357">
        <f>ROW()</f>
        <v>357</v>
      </c>
      <c r="C357" t="s">
        <v>1321</v>
      </c>
      <c r="AN357" t="s">
        <v>1321</v>
      </c>
      <c r="FH357" t="s">
        <v>1321</v>
      </c>
      <c r="FI357" t="s">
        <v>1321</v>
      </c>
      <c r="FJ357" t="s">
        <v>1321</v>
      </c>
      <c r="FK357" t="s">
        <v>1321</v>
      </c>
      <c r="FL357" t="s">
        <v>1321</v>
      </c>
      <c r="FM357" t="s">
        <v>1321</v>
      </c>
      <c r="FN357" t="s">
        <v>1321</v>
      </c>
      <c r="FO357" t="s">
        <v>1321</v>
      </c>
      <c r="FP357" t="s">
        <v>1321</v>
      </c>
      <c r="FQ357" t="s">
        <v>1321</v>
      </c>
      <c r="FR357" t="s">
        <v>1321</v>
      </c>
      <c r="FS357" t="s">
        <v>1321</v>
      </c>
      <c r="FT357" t="s">
        <v>1321</v>
      </c>
      <c r="FU357" t="s">
        <v>1321</v>
      </c>
      <c r="FV357" t="s">
        <v>1321</v>
      </c>
      <c r="FW357" t="s">
        <v>1321</v>
      </c>
      <c r="FX357" t="s">
        <v>1321</v>
      </c>
      <c r="IK357">
        <f t="shared" si="9"/>
        <v>34</v>
      </c>
    </row>
    <row r="358" spans="1:245" outlineLevel="1" x14ac:dyDescent="0.2">
      <c r="A358" t="str">
        <f t="shared" si="8"/>
        <v>Band und Fessel</v>
      </c>
      <c r="B358">
        <f>ROW()</f>
        <v>358</v>
      </c>
      <c r="FH358" t="s">
        <v>1321</v>
      </c>
      <c r="FI358" t="s">
        <v>1321</v>
      </c>
      <c r="FJ358" t="s">
        <v>1321</v>
      </c>
      <c r="FK358" t="s">
        <v>1321</v>
      </c>
      <c r="FL358" t="s">
        <v>1321</v>
      </c>
      <c r="FM358" t="s">
        <v>1321</v>
      </c>
      <c r="FN358" t="s">
        <v>1321</v>
      </c>
      <c r="FO358" t="s">
        <v>1321</v>
      </c>
      <c r="FP358" t="s">
        <v>1321</v>
      </c>
      <c r="FQ358" t="s">
        <v>1321</v>
      </c>
      <c r="FR358" t="s">
        <v>1321</v>
      </c>
      <c r="FS358" t="s">
        <v>1321</v>
      </c>
      <c r="FT358" t="s">
        <v>1321</v>
      </c>
      <c r="FU358" t="s">
        <v>1321</v>
      </c>
      <c r="FV358" t="s">
        <v>1321</v>
      </c>
      <c r="FW358" t="s">
        <v>1321</v>
      </c>
      <c r="FX358" t="s">
        <v>1321</v>
      </c>
      <c r="IK358">
        <f t="shared" si="9"/>
        <v>35</v>
      </c>
    </row>
    <row r="359" spans="1:245" outlineLevel="1" x14ac:dyDescent="0.2">
      <c r="A359" t="str">
        <f t="shared" si="8"/>
        <v>Bannbaladin</v>
      </c>
      <c r="B359">
        <f>ROW()</f>
        <v>359</v>
      </c>
      <c r="FH359" t="s">
        <v>1321</v>
      </c>
      <c r="FI359" t="s">
        <v>1321</v>
      </c>
      <c r="FJ359" t="s">
        <v>1321</v>
      </c>
      <c r="FK359" t="s">
        <v>1321</v>
      </c>
      <c r="FL359" t="s">
        <v>1321</v>
      </c>
      <c r="FM359" t="s">
        <v>1321</v>
      </c>
      <c r="FN359" t="s">
        <v>1321</v>
      </c>
      <c r="FO359" t="s">
        <v>1321</v>
      </c>
      <c r="FP359" t="s">
        <v>1321</v>
      </c>
      <c r="FQ359" t="s">
        <v>1321</v>
      </c>
      <c r="FR359" t="s">
        <v>1321</v>
      </c>
      <c r="FS359" t="s">
        <v>1321</v>
      </c>
      <c r="FT359" t="s">
        <v>1321</v>
      </c>
      <c r="FU359" t="s">
        <v>1321</v>
      </c>
      <c r="FV359" t="s">
        <v>1321</v>
      </c>
      <c r="FW359" t="s">
        <v>1321</v>
      </c>
      <c r="FX359" t="s">
        <v>1321</v>
      </c>
      <c r="IK359">
        <f t="shared" si="9"/>
        <v>36</v>
      </c>
    </row>
    <row r="360" spans="1:245" outlineLevel="1" x14ac:dyDescent="0.2">
      <c r="A360" t="str">
        <f t="shared" si="8"/>
        <v>Bärenruhe Winterschlaf</v>
      </c>
      <c r="B360">
        <f>ROW()</f>
        <v>360</v>
      </c>
      <c r="FH360" t="s">
        <v>1321</v>
      </c>
      <c r="FI360" t="s">
        <v>1321</v>
      </c>
      <c r="FJ360" t="s">
        <v>1321</v>
      </c>
      <c r="FK360" t="s">
        <v>1321</v>
      </c>
      <c r="FL360" t="s">
        <v>1321</v>
      </c>
      <c r="FM360" t="s">
        <v>1321</v>
      </c>
      <c r="FN360" t="s">
        <v>1321</v>
      </c>
      <c r="FO360" t="s">
        <v>1321</v>
      </c>
      <c r="FP360" t="s">
        <v>1321</v>
      </c>
      <c r="FQ360" t="s">
        <v>1321</v>
      </c>
      <c r="FR360" t="s">
        <v>1321</v>
      </c>
      <c r="FS360" t="s">
        <v>1321</v>
      </c>
      <c r="FT360" t="s">
        <v>1321</v>
      </c>
      <c r="FU360" t="s">
        <v>1321</v>
      </c>
      <c r="FV360" t="s">
        <v>1321</v>
      </c>
      <c r="FW360" t="s">
        <v>1321</v>
      </c>
      <c r="FX360" t="s">
        <v>1321</v>
      </c>
      <c r="IK360">
        <f t="shared" si="9"/>
        <v>37</v>
      </c>
    </row>
    <row r="361" spans="1:245" outlineLevel="1" x14ac:dyDescent="0.2">
      <c r="A361" t="str">
        <f t="shared" si="8"/>
        <v>Beherrschung brechen</v>
      </c>
      <c r="B361">
        <f>ROW()</f>
        <v>361</v>
      </c>
      <c r="FH361" t="s">
        <v>1321</v>
      </c>
      <c r="FI361" t="s">
        <v>1321</v>
      </c>
      <c r="FJ361" t="s">
        <v>1321</v>
      </c>
      <c r="FK361" t="s">
        <v>1321</v>
      </c>
      <c r="FL361" t="s">
        <v>1321</v>
      </c>
      <c r="FM361" t="s">
        <v>1321</v>
      </c>
      <c r="FN361" t="s">
        <v>1321</v>
      </c>
      <c r="FO361" t="s">
        <v>1321</v>
      </c>
      <c r="FP361" t="s">
        <v>1321</v>
      </c>
      <c r="FQ361" t="s">
        <v>1321</v>
      </c>
      <c r="FR361" t="s">
        <v>1321</v>
      </c>
      <c r="FS361" t="s">
        <v>1321</v>
      </c>
      <c r="FT361" t="s">
        <v>1321</v>
      </c>
      <c r="FU361" t="s">
        <v>1321</v>
      </c>
      <c r="FV361" t="s">
        <v>1321</v>
      </c>
      <c r="FW361" t="s">
        <v>1321</v>
      </c>
      <c r="FX361" t="s">
        <v>1321</v>
      </c>
      <c r="IK361">
        <f t="shared" si="9"/>
        <v>38</v>
      </c>
    </row>
    <row r="362" spans="1:245" outlineLevel="1" x14ac:dyDescent="0.2">
      <c r="A362" t="str">
        <f t="shared" si="8"/>
        <v>Belhalharbann</v>
      </c>
      <c r="B362">
        <f>ROW()</f>
        <v>362</v>
      </c>
      <c r="IK362">
        <f t="shared" si="9"/>
        <v>39</v>
      </c>
    </row>
    <row r="363" spans="1:245" outlineLevel="1" x14ac:dyDescent="0.2">
      <c r="A363" t="str">
        <f t="shared" si="8"/>
        <v>Belkelelbann</v>
      </c>
      <c r="B363">
        <f>ROW()</f>
        <v>363</v>
      </c>
      <c r="IK363">
        <f t="shared" si="9"/>
        <v>40</v>
      </c>
    </row>
    <row r="364" spans="1:245" outlineLevel="1" x14ac:dyDescent="0.2">
      <c r="A364" t="str">
        <f t="shared" si="8"/>
        <v>Beschwörung vereiteln</v>
      </c>
      <c r="B364">
        <f>ROW()</f>
        <v>364</v>
      </c>
      <c r="IK364">
        <f t="shared" si="9"/>
        <v>41</v>
      </c>
    </row>
    <row r="365" spans="1:245" outlineLevel="1" x14ac:dyDescent="0.2">
      <c r="A365" t="str">
        <f t="shared" si="8"/>
        <v>Bewegung stören</v>
      </c>
      <c r="B365">
        <f>ROW()</f>
        <v>365</v>
      </c>
      <c r="FH365" t="s">
        <v>1321</v>
      </c>
      <c r="FI365" t="s">
        <v>1321</v>
      </c>
      <c r="FJ365" t="s">
        <v>1321</v>
      </c>
      <c r="FK365" t="s">
        <v>1321</v>
      </c>
      <c r="FL365" t="s">
        <v>1321</v>
      </c>
      <c r="FM365" t="s">
        <v>1321</v>
      </c>
      <c r="FN365" t="s">
        <v>1321</v>
      </c>
      <c r="FO365" t="s">
        <v>1321</v>
      </c>
      <c r="FP365" t="s">
        <v>1321</v>
      </c>
      <c r="FQ365" t="s">
        <v>1321</v>
      </c>
      <c r="FR365" t="s">
        <v>1321</v>
      </c>
      <c r="FS365" t="s">
        <v>1321</v>
      </c>
      <c r="FT365" t="s">
        <v>1321</v>
      </c>
      <c r="FU365" t="s">
        <v>1321</v>
      </c>
      <c r="FV365" t="s">
        <v>1321</v>
      </c>
      <c r="FW365" t="s">
        <v>1321</v>
      </c>
      <c r="FX365" t="s">
        <v>1321</v>
      </c>
      <c r="IK365">
        <f t="shared" si="9"/>
        <v>42</v>
      </c>
    </row>
    <row r="366" spans="1:245" outlineLevel="1" x14ac:dyDescent="0.2">
      <c r="A366" t="str">
        <f t="shared" si="8"/>
        <v>Blakharaz-Bann</v>
      </c>
      <c r="B366">
        <f>ROW()</f>
        <v>366</v>
      </c>
      <c r="IK366">
        <f t="shared" si="9"/>
        <v>43</v>
      </c>
    </row>
    <row r="367" spans="1:245" outlineLevel="1" x14ac:dyDescent="0.2">
      <c r="A367" t="str">
        <f t="shared" si="8"/>
        <v>Blendwerk</v>
      </c>
      <c r="B367">
        <f>ROW()</f>
        <v>367</v>
      </c>
      <c r="IK367">
        <f t="shared" si="9"/>
        <v>44</v>
      </c>
    </row>
    <row r="368" spans="1:245" outlineLevel="1" x14ac:dyDescent="0.2">
      <c r="A368" t="str">
        <f t="shared" si="8"/>
        <v>Blick aufs Wesen</v>
      </c>
      <c r="B368">
        <f>ROW()</f>
        <v>368</v>
      </c>
      <c r="FH368" t="s">
        <v>1321</v>
      </c>
      <c r="FI368" t="s">
        <v>1321</v>
      </c>
      <c r="FJ368" t="s">
        <v>1321</v>
      </c>
      <c r="FK368" t="s">
        <v>1321</v>
      </c>
      <c r="FL368" t="s">
        <v>1321</v>
      </c>
      <c r="FM368" t="s">
        <v>1321</v>
      </c>
      <c r="FN368" t="s">
        <v>1321</v>
      </c>
      <c r="FO368" t="s">
        <v>1321</v>
      </c>
      <c r="FP368" t="s">
        <v>1321</v>
      </c>
      <c r="FQ368" t="s">
        <v>1321</v>
      </c>
      <c r="FR368" t="s">
        <v>1321</v>
      </c>
      <c r="FS368" t="s">
        <v>1321</v>
      </c>
      <c r="FT368" t="s">
        <v>1321</v>
      </c>
      <c r="FU368" t="s">
        <v>1321</v>
      </c>
      <c r="FV368" t="s">
        <v>1321</v>
      </c>
      <c r="FW368" t="s">
        <v>1321</v>
      </c>
      <c r="FX368" t="s">
        <v>1321</v>
      </c>
      <c r="IK368">
        <f t="shared" si="9"/>
        <v>45</v>
      </c>
    </row>
    <row r="369" spans="1:245" outlineLevel="1" x14ac:dyDescent="0.2">
      <c r="A369" t="str">
        <f t="shared" si="8"/>
        <v>Blick durch fremde Augen</v>
      </c>
      <c r="B369">
        <f>ROW()</f>
        <v>369</v>
      </c>
      <c r="IK369">
        <f t="shared" si="9"/>
        <v>46</v>
      </c>
    </row>
    <row r="370" spans="1:245" outlineLevel="1" x14ac:dyDescent="0.2">
      <c r="A370" t="str">
        <f t="shared" si="8"/>
        <v>Blick in die Gedanken</v>
      </c>
      <c r="B370">
        <f>ROW()</f>
        <v>370</v>
      </c>
      <c r="FH370" t="s">
        <v>1321</v>
      </c>
      <c r="FI370" t="s">
        <v>1321</v>
      </c>
      <c r="FJ370" t="s">
        <v>1321</v>
      </c>
      <c r="FK370" t="s">
        <v>1321</v>
      </c>
      <c r="FL370" t="s">
        <v>1321</v>
      </c>
      <c r="FM370" t="s">
        <v>1321</v>
      </c>
      <c r="FN370" t="s">
        <v>1321</v>
      </c>
      <c r="FO370" t="s">
        <v>1321</v>
      </c>
      <c r="FP370" t="s">
        <v>1321</v>
      </c>
      <c r="FQ370" t="s">
        <v>1321</v>
      </c>
      <c r="FR370" t="s">
        <v>1321</v>
      </c>
      <c r="FS370" t="s">
        <v>1321</v>
      </c>
      <c r="FT370" t="s">
        <v>1321</v>
      </c>
      <c r="FU370" t="s">
        <v>1321</v>
      </c>
      <c r="FV370" t="s">
        <v>1321</v>
      </c>
      <c r="FW370" t="s">
        <v>1321</v>
      </c>
      <c r="FX370" t="s">
        <v>1321</v>
      </c>
      <c r="IK370">
        <f t="shared" si="9"/>
        <v>47</v>
      </c>
    </row>
    <row r="371" spans="1:245" outlineLevel="1" x14ac:dyDescent="0.2">
      <c r="A371" t="str">
        <f t="shared" si="8"/>
        <v>Blick in die Vergangenheit</v>
      </c>
      <c r="B371">
        <f>ROW()</f>
        <v>371</v>
      </c>
      <c r="IK371">
        <f t="shared" si="9"/>
        <v>48</v>
      </c>
    </row>
    <row r="372" spans="1:245" outlineLevel="1" x14ac:dyDescent="0.2">
      <c r="A372" t="str">
        <f t="shared" si="8"/>
        <v>Blitz dich find</v>
      </c>
      <c r="B372">
        <f>ROW()</f>
        <v>372</v>
      </c>
      <c r="FH372" t="s">
        <v>1321</v>
      </c>
      <c r="FI372" t="s">
        <v>1321</v>
      </c>
      <c r="FJ372" t="s">
        <v>1321</v>
      </c>
      <c r="FK372" t="s">
        <v>1321</v>
      </c>
      <c r="FL372" t="s">
        <v>1321</v>
      </c>
      <c r="FM372" t="s">
        <v>1321</v>
      </c>
      <c r="FN372" t="s">
        <v>1321</v>
      </c>
      <c r="FO372" t="s">
        <v>1321</v>
      </c>
      <c r="FP372" t="s">
        <v>1321</v>
      </c>
      <c r="FQ372" t="s">
        <v>1321</v>
      </c>
      <c r="FR372" t="s">
        <v>1321</v>
      </c>
      <c r="FS372" t="s">
        <v>1321</v>
      </c>
      <c r="FT372" t="s">
        <v>1321</v>
      </c>
      <c r="FU372" t="s">
        <v>1321</v>
      </c>
      <c r="FV372" t="s">
        <v>1321</v>
      </c>
      <c r="FW372" t="s">
        <v>1321</v>
      </c>
      <c r="FX372" t="s">
        <v>1321</v>
      </c>
      <c r="IK372">
        <f t="shared" si="9"/>
        <v>49</v>
      </c>
    </row>
    <row r="373" spans="1:245" outlineLevel="1" x14ac:dyDescent="0.2">
      <c r="A373" t="str">
        <f t="shared" si="8"/>
        <v>Böser Blick</v>
      </c>
      <c r="B373">
        <f>ROW()</f>
        <v>373</v>
      </c>
      <c r="IK373">
        <f t="shared" si="9"/>
        <v>50</v>
      </c>
    </row>
    <row r="374" spans="1:245" outlineLevel="1" x14ac:dyDescent="0.2">
      <c r="A374" t="str">
        <f t="shared" si="8"/>
        <v>Brenne toter Stoff !</v>
      </c>
      <c r="B374">
        <f>ROW()</f>
        <v>374</v>
      </c>
      <c r="IK374">
        <f t="shared" si="9"/>
        <v>51</v>
      </c>
    </row>
    <row r="375" spans="1:245" outlineLevel="1" x14ac:dyDescent="0.2">
      <c r="A375" t="str">
        <f t="shared" si="8"/>
        <v>Caldofrigo heiss und kalt</v>
      </c>
      <c r="B375">
        <f>ROW()</f>
        <v>375</v>
      </c>
      <c r="C375" t="s">
        <v>1956</v>
      </c>
      <c r="AN375" t="s">
        <v>1956</v>
      </c>
      <c r="IK375">
        <f t="shared" si="9"/>
        <v>52</v>
      </c>
    </row>
    <row r="376" spans="1:245" outlineLevel="1" x14ac:dyDescent="0.2">
      <c r="A376" t="str">
        <f t="shared" si="8"/>
        <v>Chamaelioni</v>
      </c>
      <c r="B376">
        <f>ROW()</f>
        <v>376</v>
      </c>
      <c r="FH376" t="s">
        <v>1321</v>
      </c>
      <c r="FI376" t="s">
        <v>1321</v>
      </c>
      <c r="FJ376" t="s">
        <v>1321</v>
      </c>
      <c r="FK376" t="s">
        <v>1321</v>
      </c>
      <c r="FL376" t="s">
        <v>1321</v>
      </c>
      <c r="FM376" t="s">
        <v>1321</v>
      </c>
      <c r="FN376" t="s">
        <v>1321</v>
      </c>
      <c r="FO376" t="s">
        <v>1321</v>
      </c>
      <c r="FP376" t="s">
        <v>1321</v>
      </c>
      <c r="FQ376" t="s">
        <v>1321</v>
      </c>
      <c r="FR376" t="s">
        <v>1321</v>
      </c>
      <c r="FS376" t="s">
        <v>1321</v>
      </c>
      <c r="FT376" t="s">
        <v>1321</v>
      </c>
      <c r="FU376" t="s">
        <v>1321</v>
      </c>
      <c r="FV376" t="s">
        <v>1321</v>
      </c>
      <c r="FW376" t="s">
        <v>1321</v>
      </c>
      <c r="FX376" t="s">
        <v>1321</v>
      </c>
      <c r="IK376">
        <f t="shared" si="9"/>
        <v>53</v>
      </c>
    </row>
    <row r="377" spans="1:245" outlineLevel="1" x14ac:dyDescent="0.2">
      <c r="A377" t="str">
        <f t="shared" si="8"/>
        <v>Chimaeroform Hybridgestalt</v>
      </c>
      <c r="B377">
        <f>ROW()</f>
        <v>377</v>
      </c>
      <c r="IK377">
        <f t="shared" si="9"/>
        <v>54</v>
      </c>
    </row>
    <row r="378" spans="1:245" outlineLevel="1" x14ac:dyDescent="0.2">
      <c r="A378" t="str">
        <f t="shared" si="8"/>
        <v>Chronoklassis Urfossil</v>
      </c>
      <c r="B378">
        <f>ROW()</f>
        <v>378</v>
      </c>
      <c r="IK378">
        <f t="shared" si="9"/>
        <v>55</v>
      </c>
    </row>
    <row r="379" spans="1:245" outlineLevel="1" x14ac:dyDescent="0.2">
      <c r="A379" t="str">
        <f t="shared" si="8"/>
        <v>Chrononautus Zeitenfahrt</v>
      </c>
      <c r="B379">
        <f>ROW()</f>
        <v>379</v>
      </c>
      <c r="IK379">
        <f t="shared" si="9"/>
        <v>56</v>
      </c>
    </row>
    <row r="380" spans="1:245" outlineLevel="1" x14ac:dyDescent="0.2">
      <c r="A380" t="str">
        <f t="shared" si="8"/>
        <v>Claudibus Clavistibor</v>
      </c>
      <c r="B380">
        <f>ROW()</f>
        <v>380</v>
      </c>
      <c r="IK380">
        <f t="shared" si="9"/>
        <v>57</v>
      </c>
    </row>
    <row r="381" spans="1:245" outlineLevel="1" x14ac:dyDescent="0.2">
      <c r="A381" t="str">
        <f t="shared" si="8"/>
        <v>Corpofesso Gliederschmerz</v>
      </c>
      <c r="B381">
        <f>ROW()</f>
        <v>381</v>
      </c>
      <c r="IK381">
        <f t="shared" si="9"/>
        <v>58</v>
      </c>
    </row>
    <row r="382" spans="1:245" outlineLevel="1" x14ac:dyDescent="0.2">
      <c r="A382" t="str">
        <f t="shared" si="8"/>
        <v>Corpofrigo Kälteschock</v>
      </c>
      <c r="B382">
        <f>ROW()</f>
        <v>382</v>
      </c>
      <c r="IK382">
        <f t="shared" si="9"/>
        <v>59</v>
      </c>
    </row>
    <row r="383" spans="1:245" outlineLevel="1" x14ac:dyDescent="0.2">
      <c r="A383" t="str">
        <f t="shared" si="8"/>
        <v>Cryptographo Zauberschrift</v>
      </c>
      <c r="B383">
        <f>ROW()</f>
        <v>383</v>
      </c>
      <c r="IK383">
        <f t="shared" si="9"/>
        <v>60</v>
      </c>
    </row>
    <row r="384" spans="1:245" outlineLevel="1" x14ac:dyDescent="0.2">
      <c r="A384" t="str">
        <f t="shared" si="8"/>
        <v>Custodosigil Diebesbann</v>
      </c>
      <c r="B384">
        <f>ROW()</f>
        <v>384</v>
      </c>
      <c r="IK384">
        <f t="shared" si="9"/>
        <v>61</v>
      </c>
    </row>
    <row r="385" spans="1:245" outlineLevel="1" x14ac:dyDescent="0.2">
      <c r="A385" t="str">
        <f t="shared" si="8"/>
        <v>Dämonenbann</v>
      </c>
      <c r="B385">
        <f>ROW()</f>
        <v>385</v>
      </c>
      <c r="C385" t="s">
        <v>1955</v>
      </c>
      <c r="AN385" t="s">
        <v>1955</v>
      </c>
      <c r="IK385">
        <f t="shared" si="9"/>
        <v>62</v>
      </c>
    </row>
    <row r="386" spans="1:245" outlineLevel="1" x14ac:dyDescent="0.2">
      <c r="A386" t="str">
        <f t="shared" si="8"/>
        <v>Deliciosi Gaumenschmaus</v>
      </c>
      <c r="B386">
        <f>ROW()</f>
        <v>386</v>
      </c>
      <c r="IK386">
        <f t="shared" si="9"/>
        <v>63</v>
      </c>
    </row>
    <row r="387" spans="1:245" outlineLevel="1" x14ac:dyDescent="0.2">
      <c r="A387" t="str">
        <f t="shared" si="8"/>
        <v>Desintegratus Pulverstaub</v>
      </c>
      <c r="B387">
        <f>ROW()</f>
        <v>387</v>
      </c>
      <c r="IK387">
        <f t="shared" si="9"/>
        <v>64</v>
      </c>
    </row>
    <row r="388" spans="1:245" outlineLevel="1" x14ac:dyDescent="0.2">
      <c r="A388" t="str">
        <f t="shared" si="8"/>
        <v>Destructibo Arcanitas</v>
      </c>
      <c r="B388">
        <f>ROW()</f>
        <v>388</v>
      </c>
      <c r="IK388">
        <f t="shared" si="9"/>
        <v>65</v>
      </c>
    </row>
    <row r="389" spans="1:245" outlineLevel="1" x14ac:dyDescent="0.2">
      <c r="A389" t="str">
        <f t="shared" si="8"/>
        <v>Dichter und Denker</v>
      </c>
      <c r="B389">
        <f>ROW()</f>
        <v>389</v>
      </c>
      <c r="IK389">
        <f t="shared" si="9"/>
        <v>66</v>
      </c>
    </row>
    <row r="390" spans="1:245" outlineLevel="1" x14ac:dyDescent="0.2">
      <c r="A390" t="str">
        <f t="shared" si="8"/>
        <v>Dschinnenruf</v>
      </c>
      <c r="B390">
        <f>ROW()</f>
        <v>390</v>
      </c>
      <c r="IK390">
        <f t="shared" si="9"/>
        <v>67</v>
      </c>
    </row>
    <row r="391" spans="1:245" outlineLevel="1" x14ac:dyDescent="0.2">
      <c r="A391" t="str">
        <f t="shared" si="8"/>
        <v>Dunkelheit</v>
      </c>
      <c r="B391">
        <f>ROW()</f>
        <v>391</v>
      </c>
      <c r="IK391">
        <f t="shared" si="9"/>
        <v>68</v>
      </c>
    </row>
    <row r="392" spans="1:245" outlineLevel="1" x14ac:dyDescent="0.2">
      <c r="A392" t="str">
        <f t="shared" si="8"/>
        <v>Duplicatus Doppelbild</v>
      </c>
      <c r="B392">
        <f>ROW()</f>
        <v>392</v>
      </c>
      <c r="IK392">
        <f t="shared" si="9"/>
        <v>69</v>
      </c>
    </row>
    <row r="393" spans="1:245" outlineLevel="1" x14ac:dyDescent="0.2">
      <c r="A393" t="str">
        <f t="shared" si="8"/>
        <v>Durch Marmorstein und Eisenwand</v>
      </c>
      <c r="B393">
        <f>ROW()</f>
        <v>393</v>
      </c>
      <c r="IK393">
        <f t="shared" si="9"/>
        <v>70</v>
      </c>
    </row>
    <row r="394" spans="1:245" outlineLevel="1" x14ac:dyDescent="0.2">
      <c r="A394" t="str">
        <f t="shared" ref="A394:A460" si="10">INDEX(ZAUBER,$IK394)</f>
        <v>Ecliptifactus Schattenkraft</v>
      </c>
      <c r="B394">
        <f>ROW()</f>
        <v>394</v>
      </c>
      <c r="C394" t="s">
        <v>1828</v>
      </c>
      <c r="AN394" t="s">
        <v>1828</v>
      </c>
      <c r="IK394">
        <f t="shared" si="9"/>
        <v>71</v>
      </c>
    </row>
    <row r="395" spans="1:245" outlineLevel="1" x14ac:dyDescent="0.2">
      <c r="A395" t="str">
        <f t="shared" si="10"/>
        <v>Eigenschaften wiederherst.</v>
      </c>
      <c r="B395">
        <f>ROW()</f>
        <v>395</v>
      </c>
      <c r="FH395" t="s">
        <v>1321</v>
      </c>
      <c r="FI395" t="s">
        <v>1321</v>
      </c>
      <c r="FJ395" t="s">
        <v>1321</v>
      </c>
      <c r="FK395" t="s">
        <v>1321</v>
      </c>
      <c r="FL395" t="s">
        <v>1321</v>
      </c>
      <c r="FM395" t="s">
        <v>1321</v>
      </c>
      <c r="FN395" t="s">
        <v>1321</v>
      </c>
      <c r="FO395" t="s">
        <v>1321</v>
      </c>
      <c r="FP395" t="s">
        <v>1321</v>
      </c>
      <c r="FQ395" t="s">
        <v>1321</v>
      </c>
      <c r="FR395" t="s">
        <v>1321</v>
      </c>
      <c r="FS395" t="s">
        <v>1321</v>
      </c>
      <c r="FT395" t="s">
        <v>1321</v>
      </c>
      <c r="FU395" t="s">
        <v>1321</v>
      </c>
      <c r="FV395" t="s">
        <v>1321</v>
      </c>
      <c r="FW395" t="s">
        <v>1321</v>
      </c>
      <c r="FX395" t="s">
        <v>1321</v>
      </c>
      <c r="IK395">
        <f t="shared" ref="IK395:IK462" si="11">ROW()-$IK$323</f>
        <v>72</v>
      </c>
    </row>
    <row r="396" spans="1:245" outlineLevel="1" x14ac:dyDescent="0.2">
      <c r="A396" t="str">
        <f t="shared" si="10"/>
        <v>Eigne Ängste quälen dich!</v>
      </c>
      <c r="B396">
        <f>ROW()</f>
        <v>396</v>
      </c>
      <c r="IK396">
        <f t="shared" si="11"/>
        <v>73</v>
      </c>
    </row>
    <row r="397" spans="1:245" outlineLevel="1" x14ac:dyDescent="0.2">
      <c r="A397" t="str">
        <f t="shared" si="10"/>
        <v>Einfluss bannen</v>
      </c>
      <c r="B397">
        <f>ROW()</f>
        <v>397</v>
      </c>
      <c r="FH397" t="s">
        <v>1321</v>
      </c>
      <c r="FI397" t="s">
        <v>1321</v>
      </c>
      <c r="FJ397" t="s">
        <v>1321</v>
      </c>
      <c r="FK397" t="s">
        <v>1321</v>
      </c>
      <c r="FL397" t="s">
        <v>1321</v>
      </c>
      <c r="FM397" t="s">
        <v>1321</v>
      </c>
      <c r="FN397" t="s">
        <v>1321</v>
      </c>
      <c r="FO397" t="s">
        <v>1321</v>
      </c>
      <c r="FP397" t="s">
        <v>1321</v>
      </c>
      <c r="FQ397" t="s">
        <v>1321</v>
      </c>
      <c r="FR397" t="s">
        <v>1321</v>
      </c>
      <c r="FS397" t="s">
        <v>1321</v>
      </c>
      <c r="FT397" t="s">
        <v>1321</v>
      </c>
      <c r="FU397" t="s">
        <v>1321</v>
      </c>
      <c r="FV397" t="s">
        <v>1321</v>
      </c>
      <c r="FW397" t="s">
        <v>1321</v>
      </c>
      <c r="FX397" t="s">
        <v>1321</v>
      </c>
      <c r="IK397">
        <f t="shared" si="11"/>
        <v>74</v>
      </c>
    </row>
    <row r="398" spans="1:245" outlineLevel="1" x14ac:dyDescent="0.2">
      <c r="A398" t="str">
        <f t="shared" si="10"/>
        <v>Eins mit der Natur</v>
      </c>
      <c r="B398">
        <f>ROW()</f>
        <v>398</v>
      </c>
      <c r="IK398">
        <f t="shared" si="11"/>
        <v>75</v>
      </c>
    </row>
    <row r="399" spans="1:245" outlineLevel="1" x14ac:dyDescent="0.2">
      <c r="A399" t="str">
        <f t="shared" si="10"/>
        <v>Eisbann</v>
      </c>
      <c r="B399">
        <f>ROW()</f>
        <v>399</v>
      </c>
      <c r="IK399">
        <f t="shared" si="11"/>
        <v>76</v>
      </c>
    </row>
    <row r="400" spans="1:245" outlineLevel="1" x14ac:dyDescent="0.2">
      <c r="A400" t="str">
        <f t="shared" si="10"/>
        <v>Eisenrost und Patina</v>
      </c>
      <c r="B400">
        <f>ROW()</f>
        <v>400</v>
      </c>
      <c r="IK400">
        <f t="shared" si="11"/>
        <v>77</v>
      </c>
    </row>
    <row r="401" spans="1:245" outlineLevel="1" x14ac:dyDescent="0.2">
      <c r="A401" t="str">
        <f t="shared" si="10"/>
        <v>Eiseskälte Kämpferherz</v>
      </c>
      <c r="B401">
        <f>ROW()</f>
        <v>401</v>
      </c>
      <c r="FO401" t="s">
        <v>1321</v>
      </c>
      <c r="FU401" t="s">
        <v>1321</v>
      </c>
      <c r="FV401" t="s">
        <v>1321</v>
      </c>
      <c r="FW401" t="s">
        <v>1321</v>
      </c>
      <c r="FX401" t="s">
        <v>1321</v>
      </c>
      <c r="IK401">
        <f t="shared" si="11"/>
        <v>78</v>
      </c>
    </row>
    <row r="402" spans="1:245" outlineLevel="1" x14ac:dyDescent="0.2">
      <c r="A402" t="str">
        <f t="shared" si="10"/>
        <v>Eiswirbel</v>
      </c>
      <c r="B402">
        <f>ROW()</f>
        <v>402</v>
      </c>
      <c r="IK402">
        <f t="shared" si="11"/>
        <v>79</v>
      </c>
    </row>
    <row r="403" spans="1:245" outlineLevel="1" x14ac:dyDescent="0.2">
      <c r="A403" t="str">
        <f t="shared" si="10"/>
        <v>Elementarbann</v>
      </c>
      <c r="B403">
        <f>ROW()</f>
        <v>403</v>
      </c>
      <c r="IK403">
        <f t="shared" si="11"/>
        <v>80</v>
      </c>
    </row>
    <row r="404" spans="1:245" outlineLevel="1" x14ac:dyDescent="0.2">
      <c r="A404" t="str">
        <f t="shared" si="10"/>
        <v>Elementarer Diener</v>
      </c>
      <c r="B404">
        <f>ROW()</f>
        <v>404</v>
      </c>
      <c r="IK404">
        <f t="shared" si="11"/>
        <v>81</v>
      </c>
    </row>
    <row r="405" spans="1:245" outlineLevel="1" x14ac:dyDescent="0.2">
      <c r="A405" t="str">
        <f t="shared" si="10"/>
        <v>Elementarer Wirbel</v>
      </c>
      <c r="B405">
        <f>ROW()</f>
        <v>405</v>
      </c>
      <c r="IK405">
        <f t="shared" si="11"/>
        <v>82</v>
      </c>
    </row>
    <row r="406" spans="1:245" outlineLevel="1" x14ac:dyDescent="0.2">
      <c r="A406" t="str">
        <f t="shared" si="10"/>
        <v>Elfenstimme Flötenton</v>
      </c>
      <c r="B406">
        <f>ROW()</f>
        <v>406</v>
      </c>
      <c r="IK406">
        <f t="shared" si="11"/>
        <v>83</v>
      </c>
    </row>
    <row r="407" spans="1:245" outlineLevel="1" x14ac:dyDescent="0.2">
      <c r="A407" t="str">
        <f t="shared" si="10"/>
        <v>Erinnerung verlasse dich!</v>
      </c>
      <c r="B407">
        <f>ROW()</f>
        <v>407</v>
      </c>
      <c r="IK407">
        <f t="shared" si="11"/>
        <v>84</v>
      </c>
    </row>
    <row r="408" spans="1:245" outlineLevel="1" x14ac:dyDescent="0.2">
      <c r="A408" t="str">
        <f t="shared" si="10"/>
        <v>Erzbann</v>
      </c>
      <c r="B408">
        <f>ROW()</f>
        <v>408</v>
      </c>
      <c r="IK408">
        <f t="shared" si="11"/>
        <v>85</v>
      </c>
    </row>
    <row r="409" spans="1:245" outlineLevel="1" x14ac:dyDescent="0.2">
      <c r="A409" t="str">
        <f t="shared" si="10"/>
        <v>Exposami Lebenskraft</v>
      </c>
      <c r="B409">
        <f>ROW()</f>
        <v>409</v>
      </c>
      <c r="FH409" t="s">
        <v>1321</v>
      </c>
      <c r="FI409" t="s">
        <v>1321</v>
      </c>
      <c r="FJ409" t="s">
        <v>1321</v>
      </c>
      <c r="FK409" t="s">
        <v>1321</v>
      </c>
      <c r="FL409" t="s">
        <v>1321</v>
      </c>
      <c r="FM409" t="s">
        <v>1321</v>
      </c>
      <c r="FN409" t="s">
        <v>1321</v>
      </c>
      <c r="FO409" t="s">
        <v>1321</v>
      </c>
      <c r="FP409" t="s">
        <v>1321</v>
      </c>
      <c r="FQ409" t="s">
        <v>1321</v>
      </c>
      <c r="FR409" t="s">
        <v>1321</v>
      </c>
      <c r="FS409" t="s">
        <v>1321</v>
      </c>
      <c r="FT409" t="s">
        <v>1321</v>
      </c>
      <c r="FU409" t="s">
        <v>1321</v>
      </c>
      <c r="FV409" t="s">
        <v>1321</v>
      </c>
      <c r="FW409" t="s">
        <v>1321</v>
      </c>
      <c r="FX409" t="s">
        <v>1321</v>
      </c>
      <c r="IK409">
        <f t="shared" si="11"/>
        <v>86</v>
      </c>
    </row>
    <row r="410" spans="1:245" outlineLevel="1" x14ac:dyDescent="0.2">
      <c r="A410" t="str">
        <f t="shared" si="10"/>
        <v>Falkenauge Meisterschuss</v>
      </c>
      <c r="B410">
        <f>ROW()</f>
        <v>410</v>
      </c>
      <c r="C410" t="s">
        <v>3916</v>
      </c>
      <c r="AN410" t="s">
        <v>3916</v>
      </c>
      <c r="FH410" t="s">
        <v>1321</v>
      </c>
      <c r="FI410" t="s">
        <v>1321</v>
      </c>
      <c r="FJ410" t="s">
        <v>1321</v>
      </c>
      <c r="FK410" t="s">
        <v>1321</v>
      </c>
      <c r="FL410" t="s">
        <v>1321</v>
      </c>
      <c r="FM410" t="s">
        <v>1321</v>
      </c>
      <c r="FN410" t="s">
        <v>1321</v>
      </c>
      <c r="FO410" t="s">
        <v>1321</v>
      </c>
      <c r="FP410" t="s">
        <v>1321</v>
      </c>
      <c r="FQ410" t="s">
        <v>1321</v>
      </c>
      <c r="FR410" t="s">
        <v>1321</v>
      </c>
      <c r="FS410" t="s">
        <v>1321</v>
      </c>
      <c r="FT410" t="s">
        <v>1321</v>
      </c>
      <c r="FU410" t="s">
        <v>1321</v>
      </c>
      <c r="FV410" t="s">
        <v>1321</v>
      </c>
      <c r="FW410" t="s">
        <v>1321</v>
      </c>
      <c r="FX410" t="s">
        <v>1321</v>
      </c>
      <c r="IK410">
        <f t="shared" si="11"/>
        <v>87</v>
      </c>
    </row>
    <row r="411" spans="1:245" outlineLevel="1" x14ac:dyDescent="0.2">
      <c r="A411" t="str">
        <f t="shared" si="10"/>
        <v>Favilludo Funkentanz</v>
      </c>
      <c r="B411">
        <f>ROW()</f>
        <v>411</v>
      </c>
      <c r="IK411">
        <f t="shared" si="11"/>
        <v>88</v>
      </c>
    </row>
    <row r="412" spans="1:245" outlineLevel="1" x14ac:dyDescent="0.2">
      <c r="A412" t="str">
        <f t="shared" si="10"/>
        <v>Fesselranken</v>
      </c>
      <c r="B412">
        <f>ROW()</f>
        <v>412</v>
      </c>
      <c r="IK412">
        <f t="shared" si="11"/>
        <v>89</v>
      </c>
    </row>
    <row r="413" spans="1:245" outlineLevel="1" x14ac:dyDescent="0.2">
      <c r="A413" t="str">
        <f t="shared" si="10"/>
        <v>Feuerbann (I) (=Elementarbann)</v>
      </c>
      <c r="B413">
        <f>ROW()</f>
        <v>413</v>
      </c>
      <c r="FX413" t="s">
        <v>1321</v>
      </c>
      <c r="IK413">
        <f t="shared" si="11"/>
        <v>90</v>
      </c>
    </row>
    <row r="414" spans="1:245" outlineLevel="1" x14ac:dyDescent="0.2">
      <c r="A414" t="str">
        <f t="shared" si="10"/>
        <v>Feuerbann (II) (=Leib d. Feuers)</v>
      </c>
      <c r="B414">
        <f>ROW()</f>
        <v>414</v>
      </c>
      <c r="IK414">
        <f t="shared" si="11"/>
        <v>91</v>
      </c>
    </row>
    <row r="415" spans="1:245" outlineLevel="1" x14ac:dyDescent="0.2">
      <c r="A415" t="str">
        <f t="shared" si="10"/>
        <v>Feuermähne Flammenhuf</v>
      </c>
      <c r="B415">
        <f>ROW()</f>
        <v>415</v>
      </c>
      <c r="IK415">
        <f t="shared" si="11"/>
        <v>92</v>
      </c>
    </row>
    <row r="416" spans="1:245" outlineLevel="1" x14ac:dyDescent="0.2">
      <c r="A416" t="str">
        <f t="shared" si="10"/>
        <v>Feuersturm</v>
      </c>
      <c r="B416">
        <f>ROW()</f>
        <v>416</v>
      </c>
      <c r="IK416">
        <f t="shared" si="11"/>
        <v>93</v>
      </c>
    </row>
    <row r="417" spans="1:245" outlineLevel="1" x14ac:dyDescent="0.2">
      <c r="A417" t="str">
        <f t="shared" si="10"/>
        <v>Firnlauf</v>
      </c>
      <c r="B417">
        <f>ROW()</f>
        <v>417</v>
      </c>
      <c r="FI417" t="s">
        <v>1321</v>
      </c>
      <c r="FO417" t="s">
        <v>1321</v>
      </c>
      <c r="FU417" t="s">
        <v>1321</v>
      </c>
      <c r="FV417" t="s">
        <v>1321</v>
      </c>
      <c r="FW417" t="s">
        <v>1321</v>
      </c>
      <c r="IK417">
        <f t="shared" si="11"/>
        <v>94</v>
      </c>
    </row>
    <row r="418" spans="1:245" outlineLevel="1" x14ac:dyDescent="0.2">
      <c r="A418" t="str">
        <f t="shared" si="10"/>
        <v>Fledermausruf</v>
      </c>
      <c r="B418">
        <f>ROW()</f>
        <v>418</v>
      </c>
      <c r="IK418">
        <f t="shared" si="11"/>
        <v>95</v>
      </c>
    </row>
    <row r="419" spans="1:245" outlineLevel="1" x14ac:dyDescent="0.2">
      <c r="A419" t="str">
        <f t="shared" si="10"/>
        <v>Flim Flam Funkel</v>
      </c>
      <c r="B419">
        <f>ROW()</f>
        <v>419</v>
      </c>
      <c r="FH419" t="s">
        <v>1321</v>
      </c>
      <c r="FI419" t="s">
        <v>1321</v>
      </c>
      <c r="FJ419" t="s">
        <v>1321</v>
      </c>
      <c r="FK419" t="s">
        <v>1321</v>
      </c>
      <c r="FL419" t="s">
        <v>1321</v>
      </c>
      <c r="FM419" t="s">
        <v>1321</v>
      </c>
      <c r="FN419" t="s">
        <v>1321</v>
      </c>
      <c r="FO419" t="s">
        <v>1321</v>
      </c>
      <c r="FP419" t="s">
        <v>1321</v>
      </c>
      <c r="FQ419" t="s">
        <v>1321</v>
      </c>
      <c r="FR419" t="s">
        <v>1321</v>
      </c>
      <c r="FS419" t="s">
        <v>1321</v>
      </c>
      <c r="FT419" t="s">
        <v>1321</v>
      </c>
      <c r="FU419" t="s">
        <v>1321</v>
      </c>
      <c r="FV419" t="s">
        <v>1321</v>
      </c>
      <c r="FW419" t="s">
        <v>1321</v>
      </c>
      <c r="FX419" t="s">
        <v>1321</v>
      </c>
      <c r="IK419">
        <f t="shared" si="11"/>
        <v>96</v>
      </c>
    </row>
    <row r="420" spans="1:245" outlineLevel="1" x14ac:dyDescent="0.2">
      <c r="A420" t="str">
        <f t="shared" si="10"/>
        <v>Fluch der Pestilenz</v>
      </c>
      <c r="B420">
        <f>ROW()</f>
        <v>420</v>
      </c>
      <c r="IK420">
        <f t="shared" si="11"/>
        <v>97</v>
      </c>
    </row>
    <row r="421" spans="1:245" outlineLevel="1" x14ac:dyDescent="0.2">
      <c r="A421" t="str">
        <f t="shared" si="10"/>
        <v>Foramen Foraminor</v>
      </c>
      <c r="B421">
        <f>ROW()</f>
        <v>421</v>
      </c>
      <c r="IK421">
        <f t="shared" si="11"/>
        <v>98</v>
      </c>
    </row>
    <row r="422" spans="1:245" outlineLevel="1" x14ac:dyDescent="0.2">
      <c r="A422" t="str">
        <f t="shared" si="10"/>
        <v>Fortifex arkane Wand</v>
      </c>
      <c r="B422">
        <f>ROW()</f>
        <v>422</v>
      </c>
      <c r="IK422">
        <f t="shared" si="11"/>
        <v>99</v>
      </c>
    </row>
    <row r="423" spans="1:245" outlineLevel="1" x14ac:dyDescent="0.2">
      <c r="A423" t="str">
        <f t="shared" si="10"/>
        <v>Frigifaxius</v>
      </c>
      <c r="B423">
        <f>ROW()</f>
        <v>423</v>
      </c>
      <c r="IK423">
        <f t="shared" si="11"/>
        <v>100</v>
      </c>
    </row>
    <row r="424" spans="1:245" outlineLevel="1" x14ac:dyDescent="0.2">
      <c r="A424" t="str">
        <f t="shared" si="10"/>
        <v>Frigosphaero</v>
      </c>
      <c r="B424">
        <f>ROW()</f>
        <v>424</v>
      </c>
      <c r="IK424">
        <f t="shared" si="11"/>
        <v>101</v>
      </c>
    </row>
    <row r="425" spans="1:245" outlineLevel="1" x14ac:dyDescent="0.2">
      <c r="A425" t="str">
        <f t="shared" si="10"/>
        <v>Fulminictus Donnerkeil</v>
      </c>
      <c r="B425">
        <f>ROW()</f>
        <v>425</v>
      </c>
      <c r="FH425" t="s">
        <v>1321</v>
      </c>
      <c r="FI425" t="s">
        <v>1321</v>
      </c>
      <c r="FJ425" t="s">
        <v>1321</v>
      </c>
      <c r="FK425" t="s">
        <v>1321</v>
      </c>
      <c r="FL425" t="s">
        <v>1321</v>
      </c>
      <c r="FM425" t="s">
        <v>1321</v>
      </c>
      <c r="FN425" t="s">
        <v>1321</v>
      </c>
      <c r="FO425" t="s">
        <v>1321</v>
      </c>
      <c r="FP425" t="s">
        <v>1321</v>
      </c>
      <c r="FQ425" t="s">
        <v>1321</v>
      </c>
      <c r="FR425" t="s">
        <v>1321</v>
      </c>
      <c r="FS425" t="s">
        <v>1321</v>
      </c>
      <c r="FT425" t="s">
        <v>1321</v>
      </c>
      <c r="FU425" t="s">
        <v>1321</v>
      </c>
      <c r="FV425" t="s">
        <v>1321</v>
      </c>
      <c r="FW425" t="s">
        <v>1321</v>
      </c>
      <c r="FX425" t="s">
        <v>1321</v>
      </c>
      <c r="IK425">
        <f t="shared" si="11"/>
        <v>102</v>
      </c>
    </row>
    <row r="426" spans="1:245" outlineLevel="1" x14ac:dyDescent="0.2">
      <c r="A426" t="str">
        <f t="shared" si="10"/>
        <v>Gardianum Zauberschild</v>
      </c>
      <c r="B426">
        <f>ROW()</f>
        <v>426</v>
      </c>
      <c r="C426" t="s">
        <v>4116</v>
      </c>
      <c r="AN426" t="s">
        <v>4116</v>
      </c>
      <c r="IK426">
        <f t="shared" si="11"/>
        <v>103</v>
      </c>
    </row>
    <row r="427" spans="1:245" outlineLevel="1" x14ac:dyDescent="0.2">
      <c r="A427" t="str">
        <f t="shared" si="10"/>
        <v>Gedankenbilder Elfenruf</v>
      </c>
      <c r="B427">
        <f>ROW()</f>
        <v>427</v>
      </c>
      <c r="FH427" t="s">
        <v>1321</v>
      </c>
      <c r="FI427" t="s">
        <v>1321</v>
      </c>
      <c r="FJ427" t="s">
        <v>1321</v>
      </c>
      <c r="FK427" t="s">
        <v>1321</v>
      </c>
      <c r="FL427" t="s">
        <v>1321</v>
      </c>
      <c r="FM427" t="s">
        <v>1321</v>
      </c>
      <c r="FN427" t="s">
        <v>1321</v>
      </c>
      <c r="FO427" t="s">
        <v>1321</v>
      </c>
      <c r="FP427" t="s">
        <v>1321</v>
      </c>
      <c r="FQ427" t="s">
        <v>1321</v>
      </c>
      <c r="FR427" t="s">
        <v>1321</v>
      </c>
      <c r="FS427" t="s">
        <v>1321</v>
      </c>
      <c r="FT427" t="s">
        <v>1321</v>
      </c>
      <c r="FU427" t="s">
        <v>1321</v>
      </c>
      <c r="FV427" t="s">
        <v>1321</v>
      </c>
      <c r="FW427" t="s">
        <v>1321</v>
      </c>
      <c r="FX427" t="s">
        <v>1321</v>
      </c>
      <c r="IK427">
        <f t="shared" si="11"/>
        <v>104</v>
      </c>
    </row>
    <row r="428" spans="1:245" outlineLevel="1" x14ac:dyDescent="0.2">
      <c r="A428" t="str">
        <f t="shared" si="10"/>
        <v>Gefäß der Jahre</v>
      </c>
      <c r="B428">
        <f>ROW()</f>
        <v>428</v>
      </c>
      <c r="IK428">
        <f t="shared" si="11"/>
        <v>105</v>
      </c>
    </row>
    <row r="429" spans="1:245" outlineLevel="1" x14ac:dyDescent="0.2">
      <c r="A429" t="str">
        <f t="shared" si="10"/>
        <v>Gefunden</v>
      </c>
      <c r="B429">
        <f>ROW()</f>
        <v>429</v>
      </c>
      <c r="IK429">
        <f t="shared" si="11"/>
        <v>106</v>
      </c>
    </row>
    <row r="430" spans="1:245" outlineLevel="1" x14ac:dyDescent="0.2">
      <c r="A430" t="str">
        <f t="shared" si="10"/>
        <v>Geister beschwören</v>
      </c>
      <c r="B430">
        <f>ROW()</f>
        <v>430</v>
      </c>
      <c r="IK430">
        <f t="shared" si="11"/>
        <v>107</v>
      </c>
    </row>
    <row r="431" spans="1:245" outlineLevel="1" x14ac:dyDescent="0.2">
      <c r="A431" t="str">
        <f t="shared" si="10"/>
        <v>Geisterbann</v>
      </c>
      <c r="B431">
        <f>ROW()</f>
        <v>431</v>
      </c>
      <c r="IK431">
        <f t="shared" si="11"/>
        <v>108</v>
      </c>
    </row>
    <row r="432" spans="1:245" outlineLevel="1" x14ac:dyDescent="0.2">
      <c r="A432" t="str">
        <f t="shared" si="10"/>
        <v>Geisterruf</v>
      </c>
      <c r="B432">
        <f>ROW()</f>
        <v>432</v>
      </c>
      <c r="IK432">
        <f t="shared" si="11"/>
        <v>109</v>
      </c>
    </row>
    <row r="433" spans="1:245" outlineLevel="1" x14ac:dyDescent="0.2">
      <c r="A433" t="str">
        <f t="shared" si="10"/>
        <v>Glacoflumen Fluss aus Eis</v>
      </c>
      <c r="B433">
        <f>ROW()</f>
        <v>433</v>
      </c>
      <c r="IK433">
        <f t="shared" si="11"/>
        <v>110</v>
      </c>
    </row>
    <row r="434" spans="1:245" outlineLevel="1" x14ac:dyDescent="0.2">
      <c r="A434" t="str">
        <f t="shared" si="10"/>
        <v>Gletscherwand</v>
      </c>
      <c r="B434">
        <f>ROW()</f>
        <v>434</v>
      </c>
      <c r="IK434">
        <f t="shared" si="11"/>
        <v>111</v>
      </c>
    </row>
    <row r="435" spans="1:245" outlineLevel="1" x14ac:dyDescent="0.2">
      <c r="A435" t="str">
        <f t="shared" si="10"/>
        <v>Granit und Marmor</v>
      </c>
      <c r="B435">
        <f>ROW()</f>
        <v>435</v>
      </c>
      <c r="IK435">
        <f t="shared" si="11"/>
        <v>112</v>
      </c>
    </row>
    <row r="436" spans="1:245" outlineLevel="1" x14ac:dyDescent="0.2">
      <c r="A436" t="str">
        <f t="shared" si="10"/>
        <v>Große Gier</v>
      </c>
      <c r="B436">
        <f>ROW()</f>
        <v>436</v>
      </c>
      <c r="IK436">
        <f t="shared" si="11"/>
        <v>113</v>
      </c>
    </row>
    <row r="437" spans="1:245" outlineLevel="1" x14ac:dyDescent="0.2">
      <c r="A437" t="str">
        <f t="shared" si="10"/>
        <v>Große Verwirrung</v>
      </c>
      <c r="B437">
        <f>ROW()</f>
        <v>437</v>
      </c>
      <c r="IK437">
        <f t="shared" si="11"/>
        <v>114</v>
      </c>
    </row>
    <row r="438" spans="1:245" outlineLevel="1" x14ac:dyDescent="0.2">
      <c r="A438" t="str">
        <f t="shared" si="10"/>
        <v>Halluzination</v>
      </c>
      <c r="B438">
        <f>ROW()</f>
        <v>438</v>
      </c>
      <c r="C438" t="s">
        <v>4001</v>
      </c>
      <c r="AN438" t="s">
        <v>4001</v>
      </c>
      <c r="IK438">
        <f t="shared" si="11"/>
        <v>115</v>
      </c>
    </row>
    <row r="439" spans="1:245" outlineLevel="1" x14ac:dyDescent="0.2">
      <c r="A439" t="str">
        <f t="shared" si="10"/>
        <v>Harmlose Gestalt</v>
      </c>
      <c r="B439">
        <f>ROW()</f>
        <v>439</v>
      </c>
      <c r="IK439">
        <f t="shared" si="11"/>
        <v>116</v>
      </c>
    </row>
    <row r="440" spans="1:245" outlineLevel="1" x14ac:dyDescent="0.2">
      <c r="A440" t="str">
        <f t="shared" si="10"/>
        <v>Hartes schmelze!</v>
      </c>
      <c r="B440">
        <f>ROW()</f>
        <v>440</v>
      </c>
      <c r="IK440">
        <f t="shared" si="11"/>
        <v>117</v>
      </c>
    </row>
    <row r="441" spans="1:245" outlineLevel="1" x14ac:dyDescent="0.2">
      <c r="A441" t="str">
        <f t="shared" si="10"/>
        <v>Haselbusch und Ginsterkraut</v>
      </c>
      <c r="B441">
        <f>ROW()</f>
        <v>441</v>
      </c>
      <c r="FH441" t="s">
        <v>1321</v>
      </c>
      <c r="FI441" t="s">
        <v>1321</v>
      </c>
      <c r="FJ441" t="s">
        <v>1321</v>
      </c>
      <c r="FK441" t="s">
        <v>1321</v>
      </c>
      <c r="FL441" t="s">
        <v>1321</v>
      </c>
      <c r="FM441" t="s">
        <v>1321</v>
      </c>
      <c r="FN441" t="s">
        <v>1321</v>
      </c>
      <c r="FO441" t="s">
        <v>1321</v>
      </c>
      <c r="FP441" t="s">
        <v>1321</v>
      </c>
      <c r="FQ441" t="s">
        <v>1321</v>
      </c>
      <c r="FR441" t="s">
        <v>1321</v>
      </c>
      <c r="FS441" t="s">
        <v>1321</v>
      </c>
      <c r="FT441" t="s">
        <v>1321</v>
      </c>
      <c r="FU441" t="s">
        <v>1321</v>
      </c>
      <c r="FV441" t="s">
        <v>1321</v>
      </c>
      <c r="FW441" t="s">
        <v>1321</v>
      </c>
      <c r="FX441" t="s">
        <v>1321</v>
      </c>
      <c r="IK441">
        <f t="shared" si="11"/>
        <v>118</v>
      </c>
    </row>
    <row r="442" spans="1:245" outlineLevel="1" x14ac:dyDescent="0.2">
      <c r="A442" t="str">
        <f t="shared" si="10"/>
        <v>Heilkraft bannen</v>
      </c>
      <c r="B442">
        <f>ROW()</f>
        <v>442</v>
      </c>
      <c r="IK442">
        <f t="shared" si="11"/>
        <v>119</v>
      </c>
    </row>
    <row r="443" spans="1:245" outlineLevel="1" x14ac:dyDescent="0.2">
      <c r="A443" t="str">
        <f t="shared" si="10"/>
        <v>Hellsicht trüben</v>
      </c>
      <c r="B443">
        <f>ROW()</f>
        <v>443</v>
      </c>
      <c r="FH443" t="s">
        <v>1321</v>
      </c>
      <c r="FI443" t="s">
        <v>1321</v>
      </c>
      <c r="FJ443" t="s">
        <v>1321</v>
      </c>
      <c r="FK443" t="s">
        <v>1321</v>
      </c>
      <c r="FL443" t="s">
        <v>1321</v>
      </c>
      <c r="FM443" t="s">
        <v>1321</v>
      </c>
      <c r="FN443" t="s">
        <v>1321</v>
      </c>
      <c r="FO443" t="s">
        <v>1321</v>
      </c>
      <c r="FP443" t="s">
        <v>1321</v>
      </c>
      <c r="FQ443" t="s">
        <v>1321</v>
      </c>
      <c r="FR443" t="s">
        <v>1321</v>
      </c>
      <c r="FS443" t="s">
        <v>1321</v>
      </c>
      <c r="FT443" t="s">
        <v>1321</v>
      </c>
      <c r="FU443" t="s">
        <v>1321</v>
      </c>
      <c r="FV443" t="s">
        <v>1321</v>
      </c>
      <c r="FW443" t="s">
        <v>1321</v>
      </c>
      <c r="FX443" t="s">
        <v>1321</v>
      </c>
      <c r="IK443">
        <f t="shared" si="11"/>
        <v>120</v>
      </c>
    </row>
    <row r="444" spans="1:245" outlineLevel="1" x14ac:dyDescent="0.2">
      <c r="A444" t="str">
        <f t="shared" si="10"/>
        <v>Herbeirufung vereiteln</v>
      </c>
      <c r="B444">
        <f>ROW()</f>
        <v>444</v>
      </c>
      <c r="IK444">
        <f t="shared" si="11"/>
        <v>121</v>
      </c>
    </row>
    <row r="445" spans="1:245" outlineLevel="1" x14ac:dyDescent="0.2">
      <c r="A445" t="str">
        <f t="shared" si="10"/>
        <v>Herr über das Tierreich</v>
      </c>
      <c r="B445">
        <f>ROW()</f>
        <v>445</v>
      </c>
      <c r="FP445" t="s">
        <v>1321</v>
      </c>
      <c r="FS445" t="s">
        <v>1321</v>
      </c>
      <c r="FT445" t="s">
        <v>1321</v>
      </c>
      <c r="IK445">
        <f t="shared" si="11"/>
        <v>122</v>
      </c>
    </row>
    <row r="446" spans="1:245" outlineLevel="1" x14ac:dyDescent="0.2">
      <c r="A446" t="str">
        <f t="shared" si="10"/>
        <v>Herzschlag ruhe</v>
      </c>
      <c r="B446">
        <f>ROW()</f>
        <v>446</v>
      </c>
      <c r="IK446">
        <f t="shared" si="11"/>
        <v>123</v>
      </c>
    </row>
    <row r="447" spans="1:245" outlineLevel="1" x14ac:dyDescent="0.2">
      <c r="A447" t="str">
        <f t="shared" si="10"/>
        <v>Hexenblick</v>
      </c>
      <c r="B447">
        <f>ROW()</f>
        <v>447</v>
      </c>
      <c r="IK447">
        <f t="shared" si="11"/>
        <v>124</v>
      </c>
    </row>
    <row r="448" spans="1:245" outlineLevel="1" x14ac:dyDescent="0.2">
      <c r="A448" t="str">
        <f t="shared" si="10"/>
        <v>Hexengalle</v>
      </c>
      <c r="B448">
        <f>ROW()</f>
        <v>448</v>
      </c>
      <c r="IK448">
        <f t="shared" si="11"/>
        <v>125</v>
      </c>
    </row>
    <row r="449" spans="1:245" outlineLevel="1" x14ac:dyDescent="0.2">
      <c r="A449" t="str">
        <f t="shared" si="10"/>
        <v>Hexenholz</v>
      </c>
      <c r="B449">
        <f>ROW()</f>
        <v>449</v>
      </c>
      <c r="IK449">
        <f t="shared" si="11"/>
        <v>126</v>
      </c>
    </row>
    <row r="450" spans="1:245" outlineLevel="1" x14ac:dyDescent="0.2">
      <c r="A450" t="str">
        <f t="shared" si="10"/>
        <v>Hexenknoten</v>
      </c>
      <c r="B450">
        <f>ROW()</f>
        <v>450</v>
      </c>
      <c r="IK450">
        <f t="shared" si="11"/>
        <v>127</v>
      </c>
    </row>
    <row r="451" spans="1:245" outlineLevel="1" x14ac:dyDescent="0.2">
      <c r="A451" t="str">
        <f t="shared" si="10"/>
        <v>Hexenkrallen</v>
      </c>
      <c r="B451">
        <f>ROW()</f>
        <v>451</v>
      </c>
      <c r="IK451">
        <f t="shared" si="11"/>
        <v>128</v>
      </c>
    </row>
    <row r="452" spans="1:245" outlineLevel="1" x14ac:dyDescent="0.2">
      <c r="A452" t="str">
        <f t="shared" si="10"/>
        <v>Hexenspeichel</v>
      </c>
      <c r="B452">
        <f>ROW()</f>
        <v>452</v>
      </c>
      <c r="IK452">
        <f t="shared" si="11"/>
        <v>129</v>
      </c>
    </row>
    <row r="453" spans="1:245" outlineLevel="1" x14ac:dyDescent="0.2">
      <c r="A453" t="str">
        <f t="shared" si="10"/>
        <v>Hilfreiche Tatze-rettende Schwinge</v>
      </c>
      <c r="B453">
        <f>ROW()</f>
        <v>453</v>
      </c>
      <c r="FH453" t="s">
        <v>1321</v>
      </c>
      <c r="FI453" t="s">
        <v>1321</v>
      </c>
      <c r="FJ453" t="s">
        <v>1321</v>
      </c>
      <c r="FK453" t="s">
        <v>1321</v>
      </c>
      <c r="FL453" t="s">
        <v>1321</v>
      </c>
      <c r="FM453" t="s">
        <v>1321</v>
      </c>
      <c r="FN453" t="s">
        <v>1321</v>
      </c>
      <c r="FO453" t="s">
        <v>1321</v>
      </c>
      <c r="FP453" t="s">
        <v>1321</v>
      </c>
      <c r="FQ453" t="s">
        <v>1321</v>
      </c>
      <c r="FR453" t="s">
        <v>1321</v>
      </c>
      <c r="FS453" t="s">
        <v>1321</v>
      </c>
      <c r="FT453" t="s">
        <v>1321</v>
      </c>
      <c r="FU453" t="s">
        <v>1321</v>
      </c>
      <c r="FV453" t="s">
        <v>1321</v>
      </c>
      <c r="FW453" t="s">
        <v>1321</v>
      </c>
      <c r="FX453" t="s">
        <v>1321</v>
      </c>
      <c r="IK453">
        <f t="shared" si="11"/>
        <v>130</v>
      </c>
    </row>
    <row r="454" spans="1:245" outlineLevel="1" x14ac:dyDescent="0.2">
      <c r="A454" t="str">
        <f t="shared" si="10"/>
        <v>Höllenpein zerreisse dich!</v>
      </c>
      <c r="B454">
        <f>ROW()</f>
        <v>454</v>
      </c>
      <c r="IK454">
        <f t="shared" si="11"/>
        <v>131</v>
      </c>
    </row>
    <row r="455" spans="1:245" outlineLevel="1" x14ac:dyDescent="0.2">
      <c r="A455" t="str">
        <f t="shared" si="10"/>
        <v>Holterdipolter</v>
      </c>
      <c r="B455">
        <f>ROW()</f>
        <v>455</v>
      </c>
      <c r="IK455">
        <f t="shared" si="11"/>
        <v>132</v>
      </c>
    </row>
    <row r="456" spans="1:245" outlineLevel="1" x14ac:dyDescent="0.2">
      <c r="A456" t="str">
        <f t="shared" si="10"/>
        <v>Hornissenruf</v>
      </c>
      <c r="B456">
        <f>ROW()</f>
        <v>456</v>
      </c>
      <c r="IK456">
        <f t="shared" si="11"/>
        <v>133</v>
      </c>
    </row>
    <row r="457" spans="1:245" outlineLevel="1" x14ac:dyDescent="0.2">
      <c r="A457" t="str">
        <f t="shared" si="10"/>
        <v>Horriphobus Schreckgestalt</v>
      </c>
      <c r="B457">
        <f>ROW()</f>
        <v>457</v>
      </c>
      <c r="IK457">
        <f t="shared" si="11"/>
        <v>134</v>
      </c>
    </row>
    <row r="458" spans="1:245" outlineLevel="1" x14ac:dyDescent="0.2">
      <c r="A458" t="str">
        <f t="shared" si="10"/>
        <v>Humofaxius</v>
      </c>
      <c r="B458">
        <f>ROW()</f>
        <v>458</v>
      </c>
      <c r="IK458">
        <f t="shared" si="11"/>
        <v>135</v>
      </c>
    </row>
    <row r="459" spans="1:245" outlineLevel="1" x14ac:dyDescent="0.2">
      <c r="A459" t="str">
        <f t="shared" si="10"/>
        <v>Humosphaero</v>
      </c>
      <c r="B459">
        <f>ROW()</f>
        <v>459</v>
      </c>
      <c r="IK459">
        <f t="shared" si="11"/>
        <v>136</v>
      </c>
    </row>
    <row r="460" spans="1:245" outlineLevel="1" x14ac:dyDescent="0.2">
      <c r="A460" t="str">
        <f t="shared" si="10"/>
        <v>Humusbann</v>
      </c>
      <c r="B460">
        <f>ROW()</f>
        <v>460</v>
      </c>
      <c r="IK460">
        <f t="shared" si="11"/>
        <v>137</v>
      </c>
    </row>
    <row r="461" spans="1:245" outlineLevel="1" x14ac:dyDescent="0.2">
      <c r="A461" t="str">
        <f t="shared" ref="A461:A529" si="12">INDEX(ZAUBER,$IK461)</f>
        <v>Ignifaxius Flammenstrahl</v>
      </c>
      <c r="B461">
        <f>ROW()</f>
        <v>461</v>
      </c>
      <c r="C461" t="s">
        <v>4483</v>
      </c>
      <c r="AN461" t="s">
        <v>4483</v>
      </c>
      <c r="IK461">
        <f t="shared" si="11"/>
        <v>138</v>
      </c>
    </row>
    <row r="462" spans="1:245" outlineLevel="1" x14ac:dyDescent="0.2">
      <c r="A462" t="str">
        <f t="shared" si="12"/>
        <v>Ignifugo Feuerbann</v>
      </c>
      <c r="B462">
        <f>ROW()</f>
        <v>462</v>
      </c>
      <c r="IK462">
        <f t="shared" si="11"/>
        <v>139</v>
      </c>
    </row>
    <row r="463" spans="1:245" outlineLevel="1" x14ac:dyDescent="0.2">
      <c r="A463" t="str">
        <f t="shared" si="12"/>
        <v>Ignimorpho Feuerform</v>
      </c>
      <c r="B463">
        <f>ROW()</f>
        <v>463</v>
      </c>
      <c r="IK463">
        <f>ROW()-$IK$323</f>
        <v>140</v>
      </c>
    </row>
    <row r="464" spans="1:245" outlineLevel="1" x14ac:dyDescent="0.2">
      <c r="A464" t="str">
        <f t="shared" si="12"/>
        <v>Igniplano Flächenbrand</v>
      </c>
      <c r="B464">
        <f>ROW()</f>
        <v>464</v>
      </c>
      <c r="IK464">
        <f>ROW()-$IK$323</f>
        <v>141</v>
      </c>
    </row>
    <row r="465" spans="1:245" outlineLevel="1" x14ac:dyDescent="0.2">
      <c r="A465" t="str">
        <f t="shared" si="12"/>
        <v>Ignisphaero Feuerball</v>
      </c>
      <c r="B465">
        <f>ROW()</f>
        <v>465</v>
      </c>
      <c r="IK465">
        <f t="shared" ref="IK465:IK530" si="13">ROW()-$IK$323</f>
        <v>142</v>
      </c>
    </row>
    <row r="466" spans="1:245" outlineLevel="1" x14ac:dyDescent="0.2">
      <c r="A466" t="str">
        <f t="shared" si="12"/>
        <v>Ignorantia Ungesehn</v>
      </c>
      <c r="B466">
        <f>ROW()</f>
        <v>466</v>
      </c>
      <c r="IK466">
        <f t="shared" si="13"/>
        <v>143</v>
      </c>
    </row>
    <row r="467" spans="1:245" outlineLevel="1" x14ac:dyDescent="0.2">
      <c r="A467" t="str">
        <f t="shared" si="12"/>
        <v>Illusion auflösen</v>
      </c>
      <c r="B467">
        <f>ROW()</f>
        <v>467</v>
      </c>
      <c r="IK467">
        <f t="shared" si="13"/>
        <v>144</v>
      </c>
    </row>
    <row r="468" spans="1:245" outlineLevel="1" x14ac:dyDescent="0.2">
      <c r="A468" t="str">
        <f t="shared" si="12"/>
        <v>Immortalis Lebenszeit</v>
      </c>
      <c r="B468">
        <f>ROW()</f>
        <v>468</v>
      </c>
      <c r="IK468">
        <f t="shared" si="13"/>
        <v>145</v>
      </c>
    </row>
    <row r="469" spans="1:245" outlineLevel="1" x14ac:dyDescent="0.2">
      <c r="A469" t="str">
        <f t="shared" si="12"/>
        <v>Imperavi Handlungszwang</v>
      </c>
      <c r="B469">
        <f>ROW()</f>
        <v>469</v>
      </c>
      <c r="IK469">
        <f t="shared" si="13"/>
        <v>146</v>
      </c>
    </row>
    <row r="470" spans="1:245" outlineLevel="1" x14ac:dyDescent="0.2">
      <c r="A470" t="str">
        <f t="shared" si="12"/>
        <v>Impersona Maskenbild</v>
      </c>
      <c r="B470">
        <f>ROW()</f>
        <v>470</v>
      </c>
      <c r="IK470">
        <f t="shared" si="13"/>
        <v>147</v>
      </c>
    </row>
    <row r="471" spans="1:245" outlineLevel="1" x14ac:dyDescent="0.2">
      <c r="A471" t="str">
        <f t="shared" si="12"/>
        <v>Infinitum immerdar</v>
      </c>
      <c r="B471">
        <f>ROW()</f>
        <v>471</v>
      </c>
      <c r="IK471">
        <f t="shared" si="13"/>
        <v>148</v>
      </c>
    </row>
    <row r="472" spans="1:245" outlineLevel="1" x14ac:dyDescent="0.2">
      <c r="A472" t="str">
        <f t="shared" si="12"/>
        <v>Invercano Spiegeltrick</v>
      </c>
      <c r="B472">
        <f>ROW()</f>
        <v>472</v>
      </c>
      <c r="IK472">
        <f t="shared" si="13"/>
        <v>149</v>
      </c>
    </row>
    <row r="473" spans="1:245" outlineLevel="1" x14ac:dyDescent="0.2">
      <c r="A473" t="str">
        <f t="shared" si="12"/>
        <v>Invocatio maior</v>
      </c>
      <c r="B473">
        <f>ROW()</f>
        <v>473</v>
      </c>
      <c r="IK473">
        <f t="shared" si="13"/>
        <v>150</v>
      </c>
    </row>
    <row r="474" spans="1:245" outlineLevel="1" x14ac:dyDescent="0.2">
      <c r="A474" t="str">
        <f t="shared" si="12"/>
        <v>Invocatio minor</v>
      </c>
      <c r="B474">
        <f>ROW()</f>
        <v>474</v>
      </c>
      <c r="IK474">
        <f t="shared" si="13"/>
        <v>151</v>
      </c>
    </row>
    <row r="475" spans="1:245" outlineLevel="1" x14ac:dyDescent="0.2">
      <c r="A475" t="str">
        <f t="shared" si="12"/>
        <v>Iribaars Hand</v>
      </c>
      <c r="B475">
        <f>ROW()</f>
        <v>475</v>
      </c>
      <c r="IK475">
        <f t="shared" si="13"/>
        <v>152</v>
      </c>
    </row>
    <row r="476" spans="1:245" outlineLevel="1" x14ac:dyDescent="0.2">
      <c r="A476" t="str">
        <f t="shared" si="12"/>
        <v>Juckreiz dämlicher!</v>
      </c>
      <c r="B476">
        <f>ROW()</f>
        <v>476</v>
      </c>
      <c r="C476" t="s">
        <v>4176</v>
      </c>
      <c r="AN476" t="s">
        <v>4176</v>
      </c>
      <c r="IK476">
        <f t="shared" si="13"/>
        <v>153</v>
      </c>
    </row>
    <row r="477" spans="1:245" outlineLevel="1" x14ac:dyDescent="0.2">
      <c r="A477" t="str">
        <f t="shared" si="12"/>
        <v>Karnifilo Raserei</v>
      </c>
      <c r="B477">
        <f>ROW()</f>
        <v>477</v>
      </c>
      <c r="IK477">
        <f t="shared" si="13"/>
        <v>154</v>
      </c>
    </row>
    <row r="478" spans="1:245" outlineLevel="1" x14ac:dyDescent="0.2">
      <c r="A478" t="str">
        <f t="shared" si="12"/>
        <v>Katzenaugen</v>
      </c>
      <c r="B478">
        <f>ROW()</f>
        <v>478</v>
      </c>
      <c r="FP478" t="s">
        <v>1321</v>
      </c>
      <c r="FS478" t="s">
        <v>1321</v>
      </c>
      <c r="FT478" t="s">
        <v>1321</v>
      </c>
      <c r="IK478">
        <f t="shared" si="13"/>
        <v>155</v>
      </c>
    </row>
    <row r="479" spans="1:245" outlineLevel="1" x14ac:dyDescent="0.2">
      <c r="A479" t="str">
        <f t="shared" si="12"/>
        <v>Klarum Purum</v>
      </c>
      <c r="B479">
        <f>ROW()</f>
        <v>479</v>
      </c>
      <c r="FH479" t="s">
        <v>1321</v>
      </c>
      <c r="FI479" t="s">
        <v>1321</v>
      </c>
      <c r="FJ479" t="s">
        <v>1321</v>
      </c>
      <c r="FK479" t="s">
        <v>1321</v>
      </c>
      <c r="FL479" t="s">
        <v>1321</v>
      </c>
      <c r="FM479" t="s">
        <v>1321</v>
      </c>
      <c r="FN479" t="s">
        <v>1321</v>
      </c>
      <c r="FO479" t="s">
        <v>1321</v>
      </c>
      <c r="FP479" t="s">
        <v>1321</v>
      </c>
      <c r="FQ479" t="s">
        <v>1321</v>
      </c>
      <c r="FR479" t="s">
        <v>1321</v>
      </c>
      <c r="FU479" t="s">
        <v>1321</v>
      </c>
      <c r="FV479" t="s">
        <v>1321</v>
      </c>
      <c r="FW479" t="s">
        <v>1321</v>
      </c>
      <c r="FX479" t="s">
        <v>1321</v>
      </c>
      <c r="IK479">
        <f t="shared" si="13"/>
        <v>156</v>
      </c>
    </row>
    <row r="480" spans="1:245" outlineLevel="1" x14ac:dyDescent="0.2">
      <c r="A480" t="str">
        <f t="shared" si="12"/>
        <v>Klickeradomms</v>
      </c>
      <c r="B480">
        <f>ROW()</f>
        <v>480</v>
      </c>
      <c r="IK480">
        <f t="shared" si="13"/>
        <v>157</v>
      </c>
    </row>
    <row r="481" spans="1:245" outlineLevel="1" x14ac:dyDescent="0.2">
      <c r="A481" t="str">
        <f t="shared" si="12"/>
        <v>Koboldgeschenk</v>
      </c>
      <c r="B481">
        <f>ROW()</f>
        <v>481</v>
      </c>
      <c r="IK481">
        <f t="shared" si="13"/>
        <v>158</v>
      </c>
    </row>
    <row r="482" spans="1:245" outlineLevel="1" x14ac:dyDescent="0.2">
      <c r="A482" t="str">
        <f t="shared" si="12"/>
        <v>Koboldovision</v>
      </c>
      <c r="B482">
        <f>ROW()</f>
        <v>482</v>
      </c>
      <c r="IK482">
        <f t="shared" si="13"/>
        <v>159</v>
      </c>
    </row>
    <row r="483" spans="1:245" outlineLevel="1" x14ac:dyDescent="0.2">
      <c r="A483" t="str">
        <f t="shared" si="12"/>
        <v>Komm Kobold komm</v>
      </c>
      <c r="B483">
        <f>ROW()</f>
        <v>483</v>
      </c>
      <c r="IK483">
        <f t="shared" si="13"/>
        <v>160</v>
      </c>
    </row>
    <row r="484" spans="1:245" outlineLevel="1" x14ac:dyDescent="0.2">
      <c r="A484" t="str">
        <f t="shared" si="12"/>
        <v>Körperlose Reise</v>
      </c>
      <c r="B484">
        <f>ROW()</f>
        <v>484</v>
      </c>
      <c r="IK484">
        <f t="shared" si="13"/>
        <v>161</v>
      </c>
    </row>
    <row r="485" spans="1:245" outlineLevel="1" x14ac:dyDescent="0.2">
      <c r="A485" t="str">
        <f t="shared" si="12"/>
        <v>Krabbelnder Schrecken</v>
      </c>
      <c r="B485">
        <f>ROW()</f>
        <v>485</v>
      </c>
      <c r="IK485">
        <f t="shared" si="13"/>
        <v>162</v>
      </c>
    </row>
    <row r="486" spans="1:245" outlineLevel="1" x14ac:dyDescent="0.2">
      <c r="A486" t="str">
        <f t="shared" si="12"/>
        <v>Kraft des Erzes</v>
      </c>
      <c r="B486">
        <f>ROW()</f>
        <v>486</v>
      </c>
      <c r="IK486">
        <f t="shared" si="13"/>
        <v>163</v>
      </c>
    </row>
    <row r="487" spans="1:245" outlineLevel="1" x14ac:dyDescent="0.2">
      <c r="A487" t="str">
        <f t="shared" si="12"/>
        <v>Kraft des Humus</v>
      </c>
      <c r="B487">
        <f>ROW()</f>
        <v>487</v>
      </c>
      <c r="IK487">
        <f t="shared" si="13"/>
        <v>164</v>
      </c>
    </row>
    <row r="488" spans="1:245" outlineLevel="1" x14ac:dyDescent="0.2">
      <c r="A488" t="str">
        <f t="shared" si="12"/>
        <v>Krähenruf</v>
      </c>
      <c r="B488">
        <f>ROW()</f>
        <v>488</v>
      </c>
      <c r="IK488">
        <f t="shared" si="13"/>
        <v>165</v>
      </c>
    </row>
    <row r="489" spans="1:245" outlineLevel="1" x14ac:dyDescent="0.2">
      <c r="A489" t="str">
        <f t="shared" si="12"/>
        <v>Krötensprung</v>
      </c>
      <c r="B489">
        <f>ROW()</f>
        <v>489</v>
      </c>
      <c r="FH489" t="s">
        <v>1321</v>
      </c>
      <c r="FI489" t="s">
        <v>1321</v>
      </c>
      <c r="FJ489" t="s">
        <v>1321</v>
      </c>
      <c r="FK489" t="s">
        <v>1321</v>
      </c>
      <c r="FL489" t="s">
        <v>1321</v>
      </c>
      <c r="FM489" t="s">
        <v>1321</v>
      </c>
      <c r="FN489" t="s">
        <v>1321</v>
      </c>
      <c r="FO489" t="s">
        <v>1321</v>
      </c>
      <c r="FP489" t="s">
        <v>1321</v>
      </c>
      <c r="FQ489" t="s">
        <v>1321</v>
      </c>
      <c r="FR489" t="s">
        <v>1321</v>
      </c>
      <c r="FS489" t="s">
        <v>1321</v>
      </c>
      <c r="FT489" t="s">
        <v>1321</v>
      </c>
      <c r="IK489">
        <f t="shared" si="13"/>
        <v>166</v>
      </c>
    </row>
    <row r="490" spans="1:245" outlineLevel="1" x14ac:dyDescent="0.2">
      <c r="A490" t="str">
        <f t="shared" si="12"/>
        <v>Kulminatio Kugelblitz</v>
      </c>
      <c r="B490">
        <f>ROW()</f>
        <v>490</v>
      </c>
      <c r="IK490">
        <f t="shared" si="13"/>
        <v>167</v>
      </c>
    </row>
    <row r="491" spans="1:245" outlineLevel="1" x14ac:dyDescent="0.2">
      <c r="A491" t="str">
        <f t="shared" si="12"/>
        <v>Kusch!</v>
      </c>
      <c r="B491">
        <f>ROW()</f>
        <v>491</v>
      </c>
      <c r="IK491">
        <f t="shared" si="13"/>
        <v>168</v>
      </c>
    </row>
    <row r="492" spans="1:245" outlineLevel="1" x14ac:dyDescent="0.2">
      <c r="A492" t="str">
        <f t="shared" si="12"/>
        <v>Lach dich gesund!</v>
      </c>
      <c r="B492">
        <f>ROW()</f>
        <v>492</v>
      </c>
      <c r="C492" t="s">
        <v>4175</v>
      </c>
      <c r="AN492" t="s">
        <v>4175</v>
      </c>
      <c r="IK492">
        <f t="shared" si="13"/>
        <v>169</v>
      </c>
    </row>
    <row r="493" spans="1:245" outlineLevel="1" x14ac:dyDescent="0.2">
      <c r="A493" t="str">
        <f t="shared" si="12"/>
        <v>Lachkrampf</v>
      </c>
      <c r="B493">
        <f>ROW()</f>
        <v>493</v>
      </c>
      <c r="IK493">
        <f t="shared" si="13"/>
        <v>170</v>
      </c>
    </row>
    <row r="494" spans="1:245" outlineLevel="1" x14ac:dyDescent="0.2">
      <c r="A494" t="str">
        <f t="shared" si="12"/>
        <v>Langer Lulatsch</v>
      </c>
      <c r="B494">
        <f>ROW()</f>
        <v>494</v>
      </c>
      <c r="IK494">
        <f t="shared" si="13"/>
        <v>171</v>
      </c>
    </row>
    <row r="495" spans="1:245" outlineLevel="1" x14ac:dyDescent="0.2">
      <c r="A495" t="str">
        <f t="shared" si="12"/>
        <v>Last des Alters</v>
      </c>
      <c r="B495">
        <f>ROW()</f>
        <v>495</v>
      </c>
      <c r="IK495">
        <f t="shared" si="13"/>
        <v>172</v>
      </c>
    </row>
    <row r="496" spans="1:245" outlineLevel="1" x14ac:dyDescent="0.2">
      <c r="A496" t="str">
        <f t="shared" si="12"/>
        <v>Leib der Erde</v>
      </c>
      <c r="B496">
        <f>ROW()</f>
        <v>496</v>
      </c>
      <c r="FH496" t="s">
        <v>1321</v>
      </c>
      <c r="FI496" t="s">
        <v>1321</v>
      </c>
      <c r="FJ496" t="s">
        <v>1321</v>
      </c>
      <c r="FP496" t="s">
        <v>1321</v>
      </c>
      <c r="FS496" t="s">
        <v>1321</v>
      </c>
      <c r="FT496" t="s">
        <v>1321</v>
      </c>
      <c r="IK496">
        <f t="shared" si="13"/>
        <v>173</v>
      </c>
    </row>
    <row r="497" spans="1:245" outlineLevel="1" x14ac:dyDescent="0.2">
      <c r="A497" t="str">
        <f t="shared" si="12"/>
        <v>Leib der Wogen</v>
      </c>
      <c r="B497">
        <f>ROW()</f>
        <v>497</v>
      </c>
      <c r="IK497">
        <f t="shared" si="13"/>
        <v>174</v>
      </c>
    </row>
    <row r="498" spans="1:245" outlineLevel="1" x14ac:dyDescent="0.2">
      <c r="A498" t="str">
        <f t="shared" si="12"/>
        <v>Leib des Eises</v>
      </c>
      <c r="B498">
        <f>ROW()</f>
        <v>498</v>
      </c>
      <c r="FO498" t="s">
        <v>1321</v>
      </c>
      <c r="FU498" t="s">
        <v>1321</v>
      </c>
      <c r="FV498" t="s">
        <v>1321</v>
      </c>
      <c r="FW498" t="s">
        <v>1321</v>
      </c>
      <c r="IK498">
        <f t="shared" si="13"/>
        <v>175</v>
      </c>
    </row>
    <row r="499" spans="1:245" outlineLevel="1" x14ac:dyDescent="0.2">
      <c r="A499" t="str">
        <f t="shared" si="12"/>
        <v>Leib des Erzes</v>
      </c>
      <c r="B499">
        <f>ROW()</f>
        <v>499</v>
      </c>
      <c r="IK499">
        <f t="shared" si="13"/>
        <v>176</v>
      </c>
    </row>
    <row r="500" spans="1:245" outlineLevel="1" x14ac:dyDescent="0.2">
      <c r="A500" t="str">
        <f t="shared" si="12"/>
        <v>Leib des Feuers</v>
      </c>
      <c r="B500">
        <f>ROW()</f>
        <v>500</v>
      </c>
      <c r="FX500" t="s">
        <v>1321</v>
      </c>
      <c r="IK500">
        <f t="shared" si="13"/>
        <v>177</v>
      </c>
    </row>
    <row r="501" spans="1:245" outlineLevel="1" x14ac:dyDescent="0.2">
      <c r="A501" t="str">
        <f t="shared" si="12"/>
        <v>Leib des Windes</v>
      </c>
      <c r="B501">
        <f>ROW()</f>
        <v>501</v>
      </c>
      <c r="FO501" t="s">
        <v>1321</v>
      </c>
      <c r="FS501" t="s">
        <v>1321</v>
      </c>
      <c r="FU501" t="s">
        <v>1321</v>
      </c>
      <c r="FV501" t="s">
        <v>1321</v>
      </c>
      <c r="FW501" t="s">
        <v>1321</v>
      </c>
      <c r="FX501" t="s">
        <v>1321</v>
      </c>
      <c r="IK501">
        <f t="shared" si="13"/>
        <v>178</v>
      </c>
    </row>
    <row r="502" spans="1:245" outlineLevel="1" x14ac:dyDescent="0.2">
      <c r="A502" t="str">
        <f t="shared" si="12"/>
        <v>Leidensbote</v>
      </c>
      <c r="B502">
        <f>ROW()</f>
        <v>502</v>
      </c>
      <c r="IK502">
        <f t="shared" si="13"/>
        <v>179</v>
      </c>
    </row>
    <row r="503" spans="1:245" outlineLevel="1" x14ac:dyDescent="0.2">
      <c r="A503" t="str">
        <f t="shared" si="12"/>
        <v>Leidensbund</v>
      </c>
      <c r="B503">
        <f>ROW()</f>
        <v>503</v>
      </c>
      <c r="IK503">
        <f t="shared" si="13"/>
        <v>180</v>
      </c>
    </row>
    <row r="504" spans="1:245" outlineLevel="1" x14ac:dyDescent="0.2">
      <c r="A504" t="str">
        <f t="shared" si="12"/>
        <v>Levthans Feuer</v>
      </c>
      <c r="B504">
        <f>ROW()</f>
        <v>504</v>
      </c>
      <c r="IK504">
        <f t="shared" si="13"/>
        <v>181</v>
      </c>
    </row>
    <row r="505" spans="1:245" outlineLevel="1" x14ac:dyDescent="0.2">
      <c r="A505" t="str">
        <f t="shared" si="12"/>
        <v>Limbus versiegeln</v>
      </c>
      <c r="B505">
        <f>ROW()</f>
        <v>505</v>
      </c>
      <c r="IK505">
        <f t="shared" si="13"/>
        <v>182</v>
      </c>
    </row>
    <row r="506" spans="1:245" outlineLevel="1" x14ac:dyDescent="0.2">
      <c r="A506" t="str">
        <f t="shared" si="12"/>
        <v>Lockruf und Feenfüße</v>
      </c>
      <c r="B506">
        <f>ROW()</f>
        <v>506</v>
      </c>
      <c r="IK506">
        <f t="shared" si="13"/>
        <v>183</v>
      </c>
    </row>
    <row r="507" spans="1:245" outlineLevel="1" x14ac:dyDescent="0.2">
      <c r="A507" t="str">
        <f t="shared" si="12"/>
        <v>Lolgramothbann</v>
      </c>
      <c r="B507">
        <f>ROW()</f>
        <v>507</v>
      </c>
      <c r="IK507">
        <f t="shared" si="13"/>
        <v>184</v>
      </c>
    </row>
    <row r="508" spans="1:245" outlineLevel="1" x14ac:dyDescent="0.2">
      <c r="A508" t="str">
        <f t="shared" si="12"/>
        <v>Luftbann</v>
      </c>
      <c r="B508">
        <f>ROW()</f>
        <v>508</v>
      </c>
      <c r="IK508">
        <f t="shared" si="13"/>
        <v>185</v>
      </c>
    </row>
    <row r="509" spans="1:245" outlineLevel="1" x14ac:dyDescent="0.2">
      <c r="A509" t="str">
        <f t="shared" si="12"/>
        <v>Lunge des Leviatan</v>
      </c>
      <c r="B509">
        <f>ROW()</f>
        <v>509</v>
      </c>
      <c r="IK509">
        <f t="shared" si="13"/>
        <v>186</v>
      </c>
    </row>
    <row r="510" spans="1:245" outlineLevel="1" x14ac:dyDescent="0.2">
      <c r="A510" t="str">
        <f t="shared" si="12"/>
        <v>Madas Spiegel</v>
      </c>
      <c r="B510">
        <f>ROW()</f>
        <v>510</v>
      </c>
      <c r="C510" t="s">
        <v>339</v>
      </c>
      <c r="AN510" t="s">
        <v>339</v>
      </c>
      <c r="IK510">
        <f t="shared" si="13"/>
        <v>187</v>
      </c>
    </row>
    <row r="511" spans="1:245" outlineLevel="1" x14ac:dyDescent="0.2">
      <c r="A511" t="str">
        <f t="shared" si="12"/>
        <v>Magischer Raub</v>
      </c>
      <c r="B511">
        <f>ROW()</f>
        <v>511</v>
      </c>
      <c r="IK511">
        <f t="shared" si="13"/>
        <v>188</v>
      </c>
    </row>
    <row r="512" spans="1:245" outlineLevel="1" x14ac:dyDescent="0.2">
      <c r="A512" t="str">
        <f t="shared" si="12"/>
        <v>Mahlstrom</v>
      </c>
      <c r="B512">
        <f>ROW()</f>
        <v>512</v>
      </c>
      <c r="IK512">
        <f t="shared" si="13"/>
        <v>189</v>
      </c>
    </row>
    <row r="513" spans="1:245" outlineLevel="1" x14ac:dyDescent="0.2">
      <c r="A513" t="str">
        <f t="shared" si="12"/>
        <v>Malmkreis</v>
      </c>
      <c r="B513">
        <f>ROW()</f>
        <v>513</v>
      </c>
      <c r="IK513">
        <f t="shared" si="13"/>
        <v>190</v>
      </c>
    </row>
    <row r="514" spans="1:245" outlineLevel="1" x14ac:dyDescent="0.2">
      <c r="A514" t="str">
        <f t="shared" si="12"/>
        <v>Manifesto Element</v>
      </c>
      <c r="B514">
        <f>ROW()</f>
        <v>514</v>
      </c>
      <c r="IK514">
        <f t="shared" si="13"/>
        <v>191</v>
      </c>
    </row>
    <row r="515" spans="1:245" outlineLevel="1" x14ac:dyDescent="0.2">
      <c r="A515" t="str">
        <f t="shared" si="12"/>
        <v>Meister der Elemente</v>
      </c>
      <c r="B515">
        <f>ROW()</f>
        <v>515</v>
      </c>
      <c r="IK515">
        <f t="shared" si="13"/>
        <v>192</v>
      </c>
    </row>
    <row r="516" spans="1:245" outlineLevel="1" x14ac:dyDescent="0.2">
      <c r="A516" t="str">
        <f t="shared" si="12"/>
        <v>Meister minderer Geister</v>
      </c>
      <c r="B516">
        <f>ROW()</f>
        <v>516</v>
      </c>
      <c r="IK516">
        <f t="shared" si="13"/>
        <v>193</v>
      </c>
    </row>
    <row r="517" spans="1:245" outlineLevel="1" x14ac:dyDescent="0.2">
      <c r="A517" t="str">
        <f t="shared" si="12"/>
        <v>Memorabia Falsifir</v>
      </c>
      <c r="B517">
        <f>ROW()</f>
        <v>517</v>
      </c>
      <c r="FP517" t="s">
        <v>1321</v>
      </c>
      <c r="FT517" t="s">
        <v>1321</v>
      </c>
      <c r="IK517">
        <f t="shared" si="13"/>
        <v>194</v>
      </c>
    </row>
    <row r="518" spans="1:245" outlineLevel="1" x14ac:dyDescent="0.2">
      <c r="A518" t="str">
        <f t="shared" si="12"/>
        <v>Memorans Gedächtniskraft</v>
      </c>
      <c r="B518">
        <f>ROW()</f>
        <v>518</v>
      </c>
      <c r="IK518">
        <f t="shared" si="13"/>
        <v>195</v>
      </c>
    </row>
    <row r="519" spans="1:245" outlineLevel="1" x14ac:dyDescent="0.2">
      <c r="A519" t="str">
        <f t="shared" si="12"/>
        <v>Menetekel Flammenschrift</v>
      </c>
      <c r="B519">
        <f>ROW()</f>
        <v>519</v>
      </c>
      <c r="IK519">
        <f t="shared" si="13"/>
        <v>196</v>
      </c>
    </row>
    <row r="520" spans="1:245" outlineLevel="1" x14ac:dyDescent="0.2">
      <c r="A520" t="str">
        <f t="shared" si="12"/>
        <v>Metamagie neutralisieren</v>
      </c>
      <c r="B520">
        <f>ROW()</f>
        <v>520</v>
      </c>
      <c r="IK520">
        <f t="shared" si="13"/>
        <v>197</v>
      </c>
    </row>
    <row r="521" spans="1:245" outlineLevel="1" x14ac:dyDescent="0.2">
      <c r="A521" t="str">
        <f t="shared" si="12"/>
        <v>Metamorpho Felsenform</v>
      </c>
      <c r="B521">
        <f>ROW()</f>
        <v>521</v>
      </c>
      <c r="IK521">
        <f t="shared" si="13"/>
        <v>198</v>
      </c>
    </row>
    <row r="522" spans="1:245" outlineLevel="1" x14ac:dyDescent="0.2">
      <c r="A522" t="str">
        <f t="shared" si="12"/>
        <v>Metamorpho Gletscherform</v>
      </c>
      <c r="B522">
        <f>ROW()</f>
        <v>522</v>
      </c>
      <c r="FI522" t="s">
        <v>1321</v>
      </c>
      <c r="FO522" t="s">
        <v>1321</v>
      </c>
      <c r="FU522" t="s">
        <v>1321</v>
      </c>
      <c r="FV522" t="s">
        <v>1321</v>
      </c>
      <c r="FW522" t="s">
        <v>1321</v>
      </c>
      <c r="IK522">
        <f t="shared" si="13"/>
        <v>199</v>
      </c>
    </row>
    <row r="523" spans="1:245" outlineLevel="1" x14ac:dyDescent="0.2">
      <c r="A523" t="str">
        <f t="shared" si="12"/>
        <v>Motoricus</v>
      </c>
      <c r="B523">
        <f>ROW()</f>
        <v>523</v>
      </c>
      <c r="FH523" t="s">
        <v>1321</v>
      </c>
      <c r="FI523" t="s">
        <v>1321</v>
      </c>
      <c r="FJ523" t="s">
        <v>1321</v>
      </c>
      <c r="FK523" t="s">
        <v>1321</v>
      </c>
      <c r="FL523" t="s">
        <v>1321</v>
      </c>
      <c r="FM523" t="s">
        <v>1321</v>
      </c>
      <c r="FN523" t="s">
        <v>1321</v>
      </c>
      <c r="FO523" t="s">
        <v>1321</v>
      </c>
      <c r="FP523" t="s">
        <v>1321</v>
      </c>
      <c r="FQ523" t="s">
        <v>1321</v>
      </c>
      <c r="FR523" t="s">
        <v>1321</v>
      </c>
      <c r="FS523" t="s">
        <v>1321</v>
      </c>
      <c r="FT523" t="s">
        <v>1321</v>
      </c>
      <c r="FU523" t="s">
        <v>1321</v>
      </c>
      <c r="FV523" t="s">
        <v>1321</v>
      </c>
      <c r="FW523" t="s">
        <v>1321</v>
      </c>
      <c r="FX523" t="s">
        <v>1321</v>
      </c>
      <c r="IK523">
        <f t="shared" si="13"/>
        <v>200</v>
      </c>
    </row>
    <row r="524" spans="1:245" outlineLevel="1" x14ac:dyDescent="0.2">
      <c r="A524" t="str">
        <f t="shared" si="12"/>
        <v>Movimento Dauerlauf</v>
      </c>
      <c r="B524">
        <f>ROW()</f>
        <v>524</v>
      </c>
      <c r="FH524" t="s">
        <v>1321</v>
      </c>
      <c r="FI524" t="s">
        <v>1321</v>
      </c>
      <c r="FJ524" t="s">
        <v>1321</v>
      </c>
      <c r="FK524" t="s">
        <v>1321</v>
      </c>
      <c r="FL524" t="s">
        <v>1321</v>
      </c>
      <c r="FM524" t="s">
        <v>1321</v>
      </c>
      <c r="FN524" t="s">
        <v>1321</v>
      </c>
      <c r="FO524" t="s">
        <v>1321</v>
      </c>
      <c r="FP524" t="s">
        <v>1321</v>
      </c>
      <c r="FQ524" t="s">
        <v>1321</v>
      </c>
      <c r="FR524" t="s">
        <v>1321</v>
      </c>
      <c r="FS524" t="s">
        <v>1321</v>
      </c>
      <c r="FT524" t="s">
        <v>1321</v>
      </c>
      <c r="FU524" t="s">
        <v>1321</v>
      </c>
      <c r="FV524" t="s">
        <v>1321</v>
      </c>
      <c r="FW524" t="s">
        <v>1321</v>
      </c>
      <c r="FX524" t="s">
        <v>1321</v>
      </c>
      <c r="IK524">
        <f t="shared" si="13"/>
        <v>201</v>
      </c>
    </row>
    <row r="525" spans="1:245" outlineLevel="1" x14ac:dyDescent="0.2">
      <c r="A525" t="str">
        <f t="shared" si="12"/>
        <v>Murks und Patz!</v>
      </c>
      <c r="B525">
        <f>ROW()</f>
        <v>525</v>
      </c>
      <c r="IK525">
        <f t="shared" si="13"/>
        <v>202</v>
      </c>
    </row>
    <row r="526" spans="1:245" outlineLevel="1" x14ac:dyDescent="0.2">
      <c r="A526" t="str">
        <f t="shared" si="12"/>
        <v>Nackedei</v>
      </c>
      <c r="B526">
        <f>ROW()</f>
        <v>526</v>
      </c>
      <c r="C526" t="s">
        <v>899</v>
      </c>
      <c r="AN526" t="s">
        <v>899</v>
      </c>
      <c r="IK526">
        <f t="shared" si="13"/>
        <v>203</v>
      </c>
    </row>
    <row r="527" spans="1:245" outlineLevel="1" x14ac:dyDescent="0.2">
      <c r="A527" t="str">
        <f t="shared" si="12"/>
        <v>Nebelleib</v>
      </c>
      <c r="B527">
        <f>ROW()</f>
        <v>527</v>
      </c>
      <c r="IK527">
        <f t="shared" si="13"/>
        <v>204</v>
      </c>
    </row>
    <row r="528" spans="1:245" outlineLevel="1" x14ac:dyDescent="0.2">
      <c r="A528" t="str">
        <f t="shared" si="12"/>
        <v>Nebelwand und Morgendunst</v>
      </c>
      <c r="B528">
        <f>ROW()</f>
        <v>528</v>
      </c>
      <c r="FH528" t="s">
        <v>1321</v>
      </c>
      <c r="FI528" t="s">
        <v>1321</v>
      </c>
      <c r="FJ528" t="s">
        <v>1321</v>
      </c>
      <c r="FK528" t="s">
        <v>1321</v>
      </c>
      <c r="FL528" t="s">
        <v>1321</v>
      </c>
      <c r="FM528" t="s">
        <v>1321</v>
      </c>
      <c r="FN528" t="s">
        <v>1321</v>
      </c>
      <c r="FO528" t="s">
        <v>1321</v>
      </c>
      <c r="FP528" t="s">
        <v>1321</v>
      </c>
      <c r="FQ528" t="s">
        <v>1321</v>
      </c>
      <c r="FR528" t="s">
        <v>1321</v>
      </c>
      <c r="FS528" t="s">
        <v>1321</v>
      </c>
      <c r="FT528" t="s">
        <v>1321</v>
      </c>
      <c r="FU528" t="s">
        <v>1321</v>
      </c>
      <c r="FV528" t="s">
        <v>1321</v>
      </c>
      <c r="FW528" t="s">
        <v>1321</v>
      </c>
      <c r="FX528" t="s">
        <v>1321</v>
      </c>
      <c r="IK528">
        <f t="shared" si="13"/>
        <v>205</v>
      </c>
    </row>
    <row r="529" spans="1:245" outlineLevel="1" x14ac:dyDescent="0.2">
      <c r="A529" t="str">
        <f t="shared" si="12"/>
        <v>Nekropathia Seelenreise</v>
      </c>
      <c r="B529">
        <f>ROW()</f>
        <v>529</v>
      </c>
      <c r="IK529">
        <f t="shared" si="13"/>
        <v>206</v>
      </c>
    </row>
    <row r="530" spans="1:245" outlineLevel="1" x14ac:dyDescent="0.2">
      <c r="A530" t="str">
        <f t="shared" ref="A530:A593" si="14">INDEX(ZAUBER,$IK530)</f>
        <v>Niederhöllen Eisgestalt</v>
      </c>
      <c r="B530">
        <f>ROW()</f>
        <v>530</v>
      </c>
      <c r="IK530">
        <f t="shared" si="13"/>
        <v>207</v>
      </c>
    </row>
    <row r="531" spans="1:245" outlineLevel="1" x14ac:dyDescent="0.2">
      <c r="A531" t="str">
        <f t="shared" si="14"/>
        <v>Nihilgravo Schwerelos</v>
      </c>
      <c r="B531">
        <f>ROW()</f>
        <v>531</v>
      </c>
      <c r="IK531">
        <f t="shared" ref="IK531:IK594" si="15">ROW()-$IK$323</f>
        <v>208</v>
      </c>
    </row>
    <row r="532" spans="1:245" outlineLevel="1" x14ac:dyDescent="0.2">
      <c r="A532" t="str">
        <f t="shared" si="14"/>
        <v>Nuntiovolo Botenvogel</v>
      </c>
      <c r="B532">
        <f>ROW()</f>
        <v>532</v>
      </c>
      <c r="IK532">
        <f t="shared" si="15"/>
        <v>209</v>
      </c>
    </row>
    <row r="533" spans="1:245" outlineLevel="1" x14ac:dyDescent="0.2">
      <c r="A533" t="str">
        <f t="shared" si="14"/>
        <v>Objecto Obscuro</v>
      </c>
      <c r="B533">
        <f>ROW()</f>
        <v>533</v>
      </c>
      <c r="C533" t="s">
        <v>4174</v>
      </c>
      <c r="AN533" t="s">
        <v>4174</v>
      </c>
      <c r="IK533">
        <f t="shared" si="15"/>
        <v>210</v>
      </c>
    </row>
    <row r="534" spans="1:245" outlineLevel="1" x14ac:dyDescent="0.2">
      <c r="A534" t="str">
        <f t="shared" si="14"/>
        <v>Objectofixo</v>
      </c>
      <c r="B534">
        <f>ROW()</f>
        <v>534</v>
      </c>
      <c r="IK534">
        <f t="shared" si="15"/>
        <v>211</v>
      </c>
    </row>
    <row r="535" spans="1:245" outlineLevel="1" x14ac:dyDescent="0.2">
      <c r="A535" t="str">
        <f t="shared" si="14"/>
        <v>Objectovoco</v>
      </c>
      <c r="B535">
        <f>ROW()</f>
        <v>535</v>
      </c>
      <c r="FH535" t="s">
        <v>1321</v>
      </c>
      <c r="FI535" t="s">
        <v>1321</v>
      </c>
      <c r="FJ535" t="s">
        <v>1321</v>
      </c>
      <c r="FK535" t="s">
        <v>1321</v>
      </c>
      <c r="FL535" t="s">
        <v>1321</v>
      </c>
      <c r="FM535" t="s">
        <v>1321</v>
      </c>
      <c r="FN535" t="s">
        <v>1321</v>
      </c>
      <c r="FO535" t="s">
        <v>1321</v>
      </c>
      <c r="FP535" t="s">
        <v>1321</v>
      </c>
      <c r="FQ535" t="s">
        <v>1321</v>
      </c>
      <c r="FR535" t="s">
        <v>1321</v>
      </c>
      <c r="FS535" t="s">
        <v>1321</v>
      </c>
      <c r="FT535" t="s">
        <v>1321</v>
      </c>
      <c r="FU535" t="s">
        <v>1321</v>
      </c>
      <c r="FV535" t="s">
        <v>1321</v>
      </c>
      <c r="FW535" t="s">
        <v>1321</v>
      </c>
      <c r="FX535" t="s">
        <v>1321</v>
      </c>
      <c r="IK535">
        <f t="shared" si="15"/>
        <v>212</v>
      </c>
    </row>
    <row r="536" spans="1:245" outlineLevel="1" x14ac:dyDescent="0.2">
      <c r="A536" t="str">
        <f t="shared" si="14"/>
        <v>Objekt entzaubern</v>
      </c>
      <c r="B536">
        <f>ROW()</f>
        <v>536</v>
      </c>
      <c r="IK536">
        <f t="shared" si="15"/>
        <v>213</v>
      </c>
    </row>
    <row r="537" spans="1:245" outlineLevel="1" x14ac:dyDescent="0.2">
      <c r="A537" t="str">
        <f t="shared" si="14"/>
        <v>Oculus Astralis</v>
      </c>
      <c r="B537">
        <f>ROW()</f>
        <v>537</v>
      </c>
      <c r="IK537">
        <f t="shared" si="15"/>
        <v>214</v>
      </c>
    </row>
    <row r="538" spans="1:245" outlineLevel="1" x14ac:dyDescent="0.2">
      <c r="A538" t="str">
        <f t="shared" si="14"/>
        <v>Odem Arcanum</v>
      </c>
      <c r="B538">
        <f>ROW()</f>
        <v>538</v>
      </c>
      <c r="FH538" t="s">
        <v>1321</v>
      </c>
      <c r="FI538" t="s">
        <v>1321</v>
      </c>
      <c r="FJ538" t="s">
        <v>1321</v>
      </c>
      <c r="FK538" t="s">
        <v>1321</v>
      </c>
      <c r="FL538" t="s">
        <v>1321</v>
      </c>
      <c r="FM538" t="s">
        <v>1321</v>
      </c>
      <c r="FN538" t="s">
        <v>1321</v>
      </c>
      <c r="FO538" t="s">
        <v>1321</v>
      </c>
      <c r="FP538" t="s">
        <v>1321</v>
      </c>
      <c r="FQ538" t="s">
        <v>1321</v>
      </c>
      <c r="FR538" t="s">
        <v>1321</v>
      </c>
      <c r="FS538" t="s">
        <v>1321</v>
      </c>
      <c r="FT538" t="s">
        <v>1321</v>
      </c>
      <c r="FU538" t="s">
        <v>1321</v>
      </c>
      <c r="FV538" t="s">
        <v>1321</v>
      </c>
      <c r="FW538" t="s">
        <v>1321</v>
      </c>
      <c r="FX538" t="s">
        <v>1321</v>
      </c>
      <c r="IK538">
        <f t="shared" si="15"/>
        <v>215</v>
      </c>
    </row>
    <row r="539" spans="1:245" outlineLevel="1" x14ac:dyDescent="0.2">
      <c r="A539" t="str">
        <f t="shared" si="14"/>
        <v>Orcanofaxius</v>
      </c>
      <c r="B539">
        <f>ROW()</f>
        <v>539</v>
      </c>
      <c r="IK539">
        <f t="shared" si="15"/>
        <v>216</v>
      </c>
    </row>
    <row r="540" spans="1:245" outlineLevel="1" x14ac:dyDescent="0.2">
      <c r="A540" t="str">
        <f t="shared" si="14"/>
        <v>Orcanosphaero</v>
      </c>
      <c r="B540">
        <f>ROW()</f>
        <v>540</v>
      </c>
      <c r="IK540">
        <f t="shared" si="15"/>
        <v>217</v>
      </c>
    </row>
    <row r="541" spans="1:245" outlineLevel="1" x14ac:dyDescent="0.2">
      <c r="A541" t="str">
        <f t="shared" si="14"/>
        <v>Orkanwand</v>
      </c>
      <c r="B541">
        <f>ROW()</f>
        <v>541</v>
      </c>
      <c r="IK541">
        <f t="shared" si="15"/>
        <v>218</v>
      </c>
    </row>
    <row r="542" spans="1:245" outlineLevel="1" x14ac:dyDescent="0.2">
      <c r="A542" t="str">
        <f t="shared" si="14"/>
        <v>Pandaemonium</v>
      </c>
      <c r="B542">
        <f>ROW()</f>
        <v>542</v>
      </c>
      <c r="C542" t="s">
        <v>1320</v>
      </c>
      <c r="AN542" t="s">
        <v>1320</v>
      </c>
      <c r="IK542">
        <f t="shared" si="15"/>
        <v>219</v>
      </c>
    </row>
    <row r="543" spans="1:245" outlineLevel="1" x14ac:dyDescent="0.2">
      <c r="A543" t="str">
        <f t="shared" si="14"/>
        <v>Panik überkomme euch</v>
      </c>
      <c r="B543">
        <f>ROW()</f>
        <v>543</v>
      </c>
      <c r="IK543">
        <f t="shared" si="15"/>
        <v>220</v>
      </c>
    </row>
    <row r="544" spans="1:245" outlineLevel="1" x14ac:dyDescent="0.2">
      <c r="A544" t="str">
        <f t="shared" si="14"/>
        <v>Papperlapapp</v>
      </c>
      <c r="B544">
        <f>ROW()</f>
        <v>544</v>
      </c>
      <c r="IK544">
        <f t="shared" si="15"/>
        <v>221</v>
      </c>
    </row>
    <row r="545" spans="1:245" outlineLevel="1" x14ac:dyDescent="0.2">
      <c r="A545" t="str">
        <f t="shared" si="14"/>
        <v>Paralysis starr wie Stein</v>
      </c>
      <c r="B545">
        <f>ROW()</f>
        <v>545</v>
      </c>
      <c r="IK545">
        <f t="shared" si="15"/>
        <v>222</v>
      </c>
    </row>
    <row r="546" spans="1:245" outlineLevel="1" x14ac:dyDescent="0.2">
      <c r="A546" t="str">
        <f t="shared" si="14"/>
        <v>Pectetondo Zauberhaar</v>
      </c>
      <c r="B546">
        <f>ROW()</f>
        <v>546</v>
      </c>
      <c r="IK546">
        <f t="shared" si="15"/>
        <v>223</v>
      </c>
    </row>
    <row r="547" spans="1:245" outlineLevel="1" x14ac:dyDescent="0.2">
      <c r="A547" t="str">
        <f t="shared" si="14"/>
        <v>Penetrizzel Tiefenblick</v>
      </c>
      <c r="B547">
        <f>ROW()</f>
        <v>547</v>
      </c>
      <c r="FH547" t="s">
        <v>1321</v>
      </c>
      <c r="FI547" t="s">
        <v>1321</v>
      </c>
      <c r="FJ547" t="s">
        <v>1321</v>
      </c>
      <c r="FK547" t="s">
        <v>1321</v>
      </c>
      <c r="FL547" t="s">
        <v>1321</v>
      </c>
      <c r="FM547" t="s">
        <v>1321</v>
      </c>
      <c r="FN547" t="s">
        <v>1321</v>
      </c>
      <c r="FO547" t="s">
        <v>1321</v>
      </c>
      <c r="FP547" t="s">
        <v>1321</v>
      </c>
      <c r="FQ547" t="s">
        <v>1321</v>
      </c>
      <c r="FR547" t="s">
        <v>1321</v>
      </c>
      <c r="FS547" t="s">
        <v>1321</v>
      </c>
      <c r="FT547" t="s">
        <v>1321</v>
      </c>
      <c r="FU547" t="s">
        <v>1321</v>
      </c>
      <c r="FV547" t="s">
        <v>1321</v>
      </c>
      <c r="FW547" t="s">
        <v>1321</v>
      </c>
      <c r="FX547" t="s">
        <v>1321</v>
      </c>
      <c r="IK547">
        <f t="shared" si="15"/>
        <v>224</v>
      </c>
    </row>
    <row r="548" spans="1:245" outlineLevel="1" x14ac:dyDescent="0.2">
      <c r="A548" t="str">
        <f t="shared" si="14"/>
        <v>Pentagramma Sphärenbann</v>
      </c>
      <c r="B548">
        <f>ROW()</f>
        <v>548</v>
      </c>
      <c r="IK548">
        <f t="shared" si="15"/>
        <v>225</v>
      </c>
    </row>
    <row r="549" spans="1:245" outlineLevel="1" x14ac:dyDescent="0.2">
      <c r="A549" t="str">
        <f t="shared" si="14"/>
        <v>Pestilenz erspüren</v>
      </c>
      <c r="B549">
        <f>ROW()</f>
        <v>549</v>
      </c>
      <c r="FH549" t="s">
        <v>1321</v>
      </c>
      <c r="FI549" t="s">
        <v>1321</v>
      </c>
      <c r="FJ549" t="s">
        <v>1321</v>
      </c>
      <c r="FK549" t="s">
        <v>1321</v>
      </c>
      <c r="FL549" t="s">
        <v>1321</v>
      </c>
      <c r="FM549" t="s">
        <v>1321</v>
      </c>
      <c r="FN549" t="s">
        <v>1321</v>
      </c>
      <c r="FO549" t="s">
        <v>1321</v>
      </c>
      <c r="FP549" t="s">
        <v>1321</v>
      </c>
      <c r="FQ549" t="s">
        <v>1321</v>
      </c>
      <c r="FR549" t="s">
        <v>1321</v>
      </c>
      <c r="FS549" t="s">
        <v>1321</v>
      </c>
      <c r="FT549" t="s">
        <v>1321</v>
      </c>
      <c r="FU549" t="s">
        <v>1321</v>
      </c>
      <c r="FV549" t="s">
        <v>1321</v>
      </c>
      <c r="FW549" t="s">
        <v>1321</v>
      </c>
      <c r="FX549" t="s">
        <v>1321</v>
      </c>
      <c r="IK549">
        <f t="shared" si="15"/>
        <v>226</v>
      </c>
    </row>
    <row r="550" spans="1:245" outlineLevel="1" x14ac:dyDescent="0.2">
      <c r="A550" t="str">
        <f t="shared" si="14"/>
        <v>Pfeil der Luft</v>
      </c>
      <c r="B550">
        <f>ROW()</f>
        <v>550</v>
      </c>
      <c r="FH550" t="s">
        <v>1321</v>
      </c>
      <c r="FI550" t="s">
        <v>1321</v>
      </c>
      <c r="FJ550" t="s">
        <v>1321</v>
      </c>
      <c r="FK550" t="s">
        <v>1321</v>
      </c>
      <c r="FL550" t="s">
        <v>1321</v>
      </c>
      <c r="FM550" t="s">
        <v>1321</v>
      </c>
      <c r="FN550" t="s">
        <v>1321</v>
      </c>
      <c r="FO550" t="s">
        <v>1321</v>
      </c>
      <c r="FP550" t="s">
        <v>1321</v>
      </c>
      <c r="FQ550" t="s">
        <v>1321</v>
      </c>
      <c r="FR550" t="s">
        <v>1321</v>
      </c>
      <c r="FS550" t="s">
        <v>1321</v>
      </c>
      <c r="FT550" t="s">
        <v>1321</v>
      </c>
      <c r="FU550" t="s">
        <v>1321</v>
      </c>
      <c r="FV550" t="s">
        <v>1321</v>
      </c>
      <c r="FW550" t="s">
        <v>1321</v>
      </c>
      <c r="FX550" t="s">
        <v>1321</v>
      </c>
      <c r="IK550">
        <f t="shared" si="15"/>
        <v>227</v>
      </c>
    </row>
    <row r="551" spans="1:245" outlineLevel="1" x14ac:dyDescent="0.2">
      <c r="A551" t="str">
        <f t="shared" si="14"/>
        <v>Pfeil des Eises</v>
      </c>
      <c r="B551">
        <f>ROW()</f>
        <v>551</v>
      </c>
      <c r="FO551" t="s">
        <v>1321</v>
      </c>
      <c r="FU551" t="s">
        <v>1321</v>
      </c>
      <c r="FV551" t="s">
        <v>1321</v>
      </c>
      <c r="FW551" t="s">
        <v>1321</v>
      </c>
      <c r="IK551">
        <f t="shared" si="15"/>
        <v>228</v>
      </c>
    </row>
    <row r="552" spans="1:245" outlineLevel="1" x14ac:dyDescent="0.2">
      <c r="A552" t="str">
        <f t="shared" si="14"/>
        <v>Pfeil des Erzes</v>
      </c>
      <c r="B552">
        <f>ROW()</f>
        <v>552</v>
      </c>
      <c r="IK552">
        <f t="shared" si="15"/>
        <v>229</v>
      </c>
    </row>
    <row r="553" spans="1:245" outlineLevel="1" x14ac:dyDescent="0.2">
      <c r="A553" t="str">
        <f t="shared" si="14"/>
        <v>Pfeil des Feuers</v>
      </c>
      <c r="B553">
        <f>ROW()</f>
        <v>553</v>
      </c>
      <c r="FX553" t="s">
        <v>1321</v>
      </c>
      <c r="IK553">
        <f t="shared" si="15"/>
        <v>230</v>
      </c>
    </row>
    <row r="554" spans="1:245" outlineLevel="1" x14ac:dyDescent="0.2">
      <c r="A554" t="str">
        <f t="shared" si="14"/>
        <v>Pfeil des Humus</v>
      </c>
      <c r="B554">
        <f>ROW()</f>
        <v>554</v>
      </c>
      <c r="FH554" t="s">
        <v>1321</v>
      </c>
      <c r="FI554" t="s">
        <v>1321</v>
      </c>
      <c r="FJ554" t="s">
        <v>1321</v>
      </c>
      <c r="FK554" t="s">
        <v>1321</v>
      </c>
      <c r="FL554" t="s">
        <v>1321</v>
      </c>
      <c r="FM554" t="s">
        <v>1321</v>
      </c>
      <c r="FN554" t="s">
        <v>1321</v>
      </c>
      <c r="FO554" t="s">
        <v>1321</v>
      </c>
      <c r="FP554" t="s">
        <v>1321</v>
      </c>
      <c r="FQ554" t="s">
        <v>1321</v>
      </c>
      <c r="FR554" t="s">
        <v>1321</v>
      </c>
      <c r="FS554" t="s">
        <v>1321</v>
      </c>
      <c r="FT554" t="s">
        <v>1321</v>
      </c>
      <c r="FU554" t="s">
        <v>1321</v>
      </c>
      <c r="FV554" t="s">
        <v>1321</v>
      </c>
      <c r="FW554" t="s">
        <v>1321</v>
      </c>
      <c r="FX554" t="s">
        <v>1321</v>
      </c>
      <c r="IK554">
        <f t="shared" si="15"/>
        <v>231</v>
      </c>
    </row>
    <row r="555" spans="1:245" outlineLevel="1" x14ac:dyDescent="0.2">
      <c r="A555" t="str">
        <f t="shared" si="14"/>
        <v>Pfeil des Wassers</v>
      </c>
      <c r="B555">
        <f>ROW()</f>
        <v>555</v>
      </c>
      <c r="IK555">
        <f t="shared" si="15"/>
        <v>232</v>
      </c>
    </row>
    <row r="556" spans="1:245" outlineLevel="1" x14ac:dyDescent="0.2">
      <c r="A556" t="str">
        <f t="shared" si="14"/>
        <v>Planastrale Anderwelt</v>
      </c>
      <c r="B556">
        <f>ROW()</f>
        <v>556</v>
      </c>
      <c r="IK556">
        <f t="shared" si="15"/>
        <v>233</v>
      </c>
    </row>
    <row r="557" spans="1:245" outlineLevel="1" x14ac:dyDescent="0.2">
      <c r="A557" t="str">
        <f t="shared" si="14"/>
        <v>Plumbumbarum schwerer Arm</v>
      </c>
      <c r="B557">
        <f>ROW()</f>
        <v>557</v>
      </c>
      <c r="FH557" t="s">
        <v>1321</v>
      </c>
      <c r="FI557" t="s">
        <v>1321</v>
      </c>
      <c r="FJ557" t="s">
        <v>1321</v>
      </c>
      <c r="FK557" t="s">
        <v>1321</v>
      </c>
      <c r="FL557" t="s">
        <v>1321</v>
      </c>
      <c r="FM557" t="s">
        <v>1321</v>
      </c>
      <c r="FN557" t="s">
        <v>1321</v>
      </c>
      <c r="FO557" t="s">
        <v>1321</v>
      </c>
      <c r="FP557" t="s">
        <v>1321</v>
      </c>
      <c r="FQ557" t="s">
        <v>1321</v>
      </c>
      <c r="FR557" t="s">
        <v>1321</v>
      </c>
      <c r="FS557" t="s">
        <v>1321</v>
      </c>
      <c r="FT557" t="s">
        <v>1321</v>
      </c>
      <c r="FU557" t="s">
        <v>1321</v>
      </c>
      <c r="FV557" t="s">
        <v>1321</v>
      </c>
      <c r="FW557" t="s">
        <v>1321</v>
      </c>
      <c r="FX557" t="s">
        <v>1321</v>
      </c>
      <c r="IK557">
        <f t="shared" si="15"/>
        <v>234</v>
      </c>
    </row>
    <row r="558" spans="1:245" outlineLevel="1" x14ac:dyDescent="0.2">
      <c r="A558" t="str">
        <f t="shared" si="14"/>
        <v>Projektimago Ebenbild</v>
      </c>
      <c r="B558">
        <f>ROW()</f>
        <v>558</v>
      </c>
      <c r="IK558">
        <f t="shared" si="15"/>
        <v>235</v>
      </c>
    </row>
    <row r="559" spans="1:245" outlineLevel="1" x14ac:dyDescent="0.2">
      <c r="A559" t="str">
        <f t="shared" si="14"/>
        <v>Protectionis Kontrabann</v>
      </c>
      <c r="B559">
        <f>ROW()</f>
        <v>559</v>
      </c>
      <c r="IK559">
        <f t="shared" si="15"/>
        <v>236</v>
      </c>
    </row>
    <row r="560" spans="1:245" outlineLevel="1" x14ac:dyDescent="0.2">
      <c r="A560" t="str">
        <f t="shared" si="14"/>
        <v>Psychostabilis</v>
      </c>
      <c r="B560">
        <f>ROW()</f>
        <v>560</v>
      </c>
      <c r="IK560">
        <f t="shared" si="15"/>
        <v>237</v>
      </c>
    </row>
    <row r="561" spans="1:245" outlineLevel="1" x14ac:dyDescent="0.2">
      <c r="A561" t="str">
        <f t="shared" si="14"/>
        <v>Radau</v>
      </c>
      <c r="B561">
        <f>ROW()</f>
        <v>561</v>
      </c>
      <c r="C561" t="s">
        <v>3589</v>
      </c>
      <c r="AN561" t="s">
        <v>3589</v>
      </c>
      <c r="IK561">
        <f t="shared" si="15"/>
        <v>238</v>
      </c>
    </row>
    <row r="562" spans="1:245" outlineLevel="1" x14ac:dyDescent="0.2">
      <c r="A562" t="str">
        <f t="shared" si="14"/>
        <v>Reflectimago Spiegelschein</v>
      </c>
      <c r="B562">
        <f>ROW()</f>
        <v>562</v>
      </c>
      <c r="IK562">
        <f t="shared" si="15"/>
        <v>239</v>
      </c>
    </row>
    <row r="563" spans="1:245" outlineLevel="1" x14ac:dyDescent="0.2">
      <c r="A563" t="str">
        <f t="shared" si="14"/>
        <v>Reptilea Natternnest</v>
      </c>
      <c r="B563">
        <f>ROW()</f>
        <v>563</v>
      </c>
      <c r="IK563">
        <f t="shared" si="15"/>
        <v>240</v>
      </c>
    </row>
    <row r="564" spans="1:245" outlineLevel="1" x14ac:dyDescent="0.2">
      <c r="A564" t="str">
        <f t="shared" si="14"/>
        <v>Respondami Wahrheitszwang</v>
      </c>
      <c r="B564">
        <f>ROW()</f>
        <v>564</v>
      </c>
      <c r="FH564" t="s">
        <v>1321</v>
      </c>
      <c r="FI564" t="s">
        <v>1321</v>
      </c>
      <c r="FJ564" t="s">
        <v>1321</v>
      </c>
      <c r="FK564" t="s">
        <v>1321</v>
      </c>
      <c r="FL564" t="s">
        <v>1321</v>
      </c>
      <c r="FM564" t="s">
        <v>1321</v>
      </c>
      <c r="FN564" t="s">
        <v>1321</v>
      </c>
      <c r="FO564" t="s">
        <v>1321</v>
      </c>
      <c r="FP564" t="s">
        <v>1321</v>
      </c>
      <c r="FQ564" t="s">
        <v>1321</v>
      </c>
      <c r="FR564" t="s">
        <v>1321</v>
      </c>
      <c r="FS564" t="s">
        <v>1321</v>
      </c>
      <c r="FT564" t="s">
        <v>1321</v>
      </c>
      <c r="FU564" t="s">
        <v>1321</v>
      </c>
      <c r="FV564" t="s">
        <v>1321</v>
      </c>
      <c r="FW564" t="s">
        <v>1321</v>
      </c>
      <c r="FX564" t="s">
        <v>1321</v>
      </c>
      <c r="IK564">
        <f t="shared" si="15"/>
        <v>241</v>
      </c>
    </row>
    <row r="565" spans="1:245" outlineLevel="1" x14ac:dyDescent="0.2">
      <c r="A565" t="str">
        <f t="shared" si="14"/>
        <v>Reversalis Revidum</v>
      </c>
      <c r="B565">
        <f>ROW()</f>
        <v>565</v>
      </c>
      <c r="IK565">
        <f t="shared" si="15"/>
        <v>242</v>
      </c>
    </row>
    <row r="566" spans="1:245" outlineLevel="1" x14ac:dyDescent="0.2">
      <c r="A566" t="str">
        <f t="shared" si="14"/>
        <v>Ruhe Körper - ruhe Geist</v>
      </c>
      <c r="B566">
        <f>ROW()</f>
        <v>566</v>
      </c>
      <c r="FH566" t="s">
        <v>1321</v>
      </c>
      <c r="FI566" t="s">
        <v>1321</v>
      </c>
      <c r="FJ566" t="s">
        <v>1321</v>
      </c>
      <c r="FK566" t="s">
        <v>1321</v>
      </c>
      <c r="FL566" t="s">
        <v>1321</v>
      </c>
      <c r="FM566" t="s">
        <v>1321</v>
      </c>
      <c r="FN566" t="s">
        <v>1321</v>
      </c>
      <c r="FO566" t="s">
        <v>1321</v>
      </c>
      <c r="FP566" t="s">
        <v>1321</v>
      </c>
      <c r="FQ566" t="s">
        <v>1321</v>
      </c>
      <c r="FR566" t="s">
        <v>1321</v>
      </c>
      <c r="FS566" t="s">
        <v>1321</v>
      </c>
      <c r="FT566" t="s">
        <v>1321</v>
      </c>
      <c r="FU566" t="s">
        <v>1321</v>
      </c>
      <c r="FV566" t="s">
        <v>1321</v>
      </c>
      <c r="FW566" t="s">
        <v>1321</v>
      </c>
      <c r="FX566" t="s">
        <v>1321</v>
      </c>
      <c r="IK566">
        <f t="shared" si="15"/>
        <v>243</v>
      </c>
    </row>
    <row r="567" spans="1:245" outlineLevel="1" x14ac:dyDescent="0.2">
      <c r="A567" t="str">
        <f t="shared" si="14"/>
        <v>Saft Kraft Monstermacht</v>
      </c>
      <c r="B567">
        <f>ROW()</f>
        <v>567</v>
      </c>
      <c r="C567" t="s">
        <v>1827</v>
      </c>
      <c r="AN567" t="s">
        <v>1827</v>
      </c>
      <c r="IK567">
        <f t="shared" si="15"/>
        <v>244</v>
      </c>
    </row>
    <row r="568" spans="1:245" outlineLevel="1" x14ac:dyDescent="0.2">
      <c r="A568" t="str">
        <f t="shared" si="14"/>
        <v>Salander Mutander</v>
      </c>
      <c r="B568">
        <f>ROW()</f>
        <v>568</v>
      </c>
      <c r="IK568">
        <f t="shared" si="15"/>
        <v>245</v>
      </c>
    </row>
    <row r="569" spans="1:245" outlineLevel="1" x14ac:dyDescent="0.2">
      <c r="A569" t="str">
        <f t="shared" si="14"/>
        <v>Sanftmut</v>
      </c>
      <c r="B569">
        <f>ROW()</f>
        <v>569</v>
      </c>
      <c r="FH569" t="s">
        <v>1321</v>
      </c>
      <c r="FI569" t="s">
        <v>1321</v>
      </c>
      <c r="FJ569" t="s">
        <v>1321</v>
      </c>
      <c r="FK569" t="s">
        <v>1321</v>
      </c>
      <c r="FL569" t="s">
        <v>1321</v>
      </c>
      <c r="FM569" t="s">
        <v>1321</v>
      </c>
      <c r="FN569" t="s">
        <v>1321</v>
      </c>
      <c r="FO569" t="s">
        <v>1321</v>
      </c>
      <c r="FP569" t="s">
        <v>1321</v>
      </c>
      <c r="FQ569" t="s">
        <v>1321</v>
      </c>
      <c r="FR569" t="s">
        <v>1321</v>
      </c>
      <c r="FS569" t="s">
        <v>1321</v>
      </c>
      <c r="FT569" t="s">
        <v>1321</v>
      </c>
      <c r="FU569" t="s">
        <v>1321</v>
      </c>
      <c r="FV569" t="s">
        <v>1321</v>
      </c>
      <c r="FW569" t="s">
        <v>1321</v>
      </c>
      <c r="FX569" t="s">
        <v>1321</v>
      </c>
      <c r="IK569">
        <f t="shared" si="15"/>
        <v>246</v>
      </c>
    </row>
    <row r="570" spans="1:245" outlineLevel="1" x14ac:dyDescent="0.2">
      <c r="A570" t="str">
        <f t="shared" si="14"/>
        <v>Sapefacta Zauberschwamm</v>
      </c>
      <c r="B570">
        <f>ROW()</f>
        <v>570</v>
      </c>
      <c r="IK570">
        <f t="shared" si="15"/>
        <v>247</v>
      </c>
    </row>
    <row r="571" spans="1:245" outlineLevel="1" x14ac:dyDescent="0.2">
      <c r="A571" t="str">
        <f t="shared" si="14"/>
        <v>Satuarias Herrlichkeit</v>
      </c>
      <c r="B571">
        <f>ROW()</f>
        <v>571</v>
      </c>
      <c r="IK571">
        <f t="shared" si="15"/>
        <v>248</v>
      </c>
    </row>
    <row r="572" spans="1:245" outlineLevel="1" x14ac:dyDescent="0.2">
      <c r="A572" t="str">
        <f t="shared" si="14"/>
        <v>Schabernack</v>
      </c>
      <c r="B572">
        <f>ROW()</f>
        <v>572</v>
      </c>
      <c r="IK572">
        <f t="shared" si="15"/>
        <v>249</v>
      </c>
    </row>
    <row r="573" spans="1:245" outlineLevel="1" x14ac:dyDescent="0.2">
      <c r="A573" t="str">
        <f t="shared" si="14"/>
        <v>Schadenszauber bannen</v>
      </c>
      <c r="B573">
        <f>ROW()</f>
        <v>573</v>
      </c>
      <c r="IK573">
        <f t="shared" si="15"/>
        <v>250</v>
      </c>
    </row>
    <row r="574" spans="1:245" outlineLevel="1" x14ac:dyDescent="0.2">
      <c r="A574" t="str">
        <f t="shared" si="14"/>
        <v>Schelmenkleister</v>
      </c>
      <c r="B574">
        <f>ROW()</f>
        <v>574</v>
      </c>
      <c r="IK574">
        <f t="shared" si="15"/>
        <v>251</v>
      </c>
    </row>
    <row r="575" spans="1:245" outlineLevel="1" x14ac:dyDescent="0.2">
      <c r="A575" t="str">
        <f t="shared" si="14"/>
        <v>Schelmenlaune</v>
      </c>
      <c r="B575">
        <f>ROW()</f>
        <v>575</v>
      </c>
      <c r="IK575">
        <f t="shared" si="15"/>
        <v>252</v>
      </c>
    </row>
    <row r="576" spans="1:245" outlineLevel="1" x14ac:dyDescent="0.2">
      <c r="A576" t="str">
        <f t="shared" si="14"/>
        <v>Schelmenmaske</v>
      </c>
      <c r="B576">
        <f>ROW()</f>
        <v>576</v>
      </c>
      <c r="IK576">
        <f t="shared" si="15"/>
        <v>253</v>
      </c>
    </row>
    <row r="577" spans="1:245" outlineLevel="1" x14ac:dyDescent="0.2">
      <c r="A577" t="str">
        <f t="shared" si="14"/>
        <v>Schelmenrausch</v>
      </c>
      <c r="B577">
        <f>ROW()</f>
        <v>577</v>
      </c>
      <c r="IK577">
        <f t="shared" si="15"/>
        <v>254</v>
      </c>
    </row>
    <row r="578" spans="1:245" outlineLevel="1" x14ac:dyDescent="0.2">
      <c r="A578" t="str">
        <f t="shared" si="14"/>
        <v>Schlangenruf</v>
      </c>
      <c r="B578">
        <f>ROW()</f>
        <v>578</v>
      </c>
      <c r="IK578">
        <f t="shared" si="15"/>
        <v>255</v>
      </c>
    </row>
    <row r="579" spans="1:245" outlineLevel="1" x14ac:dyDescent="0.2">
      <c r="A579" t="str">
        <f t="shared" si="14"/>
        <v>Schleier der Unwissenheit</v>
      </c>
      <c r="B579">
        <f>ROW()</f>
        <v>579</v>
      </c>
      <c r="IK579">
        <f t="shared" si="15"/>
        <v>256</v>
      </c>
    </row>
    <row r="580" spans="1:245" outlineLevel="1" x14ac:dyDescent="0.2">
      <c r="A580" t="str">
        <f t="shared" si="14"/>
        <v>Schwarz und Rot</v>
      </c>
      <c r="B580">
        <f>ROW()</f>
        <v>580</v>
      </c>
      <c r="IK580">
        <f t="shared" si="15"/>
        <v>257</v>
      </c>
    </row>
    <row r="581" spans="1:245" outlineLevel="1" x14ac:dyDescent="0.2">
      <c r="A581" t="str">
        <f t="shared" si="14"/>
        <v>Schwarzer Schrecken</v>
      </c>
      <c r="B581">
        <f>ROW()</f>
        <v>581</v>
      </c>
      <c r="IK581">
        <f t="shared" si="15"/>
        <v>258</v>
      </c>
    </row>
    <row r="582" spans="1:245" outlineLevel="1" x14ac:dyDescent="0.2">
      <c r="A582" t="str">
        <f t="shared" si="14"/>
        <v>Seelenfeuer lichterloh</v>
      </c>
      <c r="B582">
        <f>ROW()</f>
        <v>582</v>
      </c>
      <c r="IK582">
        <f t="shared" si="15"/>
        <v>259</v>
      </c>
    </row>
    <row r="583" spans="1:245" outlineLevel="1" x14ac:dyDescent="0.2">
      <c r="A583" t="str">
        <f t="shared" si="14"/>
        <v>Seelentier erkennen</v>
      </c>
      <c r="B583">
        <f>ROW()</f>
        <v>583</v>
      </c>
      <c r="IK583">
        <f t="shared" si="15"/>
        <v>260</v>
      </c>
    </row>
    <row r="584" spans="1:245" outlineLevel="1" x14ac:dyDescent="0.2">
      <c r="A584" t="str">
        <f t="shared" si="14"/>
        <v>Seelenwanderung</v>
      </c>
      <c r="B584">
        <f>ROW()</f>
        <v>584</v>
      </c>
      <c r="IK584">
        <f t="shared" si="15"/>
        <v>261</v>
      </c>
    </row>
    <row r="585" spans="1:245" outlineLevel="1" x14ac:dyDescent="0.2">
      <c r="A585" t="str">
        <f t="shared" si="14"/>
        <v>Seidenweich Schuppengleich</v>
      </c>
      <c r="B585">
        <f>ROW()</f>
        <v>585</v>
      </c>
      <c r="IK585">
        <f t="shared" si="15"/>
        <v>262</v>
      </c>
    </row>
    <row r="586" spans="1:245" outlineLevel="1" x14ac:dyDescent="0.2">
      <c r="A586" t="str">
        <f t="shared" si="14"/>
        <v>Seidenzunge Elfenwort</v>
      </c>
      <c r="B586">
        <f>ROW()</f>
        <v>586</v>
      </c>
      <c r="FH586" t="s">
        <v>1321</v>
      </c>
      <c r="FI586" t="s">
        <v>1321</v>
      </c>
      <c r="FJ586" t="s">
        <v>1321</v>
      </c>
      <c r="FP586" t="s">
        <v>1321</v>
      </c>
      <c r="FS586" t="s">
        <v>1321</v>
      </c>
      <c r="FT586" t="s">
        <v>1321</v>
      </c>
      <c r="IK586">
        <f t="shared" si="15"/>
        <v>263</v>
      </c>
    </row>
    <row r="587" spans="1:245" outlineLevel="1" x14ac:dyDescent="0.2">
      <c r="A587" t="str">
        <f t="shared" si="14"/>
        <v>Sensattacco Meisterstreich</v>
      </c>
      <c r="B587">
        <f>ROW()</f>
        <v>587</v>
      </c>
      <c r="IK587">
        <f t="shared" si="15"/>
        <v>264</v>
      </c>
    </row>
    <row r="588" spans="1:245" outlineLevel="1" x14ac:dyDescent="0.2">
      <c r="A588" t="str">
        <f t="shared" si="14"/>
        <v>Sensibar Empathicus</v>
      </c>
      <c r="B588">
        <f>ROW()</f>
        <v>588</v>
      </c>
      <c r="FH588" t="s">
        <v>1321</v>
      </c>
      <c r="FI588" t="s">
        <v>1321</v>
      </c>
      <c r="FJ588" t="s">
        <v>1321</v>
      </c>
      <c r="FK588" t="s">
        <v>1321</v>
      </c>
      <c r="FL588" t="s">
        <v>1321</v>
      </c>
      <c r="FM588" t="s">
        <v>1321</v>
      </c>
      <c r="FN588" t="s">
        <v>1321</v>
      </c>
      <c r="FO588" t="s">
        <v>1321</v>
      </c>
      <c r="FP588" t="s">
        <v>1321</v>
      </c>
      <c r="FQ588" t="s">
        <v>1321</v>
      </c>
      <c r="FR588" t="s">
        <v>1321</v>
      </c>
      <c r="FS588" t="s">
        <v>1321</v>
      </c>
      <c r="FT588" t="s">
        <v>1321</v>
      </c>
      <c r="FU588" t="s">
        <v>1321</v>
      </c>
      <c r="FV588" t="s">
        <v>1321</v>
      </c>
      <c r="FW588" t="s">
        <v>1321</v>
      </c>
      <c r="FX588" t="s">
        <v>1321</v>
      </c>
      <c r="IK588">
        <f t="shared" si="15"/>
        <v>265</v>
      </c>
    </row>
    <row r="589" spans="1:245" outlineLevel="1" x14ac:dyDescent="0.2">
      <c r="A589" t="str">
        <f t="shared" si="14"/>
        <v>Serpentialis Schlangenleib</v>
      </c>
      <c r="B589">
        <f>ROW()</f>
        <v>589</v>
      </c>
      <c r="IK589">
        <f t="shared" si="15"/>
        <v>266</v>
      </c>
    </row>
    <row r="590" spans="1:245" outlineLevel="1" x14ac:dyDescent="0.2">
      <c r="A590" t="str">
        <f t="shared" si="14"/>
        <v>Silentium Silentille</v>
      </c>
      <c r="B590">
        <f>ROW()</f>
        <v>590</v>
      </c>
      <c r="FH590" t="s">
        <v>1321</v>
      </c>
      <c r="FI590" t="s">
        <v>1321</v>
      </c>
      <c r="FJ590" t="s">
        <v>1321</v>
      </c>
      <c r="FK590" t="s">
        <v>1321</v>
      </c>
      <c r="FL590" t="s">
        <v>1321</v>
      </c>
      <c r="FM590" t="s">
        <v>1321</v>
      </c>
      <c r="FN590" t="s">
        <v>1321</v>
      </c>
      <c r="FO590" t="s">
        <v>1321</v>
      </c>
      <c r="FP590" t="s">
        <v>1321</v>
      </c>
      <c r="FQ590" t="s">
        <v>1321</v>
      </c>
      <c r="FR590" t="s">
        <v>1321</v>
      </c>
      <c r="FS590" t="s">
        <v>1321</v>
      </c>
      <c r="FT590" t="s">
        <v>1321</v>
      </c>
      <c r="FU590" t="s">
        <v>1321</v>
      </c>
      <c r="FV590" t="s">
        <v>1321</v>
      </c>
      <c r="FW590" t="s">
        <v>1321</v>
      </c>
      <c r="FX590" t="s">
        <v>1321</v>
      </c>
      <c r="IK590">
        <f t="shared" si="15"/>
        <v>267</v>
      </c>
    </row>
    <row r="591" spans="1:245" outlineLevel="1" x14ac:dyDescent="0.2">
      <c r="A591" t="str">
        <f t="shared" si="14"/>
        <v>Sinesigil unerkannt</v>
      </c>
      <c r="B591">
        <f>ROW()</f>
        <v>591</v>
      </c>
      <c r="IK591">
        <f t="shared" si="15"/>
        <v>268</v>
      </c>
    </row>
    <row r="592" spans="1:245" outlineLevel="1" x14ac:dyDescent="0.2">
      <c r="A592" t="str">
        <f t="shared" si="14"/>
        <v>Skelettarius Totenherr</v>
      </c>
      <c r="B592">
        <f>ROW()</f>
        <v>592</v>
      </c>
      <c r="IK592">
        <f t="shared" si="15"/>
        <v>269</v>
      </c>
    </row>
    <row r="593" spans="1:245" outlineLevel="1" x14ac:dyDescent="0.2">
      <c r="A593" t="str">
        <f t="shared" si="14"/>
        <v>Solidirid Weg aus Licht</v>
      </c>
      <c r="B593">
        <f>ROW()</f>
        <v>593</v>
      </c>
      <c r="FH593" t="s">
        <v>1321</v>
      </c>
      <c r="FI593" t="s">
        <v>1321</v>
      </c>
      <c r="FJ593" t="s">
        <v>1321</v>
      </c>
      <c r="FK593" t="s">
        <v>1321</v>
      </c>
      <c r="FL593" t="s">
        <v>1321</v>
      </c>
      <c r="FM593" t="s">
        <v>1321</v>
      </c>
      <c r="FN593" t="s">
        <v>1321</v>
      </c>
      <c r="FO593" t="s">
        <v>1321</v>
      </c>
      <c r="FP593" t="s">
        <v>1321</v>
      </c>
      <c r="FQ593" t="s">
        <v>1321</v>
      </c>
      <c r="FR593" t="s">
        <v>1321</v>
      </c>
      <c r="FS593" t="s">
        <v>1321</v>
      </c>
      <c r="FT593" t="s">
        <v>1321</v>
      </c>
      <c r="FU593" t="s">
        <v>1321</v>
      </c>
      <c r="FV593" t="s">
        <v>1321</v>
      </c>
      <c r="FW593" t="s">
        <v>1321</v>
      </c>
      <c r="FX593" t="s">
        <v>1321</v>
      </c>
      <c r="IK593">
        <f t="shared" si="15"/>
        <v>270</v>
      </c>
    </row>
    <row r="594" spans="1:245" outlineLevel="1" x14ac:dyDescent="0.2">
      <c r="A594" t="str">
        <f t="shared" ref="A594:A661" si="16">INDEX(ZAUBER,$IK594)</f>
        <v>Somnigravis tiefer Schlaf</v>
      </c>
      <c r="B594">
        <f>ROW()</f>
        <v>594</v>
      </c>
      <c r="FH594" t="s">
        <v>1321</v>
      </c>
      <c r="FI594" t="s">
        <v>1321</v>
      </c>
      <c r="FJ594" t="s">
        <v>1321</v>
      </c>
      <c r="FK594" t="s">
        <v>1321</v>
      </c>
      <c r="FL594" t="s">
        <v>1321</v>
      </c>
      <c r="FM594" t="s">
        <v>1321</v>
      </c>
      <c r="FN594" t="s">
        <v>1321</v>
      </c>
      <c r="FO594" t="s">
        <v>1321</v>
      </c>
      <c r="FP594" t="s">
        <v>1321</v>
      </c>
      <c r="FQ594" t="s">
        <v>1321</v>
      </c>
      <c r="FR594" t="s">
        <v>1321</v>
      </c>
      <c r="FS594" t="s">
        <v>1321</v>
      </c>
      <c r="FT594" t="s">
        <v>1321</v>
      </c>
      <c r="FU594" t="s">
        <v>1321</v>
      </c>
      <c r="FV594" t="s">
        <v>1321</v>
      </c>
      <c r="FW594" t="s">
        <v>1321</v>
      </c>
      <c r="FX594" t="s">
        <v>1321</v>
      </c>
      <c r="IK594">
        <f t="shared" si="15"/>
        <v>271</v>
      </c>
    </row>
    <row r="595" spans="1:245" outlineLevel="1" x14ac:dyDescent="0.2">
      <c r="A595" t="str">
        <f t="shared" si="16"/>
        <v>Spinnenlauf</v>
      </c>
      <c r="B595">
        <f>ROW()</f>
        <v>595</v>
      </c>
      <c r="IK595">
        <f t="shared" ref="IK595:IK661" si="17">ROW()-$IK$323</f>
        <v>272</v>
      </c>
    </row>
    <row r="596" spans="1:245" outlineLevel="1" x14ac:dyDescent="0.2">
      <c r="A596" t="str">
        <f t="shared" si="16"/>
        <v>Spinnenruf</v>
      </c>
      <c r="B596">
        <f>ROW()</f>
        <v>596</v>
      </c>
      <c r="IK596">
        <f t="shared" si="17"/>
        <v>273</v>
      </c>
    </row>
    <row r="597" spans="1:245" outlineLevel="1" x14ac:dyDescent="0.2">
      <c r="A597" t="str">
        <f t="shared" si="16"/>
        <v>Spurlos Trittlos</v>
      </c>
      <c r="B597">
        <f>ROW()</f>
        <v>597</v>
      </c>
      <c r="FH597" t="s">
        <v>1321</v>
      </c>
      <c r="FI597" t="s">
        <v>1321</v>
      </c>
      <c r="FJ597" t="s">
        <v>1321</v>
      </c>
      <c r="FK597" t="s">
        <v>1321</v>
      </c>
      <c r="FL597" t="s">
        <v>1321</v>
      </c>
      <c r="FM597" t="s">
        <v>1321</v>
      </c>
      <c r="FN597" t="s">
        <v>1321</v>
      </c>
      <c r="FO597" t="s">
        <v>1321</v>
      </c>
      <c r="FP597" t="s">
        <v>1321</v>
      </c>
      <c r="FQ597" t="s">
        <v>1321</v>
      </c>
      <c r="FR597" t="s">
        <v>1321</v>
      </c>
      <c r="FS597" t="s">
        <v>1321</v>
      </c>
      <c r="FT597" t="s">
        <v>1321</v>
      </c>
      <c r="FU597" t="s">
        <v>1321</v>
      </c>
      <c r="FV597" t="s">
        <v>1321</v>
      </c>
      <c r="FW597" t="s">
        <v>1321</v>
      </c>
      <c r="FX597" t="s">
        <v>1321</v>
      </c>
      <c r="IK597">
        <f t="shared" si="17"/>
        <v>274</v>
      </c>
    </row>
    <row r="598" spans="1:245" outlineLevel="1" x14ac:dyDescent="0.2">
      <c r="A598" t="str">
        <f t="shared" si="16"/>
        <v>Standfest Katzengleich</v>
      </c>
      <c r="B598">
        <f>ROW()</f>
        <v>598</v>
      </c>
      <c r="IK598">
        <f t="shared" si="17"/>
        <v>275</v>
      </c>
    </row>
    <row r="599" spans="1:245" outlineLevel="1" x14ac:dyDescent="0.2">
      <c r="A599" t="str">
        <f t="shared" si="16"/>
        <v>Staub wandle!</v>
      </c>
      <c r="B599">
        <f>ROW()</f>
        <v>599</v>
      </c>
      <c r="IK599">
        <f t="shared" si="17"/>
        <v>276</v>
      </c>
    </row>
    <row r="600" spans="1:245" outlineLevel="1" x14ac:dyDescent="0.2">
      <c r="A600" t="str">
        <f t="shared" si="16"/>
        <v>Stein wandle!</v>
      </c>
      <c r="B600">
        <f>ROW()</f>
        <v>600</v>
      </c>
      <c r="IK600">
        <f t="shared" si="17"/>
        <v>277</v>
      </c>
    </row>
    <row r="601" spans="1:245" outlineLevel="1" x14ac:dyDescent="0.2">
      <c r="A601" t="str">
        <f t="shared" si="16"/>
        <v>Steinmauer</v>
      </c>
      <c r="B601">
        <f>ROW()</f>
        <v>601</v>
      </c>
      <c r="IK601">
        <f t="shared" si="17"/>
        <v>278</v>
      </c>
    </row>
    <row r="602" spans="1:245" outlineLevel="1" x14ac:dyDescent="0.2">
      <c r="A602" t="str">
        <f t="shared" si="16"/>
        <v>Stillstand</v>
      </c>
      <c r="B602">
        <f>ROW()</f>
        <v>602</v>
      </c>
      <c r="IK602">
        <f t="shared" si="17"/>
        <v>279</v>
      </c>
    </row>
    <row r="603" spans="1:245" outlineLevel="1" x14ac:dyDescent="0.2">
      <c r="A603" t="str">
        <f t="shared" si="16"/>
        <v>Stimme des Windes</v>
      </c>
      <c r="B603">
        <f>ROW()</f>
        <v>603</v>
      </c>
      <c r="IK603">
        <f t="shared" si="17"/>
        <v>280</v>
      </c>
    </row>
    <row r="604" spans="1:245" outlineLevel="1" x14ac:dyDescent="0.2">
      <c r="A604" t="str">
        <f t="shared" si="16"/>
        <v>Sumpfstrudel</v>
      </c>
      <c r="B604">
        <f>ROW()</f>
        <v>604</v>
      </c>
      <c r="IK604">
        <f t="shared" si="17"/>
        <v>281</v>
      </c>
    </row>
    <row r="605" spans="1:245" outlineLevel="1" x14ac:dyDescent="0.2">
      <c r="A605" t="str">
        <f t="shared" si="16"/>
        <v>Sumus Elixiere</v>
      </c>
      <c r="B605">
        <f>ROW()</f>
        <v>605</v>
      </c>
      <c r="IK605">
        <f t="shared" si="17"/>
        <v>282</v>
      </c>
    </row>
    <row r="606" spans="1:245" outlineLevel="1" x14ac:dyDescent="0.2">
      <c r="A606" t="str">
        <f t="shared" si="16"/>
        <v>Tauschrausch</v>
      </c>
      <c r="B606">
        <f>ROW()</f>
        <v>606</v>
      </c>
      <c r="C606" t="s">
        <v>4173</v>
      </c>
      <c r="AN606" t="s">
        <v>4173</v>
      </c>
      <c r="IK606">
        <f t="shared" si="17"/>
        <v>283</v>
      </c>
    </row>
    <row r="607" spans="1:245" outlineLevel="1" x14ac:dyDescent="0.2">
      <c r="A607" t="str">
        <f t="shared" si="16"/>
        <v>Tempus Stasis</v>
      </c>
      <c r="B607">
        <f>ROW()</f>
        <v>607</v>
      </c>
      <c r="IK607">
        <f t="shared" si="17"/>
        <v>284</v>
      </c>
    </row>
    <row r="608" spans="1:245" outlineLevel="1" x14ac:dyDescent="0.2">
      <c r="A608" t="str">
        <f t="shared" si="16"/>
        <v>Targunitothbann</v>
      </c>
      <c r="B608">
        <f>ROW()</f>
        <v>608</v>
      </c>
      <c r="IK608">
        <f t="shared" si="17"/>
        <v>285</v>
      </c>
    </row>
    <row r="609" spans="1:245" outlineLevel="1" x14ac:dyDescent="0.2">
      <c r="A609" t="str">
        <f t="shared" si="16"/>
        <v>Tiere besprechen</v>
      </c>
      <c r="B609">
        <f>ROW()</f>
        <v>609</v>
      </c>
      <c r="IK609">
        <f t="shared" si="17"/>
        <v>286</v>
      </c>
    </row>
    <row r="610" spans="1:245" outlineLevel="1" x14ac:dyDescent="0.2">
      <c r="A610" t="str">
        <f t="shared" si="16"/>
        <v>Tiergedanken</v>
      </c>
      <c r="B610">
        <f>ROW()</f>
        <v>610</v>
      </c>
      <c r="FH610" t="s">
        <v>1321</v>
      </c>
      <c r="FI610" t="s">
        <v>1321</v>
      </c>
      <c r="FJ610" t="s">
        <v>1321</v>
      </c>
      <c r="FK610" t="s">
        <v>1321</v>
      </c>
      <c r="FL610" t="s">
        <v>1321</v>
      </c>
      <c r="FM610" t="s">
        <v>1321</v>
      </c>
      <c r="FN610" t="s">
        <v>1321</v>
      </c>
      <c r="FO610" t="s">
        <v>1321</v>
      </c>
      <c r="FP610" t="s">
        <v>1321</v>
      </c>
      <c r="FQ610" t="s">
        <v>1321</v>
      </c>
      <c r="FR610" t="s">
        <v>1321</v>
      </c>
      <c r="FS610" t="s">
        <v>1321</v>
      </c>
      <c r="FT610" t="s">
        <v>1321</v>
      </c>
      <c r="FU610" t="s">
        <v>1321</v>
      </c>
      <c r="FV610" t="s">
        <v>1321</v>
      </c>
      <c r="FW610" t="s">
        <v>1321</v>
      </c>
      <c r="FX610" t="s">
        <v>1321</v>
      </c>
      <c r="IK610">
        <f t="shared" si="17"/>
        <v>287</v>
      </c>
    </row>
    <row r="611" spans="1:245" outlineLevel="1" x14ac:dyDescent="0.2">
      <c r="A611" t="str">
        <f t="shared" si="16"/>
        <v>Tlalucs Odem Pestgestank</v>
      </c>
      <c r="B611">
        <f>ROW()</f>
        <v>611</v>
      </c>
      <c r="IK611">
        <f t="shared" si="17"/>
        <v>288</v>
      </c>
    </row>
    <row r="612" spans="1:245" outlineLevel="1" x14ac:dyDescent="0.2">
      <c r="A612" t="str">
        <f t="shared" si="16"/>
        <v>Totes handle!</v>
      </c>
      <c r="B612">
        <f>ROW()</f>
        <v>612</v>
      </c>
      <c r="IK612">
        <f t="shared" si="17"/>
        <v>289</v>
      </c>
    </row>
    <row r="613" spans="1:245" outlineLevel="1" x14ac:dyDescent="0.2">
      <c r="A613" t="str">
        <f t="shared" si="16"/>
        <v>Transformatio Formgestalt</v>
      </c>
      <c r="B613">
        <f>ROW()</f>
        <v>613</v>
      </c>
      <c r="IK613">
        <f t="shared" si="17"/>
        <v>290</v>
      </c>
    </row>
    <row r="614" spans="1:245" outlineLevel="1" x14ac:dyDescent="0.2">
      <c r="A614" t="str">
        <f t="shared" si="16"/>
        <v>Transmutare Körperform</v>
      </c>
      <c r="B614">
        <f>ROW()</f>
        <v>614</v>
      </c>
      <c r="IK614">
        <f t="shared" si="17"/>
        <v>291</v>
      </c>
    </row>
    <row r="615" spans="1:245" outlineLevel="1" x14ac:dyDescent="0.2">
      <c r="A615" t="str">
        <f t="shared" si="16"/>
        <v>Transversalis Teleport</v>
      </c>
      <c r="B615">
        <f>ROW()</f>
        <v>615</v>
      </c>
      <c r="IK615">
        <f t="shared" si="17"/>
        <v>292</v>
      </c>
    </row>
    <row r="616" spans="1:245" outlineLevel="1" x14ac:dyDescent="0.2">
      <c r="A616" t="str">
        <f t="shared" si="16"/>
        <v>Traumgestalt</v>
      </c>
      <c r="B616">
        <f>ROW()</f>
        <v>616</v>
      </c>
      <c r="FH616" t="s">
        <v>1321</v>
      </c>
      <c r="FI616" t="s">
        <v>1321</v>
      </c>
      <c r="FJ616" t="s">
        <v>1321</v>
      </c>
      <c r="FK616" t="s">
        <v>1321</v>
      </c>
      <c r="FL616" t="s">
        <v>1321</v>
      </c>
      <c r="FM616" t="s">
        <v>1321</v>
      </c>
      <c r="FN616" t="s">
        <v>1321</v>
      </c>
      <c r="FO616" t="s">
        <v>1321</v>
      </c>
      <c r="FP616" t="s">
        <v>1321</v>
      </c>
      <c r="FQ616" t="s">
        <v>1321</v>
      </c>
      <c r="FR616" t="s">
        <v>1321</v>
      </c>
      <c r="FS616" t="s">
        <v>1321</v>
      </c>
      <c r="FT616" t="s">
        <v>1321</v>
      </c>
      <c r="FU616" t="s">
        <v>1321</v>
      </c>
      <c r="FV616" t="s">
        <v>1321</v>
      </c>
      <c r="FW616" t="s">
        <v>1321</v>
      </c>
      <c r="FX616" t="s">
        <v>1321</v>
      </c>
      <c r="IK616">
        <f t="shared" si="17"/>
        <v>293</v>
      </c>
    </row>
    <row r="617" spans="1:245" outlineLevel="1" x14ac:dyDescent="0.2">
      <c r="A617" t="str">
        <f t="shared" si="16"/>
        <v>Unberührt von Satinav</v>
      </c>
      <c r="B617">
        <f>ROW()</f>
        <v>617</v>
      </c>
      <c r="C617" t="s">
        <v>4172</v>
      </c>
      <c r="AN617" t="s">
        <v>4172</v>
      </c>
      <c r="IK617">
        <f t="shared" si="17"/>
        <v>294</v>
      </c>
    </row>
    <row r="618" spans="1:245" outlineLevel="1" x14ac:dyDescent="0.2">
      <c r="A618" t="str">
        <f t="shared" si="16"/>
        <v>Unbraporta Schattentür</v>
      </c>
      <c r="B618">
        <f>ROW()</f>
        <v>618</v>
      </c>
      <c r="IK618">
        <f t="shared" si="17"/>
        <v>295</v>
      </c>
    </row>
    <row r="619" spans="1:245" outlineLevel="1" x14ac:dyDescent="0.2">
      <c r="A619" t="str">
        <f t="shared" si="16"/>
        <v>Unitatio Geistesbund</v>
      </c>
      <c r="B619">
        <f>ROW()</f>
        <v>619</v>
      </c>
      <c r="FH619" t="s">
        <v>1321</v>
      </c>
      <c r="FI619" t="s">
        <v>1321</v>
      </c>
      <c r="FJ619" t="s">
        <v>1321</v>
      </c>
      <c r="FK619" t="s">
        <v>1321</v>
      </c>
      <c r="FL619" t="s">
        <v>1321</v>
      </c>
      <c r="FM619" t="s">
        <v>1321</v>
      </c>
      <c r="FN619" t="s">
        <v>1321</v>
      </c>
      <c r="FO619" t="s">
        <v>1321</v>
      </c>
      <c r="FP619" t="s">
        <v>1321</v>
      </c>
      <c r="FQ619" t="s">
        <v>1321</v>
      </c>
      <c r="FR619" t="s">
        <v>1321</v>
      </c>
      <c r="FS619" t="s">
        <v>1321</v>
      </c>
      <c r="FT619" t="s">
        <v>1321</v>
      </c>
      <c r="FU619" t="s">
        <v>1321</v>
      </c>
      <c r="FV619" t="s">
        <v>1321</v>
      </c>
      <c r="FW619" t="s">
        <v>1321</v>
      </c>
      <c r="FX619" t="s">
        <v>1321</v>
      </c>
      <c r="IK619">
        <f t="shared" si="17"/>
        <v>296</v>
      </c>
    </row>
    <row r="620" spans="1:245" outlineLevel="1" x14ac:dyDescent="0.2">
      <c r="A620" t="str">
        <f t="shared" si="16"/>
        <v>Unsichtbarer Jäger</v>
      </c>
      <c r="B620">
        <f>ROW()</f>
        <v>620</v>
      </c>
      <c r="IK620">
        <f t="shared" si="17"/>
        <v>297</v>
      </c>
    </row>
    <row r="621" spans="1:245" outlineLevel="1" x14ac:dyDescent="0.2">
      <c r="A621" t="str">
        <f t="shared" si="16"/>
        <v>Valetudo Lebenskraft</v>
      </c>
      <c r="B621">
        <f>ROW()</f>
        <v>621</v>
      </c>
      <c r="C621" t="s">
        <v>4588</v>
      </c>
      <c r="AN621" t="s">
        <v>4588</v>
      </c>
      <c r="IK621">
        <f t="shared" si="17"/>
        <v>298</v>
      </c>
    </row>
    <row r="622" spans="1:245" outlineLevel="1" x14ac:dyDescent="0.2">
      <c r="A622" t="str">
        <f t="shared" si="16"/>
        <v>Veränderung aufheben</v>
      </c>
      <c r="B622">
        <f>ROW()</f>
        <v>622</v>
      </c>
      <c r="IK622">
        <f t="shared" si="17"/>
        <v>299</v>
      </c>
    </row>
    <row r="623" spans="1:245" outlineLevel="1" x14ac:dyDescent="0.2">
      <c r="A623" t="str">
        <f t="shared" si="16"/>
        <v>Verschwindibus</v>
      </c>
      <c r="B623">
        <f>ROW()</f>
        <v>623</v>
      </c>
      <c r="IK623">
        <f t="shared" si="17"/>
        <v>300</v>
      </c>
    </row>
    <row r="624" spans="1:245" outlineLevel="1" x14ac:dyDescent="0.2">
      <c r="A624" t="str">
        <f t="shared" si="16"/>
        <v>Verständigung stören</v>
      </c>
      <c r="B624">
        <f>ROW()</f>
        <v>624</v>
      </c>
      <c r="FH624" t="s">
        <v>1321</v>
      </c>
      <c r="FI624" t="s">
        <v>1321</v>
      </c>
      <c r="FJ624" t="s">
        <v>1321</v>
      </c>
      <c r="FK624" t="s">
        <v>1321</v>
      </c>
      <c r="FL624" t="s">
        <v>1321</v>
      </c>
      <c r="FM624" t="s">
        <v>1321</v>
      </c>
      <c r="FN624" t="s">
        <v>1321</v>
      </c>
      <c r="FO624" t="s">
        <v>1321</v>
      </c>
      <c r="FP624" t="s">
        <v>1321</v>
      </c>
      <c r="FQ624" t="s">
        <v>1321</v>
      </c>
      <c r="FR624" t="s">
        <v>1321</v>
      </c>
      <c r="FS624" t="s">
        <v>1321</v>
      </c>
      <c r="FT624" t="s">
        <v>1321</v>
      </c>
      <c r="FU624" t="s">
        <v>1321</v>
      </c>
      <c r="FV624" t="s">
        <v>1321</v>
      </c>
      <c r="FW624" t="s">
        <v>1321</v>
      </c>
      <c r="FX624" t="s">
        <v>1321</v>
      </c>
      <c r="IK624">
        <f t="shared" si="17"/>
        <v>301</v>
      </c>
    </row>
    <row r="625" spans="1:245" outlineLevel="1" x14ac:dyDescent="0.2">
      <c r="A625" t="str">
        <f t="shared" si="16"/>
        <v>Verwandlung beenden</v>
      </c>
      <c r="B625">
        <f>ROW()</f>
        <v>625</v>
      </c>
      <c r="IK625">
        <f t="shared" si="17"/>
        <v>302</v>
      </c>
    </row>
    <row r="626" spans="1:245" outlineLevel="1" x14ac:dyDescent="0.2">
      <c r="A626" t="str">
        <f t="shared" si="16"/>
        <v>Vipernblick</v>
      </c>
      <c r="B626">
        <f>ROW()</f>
        <v>626</v>
      </c>
      <c r="IK626">
        <f t="shared" si="17"/>
        <v>303</v>
      </c>
    </row>
    <row r="627" spans="1:245" outlineLevel="1" x14ac:dyDescent="0.2">
      <c r="A627" t="str">
        <f t="shared" si="16"/>
        <v>Visibili Vanitar</v>
      </c>
      <c r="B627">
        <f>ROW()</f>
        <v>627</v>
      </c>
      <c r="FH627" t="s">
        <v>1321</v>
      </c>
      <c r="FI627" t="s">
        <v>1321</v>
      </c>
      <c r="FJ627" t="s">
        <v>1321</v>
      </c>
      <c r="FK627" t="s">
        <v>1321</v>
      </c>
      <c r="FL627" t="s">
        <v>1321</v>
      </c>
      <c r="FM627" t="s">
        <v>1321</v>
      </c>
      <c r="FN627" t="s">
        <v>1321</v>
      </c>
      <c r="FO627" t="s">
        <v>1321</v>
      </c>
      <c r="FP627" t="s">
        <v>1321</v>
      </c>
      <c r="FQ627" t="s">
        <v>1321</v>
      </c>
      <c r="FR627" t="s">
        <v>1321</v>
      </c>
      <c r="FS627" t="s">
        <v>1321</v>
      </c>
      <c r="FT627" t="s">
        <v>1321</v>
      </c>
      <c r="FU627" t="s">
        <v>1321</v>
      </c>
      <c r="FV627" t="s">
        <v>1321</v>
      </c>
      <c r="FW627" t="s">
        <v>1321</v>
      </c>
      <c r="FX627" t="s">
        <v>1321</v>
      </c>
      <c r="IK627">
        <f t="shared" si="17"/>
        <v>304</v>
      </c>
    </row>
    <row r="628" spans="1:245" outlineLevel="1" x14ac:dyDescent="0.2">
      <c r="A628" t="str">
        <f t="shared" si="16"/>
        <v>Vocolimbo hohler Klang</v>
      </c>
      <c r="B628">
        <f>ROW()</f>
        <v>628</v>
      </c>
      <c r="IK628">
        <f t="shared" si="17"/>
        <v>305</v>
      </c>
    </row>
    <row r="629" spans="1:245" outlineLevel="1" x14ac:dyDescent="0.2">
      <c r="A629" t="str">
        <f t="shared" si="16"/>
        <v>Vogelzwitschern Glockenspiel</v>
      </c>
      <c r="B629">
        <f>ROW()</f>
        <v>629</v>
      </c>
      <c r="IK629">
        <f t="shared" si="17"/>
        <v>306</v>
      </c>
    </row>
    <row r="630" spans="1:245" outlineLevel="1" x14ac:dyDescent="0.2">
      <c r="A630" t="str">
        <f t="shared" si="16"/>
        <v>Wand aus Dornen</v>
      </c>
      <c r="B630">
        <f>ROW()</f>
        <v>630</v>
      </c>
      <c r="C630" t="s">
        <v>4171</v>
      </c>
      <c r="AN630" t="s">
        <v>4171</v>
      </c>
      <c r="IK630">
        <f t="shared" si="17"/>
        <v>307</v>
      </c>
    </row>
    <row r="631" spans="1:245" outlineLevel="1" x14ac:dyDescent="0.2">
      <c r="A631" t="str">
        <f t="shared" si="16"/>
        <v>Wand aus Erz</v>
      </c>
      <c r="B631">
        <f>ROW()</f>
        <v>631</v>
      </c>
      <c r="IK631">
        <f t="shared" si="17"/>
        <v>308</v>
      </c>
    </row>
    <row r="632" spans="1:245" outlineLevel="1" x14ac:dyDescent="0.2">
      <c r="A632" t="str">
        <f t="shared" si="16"/>
        <v>Wand aus Flammen</v>
      </c>
      <c r="B632">
        <f>ROW()</f>
        <v>632</v>
      </c>
      <c r="IK632">
        <f t="shared" si="17"/>
        <v>309</v>
      </c>
    </row>
    <row r="633" spans="1:245" outlineLevel="1" x14ac:dyDescent="0.2">
      <c r="A633" t="str">
        <f t="shared" si="16"/>
        <v>Wand aus Wogen</v>
      </c>
      <c r="B633">
        <f>ROW()</f>
        <v>633</v>
      </c>
      <c r="IK633">
        <f t="shared" si="17"/>
        <v>310</v>
      </c>
    </row>
    <row r="634" spans="1:245" outlineLevel="1" x14ac:dyDescent="0.2">
      <c r="A634" t="str">
        <f t="shared" si="16"/>
        <v>Warmes Blut</v>
      </c>
      <c r="B634">
        <f>ROW()</f>
        <v>634</v>
      </c>
      <c r="IK634">
        <f t="shared" si="17"/>
        <v>311</v>
      </c>
    </row>
    <row r="635" spans="1:245" outlineLevel="1" x14ac:dyDescent="0.2">
      <c r="A635" t="str">
        <f t="shared" si="16"/>
        <v>Warmes Gefriere</v>
      </c>
      <c r="B635">
        <f>ROW()</f>
        <v>635</v>
      </c>
      <c r="IK635">
        <f t="shared" si="17"/>
        <v>312</v>
      </c>
    </row>
    <row r="636" spans="1:245" outlineLevel="1" x14ac:dyDescent="0.2">
      <c r="A636" t="str">
        <f t="shared" si="16"/>
        <v>Wasseratem</v>
      </c>
      <c r="B636">
        <f>ROW()</f>
        <v>636</v>
      </c>
      <c r="FH636" t="s">
        <v>1321</v>
      </c>
      <c r="FI636" t="s">
        <v>1321</v>
      </c>
      <c r="FJ636" t="s">
        <v>1321</v>
      </c>
      <c r="FK636" t="s">
        <v>1321</v>
      </c>
      <c r="FL636" t="s">
        <v>1321</v>
      </c>
      <c r="FM636" t="s">
        <v>1321</v>
      </c>
      <c r="FN636" t="s">
        <v>1321</v>
      </c>
      <c r="FO636" t="s">
        <v>1321</v>
      </c>
      <c r="FP636" t="s">
        <v>1321</v>
      </c>
      <c r="FQ636" t="s">
        <v>1321</v>
      </c>
      <c r="FR636" t="s">
        <v>1321</v>
      </c>
      <c r="FS636" t="s">
        <v>1321</v>
      </c>
      <c r="FT636" t="s">
        <v>1321</v>
      </c>
      <c r="FU636" t="s">
        <v>1321</v>
      </c>
      <c r="FV636" t="s">
        <v>1321</v>
      </c>
      <c r="FW636" t="s">
        <v>1321</v>
      </c>
      <c r="FX636" t="s">
        <v>1321</v>
      </c>
      <c r="IK636">
        <f t="shared" si="17"/>
        <v>313</v>
      </c>
    </row>
    <row r="637" spans="1:245" outlineLevel="1" x14ac:dyDescent="0.2">
      <c r="A637" t="str">
        <f t="shared" si="16"/>
        <v>Wasserbann</v>
      </c>
      <c r="B637">
        <f>ROW()</f>
        <v>637</v>
      </c>
      <c r="IK637">
        <f t="shared" si="17"/>
        <v>314</v>
      </c>
    </row>
    <row r="638" spans="1:245" outlineLevel="1" x14ac:dyDescent="0.2">
      <c r="A638" t="str">
        <f t="shared" si="16"/>
        <v>Wasserwall</v>
      </c>
      <c r="B638">
        <f>ROW()</f>
        <v>638</v>
      </c>
      <c r="IK638">
        <f t="shared" si="17"/>
        <v>315</v>
      </c>
    </row>
    <row r="639" spans="1:245" outlineLevel="1" x14ac:dyDescent="0.2">
      <c r="A639" t="str">
        <f t="shared" si="16"/>
        <v>Weiches erstarre!</v>
      </c>
      <c r="B639">
        <f>ROW()</f>
        <v>639</v>
      </c>
      <c r="IK639">
        <f t="shared" si="17"/>
        <v>316</v>
      </c>
    </row>
    <row r="640" spans="1:245" outlineLevel="1" x14ac:dyDescent="0.2">
      <c r="A640" t="str">
        <f t="shared" si="16"/>
        <v>Weihrauchwolke Wohlgeruch</v>
      </c>
      <c r="B640">
        <f>ROW()</f>
        <v>640</v>
      </c>
      <c r="IK640">
        <f t="shared" si="17"/>
        <v>317</v>
      </c>
    </row>
    <row r="641" spans="1:245" outlineLevel="1" x14ac:dyDescent="0.2">
      <c r="A641" t="str">
        <f t="shared" si="16"/>
        <v>Weisheit der Bäume</v>
      </c>
      <c r="B641">
        <f>ROW()</f>
        <v>641</v>
      </c>
      <c r="IK641">
        <f t="shared" si="17"/>
        <v>318</v>
      </c>
    </row>
    <row r="642" spans="1:245" outlineLevel="1" x14ac:dyDescent="0.2">
      <c r="A642" t="str">
        <f t="shared" si="16"/>
        <v>Weisse Mähn' und gold'ner Huf</v>
      </c>
      <c r="B642">
        <f>ROW()</f>
        <v>642</v>
      </c>
      <c r="FH642" t="s">
        <v>1321</v>
      </c>
      <c r="FI642" t="s">
        <v>1321</v>
      </c>
      <c r="FJ642" t="s">
        <v>1321</v>
      </c>
      <c r="FP642" t="s">
        <v>1321</v>
      </c>
      <c r="FS642" t="s">
        <v>1321</v>
      </c>
      <c r="FT642" t="s">
        <v>1321</v>
      </c>
      <c r="IK642">
        <f t="shared" si="17"/>
        <v>319</v>
      </c>
    </row>
    <row r="643" spans="1:245" outlineLevel="1" x14ac:dyDescent="0.2">
      <c r="A643" t="str">
        <f t="shared" si="16"/>
        <v>Wellenlauf</v>
      </c>
      <c r="B643">
        <f>ROW()</f>
        <v>643</v>
      </c>
      <c r="FH643" t="s">
        <v>1321</v>
      </c>
      <c r="FI643" t="s">
        <v>1321</v>
      </c>
      <c r="FJ643" t="s">
        <v>1321</v>
      </c>
      <c r="FK643" t="s">
        <v>1321</v>
      </c>
      <c r="FL643" t="s">
        <v>1321</v>
      </c>
      <c r="FM643" t="s">
        <v>1321</v>
      </c>
      <c r="FN643" t="s">
        <v>1321</v>
      </c>
      <c r="FO643" t="s">
        <v>1321</v>
      </c>
      <c r="FP643" t="s">
        <v>1321</v>
      </c>
      <c r="FQ643" t="s">
        <v>1321</v>
      </c>
      <c r="FR643" t="s">
        <v>1321</v>
      </c>
      <c r="FS643" t="s">
        <v>1321</v>
      </c>
      <c r="FT643" t="s">
        <v>1321</v>
      </c>
      <c r="IK643">
        <f t="shared" si="17"/>
        <v>320</v>
      </c>
    </row>
    <row r="644" spans="1:245" outlineLevel="1" x14ac:dyDescent="0.2">
      <c r="A644" t="str">
        <f t="shared" si="16"/>
        <v>Wettermeisterschaft</v>
      </c>
      <c r="B644">
        <f>ROW()</f>
        <v>644</v>
      </c>
      <c r="IK644">
        <f t="shared" si="17"/>
        <v>321</v>
      </c>
    </row>
    <row r="645" spans="1:245" outlineLevel="1" x14ac:dyDescent="0.2">
      <c r="A645" t="str">
        <f t="shared" si="16"/>
        <v>Widerwille Ungemach</v>
      </c>
      <c r="B645">
        <f>ROW()</f>
        <v>645</v>
      </c>
      <c r="IK645">
        <f t="shared" si="17"/>
        <v>322</v>
      </c>
    </row>
    <row r="646" spans="1:245" outlineLevel="1" x14ac:dyDescent="0.2">
      <c r="A646" t="str">
        <f t="shared" si="16"/>
        <v>Windbarriere</v>
      </c>
      <c r="B646">
        <f>ROW()</f>
        <v>646</v>
      </c>
      <c r="IK646">
        <f t="shared" si="17"/>
        <v>323</v>
      </c>
    </row>
    <row r="647" spans="1:245" outlineLevel="1" x14ac:dyDescent="0.2">
      <c r="A647" t="str">
        <f t="shared" si="16"/>
        <v>Windgeflüster</v>
      </c>
      <c r="B647">
        <f>ROW()</f>
        <v>647</v>
      </c>
      <c r="IK647">
        <f t="shared" si="17"/>
        <v>324</v>
      </c>
    </row>
    <row r="648" spans="1:245" outlineLevel="1" x14ac:dyDescent="0.2">
      <c r="A648" t="str">
        <f t="shared" si="16"/>
        <v>Windhose</v>
      </c>
      <c r="B648">
        <f>ROW()</f>
        <v>648</v>
      </c>
      <c r="IK648">
        <f t="shared" si="17"/>
        <v>325</v>
      </c>
    </row>
    <row r="649" spans="1:245" outlineLevel="1" x14ac:dyDescent="0.2">
      <c r="A649" t="str">
        <f t="shared" si="16"/>
        <v>Windstille</v>
      </c>
      <c r="B649">
        <f>ROW()</f>
        <v>649</v>
      </c>
      <c r="FH649" t="s">
        <v>1321</v>
      </c>
      <c r="FI649" t="s">
        <v>1321</v>
      </c>
      <c r="FJ649" t="s">
        <v>1321</v>
      </c>
      <c r="FK649" t="s">
        <v>1321</v>
      </c>
      <c r="FL649" t="s">
        <v>1321</v>
      </c>
      <c r="FM649" t="s">
        <v>1321</v>
      </c>
      <c r="FN649" t="s">
        <v>1321</v>
      </c>
      <c r="FO649" t="s">
        <v>1321</v>
      </c>
      <c r="FP649" t="s">
        <v>1321</v>
      </c>
      <c r="FQ649" t="s">
        <v>1321</v>
      </c>
      <c r="FR649" t="s">
        <v>1321</v>
      </c>
      <c r="FS649" t="s">
        <v>1321</v>
      </c>
      <c r="FT649" t="s">
        <v>1321</v>
      </c>
      <c r="FU649" t="s">
        <v>1321</v>
      </c>
      <c r="FV649" t="s">
        <v>1321</v>
      </c>
      <c r="FW649" t="s">
        <v>1321</v>
      </c>
      <c r="FX649" t="s">
        <v>1321</v>
      </c>
      <c r="IK649">
        <f t="shared" si="17"/>
        <v>326</v>
      </c>
    </row>
    <row r="650" spans="1:245" outlineLevel="1" x14ac:dyDescent="0.2">
      <c r="A650" t="str">
        <f t="shared" si="16"/>
        <v>Wipfellauf</v>
      </c>
      <c r="B650">
        <f>ROW()</f>
        <v>650</v>
      </c>
      <c r="FP650" t="s">
        <v>1321</v>
      </c>
      <c r="FT650" t="s">
        <v>1321</v>
      </c>
      <c r="IK650">
        <f t="shared" si="17"/>
        <v>327</v>
      </c>
    </row>
    <row r="651" spans="1:245" outlineLevel="1" x14ac:dyDescent="0.2">
      <c r="A651" t="str">
        <f t="shared" si="16"/>
        <v>Xenographus Schriftenkunde</v>
      </c>
      <c r="B651">
        <f>ROW()</f>
        <v>651</v>
      </c>
      <c r="C651" t="s">
        <v>4170</v>
      </c>
      <c r="AN651" t="s">
        <v>4170</v>
      </c>
      <c r="IK651">
        <f t="shared" si="17"/>
        <v>328</v>
      </c>
    </row>
    <row r="652" spans="1:245" outlineLevel="1" x14ac:dyDescent="0.2">
      <c r="A652" t="str">
        <f t="shared" si="16"/>
        <v>Zagibu Ubigaz</v>
      </c>
      <c r="B652">
        <f>ROW()</f>
        <v>652</v>
      </c>
      <c r="IK652">
        <f t="shared" si="17"/>
        <v>329</v>
      </c>
    </row>
    <row r="653" spans="1:245" outlineLevel="1" x14ac:dyDescent="0.2">
      <c r="A653" t="str">
        <f t="shared" si="16"/>
        <v>Zappenduster</v>
      </c>
      <c r="B653">
        <f>ROW()</f>
        <v>653</v>
      </c>
      <c r="IK653">
        <f t="shared" si="17"/>
        <v>330</v>
      </c>
    </row>
    <row r="654" spans="1:245" outlineLevel="1" x14ac:dyDescent="0.2">
      <c r="A654" t="str">
        <f t="shared" si="16"/>
        <v>Zauberklinge Geisterspeer</v>
      </c>
      <c r="B654">
        <f>ROW()</f>
        <v>654</v>
      </c>
      <c r="IK654">
        <f t="shared" si="17"/>
        <v>331</v>
      </c>
    </row>
    <row r="655" spans="1:245" outlineLevel="1" x14ac:dyDescent="0.2">
      <c r="A655" t="str">
        <f t="shared" si="16"/>
        <v>Zaubernahrung Hungerbann</v>
      </c>
      <c r="B655">
        <f>ROW()</f>
        <v>655</v>
      </c>
      <c r="FH655" t="s">
        <v>1321</v>
      </c>
      <c r="FI655" t="s">
        <v>1321</v>
      </c>
      <c r="FJ655" t="s">
        <v>1321</v>
      </c>
      <c r="FO655" t="s">
        <v>1321</v>
      </c>
      <c r="FS655" t="s">
        <v>1321</v>
      </c>
      <c r="FU655" t="s">
        <v>1321</v>
      </c>
      <c r="FV655" t="s">
        <v>1321</v>
      </c>
      <c r="FW655" t="s">
        <v>1321</v>
      </c>
      <c r="FX655" t="s">
        <v>1321</v>
      </c>
      <c r="IK655">
        <f t="shared" si="17"/>
        <v>332</v>
      </c>
    </row>
    <row r="656" spans="1:245" outlineLevel="1" x14ac:dyDescent="0.2">
      <c r="A656" t="str">
        <f t="shared" si="16"/>
        <v>Zauberwesen der Natur</v>
      </c>
      <c r="B656">
        <f>ROW()</f>
        <v>656</v>
      </c>
      <c r="IK656">
        <f t="shared" si="17"/>
        <v>333</v>
      </c>
    </row>
    <row r="657" spans="1:245" outlineLevel="1" x14ac:dyDescent="0.2">
      <c r="A657" t="str">
        <f t="shared" si="16"/>
        <v>Zauberzwang</v>
      </c>
      <c r="B657">
        <f>ROW()</f>
        <v>657</v>
      </c>
      <c r="IK657">
        <f t="shared" si="17"/>
        <v>334</v>
      </c>
    </row>
    <row r="658" spans="1:245" outlineLevel="1" x14ac:dyDescent="0.2">
      <c r="A658" t="str">
        <f t="shared" si="16"/>
        <v>Zorn der Elemente</v>
      </c>
      <c r="B658">
        <f>ROW()</f>
        <v>658</v>
      </c>
      <c r="IK658">
        <f t="shared" si="17"/>
        <v>335</v>
      </c>
    </row>
    <row r="659" spans="1:245" outlineLevel="1" x14ac:dyDescent="0.2">
      <c r="A659" t="str">
        <f t="shared" si="16"/>
        <v>Zunge lähmen</v>
      </c>
      <c r="B659">
        <f>ROW()</f>
        <v>659</v>
      </c>
      <c r="IK659">
        <f t="shared" si="17"/>
        <v>336</v>
      </c>
    </row>
    <row r="660" spans="1:245" outlineLevel="1" x14ac:dyDescent="0.2">
      <c r="A660" t="str">
        <f t="shared" si="16"/>
        <v>Zwang zur Wahrheit</v>
      </c>
      <c r="B660">
        <f>ROW()</f>
        <v>660</v>
      </c>
      <c r="IK660">
        <f t="shared" si="17"/>
        <v>337</v>
      </c>
    </row>
    <row r="661" spans="1:245" outlineLevel="1" x14ac:dyDescent="0.2">
      <c r="A661" t="str">
        <f t="shared" si="16"/>
        <v>Zwingtanz</v>
      </c>
      <c r="B661">
        <f>ROW()</f>
        <v>661</v>
      </c>
      <c r="IK661">
        <f t="shared" si="17"/>
        <v>338</v>
      </c>
    </row>
    <row r="662" spans="1:245" outlineLevel="1" x14ac:dyDescent="0.2"/>
    <row r="663" spans="1:245" outlineLevel="1" x14ac:dyDescent="0.2"/>
    <row r="664" spans="1:245" outlineLevel="1" x14ac:dyDescent="0.2"/>
    <row r="665" spans="1:245" outlineLevel="1" x14ac:dyDescent="0.2"/>
    <row r="666" spans="1:245" outlineLevel="1" x14ac:dyDescent="0.2"/>
    <row r="667" spans="1:245" outlineLevel="1" x14ac:dyDescent="0.2"/>
    <row r="668" spans="1:245" outlineLevel="1" x14ac:dyDescent="0.2"/>
    <row r="669" spans="1:245" outlineLevel="1" x14ac:dyDescent="0.2"/>
    <row r="670" spans="1:245" outlineLevel="1" x14ac:dyDescent="0.2"/>
    <row r="671" spans="1:245" outlineLevel="1" x14ac:dyDescent="0.2"/>
    <row r="672" spans="1:245" outlineLevel="1" x14ac:dyDescent="0.2"/>
    <row r="673" outlineLevel="1" x14ac:dyDescent="0.2"/>
    <row r="674" outlineLevel="1" x14ac:dyDescent="0.2"/>
    <row r="675" outlineLevel="1" x14ac:dyDescent="0.2"/>
    <row r="676" outlineLevel="1" x14ac:dyDescent="0.2"/>
    <row r="677" outlineLevel="1" x14ac:dyDescent="0.2"/>
    <row r="678" outlineLevel="1" x14ac:dyDescent="0.2"/>
    <row r="679" outlineLevel="1" x14ac:dyDescent="0.2"/>
    <row r="680" outlineLevel="1" x14ac:dyDescent="0.2"/>
    <row r="681" outlineLevel="1" x14ac:dyDescent="0.2"/>
    <row r="682" outlineLevel="1" x14ac:dyDescent="0.2"/>
    <row r="683" outlineLevel="1" x14ac:dyDescent="0.2"/>
    <row r="684" outlineLevel="1" x14ac:dyDescent="0.2"/>
    <row r="685" outlineLevel="1" x14ac:dyDescent="0.2"/>
    <row r="686" outlineLevel="1" x14ac:dyDescent="0.2"/>
    <row r="687" outlineLevel="1" x14ac:dyDescent="0.2"/>
    <row r="688" outlineLevel="1" x14ac:dyDescent="0.2"/>
    <row r="689" spans="1:180" outlineLevel="1" x14ac:dyDescent="0.2"/>
    <row r="690" spans="1:180" outlineLevel="1" x14ac:dyDescent="0.2"/>
    <row r="691" spans="1:180" outlineLevel="1" x14ac:dyDescent="0.2"/>
    <row r="692" spans="1:180" outlineLevel="1" x14ac:dyDescent="0.2"/>
    <row r="693" spans="1:180" outlineLevel="1" x14ac:dyDescent="0.2"/>
    <row r="694" spans="1:180" outlineLevel="1" x14ac:dyDescent="0.2"/>
    <row r="695" spans="1:180" outlineLevel="1" x14ac:dyDescent="0.2"/>
    <row r="696" spans="1:180" outlineLevel="1" x14ac:dyDescent="0.2">
      <c r="A696" t="s">
        <v>4299</v>
      </c>
      <c r="B696">
        <f>ROW()</f>
        <v>696</v>
      </c>
      <c r="FH696" t="s">
        <v>4302</v>
      </c>
      <c r="FI696" t="s">
        <v>4302</v>
      </c>
      <c r="FJ696" t="s">
        <v>4302</v>
      </c>
      <c r="FK696" t="s">
        <v>4302</v>
      </c>
      <c r="FL696" t="s">
        <v>4302</v>
      </c>
      <c r="FM696" t="s">
        <v>4302</v>
      </c>
      <c r="FN696" t="s">
        <v>4302</v>
      </c>
      <c r="FO696" t="s">
        <v>4302</v>
      </c>
      <c r="FP696" t="s">
        <v>4302</v>
      </c>
      <c r="FQ696" t="s">
        <v>4302</v>
      </c>
      <c r="FR696" t="s">
        <v>4302</v>
      </c>
      <c r="FS696" t="s">
        <v>4302</v>
      </c>
      <c r="FT696" t="s">
        <v>4302</v>
      </c>
      <c r="FU696" t="s">
        <v>4302</v>
      </c>
      <c r="FV696" t="s">
        <v>4302</v>
      </c>
      <c r="FW696" t="s">
        <v>4302</v>
      </c>
      <c r="FX696" t="s">
        <v>4302</v>
      </c>
    </row>
    <row r="697" spans="1:180" outlineLevel="1" x14ac:dyDescent="0.2">
      <c r="B697">
        <f>ROW()</f>
        <v>697</v>
      </c>
    </row>
    <row r="698" spans="1:180" outlineLevel="1" x14ac:dyDescent="0.2">
      <c r="B698">
        <f>ROW()</f>
        <v>698</v>
      </c>
    </row>
    <row r="699" spans="1:180" outlineLevel="1" x14ac:dyDescent="0.2">
      <c r="B699">
        <f>ROW()</f>
        <v>699</v>
      </c>
    </row>
    <row r="700" spans="1:180" outlineLevel="1" x14ac:dyDescent="0.2">
      <c r="B700">
        <f>ROW()</f>
        <v>700</v>
      </c>
    </row>
    <row r="701" spans="1:180" outlineLevel="1" x14ac:dyDescent="0.2">
      <c r="B701">
        <f>ROW()</f>
        <v>701</v>
      </c>
    </row>
    <row r="702" spans="1:180" outlineLevel="1" x14ac:dyDescent="0.2">
      <c r="B702">
        <f>ROW()</f>
        <v>702</v>
      </c>
    </row>
    <row r="703" spans="1:180" outlineLevel="1" x14ac:dyDescent="0.2">
      <c r="B703">
        <f>ROW()</f>
        <v>703</v>
      </c>
    </row>
    <row r="704" spans="1:180" outlineLevel="1" x14ac:dyDescent="0.2">
      <c r="B704">
        <f>ROW()</f>
        <v>704</v>
      </c>
    </row>
    <row r="705" spans="1:2" outlineLevel="1" x14ac:dyDescent="0.2">
      <c r="B705">
        <f>ROW()</f>
        <v>705</v>
      </c>
    </row>
    <row r="706" spans="1:2" outlineLevel="1" x14ac:dyDescent="0.2">
      <c r="A706" t="s">
        <v>4420</v>
      </c>
      <c r="B706">
        <f>ROW()</f>
        <v>706</v>
      </c>
    </row>
    <row r="707" spans="1:2" outlineLevel="1" x14ac:dyDescent="0.2">
      <c r="A707" t="s">
        <v>1675</v>
      </c>
      <c r="B707">
        <f>ROW()</f>
        <v>707</v>
      </c>
    </row>
    <row r="708" spans="1:2" outlineLevel="1" x14ac:dyDescent="0.2">
      <c r="A708" t="s">
        <v>2887</v>
      </c>
      <c r="B708">
        <f>ROW()</f>
        <v>708</v>
      </c>
    </row>
    <row r="709" spans="1:2" outlineLevel="1" x14ac:dyDescent="0.2">
      <c r="B709">
        <f>ROW()</f>
        <v>709</v>
      </c>
    </row>
    <row r="710" spans="1:2" outlineLevel="1" x14ac:dyDescent="0.2">
      <c r="B710">
        <f>ROW()</f>
        <v>710</v>
      </c>
    </row>
    <row r="711" spans="1:2" outlineLevel="1" x14ac:dyDescent="0.2">
      <c r="B711">
        <f>ROW()</f>
        <v>711</v>
      </c>
    </row>
    <row r="712" spans="1:2" outlineLevel="1" x14ac:dyDescent="0.2">
      <c r="B712">
        <f>ROW()</f>
        <v>712</v>
      </c>
    </row>
    <row r="713" spans="1:2" outlineLevel="1" x14ac:dyDescent="0.2">
      <c r="B713">
        <f>ROW()</f>
        <v>713</v>
      </c>
    </row>
    <row r="714" spans="1:2" outlineLevel="1" x14ac:dyDescent="0.2">
      <c r="B714">
        <f>ROW()</f>
        <v>714</v>
      </c>
    </row>
    <row r="715" spans="1:2" outlineLevel="1" x14ac:dyDescent="0.2"/>
    <row r="716" spans="1:2" outlineLevel="1" x14ac:dyDescent="0.2"/>
    <row r="717" spans="1:2" outlineLevel="1" x14ac:dyDescent="0.2"/>
    <row r="718" spans="1:2" outlineLevel="1" x14ac:dyDescent="0.2"/>
    <row r="719" spans="1:2" outlineLevel="1" x14ac:dyDescent="0.2"/>
    <row r="720" spans="1:2" outlineLevel="1" x14ac:dyDescent="0.2"/>
    <row r="721" outlineLevel="1" x14ac:dyDescent="0.2"/>
    <row r="722" outlineLevel="1" x14ac:dyDescent="0.2"/>
    <row r="723" outlineLevel="1" x14ac:dyDescent="0.2"/>
    <row r="724" outlineLevel="1" x14ac:dyDescent="0.2"/>
    <row r="725" outlineLevel="1" x14ac:dyDescent="0.2"/>
    <row r="726" outlineLevel="1" x14ac:dyDescent="0.2"/>
    <row r="727" outlineLevel="1" x14ac:dyDescent="0.2"/>
    <row r="728" outlineLevel="1" x14ac:dyDescent="0.2"/>
    <row r="729" outlineLevel="1" x14ac:dyDescent="0.2"/>
    <row r="730" outlineLevel="1" x14ac:dyDescent="0.2"/>
    <row r="731" outlineLevel="1" x14ac:dyDescent="0.2"/>
    <row r="732" outlineLevel="1" x14ac:dyDescent="0.2"/>
    <row r="733" outlineLevel="1" x14ac:dyDescent="0.2"/>
    <row r="734" outlineLevel="1" x14ac:dyDescent="0.2"/>
    <row r="735" outlineLevel="1" x14ac:dyDescent="0.2"/>
    <row r="736" outlineLevel="1" x14ac:dyDescent="0.2"/>
    <row r="737" outlineLevel="1" x14ac:dyDescent="0.2"/>
    <row r="738" outlineLevel="1" x14ac:dyDescent="0.2"/>
    <row r="739" outlineLevel="1" x14ac:dyDescent="0.2"/>
    <row r="740" outlineLevel="1" x14ac:dyDescent="0.2"/>
    <row r="741" outlineLevel="1" x14ac:dyDescent="0.2"/>
    <row r="742" outlineLevel="1" x14ac:dyDescent="0.2"/>
    <row r="743" outlineLevel="1" x14ac:dyDescent="0.2"/>
    <row r="744" outlineLevel="1" x14ac:dyDescent="0.2"/>
    <row r="745" outlineLevel="1" x14ac:dyDescent="0.2"/>
    <row r="746" outlineLevel="1" x14ac:dyDescent="0.2"/>
    <row r="747" outlineLevel="1" x14ac:dyDescent="0.2"/>
    <row r="748" outlineLevel="1" x14ac:dyDescent="0.2"/>
    <row r="749" outlineLevel="1" x14ac:dyDescent="0.2"/>
    <row r="750" outlineLevel="1" x14ac:dyDescent="0.2"/>
    <row r="751" outlineLevel="1" x14ac:dyDescent="0.2"/>
    <row r="752" outlineLevel="1" x14ac:dyDescent="0.2"/>
    <row r="753" outlineLevel="1" x14ac:dyDescent="0.2"/>
    <row r="754" outlineLevel="1" x14ac:dyDescent="0.2"/>
    <row r="755" outlineLevel="1" x14ac:dyDescent="0.2"/>
    <row r="756" outlineLevel="1" x14ac:dyDescent="0.2"/>
    <row r="757" outlineLevel="1" x14ac:dyDescent="0.2"/>
    <row r="758" outlineLevel="1" x14ac:dyDescent="0.2"/>
    <row r="759" outlineLevel="1" x14ac:dyDescent="0.2"/>
    <row r="760" outlineLevel="1" x14ac:dyDescent="0.2"/>
    <row r="761" outlineLevel="1" x14ac:dyDescent="0.2"/>
    <row r="762" outlineLevel="1" x14ac:dyDescent="0.2"/>
    <row r="763" outlineLevel="1" x14ac:dyDescent="0.2"/>
    <row r="764" outlineLevel="1" x14ac:dyDescent="0.2"/>
    <row r="765" outlineLevel="1" x14ac:dyDescent="0.2"/>
    <row r="766" outlineLevel="1" x14ac:dyDescent="0.2"/>
    <row r="767" outlineLevel="1" x14ac:dyDescent="0.2"/>
    <row r="768" outlineLevel="1" x14ac:dyDescent="0.2"/>
    <row r="769" outlineLevel="1" x14ac:dyDescent="0.2"/>
    <row r="770" outlineLevel="1" x14ac:dyDescent="0.2"/>
    <row r="771" outlineLevel="1" x14ac:dyDescent="0.2"/>
    <row r="772" outlineLevel="1" x14ac:dyDescent="0.2"/>
    <row r="773" outlineLevel="1" x14ac:dyDescent="0.2"/>
    <row r="774" outlineLevel="1" x14ac:dyDescent="0.2"/>
    <row r="775" outlineLevel="1" x14ac:dyDescent="0.2"/>
    <row r="776" outlineLevel="1" x14ac:dyDescent="0.2"/>
    <row r="777" outlineLevel="1" x14ac:dyDescent="0.2"/>
    <row r="778" outlineLevel="1" x14ac:dyDescent="0.2"/>
    <row r="779" outlineLevel="1" x14ac:dyDescent="0.2"/>
    <row r="780" outlineLevel="1" x14ac:dyDescent="0.2"/>
    <row r="781" outlineLevel="1" x14ac:dyDescent="0.2"/>
    <row r="782" outlineLevel="1" x14ac:dyDescent="0.2"/>
    <row r="783" outlineLevel="1" x14ac:dyDescent="0.2"/>
    <row r="784" outlineLevel="1" x14ac:dyDescent="0.2"/>
    <row r="785" outlineLevel="1" x14ac:dyDescent="0.2"/>
    <row r="786" outlineLevel="1" x14ac:dyDescent="0.2"/>
    <row r="787" outlineLevel="1" x14ac:dyDescent="0.2"/>
    <row r="788" outlineLevel="1" x14ac:dyDescent="0.2"/>
    <row r="789" outlineLevel="1" x14ac:dyDescent="0.2"/>
    <row r="790" outlineLevel="1" x14ac:dyDescent="0.2"/>
    <row r="791" outlineLevel="1" x14ac:dyDescent="0.2"/>
    <row r="792" outlineLevel="1" x14ac:dyDescent="0.2"/>
    <row r="793" outlineLevel="1" x14ac:dyDescent="0.2"/>
    <row r="794" outlineLevel="1" x14ac:dyDescent="0.2"/>
    <row r="795" outlineLevel="1" x14ac:dyDescent="0.2"/>
    <row r="796" outlineLevel="1" x14ac:dyDescent="0.2"/>
    <row r="797" outlineLevel="1" x14ac:dyDescent="0.2"/>
    <row r="798" outlineLevel="1" x14ac:dyDescent="0.2"/>
    <row r="799" outlineLevel="1" x14ac:dyDescent="0.2"/>
    <row r="800" outlineLevel="1" x14ac:dyDescent="0.2"/>
    <row r="801" spans="1:259" outlineLevel="1" x14ac:dyDescent="0.2"/>
    <row r="802" spans="1:259" outlineLevel="1" x14ac:dyDescent="0.2"/>
    <row r="803" spans="1:259" outlineLevel="1" x14ac:dyDescent="0.2"/>
    <row r="804" spans="1:259" outlineLevel="1" x14ac:dyDescent="0.2"/>
    <row r="805" spans="1:259" outlineLevel="1" x14ac:dyDescent="0.2"/>
    <row r="806" spans="1:259" outlineLevel="1" x14ac:dyDescent="0.2"/>
    <row r="807" spans="1:259" outlineLevel="1" x14ac:dyDescent="0.2"/>
    <row r="808" spans="1:259" outlineLevel="1" x14ac:dyDescent="0.2"/>
    <row r="809" spans="1:259" outlineLevel="1" x14ac:dyDescent="0.2"/>
    <row r="810" spans="1:259" outlineLevel="1" x14ac:dyDescent="0.2"/>
    <row r="811" spans="1:259" outlineLevel="1" x14ac:dyDescent="0.2"/>
    <row r="812" spans="1:259" x14ac:dyDescent="0.2">
      <c r="A812" t="s">
        <v>3046</v>
      </c>
      <c r="B812">
        <f>ROW()</f>
        <v>812</v>
      </c>
      <c r="AG812" t="s">
        <v>221</v>
      </c>
      <c r="AH812" t="s">
        <v>221</v>
      </c>
      <c r="AO812" t="s">
        <v>7481</v>
      </c>
      <c r="AP812" t="s">
        <v>7481</v>
      </c>
      <c r="AQ812" t="s">
        <v>7481</v>
      </c>
      <c r="AR812" t="s">
        <v>7481</v>
      </c>
      <c r="AS812" t="s">
        <v>7481</v>
      </c>
      <c r="AT812" t="s">
        <v>7481</v>
      </c>
      <c r="AU812" t="s">
        <v>7481</v>
      </c>
      <c r="AV812" t="s">
        <v>7481</v>
      </c>
      <c r="AW812" t="s">
        <v>7481</v>
      </c>
      <c r="AX812" t="s">
        <v>7481</v>
      </c>
      <c r="AY812" t="s">
        <v>7481</v>
      </c>
      <c r="AZ812" t="s">
        <v>7481</v>
      </c>
      <c r="BA812" t="s">
        <v>7481</v>
      </c>
      <c r="BB812" t="s">
        <v>7481</v>
      </c>
      <c r="BC812" t="s">
        <v>7481</v>
      </c>
      <c r="BD812" t="s">
        <v>7481</v>
      </c>
      <c r="BE812" t="s">
        <v>5928</v>
      </c>
      <c r="BF812" t="s">
        <v>5928</v>
      </c>
      <c r="BG812" t="s">
        <v>5928</v>
      </c>
      <c r="BH812" t="s">
        <v>5928</v>
      </c>
      <c r="BI812" t="s">
        <v>5928</v>
      </c>
      <c r="BJ812" t="s">
        <v>5928</v>
      </c>
      <c r="BK812" t="s">
        <v>2530</v>
      </c>
      <c r="BL812" t="s">
        <v>2530</v>
      </c>
      <c r="BM812" t="s">
        <v>2530</v>
      </c>
      <c r="BN812" t="s">
        <v>2530</v>
      </c>
      <c r="BO812" t="s">
        <v>5937</v>
      </c>
      <c r="BP812" t="s">
        <v>5937</v>
      </c>
      <c r="BQ812" t="s">
        <v>5937</v>
      </c>
      <c r="BR812" t="s">
        <v>5937</v>
      </c>
      <c r="BS812" t="s">
        <v>5937</v>
      </c>
      <c r="BT812" t="s">
        <v>5937</v>
      </c>
      <c r="BU812" t="s">
        <v>5943</v>
      </c>
      <c r="BV812" t="s">
        <v>5943</v>
      </c>
      <c r="BW812" t="s">
        <v>5943</v>
      </c>
      <c r="BX812" t="s">
        <v>5943</v>
      </c>
      <c r="BY812" t="s">
        <v>5943</v>
      </c>
      <c r="BZ812" t="s">
        <v>5943</v>
      </c>
      <c r="CA812" t="s">
        <v>5943</v>
      </c>
      <c r="CB812" t="s">
        <v>5950</v>
      </c>
      <c r="CC812" t="s">
        <v>5950</v>
      </c>
      <c r="CD812" t="s">
        <v>5950</v>
      </c>
      <c r="CE812" t="s">
        <v>5950</v>
      </c>
      <c r="CF812" t="s">
        <v>5950</v>
      </c>
      <c r="CG812" t="s">
        <v>5950</v>
      </c>
      <c r="CH812" t="s">
        <v>5950</v>
      </c>
      <c r="CI812" t="s">
        <v>5950</v>
      </c>
      <c r="CJ812" t="s">
        <v>5950</v>
      </c>
      <c r="CK812" t="s">
        <v>2142</v>
      </c>
      <c r="CL812" t="s">
        <v>2142</v>
      </c>
      <c r="CM812" t="s">
        <v>7483</v>
      </c>
      <c r="CN812" t="s">
        <v>7482</v>
      </c>
      <c r="CO812" t="s">
        <v>7482</v>
      </c>
      <c r="CP812" t="s">
        <v>7482</v>
      </c>
      <c r="CQ812" t="s">
        <v>7482</v>
      </c>
      <c r="CR812" t="s">
        <v>7482</v>
      </c>
      <c r="CS812" t="s">
        <v>7482</v>
      </c>
      <c r="CT812" t="s">
        <v>7482</v>
      </c>
      <c r="CU812" t="s">
        <v>7482</v>
      </c>
      <c r="CV812" t="s">
        <v>7484</v>
      </c>
      <c r="CW812" t="s">
        <v>7484</v>
      </c>
      <c r="CX812" t="s">
        <v>7484</v>
      </c>
      <c r="CY812" t="s">
        <v>7484</v>
      </c>
      <c r="CZ812" t="s">
        <v>7484</v>
      </c>
      <c r="DA812" t="s">
        <v>7484</v>
      </c>
      <c r="DB812" t="s">
        <v>7484</v>
      </c>
      <c r="DC812" t="s">
        <v>7484</v>
      </c>
      <c r="DD812" t="s">
        <v>7484</v>
      </c>
      <c r="DE812" t="s">
        <v>7485</v>
      </c>
      <c r="DF812" t="s">
        <v>7485</v>
      </c>
      <c r="DG812" t="s">
        <v>7485</v>
      </c>
      <c r="DH812" t="s">
        <v>7485</v>
      </c>
      <c r="DI812" t="s">
        <v>2145</v>
      </c>
      <c r="DJ812" t="s">
        <v>2146</v>
      </c>
      <c r="DK812" t="s">
        <v>5976</v>
      </c>
      <c r="DL812" t="s">
        <v>5976</v>
      </c>
      <c r="DM812" t="s">
        <v>5976</v>
      </c>
      <c r="DN812" t="s">
        <v>5976</v>
      </c>
      <c r="DO812" t="s">
        <v>5976</v>
      </c>
      <c r="DP812" t="s">
        <v>5976</v>
      </c>
      <c r="DQ812" t="s">
        <v>5976</v>
      </c>
      <c r="DR812" t="s">
        <v>5976</v>
      </c>
      <c r="DS812" t="s">
        <v>5977</v>
      </c>
      <c r="DT812" t="s">
        <v>3050</v>
      </c>
      <c r="DU812" t="s">
        <v>7486</v>
      </c>
      <c r="DV812" t="s">
        <v>7486</v>
      </c>
      <c r="DW812" t="s">
        <v>7486</v>
      </c>
      <c r="DX812" t="s">
        <v>7486</v>
      </c>
      <c r="DY812" t="s">
        <v>7486</v>
      </c>
      <c r="DZ812" t="s">
        <v>7486</v>
      </c>
      <c r="EA812" t="s">
        <v>7486</v>
      </c>
      <c r="EB812" t="s">
        <v>7486</v>
      </c>
      <c r="EC812" t="s">
        <v>7486</v>
      </c>
      <c r="ED812" t="s">
        <v>7486</v>
      </c>
      <c r="EE812" t="s">
        <v>9170</v>
      </c>
      <c r="EF812" t="s">
        <v>5987</v>
      </c>
      <c r="EG812" t="s">
        <v>5987</v>
      </c>
      <c r="EH812" t="s">
        <v>5987</v>
      </c>
      <c r="EI812" t="s">
        <v>5987</v>
      </c>
      <c r="EJ812" t="s">
        <v>5987</v>
      </c>
      <c r="EK812" t="s">
        <v>5987</v>
      </c>
      <c r="EL812" t="s">
        <v>5987</v>
      </c>
      <c r="EM812" t="s">
        <v>2264</v>
      </c>
      <c r="EN812" t="s">
        <v>2264</v>
      </c>
      <c r="EO812" t="s">
        <v>2264</v>
      </c>
      <c r="EP812" t="s">
        <v>2264</v>
      </c>
      <c r="EQ812" t="s">
        <v>2264</v>
      </c>
      <c r="ER812" t="s">
        <v>2264</v>
      </c>
      <c r="ES812" t="s">
        <v>2264</v>
      </c>
      <c r="ET812" t="s">
        <v>2264</v>
      </c>
      <c r="EU812" t="s">
        <v>2264</v>
      </c>
      <c r="EV812" t="s">
        <v>2264</v>
      </c>
      <c r="EW812" t="s">
        <v>2264</v>
      </c>
      <c r="EX812" t="s">
        <v>2264</v>
      </c>
      <c r="EY812" t="s">
        <v>2264</v>
      </c>
      <c r="EZ812" t="s">
        <v>2265</v>
      </c>
      <c r="FA812" t="s">
        <v>7487</v>
      </c>
      <c r="FB812" t="s">
        <v>7487</v>
      </c>
      <c r="FC812" t="s">
        <v>7487</v>
      </c>
      <c r="FD812" t="s">
        <v>7487</v>
      </c>
      <c r="FE812" t="s">
        <v>7488</v>
      </c>
      <c r="FF812" t="s">
        <v>7488</v>
      </c>
      <c r="FG812" t="s">
        <v>2904</v>
      </c>
      <c r="FH812" t="s">
        <v>7492</v>
      </c>
      <c r="FI812" t="s">
        <v>7492</v>
      </c>
      <c r="FJ812" t="s">
        <v>7492</v>
      </c>
      <c r="FL812" t="s">
        <v>1375</v>
      </c>
      <c r="FM812" t="s">
        <v>1375</v>
      </c>
      <c r="FN812" t="s">
        <v>1375</v>
      </c>
      <c r="FO812" t="s">
        <v>1375</v>
      </c>
      <c r="FP812" t="s">
        <v>1375</v>
      </c>
      <c r="FQ812" t="s">
        <v>1375</v>
      </c>
      <c r="FR812" t="s">
        <v>1375</v>
      </c>
      <c r="FS812" t="s">
        <v>7490</v>
      </c>
      <c r="FT812" t="s">
        <v>7489</v>
      </c>
      <c r="FU812" t="s">
        <v>7491</v>
      </c>
      <c r="FV812" t="s">
        <v>7491</v>
      </c>
      <c r="FW812" t="s">
        <v>7491</v>
      </c>
      <c r="FX812" t="s">
        <v>7491</v>
      </c>
      <c r="FY812" t="s">
        <v>2902</v>
      </c>
      <c r="FZ812" t="s">
        <v>2147</v>
      </c>
      <c r="GA812" t="s">
        <v>2148</v>
      </c>
      <c r="GB812" t="s">
        <v>2901</v>
      </c>
      <c r="GC812" t="s">
        <v>6015</v>
      </c>
      <c r="GD812" t="s">
        <v>7493</v>
      </c>
      <c r="GE812" t="s">
        <v>7493</v>
      </c>
      <c r="GF812" t="s">
        <v>7493</v>
      </c>
      <c r="GG812" t="s">
        <v>7493</v>
      </c>
      <c r="GH812" t="s">
        <v>7493</v>
      </c>
      <c r="GI812" t="s">
        <v>7493</v>
      </c>
      <c r="GJ812" t="s">
        <v>7493</v>
      </c>
      <c r="GK812" t="s">
        <v>7493</v>
      </c>
      <c r="GL812" t="s">
        <v>7493</v>
      </c>
      <c r="GM812" t="s">
        <v>7493</v>
      </c>
      <c r="GN812" t="s">
        <v>7493</v>
      </c>
      <c r="GO812" t="s">
        <v>7493</v>
      </c>
      <c r="GP812" t="s">
        <v>7493</v>
      </c>
      <c r="GQ812" t="s">
        <v>7493</v>
      </c>
      <c r="GR812" t="s">
        <v>7493</v>
      </c>
      <c r="GS812" t="s">
        <v>7493</v>
      </c>
      <c r="GT812" t="s">
        <v>7493</v>
      </c>
      <c r="GU812" t="s">
        <v>7493</v>
      </c>
      <c r="GV812" t="s">
        <v>7493</v>
      </c>
      <c r="GW812" t="s">
        <v>7493</v>
      </c>
      <c r="GX812" t="s">
        <v>7493</v>
      </c>
      <c r="GY812" t="s">
        <v>7493</v>
      </c>
      <c r="GZ812" t="s">
        <v>7493</v>
      </c>
      <c r="HA812" t="s">
        <v>7493</v>
      </c>
      <c r="HB812" t="s">
        <v>7493</v>
      </c>
      <c r="HC812" t="s">
        <v>7493</v>
      </c>
      <c r="HD812" t="s">
        <v>7493</v>
      </c>
      <c r="HE812" t="s">
        <v>7493</v>
      </c>
      <c r="HF812" t="s">
        <v>7493</v>
      </c>
      <c r="HG812" t="s">
        <v>7493</v>
      </c>
      <c r="HH812" t="s">
        <v>7493</v>
      </c>
      <c r="HI812" t="s">
        <v>7493</v>
      </c>
      <c r="HJ812" t="s">
        <v>7493</v>
      </c>
      <c r="HK812" t="s">
        <v>7493</v>
      </c>
      <c r="HL812" t="s">
        <v>7493</v>
      </c>
      <c r="HM812" t="s">
        <v>7493</v>
      </c>
      <c r="HN812" t="s">
        <v>7493</v>
      </c>
      <c r="HO812" t="s">
        <v>7493</v>
      </c>
      <c r="HP812" t="s">
        <v>7493</v>
      </c>
      <c r="HQ812" t="s">
        <v>7493</v>
      </c>
      <c r="HR812" t="s">
        <v>7493</v>
      </c>
      <c r="HS812" t="s">
        <v>7494</v>
      </c>
      <c r="HT812" t="s">
        <v>7494</v>
      </c>
      <c r="HU812" t="s">
        <v>7494</v>
      </c>
      <c r="HV812" t="s">
        <v>7494</v>
      </c>
      <c r="HW812" t="s">
        <v>7494</v>
      </c>
      <c r="HX812" t="s">
        <v>7494</v>
      </c>
      <c r="HY812" t="s">
        <v>7494</v>
      </c>
      <c r="HZ812" t="s">
        <v>7494</v>
      </c>
      <c r="IA812" t="s">
        <v>7494</v>
      </c>
      <c r="IB812" t="s">
        <v>7494</v>
      </c>
      <c r="IC812" t="s">
        <v>4481</v>
      </c>
      <c r="ID812" t="s">
        <v>4482</v>
      </c>
      <c r="IE812" t="s">
        <v>4482</v>
      </c>
      <c r="IF812" t="s">
        <v>4482</v>
      </c>
      <c r="IG812" t="s">
        <v>4482</v>
      </c>
      <c r="IH812" t="s">
        <v>4482</v>
      </c>
      <c r="II812" t="s">
        <v>4482</v>
      </c>
      <c r="IY812" t="s">
        <v>7493</v>
      </c>
    </row>
    <row r="813" spans="1:259" x14ac:dyDescent="0.2">
      <c r="A813" t="s">
        <v>3918</v>
      </c>
      <c r="B813">
        <f>ROW()</f>
        <v>813</v>
      </c>
      <c r="R813" t="s">
        <v>6684</v>
      </c>
      <c r="S813" t="s">
        <v>6685</v>
      </c>
      <c r="T813" t="s">
        <v>6686</v>
      </c>
      <c r="U813" t="s">
        <v>6686</v>
      </c>
      <c r="X813" t="s">
        <v>6261</v>
      </c>
      <c r="AB813" t="s">
        <v>6261</v>
      </c>
      <c r="AG813" t="s">
        <v>6685</v>
      </c>
      <c r="AH813" t="s">
        <v>6685</v>
      </c>
      <c r="AK813" t="s">
        <v>7596</v>
      </c>
    </row>
    <row r="817" spans="1:259" x14ac:dyDescent="0.2">
      <c r="A817" t="s">
        <v>3996</v>
      </c>
      <c r="B817">
        <f>ROW()</f>
        <v>817</v>
      </c>
      <c r="N817" t="str">
        <f>IF(ZWERG_GILDE,"Zweimal Unfähig bezüglich folgenden Merkmalen: EIGN, EIFL, FORM, HEIL, HELL, HERR;","")</f>
        <v/>
      </c>
      <c r="O817" t="str">
        <f>IF(ZWERG_GILDE,"Zweimal Unfähig bezüglich folgenden Merkmalen: EIGN, EIFL, FORM, HEIL, HELL, HERR;","")</f>
        <v/>
      </c>
      <c r="P817" t="str">
        <f>IF(ZWERG_GILDE,"Zweimal Unfähig bezüglich folgenden Merkmalen: EIGN, EIFL, FORM, HEIL, HELL, HERR;","")</f>
        <v/>
      </c>
      <c r="Q817" t="str">
        <f>IF(ZWERG_GILDE,"Zweimal Unfähig bezüglich folgenden Merkmalen: EIGN, EIFL, FORM, HEIL, HELL, HERR;","")</f>
        <v/>
      </c>
      <c r="DE817" t="s">
        <v>6360</v>
      </c>
      <c r="DF817" t="s">
        <v>6360</v>
      </c>
      <c r="DG817" t="s">
        <v>6360</v>
      </c>
      <c r="DH817" t="s">
        <v>6360</v>
      </c>
      <c r="FS817" t="s">
        <v>7273</v>
      </c>
      <c r="FT817" t="s">
        <v>7273</v>
      </c>
      <c r="GB817" t="s">
        <v>7047</v>
      </c>
    </row>
    <row r="820" spans="1:259" x14ac:dyDescent="0.2">
      <c r="A820" t="s">
        <v>1646</v>
      </c>
      <c r="B820">
        <f>ROW()</f>
        <v>820</v>
      </c>
      <c r="CM820" t="s">
        <v>6631</v>
      </c>
      <c r="DA820" t="s">
        <v>6629</v>
      </c>
      <c r="DD820" t="s">
        <v>6629</v>
      </c>
      <c r="EZ820" t="s">
        <v>6630</v>
      </c>
      <c r="FC820" t="s">
        <v>7611</v>
      </c>
      <c r="FD820" t="s">
        <v>7611</v>
      </c>
      <c r="FH820" t="s">
        <v>7115</v>
      </c>
      <c r="FI820" t="s">
        <v>7115</v>
      </c>
      <c r="FJ820" t="s">
        <v>7115</v>
      </c>
      <c r="FL820" t="s">
        <v>7272</v>
      </c>
      <c r="FM820" t="s">
        <v>7272</v>
      </c>
      <c r="FN820" t="s">
        <v>7272</v>
      </c>
      <c r="FO820" t="s">
        <v>7272</v>
      </c>
      <c r="FP820" t="s">
        <v>7272</v>
      </c>
      <c r="FQ820" t="s">
        <v>7272</v>
      </c>
      <c r="FR820" t="s">
        <v>7272</v>
      </c>
      <c r="FS820" t="s">
        <v>7117</v>
      </c>
      <c r="FT820" t="s">
        <v>7117</v>
      </c>
      <c r="FU820" t="s">
        <v>7116</v>
      </c>
      <c r="FV820" t="s">
        <v>7116</v>
      </c>
      <c r="FW820" t="s">
        <v>7116</v>
      </c>
      <c r="FX820" t="s">
        <v>7116</v>
      </c>
      <c r="GC820" t="s">
        <v>6626</v>
      </c>
    </row>
    <row r="821" spans="1:259" x14ac:dyDescent="0.2">
      <c r="A821" t="s">
        <v>2663</v>
      </c>
      <c r="B821">
        <f>ROW()</f>
        <v>821</v>
      </c>
      <c r="AO821" t="s">
        <v>6335</v>
      </c>
      <c r="AP821" t="s">
        <v>6335</v>
      </c>
      <c r="AQ821" t="s">
        <v>6336</v>
      </c>
      <c r="AR821" t="s">
        <v>6336</v>
      </c>
      <c r="AS821" t="s">
        <v>6337</v>
      </c>
      <c r="AT821" t="s">
        <v>6338</v>
      </c>
      <c r="AU821" t="s">
        <v>6336</v>
      </c>
      <c r="AV821" t="s">
        <v>6339</v>
      </c>
      <c r="AW821" t="s">
        <v>6339</v>
      </c>
      <c r="AX821" t="s">
        <v>6339</v>
      </c>
      <c r="AY821" t="s">
        <v>6339</v>
      </c>
      <c r="AZ821" t="s">
        <v>6339</v>
      </c>
      <c r="BA821" t="s">
        <v>6339</v>
      </c>
      <c r="BB821" t="s">
        <v>6340</v>
      </c>
      <c r="BC821" t="s">
        <v>6339</v>
      </c>
      <c r="BD821" t="s">
        <v>6339</v>
      </c>
      <c r="BE821" t="s">
        <v>6341</v>
      </c>
      <c r="BF821" t="s">
        <v>6342</v>
      </c>
      <c r="BG821" t="s">
        <v>6343</v>
      </c>
      <c r="BH821" t="s">
        <v>6341</v>
      </c>
      <c r="BI821" t="s">
        <v>6344</v>
      </c>
      <c r="BJ821" t="s">
        <v>6341</v>
      </c>
      <c r="BL821" t="s">
        <v>6345</v>
      </c>
      <c r="BN821" t="s">
        <v>6346</v>
      </c>
      <c r="BO821" t="s">
        <v>7597</v>
      </c>
      <c r="BP821" t="s">
        <v>7597</v>
      </c>
      <c r="BQ821" t="s">
        <v>7598</v>
      </c>
      <c r="BR821" t="s">
        <v>7599</v>
      </c>
      <c r="BS821" t="s">
        <v>7597</v>
      </c>
      <c r="BT821" t="s">
        <v>7597</v>
      </c>
      <c r="BU821" t="s">
        <v>6347</v>
      </c>
      <c r="BV821" t="s">
        <v>6347</v>
      </c>
      <c r="BW821" t="s">
        <v>6347</v>
      </c>
      <c r="BX821" t="s">
        <v>6348</v>
      </c>
      <c r="BY821" t="s">
        <v>6347</v>
      </c>
      <c r="BZ821" t="s">
        <v>6347</v>
      </c>
      <c r="CA821" t="s">
        <v>6347</v>
      </c>
      <c r="CB821" t="s">
        <v>6349</v>
      </c>
      <c r="CC821" t="s">
        <v>6349</v>
      </c>
      <c r="CD821" t="s">
        <v>6349</v>
      </c>
      <c r="CE821" t="s">
        <v>6350</v>
      </c>
      <c r="CF821" t="s">
        <v>6349</v>
      </c>
      <c r="CG821" t="s">
        <v>6349</v>
      </c>
      <c r="CH821" t="s">
        <v>6349</v>
      </c>
      <c r="CI821" t="s">
        <v>6351</v>
      </c>
      <c r="CJ821" t="s">
        <v>6349</v>
      </c>
      <c r="CM821" t="s">
        <v>6352</v>
      </c>
      <c r="CN821" t="s">
        <v>6353</v>
      </c>
      <c r="CO821" t="s">
        <v>6354</v>
      </c>
      <c r="CP821" t="s">
        <v>6353</v>
      </c>
      <c r="CQ821" t="s">
        <v>6354</v>
      </c>
      <c r="CR821" t="s">
        <v>6353</v>
      </c>
      <c r="CS821" t="s">
        <v>6354</v>
      </c>
      <c r="CT821" t="s">
        <v>6355</v>
      </c>
      <c r="CU821" t="s">
        <v>6356</v>
      </c>
      <c r="CV821" t="s">
        <v>7604</v>
      </c>
      <c r="CW821" t="s">
        <v>7604</v>
      </c>
      <c r="CX821" t="s">
        <v>7605</v>
      </c>
      <c r="CY821" t="s">
        <v>7606</v>
      </c>
      <c r="CZ821" t="s">
        <v>7607</v>
      </c>
      <c r="DA821" t="s">
        <v>7604</v>
      </c>
      <c r="DB821" t="s">
        <v>6357</v>
      </c>
      <c r="DC821" t="s">
        <v>6358</v>
      </c>
      <c r="DD821" t="s">
        <v>6357</v>
      </c>
      <c r="DI821" t="s">
        <v>6359</v>
      </c>
      <c r="DJ821" t="s">
        <v>6361</v>
      </c>
      <c r="DL821" t="s">
        <v>7608</v>
      </c>
      <c r="DM821" t="s">
        <v>9180</v>
      </c>
      <c r="DN821" t="s">
        <v>9181</v>
      </c>
      <c r="DS821" t="s">
        <v>6362</v>
      </c>
      <c r="DU821" t="s">
        <v>6363</v>
      </c>
      <c r="DV821" t="s">
        <v>6363</v>
      </c>
      <c r="DW821" t="s">
        <v>6363</v>
      </c>
      <c r="DX821" t="s">
        <v>6363</v>
      </c>
      <c r="DY821" t="s">
        <v>6364</v>
      </c>
      <c r="DZ821" t="s">
        <v>6363</v>
      </c>
      <c r="EA821" t="s">
        <v>6363</v>
      </c>
      <c r="EB821" t="s">
        <v>7480</v>
      </c>
      <c r="EC821" t="s">
        <v>6363</v>
      </c>
      <c r="ED821" t="s">
        <v>6365</v>
      </c>
      <c r="EF821" t="s">
        <v>6366</v>
      </c>
      <c r="EG821" t="s">
        <v>6366</v>
      </c>
      <c r="EH821" t="s">
        <v>6366</v>
      </c>
      <c r="EI821" t="s">
        <v>6366</v>
      </c>
      <c r="EJ821" t="s">
        <v>6357</v>
      </c>
      <c r="EK821" t="s">
        <v>6336</v>
      </c>
      <c r="EL821" t="s">
        <v>6367</v>
      </c>
      <c r="EM821" t="s">
        <v>6367</v>
      </c>
      <c r="EN821" t="s">
        <v>6367</v>
      </c>
      <c r="EO821" t="s">
        <v>6367</v>
      </c>
      <c r="EP821" t="s">
        <v>6367</v>
      </c>
      <c r="EQ821" t="s">
        <v>6367</v>
      </c>
      <c r="ER821" t="s">
        <v>6367</v>
      </c>
      <c r="ES821" t="s">
        <v>6367</v>
      </c>
      <c r="ET821" t="s">
        <v>6367</v>
      </c>
      <c r="EU821" t="s">
        <v>6367</v>
      </c>
      <c r="EV821" t="s">
        <v>6367</v>
      </c>
      <c r="EW821" t="s">
        <v>6367</v>
      </c>
      <c r="EX821" t="s">
        <v>6368</v>
      </c>
      <c r="EY821" t="s">
        <v>6369</v>
      </c>
      <c r="EZ821" t="s">
        <v>6370</v>
      </c>
      <c r="FA821" t="s">
        <v>6582</v>
      </c>
      <c r="FB821" t="s">
        <v>6582</v>
      </c>
      <c r="FC821" t="s">
        <v>6371</v>
      </c>
      <c r="FD821" t="s">
        <v>6371</v>
      </c>
      <c r="FE821" t="s">
        <v>6372</v>
      </c>
      <c r="FF821" t="s">
        <v>6372</v>
      </c>
      <c r="FG821" t="s">
        <v>6373</v>
      </c>
      <c r="FH821" t="s">
        <v>6374</v>
      </c>
      <c r="FI821" t="s">
        <v>6375</v>
      </c>
      <c r="FJ821" t="s">
        <v>6374</v>
      </c>
      <c r="FL821" t="s">
        <v>7258</v>
      </c>
      <c r="FM821" t="s">
        <v>7258</v>
      </c>
      <c r="FN821" t="s">
        <v>7258</v>
      </c>
      <c r="FO821" t="s">
        <v>7258</v>
      </c>
      <c r="FP821" t="s">
        <v>7258</v>
      </c>
      <c r="FQ821" t="s">
        <v>7258</v>
      </c>
      <c r="FR821" t="s">
        <v>7258</v>
      </c>
      <c r="FT821" t="s">
        <v>6520</v>
      </c>
      <c r="FU821" t="s">
        <v>6521</v>
      </c>
      <c r="FV821" t="s">
        <v>6521</v>
      </c>
      <c r="FW821" t="s">
        <v>6521</v>
      </c>
      <c r="FX821" t="s">
        <v>6521</v>
      </c>
      <c r="FZ821" t="s">
        <v>6376</v>
      </c>
      <c r="GA821" t="s">
        <v>6377</v>
      </c>
      <c r="GB821" t="s">
        <v>6378</v>
      </c>
      <c r="GC821" t="s">
        <v>6379</v>
      </c>
      <c r="GD821" t="s">
        <v>6380</v>
      </c>
      <c r="GE821" t="s">
        <v>6380</v>
      </c>
      <c r="GF821" t="s">
        <v>7618</v>
      </c>
      <c r="GG821" t="s">
        <v>6381</v>
      </c>
      <c r="GH821" t="s">
        <v>6381</v>
      </c>
      <c r="GI821" t="s">
        <v>6380</v>
      </c>
      <c r="GJ821" t="s">
        <v>6380</v>
      </c>
      <c r="GK821" t="s">
        <v>7618</v>
      </c>
      <c r="GL821" t="s">
        <v>6381</v>
      </c>
      <c r="GM821" t="s">
        <v>6381</v>
      </c>
      <c r="GN821" t="s">
        <v>6380</v>
      </c>
      <c r="GO821" t="s">
        <v>6380</v>
      </c>
      <c r="GP821" t="s">
        <v>7618</v>
      </c>
      <c r="GQ821" t="s">
        <v>6381</v>
      </c>
      <c r="GR821" t="s">
        <v>6381</v>
      </c>
      <c r="GS821" t="s">
        <v>6380</v>
      </c>
      <c r="GT821" t="s">
        <v>6380</v>
      </c>
      <c r="GU821" t="s">
        <v>7618</v>
      </c>
      <c r="GV821" t="s">
        <v>6381</v>
      </c>
      <c r="GW821" t="s">
        <v>6381</v>
      </c>
      <c r="GX821" t="s">
        <v>6380</v>
      </c>
      <c r="GY821" t="s">
        <v>6380</v>
      </c>
      <c r="GZ821" t="s">
        <v>7618</v>
      </c>
      <c r="HA821" t="s">
        <v>6381</v>
      </c>
      <c r="HB821" t="s">
        <v>6381</v>
      </c>
      <c r="HC821" t="s">
        <v>6380</v>
      </c>
      <c r="HD821" t="s">
        <v>6380</v>
      </c>
      <c r="HE821" t="s">
        <v>7618</v>
      </c>
      <c r="HF821" t="s">
        <v>6381</v>
      </c>
      <c r="HG821" t="s">
        <v>6381</v>
      </c>
      <c r="HH821" t="s">
        <v>6380</v>
      </c>
      <c r="HI821" t="s">
        <v>6380</v>
      </c>
      <c r="HJ821" t="s">
        <v>7618</v>
      </c>
      <c r="HK821" t="s">
        <v>6381</v>
      </c>
      <c r="HL821" t="s">
        <v>6381</v>
      </c>
      <c r="HM821" t="s">
        <v>6382</v>
      </c>
      <c r="HN821" t="s">
        <v>6383</v>
      </c>
      <c r="HO821" t="s">
        <v>6383</v>
      </c>
      <c r="HP821" t="s">
        <v>7623</v>
      </c>
      <c r="HQ821" t="s">
        <v>6384</v>
      </c>
      <c r="HR821" t="s">
        <v>6384</v>
      </c>
      <c r="HS821" t="s">
        <v>6385</v>
      </c>
      <c r="HT821" t="s">
        <v>6386</v>
      </c>
      <c r="HU821" t="s">
        <v>6385</v>
      </c>
      <c r="HV821" t="s">
        <v>6386</v>
      </c>
      <c r="HW821" t="s">
        <v>6385</v>
      </c>
      <c r="HX821" t="s">
        <v>6125</v>
      </c>
      <c r="HY821" t="s">
        <v>6385</v>
      </c>
      <c r="HZ821" t="s">
        <v>6125</v>
      </c>
      <c r="IA821" t="s">
        <v>6382</v>
      </c>
      <c r="IC821" t="s">
        <v>6387</v>
      </c>
      <c r="ID821" t="s">
        <v>6388</v>
      </c>
      <c r="IE821" t="s">
        <v>6388</v>
      </c>
      <c r="IF821" t="s">
        <v>6389</v>
      </c>
      <c r="IG821" t="s">
        <v>6388</v>
      </c>
      <c r="IH821" t="s">
        <v>6388</v>
      </c>
      <c r="II821" t="s">
        <v>6388</v>
      </c>
      <c r="IL821" t="s">
        <v>6380</v>
      </c>
      <c r="IM821" t="s">
        <v>6380</v>
      </c>
      <c r="IN821" t="s">
        <v>6380</v>
      </c>
      <c r="IO821" t="s">
        <v>7618</v>
      </c>
      <c r="IP821" t="s">
        <v>6381</v>
      </c>
      <c r="IQ821" t="s">
        <v>6381</v>
      </c>
      <c r="IY821" t="s">
        <v>6383</v>
      </c>
    </row>
    <row r="822" spans="1:259" x14ac:dyDescent="0.2">
      <c r="A822" t="s">
        <v>1515</v>
      </c>
      <c r="B822">
        <f>ROW()</f>
        <v>822</v>
      </c>
      <c r="AO822" t="s">
        <v>6126</v>
      </c>
      <c r="AP822" t="s">
        <v>6126</v>
      </c>
      <c r="AQ822" t="s">
        <v>6127</v>
      </c>
      <c r="AR822" t="s">
        <v>6128</v>
      </c>
      <c r="AS822" t="s">
        <v>6126</v>
      </c>
      <c r="AU822" t="s">
        <v>6129</v>
      </c>
      <c r="AV822" t="s">
        <v>6130</v>
      </c>
      <c r="AW822" t="s">
        <v>6130</v>
      </c>
      <c r="AX822" t="s">
        <v>6131</v>
      </c>
      <c r="AY822" t="s">
        <v>6130</v>
      </c>
      <c r="AZ822" t="s">
        <v>6130</v>
      </c>
      <c r="BA822" t="s">
        <v>6262</v>
      </c>
      <c r="BB822" t="s">
        <v>6130</v>
      </c>
      <c r="BD822" t="s">
        <v>7600</v>
      </c>
      <c r="BE822" t="s">
        <v>6132</v>
      </c>
      <c r="BF822" t="s">
        <v>6132</v>
      </c>
      <c r="BG822" t="s">
        <v>6132</v>
      </c>
      <c r="BH822" t="s">
        <v>6132</v>
      </c>
      <c r="BI822" t="s">
        <v>6132</v>
      </c>
      <c r="BJ822" t="s">
        <v>6132</v>
      </c>
      <c r="BK822" t="s">
        <v>6133</v>
      </c>
      <c r="BL822" t="s">
        <v>6133</v>
      </c>
      <c r="BM822" t="s">
        <v>6133</v>
      </c>
      <c r="BN822" t="s">
        <v>6133</v>
      </c>
      <c r="BO822" t="s">
        <v>6134</v>
      </c>
      <c r="BP822" t="s">
        <v>6134</v>
      </c>
      <c r="BQ822" t="s">
        <v>6134</v>
      </c>
      <c r="BR822" t="s">
        <v>6134</v>
      </c>
      <c r="BS822" t="s">
        <v>6135</v>
      </c>
      <c r="BT822" t="s">
        <v>6134</v>
      </c>
      <c r="BU822" t="s">
        <v>6136</v>
      </c>
      <c r="BV822" t="s">
        <v>6136</v>
      </c>
      <c r="BW822" t="s">
        <v>6137</v>
      </c>
      <c r="BX822" t="s">
        <v>6136</v>
      </c>
      <c r="BY822" t="s">
        <v>6139</v>
      </c>
      <c r="BZ822" t="s">
        <v>6136</v>
      </c>
      <c r="CA822" t="s">
        <v>6136</v>
      </c>
      <c r="CB822" t="s">
        <v>6136</v>
      </c>
      <c r="CC822" t="s">
        <v>6136</v>
      </c>
      <c r="CD822" t="s">
        <v>6138</v>
      </c>
      <c r="CE822" t="s">
        <v>6136</v>
      </c>
      <c r="CF822" t="s">
        <v>6136</v>
      </c>
      <c r="CG822" t="s">
        <v>6139</v>
      </c>
      <c r="CH822" t="s">
        <v>6136</v>
      </c>
      <c r="CI822" t="s">
        <v>6140</v>
      </c>
      <c r="CJ822" t="s">
        <v>6136</v>
      </c>
      <c r="CK822" t="s">
        <v>7609</v>
      </c>
      <c r="CL822" t="s">
        <v>7609</v>
      </c>
      <c r="CN822" t="s">
        <v>6141</v>
      </c>
      <c r="CO822" t="s">
        <v>6141</v>
      </c>
      <c r="CP822" t="s">
        <v>6141</v>
      </c>
      <c r="CQ822" t="s">
        <v>6141</v>
      </c>
      <c r="CR822" t="s">
        <v>6141</v>
      </c>
      <c r="CS822" t="s">
        <v>6141</v>
      </c>
      <c r="CT822" t="s">
        <v>6142</v>
      </c>
      <c r="CU822" t="s">
        <v>6142</v>
      </c>
      <c r="CZ822" t="s">
        <v>6143</v>
      </c>
      <c r="DO822" t="s">
        <v>9182</v>
      </c>
      <c r="DP822" t="s">
        <v>9183</v>
      </c>
      <c r="DR822" t="s">
        <v>9184</v>
      </c>
      <c r="DT822" t="s">
        <v>6144</v>
      </c>
      <c r="DU822" t="s">
        <v>6145</v>
      </c>
      <c r="DV822" t="s">
        <v>6145</v>
      </c>
      <c r="DW822" t="s">
        <v>6145</v>
      </c>
      <c r="DX822" t="s">
        <v>6145</v>
      </c>
      <c r="DY822" t="s">
        <v>6145</v>
      </c>
      <c r="DZ822" t="s">
        <v>6146</v>
      </c>
      <c r="EA822" t="s">
        <v>6146</v>
      </c>
      <c r="EB822" t="s">
        <v>6146</v>
      </c>
      <c r="EC822" t="s">
        <v>7628</v>
      </c>
      <c r="ED822" t="s">
        <v>7629</v>
      </c>
      <c r="EE822" t="s">
        <v>7612</v>
      </c>
      <c r="EF822" t="s">
        <v>7630</v>
      </c>
      <c r="EG822" t="s">
        <v>7630</v>
      </c>
      <c r="EH822" t="s">
        <v>7630</v>
      </c>
      <c r="EI822" t="s">
        <v>7630</v>
      </c>
      <c r="EK822" t="s">
        <v>6126</v>
      </c>
      <c r="EM822" t="s">
        <v>7631</v>
      </c>
      <c r="EN822" t="s">
        <v>7632</v>
      </c>
      <c r="EO822" t="s">
        <v>7632</v>
      </c>
      <c r="EP822" t="s">
        <v>7632</v>
      </c>
      <c r="EQ822" t="s">
        <v>7632</v>
      </c>
      <c r="ER822" t="s">
        <v>7632</v>
      </c>
      <c r="ES822" t="s">
        <v>7632</v>
      </c>
      <c r="ET822" t="s">
        <v>7632</v>
      </c>
      <c r="EU822" t="s">
        <v>7632</v>
      </c>
      <c r="EV822" t="s">
        <v>7632</v>
      </c>
      <c r="EW822" t="s">
        <v>7632</v>
      </c>
      <c r="EX822" t="s">
        <v>7632</v>
      </c>
      <c r="EY822" t="s">
        <v>7633</v>
      </c>
      <c r="FA822" t="s">
        <v>6147</v>
      </c>
      <c r="FB822" t="s">
        <v>6147</v>
      </c>
      <c r="FE822" t="s">
        <v>7613</v>
      </c>
      <c r="FF822" t="s">
        <v>9308</v>
      </c>
      <c r="FH822" t="s">
        <v>6148</v>
      </c>
      <c r="FI822" t="s">
        <v>6148</v>
      </c>
      <c r="FJ822" t="s">
        <v>7634</v>
      </c>
      <c r="FL822" t="s">
        <v>6150</v>
      </c>
      <c r="FM822" t="s">
        <v>6149</v>
      </c>
      <c r="FN822" t="s">
        <v>6149</v>
      </c>
      <c r="FO822" t="s">
        <v>6149</v>
      </c>
      <c r="FP822" t="s">
        <v>6149</v>
      </c>
      <c r="FQ822" t="s">
        <v>6149</v>
      </c>
      <c r="FR822" t="s">
        <v>6149</v>
      </c>
      <c r="FS822" t="s">
        <v>6151</v>
      </c>
      <c r="FT822" t="s">
        <v>6152</v>
      </c>
      <c r="FU822" t="s">
        <v>6153</v>
      </c>
      <c r="FV822" t="s">
        <v>6153</v>
      </c>
      <c r="FW822" t="s">
        <v>6153</v>
      </c>
      <c r="FX822" t="s">
        <v>6153</v>
      </c>
      <c r="FY822" t="s">
        <v>6154</v>
      </c>
      <c r="FZ822" t="s">
        <v>6154</v>
      </c>
      <c r="GA822" t="s">
        <v>6155</v>
      </c>
      <c r="GB822" t="s">
        <v>6154</v>
      </c>
      <c r="GC822" t="s">
        <v>6156</v>
      </c>
      <c r="GD822" t="s">
        <v>6157</v>
      </c>
      <c r="GE822" t="s">
        <v>6157</v>
      </c>
      <c r="GF822" t="s">
        <v>6157</v>
      </c>
      <c r="GG822" t="s">
        <v>6157</v>
      </c>
      <c r="GH822" t="s">
        <v>6157</v>
      </c>
      <c r="GI822" t="s">
        <v>6157</v>
      </c>
      <c r="GJ822" t="s">
        <v>6157</v>
      </c>
      <c r="GK822" t="s">
        <v>6157</v>
      </c>
      <c r="GL822" t="s">
        <v>6157</v>
      </c>
      <c r="GM822" t="s">
        <v>6157</v>
      </c>
      <c r="GN822" t="s">
        <v>6157</v>
      </c>
      <c r="GO822" t="s">
        <v>6157</v>
      </c>
      <c r="GP822" t="s">
        <v>6157</v>
      </c>
      <c r="GQ822" t="s">
        <v>6157</v>
      </c>
      <c r="GR822" t="s">
        <v>6157</v>
      </c>
      <c r="GS822" t="s">
        <v>6157</v>
      </c>
      <c r="GT822" t="s">
        <v>6157</v>
      </c>
      <c r="GU822" t="s">
        <v>6157</v>
      </c>
      <c r="GV822" t="s">
        <v>6157</v>
      </c>
      <c r="GW822" t="s">
        <v>6157</v>
      </c>
      <c r="GX822" t="s">
        <v>6157</v>
      </c>
      <c r="GY822" t="s">
        <v>6157</v>
      </c>
      <c r="GZ822" t="s">
        <v>6157</v>
      </c>
      <c r="HA822" t="s">
        <v>6157</v>
      </c>
      <c r="HB822" t="s">
        <v>6157</v>
      </c>
      <c r="HC822" t="s">
        <v>6157</v>
      </c>
      <c r="HD822" t="s">
        <v>6157</v>
      </c>
      <c r="HE822" t="s">
        <v>6157</v>
      </c>
      <c r="HF822" t="s">
        <v>6157</v>
      </c>
      <c r="HG822" t="s">
        <v>6157</v>
      </c>
      <c r="HH822" t="s">
        <v>6157</v>
      </c>
      <c r="HI822" t="s">
        <v>6157</v>
      </c>
      <c r="HJ822" t="s">
        <v>6157</v>
      </c>
      <c r="HK822" t="s">
        <v>6157</v>
      </c>
      <c r="HL822" t="s">
        <v>6157</v>
      </c>
      <c r="ID822" t="s">
        <v>6391</v>
      </c>
      <c r="IE822" t="s">
        <v>6391</v>
      </c>
      <c r="IF822" t="s">
        <v>6392</v>
      </c>
      <c r="IG822" t="s">
        <v>6391</v>
      </c>
      <c r="IH822" t="s">
        <v>6391</v>
      </c>
      <c r="IL822" t="s">
        <v>6157</v>
      </c>
      <c r="IM822" t="s">
        <v>6157</v>
      </c>
      <c r="IN822" t="s">
        <v>6157</v>
      </c>
      <c r="IO822" t="s">
        <v>6157</v>
      </c>
      <c r="IP822" t="s">
        <v>6157</v>
      </c>
      <c r="IQ822" t="s">
        <v>6157</v>
      </c>
    </row>
    <row r="823" spans="1:259" x14ac:dyDescent="0.2">
      <c r="A823" t="s">
        <v>2664</v>
      </c>
      <c r="B823">
        <f>ROW()</f>
        <v>823</v>
      </c>
    </row>
    <row r="824" spans="1:259" x14ac:dyDescent="0.2">
      <c r="A824" t="s">
        <v>4245</v>
      </c>
      <c r="B824">
        <f>ROW()</f>
        <v>824</v>
      </c>
      <c r="FY824" t="s">
        <v>7180</v>
      </c>
    </row>
    <row r="825" spans="1:259" x14ac:dyDescent="0.2">
      <c r="A825" t="s">
        <v>2665</v>
      </c>
      <c r="B825">
        <f>ROW()</f>
        <v>825</v>
      </c>
    </row>
    <row r="826" spans="1:259" x14ac:dyDescent="0.2">
      <c r="A826" t="s">
        <v>4246</v>
      </c>
      <c r="B826">
        <f>ROW()</f>
        <v>826</v>
      </c>
      <c r="AO826" t="s">
        <v>6539</v>
      </c>
      <c r="AP826" t="s">
        <v>6539</v>
      </c>
      <c r="AQ826" t="s">
        <v>6539</v>
      </c>
      <c r="AR826" t="s">
        <v>6539</v>
      </c>
      <c r="AS826" t="s">
        <v>6539</v>
      </c>
      <c r="AT826" t="s">
        <v>6539</v>
      </c>
      <c r="AU826" t="s">
        <v>6539</v>
      </c>
      <c r="AV826" t="s">
        <v>6538</v>
      </c>
      <c r="AW826" t="s">
        <v>6538</v>
      </c>
      <c r="AX826" t="s">
        <v>6538</v>
      </c>
      <c r="AY826" t="s">
        <v>6538</v>
      </c>
      <c r="AZ826" t="s">
        <v>6538</v>
      </c>
      <c r="BA826" t="s">
        <v>6540</v>
      </c>
      <c r="BB826" t="s">
        <v>6538</v>
      </c>
      <c r="BC826" t="s">
        <v>6538</v>
      </c>
      <c r="BD826" t="s">
        <v>6538</v>
      </c>
      <c r="BE826" t="s">
        <v>6541</v>
      </c>
      <c r="BF826" t="s">
        <v>6541</v>
      </c>
      <c r="BG826" t="s">
        <v>6541</v>
      </c>
      <c r="BH826" t="s">
        <v>6541</v>
      </c>
      <c r="BI826" t="s">
        <v>6541</v>
      </c>
      <c r="BJ826" t="s">
        <v>6541</v>
      </c>
      <c r="BK826" t="s">
        <v>6542</v>
      </c>
      <c r="BL826" t="s">
        <v>6542</v>
      </c>
      <c r="BM826" t="s">
        <v>6542</v>
      </c>
      <c r="BN826" t="s">
        <v>6542</v>
      </c>
      <c r="BO826" t="s">
        <v>6543</v>
      </c>
      <c r="BP826" t="s">
        <v>6543</v>
      </c>
      <c r="BQ826" t="s">
        <v>6543</v>
      </c>
      <c r="BR826" t="s">
        <v>6543</v>
      </c>
      <c r="BS826" t="s">
        <v>6543</v>
      </c>
      <c r="BT826" t="s">
        <v>6543</v>
      </c>
      <c r="BU826" t="s">
        <v>6544</v>
      </c>
      <c r="BV826" t="s">
        <v>6544</v>
      </c>
      <c r="BW826" t="s">
        <v>6544</v>
      </c>
      <c r="BX826" t="s">
        <v>6544</v>
      </c>
      <c r="BY826" t="s">
        <v>6544</v>
      </c>
      <c r="BZ826" t="s">
        <v>6544</v>
      </c>
      <c r="CA826" t="s">
        <v>6544</v>
      </c>
      <c r="CB826" t="s">
        <v>6545</v>
      </c>
      <c r="CC826" t="s">
        <v>6545</v>
      </c>
      <c r="CD826" t="s">
        <v>6545</v>
      </c>
      <c r="CE826" t="s">
        <v>6545</v>
      </c>
      <c r="CF826" t="s">
        <v>6545</v>
      </c>
      <c r="CG826" t="s">
        <v>6545</v>
      </c>
      <c r="CH826" t="s">
        <v>6545</v>
      </c>
      <c r="CI826" t="s">
        <v>6545</v>
      </c>
      <c r="CJ826" t="s">
        <v>6545</v>
      </c>
      <c r="CK826" t="s">
        <v>6546</v>
      </c>
      <c r="CL826" t="s">
        <v>6546</v>
      </c>
      <c r="CM826" t="s">
        <v>6547</v>
      </c>
      <c r="CN826" t="s">
        <v>6548</v>
      </c>
      <c r="CO826" t="s">
        <v>6548</v>
      </c>
      <c r="CP826" t="s">
        <v>6580</v>
      </c>
      <c r="CQ826" t="s">
        <v>6580</v>
      </c>
      <c r="CR826" t="s">
        <v>6548</v>
      </c>
      <c r="CS826" t="s">
        <v>6548</v>
      </c>
      <c r="CT826" t="s">
        <v>6548</v>
      </c>
      <c r="CU826" t="s">
        <v>6548</v>
      </c>
      <c r="CV826" t="s">
        <v>6549</v>
      </c>
      <c r="CW826" t="s">
        <v>6549</v>
      </c>
      <c r="CX826" t="s">
        <v>6549</v>
      </c>
      <c r="CY826" t="s">
        <v>6549</v>
      </c>
      <c r="CZ826" t="s">
        <v>6549</v>
      </c>
      <c r="DA826" t="s">
        <v>6549</v>
      </c>
      <c r="DB826" t="s">
        <v>6549</v>
      </c>
      <c r="DC826" t="s">
        <v>6549</v>
      </c>
      <c r="DD826" t="s">
        <v>6549</v>
      </c>
      <c r="DE826" t="s">
        <v>6550</v>
      </c>
      <c r="DF826" t="s">
        <v>6550</v>
      </c>
      <c r="DG826" t="s">
        <v>6550</v>
      </c>
      <c r="DH826" t="s">
        <v>6550</v>
      </c>
      <c r="DI826" t="s">
        <v>6551</v>
      </c>
      <c r="DJ826" t="s">
        <v>6552</v>
      </c>
      <c r="DK826" t="s">
        <v>6553</v>
      </c>
      <c r="DL826" t="s">
        <v>6553</v>
      </c>
      <c r="DM826" t="s">
        <v>6553</v>
      </c>
      <c r="DN826" t="s">
        <v>6553</v>
      </c>
      <c r="DO826" t="s">
        <v>6553</v>
      </c>
      <c r="DP826" t="s">
        <v>6553</v>
      </c>
      <c r="DQ826" t="s">
        <v>6553</v>
      </c>
      <c r="DR826" t="s">
        <v>6553</v>
      </c>
      <c r="DS826" t="s">
        <v>6554</v>
      </c>
      <c r="DT826" t="s">
        <v>6556</v>
      </c>
      <c r="DU826" t="s">
        <v>6557</v>
      </c>
      <c r="DV826" t="s">
        <v>6557</v>
      </c>
      <c r="DW826" t="s">
        <v>6557</v>
      </c>
      <c r="DX826" t="s">
        <v>6557</v>
      </c>
      <c r="DY826" t="s">
        <v>6557</v>
      </c>
      <c r="DZ826" t="s">
        <v>6557</v>
      </c>
      <c r="EA826" t="s">
        <v>6557</v>
      </c>
      <c r="EB826" t="s">
        <v>6557</v>
      </c>
      <c r="EC826" t="s">
        <v>6557</v>
      </c>
      <c r="ED826" t="s">
        <v>6557</v>
      </c>
      <c r="EE826" t="s">
        <v>6558</v>
      </c>
      <c r="EF826" t="s">
        <v>6559</v>
      </c>
      <c r="EG826" t="s">
        <v>6559</v>
      </c>
      <c r="EH826" t="s">
        <v>6559</v>
      </c>
      <c r="EI826" t="s">
        <v>6559</v>
      </c>
      <c r="EJ826" t="s">
        <v>6549</v>
      </c>
      <c r="EK826" t="s">
        <v>7614</v>
      </c>
      <c r="EL826" t="s">
        <v>6560</v>
      </c>
      <c r="EM826" t="s">
        <v>6560</v>
      </c>
      <c r="EN826" t="s">
        <v>6560</v>
      </c>
      <c r="EO826" t="s">
        <v>6560</v>
      </c>
      <c r="EP826" t="s">
        <v>6560</v>
      </c>
      <c r="EQ826" t="s">
        <v>6560</v>
      </c>
      <c r="ER826" t="s">
        <v>6560</v>
      </c>
      <c r="ES826" t="s">
        <v>6560</v>
      </c>
      <c r="ET826" t="s">
        <v>6560</v>
      </c>
      <c r="EU826" t="s">
        <v>6560</v>
      </c>
      <c r="EV826" t="s">
        <v>6560</v>
      </c>
      <c r="EW826" t="s">
        <v>6560</v>
      </c>
      <c r="EX826" t="s">
        <v>6560</v>
      </c>
      <c r="EY826" t="s">
        <v>6560</v>
      </c>
      <c r="EZ826" t="s">
        <v>6561</v>
      </c>
      <c r="FA826" t="s">
        <v>6562</v>
      </c>
      <c r="FB826" t="s">
        <v>6562</v>
      </c>
      <c r="FC826" t="s">
        <v>6562</v>
      </c>
      <c r="FD826" t="s">
        <v>6562</v>
      </c>
      <c r="FE826" t="s">
        <v>7615</v>
      </c>
      <c r="FF826" t="s">
        <v>7615</v>
      </c>
      <c r="FG826" t="s">
        <v>6563</v>
      </c>
      <c r="FH826" t="s">
        <v>6564</v>
      </c>
      <c r="FI826" t="s">
        <v>6564</v>
      </c>
      <c r="FJ826" t="s">
        <v>6564</v>
      </c>
      <c r="FL826" t="s">
        <v>7619</v>
      </c>
      <c r="FM826" t="s">
        <v>7619</v>
      </c>
      <c r="FN826" t="s">
        <v>7619</v>
      </c>
      <c r="FO826" t="s">
        <v>7619</v>
      </c>
      <c r="FP826" t="s">
        <v>7619</v>
      </c>
      <c r="FQ826" t="s">
        <v>7619</v>
      </c>
      <c r="FR826" t="s">
        <v>7619</v>
      </c>
      <c r="FS826" t="s">
        <v>6566</v>
      </c>
      <c r="FT826" t="s">
        <v>6565</v>
      </c>
      <c r="FU826" t="s">
        <v>6567</v>
      </c>
      <c r="FV826" t="s">
        <v>7620</v>
      </c>
      <c r="FW826" t="s">
        <v>6567</v>
      </c>
      <c r="FX826" t="s">
        <v>6567</v>
      </c>
      <c r="FY826" t="s">
        <v>6568</v>
      </c>
      <c r="FZ826" t="s">
        <v>6569</v>
      </c>
      <c r="GA826" t="s">
        <v>6570</v>
      </c>
      <c r="GB826" t="s">
        <v>6571</v>
      </c>
      <c r="GC826" t="s">
        <v>6572</v>
      </c>
      <c r="GD826" t="s">
        <v>6573</v>
      </c>
      <c r="GE826" t="s">
        <v>6573</v>
      </c>
      <c r="GF826" t="s">
        <v>6573</v>
      </c>
      <c r="GG826" t="s">
        <v>6573</v>
      </c>
      <c r="GH826" t="s">
        <v>6573</v>
      </c>
      <c r="GI826" t="s">
        <v>6573</v>
      </c>
      <c r="GJ826" t="s">
        <v>6573</v>
      </c>
      <c r="GK826" t="s">
        <v>6573</v>
      </c>
      <c r="GL826" t="s">
        <v>6573</v>
      </c>
      <c r="GM826" t="s">
        <v>6573</v>
      </c>
      <c r="GN826" t="s">
        <v>6574</v>
      </c>
      <c r="GO826" t="s">
        <v>6574</v>
      </c>
      <c r="GP826" t="s">
        <v>6574</v>
      </c>
      <c r="GQ826" t="s">
        <v>6574</v>
      </c>
      <c r="GR826" t="s">
        <v>6574</v>
      </c>
      <c r="GS826" t="s">
        <v>6573</v>
      </c>
      <c r="GT826" t="s">
        <v>6573</v>
      </c>
      <c r="GU826" t="s">
        <v>6573</v>
      </c>
      <c r="GV826" t="s">
        <v>6573</v>
      </c>
      <c r="GW826" t="s">
        <v>6573</v>
      </c>
      <c r="GX826" t="s">
        <v>6573</v>
      </c>
      <c r="GY826" t="s">
        <v>6573</v>
      </c>
      <c r="GZ826" t="s">
        <v>6573</v>
      </c>
      <c r="HA826" t="s">
        <v>6573</v>
      </c>
      <c r="HB826" t="s">
        <v>6573</v>
      </c>
      <c r="HC826" t="s">
        <v>6573</v>
      </c>
      <c r="HD826" t="s">
        <v>6573</v>
      </c>
      <c r="HE826" t="s">
        <v>6573</v>
      </c>
      <c r="HF826" t="s">
        <v>6573</v>
      </c>
      <c r="HG826" t="s">
        <v>6573</v>
      </c>
      <c r="HH826" t="s">
        <v>6573</v>
      </c>
      <c r="HI826" t="s">
        <v>6573</v>
      </c>
      <c r="HJ826" t="s">
        <v>6573</v>
      </c>
      <c r="HK826" t="s">
        <v>6573</v>
      </c>
      <c r="HL826" t="s">
        <v>6573</v>
      </c>
      <c r="HM826" t="s">
        <v>6573</v>
      </c>
      <c r="HN826" t="s">
        <v>6573</v>
      </c>
      <c r="HO826" t="s">
        <v>6573</v>
      </c>
      <c r="HP826" t="s">
        <v>6573</v>
      </c>
      <c r="HQ826" t="s">
        <v>6573</v>
      </c>
      <c r="HR826" t="s">
        <v>6573</v>
      </c>
      <c r="HS826" t="s">
        <v>6575</v>
      </c>
      <c r="HT826" t="s">
        <v>6575</v>
      </c>
      <c r="HU826" t="s">
        <v>6575</v>
      </c>
      <c r="HV826" t="s">
        <v>6575</v>
      </c>
      <c r="HW826" t="s">
        <v>6575</v>
      </c>
      <c r="HX826" t="s">
        <v>6575</v>
      </c>
      <c r="HY826" t="s">
        <v>6575</v>
      </c>
      <c r="HZ826" t="s">
        <v>6575</v>
      </c>
      <c r="IA826" t="s">
        <v>6576</v>
      </c>
      <c r="IB826" t="s">
        <v>6575</v>
      </c>
      <c r="IC826" t="s">
        <v>6578</v>
      </c>
      <c r="ID826" t="s">
        <v>6577</v>
      </c>
      <c r="IE826" t="s">
        <v>6577</v>
      </c>
      <c r="IF826" t="s">
        <v>6579</v>
      </c>
      <c r="IG826" t="s">
        <v>6579</v>
      </c>
      <c r="IH826" t="s">
        <v>6577</v>
      </c>
      <c r="II826" t="s">
        <v>6577</v>
      </c>
      <c r="IL826" t="s">
        <v>6573</v>
      </c>
      <c r="IM826" t="s">
        <v>6573</v>
      </c>
      <c r="IN826" t="s">
        <v>6573</v>
      </c>
      <c r="IO826" t="s">
        <v>6573</v>
      </c>
      <c r="IP826" t="s">
        <v>6573</v>
      </c>
      <c r="IQ826" t="s">
        <v>6573</v>
      </c>
      <c r="IT826" t="s">
        <v>6394</v>
      </c>
      <c r="IY826" t="s">
        <v>6573</v>
      </c>
    </row>
    <row r="827" spans="1:259" x14ac:dyDescent="0.2">
      <c r="A827" t="s">
        <v>2666</v>
      </c>
      <c r="B827">
        <f>ROW()</f>
        <v>827</v>
      </c>
    </row>
    <row r="828" spans="1:259" x14ac:dyDescent="0.2">
      <c r="A828" t="s">
        <v>2667</v>
      </c>
      <c r="B828">
        <f>ROW()</f>
        <v>828</v>
      </c>
    </row>
    <row r="829" spans="1:259" x14ac:dyDescent="0.2">
      <c r="A829" t="s">
        <v>2755</v>
      </c>
      <c r="B829">
        <f>ROW()</f>
        <v>829</v>
      </c>
    </row>
    <row r="830" spans="1:259" x14ac:dyDescent="0.2">
      <c r="A830" t="s">
        <v>6614</v>
      </c>
      <c r="B830">
        <f>ROW()</f>
        <v>830</v>
      </c>
    </row>
    <row r="831" spans="1:259" x14ac:dyDescent="0.2">
      <c r="A831" t="s">
        <v>6615</v>
      </c>
      <c r="B831">
        <f>ROW()</f>
        <v>831</v>
      </c>
    </row>
    <row r="832" spans="1:259" x14ac:dyDescent="0.2">
      <c r="A832" t="s">
        <v>6616</v>
      </c>
      <c r="B832">
        <f>ROW()</f>
        <v>832</v>
      </c>
    </row>
    <row r="833" spans="1:259" x14ac:dyDescent="0.2">
      <c r="A833" t="s">
        <v>6617</v>
      </c>
      <c r="B833">
        <f>ROW()</f>
        <v>833</v>
      </c>
      <c r="AT833" t="s">
        <v>6549</v>
      </c>
      <c r="BH833" t="s">
        <v>6396</v>
      </c>
      <c r="BI833" t="s">
        <v>6397</v>
      </c>
      <c r="BK833" t="s">
        <v>7601</v>
      </c>
      <c r="BL833" t="s">
        <v>7601</v>
      </c>
      <c r="BM833" t="s">
        <v>7601</v>
      </c>
      <c r="BN833" t="s">
        <v>7601</v>
      </c>
      <c r="DL833" t="s">
        <v>6394</v>
      </c>
      <c r="DN833" t="s">
        <v>6394</v>
      </c>
      <c r="DZ833" t="s">
        <v>6555</v>
      </c>
      <c r="EA833" t="s">
        <v>6555</v>
      </c>
      <c r="EB833" t="s">
        <v>6555</v>
      </c>
      <c r="EY833" t="s">
        <v>6579</v>
      </c>
      <c r="FE833" t="s">
        <v>6395</v>
      </c>
      <c r="FF833" t="s">
        <v>9309</v>
      </c>
      <c r="FG833" t="s">
        <v>6581</v>
      </c>
      <c r="GN833" t="s">
        <v>6393</v>
      </c>
      <c r="GO833" t="s">
        <v>6393</v>
      </c>
      <c r="GP833" t="s">
        <v>6393</v>
      </c>
      <c r="GQ833" t="s">
        <v>6393</v>
      </c>
      <c r="GR833" t="s">
        <v>6393</v>
      </c>
      <c r="HN833" t="s">
        <v>6543</v>
      </c>
      <c r="HO833" t="s">
        <v>6543</v>
      </c>
      <c r="HP833" t="s">
        <v>6543</v>
      </c>
      <c r="HQ833" t="s">
        <v>6543</v>
      </c>
      <c r="HR833" t="s">
        <v>6543</v>
      </c>
      <c r="IB833" t="s">
        <v>6542</v>
      </c>
      <c r="IC833" t="s">
        <v>6390</v>
      </c>
      <c r="ID833" t="s">
        <v>6390</v>
      </c>
      <c r="IE833" t="s">
        <v>6390</v>
      </c>
      <c r="IH833" t="s">
        <v>6390</v>
      </c>
      <c r="II833" t="s">
        <v>6390</v>
      </c>
      <c r="IT833" t="s">
        <v>6393</v>
      </c>
      <c r="IY833" t="s">
        <v>6543</v>
      </c>
    </row>
    <row r="834" spans="1:259" x14ac:dyDescent="0.2">
      <c r="A834" t="s">
        <v>6618</v>
      </c>
      <c r="B834">
        <f>ROW()</f>
        <v>834</v>
      </c>
    </row>
    <row r="835" spans="1:259" x14ac:dyDescent="0.2">
      <c r="A835" t="s">
        <v>6619</v>
      </c>
      <c r="B835">
        <f>ROW()</f>
        <v>835</v>
      </c>
    </row>
    <row r="836" spans="1:259" x14ac:dyDescent="0.2">
      <c r="A836" t="s">
        <v>6620</v>
      </c>
      <c r="B836">
        <f>ROW()</f>
        <v>836</v>
      </c>
    </row>
    <row r="837" spans="1:259" x14ac:dyDescent="0.2">
      <c r="A837" t="s">
        <v>4247</v>
      </c>
      <c r="B837">
        <f>ROW()</f>
        <v>837</v>
      </c>
    </row>
    <row r="838" spans="1:259" x14ac:dyDescent="0.2">
      <c r="A838" t="s">
        <v>4248</v>
      </c>
      <c r="B838">
        <f>ROW()</f>
        <v>838</v>
      </c>
    </row>
    <row r="839" spans="1:259" x14ac:dyDescent="0.2">
      <c r="A839" t="s">
        <v>4976</v>
      </c>
      <c r="B839">
        <f>ROW()</f>
        <v>839</v>
      </c>
    </row>
    <row r="840" spans="1:259" x14ac:dyDescent="0.2">
      <c r="A840" t="s">
        <v>3596</v>
      </c>
      <c r="B840">
        <f>ROW()</f>
        <v>840</v>
      </c>
      <c r="DY840" t="s">
        <v>6159</v>
      </c>
      <c r="FH840" t="s">
        <v>7616</v>
      </c>
      <c r="FI840" t="s">
        <v>7617</v>
      </c>
      <c r="FJ840" t="s">
        <v>6488</v>
      </c>
      <c r="FK840" t="s">
        <v>6488</v>
      </c>
      <c r="FL840" t="s">
        <v>6489</v>
      </c>
      <c r="FM840" t="s">
        <v>6489</v>
      </c>
      <c r="FN840" t="s">
        <v>6489</v>
      </c>
      <c r="FO840" t="s">
        <v>6490</v>
      </c>
      <c r="FP840" t="s">
        <v>6491</v>
      </c>
      <c r="FQ840" t="s">
        <v>6489</v>
      </c>
      <c r="FR840" t="s">
        <v>6489</v>
      </c>
      <c r="FS840" t="s">
        <v>6492</v>
      </c>
      <c r="FT840" t="s">
        <v>7621</v>
      </c>
      <c r="FU840" t="s">
        <v>6493</v>
      </c>
      <c r="FV840" t="s">
        <v>6493</v>
      </c>
      <c r="FW840" t="s">
        <v>6493</v>
      </c>
      <c r="FX840" t="s">
        <v>6493</v>
      </c>
    </row>
    <row r="841" spans="1:259" x14ac:dyDescent="0.2">
      <c r="B841">
        <f>ROW()</f>
        <v>841</v>
      </c>
    </row>
    <row r="842" spans="1:259" x14ac:dyDescent="0.2">
      <c r="B842">
        <f>ROW()</f>
        <v>842</v>
      </c>
    </row>
    <row r="843" spans="1:259" x14ac:dyDescent="0.2">
      <c r="A843" t="s">
        <v>6711</v>
      </c>
      <c r="B843">
        <f>ROW()</f>
        <v>843</v>
      </c>
    </row>
    <row r="844" spans="1:259" x14ac:dyDescent="0.2">
      <c r="A844" t="s">
        <v>4852</v>
      </c>
      <c r="B844">
        <f>ROW()</f>
        <v>844</v>
      </c>
    </row>
    <row r="845" spans="1:259" x14ac:dyDescent="0.2">
      <c r="A845" t="s">
        <v>6740</v>
      </c>
      <c r="B845">
        <f>ROW()</f>
        <v>845</v>
      </c>
    </row>
    <row r="846" spans="1:259" x14ac:dyDescent="0.2">
      <c r="A846" t="s">
        <v>7075</v>
      </c>
      <c r="B846">
        <f>ROW()</f>
        <v>846</v>
      </c>
    </row>
    <row r="847" spans="1:259" x14ac:dyDescent="0.2">
      <c r="A847" t="s">
        <v>6479</v>
      </c>
      <c r="B847">
        <f>ROW()</f>
        <v>847</v>
      </c>
      <c r="FH847">
        <v>100</v>
      </c>
      <c r="FI847">
        <v>100</v>
      </c>
      <c r="FJ847">
        <v>100</v>
      </c>
      <c r="FK847">
        <v>100</v>
      </c>
      <c r="FL847">
        <v>100</v>
      </c>
      <c r="FM847">
        <v>100</v>
      </c>
      <c r="FN847">
        <v>100</v>
      </c>
      <c r="FO847">
        <v>100</v>
      </c>
      <c r="FP847">
        <v>100</v>
      </c>
      <c r="FQ847">
        <v>60</v>
      </c>
      <c r="FR847">
        <v>100</v>
      </c>
      <c r="FS847">
        <v>100</v>
      </c>
      <c r="FT847">
        <v>100</v>
      </c>
      <c r="FU847">
        <v>100</v>
      </c>
      <c r="FV847">
        <v>100</v>
      </c>
      <c r="FW847">
        <v>100</v>
      </c>
      <c r="FX847">
        <v>100</v>
      </c>
    </row>
    <row r="848" spans="1:259" x14ac:dyDescent="0.2">
      <c r="A848" t="s">
        <v>2668</v>
      </c>
      <c r="B848">
        <f>ROW()</f>
        <v>848</v>
      </c>
    </row>
    <row r="849" spans="1:259" ht="12" customHeight="1" x14ac:dyDescent="0.2">
      <c r="A849" t="s">
        <v>4194</v>
      </c>
      <c r="B849">
        <f>ROW()</f>
        <v>849</v>
      </c>
    </row>
    <row r="850" spans="1:259" x14ac:dyDescent="0.2">
      <c r="A850" t="s">
        <v>3882</v>
      </c>
      <c r="B850">
        <f>ROW()</f>
        <v>850</v>
      </c>
      <c r="D850" t="s">
        <v>3884</v>
      </c>
      <c r="E850" t="s">
        <v>3884</v>
      </c>
      <c r="F850" t="s">
        <v>3884</v>
      </c>
      <c r="G850" t="s">
        <v>3884</v>
      </c>
      <c r="H850" t="s">
        <v>3884</v>
      </c>
      <c r="I850" t="s">
        <v>3884</v>
      </c>
      <c r="J850" t="s">
        <v>3884</v>
      </c>
      <c r="K850" t="s">
        <v>3884</v>
      </c>
      <c r="L850" t="s">
        <v>3884</v>
      </c>
      <c r="M850" t="s">
        <v>3884</v>
      </c>
      <c r="N850" t="s">
        <v>3884</v>
      </c>
      <c r="O850" t="s">
        <v>3884</v>
      </c>
      <c r="P850" t="s">
        <v>3884</v>
      </c>
      <c r="Q850" t="s">
        <v>3884</v>
      </c>
      <c r="R850" t="s">
        <v>3884</v>
      </c>
      <c r="S850" t="s">
        <v>3884</v>
      </c>
      <c r="T850" t="s">
        <v>3884</v>
      </c>
      <c r="U850" t="s">
        <v>3884</v>
      </c>
      <c r="V850" t="s">
        <v>3884</v>
      </c>
      <c r="W850" t="s">
        <v>3884</v>
      </c>
      <c r="X850" t="s">
        <v>3884</v>
      </c>
      <c r="Y850" t="s">
        <v>3884</v>
      </c>
      <c r="Z850" t="s">
        <v>3884</v>
      </c>
      <c r="AA850" t="s">
        <v>3884</v>
      </c>
      <c r="AB850" t="s">
        <v>3884</v>
      </c>
      <c r="AC850" t="s">
        <v>3884</v>
      </c>
      <c r="AD850" t="s">
        <v>3884</v>
      </c>
      <c r="AE850" t="s">
        <v>3884</v>
      </c>
      <c r="AF850" t="s">
        <v>3884</v>
      </c>
      <c r="AG850" t="s">
        <v>3884</v>
      </c>
      <c r="AH850" t="s">
        <v>3884</v>
      </c>
      <c r="AI850" t="s">
        <v>3883</v>
      </c>
      <c r="AJ850" t="s">
        <v>3883</v>
      </c>
      <c r="AK850" t="s">
        <v>3883</v>
      </c>
      <c r="AL850" t="s">
        <v>3883</v>
      </c>
      <c r="AN850" t="s">
        <v>3883</v>
      </c>
      <c r="AO850" t="s">
        <v>3884</v>
      </c>
      <c r="AP850" t="s">
        <v>3884</v>
      </c>
      <c r="AQ850" t="s">
        <v>3884</v>
      </c>
      <c r="AR850" t="s">
        <v>3884</v>
      </c>
      <c r="AS850" t="s">
        <v>3884</v>
      </c>
      <c r="AT850" t="s">
        <v>3884</v>
      </c>
      <c r="AU850" t="s">
        <v>3884</v>
      </c>
      <c r="AV850" t="s">
        <v>3884</v>
      </c>
      <c r="AW850" t="s">
        <v>3884</v>
      </c>
      <c r="AX850" t="s">
        <v>3884</v>
      </c>
      <c r="AY850" t="s">
        <v>3884</v>
      </c>
      <c r="AZ850" t="s">
        <v>3884</v>
      </c>
      <c r="BA850" t="s">
        <v>3884</v>
      </c>
      <c r="BB850" t="s">
        <v>3884</v>
      </c>
      <c r="BC850" t="s">
        <v>3884</v>
      </c>
      <c r="BD850" t="s">
        <v>3884</v>
      </c>
      <c r="BE850" t="s">
        <v>3884</v>
      </c>
      <c r="BF850" t="s">
        <v>3884</v>
      </c>
      <c r="BG850" t="s">
        <v>3884</v>
      </c>
      <c r="BH850" t="s">
        <v>3884</v>
      </c>
      <c r="BI850" t="s">
        <v>3884</v>
      </c>
      <c r="BJ850" t="s">
        <v>3884</v>
      </c>
      <c r="BK850" t="s">
        <v>3884</v>
      </c>
      <c r="BL850" t="s">
        <v>3884</v>
      </c>
      <c r="BM850" t="s">
        <v>3884</v>
      </c>
      <c r="BN850" t="s">
        <v>3884</v>
      </c>
      <c r="BO850" t="s">
        <v>3884</v>
      </c>
      <c r="BP850" t="s">
        <v>3884</v>
      </c>
      <c r="BQ850" t="s">
        <v>3884</v>
      </c>
      <c r="BR850" t="s">
        <v>3884</v>
      </c>
      <c r="BS850" t="s">
        <v>3884</v>
      </c>
      <c r="BT850" t="s">
        <v>3884</v>
      </c>
      <c r="BU850" t="s">
        <v>3884</v>
      </c>
      <c r="BV850" t="s">
        <v>3884</v>
      </c>
      <c r="BW850" t="s">
        <v>3884</v>
      </c>
      <c r="BX850" t="s">
        <v>3884</v>
      </c>
      <c r="BY850" t="s">
        <v>3884</v>
      </c>
      <c r="BZ850" t="s">
        <v>3884</v>
      </c>
      <c r="CA850" t="s">
        <v>3884</v>
      </c>
      <c r="CB850" t="s">
        <v>3884</v>
      </c>
      <c r="CC850" t="s">
        <v>3884</v>
      </c>
      <c r="CD850" t="s">
        <v>3884</v>
      </c>
      <c r="CE850" t="s">
        <v>3884</v>
      </c>
      <c r="CF850" t="s">
        <v>3884</v>
      </c>
      <c r="CG850" t="s">
        <v>3884</v>
      </c>
      <c r="CH850" t="s">
        <v>3884</v>
      </c>
      <c r="CI850" t="s">
        <v>3884</v>
      </c>
      <c r="CJ850" t="s">
        <v>3884</v>
      </c>
      <c r="CK850" t="s">
        <v>3884</v>
      </c>
      <c r="CL850" t="s">
        <v>3884</v>
      </c>
      <c r="CM850" t="s">
        <v>3884</v>
      </c>
      <c r="CN850" t="s">
        <v>3884</v>
      </c>
      <c r="CO850" t="s">
        <v>3884</v>
      </c>
      <c r="CP850" t="s">
        <v>3884</v>
      </c>
      <c r="CQ850" t="s">
        <v>3884</v>
      </c>
      <c r="CR850" t="s">
        <v>3884</v>
      </c>
      <c r="CS850" t="s">
        <v>3884</v>
      </c>
      <c r="CT850" t="s">
        <v>3884</v>
      </c>
      <c r="CU850" t="s">
        <v>3884</v>
      </c>
      <c r="CV850" t="s">
        <v>3884</v>
      </c>
      <c r="CW850" t="s">
        <v>3884</v>
      </c>
      <c r="CX850" t="s">
        <v>3884</v>
      </c>
      <c r="CY850" t="s">
        <v>3884</v>
      </c>
      <c r="CZ850" t="s">
        <v>3884</v>
      </c>
      <c r="DA850" t="s">
        <v>3884</v>
      </c>
      <c r="DB850" t="s">
        <v>3884</v>
      </c>
      <c r="DC850" t="s">
        <v>3884</v>
      </c>
      <c r="DD850" t="s">
        <v>3884</v>
      </c>
      <c r="DE850" t="s">
        <v>3884</v>
      </c>
      <c r="DF850" t="s">
        <v>3884</v>
      </c>
      <c r="DG850" t="s">
        <v>3884</v>
      </c>
      <c r="DH850" t="s">
        <v>3884</v>
      </c>
      <c r="DI850" t="s">
        <v>3884</v>
      </c>
      <c r="DJ850" t="s">
        <v>3884</v>
      </c>
      <c r="DK850" t="s">
        <v>3884</v>
      </c>
      <c r="DL850" t="s">
        <v>3884</v>
      </c>
      <c r="DM850" t="s">
        <v>3884</v>
      </c>
      <c r="DN850" t="s">
        <v>3884</v>
      </c>
      <c r="DO850" t="s">
        <v>3884</v>
      </c>
      <c r="DP850" t="s">
        <v>3884</v>
      </c>
      <c r="DQ850" t="s">
        <v>3884</v>
      </c>
      <c r="DR850" t="s">
        <v>3884</v>
      </c>
      <c r="DS850" t="s">
        <v>3884</v>
      </c>
      <c r="DT850" t="s">
        <v>3884</v>
      </c>
      <c r="DU850" t="s">
        <v>3884</v>
      </c>
      <c r="DV850" t="s">
        <v>3884</v>
      </c>
      <c r="DW850" t="s">
        <v>3884</v>
      </c>
      <c r="DX850" t="s">
        <v>3884</v>
      </c>
      <c r="DY850" t="s">
        <v>3884</v>
      </c>
      <c r="DZ850" t="s">
        <v>3884</v>
      </c>
      <c r="EA850" t="s">
        <v>3884</v>
      </c>
      <c r="EB850" t="s">
        <v>3884</v>
      </c>
      <c r="EC850" t="s">
        <v>3884</v>
      </c>
      <c r="ED850" t="s">
        <v>3884</v>
      </c>
      <c r="EE850" t="s">
        <v>3884</v>
      </c>
      <c r="EF850" t="s">
        <v>3884</v>
      </c>
      <c r="EG850" t="s">
        <v>3884</v>
      </c>
      <c r="EH850" t="s">
        <v>3884</v>
      </c>
      <c r="EI850" t="s">
        <v>3884</v>
      </c>
      <c r="EJ850" t="s">
        <v>3884</v>
      </c>
      <c r="EK850" t="s">
        <v>3884</v>
      </c>
      <c r="EL850" t="s">
        <v>3884</v>
      </c>
      <c r="EM850" t="s">
        <v>3884</v>
      </c>
      <c r="EN850" t="s">
        <v>3884</v>
      </c>
      <c r="EO850" t="s">
        <v>3884</v>
      </c>
      <c r="EP850" t="s">
        <v>3884</v>
      </c>
      <c r="EQ850" t="s">
        <v>3884</v>
      </c>
      <c r="ER850" t="s">
        <v>3884</v>
      </c>
      <c r="ES850" t="s">
        <v>3884</v>
      </c>
      <c r="ET850" t="s">
        <v>3884</v>
      </c>
      <c r="EU850" t="s">
        <v>3884</v>
      </c>
      <c r="EV850" t="s">
        <v>3884</v>
      </c>
      <c r="EW850" t="s">
        <v>3884</v>
      </c>
      <c r="EX850" t="s">
        <v>3884</v>
      </c>
      <c r="EY850" t="s">
        <v>3884</v>
      </c>
      <c r="EZ850" t="s">
        <v>3884</v>
      </c>
      <c r="FA850" t="s">
        <v>3884</v>
      </c>
      <c r="FB850" t="s">
        <v>3884</v>
      </c>
      <c r="FC850" t="s">
        <v>3884</v>
      </c>
      <c r="FD850" t="s">
        <v>3884</v>
      </c>
      <c r="FE850" t="s">
        <v>3884</v>
      </c>
      <c r="FF850" t="s">
        <v>3884</v>
      </c>
      <c r="FG850" t="s">
        <v>3884</v>
      </c>
      <c r="FH850" t="s">
        <v>3884</v>
      </c>
      <c r="FI850" t="s">
        <v>3884</v>
      </c>
      <c r="FJ850" t="s">
        <v>3884</v>
      </c>
      <c r="FK850" t="s">
        <v>7658</v>
      </c>
      <c r="FL850" t="s">
        <v>3884</v>
      </c>
      <c r="FM850" t="s">
        <v>3884</v>
      </c>
      <c r="FN850" t="s">
        <v>3884</v>
      </c>
      <c r="FO850" t="s">
        <v>3884</v>
      </c>
      <c r="FP850" t="s">
        <v>3884</v>
      </c>
      <c r="FQ850" t="s">
        <v>3884</v>
      </c>
      <c r="FR850" t="s">
        <v>3884</v>
      </c>
      <c r="FS850" t="s">
        <v>3884</v>
      </c>
      <c r="FT850" t="s">
        <v>3884</v>
      </c>
      <c r="FU850" t="s">
        <v>3884</v>
      </c>
      <c r="FV850" t="s">
        <v>3884</v>
      </c>
      <c r="FW850" t="s">
        <v>3884</v>
      </c>
      <c r="FX850" t="s">
        <v>3884</v>
      </c>
      <c r="FY850" t="s">
        <v>3884</v>
      </c>
      <c r="FZ850" t="s">
        <v>3884</v>
      </c>
      <c r="GA850" t="s">
        <v>3884</v>
      </c>
      <c r="GB850" t="s">
        <v>3884</v>
      </c>
      <c r="GC850" t="s">
        <v>3884</v>
      </c>
      <c r="GD850" t="s">
        <v>3884</v>
      </c>
      <c r="GE850" t="s">
        <v>3884</v>
      </c>
      <c r="GF850" t="s">
        <v>3884</v>
      </c>
      <c r="GG850" t="s">
        <v>3884</v>
      </c>
      <c r="GH850" t="s">
        <v>3884</v>
      </c>
      <c r="GI850" t="s">
        <v>3884</v>
      </c>
      <c r="GJ850" t="s">
        <v>3884</v>
      </c>
      <c r="GK850" t="s">
        <v>3884</v>
      </c>
      <c r="GL850" t="s">
        <v>3884</v>
      </c>
      <c r="GM850" t="s">
        <v>3884</v>
      </c>
      <c r="GN850" t="s">
        <v>3884</v>
      </c>
      <c r="GO850" t="s">
        <v>3884</v>
      </c>
      <c r="GP850" t="s">
        <v>3884</v>
      </c>
      <c r="GQ850" t="s">
        <v>3884</v>
      </c>
      <c r="GR850" t="s">
        <v>3884</v>
      </c>
      <c r="GS850" t="s">
        <v>3884</v>
      </c>
      <c r="GT850" t="s">
        <v>3884</v>
      </c>
      <c r="GU850" t="s">
        <v>3884</v>
      </c>
      <c r="GV850" t="s">
        <v>3884</v>
      </c>
      <c r="GW850" t="s">
        <v>3884</v>
      </c>
      <c r="GX850" t="s">
        <v>3884</v>
      </c>
      <c r="GY850" t="s">
        <v>3884</v>
      </c>
      <c r="GZ850" t="s">
        <v>3884</v>
      </c>
      <c r="HA850" t="s">
        <v>3884</v>
      </c>
      <c r="HB850" t="s">
        <v>3884</v>
      </c>
      <c r="HC850" t="s">
        <v>3884</v>
      </c>
      <c r="HD850" t="s">
        <v>3884</v>
      </c>
      <c r="HE850" t="s">
        <v>3884</v>
      </c>
      <c r="HF850" t="s">
        <v>3884</v>
      </c>
      <c r="HG850" t="s">
        <v>3884</v>
      </c>
      <c r="HH850" t="s">
        <v>3884</v>
      </c>
      <c r="HI850" t="s">
        <v>3884</v>
      </c>
      <c r="HJ850" t="s">
        <v>3884</v>
      </c>
      <c r="HK850" t="s">
        <v>3884</v>
      </c>
      <c r="HL850" t="s">
        <v>3884</v>
      </c>
      <c r="HM850" t="s">
        <v>3884</v>
      </c>
      <c r="HN850" t="s">
        <v>3884</v>
      </c>
      <c r="HO850" t="s">
        <v>3884</v>
      </c>
      <c r="HP850" t="s">
        <v>3884</v>
      </c>
      <c r="HQ850" t="s">
        <v>3884</v>
      </c>
      <c r="HR850" t="s">
        <v>3884</v>
      </c>
      <c r="HS850" t="s">
        <v>3884</v>
      </c>
      <c r="HT850" t="s">
        <v>3884</v>
      </c>
      <c r="HU850" t="s">
        <v>3884</v>
      </c>
      <c r="HV850" t="s">
        <v>3884</v>
      </c>
      <c r="HW850" t="s">
        <v>3884</v>
      </c>
      <c r="HX850" t="s">
        <v>3884</v>
      </c>
      <c r="HY850" t="s">
        <v>3884</v>
      </c>
      <c r="HZ850" t="s">
        <v>3884</v>
      </c>
      <c r="IA850" t="s">
        <v>3884</v>
      </c>
      <c r="IB850" t="s">
        <v>3884</v>
      </c>
      <c r="IC850" t="s">
        <v>3884</v>
      </c>
      <c r="ID850" t="s">
        <v>3884</v>
      </c>
      <c r="IE850" t="s">
        <v>3884</v>
      </c>
      <c r="IF850" t="s">
        <v>3884</v>
      </c>
      <c r="IG850" t="s">
        <v>3884</v>
      </c>
      <c r="IH850" t="s">
        <v>3884</v>
      </c>
      <c r="II850" t="s">
        <v>3884</v>
      </c>
      <c r="IL850" t="s">
        <v>3884</v>
      </c>
      <c r="IM850" t="s">
        <v>3884</v>
      </c>
      <c r="IN850" t="s">
        <v>3884</v>
      </c>
      <c r="IO850" t="s">
        <v>3884</v>
      </c>
      <c r="IP850" t="s">
        <v>3884</v>
      </c>
      <c r="IQ850" t="s">
        <v>3884</v>
      </c>
      <c r="IR850" t="s">
        <v>3884</v>
      </c>
      <c r="IS850" t="s">
        <v>3884</v>
      </c>
      <c r="IT850" t="s">
        <v>3884</v>
      </c>
      <c r="IU850" t="s">
        <v>3884</v>
      </c>
      <c r="IV850" t="s">
        <v>3884</v>
      </c>
      <c r="IW850" t="s">
        <v>3884</v>
      </c>
      <c r="IX850" t="s">
        <v>3884</v>
      </c>
      <c r="IY850" t="s">
        <v>3884</v>
      </c>
    </row>
    <row r="851" spans="1:259" x14ac:dyDescent="0.2">
      <c r="A851" t="s">
        <v>7073</v>
      </c>
      <c r="B851">
        <f>ROW()</f>
        <v>851</v>
      </c>
    </row>
    <row r="852" spans="1:259" x14ac:dyDescent="0.2">
      <c r="A852" t="s">
        <v>8476</v>
      </c>
      <c r="B852">
        <f>ROW()</f>
        <v>852</v>
      </c>
      <c r="AS852" t="s">
        <v>5114</v>
      </c>
      <c r="BB852" t="s">
        <v>5114</v>
      </c>
      <c r="BG852" t="s">
        <v>5114</v>
      </c>
      <c r="BN852" t="s">
        <v>5114</v>
      </c>
      <c r="CA852" t="s">
        <v>5114</v>
      </c>
      <c r="CE852" t="s">
        <v>5114</v>
      </c>
      <c r="CJ852" t="s">
        <v>5114</v>
      </c>
      <c r="CL852" t="s">
        <v>5114</v>
      </c>
      <c r="CT852" t="s">
        <v>5114</v>
      </c>
      <c r="CU852" t="s">
        <v>5114</v>
      </c>
      <c r="FO852" t="s">
        <v>6164</v>
      </c>
      <c r="HS852" t="s">
        <v>6166</v>
      </c>
      <c r="HT852" t="s">
        <v>6166</v>
      </c>
      <c r="HU852" t="s">
        <v>6166</v>
      </c>
      <c r="HV852" t="s">
        <v>6166</v>
      </c>
      <c r="HW852" t="s">
        <v>6166</v>
      </c>
      <c r="HX852" t="s">
        <v>6166</v>
      </c>
      <c r="HY852" t="s">
        <v>6166</v>
      </c>
      <c r="HZ852" t="s">
        <v>6166</v>
      </c>
      <c r="IL852" t="s">
        <v>6165</v>
      </c>
      <c r="IM852" t="s">
        <v>6165</v>
      </c>
      <c r="IN852" t="s">
        <v>6165</v>
      </c>
      <c r="IO852" t="s">
        <v>6165</v>
      </c>
      <c r="IP852" t="s">
        <v>6165</v>
      </c>
      <c r="IQ852" t="s">
        <v>6165</v>
      </c>
      <c r="IR852" t="s">
        <v>6165</v>
      </c>
      <c r="IS852" t="s">
        <v>6165</v>
      </c>
      <c r="IT852" t="s">
        <v>6165</v>
      </c>
      <c r="IU852" t="s">
        <v>6165</v>
      </c>
      <c r="IV852" t="s">
        <v>6165</v>
      </c>
      <c r="IW852" t="s">
        <v>6165</v>
      </c>
      <c r="IX852" t="s">
        <v>6165</v>
      </c>
    </row>
    <row r="853" spans="1:259" x14ac:dyDescent="0.2">
      <c r="FC853" t="s">
        <v>6160</v>
      </c>
      <c r="FJ853" t="s">
        <v>6161</v>
      </c>
      <c r="FM853" t="s">
        <v>6162</v>
      </c>
      <c r="FN853" t="s">
        <v>6163</v>
      </c>
    </row>
  </sheetData>
  <sheetProtection algorithmName="SHA-512" hashValue="ieZDSsiEMRvkB0l135tLCJXa9B+5xI/ts+EFoD0XA3HMQKwwApJpEnnA0ZH3+G5aLR9FFSutrbQKsK5cAK5y6A==" saltValue="fcVrLlWVHCixhlV7hz9aQA==" spinCount="100000" sheet="1" objects="1" scenarios="1" selectLockedCells="1" selectUnlockedCells="1"/>
  <phoneticPr fontId="3" type="noConversion"/>
  <dataValidations count="12">
    <dataValidation type="list" allowBlank="1" showInputMessage="1" showErrorMessage="1" sqref="IL706:IY706 IL319:IY320 CN280:CN281 GO280:HH281 DD280:DD281 D706:AL706 AO706:IJ706 AO319:IJ320">
      <formula1>REPRAES</formula1>
    </dataValidation>
    <dataValidation type="list" allowBlank="1" showInputMessage="1" showErrorMessage="1" sqref="IL696:IY705 D696:AL705 AO696:IJ705">
      <formula1>RITUALE</formula1>
    </dataValidation>
    <dataValidation type="list" allowBlank="1" showInputMessage="1" showErrorMessage="1" sqref="IL39:IY42 HI39:IJ42 D39:AE42 AF39:AL40 AF41:AH42 EI39:GN42 AO39:EG42">
      <formula1>BASISINKLGRP</formula1>
    </dataValidation>
    <dataValidation type="list" allowBlank="1" showInputMessage="1" showErrorMessage="1" sqref="IV266:IW267 IL303:IY307 GF266:GJ266 IG266:IJ266 GO266:HH270 CA266:CB266 AZ266 BB266:BD266 DD266:DD270 CN266:CN270 CO266:CP266 AO303:IJ307 DK266:DS266">
      <formula1>SF_ANDERE</formula1>
    </dataValidation>
    <dataValidation type="list" allowBlank="1" showInputMessage="1" showErrorMessage="1" sqref="IL34:IU35 GO34:HH38 AG36:AH36 L34 DT34:DZ35 DS34 EH34:EH38 DX36:DZ36 EL34:GC35 AO34:DR38">
      <formula1>NACHTEILE</formula1>
    </dataValidation>
    <dataValidation type="list" allowBlank="1" showInputMessage="1" showErrorMessage="1" sqref="IL285:IY298 GO253:HH262 DD253:DD262 CN253:CN262 GK253:GN253 AO285:IJ298">
      <formula1>KPFNAHSON</formula1>
    </dataValidation>
    <dataValidation type="list" allowBlank="1" showInputMessage="1" showErrorMessage="1" sqref="IL299:IY302 GO263:HH265 CN263:CN265 DD263:DD265 AO299:IJ302">
      <formula1>KPFFERNSON</formula1>
    </dataValidation>
    <dataValidation type="list" allowBlank="1" showInputMessage="1" showErrorMessage="1" sqref="IL321:IY321 GO39:HH42 EH39:EH42 AO321:IJ321">
      <formula1>TALENTE</formula1>
    </dataValidation>
    <dataValidation type="list" allowBlank="1" showInputMessage="1" showErrorMessage="1" sqref="IL308:IY315 GO271:HH277 CN271:CN277 DD271:DD277 AO308:IJ315">
      <formula1>SF_MAGIE</formula1>
    </dataValidation>
    <dataValidation type="list" allowBlank="1" showInputMessage="1" showErrorMessage="1" sqref="IL282:IY284 GO250:HH252 DD250:DD252 CN250:CN252 AO282:IJ284">
      <formula1>SF_WLOS</formula1>
    </dataValidation>
    <dataValidation type="list" allowBlank="1" showInputMessage="1" showErrorMessage="1" sqref="IL316:IY318 GO278:HH279 CN278:CN279 DD278:DD279 AO316:IJ318">
      <formula1>MERKMALE</formula1>
    </dataValidation>
    <dataValidation type="list" allowBlank="1" showInputMessage="1" showErrorMessage="1" sqref="GO26:HH33 EH27:EH33 DD26:DD33 CN26:CN33 CO26:CO27">
      <formula1>VORTEILE</formula1>
    </dataValidation>
  </dataValidations>
  <pageMargins left="0.78740157499999996" right="0.78740157499999996" top="0.984251969" bottom="0.984251969" header="0.4921259845" footer="0.4921259845"/>
  <pageSetup paperSize="9" orientation="portrait" horizontalDpi="360" verticalDpi="36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tabColor indexed="51"/>
  </sheetPr>
  <dimension ref="A1:BX163"/>
  <sheetViews>
    <sheetView zoomScale="85" zoomScaleNormal="85" workbookViewId="0">
      <selection activeCell="N5" sqref="N5:P5"/>
    </sheetView>
  </sheetViews>
  <sheetFormatPr baseColWidth="10" defaultColWidth="11.42578125" defaultRowHeight="12.75" x14ac:dyDescent="0.2"/>
  <cols>
    <col min="1" max="1" width="26.28515625" customWidth="1"/>
    <col min="2" max="2" width="6.5703125" customWidth="1"/>
    <col min="3" max="4" width="4.7109375" customWidth="1"/>
    <col min="5" max="5" width="16.7109375" customWidth="1"/>
    <col min="6" max="9" width="4.7109375" customWidth="1"/>
    <col min="10" max="14" width="4.28515625" customWidth="1"/>
    <col min="15" max="15" width="7.28515625" customWidth="1"/>
    <col min="16" max="19" width="4.28515625" customWidth="1"/>
    <col min="20" max="20" width="9.42578125" customWidth="1"/>
    <col min="21" max="21" width="5.85546875" customWidth="1"/>
    <col min="22" max="24" width="4.7109375" customWidth="1"/>
    <col min="25" max="25" width="10.7109375" customWidth="1"/>
    <col min="26" max="26" width="9.85546875" customWidth="1"/>
    <col min="27" max="29" width="4.7109375" customWidth="1"/>
    <col min="30" max="33" width="4.28515625" customWidth="1"/>
    <col min="34" max="34" width="6.42578125" customWidth="1"/>
    <col min="35" max="35" width="5.28515625" customWidth="1"/>
    <col min="36" max="36" width="4.28515625" customWidth="1"/>
    <col min="37" max="37" width="5.42578125" customWidth="1"/>
    <col min="38" max="38" width="6" customWidth="1"/>
    <col min="39" max="39" width="5.7109375" customWidth="1"/>
    <col min="40" max="40" width="5" customWidth="1"/>
    <col min="41" max="42" width="4.28515625" customWidth="1"/>
    <col min="43" max="43" width="13.140625" customWidth="1"/>
    <col min="44" max="45" width="4.28515625" customWidth="1"/>
    <col min="46" max="46" width="6.5703125" customWidth="1"/>
    <col min="47" max="47" width="4.28515625" customWidth="1"/>
    <col min="48" max="48" width="6.5703125" customWidth="1"/>
    <col min="49" max="49" width="4.28515625" customWidth="1"/>
    <col min="50" max="50" width="6.140625" customWidth="1"/>
    <col min="51" max="51" width="4.28515625" customWidth="1"/>
    <col min="52" max="52" width="5.42578125" customWidth="1"/>
    <col min="53" max="53" width="10.5703125" customWidth="1"/>
    <col min="54" max="54" width="7.85546875" customWidth="1"/>
    <col min="55" max="55" width="4.28515625" customWidth="1"/>
    <col min="56" max="56" width="11.140625" customWidth="1"/>
    <col min="57" max="57" width="9.42578125" customWidth="1"/>
    <col min="58" max="58" width="10" customWidth="1"/>
    <col min="59" max="59" width="9" customWidth="1"/>
    <col min="60" max="60" width="9.85546875" customWidth="1"/>
    <col min="61" max="67" width="4.28515625" customWidth="1"/>
    <col min="68" max="68" width="24" customWidth="1"/>
    <col min="69" max="69" width="5.42578125" customWidth="1"/>
    <col min="70" max="94" width="4.28515625" customWidth="1"/>
  </cols>
  <sheetData>
    <row r="1" spans="1:76" ht="35.25" x14ac:dyDescent="0.5">
      <c r="A1" s="1113" t="s">
        <v>7388</v>
      </c>
      <c r="B1" s="106"/>
      <c r="C1" s="1114"/>
      <c r="D1" s="106"/>
      <c r="E1" s="106"/>
      <c r="F1" s="106"/>
      <c r="G1" s="1115"/>
      <c r="H1" s="1115"/>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552"/>
      <c r="AK1" s="552"/>
      <c r="AL1" s="106"/>
      <c r="AM1" s="552"/>
      <c r="AN1" s="552"/>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c r="BX1" s="106"/>
    </row>
    <row r="2" spans="1:76" ht="22.5" customHeight="1" thickBot="1" x14ac:dyDescent="0.25">
      <c r="A2" s="1031"/>
      <c r="B2" s="1116"/>
      <c r="C2" s="1117"/>
      <c r="D2" s="1116"/>
      <c r="E2" s="1116"/>
      <c r="F2" s="1118"/>
      <c r="G2" s="1115"/>
      <c r="H2" s="1115"/>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552"/>
      <c r="AK2" s="552"/>
      <c r="AL2" s="106"/>
      <c r="AM2" s="552"/>
      <c r="AN2" s="552"/>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row>
    <row r="3" spans="1:76" ht="16.5" customHeight="1" x14ac:dyDescent="0.25">
      <c r="A3" s="1119" t="s">
        <v>3984</v>
      </c>
      <c r="B3" s="1761" t="s">
        <v>2404</v>
      </c>
      <c r="C3" s="1762" t="s">
        <v>4504</v>
      </c>
      <c r="D3" s="1777" t="s">
        <v>341</v>
      </c>
      <c r="E3" s="1767" t="s">
        <v>7529</v>
      </c>
      <c r="F3" s="1778" t="s">
        <v>3788</v>
      </c>
      <c r="G3" s="1763" t="s">
        <v>293</v>
      </c>
      <c r="H3" s="106"/>
      <c r="I3" s="1764" t="s">
        <v>3032</v>
      </c>
      <c r="J3" s="1765"/>
      <c r="K3" s="1765"/>
      <c r="L3" s="1765"/>
      <c r="M3" s="1766"/>
      <c r="N3" s="1742"/>
      <c r="O3" s="1743"/>
      <c r="P3" s="1744"/>
      <c r="Q3" s="106"/>
      <c r="R3" s="1738" t="s">
        <v>368</v>
      </c>
      <c r="S3" s="1738"/>
      <c r="T3" s="1738"/>
      <c r="U3" s="1738"/>
      <c r="V3" s="1738"/>
      <c r="W3" s="1738"/>
      <c r="X3" s="1738"/>
      <c r="Y3" s="1738"/>
      <c r="Z3" s="1738"/>
      <c r="AA3" s="1738"/>
      <c r="AB3" s="1738"/>
      <c r="AC3" s="106"/>
      <c r="AD3" s="106"/>
      <c r="AE3" s="106"/>
      <c r="AF3" s="106"/>
      <c r="AG3" s="106"/>
      <c r="AH3" s="78" t="s">
        <v>5772</v>
      </c>
      <c r="AI3" s="106"/>
      <c r="AJ3" s="552"/>
      <c r="AK3" s="552"/>
      <c r="AL3" s="1114" t="s">
        <v>7530</v>
      </c>
      <c r="AM3" s="552"/>
      <c r="AN3" s="552"/>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row>
    <row r="4" spans="1:76" ht="16.5" customHeight="1" x14ac:dyDescent="0.25">
      <c r="A4" s="1119" t="s">
        <v>1646</v>
      </c>
      <c r="B4" s="1761"/>
      <c r="C4" s="1762"/>
      <c r="D4" s="1777"/>
      <c r="E4" s="1768"/>
      <c r="F4" s="1778"/>
      <c r="G4" s="1763"/>
      <c r="H4" s="106"/>
      <c r="I4" s="1771" t="s">
        <v>2405</v>
      </c>
      <c r="J4" s="1772"/>
      <c r="K4" s="1772"/>
      <c r="L4" s="1772"/>
      <c r="M4" s="1773"/>
      <c r="N4" s="1782">
        <f>APKONV+APHINZU</f>
        <v>0</v>
      </c>
      <c r="O4" s="1783"/>
      <c r="P4" s="1784"/>
      <c r="Q4" s="106"/>
      <c r="R4" s="1796" t="s">
        <v>3791</v>
      </c>
      <c r="S4" s="1796"/>
      <c r="T4" s="1796"/>
      <c r="U4" s="1796"/>
      <c r="V4" s="1796"/>
      <c r="W4" s="1796"/>
      <c r="X4" s="1796"/>
      <c r="Y4" s="1796"/>
      <c r="Z4" s="1796"/>
      <c r="AA4" s="1796"/>
      <c r="AB4" s="1796"/>
      <c r="AC4" s="106"/>
      <c r="AD4" s="106"/>
      <c r="AE4" s="106"/>
      <c r="AF4" s="106"/>
      <c r="AG4" s="106"/>
      <c r="AH4" s="1109" t="str">
        <f ca="1">IF(OR(RASSEGENE="LEER",PROFGENE="LEER",KULTURGENE="LEER"),"",HLOOKUP(RASSEGENE,RASSE,IDX_EIGN,FALSE)&amp;
HLOOKUP(KULTURGENE,KULTUR,IDX_EIGN,FALSE)&amp;
HLOOKUP(PROFGENE,INDIRECT(PROFGEBIET),IDX_EIGN,FALSE)&amp;
IF(LEN(PROFZWEITE)&lt;1,"",HLOOKUP(PROFZWEITE,INDIRECT(PROFGEBIET2),IDX_EIGN,FALSE)))</f>
        <v/>
      </c>
      <c r="AI4" s="106"/>
      <c r="AJ4" s="552"/>
      <c r="AK4" s="552"/>
      <c r="AL4" s="1109">
        <f ca="1">SUM(O12:AL18,O20:AL27,BF32:BF44,O46:O94,BQ25:BQ27)</f>
        <v>0</v>
      </c>
      <c r="AM4" s="552"/>
      <c r="AN4" s="552"/>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row>
    <row r="5" spans="1:76" ht="16.5" customHeight="1" x14ac:dyDescent="0.25">
      <c r="A5" s="1120" t="s">
        <v>2705</v>
      </c>
      <c r="B5" s="1761"/>
      <c r="C5" s="1762"/>
      <c r="D5" s="1777"/>
      <c r="E5" s="1768"/>
      <c r="F5" s="1778"/>
      <c r="G5" s="1763"/>
      <c r="H5" s="106"/>
      <c r="I5" s="1774" t="s">
        <v>771</v>
      </c>
      <c r="J5" s="1775"/>
      <c r="K5" s="1775"/>
      <c r="L5" s="1775"/>
      <c r="M5" s="1776"/>
      <c r="N5" s="1745">
        <f ca="1">APGES-APEINTAL-APEINEIGEN-APEINSF-APEINZAUBER-APGOET</f>
        <v>0</v>
      </c>
      <c r="O5" s="1746"/>
      <c r="P5" s="1747"/>
      <c r="Q5" s="106"/>
      <c r="R5" s="1796"/>
      <c r="S5" s="1796"/>
      <c r="T5" s="1796"/>
      <c r="U5" s="1796"/>
      <c r="V5" s="1796"/>
      <c r="W5" s="1796"/>
      <c r="X5" s="1796"/>
      <c r="Y5" s="1796"/>
      <c r="Z5" s="1796"/>
      <c r="AA5" s="1796"/>
      <c r="AB5" s="1796"/>
      <c r="AC5" s="106"/>
      <c r="AD5" s="106"/>
      <c r="AE5" s="106"/>
      <c r="AF5" s="106"/>
      <c r="AG5" s="106"/>
      <c r="AH5" s="106"/>
      <c r="AI5" s="106"/>
      <c r="AJ5" s="552"/>
      <c r="AK5" s="552"/>
      <c r="AL5" s="1114" t="s">
        <v>8769</v>
      </c>
      <c r="AM5" s="552"/>
      <c r="AN5" s="552"/>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row>
    <row r="6" spans="1:76" ht="16.5" customHeight="1" x14ac:dyDescent="0.25">
      <c r="A6" s="1120" t="s">
        <v>2706</v>
      </c>
      <c r="B6" s="1761"/>
      <c r="C6" s="1762"/>
      <c r="D6" s="1777"/>
      <c r="E6" s="1768"/>
      <c r="F6" s="1778"/>
      <c r="G6" s="1763"/>
      <c r="H6" s="106"/>
      <c r="I6" s="1774" t="s">
        <v>1138</v>
      </c>
      <c r="J6" s="1775"/>
      <c r="K6" s="1775"/>
      <c r="L6" s="1775"/>
      <c r="M6" s="1776"/>
      <c r="N6" s="1748">
        <f ca="1">SUM(AN12:BW18,AN20:BK27,AL32:BC44,AL46:AL94,AK96:AK101,U118,BR25:BR27,AN30)+SUM(Generierung!G62:H63)</f>
        <v>0</v>
      </c>
      <c r="O6" s="1746"/>
      <c r="P6" s="1747"/>
      <c r="Q6" s="106"/>
      <c r="R6" s="1796"/>
      <c r="S6" s="1796"/>
      <c r="T6" s="1796"/>
      <c r="U6" s="1796"/>
      <c r="V6" s="1796"/>
      <c r="W6" s="1796"/>
      <c r="X6" s="1796"/>
      <c r="Y6" s="1796"/>
      <c r="Z6" s="1796"/>
      <c r="AA6" s="1796"/>
      <c r="AB6" s="1796"/>
      <c r="AC6" s="106"/>
      <c r="AD6" s="106"/>
      <c r="AE6" s="106"/>
      <c r="AF6" s="106"/>
      <c r="AG6" s="106"/>
      <c r="AH6" s="106"/>
      <c r="AI6" s="106"/>
      <c r="AJ6" s="552"/>
      <c r="AK6" s="552"/>
      <c r="AL6" s="1109">
        <f ca="1">SUM(BG32:BG44)</f>
        <v>0</v>
      </c>
      <c r="AM6" s="552"/>
      <c r="AN6" s="552"/>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row>
    <row r="7" spans="1:76" ht="16.5" customHeight="1" x14ac:dyDescent="0.25">
      <c r="B7" s="1761"/>
      <c r="C7" s="1762"/>
      <c r="D7" s="1777"/>
      <c r="E7" s="1768"/>
      <c r="F7" s="1778"/>
      <c r="G7" s="1763"/>
      <c r="H7" s="106"/>
      <c r="I7" s="1774" t="s">
        <v>3789</v>
      </c>
      <c r="J7" s="1775"/>
      <c r="K7" s="1775"/>
      <c r="L7" s="1775"/>
      <c r="M7" s="1776"/>
      <c r="N7" s="1748">
        <f ca="1">TL_GP_UEBRIG</f>
        <v>320</v>
      </c>
      <c r="O7" s="1746"/>
      <c r="P7" s="1747"/>
      <c r="Q7" s="106"/>
      <c r="R7" s="1796"/>
      <c r="S7" s="1796"/>
      <c r="T7" s="1796"/>
      <c r="U7" s="1796"/>
      <c r="V7" s="1796"/>
      <c r="W7" s="1796"/>
      <c r="X7" s="1796"/>
      <c r="Y7" s="1796"/>
      <c r="Z7" s="1796"/>
      <c r="AA7" s="1796"/>
      <c r="AB7" s="1796"/>
      <c r="AC7" s="106"/>
      <c r="AD7" s="106"/>
      <c r="AE7" s="106"/>
      <c r="AF7" s="106"/>
      <c r="AG7" s="106"/>
      <c r="AH7" s="106"/>
      <c r="AI7" s="106"/>
      <c r="AJ7" s="552"/>
      <c r="AK7" s="552"/>
      <c r="AL7" s="106"/>
      <c r="AM7" s="552"/>
      <c r="AN7" s="552"/>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row>
    <row r="8" spans="1:76" ht="16.5" customHeight="1" thickBot="1" x14ac:dyDescent="0.3">
      <c r="A8" s="1120" t="s">
        <v>414</v>
      </c>
      <c r="B8" s="1761"/>
      <c r="C8" s="1762"/>
      <c r="D8" s="1777"/>
      <c r="E8" s="1768"/>
      <c r="F8" s="1778"/>
      <c r="G8" s="1763"/>
      <c r="H8" s="106"/>
      <c r="I8" s="1788" t="s">
        <v>6536</v>
      </c>
      <c r="J8" s="1789"/>
      <c r="K8" s="1789"/>
      <c r="L8" s="1789"/>
      <c r="M8" s="1790"/>
      <c r="N8" s="1779">
        <f>STARTAP2_UEBRIG</f>
        <v>0</v>
      </c>
      <c r="O8" s="1780"/>
      <c r="P8" s="1781"/>
      <c r="Q8" s="106"/>
      <c r="R8" s="1796"/>
      <c r="S8" s="1796"/>
      <c r="T8" s="1796"/>
      <c r="U8" s="1796"/>
      <c r="V8" s="1796"/>
      <c r="W8" s="1796"/>
      <c r="X8" s="1796"/>
      <c r="Y8" s="1796"/>
      <c r="Z8" s="1796"/>
      <c r="AA8" s="1796"/>
      <c r="AB8" s="1796"/>
      <c r="AC8" s="106"/>
      <c r="AD8" s="106"/>
      <c r="AE8" s="106"/>
      <c r="AF8" s="106"/>
      <c r="AG8" s="106"/>
      <c r="AH8" s="106"/>
      <c r="AI8" s="106"/>
      <c r="AJ8" s="552"/>
      <c r="AK8" s="552"/>
      <c r="AL8" s="106"/>
      <c r="AM8" s="552"/>
      <c r="AN8" s="552"/>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row>
    <row r="9" spans="1:76" ht="16.5" customHeight="1" thickTop="1" x14ac:dyDescent="0.25">
      <c r="B9" s="1761"/>
      <c r="C9" s="1762"/>
      <c r="D9" s="1777"/>
      <c r="E9" s="1768"/>
      <c r="F9" s="1778"/>
      <c r="G9" s="1763"/>
      <c r="H9" s="1108"/>
      <c r="I9" s="1771" t="s">
        <v>4643</v>
      </c>
      <c r="J9" s="1772"/>
      <c r="K9" s="1772"/>
      <c r="L9" s="1772"/>
      <c r="M9" s="1773"/>
      <c r="N9" s="1797">
        <f ca="1">SUM(APGUT,IF(TL_GP_UEBRIG&lt;0,0,TL_GP_UEBRIG),IF(STARTAP2_UEBRIG&lt;0,0,STARTAP2_UEBRIG))</f>
        <v>320</v>
      </c>
      <c r="O9" s="1798"/>
      <c r="P9" s="1799"/>
      <c r="Q9" s="1121"/>
      <c r="R9" s="1796"/>
      <c r="S9" s="1796"/>
      <c r="T9" s="1796"/>
      <c r="U9" s="1796"/>
      <c r="V9" s="1796"/>
      <c r="W9" s="1796"/>
      <c r="X9" s="1796"/>
      <c r="Y9" s="1796"/>
      <c r="Z9" s="1796"/>
      <c r="AA9" s="1796"/>
      <c r="AB9" s="1796"/>
      <c r="AC9" s="106"/>
      <c r="AD9" s="106"/>
      <c r="AE9" s="106"/>
      <c r="AF9" s="106"/>
      <c r="AG9" s="106"/>
      <c r="AH9" s="106"/>
      <c r="AI9" s="106"/>
      <c r="AJ9" s="552"/>
      <c r="AK9" s="552"/>
      <c r="AL9" s="106"/>
      <c r="AM9" s="552"/>
      <c r="AN9" s="552"/>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row>
    <row r="10" spans="1:76" ht="65.25" customHeight="1" x14ac:dyDescent="0.2">
      <c r="A10" s="1120"/>
      <c r="B10" s="1761"/>
      <c r="C10" s="1762"/>
      <c r="D10" s="1777"/>
      <c r="E10" s="1769"/>
      <c r="F10" s="1778"/>
      <c r="G10" s="1763"/>
      <c r="H10" s="1785" t="str">
        <f ca="1">IF($AH$4="","","Wählbare und Detailangaben zu Eigenschaften: "&amp;$AH$4)</f>
        <v/>
      </c>
      <c r="I10" s="1786"/>
      <c r="J10" s="1786"/>
      <c r="K10" s="1786"/>
      <c r="L10" s="1786"/>
      <c r="M10" s="1786"/>
      <c r="N10" s="1786"/>
      <c r="O10" s="1786"/>
      <c r="P10" s="1787"/>
      <c r="Q10" s="1061"/>
      <c r="R10" s="1061"/>
      <c r="S10" s="1061"/>
      <c r="T10" s="1061"/>
      <c r="U10" s="1061"/>
      <c r="V10" s="1061"/>
      <c r="W10" s="1061"/>
      <c r="X10" s="1061"/>
      <c r="Y10" s="1061"/>
      <c r="Z10" s="1061"/>
      <c r="AA10" s="1061"/>
      <c r="AB10" s="1061"/>
      <c r="AC10" s="1061"/>
      <c r="AD10" s="1061"/>
      <c r="AE10" s="1061"/>
      <c r="AF10" s="1061"/>
      <c r="AG10" s="1061"/>
      <c r="AH10" s="106"/>
      <c r="AI10" s="106"/>
      <c r="AJ10" s="552"/>
      <c r="AK10" s="552"/>
      <c r="AL10" s="106"/>
      <c r="AM10" s="552"/>
      <c r="AN10" s="552"/>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row>
    <row r="11" spans="1:76" ht="15.75" x14ac:dyDescent="0.25">
      <c r="A11" s="300" t="s">
        <v>3984</v>
      </c>
      <c r="B11" s="108"/>
      <c r="C11" s="108"/>
      <c r="D11" s="108"/>
      <c r="E11" s="108"/>
      <c r="F11" s="204"/>
      <c r="G11" s="204"/>
      <c r="H11" s="1770" t="str">
        <f ca="1">IF(APGUT&lt;0,"Keine AP mehr übrig!",IF(TL_GP_UEBRIG&lt;0,"Keine Start-AP mehr übrig!","▼ Fehlermeldungen ▼  "&amp;"(AP: "&amp;APGUT&amp;")"))</f>
        <v>▼ Fehlermeldungen ▼  (AP: 0)</v>
      </c>
      <c r="I11" s="1770"/>
      <c r="J11" s="1770"/>
      <c r="K11" s="1770"/>
      <c r="L11" s="1770"/>
      <c r="M11" s="1770"/>
      <c r="N11" s="201"/>
      <c r="O11" s="108">
        <v>1</v>
      </c>
      <c r="P11" s="108">
        <v>2</v>
      </c>
      <c r="Q11" s="108">
        <v>3</v>
      </c>
      <c r="R11" s="108">
        <v>4</v>
      </c>
      <c r="S11" s="108">
        <v>5</v>
      </c>
      <c r="T11" s="108">
        <v>6</v>
      </c>
      <c r="U11" s="108">
        <v>7</v>
      </c>
      <c r="V11" s="108">
        <v>8</v>
      </c>
      <c r="W11" s="108">
        <v>9</v>
      </c>
      <c r="X11" s="108">
        <v>10</v>
      </c>
      <c r="Y11" s="108">
        <v>11</v>
      </c>
      <c r="Z11" s="108">
        <v>12</v>
      </c>
      <c r="AA11" s="108">
        <v>13</v>
      </c>
      <c r="AB11" s="108">
        <v>14</v>
      </c>
      <c r="AC11" s="108">
        <v>15</v>
      </c>
      <c r="AD11" s="108">
        <v>16</v>
      </c>
      <c r="AE11" s="108">
        <v>17</v>
      </c>
      <c r="AF11" s="108">
        <v>18</v>
      </c>
      <c r="AG11" s="108">
        <v>19</v>
      </c>
      <c r="AH11" s="108">
        <v>20</v>
      </c>
      <c r="AI11" s="108">
        <v>21</v>
      </c>
      <c r="AJ11" s="204">
        <v>22</v>
      </c>
      <c r="AK11" s="204">
        <v>23</v>
      </c>
      <c r="AL11" s="108">
        <v>24</v>
      </c>
      <c r="AM11" s="201"/>
      <c r="AN11" s="108">
        <v>1</v>
      </c>
      <c r="AO11" s="108">
        <v>2</v>
      </c>
      <c r="AP11" s="108">
        <v>3</v>
      </c>
      <c r="AQ11" s="108">
        <v>4</v>
      </c>
      <c r="AR11" s="108">
        <v>5</v>
      </c>
      <c r="AS11" s="108">
        <v>6</v>
      </c>
      <c r="AT11" s="108">
        <v>7</v>
      </c>
      <c r="AU11" s="108">
        <v>8</v>
      </c>
      <c r="AV11" s="108">
        <v>9</v>
      </c>
      <c r="AW11" s="108">
        <v>10</v>
      </c>
      <c r="AX11" s="108">
        <v>11</v>
      </c>
      <c r="AY11" s="108">
        <v>12</v>
      </c>
      <c r="AZ11" s="108">
        <v>13</v>
      </c>
      <c r="BA11" s="108">
        <v>14</v>
      </c>
      <c r="BB11" s="108">
        <v>15</v>
      </c>
      <c r="BC11" s="108">
        <v>16</v>
      </c>
      <c r="BD11" s="108">
        <v>17</v>
      </c>
      <c r="BE11" s="108">
        <v>18</v>
      </c>
      <c r="BF11" s="108">
        <v>19</v>
      </c>
      <c r="BG11" s="108">
        <v>20</v>
      </c>
      <c r="BH11" s="108">
        <v>21</v>
      </c>
      <c r="BI11" s="108">
        <v>22</v>
      </c>
      <c r="BJ11" s="108">
        <v>23</v>
      </c>
      <c r="BK11" s="108">
        <v>24</v>
      </c>
      <c r="BL11" s="108">
        <v>25</v>
      </c>
      <c r="BM11" s="108">
        <v>26</v>
      </c>
      <c r="BN11" s="108">
        <v>27</v>
      </c>
      <c r="BO11" s="108">
        <v>28</v>
      </c>
      <c r="BP11" s="204">
        <v>29</v>
      </c>
      <c r="BQ11" s="204">
        <v>30</v>
      </c>
      <c r="BR11" s="108">
        <v>31</v>
      </c>
      <c r="BS11" s="108">
        <v>32</v>
      </c>
      <c r="BT11" s="108">
        <v>33</v>
      </c>
      <c r="BU11" s="108">
        <v>34</v>
      </c>
      <c r="BV11" s="108">
        <v>35</v>
      </c>
      <c r="BW11" s="108">
        <v>36</v>
      </c>
      <c r="BX11" s="106"/>
    </row>
    <row r="12" spans="1:76" x14ac:dyDescent="0.2">
      <c r="A12" s="272" t="s">
        <v>3983</v>
      </c>
      <c r="B12" s="378">
        <v>0</v>
      </c>
      <c r="C12" s="110"/>
      <c r="D12" s="983"/>
      <c r="E12" s="394"/>
      <c r="F12" s="961"/>
      <c r="G12" s="326"/>
      <c r="H12" s="1739" t="str">
        <f ca="1">IF(SUM(F12,G12)&gt;ZUKAUFLEMAX,CONCATENATE("max. Zukauf von ",ZUKAUFLEMAX," LP!"),"")</f>
        <v/>
      </c>
      <c r="I12" s="1740"/>
      <c r="J12" s="1740"/>
      <c r="K12" s="1740"/>
      <c r="L12" s="1740"/>
      <c r="M12" s="1741"/>
      <c r="N12" s="200"/>
      <c r="O12" s="1053">
        <f t="shared" ref="O12:AL12" ca="1" si="0">IF(AND(NOT(ISBLANK($F12)),ZUKAUFLEMAX&gt;=O$11,$B12&lt;O$11,SUM($B12,$F12)&gt;=O$11),ROUND(HLOOKUP("H",SKT,O$11+3,FALSE)*IF(ISERR(FIND(";"&amp;O$11&amp;";",$D12)),1,0.5),0),0)</f>
        <v>0</v>
      </c>
      <c r="P12" s="1053">
        <f t="shared" ca="1" si="0"/>
        <v>0</v>
      </c>
      <c r="Q12" s="1053">
        <f t="shared" ca="1" si="0"/>
        <v>0</v>
      </c>
      <c r="R12" s="1053">
        <f t="shared" ca="1" si="0"/>
        <v>0</v>
      </c>
      <c r="S12" s="1053">
        <f t="shared" ca="1" si="0"/>
        <v>0</v>
      </c>
      <c r="T12" s="1053">
        <f t="shared" ca="1" si="0"/>
        <v>0</v>
      </c>
      <c r="U12" s="1053">
        <f t="shared" ca="1" si="0"/>
        <v>0</v>
      </c>
      <c r="V12" s="1053">
        <f t="shared" ca="1" si="0"/>
        <v>0</v>
      </c>
      <c r="W12" s="1053">
        <f t="shared" ca="1" si="0"/>
        <v>0</v>
      </c>
      <c r="X12" s="1053">
        <f t="shared" ca="1" si="0"/>
        <v>0</v>
      </c>
      <c r="Y12" s="1053">
        <f t="shared" ca="1" si="0"/>
        <v>0</v>
      </c>
      <c r="Z12" s="1053">
        <f t="shared" ca="1" si="0"/>
        <v>0</v>
      </c>
      <c r="AA12" s="1053">
        <f t="shared" ca="1" si="0"/>
        <v>0</v>
      </c>
      <c r="AB12" s="1053">
        <f t="shared" ca="1" si="0"/>
        <v>0</v>
      </c>
      <c r="AC12" s="1053">
        <f t="shared" ca="1" si="0"/>
        <v>0</v>
      </c>
      <c r="AD12" s="1053">
        <f t="shared" ca="1" si="0"/>
        <v>0</v>
      </c>
      <c r="AE12" s="1053">
        <f t="shared" ca="1" si="0"/>
        <v>0</v>
      </c>
      <c r="AF12" s="1053">
        <f t="shared" ca="1" si="0"/>
        <v>0</v>
      </c>
      <c r="AG12" s="1053">
        <f t="shared" ca="1" si="0"/>
        <v>0</v>
      </c>
      <c r="AH12" s="1053">
        <f t="shared" ca="1" si="0"/>
        <v>0</v>
      </c>
      <c r="AI12" s="1053">
        <f t="shared" ca="1" si="0"/>
        <v>0</v>
      </c>
      <c r="AJ12" s="1053">
        <f t="shared" ca="1" si="0"/>
        <v>0</v>
      </c>
      <c r="AK12" s="1053">
        <f t="shared" ca="1" si="0"/>
        <v>0</v>
      </c>
      <c r="AL12" s="1053">
        <f t="shared" ca="1" si="0"/>
        <v>0</v>
      </c>
      <c r="AM12" s="200"/>
      <c r="AN12" s="1053">
        <f t="shared" ref="AN12:BK12" ca="1" si="1">IF(AND(NOT(ISBLANK($G12)),ZUKAUFLEMAX&gt;=AN$11,SUM($B12,$F12)&lt;AN$11,SUM($B12,$G12,$F12)&gt;=AN$11),ROUND(HLOOKUP("H",SKT,AN$11+3,FALSE)*IF(ISERR(FIND(";"&amp;AN$11&amp;";",$D12)),1,0.5),0),0)</f>
        <v>0</v>
      </c>
      <c r="AO12" s="1053">
        <f t="shared" ca="1" si="1"/>
        <v>0</v>
      </c>
      <c r="AP12" s="1053">
        <f t="shared" ca="1" si="1"/>
        <v>0</v>
      </c>
      <c r="AQ12" s="1053">
        <f t="shared" ca="1" si="1"/>
        <v>0</v>
      </c>
      <c r="AR12" s="1053">
        <f t="shared" ca="1" si="1"/>
        <v>0</v>
      </c>
      <c r="AS12" s="1053">
        <f t="shared" ca="1" si="1"/>
        <v>0</v>
      </c>
      <c r="AT12" s="1053">
        <f t="shared" ca="1" si="1"/>
        <v>0</v>
      </c>
      <c r="AU12" s="1053">
        <f t="shared" ca="1" si="1"/>
        <v>0</v>
      </c>
      <c r="AV12" s="1053">
        <f t="shared" ca="1" si="1"/>
        <v>0</v>
      </c>
      <c r="AW12" s="1053">
        <f t="shared" ca="1" si="1"/>
        <v>0</v>
      </c>
      <c r="AX12" s="1053">
        <f t="shared" ca="1" si="1"/>
        <v>0</v>
      </c>
      <c r="AY12" s="1053">
        <f t="shared" ca="1" si="1"/>
        <v>0</v>
      </c>
      <c r="AZ12" s="1053">
        <f t="shared" ca="1" si="1"/>
        <v>0</v>
      </c>
      <c r="BA12" s="1053">
        <f t="shared" ca="1" si="1"/>
        <v>0</v>
      </c>
      <c r="BB12" s="1053">
        <f t="shared" ca="1" si="1"/>
        <v>0</v>
      </c>
      <c r="BC12" s="1053">
        <f t="shared" ca="1" si="1"/>
        <v>0</v>
      </c>
      <c r="BD12" s="1053">
        <f t="shared" ca="1" si="1"/>
        <v>0</v>
      </c>
      <c r="BE12" s="1053">
        <f t="shared" ca="1" si="1"/>
        <v>0</v>
      </c>
      <c r="BF12" s="1053">
        <f t="shared" ca="1" si="1"/>
        <v>0</v>
      </c>
      <c r="BG12" s="1053">
        <f t="shared" ca="1" si="1"/>
        <v>0</v>
      </c>
      <c r="BH12" s="1053">
        <f t="shared" ca="1" si="1"/>
        <v>0</v>
      </c>
      <c r="BI12" s="1053">
        <f t="shared" ca="1" si="1"/>
        <v>0</v>
      </c>
      <c r="BJ12" s="1053">
        <f t="shared" ca="1" si="1"/>
        <v>0</v>
      </c>
      <c r="BK12" s="1053">
        <f t="shared" ca="1" si="1"/>
        <v>0</v>
      </c>
      <c r="BL12" s="106"/>
      <c r="BM12" s="106"/>
      <c r="BN12" s="106"/>
      <c r="BO12" s="106"/>
      <c r="BP12" s="106"/>
      <c r="BQ12" s="106"/>
      <c r="BR12" s="106"/>
      <c r="BS12" s="106"/>
      <c r="BT12" s="106"/>
      <c r="BU12" s="106"/>
      <c r="BV12" s="106"/>
      <c r="BW12" s="106"/>
      <c r="BX12" s="106"/>
    </row>
    <row r="13" spans="1:76" x14ac:dyDescent="0.2">
      <c r="A13" s="272" t="s">
        <v>2781</v>
      </c>
      <c r="B13" s="378">
        <v>0</v>
      </c>
      <c r="C13" s="110"/>
      <c r="D13" s="983"/>
      <c r="E13" s="395"/>
      <c r="F13" s="961"/>
      <c r="G13" s="326"/>
      <c r="H13" s="1739" t="str">
        <f ca="1">IF(SUM(F13,G13)&gt;ZUKAUFASPMAX,CONCATENATE("max. Zukauf von ",ZUKAUFASPMAX," AsP!"),"")</f>
        <v/>
      </c>
      <c r="I13" s="1740"/>
      <c r="J13" s="1740"/>
      <c r="K13" s="1740"/>
      <c r="L13" s="1740"/>
      <c r="M13" s="1741"/>
      <c r="N13" s="200"/>
      <c r="O13" s="1053">
        <f t="shared" ref="O13:AL13" ca="1" si="2">IF(AND(NOT(ISBLANK($F13)),ZUKAUFASPMAX&gt;=O$11,$B13&lt;O$11,SUM($B13,$F13)&gt;=O$11),ROUND(HLOOKUP("G",SKT,O$11+3,FALSE)*IF(ISERR(FIND(";"&amp;O$11&amp;";",$D13)),1,0.5),0),0)</f>
        <v>0</v>
      </c>
      <c r="P13" s="1053">
        <f t="shared" ca="1" si="2"/>
        <v>0</v>
      </c>
      <c r="Q13" s="1053">
        <f t="shared" ca="1" si="2"/>
        <v>0</v>
      </c>
      <c r="R13" s="1053">
        <f t="shared" ca="1" si="2"/>
        <v>0</v>
      </c>
      <c r="S13" s="1053">
        <f t="shared" ca="1" si="2"/>
        <v>0</v>
      </c>
      <c r="T13" s="1053">
        <f t="shared" ca="1" si="2"/>
        <v>0</v>
      </c>
      <c r="U13" s="1053">
        <f t="shared" ca="1" si="2"/>
        <v>0</v>
      </c>
      <c r="V13" s="1053">
        <f t="shared" ca="1" si="2"/>
        <v>0</v>
      </c>
      <c r="W13" s="1053">
        <f t="shared" ca="1" si="2"/>
        <v>0</v>
      </c>
      <c r="X13" s="1053">
        <f t="shared" ca="1" si="2"/>
        <v>0</v>
      </c>
      <c r="Y13" s="1053">
        <f t="shared" ca="1" si="2"/>
        <v>0</v>
      </c>
      <c r="Z13" s="1053">
        <f t="shared" ca="1" si="2"/>
        <v>0</v>
      </c>
      <c r="AA13" s="1053">
        <f t="shared" ca="1" si="2"/>
        <v>0</v>
      </c>
      <c r="AB13" s="1053">
        <f t="shared" ca="1" si="2"/>
        <v>0</v>
      </c>
      <c r="AC13" s="1053">
        <f t="shared" ca="1" si="2"/>
        <v>0</v>
      </c>
      <c r="AD13" s="1053">
        <f t="shared" ca="1" si="2"/>
        <v>0</v>
      </c>
      <c r="AE13" s="1053">
        <f t="shared" ca="1" si="2"/>
        <v>0</v>
      </c>
      <c r="AF13" s="1053">
        <f t="shared" ca="1" si="2"/>
        <v>0</v>
      </c>
      <c r="AG13" s="1053">
        <f t="shared" ca="1" si="2"/>
        <v>0</v>
      </c>
      <c r="AH13" s="1053">
        <f t="shared" ca="1" si="2"/>
        <v>0</v>
      </c>
      <c r="AI13" s="1053">
        <f t="shared" ca="1" si="2"/>
        <v>0</v>
      </c>
      <c r="AJ13" s="1053">
        <f t="shared" ca="1" si="2"/>
        <v>0</v>
      </c>
      <c r="AK13" s="1053">
        <f t="shared" ca="1" si="2"/>
        <v>0</v>
      </c>
      <c r="AL13" s="1053">
        <f t="shared" ca="1" si="2"/>
        <v>0</v>
      </c>
      <c r="AM13" s="200"/>
      <c r="AN13" s="1053">
        <f t="shared" ref="AN13:BK13" ca="1" si="3">IF(AND(NOT(ISBLANK($G13)),ZUKAUFASPMAX&gt;=AN$11,SUM($B13,$F13)&lt;AN$11,SUM($B13,$G13,$F13)&gt;=AN$11),ROUND(HLOOKUP("G",SKT,AN$11+3,FALSE)*IF(ISERR(FIND(";"&amp;AN$11&amp;";",$D13)),1,0.5),0),0)</f>
        <v>0</v>
      </c>
      <c r="AO13" s="1053">
        <f t="shared" ca="1" si="3"/>
        <v>0</v>
      </c>
      <c r="AP13" s="1053">
        <f t="shared" ca="1" si="3"/>
        <v>0</v>
      </c>
      <c r="AQ13" s="1053">
        <f t="shared" ca="1" si="3"/>
        <v>0</v>
      </c>
      <c r="AR13" s="1053">
        <f t="shared" ca="1" si="3"/>
        <v>0</v>
      </c>
      <c r="AS13" s="1053">
        <f t="shared" ca="1" si="3"/>
        <v>0</v>
      </c>
      <c r="AT13" s="1053">
        <f t="shared" ca="1" si="3"/>
        <v>0</v>
      </c>
      <c r="AU13" s="1053">
        <f t="shared" ca="1" si="3"/>
        <v>0</v>
      </c>
      <c r="AV13" s="1053">
        <f t="shared" ca="1" si="3"/>
        <v>0</v>
      </c>
      <c r="AW13" s="1053">
        <f t="shared" ca="1" si="3"/>
        <v>0</v>
      </c>
      <c r="AX13" s="1053">
        <f t="shared" ca="1" si="3"/>
        <v>0</v>
      </c>
      <c r="AY13" s="1053">
        <f t="shared" ca="1" si="3"/>
        <v>0</v>
      </c>
      <c r="AZ13" s="1053">
        <f t="shared" ca="1" si="3"/>
        <v>0</v>
      </c>
      <c r="BA13" s="1053">
        <f t="shared" ca="1" si="3"/>
        <v>0</v>
      </c>
      <c r="BB13" s="1053">
        <f t="shared" ca="1" si="3"/>
        <v>0</v>
      </c>
      <c r="BC13" s="1053">
        <f t="shared" ca="1" si="3"/>
        <v>0</v>
      </c>
      <c r="BD13" s="1053">
        <f t="shared" ca="1" si="3"/>
        <v>0</v>
      </c>
      <c r="BE13" s="1053">
        <f t="shared" ca="1" si="3"/>
        <v>0</v>
      </c>
      <c r="BF13" s="1053">
        <f t="shared" ca="1" si="3"/>
        <v>0</v>
      </c>
      <c r="BG13" s="1053">
        <f t="shared" ca="1" si="3"/>
        <v>0</v>
      </c>
      <c r="BH13" s="1053">
        <f t="shared" ca="1" si="3"/>
        <v>0</v>
      </c>
      <c r="BI13" s="1053">
        <f t="shared" ca="1" si="3"/>
        <v>0</v>
      </c>
      <c r="BJ13" s="1053">
        <f t="shared" ca="1" si="3"/>
        <v>0</v>
      </c>
      <c r="BK13" s="1053">
        <f t="shared" ca="1" si="3"/>
        <v>0</v>
      </c>
      <c r="BL13" s="106"/>
      <c r="BM13" s="106"/>
      <c r="BN13" s="106"/>
      <c r="BO13" s="106"/>
      <c r="BP13" s="106"/>
      <c r="BQ13" s="106"/>
      <c r="BR13" s="106"/>
      <c r="BS13" s="106"/>
      <c r="BT13" s="106"/>
      <c r="BU13" s="106"/>
      <c r="BV13" s="106"/>
      <c r="BW13" s="106"/>
      <c r="BX13" s="106"/>
    </row>
    <row r="14" spans="1:76" x14ac:dyDescent="0.2">
      <c r="A14" s="272" t="s">
        <v>2782</v>
      </c>
      <c r="B14" s="788" t="s">
        <v>2780</v>
      </c>
      <c r="C14" s="787"/>
      <c r="D14" s="110"/>
      <c r="E14" s="789"/>
      <c r="F14" s="790"/>
      <c r="G14" s="326"/>
      <c r="H14" s="1739" t="str">
        <f>IF(G14&gt;D14,"Rückkauf nur für eingesetzte pAsp möglich","")</f>
        <v/>
      </c>
      <c r="I14" s="1740"/>
      <c r="J14" s="1740"/>
      <c r="K14" s="1740"/>
      <c r="L14" s="1740"/>
      <c r="M14" s="1741"/>
      <c r="N14" s="514">
        <f>G14-D14</f>
        <v>0</v>
      </c>
      <c r="O14" s="1053"/>
      <c r="P14" s="1053"/>
      <c r="Q14" s="1053"/>
      <c r="R14" s="1053"/>
      <c r="S14" s="1053"/>
      <c r="T14" s="1053"/>
      <c r="U14" s="1053"/>
      <c r="V14" s="1053"/>
      <c r="W14" s="1053"/>
      <c r="X14" s="1053"/>
      <c r="Y14" s="1053"/>
      <c r="Z14" s="1053"/>
      <c r="AA14" s="1053"/>
      <c r="AB14" s="1053"/>
      <c r="AC14" s="1053"/>
      <c r="AD14" s="1053"/>
      <c r="AE14" s="1053"/>
      <c r="AF14" s="1053"/>
      <c r="AG14" s="1053"/>
      <c r="AH14" s="1053"/>
      <c r="AI14" s="1053"/>
      <c r="AJ14" s="1053"/>
      <c r="AK14" s="1053"/>
      <c r="AL14" s="1053"/>
      <c r="AM14" s="200"/>
      <c r="AN14" s="1053">
        <f>IF(G14="",0,IF(SF!AS68="",VALUE(G14)*50,IF(SF!AS69="",VALUE(G14)*40,VALUE(G14)*30)))</f>
        <v>0</v>
      </c>
      <c r="AO14" s="549">
        <v>0</v>
      </c>
      <c r="AP14" s="1053"/>
      <c r="AQ14" s="1053"/>
      <c r="AR14" s="1053"/>
      <c r="AS14" s="1053"/>
      <c r="AT14" s="1053"/>
      <c r="AU14" s="1053"/>
      <c r="AV14" s="1053"/>
      <c r="AW14" s="1053"/>
      <c r="AX14" s="1053"/>
      <c r="AY14" s="1053"/>
      <c r="AZ14" s="1053"/>
      <c r="BA14" s="1053"/>
      <c r="BB14" s="1053"/>
      <c r="BC14" s="1053"/>
      <c r="BD14" s="1053"/>
      <c r="BE14" s="1053"/>
      <c r="BF14" s="1053"/>
      <c r="BG14" s="1053"/>
      <c r="BH14" s="1053"/>
      <c r="BI14" s="1053"/>
      <c r="BJ14" s="1053"/>
      <c r="BK14" s="1053"/>
      <c r="BL14" s="106"/>
      <c r="BM14" s="106"/>
      <c r="BN14" s="106"/>
      <c r="BO14" s="106"/>
      <c r="BP14" s="106"/>
      <c r="BQ14" s="106"/>
      <c r="BR14" s="106"/>
      <c r="BS14" s="106"/>
      <c r="BT14" s="106"/>
      <c r="BU14" s="106"/>
      <c r="BV14" s="106"/>
      <c r="BW14" s="106"/>
      <c r="BX14" s="106"/>
    </row>
    <row r="15" spans="1:76" x14ac:dyDescent="0.2">
      <c r="A15" s="272" t="s">
        <v>6</v>
      </c>
      <c r="B15" s="108" t="s">
        <v>772</v>
      </c>
      <c r="C15" s="108"/>
      <c r="D15" s="108"/>
      <c r="E15" s="108"/>
      <c r="F15" s="204"/>
      <c r="G15" s="326"/>
      <c r="H15" s="1739" t="str">
        <f ca="1">IF($G15&gt;IN,CONCATENATE("max. Zukauf von ",IN," KaP!"),"")</f>
        <v/>
      </c>
      <c r="I15" s="1740"/>
      <c r="J15" s="1740"/>
      <c r="K15" s="1740"/>
      <c r="L15" s="1740"/>
      <c r="M15" s="1741"/>
      <c r="N15" s="200"/>
      <c r="O15" s="1053">
        <f t="shared" ref="O15:AL15" ca="1" si="4">IF(AND(NOT(ISBLANK($F15)),ZUKAUFASPMAX&gt;=O$11,$B15&lt;O$11,SUM($B15,$F15)&gt;=O$11),HLOOKUP("F",SKT,O$11+3,FALSE),0)</f>
        <v>0</v>
      </c>
      <c r="P15" s="1053">
        <f t="shared" ca="1" si="4"/>
        <v>0</v>
      </c>
      <c r="Q15" s="1053">
        <f t="shared" ca="1" si="4"/>
        <v>0</v>
      </c>
      <c r="R15" s="1053">
        <f t="shared" ca="1" si="4"/>
        <v>0</v>
      </c>
      <c r="S15" s="1053">
        <f t="shared" ca="1" si="4"/>
        <v>0</v>
      </c>
      <c r="T15" s="1053">
        <f t="shared" ca="1" si="4"/>
        <v>0</v>
      </c>
      <c r="U15" s="1053">
        <f t="shared" ca="1" si="4"/>
        <v>0</v>
      </c>
      <c r="V15" s="1053">
        <f t="shared" ca="1" si="4"/>
        <v>0</v>
      </c>
      <c r="W15" s="1053">
        <f t="shared" ca="1" si="4"/>
        <v>0</v>
      </c>
      <c r="X15" s="1053">
        <f t="shared" ca="1" si="4"/>
        <v>0</v>
      </c>
      <c r="Y15" s="1053">
        <f t="shared" ca="1" si="4"/>
        <v>0</v>
      </c>
      <c r="Z15" s="1053">
        <f t="shared" ca="1" si="4"/>
        <v>0</v>
      </c>
      <c r="AA15" s="1053">
        <f t="shared" ca="1" si="4"/>
        <v>0</v>
      </c>
      <c r="AB15" s="1053">
        <f t="shared" ca="1" si="4"/>
        <v>0</v>
      </c>
      <c r="AC15" s="1053">
        <f t="shared" ca="1" si="4"/>
        <v>0</v>
      </c>
      <c r="AD15" s="1053">
        <f t="shared" ca="1" si="4"/>
        <v>0</v>
      </c>
      <c r="AE15" s="1053">
        <f t="shared" ca="1" si="4"/>
        <v>0</v>
      </c>
      <c r="AF15" s="1053">
        <f t="shared" ca="1" si="4"/>
        <v>0</v>
      </c>
      <c r="AG15" s="1053">
        <f t="shared" ca="1" si="4"/>
        <v>0</v>
      </c>
      <c r="AH15" s="1053">
        <f t="shared" ca="1" si="4"/>
        <v>0</v>
      </c>
      <c r="AI15" s="1053">
        <f t="shared" ca="1" si="4"/>
        <v>0</v>
      </c>
      <c r="AJ15" s="1053">
        <f t="shared" ca="1" si="4"/>
        <v>0</v>
      </c>
      <c r="AK15" s="1053">
        <f t="shared" ca="1" si="4"/>
        <v>0</v>
      </c>
      <c r="AL15" s="1053">
        <f t="shared" ca="1" si="4"/>
        <v>0</v>
      </c>
      <c r="AM15" s="200"/>
      <c r="AN15" s="1053">
        <f t="shared" ref="AN15:BK15" ca="1" si="5">IF(AND(NOT(ISBLANK($G15)),ZUKAUFASPMAX&gt;=AN$11,SUM($B15,$F15)&lt;AN$11,SUM($B15,$G15,$F15)&gt;=AN$11),HLOOKUP("F",SKT,AN$11+3,FALSE),0)</f>
        <v>0</v>
      </c>
      <c r="AO15" s="1053">
        <f t="shared" ca="1" si="5"/>
        <v>0</v>
      </c>
      <c r="AP15" s="1053">
        <f t="shared" ca="1" si="5"/>
        <v>0</v>
      </c>
      <c r="AQ15" s="1053">
        <f t="shared" ca="1" si="5"/>
        <v>0</v>
      </c>
      <c r="AR15" s="1053">
        <f t="shared" ca="1" si="5"/>
        <v>0</v>
      </c>
      <c r="AS15" s="1053">
        <f t="shared" ca="1" si="5"/>
        <v>0</v>
      </c>
      <c r="AT15" s="1053">
        <f t="shared" ca="1" si="5"/>
        <v>0</v>
      </c>
      <c r="AU15" s="1053">
        <f t="shared" ca="1" si="5"/>
        <v>0</v>
      </c>
      <c r="AV15" s="1053">
        <f t="shared" ca="1" si="5"/>
        <v>0</v>
      </c>
      <c r="AW15" s="1053">
        <f t="shared" ca="1" si="5"/>
        <v>0</v>
      </c>
      <c r="AX15" s="1053">
        <f t="shared" ca="1" si="5"/>
        <v>0</v>
      </c>
      <c r="AY15" s="1053">
        <f t="shared" ca="1" si="5"/>
        <v>0</v>
      </c>
      <c r="AZ15" s="1053">
        <f t="shared" ca="1" si="5"/>
        <v>0</v>
      </c>
      <c r="BA15" s="1053">
        <f t="shared" ca="1" si="5"/>
        <v>0</v>
      </c>
      <c r="BB15" s="1053">
        <f t="shared" ca="1" si="5"/>
        <v>0</v>
      </c>
      <c r="BC15" s="1053">
        <f t="shared" ca="1" si="5"/>
        <v>0</v>
      </c>
      <c r="BD15" s="1053">
        <f t="shared" ca="1" si="5"/>
        <v>0</v>
      </c>
      <c r="BE15" s="1053">
        <f t="shared" ca="1" si="5"/>
        <v>0</v>
      </c>
      <c r="BF15" s="1053">
        <f t="shared" ca="1" si="5"/>
        <v>0</v>
      </c>
      <c r="BG15" s="1053">
        <f t="shared" ca="1" si="5"/>
        <v>0</v>
      </c>
      <c r="BH15" s="1053">
        <f t="shared" ca="1" si="5"/>
        <v>0</v>
      </c>
      <c r="BI15" s="1053">
        <f t="shared" ca="1" si="5"/>
        <v>0</v>
      </c>
      <c r="BJ15" s="1053">
        <f t="shared" ca="1" si="5"/>
        <v>0</v>
      </c>
      <c r="BK15" s="1053">
        <f t="shared" ca="1" si="5"/>
        <v>0</v>
      </c>
      <c r="BL15" s="106"/>
      <c r="BM15" s="106"/>
      <c r="BN15" s="106"/>
      <c r="BO15" s="106"/>
      <c r="BP15" s="106"/>
      <c r="BQ15" s="106"/>
      <c r="BR15" s="106"/>
      <c r="BS15" s="106"/>
      <c r="BT15" s="106"/>
      <c r="BU15" s="106"/>
      <c r="BV15" s="106"/>
      <c r="BW15" s="106"/>
      <c r="BX15" s="106"/>
    </row>
    <row r="16" spans="1:76" x14ac:dyDescent="0.2">
      <c r="A16" s="272" t="s">
        <v>6</v>
      </c>
      <c r="B16" s="108" t="s">
        <v>4573</v>
      </c>
      <c r="C16" s="108"/>
      <c r="D16" s="108"/>
      <c r="E16" s="108"/>
      <c r="F16" s="204"/>
      <c r="G16" s="326"/>
      <c r="H16" s="1739"/>
      <c r="I16" s="1740"/>
      <c r="J16" s="1740"/>
      <c r="K16" s="1740"/>
      <c r="L16" s="1740"/>
      <c r="M16" s="1741"/>
      <c r="N16" s="200"/>
      <c r="O16" s="1053"/>
      <c r="P16" s="1053"/>
      <c r="Q16" s="1053"/>
      <c r="R16" s="1053"/>
      <c r="S16" s="1053"/>
      <c r="T16" s="1053"/>
      <c r="U16" s="1053"/>
      <c r="V16" s="1053"/>
      <c r="W16" s="1053"/>
      <c r="X16" s="1053"/>
      <c r="Y16" s="1053"/>
      <c r="Z16" s="1053"/>
      <c r="AA16" s="1053"/>
      <c r="AB16" s="1053"/>
      <c r="AC16" s="1053"/>
      <c r="AD16" s="1053"/>
      <c r="AE16" s="1053"/>
      <c r="AF16" s="1053"/>
      <c r="AG16" s="1053"/>
      <c r="AH16" s="1053"/>
      <c r="AI16" s="1053"/>
      <c r="AJ16" s="1053"/>
      <c r="AK16" s="1053"/>
      <c r="AL16" s="1053"/>
      <c r="AM16" s="200"/>
      <c r="AN16" s="1053"/>
      <c r="AO16" s="1053"/>
      <c r="AP16" s="1053"/>
      <c r="AQ16" s="1053"/>
      <c r="AR16" s="1053"/>
      <c r="AS16" s="1053"/>
      <c r="AT16" s="1053"/>
      <c r="AU16" s="1053"/>
      <c r="AV16" s="1053"/>
      <c r="AW16" s="1053"/>
      <c r="AX16" s="1053"/>
      <c r="AY16" s="1053"/>
      <c r="AZ16" s="1053"/>
      <c r="BA16" s="1053"/>
      <c r="BB16" s="1053"/>
      <c r="BC16" s="1053"/>
      <c r="BD16" s="1053"/>
      <c r="BE16" s="1053"/>
      <c r="BF16" s="1053"/>
      <c r="BG16" s="1053"/>
      <c r="BH16" s="1053"/>
      <c r="BI16" s="106"/>
      <c r="BJ16" s="106"/>
      <c r="BK16" s="106"/>
      <c r="BL16" s="106"/>
      <c r="BM16" s="106"/>
      <c r="BN16" s="106"/>
      <c r="BO16" s="106"/>
      <c r="BP16" s="106"/>
      <c r="BQ16" s="106"/>
      <c r="BR16" s="106"/>
      <c r="BS16" s="106"/>
      <c r="BT16" s="106"/>
      <c r="BU16" s="106"/>
      <c r="BV16" s="106"/>
      <c r="BW16" s="106"/>
      <c r="BX16" s="106"/>
    </row>
    <row r="17" spans="1:76" x14ac:dyDescent="0.2">
      <c r="A17" s="1072" t="s">
        <v>3800</v>
      </c>
      <c r="B17" s="378">
        <v>0</v>
      </c>
      <c r="C17" s="110"/>
      <c r="D17" s="318"/>
      <c r="E17" s="396"/>
      <c r="F17" s="960"/>
      <c r="G17" s="326"/>
      <c r="H17" s="1739" t="str">
        <f ca="1">IF(SUM(F17,G17)&gt;ZUKAUFMRMAX,CONCATENATE("max. Zukauf von ",ZUKAUFMRMAX," MR!"),"")</f>
        <v/>
      </c>
      <c r="I17" s="1740"/>
      <c r="J17" s="1740"/>
      <c r="K17" s="1740"/>
      <c r="L17" s="1740"/>
      <c r="M17" s="1741"/>
      <c r="N17" s="200"/>
      <c r="O17" s="1053">
        <f t="shared" ref="O17:AL17" ca="1" si="6">IF(AND(NOT(ISBLANK($F17)),ZUKAUFMRMAX&gt;=O$11,$B17&lt;O$11,SUM($B17,$F17)&gt;=O$11),ROUND(HLOOKUP("H",SKT,O$11+3,FALSE)*IF(ISERR(FIND(";"&amp;O$11&amp;";",$D17)),1,0.5),0),0)</f>
        <v>0</v>
      </c>
      <c r="P17" s="1053">
        <f t="shared" ca="1" si="6"/>
        <v>0</v>
      </c>
      <c r="Q17" s="1053">
        <f t="shared" ca="1" si="6"/>
        <v>0</v>
      </c>
      <c r="R17" s="1053">
        <f t="shared" ca="1" si="6"/>
        <v>0</v>
      </c>
      <c r="S17" s="1053">
        <f t="shared" ca="1" si="6"/>
        <v>0</v>
      </c>
      <c r="T17" s="1053">
        <f t="shared" ca="1" si="6"/>
        <v>0</v>
      </c>
      <c r="U17" s="1053">
        <f t="shared" ca="1" si="6"/>
        <v>0</v>
      </c>
      <c r="V17" s="1053">
        <f t="shared" ca="1" si="6"/>
        <v>0</v>
      </c>
      <c r="W17" s="1053">
        <f t="shared" ca="1" si="6"/>
        <v>0</v>
      </c>
      <c r="X17" s="1053">
        <f t="shared" ca="1" si="6"/>
        <v>0</v>
      </c>
      <c r="Y17" s="1053">
        <f t="shared" ca="1" si="6"/>
        <v>0</v>
      </c>
      <c r="Z17" s="1053">
        <f t="shared" ca="1" si="6"/>
        <v>0</v>
      </c>
      <c r="AA17" s="1053">
        <f t="shared" ca="1" si="6"/>
        <v>0</v>
      </c>
      <c r="AB17" s="1053">
        <f t="shared" ca="1" si="6"/>
        <v>0</v>
      </c>
      <c r="AC17" s="1053">
        <f t="shared" ca="1" si="6"/>
        <v>0</v>
      </c>
      <c r="AD17" s="1053">
        <f t="shared" ca="1" si="6"/>
        <v>0</v>
      </c>
      <c r="AE17" s="1053">
        <f t="shared" ca="1" si="6"/>
        <v>0</v>
      </c>
      <c r="AF17" s="1053">
        <f t="shared" ca="1" si="6"/>
        <v>0</v>
      </c>
      <c r="AG17" s="1053">
        <f t="shared" ca="1" si="6"/>
        <v>0</v>
      </c>
      <c r="AH17" s="1053">
        <f t="shared" ca="1" si="6"/>
        <v>0</v>
      </c>
      <c r="AI17" s="1053">
        <f t="shared" ca="1" si="6"/>
        <v>0</v>
      </c>
      <c r="AJ17" s="1053">
        <f t="shared" ca="1" si="6"/>
        <v>0</v>
      </c>
      <c r="AK17" s="1053">
        <f t="shared" ca="1" si="6"/>
        <v>0</v>
      </c>
      <c r="AL17" s="1053">
        <f t="shared" ca="1" si="6"/>
        <v>0</v>
      </c>
      <c r="AM17" s="200"/>
      <c r="AN17" s="1053">
        <f t="shared" ref="AN17:BK17" ca="1" si="7">IF(AND(NOT(ISBLANK($G17)),ZUKAUFMRMAX&gt;=AN$11,SUM($B17,$F17)&lt;AN$11,SUM($B17,$G17,$F17)&gt;=AN$11),ROUND(HLOOKUP("H",SKT,AN$11+3,FALSE)*IF(ISERR(FIND(";"&amp;AN$11&amp;";",$D17)),1,0.5),0),0)</f>
        <v>0</v>
      </c>
      <c r="AO17" s="1053">
        <f t="shared" ca="1" si="7"/>
        <v>0</v>
      </c>
      <c r="AP17" s="1053">
        <f t="shared" ca="1" si="7"/>
        <v>0</v>
      </c>
      <c r="AQ17" s="1053">
        <f t="shared" ca="1" si="7"/>
        <v>0</v>
      </c>
      <c r="AR17" s="1053">
        <f t="shared" ca="1" si="7"/>
        <v>0</v>
      </c>
      <c r="AS17" s="1053">
        <f t="shared" ca="1" si="7"/>
        <v>0</v>
      </c>
      <c r="AT17" s="1053">
        <f t="shared" ca="1" si="7"/>
        <v>0</v>
      </c>
      <c r="AU17" s="1053">
        <f t="shared" ca="1" si="7"/>
        <v>0</v>
      </c>
      <c r="AV17" s="1053">
        <f t="shared" ca="1" si="7"/>
        <v>0</v>
      </c>
      <c r="AW17" s="1053">
        <f t="shared" ca="1" si="7"/>
        <v>0</v>
      </c>
      <c r="AX17" s="1053">
        <f t="shared" ca="1" si="7"/>
        <v>0</v>
      </c>
      <c r="AY17" s="1053">
        <f t="shared" ca="1" si="7"/>
        <v>0</v>
      </c>
      <c r="AZ17" s="1053">
        <f t="shared" ca="1" si="7"/>
        <v>0</v>
      </c>
      <c r="BA17" s="1053">
        <f t="shared" ca="1" si="7"/>
        <v>0</v>
      </c>
      <c r="BB17" s="1053">
        <f t="shared" ca="1" si="7"/>
        <v>0</v>
      </c>
      <c r="BC17" s="1053">
        <f t="shared" ca="1" si="7"/>
        <v>0</v>
      </c>
      <c r="BD17" s="1053">
        <f t="shared" ca="1" si="7"/>
        <v>0</v>
      </c>
      <c r="BE17" s="1053">
        <f t="shared" ca="1" si="7"/>
        <v>0</v>
      </c>
      <c r="BF17" s="1053">
        <f t="shared" ca="1" si="7"/>
        <v>0</v>
      </c>
      <c r="BG17" s="1053">
        <f t="shared" ca="1" si="7"/>
        <v>0</v>
      </c>
      <c r="BH17" s="1053">
        <f t="shared" ca="1" si="7"/>
        <v>0</v>
      </c>
      <c r="BI17" s="1053">
        <f t="shared" ca="1" si="7"/>
        <v>0</v>
      </c>
      <c r="BJ17" s="1053">
        <f t="shared" ca="1" si="7"/>
        <v>0</v>
      </c>
      <c r="BK17" s="1053">
        <f t="shared" ca="1" si="7"/>
        <v>0</v>
      </c>
      <c r="BL17" s="106"/>
      <c r="BM17" s="106"/>
      <c r="BN17" s="106"/>
      <c r="BO17" s="106"/>
      <c r="BP17" s="106"/>
      <c r="BQ17" s="106"/>
      <c r="BR17" s="106"/>
      <c r="BS17" s="106"/>
      <c r="BT17" s="106"/>
      <c r="BU17" s="106"/>
      <c r="BV17" s="106"/>
      <c r="BW17" s="106"/>
      <c r="BX17" s="106"/>
    </row>
    <row r="18" spans="1:76" x14ac:dyDescent="0.2">
      <c r="A18" s="272" t="s">
        <v>4312</v>
      </c>
      <c r="B18" s="378">
        <v>0</v>
      </c>
      <c r="C18" s="110"/>
      <c r="D18" s="318"/>
      <c r="E18" s="396"/>
      <c r="F18" s="960"/>
      <c r="G18" s="326"/>
      <c r="H18" s="1739" t="str">
        <f ca="1">IF(SUM(F18,G18)&gt;ZUKAUFAUMAX,CONCATENATE("max. Zukauf von ",ZUKAUFAUMAX," AU!"),"")</f>
        <v/>
      </c>
      <c r="I18" s="1740"/>
      <c r="J18" s="1740"/>
      <c r="K18" s="1740"/>
      <c r="L18" s="1740"/>
      <c r="M18" s="1741"/>
      <c r="N18" s="200"/>
      <c r="O18" s="1053">
        <f t="shared" ref="O18:AL18" ca="1" si="8">IF(AND(NOT(ISBLANK($F18)),ZUKAUFAUMAX&gt;=O$11,$B18&lt;O$11,SUM($B18,$F18)&gt;=O$11),ROUND(HLOOKUP("E",SKT,O$11+3,FALSE)*IF(ISERR(FIND(";"&amp;O$11&amp;";",$D18)),1,0.5),0),0)</f>
        <v>0</v>
      </c>
      <c r="P18" s="1053">
        <f t="shared" ca="1" si="8"/>
        <v>0</v>
      </c>
      <c r="Q18" s="1053">
        <f t="shared" ca="1" si="8"/>
        <v>0</v>
      </c>
      <c r="R18" s="1053">
        <f t="shared" ca="1" si="8"/>
        <v>0</v>
      </c>
      <c r="S18" s="1053">
        <f t="shared" ca="1" si="8"/>
        <v>0</v>
      </c>
      <c r="T18" s="1053">
        <f t="shared" ca="1" si="8"/>
        <v>0</v>
      </c>
      <c r="U18" s="1053">
        <f t="shared" ca="1" si="8"/>
        <v>0</v>
      </c>
      <c r="V18" s="1053">
        <f t="shared" ca="1" si="8"/>
        <v>0</v>
      </c>
      <c r="W18" s="1053">
        <f t="shared" ca="1" si="8"/>
        <v>0</v>
      </c>
      <c r="X18" s="1053">
        <f t="shared" ca="1" si="8"/>
        <v>0</v>
      </c>
      <c r="Y18" s="1053">
        <f t="shared" ca="1" si="8"/>
        <v>0</v>
      </c>
      <c r="Z18" s="1053">
        <f t="shared" ca="1" si="8"/>
        <v>0</v>
      </c>
      <c r="AA18" s="1053">
        <f t="shared" ca="1" si="8"/>
        <v>0</v>
      </c>
      <c r="AB18" s="1053">
        <f t="shared" ca="1" si="8"/>
        <v>0</v>
      </c>
      <c r="AC18" s="1053">
        <f t="shared" ca="1" si="8"/>
        <v>0</v>
      </c>
      <c r="AD18" s="1053">
        <f t="shared" ca="1" si="8"/>
        <v>0</v>
      </c>
      <c r="AE18" s="1053">
        <f t="shared" ca="1" si="8"/>
        <v>0</v>
      </c>
      <c r="AF18" s="1053">
        <f t="shared" ca="1" si="8"/>
        <v>0</v>
      </c>
      <c r="AG18" s="1053">
        <f t="shared" ca="1" si="8"/>
        <v>0</v>
      </c>
      <c r="AH18" s="1053">
        <f t="shared" ca="1" si="8"/>
        <v>0</v>
      </c>
      <c r="AI18" s="1053">
        <f t="shared" ca="1" si="8"/>
        <v>0</v>
      </c>
      <c r="AJ18" s="1053">
        <f t="shared" ca="1" si="8"/>
        <v>0</v>
      </c>
      <c r="AK18" s="1053">
        <f t="shared" ca="1" si="8"/>
        <v>0</v>
      </c>
      <c r="AL18" s="1053">
        <f t="shared" ca="1" si="8"/>
        <v>0</v>
      </c>
      <c r="AM18" s="200"/>
      <c r="AN18" s="1053">
        <f t="shared" ref="AN18:BW18" ca="1" si="9">IF(AND(NOT(ISBLANK($G18)),ZUKAUFAUMAX&gt;=AN$11,SUM($B18,$F18)&lt;AN$11,SUM($B18,$G18,$F18)&gt;=AN$11),ROUND(HLOOKUP("E",SKT,AN$11+3,FALSE)*IF(ISERR(FIND(";"&amp;AN$11&amp;";",$D18)),1,0.5),0),0)</f>
        <v>0</v>
      </c>
      <c r="AO18" s="1053">
        <f t="shared" ca="1" si="9"/>
        <v>0</v>
      </c>
      <c r="AP18" s="1053">
        <f t="shared" ca="1" si="9"/>
        <v>0</v>
      </c>
      <c r="AQ18" s="1053">
        <f t="shared" ca="1" si="9"/>
        <v>0</v>
      </c>
      <c r="AR18" s="1053">
        <f t="shared" ca="1" si="9"/>
        <v>0</v>
      </c>
      <c r="AS18" s="1053">
        <f t="shared" ca="1" si="9"/>
        <v>0</v>
      </c>
      <c r="AT18" s="1053">
        <f t="shared" ca="1" si="9"/>
        <v>0</v>
      </c>
      <c r="AU18" s="1053">
        <f t="shared" ca="1" si="9"/>
        <v>0</v>
      </c>
      <c r="AV18" s="1053">
        <f t="shared" ca="1" si="9"/>
        <v>0</v>
      </c>
      <c r="AW18" s="1053">
        <f t="shared" ca="1" si="9"/>
        <v>0</v>
      </c>
      <c r="AX18" s="1053">
        <f t="shared" ca="1" si="9"/>
        <v>0</v>
      </c>
      <c r="AY18" s="1053">
        <f t="shared" ca="1" si="9"/>
        <v>0</v>
      </c>
      <c r="AZ18" s="1053">
        <f t="shared" ca="1" si="9"/>
        <v>0</v>
      </c>
      <c r="BA18" s="1053">
        <f t="shared" ca="1" si="9"/>
        <v>0</v>
      </c>
      <c r="BB18" s="1053">
        <f t="shared" ca="1" si="9"/>
        <v>0</v>
      </c>
      <c r="BC18" s="1053">
        <f t="shared" ca="1" si="9"/>
        <v>0</v>
      </c>
      <c r="BD18" s="1053">
        <f t="shared" ca="1" si="9"/>
        <v>0</v>
      </c>
      <c r="BE18" s="1053">
        <f t="shared" ca="1" si="9"/>
        <v>0</v>
      </c>
      <c r="BF18" s="1053">
        <f t="shared" ca="1" si="9"/>
        <v>0</v>
      </c>
      <c r="BG18" s="1053">
        <f t="shared" ca="1" si="9"/>
        <v>0</v>
      </c>
      <c r="BH18" s="1053">
        <f t="shared" ca="1" si="9"/>
        <v>0</v>
      </c>
      <c r="BI18" s="1053">
        <f t="shared" ca="1" si="9"/>
        <v>0</v>
      </c>
      <c r="BJ18" s="1053">
        <f t="shared" ca="1" si="9"/>
        <v>0</v>
      </c>
      <c r="BK18" s="1053">
        <f t="shared" ca="1" si="9"/>
        <v>0</v>
      </c>
      <c r="BL18" s="1053">
        <f t="shared" ca="1" si="9"/>
        <v>0</v>
      </c>
      <c r="BM18" s="1053">
        <f t="shared" ca="1" si="9"/>
        <v>0</v>
      </c>
      <c r="BN18" s="1053">
        <f t="shared" ca="1" si="9"/>
        <v>0</v>
      </c>
      <c r="BO18" s="1053">
        <f t="shared" ca="1" si="9"/>
        <v>0</v>
      </c>
      <c r="BP18" s="1053">
        <f t="shared" ca="1" si="9"/>
        <v>0</v>
      </c>
      <c r="BQ18" s="1053">
        <f t="shared" ca="1" si="9"/>
        <v>0</v>
      </c>
      <c r="BR18" s="1053">
        <f t="shared" ca="1" si="9"/>
        <v>0</v>
      </c>
      <c r="BS18" s="1053">
        <f t="shared" ca="1" si="9"/>
        <v>0</v>
      </c>
      <c r="BT18" s="1053">
        <f t="shared" ca="1" si="9"/>
        <v>0</v>
      </c>
      <c r="BU18" s="1053">
        <f t="shared" ca="1" si="9"/>
        <v>0</v>
      </c>
      <c r="BV18" s="1053">
        <f t="shared" ca="1" si="9"/>
        <v>0</v>
      </c>
      <c r="BW18" s="1053">
        <f t="shared" ca="1" si="9"/>
        <v>0</v>
      </c>
      <c r="BX18" s="106"/>
    </row>
    <row r="19" spans="1:76" ht="15.75" x14ac:dyDescent="0.25">
      <c r="A19" s="300" t="s">
        <v>7048</v>
      </c>
      <c r="B19" s="108"/>
      <c r="C19" s="108"/>
      <c r="D19" s="108"/>
      <c r="E19" s="108"/>
      <c r="F19" s="204"/>
      <c r="G19" s="204"/>
      <c r="H19" s="1770" t="str">
        <f ca="1">IF(APGUT&lt;0,"Keine AP mehr übrig!",IF(TL_GP_UEBRIG&lt;0,"Keine Start-AP mehr übrig!","▼ Fehlermeldungen ▼  "&amp;"(AP: "&amp;APGUT&amp;")"))</f>
        <v>▼ Fehlermeldungen ▼  (AP: 0)</v>
      </c>
      <c r="I19" s="1770"/>
      <c r="J19" s="1770"/>
      <c r="K19" s="1770"/>
      <c r="L19" s="1770"/>
      <c r="M19" s="1770"/>
      <c r="N19" s="197"/>
      <c r="O19" s="108">
        <v>8</v>
      </c>
      <c r="P19" s="108">
        <v>9</v>
      </c>
      <c r="Q19" s="108">
        <v>10</v>
      </c>
      <c r="R19" s="108">
        <v>11</v>
      </c>
      <c r="S19" s="108">
        <v>12</v>
      </c>
      <c r="T19" s="108">
        <v>13</v>
      </c>
      <c r="U19" s="108">
        <v>14</v>
      </c>
      <c r="V19" s="108">
        <v>15</v>
      </c>
      <c r="W19" s="108">
        <v>16</v>
      </c>
      <c r="X19" s="108">
        <v>17</v>
      </c>
      <c r="Y19" s="108">
        <v>18</v>
      </c>
      <c r="Z19" s="108">
        <v>19</v>
      </c>
      <c r="AA19" s="108">
        <v>20</v>
      </c>
      <c r="AB19" s="108">
        <v>21</v>
      </c>
      <c r="AC19" s="108">
        <v>22</v>
      </c>
      <c r="AD19" s="108">
        <v>23</v>
      </c>
      <c r="AE19" s="108">
        <v>24</v>
      </c>
      <c r="AF19" s="108">
        <v>25</v>
      </c>
      <c r="AG19" s="108">
        <v>26</v>
      </c>
      <c r="AH19" s="108">
        <v>27</v>
      </c>
      <c r="AI19" s="108">
        <v>28</v>
      </c>
      <c r="AJ19" s="204">
        <v>29</v>
      </c>
      <c r="AK19" s="204">
        <v>30</v>
      </c>
      <c r="AL19" s="108">
        <v>31</v>
      </c>
      <c r="AM19" s="199"/>
      <c r="AN19" s="108">
        <v>8</v>
      </c>
      <c r="AO19" s="108">
        <v>9</v>
      </c>
      <c r="AP19" s="108">
        <v>10</v>
      </c>
      <c r="AQ19" s="108">
        <v>11</v>
      </c>
      <c r="AR19" s="108">
        <v>12</v>
      </c>
      <c r="AS19" s="108">
        <v>13</v>
      </c>
      <c r="AT19" s="108">
        <v>14</v>
      </c>
      <c r="AU19" s="108">
        <v>15</v>
      </c>
      <c r="AV19" s="108">
        <v>16</v>
      </c>
      <c r="AW19" s="108">
        <v>17</v>
      </c>
      <c r="AX19" s="108">
        <v>18</v>
      </c>
      <c r="AY19" s="108">
        <v>19</v>
      </c>
      <c r="AZ19" s="108">
        <v>20</v>
      </c>
      <c r="BA19" s="108">
        <v>21</v>
      </c>
      <c r="BB19" s="108">
        <v>22</v>
      </c>
      <c r="BC19" s="108">
        <v>23</v>
      </c>
      <c r="BD19" s="108">
        <v>24</v>
      </c>
      <c r="BE19" s="108">
        <v>25</v>
      </c>
      <c r="BF19" s="108">
        <v>26</v>
      </c>
      <c r="BG19" s="108">
        <v>27</v>
      </c>
      <c r="BH19" s="108">
        <v>28</v>
      </c>
      <c r="BI19" s="204">
        <v>29</v>
      </c>
      <c r="BJ19" s="204">
        <v>30</v>
      </c>
      <c r="BK19" s="108">
        <v>31</v>
      </c>
      <c r="BL19" s="106"/>
      <c r="BM19" s="106"/>
      <c r="BN19" s="106"/>
      <c r="BO19" s="106"/>
      <c r="BP19" s="106"/>
      <c r="BQ19" s="106"/>
      <c r="BR19" s="106"/>
      <c r="BS19" s="106"/>
      <c r="BT19" s="106"/>
      <c r="BU19" s="106"/>
      <c r="BV19" s="106"/>
      <c r="BW19" s="106"/>
      <c r="BX19" s="106"/>
    </row>
    <row r="20" spans="1:76" x14ac:dyDescent="0.2">
      <c r="A20" s="272" t="s">
        <v>4634</v>
      </c>
      <c r="B20" s="378">
        <f ca="1">Generierung!$H14</f>
        <v>8</v>
      </c>
      <c r="C20" s="110"/>
      <c r="D20" s="983"/>
      <c r="E20" s="394"/>
      <c r="F20" s="962"/>
      <c r="G20" s="326"/>
      <c r="H20" s="1739" t="str">
        <f ca="1">IF(SUM($B20,$F20,G20)&gt;ROUND($B20+Generierung!$H14*0.5,0),CONCATENATE("max. MU-Wert ",ROUND($B20+Generierung!$H14*0.5,0)," möglich!"),"")</f>
        <v/>
      </c>
      <c r="I20" s="1740"/>
      <c r="J20" s="1740"/>
      <c r="K20" s="1740"/>
      <c r="L20" s="1740"/>
      <c r="M20" s="1741"/>
      <c r="N20" s="514">
        <f ca="1">Generierung!H14+F20+G20</f>
        <v>8</v>
      </c>
      <c r="O20" s="1053">
        <f t="shared" ref="O20:X22" ca="1" si="10">IF(ISERR(FIND(";"&amp;O$19&amp;":0;",$D20)),IF(AND(NOT(ISBLANK($F20)),$B20&lt;O$19,SUM($B20,$F20)&gt;=O$19),ROUND(HLOOKUP("H",SKT,O$19+3,FALSE)*IF(AND(NT_MEIGEN,NT_MEIGEN_WERT=$A20),2,1)*IF(ISERR(FIND(";"&amp;O$19&amp;";",$D20)),1,0.5),0),0),0)</f>
        <v>0</v>
      </c>
      <c r="P20" s="1053">
        <f t="shared" ca="1" si="10"/>
        <v>0</v>
      </c>
      <c r="Q20" s="1053">
        <f t="shared" ca="1" si="10"/>
        <v>0</v>
      </c>
      <c r="R20" s="1053">
        <f t="shared" ca="1" si="10"/>
        <v>0</v>
      </c>
      <c r="S20" s="1053">
        <f t="shared" ca="1" si="10"/>
        <v>0</v>
      </c>
      <c r="T20" s="1053">
        <f t="shared" ca="1" si="10"/>
        <v>0</v>
      </c>
      <c r="U20" s="1053">
        <f t="shared" ca="1" si="10"/>
        <v>0</v>
      </c>
      <c r="V20" s="1053">
        <f t="shared" ca="1" si="10"/>
        <v>0</v>
      </c>
      <c r="W20" s="1053">
        <f t="shared" ca="1" si="10"/>
        <v>0</v>
      </c>
      <c r="X20" s="1053">
        <f t="shared" ca="1" si="10"/>
        <v>0</v>
      </c>
      <c r="Y20" s="1053">
        <f t="shared" ref="Y20:AL22" ca="1" si="11">IF(ISERR(FIND(";"&amp;Y$19&amp;":0;",$D20)),IF(AND(NOT(ISBLANK($F20)),$B20&lt;Y$19,SUM($B20,$F20)&gt;=Y$19),ROUND(HLOOKUP("H",SKT,Y$19+3,FALSE)*IF(AND(NT_MEIGEN,NT_MEIGEN_WERT=$A20),2,1)*IF(ISERR(FIND(";"&amp;Y$19&amp;";",$D20)),1,0.5),0),0),0)</f>
        <v>0</v>
      </c>
      <c r="Z20" s="1053">
        <f t="shared" ca="1" si="11"/>
        <v>0</v>
      </c>
      <c r="AA20" s="1053">
        <f t="shared" ca="1" si="11"/>
        <v>0</v>
      </c>
      <c r="AB20" s="1053">
        <f t="shared" ca="1" si="11"/>
        <v>0</v>
      </c>
      <c r="AC20" s="1053">
        <f t="shared" ca="1" si="11"/>
        <v>0</v>
      </c>
      <c r="AD20" s="1053">
        <f t="shared" ca="1" si="11"/>
        <v>0</v>
      </c>
      <c r="AE20" s="1053">
        <f t="shared" ca="1" si="11"/>
        <v>0</v>
      </c>
      <c r="AF20" s="1053">
        <f t="shared" ca="1" si="11"/>
        <v>0</v>
      </c>
      <c r="AG20" s="1053">
        <f t="shared" ca="1" si="11"/>
        <v>0</v>
      </c>
      <c r="AH20" s="1053">
        <f t="shared" ca="1" si="11"/>
        <v>0</v>
      </c>
      <c r="AI20" s="1053">
        <f t="shared" ca="1" si="11"/>
        <v>0</v>
      </c>
      <c r="AJ20" s="1053">
        <f t="shared" ca="1" si="11"/>
        <v>0</v>
      </c>
      <c r="AK20" s="1053">
        <f t="shared" ca="1" si="11"/>
        <v>0</v>
      </c>
      <c r="AL20" s="1053">
        <f t="shared" ca="1" si="11"/>
        <v>0</v>
      </c>
      <c r="AM20" s="200"/>
      <c r="AN20" s="1053">
        <f t="shared" ref="AN20:AW22" ca="1" si="12">IF(ISERR(FIND(";"&amp;AN$19&amp;":0;",$D20)),IF(AND(NOT(ISBLANK($G20)),SUM($B20,$F20)&lt;AN$19,SUM($B20,$G20,$F20)&gt;=AN$19),ROUND(HLOOKUP("H",SKT,AN$19+3,FALSE)*IF(AND(NT_MEIGEN,NT_MEIGEN_WERT=$A20),2,1)*IF(ISERR(FIND(";"&amp;AN$19&amp;";",$D20)),1,0.5),0),0),0)</f>
        <v>0</v>
      </c>
      <c r="AO20" s="1053">
        <f t="shared" ca="1" si="12"/>
        <v>0</v>
      </c>
      <c r="AP20" s="1053">
        <f t="shared" ca="1" si="12"/>
        <v>0</v>
      </c>
      <c r="AQ20" s="1053">
        <f t="shared" ca="1" si="12"/>
        <v>0</v>
      </c>
      <c r="AR20" s="1053">
        <f t="shared" ca="1" si="12"/>
        <v>0</v>
      </c>
      <c r="AS20" s="1053">
        <f t="shared" ca="1" si="12"/>
        <v>0</v>
      </c>
      <c r="AT20" s="1053">
        <f t="shared" ca="1" si="12"/>
        <v>0</v>
      </c>
      <c r="AU20" s="1053">
        <f t="shared" ca="1" si="12"/>
        <v>0</v>
      </c>
      <c r="AV20" s="1053">
        <f t="shared" ca="1" si="12"/>
        <v>0</v>
      </c>
      <c r="AW20" s="1053">
        <f t="shared" ca="1" si="12"/>
        <v>0</v>
      </c>
      <c r="AX20" s="1053">
        <f t="shared" ref="AX20:BK22" ca="1" si="13">IF(ISERR(FIND(";"&amp;AX$19&amp;":0;",$D20)),IF(AND(NOT(ISBLANK($G20)),SUM($B20,$F20)&lt;AX$19,SUM($B20,$G20,$F20)&gt;=AX$19),ROUND(HLOOKUP("H",SKT,AX$19+3,FALSE)*IF(AND(NT_MEIGEN,NT_MEIGEN_WERT=$A20),2,1)*IF(ISERR(FIND(";"&amp;AX$19&amp;";",$D20)),1,0.5),0),0),0)</f>
        <v>0</v>
      </c>
      <c r="AY20" s="1053">
        <f t="shared" ca="1" si="13"/>
        <v>0</v>
      </c>
      <c r="AZ20" s="1053">
        <f t="shared" ca="1" si="13"/>
        <v>0</v>
      </c>
      <c r="BA20" s="1053">
        <f t="shared" ca="1" si="13"/>
        <v>0</v>
      </c>
      <c r="BB20" s="1053">
        <f t="shared" ca="1" si="13"/>
        <v>0</v>
      </c>
      <c r="BC20" s="1053">
        <f t="shared" ca="1" si="13"/>
        <v>0</v>
      </c>
      <c r="BD20" s="1053">
        <f t="shared" ca="1" si="13"/>
        <v>0</v>
      </c>
      <c r="BE20" s="1053">
        <f t="shared" ca="1" si="13"/>
        <v>0</v>
      </c>
      <c r="BF20" s="1053">
        <f t="shared" ca="1" si="13"/>
        <v>0</v>
      </c>
      <c r="BG20" s="1053">
        <f t="shared" ca="1" si="13"/>
        <v>0</v>
      </c>
      <c r="BH20" s="1053">
        <f t="shared" ca="1" si="13"/>
        <v>0</v>
      </c>
      <c r="BI20" s="1053">
        <f t="shared" ca="1" si="13"/>
        <v>0</v>
      </c>
      <c r="BJ20" s="1053">
        <f t="shared" ca="1" si="13"/>
        <v>0</v>
      </c>
      <c r="BK20" s="1053">
        <f t="shared" ca="1" si="13"/>
        <v>0</v>
      </c>
      <c r="BL20" s="106"/>
      <c r="BM20" s="106"/>
      <c r="BN20" s="106"/>
      <c r="BO20" s="106"/>
      <c r="BP20" s="106"/>
      <c r="BQ20" s="106"/>
      <c r="BR20" s="106"/>
      <c r="BS20" s="106"/>
      <c r="BT20" s="106"/>
      <c r="BU20" s="106"/>
      <c r="BV20" s="106"/>
      <c r="BW20" s="106"/>
      <c r="BX20" s="106"/>
    </row>
    <row r="21" spans="1:76" x14ac:dyDescent="0.2">
      <c r="A21" s="272" t="s">
        <v>4635</v>
      </c>
      <c r="B21" s="378">
        <f ca="1">Generierung!$H15</f>
        <v>8</v>
      </c>
      <c r="C21" s="110"/>
      <c r="D21" s="983"/>
      <c r="E21" s="385"/>
      <c r="F21" s="962"/>
      <c r="G21" s="326"/>
      <c r="H21" s="1739" t="str">
        <f ca="1">IF(SUM($B21,$F21,G21)&gt;ROUND($B21+Generierung!$H15*0.5,0),CONCATENATE("max. KL-Wert ",ROUND($B21+Generierung!$H15*0.5,0)," möglich!"),"")</f>
        <v/>
      </c>
      <c r="I21" s="1740"/>
      <c r="J21" s="1740"/>
      <c r="K21" s="1740"/>
      <c r="L21" s="1740"/>
      <c r="M21" s="1741"/>
      <c r="N21" s="514">
        <f ca="1">Generierung!H15+F21+G21</f>
        <v>8</v>
      </c>
      <c r="O21" s="1053">
        <f t="shared" ca="1" si="10"/>
        <v>0</v>
      </c>
      <c r="P21" s="1053">
        <f t="shared" ca="1" si="10"/>
        <v>0</v>
      </c>
      <c r="Q21" s="1053">
        <f t="shared" ca="1" si="10"/>
        <v>0</v>
      </c>
      <c r="R21" s="1053">
        <f t="shared" ca="1" si="10"/>
        <v>0</v>
      </c>
      <c r="S21" s="1053">
        <f t="shared" ca="1" si="10"/>
        <v>0</v>
      </c>
      <c r="T21" s="1053">
        <f t="shared" ca="1" si="10"/>
        <v>0</v>
      </c>
      <c r="U21" s="1053">
        <f t="shared" ca="1" si="10"/>
        <v>0</v>
      </c>
      <c r="V21" s="1053">
        <f t="shared" ca="1" si="10"/>
        <v>0</v>
      </c>
      <c r="W21" s="1053">
        <f t="shared" ca="1" si="10"/>
        <v>0</v>
      </c>
      <c r="X21" s="1053">
        <f t="shared" ca="1" si="10"/>
        <v>0</v>
      </c>
      <c r="Y21" s="1053">
        <f t="shared" ca="1" si="11"/>
        <v>0</v>
      </c>
      <c r="Z21" s="1053">
        <f t="shared" ca="1" si="11"/>
        <v>0</v>
      </c>
      <c r="AA21" s="1053">
        <f t="shared" ca="1" si="11"/>
        <v>0</v>
      </c>
      <c r="AB21" s="1053">
        <f t="shared" ca="1" si="11"/>
        <v>0</v>
      </c>
      <c r="AC21" s="1053">
        <f t="shared" ca="1" si="11"/>
        <v>0</v>
      </c>
      <c r="AD21" s="1053">
        <f t="shared" ca="1" si="11"/>
        <v>0</v>
      </c>
      <c r="AE21" s="1053">
        <f t="shared" ca="1" si="11"/>
        <v>0</v>
      </c>
      <c r="AF21" s="1053">
        <f t="shared" ca="1" si="11"/>
        <v>0</v>
      </c>
      <c r="AG21" s="1053">
        <f t="shared" ca="1" si="11"/>
        <v>0</v>
      </c>
      <c r="AH21" s="1053">
        <f t="shared" ca="1" si="11"/>
        <v>0</v>
      </c>
      <c r="AI21" s="1053">
        <f t="shared" ca="1" si="11"/>
        <v>0</v>
      </c>
      <c r="AJ21" s="1053">
        <f t="shared" ca="1" si="11"/>
        <v>0</v>
      </c>
      <c r="AK21" s="1053">
        <f t="shared" ca="1" si="11"/>
        <v>0</v>
      </c>
      <c r="AL21" s="1053">
        <f t="shared" ca="1" si="11"/>
        <v>0</v>
      </c>
      <c r="AM21" s="200"/>
      <c r="AN21" s="1053">
        <f t="shared" ca="1" si="12"/>
        <v>0</v>
      </c>
      <c r="AO21" s="1053">
        <f t="shared" ca="1" si="12"/>
        <v>0</v>
      </c>
      <c r="AP21" s="1053">
        <f t="shared" ca="1" si="12"/>
        <v>0</v>
      </c>
      <c r="AQ21" s="1053">
        <f t="shared" ca="1" si="12"/>
        <v>0</v>
      </c>
      <c r="AR21" s="1053">
        <f t="shared" ca="1" si="12"/>
        <v>0</v>
      </c>
      <c r="AS21" s="1053">
        <f t="shared" ca="1" si="12"/>
        <v>0</v>
      </c>
      <c r="AT21" s="1053">
        <f t="shared" ca="1" si="12"/>
        <v>0</v>
      </c>
      <c r="AU21" s="1053">
        <f t="shared" ca="1" si="12"/>
        <v>0</v>
      </c>
      <c r="AV21" s="1053">
        <f t="shared" ca="1" si="12"/>
        <v>0</v>
      </c>
      <c r="AW21" s="1053">
        <f t="shared" ca="1" si="12"/>
        <v>0</v>
      </c>
      <c r="AX21" s="1053">
        <f t="shared" ca="1" si="13"/>
        <v>0</v>
      </c>
      <c r="AY21" s="1053">
        <f t="shared" ca="1" si="13"/>
        <v>0</v>
      </c>
      <c r="AZ21" s="1053">
        <f t="shared" ca="1" si="13"/>
        <v>0</v>
      </c>
      <c r="BA21" s="1053">
        <f t="shared" ca="1" si="13"/>
        <v>0</v>
      </c>
      <c r="BB21" s="1053">
        <f t="shared" ca="1" si="13"/>
        <v>0</v>
      </c>
      <c r="BC21" s="1053">
        <f t="shared" ca="1" si="13"/>
        <v>0</v>
      </c>
      <c r="BD21" s="1053">
        <f t="shared" ca="1" si="13"/>
        <v>0</v>
      </c>
      <c r="BE21" s="1053">
        <f t="shared" ca="1" si="13"/>
        <v>0</v>
      </c>
      <c r="BF21" s="1053">
        <f t="shared" ca="1" si="13"/>
        <v>0</v>
      </c>
      <c r="BG21" s="1053">
        <f t="shared" ca="1" si="13"/>
        <v>0</v>
      </c>
      <c r="BH21" s="1053">
        <f t="shared" ca="1" si="13"/>
        <v>0</v>
      </c>
      <c r="BI21" s="1053">
        <f t="shared" ca="1" si="13"/>
        <v>0</v>
      </c>
      <c r="BJ21" s="1053">
        <f t="shared" ca="1" si="13"/>
        <v>0</v>
      </c>
      <c r="BK21" s="1053">
        <f t="shared" ca="1" si="13"/>
        <v>0</v>
      </c>
      <c r="BL21" s="106"/>
      <c r="BM21" s="106"/>
      <c r="BN21" s="106"/>
      <c r="BO21" s="106"/>
      <c r="BP21" s="106"/>
      <c r="BQ21" s="106"/>
      <c r="BR21" s="106"/>
      <c r="BS21" s="106"/>
      <c r="BT21" s="106"/>
      <c r="BU21" s="106"/>
      <c r="BV21" s="106"/>
      <c r="BW21" s="106"/>
      <c r="BX21" s="106"/>
    </row>
    <row r="22" spans="1:76" x14ac:dyDescent="0.2">
      <c r="A22" s="272" t="s">
        <v>2699</v>
      </c>
      <c r="B22" s="378">
        <f ca="1">Generierung!$H16</f>
        <v>8</v>
      </c>
      <c r="C22" s="110"/>
      <c r="D22" s="983"/>
      <c r="E22" s="385"/>
      <c r="F22" s="962"/>
      <c r="G22" s="326"/>
      <c r="H22" s="1739" t="str">
        <f ca="1">IF(SUM($B22,$F22,G22)&gt;ROUND($B22+Generierung!$H16*0.5,0),CONCATENATE("max. IN-Wert ",ROUND($B22+Generierung!$H16*0.5,0)," möglich!"),"")</f>
        <v/>
      </c>
      <c r="I22" s="1740"/>
      <c r="J22" s="1740"/>
      <c r="K22" s="1740"/>
      <c r="L22" s="1740"/>
      <c r="M22" s="1741"/>
      <c r="N22" s="514">
        <f ca="1">Generierung!H16+F22+G22</f>
        <v>8</v>
      </c>
      <c r="O22" s="1053">
        <f t="shared" ca="1" si="10"/>
        <v>0</v>
      </c>
      <c r="P22" s="1053">
        <f t="shared" ca="1" si="10"/>
        <v>0</v>
      </c>
      <c r="Q22" s="1053">
        <f t="shared" ca="1" si="10"/>
        <v>0</v>
      </c>
      <c r="R22" s="1053">
        <f t="shared" ca="1" si="10"/>
        <v>0</v>
      </c>
      <c r="S22" s="1053">
        <f t="shared" ca="1" si="10"/>
        <v>0</v>
      </c>
      <c r="T22" s="1053">
        <f t="shared" ca="1" si="10"/>
        <v>0</v>
      </c>
      <c r="U22" s="1053">
        <f t="shared" ca="1" si="10"/>
        <v>0</v>
      </c>
      <c r="V22" s="1053">
        <f t="shared" ca="1" si="10"/>
        <v>0</v>
      </c>
      <c r="W22" s="1053">
        <f t="shared" ca="1" si="10"/>
        <v>0</v>
      </c>
      <c r="X22" s="1053">
        <f t="shared" ca="1" si="10"/>
        <v>0</v>
      </c>
      <c r="Y22" s="1053">
        <f t="shared" ca="1" si="11"/>
        <v>0</v>
      </c>
      <c r="Z22" s="1053">
        <f t="shared" ca="1" si="11"/>
        <v>0</v>
      </c>
      <c r="AA22" s="1053">
        <f t="shared" ca="1" si="11"/>
        <v>0</v>
      </c>
      <c r="AB22" s="1053">
        <f t="shared" ca="1" si="11"/>
        <v>0</v>
      </c>
      <c r="AC22" s="1053">
        <f t="shared" ca="1" si="11"/>
        <v>0</v>
      </c>
      <c r="AD22" s="1053">
        <f t="shared" ca="1" si="11"/>
        <v>0</v>
      </c>
      <c r="AE22" s="1053">
        <f t="shared" ca="1" si="11"/>
        <v>0</v>
      </c>
      <c r="AF22" s="1053">
        <f t="shared" ca="1" si="11"/>
        <v>0</v>
      </c>
      <c r="AG22" s="1053">
        <f t="shared" ca="1" si="11"/>
        <v>0</v>
      </c>
      <c r="AH22" s="1053">
        <f t="shared" ca="1" si="11"/>
        <v>0</v>
      </c>
      <c r="AI22" s="1053">
        <f t="shared" ca="1" si="11"/>
        <v>0</v>
      </c>
      <c r="AJ22" s="1053">
        <f t="shared" ca="1" si="11"/>
        <v>0</v>
      </c>
      <c r="AK22" s="1053">
        <f t="shared" ca="1" si="11"/>
        <v>0</v>
      </c>
      <c r="AL22" s="1053">
        <f t="shared" ca="1" si="11"/>
        <v>0</v>
      </c>
      <c r="AM22" s="200"/>
      <c r="AN22" s="1053">
        <f t="shared" ca="1" si="12"/>
        <v>0</v>
      </c>
      <c r="AO22" s="1053">
        <f t="shared" ca="1" si="12"/>
        <v>0</v>
      </c>
      <c r="AP22" s="1053">
        <f t="shared" ca="1" si="12"/>
        <v>0</v>
      </c>
      <c r="AQ22" s="1053">
        <f t="shared" ca="1" si="12"/>
        <v>0</v>
      </c>
      <c r="AR22" s="1053">
        <f t="shared" ca="1" si="12"/>
        <v>0</v>
      </c>
      <c r="AS22" s="1053">
        <f t="shared" ca="1" si="12"/>
        <v>0</v>
      </c>
      <c r="AT22" s="1053">
        <f t="shared" ca="1" si="12"/>
        <v>0</v>
      </c>
      <c r="AU22" s="1053">
        <f t="shared" ca="1" si="12"/>
        <v>0</v>
      </c>
      <c r="AV22" s="1053">
        <f t="shared" ca="1" si="12"/>
        <v>0</v>
      </c>
      <c r="AW22" s="1053">
        <f t="shared" ca="1" si="12"/>
        <v>0</v>
      </c>
      <c r="AX22" s="1053">
        <f t="shared" ca="1" si="13"/>
        <v>0</v>
      </c>
      <c r="AY22" s="1053">
        <f t="shared" ca="1" si="13"/>
        <v>0</v>
      </c>
      <c r="AZ22" s="1053">
        <f t="shared" ca="1" si="13"/>
        <v>0</v>
      </c>
      <c r="BA22" s="1053">
        <f t="shared" ca="1" si="13"/>
        <v>0</v>
      </c>
      <c r="BB22" s="1053">
        <f t="shared" ca="1" si="13"/>
        <v>0</v>
      </c>
      <c r="BC22" s="1053">
        <f t="shared" ca="1" si="13"/>
        <v>0</v>
      </c>
      <c r="BD22" s="1053">
        <f t="shared" ca="1" si="13"/>
        <v>0</v>
      </c>
      <c r="BE22" s="1053">
        <f t="shared" ca="1" si="13"/>
        <v>0</v>
      </c>
      <c r="BF22" s="1053">
        <f t="shared" ca="1" si="13"/>
        <v>0</v>
      </c>
      <c r="BG22" s="1053">
        <f t="shared" ca="1" si="13"/>
        <v>0</v>
      </c>
      <c r="BH22" s="1053">
        <f t="shared" ca="1" si="13"/>
        <v>0</v>
      </c>
      <c r="BI22" s="1053">
        <f t="shared" ca="1" si="13"/>
        <v>0</v>
      </c>
      <c r="BJ22" s="1053">
        <f t="shared" ca="1" si="13"/>
        <v>0</v>
      </c>
      <c r="BK22" s="1053">
        <f t="shared" ca="1" si="13"/>
        <v>0</v>
      </c>
      <c r="BL22" s="106"/>
      <c r="BM22" s="106"/>
      <c r="BN22" s="106"/>
      <c r="BO22" s="106"/>
      <c r="BP22" s="106"/>
      <c r="BQ22" s="106"/>
      <c r="BR22" s="106"/>
      <c r="BS22" s="106"/>
      <c r="BT22" s="106"/>
      <c r="BU22" s="106"/>
      <c r="BV22" s="106"/>
      <c r="BW22" s="106"/>
      <c r="BX22" s="106"/>
    </row>
    <row r="23" spans="1:76" x14ac:dyDescent="0.2">
      <c r="A23" s="272" t="s">
        <v>2700</v>
      </c>
      <c r="B23" s="378">
        <f ca="1">Generierung!$H17</f>
        <v>8</v>
      </c>
      <c r="C23" s="110"/>
      <c r="D23" s="1294"/>
      <c r="E23" s="1297"/>
      <c r="F23" s="1295"/>
      <c r="G23" s="326"/>
      <c r="H23" s="1739" t="str">
        <f ca="1">IF(SUM($B23,$F23,G23)&gt;ROUND($B23+Generierung!$H17*0.5,0),CONCATENATE("max. CH-Wert ",ROUND($B23+Generierung!$H17*0.5,0)," möglich!"),"")</f>
        <v/>
      </c>
      <c r="I23" s="1740"/>
      <c r="J23" s="1740"/>
      <c r="K23" s="1740"/>
      <c r="L23" s="1740"/>
      <c r="M23" s="1741"/>
      <c r="N23" s="514">
        <f ca="1">Generierung!H17+F23+G23</f>
        <v>8</v>
      </c>
      <c r="O23" s="1053">
        <f t="shared" ref="O23:AL23" ca="1" si="14">IF(ISERR(FIND(";"&amp;O$20&amp;":0;",$D23)),IF(AND(NOT(ISBLANK($F23)),$B23&lt;O$19,SUM($B23,$F23)&gt;=O$19),ROUND(HLOOKUP(IF(VT_EIGEB,"G","H"),SKT,O$19+3,FALSE)*IF(AND(NT_MEIGEN,NT_MEIGEN_WERT=$A23),2,1)*IF(ISERR(FIND(";"&amp;O$19&amp;";",$D23)),1,0.5),0),0),0)</f>
        <v>0</v>
      </c>
      <c r="P23" s="1053">
        <f t="shared" ca="1" si="14"/>
        <v>0</v>
      </c>
      <c r="Q23" s="1053">
        <f t="shared" ca="1" si="14"/>
        <v>0</v>
      </c>
      <c r="R23" s="1053">
        <f t="shared" ca="1" si="14"/>
        <v>0</v>
      </c>
      <c r="S23" s="1053">
        <f t="shared" ca="1" si="14"/>
        <v>0</v>
      </c>
      <c r="T23" s="1053">
        <f t="shared" ca="1" si="14"/>
        <v>0</v>
      </c>
      <c r="U23" s="1053">
        <f t="shared" ca="1" si="14"/>
        <v>0</v>
      </c>
      <c r="V23" s="1053">
        <f t="shared" ca="1" si="14"/>
        <v>0</v>
      </c>
      <c r="W23" s="1053">
        <f t="shared" ca="1" si="14"/>
        <v>0</v>
      </c>
      <c r="X23" s="1053">
        <f t="shared" ca="1" si="14"/>
        <v>0</v>
      </c>
      <c r="Y23" s="1053">
        <f t="shared" ca="1" si="14"/>
        <v>0</v>
      </c>
      <c r="Z23" s="1053">
        <f t="shared" ca="1" si="14"/>
        <v>0</v>
      </c>
      <c r="AA23" s="1053">
        <f t="shared" ca="1" si="14"/>
        <v>0</v>
      </c>
      <c r="AB23" s="1053">
        <f t="shared" ca="1" si="14"/>
        <v>0</v>
      </c>
      <c r="AC23" s="1053">
        <f t="shared" ca="1" si="14"/>
        <v>0</v>
      </c>
      <c r="AD23" s="1053">
        <f t="shared" ca="1" si="14"/>
        <v>0</v>
      </c>
      <c r="AE23" s="1053">
        <f t="shared" ca="1" si="14"/>
        <v>0</v>
      </c>
      <c r="AF23" s="1053">
        <f t="shared" ca="1" si="14"/>
        <v>0</v>
      </c>
      <c r="AG23" s="1053">
        <f t="shared" ca="1" si="14"/>
        <v>0</v>
      </c>
      <c r="AH23" s="1053">
        <f t="shared" ca="1" si="14"/>
        <v>0</v>
      </c>
      <c r="AI23" s="1053">
        <f t="shared" ca="1" si="14"/>
        <v>0</v>
      </c>
      <c r="AJ23" s="1053">
        <f t="shared" ca="1" si="14"/>
        <v>0</v>
      </c>
      <c r="AK23" s="1053">
        <f t="shared" ca="1" si="14"/>
        <v>0</v>
      </c>
      <c r="AL23" s="1053">
        <f t="shared" ca="1" si="14"/>
        <v>0</v>
      </c>
      <c r="AM23" s="200"/>
      <c r="AN23" s="1053">
        <f t="shared" ref="AN23:BK23" ca="1" si="15">IF(ISERR(FIND(";"&amp;AN$19&amp;":0;",$D23)),IF(AND(NOT(ISBLANK($G23)),SUM($B23,$F23)&lt;AN$19,SUM($B23,$G23,$F23)&gt;=AN$19),ROUND(HLOOKUP(IF(VT_EIGEB,"G","H"),SKT,AN$19+3,FALSE)*IF(AND(NT_MEIGEN,NT_MEIGEN_WERT=$A23),2,1)*IF(ISERR(FIND(";"&amp;AN$19&amp;";",$D23)),1,0.5),0),0),0)</f>
        <v>0</v>
      </c>
      <c r="AO23" s="1053">
        <f t="shared" ca="1" si="15"/>
        <v>0</v>
      </c>
      <c r="AP23" s="1053">
        <f t="shared" ca="1" si="15"/>
        <v>0</v>
      </c>
      <c r="AQ23" s="1053">
        <f t="shared" ca="1" si="15"/>
        <v>0</v>
      </c>
      <c r="AR23" s="1053">
        <f t="shared" ca="1" si="15"/>
        <v>0</v>
      </c>
      <c r="AS23" s="1053">
        <f t="shared" ca="1" si="15"/>
        <v>0</v>
      </c>
      <c r="AT23" s="1053">
        <f t="shared" ca="1" si="15"/>
        <v>0</v>
      </c>
      <c r="AU23" s="1053">
        <f t="shared" ca="1" si="15"/>
        <v>0</v>
      </c>
      <c r="AV23" s="1053">
        <f t="shared" ca="1" si="15"/>
        <v>0</v>
      </c>
      <c r="AW23" s="1053">
        <f t="shared" ca="1" si="15"/>
        <v>0</v>
      </c>
      <c r="AX23" s="1053">
        <f t="shared" ca="1" si="15"/>
        <v>0</v>
      </c>
      <c r="AY23" s="1053">
        <f t="shared" ca="1" si="15"/>
        <v>0</v>
      </c>
      <c r="AZ23" s="1053">
        <f t="shared" ca="1" si="15"/>
        <v>0</v>
      </c>
      <c r="BA23" s="1053">
        <f t="shared" ca="1" si="15"/>
        <v>0</v>
      </c>
      <c r="BB23" s="1053">
        <f t="shared" ca="1" si="15"/>
        <v>0</v>
      </c>
      <c r="BC23" s="1053">
        <f t="shared" ca="1" si="15"/>
        <v>0</v>
      </c>
      <c r="BD23" s="1053">
        <f t="shared" ca="1" si="15"/>
        <v>0</v>
      </c>
      <c r="BE23" s="1053">
        <f t="shared" ca="1" si="15"/>
        <v>0</v>
      </c>
      <c r="BF23" s="1053">
        <f t="shared" ca="1" si="15"/>
        <v>0</v>
      </c>
      <c r="BG23" s="1053">
        <f t="shared" ca="1" si="15"/>
        <v>0</v>
      </c>
      <c r="BH23" s="1053">
        <f t="shared" ca="1" si="15"/>
        <v>0</v>
      </c>
      <c r="BI23" s="1053">
        <f t="shared" ca="1" si="15"/>
        <v>0</v>
      </c>
      <c r="BJ23" s="1053">
        <f t="shared" ca="1" si="15"/>
        <v>0</v>
      </c>
      <c r="BK23" s="1053">
        <f t="shared" ca="1" si="15"/>
        <v>0</v>
      </c>
      <c r="BL23" s="106"/>
      <c r="BM23" s="106"/>
      <c r="BN23" s="106"/>
      <c r="BO23" s="106"/>
      <c r="BP23" s="619"/>
      <c r="BQ23" s="619"/>
      <c r="BR23" s="619"/>
      <c r="BS23" s="619"/>
      <c r="BT23" s="106"/>
      <c r="BU23" s="106"/>
      <c r="BV23" s="106"/>
      <c r="BW23" s="106"/>
      <c r="BX23" s="106"/>
    </row>
    <row r="24" spans="1:76" x14ac:dyDescent="0.2">
      <c r="A24" s="272" t="s">
        <v>2701</v>
      </c>
      <c r="B24" s="378">
        <f ca="1">Generierung!$H18</f>
        <v>8</v>
      </c>
      <c r="C24" s="110"/>
      <c r="D24" s="1294"/>
      <c r="E24" s="1296"/>
      <c r="F24" s="1295"/>
      <c r="G24" s="326"/>
      <c r="H24" s="1739" t="str">
        <f ca="1">IF(SUM($B24,$F24,G24)&gt;ROUND($B24+Generierung!$H18*0.5-IF(NT_FETTLEIBIG,4,0),0),CONCATENATE("max. FF-Wert ",ROUND($B24+Generierung!$H18*0.5-IF(NT_FETTLEIBIG,4,0),0)," möglich!"),"")</f>
        <v/>
      </c>
      <c r="I24" s="1740"/>
      <c r="J24" s="1740"/>
      <c r="K24" s="1740"/>
      <c r="L24" s="1740"/>
      <c r="M24" s="1741"/>
      <c r="N24" s="514">
        <f ca="1">Generierung!H18+F24+G24</f>
        <v>8</v>
      </c>
      <c r="O24" s="1053">
        <f t="shared" ref="O24:X27" ca="1" si="16">IF(ISERR(FIND(";"&amp;O$19&amp;":0;",$D24)),IF(AND(NOT(ISBLANK($F24)),$B24&lt;O$19,SUM($B24,$F24)&gt;=O$19),ROUND(HLOOKUP("H",SKT,O$19+3,FALSE)*IF(AND(NT_MEIGEN,NT_MEIGEN_WERT=$A24),2,1)*IF(ISERR(FIND(";"&amp;O$19&amp;";",$D24)),1,0.5),0),0),0)</f>
        <v>0</v>
      </c>
      <c r="P24" s="1053">
        <f t="shared" ca="1" si="16"/>
        <v>0</v>
      </c>
      <c r="Q24" s="1053">
        <f t="shared" ca="1" si="16"/>
        <v>0</v>
      </c>
      <c r="R24" s="1053">
        <f t="shared" ca="1" si="16"/>
        <v>0</v>
      </c>
      <c r="S24" s="1053">
        <f t="shared" ca="1" si="16"/>
        <v>0</v>
      </c>
      <c r="T24" s="1053">
        <f t="shared" ca="1" si="16"/>
        <v>0</v>
      </c>
      <c r="U24" s="1053">
        <f t="shared" ca="1" si="16"/>
        <v>0</v>
      </c>
      <c r="V24" s="1053">
        <f t="shared" ca="1" si="16"/>
        <v>0</v>
      </c>
      <c r="W24" s="1053">
        <f t="shared" ca="1" si="16"/>
        <v>0</v>
      </c>
      <c r="X24" s="1053">
        <f t="shared" ca="1" si="16"/>
        <v>0</v>
      </c>
      <c r="Y24" s="1053">
        <f t="shared" ref="Y24:AL27" ca="1" si="17">IF(ISERR(FIND(";"&amp;Y$19&amp;":0;",$D24)),IF(AND(NOT(ISBLANK($F24)),$B24&lt;Y$19,SUM($B24,$F24)&gt;=Y$19),ROUND(HLOOKUP("H",SKT,Y$19+3,FALSE)*IF(AND(NT_MEIGEN,NT_MEIGEN_WERT=$A24),2,1)*IF(ISERR(FIND(";"&amp;Y$19&amp;";",$D24)),1,0.5),0),0),0)</f>
        <v>0</v>
      </c>
      <c r="Z24" s="1053">
        <f t="shared" ca="1" si="17"/>
        <v>0</v>
      </c>
      <c r="AA24" s="1053">
        <f t="shared" ca="1" si="17"/>
        <v>0</v>
      </c>
      <c r="AB24" s="1053">
        <f t="shared" ca="1" si="17"/>
        <v>0</v>
      </c>
      <c r="AC24" s="1053">
        <f t="shared" ca="1" si="17"/>
        <v>0</v>
      </c>
      <c r="AD24" s="1053">
        <f t="shared" ca="1" si="17"/>
        <v>0</v>
      </c>
      <c r="AE24" s="1053">
        <f t="shared" ca="1" si="17"/>
        <v>0</v>
      </c>
      <c r="AF24" s="1053">
        <f t="shared" ca="1" si="17"/>
        <v>0</v>
      </c>
      <c r="AG24" s="1053">
        <f t="shared" ca="1" si="17"/>
        <v>0</v>
      </c>
      <c r="AH24" s="1053">
        <f t="shared" ca="1" si="17"/>
        <v>0</v>
      </c>
      <c r="AI24" s="1053">
        <f t="shared" ca="1" si="17"/>
        <v>0</v>
      </c>
      <c r="AJ24" s="1053">
        <f t="shared" ca="1" si="17"/>
        <v>0</v>
      </c>
      <c r="AK24" s="1053">
        <f t="shared" ca="1" si="17"/>
        <v>0</v>
      </c>
      <c r="AL24" s="1053">
        <f t="shared" ca="1" si="17"/>
        <v>0</v>
      </c>
      <c r="AM24" s="200"/>
      <c r="AN24" s="1053">
        <f t="shared" ref="AN24:AW27" ca="1" si="18">IF(ISERR(FIND(";"&amp;AN$19&amp;":0;",$D24)),IF(AND(NOT(ISBLANK($G24)),SUM($B24,$F24)&lt;AN$19,SUM($B24,$G24,$F24)&gt;=AN$19),ROUND(HLOOKUP("H",SKT,AN$19+3,FALSE)*IF(AND(NT_MEIGEN,NT_MEIGEN_WERT=$A24),2,1)*IF(ISERR(FIND(";"&amp;AN$19&amp;";",$D24)),1,0.5),0),0),0)</f>
        <v>0</v>
      </c>
      <c r="AO24" s="1053">
        <f t="shared" ca="1" si="18"/>
        <v>0</v>
      </c>
      <c r="AP24" s="1053">
        <f t="shared" ca="1" si="18"/>
        <v>0</v>
      </c>
      <c r="AQ24" s="1053">
        <f t="shared" ca="1" si="18"/>
        <v>0</v>
      </c>
      <c r="AR24" s="1053">
        <f t="shared" ca="1" si="18"/>
        <v>0</v>
      </c>
      <c r="AS24" s="1053">
        <f t="shared" ca="1" si="18"/>
        <v>0</v>
      </c>
      <c r="AT24" s="1053">
        <f t="shared" ca="1" si="18"/>
        <v>0</v>
      </c>
      <c r="AU24" s="1053">
        <f t="shared" ca="1" si="18"/>
        <v>0</v>
      </c>
      <c r="AV24" s="1053">
        <f t="shared" ca="1" si="18"/>
        <v>0</v>
      </c>
      <c r="AW24" s="1053">
        <f t="shared" ca="1" si="18"/>
        <v>0</v>
      </c>
      <c r="AX24" s="1053">
        <f t="shared" ref="AX24:BK27" ca="1" si="19">IF(ISERR(FIND(";"&amp;AX$19&amp;":0;",$D24)),IF(AND(NOT(ISBLANK($G24)),SUM($B24,$F24)&lt;AX$19,SUM($B24,$G24,$F24)&gt;=AX$19),ROUND(HLOOKUP("H",SKT,AX$19+3,FALSE)*IF(AND(NT_MEIGEN,NT_MEIGEN_WERT=$A24),2,1)*IF(ISERR(FIND(";"&amp;AX$19&amp;";",$D24)),1,0.5),0),0),0)</f>
        <v>0</v>
      </c>
      <c r="AY24" s="1053">
        <f t="shared" ca="1" si="19"/>
        <v>0</v>
      </c>
      <c r="AZ24" s="1053">
        <f t="shared" ca="1" si="19"/>
        <v>0</v>
      </c>
      <c r="BA24" s="1053">
        <f t="shared" ca="1" si="19"/>
        <v>0</v>
      </c>
      <c r="BB24" s="1053">
        <f t="shared" ca="1" si="19"/>
        <v>0</v>
      </c>
      <c r="BC24" s="1053">
        <f t="shared" ca="1" si="19"/>
        <v>0</v>
      </c>
      <c r="BD24" s="1053">
        <f t="shared" ca="1" si="19"/>
        <v>0</v>
      </c>
      <c r="BE24" s="1053">
        <f t="shared" ca="1" si="19"/>
        <v>0</v>
      </c>
      <c r="BF24" s="1053">
        <f t="shared" ca="1" si="19"/>
        <v>0</v>
      </c>
      <c r="BG24" s="1053">
        <f t="shared" ca="1" si="19"/>
        <v>0</v>
      </c>
      <c r="BH24" s="1053">
        <f t="shared" ca="1" si="19"/>
        <v>0</v>
      </c>
      <c r="BI24" s="1053">
        <f t="shared" ca="1" si="19"/>
        <v>0</v>
      </c>
      <c r="BJ24" s="1053">
        <f t="shared" ca="1" si="19"/>
        <v>0</v>
      </c>
      <c r="BK24" s="1053">
        <f t="shared" ca="1" si="19"/>
        <v>0</v>
      </c>
      <c r="BL24" s="106"/>
      <c r="BM24" s="106"/>
      <c r="BN24" s="106"/>
      <c r="BO24" s="106"/>
      <c r="BP24" s="619"/>
      <c r="BQ24" s="106" t="s">
        <v>3793</v>
      </c>
      <c r="BR24" s="106" t="s">
        <v>4006</v>
      </c>
      <c r="BS24" s="106"/>
      <c r="BT24" s="106"/>
      <c r="BU24" s="106"/>
      <c r="BV24" s="106"/>
      <c r="BW24" s="106"/>
      <c r="BX24" s="106"/>
    </row>
    <row r="25" spans="1:76" x14ac:dyDescent="0.2">
      <c r="A25" s="273" t="s">
        <v>2702</v>
      </c>
      <c r="B25" s="378">
        <f ca="1">Generierung!$H19</f>
        <v>8</v>
      </c>
      <c r="C25" s="110"/>
      <c r="D25" s="1294"/>
      <c r="E25" s="1309"/>
      <c r="F25" s="1295"/>
      <c r="G25" s="326"/>
      <c r="H25" s="1739" t="str">
        <f ca="1">IF(AND(NT_STUBENHKR,SUM($B25,$F25)&gt;11),"Stubenh.: max. GE-Wert 11",IF(AND(NT_STUBENHKR,SUM($B25,$F25,G25)&gt;11,ISBLANK($E25)),"Ohne TdM max. GE-Wert 11",IF(SUM($B25,$F25,G25)&gt;ROUND($B25+Generierung!$H19*0.5-IF(NT_FETTLEIBIG,4,0),0),CONCATENATE("max. GE-Wert ",ROUND($B25+Generierung!$H19*0.5-IF(NT_FETTLEIBIG,4,0),0)," möglich!"),"")))</f>
        <v/>
      </c>
      <c r="I25" s="1740"/>
      <c r="J25" s="1740"/>
      <c r="K25" s="1740"/>
      <c r="L25" s="1740"/>
      <c r="M25" s="1741"/>
      <c r="N25" s="514">
        <f ca="1">Generierung!H19+F25+G25</f>
        <v>8</v>
      </c>
      <c r="O25" s="1053">
        <f t="shared" ca="1" si="16"/>
        <v>0</v>
      </c>
      <c r="P25" s="1053">
        <f t="shared" ca="1" si="16"/>
        <v>0</v>
      </c>
      <c r="Q25" s="1053">
        <f t="shared" ca="1" si="16"/>
        <v>0</v>
      </c>
      <c r="R25" s="1053">
        <f t="shared" ca="1" si="16"/>
        <v>0</v>
      </c>
      <c r="S25" s="1053">
        <f t="shared" ca="1" si="16"/>
        <v>0</v>
      </c>
      <c r="T25" s="1053">
        <f t="shared" ca="1" si="16"/>
        <v>0</v>
      </c>
      <c r="U25" s="1053">
        <f t="shared" ca="1" si="16"/>
        <v>0</v>
      </c>
      <c r="V25" s="1053">
        <f t="shared" ca="1" si="16"/>
        <v>0</v>
      </c>
      <c r="W25" s="1053">
        <f t="shared" ca="1" si="16"/>
        <v>0</v>
      </c>
      <c r="X25" s="1053">
        <f t="shared" ca="1" si="16"/>
        <v>0</v>
      </c>
      <c r="Y25" s="1053">
        <f t="shared" ca="1" si="17"/>
        <v>0</v>
      </c>
      <c r="Z25" s="1053">
        <f t="shared" ca="1" si="17"/>
        <v>0</v>
      </c>
      <c r="AA25" s="1053">
        <f t="shared" ca="1" si="17"/>
        <v>0</v>
      </c>
      <c r="AB25" s="1053">
        <f t="shared" ca="1" si="17"/>
        <v>0</v>
      </c>
      <c r="AC25" s="1053">
        <f t="shared" ca="1" si="17"/>
        <v>0</v>
      </c>
      <c r="AD25" s="1053">
        <f t="shared" ca="1" si="17"/>
        <v>0</v>
      </c>
      <c r="AE25" s="1053">
        <f t="shared" ca="1" si="17"/>
        <v>0</v>
      </c>
      <c r="AF25" s="1053">
        <f t="shared" ca="1" si="17"/>
        <v>0</v>
      </c>
      <c r="AG25" s="1053">
        <f t="shared" ca="1" si="17"/>
        <v>0</v>
      </c>
      <c r="AH25" s="1053">
        <f t="shared" ca="1" si="17"/>
        <v>0</v>
      </c>
      <c r="AI25" s="1053">
        <f t="shared" ca="1" si="17"/>
        <v>0</v>
      </c>
      <c r="AJ25" s="1053">
        <f t="shared" ca="1" si="17"/>
        <v>0</v>
      </c>
      <c r="AK25" s="1053">
        <f t="shared" ca="1" si="17"/>
        <v>0</v>
      </c>
      <c r="AL25" s="1053">
        <f t="shared" ca="1" si="17"/>
        <v>0</v>
      </c>
      <c r="AM25" s="200"/>
      <c r="AN25" s="1053">
        <f t="shared" ca="1" si="18"/>
        <v>0</v>
      </c>
      <c r="AO25" s="1053">
        <f t="shared" ca="1" si="18"/>
        <v>0</v>
      </c>
      <c r="AP25" s="1053">
        <f t="shared" ca="1" si="18"/>
        <v>0</v>
      </c>
      <c r="AQ25" s="1053">
        <f t="shared" ca="1" si="18"/>
        <v>0</v>
      </c>
      <c r="AR25" s="1053">
        <f t="shared" ca="1" si="18"/>
        <v>0</v>
      </c>
      <c r="AS25" s="1053">
        <f t="shared" ca="1" si="18"/>
        <v>0</v>
      </c>
      <c r="AT25" s="1053">
        <f t="shared" ca="1" si="18"/>
        <v>0</v>
      </c>
      <c r="AU25" s="1053">
        <f t="shared" ca="1" si="18"/>
        <v>0</v>
      </c>
      <c r="AV25" s="1053">
        <f t="shared" ca="1" si="18"/>
        <v>0</v>
      </c>
      <c r="AW25" s="1053">
        <f t="shared" ca="1" si="18"/>
        <v>0</v>
      </c>
      <c r="AX25" s="1053">
        <f t="shared" ca="1" si="19"/>
        <v>0</v>
      </c>
      <c r="AY25" s="1053">
        <f t="shared" ca="1" si="19"/>
        <v>0</v>
      </c>
      <c r="AZ25" s="1053">
        <f t="shared" ca="1" si="19"/>
        <v>0</v>
      </c>
      <c r="BA25" s="1053">
        <f t="shared" ca="1" si="19"/>
        <v>0</v>
      </c>
      <c r="BB25" s="1053">
        <f t="shared" ca="1" si="19"/>
        <v>0</v>
      </c>
      <c r="BC25" s="1053">
        <f t="shared" ca="1" si="19"/>
        <v>0</v>
      </c>
      <c r="BD25" s="1053">
        <f t="shared" ca="1" si="19"/>
        <v>0</v>
      </c>
      <c r="BE25" s="1053">
        <f t="shared" ca="1" si="19"/>
        <v>0</v>
      </c>
      <c r="BF25" s="1053">
        <f t="shared" ca="1" si="19"/>
        <v>0</v>
      </c>
      <c r="BG25" s="1053">
        <f t="shared" ca="1" si="19"/>
        <v>0</v>
      </c>
      <c r="BH25" s="1053">
        <f t="shared" ca="1" si="19"/>
        <v>0</v>
      </c>
      <c r="BI25" s="1053">
        <f t="shared" ca="1" si="19"/>
        <v>0</v>
      </c>
      <c r="BJ25" s="1053">
        <f t="shared" ca="1" si="19"/>
        <v>0</v>
      </c>
      <c r="BK25" s="1053">
        <f t="shared" ca="1" si="19"/>
        <v>0</v>
      </c>
      <c r="BL25" s="106"/>
      <c r="BM25" s="106"/>
      <c r="BN25" s="106"/>
      <c r="BO25" s="106"/>
      <c r="BP25" s="619"/>
      <c r="BQ25" s="1422">
        <f>IF(NT_STUBENHKR,IF($E25="Abbauen (Start-AP)",300,),0)</f>
        <v>0</v>
      </c>
      <c r="BR25" s="1422">
        <f>IF(NT_STUBENHKR,IF($E25="Abbauen (AP)",300,),0)</f>
        <v>0</v>
      </c>
      <c r="BS25" s="1422"/>
      <c r="BT25" s="106"/>
      <c r="BU25" s="106"/>
      <c r="BV25" s="106"/>
      <c r="BW25" s="106"/>
      <c r="BX25" s="106"/>
    </row>
    <row r="26" spans="1:76" x14ac:dyDescent="0.2">
      <c r="A26" s="272" t="s">
        <v>2703</v>
      </c>
      <c r="B26" s="378">
        <f ca="1">Generierung!$H20</f>
        <v>8</v>
      </c>
      <c r="C26" s="110"/>
      <c r="D26" s="1294"/>
      <c r="E26" s="1309"/>
      <c r="F26" s="1295"/>
      <c r="G26" s="326"/>
      <c r="H26" s="1739" t="str">
        <f ca="1">IF(AND(NT_STUBENHKR,SUM($B26,$F26)&gt;11),"Stubenh.: max. KO-Wert 11",IF(AND(NT_STUBENHKR,SUM($B26,$F26,G26)&gt;11,ISBLANK($E26)),"Ohne TdM max. KO-Wert 11",IF(SUM($B26,$F26,G26)&gt;ROUND($B26+Generierung!$H20*0.5,0),CONCATENATE("max. KO-Wert ",ROUND($B26+Generierung!$H20*0.5,0)," möglich!"),"")))</f>
        <v/>
      </c>
      <c r="I26" s="1740"/>
      <c r="J26" s="1740"/>
      <c r="K26" s="1740"/>
      <c r="L26" s="1740"/>
      <c r="M26" s="1741"/>
      <c r="N26" s="514">
        <f ca="1">Generierung!H20+F26+G26</f>
        <v>8</v>
      </c>
      <c r="O26" s="1053">
        <f t="shared" ca="1" si="16"/>
        <v>0</v>
      </c>
      <c r="P26" s="1053">
        <f t="shared" ca="1" si="16"/>
        <v>0</v>
      </c>
      <c r="Q26" s="1053">
        <f t="shared" ca="1" si="16"/>
        <v>0</v>
      </c>
      <c r="R26" s="1053">
        <f t="shared" ca="1" si="16"/>
        <v>0</v>
      </c>
      <c r="S26" s="1053">
        <f t="shared" ca="1" si="16"/>
        <v>0</v>
      </c>
      <c r="T26" s="1053">
        <f t="shared" ca="1" si="16"/>
        <v>0</v>
      </c>
      <c r="U26" s="1053">
        <f t="shared" ca="1" si="16"/>
        <v>0</v>
      </c>
      <c r="V26" s="1053">
        <f t="shared" ca="1" si="16"/>
        <v>0</v>
      </c>
      <c r="W26" s="1053">
        <f t="shared" ca="1" si="16"/>
        <v>0</v>
      </c>
      <c r="X26" s="1053">
        <f t="shared" ca="1" si="16"/>
        <v>0</v>
      </c>
      <c r="Y26" s="1053">
        <f t="shared" ca="1" si="17"/>
        <v>0</v>
      </c>
      <c r="Z26" s="1053">
        <f t="shared" ca="1" si="17"/>
        <v>0</v>
      </c>
      <c r="AA26" s="1053">
        <f t="shared" ca="1" si="17"/>
        <v>0</v>
      </c>
      <c r="AB26" s="1053">
        <f t="shared" ca="1" si="17"/>
        <v>0</v>
      </c>
      <c r="AC26" s="1053">
        <f t="shared" ca="1" si="17"/>
        <v>0</v>
      </c>
      <c r="AD26" s="1053">
        <f t="shared" ca="1" si="17"/>
        <v>0</v>
      </c>
      <c r="AE26" s="1053">
        <f t="shared" ca="1" si="17"/>
        <v>0</v>
      </c>
      <c r="AF26" s="1053">
        <f t="shared" ca="1" si="17"/>
        <v>0</v>
      </c>
      <c r="AG26" s="1053">
        <f t="shared" ca="1" si="17"/>
        <v>0</v>
      </c>
      <c r="AH26" s="1053">
        <f t="shared" ca="1" si="17"/>
        <v>0</v>
      </c>
      <c r="AI26" s="1053">
        <f t="shared" ca="1" si="17"/>
        <v>0</v>
      </c>
      <c r="AJ26" s="1053">
        <f t="shared" ca="1" si="17"/>
        <v>0</v>
      </c>
      <c r="AK26" s="1053">
        <f t="shared" ca="1" si="17"/>
        <v>0</v>
      </c>
      <c r="AL26" s="1053">
        <f t="shared" ca="1" si="17"/>
        <v>0</v>
      </c>
      <c r="AM26" s="200"/>
      <c r="AN26" s="1053">
        <f t="shared" ca="1" si="18"/>
        <v>0</v>
      </c>
      <c r="AO26" s="1053">
        <f t="shared" ca="1" si="18"/>
        <v>0</v>
      </c>
      <c r="AP26" s="1053">
        <f t="shared" ca="1" si="18"/>
        <v>0</v>
      </c>
      <c r="AQ26" s="1053">
        <f t="shared" ca="1" si="18"/>
        <v>0</v>
      </c>
      <c r="AR26" s="1053">
        <f t="shared" ca="1" si="18"/>
        <v>0</v>
      </c>
      <c r="AS26" s="1053">
        <f t="shared" ca="1" si="18"/>
        <v>0</v>
      </c>
      <c r="AT26" s="1053">
        <f t="shared" ca="1" si="18"/>
        <v>0</v>
      </c>
      <c r="AU26" s="1053">
        <f t="shared" ca="1" si="18"/>
        <v>0</v>
      </c>
      <c r="AV26" s="1053">
        <f t="shared" ca="1" si="18"/>
        <v>0</v>
      </c>
      <c r="AW26" s="1053">
        <f t="shared" ca="1" si="18"/>
        <v>0</v>
      </c>
      <c r="AX26" s="1053">
        <f t="shared" ca="1" si="19"/>
        <v>0</v>
      </c>
      <c r="AY26" s="1053">
        <f t="shared" ca="1" si="19"/>
        <v>0</v>
      </c>
      <c r="AZ26" s="1053">
        <f t="shared" ca="1" si="19"/>
        <v>0</v>
      </c>
      <c r="BA26" s="1053">
        <f t="shared" ca="1" si="19"/>
        <v>0</v>
      </c>
      <c r="BB26" s="1053">
        <f t="shared" ca="1" si="19"/>
        <v>0</v>
      </c>
      <c r="BC26" s="1053">
        <f t="shared" ca="1" si="19"/>
        <v>0</v>
      </c>
      <c r="BD26" s="1053">
        <f t="shared" ca="1" si="19"/>
        <v>0</v>
      </c>
      <c r="BE26" s="1053">
        <f t="shared" ca="1" si="19"/>
        <v>0</v>
      </c>
      <c r="BF26" s="1053">
        <f t="shared" ca="1" si="19"/>
        <v>0</v>
      </c>
      <c r="BG26" s="1053">
        <f t="shared" ca="1" si="19"/>
        <v>0</v>
      </c>
      <c r="BH26" s="1053">
        <f t="shared" ca="1" si="19"/>
        <v>0</v>
      </c>
      <c r="BI26" s="1053">
        <f t="shared" ca="1" si="19"/>
        <v>0</v>
      </c>
      <c r="BJ26" s="1053">
        <f t="shared" ca="1" si="19"/>
        <v>0</v>
      </c>
      <c r="BK26" s="1053">
        <f t="shared" ca="1" si="19"/>
        <v>0</v>
      </c>
      <c r="BL26" s="106"/>
      <c r="BM26" s="106"/>
      <c r="BN26" s="106"/>
      <c r="BO26" s="106"/>
      <c r="BP26" s="619"/>
      <c r="BQ26" s="1073">
        <f>IF(NT_STUBENHKR,IF($E26="Abbauen (Start-AP)",300,),0)</f>
        <v>0</v>
      </c>
      <c r="BR26" s="1073">
        <f>IF(NT_STUBENHKR,IF($E26="Abbauen (AP)",300,),0)</f>
        <v>0</v>
      </c>
      <c r="BS26" s="1073"/>
      <c r="BT26" s="106"/>
      <c r="BU26" s="106"/>
      <c r="BV26" s="106"/>
      <c r="BW26" s="106"/>
      <c r="BX26" s="106"/>
    </row>
    <row r="27" spans="1:76" x14ac:dyDescent="0.2">
      <c r="A27" s="272" t="s">
        <v>2704</v>
      </c>
      <c r="B27" s="378">
        <f ca="1">Generierung!$H21</f>
        <v>8</v>
      </c>
      <c r="C27" s="110"/>
      <c r="D27" s="1294"/>
      <c r="E27" s="1309"/>
      <c r="F27" s="1295"/>
      <c r="G27" s="326"/>
      <c r="H27" s="1739" t="str">
        <f ca="1">IF(AND(NT_STUBENHKR,SUM($B27,$F27)&gt;11),"Stubenh.: max. KK-Wert 11",IF(AND(NT_STUBENHKR,SUM($B27,$F27,G27)&gt;11,ISBLANK($E27)),"Ohne TdM max. KK-Wert 11",IF(SUM($B27,$F27,G27)&gt;ROUND($B27+Generierung!$H20*0.5-IF(VT_SCHLANGENMENSCH,2,0),0),CONCATENATE("max. KK-Wert ",ROUND($B27+Generierung!$H21*0.5-IF(VT_SCHLANGENMENSCH,2,0),0)," möglich!"),"")))</f>
        <v/>
      </c>
      <c r="I27" s="1740"/>
      <c r="J27" s="1740"/>
      <c r="K27" s="1740"/>
      <c r="L27" s="1740"/>
      <c r="M27" s="1741"/>
      <c r="N27" s="514">
        <f ca="1">Generierung!H21+F27+G27</f>
        <v>8</v>
      </c>
      <c r="O27" s="1053">
        <f t="shared" ca="1" si="16"/>
        <v>0</v>
      </c>
      <c r="P27" s="1053">
        <f t="shared" ca="1" si="16"/>
        <v>0</v>
      </c>
      <c r="Q27" s="1053">
        <f t="shared" ca="1" si="16"/>
        <v>0</v>
      </c>
      <c r="R27" s="1053">
        <f t="shared" ca="1" si="16"/>
        <v>0</v>
      </c>
      <c r="S27" s="1053">
        <f t="shared" ca="1" si="16"/>
        <v>0</v>
      </c>
      <c r="T27" s="1053">
        <f t="shared" ca="1" si="16"/>
        <v>0</v>
      </c>
      <c r="U27" s="1053">
        <f t="shared" ca="1" si="16"/>
        <v>0</v>
      </c>
      <c r="V27" s="1053">
        <f t="shared" ca="1" si="16"/>
        <v>0</v>
      </c>
      <c r="W27" s="1053">
        <f t="shared" ca="1" si="16"/>
        <v>0</v>
      </c>
      <c r="X27" s="1053">
        <f t="shared" ca="1" si="16"/>
        <v>0</v>
      </c>
      <c r="Y27" s="1053">
        <f t="shared" ca="1" si="17"/>
        <v>0</v>
      </c>
      <c r="Z27" s="1053">
        <f t="shared" ca="1" si="17"/>
        <v>0</v>
      </c>
      <c r="AA27" s="1053">
        <f t="shared" ca="1" si="17"/>
        <v>0</v>
      </c>
      <c r="AB27" s="1053">
        <f t="shared" ca="1" si="17"/>
        <v>0</v>
      </c>
      <c r="AC27" s="1053">
        <f t="shared" ca="1" si="17"/>
        <v>0</v>
      </c>
      <c r="AD27" s="1053">
        <f t="shared" ca="1" si="17"/>
        <v>0</v>
      </c>
      <c r="AE27" s="1053">
        <f t="shared" ca="1" si="17"/>
        <v>0</v>
      </c>
      <c r="AF27" s="1053">
        <f t="shared" ca="1" si="17"/>
        <v>0</v>
      </c>
      <c r="AG27" s="1053">
        <f t="shared" ca="1" si="17"/>
        <v>0</v>
      </c>
      <c r="AH27" s="1053">
        <f t="shared" ca="1" si="17"/>
        <v>0</v>
      </c>
      <c r="AI27" s="1053">
        <f t="shared" ca="1" si="17"/>
        <v>0</v>
      </c>
      <c r="AJ27" s="1053">
        <f t="shared" ca="1" si="17"/>
        <v>0</v>
      </c>
      <c r="AK27" s="1053">
        <f t="shared" ca="1" si="17"/>
        <v>0</v>
      </c>
      <c r="AL27" s="1053">
        <f t="shared" ca="1" si="17"/>
        <v>0</v>
      </c>
      <c r="AM27" s="200"/>
      <c r="AN27" s="1053">
        <f t="shared" ca="1" si="18"/>
        <v>0</v>
      </c>
      <c r="AO27" s="1053">
        <f t="shared" ca="1" si="18"/>
        <v>0</v>
      </c>
      <c r="AP27" s="1053">
        <f t="shared" ca="1" si="18"/>
        <v>0</v>
      </c>
      <c r="AQ27" s="1053">
        <f t="shared" ca="1" si="18"/>
        <v>0</v>
      </c>
      <c r="AR27" s="1053">
        <f t="shared" ca="1" si="18"/>
        <v>0</v>
      </c>
      <c r="AS27" s="1053">
        <f t="shared" ca="1" si="18"/>
        <v>0</v>
      </c>
      <c r="AT27" s="1053">
        <f t="shared" ca="1" si="18"/>
        <v>0</v>
      </c>
      <c r="AU27" s="1053">
        <f t="shared" ca="1" si="18"/>
        <v>0</v>
      </c>
      <c r="AV27" s="1053">
        <f t="shared" ca="1" si="18"/>
        <v>0</v>
      </c>
      <c r="AW27" s="1053">
        <f t="shared" ca="1" si="18"/>
        <v>0</v>
      </c>
      <c r="AX27" s="1053">
        <f t="shared" ca="1" si="19"/>
        <v>0</v>
      </c>
      <c r="AY27" s="1053">
        <f t="shared" ca="1" si="19"/>
        <v>0</v>
      </c>
      <c r="AZ27" s="1053">
        <f t="shared" ca="1" si="19"/>
        <v>0</v>
      </c>
      <c r="BA27" s="1053">
        <f t="shared" ca="1" si="19"/>
        <v>0</v>
      </c>
      <c r="BB27" s="1053">
        <f t="shared" ca="1" si="19"/>
        <v>0</v>
      </c>
      <c r="BC27" s="1053">
        <f t="shared" ca="1" si="19"/>
        <v>0</v>
      </c>
      <c r="BD27" s="1053">
        <f t="shared" ca="1" si="19"/>
        <v>0</v>
      </c>
      <c r="BE27" s="1053">
        <f t="shared" ca="1" si="19"/>
        <v>0</v>
      </c>
      <c r="BF27" s="1053">
        <f t="shared" ca="1" si="19"/>
        <v>0</v>
      </c>
      <c r="BG27" s="1053">
        <f t="shared" ca="1" si="19"/>
        <v>0</v>
      </c>
      <c r="BH27" s="1053">
        <f t="shared" ca="1" si="19"/>
        <v>0</v>
      </c>
      <c r="BI27" s="1053">
        <f t="shared" ca="1" si="19"/>
        <v>0</v>
      </c>
      <c r="BJ27" s="1053">
        <f t="shared" ca="1" si="19"/>
        <v>0</v>
      </c>
      <c r="BK27" s="1053">
        <f t="shared" ca="1" si="19"/>
        <v>0</v>
      </c>
      <c r="BL27" s="106"/>
      <c r="BM27" s="106"/>
      <c r="BN27" s="106"/>
      <c r="BO27" s="106"/>
      <c r="BP27" s="619"/>
      <c r="BQ27" s="1423">
        <f>IF(NT_STUBENHKR,IF($E27="Abbauen (Start-AP)",300,),0)</f>
        <v>0</v>
      </c>
      <c r="BR27" s="1423">
        <f>IF(NT_STUBENHKR,IF($E27="Abbauen (AP)",300,),0)</f>
        <v>0</v>
      </c>
      <c r="BS27" s="1423"/>
      <c r="BT27" s="106"/>
      <c r="BU27" s="106"/>
      <c r="BV27" s="106"/>
      <c r="BW27" s="106"/>
      <c r="BX27" s="106"/>
    </row>
    <row r="28" spans="1:76" ht="15.75" x14ac:dyDescent="0.25">
      <c r="A28" s="300" t="s">
        <v>9126</v>
      </c>
      <c r="B28" s="108"/>
      <c r="C28" s="108"/>
      <c r="D28" s="108"/>
      <c r="E28" s="108"/>
      <c r="F28" s="204"/>
      <c r="G28" s="204"/>
      <c r="H28" s="1770"/>
      <c r="I28" s="1770"/>
      <c r="J28" s="1770"/>
      <c r="K28" s="1770"/>
      <c r="L28" s="1770"/>
      <c r="M28" s="1770"/>
      <c r="N28" s="197"/>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199"/>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106"/>
      <c r="BT28" s="106"/>
      <c r="BU28" s="106"/>
      <c r="BV28" s="106"/>
      <c r="BW28" s="106"/>
      <c r="BX28" s="106"/>
    </row>
    <row r="29" spans="1:76" x14ac:dyDescent="0.2">
      <c r="A29" s="616" t="s">
        <v>4637</v>
      </c>
      <c r="B29" s="378">
        <f ca="1">Generierung!H22</f>
        <v>0</v>
      </c>
      <c r="C29" s="617"/>
      <c r="D29" s="1646"/>
      <c r="E29" s="618"/>
      <c r="F29" s="1647"/>
      <c r="G29" s="326"/>
      <c r="H29" s="1803"/>
      <c r="I29" s="1804"/>
      <c r="J29" s="1804"/>
      <c r="K29" s="1804"/>
      <c r="L29" s="1804"/>
      <c r="M29" s="1805"/>
      <c r="N29" s="613">
        <f ca="1">B29+G29</f>
        <v>0</v>
      </c>
      <c r="O29" s="619"/>
      <c r="P29" s="619"/>
      <c r="Q29" s="619"/>
      <c r="R29" s="619"/>
      <c r="S29" s="619"/>
      <c r="T29" s="619"/>
      <c r="U29" s="619"/>
      <c r="V29" s="619"/>
      <c r="W29" s="619"/>
      <c r="X29" s="619"/>
      <c r="Y29" s="619"/>
      <c r="Z29" s="619"/>
      <c r="AA29" s="619"/>
      <c r="AB29" s="619"/>
      <c r="AC29" s="619"/>
      <c r="AD29" s="619"/>
      <c r="AE29" s="619"/>
      <c r="AF29" s="619"/>
      <c r="AG29" s="619"/>
      <c r="AH29" s="619"/>
      <c r="AI29" s="619"/>
      <c r="AJ29" s="619"/>
      <c r="AK29" s="619"/>
      <c r="AL29" s="619"/>
      <c r="AM29" s="199"/>
      <c r="AN29" s="619"/>
      <c r="AO29" s="619"/>
      <c r="AP29" s="619"/>
      <c r="AQ29" s="619"/>
      <c r="AR29" s="619"/>
      <c r="AS29" s="619"/>
      <c r="AT29" s="619"/>
      <c r="AU29" s="619"/>
      <c r="AV29" s="619"/>
      <c r="AW29" s="619"/>
      <c r="AX29" s="619"/>
      <c r="AY29" s="619"/>
      <c r="AZ29" s="619"/>
      <c r="BA29" s="619"/>
      <c r="BB29" s="619"/>
      <c r="BC29" s="619"/>
      <c r="BD29" s="619"/>
      <c r="BE29" s="619"/>
      <c r="BF29" s="619"/>
      <c r="BG29" s="619"/>
      <c r="BH29" s="619"/>
      <c r="BI29" s="619"/>
      <c r="BJ29" s="619"/>
      <c r="BK29" s="619"/>
      <c r="BL29" s="619"/>
      <c r="BM29" s="619"/>
      <c r="BN29" s="619"/>
      <c r="BO29" s="619"/>
      <c r="BP29" s="619"/>
      <c r="BQ29" s="619"/>
      <c r="BR29" s="619"/>
      <c r="BS29" s="106"/>
      <c r="BT29" s="106"/>
      <c r="BU29" s="106"/>
      <c r="BV29" s="106"/>
      <c r="BW29" s="106"/>
      <c r="BX29" s="106"/>
    </row>
    <row r="30" spans="1:76" x14ac:dyDescent="0.2">
      <c r="A30" s="1368" t="s">
        <v>4527</v>
      </c>
      <c r="B30" s="378" t="str">
        <f ca="1">IF(EXACT($C30,"x"),Abfragen!U62,"")</f>
        <v/>
      </c>
      <c r="C30" s="391" t="str">
        <f ca="1">IF(VT_VERBINDUNGEN,"x","")</f>
        <v/>
      </c>
      <c r="D30" s="1142"/>
      <c r="E30" s="1067"/>
      <c r="F30" s="1142"/>
      <c r="G30" s="326"/>
      <c r="H30" s="1800" t="str">
        <f ca="1">IF(AND(EXACT(C30,""),NOT(ISBLANK(G30))),"Das hast Du doch nicht!","")</f>
        <v/>
      </c>
      <c r="I30" s="1801"/>
      <c r="J30" s="1801"/>
      <c r="K30" s="1801"/>
      <c r="L30" s="1801"/>
      <c r="M30" s="1802"/>
      <c r="N30" s="514" t="str">
        <f ca="1">IF(B30="","",B30-G30)</f>
        <v/>
      </c>
      <c r="O30" s="1751" t="str">
        <f ca="1">IF(VT_VERBINDUNG_TXT="","← Verbindungen eingeben","Bei Generierung gegeben: "&amp;VT_VERBINDUNG_TXT)</f>
        <v>← Verbindungen eingeben</v>
      </c>
      <c r="P30" s="1752"/>
      <c r="Q30" s="1752"/>
      <c r="R30" s="1752"/>
      <c r="S30" s="1752"/>
      <c r="T30" s="1752"/>
      <c r="U30" s="1752"/>
      <c r="V30" s="1752"/>
      <c r="W30" s="1752"/>
      <c r="X30" s="1752"/>
      <c r="Y30" s="1752"/>
      <c r="Z30" s="1753"/>
      <c r="AA30" s="199"/>
      <c r="AB30" s="199"/>
      <c r="AC30" s="199"/>
      <c r="AD30" s="199"/>
      <c r="AE30" s="199"/>
      <c r="AF30" s="199"/>
      <c r="AG30" s="199"/>
      <c r="AH30" s="199"/>
      <c r="AI30" s="199"/>
      <c r="AJ30" s="197"/>
      <c r="AK30" s="619"/>
      <c r="AL30" s="619"/>
      <c r="AM30" s="199"/>
      <c r="AN30" s="549">
        <f>IF(OR(G30="",ISERROR(VALUE(G30))),0,ROUND(VALUE(G30)*50/3,0))</f>
        <v>0</v>
      </c>
      <c r="AO30" s="619"/>
      <c r="AP30" s="619"/>
      <c r="AQ30" s="619"/>
      <c r="AR30" s="619"/>
      <c r="AS30" s="619"/>
      <c r="AT30" s="619"/>
      <c r="AU30" s="619"/>
      <c r="AV30" s="619"/>
      <c r="AW30" s="619"/>
      <c r="AX30" s="619"/>
      <c r="AY30" s="619"/>
      <c r="AZ30" s="619"/>
      <c r="BA30" s="619"/>
      <c r="BB30" s="619"/>
      <c r="BC30" s="619"/>
      <c r="BD30" s="619"/>
      <c r="BE30" s="619"/>
      <c r="BF30" s="619"/>
      <c r="BG30" s="619"/>
      <c r="BH30" s="619"/>
      <c r="BI30" s="619"/>
      <c r="BJ30" s="619"/>
      <c r="BK30" s="619"/>
      <c r="BL30" s="619"/>
      <c r="BM30" s="619"/>
      <c r="BN30" s="619"/>
      <c r="BO30" s="619"/>
      <c r="BP30" s="619"/>
      <c r="BQ30" s="619"/>
      <c r="BR30" s="619"/>
      <c r="BS30" s="106"/>
      <c r="BT30" s="106"/>
      <c r="BU30" s="106"/>
      <c r="BV30" s="106"/>
      <c r="BW30" s="106"/>
      <c r="BX30" s="106"/>
    </row>
    <row r="31" spans="1:76" ht="15.75" x14ac:dyDescent="0.25">
      <c r="A31" s="300" t="s">
        <v>2705</v>
      </c>
      <c r="B31" s="108"/>
      <c r="C31" s="108"/>
      <c r="D31" s="108"/>
      <c r="E31" s="108" t="str">
        <f>IF(OR(VT_VETERAN,VT_BBILDUNG),"# 2.Prof Start-AP","")</f>
        <v/>
      </c>
      <c r="F31" s="204"/>
      <c r="G31" s="204"/>
      <c r="H31" s="1770" t="str">
        <f ca="1">IF(APGUT&lt;0,"Keine AP mehr übrig!",IF(TL_GP_UEBRIG&lt;0,"Keine Start-AP mehr übrig!","▼ Fehlermeldungen ▼  "&amp;"(AP: "&amp;APGUT&amp;")"))</f>
        <v>▼ Fehlermeldungen ▼  (AP: 0)</v>
      </c>
      <c r="I31" s="1770"/>
      <c r="J31" s="1770"/>
      <c r="K31" s="1770"/>
      <c r="L31" s="1770"/>
      <c r="M31" s="1770"/>
      <c r="N31" s="197"/>
      <c r="O31" s="198"/>
      <c r="P31" s="198"/>
      <c r="Q31" s="198"/>
      <c r="R31" s="198"/>
      <c r="S31" s="198">
        <v>4</v>
      </c>
      <c r="T31" s="198">
        <v>5</v>
      </c>
      <c r="U31" s="198">
        <v>6</v>
      </c>
      <c r="V31" s="198">
        <v>7</v>
      </c>
      <c r="W31" s="198">
        <v>8</v>
      </c>
      <c r="X31" s="198">
        <v>9</v>
      </c>
      <c r="Y31" s="198">
        <v>10</v>
      </c>
      <c r="Z31" s="198">
        <v>11</v>
      </c>
      <c r="AA31" s="198">
        <v>12</v>
      </c>
      <c r="AB31" s="198">
        <v>13</v>
      </c>
      <c r="AC31" s="198">
        <v>14</v>
      </c>
      <c r="AD31" s="198">
        <v>15</v>
      </c>
      <c r="AE31" s="198">
        <v>16</v>
      </c>
      <c r="AF31" s="198">
        <v>17</v>
      </c>
      <c r="AG31" s="198">
        <v>18</v>
      </c>
      <c r="AH31" s="198">
        <v>19</v>
      </c>
      <c r="AI31" s="198">
        <v>20</v>
      </c>
      <c r="AJ31" s="198">
        <v>21</v>
      </c>
      <c r="AK31" s="199"/>
      <c r="AL31" s="199">
        <v>4</v>
      </c>
      <c r="AM31" s="199">
        <v>5</v>
      </c>
      <c r="AN31" s="199">
        <v>6</v>
      </c>
      <c r="AO31" s="199">
        <v>7</v>
      </c>
      <c r="AP31" s="199">
        <v>8</v>
      </c>
      <c r="AQ31" s="199">
        <v>9</v>
      </c>
      <c r="AR31" s="199">
        <v>10</v>
      </c>
      <c r="AS31" s="199">
        <v>11</v>
      </c>
      <c r="AT31" s="199">
        <v>12</v>
      </c>
      <c r="AU31" s="199">
        <v>13</v>
      </c>
      <c r="AV31" s="199">
        <v>14</v>
      </c>
      <c r="AW31" s="199">
        <v>15</v>
      </c>
      <c r="AX31" s="199">
        <v>16</v>
      </c>
      <c r="AY31" s="199">
        <v>17</v>
      </c>
      <c r="AZ31" s="199">
        <v>18</v>
      </c>
      <c r="BA31" s="199">
        <v>19</v>
      </c>
      <c r="BB31" s="199">
        <v>20</v>
      </c>
      <c r="BC31" s="199">
        <v>21</v>
      </c>
      <c r="BD31" s="199"/>
      <c r="BE31" s="1522" t="s">
        <v>8767</v>
      </c>
      <c r="BF31" s="1522" t="s">
        <v>8768</v>
      </c>
      <c r="BG31" s="1522" t="s">
        <v>6530</v>
      </c>
      <c r="BH31" s="1522" t="s">
        <v>8766</v>
      </c>
      <c r="BI31" s="199"/>
      <c r="BJ31" s="199"/>
      <c r="BK31" s="199"/>
      <c r="BL31" s="199"/>
      <c r="BM31" s="199"/>
      <c r="BN31" s="199"/>
      <c r="BO31" s="199"/>
      <c r="BP31" s="199"/>
      <c r="BQ31" s="199"/>
      <c r="BR31" s="199"/>
      <c r="BS31" s="106"/>
      <c r="BT31" s="106"/>
      <c r="BU31" s="106"/>
      <c r="BV31" s="106"/>
      <c r="BW31" s="106"/>
      <c r="BX31" s="106"/>
    </row>
    <row r="32" spans="1:76" x14ac:dyDescent="0.2">
      <c r="A32" s="985" t="s">
        <v>3637</v>
      </c>
      <c r="B32" s="378" t="str">
        <f t="shared" ref="B32:B43" si="20">IF(EXACT($C32,"x"),3,"")</f>
        <v/>
      </c>
      <c r="C32" s="110" t="str">
        <f t="shared" ref="C32:C44" si="21">IF(NOT(ISERR(FIND($A32,VORTEILEGENE))),"x","")</f>
        <v/>
      </c>
      <c r="D32" s="983"/>
      <c r="E32" s="1523"/>
      <c r="F32" s="962"/>
      <c r="G32" s="326"/>
      <c r="H32" s="1739" t="str">
        <f t="shared" ref="H32:H44" si="22">IF(AND(EXACT(C32,""),OR(NOT(ISBLANK(F32)),NOT(ISBLANK(G32)))),"Diese Gabe hast Du nicht!","")&amp;IF(E32="","",IF(OR(VT_VETERAN,VT_BBILDUNG),IF(E32&gt;3," 2.Prof: Max. Steigerung um 3",""),""))</f>
        <v/>
      </c>
      <c r="I32" s="1740"/>
      <c r="J32" s="1740"/>
      <c r="K32" s="1740"/>
      <c r="L32" s="1740"/>
      <c r="M32" s="1741"/>
      <c r="N32" s="514"/>
      <c r="S32" s="245">
        <f t="shared" ref="S32:AB44" si="23">IF(ISERR(FIND(";"&amp;S$31&amp;":0;",$D32)),IF(AND(NOT(ISBLANK($F32)),$B32&lt;S$31,SUM($B32,$F32)&gt;=S$31),ROUND(HLOOKUP(IF(ISERR(FIND(";"&amp;S$31&amp;";",$D32)),"F","E"),SKT,S$31+3,FALSE),0),0),0)</f>
        <v>0</v>
      </c>
      <c r="T32" s="554">
        <f t="shared" si="23"/>
        <v>0</v>
      </c>
      <c r="U32" s="554">
        <f t="shared" si="23"/>
        <v>0</v>
      </c>
      <c r="V32" s="554">
        <f t="shared" si="23"/>
        <v>0</v>
      </c>
      <c r="W32" s="554">
        <f t="shared" si="23"/>
        <v>0</v>
      </c>
      <c r="X32" s="554">
        <f t="shared" si="23"/>
        <v>0</v>
      </c>
      <c r="Y32" s="554">
        <f t="shared" si="23"/>
        <v>0</v>
      </c>
      <c r="Z32" s="554">
        <f t="shared" si="23"/>
        <v>0</v>
      </c>
      <c r="AA32" s="554">
        <f t="shared" si="23"/>
        <v>0</v>
      </c>
      <c r="AB32" s="554">
        <f t="shared" si="23"/>
        <v>0</v>
      </c>
      <c r="AC32" s="554">
        <f t="shared" ref="AC32:AJ44" si="24">IF(ISERR(FIND(";"&amp;AC$31&amp;":0;",$D32)),IF(AND(NOT(ISBLANK($F32)),$B32&lt;AC$31,SUM($B32,$F32)&gt;=AC$31),ROUND(HLOOKUP(IF(ISERR(FIND(";"&amp;AC$31&amp;";",$D32)),"F","E"),SKT,AC$31+3,FALSE),0),0),0)</f>
        <v>0</v>
      </c>
      <c r="AD32" s="554">
        <f t="shared" si="24"/>
        <v>0</v>
      </c>
      <c r="AE32" s="554">
        <f t="shared" si="24"/>
        <v>0</v>
      </c>
      <c r="AF32" s="554">
        <f t="shared" si="24"/>
        <v>0</v>
      </c>
      <c r="AG32" s="554">
        <f t="shared" si="24"/>
        <v>0</v>
      </c>
      <c r="AH32" s="554">
        <f t="shared" si="24"/>
        <v>0</v>
      </c>
      <c r="AI32" s="554">
        <f t="shared" si="24"/>
        <v>0</v>
      </c>
      <c r="AJ32" s="1054">
        <f t="shared" si="24"/>
        <v>0</v>
      </c>
      <c r="AK32" s="200"/>
      <c r="AL32" s="245">
        <f t="shared" ref="AL32:AU44" si="25">IF(ISERR(FIND(";"&amp;AL$31&amp;":0;",$D32)),IF(AND(NOT(ISBLANK($G32)),SUM($B32,$F32)&lt;AL$31,SUM($B32,$F32,$G32)&gt;=AL$31),ROUND(HLOOKUP(IF(ISERR(FIND(";"&amp;AL$31&amp;";",$D32)),"F","E"),SKT,AL$31+3,FALSE)*IF(NT_ELFWELT,1.5,1),0),0),0)</f>
        <v>0</v>
      </c>
      <c r="AM32" s="554">
        <f t="shared" si="25"/>
        <v>0</v>
      </c>
      <c r="AN32" s="554">
        <f t="shared" si="25"/>
        <v>0</v>
      </c>
      <c r="AO32" s="554">
        <f t="shared" si="25"/>
        <v>0</v>
      </c>
      <c r="AP32" s="554">
        <f t="shared" si="25"/>
        <v>0</v>
      </c>
      <c r="AQ32" s="554">
        <f t="shared" si="25"/>
        <v>0</v>
      </c>
      <c r="AR32" s="554">
        <f t="shared" si="25"/>
        <v>0</v>
      </c>
      <c r="AS32" s="554">
        <f t="shared" si="25"/>
        <v>0</v>
      </c>
      <c r="AT32" s="554">
        <f t="shared" si="25"/>
        <v>0</v>
      </c>
      <c r="AU32" s="554">
        <f t="shared" si="25"/>
        <v>0</v>
      </c>
      <c r="AV32" s="554">
        <f t="shared" ref="AV32:BC44" si="26">IF(ISERR(FIND(";"&amp;AV$31&amp;":0;",$D32)),IF(AND(NOT(ISBLANK($G32)),SUM($B32,$F32)&lt;AV$31,SUM($B32,$F32,$G32)&gt;=AV$31),ROUND(HLOOKUP(IF(ISERR(FIND(";"&amp;AV$31&amp;";",$D32)),"F","E"),SKT,AV$31+3,FALSE)*IF(NT_ELFWELT,1.5,1),0),0),0)</f>
        <v>0</v>
      </c>
      <c r="AW32" s="554">
        <f t="shared" si="26"/>
        <v>0</v>
      </c>
      <c r="AX32" s="554">
        <f t="shared" si="26"/>
        <v>0</v>
      </c>
      <c r="AY32" s="554">
        <f t="shared" si="26"/>
        <v>0</v>
      </c>
      <c r="AZ32" s="554">
        <f t="shared" si="26"/>
        <v>0</v>
      </c>
      <c r="BA32" s="554">
        <f t="shared" si="26"/>
        <v>0</v>
      </c>
      <c r="BB32" s="554">
        <f t="shared" si="26"/>
        <v>0</v>
      </c>
      <c r="BC32" s="554">
        <f t="shared" si="26"/>
        <v>0</v>
      </c>
      <c r="BD32" s="554" t="str">
        <f>IF(NOT(EXACT($B32,"")),$BJ32,"")</f>
        <v/>
      </c>
      <c r="BE32" s="555">
        <f>IF(B32="",0,VALUE(B32))+IF(F32="",0,VALUE(F32))- IF(E32="",0,VALUE(E32))</f>
        <v>0</v>
      </c>
      <c r="BF32" s="555">
        <f t="shared" ref="BF32:BF44" si="27">SUM(S32:AJ32)-IF(OR(VT_VETERAN,VT_BBILDUNG),BG32,0)</f>
        <v>0</v>
      </c>
      <c r="BG32" s="555">
        <f ca="1">IF(E32="",0,SUM(INDIRECT(
ADDRESS(ROW(),COLUMN($O32)+BE32+IF(BE32=0,0,1))
&amp;":"&amp;
ADDRESS(ROW(),COLUMN($AJ32))
)))</f>
        <v>0</v>
      </c>
      <c r="BH32" s="555" t="b">
        <f ca="1">IF(OR(AND(VT_BBILDUNG,NOT(ISERR(FIND($A32,Abfragen!$W$48)))),AND(VT_VETERAN,C32="x")),TRUE,FALSE)</f>
        <v>0</v>
      </c>
      <c r="BI32" s="555"/>
      <c r="BJ32" s="1055" t="str">
        <f ca="1">"Empathie [MU-IN-IN] ("&amp;MU&amp;"-"&amp;IN&amp;"-"&amp;IN&amp;")"</f>
        <v>Empathie [MU-IN-IN] (8-8-8)</v>
      </c>
      <c r="BK32" s="555"/>
      <c r="BL32" s="555"/>
      <c r="BM32" s="555"/>
      <c r="BN32" s="555"/>
      <c r="BO32" s="555"/>
      <c r="BP32" s="555"/>
      <c r="BQ32" s="555"/>
      <c r="BR32" s="556"/>
      <c r="BS32" s="106"/>
      <c r="BT32" s="106"/>
      <c r="BU32" s="106"/>
      <c r="BV32" s="106"/>
      <c r="BW32" s="106"/>
      <c r="BX32" s="106"/>
    </row>
    <row r="33" spans="1:76" x14ac:dyDescent="0.2">
      <c r="A33" s="274" t="s">
        <v>4293</v>
      </c>
      <c r="B33" s="378" t="str">
        <f t="shared" si="20"/>
        <v/>
      </c>
      <c r="C33" s="110" t="str">
        <f>IF(NOT(ISERR(FIND($A33,VORTEILEGENE))),"x","")</f>
        <v/>
      </c>
      <c r="D33" s="983"/>
      <c r="E33" s="1524"/>
      <c r="F33" s="962"/>
      <c r="G33" s="326"/>
      <c r="H33" s="1739" t="str">
        <f t="shared" si="22"/>
        <v/>
      </c>
      <c r="I33" s="1740"/>
      <c r="J33" s="1740"/>
      <c r="K33" s="1740"/>
      <c r="L33" s="1740"/>
      <c r="M33" s="1741"/>
      <c r="N33" s="514" t="str">
        <f>IF(B33="","",SUM(B33,F33,G33))</f>
        <v/>
      </c>
      <c r="S33" s="246">
        <f t="shared" si="23"/>
        <v>0</v>
      </c>
      <c r="T33" s="212">
        <f t="shared" si="23"/>
        <v>0</v>
      </c>
      <c r="U33" s="212">
        <f t="shared" si="23"/>
        <v>0</v>
      </c>
      <c r="V33" s="212">
        <f t="shared" si="23"/>
        <v>0</v>
      </c>
      <c r="W33" s="212">
        <f t="shared" si="23"/>
        <v>0</v>
      </c>
      <c r="X33" s="212">
        <f t="shared" si="23"/>
        <v>0</v>
      </c>
      <c r="Y33" s="212">
        <f t="shared" si="23"/>
        <v>0</v>
      </c>
      <c r="Z33" s="212">
        <f t="shared" si="23"/>
        <v>0</v>
      </c>
      <c r="AA33" s="212">
        <f t="shared" si="23"/>
        <v>0</v>
      </c>
      <c r="AB33" s="212">
        <f t="shared" si="23"/>
        <v>0</v>
      </c>
      <c r="AC33" s="212">
        <f t="shared" si="24"/>
        <v>0</v>
      </c>
      <c r="AD33" s="212">
        <f t="shared" si="24"/>
        <v>0</v>
      </c>
      <c r="AE33" s="212">
        <f t="shared" si="24"/>
        <v>0</v>
      </c>
      <c r="AF33" s="212">
        <f t="shared" si="24"/>
        <v>0</v>
      </c>
      <c r="AG33" s="212">
        <f t="shared" si="24"/>
        <v>0</v>
      </c>
      <c r="AH33" s="212">
        <f t="shared" si="24"/>
        <v>0</v>
      </c>
      <c r="AI33" s="212">
        <f t="shared" si="24"/>
        <v>0</v>
      </c>
      <c r="AJ33" s="559">
        <f t="shared" si="24"/>
        <v>0</v>
      </c>
      <c r="AK33" s="200"/>
      <c r="AL33" s="246">
        <f t="shared" si="25"/>
        <v>0</v>
      </c>
      <c r="AM33" s="212">
        <f t="shared" si="25"/>
        <v>0</v>
      </c>
      <c r="AN33" s="212">
        <f t="shared" si="25"/>
        <v>0</v>
      </c>
      <c r="AO33" s="212">
        <f t="shared" si="25"/>
        <v>0</v>
      </c>
      <c r="AP33" s="212">
        <f t="shared" si="25"/>
        <v>0</v>
      </c>
      <c r="AQ33" s="212">
        <f t="shared" si="25"/>
        <v>0</v>
      </c>
      <c r="AR33" s="212">
        <f t="shared" si="25"/>
        <v>0</v>
      </c>
      <c r="AS33" s="212">
        <f t="shared" si="25"/>
        <v>0</v>
      </c>
      <c r="AT33" s="212">
        <f t="shared" si="25"/>
        <v>0</v>
      </c>
      <c r="AU33" s="212">
        <f t="shared" si="25"/>
        <v>0</v>
      </c>
      <c r="AV33" s="212">
        <f t="shared" si="26"/>
        <v>0</v>
      </c>
      <c r="AW33" s="212">
        <f t="shared" si="26"/>
        <v>0</v>
      </c>
      <c r="AX33" s="212">
        <f t="shared" si="26"/>
        <v>0</v>
      </c>
      <c r="AY33" s="212">
        <f t="shared" si="26"/>
        <v>0</v>
      </c>
      <c r="AZ33" s="212">
        <f t="shared" si="26"/>
        <v>0</v>
      </c>
      <c r="BA33" s="212">
        <f t="shared" si="26"/>
        <v>0</v>
      </c>
      <c r="BB33" s="212">
        <f t="shared" si="26"/>
        <v>0</v>
      </c>
      <c r="BC33" s="212">
        <f t="shared" si="26"/>
        <v>0</v>
      </c>
      <c r="BD33" s="212" t="str">
        <f>IF(NOT(EXACT($B33,"")),CONCATENATE($BD32,$BJ33),$BD32)</f>
        <v/>
      </c>
      <c r="BE33" s="113">
        <f t="shared" ref="BE33:BE44" si="28">IF(B33="",0,VALUE(B33))+IF(F33="",0,VALUE(F33))- IF(E33="",0,VALUE(E33))</f>
        <v>0</v>
      </c>
      <c r="BF33" s="113">
        <f t="shared" si="27"/>
        <v>0</v>
      </c>
      <c r="BG33" s="113">
        <f t="shared" ref="BG33:BG44" ca="1" si="29">IF(E33="",0,SUM(INDIRECT(
ADDRESS(ROW(),COLUMN($O33)+BE33+IF(BE33=0,0,1))
&amp;":"&amp;
ADDRESS(ROW(),COLUMN($AJ33))
)))</f>
        <v>0</v>
      </c>
      <c r="BH33" s="113" t="b">
        <f ca="1">IF(OR(AND(VT_BBILDUNG,NOT(ISERR(FIND($A33,Abfragen!$W$48)))),AND(VT_VETERAN,C33="x")),TRUE,FALSE)</f>
        <v>0</v>
      </c>
      <c r="BI33" s="113"/>
      <c r="BJ33" s="1056" t="str">
        <f ca="1">"Gefahreninstinkt [KL-IN-IN] ("&amp;KL&amp;"-"&amp;IN&amp;"-"&amp;IN&amp;")"</f>
        <v>Gefahreninstinkt [KL-IN-IN] (8-8-8)</v>
      </c>
      <c r="BK33" s="113"/>
      <c r="BL33" s="113"/>
      <c r="BM33" s="113"/>
      <c r="BN33" s="113"/>
      <c r="BO33" s="113"/>
      <c r="BP33" s="113"/>
      <c r="BQ33" s="113"/>
      <c r="BR33" s="558"/>
      <c r="BS33" s="106"/>
      <c r="BT33" s="106"/>
      <c r="BU33" s="106"/>
      <c r="BV33" s="106"/>
      <c r="BW33" s="106"/>
      <c r="BX33" s="106"/>
    </row>
    <row r="34" spans="1:76" x14ac:dyDescent="0.2">
      <c r="A34" s="274" t="s">
        <v>4154</v>
      </c>
      <c r="B34" s="378" t="str">
        <f t="shared" si="20"/>
        <v/>
      </c>
      <c r="C34" s="110" t="str">
        <f t="shared" si="21"/>
        <v/>
      </c>
      <c r="D34" s="983"/>
      <c r="E34" s="1524"/>
      <c r="F34" s="962"/>
      <c r="G34" s="326"/>
      <c r="H34" s="1739" t="str">
        <f t="shared" si="22"/>
        <v/>
      </c>
      <c r="I34" s="1740"/>
      <c r="J34" s="1740"/>
      <c r="K34" s="1740"/>
      <c r="L34" s="1740"/>
      <c r="M34" s="1741"/>
      <c r="N34" s="514" t="str">
        <f>IF(B34="","",SUM(B34,F34,G34))</f>
        <v/>
      </c>
      <c r="S34" s="246">
        <f t="shared" si="23"/>
        <v>0</v>
      </c>
      <c r="T34" s="212">
        <f t="shared" si="23"/>
        <v>0</v>
      </c>
      <c r="U34" s="212">
        <f t="shared" si="23"/>
        <v>0</v>
      </c>
      <c r="V34" s="212">
        <f t="shared" si="23"/>
        <v>0</v>
      </c>
      <c r="W34" s="212">
        <f t="shared" si="23"/>
        <v>0</v>
      </c>
      <c r="X34" s="212">
        <f t="shared" si="23"/>
        <v>0</v>
      </c>
      <c r="Y34" s="212">
        <f t="shared" si="23"/>
        <v>0</v>
      </c>
      <c r="Z34" s="212">
        <f t="shared" si="23"/>
        <v>0</v>
      </c>
      <c r="AA34" s="212">
        <f t="shared" si="23"/>
        <v>0</v>
      </c>
      <c r="AB34" s="212">
        <f t="shared" si="23"/>
        <v>0</v>
      </c>
      <c r="AC34" s="212">
        <f t="shared" si="24"/>
        <v>0</v>
      </c>
      <c r="AD34" s="212">
        <f t="shared" si="24"/>
        <v>0</v>
      </c>
      <c r="AE34" s="212">
        <f t="shared" si="24"/>
        <v>0</v>
      </c>
      <c r="AF34" s="212">
        <f t="shared" si="24"/>
        <v>0</v>
      </c>
      <c r="AG34" s="212">
        <f t="shared" si="24"/>
        <v>0</v>
      </c>
      <c r="AH34" s="212">
        <f t="shared" si="24"/>
        <v>0</v>
      </c>
      <c r="AI34" s="212">
        <f t="shared" si="24"/>
        <v>0</v>
      </c>
      <c r="AJ34" s="559">
        <f t="shared" si="24"/>
        <v>0</v>
      </c>
      <c r="AK34" s="200"/>
      <c r="AL34" s="246">
        <f t="shared" si="25"/>
        <v>0</v>
      </c>
      <c r="AM34" s="212">
        <f t="shared" si="25"/>
        <v>0</v>
      </c>
      <c r="AN34" s="212">
        <f t="shared" si="25"/>
        <v>0</v>
      </c>
      <c r="AO34" s="212">
        <f t="shared" si="25"/>
        <v>0</v>
      </c>
      <c r="AP34" s="212">
        <f t="shared" si="25"/>
        <v>0</v>
      </c>
      <c r="AQ34" s="212">
        <f t="shared" si="25"/>
        <v>0</v>
      </c>
      <c r="AR34" s="212">
        <f t="shared" si="25"/>
        <v>0</v>
      </c>
      <c r="AS34" s="212">
        <f t="shared" si="25"/>
        <v>0</v>
      </c>
      <c r="AT34" s="212">
        <f t="shared" si="25"/>
        <v>0</v>
      </c>
      <c r="AU34" s="212">
        <f t="shared" si="25"/>
        <v>0</v>
      </c>
      <c r="AV34" s="212">
        <f t="shared" si="26"/>
        <v>0</v>
      </c>
      <c r="AW34" s="212">
        <f t="shared" si="26"/>
        <v>0</v>
      </c>
      <c r="AX34" s="212">
        <f t="shared" si="26"/>
        <v>0</v>
      </c>
      <c r="AY34" s="212">
        <f t="shared" si="26"/>
        <v>0</v>
      </c>
      <c r="AZ34" s="212">
        <f t="shared" si="26"/>
        <v>0</v>
      </c>
      <c r="BA34" s="212">
        <f t="shared" si="26"/>
        <v>0</v>
      </c>
      <c r="BB34" s="212">
        <f t="shared" si="26"/>
        <v>0</v>
      </c>
      <c r="BC34" s="212">
        <f t="shared" si="26"/>
        <v>0</v>
      </c>
      <c r="BD34" s="212" t="str">
        <f t="shared" ref="BD34:BD44" si="30">IF(NOT(EXACT($B34,"")),CONCATENATE($BD33,$BJ34),$BD33)</f>
        <v/>
      </c>
      <c r="BE34" s="113">
        <f t="shared" si="28"/>
        <v>0</v>
      </c>
      <c r="BF34" s="113">
        <f t="shared" si="27"/>
        <v>0</v>
      </c>
      <c r="BG34" s="113">
        <f t="shared" ca="1" si="29"/>
        <v>0</v>
      </c>
      <c r="BH34" s="113" t="b">
        <f ca="1">IF(OR(AND(VT_BBILDUNG,NOT(ISERR(FIND($A34,Abfragen!$W$48)))),AND(VT_VETERAN,C34="x")),TRUE,FALSE)</f>
        <v>0</v>
      </c>
      <c r="BI34" s="113"/>
      <c r="BJ34" s="1056" t="str">
        <f ca="1">"Geräuschhexerei [IN-CH-KO] ("&amp;IN&amp;"-"&amp;CH&amp;"-"&amp;KO&amp;")"</f>
        <v>Geräuschhexerei [IN-CH-KO] (8-8-8)</v>
      </c>
      <c r="BK34" s="113"/>
      <c r="BL34" s="113"/>
      <c r="BM34" s="113"/>
      <c r="BN34" s="113"/>
      <c r="BO34" s="113"/>
      <c r="BP34" s="113"/>
      <c r="BQ34" s="113"/>
      <c r="BR34" s="558"/>
      <c r="BS34" s="106"/>
      <c r="BT34" s="106"/>
      <c r="BU34" s="106"/>
      <c r="BV34" s="106"/>
      <c r="BW34" s="106"/>
      <c r="BX34" s="106"/>
    </row>
    <row r="35" spans="1:76" x14ac:dyDescent="0.2">
      <c r="A35" s="274" t="str">
        <f ca="1">"Kräfteschub "&amp;IF(BQ35="","ZZ nicht aktiviert",BQ35)</f>
        <v>Kräfteschub ZZ nicht aktiviert</v>
      </c>
      <c r="B35" s="378" t="str">
        <f t="shared" ca="1" si="20"/>
        <v/>
      </c>
      <c r="C35" s="110" t="str">
        <f t="shared" ca="1" si="21"/>
        <v/>
      </c>
      <c r="D35" s="983"/>
      <c r="E35" s="1524"/>
      <c r="F35" s="962"/>
      <c r="G35" s="326"/>
      <c r="H35" s="1739" t="str">
        <f t="shared" ca="1" si="22"/>
        <v/>
      </c>
      <c r="I35" s="1740"/>
      <c r="J35" s="1740"/>
      <c r="K35" s="1740"/>
      <c r="L35" s="1740"/>
      <c r="M35" s="1741"/>
      <c r="N35" s="514"/>
      <c r="S35" s="246">
        <f t="shared" ca="1" si="23"/>
        <v>0</v>
      </c>
      <c r="T35" s="212">
        <f t="shared" ca="1" si="23"/>
        <v>0</v>
      </c>
      <c r="U35" s="212">
        <f t="shared" ca="1" si="23"/>
        <v>0</v>
      </c>
      <c r="V35" s="212">
        <f t="shared" ca="1" si="23"/>
        <v>0</v>
      </c>
      <c r="W35" s="212">
        <f t="shared" ca="1" si="23"/>
        <v>0</v>
      </c>
      <c r="X35" s="212">
        <f t="shared" ca="1" si="23"/>
        <v>0</v>
      </c>
      <c r="Y35" s="212">
        <f t="shared" ca="1" si="23"/>
        <v>0</v>
      </c>
      <c r="Z35" s="212">
        <f t="shared" ca="1" si="23"/>
        <v>0</v>
      </c>
      <c r="AA35" s="212">
        <f t="shared" ca="1" si="23"/>
        <v>0</v>
      </c>
      <c r="AB35" s="212">
        <f t="shared" ca="1" si="23"/>
        <v>0</v>
      </c>
      <c r="AC35" s="212">
        <f t="shared" ca="1" si="24"/>
        <v>0</v>
      </c>
      <c r="AD35" s="212">
        <f t="shared" ca="1" si="24"/>
        <v>0</v>
      </c>
      <c r="AE35" s="212">
        <f t="shared" ca="1" si="24"/>
        <v>0</v>
      </c>
      <c r="AF35" s="212">
        <f t="shared" ca="1" si="24"/>
        <v>0</v>
      </c>
      <c r="AG35" s="212">
        <f t="shared" ca="1" si="24"/>
        <v>0</v>
      </c>
      <c r="AH35" s="212">
        <f t="shared" ca="1" si="24"/>
        <v>0</v>
      </c>
      <c r="AI35" s="212">
        <f t="shared" ca="1" si="24"/>
        <v>0</v>
      </c>
      <c r="AJ35" s="559">
        <f t="shared" ca="1" si="24"/>
        <v>0</v>
      </c>
      <c r="AK35" s="200"/>
      <c r="AL35" s="246">
        <f t="shared" ca="1" si="25"/>
        <v>0</v>
      </c>
      <c r="AM35" s="212">
        <f t="shared" ca="1" si="25"/>
        <v>0</v>
      </c>
      <c r="AN35" s="212">
        <f t="shared" ca="1" si="25"/>
        <v>0</v>
      </c>
      <c r="AO35" s="212">
        <f t="shared" ca="1" si="25"/>
        <v>0</v>
      </c>
      <c r="AP35" s="212">
        <f t="shared" ca="1" si="25"/>
        <v>0</v>
      </c>
      <c r="AQ35" s="212">
        <f t="shared" ca="1" si="25"/>
        <v>0</v>
      </c>
      <c r="AR35" s="212">
        <f t="shared" ca="1" si="25"/>
        <v>0</v>
      </c>
      <c r="AS35" s="212">
        <f t="shared" ca="1" si="25"/>
        <v>0</v>
      </c>
      <c r="AT35" s="212">
        <f t="shared" ca="1" si="25"/>
        <v>0</v>
      </c>
      <c r="AU35" s="212">
        <f t="shared" ca="1" si="25"/>
        <v>0</v>
      </c>
      <c r="AV35" s="212">
        <f t="shared" ca="1" si="26"/>
        <v>0</v>
      </c>
      <c r="AW35" s="212">
        <f t="shared" ca="1" si="26"/>
        <v>0</v>
      </c>
      <c r="AX35" s="212">
        <f t="shared" ca="1" si="26"/>
        <v>0</v>
      </c>
      <c r="AY35" s="212">
        <f t="shared" ca="1" si="26"/>
        <v>0</v>
      </c>
      <c r="AZ35" s="212">
        <f t="shared" ca="1" si="26"/>
        <v>0</v>
      </c>
      <c r="BA35" s="212">
        <f t="shared" ca="1" si="26"/>
        <v>0</v>
      </c>
      <c r="BB35" s="212">
        <f t="shared" ca="1" si="26"/>
        <v>0</v>
      </c>
      <c r="BC35" s="212">
        <f t="shared" ca="1" si="26"/>
        <v>0</v>
      </c>
      <c r="BD35" s="212" t="str">
        <f t="shared" ca="1" si="30"/>
        <v/>
      </c>
      <c r="BE35" s="113">
        <f t="shared" ca="1" si="28"/>
        <v>0</v>
      </c>
      <c r="BF35" s="113">
        <f t="shared" ca="1" si="27"/>
        <v>0</v>
      </c>
      <c r="BG35" s="113">
        <f t="shared" ca="1" si="29"/>
        <v>0</v>
      </c>
      <c r="BH35" s="113" t="b">
        <f ca="1">IF(OR(AND(VT_BBILDUNG,NOT(ISERR(FIND($A35,Abfragen!$W$48)))),AND(VT_VETERAN,C35="x")),TRUE,FALSE)</f>
        <v>0</v>
      </c>
      <c r="BI35" s="113"/>
      <c r="BJ35" s="1056" t="str">
        <f ca="1">A35&amp;" [MU-IN-KO] ("&amp;MU&amp;"-"&amp;IN&amp;"-"&amp;KO&amp;")"</f>
        <v>Kräfteschub ZZ nicht aktiviert [MU-IN-KO] (8-8-8)</v>
      </c>
      <c r="BK35" s="113"/>
      <c r="BL35" s="113"/>
      <c r="BM35" s="113"/>
      <c r="BN35" s="113"/>
      <c r="BO35" s="113"/>
      <c r="BP35" s="113"/>
      <c r="BQ35" s="1056" t="str">
        <f ca="1">IF(VT_KRÄFTESCHUB_WERT="","",LEFT(VT_KRÄFTESCHUB_WERT,2))</f>
        <v/>
      </c>
      <c r="BR35" s="558"/>
      <c r="BS35" s="106"/>
      <c r="BT35" s="106"/>
      <c r="BU35" s="106"/>
      <c r="BV35" s="106"/>
      <c r="BW35" s="106"/>
      <c r="BX35" s="106"/>
    </row>
    <row r="36" spans="1:76" x14ac:dyDescent="0.2">
      <c r="A36" s="274" t="str">
        <f ca="1">"Kräfteschub "&amp;IF(BQ36="","ZZ nicht aktiviert",BQ36)</f>
        <v>Kräfteschub ZZ nicht aktiviert</v>
      </c>
      <c r="B36" s="378" t="str">
        <f t="shared" ca="1" si="20"/>
        <v/>
      </c>
      <c r="C36" s="110" t="str">
        <f t="shared" ca="1" si="21"/>
        <v/>
      </c>
      <c r="D36" s="983"/>
      <c r="E36" s="1524"/>
      <c r="F36" s="962"/>
      <c r="G36" s="326"/>
      <c r="H36" s="1739" t="str">
        <f t="shared" ca="1" si="22"/>
        <v/>
      </c>
      <c r="I36" s="1740"/>
      <c r="J36" s="1740"/>
      <c r="K36" s="1740"/>
      <c r="L36" s="1740"/>
      <c r="M36" s="1741"/>
      <c r="N36" s="514"/>
      <c r="S36" s="246">
        <f t="shared" ca="1" si="23"/>
        <v>0</v>
      </c>
      <c r="T36" s="212">
        <f t="shared" ca="1" si="23"/>
        <v>0</v>
      </c>
      <c r="U36" s="212">
        <f t="shared" ca="1" si="23"/>
        <v>0</v>
      </c>
      <c r="V36" s="212">
        <f t="shared" ca="1" si="23"/>
        <v>0</v>
      </c>
      <c r="W36" s="212">
        <f t="shared" ca="1" si="23"/>
        <v>0</v>
      </c>
      <c r="X36" s="212">
        <f t="shared" ca="1" si="23"/>
        <v>0</v>
      </c>
      <c r="Y36" s="212">
        <f t="shared" ca="1" si="23"/>
        <v>0</v>
      </c>
      <c r="Z36" s="212">
        <f t="shared" ca="1" si="23"/>
        <v>0</v>
      </c>
      <c r="AA36" s="212">
        <f t="shared" ca="1" si="23"/>
        <v>0</v>
      </c>
      <c r="AB36" s="212">
        <f t="shared" ca="1" si="23"/>
        <v>0</v>
      </c>
      <c r="AC36" s="212">
        <f t="shared" ca="1" si="24"/>
        <v>0</v>
      </c>
      <c r="AD36" s="212">
        <f t="shared" ca="1" si="24"/>
        <v>0</v>
      </c>
      <c r="AE36" s="212">
        <f t="shared" ca="1" si="24"/>
        <v>0</v>
      </c>
      <c r="AF36" s="212">
        <f t="shared" ca="1" si="24"/>
        <v>0</v>
      </c>
      <c r="AG36" s="212">
        <f t="shared" ca="1" si="24"/>
        <v>0</v>
      </c>
      <c r="AH36" s="212">
        <f t="shared" ca="1" si="24"/>
        <v>0</v>
      </c>
      <c r="AI36" s="212">
        <f t="shared" ca="1" si="24"/>
        <v>0</v>
      </c>
      <c r="AJ36" s="559">
        <f t="shared" ca="1" si="24"/>
        <v>0</v>
      </c>
      <c r="AK36" s="200"/>
      <c r="AL36" s="246">
        <f t="shared" ca="1" si="25"/>
        <v>0</v>
      </c>
      <c r="AM36" s="212">
        <f t="shared" ca="1" si="25"/>
        <v>0</v>
      </c>
      <c r="AN36" s="212">
        <f t="shared" ca="1" si="25"/>
        <v>0</v>
      </c>
      <c r="AO36" s="212">
        <f t="shared" ca="1" si="25"/>
        <v>0</v>
      </c>
      <c r="AP36" s="212">
        <f t="shared" ca="1" si="25"/>
        <v>0</v>
      </c>
      <c r="AQ36" s="212">
        <f t="shared" ca="1" si="25"/>
        <v>0</v>
      </c>
      <c r="AR36" s="212">
        <f t="shared" ca="1" si="25"/>
        <v>0</v>
      </c>
      <c r="AS36" s="212">
        <f t="shared" ca="1" si="25"/>
        <v>0</v>
      </c>
      <c r="AT36" s="212">
        <f t="shared" ca="1" si="25"/>
        <v>0</v>
      </c>
      <c r="AU36" s="212">
        <f t="shared" ca="1" si="25"/>
        <v>0</v>
      </c>
      <c r="AV36" s="212">
        <f t="shared" ca="1" si="26"/>
        <v>0</v>
      </c>
      <c r="AW36" s="212">
        <f t="shared" ca="1" si="26"/>
        <v>0</v>
      </c>
      <c r="AX36" s="212">
        <f t="shared" ca="1" si="26"/>
        <v>0</v>
      </c>
      <c r="AY36" s="212">
        <f t="shared" ca="1" si="26"/>
        <v>0</v>
      </c>
      <c r="AZ36" s="212">
        <f t="shared" ca="1" si="26"/>
        <v>0</v>
      </c>
      <c r="BA36" s="212">
        <f t="shared" ca="1" si="26"/>
        <v>0</v>
      </c>
      <c r="BB36" s="212">
        <f t="shared" ca="1" si="26"/>
        <v>0</v>
      </c>
      <c r="BC36" s="212">
        <f t="shared" ca="1" si="26"/>
        <v>0</v>
      </c>
      <c r="BD36" s="212" t="str">
        <f t="shared" ca="1" si="30"/>
        <v/>
      </c>
      <c r="BE36" s="113">
        <f t="shared" ca="1" si="28"/>
        <v>0</v>
      </c>
      <c r="BF36" s="113">
        <f t="shared" ca="1" si="27"/>
        <v>0</v>
      </c>
      <c r="BG36" s="113">
        <f t="shared" ca="1" si="29"/>
        <v>0</v>
      </c>
      <c r="BH36" s="113" t="b">
        <f ca="1">IF(OR(AND(VT_BBILDUNG,NOT(ISERR(FIND($A36,Abfragen!$W$48)))),AND(VT_VETERAN,C36="x")),TRUE,FALSE)</f>
        <v>0</v>
      </c>
      <c r="BI36" s="113"/>
      <c r="BJ36" s="1056" t="str">
        <f ca="1">A36&amp;" [MU-IN-KO] ("&amp;MU&amp;"-"&amp;IN&amp;"-"&amp;KO&amp;")"</f>
        <v>Kräfteschub ZZ nicht aktiviert [MU-IN-KO] (8-8-8)</v>
      </c>
      <c r="BK36" s="113"/>
      <c r="BL36" s="113"/>
      <c r="BM36" s="113"/>
      <c r="BN36" s="113"/>
      <c r="BO36" s="113"/>
      <c r="BP36" s="113"/>
      <c r="BQ36" s="1056" t="str">
        <f ca="1">IF(LEN(VT_KRÄFTESCHUB_WERT)&gt;3,MID(VT_KRÄFTESCHUB_WERT,4,2),"")</f>
        <v/>
      </c>
      <c r="BR36" s="558"/>
      <c r="BS36" s="106"/>
      <c r="BT36" s="106"/>
      <c r="BU36" s="106"/>
      <c r="BV36" s="106"/>
      <c r="BW36" s="106"/>
      <c r="BX36" s="106"/>
    </row>
    <row r="37" spans="1:76" x14ac:dyDescent="0.2">
      <c r="A37" s="274" t="str">
        <f ca="1">"Kräfteschub "&amp;IF(BQ37="","ZZ nicht aktiviert",BQ37)</f>
        <v>Kräfteschub ZZ nicht aktiviert</v>
      </c>
      <c r="B37" s="378" t="str">
        <f t="shared" ca="1" si="20"/>
        <v/>
      </c>
      <c r="C37" s="110" t="str">
        <f t="shared" ca="1" si="21"/>
        <v/>
      </c>
      <c r="D37" s="983"/>
      <c r="E37" s="1524"/>
      <c r="F37" s="962"/>
      <c r="G37" s="326"/>
      <c r="H37" s="1739" t="str">
        <f t="shared" ca="1" si="22"/>
        <v/>
      </c>
      <c r="I37" s="1740"/>
      <c r="J37" s="1740"/>
      <c r="K37" s="1740"/>
      <c r="L37" s="1740"/>
      <c r="M37" s="1741"/>
      <c r="N37" s="514"/>
      <c r="S37" s="246">
        <f t="shared" ca="1" si="23"/>
        <v>0</v>
      </c>
      <c r="T37" s="212">
        <f t="shared" ca="1" si="23"/>
        <v>0</v>
      </c>
      <c r="U37" s="212">
        <f t="shared" ca="1" si="23"/>
        <v>0</v>
      </c>
      <c r="V37" s="212">
        <f t="shared" ca="1" si="23"/>
        <v>0</v>
      </c>
      <c r="W37" s="212">
        <f t="shared" ca="1" si="23"/>
        <v>0</v>
      </c>
      <c r="X37" s="212">
        <f t="shared" ca="1" si="23"/>
        <v>0</v>
      </c>
      <c r="Y37" s="212">
        <f t="shared" ca="1" si="23"/>
        <v>0</v>
      </c>
      <c r="Z37" s="212">
        <f t="shared" ca="1" si="23"/>
        <v>0</v>
      </c>
      <c r="AA37" s="212">
        <f t="shared" ca="1" si="23"/>
        <v>0</v>
      </c>
      <c r="AB37" s="212">
        <f t="shared" ca="1" si="23"/>
        <v>0</v>
      </c>
      <c r="AC37" s="212">
        <f t="shared" ca="1" si="24"/>
        <v>0</v>
      </c>
      <c r="AD37" s="212">
        <f t="shared" ca="1" si="24"/>
        <v>0</v>
      </c>
      <c r="AE37" s="212">
        <f t="shared" ca="1" si="24"/>
        <v>0</v>
      </c>
      <c r="AF37" s="212">
        <f t="shared" ca="1" si="24"/>
        <v>0</v>
      </c>
      <c r="AG37" s="212">
        <f t="shared" ca="1" si="24"/>
        <v>0</v>
      </c>
      <c r="AH37" s="212">
        <f t="shared" ca="1" si="24"/>
        <v>0</v>
      </c>
      <c r="AI37" s="212">
        <f t="shared" ca="1" si="24"/>
        <v>0</v>
      </c>
      <c r="AJ37" s="559">
        <f t="shared" ca="1" si="24"/>
        <v>0</v>
      </c>
      <c r="AK37" s="200"/>
      <c r="AL37" s="246">
        <f t="shared" ca="1" si="25"/>
        <v>0</v>
      </c>
      <c r="AM37" s="212">
        <f t="shared" ca="1" si="25"/>
        <v>0</v>
      </c>
      <c r="AN37" s="212">
        <f t="shared" ca="1" si="25"/>
        <v>0</v>
      </c>
      <c r="AO37" s="212">
        <f t="shared" ca="1" si="25"/>
        <v>0</v>
      </c>
      <c r="AP37" s="212">
        <f t="shared" ca="1" si="25"/>
        <v>0</v>
      </c>
      <c r="AQ37" s="212">
        <f t="shared" ca="1" si="25"/>
        <v>0</v>
      </c>
      <c r="AR37" s="212">
        <f t="shared" ca="1" si="25"/>
        <v>0</v>
      </c>
      <c r="AS37" s="212">
        <f t="shared" ca="1" si="25"/>
        <v>0</v>
      </c>
      <c r="AT37" s="212">
        <f t="shared" ca="1" si="25"/>
        <v>0</v>
      </c>
      <c r="AU37" s="212">
        <f t="shared" ca="1" si="25"/>
        <v>0</v>
      </c>
      <c r="AV37" s="212">
        <f t="shared" ca="1" si="26"/>
        <v>0</v>
      </c>
      <c r="AW37" s="212">
        <f t="shared" ca="1" si="26"/>
        <v>0</v>
      </c>
      <c r="AX37" s="212">
        <f t="shared" ca="1" si="26"/>
        <v>0</v>
      </c>
      <c r="AY37" s="212">
        <f t="shared" ca="1" si="26"/>
        <v>0</v>
      </c>
      <c r="AZ37" s="212">
        <f t="shared" ca="1" si="26"/>
        <v>0</v>
      </c>
      <c r="BA37" s="212">
        <f t="shared" ca="1" si="26"/>
        <v>0</v>
      </c>
      <c r="BB37" s="212">
        <f t="shared" ca="1" si="26"/>
        <v>0</v>
      </c>
      <c r="BC37" s="212">
        <f t="shared" ca="1" si="26"/>
        <v>0</v>
      </c>
      <c r="BD37" s="212" t="str">
        <f t="shared" ca="1" si="30"/>
        <v/>
      </c>
      <c r="BE37" s="113">
        <f t="shared" ca="1" si="28"/>
        <v>0</v>
      </c>
      <c r="BF37" s="113">
        <f t="shared" ca="1" si="27"/>
        <v>0</v>
      </c>
      <c r="BG37" s="113">
        <f t="shared" ca="1" si="29"/>
        <v>0</v>
      </c>
      <c r="BH37" s="113" t="b">
        <f ca="1">IF(OR(AND(VT_BBILDUNG,NOT(ISERR(FIND($A37,Abfragen!$W$48)))),AND(VT_VETERAN,C37="x")),TRUE,FALSE)</f>
        <v>0</v>
      </c>
      <c r="BI37" s="113"/>
      <c r="BJ37" s="1056" t="str">
        <f ca="1">A37&amp;" [MU-IN-KO] ("&amp;MU&amp;"-"&amp;IN&amp;"-"&amp;KO&amp;")"</f>
        <v>Kräfteschub ZZ nicht aktiviert [MU-IN-KO] (8-8-8)</v>
      </c>
      <c r="BK37" s="113"/>
      <c r="BL37" s="113"/>
      <c r="BM37" s="113"/>
      <c r="BN37" s="113"/>
      <c r="BO37" s="113"/>
      <c r="BP37" s="113"/>
      <c r="BQ37" s="1056" t="str">
        <f ca="1">IF(LEN(VT_KRÄFTESCHUB_WERT)&gt;6,MID(VT_KRÄFTESCHUB_WERT,7,2),"")</f>
        <v/>
      </c>
      <c r="BR37" s="558"/>
      <c r="BS37" s="106"/>
      <c r="BT37" s="106"/>
      <c r="BU37" s="106"/>
      <c r="BV37" s="106"/>
      <c r="BW37" s="106"/>
      <c r="BX37" s="106"/>
    </row>
    <row r="38" spans="1:76" x14ac:dyDescent="0.2">
      <c r="A38" s="274" t="s">
        <v>4442</v>
      </c>
      <c r="B38" s="378" t="str">
        <f t="shared" si="20"/>
        <v/>
      </c>
      <c r="C38" s="110" t="str">
        <f t="shared" si="21"/>
        <v/>
      </c>
      <c r="D38" s="983"/>
      <c r="E38" s="1524"/>
      <c r="F38" s="962"/>
      <c r="G38" s="326"/>
      <c r="H38" s="1739" t="str">
        <f t="shared" si="22"/>
        <v/>
      </c>
      <c r="I38" s="1740"/>
      <c r="J38" s="1740"/>
      <c r="K38" s="1740"/>
      <c r="L38" s="1740"/>
      <c r="M38" s="1741"/>
      <c r="N38" s="514" t="str">
        <f>IF(B38="","",SUM(B38,F38,G38))</f>
        <v/>
      </c>
      <c r="S38" s="246">
        <f t="shared" si="23"/>
        <v>0</v>
      </c>
      <c r="T38" s="212">
        <f t="shared" si="23"/>
        <v>0</v>
      </c>
      <c r="U38" s="212">
        <f t="shared" si="23"/>
        <v>0</v>
      </c>
      <c r="V38" s="212">
        <f t="shared" si="23"/>
        <v>0</v>
      </c>
      <c r="W38" s="212">
        <f t="shared" si="23"/>
        <v>0</v>
      </c>
      <c r="X38" s="212">
        <f t="shared" si="23"/>
        <v>0</v>
      </c>
      <c r="Y38" s="212">
        <f t="shared" si="23"/>
        <v>0</v>
      </c>
      <c r="Z38" s="212">
        <f t="shared" si="23"/>
        <v>0</v>
      </c>
      <c r="AA38" s="212">
        <f t="shared" si="23"/>
        <v>0</v>
      </c>
      <c r="AB38" s="212">
        <f t="shared" si="23"/>
        <v>0</v>
      </c>
      <c r="AC38" s="212">
        <f t="shared" si="24"/>
        <v>0</v>
      </c>
      <c r="AD38" s="212">
        <f t="shared" si="24"/>
        <v>0</v>
      </c>
      <c r="AE38" s="212">
        <f t="shared" si="24"/>
        <v>0</v>
      </c>
      <c r="AF38" s="212">
        <f t="shared" si="24"/>
        <v>0</v>
      </c>
      <c r="AG38" s="212">
        <f t="shared" si="24"/>
        <v>0</v>
      </c>
      <c r="AH38" s="212">
        <f t="shared" si="24"/>
        <v>0</v>
      </c>
      <c r="AI38" s="212">
        <f t="shared" si="24"/>
        <v>0</v>
      </c>
      <c r="AJ38" s="559">
        <f t="shared" si="24"/>
        <v>0</v>
      </c>
      <c r="AK38" s="200"/>
      <c r="AL38" s="246">
        <f t="shared" si="25"/>
        <v>0</v>
      </c>
      <c r="AM38" s="212">
        <f t="shared" si="25"/>
        <v>0</v>
      </c>
      <c r="AN38" s="212">
        <f t="shared" si="25"/>
        <v>0</v>
      </c>
      <c r="AO38" s="212">
        <f t="shared" si="25"/>
        <v>0</v>
      </c>
      <c r="AP38" s="212">
        <f t="shared" si="25"/>
        <v>0</v>
      </c>
      <c r="AQ38" s="212">
        <f t="shared" si="25"/>
        <v>0</v>
      </c>
      <c r="AR38" s="212">
        <f t="shared" si="25"/>
        <v>0</v>
      </c>
      <c r="AS38" s="212">
        <f t="shared" si="25"/>
        <v>0</v>
      </c>
      <c r="AT38" s="212">
        <f t="shared" si="25"/>
        <v>0</v>
      </c>
      <c r="AU38" s="212">
        <f t="shared" si="25"/>
        <v>0</v>
      </c>
      <c r="AV38" s="212">
        <f t="shared" si="26"/>
        <v>0</v>
      </c>
      <c r="AW38" s="212">
        <f t="shared" si="26"/>
        <v>0</v>
      </c>
      <c r="AX38" s="212">
        <f t="shared" si="26"/>
        <v>0</v>
      </c>
      <c r="AY38" s="212">
        <f t="shared" si="26"/>
        <v>0</v>
      </c>
      <c r="AZ38" s="212">
        <f t="shared" si="26"/>
        <v>0</v>
      </c>
      <c r="BA38" s="212">
        <f t="shared" si="26"/>
        <v>0</v>
      </c>
      <c r="BB38" s="212">
        <f t="shared" si="26"/>
        <v>0</v>
      </c>
      <c r="BC38" s="212">
        <f t="shared" si="26"/>
        <v>0</v>
      </c>
      <c r="BD38" s="212" t="str">
        <f t="shared" ca="1" si="30"/>
        <v/>
      </c>
      <c r="BE38" s="113">
        <f t="shared" si="28"/>
        <v>0</v>
      </c>
      <c r="BF38" s="113">
        <f t="shared" si="27"/>
        <v>0</v>
      </c>
      <c r="BG38" s="113">
        <f t="shared" ca="1" si="29"/>
        <v>0</v>
      </c>
      <c r="BH38" s="113" t="b">
        <f ca="1">IF(OR(AND(VT_BBILDUNG,NOT(ISERR(FIND($A38,Abfragen!$W$48)))),AND(VT_VETERAN,C38="x")),TRUE,FALSE)</f>
        <v>0</v>
      </c>
      <c r="BI38" s="113"/>
      <c r="BJ38" s="1056" t="str">
        <f ca="1">"Magiegespür [MU-IN-IN] ("&amp;MU&amp;"-"&amp;IN&amp;"-"&amp;IN&amp;")"</f>
        <v>Magiegespür [MU-IN-IN] (8-8-8)</v>
      </c>
      <c r="BK38" s="113"/>
      <c r="BL38" s="113"/>
      <c r="BM38" s="113"/>
      <c r="BN38" s="113"/>
      <c r="BO38" s="113"/>
      <c r="BP38" s="113"/>
      <c r="BQ38" s="113"/>
      <c r="BR38" s="558"/>
      <c r="BS38" s="106"/>
      <c r="BT38" s="106"/>
      <c r="BU38" s="106"/>
      <c r="BV38" s="106"/>
      <c r="BW38" s="106"/>
      <c r="BX38" s="106"/>
    </row>
    <row r="39" spans="1:76" x14ac:dyDescent="0.2">
      <c r="A39" s="274" t="s">
        <v>3989</v>
      </c>
      <c r="B39" s="378" t="str">
        <f t="shared" si="20"/>
        <v/>
      </c>
      <c r="C39" s="110" t="str">
        <f t="shared" si="21"/>
        <v/>
      </c>
      <c r="D39" s="983"/>
      <c r="E39" s="1524"/>
      <c r="F39" s="962"/>
      <c r="G39" s="326"/>
      <c r="H39" s="1739" t="str">
        <f t="shared" si="22"/>
        <v/>
      </c>
      <c r="I39" s="1740"/>
      <c r="J39" s="1740"/>
      <c r="K39" s="1740"/>
      <c r="L39" s="1740"/>
      <c r="M39" s="1741"/>
      <c r="N39" s="514" t="str">
        <f>IF(B39="","",SUM(B39,F39,G39))</f>
        <v/>
      </c>
      <c r="S39" s="246">
        <f t="shared" si="23"/>
        <v>0</v>
      </c>
      <c r="T39" s="212">
        <f t="shared" si="23"/>
        <v>0</v>
      </c>
      <c r="U39" s="212">
        <f t="shared" si="23"/>
        <v>0</v>
      </c>
      <c r="V39" s="212">
        <f t="shared" si="23"/>
        <v>0</v>
      </c>
      <c r="W39" s="212">
        <f t="shared" si="23"/>
        <v>0</v>
      </c>
      <c r="X39" s="212">
        <f t="shared" si="23"/>
        <v>0</v>
      </c>
      <c r="Y39" s="212">
        <f t="shared" si="23"/>
        <v>0</v>
      </c>
      <c r="Z39" s="212">
        <f t="shared" si="23"/>
        <v>0</v>
      </c>
      <c r="AA39" s="212">
        <f t="shared" si="23"/>
        <v>0</v>
      </c>
      <c r="AB39" s="212">
        <f t="shared" si="23"/>
        <v>0</v>
      </c>
      <c r="AC39" s="212">
        <f t="shared" si="24"/>
        <v>0</v>
      </c>
      <c r="AD39" s="212">
        <f t="shared" si="24"/>
        <v>0</v>
      </c>
      <c r="AE39" s="212">
        <f t="shared" si="24"/>
        <v>0</v>
      </c>
      <c r="AF39" s="212">
        <f t="shared" si="24"/>
        <v>0</v>
      </c>
      <c r="AG39" s="212">
        <f t="shared" si="24"/>
        <v>0</v>
      </c>
      <c r="AH39" s="212">
        <f t="shared" si="24"/>
        <v>0</v>
      </c>
      <c r="AI39" s="212">
        <f t="shared" si="24"/>
        <v>0</v>
      </c>
      <c r="AJ39" s="559">
        <f t="shared" si="24"/>
        <v>0</v>
      </c>
      <c r="AK39" s="200"/>
      <c r="AL39" s="246">
        <f t="shared" si="25"/>
        <v>0</v>
      </c>
      <c r="AM39" s="212">
        <f t="shared" si="25"/>
        <v>0</v>
      </c>
      <c r="AN39" s="212">
        <f t="shared" si="25"/>
        <v>0</v>
      </c>
      <c r="AO39" s="212">
        <f t="shared" si="25"/>
        <v>0</v>
      </c>
      <c r="AP39" s="212">
        <f t="shared" si="25"/>
        <v>0</v>
      </c>
      <c r="AQ39" s="212">
        <f t="shared" si="25"/>
        <v>0</v>
      </c>
      <c r="AR39" s="212">
        <f t="shared" si="25"/>
        <v>0</v>
      </c>
      <c r="AS39" s="212">
        <f t="shared" si="25"/>
        <v>0</v>
      </c>
      <c r="AT39" s="212">
        <f t="shared" si="25"/>
        <v>0</v>
      </c>
      <c r="AU39" s="212">
        <f t="shared" si="25"/>
        <v>0</v>
      </c>
      <c r="AV39" s="212">
        <f t="shared" si="26"/>
        <v>0</v>
      </c>
      <c r="AW39" s="212">
        <f t="shared" si="26"/>
        <v>0</v>
      </c>
      <c r="AX39" s="212">
        <f t="shared" si="26"/>
        <v>0</v>
      </c>
      <c r="AY39" s="212">
        <f t="shared" si="26"/>
        <v>0</v>
      </c>
      <c r="AZ39" s="212">
        <f t="shared" si="26"/>
        <v>0</v>
      </c>
      <c r="BA39" s="212">
        <f t="shared" si="26"/>
        <v>0</v>
      </c>
      <c r="BB39" s="212">
        <f t="shared" si="26"/>
        <v>0</v>
      </c>
      <c r="BC39" s="212">
        <f t="shared" si="26"/>
        <v>0</v>
      </c>
      <c r="BD39" s="212" t="str">
        <f t="shared" ca="1" si="30"/>
        <v/>
      </c>
      <c r="BE39" s="113">
        <f t="shared" si="28"/>
        <v>0</v>
      </c>
      <c r="BF39" s="113">
        <f t="shared" si="27"/>
        <v>0</v>
      </c>
      <c r="BG39" s="113">
        <f t="shared" ca="1" si="29"/>
        <v>0</v>
      </c>
      <c r="BH39" s="113" t="b">
        <f ca="1">IF(OR(AND(VT_BBILDUNG,NOT(ISERR(FIND($A39,Abfragen!$W$48)))),AND(VT_VETERAN,C39="x")),TRUE,FALSE)</f>
        <v>0</v>
      </c>
      <c r="BI39" s="113"/>
      <c r="BJ39" s="1056" t="str">
        <f ca="1">"Prophezeien [IN-IN-CH] ("&amp;IN&amp;"-"&amp;IN&amp;"-"&amp;CH&amp;")"</f>
        <v>Prophezeien [IN-IN-CH] (8-8-8)</v>
      </c>
      <c r="BK39" s="113"/>
      <c r="BL39" s="113"/>
      <c r="BM39" s="113"/>
      <c r="BN39" s="113"/>
      <c r="BO39" s="113"/>
      <c r="BP39" s="113"/>
      <c r="BQ39" s="113"/>
      <c r="BR39" s="558"/>
      <c r="BS39" s="106"/>
      <c r="BT39" s="106"/>
      <c r="BU39" s="106"/>
      <c r="BV39" s="106"/>
      <c r="BW39" s="106"/>
      <c r="BX39" s="106"/>
    </row>
    <row r="40" spans="1:76" x14ac:dyDescent="0.2">
      <c r="A40" s="274" t="str">
        <f ca="1">"Talentschub "&amp;IF(BQ40="","ZZ nicht aktiviert",BQ40)</f>
        <v>Talentschub ZZ nicht aktiviert</v>
      </c>
      <c r="B40" s="378" t="str">
        <f t="shared" ca="1" si="20"/>
        <v/>
      </c>
      <c r="C40" s="110" t="str">
        <f t="shared" ca="1" si="21"/>
        <v/>
      </c>
      <c r="D40" s="983"/>
      <c r="E40" s="1524"/>
      <c r="F40" s="962"/>
      <c r="G40" s="326"/>
      <c r="H40" s="1739" t="str">
        <f t="shared" ca="1" si="22"/>
        <v/>
      </c>
      <c r="I40" s="1740"/>
      <c r="J40" s="1740"/>
      <c r="K40" s="1740"/>
      <c r="L40" s="1740"/>
      <c r="M40" s="1741"/>
      <c r="N40" s="514"/>
      <c r="S40" s="246">
        <f t="shared" ca="1" si="23"/>
        <v>0</v>
      </c>
      <c r="T40" s="212">
        <f t="shared" ca="1" si="23"/>
        <v>0</v>
      </c>
      <c r="U40" s="212">
        <f t="shared" ca="1" si="23"/>
        <v>0</v>
      </c>
      <c r="V40" s="212">
        <f t="shared" ca="1" si="23"/>
        <v>0</v>
      </c>
      <c r="W40" s="212">
        <f t="shared" ca="1" si="23"/>
        <v>0</v>
      </c>
      <c r="X40" s="212">
        <f t="shared" ca="1" si="23"/>
        <v>0</v>
      </c>
      <c r="Y40" s="212">
        <f t="shared" ca="1" si="23"/>
        <v>0</v>
      </c>
      <c r="Z40" s="212">
        <f t="shared" ca="1" si="23"/>
        <v>0</v>
      </c>
      <c r="AA40" s="212">
        <f t="shared" ca="1" si="23"/>
        <v>0</v>
      </c>
      <c r="AB40" s="212">
        <f t="shared" ca="1" si="23"/>
        <v>0</v>
      </c>
      <c r="AC40" s="212">
        <f t="shared" ca="1" si="24"/>
        <v>0</v>
      </c>
      <c r="AD40" s="212">
        <f t="shared" ca="1" si="24"/>
        <v>0</v>
      </c>
      <c r="AE40" s="212">
        <f t="shared" ca="1" si="24"/>
        <v>0</v>
      </c>
      <c r="AF40" s="212">
        <f t="shared" ca="1" si="24"/>
        <v>0</v>
      </c>
      <c r="AG40" s="212">
        <f t="shared" ca="1" si="24"/>
        <v>0</v>
      </c>
      <c r="AH40" s="212">
        <f t="shared" ca="1" si="24"/>
        <v>0</v>
      </c>
      <c r="AI40" s="212">
        <f t="shared" ca="1" si="24"/>
        <v>0</v>
      </c>
      <c r="AJ40" s="559">
        <f t="shared" ca="1" si="24"/>
        <v>0</v>
      </c>
      <c r="AK40" s="200"/>
      <c r="AL40" s="246">
        <f t="shared" ca="1" si="25"/>
        <v>0</v>
      </c>
      <c r="AM40" s="212">
        <f t="shared" ca="1" si="25"/>
        <v>0</v>
      </c>
      <c r="AN40" s="212">
        <f t="shared" ca="1" si="25"/>
        <v>0</v>
      </c>
      <c r="AO40" s="212">
        <f t="shared" ca="1" si="25"/>
        <v>0</v>
      </c>
      <c r="AP40" s="212">
        <f t="shared" ca="1" si="25"/>
        <v>0</v>
      </c>
      <c r="AQ40" s="212">
        <f t="shared" ca="1" si="25"/>
        <v>0</v>
      </c>
      <c r="AR40" s="212">
        <f t="shared" ca="1" si="25"/>
        <v>0</v>
      </c>
      <c r="AS40" s="212">
        <f t="shared" ca="1" si="25"/>
        <v>0</v>
      </c>
      <c r="AT40" s="212">
        <f t="shared" ca="1" si="25"/>
        <v>0</v>
      </c>
      <c r="AU40" s="212">
        <f t="shared" ca="1" si="25"/>
        <v>0</v>
      </c>
      <c r="AV40" s="212">
        <f t="shared" ca="1" si="26"/>
        <v>0</v>
      </c>
      <c r="AW40" s="212">
        <f t="shared" ca="1" si="26"/>
        <v>0</v>
      </c>
      <c r="AX40" s="212">
        <f t="shared" ca="1" si="26"/>
        <v>0</v>
      </c>
      <c r="AY40" s="212">
        <f t="shared" ca="1" si="26"/>
        <v>0</v>
      </c>
      <c r="AZ40" s="212">
        <f t="shared" ca="1" si="26"/>
        <v>0</v>
      </c>
      <c r="BA40" s="212">
        <f t="shared" ca="1" si="26"/>
        <v>0</v>
      </c>
      <c r="BB40" s="212">
        <f t="shared" ca="1" si="26"/>
        <v>0</v>
      </c>
      <c r="BC40" s="212">
        <f t="shared" ca="1" si="26"/>
        <v>0</v>
      </c>
      <c r="BD40" s="212" t="str">
        <f t="shared" ca="1" si="30"/>
        <v/>
      </c>
      <c r="BE40" s="113">
        <f t="shared" ca="1" si="28"/>
        <v>0</v>
      </c>
      <c r="BF40" s="113">
        <f t="shared" ca="1" si="27"/>
        <v>0</v>
      </c>
      <c r="BG40" s="113">
        <f t="shared" ca="1" si="29"/>
        <v>0</v>
      </c>
      <c r="BH40" s="113" t="b">
        <f ca="1">IF(OR(AND(VT_BBILDUNG,NOT(ISERR(FIND($A40,Abfragen!$W$48)))),AND(VT_VETERAN,C40="x")),TRUE,FALSE)</f>
        <v>0</v>
      </c>
      <c r="BI40" s="113"/>
      <c r="BJ40" s="1056" t="str">
        <f ca="1">A40&amp;" [MU-IN-KO] ("&amp;MU&amp;"-"&amp;IN&amp;"-"&amp;KO&amp;")"</f>
        <v>Talentschub ZZ nicht aktiviert [MU-IN-KO] (8-8-8)</v>
      </c>
      <c r="BK40" s="113"/>
      <c r="BL40" s="113"/>
      <c r="BM40" s="113"/>
      <c r="BN40" s="113"/>
      <c r="BO40" s="113"/>
      <c r="BP40" s="113"/>
      <c r="BQ40" s="1056" t="str">
        <f ca="1">IF(VT_TALENTSCHUB_WERT="","",LEFT(VT_TALENTSCHUB_WERT,FIND(",",VT_TALENTSCHUB_WERT)-1))</f>
        <v/>
      </c>
      <c r="BR40" s="558"/>
      <c r="BS40" s="106"/>
      <c r="BT40" s="106"/>
      <c r="BU40" s="106"/>
      <c r="BV40" s="106"/>
      <c r="BW40" s="106"/>
      <c r="BX40" s="106"/>
    </row>
    <row r="41" spans="1:76" x14ac:dyDescent="0.2">
      <c r="A41" s="274" t="str">
        <f ca="1">"Talentschub "&amp;IF(BQ41="","ZZ nicht aktiviert",BQ41)</f>
        <v>Talentschub ZZ nicht aktiviert</v>
      </c>
      <c r="B41" s="378" t="str">
        <f t="shared" ca="1" si="20"/>
        <v/>
      </c>
      <c r="C41" s="110" t="str">
        <f t="shared" ca="1" si="21"/>
        <v/>
      </c>
      <c r="D41" s="983"/>
      <c r="E41" s="1524"/>
      <c r="F41" s="962"/>
      <c r="G41" s="326"/>
      <c r="H41" s="1739" t="str">
        <f t="shared" ca="1" si="22"/>
        <v/>
      </c>
      <c r="I41" s="1740"/>
      <c r="J41" s="1740"/>
      <c r="K41" s="1740"/>
      <c r="L41" s="1740"/>
      <c r="M41" s="1741"/>
      <c r="N41" s="514"/>
      <c r="S41" s="246">
        <f t="shared" ca="1" si="23"/>
        <v>0</v>
      </c>
      <c r="T41" s="212">
        <f t="shared" ca="1" si="23"/>
        <v>0</v>
      </c>
      <c r="U41" s="212">
        <f t="shared" ca="1" si="23"/>
        <v>0</v>
      </c>
      <c r="V41" s="212">
        <f t="shared" ca="1" si="23"/>
        <v>0</v>
      </c>
      <c r="W41" s="212">
        <f t="shared" ca="1" si="23"/>
        <v>0</v>
      </c>
      <c r="X41" s="212">
        <f t="shared" ca="1" si="23"/>
        <v>0</v>
      </c>
      <c r="Y41" s="212">
        <f t="shared" ca="1" si="23"/>
        <v>0</v>
      </c>
      <c r="Z41" s="212">
        <f t="shared" ca="1" si="23"/>
        <v>0</v>
      </c>
      <c r="AA41" s="212">
        <f t="shared" ca="1" si="23"/>
        <v>0</v>
      </c>
      <c r="AB41" s="212">
        <f t="shared" ca="1" si="23"/>
        <v>0</v>
      </c>
      <c r="AC41" s="212">
        <f t="shared" ca="1" si="24"/>
        <v>0</v>
      </c>
      <c r="AD41" s="212">
        <f t="shared" ca="1" si="24"/>
        <v>0</v>
      </c>
      <c r="AE41" s="212">
        <f t="shared" ca="1" si="24"/>
        <v>0</v>
      </c>
      <c r="AF41" s="212">
        <f t="shared" ca="1" si="24"/>
        <v>0</v>
      </c>
      <c r="AG41" s="212">
        <f t="shared" ca="1" si="24"/>
        <v>0</v>
      </c>
      <c r="AH41" s="212">
        <f t="shared" ca="1" si="24"/>
        <v>0</v>
      </c>
      <c r="AI41" s="212">
        <f t="shared" ca="1" si="24"/>
        <v>0</v>
      </c>
      <c r="AJ41" s="559">
        <f t="shared" ca="1" si="24"/>
        <v>0</v>
      </c>
      <c r="AK41" s="200"/>
      <c r="AL41" s="246">
        <f t="shared" ca="1" si="25"/>
        <v>0</v>
      </c>
      <c r="AM41" s="212">
        <f t="shared" ca="1" si="25"/>
        <v>0</v>
      </c>
      <c r="AN41" s="212">
        <f t="shared" ca="1" si="25"/>
        <v>0</v>
      </c>
      <c r="AO41" s="212">
        <f t="shared" ca="1" si="25"/>
        <v>0</v>
      </c>
      <c r="AP41" s="212">
        <f t="shared" ca="1" si="25"/>
        <v>0</v>
      </c>
      <c r="AQ41" s="212">
        <f t="shared" ca="1" si="25"/>
        <v>0</v>
      </c>
      <c r="AR41" s="212">
        <f t="shared" ca="1" si="25"/>
        <v>0</v>
      </c>
      <c r="AS41" s="212">
        <f t="shared" ca="1" si="25"/>
        <v>0</v>
      </c>
      <c r="AT41" s="212">
        <f t="shared" ca="1" si="25"/>
        <v>0</v>
      </c>
      <c r="AU41" s="212">
        <f t="shared" ca="1" si="25"/>
        <v>0</v>
      </c>
      <c r="AV41" s="212">
        <f t="shared" ca="1" si="26"/>
        <v>0</v>
      </c>
      <c r="AW41" s="212">
        <f t="shared" ca="1" si="26"/>
        <v>0</v>
      </c>
      <c r="AX41" s="212">
        <f t="shared" ca="1" si="26"/>
        <v>0</v>
      </c>
      <c r="AY41" s="212">
        <f t="shared" ca="1" si="26"/>
        <v>0</v>
      </c>
      <c r="AZ41" s="212">
        <f t="shared" ca="1" si="26"/>
        <v>0</v>
      </c>
      <c r="BA41" s="212">
        <f t="shared" ca="1" si="26"/>
        <v>0</v>
      </c>
      <c r="BB41" s="212">
        <f t="shared" ca="1" si="26"/>
        <v>0</v>
      </c>
      <c r="BC41" s="212">
        <f t="shared" ca="1" si="26"/>
        <v>0</v>
      </c>
      <c r="BD41" s="212" t="str">
        <f t="shared" ca="1" si="30"/>
        <v/>
      </c>
      <c r="BE41" s="113">
        <f t="shared" ca="1" si="28"/>
        <v>0</v>
      </c>
      <c r="BF41" s="113">
        <f t="shared" ca="1" si="27"/>
        <v>0</v>
      </c>
      <c r="BG41" s="113">
        <f t="shared" ca="1" si="29"/>
        <v>0</v>
      </c>
      <c r="BH41" s="113" t="b">
        <f ca="1">IF(OR(AND(VT_BBILDUNG,NOT(ISERR(FIND($A41,Abfragen!$W$48)))),AND(VT_VETERAN,C41="x")),TRUE,FALSE)</f>
        <v>0</v>
      </c>
      <c r="BI41" s="113"/>
      <c r="BJ41" s="1056" t="str">
        <f ca="1">A41&amp;" [MU-IN-KO] ("&amp;MU&amp;"-"&amp;IN&amp;"-"&amp;KO&amp;")"</f>
        <v>Talentschub ZZ nicht aktiviert [MU-IN-KO] (8-8-8)</v>
      </c>
      <c r="BK41" s="113"/>
      <c r="BL41" s="113"/>
      <c r="BM41" s="113"/>
      <c r="BN41" s="113"/>
      <c r="BO41" s="113"/>
      <c r="BP41" s="113"/>
      <c r="BQ41" s="1056" t="str">
        <f ca="1">IF(BR41="","",LEFT(BR41,FIND(",",BR41)-1))</f>
        <v/>
      </c>
      <c r="BR41" s="1057" t="str">
        <f ca="1">SUBSTITUTE(VT_TALENTSCHUB_WERT,BQ40&amp;",","")</f>
        <v/>
      </c>
      <c r="BS41" s="106"/>
      <c r="BT41" s="106"/>
      <c r="BU41" s="106"/>
      <c r="BV41" s="106"/>
      <c r="BW41" s="106"/>
      <c r="BX41" s="106"/>
    </row>
    <row r="42" spans="1:76" x14ac:dyDescent="0.2">
      <c r="A42" s="274" t="str">
        <f ca="1">"Talentschub "&amp;IF(BQ42="","ZZ nicht aktiviert",BQ42)</f>
        <v>Talentschub ZZ nicht aktiviert</v>
      </c>
      <c r="B42" s="378" t="str">
        <f t="shared" ca="1" si="20"/>
        <v/>
      </c>
      <c r="C42" s="110" t="str">
        <f t="shared" ca="1" si="21"/>
        <v/>
      </c>
      <c r="D42" s="983"/>
      <c r="E42" s="1524"/>
      <c r="F42" s="962"/>
      <c r="G42" s="326"/>
      <c r="H42" s="1739" t="str">
        <f t="shared" ca="1" si="22"/>
        <v/>
      </c>
      <c r="I42" s="1740"/>
      <c r="J42" s="1740"/>
      <c r="K42" s="1740"/>
      <c r="L42" s="1740"/>
      <c r="M42" s="1741"/>
      <c r="N42" s="514"/>
      <c r="S42" s="246">
        <f t="shared" ca="1" si="23"/>
        <v>0</v>
      </c>
      <c r="T42" s="212">
        <f t="shared" ca="1" si="23"/>
        <v>0</v>
      </c>
      <c r="U42" s="212">
        <f t="shared" ca="1" si="23"/>
        <v>0</v>
      </c>
      <c r="V42" s="212">
        <f t="shared" ca="1" si="23"/>
        <v>0</v>
      </c>
      <c r="W42" s="212">
        <f t="shared" ca="1" si="23"/>
        <v>0</v>
      </c>
      <c r="X42" s="212">
        <f t="shared" ca="1" si="23"/>
        <v>0</v>
      </c>
      <c r="Y42" s="212">
        <f t="shared" ca="1" si="23"/>
        <v>0</v>
      </c>
      <c r="Z42" s="212">
        <f t="shared" ca="1" si="23"/>
        <v>0</v>
      </c>
      <c r="AA42" s="212">
        <f t="shared" ca="1" si="23"/>
        <v>0</v>
      </c>
      <c r="AB42" s="212">
        <f t="shared" ca="1" si="23"/>
        <v>0</v>
      </c>
      <c r="AC42" s="212">
        <f t="shared" ca="1" si="24"/>
        <v>0</v>
      </c>
      <c r="AD42" s="212">
        <f t="shared" ca="1" si="24"/>
        <v>0</v>
      </c>
      <c r="AE42" s="212">
        <f t="shared" ca="1" si="24"/>
        <v>0</v>
      </c>
      <c r="AF42" s="212">
        <f t="shared" ca="1" si="24"/>
        <v>0</v>
      </c>
      <c r="AG42" s="212">
        <f t="shared" ca="1" si="24"/>
        <v>0</v>
      </c>
      <c r="AH42" s="212">
        <f t="shared" ca="1" si="24"/>
        <v>0</v>
      </c>
      <c r="AI42" s="212">
        <f t="shared" ca="1" si="24"/>
        <v>0</v>
      </c>
      <c r="AJ42" s="559">
        <f t="shared" ca="1" si="24"/>
        <v>0</v>
      </c>
      <c r="AK42" s="200"/>
      <c r="AL42" s="246">
        <f t="shared" ca="1" si="25"/>
        <v>0</v>
      </c>
      <c r="AM42" s="212">
        <f t="shared" ca="1" si="25"/>
        <v>0</v>
      </c>
      <c r="AN42" s="212">
        <f t="shared" ca="1" si="25"/>
        <v>0</v>
      </c>
      <c r="AO42" s="212">
        <f t="shared" ca="1" si="25"/>
        <v>0</v>
      </c>
      <c r="AP42" s="212">
        <f t="shared" ca="1" si="25"/>
        <v>0</v>
      </c>
      <c r="AQ42" s="212">
        <f t="shared" ca="1" si="25"/>
        <v>0</v>
      </c>
      <c r="AR42" s="212">
        <f t="shared" ca="1" si="25"/>
        <v>0</v>
      </c>
      <c r="AS42" s="212">
        <f t="shared" ca="1" si="25"/>
        <v>0</v>
      </c>
      <c r="AT42" s="212">
        <f t="shared" ca="1" si="25"/>
        <v>0</v>
      </c>
      <c r="AU42" s="212">
        <f t="shared" ca="1" si="25"/>
        <v>0</v>
      </c>
      <c r="AV42" s="212">
        <f t="shared" ca="1" si="26"/>
        <v>0</v>
      </c>
      <c r="AW42" s="212">
        <f t="shared" ca="1" si="26"/>
        <v>0</v>
      </c>
      <c r="AX42" s="212">
        <f t="shared" ca="1" si="26"/>
        <v>0</v>
      </c>
      <c r="AY42" s="212">
        <f t="shared" ca="1" si="26"/>
        <v>0</v>
      </c>
      <c r="AZ42" s="212">
        <f t="shared" ca="1" si="26"/>
        <v>0</v>
      </c>
      <c r="BA42" s="212">
        <f t="shared" ca="1" si="26"/>
        <v>0</v>
      </c>
      <c r="BB42" s="212">
        <f t="shared" ca="1" si="26"/>
        <v>0</v>
      </c>
      <c r="BC42" s="212">
        <f t="shared" ca="1" si="26"/>
        <v>0</v>
      </c>
      <c r="BD42" s="212" t="str">
        <f t="shared" ca="1" si="30"/>
        <v/>
      </c>
      <c r="BE42" s="113">
        <f t="shared" ca="1" si="28"/>
        <v>0</v>
      </c>
      <c r="BF42" s="113">
        <f t="shared" ca="1" si="27"/>
        <v>0</v>
      </c>
      <c r="BG42" s="113">
        <f t="shared" ca="1" si="29"/>
        <v>0</v>
      </c>
      <c r="BH42" s="113" t="b">
        <f ca="1">IF(OR(AND(VT_BBILDUNG,NOT(ISERR(FIND($A42,Abfragen!$W$48)))),AND(VT_VETERAN,C42="x")),TRUE,FALSE)</f>
        <v>0</v>
      </c>
      <c r="BI42" s="113"/>
      <c r="BJ42" s="1056" t="str">
        <f ca="1">A42&amp;" [MU-IN-KO] ("&amp;MU&amp;"-"&amp;IN&amp;"-"&amp;KO&amp;")"</f>
        <v>Talentschub ZZ nicht aktiviert [MU-IN-KO] (8-8-8)</v>
      </c>
      <c r="BK42" s="113"/>
      <c r="BL42" s="113"/>
      <c r="BM42" s="113"/>
      <c r="BN42" s="113"/>
      <c r="BO42" s="113"/>
      <c r="BP42" s="113"/>
      <c r="BQ42" s="1056" t="str">
        <f ca="1">IF(BR42="","",LEFT(BR42,FIND(",",BR42)-1))</f>
        <v/>
      </c>
      <c r="BR42" s="1057" t="str">
        <f ca="1">SUBSTITUTE(VT_TALENTSCHUB_WERT,BQ40&amp;","&amp;IF(BQ41="","",BQ41&amp;","),"")</f>
        <v/>
      </c>
      <c r="BS42" s="106"/>
      <c r="BT42" s="106"/>
      <c r="BU42" s="106"/>
      <c r="BV42" s="106"/>
      <c r="BW42" s="106"/>
      <c r="BX42" s="106"/>
    </row>
    <row r="43" spans="1:76" x14ac:dyDescent="0.2">
      <c r="A43" s="274" t="str">
        <f>"Tierempathie "&amp;IF(VT_TIEREMPATHIE,VT_TIEREMPATHIE_WERT,"")</f>
        <v xml:space="preserve">Tierempathie </v>
      </c>
      <c r="B43" s="378" t="str">
        <f t="shared" si="20"/>
        <v/>
      </c>
      <c r="C43" s="110" t="str">
        <f t="shared" si="21"/>
        <v/>
      </c>
      <c r="D43" s="983"/>
      <c r="E43" s="1524"/>
      <c r="F43" s="962"/>
      <c r="G43" s="326"/>
      <c r="H43" s="1739" t="str">
        <f t="shared" si="22"/>
        <v/>
      </c>
      <c r="I43" s="1740"/>
      <c r="J43" s="1740"/>
      <c r="K43" s="1740"/>
      <c r="L43" s="1740"/>
      <c r="M43" s="1741"/>
      <c r="N43" s="514"/>
      <c r="S43" s="246">
        <f t="shared" si="23"/>
        <v>0</v>
      </c>
      <c r="T43" s="212">
        <f t="shared" si="23"/>
        <v>0</v>
      </c>
      <c r="U43" s="212">
        <f t="shared" si="23"/>
        <v>0</v>
      </c>
      <c r="V43" s="212">
        <f t="shared" si="23"/>
        <v>0</v>
      </c>
      <c r="W43" s="212">
        <f t="shared" si="23"/>
        <v>0</v>
      </c>
      <c r="X43" s="212">
        <f t="shared" si="23"/>
        <v>0</v>
      </c>
      <c r="Y43" s="212">
        <f t="shared" si="23"/>
        <v>0</v>
      </c>
      <c r="Z43" s="212">
        <f t="shared" si="23"/>
        <v>0</v>
      </c>
      <c r="AA43" s="212">
        <f t="shared" si="23"/>
        <v>0</v>
      </c>
      <c r="AB43" s="212">
        <f t="shared" si="23"/>
        <v>0</v>
      </c>
      <c r="AC43" s="212">
        <f t="shared" si="24"/>
        <v>0</v>
      </c>
      <c r="AD43" s="212">
        <f t="shared" si="24"/>
        <v>0</v>
      </c>
      <c r="AE43" s="212">
        <f t="shared" si="24"/>
        <v>0</v>
      </c>
      <c r="AF43" s="212">
        <f t="shared" si="24"/>
        <v>0</v>
      </c>
      <c r="AG43" s="212">
        <f t="shared" si="24"/>
        <v>0</v>
      </c>
      <c r="AH43" s="212">
        <f t="shared" si="24"/>
        <v>0</v>
      </c>
      <c r="AI43" s="212">
        <f t="shared" si="24"/>
        <v>0</v>
      </c>
      <c r="AJ43" s="559">
        <f t="shared" si="24"/>
        <v>0</v>
      </c>
      <c r="AK43" s="200"/>
      <c r="AL43" s="246">
        <f t="shared" si="25"/>
        <v>0</v>
      </c>
      <c r="AM43" s="212">
        <f t="shared" si="25"/>
        <v>0</v>
      </c>
      <c r="AN43" s="212">
        <f t="shared" si="25"/>
        <v>0</v>
      </c>
      <c r="AO43" s="212">
        <f t="shared" si="25"/>
        <v>0</v>
      </c>
      <c r="AP43" s="212">
        <f t="shared" si="25"/>
        <v>0</v>
      </c>
      <c r="AQ43" s="212">
        <f t="shared" si="25"/>
        <v>0</v>
      </c>
      <c r="AR43" s="212">
        <f t="shared" si="25"/>
        <v>0</v>
      </c>
      <c r="AS43" s="212">
        <f t="shared" si="25"/>
        <v>0</v>
      </c>
      <c r="AT43" s="212">
        <f t="shared" si="25"/>
        <v>0</v>
      </c>
      <c r="AU43" s="212">
        <f t="shared" si="25"/>
        <v>0</v>
      </c>
      <c r="AV43" s="212">
        <f t="shared" si="26"/>
        <v>0</v>
      </c>
      <c r="AW43" s="212">
        <f t="shared" si="26"/>
        <v>0</v>
      </c>
      <c r="AX43" s="212">
        <f t="shared" si="26"/>
        <v>0</v>
      </c>
      <c r="AY43" s="212">
        <f t="shared" si="26"/>
        <v>0</v>
      </c>
      <c r="AZ43" s="212">
        <f t="shared" si="26"/>
        <v>0</v>
      </c>
      <c r="BA43" s="212">
        <f t="shared" si="26"/>
        <v>0</v>
      </c>
      <c r="BB43" s="212">
        <f t="shared" si="26"/>
        <v>0</v>
      </c>
      <c r="BC43" s="212">
        <f t="shared" si="26"/>
        <v>0</v>
      </c>
      <c r="BD43" s="212" t="str">
        <f t="shared" ca="1" si="30"/>
        <v/>
      </c>
      <c r="BE43" s="113">
        <f t="shared" si="28"/>
        <v>0</v>
      </c>
      <c r="BF43" s="113">
        <f t="shared" si="27"/>
        <v>0</v>
      </c>
      <c r="BG43" s="113">
        <f t="shared" ca="1" si="29"/>
        <v>0</v>
      </c>
      <c r="BH43" s="113" t="b">
        <f ca="1">IF(OR(AND(VT_BBILDUNG,NOT(ISERR(FIND($A43,Abfragen!$W$48)))),AND(VT_VETERAN,C43="x")),TRUE,FALSE)</f>
        <v>0</v>
      </c>
      <c r="BI43" s="113"/>
      <c r="BJ43" s="1056" t="str">
        <f ca="1">A43&amp;" [MU-IN-CH] ("&amp;MU&amp;"-"&amp;IN&amp;"-"&amp;CH&amp;")"</f>
        <v>Tierempathie  [MU-IN-CH] (8-8-8)</v>
      </c>
      <c r="BK43" s="113"/>
      <c r="BL43" s="113"/>
      <c r="BM43" s="113"/>
      <c r="BN43" s="113"/>
      <c r="BO43" s="113"/>
      <c r="BP43" s="113"/>
      <c r="BQ43" s="113"/>
      <c r="BR43" s="558"/>
      <c r="BS43" s="106"/>
      <c r="BT43" s="106"/>
      <c r="BU43" s="106"/>
      <c r="BV43" s="106"/>
      <c r="BW43" s="106"/>
      <c r="BX43" s="106"/>
    </row>
    <row r="44" spans="1:76" x14ac:dyDescent="0.2">
      <c r="A44" s="274" t="s">
        <v>2124</v>
      </c>
      <c r="B44" s="378" t="str">
        <f>IF(AND(EXACT($C44,"x"),NOT(ISERR(FIND("Brillantzwergischer Schwertgeselle",PROFGENE)))),4,IF(EXACT($C44,"x"),3,""))</f>
        <v/>
      </c>
      <c r="C44" s="110" t="str">
        <f t="shared" si="21"/>
        <v/>
      </c>
      <c r="D44" s="983"/>
      <c r="E44" s="1524"/>
      <c r="F44" s="962"/>
      <c r="G44" s="326"/>
      <c r="H44" s="1739" t="str">
        <f t="shared" si="22"/>
        <v/>
      </c>
      <c r="I44" s="1740"/>
      <c r="J44" s="1740"/>
      <c r="K44" s="1740"/>
      <c r="L44" s="1740"/>
      <c r="M44" s="1741"/>
      <c r="N44" s="514" t="str">
        <f>IF(B44="","",SUM(B44,F44,G44))</f>
        <v/>
      </c>
      <c r="O44" s="338"/>
      <c r="P44" s="1015"/>
      <c r="Q44" s="1015"/>
      <c r="R44" s="1075"/>
      <c r="S44" s="247">
        <f t="shared" si="23"/>
        <v>0</v>
      </c>
      <c r="T44" s="560">
        <f t="shared" si="23"/>
        <v>0</v>
      </c>
      <c r="U44" s="560">
        <f t="shared" si="23"/>
        <v>0</v>
      </c>
      <c r="V44" s="560">
        <f t="shared" si="23"/>
        <v>0</v>
      </c>
      <c r="W44" s="560">
        <f t="shared" si="23"/>
        <v>0</v>
      </c>
      <c r="X44" s="560">
        <f t="shared" si="23"/>
        <v>0</v>
      </c>
      <c r="Y44" s="560">
        <f t="shared" si="23"/>
        <v>0</v>
      </c>
      <c r="Z44" s="560">
        <f t="shared" si="23"/>
        <v>0</v>
      </c>
      <c r="AA44" s="560">
        <f t="shared" si="23"/>
        <v>0</v>
      </c>
      <c r="AB44" s="560">
        <f t="shared" si="23"/>
        <v>0</v>
      </c>
      <c r="AC44" s="560">
        <f t="shared" si="24"/>
        <v>0</v>
      </c>
      <c r="AD44" s="560">
        <f t="shared" si="24"/>
        <v>0</v>
      </c>
      <c r="AE44" s="560">
        <f t="shared" si="24"/>
        <v>0</v>
      </c>
      <c r="AF44" s="560">
        <f t="shared" si="24"/>
        <v>0</v>
      </c>
      <c r="AG44" s="560">
        <f t="shared" si="24"/>
        <v>0</v>
      </c>
      <c r="AH44" s="560">
        <f t="shared" si="24"/>
        <v>0</v>
      </c>
      <c r="AI44" s="560">
        <f t="shared" si="24"/>
        <v>0</v>
      </c>
      <c r="AJ44" s="562">
        <f t="shared" si="24"/>
        <v>0</v>
      </c>
      <c r="AK44" s="200"/>
      <c r="AL44" s="246">
        <f t="shared" si="25"/>
        <v>0</v>
      </c>
      <c r="AM44" s="212">
        <f t="shared" si="25"/>
        <v>0</v>
      </c>
      <c r="AN44" s="212">
        <f t="shared" si="25"/>
        <v>0</v>
      </c>
      <c r="AO44" s="212">
        <f t="shared" si="25"/>
        <v>0</v>
      </c>
      <c r="AP44" s="212">
        <f t="shared" si="25"/>
        <v>0</v>
      </c>
      <c r="AQ44" s="212">
        <f t="shared" si="25"/>
        <v>0</v>
      </c>
      <c r="AR44" s="212">
        <f t="shared" si="25"/>
        <v>0</v>
      </c>
      <c r="AS44" s="212">
        <f t="shared" si="25"/>
        <v>0</v>
      </c>
      <c r="AT44" s="212">
        <f t="shared" si="25"/>
        <v>0</v>
      </c>
      <c r="AU44" s="212">
        <f t="shared" si="25"/>
        <v>0</v>
      </c>
      <c r="AV44" s="212">
        <f t="shared" si="26"/>
        <v>0</v>
      </c>
      <c r="AW44" s="212">
        <f t="shared" si="26"/>
        <v>0</v>
      </c>
      <c r="AX44" s="212">
        <f t="shared" si="26"/>
        <v>0</v>
      </c>
      <c r="AY44" s="212">
        <f t="shared" si="26"/>
        <v>0</v>
      </c>
      <c r="AZ44" s="212">
        <f t="shared" si="26"/>
        <v>0</v>
      </c>
      <c r="BA44" s="212">
        <f t="shared" si="26"/>
        <v>0</v>
      </c>
      <c r="BB44" s="212">
        <f t="shared" si="26"/>
        <v>0</v>
      </c>
      <c r="BC44" s="212">
        <f t="shared" si="26"/>
        <v>0</v>
      </c>
      <c r="BD44" s="212" t="str">
        <f t="shared" ca="1" si="30"/>
        <v/>
      </c>
      <c r="BE44" s="1058">
        <f t="shared" si="28"/>
        <v>0</v>
      </c>
      <c r="BF44" s="1058">
        <f t="shared" si="27"/>
        <v>0</v>
      </c>
      <c r="BG44" s="1058">
        <f t="shared" ca="1" si="29"/>
        <v>0</v>
      </c>
      <c r="BH44" s="1058" t="b">
        <f ca="1">IF(OR(AND(VT_BBILDUNG,NOT(ISERR(FIND($A44,Abfragen!$W$48)))),AND(VT_VETERAN,C44="x")),TRUE,FALSE)</f>
        <v>0</v>
      </c>
      <c r="BI44" s="1058"/>
      <c r="BJ44" s="1059" t="str">
        <f ca="1">"Zwergennase [FF-IN-IN] ("&amp;FF&amp;"-"&amp;IN&amp;"-"&amp;IN&amp;")"</f>
        <v>Zwergennase [FF-IN-IN] (8-8-8)</v>
      </c>
      <c r="BK44" s="1058"/>
      <c r="BL44" s="1058"/>
      <c r="BM44" s="1058"/>
      <c r="BN44" s="1058"/>
      <c r="BO44" s="1058"/>
      <c r="BP44" s="1058"/>
      <c r="BQ44" s="1058"/>
      <c r="BR44" s="1060"/>
      <c r="BS44" s="106"/>
      <c r="BT44" s="106"/>
      <c r="BU44" s="106"/>
      <c r="BV44" s="106"/>
      <c r="BW44" s="106"/>
      <c r="BX44" s="106"/>
    </row>
    <row r="45" spans="1:76" ht="15.75" x14ac:dyDescent="0.25">
      <c r="A45" s="300" t="s">
        <v>8915</v>
      </c>
      <c r="B45" s="108"/>
      <c r="C45" s="108"/>
      <c r="D45" s="108"/>
      <c r="E45" s="1066"/>
      <c r="F45" s="204"/>
      <c r="G45" s="204"/>
      <c r="H45" s="1770" t="str">
        <f ca="1">IF(APGUT&lt;0,"Keine AP mehr übrig!",IF(TL_GP_UEBRIG&lt;0,"Keine Start-AP mehr übrig!","▼ Fehlermeldungen ▼  "&amp;"(AP: "&amp;APGUT&amp;")"))</f>
        <v>▼ Fehlermeldungen ▼  (AP: 0)</v>
      </c>
      <c r="I45" s="1770"/>
      <c r="J45" s="1770"/>
      <c r="K45" s="1770"/>
      <c r="L45" s="1770"/>
      <c r="M45" s="1770"/>
      <c r="N45" s="197"/>
      <c r="O45" s="198"/>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8"/>
      <c r="AM45" s="199"/>
      <c r="AN45" s="199"/>
      <c r="AO45" s="199"/>
      <c r="AP45" s="199"/>
      <c r="AQ45" s="199"/>
      <c r="AR45" s="199"/>
      <c r="AS45" s="199"/>
      <c r="AT45" s="199"/>
      <c r="AU45" s="199"/>
      <c r="AV45" s="199"/>
      <c r="AW45" s="199"/>
      <c r="AX45" s="199"/>
      <c r="AY45" s="199"/>
      <c r="AZ45" s="199"/>
      <c r="BA45" s="199"/>
      <c r="BB45" s="199"/>
      <c r="BC45" s="199"/>
      <c r="BD45" s="199"/>
      <c r="BE45" s="1024"/>
      <c r="BF45" s="106"/>
      <c r="BG45" s="106"/>
      <c r="BH45" s="106"/>
      <c r="BI45" s="106"/>
      <c r="BJ45" s="106"/>
      <c r="BK45" s="106"/>
      <c r="BL45" s="106"/>
      <c r="BM45" s="106"/>
      <c r="BN45" s="106"/>
      <c r="BO45" s="106"/>
      <c r="BP45" s="106"/>
      <c r="BQ45" s="106"/>
      <c r="BR45" s="106"/>
      <c r="BS45" s="106"/>
      <c r="BT45" s="106"/>
      <c r="BU45" s="106"/>
      <c r="BV45" s="106"/>
      <c r="BW45" s="106"/>
      <c r="BX45" s="106"/>
    </row>
    <row r="46" spans="1:76" x14ac:dyDescent="0.2">
      <c r="A46" s="274" t="s">
        <v>4897</v>
      </c>
      <c r="B46" s="378" t="str">
        <f ca="1">IF(EXACT($C46,"x"),Abfragen!U129,"")</f>
        <v/>
      </c>
      <c r="C46" s="110" t="str">
        <f ca="1">IF(Abfragen!U129=0,"","x")</f>
        <v/>
      </c>
      <c r="D46" s="325"/>
      <c r="E46" s="385"/>
      <c r="F46" s="962"/>
      <c r="G46" s="326"/>
      <c r="H46" s="1739" t="str">
        <f t="shared" ref="H46:H77" ca="1" si="31">IF(AND(EXACT(C46,""),NOT(ISBLANK(F46))),"Das hast Du doch nicht!","")</f>
        <v/>
      </c>
      <c r="I46" s="1740"/>
      <c r="J46" s="1740"/>
      <c r="K46" s="1740"/>
      <c r="L46" s="1740"/>
      <c r="M46" s="1741"/>
      <c r="N46" s="514" t="str">
        <f t="shared" ref="N46:N77" ca="1" si="32">IF(B46="","",B46-F46-G46)</f>
        <v/>
      </c>
      <c r="O46" s="1073">
        <f t="shared" ref="O46:O77" ca="1" si="33">IF(AND(NOT($B46=""),NOT(ISBLANK($F46))),IF(VLOOKUP($A46,NACHTEILEGES,2,FALSE)&gt;0,
VLOOKUP($A46,NACHTEILEGES,2,FALSE)*($F46-0.5*IF(ISERROR(VALUE(D46)),0,VALUE(D46)))*50,0),0)</f>
        <v>0</v>
      </c>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073">
        <f t="shared" ref="AL46:AL77" ca="1" si="34">IF(AND(NOT($B46=""),NOT(ISBLANK($G46))),IF(VLOOKUP($A46,NACHTEILEGES,2,FALSE)&gt;0,
VLOOKUP($A46,NACHTEILEGES,2,FALSE)*($G46-0.5*IF(ISERROR(VALUE(D46)),0,IF(VALUE(D46)-F46&lt;=0,0,VALUE(D46)-F46)))*50,0),0)</f>
        <v>0</v>
      </c>
      <c r="AM46" s="1074"/>
      <c r="AN46" s="199"/>
      <c r="AO46" s="199"/>
      <c r="AP46" s="199"/>
      <c r="AQ46" s="199"/>
      <c r="AR46" s="199"/>
      <c r="AS46" s="199"/>
      <c r="AT46" s="199"/>
      <c r="AU46" s="199"/>
      <c r="AV46" s="199"/>
      <c r="AW46" s="199"/>
      <c r="AX46" s="199"/>
      <c r="AY46" s="199"/>
      <c r="AZ46" s="199"/>
      <c r="BA46" s="199"/>
      <c r="BB46" s="199"/>
      <c r="BC46" s="199"/>
      <c r="BD46" s="199"/>
      <c r="BE46" s="199"/>
      <c r="BF46" s="106"/>
      <c r="BG46" s="106"/>
      <c r="BH46" s="106"/>
      <c r="BI46" s="106"/>
      <c r="BJ46" s="106"/>
      <c r="BK46" s="106"/>
      <c r="BL46" s="106"/>
      <c r="BM46" s="106"/>
      <c r="BN46" s="106"/>
      <c r="BO46" s="106"/>
      <c r="BP46" s="106"/>
      <c r="BQ46" s="106"/>
      <c r="BR46" s="106"/>
      <c r="BS46" s="106"/>
      <c r="BT46" s="106"/>
      <c r="BU46" s="106"/>
      <c r="BV46" s="106"/>
      <c r="BW46" s="106"/>
      <c r="BX46" s="106"/>
    </row>
    <row r="47" spans="1:76" x14ac:dyDescent="0.2">
      <c r="A47" s="274" t="s">
        <v>254</v>
      </c>
      <c r="B47" s="378" t="str">
        <f ca="1">IF(EXACT($C47,"x"),Abfragen!U130,"")</f>
        <v/>
      </c>
      <c r="C47" s="110" t="str">
        <f ca="1">IF(Abfragen!U130=0,"","x")</f>
        <v/>
      </c>
      <c r="D47" s="325"/>
      <c r="E47" s="385"/>
      <c r="F47" s="962"/>
      <c r="G47" s="326"/>
      <c r="H47" s="1739" t="str">
        <f t="shared" ca="1" si="31"/>
        <v/>
      </c>
      <c r="I47" s="1740"/>
      <c r="J47" s="1740"/>
      <c r="K47" s="1740"/>
      <c r="L47" s="1740"/>
      <c r="M47" s="1741"/>
      <c r="N47" s="514" t="str">
        <f t="shared" ca="1" si="32"/>
        <v/>
      </c>
      <c r="O47" s="1073">
        <f t="shared" ca="1" si="33"/>
        <v>0</v>
      </c>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073">
        <f t="shared" ca="1" si="34"/>
        <v>0</v>
      </c>
      <c r="AM47" s="199"/>
      <c r="AN47" s="199"/>
      <c r="AO47" s="199"/>
      <c r="AP47" s="199"/>
      <c r="AQ47" s="199"/>
      <c r="AR47" s="199"/>
      <c r="AS47" s="199"/>
      <c r="AT47" s="199"/>
      <c r="AU47" s="199"/>
      <c r="AV47" s="199"/>
      <c r="AW47" s="199"/>
      <c r="AX47" s="199"/>
      <c r="AY47" s="199"/>
      <c r="AZ47" s="199"/>
      <c r="BA47" s="199"/>
      <c r="BB47" s="199"/>
      <c r="BC47" s="199"/>
      <c r="BD47" s="199"/>
      <c r="BE47" s="199"/>
      <c r="BF47" s="106"/>
      <c r="BG47" s="106"/>
      <c r="BH47" s="106"/>
      <c r="BI47" s="106"/>
      <c r="BJ47" s="106"/>
      <c r="BK47" s="106"/>
      <c r="BL47" s="106"/>
      <c r="BM47" s="106"/>
      <c r="BN47" s="106"/>
      <c r="BO47" s="106"/>
      <c r="BP47" s="106"/>
      <c r="BQ47" s="106"/>
      <c r="BR47" s="106"/>
      <c r="BS47" s="106"/>
      <c r="BT47" s="106"/>
      <c r="BU47" s="106"/>
      <c r="BV47" s="106"/>
      <c r="BW47" s="106"/>
      <c r="BX47" s="106"/>
    </row>
    <row r="48" spans="1:76" x14ac:dyDescent="0.2">
      <c r="A48" s="274" t="s">
        <v>7104</v>
      </c>
      <c r="B48" s="378" t="str">
        <f ca="1">IF(EXACT($C48,"x"),Abfragen!U131,"")</f>
        <v/>
      </c>
      <c r="C48" s="110" t="str">
        <f ca="1">IF(Abfragen!U131=0,"","x")</f>
        <v/>
      </c>
      <c r="D48" s="325"/>
      <c r="E48" s="1067"/>
      <c r="F48" s="962"/>
      <c r="G48" s="326"/>
      <c r="H48" s="1739" t="str">
        <f t="shared" ca="1" si="31"/>
        <v/>
      </c>
      <c r="I48" s="1740"/>
      <c r="J48" s="1740"/>
      <c r="K48" s="1740"/>
      <c r="L48" s="1740"/>
      <c r="M48" s="1741"/>
      <c r="N48" s="514" t="str">
        <f t="shared" ca="1" si="32"/>
        <v/>
      </c>
      <c r="O48" s="1073">
        <f ca="1">IF(AND(NOT($B48=""),NOT(ISBLANK($F48))),IF(VLOOKUP($A48,NACHTEILEGES,2,FALSE)&gt;0,
VLOOKUP($A48,NACHTEILEGES,2,FALSE)*($F48-0.5*IF(ISERROR(VALUE(D48)),0,VALUE(D48)))*50,0),0)</f>
        <v>0</v>
      </c>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073">
        <f t="shared" ca="1" si="34"/>
        <v>0</v>
      </c>
      <c r="AM48" s="199"/>
      <c r="AN48" s="199"/>
      <c r="AO48" s="199"/>
      <c r="AP48" s="199"/>
      <c r="AQ48" s="199"/>
      <c r="AR48" s="199"/>
      <c r="AS48" s="199"/>
      <c r="AT48" s="199"/>
      <c r="AU48" s="199"/>
      <c r="AV48" s="199"/>
      <c r="AW48" s="199"/>
      <c r="AX48" s="199"/>
      <c r="AY48" s="199"/>
      <c r="AZ48" s="199"/>
      <c r="BA48" s="199"/>
      <c r="BB48" s="199"/>
      <c r="BC48" s="199"/>
      <c r="BD48" s="199"/>
      <c r="BE48" s="199"/>
      <c r="BF48" s="106"/>
      <c r="BG48" s="106"/>
      <c r="BH48" s="106"/>
      <c r="BI48" s="106"/>
      <c r="BJ48" s="106"/>
      <c r="BK48" s="106"/>
      <c r="BL48" s="106"/>
      <c r="BM48" s="106"/>
      <c r="BN48" s="106"/>
      <c r="BO48" s="106"/>
      <c r="BP48" s="106"/>
      <c r="BQ48" s="106"/>
      <c r="BR48" s="106"/>
      <c r="BS48" s="106"/>
      <c r="BT48" s="106"/>
      <c r="BU48" s="106"/>
      <c r="BV48" s="106"/>
      <c r="BW48" s="106"/>
      <c r="BX48" s="106"/>
    </row>
    <row r="49" spans="1:76" x14ac:dyDescent="0.2">
      <c r="A49" s="1068" t="s">
        <v>7105</v>
      </c>
      <c r="B49" s="378" t="str">
        <f ca="1">IF(EXACT($C49,"x"),Abfragen!U132,"")</f>
        <v/>
      </c>
      <c r="C49" s="110" t="str">
        <f ca="1">IF(Abfragen!U132=0,"","x")</f>
        <v/>
      </c>
      <c r="D49" s="325"/>
      <c r="E49" s="1067"/>
      <c r="F49" s="962"/>
      <c r="G49" s="326"/>
      <c r="H49" s="1739" t="str">
        <f t="shared" ca="1" si="31"/>
        <v/>
      </c>
      <c r="I49" s="1740"/>
      <c r="J49" s="1740"/>
      <c r="K49" s="1740"/>
      <c r="L49" s="1740"/>
      <c r="M49" s="1741"/>
      <c r="N49" s="514" t="str">
        <f t="shared" ca="1" si="32"/>
        <v/>
      </c>
      <c r="O49" s="1073">
        <f t="shared" ca="1" si="33"/>
        <v>0</v>
      </c>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073">
        <f t="shared" ca="1" si="34"/>
        <v>0</v>
      </c>
      <c r="AM49" s="199"/>
      <c r="AN49" s="199"/>
      <c r="AO49" s="199"/>
      <c r="AP49" s="199"/>
      <c r="AQ49" s="199"/>
      <c r="AR49" s="199"/>
      <c r="AS49" s="199"/>
      <c r="AT49" s="199"/>
      <c r="AU49" s="199"/>
      <c r="AV49" s="199"/>
      <c r="AW49" s="199"/>
      <c r="AX49" s="199"/>
      <c r="AY49" s="199"/>
      <c r="AZ49" s="199"/>
      <c r="BA49" s="199"/>
      <c r="BB49" s="199"/>
      <c r="BC49" s="199"/>
      <c r="BD49" s="199"/>
      <c r="BE49" s="199"/>
      <c r="BF49" s="106"/>
      <c r="BG49" s="106"/>
      <c r="BH49" s="106"/>
      <c r="BI49" s="106"/>
      <c r="BJ49" s="106"/>
      <c r="BK49" s="106"/>
      <c r="BL49" s="106"/>
      <c r="BM49" s="106"/>
      <c r="BN49" s="106"/>
      <c r="BO49" s="106"/>
      <c r="BP49" s="106"/>
      <c r="BQ49" s="106"/>
      <c r="BR49" s="106"/>
      <c r="BS49" s="106"/>
      <c r="BT49" s="106"/>
      <c r="BU49" s="106"/>
      <c r="BV49" s="106"/>
      <c r="BW49" s="106"/>
      <c r="BX49" s="106"/>
    </row>
    <row r="50" spans="1:76" x14ac:dyDescent="0.2">
      <c r="A50" s="1068" t="s">
        <v>7106</v>
      </c>
      <c r="B50" s="378" t="str">
        <f ca="1">IF(EXACT($C50,"x"),Abfragen!U133,"")</f>
        <v/>
      </c>
      <c r="C50" s="110" t="str">
        <f ca="1">IF(Abfragen!U133=0,"","x")</f>
        <v/>
      </c>
      <c r="D50" s="325"/>
      <c r="E50" s="1067"/>
      <c r="F50" s="962"/>
      <c r="G50" s="326"/>
      <c r="H50" s="1739" t="str">
        <f t="shared" ca="1" si="31"/>
        <v/>
      </c>
      <c r="I50" s="1740"/>
      <c r="J50" s="1740"/>
      <c r="K50" s="1740"/>
      <c r="L50" s="1740"/>
      <c r="M50" s="1741"/>
      <c r="N50" s="514" t="str">
        <f t="shared" ca="1" si="32"/>
        <v/>
      </c>
      <c r="O50" s="1073">
        <f t="shared" ca="1" si="33"/>
        <v>0</v>
      </c>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073">
        <f t="shared" ca="1" si="34"/>
        <v>0</v>
      </c>
      <c r="AM50" s="199"/>
      <c r="AN50" s="199"/>
      <c r="AO50" s="199"/>
      <c r="AP50" s="199"/>
      <c r="AQ50" s="199"/>
      <c r="AR50" s="199"/>
      <c r="AS50" s="199"/>
      <c r="AT50" s="199"/>
      <c r="AU50" s="199"/>
      <c r="AV50" s="199"/>
      <c r="AW50" s="199"/>
      <c r="AX50" s="199"/>
      <c r="AY50" s="199"/>
      <c r="AZ50" s="199"/>
      <c r="BA50" s="199"/>
      <c r="BB50" s="199"/>
      <c r="BC50" s="199"/>
      <c r="BD50" s="199"/>
      <c r="BE50" s="199"/>
      <c r="BF50" s="106"/>
      <c r="BG50" s="106"/>
      <c r="BH50" s="106"/>
      <c r="BI50" s="106"/>
      <c r="BJ50" s="106"/>
      <c r="BK50" s="106"/>
      <c r="BL50" s="106"/>
      <c r="BM50" s="106"/>
      <c r="BN50" s="106"/>
      <c r="BO50" s="106"/>
      <c r="BP50" s="106"/>
      <c r="BQ50" s="106"/>
      <c r="BR50" s="106"/>
      <c r="BS50" s="106"/>
      <c r="BT50" s="106"/>
      <c r="BU50" s="106"/>
      <c r="BV50" s="106"/>
      <c r="BW50" s="106"/>
      <c r="BX50" s="106"/>
    </row>
    <row r="51" spans="1:76" x14ac:dyDescent="0.2">
      <c r="A51" s="274" t="s">
        <v>4460</v>
      </c>
      <c r="B51" s="378" t="str">
        <f ca="1">IF(EXACT($C51,"x"),Abfragen!U134,"")</f>
        <v/>
      </c>
      <c r="C51" s="110" t="str">
        <f ca="1">IF(Abfragen!U134=0,"","x")</f>
        <v/>
      </c>
      <c r="D51" s="325"/>
      <c r="E51" s="385"/>
      <c r="F51" s="962"/>
      <c r="G51" s="326"/>
      <c r="H51" s="1739" t="str">
        <f t="shared" ca="1" si="31"/>
        <v/>
      </c>
      <c r="I51" s="1740"/>
      <c r="J51" s="1740"/>
      <c r="K51" s="1740"/>
      <c r="L51" s="1740"/>
      <c r="M51" s="1741"/>
      <c r="N51" s="514" t="str">
        <f t="shared" ca="1" si="32"/>
        <v/>
      </c>
      <c r="O51" s="1073">
        <f t="shared" ca="1" si="33"/>
        <v>0</v>
      </c>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073">
        <f t="shared" ca="1" si="34"/>
        <v>0</v>
      </c>
      <c r="AM51" s="199"/>
      <c r="AN51" s="199"/>
      <c r="AO51" s="199"/>
      <c r="AP51" s="199"/>
      <c r="AQ51" s="199"/>
      <c r="AR51" s="199"/>
      <c r="AS51" s="199"/>
      <c r="AT51" s="199"/>
      <c r="AU51" s="199"/>
      <c r="AV51" s="199"/>
      <c r="AW51" s="199"/>
      <c r="AX51" s="199"/>
      <c r="AY51" s="199"/>
      <c r="AZ51" s="199"/>
      <c r="BA51" s="199"/>
      <c r="BB51" s="199"/>
      <c r="BC51" s="199"/>
      <c r="BD51" s="199"/>
      <c r="BE51" s="199"/>
      <c r="BF51" s="106"/>
      <c r="BG51" s="106"/>
      <c r="BH51" s="106"/>
      <c r="BI51" s="106"/>
      <c r="BJ51" s="106"/>
      <c r="BK51" s="106"/>
      <c r="BL51" s="106"/>
      <c r="BM51" s="106"/>
      <c r="BN51" s="106"/>
      <c r="BO51" s="106"/>
      <c r="BP51" s="106"/>
      <c r="BQ51" s="106"/>
      <c r="BR51" s="106"/>
      <c r="BS51" s="106"/>
      <c r="BT51" s="106"/>
      <c r="BU51" s="106"/>
      <c r="BV51" s="106"/>
      <c r="BW51" s="106"/>
      <c r="BX51" s="106"/>
    </row>
    <row r="52" spans="1:76" x14ac:dyDescent="0.2">
      <c r="A52" s="274" t="s">
        <v>4946</v>
      </c>
      <c r="B52" s="378" t="str">
        <f ca="1">IF(EXACT($C52,"x"),Abfragen!U135,"")</f>
        <v/>
      </c>
      <c r="C52" s="110" t="str">
        <f ca="1">IF(Abfragen!U135=0,"","x")</f>
        <v/>
      </c>
      <c r="D52" s="325"/>
      <c r="E52" s="385"/>
      <c r="F52" s="962"/>
      <c r="G52" s="326"/>
      <c r="H52" s="1739" t="str">
        <f t="shared" ca="1" si="31"/>
        <v/>
      </c>
      <c r="I52" s="1740"/>
      <c r="J52" s="1740"/>
      <c r="K52" s="1740"/>
      <c r="L52" s="1740"/>
      <c r="M52" s="1741"/>
      <c r="N52" s="514" t="str">
        <f t="shared" ca="1" si="32"/>
        <v/>
      </c>
      <c r="O52" s="1073">
        <f t="shared" ca="1" si="33"/>
        <v>0</v>
      </c>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073">
        <f t="shared" ca="1" si="34"/>
        <v>0</v>
      </c>
      <c r="AM52" s="199"/>
      <c r="AN52" s="199"/>
      <c r="AO52" s="199"/>
      <c r="AP52" s="199"/>
      <c r="AQ52" s="199"/>
      <c r="AR52" s="199"/>
      <c r="AS52" s="199"/>
      <c r="AT52" s="199"/>
      <c r="AU52" s="199"/>
      <c r="AV52" s="199"/>
      <c r="AW52" s="199"/>
      <c r="AX52" s="199"/>
      <c r="AY52" s="199"/>
      <c r="AZ52" s="199"/>
      <c r="BA52" s="199"/>
      <c r="BB52" s="199"/>
      <c r="BC52" s="199"/>
      <c r="BD52" s="199"/>
      <c r="BE52" s="199"/>
      <c r="BF52" s="106"/>
      <c r="BG52" s="106"/>
      <c r="BH52" s="106"/>
      <c r="BI52" s="106"/>
      <c r="BJ52" s="106"/>
      <c r="BK52" s="106"/>
      <c r="BL52" s="106"/>
      <c r="BM52" s="106"/>
      <c r="BN52" s="106"/>
      <c r="BO52" s="106"/>
      <c r="BP52" s="106"/>
      <c r="BQ52" s="106"/>
      <c r="BR52" s="106"/>
      <c r="BS52" s="106"/>
      <c r="BT52" s="106"/>
      <c r="BU52" s="106"/>
      <c r="BV52" s="106"/>
      <c r="BW52" s="106"/>
      <c r="BX52" s="106"/>
    </row>
    <row r="53" spans="1:76" x14ac:dyDescent="0.2">
      <c r="A53" s="274" t="s">
        <v>252</v>
      </c>
      <c r="B53" s="378" t="str">
        <f ca="1">IF(EXACT($C53,"x"),Abfragen!U136,"")</f>
        <v/>
      </c>
      <c r="C53" s="110" t="str">
        <f ca="1">IF(Abfragen!U136=0,"","x")</f>
        <v/>
      </c>
      <c r="D53" s="325"/>
      <c r="E53" s="385"/>
      <c r="F53" s="962"/>
      <c r="G53" s="326"/>
      <c r="H53" s="1739" t="str">
        <f t="shared" ca="1" si="31"/>
        <v/>
      </c>
      <c r="I53" s="1740"/>
      <c r="J53" s="1740"/>
      <c r="K53" s="1740"/>
      <c r="L53" s="1740"/>
      <c r="M53" s="1741"/>
      <c r="N53" s="514" t="str">
        <f t="shared" ca="1" si="32"/>
        <v/>
      </c>
      <c r="O53" s="1073">
        <f t="shared" ca="1" si="33"/>
        <v>0</v>
      </c>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073">
        <f t="shared" ca="1" si="34"/>
        <v>0</v>
      </c>
      <c r="AM53" s="199"/>
      <c r="AN53" s="199"/>
      <c r="AO53" s="199"/>
      <c r="AP53" s="199"/>
      <c r="AQ53" s="199"/>
      <c r="AR53" s="199"/>
      <c r="AS53" s="199"/>
      <c r="AT53" s="199"/>
      <c r="AU53" s="199"/>
      <c r="AV53" s="199"/>
      <c r="AW53" s="199"/>
      <c r="AX53" s="199"/>
      <c r="AY53" s="199"/>
      <c r="AZ53" s="199"/>
      <c r="BA53" s="199"/>
      <c r="BB53" s="199"/>
      <c r="BC53" s="199"/>
      <c r="BD53" s="199"/>
      <c r="BE53" s="199"/>
      <c r="BF53" s="106"/>
      <c r="BG53" s="106"/>
      <c r="BH53" s="106"/>
      <c r="BI53" s="106"/>
      <c r="BJ53" s="106"/>
      <c r="BK53" s="106"/>
      <c r="BL53" s="106"/>
      <c r="BM53" s="106"/>
      <c r="BN53" s="106"/>
      <c r="BO53" s="106"/>
      <c r="BP53" s="106"/>
      <c r="BQ53" s="106"/>
      <c r="BR53" s="106"/>
      <c r="BS53" s="106"/>
      <c r="BT53" s="106"/>
      <c r="BU53" s="106"/>
      <c r="BV53" s="106"/>
      <c r="BW53" s="106"/>
      <c r="BX53" s="106"/>
    </row>
    <row r="54" spans="1:76" x14ac:dyDescent="0.2">
      <c r="A54" s="274" t="s">
        <v>627</v>
      </c>
      <c r="B54" s="378" t="str">
        <f ca="1">IF(EXACT($C54,"x"),Abfragen!U137,"")</f>
        <v/>
      </c>
      <c r="C54" s="110" t="str">
        <f ca="1">IF(Abfragen!U137=0,"","x")</f>
        <v/>
      </c>
      <c r="D54" s="325"/>
      <c r="E54" s="385"/>
      <c r="F54" s="962"/>
      <c r="G54" s="326"/>
      <c r="H54" s="1739" t="str">
        <f t="shared" ca="1" si="31"/>
        <v/>
      </c>
      <c r="I54" s="1740"/>
      <c r="J54" s="1740"/>
      <c r="K54" s="1740"/>
      <c r="L54" s="1740"/>
      <c r="M54" s="1741"/>
      <c r="N54" s="514" t="str">
        <f t="shared" ca="1" si="32"/>
        <v/>
      </c>
      <c r="O54" s="1073">
        <f t="shared" ca="1" si="33"/>
        <v>0</v>
      </c>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073">
        <f t="shared" ca="1" si="34"/>
        <v>0</v>
      </c>
      <c r="AM54" s="199"/>
      <c r="AN54" s="199"/>
      <c r="AO54" s="199"/>
      <c r="AP54" s="199"/>
      <c r="AQ54" s="199"/>
      <c r="AR54" s="199"/>
      <c r="AS54" s="199"/>
      <c r="AT54" s="199"/>
      <c r="AU54" s="199"/>
      <c r="AV54" s="199"/>
      <c r="AW54" s="199"/>
      <c r="AX54" s="199"/>
      <c r="AY54" s="199"/>
      <c r="AZ54" s="199"/>
      <c r="BA54" s="199"/>
      <c r="BB54" s="199"/>
      <c r="BC54" s="199"/>
      <c r="BD54" s="199"/>
      <c r="BE54" s="199"/>
      <c r="BF54" s="106"/>
      <c r="BG54" s="106"/>
      <c r="BH54" s="106"/>
      <c r="BI54" s="106"/>
      <c r="BJ54" s="106"/>
      <c r="BK54" s="106"/>
      <c r="BL54" s="106"/>
      <c r="BM54" s="106"/>
      <c r="BN54" s="106"/>
      <c r="BO54" s="106"/>
      <c r="BP54" s="106"/>
      <c r="BQ54" s="106"/>
      <c r="BR54" s="106"/>
      <c r="BS54" s="106"/>
      <c r="BT54" s="106"/>
      <c r="BU54" s="106"/>
      <c r="BV54" s="106"/>
      <c r="BW54" s="106"/>
      <c r="BX54" s="106"/>
    </row>
    <row r="55" spans="1:76" x14ac:dyDescent="0.2">
      <c r="A55" s="274" t="s">
        <v>628</v>
      </c>
      <c r="B55" s="378" t="str">
        <f ca="1">IF(EXACT($C55,"x"),Abfragen!U138,"")</f>
        <v/>
      </c>
      <c r="C55" s="110" t="str">
        <f ca="1">IF(Abfragen!U138=0,"","x")</f>
        <v/>
      </c>
      <c r="D55" s="325"/>
      <c r="E55" s="385"/>
      <c r="F55" s="962"/>
      <c r="G55" s="326"/>
      <c r="H55" s="1739" t="str">
        <f t="shared" ca="1" si="31"/>
        <v/>
      </c>
      <c r="I55" s="1740"/>
      <c r="J55" s="1740"/>
      <c r="K55" s="1740"/>
      <c r="L55" s="1740"/>
      <c r="M55" s="1741"/>
      <c r="N55" s="514" t="str">
        <f t="shared" ca="1" si="32"/>
        <v/>
      </c>
      <c r="O55" s="1073">
        <f t="shared" ca="1" si="33"/>
        <v>0</v>
      </c>
      <c r="P55" s="199"/>
      <c r="Q55" s="199"/>
      <c r="R55" s="199"/>
      <c r="S55" s="199"/>
      <c r="T55" s="199"/>
      <c r="U55" s="199"/>
      <c r="V55" s="199"/>
      <c r="W55" s="199"/>
      <c r="X55" s="199"/>
      <c r="Y55" s="199"/>
      <c r="Z55" s="199"/>
      <c r="AA55" s="199"/>
      <c r="AB55" s="199"/>
      <c r="AC55" s="199"/>
      <c r="AD55" s="199"/>
      <c r="AE55" s="199"/>
      <c r="AF55" s="199"/>
      <c r="AG55" s="199"/>
      <c r="AH55" s="199"/>
      <c r="AI55" s="199"/>
      <c r="AJ55" s="199"/>
      <c r="AK55" s="199"/>
      <c r="AL55" s="1073">
        <f t="shared" ca="1" si="34"/>
        <v>0</v>
      </c>
      <c r="AM55" s="199"/>
      <c r="AN55" s="199"/>
      <c r="AO55" s="199"/>
      <c r="AP55" s="199"/>
      <c r="AQ55" s="199"/>
      <c r="AR55" s="199"/>
      <c r="AS55" s="199"/>
      <c r="AT55" s="199"/>
      <c r="AU55" s="199"/>
      <c r="AV55" s="199"/>
      <c r="AW55" s="199"/>
      <c r="AX55" s="199"/>
      <c r="AY55" s="199"/>
      <c r="AZ55" s="199"/>
      <c r="BA55" s="199"/>
      <c r="BB55" s="199"/>
      <c r="BC55" s="199"/>
      <c r="BD55" s="199"/>
      <c r="BE55" s="199"/>
      <c r="BF55" s="106"/>
      <c r="BG55" s="106"/>
      <c r="BH55" s="106"/>
      <c r="BI55" s="106"/>
      <c r="BJ55" s="106"/>
      <c r="BK55" s="106"/>
      <c r="BL55" s="106"/>
      <c r="BM55" s="106"/>
      <c r="BN55" s="106"/>
      <c r="BO55" s="106"/>
      <c r="BP55" s="106"/>
      <c r="BQ55" s="106"/>
      <c r="BR55" s="106"/>
      <c r="BS55" s="106"/>
      <c r="BT55" s="106"/>
      <c r="BU55" s="106"/>
      <c r="BV55" s="106"/>
      <c r="BW55" s="106"/>
      <c r="BX55" s="106"/>
    </row>
    <row r="56" spans="1:76" x14ac:dyDescent="0.2">
      <c r="A56" s="274" t="s">
        <v>4839</v>
      </c>
      <c r="B56" s="378" t="str">
        <f ca="1">IF(EXACT($C56,"x"),Abfragen!U139,"")</f>
        <v/>
      </c>
      <c r="C56" s="110" t="str">
        <f ca="1">IF(Abfragen!U139=0,"","x")</f>
        <v/>
      </c>
      <c r="D56" s="325"/>
      <c r="E56" s="385"/>
      <c r="F56" s="962"/>
      <c r="G56" s="326"/>
      <c r="H56" s="1739" t="str">
        <f t="shared" ca="1" si="31"/>
        <v/>
      </c>
      <c r="I56" s="1740"/>
      <c r="J56" s="1740"/>
      <c r="K56" s="1740"/>
      <c r="L56" s="1740"/>
      <c r="M56" s="1741"/>
      <c r="N56" s="514" t="str">
        <f t="shared" ca="1" si="32"/>
        <v/>
      </c>
      <c r="O56" s="1073">
        <f t="shared" ca="1" si="33"/>
        <v>0</v>
      </c>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073">
        <f t="shared" ca="1" si="34"/>
        <v>0</v>
      </c>
      <c r="AM56" s="199"/>
      <c r="AN56" s="199"/>
      <c r="AO56" s="199"/>
      <c r="AP56" s="199"/>
      <c r="AQ56" s="199"/>
      <c r="AR56" s="199"/>
      <c r="AS56" s="199"/>
      <c r="AT56" s="199"/>
      <c r="AU56" s="199"/>
      <c r="AV56" s="199"/>
      <c r="AW56" s="199"/>
      <c r="AX56" s="199"/>
      <c r="AY56" s="199"/>
      <c r="AZ56" s="199"/>
      <c r="BA56" s="199"/>
      <c r="BB56" s="199"/>
      <c r="BC56" s="199"/>
      <c r="BD56" s="199"/>
      <c r="BE56" s="199"/>
      <c r="BF56" s="106"/>
      <c r="BG56" s="106"/>
      <c r="BH56" s="106"/>
      <c r="BI56" s="106"/>
      <c r="BJ56" s="106"/>
      <c r="BK56" s="106"/>
      <c r="BL56" s="106"/>
      <c r="BM56" s="106"/>
      <c r="BN56" s="106"/>
      <c r="BO56" s="106"/>
      <c r="BP56" s="106"/>
      <c r="BQ56" s="106"/>
      <c r="BR56" s="106"/>
      <c r="BS56" s="106"/>
      <c r="BT56" s="106"/>
      <c r="BU56" s="106"/>
      <c r="BV56" s="106"/>
      <c r="BW56" s="106"/>
      <c r="BX56" s="106"/>
    </row>
    <row r="57" spans="1:76" x14ac:dyDescent="0.2">
      <c r="A57" s="274" t="s">
        <v>4948</v>
      </c>
      <c r="B57" s="378" t="str">
        <f ca="1">IF(EXACT($C57,"x"),Abfragen!U140,"")</f>
        <v/>
      </c>
      <c r="C57" s="110" t="str">
        <f ca="1">IF(Abfragen!U140=0,"","x")</f>
        <v/>
      </c>
      <c r="D57" s="325"/>
      <c r="E57" s="385"/>
      <c r="F57" s="962"/>
      <c r="G57" s="326"/>
      <c r="H57" s="1739" t="str">
        <f t="shared" ca="1" si="31"/>
        <v/>
      </c>
      <c r="I57" s="1740"/>
      <c r="J57" s="1740"/>
      <c r="K57" s="1740"/>
      <c r="L57" s="1740"/>
      <c r="M57" s="1741"/>
      <c r="N57" s="514" t="str">
        <f t="shared" ca="1" si="32"/>
        <v/>
      </c>
      <c r="O57" s="1073">
        <f t="shared" ca="1" si="33"/>
        <v>0</v>
      </c>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073">
        <f t="shared" ca="1" si="34"/>
        <v>0</v>
      </c>
      <c r="AM57" s="199"/>
      <c r="AN57" s="199"/>
      <c r="AO57" s="199"/>
      <c r="AP57" s="199"/>
      <c r="AQ57" s="199"/>
      <c r="AR57" s="199"/>
      <c r="AS57" s="199"/>
      <c r="AT57" s="199"/>
      <c r="AU57" s="199"/>
      <c r="AV57" s="199"/>
      <c r="AW57" s="199"/>
      <c r="AX57" s="199"/>
      <c r="AY57" s="199"/>
      <c r="AZ57" s="199"/>
      <c r="BA57" s="199"/>
      <c r="BB57" s="199"/>
      <c r="BC57" s="199"/>
      <c r="BD57" s="199"/>
      <c r="BE57" s="199"/>
      <c r="BF57" s="106"/>
      <c r="BG57" s="106"/>
      <c r="BH57" s="106"/>
      <c r="BI57" s="106"/>
      <c r="BJ57" s="106"/>
      <c r="BK57" s="106"/>
      <c r="BL57" s="106"/>
      <c r="BM57" s="106"/>
      <c r="BN57" s="106"/>
      <c r="BO57" s="106"/>
      <c r="BP57" s="106"/>
      <c r="BQ57" s="106"/>
      <c r="BR57" s="106"/>
      <c r="BS57" s="106"/>
      <c r="BT57" s="106"/>
      <c r="BU57" s="106"/>
      <c r="BV57" s="106"/>
      <c r="BW57" s="106"/>
      <c r="BX57" s="106"/>
    </row>
    <row r="58" spans="1:76" x14ac:dyDescent="0.2">
      <c r="A58" s="274" t="s">
        <v>4612</v>
      </c>
      <c r="B58" s="378" t="str">
        <f ca="1">IF(EXACT($C58,"x"),Abfragen!U141,"")</f>
        <v/>
      </c>
      <c r="C58" s="110" t="str">
        <f ca="1">IF(Abfragen!U141=0,"","x")</f>
        <v/>
      </c>
      <c r="D58" s="325"/>
      <c r="E58" s="385"/>
      <c r="F58" s="962"/>
      <c r="G58" s="326"/>
      <c r="H58" s="1739" t="str">
        <f t="shared" ca="1" si="31"/>
        <v/>
      </c>
      <c r="I58" s="1740"/>
      <c r="J58" s="1740"/>
      <c r="K58" s="1740"/>
      <c r="L58" s="1740"/>
      <c r="M58" s="1741"/>
      <c r="N58" s="514" t="str">
        <f t="shared" ca="1" si="32"/>
        <v/>
      </c>
      <c r="O58" s="1073">
        <f t="shared" ca="1" si="33"/>
        <v>0</v>
      </c>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073">
        <f t="shared" ca="1" si="34"/>
        <v>0</v>
      </c>
      <c r="AM58" s="199"/>
      <c r="AN58" s="199"/>
      <c r="AO58" s="199"/>
      <c r="AP58" s="199"/>
      <c r="AQ58" s="199"/>
      <c r="AR58" s="199"/>
      <c r="AS58" s="199"/>
      <c r="AT58" s="199"/>
      <c r="AU58" s="199"/>
      <c r="AV58" s="199"/>
      <c r="AW58" s="199"/>
      <c r="AX58" s="199"/>
      <c r="AY58" s="199"/>
      <c r="AZ58" s="199"/>
      <c r="BA58" s="199"/>
      <c r="BB58" s="199"/>
      <c r="BC58" s="199"/>
      <c r="BD58" s="199"/>
      <c r="BE58" s="199"/>
      <c r="BF58" s="106"/>
      <c r="BG58" s="106"/>
      <c r="BH58" s="106"/>
      <c r="BI58" s="106"/>
      <c r="BJ58" s="106"/>
      <c r="BK58" s="106"/>
      <c r="BL58" s="106"/>
      <c r="BM58" s="106"/>
      <c r="BN58" s="106"/>
      <c r="BO58" s="106"/>
      <c r="BP58" s="106"/>
      <c r="BQ58" s="106"/>
      <c r="BR58" s="106"/>
      <c r="BS58" s="106"/>
      <c r="BT58" s="106"/>
      <c r="BU58" s="106"/>
      <c r="BV58" s="106"/>
      <c r="BW58" s="106"/>
      <c r="BX58" s="106"/>
    </row>
    <row r="59" spans="1:76" x14ac:dyDescent="0.2">
      <c r="A59" s="274" t="s">
        <v>4840</v>
      </c>
      <c r="B59" s="378" t="str">
        <f ca="1">IF(EXACT($C59,"x"),Abfragen!U142,"")</f>
        <v/>
      </c>
      <c r="C59" s="110" t="str">
        <f ca="1">IF(Abfragen!U142=0,"","x")</f>
        <v/>
      </c>
      <c r="D59" s="325"/>
      <c r="E59" s="385"/>
      <c r="F59" s="962"/>
      <c r="G59" s="326"/>
      <c r="H59" s="1739" t="str">
        <f t="shared" ca="1" si="31"/>
        <v/>
      </c>
      <c r="I59" s="1740"/>
      <c r="J59" s="1740"/>
      <c r="K59" s="1740"/>
      <c r="L59" s="1740"/>
      <c r="M59" s="1741"/>
      <c r="N59" s="514" t="str">
        <f t="shared" ca="1" si="32"/>
        <v/>
      </c>
      <c r="O59" s="1073">
        <f t="shared" ca="1" si="33"/>
        <v>0</v>
      </c>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073">
        <f t="shared" ca="1" si="34"/>
        <v>0</v>
      </c>
      <c r="AM59" s="199"/>
      <c r="AN59" s="199"/>
      <c r="AO59" s="199"/>
      <c r="AP59" s="199"/>
      <c r="AQ59" s="199"/>
      <c r="AR59" s="199"/>
      <c r="AS59" s="199"/>
      <c r="AT59" s="199"/>
      <c r="AU59" s="199"/>
      <c r="AV59" s="199"/>
      <c r="AW59" s="199"/>
      <c r="AX59" s="199"/>
      <c r="AY59" s="199"/>
      <c r="AZ59" s="199"/>
      <c r="BA59" s="199"/>
      <c r="BB59" s="199"/>
      <c r="BC59" s="199"/>
      <c r="BD59" s="199"/>
      <c r="BE59" s="199"/>
      <c r="BF59" s="106"/>
      <c r="BG59" s="106"/>
      <c r="BH59" s="106"/>
      <c r="BI59" s="106"/>
      <c r="BJ59" s="106"/>
      <c r="BK59" s="106"/>
      <c r="BL59" s="106"/>
      <c r="BM59" s="106"/>
      <c r="BN59" s="106"/>
      <c r="BO59" s="106"/>
      <c r="BP59" s="106"/>
      <c r="BQ59" s="106"/>
      <c r="BR59" s="106"/>
      <c r="BS59" s="106"/>
      <c r="BT59" s="106"/>
      <c r="BU59" s="106"/>
      <c r="BV59" s="106"/>
      <c r="BW59" s="106"/>
      <c r="BX59" s="106"/>
    </row>
    <row r="60" spans="1:76" x14ac:dyDescent="0.2">
      <c r="A60" s="274" t="s">
        <v>4841</v>
      </c>
      <c r="B60" s="378" t="str">
        <f ca="1">IF(EXACT($C60,"x"),Abfragen!U143,"")</f>
        <v/>
      </c>
      <c r="C60" s="110" t="str">
        <f ca="1">IF(Abfragen!U143=0,"","x")</f>
        <v/>
      </c>
      <c r="D60" s="325"/>
      <c r="E60" s="385"/>
      <c r="F60" s="962"/>
      <c r="G60" s="326"/>
      <c r="H60" s="1739" t="str">
        <f t="shared" ca="1" si="31"/>
        <v/>
      </c>
      <c r="I60" s="1740"/>
      <c r="J60" s="1740"/>
      <c r="K60" s="1740"/>
      <c r="L60" s="1740"/>
      <c r="M60" s="1741"/>
      <c r="N60" s="514" t="str">
        <f t="shared" ca="1" si="32"/>
        <v/>
      </c>
      <c r="O60" s="1073">
        <f t="shared" ca="1" si="33"/>
        <v>0</v>
      </c>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073">
        <f t="shared" ca="1" si="34"/>
        <v>0</v>
      </c>
      <c r="AM60" s="199"/>
      <c r="AN60" s="199"/>
      <c r="AO60" s="199"/>
      <c r="AP60" s="199"/>
      <c r="AQ60" s="199"/>
      <c r="AR60" s="199"/>
      <c r="AS60" s="199"/>
      <c r="AT60" s="199"/>
      <c r="AU60" s="199"/>
      <c r="AV60" s="199"/>
      <c r="AW60" s="199"/>
      <c r="AX60" s="199"/>
      <c r="AY60" s="199"/>
      <c r="AZ60" s="199"/>
      <c r="BA60" s="199"/>
      <c r="BB60" s="199"/>
      <c r="BC60" s="199"/>
      <c r="BD60" s="199"/>
      <c r="BE60" s="199"/>
      <c r="BF60" s="106"/>
      <c r="BG60" s="106"/>
      <c r="BH60" s="106"/>
      <c r="BI60" s="106"/>
      <c r="BJ60" s="106"/>
      <c r="BK60" s="106"/>
      <c r="BL60" s="106"/>
      <c r="BM60" s="106"/>
      <c r="BN60" s="106"/>
      <c r="BO60" s="106"/>
      <c r="BP60" s="106"/>
      <c r="BQ60" s="106"/>
      <c r="BR60" s="106"/>
      <c r="BS60" s="106"/>
      <c r="BT60" s="106"/>
      <c r="BU60" s="106"/>
      <c r="BV60" s="106"/>
      <c r="BW60" s="106"/>
      <c r="BX60" s="106"/>
    </row>
    <row r="61" spans="1:76" x14ac:dyDescent="0.2">
      <c r="A61" s="274" t="s">
        <v>3344</v>
      </c>
      <c r="B61" s="378" t="str">
        <f ca="1">IF(EXACT($C61,"x"),Abfragen!U144,"")</f>
        <v/>
      </c>
      <c r="C61" s="110" t="str">
        <f ca="1">IF(Abfragen!U144=0,"","x")</f>
        <v/>
      </c>
      <c r="D61" s="325"/>
      <c r="E61" s="385"/>
      <c r="F61" s="962"/>
      <c r="G61" s="326"/>
      <c r="H61" s="1739" t="str">
        <f t="shared" ca="1" si="31"/>
        <v/>
      </c>
      <c r="I61" s="1740"/>
      <c r="J61" s="1740"/>
      <c r="K61" s="1740"/>
      <c r="L61" s="1740"/>
      <c r="M61" s="1741"/>
      <c r="N61" s="514" t="str">
        <f t="shared" ca="1" si="32"/>
        <v/>
      </c>
      <c r="O61" s="1073">
        <f t="shared" ca="1" si="33"/>
        <v>0</v>
      </c>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073">
        <f t="shared" ca="1" si="34"/>
        <v>0</v>
      </c>
      <c r="AM61" s="199"/>
      <c r="AN61" s="199"/>
      <c r="AO61" s="199"/>
      <c r="AP61" s="199"/>
      <c r="AQ61" s="199"/>
      <c r="AR61" s="199"/>
      <c r="AS61" s="199"/>
      <c r="AT61" s="199"/>
      <c r="AU61" s="199"/>
      <c r="AV61" s="199"/>
      <c r="AW61" s="199"/>
      <c r="AX61" s="199"/>
      <c r="AY61" s="199"/>
      <c r="AZ61" s="199"/>
      <c r="BA61" s="199"/>
      <c r="BB61" s="199"/>
      <c r="BC61" s="199"/>
      <c r="BD61" s="199"/>
      <c r="BE61" s="199"/>
      <c r="BF61" s="106"/>
      <c r="BG61" s="106"/>
      <c r="BH61" s="106"/>
      <c r="BI61" s="106"/>
      <c r="BJ61" s="106"/>
      <c r="BK61" s="106"/>
      <c r="BL61" s="106"/>
      <c r="BM61" s="106"/>
      <c r="BN61" s="106"/>
      <c r="BO61" s="106"/>
      <c r="BP61" s="106"/>
      <c r="BQ61" s="106"/>
      <c r="BR61" s="106"/>
      <c r="BS61" s="106"/>
      <c r="BT61" s="106"/>
      <c r="BU61" s="106"/>
      <c r="BV61" s="106"/>
      <c r="BW61" s="106"/>
      <c r="BX61" s="106"/>
    </row>
    <row r="62" spans="1:76" x14ac:dyDescent="0.2">
      <c r="A62" s="274" t="s">
        <v>3240</v>
      </c>
      <c r="B62" s="378" t="str">
        <f ca="1">IF(EXACT($C62,"x"),Abfragen!U145,"")</f>
        <v/>
      </c>
      <c r="C62" s="110" t="str">
        <f ca="1">IF(Abfragen!U145=0,"","x")</f>
        <v/>
      </c>
      <c r="D62" s="325"/>
      <c r="E62" s="385"/>
      <c r="F62" s="962"/>
      <c r="G62" s="326"/>
      <c r="H62" s="1739" t="str">
        <f t="shared" ca="1" si="31"/>
        <v/>
      </c>
      <c r="I62" s="1740"/>
      <c r="J62" s="1740"/>
      <c r="K62" s="1740"/>
      <c r="L62" s="1740"/>
      <c r="M62" s="1741"/>
      <c r="N62" s="514" t="str">
        <f t="shared" ca="1" si="32"/>
        <v/>
      </c>
      <c r="O62" s="1073">
        <f t="shared" ca="1" si="33"/>
        <v>0</v>
      </c>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073">
        <f t="shared" ca="1" si="34"/>
        <v>0</v>
      </c>
      <c r="AM62" s="199"/>
      <c r="AN62" s="199"/>
      <c r="AO62" s="199"/>
      <c r="AP62" s="199"/>
      <c r="AQ62" s="199"/>
      <c r="AR62" s="199"/>
      <c r="AS62" s="199"/>
      <c r="AT62" s="199"/>
      <c r="AU62" s="199"/>
      <c r="AV62" s="199"/>
      <c r="AW62" s="199"/>
      <c r="AX62" s="199"/>
      <c r="AY62" s="199"/>
      <c r="AZ62" s="199"/>
      <c r="BA62" s="199"/>
      <c r="BB62" s="199"/>
      <c r="BC62" s="199"/>
      <c r="BD62" s="199"/>
      <c r="BE62" s="199"/>
      <c r="BF62" s="106"/>
      <c r="BG62" s="106"/>
      <c r="BH62" s="106"/>
      <c r="BI62" s="106"/>
      <c r="BJ62" s="106"/>
      <c r="BK62" s="106"/>
      <c r="BL62" s="106"/>
      <c r="BM62" s="106"/>
      <c r="BN62" s="106"/>
      <c r="BO62" s="106"/>
      <c r="BP62" s="106"/>
      <c r="BQ62" s="106"/>
      <c r="BR62" s="106"/>
      <c r="BS62" s="106"/>
      <c r="BT62" s="106"/>
      <c r="BU62" s="106"/>
      <c r="BV62" s="106"/>
      <c r="BW62" s="106"/>
      <c r="BX62" s="106"/>
    </row>
    <row r="63" spans="1:76" x14ac:dyDescent="0.2">
      <c r="A63" s="274" t="s">
        <v>4842</v>
      </c>
      <c r="B63" s="378" t="str">
        <f ca="1">IF(EXACT($C63,"x"),Abfragen!U146,"")</f>
        <v/>
      </c>
      <c r="C63" s="110" t="str">
        <f ca="1">IF(Abfragen!U146=0,"","x")</f>
        <v/>
      </c>
      <c r="D63" s="325"/>
      <c r="E63" s="385"/>
      <c r="F63" s="962"/>
      <c r="G63" s="326"/>
      <c r="H63" s="1739" t="str">
        <f t="shared" ca="1" si="31"/>
        <v/>
      </c>
      <c r="I63" s="1740"/>
      <c r="J63" s="1740"/>
      <c r="K63" s="1740"/>
      <c r="L63" s="1740"/>
      <c r="M63" s="1741"/>
      <c r="N63" s="514" t="str">
        <f t="shared" ca="1" si="32"/>
        <v/>
      </c>
      <c r="O63" s="1073">
        <f t="shared" ca="1" si="33"/>
        <v>0</v>
      </c>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073">
        <f t="shared" ca="1" si="34"/>
        <v>0</v>
      </c>
      <c r="AM63" s="199"/>
      <c r="AN63" s="199"/>
      <c r="AO63" s="199"/>
      <c r="AP63" s="199"/>
      <c r="AQ63" s="199"/>
      <c r="AR63" s="199"/>
      <c r="AS63" s="199"/>
      <c r="AT63" s="199"/>
      <c r="AU63" s="199"/>
      <c r="AV63" s="199"/>
      <c r="AW63" s="199"/>
      <c r="AX63" s="199"/>
      <c r="AY63" s="199"/>
      <c r="AZ63" s="199"/>
      <c r="BA63" s="199"/>
      <c r="BB63" s="199"/>
      <c r="BC63" s="199"/>
      <c r="BD63" s="199"/>
      <c r="BE63" s="199"/>
      <c r="BF63" s="106"/>
      <c r="BG63" s="106"/>
      <c r="BH63" s="106"/>
      <c r="BI63" s="106"/>
      <c r="BJ63" s="106"/>
      <c r="BK63" s="106"/>
      <c r="BL63" s="106"/>
      <c r="BM63" s="106"/>
      <c r="BN63" s="106"/>
      <c r="BO63" s="106"/>
      <c r="BP63" s="106"/>
      <c r="BQ63" s="106"/>
      <c r="BR63" s="106"/>
      <c r="BS63" s="106"/>
      <c r="BT63" s="106"/>
      <c r="BU63" s="106"/>
      <c r="BV63" s="106"/>
      <c r="BW63" s="106"/>
      <c r="BX63" s="106"/>
    </row>
    <row r="64" spans="1:76" x14ac:dyDescent="0.2">
      <c r="A64" s="274" t="s">
        <v>2187</v>
      </c>
      <c r="B64" s="378" t="str">
        <f ca="1">IF(EXACT($C64,"x"),Abfragen!U147,"")</f>
        <v/>
      </c>
      <c r="C64" s="110" t="str">
        <f ca="1">IF(Abfragen!U147=0,"","x")</f>
        <v/>
      </c>
      <c r="D64" s="325"/>
      <c r="E64" s="385"/>
      <c r="F64" s="962"/>
      <c r="G64" s="326"/>
      <c r="H64" s="1739" t="str">
        <f t="shared" ca="1" si="31"/>
        <v/>
      </c>
      <c r="I64" s="1740"/>
      <c r="J64" s="1740"/>
      <c r="K64" s="1740"/>
      <c r="L64" s="1740"/>
      <c r="M64" s="1741"/>
      <c r="N64" s="514" t="str">
        <f t="shared" ca="1" si="32"/>
        <v/>
      </c>
      <c r="O64" s="1073">
        <f t="shared" ca="1" si="33"/>
        <v>0</v>
      </c>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073">
        <f t="shared" ca="1" si="34"/>
        <v>0</v>
      </c>
      <c r="AM64" s="199"/>
      <c r="AN64" s="199"/>
      <c r="AO64" s="199"/>
      <c r="AP64" s="199"/>
      <c r="AQ64" s="199"/>
      <c r="AR64" s="199"/>
      <c r="AS64" s="199"/>
      <c r="AT64" s="199"/>
      <c r="AU64" s="199"/>
      <c r="AV64" s="199"/>
      <c r="AW64" s="199"/>
      <c r="AX64" s="199"/>
      <c r="AY64" s="199"/>
      <c r="AZ64" s="199"/>
      <c r="BA64" s="199"/>
      <c r="BB64" s="199"/>
      <c r="BC64" s="199"/>
      <c r="BD64" s="199"/>
      <c r="BE64" s="199"/>
      <c r="BF64" s="106"/>
      <c r="BG64" s="106"/>
      <c r="BH64" s="106"/>
      <c r="BI64" s="106"/>
      <c r="BJ64" s="106"/>
      <c r="BK64" s="106"/>
      <c r="BL64" s="106"/>
      <c r="BM64" s="106"/>
      <c r="BN64" s="106"/>
      <c r="BO64" s="106"/>
      <c r="BP64" s="106"/>
      <c r="BQ64" s="106"/>
      <c r="BR64" s="106"/>
      <c r="BS64" s="106"/>
      <c r="BT64" s="106"/>
      <c r="BU64" s="106"/>
      <c r="BV64" s="106"/>
      <c r="BW64" s="106"/>
      <c r="BX64" s="106"/>
    </row>
    <row r="65" spans="1:76" x14ac:dyDescent="0.2">
      <c r="A65" s="274" t="s">
        <v>2574</v>
      </c>
      <c r="B65" s="378" t="str">
        <f ca="1">IF(EXACT($C65,"x"),Abfragen!U148,"")</f>
        <v/>
      </c>
      <c r="C65" s="110" t="str">
        <f ca="1">IF(Abfragen!U148=0,"","x")</f>
        <v/>
      </c>
      <c r="D65" s="325"/>
      <c r="E65" s="385"/>
      <c r="F65" s="962"/>
      <c r="G65" s="326"/>
      <c r="H65" s="1739" t="str">
        <f t="shared" ca="1" si="31"/>
        <v/>
      </c>
      <c r="I65" s="1740"/>
      <c r="J65" s="1740"/>
      <c r="K65" s="1740"/>
      <c r="L65" s="1740"/>
      <c r="M65" s="1741"/>
      <c r="N65" s="514" t="str">
        <f t="shared" ca="1" si="32"/>
        <v/>
      </c>
      <c r="O65" s="1073">
        <f t="shared" ca="1" si="33"/>
        <v>0</v>
      </c>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1073">
        <f t="shared" ca="1" si="34"/>
        <v>0</v>
      </c>
      <c r="AM65" s="199"/>
      <c r="AN65" s="199"/>
      <c r="AO65" s="199"/>
      <c r="AP65" s="199"/>
      <c r="AQ65" s="199"/>
      <c r="AR65" s="199"/>
      <c r="AS65" s="199"/>
      <c r="AT65" s="199"/>
      <c r="AU65" s="199"/>
      <c r="AV65" s="199"/>
      <c r="AW65" s="199"/>
      <c r="AX65" s="199"/>
      <c r="AY65" s="199"/>
      <c r="AZ65" s="199"/>
      <c r="BA65" s="199"/>
      <c r="BB65" s="199"/>
      <c r="BC65" s="199"/>
      <c r="BD65" s="199"/>
      <c r="BE65" s="199"/>
      <c r="BF65" s="106"/>
      <c r="BG65" s="106"/>
      <c r="BH65" s="106"/>
      <c r="BI65" s="106"/>
      <c r="BJ65" s="106"/>
      <c r="BK65" s="106"/>
      <c r="BL65" s="106"/>
      <c r="BM65" s="106"/>
      <c r="BN65" s="106"/>
      <c r="BO65" s="106"/>
      <c r="BP65" s="106"/>
      <c r="BQ65" s="106"/>
      <c r="BR65" s="106"/>
      <c r="BS65" s="106"/>
      <c r="BT65" s="106"/>
      <c r="BU65" s="106"/>
      <c r="BV65" s="106"/>
      <c r="BW65" s="106"/>
      <c r="BX65" s="106"/>
    </row>
    <row r="66" spans="1:76" x14ac:dyDescent="0.2">
      <c r="A66" s="274" t="s">
        <v>3241</v>
      </c>
      <c r="B66" s="378" t="str">
        <f ca="1">IF(EXACT($C66,"x"),Abfragen!U149,"")</f>
        <v/>
      </c>
      <c r="C66" s="110" t="str">
        <f ca="1">IF(Abfragen!U149=0,"","x")</f>
        <v/>
      </c>
      <c r="D66" s="325"/>
      <c r="E66" s="385"/>
      <c r="F66" s="962"/>
      <c r="G66" s="326"/>
      <c r="H66" s="1739" t="str">
        <f t="shared" ca="1" si="31"/>
        <v/>
      </c>
      <c r="I66" s="1740"/>
      <c r="J66" s="1740"/>
      <c r="K66" s="1740"/>
      <c r="L66" s="1740"/>
      <c r="M66" s="1741"/>
      <c r="N66" s="514" t="str">
        <f t="shared" ca="1" si="32"/>
        <v/>
      </c>
      <c r="O66" s="1073">
        <f t="shared" ca="1" si="33"/>
        <v>0</v>
      </c>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073">
        <f t="shared" ca="1" si="34"/>
        <v>0</v>
      </c>
      <c r="AM66" s="199"/>
      <c r="AN66" s="199"/>
      <c r="AO66" s="199"/>
      <c r="AP66" s="199"/>
      <c r="AQ66" s="199"/>
      <c r="AR66" s="199"/>
      <c r="AS66" s="199"/>
      <c r="AT66" s="199"/>
      <c r="AU66" s="199"/>
      <c r="AV66" s="199"/>
      <c r="AW66" s="199"/>
      <c r="AX66" s="199"/>
      <c r="AY66" s="199"/>
      <c r="AZ66" s="199"/>
      <c r="BA66" s="199"/>
      <c r="BB66" s="199"/>
      <c r="BC66" s="199"/>
      <c r="BD66" s="199"/>
      <c r="BE66" s="199"/>
      <c r="BF66" s="106"/>
      <c r="BG66" s="106"/>
      <c r="BH66" s="106"/>
      <c r="BI66" s="106"/>
      <c r="BJ66" s="106"/>
      <c r="BK66" s="106"/>
      <c r="BL66" s="106"/>
      <c r="BM66" s="106"/>
      <c r="BN66" s="106"/>
      <c r="BO66" s="106"/>
      <c r="BP66" s="106"/>
      <c r="BQ66" s="106"/>
      <c r="BR66" s="106"/>
      <c r="BS66" s="106"/>
      <c r="BT66" s="106"/>
      <c r="BU66" s="106"/>
      <c r="BV66" s="106"/>
      <c r="BW66" s="106"/>
      <c r="BX66" s="106"/>
    </row>
    <row r="67" spans="1:76" x14ac:dyDescent="0.2">
      <c r="A67" s="274" t="s">
        <v>2575</v>
      </c>
      <c r="B67" s="378" t="str">
        <f ca="1">IF(EXACT($C67,"x"),Abfragen!U150,"")</f>
        <v/>
      </c>
      <c r="C67" s="110" t="str">
        <f ca="1">IF(Abfragen!U150=0,"","x")</f>
        <v/>
      </c>
      <c r="D67" s="325"/>
      <c r="E67" s="385"/>
      <c r="F67" s="962"/>
      <c r="G67" s="326"/>
      <c r="H67" s="1739" t="str">
        <f t="shared" ca="1" si="31"/>
        <v/>
      </c>
      <c r="I67" s="1740"/>
      <c r="J67" s="1740"/>
      <c r="K67" s="1740"/>
      <c r="L67" s="1740"/>
      <c r="M67" s="1741"/>
      <c r="N67" s="514" t="str">
        <f t="shared" ca="1" si="32"/>
        <v/>
      </c>
      <c r="O67" s="1073">
        <f t="shared" ca="1" si="33"/>
        <v>0</v>
      </c>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073">
        <f t="shared" ca="1" si="34"/>
        <v>0</v>
      </c>
      <c r="AM67" s="199"/>
      <c r="AN67" s="199"/>
      <c r="AO67" s="199"/>
      <c r="AP67" s="199"/>
      <c r="AQ67" s="199"/>
      <c r="AR67" s="199"/>
      <c r="AS67" s="199"/>
      <c r="AT67" s="199"/>
      <c r="AU67" s="199"/>
      <c r="AV67" s="199"/>
      <c r="AW67" s="199"/>
      <c r="AX67" s="199"/>
      <c r="AY67" s="199"/>
      <c r="AZ67" s="199"/>
      <c r="BA67" s="199"/>
      <c r="BB67" s="199"/>
      <c r="BC67" s="199"/>
      <c r="BD67" s="199"/>
      <c r="BE67" s="199"/>
      <c r="BF67" s="106"/>
      <c r="BG67" s="106"/>
      <c r="BH67" s="106"/>
      <c r="BI67" s="106"/>
      <c r="BJ67" s="106"/>
      <c r="BK67" s="106"/>
      <c r="BL67" s="106"/>
      <c r="BM67" s="106"/>
      <c r="BN67" s="106"/>
      <c r="BO67" s="106"/>
      <c r="BP67" s="106"/>
      <c r="BQ67" s="106"/>
      <c r="BR67" s="106"/>
      <c r="BS67" s="106"/>
      <c r="BT67" s="106"/>
      <c r="BU67" s="106"/>
      <c r="BV67" s="106"/>
      <c r="BW67" s="106"/>
      <c r="BX67" s="106"/>
    </row>
    <row r="68" spans="1:76" x14ac:dyDescent="0.2">
      <c r="A68" s="274" t="s">
        <v>3242</v>
      </c>
      <c r="B68" s="378" t="str">
        <f ca="1">IF(EXACT($C68,"x"),Abfragen!U151,"")</f>
        <v/>
      </c>
      <c r="C68" s="110" t="str">
        <f ca="1">IF(Abfragen!U151=0,"","x")</f>
        <v/>
      </c>
      <c r="D68" s="325"/>
      <c r="E68" s="385"/>
      <c r="F68" s="962"/>
      <c r="G68" s="326"/>
      <c r="H68" s="1739" t="str">
        <f t="shared" ca="1" si="31"/>
        <v/>
      </c>
      <c r="I68" s="1740"/>
      <c r="J68" s="1740"/>
      <c r="K68" s="1740"/>
      <c r="L68" s="1740"/>
      <c r="M68" s="1741"/>
      <c r="N68" s="514" t="str">
        <f t="shared" ca="1" si="32"/>
        <v/>
      </c>
      <c r="O68" s="1073">
        <f t="shared" ca="1" si="33"/>
        <v>0</v>
      </c>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073">
        <f t="shared" ca="1" si="34"/>
        <v>0</v>
      </c>
      <c r="AM68" s="199"/>
      <c r="AN68" s="199"/>
      <c r="AO68" s="199"/>
      <c r="AP68" s="199"/>
      <c r="AQ68" s="199"/>
      <c r="AR68" s="199"/>
      <c r="AS68" s="199"/>
      <c r="AT68" s="199"/>
      <c r="AU68" s="199"/>
      <c r="AV68" s="199"/>
      <c r="AW68" s="199"/>
      <c r="AX68" s="199"/>
      <c r="AY68" s="199"/>
      <c r="AZ68" s="199"/>
      <c r="BA68" s="199"/>
      <c r="BB68" s="199"/>
      <c r="BC68" s="199"/>
      <c r="BD68" s="199"/>
      <c r="BE68" s="199"/>
      <c r="BF68" s="106"/>
      <c r="BG68" s="106"/>
      <c r="BH68" s="106"/>
      <c r="BI68" s="106"/>
      <c r="BJ68" s="106"/>
      <c r="BK68" s="106"/>
      <c r="BL68" s="106"/>
      <c r="BM68" s="106"/>
      <c r="BN68" s="106"/>
      <c r="BO68" s="106"/>
      <c r="BP68" s="106"/>
      <c r="BQ68" s="106"/>
      <c r="BR68" s="106"/>
      <c r="BS68" s="106"/>
      <c r="BT68" s="106"/>
      <c r="BU68" s="106"/>
      <c r="BV68" s="106"/>
      <c r="BW68" s="106"/>
      <c r="BX68" s="106"/>
    </row>
    <row r="69" spans="1:76" x14ac:dyDescent="0.2">
      <c r="A69" s="274" t="s">
        <v>3243</v>
      </c>
      <c r="B69" s="378" t="str">
        <f ca="1">IF(EXACT($C69,"x"),Abfragen!U152,"")</f>
        <v/>
      </c>
      <c r="C69" s="110" t="str">
        <f ca="1">IF(Abfragen!U152=0,"","x")</f>
        <v/>
      </c>
      <c r="D69" s="325"/>
      <c r="E69" s="385"/>
      <c r="F69" s="962"/>
      <c r="G69" s="326"/>
      <c r="H69" s="1739" t="str">
        <f t="shared" ca="1" si="31"/>
        <v/>
      </c>
      <c r="I69" s="1740"/>
      <c r="J69" s="1740"/>
      <c r="K69" s="1740"/>
      <c r="L69" s="1740"/>
      <c r="M69" s="1741"/>
      <c r="N69" s="514" t="str">
        <f t="shared" ca="1" si="32"/>
        <v/>
      </c>
      <c r="O69" s="1073">
        <f t="shared" ca="1" si="33"/>
        <v>0</v>
      </c>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073">
        <f t="shared" ca="1" si="34"/>
        <v>0</v>
      </c>
      <c r="AM69" s="199"/>
      <c r="AN69" s="199"/>
      <c r="AO69" s="199"/>
      <c r="AP69" s="199"/>
      <c r="AQ69" s="199"/>
      <c r="AR69" s="199"/>
      <c r="AS69" s="199"/>
      <c r="AT69" s="199"/>
      <c r="AU69" s="199"/>
      <c r="AV69" s="199"/>
      <c r="AW69" s="199"/>
      <c r="AX69" s="199"/>
      <c r="AY69" s="199"/>
      <c r="AZ69" s="199"/>
      <c r="BA69" s="199"/>
      <c r="BB69" s="199"/>
      <c r="BC69" s="199"/>
      <c r="BD69" s="199"/>
      <c r="BE69" s="199"/>
      <c r="BF69" s="106"/>
      <c r="BG69" s="106"/>
      <c r="BH69" s="106"/>
      <c r="BI69" s="106"/>
      <c r="BJ69" s="106"/>
      <c r="BK69" s="106"/>
      <c r="BL69" s="106"/>
      <c r="BM69" s="106"/>
      <c r="BN69" s="106"/>
      <c r="BO69" s="106"/>
      <c r="BP69" s="106"/>
      <c r="BQ69" s="106"/>
      <c r="BR69" s="106"/>
      <c r="BS69" s="106"/>
      <c r="BT69" s="106"/>
      <c r="BU69" s="106"/>
      <c r="BV69" s="106"/>
      <c r="BW69" s="106"/>
      <c r="BX69" s="106"/>
    </row>
    <row r="70" spans="1:76" x14ac:dyDescent="0.2">
      <c r="A70" s="274" t="s">
        <v>2577</v>
      </c>
      <c r="B70" s="378" t="str">
        <f ca="1">IF(EXACT($C70,"x"),Abfragen!U153,"")</f>
        <v/>
      </c>
      <c r="C70" s="110" t="str">
        <f ca="1">IF(Abfragen!U153=0,"","x")</f>
        <v/>
      </c>
      <c r="D70" s="325"/>
      <c r="E70" s="385"/>
      <c r="F70" s="962"/>
      <c r="G70" s="326"/>
      <c r="H70" s="1739" t="str">
        <f t="shared" ca="1" si="31"/>
        <v/>
      </c>
      <c r="I70" s="1740"/>
      <c r="J70" s="1740"/>
      <c r="K70" s="1740"/>
      <c r="L70" s="1740"/>
      <c r="M70" s="1741"/>
      <c r="N70" s="514" t="str">
        <f t="shared" ca="1" si="32"/>
        <v/>
      </c>
      <c r="O70" s="1073">
        <f t="shared" ca="1" si="33"/>
        <v>0</v>
      </c>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073">
        <f t="shared" ca="1" si="34"/>
        <v>0</v>
      </c>
      <c r="AM70" s="199"/>
      <c r="AN70" s="199"/>
      <c r="AO70" s="199"/>
      <c r="AP70" s="199"/>
      <c r="AQ70" s="199"/>
      <c r="AR70" s="199"/>
      <c r="AS70" s="199"/>
      <c r="AT70" s="199"/>
      <c r="AU70" s="199"/>
      <c r="AV70" s="199"/>
      <c r="AW70" s="199"/>
      <c r="AX70" s="199"/>
      <c r="AY70" s="199"/>
      <c r="AZ70" s="199"/>
      <c r="BA70" s="199"/>
      <c r="BB70" s="199"/>
      <c r="BC70" s="199"/>
      <c r="BD70" s="199"/>
      <c r="BE70" s="199"/>
      <c r="BF70" s="106"/>
      <c r="BG70" s="106"/>
      <c r="BH70" s="106"/>
      <c r="BI70" s="106"/>
      <c r="BJ70" s="106"/>
      <c r="BK70" s="106"/>
      <c r="BL70" s="106"/>
      <c r="BM70" s="106"/>
      <c r="BN70" s="106"/>
      <c r="BO70" s="106"/>
      <c r="BP70" s="106"/>
      <c r="BQ70" s="106"/>
      <c r="BR70" s="106"/>
      <c r="BS70" s="106"/>
      <c r="BT70" s="106"/>
      <c r="BU70" s="106"/>
      <c r="BV70" s="106"/>
      <c r="BW70" s="106"/>
      <c r="BX70" s="106"/>
    </row>
    <row r="71" spans="1:76" x14ac:dyDescent="0.2">
      <c r="A71" s="274" t="s">
        <v>839</v>
      </c>
      <c r="B71" s="378" t="str">
        <f ca="1">IF(EXACT($C71,"x"),Abfragen!U155,"")</f>
        <v/>
      </c>
      <c r="C71" s="110" t="str">
        <f ca="1">IF(Abfragen!U155=0,"","x")</f>
        <v/>
      </c>
      <c r="D71" s="325"/>
      <c r="E71" s="385"/>
      <c r="F71" s="962"/>
      <c r="G71" s="326"/>
      <c r="H71" s="1739" t="str">
        <f t="shared" ca="1" si="31"/>
        <v/>
      </c>
      <c r="I71" s="1740"/>
      <c r="J71" s="1740"/>
      <c r="K71" s="1740"/>
      <c r="L71" s="1740"/>
      <c r="M71" s="1741"/>
      <c r="N71" s="514" t="str">
        <f t="shared" ca="1" si="32"/>
        <v/>
      </c>
      <c r="O71" s="1073">
        <f t="shared" ca="1" si="33"/>
        <v>0</v>
      </c>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073">
        <f t="shared" ca="1" si="34"/>
        <v>0</v>
      </c>
      <c r="AM71" s="199"/>
      <c r="AN71" s="199"/>
      <c r="AO71" s="199"/>
      <c r="AP71" s="199"/>
      <c r="AQ71" s="199"/>
      <c r="AR71" s="199"/>
      <c r="AS71" s="199"/>
      <c r="AT71" s="199"/>
      <c r="AU71" s="199"/>
      <c r="AV71" s="199"/>
      <c r="AW71" s="199"/>
      <c r="AX71" s="199"/>
      <c r="AY71" s="199"/>
      <c r="AZ71" s="199"/>
      <c r="BA71" s="199"/>
      <c r="BB71" s="199"/>
      <c r="BC71" s="199"/>
      <c r="BD71" s="199"/>
      <c r="BE71" s="199"/>
      <c r="BF71" s="106"/>
      <c r="BG71" s="106"/>
      <c r="BH71" s="106"/>
      <c r="BI71" s="106"/>
      <c r="BJ71" s="106"/>
      <c r="BK71" s="106"/>
      <c r="BL71" s="106"/>
      <c r="BM71" s="106"/>
      <c r="BN71" s="106"/>
      <c r="BO71" s="106"/>
      <c r="BP71" s="106"/>
      <c r="BQ71" s="106"/>
      <c r="BR71" s="106"/>
      <c r="BS71" s="106"/>
      <c r="BT71" s="106"/>
      <c r="BU71" s="106"/>
      <c r="BV71" s="106"/>
      <c r="BW71" s="106"/>
      <c r="BX71" s="106"/>
    </row>
    <row r="72" spans="1:76" x14ac:dyDescent="0.2">
      <c r="A72" s="274" t="s">
        <v>3981</v>
      </c>
      <c r="B72" s="378" t="str">
        <f ca="1">IF(EXACT($C72,"x"),Abfragen!U156,"")</f>
        <v/>
      </c>
      <c r="C72" s="110" t="str">
        <f ca="1">IF(Abfragen!U156=0,"","x")</f>
        <v/>
      </c>
      <c r="D72" s="325"/>
      <c r="E72" s="385"/>
      <c r="F72" s="962"/>
      <c r="G72" s="326"/>
      <c r="H72" s="1739" t="str">
        <f t="shared" ca="1" si="31"/>
        <v/>
      </c>
      <c r="I72" s="1740"/>
      <c r="J72" s="1740"/>
      <c r="K72" s="1740"/>
      <c r="L72" s="1740"/>
      <c r="M72" s="1741"/>
      <c r="N72" s="514" t="str">
        <f t="shared" ca="1" si="32"/>
        <v/>
      </c>
      <c r="O72" s="1073">
        <f t="shared" ca="1" si="33"/>
        <v>0</v>
      </c>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073">
        <f t="shared" ca="1" si="34"/>
        <v>0</v>
      </c>
      <c r="AM72" s="199"/>
      <c r="AN72" s="199"/>
      <c r="AO72" s="199"/>
      <c r="AP72" s="199"/>
      <c r="AQ72" s="199"/>
      <c r="AR72" s="199"/>
      <c r="AS72" s="199"/>
      <c r="AT72" s="199"/>
      <c r="AU72" s="199"/>
      <c r="AV72" s="199"/>
      <c r="AW72" s="199"/>
      <c r="AX72" s="199"/>
      <c r="AY72" s="199"/>
      <c r="AZ72" s="199"/>
      <c r="BA72" s="199"/>
      <c r="BB72" s="199"/>
      <c r="BC72" s="199"/>
      <c r="BD72" s="199"/>
      <c r="BE72" s="199"/>
      <c r="BF72" s="106"/>
      <c r="BG72" s="106"/>
      <c r="BH72" s="106"/>
      <c r="BI72" s="106"/>
      <c r="BJ72" s="106"/>
      <c r="BK72" s="106"/>
      <c r="BL72" s="106"/>
      <c r="BM72" s="106"/>
      <c r="BN72" s="106"/>
      <c r="BO72" s="106"/>
      <c r="BP72" s="106"/>
      <c r="BQ72" s="106"/>
      <c r="BR72" s="106"/>
      <c r="BS72" s="106"/>
      <c r="BT72" s="106"/>
      <c r="BU72" s="106"/>
      <c r="BV72" s="106"/>
      <c r="BW72" s="106"/>
      <c r="BX72" s="106"/>
    </row>
    <row r="73" spans="1:76" x14ac:dyDescent="0.2">
      <c r="A73" s="274" t="s">
        <v>841</v>
      </c>
      <c r="B73" s="378" t="str">
        <f ca="1">IF(EXACT($C73,"x"),Abfragen!U157,"")</f>
        <v/>
      </c>
      <c r="C73" s="110" t="str">
        <f ca="1">IF(Abfragen!U157=0,"","x")</f>
        <v/>
      </c>
      <c r="D73" s="325"/>
      <c r="E73" s="385"/>
      <c r="F73" s="962"/>
      <c r="G73" s="326"/>
      <c r="H73" s="1739" t="str">
        <f t="shared" ca="1" si="31"/>
        <v/>
      </c>
      <c r="I73" s="1740"/>
      <c r="J73" s="1740"/>
      <c r="K73" s="1740"/>
      <c r="L73" s="1740"/>
      <c r="M73" s="1741"/>
      <c r="N73" s="514" t="str">
        <f t="shared" ca="1" si="32"/>
        <v/>
      </c>
      <c r="O73" s="1073">
        <f t="shared" ca="1" si="33"/>
        <v>0</v>
      </c>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073">
        <f t="shared" ca="1" si="34"/>
        <v>0</v>
      </c>
      <c r="AM73" s="199"/>
      <c r="AN73" s="199"/>
      <c r="AO73" s="199"/>
      <c r="AP73" s="199"/>
      <c r="AQ73" s="199"/>
      <c r="AR73" s="199"/>
      <c r="AS73" s="199"/>
      <c r="AT73" s="199"/>
      <c r="AU73" s="199"/>
      <c r="AV73" s="199"/>
      <c r="AW73" s="199"/>
      <c r="AX73" s="199"/>
      <c r="AY73" s="199"/>
      <c r="AZ73" s="199"/>
      <c r="BA73" s="199"/>
      <c r="BB73" s="199"/>
      <c r="BC73" s="199"/>
      <c r="BD73" s="199"/>
      <c r="BE73" s="199"/>
      <c r="BF73" s="106"/>
      <c r="BG73" s="106"/>
      <c r="BH73" s="106"/>
      <c r="BI73" s="106"/>
      <c r="BJ73" s="106"/>
      <c r="BK73" s="106"/>
      <c r="BL73" s="106"/>
      <c r="BM73" s="106"/>
      <c r="BN73" s="106"/>
      <c r="BO73" s="106"/>
      <c r="BP73" s="106"/>
      <c r="BQ73" s="106"/>
      <c r="BR73" s="106"/>
      <c r="BS73" s="106"/>
      <c r="BT73" s="106"/>
      <c r="BU73" s="106"/>
      <c r="BV73" s="106"/>
      <c r="BW73" s="106"/>
      <c r="BX73" s="106"/>
    </row>
    <row r="74" spans="1:76" x14ac:dyDescent="0.2">
      <c r="A74" s="274" t="s">
        <v>842</v>
      </c>
      <c r="B74" s="378" t="str">
        <f ca="1">IF(EXACT($C74,"x"),Abfragen!U158,"")</f>
        <v/>
      </c>
      <c r="C74" s="110" t="str">
        <f ca="1">IF(Abfragen!U158=0,"","x")</f>
        <v/>
      </c>
      <c r="D74" s="325"/>
      <c r="E74" s="385"/>
      <c r="F74" s="962"/>
      <c r="G74" s="326"/>
      <c r="H74" s="1739" t="str">
        <f t="shared" ca="1" si="31"/>
        <v/>
      </c>
      <c r="I74" s="1740"/>
      <c r="J74" s="1740"/>
      <c r="K74" s="1740"/>
      <c r="L74" s="1740"/>
      <c r="M74" s="1741"/>
      <c r="N74" s="514" t="str">
        <f t="shared" ca="1" si="32"/>
        <v/>
      </c>
      <c r="O74" s="1073">
        <f t="shared" ca="1" si="33"/>
        <v>0</v>
      </c>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073">
        <f t="shared" ca="1" si="34"/>
        <v>0</v>
      </c>
      <c r="AM74" s="199"/>
      <c r="AN74" s="199"/>
      <c r="AO74" s="199"/>
      <c r="AP74" s="199"/>
      <c r="AQ74" s="199"/>
      <c r="AR74" s="199"/>
      <c r="AS74" s="199"/>
      <c r="AT74" s="199"/>
      <c r="AU74" s="199"/>
      <c r="AV74" s="199"/>
      <c r="AW74" s="199"/>
      <c r="AX74" s="199"/>
      <c r="AY74" s="199"/>
      <c r="AZ74" s="199"/>
      <c r="BA74" s="199"/>
      <c r="BB74" s="199"/>
      <c r="BC74" s="199"/>
      <c r="BD74" s="199"/>
      <c r="BE74" s="199"/>
      <c r="BF74" s="106"/>
      <c r="BG74" s="106"/>
      <c r="BH74" s="106"/>
      <c r="BI74" s="106"/>
      <c r="BJ74" s="106"/>
      <c r="BK74" s="106"/>
      <c r="BL74" s="106"/>
      <c r="BM74" s="106"/>
      <c r="BN74" s="106"/>
      <c r="BO74" s="106"/>
      <c r="BP74" s="106"/>
      <c r="BQ74" s="106"/>
      <c r="BR74" s="106"/>
      <c r="BS74" s="106"/>
      <c r="BT74" s="106"/>
      <c r="BU74" s="106"/>
      <c r="BV74" s="106"/>
      <c r="BW74" s="106"/>
      <c r="BX74" s="106"/>
    </row>
    <row r="75" spans="1:76" x14ac:dyDescent="0.2">
      <c r="A75" s="274" t="s">
        <v>843</v>
      </c>
      <c r="B75" s="378" t="str">
        <f ca="1">IF(EXACT($C75,"x"),Abfragen!U159,"")</f>
        <v/>
      </c>
      <c r="C75" s="110" t="str">
        <f ca="1">IF(Abfragen!U159=0,"","x")</f>
        <v/>
      </c>
      <c r="D75" s="325"/>
      <c r="E75" s="385"/>
      <c r="F75" s="962"/>
      <c r="G75" s="326"/>
      <c r="H75" s="1739" t="str">
        <f t="shared" ca="1" si="31"/>
        <v/>
      </c>
      <c r="I75" s="1740"/>
      <c r="J75" s="1740"/>
      <c r="K75" s="1740"/>
      <c r="L75" s="1740"/>
      <c r="M75" s="1741"/>
      <c r="N75" s="514" t="str">
        <f t="shared" ca="1" si="32"/>
        <v/>
      </c>
      <c r="O75" s="1073">
        <f t="shared" ca="1" si="33"/>
        <v>0</v>
      </c>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073">
        <f t="shared" ca="1" si="34"/>
        <v>0</v>
      </c>
      <c r="AM75" s="199"/>
      <c r="AN75" s="199"/>
      <c r="AO75" s="199"/>
      <c r="AP75" s="199"/>
      <c r="AQ75" s="199"/>
      <c r="AR75" s="199"/>
      <c r="AS75" s="199"/>
      <c r="AT75" s="199"/>
      <c r="AU75" s="199"/>
      <c r="AV75" s="199"/>
      <c r="AW75" s="199"/>
      <c r="AX75" s="199"/>
      <c r="AY75" s="199"/>
      <c r="AZ75" s="199"/>
      <c r="BA75" s="199"/>
      <c r="BB75" s="199"/>
      <c r="BC75" s="199"/>
      <c r="BD75" s="199"/>
      <c r="BE75" s="199"/>
      <c r="BF75" s="106"/>
      <c r="BG75" s="106"/>
      <c r="BH75" s="106"/>
      <c r="BI75" s="106"/>
      <c r="BJ75" s="106"/>
      <c r="BK75" s="106"/>
      <c r="BL75" s="106"/>
      <c r="BM75" s="106"/>
      <c r="BN75" s="106"/>
      <c r="BO75" s="106"/>
      <c r="BP75" s="106"/>
      <c r="BQ75" s="106"/>
      <c r="BR75" s="106"/>
      <c r="BS75" s="106"/>
      <c r="BT75" s="106"/>
      <c r="BU75" s="106"/>
      <c r="BV75" s="106"/>
      <c r="BW75" s="106"/>
      <c r="BX75" s="106"/>
    </row>
    <row r="76" spans="1:76" x14ac:dyDescent="0.2">
      <c r="A76" s="274" t="s">
        <v>3986</v>
      </c>
      <c r="B76" s="378" t="str">
        <f ca="1">IF(EXACT($C76,"x"),Abfragen!U160,"")</f>
        <v/>
      </c>
      <c r="C76" s="110" t="str">
        <f ca="1">IF(Abfragen!U160=0,"","x")</f>
        <v/>
      </c>
      <c r="D76" s="325"/>
      <c r="E76" s="385"/>
      <c r="F76" s="962"/>
      <c r="G76" s="326"/>
      <c r="H76" s="1739" t="str">
        <f t="shared" ca="1" si="31"/>
        <v/>
      </c>
      <c r="I76" s="1740"/>
      <c r="J76" s="1740"/>
      <c r="K76" s="1740"/>
      <c r="L76" s="1740"/>
      <c r="M76" s="1741"/>
      <c r="N76" s="514" t="str">
        <f t="shared" ca="1" si="32"/>
        <v/>
      </c>
      <c r="O76" s="1073">
        <f t="shared" ca="1" si="33"/>
        <v>0</v>
      </c>
      <c r="P76" s="199"/>
      <c r="Q76" s="199"/>
      <c r="R76" s="199"/>
      <c r="S76" s="199"/>
      <c r="T76" s="199"/>
      <c r="U76" s="199"/>
      <c r="V76" s="199"/>
      <c r="W76" s="199"/>
      <c r="X76" s="199"/>
      <c r="Y76" s="199"/>
      <c r="Z76" s="199"/>
      <c r="AA76" s="199"/>
      <c r="AB76" s="199"/>
      <c r="AC76" s="199"/>
      <c r="AD76" s="199"/>
      <c r="AE76" s="199"/>
      <c r="AF76" s="199"/>
      <c r="AG76" s="199"/>
      <c r="AH76" s="199"/>
      <c r="AI76" s="199"/>
      <c r="AJ76" s="199"/>
      <c r="AK76" s="199"/>
      <c r="AL76" s="1073">
        <f t="shared" ca="1" si="34"/>
        <v>0</v>
      </c>
      <c r="AM76" s="199"/>
      <c r="AN76" s="199"/>
      <c r="AO76" s="199"/>
      <c r="AP76" s="199"/>
      <c r="AQ76" s="199"/>
      <c r="AR76" s="199"/>
      <c r="AS76" s="199"/>
      <c r="AT76" s="199"/>
      <c r="AU76" s="199"/>
      <c r="AV76" s="199"/>
      <c r="AW76" s="199"/>
      <c r="AX76" s="199"/>
      <c r="AY76" s="199"/>
      <c r="AZ76" s="199"/>
      <c r="BA76" s="199"/>
      <c r="BB76" s="199"/>
      <c r="BC76" s="199"/>
      <c r="BD76" s="199"/>
      <c r="BE76" s="199"/>
      <c r="BF76" s="106"/>
      <c r="BG76" s="106"/>
      <c r="BH76" s="106"/>
      <c r="BI76" s="106"/>
      <c r="BJ76" s="106"/>
      <c r="BK76" s="106"/>
      <c r="BL76" s="106"/>
      <c r="BM76" s="106"/>
      <c r="BN76" s="106"/>
      <c r="BO76" s="106"/>
      <c r="BP76" s="106"/>
      <c r="BQ76" s="106"/>
      <c r="BR76" s="106"/>
      <c r="BS76" s="106"/>
      <c r="BT76" s="106"/>
      <c r="BU76" s="106"/>
      <c r="BV76" s="106"/>
      <c r="BW76" s="106"/>
      <c r="BX76" s="106"/>
    </row>
    <row r="77" spans="1:76" x14ac:dyDescent="0.2">
      <c r="A77" s="274" t="s">
        <v>756</v>
      </c>
      <c r="B77" s="378" t="str">
        <f ca="1">IF(EXACT($C77,"x"),Abfragen!U164,"")</f>
        <v/>
      </c>
      <c r="C77" s="110" t="str">
        <f ca="1">IF(Abfragen!U164=0,"","x")</f>
        <v/>
      </c>
      <c r="D77" s="325"/>
      <c r="E77" s="385"/>
      <c r="F77" s="962"/>
      <c r="G77" s="326"/>
      <c r="H77" s="1739" t="str">
        <f t="shared" ca="1" si="31"/>
        <v/>
      </c>
      <c r="I77" s="1740"/>
      <c r="J77" s="1740"/>
      <c r="K77" s="1740"/>
      <c r="L77" s="1740"/>
      <c r="M77" s="1741"/>
      <c r="N77" s="514" t="str">
        <f t="shared" ca="1" si="32"/>
        <v/>
      </c>
      <c r="O77" s="1073">
        <f t="shared" ca="1" si="33"/>
        <v>0</v>
      </c>
      <c r="P77" s="199"/>
      <c r="Q77" s="199"/>
      <c r="R77" s="199"/>
      <c r="S77" s="199"/>
      <c r="T77" s="199"/>
      <c r="U77" s="199"/>
      <c r="V77" s="199"/>
      <c r="W77" s="199"/>
      <c r="X77" s="199"/>
      <c r="Y77" s="199"/>
      <c r="Z77" s="199"/>
      <c r="AA77" s="199"/>
      <c r="AB77" s="199"/>
      <c r="AC77" s="199"/>
      <c r="AD77" s="199"/>
      <c r="AE77" s="199"/>
      <c r="AF77" s="199"/>
      <c r="AG77" s="199"/>
      <c r="AH77" s="199"/>
      <c r="AI77" s="199"/>
      <c r="AJ77" s="199"/>
      <c r="AK77" s="199"/>
      <c r="AL77" s="1073">
        <f t="shared" ca="1" si="34"/>
        <v>0</v>
      </c>
      <c r="AM77" s="199"/>
      <c r="AN77" s="199"/>
      <c r="AO77" s="199"/>
      <c r="AP77" s="199"/>
      <c r="AQ77" s="199"/>
      <c r="AR77" s="199"/>
      <c r="AS77" s="199"/>
      <c r="AT77" s="199"/>
      <c r="AU77" s="199"/>
      <c r="AV77" s="199"/>
      <c r="AW77" s="199"/>
      <c r="AX77" s="199"/>
      <c r="AY77" s="199"/>
      <c r="AZ77" s="199"/>
      <c r="BA77" s="199"/>
      <c r="BB77" s="199"/>
      <c r="BC77" s="199"/>
      <c r="BD77" s="199"/>
      <c r="BE77" s="199"/>
      <c r="BF77" s="106"/>
      <c r="BG77" s="106"/>
      <c r="BH77" s="106"/>
      <c r="BI77" s="106"/>
      <c r="BJ77" s="106"/>
      <c r="BK77" s="106"/>
      <c r="BL77" s="106"/>
      <c r="BM77" s="106"/>
      <c r="BN77" s="106"/>
      <c r="BO77" s="106"/>
      <c r="BP77" s="106"/>
      <c r="BQ77" s="106"/>
      <c r="BR77" s="106"/>
      <c r="BS77" s="106"/>
      <c r="BT77" s="106"/>
      <c r="BU77" s="106"/>
      <c r="BV77" s="106"/>
      <c r="BW77" s="106"/>
      <c r="BX77" s="106"/>
    </row>
    <row r="78" spans="1:76" x14ac:dyDescent="0.2">
      <c r="A78" s="274" t="s">
        <v>757</v>
      </c>
      <c r="B78" s="378" t="str">
        <f ca="1">IF(EXACT($C78,"x"),Abfragen!U166,"")</f>
        <v/>
      </c>
      <c r="C78" s="110" t="str">
        <f ca="1">IF(Abfragen!U166=0,"","x")</f>
        <v/>
      </c>
      <c r="D78" s="325"/>
      <c r="E78" s="385"/>
      <c r="F78" s="962"/>
      <c r="G78" s="326"/>
      <c r="H78" s="1739" t="str">
        <f t="shared" ref="H78:H94" ca="1" si="35">IF(AND(EXACT(C78,""),NOT(ISBLANK(F78))),"Das hast Du doch nicht!","")</f>
        <v/>
      </c>
      <c r="I78" s="1740"/>
      <c r="J78" s="1740"/>
      <c r="K78" s="1740"/>
      <c r="L78" s="1740"/>
      <c r="M78" s="1741"/>
      <c r="N78" s="514" t="str">
        <f t="shared" ref="N78:N94" ca="1" si="36">IF(B78="","",B78-F78-G78)</f>
        <v/>
      </c>
      <c r="O78" s="1073">
        <f t="shared" ref="O78:O94" ca="1" si="37">IF(AND(NOT($B78=""),NOT(ISBLANK($F78))),IF(VLOOKUP($A78,NACHTEILEGES,2,FALSE)&gt;0,
VLOOKUP($A78,NACHTEILEGES,2,FALSE)*($F78-0.5*IF(ISERROR(VALUE(D78)),0,VALUE(D78)))*50,0),0)</f>
        <v>0</v>
      </c>
      <c r="P78" s="199"/>
      <c r="Q78" s="199"/>
      <c r="R78" s="199"/>
      <c r="S78" s="199"/>
      <c r="T78" s="199"/>
      <c r="U78" s="199"/>
      <c r="V78" s="199"/>
      <c r="W78" s="199"/>
      <c r="X78" s="199"/>
      <c r="Y78" s="199"/>
      <c r="Z78" s="199"/>
      <c r="AA78" s="199"/>
      <c r="AB78" s="199"/>
      <c r="AC78" s="199"/>
      <c r="AD78" s="199"/>
      <c r="AE78" s="199"/>
      <c r="AF78" s="199"/>
      <c r="AG78" s="199"/>
      <c r="AH78" s="199"/>
      <c r="AI78" s="199"/>
      <c r="AJ78" s="199"/>
      <c r="AK78" s="199"/>
      <c r="AL78" s="1073">
        <f t="shared" ref="AL78:AL94" ca="1" si="38">IF(AND(NOT($B78=""),NOT(ISBLANK($G78))),IF(VLOOKUP($A78,NACHTEILEGES,2,FALSE)&gt;0,
VLOOKUP($A78,NACHTEILEGES,2,FALSE)*($G78-0.5*IF(ISERROR(VALUE(D78)),0,IF(VALUE(D78)-F78&lt;=0,0,VALUE(D78)-F78)))*50,0),0)</f>
        <v>0</v>
      </c>
      <c r="AM78" s="199"/>
      <c r="AN78" s="199"/>
      <c r="AO78" s="199"/>
      <c r="AP78" s="199"/>
      <c r="AQ78" s="199"/>
      <c r="AR78" s="199"/>
      <c r="AS78" s="199"/>
      <c r="AT78" s="199"/>
      <c r="AU78" s="199"/>
      <c r="AV78" s="199"/>
      <c r="AW78" s="199"/>
      <c r="AX78" s="199"/>
      <c r="AY78" s="199"/>
      <c r="AZ78" s="199"/>
      <c r="BA78" s="199"/>
      <c r="BB78" s="199"/>
      <c r="BC78" s="199"/>
      <c r="BD78" s="199"/>
      <c r="BE78" s="199"/>
      <c r="BF78" s="106"/>
      <c r="BG78" s="106"/>
      <c r="BH78" s="106"/>
      <c r="BI78" s="106"/>
      <c r="BJ78" s="106"/>
      <c r="BK78" s="106"/>
      <c r="BL78" s="106"/>
      <c r="BM78" s="106"/>
      <c r="BN78" s="106"/>
      <c r="BO78" s="106"/>
      <c r="BP78" s="106"/>
      <c r="BQ78" s="106"/>
      <c r="BR78" s="106"/>
      <c r="BS78" s="106"/>
      <c r="BT78" s="106"/>
      <c r="BU78" s="106"/>
      <c r="BV78" s="106"/>
      <c r="BW78" s="106"/>
      <c r="BX78" s="106"/>
    </row>
    <row r="79" spans="1:76" x14ac:dyDescent="0.2">
      <c r="A79" s="274" t="s">
        <v>758</v>
      </c>
      <c r="B79" s="378" t="str">
        <f ca="1">IF(EXACT($C79,"x"),Abfragen!U167,"")</f>
        <v/>
      </c>
      <c r="C79" s="110" t="str">
        <f ca="1">IF(Abfragen!U167=0,"","x")</f>
        <v/>
      </c>
      <c r="D79" s="325"/>
      <c r="E79" s="385"/>
      <c r="F79" s="962"/>
      <c r="G79" s="326"/>
      <c r="H79" s="1739" t="str">
        <f t="shared" ca="1" si="35"/>
        <v/>
      </c>
      <c r="I79" s="1740"/>
      <c r="J79" s="1740"/>
      <c r="K79" s="1740"/>
      <c r="L79" s="1740"/>
      <c r="M79" s="1741"/>
      <c r="N79" s="514" t="str">
        <f t="shared" ca="1" si="36"/>
        <v/>
      </c>
      <c r="O79" s="1073">
        <f t="shared" ca="1" si="37"/>
        <v>0</v>
      </c>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073">
        <f t="shared" ca="1" si="38"/>
        <v>0</v>
      </c>
      <c r="AM79" s="199"/>
      <c r="AN79" s="199"/>
      <c r="AO79" s="199"/>
      <c r="AP79" s="199"/>
      <c r="AQ79" s="199"/>
      <c r="AR79" s="199"/>
      <c r="AS79" s="199"/>
      <c r="AT79" s="199"/>
      <c r="AU79" s="199"/>
      <c r="AV79" s="199"/>
      <c r="AW79" s="199"/>
      <c r="AX79" s="199"/>
      <c r="AY79" s="199"/>
      <c r="AZ79" s="199"/>
      <c r="BA79" s="199"/>
      <c r="BB79" s="199"/>
      <c r="BC79" s="199"/>
      <c r="BD79" s="199"/>
      <c r="BE79" s="199"/>
      <c r="BF79" s="106"/>
      <c r="BG79" s="106"/>
      <c r="BH79" s="106"/>
      <c r="BI79" s="106"/>
      <c r="BJ79" s="106"/>
      <c r="BK79" s="106"/>
      <c r="BL79" s="106"/>
      <c r="BM79" s="106"/>
      <c r="BN79" s="106"/>
      <c r="BO79" s="106"/>
      <c r="BP79" s="106"/>
      <c r="BQ79" s="106"/>
      <c r="BR79" s="106"/>
      <c r="BS79" s="106"/>
      <c r="BT79" s="106"/>
      <c r="BU79" s="106"/>
      <c r="BV79" s="106"/>
      <c r="BW79" s="106"/>
      <c r="BX79" s="106"/>
    </row>
    <row r="80" spans="1:76" x14ac:dyDescent="0.2">
      <c r="A80" s="274" t="s">
        <v>845</v>
      </c>
      <c r="B80" s="378" t="str">
        <f ca="1">IF(EXACT($C80,"x"),Abfragen!U168,"")</f>
        <v/>
      </c>
      <c r="C80" s="110" t="str">
        <f ca="1">IF(Abfragen!U168=0,"","x")</f>
        <v/>
      </c>
      <c r="D80" s="325"/>
      <c r="E80" s="385"/>
      <c r="F80" s="962"/>
      <c r="G80" s="326"/>
      <c r="H80" s="1739" t="str">
        <f t="shared" ca="1" si="35"/>
        <v/>
      </c>
      <c r="I80" s="1740"/>
      <c r="J80" s="1740"/>
      <c r="K80" s="1740"/>
      <c r="L80" s="1740"/>
      <c r="M80" s="1741"/>
      <c r="N80" s="514" t="str">
        <f t="shared" ca="1" si="36"/>
        <v/>
      </c>
      <c r="O80" s="1073">
        <f t="shared" ca="1" si="37"/>
        <v>0</v>
      </c>
      <c r="P80" s="199"/>
      <c r="Q80" s="199"/>
      <c r="R80" s="199"/>
      <c r="S80" s="199"/>
      <c r="T80" s="199"/>
      <c r="U80" s="199"/>
      <c r="V80" s="199"/>
      <c r="W80" s="199"/>
      <c r="X80" s="199"/>
      <c r="Y80" s="199"/>
      <c r="Z80" s="199"/>
      <c r="AA80" s="199"/>
      <c r="AB80" s="199"/>
      <c r="AC80" s="199"/>
      <c r="AD80" s="199"/>
      <c r="AE80" s="199"/>
      <c r="AF80" s="199"/>
      <c r="AG80" s="199"/>
      <c r="AH80" s="199"/>
      <c r="AI80" s="199"/>
      <c r="AJ80" s="199"/>
      <c r="AK80" s="199"/>
      <c r="AL80" s="1073">
        <f t="shared" ca="1" si="38"/>
        <v>0</v>
      </c>
      <c r="AM80" s="199"/>
      <c r="AN80" s="199"/>
      <c r="AO80" s="199"/>
      <c r="AP80" s="199"/>
      <c r="AQ80" s="199"/>
      <c r="AR80" s="199"/>
      <c r="AS80" s="199"/>
      <c r="AT80" s="199"/>
      <c r="AU80" s="199"/>
      <c r="AV80" s="199"/>
      <c r="AW80" s="199"/>
      <c r="AX80" s="199"/>
      <c r="AY80" s="199"/>
      <c r="AZ80" s="199"/>
      <c r="BA80" s="199"/>
      <c r="BB80" s="199"/>
      <c r="BC80" s="199"/>
      <c r="BD80" s="199"/>
      <c r="BE80" s="199"/>
      <c r="BF80" s="106"/>
      <c r="BG80" s="106"/>
      <c r="BH80" s="106"/>
      <c r="BI80" s="106"/>
      <c r="BJ80" s="106"/>
      <c r="BK80" s="106"/>
      <c r="BL80" s="106"/>
      <c r="BM80" s="106"/>
      <c r="BN80" s="106"/>
      <c r="BO80" s="106"/>
      <c r="BP80" s="106"/>
      <c r="BQ80" s="106"/>
      <c r="BR80" s="106"/>
      <c r="BS80" s="106"/>
      <c r="BT80" s="106"/>
      <c r="BU80" s="106"/>
      <c r="BV80" s="106"/>
      <c r="BW80" s="106"/>
      <c r="BX80" s="106"/>
    </row>
    <row r="81" spans="1:76" x14ac:dyDescent="0.2">
      <c r="A81" s="274" t="s">
        <v>844</v>
      </c>
      <c r="B81" s="378" t="str">
        <f ca="1">IF(EXACT($C81,"x"),Abfragen!U169,"")</f>
        <v/>
      </c>
      <c r="C81" s="110" t="str">
        <f ca="1">IF(Abfragen!U169=0,"","x")</f>
        <v/>
      </c>
      <c r="D81" s="325"/>
      <c r="E81" s="385"/>
      <c r="F81" s="962"/>
      <c r="G81" s="326"/>
      <c r="H81" s="1739" t="str">
        <f t="shared" ca="1" si="35"/>
        <v/>
      </c>
      <c r="I81" s="1740"/>
      <c r="J81" s="1740"/>
      <c r="K81" s="1740"/>
      <c r="L81" s="1740"/>
      <c r="M81" s="1741"/>
      <c r="N81" s="514" t="str">
        <f t="shared" ca="1" si="36"/>
        <v/>
      </c>
      <c r="O81" s="1073">
        <f t="shared" ca="1" si="37"/>
        <v>0</v>
      </c>
      <c r="P81" s="199"/>
      <c r="Q81" s="199"/>
      <c r="R81" s="199"/>
      <c r="S81" s="199"/>
      <c r="T81" s="199"/>
      <c r="U81" s="199"/>
      <c r="V81" s="199"/>
      <c r="W81" s="199"/>
      <c r="X81" s="199"/>
      <c r="Y81" s="199"/>
      <c r="Z81" s="199"/>
      <c r="AA81" s="199"/>
      <c r="AB81" s="199"/>
      <c r="AC81" s="199"/>
      <c r="AD81" s="199"/>
      <c r="AE81" s="199"/>
      <c r="AF81" s="199"/>
      <c r="AG81" s="199"/>
      <c r="AH81" s="199"/>
      <c r="AI81" s="199"/>
      <c r="AJ81" s="199"/>
      <c r="AK81" s="199"/>
      <c r="AL81" s="1073">
        <f t="shared" ca="1" si="38"/>
        <v>0</v>
      </c>
      <c r="AM81" s="199"/>
      <c r="AN81" s="199"/>
      <c r="AO81" s="199"/>
      <c r="AP81" s="199"/>
      <c r="AQ81" s="199"/>
      <c r="AR81" s="199"/>
      <c r="AS81" s="199"/>
      <c r="AT81" s="199"/>
      <c r="AU81" s="199"/>
      <c r="AV81" s="199"/>
      <c r="AW81" s="199"/>
      <c r="AX81" s="199"/>
      <c r="AY81" s="199"/>
      <c r="AZ81" s="199"/>
      <c r="BA81" s="199"/>
      <c r="BB81" s="199"/>
      <c r="BC81" s="199"/>
      <c r="BD81" s="199"/>
      <c r="BE81" s="199"/>
      <c r="BF81" s="106"/>
      <c r="BG81" s="106"/>
      <c r="BH81" s="106"/>
      <c r="BI81" s="106"/>
      <c r="BJ81" s="106"/>
      <c r="BK81" s="106"/>
      <c r="BL81" s="106"/>
      <c r="BM81" s="106"/>
      <c r="BN81" s="106"/>
      <c r="BO81" s="106"/>
      <c r="BP81" s="106"/>
      <c r="BQ81" s="106"/>
      <c r="BR81" s="106"/>
      <c r="BS81" s="106"/>
      <c r="BT81" s="106"/>
      <c r="BU81" s="106"/>
      <c r="BV81" s="106"/>
      <c r="BW81" s="106"/>
      <c r="BX81" s="106"/>
    </row>
    <row r="82" spans="1:76" x14ac:dyDescent="0.2">
      <c r="A82" s="274" t="s">
        <v>4648</v>
      </c>
      <c r="B82" s="378" t="str">
        <f ca="1">IF(EXACT($C82,"x"),Abfragen!U171,"")</f>
        <v/>
      </c>
      <c r="C82" s="110" t="str">
        <f ca="1">IF(Abfragen!U171=0,"","x")</f>
        <v/>
      </c>
      <c r="D82" s="325"/>
      <c r="E82" s="385"/>
      <c r="F82" s="962"/>
      <c r="G82" s="326"/>
      <c r="H82" s="1739" t="str">
        <f t="shared" ca="1" si="35"/>
        <v/>
      </c>
      <c r="I82" s="1740"/>
      <c r="J82" s="1740"/>
      <c r="K82" s="1740"/>
      <c r="L82" s="1740"/>
      <c r="M82" s="1741"/>
      <c r="N82" s="514" t="str">
        <f t="shared" ca="1" si="36"/>
        <v/>
      </c>
      <c r="O82" s="1073">
        <f t="shared" ca="1" si="37"/>
        <v>0</v>
      </c>
      <c r="P82" s="199"/>
      <c r="Q82" s="199"/>
      <c r="R82" s="199"/>
      <c r="S82" s="199"/>
      <c r="T82" s="199"/>
      <c r="U82" s="199"/>
      <c r="V82" s="199"/>
      <c r="W82" s="199"/>
      <c r="X82" s="199"/>
      <c r="Y82" s="199"/>
      <c r="Z82" s="199"/>
      <c r="AA82" s="199"/>
      <c r="AB82" s="199"/>
      <c r="AC82" s="199"/>
      <c r="AD82" s="199"/>
      <c r="AE82" s="199"/>
      <c r="AF82" s="199"/>
      <c r="AG82" s="199"/>
      <c r="AH82" s="199"/>
      <c r="AI82" s="199"/>
      <c r="AJ82" s="199"/>
      <c r="AK82" s="199"/>
      <c r="AL82" s="1073">
        <f t="shared" ca="1" si="38"/>
        <v>0</v>
      </c>
      <c r="AM82" s="199"/>
      <c r="AN82" s="199"/>
      <c r="AO82" s="199"/>
      <c r="AP82" s="199"/>
      <c r="AQ82" s="199"/>
      <c r="AR82" s="199"/>
      <c r="AS82" s="199"/>
      <c r="AT82" s="199"/>
      <c r="AU82" s="199"/>
      <c r="AV82" s="199"/>
      <c r="AW82" s="199"/>
      <c r="AX82" s="199"/>
      <c r="AY82" s="199"/>
      <c r="AZ82" s="199"/>
      <c r="BA82" s="199"/>
      <c r="BB82" s="199"/>
      <c r="BC82" s="199"/>
      <c r="BD82" s="199"/>
      <c r="BE82" s="199"/>
      <c r="BF82" s="106"/>
      <c r="BG82" s="106"/>
      <c r="BH82" s="106"/>
      <c r="BI82" s="106"/>
      <c r="BJ82" s="106"/>
      <c r="BK82" s="106"/>
      <c r="BL82" s="106"/>
      <c r="BM82" s="106"/>
      <c r="BN82" s="106"/>
      <c r="BO82" s="106"/>
      <c r="BP82" s="106"/>
      <c r="BQ82" s="106"/>
      <c r="BR82" s="106"/>
      <c r="BS82" s="106"/>
      <c r="BT82" s="106"/>
      <c r="BU82" s="106"/>
      <c r="BV82" s="106"/>
      <c r="BW82" s="106"/>
      <c r="BX82" s="106"/>
    </row>
    <row r="83" spans="1:76" x14ac:dyDescent="0.2">
      <c r="A83" s="274" t="s">
        <v>3646</v>
      </c>
      <c r="B83" s="378" t="str">
        <f ca="1">IF(EXACT($C83,"x"),Abfragen!U172,"")</f>
        <v/>
      </c>
      <c r="C83" s="110" t="str">
        <f ca="1">IF(Abfragen!U172=0,"","x")</f>
        <v/>
      </c>
      <c r="D83" s="325"/>
      <c r="E83" s="385"/>
      <c r="F83" s="962"/>
      <c r="G83" s="326"/>
      <c r="H83" s="1739" t="str">
        <f t="shared" ca="1" si="35"/>
        <v/>
      </c>
      <c r="I83" s="1740"/>
      <c r="J83" s="1740"/>
      <c r="K83" s="1740"/>
      <c r="L83" s="1740"/>
      <c r="M83" s="1741"/>
      <c r="N83" s="514" t="str">
        <f t="shared" ca="1" si="36"/>
        <v/>
      </c>
      <c r="O83" s="1073">
        <f t="shared" ca="1" si="37"/>
        <v>0</v>
      </c>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073">
        <f t="shared" ca="1" si="38"/>
        <v>0</v>
      </c>
      <c r="AM83" s="199"/>
      <c r="AN83" s="199"/>
      <c r="AO83" s="199"/>
      <c r="AP83" s="199"/>
      <c r="AQ83" s="199"/>
      <c r="AR83" s="199"/>
      <c r="AS83" s="199"/>
      <c r="AT83" s="199"/>
      <c r="AU83" s="199"/>
      <c r="AV83" s="199"/>
      <c r="AW83" s="199"/>
      <c r="AX83" s="199"/>
      <c r="AY83" s="199"/>
      <c r="AZ83" s="199"/>
      <c r="BA83" s="199"/>
      <c r="BB83" s="199"/>
      <c r="BC83" s="199"/>
      <c r="BD83" s="199"/>
      <c r="BE83" s="199"/>
      <c r="BF83" s="106"/>
      <c r="BG83" s="106"/>
      <c r="BH83" s="106"/>
      <c r="BI83" s="106"/>
      <c r="BJ83" s="106"/>
      <c r="BK83" s="106"/>
      <c r="BL83" s="106"/>
      <c r="BM83" s="106"/>
      <c r="BN83" s="106"/>
      <c r="BO83" s="106"/>
      <c r="BP83" s="106"/>
      <c r="BQ83" s="106"/>
      <c r="BR83" s="106"/>
      <c r="BS83" s="106"/>
      <c r="BT83" s="106"/>
      <c r="BU83" s="106"/>
      <c r="BV83" s="106"/>
      <c r="BW83" s="106"/>
      <c r="BX83" s="106"/>
    </row>
    <row r="84" spans="1:76" x14ac:dyDescent="0.2">
      <c r="A84" s="274" t="s">
        <v>3647</v>
      </c>
      <c r="B84" s="378" t="str">
        <f ca="1">IF(EXACT($C84,"x"),Abfragen!U173,"")</f>
        <v/>
      </c>
      <c r="C84" s="110" t="str">
        <f ca="1">IF(Abfragen!U173=0,"","x")</f>
        <v/>
      </c>
      <c r="D84" s="325"/>
      <c r="E84" s="385"/>
      <c r="F84" s="962"/>
      <c r="G84" s="326"/>
      <c r="H84" s="1739" t="str">
        <f t="shared" ca="1" si="35"/>
        <v/>
      </c>
      <c r="I84" s="1740"/>
      <c r="J84" s="1740"/>
      <c r="K84" s="1740"/>
      <c r="L84" s="1740"/>
      <c r="M84" s="1741"/>
      <c r="N84" s="514" t="str">
        <f t="shared" ca="1" si="36"/>
        <v/>
      </c>
      <c r="O84" s="1073">
        <f t="shared" ca="1" si="37"/>
        <v>0</v>
      </c>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073">
        <f t="shared" ca="1" si="38"/>
        <v>0</v>
      </c>
      <c r="AM84" s="199"/>
      <c r="AN84" s="199"/>
      <c r="AO84" s="199"/>
      <c r="AP84" s="199"/>
      <c r="AQ84" s="199"/>
      <c r="AR84" s="199"/>
      <c r="AS84" s="199"/>
      <c r="AT84" s="199"/>
      <c r="AU84" s="199"/>
      <c r="AV84" s="199"/>
      <c r="AW84" s="199"/>
      <c r="AX84" s="199"/>
      <c r="AY84" s="199"/>
      <c r="AZ84" s="199"/>
      <c r="BA84" s="199"/>
      <c r="BB84" s="199"/>
      <c r="BC84" s="199"/>
      <c r="BD84" s="199"/>
      <c r="BE84" s="199"/>
      <c r="BF84" s="106"/>
      <c r="BG84" s="106"/>
      <c r="BH84" s="106"/>
      <c r="BI84" s="106"/>
      <c r="BJ84" s="106"/>
      <c r="BK84" s="106"/>
      <c r="BL84" s="106"/>
      <c r="BM84" s="106"/>
      <c r="BN84" s="106"/>
      <c r="BO84" s="106"/>
      <c r="BP84" s="106"/>
      <c r="BQ84" s="106"/>
      <c r="BR84" s="106"/>
      <c r="BS84" s="106"/>
      <c r="BT84" s="106"/>
      <c r="BU84" s="106"/>
      <c r="BV84" s="106"/>
      <c r="BW84" s="106"/>
      <c r="BX84" s="106"/>
    </row>
    <row r="85" spans="1:76" x14ac:dyDescent="0.2">
      <c r="A85" s="274" t="s">
        <v>847</v>
      </c>
      <c r="B85" s="378" t="str">
        <f ca="1">IF(EXACT($C85,"x"),Abfragen!U174,"")</f>
        <v/>
      </c>
      <c r="C85" s="110" t="str">
        <f ca="1">IF(Abfragen!U174=0,"","x")</f>
        <v/>
      </c>
      <c r="D85" s="325"/>
      <c r="E85" s="385"/>
      <c r="F85" s="962"/>
      <c r="G85" s="326"/>
      <c r="H85" s="1739" t="str">
        <f t="shared" ca="1" si="35"/>
        <v/>
      </c>
      <c r="I85" s="1740"/>
      <c r="J85" s="1740"/>
      <c r="K85" s="1740"/>
      <c r="L85" s="1740"/>
      <c r="M85" s="1741"/>
      <c r="N85" s="514" t="str">
        <f t="shared" ca="1" si="36"/>
        <v/>
      </c>
      <c r="O85" s="1073">
        <f t="shared" ca="1" si="37"/>
        <v>0</v>
      </c>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073">
        <f t="shared" ca="1" si="38"/>
        <v>0</v>
      </c>
      <c r="AM85" s="199"/>
      <c r="AN85" s="199"/>
      <c r="AO85" s="199"/>
      <c r="AP85" s="199"/>
      <c r="AQ85" s="199"/>
      <c r="AR85" s="199"/>
      <c r="AS85" s="199"/>
      <c r="AT85" s="199"/>
      <c r="AU85" s="199"/>
      <c r="AV85" s="199"/>
      <c r="AW85" s="199"/>
      <c r="AX85" s="199"/>
      <c r="AY85" s="199"/>
      <c r="AZ85" s="199"/>
      <c r="BA85" s="199"/>
      <c r="BB85" s="199"/>
      <c r="BC85" s="199"/>
      <c r="BD85" s="199"/>
      <c r="BE85" s="199"/>
      <c r="BF85" s="106"/>
      <c r="BG85" s="106"/>
      <c r="BH85" s="106"/>
      <c r="BI85" s="106"/>
      <c r="BJ85" s="106"/>
      <c r="BK85" s="106"/>
      <c r="BL85" s="106"/>
      <c r="BM85" s="106"/>
      <c r="BN85" s="106"/>
      <c r="BO85" s="106"/>
      <c r="BP85" s="106"/>
      <c r="BQ85" s="106"/>
      <c r="BR85" s="106"/>
      <c r="BS85" s="106"/>
      <c r="BT85" s="106"/>
      <c r="BU85" s="106"/>
      <c r="BV85" s="106"/>
      <c r="BW85" s="106"/>
      <c r="BX85" s="106"/>
    </row>
    <row r="86" spans="1:76" x14ac:dyDescent="0.2">
      <c r="A86" s="274" t="s">
        <v>4067</v>
      </c>
      <c r="B86" s="378" t="str">
        <f ca="1">IF(EXACT($C86,"x"),Abfragen!U175,"")</f>
        <v/>
      </c>
      <c r="C86" s="110" t="str">
        <f ca="1">IF(Abfragen!U175=0,"","x")</f>
        <v/>
      </c>
      <c r="D86" s="325"/>
      <c r="E86" s="385"/>
      <c r="F86" s="962"/>
      <c r="G86" s="326"/>
      <c r="H86" s="1739" t="str">
        <f t="shared" ca="1" si="35"/>
        <v/>
      </c>
      <c r="I86" s="1740"/>
      <c r="J86" s="1740"/>
      <c r="K86" s="1740"/>
      <c r="L86" s="1740"/>
      <c r="M86" s="1741"/>
      <c r="N86" s="514" t="str">
        <f t="shared" ca="1" si="36"/>
        <v/>
      </c>
      <c r="O86" s="1073">
        <f t="shared" ca="1" si="37"/>
        <v>0</v>
      </c>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073">
        <f t="shared" ca="1" si="38"/>
        <v>0</v>
      </c>
      <c r="AM86" s="199"/>
      <c r="AN86" s="199"/>
      <c r="AO86" s="199"/>
      <c r="AP86" s="199"/>
      <c r="AQ86" s="199"/>
      <c r="AR86" s="199"/>
      <c r="AS86" s="199"/>
      <c r="AT86" s="199"/>
      <c r="AU86" s="199"/>
      <c r="AV86" s="199"/>
      <c r="AW86" s="199"/>
      <c r="AX86" s="199"/>
      <c r="AY86" s="199"/>
      <c r="AZ86" s="199"/>
      <c r="BA86" s="199"/>
      <c r="BB86" s="199"/>
      <c r="BC86" s="199"/>
      <c r="BD86" s="199"/>
      <c r="BE86" s="199"/>
      <c r="BF86" s="106"/>
      <c r="BG86" s="106"/>
      <c r="BH86" s="106"/>
      <c r="BI86" s="106"/>
      <c r="BJ86" s="106"/>
      <c r="BK86" s="106"/>
      <c r="BL86" s="106"/>
      <c r="BM86" s="106"/>
      <c r="BN86" s="106"/>
      <c r="BO86" s="106"/>
      <c r="BP86" s="106"/>
      <c r="BQ86" s="106"/>
      <c r="BR86" s="106"/>
      <c r="BS86" s="106"/>
      <c r="BT86" s="106"/>
      <c r="BU86" s="106"/>
      <c r="BV86" s="106"/>
      <c r="BW86" s="106"/>
      <c r="BX86" s="106"/>
    </row>
    <row r="87" spans="1:76" x14ac:dyDescent="0.2">
      <c r="A87" s="274" t="s">
        <v>848</v>
      </c>
      <c r="B87" s="378" t="str">
        <f ca="1">IF(EXACT($C87,"x"),Abfragen!U176,"")</f>
        <v/>
      </c>
      <c r="C87" s="110" t="str">
        <f ca="1">IF(Abfragen!U176=0,"","x")</f>
        <v/>
      </c>
      <c r="D87" s="325"/>
      <c r="E87" s="385"/>
      <c r="F87" s="962"/>
      <c r="G87" s="326"/>
      <c r="H87" s="1739" t="str">
        <f t="shared" ca="1" si="35"/>
        <v/>
      </c>
      <c r="I87" s="1740"/>
      <c r="J87" s="1740"/>
      <c r="K87" s="1740"/>
      <c r="L87" s="1740"/>
      <c r="M87" s="1741"/>
      <c r="N87" s="514" t="str">
        <f t="shared" ca="1" si="36"/>
        <v/>
      </c>
      <c r="O87" s="1073">
        <f t="shared" ca="1" si="37"/>
        <v>0</v>
      </c>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073">
        <f t="shared" ca="1" si="38"/>
        <v>0</v>
      </c>
      <c r="AM87" s="199"/>
      <c r="AN87" s="199"/>
      <c r="AO87" s="199"/>
      <c r="AP87" s="199"/>
      <c r="AQ87" s="199"/>
      <c r="AR87" s="199"/>
      <c r="AS87" s="199"/>
      <c r="AT87" s="199"/>
      <c r="AU87" s="199"/>
      <c r="AV87" s="199"/>
      <c r="AW87" s="199"/>
      <c r="AX87" s="199"/>
      <c r="AY87" s="199"/>
      <c r="AZ87" s="199"/>
      <c r="BA87" s="199"/>
      <c r="BB87" s="199"/>
      <c r="BC87" s="199"/>
      <c r="BD87" s="199"/>
      <c r="BE87" s="199"/>
      <c r="BF87" s="106"/>
      <c r="BG87" s="106"/>
      <c r="BH87" s="106"/>
      <c r="BI87" s="106"/>
      <c r="BJ87" s="106"/>
      <c r="BK87" s="106"/>
      <c r="BL87" s="106"/>
      <c r="BM87" s="106"/>
      <c r="BN87" s="106"/>
      <c r="BO87" s="106"/>
      <c r="BP87" s="106"/>
      <c r="BQ87" s="106"/>
      <c r="BR87" s="106"/>
      <c r="BS87" s="106"/>
      <c r="BT87" s="106"/>
      <c r="BU87" s="106"/>
      <c r="BV87" s="106"/>
      <c r="BW87" s="106"/>
      <c r="BX87" s="106"/>
    </row>
    <row r="88" spans="1:76" x14ac:dyDescent="0.2">
      <c r="A88" s="274" t="s">
        <v>849</v>
      </c>
      <c r="B88" s="378" t="str">
        <f ca="1">IF(EXACT($C88,"x"),Abfragen!U177,"")</f>
        <v/>
      </c>
      <c r="C88" s="110" t="str">
        <f ca="1">IF(Abfragen!U177=0,"","x")</f>
        <v/>
      </c>
      <c r="D88" s="325"/>
      <c r="E88" s="385"/>
      <c r="F88" s="962"/>
      <c r="G88" s="326"/>
      <c r="H88" s="1739" t="str">
        <f t="shared" ca="1" si="35"/>
        <v/>
      </c>
      <c r="I88" s="1740"/>
      <c r="J88" s="1740"/>
      <c r="K88" s="1740"/>
      <c r="L88" s="1740"/>
      <c r="M88" s="1741"/>
      <c r="N88" s="514" t="str">
        <f t="shared" ca="1" si="36"/>
        <v/>
      </c>
      <c r="O88" s="1073">
        <f t="shared" ca="1" si="37"/>
        <v>0</v>
      </c>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073">
        <f t="shared" ca="1" si="38"/>
        <v>0</v>
      </c>
      <c r="AM88" s="199"/>
      <c r="AN88" s="199"/>
      <c r="AO88" s="199"/>
      <c r="AP88" s="199"/>
      <c r="AQ88" s="199"/>
      <c r="AR88" s="199"/>
      <c r="AS88" s="199"/>
      <c r="AT88" s="199"/>
      <c r="AU88" s="199"/>
      <c r="AV88" s="199"/>
      <c r="AW88" s="199"/>
      <c r="AX88" s="199"/>
      <c r="AY88" s="199"/>
      <c r="AZ88" s="199"/>
      <c r="BA88" s="199"/>
      <c r="BB88" s="199"/>
      <c r="BC88" s="199"/>
      <c r="BD88" s="199"/>
      <c r="BE88" s="199"/>
      <c r="BF88" s="106"/>
      <c r="BG88" s="106"/>
      <c r="BH88" s="106"/>
      <c r="BI88" s="106"/>
      <c r="BJ88" s="106"/>
      <c r="BK88" s="106"/>
      <c r="BL88" s="106"/>
      <c r="BM88" s="106"/>
      <c r="BN88" s="106"/>
      <c r="BO88" s="106"/>
      <c r="BP88" s="106"/>
      <c r="BQ88" s="106"/>
      <c r="BR88" s="106"/>
      <c r="BS88" s="106"/>
      <c r="BT88" s="106"/>
      <c r="BU88" s="106"/>
      <c r="BV88" s="106"/>
      <c r="BW88" s="106"/>
      <c r="BX88" s="106"/>
    </row>
    <row r="89" spans="1:76" x14ac:dyDescent="0.2">
      <c r="A89" s="274" t="s">
        <v>3644</v>
      </c>
      <c r="B89" s="378" t="str">
        <f ca="1">IF(EXACT($C89,"x"),Abfragen!U178,"")</f>
        <v/>
      </c>
      <c r="C89" s="110" t="str">
        <f ca="1">IF(Abfragen!U178=0,"","x")</f>
        <v/>
      </c>
      <c r="D89" s="325"/>
      <c r="E89" s="385"/>
      <c r="F89" s="962"/>
      <c r="G89" s="326"/>
      <c r="H89" s="1739" t="str">
        <f t="shared" ca="1" si="35"/>
        <v/>
      </c>
      <c r="I89" s="1740"/>
      <c r="J89" s="1740"/>
      <c r="K89" s="1740"/>
      <c r="L89" s="1740"/>
      <c r="M89" s="1741"/>
      <c r="N89" s="514" t="str">
        <f t="shared" ca="1" si="36"/>
        <v/>
      </c>
      <c r="O89" s="1073">
        <f t="shared" ca="1" si="37"/>
        <v>0</v>
      </c>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073">
        <f t="shared" ca="1" si="38"/>
        <v>0</v>
      </c>
      <c r="AM89" s="199"/>
      <c r="AN89" s="199"/>
      <c r="AO89" s="199"/>
      <c r="AP89" s="199"/>
      <c r="AQ89" s="199"/>
      <c r="AR89" s="199"/>
      <c r="AS89" s="199"/>
      <c r="AT89" s="199"/>
      <c r="AU89" s="199"/>
      <c r="AV89" s="199"/>
      <c r="AW89" s="199"/>
      <c r="AX89" s="199"/>
      <c r="AY89" s="199"/>
      <c r="AZ89" s="199"/>
      <c r="BA89" s="199"/>
      <c r="BB89" s="199"/>
      <c r="BC89" s="199"/>
      <c r="BD89" s="199"/>
      <c r="BE89" s="199"/>
      <c r="BF89" s="106"/>
      <c r="BG89" s="106"/>
      <c r="BH89" s="106"/>
      <c r="BI89" s="106"/>
      <c r="BJ89" s="106"/>
      <c r="BK89" s="106"/>
      <c r="BL89" s="106"/>
      <c r="BM89" s="106"/>
      <c r="BN89" s="106"/>
      <c r="BO89" s="106"/>
      <c r="BP89" s="106"/>
      <c r="BQ89" s="106"/>
      <c r="BR89" s="106"/>
      <c r="BS89" s="106"/>
      <c r="BT89" s="106"/>
      <c r="BU89" s="106"/>
      <c r="BV89" s="106"/>
      <c r="BW89" s="106"/>
      <c r="BX89" s="106"/>
    </row>
    <row r="90" spans="1:76" x14ac:dyDescent="0.2">
      <c r="A90" s="274" t="s">
        <v>3645</v>
      </c>
      <c r="B90" s="378" t="str">
        <f ca="1">IF(EXACT($C90,"x"),Abfragen!U179,"")</f>
        <v/>
      </c>
      <c r="C90" s="110" t="str">
        <f ca="1">IF(Abfragen!U179=0,"","x")</f>
        <v/>
      </c>
      <c r="D90" s="325"/>
      <c r="E90" s="385"/>
      <c r="F90" s="962"/>
      <c r="G90" s="326"/>
      <c r="H90" s="1739" t="str">
        <f t="shared" ca="1" si="35"/>
        <v/>
      </c>
      <c r="I90" s="1740"/>
      <c r="J90" s="1740"/>
      <c r="K90" s="1740"/>
      <c r="L90" s="1740"/>
      <c r="M90" s="1741"/>
      <c r="N90" s="514" t="str">
        <f t="shared" ca="1" si="36"/>
        <v/>
      </c>
      <c r="O90" s="1073">
        <f t="shared" ca="1" si="37"/>
        <v>0</v>
      </c>
      <c r="P90" s="199"/>
      <c r="Q90" s="199"/>
      <c r="R90" s="199"/>
      <c r="S90" s="199"/>
      <c r="T90" s="199"/>
      <c r="U90" s="199"/>
      <c r="V90" s="199"/>
      <c r="W90" s="199"/>
      <c r="X90" s="199"/>
      <c r="Y90" s="199"/>
      <c r="Z90" s="199"/>
      <c r="AA90" s="199"/>
      <c r="AB90" s="199"/>
      <c r="AC90" s="199"/>
      <c r="AD90" s="199"/>
      <c r="AE90" s="199"/>
      <c r="AF90" s="199"/>
      <c r="AG90" s="199"/>
      <c r="AH90" s="199"/>
      <c r="AI90" s="199"/>
      <c r="AJ90" s="199"/>
      <c r="AK90" s="199"/>
      <c r="AL90" s="1073">
        <f t="shared" ca="1" si="38"/>
        <v>0</v>
      </c>
      <c r="AM90" s="199"/>
      <c r="AN90" s="199"/>
      <c r="AO90" s="199"/>
      <c r="AP90" s="199"/>
      <c r="AQ90" s="199"/>
      <c r="AR90" s="199"/>
      <c r="AS90" s="199"/>
      <c r="AT90" s="199"/>
      <c r="AU90" s="199"/>
      <c r="AV90" s="199"/>
      <c r="AW90" s="199"/>
      <c r="AX90" s="199"/>
      <c r="AY90" s="199"/>
      <c r="AZ90" s="199"/>
      <c r="BA90" s="199"/>
      <c r="BB90" s="199"/>
      <c r="BC90" s="199"/>
      <c r="BD90" s="199"/>
      <c r="BE90" s="199"/>
      <c r="BF90" s="106"/>
      <c r="BG90" s="106"/>
      <c r="BH90" s="106"/>
      <c r="BI90" s="106"/>
      <c r="BJ90" s="106"/>
      <c r="BK90" s="106"/>
      <c r="BL90" s="106"/>
      <c r="BM90" s="106"/>
      <c r="BN90" s="106"/>
      <c r="BO90" s="106"/>
      <c r="BP90" s="106"/>
      <c r="BQ90" s="106"/>
      <c r="BR90" s="106"/>
      <c r="BS90" s="106"/>
      <c r="BT90" s="106"/>
      <c r="BU90" s="106"/>
      <c r="BV90" s="106"/>
      <c r="BW90" s="106"/>
      <c r="BX90" s="106"/>
    </row>
    <row r="91" spans="1:76" x14ac:dyDescent="0.2">
      <c r="A91" s="274" t="s">
        <v>4083</v>
      </c>
      <c r="B91" s="378" t="str">
        <f ca="1">IF(EXACT($C91,"x"),Abfragen!U180,"")</f>
        <v/>
      </c>
      <c r="C91" s="110" t="str">
        <f ca="1">IF(Abfragen!U180=0,"","x")</f>
        <v/>
      </c>
      <c r="D91" s="325"/>
      <c r="E91" s="1067"/>
      <c r="F91" s="962"/>
      <c r="G91" s="326"/>
      <c r="H91" s="1739" t="str">
        <f t="shared" ca="1" si="35"/>
        <v/>
      </c>
      <c r="I91" s="1740"/>
      <c r="J91" s="1740"/>
      <c r="K91" s="1740"/>
      <c r="L91" s="1740"/>
      <c r="M91" s="1741"/>
      <c r="N91" s="514" t="str">
        <f t="shared" ca="1" si="36"/>
        <v/>
      </c>
      <c r="O91" s="1073">
        <f t="shared" ca="1" si="37"/>
        <v>0</v>
      </c>
      <c r="P91" s="199"/>
      <c r="Q91" s="1751" t="str">
        <f ca="1">IF(ISERROR(Abfragen!E308),"← Angaben zu Vorurteile eingeben",IF(Abfragen!E308="","← Angaben zu Vorurteile eingeben","Bei Generierung angegeben: "&amp;Abfragen!E308))</f>
        <v>← Angaben zu Vorurteile eingeben</v>
      </c>
      <c r="R91" s="1752"/>
      <c r="S91" s="1752"/>
      <c r="T91" s="1752"/>
      <c r="U91" s="1752"/>
      <c r="V91" s="1752"/>
      <c r="W91" s="1752"/>
      <c r="X91" s="1752"/>
      <c r="Y91" s="1752"/>
      <c r="Z91" s="1752"/>
      <c r="AA91" s="1752"/>
      <c r="AB91" s="1753"/>
      <c r="AC91" s="199"/>
      <c r="AD91" s="199"/>
      <c r="AE91" s="199"/>
      <c r="AF91" s="199"/>
      <c r="AG91" s="199"/>
      <c r="AH91" s="199"/>
      <c r="AI91" s="199"/>
      <c r="AJ91" s="199"/>
      <c r="AK91" s="199"/>
      <c r="AL91" s="1073">
        <f t="shared" ca="1" si="38"/>
        <v>0</v>
      </c>
      <c r="AM91" s="199"/>
      <c r="AN91" s="199"/>
      <c r="AO91" s="199"/>
      <c r="AP91" s="199"/>
      <c r="AQ91" s="199"/>
      <c r="AR91" s="199"/>
      <c r="AS91" s="199"/>
      <c r="AT91" s="199"/>
      <c r="AU91" s="199"/>
      <c r="AV91" s="199"/>
      <c r="AW91" s="199"/>
      <c r="AX91" s="199"/>
      <c r="AY91" s="199"/>
      <c r="AZ91" s="199"/>
      <c r="BA91" s="199"/>
      <c r="BB91" s="199"/>
      <c r="BC91" s="199"/>
      <c r="BD91" s="199"/>
      <c r="BE91" s="199"/>
      <c r="BF91" s="106"/>
      <c r="BG91" s="106"/>
      <c r="BH91" s="106"/>
      <c r="BI91" s="106"/>
      <c r="BJ91" s="106"/>
      <c r="BK91" s="106"/>
      <c r="BL91" s="106"/>
      <c r="BM91" s="106"/>
      <c r="BN91" s="106"/>
      <c r="BO91" s="106"/>
      <c r="BP91" s="106"/>
      <c r="BQ91" s="106"/>
      <c r="BR91" s="106"/>
      <c r="BS91" s="106"/>
      <c r="BT91" s="106"/>
      <c r="BU91" s="106"/>
      <c r="BV91" s="106"/>
      <c r="BW91" s="106"/>
      <c r="BX91" s="106"/>
    </row>
    <row r="92" spans="1:76" x14ac:dyDescent="0.2">
      <c r="A92" s="274" t="s">
        <v>7107</v>
      </c>
      <c r="B92" s="378" t="str">
        <f ca="1">IF(EXACT($C92,"x"),Abfragen!U181,"")</f>
        <v/>
      </c>
      <c r="C92" s="110" t="str">
        <f ca="1">IF(Abfragen!U181=0,"","x")</f>
        <v/>
      </c>
      <c r="D92" s="325"/>
      <c r="E92" s="1307"/>
      <c r="F92" s="962"/>
      <c r="G92" s="326"/>
      <c r="H92" s="1739" t="str">
        <f t="shared" ca="1" si="35"/>
        <v/>
      </c>
      <c r="I92" s="1740"/>
      <c r="J92" s="1740"/>
      <c r="K92" s="1740"/>
      <c r="L92" s="1740"/>
      <c r="M92" s="1741"/>
      <c r="N92" s="514" t="str">
        <f t="shared" ca="1" si="36"/>
        <v/>
      </c>
      <c r="O92" s="1073">
        <f t="shared" ca="1" si="37"/>
        <v>0</v>
      </c>
      <c r="P92" s="199"/>
      <c r="Q92" s="1751" t="str">
        <f ca="1">IF(ISERROR(Abfragen!E311),"← Angaben zu Weltfremd eingeben",IF(Abfragen!E311="","← Angaben zu Weltfremd eingeben","Bei Generierung angegeben: "&amp;Abfragen!E311))</f>
        <v>← Angaben zu Weltfremd eingeben</v>
      </c>
      <c r="R92" s="1752"/>
      <c r="S92" s="1752"/>
      <c r="T92" s="1752"/>
      <c r="U92" s="1752"/>
      <c r="V92" s="1752"/>
      <c r="W92" s="1752"/>
      <c r="X92" s="1752"/>
      <c r="Y92" s="1752"/>
      <c r="Z92" s="1752"/>
      <c r="AA92" s="1752"/>
      <c r="AB92" s="1753"/>
      <c r="AC92" s="199"/>
      <c r="AD92" s="199"/>
      <c r="AE92" s="199"/>
      <c r="AF92" s="199"/>
      <c r="AG92" s="199"/>
      <c r="AH92" s="199"/>
      <c r="AI92" s="199"/>
      <c r="AJ92" s="199"/>
      <c r="AK92" s="199"/>
      <c r="AL92" s="1073">
        <f t="shared" ca="1" si="38"/>
        <v>0</v>
      </c>
      <c r="AM92" s="199"/>
      <c r="AN92" s="199"/>
      <c r="AO92" s="199"/>
      <c r="AP92" s="199"/>
      <c r="AQ92" s="199"/>
      <c r="AR92" s="199"/>
      <c r="AS92" s="199"/>
      <c r="AT92" s="199"/>
      <c r="AU92" s="199"/>
      <c r="AV92" s="199"/>
      <c r="AW92" s="199"/>
      <c r="AX92" s="199"/>
      <c r="AY92" s="199"/>
      <c r="AZ92" s="199"/>
      <c r="BA92" s="199"/>
      <c r="BB92" s="199"/>
      <c r="BC92" s="199"/>
      <c r="BD92" s="199"/>
      <c r="BE92" s="199"/>
      <c r="BF92" s="106"/>
      <c r="BG92" s="106"/>
      <c r="BH92" s="106"/>
      <c r="BI92" s="106"/>
      <c r="BJ92" s="106"/>
      <c r="BK92" s="106"/>
      <c r="BL92" s="106"/>
      <c r="BM92" s="106"/>
      <c r="BN92" s="106"/>
      <c r="BO92" s="106"/>
      <c r="BP92" s="106"/>
      <c r="BQ92" s="106"/>
      <c r="BR92" s="106"/>
      <c r="BS92" s="106"/>
      <c r="BT92" s="106"/>
      <c r="BU92" s="106"/>
      <c r="BV92" s="106"/>
      <c r="BW92" s="106"/>
      <c r="BX92" s="106"/>
    </row>
    <row r="93" spans="1:76" x14ac:dyDescent="0.2">
      <c r="A93" s="274" t="s">
        <v>7108</v>
      </c>
      <c r="B93" s="378" t="str">
        <f ca="1">IF(EXACT($C93,"x"),Abfragen!U182,"")</f>
        <v/>
      </c>
      <c r="C93" s="110" t="str">
        <f ca="1">IF(Abfragen!U182=0,"","x")</f>
        <v/>
      </c>
      <c r="D93" s="325"/>
      <c r="E93" s="1067"/>
      <c r="F93" s="962"/>
      <c r="G93" s="326"/>
      <c r="H93" s="1739" t="str">
        <f t="shared" ca="1" si="35"/>
        <v/>
      </c>
      <c r="I93" s="1740"/>
      <c r="J93" s="1740"/>
      <c r="K93" s="1740"/>
      <c r="L93" s="1740"/>
      <c r="M93" s="1741"/>
      <c r="N93" s="514" t="str">
        <f t="shared" ca="1" si="36"/>
        <v/>
      </c>
      <c r="O93" s="1073">
        <f t="shared" ca="1" si="37"/>
        <v>0</v>
      </c>
      <c r="P93" s="199"/>
      <c r="Q93" s="1751" t="str">
        <f ca="1">IF(ISERROR(Abfragen!E312),"← Angaben zu Weltfremd eingeben",IF(Abfragen!E312="","← Angaben zu Weltfremd eingeben","Bei Generierung angegeben: "&amp;Abfragen!E312))</f>
        <v>← Angaben zu Weltfremd eingeben</v>
      </c>
      <c r="R93" s="1752"/>
      <c r="S93" s="1752"/>
      <c r="T93" s="1752"/>
      <c r="U93" s="1752"/>
      <c r="V93" s="1752"/>
      <c r="W93" s="1752"/>
      <c r="X93" s="1752"/>
      <c r="Y93" s="1752"/>
      <c r="Z93" s="1752"/>
      <c r="AA93" s="1752"/>
      <c r="AB93" s="1753"/>
      <c r="AC93" s="199"/>
      <c r="AD93" s="199"/>
      <c r="AE93" s="199"/>
      <c r="AF93" s="199"/>
      <c r="AG93" s="199"/>
      <c r="AH93" s="199"/>
      <c r="AI93" s="199"/>
      <c r="AJ93" s="199"/>
      <c r="AK93" s="199"/>
      <c r="AL93" s="1073">
        <f t="shared" ca="1" si="38"/>
        <v>0</v>
      </c>
      <c r="AM93" s="199"/>
      <c r="AN93" s="199"/>
      <c r="AO93" s="199"/>
      <c r="AP93" s="199"/>
      <c r="AQ93" s="199"/>
      <c r="AR93" s="199"/>
      <c r="AS93" s="199"/>
      <c r="AT93" s="199"/>
      <c r="AU93" s="199"/>
      <c r="AV93" s="199"/>
      <c r="AW93" s="199"/>
      <c r="AX93" s="199"/>
      <c r="AY93" s="199"/>
      <c r="AZ93" s="199"/>
      <c r="BA93" s="199"/>
      <c r="BB93" s="199"/>
      <c r="BC93" s="199"/>
      <c r="BD93" s="199"/>
      <c r="BE93" s="199"/>
      <c r="BF93" s="106"/>
      <c r="BG93" s="106"/>
      <c r="BH93" s="106"/>
      <c r="BI93" s="106"/>
      <c r="BJ93" s="106"/>
      <c r="BK93" s="106"/>
      <c r="BL93" s="106"/>
      <c r="BM93" s="106"/>
      <c r="BN93" s="106"/>
      <c r="BO93" s="106"/>
      <c r="BP93" s="106"/>
      <c r="BQ93" s="106"/>
      <c r="BR93" s="106"/>
      <c r="BS93" s="106"/>
      <c r="BT93" s="106"/>
      <c r="BU93" s="106"/>
      <c r="BV93" s="106"/>
      <c r="BW93" s="106"/>
      <c r="BX93" s="106"/>
    </row>
    <row r="94" spans="1:76" x14ac:dyDescent="0.2">
      <c r="A94" s="274" t="s">
        <v>7109</v>
      </c>
      <c r="B94" s="378" t="str">
        <f ca="1">IF(EXACT($C94,"x"),Abfragen!U183,"")</f>
        <v/>
      </c>
      <c r="C94" s="110" t="str">
        <f ca="1">IF(Abfragen!U183=0,"","x")</f>
        <v/>
      </c>
      <c r="D94" s="325"/>
      <c r="E94" s="1067"/>
      <c r="F94" s="962"/>
      <c r="G94" s="326"/>
      <c r="H94" s="1739" t="str">
        <f t="shared" ca="1" si="35"/>
        <v/>
      </c>
      <c r="I94" s="1740"/>
      <c r="J94" s="1740"/>
      <c r="K94" s="1740"/>
      <c r="L94" s="1740"/>
      <c r="M94" s="1741"/>
      <c r="N94" s="514" t="str">
        <f t="shared" ca="1" si="36"/>
        <v/>
      </c>
      <c r="O94" s="1073">
        <f t="shared" ca="1" si="37"/>
        <v>0</v>
      </c>
      <c r="P94" s="199"/>
      <c r="Q94" s="1751" t="str">
        <f ca="1">IF(ISERROR(Abfragen!E313),"← Angaben zu Weltfremd eingeben",IF(Abfragen!E313="","← Angaben zu Weltfremd eingeben","Bei Generierung angegeben: "&amp;Abfragen!E313))</f>
        <v>← Angaben zu Weltfremd eingeben</v>
      </c>
      <c r="R94" s="1752"/>
      <c r="S94" s="1752"/>
      <c r="T94" s="1752"/>
      <c r="U94" s="1752"/>
      <c r="V94" s="1752"/>
      <c r="W94" s="1752"/>
      <c r="X94" s="1752"/>
      <c r="Y94" s="1752"/>
      <c r="Z94" s="1752"/>
      <c r="AA94" s="1752"/>
      <c r="AB94" s="1753"/>
      <c r="AC94" s="199"/>
      <c r="AD94" s="199"/>
      <c r="AE94" s="199"/>
      <c r="AF94" s="199"/>
      <c r="AG94" s="199"/>
      <c r="AH94" s="199"/>
      <c r="AI94" s="199"/>
      <c r="AJ94" s="199"/>
      <c r="AK94" s="199"/>
      <c r="AL94" s="1073">
        <f t="shared" ca="1" si="38"/>
        <v>0</v>
      </c>
      <c r="AM94" s="199"/>
      <c r="AN94" s="199"/>
      <c r="AO94" s="199"/>
      <c r="AP94" s="199"/>
      <c r="AQ94" s="199"/>
      <c r="AR94" s="199"/>
      <c r="AS94" s="199"/>
      <c r="AT94" s="199"/>
      <c r="AU94" s="199"/>
      <c r="AV94" s="199"/>
      <c r="AW94" s="199"/>
      <c r="AX94" s="199"/>
      <c r="AY94" s="199"/>
      <c r="AZ94" s="199"/>
      <c r="BA94" s="199"/>
      <c r="BB94" s="199"/>
      <c r="BC94" s="199"/>
      <c r="BD94" s="199"/>
      <c r="BE94" s="199"/>
      <c r="BF94" s="106"/>
      <c r="BG94" s="106"/>
      <c r="BH94" s="106"/>
      <c r="BI94" s="106"/>
      <c r="BJ94" s="106"/>
      <c r="BK94" s="106"/>
      <c r="BL94" s="106"/>
      <c r="BM94" s="106"/>
      <c r="BN94" s="106"/>
      <c r="BO94" s="106"/>
      <c r="BP94" s="106"/>
      <c r="BQ94" s="106"/>
      <c r="BR94" s="106"/>
      <c r="BS94" s="106"/>
      <c r="BT94" s="106"/>
      <c r="BU94" s="106"/>
      <c r="BV94" s="106"/>
      <c r="BW94" s="106"/>
      <c r="BX94" s="106"/>
    </row>
    <row r="95" spans="1:76" ht="15.75" x14ac:dyDescent="0.25">
      <c r="A95" s="300" t="s">
        <v>7409</v>
      </c>
      <c r="B95" s="108"/>
      <c r="C95" s="108"/>
      <c r="D95" s="108"/>
      <c r="E95" s="108"/>
      <c r="F95" s="204"/>
      <c r="G95" s="204"/>
      <c r="H95" s="1770" t="str">
        <f ca="1">IF(APGUT&lt;0,"Keine AP mehr übrig!",IF(TL_GP_UEBRIG&lt;0,"Keine Start-AP mehr übrig!","▼ Fehlermeldungen ▼  "&amp;"(AP: "&amp;APGUT&amp;")"))</f>
        <v>▼ Fehlermeldungen ▼  (AP: 0)</v>
      </c>
      <c r="I95" s="1770"/>
      <c r="J95" s="1770"/>
      <c r="K95" s="1770"/>
      <c r="L95" s="1770"/>
      <c r="M95" s="1770"/>
      <c r="N95" s="197"/>
      <c r="O95" s="108"/>
      <c r="P95" s="198"/>
      <c r="Q95" s="198"/>
      <c r="R95" s="198"/>
      <c r="S95" s="198"/>
      <c r="T95" s="198"/>
      <c r="U95" s="198"/>
      <c r="V95" s="198"/>
      <c r="W95" s="198"/>
      <c r="X95" s="198"/>
      <c r="Y95" s="198"/>
      <c r="Z95" s="198"/>
      <c r="AA95" s="198"/>
      <c r="AB95" s="198"/>
      <c r="AC95" s="198"/>
      <c r="AD95" s="198"/>
      <c r="AE95" s="198"/>
      <c r="AF95" s="198"/>
      <c r="AG95" s="198"/>
      <c r="AH95" s="198"/>
      <c r="AI95" s="198"/>
      <c r="AJ95" s="197"/>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06"/>
      <c r="BG95" s="106"/>
      <c r="BH95" s="106"/>
      <c r="BI95" s="106"/>
      <c r="BJ95" s="106"/>
      <c r="BK95" s="106"/>
      <c r="BL95" s="106"/>
      <c r="BM95" s="106"/>
      <c r="BN95" s="106"/>
      <c r="BO95" s="106"/>
      <c r="BP95" s="106"/>
      <c r="BQ95" s="106"/>
      <c r="BR95" s="106"/>
      <c r="BS95" s="106"/>
      <c r="BT95" s="106"/>
      <c r="BU95" s="106"/>
      <c r="BV95" s="106"/>
      <c r="BW95" s="106"/>
      <c r="BX95" s="106"/>
    </row>
    <row r="96" spans="1:76" x14ac:dyDescent="0.2">
      <c r="A96" s="1368" t="s">
        <v>1232</v>
      </c>
      <c r="B96" s="378" t="str">
        <f ca="1">IF(EXACT($C96,"x"),Abfragen!U165,"")</f>
        <v/>
      </c>
      <c r="C96" s="391" t="str">
        <f ca="1">IF(NT_PRINZIP,"x","")</f>
        <v/>
      </c>
      <c r="E96" s="1067"/>
      <c r="G96" s="326"/>
      <c r="H96" s="1803" t="str">
        <f ca="1">IF(AND(EXACT(C96,""),NOT(ISBLANK(G96))),"Das hast Du doch nicht!","")</f>
        <v/>
      </c>
      <c r="I96" s="1804"/>
      <c r="J96" s="1804"/>
      <c r="K96" s="1804"/>
      <c r="L96" s="1804"/>
      <c r="M96" s="1805"/>
      <c r="N96" s="514" t="str">
        <f ca="1">IF(B96="","",B96-IF(ISERROR(VALUE(G96)),0,G96))</f>
        <v/>
      </c>
      <c r="O96" s="1751" t="str">
        <f ca="1">IF(NT_PRINZIP_TXT="","← Angaben zu Prinzipientreue eingeben","Bei Generierung gegeben: "&amp;NT_PRINZIP_TXT)</f>
        <v>← Angaben zu Prinzipientreue eingeben</v>
      </c>
      <c r="P96" s="1752"/>
      <c r="Q96" s="1752"/>
      <c r="R96" s="1752"/>
      <c r="S96" s="1752"/>
      <c r="T96" s="1752"/>
      <c r="U96" s="1752"/>
      <c r="V96" s="1752"/>
      <c r="W96" s="1752"/>
      <c r="X96" s="1752"/>
      <c r="Y96" s="1752"/>
      <c r="Z96" s="1753"/>
      <c r="AJ96" s="197"/>
      <c r="AK96" s="1053">
        <f>IF(ISERROR(VALUE(G96)),0,G96)*50</f>
        <v>0</v>
      </c>
    </row>
    <row r="97" spans="1:76" x14ac:dyDescent="0.2">
      <c r="A97" s="1062" t="s">
        <v>2881</v>
      </c>
      <c r="B97" s="378" t="str">
        <f ca="1">IF(EXACT($C97,"x"),Abfragen!U154,"")</f>
        <v/>
      </c>
      <c r="C97" s="1402" t="str">
        <f ca="1">IF(Abfragen!U154=0,"","x")</f>
        <v/>
      </c>
      <c r="E97" s="1566"/>
      <c r="G97" s="326"/>
      <c r="H97" s="1739" t="str">
        <f ca="1">IF(AND(EXACT(C97,""),NOT(ISBLANK(G97))),"Das hast Du doch nicht!","")</f>
        <v/>
      </c>
      <c r="I97" s="1740"/>
      <c r="J97" s="1740"/>
      <c r="K97" s="1740"/>
      <c r="L97" s="1740"/>
      <c r="M97" s="1741"/>
      <c r="N97" s="613" t="str">
        <f ca="1">IF(B97="","",B97-G97)</f>
        <v/>
      </c>
      <c r="O97" s="1566"/>
      <c r="P97" s="1566"/>
      <c r="Q97" s="1566"/>
      <c r="R97" s="1566"/>
      <c r="S97" s="1566"/>
      <c r="T97" s="1566"/>
      <c r="U97" s="1566"/>
      <c r="V97" s="1566"/>
      <c r="W97" s="1566"/>
      <c r="X97" s="1566"/>
      <c r="Y97" s="1566"/>
      <c r="Z97" s="1566"/>
      <c r="AJ97" s="197"/>
      <c r="AK97" s="1053">
        <f>IF(ISERROR(VALUE(G97)),0,G97)*50</f>
        <v>0</v>
      </c>
    </row>
    <row r="98" spans="1:76" x14ac:dyDescent="0.2">
      <c r="A98" s="1062" t="s">
        <v>760</v>
      </c>
      <c r="B98" s="378" t="str">
        <f ca="1">IF(EXACT($C98,"x"),Abfragen!U170,"")</f>
        <v/>
      </c>
      <c r="C98" s="1402" t="str">
        <f ca="1">IF(Abfragen!U170=0,"","x")</f>
        <v/>
      </c>
      <c r="D98" s="384"/>
      <c r="G98" s="326"/>
      <c r="H98" s="1739" t="str">
        <f ca="1">IF(AND(EXACT(C98,""),NOT(ISBLANK(G98))),"Das hast Du doch nicht!",IF(D98&gt;20,"Anzahl GP anstelle Anzahl Dukaten eintragen!",IF(G98&gt;B98,"Danke für die Zinsen","")))</f>
        <v/>
      </c>
      <c r="I98" s="1740"/>
      <c r="J98" s="1740"/>
      <c r="K98" s="1740"/>
      <c r="L98" s="1740"/>
      <c r="M98" s="1741"/>
      <c r="N98" s="1074"/>
      <c r="O98" s="1053"/>
      <c r="P98" s="1053"/>
      <c r="Q98" s="1053"/>
      <c r="R98" s="1053"/>
      <c r="S98" s="1053"/>
      <c r="T98" s="1053"/>
      <c r="U98" s="1053"/>
      <c r="V98" s="1053"/>
      <c r="W98" s="1053"/>
      <c r="X98" s="1053"/>
      <c r="Y98" s="1053"/>
      <c r="Z98" s="1053"/>
      <c r="AA98" s="1053"/>
      <c r="AB98" s="1053"/>
      <c r="AC98" s="1053"/>
      <c r="AD98" s="1053"/>
      <c r="AE98" s="1053"/>
      <c r="AF98" s="1053"/>
      <c r="AG98" s="1053"/>
      <c r="AH98" s="1053"/>
      <c r="AI98" s="1053"/>
      <c r="AJ98" s="197"/>
      <c r="AK98" s="1053"/>
      <c r="AL98" s="1053"/>
      <c r="AM98" s="1053"/>
      <c r="AN98" s="1053"/>
      <c r="AO98" s="1053"/>
      <c r="AP98" s="1053"/>
      <c r="AQ98" s="1053"/>
      <c r="AR98" s="1053"/>
      <c r="AS98" s="1053"/>
      <c r="AT98" s="1053"/>
      <c r="AU98" s="1053"/>
      <c r="AV98" s="1053"/>
      <c r="AW98" s="1053"/>
      <c r="AX98" s="1053"/>
      <c r="AY98" s="1053"/>
      <c r="AZ98" s="1053"/>
      <c r="BA98" s="1053"/>
      <c r="BB98" s="1053"/>
      <c r="BC98" s="1053"/>
      <c r="BD98" s="1053"/>
      <c r="BE98" s="1053"/>
      <c r="BF98" s="106"/>
      <c r="BG98" s="106"/>
      <c r="BH98" s="106"/>
      <c r="BI98" s="106"/>
      <c r="BJ98" s="106"/>
      <c r="BK98" s="106"/>
      <c r="BL98" s="106"/>
      <c r="BM98" s="106"/>
      <c r="BN98" s="106"/>
      <c r="BO98" s="106"/>
      <c r="BP98" s="106"/>
      <c r="BQ98" s="106"/>
      <c r="BR98" s="106"/>
      <c r="BS98" s="106"/>
      <c r="BT98" s="106"/>
      <c r="BU98" s="106"/>
      <c r="BV98" s="106"/>
      <c r="BW98" s="106"/>
      <c r="BX98" s="106"/>
    </row>
    <row r="99" spans="1:76" x14ac:dyDescent="0.2">
      <c r="A99" s="1062" t="s">
        <v>1380</v>
      </c>
      <c r="B99" s="378"/>
      <c r="C99" s="1402"/>
      <c r="E99" s="1067"/>
      <c r="H99" s="1739" t="str">
        <f>IF(AND(EXACT(C99,""),NOT(ISBLANK(NT_SPEISE_NW))),"Das hast Du doch nicht!","")</f>
        <v/>
      </c>
      <c r="I99" s="1740"/>
      <c r="J99" s="1740"/>
      <c r="K99" s="1740"/>
      <c r="L99" s="1740"/>
      <c r="M99" s="1741"/>
      <c r="N99" s="1074"/>
      <c r="O99" s="1751" t="str">
        <f ca="1">IF(NT_SPEISE_WERT="","← Angaben zu Speisegebote eingeben","Bei Generierung gegeben: "&amp;NT_SPEISE_WERT)</f>
        <v>← Angaben zu Speisegebote eingeben</v>
      </c>
      <c r="P99" s="1794"/>
      <c r="Q99" s="1794"/>
      <c r="R99" s="1794"/>
      <c r="S99" s="1794"/>
      <c r="T99" s="1794"/>
      <c r="U99" s="1794"/>
      <c r="V99" s="1794"/>
      <c r="W99" s="1794"/>
      <c r="X99" s="1794"/>
      <c r="Y99" s="1794"/>
      <c r="Z99" s="1795"/>
      <c r="AA99" s="1053"/>
      <c r="AB99" s="1053"/>
      <c r="AC99" s="1053"/>
      <c r="AD99" s="1053"/>
      <c r="AE99" s="1053"/>
      <c r="AF99" s="1053"/>
      <c r="AG99" s="1053"/>
      <c r="AH99" s="1053"/>
      <c r="AI99" s="1053"/>
      <c r="AJ99" s="197"/>
      <c r="AK99" s="1053"/>
      <c r="AL99" s="1053"/>
      <c r="AM99" s="1053"/>
      <c r="AN99" s="1053"/>
      <c r="AO99" s="1053"/>
      <c r="AP99" s="1053"/>
      <c r="AQ99" s="1053"/>
      <c r="AR99" s="1053"/>
      <c r="AS99" s="1053"/>
      <c r="AT99" s="1053"/>
      <c r="AU99" s="1053"/>
      <c r="AV99" s="1053"/>
      <c r="AW99" s="1053"/>
      <c r="AX99" s="1053"/>
      <c r="AY99" s="1053"/>
      <c r="AZ99" s="1053"/>
      <c r="BA99" s="1053"/>
      <c r="BB99" s="1053"/>
      <c r="BC99" s="1053"/>
      <c r="BD99" s="1053"/>
      <c r="BE99" s="1053"/>
      <c r="BF99" s="106"/>
      <c r="BG99" s="106"/>
      <c r="BH99" s="106"/>
      <c r="BI99" s="106"/>
      <c r="BJ99" s="106"/>
      <c r="BK99" s="106"/>
      <c r="BL99" s="106"/>
      <c r="BM99" s="106"/>
      <c r="BN99" s="106"/>
      <c r="BO99" s="106"/>
      <c r="BP99" s="106"/>
      <c r="BQ99" s="106"/>
      <c r="BR99" s="106"/>
      <c r="BS99" s="106"/>
      <c r="BT99" s="106"/>
      <c r="BU99" s="106"/>
      <c r="BV99" s="106"/>
      <c r="BW99" s="106"/>
      <c r="BX99" s="106"/>
    </row>
    <row r="100" spans="1:76" x14ac:dyDescent="0.2">
      <c r="A100" s="1368" t="s">
        <v>3663</v>
      </c>
      <c r="B100" s="378"/>
      <c r="C100" s="391" t="str">
        <f>IF(NOT(ISERR(FIND($A100,NACHTEILEGENE))),"x","")</f>
        <v/>
      </c>
      <c r="G100" s="326"/>
      <c r="H100" s="1739" t="str">
        <f>IF(AND(EXACT(C100,""),NOT(ISBLANK(G100))),"Das hast Du doch nicht!","")</f>
        <v/>
      </c>
      <c r="I100" s="1740"/>
      <c r="J100" s="1740"/>
      <c r="K100" s="1740"/>
      <c r="L100" s="1740"/>
      <c r="M100" s="1741"/>
      <c r="N100" s="1074"/>
      <c r="O100" s="1053"/>
      <c r="P100" s="1053"/>
      <c r="Q100" s="1053"/>
      <c r="R100" s="1053"/>
      <c r="S100" s="1053"/>
      <c r="T100" s="1053"/>
      <c r="U100" s="1053"/>
      <c r="V100" s="1053"/>
      <c r="W100" s="1053"/>
      <c r="X100" s="1053"/>
      <c r="Y100" s="1053"/>
      <c r="Z100" s="1053"/>
      <c r="AA100" s="1053"/>
      <c r="AB100" s="1053"/>
      <c r="AC100" s="1053"/>
      <c r="AD100" s="1053"/>
      <c r="AE100" s="1053"/>
      <c r="AF100" s="1053"/>
      <c r="AG100" s="1053"/>
      <c r="AH100" s="1053"/>
      <c r="AI100" s="1053"/>
      <c r="AJ100" s="197"/>
      <c r="AK100" s="1053">
        <f>IF(G100="",0,500)</f>
        <v>0</v>
      </c>
      <c r="AL100" s="1053"/>
      <c r="AM100" s="1053"/>
      <c r="AN100" s="1053"/>
      <c r="AO100" s="1053"/>
      <c r="AP100" s="1053"/>
      <c r="AQ100" s="1053"/>
      <c r="AR100" s="1053"/>
      <c r="AS100" s="1053"/>
      <c r="AT100" s="1053"/>
      <c r="AU100" s="1053"/>
      <c r="AV100" s="1053"/>
      <c r="AW100" s="1053"/>
      <c r="AX100" s="1053"/>
      <c r="AY100" s="1053"/>
      <c r="AZ100" s="1053"/>
      <c r="BA100" s="1053"/>
      <c r="BB100" s="1053"/>
      <c r="BC100" s="1053"/>
      <c r="BD100" s="1053"/>
      <c r="BE100" s="1053"/>
      <c r="BF100" s="106"/>
      <c r="BG100" s="106"/>
      <c r="BH100" s="106"/>
      <c r="BI100" s="106"/>
      <c r="BJ100" s="106"/>
      <c r="BK100" s="106"/>
      <c r="BL100" s="106"/>
      <c r="BM100" s="106"/>
      <c r="BN100" s="106"/>
      <c r="BO100" s="106"/>
      <c r="BP100" s="106"/>
      <c r="BQ100" s="106"/>
      <c r="BR100" s="106"/>
      <c r="BS100" s="106"/>
      <c r="BT100" s="106"/>
      <c r="BU100" s="106"/>
      <c r="BV100" s="106"/>
      <c r="BW100" s="106"/>
      <c r="BX100" s="106"/>
    </row>
    <row r="101" spans="1:76" x14ac:dyDescent="0.2">
      <c r="A101" s="1368" t="s">
        <v>4082</v>
      </c>
      <c r="C101" s="391" t="str">
        <f ca="1">IF(NT_VERPFLICHT,"x","")</f>
        <v/>
      </c>
      <c r="E101" s="1067"/>
      <c r="H101" s="1800" t="str">
        <f ca="1">IF(AND(EXACT(C101,""),NOT(ISBLANK(NT_VERPFLICHT_NW))),"Das hast Du doch nicht!","")</f>
        <v/>
      </c>
      <c r="I101" s="1801"/>
      <c r="J101" s="1801"/>
      <c r="K101" s="1801"/>
      <c r="L101" s="1801"/>
      <c r="M101" s="1802"/>
      <c r="N101" s="1074"/>
      <c r="O101" s="1751" t="str">
        <f ca="1">IF(NT_VERPFLICHT_WERT="","← Angaben zu Verpflichtungen eingeben","Bei Generierung gegeben: "&amp;NT_VERPFLICHT_WERT)</f>
        <v>← Angaben zu Verpflichtungen eingeben</v>
      </c>
      <c r="P101" s="1752"/>
      <c r="Q101" s="1752"/>
      <c r="R101" s="1752"/>
      <c r="S101" s="1752"/>
      <c r="T101" s="1752"/>
      <c r="U101" s="1752"/>
      <c r="V101" s="1752"/>
      <c r="W101" s="1752"/>
      <c r="X101" s="1752"/>
      <c r="Y101" s="1752"/>
      <c r="Z101" s="1753"/>
      <c r="AJ101" s="197"/>
    </row>
    <row r="105" spans="1:76" x14ac:dyDescent="0.2">
      <c r="L105" s="78"/>
    </row>
    <row r="109" spans="1:76" ht="36" thickBot="1" x14ac:dyDescent="0.55000000000000004">
      <c r="A109" s="104" t="s">
        <v>232</v>
      </c>
      <c r="B109" s="105"/>
      <c r="C109" s="118"/>
      <c r="D109" s="106"/>
      <c r="E109" s="106"/>
      <c r="F109" s="105"/>
      <c r="G109" s="107"/>
      <c r="H109" s="107"/>
      <c r="I109" s="105"/>
      <c r="J109" s="105"/>
      <c r="K109" s="105"/>
      <c r="L109" s="105"/>
      <c r="M109" s="105"/>
      <c r="N109" s="105"/>
      <c r="O109" s="105"/>
      <c r="P109" s="105"/>
      <c r="Q109" s="105"/>
      <c r="R109" s="105"/>
      <c r="S109" s="119"/>
      <c r="T109" s="105"/>
      <c r="U109" s="105"/>
      <c r="V109" s="105"/>
      <c r="W109" s="105"/>
      <c r="X109" s="105"/>
      <c r="Y109" s="105"/>
      <c r="Z109" s="105"/>
      <c r="AA109" s="105"/>
      <c r="AB109" s="105"/>
      <c r="AC109" s="105"/>
      <c r="AD109" s="105"/>
      <c r="AE109" s="797"/>
      <c r="AF109" s="797"/>
      <c r="AG109" s="797"/>
      <c r="AH109" s="797"/>
      <c r="AI109" s="797"/>
      <c r="AJ109" s="808"/>
      <c r="AK109" s="808"/>
      <c r="AL109" s="809"/>
      <c r="AM109" s="796"/>
      <c r="AN109" s="796"/>
      <c r="AO109" s="796"/>
      <c r="AP109" s="796"/>
      <c r="AQ109" s="796"/>
      <c r="AR109" s="796"/>
      <c r="AS109" s="153"/>
      <c r="AT109" s="153"/>
      <c r="AU109" s="796"/>
      <c r="AV109" s="153"/>
      <c r="AW109" s="153"/>
      <c r="AX109" s="153"/>
      <c r="AY109" s="153"/>
      <c r="AZ109" s="153"/>
      <c r="BA109" s="153"/>
      <c r="BB109" s="105"/>
      <c r="BC109" s="105"/>
      <c r="BD109" s="105"/>
      <c r="BE109" s="105"/>
      <c r="BF109" s="105"/>
      <c r="BG109" s="105"/>
      <c r="BH109" s="105"/>
      <c r="BI109" s="105"/>
      <c r="BJ109" s="105"/>
      <c r="BK109" s="105"/>
      <c r="BL109" s="105"/>
      <c r="BM109" s="105"/>
      <c r="BN109" s="105"/>
      <c r="BO109" s="105"/>
      <c r="BP109" s="105"/>
      <c r="BQ109" s="105"/>
      <c r="BR109" s="105"/>
      <c r="BS109" s="105"/>
      <c r="BT109" s="105"/>
      <c r="BU109" s="105"/>
      <c r="BV109" s="105"/>
      <c r="BW109" s="105"/>
      <c r="BX109" s="105"/>
    </row>
    <row r="110" spans="1:76" x14ac:dyDescent="0.2">
      <c r="A110" s="986" t="s">
        <v>2512</v>
      </c>
      <c r="B110" s="1818" t="s">
        <v>2404</v>
      </c>
      <c r="C110" s="1820" t="s">
        <v>837</v>
      </c>
      <c r="D110" s="988"/>
      <c r="E110" s="988"/>
      <c r="F110" s="1823"/>
      <c r="G110" s="1830" t="s">
        <v>874</v>
      </c>
      <c r="H110" s="989"/>
      <c r="I110" s="797"/>
      <c r="J110" s="797"/>
      <c r="K110" s="797"/>
      <c r="L110" s="797"/>
      <c r="M110" s="797"/>
      <c r="N110" s="797"/>
      <c r="O110" s="1758" t="s">
        <v>767</v>
      </c>
      <c r="P110" s="1759"/>
      <c r="Q110" s="1759"/>
      <c r="R110" s="1759"/>
      <c r="S110" s="1759"/>
      <c r="T110" s="1759"/>
      <c r="U110" s="1759"/>
      <c r="V110" s="1760"/>
      <c r="W110" s="1839">
        <f>ROUND(APGES/4,0)</f>
        <v>0</v>
      </c>
      <c r="X110" s="1840"/>
      <c r="Y110" s="1841"/>
      <c r="Z110" s="797"/>
      <c r="AA110" s="797"/>
      <c r="AB110" s="797"/>
      <c r="AC110" s="797"/>
      <c r="AD110" s="797"/>
      <c r="AE110" s="797"/>
      <c r="AF110" s="797"/>
      <c r="AG110" s="797"/>
      <c r="AH110" s="797"/>
      <c r="AI110" s="797"/>
      <c r="AJ110" s="116"/>
      <c r="AK110" s="116"/>
      <c r="AL110" s="797"/>
      <c r="AM110" s="363"/>
      <c r="AN110" s="363"/>
      <c r="AO110" s="153"/>
      <c r="AP110" s="153"/>
      <c r="AQ110" s="153"/>
      <c r="AR110" s="153"/>
      <c r="AS110" s="153"/>
      <c r="AT110" s="153"/>
      <c r="AU110" s="153"/>
      <c r="AV110" s="153"/>
      <c r="AW110" s="153"/>
      <c r="AX110" s="153"/>
      <c r="AY110" s="153"/>
      <c r="AZ110" s="153"/>
      <c r="BA110" s="153"/>
      <c r="BB110" s="105"/>
      <c r="BC110" s="105"/>
      <c r="BD110" s="105"/>
      <c r="BE110" s="105"/>
      <c r="BF110" s="105"/>
      <c r="BG110" s="105"/>
      <c r="BH110" s="105"/>
      <c r="BI110" s="105"/>
      <c r="BJ110" s="105"/>
      <c r="BK110" s="105"/>
      <c r="BL110" s="105"/>
      <c r="BM110" s="105"/>
      <c r="BN110" s="105"/>
      <c r="BO110" s="105"/>
      <c r="BP110" s="105"/>
      <c r="BQ110" s="105"/>
      <c r="BR110" s="105"/>
      <c r="BS110" s="105"/>
      <c r="BT110" s="105"/>
      <c r="BU110" s="105"/>
      <c r="BV110" s="105"/>
      <c r="BW110" s="105"/>
      <c r="BX110" s="105"/>
    </row>
    <row r="111" spans="1:76" x14ac:dyDescent="0.2">
      <c r="A111" s="987"/>
      <c r="B111" s="1819"/>
      <c r="C111" s="1821"/>
      <c r="D111" s="988"/>
      <c r="E111" s="988"/>
      <c r="F111" s="1823"/>
      <c r="G111" s="1831"/>
      <c r="H111" s="989"/>
      <c r="I111" s="797"/>
      <c r="J111" s="797"/>
      <c r="K111" s="797"/>
      <c r="L111" s="797"/>
      <c r="M111" s="797"/>
      <c r="N111" s="797"/>
      <c r="O111" s="1791" t="s">
        <v>768</v>
      </c>
      <c r="P111" s="1792"/>
      <c r="Q111" s="1792"/>
      <c r="R111" s="1792"/>
      <c r="S111" s="1792"/>
      <c r="T111" s="1792"/>
      <c r="U111" s="1792"/>
      <c r="V111" s="1793"/>
      <c r="W111" s="1754">
        <f>SUM(AA119:AT135,U149)</f>
        <v>0</v>
      </c>
      <c r="X111" s="1755"/>
      <c r="Y111" s="1756"/>
      <c r="Z111" s="797"/>
      <c r="AA111" s="797"/>
      <c r="AB111" s="797"/>
      <c r="AC111" s="797"/>
      <c r="AD111" s="797"/>
      <c r="AE111" s="797"/>
      <c r="AF111" s="797"/>
      <c r="AG111" s="797"/>
      <c r="AH111" s="797"/>
      <c r="AI111" s="797"/>
      <c r="AJ111" s="116"/>
      <c r="AK111" s="116"/>
      <c r="AL111" s="797"/>
      <c r="AM111" s="363"/>
      <c r="AN111" s="363"/>
      <c r="AO111" s="153"/>
      <c r="AP111" s="153"/>
      <c r="AQ111" s="153"/>
      <c r="AR111" s="153"/>
      <c r="AS111" s="153"/>
      <c r="AT111" s="153"/>
      <c r="AU111" s="153"/>
      <c r="AV111" s="153"/>
      <c r="AW111" s="153"/>
      <c r="AX111" s="153"/>
      <c r="AY111" s="153"/>
      <c r="AZ111" s="153"/>
      <c r="BA111" s="153"/>
      <c r="BB111" s="105"/>
      <c r="BC111" s="105"/>
      <c r="BD111" s="105"/>
      <c r="BE111" s="105"/>
      <c r="BF111" s="105"/>
      <c r="BG111" s="105"/>
      <c r="BH111" s="105"/>
      <c r="BI111" s="105"/>
      <c r="BJ111" s="105"/>
      <c r="BK111" s="105"/>
      <c r="BL111" s="105"/>
      <c r="BM111" s="105"/>
      <c r="BN111" s="105"/>
      <c r="BO111" s="105"/>
      <c r="BP111" s="105"/>
      <c r="BQ111" s="105"/>
      <c r="BR111" s="105"/>
      <c r="BS111" s="105"/>
      <c r="BT111" s="105"/>
      <c r="BU111" s="105"/>
      <c r="BV111" s="105"/>
      <c r="BW111" s="105"/>
      <c r="BX111" s="105"/>
    </row>
    <row r="112" spans="1:76" ht="13.5" thickBot="1" x14ac:dyDescent="0.25">
      <c r="A112" s="986" t="s">
        <v>1986</v>
      </c>
      <c r="B112" s="1819"/>
      <c r="C112" s="1821"/>
      <c r="D112" s="988"/>
      <c r="E112" s="988"/>
      <c r="F112" s="1823"/>
      <c r="G112" s="1831"/>
      <c r="H112" s="989"/>
      <c r="I112" s="797"/>
      <c r="J112" s="797"/>
      <c r="K112" s="797"/>
      <c r="L112" s="797"/>
      <c r="M112" s="797"/>
      <c r="N112" s="797"/>
      <c r="O112" s="1824" t="s">
        <v>2920</v>
      </c>
      <c r="P112" s="1825"/>
      <c r="Q112" s="1825"/>
      <c r="R112" s="1825"/>
      <c r="S112" s="1825"/>
      <c r="T112" s="1825"/>
      <c r="U112" s="1825"/>
      <c r="V112" s="1826"/>
      <c r="W112" s="1836">
        <f>W110-W111</f>
        <v>0</v>
      </c>
      <c r="X112" s="1837"/>
      <c r="Y112" s="1838"/>
      <c r="Z112" s="797"/>
      <c r="AA112" s="797"/>
      <c r="AB112" s="797"/>
      <c r="AC112" s="797"/>
      <c r="AD112" s="797"/>
      <c r="AE112" s="797"/>
      <c r="AF112" s="797"/>
      <c r="AG112" s="797"/>
      <c r="AH112" s="797"/>
      <c r="AI112" s="797"/>
      <c r="AJ112" s="116"/>
      <c r="AK112" s="116"/>
      <c r="AL112" s="797"/>
      <c r="AM112" s="363"/>
      <c r="AN112" s="363"/>
      <c r="AO112" s="153"/>
      <c r="AP112" s="153"/>
      <c r="AQ112" s="153"/>
      <c r="AR112" s="153"/>
      <c r="AS112" s="153"/>
      <c r="AT112" s="153"/>
      <c r="AU112" s="153"/>
      <c r="AV112" s="153"/>
      <c r="AW112" s="153"/>
      <c r="AX112" s="153"/>
      <c r="AY112" s="153"/>
      <c r="AZ112" s="153"/>
      <c r="BA112" s="153"/>
      <c r="BB112" s="105"/>
      <c r="BC112" s="105"/>
      <c r="BD112" s="105"/>
      <c r="BE112" s="105"/>
      <c r="BF112" s="105"/>
      <c r="BG112" s="105"/>
      <c r="BH112" s="105"/>
      <c r="BI112" s="105"/>
      <c r="BJ112" s="105"/>
      <c r="BK112" s="105"/>
      <c r="BL112" s="105"/>
      <c r="BM112" s="105"/>
      <c r="BN112" s="105"/>
      <c r="BO112" s="105"/>
      <c r="BP112" s="105"/>
      <c r="BQ112" s="105"/>
      <c r="BR112" s="105"/>
      <c r="BS112" s="105"/>
      <c r="BT112" s="105"/>
      <c r="BU112" s="105"/>
      <c r="BV112" s="105"/>
      <c r="BW112" s="105"/>
      <c r="BX112" s="105"/>
    </row>
    <row r="113" spans="1:76" ht="24.75" customHeight="1" x14ac:dyDescent="0.2">
      <c r="A113" s="987" t="str">
        <f>IF(VT_MACHT_VTRT,"Ja","Nein")</f>
        <v>Nein</v>
      </c>
      <c r="B113" s="1819"/>
      <c r="C113" s="1821"/>
      <c r="D113" s="990" t="b">
        <f>IF(A113="Ja",TRUE,FALSE)</f>
        <v>0</v>
      </c>
      <c r="E113" s="988"/>
      <c r="F113" s="1823"/>
      <c r="G113" s="1831"/>
      <c r="H113" s="989"/>
      <c r="I113" s="797"/>
      <c r="J113" s="797"/>
      <c r="K113" s="797"/>
      <c r="L113" s="797"/>
      <c r="M113" s="797"/>
      <c r="N113" s="797"/>
      <c r="O113" s="253"/>
      <c r="P113" s="253"/>
      <c r="Q113" s="253"/>
      <c r="R113" s="253"/>
      <c r="S113" s="253"/>
      <c r="T113" s="253"/>
      <c r="U113" s="253"/>
      <c r="V113" s="253"/>
      <c r="W113" s="863"/>
      <c r="X113" s="863"/>
      <c r="Y113" s="863"/>
      <c r="Z113" s="797"/>
      <c r="AA113" s="797"/>
      <c r="AB113" s="797"/>
      <c r="AC113" s="797"/>
      <c r="AD113" s="797"/>
      <c r="AE113" s="797"/>
      <c r="AF113" s="797"/>
      <c r="AG113" s="797"/>
      <c r="AH113" s="797"/>
      <c r="AI113" s="797"/>
      <c r="AJ113" s="116"/>
      <c r="AK113" s="116"/>
      <c r="AL113" s="797"/>
      <c r="AM113" s="363"/>
      <c r="AN113" s="363"/>
      <c r="AO113" s="153"/>
      <c r="AP113" s="153"/>
      <c r="AQ113" s="153"/>
      <c r="AR113" s="153"/>
      <c r="AS113" s="153"/>
      <c r="AT113" s="153"/>
      <c r="AU113" s="153"/>
      <c r="AV113" s="153"/>
      <c r="AW113" s="153"/>
      <c r="AX113" s="153"/>
      <c r="AY113" s="153"/>
      <c r="AZ113" s="153"/>
      <c r="BA113" s="153"/>
      <c r="BB113" s="105"/>
      <c r="BC113" s="105"/>
      <c r="BD113" s="105"/>
      <c r="BE113" s="105"/>
      <c r="BF113" s="105"/>
      <c r="BG113" s="105"/>
      <c r="BH113" s="105"/>
      <c r="BI113" s="105"/>
      <c r="BJ113" s="105"/>
      <c r="BK113" s="105"/>
      <c r="BL113" s="105"/>
      <c r="BM113" s="105"/>
      <c r="BN113" s="105"/>
      <c r="BO113" s="105"/>
      <c r="BP113" s="105"/>
      <c r="BQ113" s="105"/>
      <c r="BR113" s="105"/>
      <c r="BS113" s="105"/>
      <c r="BT113" s="105"/>
      <c r="BU113" s="105"/>
      <c r="BV113" s="105"/>
      <c r="BW113" s="105"/>
      <c r="BX113" s="105"/>
    </row>
    <row r="114" spans="1:76" ht="28.5" customHeight="1" x14ac:dyDescent="0.2">
      <c r="A114" s="986" t="s">
        <v>4641</v>
      </c>
      <c r="B114" s="1819"/>
      <c r="C114" s="1821"/>
      <c r="D114" s="988"/>
      <c r="E114" s="988"/>
      <c r="F114" s="1823"/>
      <c r="G114" s="1831"/>
      <c r="H114" s="989"/>
      <c r="I114" s="797"/>
      <c r="J114" s="797"/>
      <c r="K114" s="797"/>
      <c r="L114" s="797"/>
      <c r="M114" s="797"/>
      <c r="N114" s="797"/>
      <c r="O114" s="253"/>
      <c r="P114" s="253"/>
      <c r="Q114" s="253"/>
      <c r="R114" s="253"/>
      <c r="S114" s="253"/>
      <c r="T114" s="253"/>
      <c r="U114" s="253"/>
      <c r="V114" s="253"/>
      <c r="W114" s="863"/>
      <c r="X114" s="863"/>
      <c r="Y114" s="863"/>
      <c r="Z114" s="797"/>
      <c r="AA114" s="797"/>
      <c r="AB114" s="797"/>
      <c r="AC114" s="797"/>
      <c r="AD114" s="797"/>
      <c r="AE114" s="797"/>
      <c r="AF114" s="797"/>
      <c r="AG114" s="797"/>
      <c r="AH114" s="797"/>
      <c r="AI114" s="797"/>
      <c r="AJ114" s="116"/>
      <c r="AK114" s="116"/>
      <c r="AL114" s="797"/>
      <c r="AM114" s="363"/>
      <c r="AN114" s="363"/>
      <c r="AO114" s="153"/>
      <c r="AP114" s="153"/>
      <c r="AQ114" s="153"/>
      <c r="AR114" s="153"/>
      <c r="AS114" s="153"/>
      <c r="AT114" s="153"/>
      <c r="AU114" s="153"/>
      <c r="AV114" s="153"/>
      <c r="AW114" s="153"/>
      <c r="AX114" s="153"/>
      <c r="AY114" s="153"/>
      <c r="AZ114" s="153"/>
      <c r="BA114" s="153"/>
      <c r="BB114" s="105"/>
      <c r="BC114" s="105"/>
      <c r="BD114" s="105"/>
      <c r="BE114" s="105"/>
      <c r="BF114" s="105"/>
      <c r="BG114" s="105"/>
      <c r="BH114" s="105"/>
      <c r="BI114" s="105"/>
      <c r="BJ114" s="105"/>
      <c r="BK114" s="105"/>
      <c r="BL114" s="105"/>
      <c r="BM114" s="105"/>
      <c r="BN114" s="105"/>
      <c r="BO114" s="105"/>
      <c r="BP114" s="105"/>
      <c r="BQ114" s="105"/>
      <c r="BR114" s="105"/>
      <c r="BS114" s="105"/>
      <c r="BT114" s="105"/>
      <c r="BU114" s="105"/>
      <c r="BV114" s="105"/>
      <c r="BW114" s="105"/>
      <c r="BX114" s="105"/>
    </row>
    <row r="115" spans="1:76" x14ac:dyDescent="0.2">
      <c r="A115" s="987"/>
      <c r="B115" s="1819"/>
      <c r="C115" s="1821"/>
      <c r="D115" s="988"/>
      <c r="E115" s="988"/>
      <c r="F115" s="1823"/>
      <c r="G115" s="1831"/>
      <c r="H115" s="989"/>
      <c r="I115" s="797"/>
      <c r="J115" s="797"/>
      <c r="K115" s="797"/>
      <c r="L115" s="797"/>
      <c r="M115" s="797"/>
      <c r="N115" s="797"/>
      <c r="O115" s="253"/>
      <c r="P115" s="253"/>
      <c r="Q115" s="253"/>
      <c r="R115" s="253"/>
      <c r="S115" s="253"/>
      <c r="T115" s="991"/>
      <c r="U115" s="991"/>
      <c r="V115" s="991"/>
      <c r="W115" s="1757"/>
      <c r="X115" s="1757"/>
      <c r="Y115" s="1757"/>
      <c r="Z115" s="797"/>
      <c r="AA115" s="797"/>
      <c r="AB115" s="797"/>
      <c r="AC115" s="797"/>
      <c r="AD115" s="797"/>
      <c r="AE115" s="797"/>
      <c r="AF115" s="797"/>
      <c r="AG115" s="797"/>
      <c r="AH115" s="797"/>
      <c r="AI115" s="797"/>
      <c r="AJ115" s="116"/>
      <c r="AK115" s="116"/>
      <c r="AL115" s="797"/>
      <c r="AM115" s="363"/>
      <c r="AN115" s="363"/>
      <c r="AO115" s="153"/>
      <c r="AP115" s="153"/>
      <c r="AQ115" s="153"/>
      <c r="AR115" s="153"/>
      <c r="AS115" s="153"/>
      <c r="AT115" s="153"/>
      <c r="AU115" s="153"/>
      <c r="AV115" s="153"/>
      <c r="AW115" s="153"/>
      <c r="AX115" s="153"/>
      <c r="AY115" s="153"/>
      <c r="AZ115" s="153"/>
      <c r="BA115" s="153"/>
      <c r="BB115" s="105"/>
      <c r="BC115" s="105"/>
      <c r="BD115" s="105"/>
      <c r="BE115" s="105"/>
      <c r="BF115" s="105"/>
      <c r="BG115" s="105"/>
      <c r="BH115" s="105"/>
      <c r="BI115" s="105"/>
      <c r="BJ115" s="105"/>
      <c r="BK115" s="105"/>
      <c r="BL115" s="105"/>
      <c r="BM115" s="105"/>
      <c r="BN115" s="105"/>
      <c r="BO115" s="105"/>
      <c r="BP115" s="105"/>
      <c r="BQ115" s="105"/>
      <c r="BR115" s="105"/>
      <c r="BS115" s="105"/>
      <c r="BT115" s="105"/>
      <c r="BU115" s="105"/>
      <c r="BV115" s="105"/>
      <c r="BW115" s="105"/>
      <c r="BX115" s="105"/>
    </row>
    <row r="116" spans="1:76" x14ac:dyDescent="0.2">
      <c r="A116" s="986" t="s">
        <v>2511</v>
      </c>
      <c r="B116" s="1819"/>
      <c r="C116" s="1821"/>
      <c r="D116" s="988"/>
      <c r="E116" s="988"/>
      <c r="F116" s="1823"/>
      <c r="G116" s="1831"/>
      <c r="H116" s="989"/>
      <c r="I116" s="797"/>
      <c r="J116" s="797"/>
      <c r="K116" s="797"/>
      <c r="L116" s="797"/>
      <c r="M116" s="797"/>
      <c r="N116" s="797"/>
      <c r="O116" s="797"/>
      <c r="P116" s="797"/>
      <c r="Q116" s="797"/>
      <c r="R116" s="797"/>
      <c r="S116" s="567"/>
      <c r="T116" s="797"/>
      <c r="U116" s="797"/>
      <c r="V116" s="797"/>
      <c r="W116" s="797"/>
      <c r="X116" s="797"/>
      <c r="Y116" s="797"/>
      <c r="Z116" s="797"/>
      <c r="AA116" s="797"/>
      <c r="AB116" s="797"/>
      <c r="AC116" s="797"/>
      <c r="AD116" s="797"/>
      <c r="AE116" s="797"/>
      <c r="AF116" s="797"/>
      <c r="AG116" s="797"/>
      <c r="AH116" s="797"/>
      <c r="AI116" s="797"/>
      <c r="AJ116" s="116"/>
      <c r="AK116" s="116"/>
      <c r="AL116" s="797"/>
      <c r="AM116" s="363"/>
      <c r="AN116" s="363"/>
      <c r="AO116" s="153"/>
      <c r="AP116" s="153"/>
      <c r="AQ116" s="153"/>
      <c r="AR116" s="153"/>
      <c r="AS116" s="153"/>
      <c r="AT116" s="153"/>
      <c r="AU116" s="153"/>
      <c r="AV116" s="153"/>
      <c r="AW116" s="153"/>
      <c r="AX116" s="153"/>
      <c r="AY116" s="153"/>
      <c r="AZ116" s="153"/>
      <c r="BA116" s="153"/>
      <c r="BB116" s="105"/>
      <c r="BC116" s="105"/>
      <c r="BD116" s="105"/>
      <c r="BE116" s="105"/>
      <c r="BF116" s="105"/>
      <c r="BG116" s="105"/>
      <c r="BH116" s="105"/>
      <c r="BI116" s="105"/>
      <c r="BJ116" s="105"/>
      <c r="BK116" s="105"/>
      <c r="BL116" s="105"/>
      <c r="BM116" s="105"/>
      <c r="BN116" s="105"/>
      <c r="BO116" s="105"/>
      <c r="BP116" s="105"/>
      <c r="BQ116" s="105"/>
      <c r="BR116" s="105"/>
      <c r="BS116" s="105"/>
      <c r="BT116" s="105"/>
      <c r="BU116" s="105"/>
      <c r="BV116" s="105"/>
      <c r="BW116" s="105"/>
      <c r="BX116" s="105"/>
    </row>
    <row r="117" spans="1:76" x14ac:dyDescent="0.2">
      <c r="A117" s="987"/>
      <c r="B117" s="236"/>
      <c r="C117" s="1822"/>
      <c r="D117" s="988"/>
      <c r="E117" s="988"/>
      <c r="F117" s="1823"/>
      <c r="G117" s="1832"/>
      <c r="H117" s="989"/>
      <c r="I117" s="797"/>
      <c r="J117" s="797"/>
      <c r="K117" s="797"/>
      <c r="L117" s="797"/>
      <c r="M117" s="797"/>
      <c r="N117" s="797"/>
      <c r="O117" s="233" t="s">
        <v>828</v>
      </c>
      <c r="P117" s="797"/>
      <c r="Q117" s="797"/>
      <c r="R117" s="797"/>
      <c r="S117" s="567"/>
      <c r="T117" s="797"/>
      <c r="U117" s="797"/>
      <c r="V117" s="797"/>
      <c r="W117" s="797"/>
      <c r="X117" s="797"/>
      <c r="Y117" s="797"/>
      <c r="Z117" s="797"/>
      <c r="AA117" s="797"/>
      <c r="AB117" s="797"/>
      <c r="AC117" s="797"/>
      <c r="AD117" s="797"/>
      <c r="AE117" s="797"/>
      <c r="AF117" s="797"/>
      <c r="AG117" s="797"/>
      <c r="AH117" s="797"/>
      <c r="AI117" s="797"/>
      <c r="AJ117" s="116"/>
      <c r="AK117" s="116"/>
      <c r="AL117" s="797"/>
      <c r="AM117" s="116"/>
      <c r="AN117" s="116"/>
      <c r="AO117" s="797"/>
      <c r="AP117" s="797"/>
      <c r="AQ117" s="797"/>
      <c r="AR117" s="797"/>
      <c r="AS117" s="797"/>
      <c r="AT117" s="797"/>
      <c r="AU117" s="797"/>
      <c r="AV117" s="105"/>
      <c r="AW117" s="105"/>
      <c r="AX117" s="105"/>
      <c r="AY117" s="105"/>
      <c r="AZ117" s="105"/>
      <c r="BA117" s="105"/>
      <c r="BB117" s="105"/>
      <c r="BC117" s="105"/>
      <c r="BD117" s="105"/>
      <c r="BE117" s="105"/>
      <c r="BF117" s="105"/>
      <c r="BG117" s="105"/>
      <c r="BH117" s="105"/>
      <c r="BI117" s="105"/>
      <c r="BJ117" s="105"/>
      <c r="BK117" s="105"/>
      <c r="BL117" s="105"/>
      <c r="BM117" s="105"/>
      <c r="BN117" s="105"/>
      <c r="BO117" s="105"/>
      <c r="BP117" s="105"/>
      <c r="BQ117" s="105"/>
      <c r="BR117" s="105"/>
      <c r="BS117" s="105"/>
      <c r="BT117" s="105"/>
      <c r="BU117" s="105"/>
      <c r="BV117" s="105"/>
      <c r="BW117" s="105"/>
      <c r="BX117" s="105"/>
    </row>
    <row r="118" spans="1:76" x14ac:dyDescent="0.2">
      <c r="A118" s="777" t="s">
        <v>485</v>
      </c>
      <c r="B118" s="204"/>
      <c r="C118" s="204"/>
      <c r="D118" s="204"/>
      <c r="E118" s="204"/>
      <c r="F118" s="204"/>
      <c r="G118" s="204"/>
      <c r="H118" s="1842" t="s">
        <v>1452</v>
      </c>
      <c r="I118" s="1843"/>
      <c r="J118" s="1843"/>
      <c r="K118" s="1843"/>
      <c r="L118" s="1843"/>
      <c r="M118" s="1844"/>
      <c r="N118" s="797"/>
      <c r="O118" s="1815" t="s">
        <v>1168</v>
      </c>
      <c r="P118" s="1816"/>
      <c r="Q118" s="1816"/>
      <c r="R118" s="1816"/>
      <c r="S118" s="1816"/>
      <c r="T118" s="1817"/>
      <c r="U118" s="597" t="str">
        <f>IF(VERTRAUTENART="","",IF(VT_MACHT_VTRT,120,IF(ISERR(VALUE(HLOOKUP(VERTRAUTENART,VERTRAUTEWERTE,4))),0,VALUE(HLOOKUP(VERTRAUTENART,VERTRAUTEWERTE,4))))+Q131)</f>
        <v/>
      </c>
      <c r="V118" s="599"/>
      <c r="W118" s="598"/>
      <c r="X118" s="797"/>
      <c r="Y118" s="992"/>
      <c r="Z118" s="992"/>
      <c r="AA118" s="993">
        <v>1</v>
      </c>
      <c r="AB118" s="993">
        <v>2</v>
      </c>
      <c r="AC118" s="993">
        <v>3</v>
      </c>
      <c r="AD118" s="993">
        <v>4</v>
      </c>
      <c r="AE118" s="993">
        <v>5</v>
      </c>
      <c r="AF118" s="993">
        <v>6</v>
      </c>
      <c r="AG118" s="993">
        <v>7</v>
      </c>
      <c r="AH118" s="993">
        <v>8</v>
      </c>
      <c r="AI118" s="993">
        <v>9</v>
      </c>
      <c r="AJ118" s="993">
        <v>10</v>
      </c>
      <c r="AK118" s="993">
        <v>11</v>
      </c>
      <c r="AL118" s="993">
        <v>12</v>
      </c>
      <c r="AM118" s="993">
        <v>13</v>
      </c>
      <c r="AN118" s="993">
        <v>14</v>
      </c>
      <c r="AO118" s="993">
        <v>15</v>
      </c>
      <c r="AP118" s="993">
        <v>16</v>
      </c>
      <c r="AQ118" s="993">
        <v>17</v>
      </c>
      <c r="AR118" s="993">
        <v>18</v>
      </c>
      <c r="AS118" s="993">
        <v>19</v>
      </c>
      <c r="AT118" s="994">
        <v>20</v>
      </c>
      <c r="AU118" s="995"/>
      <c r="AV118" s="105"/>
      <c r="AW118" s="105"/>
      <c r="AX118" s="105"/>
      <c r="AY118" s="105"/>
      <c r="AZ118" s="105"/>
      <c r="BA118" s="105"/>
      <c r="BB118" s="105"/>
      <c r="BC118" s="105"/>
      <c r="BD118" s="105"/>
      <c r="BE118" s="105"/>
      <c r="BF118" s="105"/>
      <c r="BG118" s="105"/>
      <c r="BH118" s="105"/>
      <c r="BI118" s="105"/>
      <c r="BJ118" s="105"/>
      <c r="BK118" s="105"/>
      <c r="BL118" s="105"/>
      <c r="BM118" s="105"/>
      <c r="BN118" s="105"/>
      <c r="BO118" s="105"/>
      <c r="BP118" s="105"/>
      <c r="BQ118" s="105"/>
      <c r="BR118" s="105"/>
      <c r="BS118" s="105"/>
      <c r="BT118" s="105"/>
      <c r="BU118" s="105"/>
      <c r="BV118" s="105"/>
      <c r="BW118" s="105"/>
      <c r="BX118" s="105"/>
    </row>
    <row r="119" spans="1:76" x14ac:dyDescent="0.2">
      <c r="A119" s="996" t="s">
        <v>74</v>
      </c>
      <c r="B119" s="997" t="str">
        <f>IF(VERTRAUTENART="","",HLOOKUP(VERTRAUTENART,VERTRAUTEWERTE,5))</f>
        <v/>
      </c>
      <c r="C119" s="249"/>
      <c r="D119" s="998"/>
      <c r="E119" s="998"/>
      <c r="F119" s="117"/>
      <c r="G119" s="1310"/>
      <c r="H119" s="1812" t="str">
        <f>IF(B119="","",IF(AND(SUM(B119:C119)&gt;VALUE(HLOOKUP(VERTRAUTENART,VERTRAUTEWERTE,6)),NOT(D113)),"Maximalwert überschritten",IF(ROUND((B119+C119)*1.5,0)&lt;SUM(B119:G119),"Gesamtwert zu hoch","")))</f>
        <v/>
      </c>
      <c r="I119" s="1813"/>
      <c r="J119" s="1813"/>
      <c r="K119" s="1813"/>
      <c r="L119" s="1813"/>
      <c r="M119" s="1814"/>
      <c r="N119" s="797"/>
      <c r="O119" s="245"/>
      <c r="P119" s="600" t="str">
        <f>IF(AND(VERTRAUTENART="",C119=""),"",IF(SUM(B119:C119)&gt;HLOOKUP(VERTRAUTENART,VERTRAUTEWERTE,6,FALSE),2*(HLOOKUP(VERTRAUTENART,VERTRAUTEWERTE,6,FALSE)-B119),C119*2))</f>
        <v/>
      </c>
      <c r="Q119" s="601" t="str">
        <f>IF(AND(VERTRAUTENART="",C119=""),"",IF(SUM(B119:C119)&gt;HLOOKUP(VERTRAUTENART,VERTRAUTEWERTE,6,FALSE),5*(SUM(B119:C119)-HLOOKUP(VERTRAUTENART,VERTRAUTEWERTE,6,FALSE)),0))</f>
        <v/>
      </c>
      <c r="R119" s="1000"/>
      <c r="S119" s="1001"/>
      <c r="T119" s="1002"/>
      <c r="U119" s="797"/>
      <c r="V119" s="797"/>
      <c r="W119" s="797"/>
      <c r="X119" s="797"/>
      <c r="Y119" s="267" t="str">
        <f>IF(B119="","",B119+C119+G119)</f>
        <v/>
      </c>
      <c r="Z119" s="1003"/>
      <c r="AA119" s="237">
        <f t="shared" ref="AA119:AJ129" si="39">IF(AND(NOT(ISBLANK($G119)),SUM($B119,$C119)&lt;AA$118,SUM($B119,$C119,$G119)&gt;=AA$118),HLOOKUP("F",SKT,AA$118+3,FALSE),0)</f>
        <v>0</v>
      </c>
      <c r="AB119" s="238">
        <f t="shared" si="39"/>
        <v>0</v>
      </c>
      <c r="AC119" s="238">
        <f t="shared" si="39"/>
        <v>0</v>
      </c>
      <c r="AD119" s="238">
        <f t="shared" si="39"/>
        <v>0</v>
      </c>
      <c r="AE119" s="238">
        <f t="shared" si="39"/>
        <v>0</v>
      </c>
      <c r="AF119" s="238">
        <f t="shared" si="39"/>
        <v>0</v>
      </c>
      <c r="AG119" s="238">
        <f t="shared" si="39"/>
        <v>0</v>
      </c>
      <c r="AH119" s="238">
        <f t="shared" si="39"/>
        <v>0</v>
      </c>
      <c r="AI119" s="238">
        <f t="shared" si="39"/>
        <v>0</v>
      </c>
      <c r="AJ119" s="238">
        <f t="shared" si="39"/>
        <v>0</v>
      </c>
      <c r="AK119" s="238">
        <f t="shared" ref="AK119:AT129" si="40">IF(AND(NOT(ISBLANK($G119)),SUM($B119,$C119)&lt;AK$118,SUM($B119,$C119,$G119)&gt;=AK$118),HLOOKUP("F",SKT,AK$118+3,FALSE),0)</f>
        <v>0</v>
      </c>
      <c r="AL119" s="238">
        <f t="shared" si="40"/>
        <v>0</v>
      </c>
      <c r="AM119" s="238">
        <f t="shared" si="40"/>
        <v>0</v>
      </c>
      <c r="AN119" s="238">
        <f t="shared" si="40"/>
        <v>0</v>
      </c>
      <c r="AO119" s="238">
        <f t="shared" si="40"/>
        <v>0</v>
      </c>
      <c r="AP119" s="238">
        <f t="shared" si="40"/>
        <v>0</v>
      </c>
      <c r="AQ119" s="238">
        <f t="shared" si="40"/>
        <v>0</v>
      </c>
      <c r="AR119" s="238">
        <f t="shared" si="40"/>
        <v>0</v>
      </c>
      <c r="AS119" s="238">
        <f t="shared" si="40"/>
        <v>0</v>
      </c>
      <c r="AT119" s="239">
        <f t="shared" si="40"/>
        <v>0</v>
      </c>
      <c r="AU119" s="212"/>
      <c r="AV119" s="105"/>
      <c r="AW119" s="105"/>
      <c r="AX119" s="105"/>
      <c r="AY119" s="105"/>
      <c r="AZ119" s="105"/>
      <c r="BA119" s="105"/>
      <c r="BB119" s="105"/>
      <c r="BC119" s="105"/>
      <c r="BD119" s="105"/>
      <c r="BE119" s="105"/>
      <c r="BF119" s="105"/>
      <c r="BG119" s="105"/>
      <c r="BH119" s="105"/>
      <c r="BI119" s="105"/>
      <c r="BJ119" s="105"/>
      <c r="BK119" s="105"/>
      <c r="BL119" s="105"/>
      <c r="BM119" s="105"/>
      <c r="BN119" s="105"/>
      <c r="BO119" s="105"/>
      <c r="BP119" s="105"/>
      <c r="BQ119" s="105"/>
      <c r="BR119" s="105"/>
      <c r="BS119" s="105"/>
      <c r="BT119" s="105"/>
      <c r="BU119" s="105"/>
      <c r="BV119" s="105"/>
      <c r="BW119" s="105"/>
      <c r="BX119" s="105"/>
    </row>
    <row r="120" spans="1:76" x14ac:dyDescent="0.2">
      <c r="A120" s="996" t="s">
        <v>75</v>
      </c>
      <c r="B120" s="997" t="str">
        <f>IF(VERTRAUTENART="","",HLOOKUP(VERTRAUTENART,VERTRAUTEWERTE,7))</f>
        <v/>
      </c>
      <c r="C120" s="249"/>
      <c r="D120" s="998"/>
      <c r="E120" s="998"/>
      <c r="F120" s="117"/>
      <c r="G120" s="1310"/>
      <c r="H120" s="1812" t="str">
        <f>IF(B120="","",IF(AND(SUM(B120:C120)&gt;VALUE(HLOOKUP(VERTRAUTENART,VERTRAUTEWERTE,8)),NOT(D113)),"Maximalwert überschritten",IF(ROUND((B120+C120)*1.5,0)&lt;SUM(B120:G120),"Gesamtwert zu hoch","")))</f>
        <v/>
      </c>
      <c r="I120" s="1813"/>
      <c r="J120" s="1813"/>
      <c r="K120" s="1813"/>
      <c r="L120" s="1813"/>
      <c r="M120" s="1814"/>
      <c r="N120" s="797"/>
      <c r="O120" s="246"/>
      <c r="P120" s="600" t="str">
        <f>IF(AND(VERTRAUTENART="",C120=""),"",IF(SUM(B120:C120)&gt;HLOOKUP(VERTRAUTENART,VERTRAUTEWERTE,8,FALSE),2*(HLOOKUP(VERTRAUTENART,VERTRAUTEWERTE,8,FALSE)-B120),C120*2))</f>
        <v/>
      </c>
      <c r="Q120" s="601" t="str">
        <f>IF(AND(VERTRAUTENART="",C120=""),"",IF(SUM(B120:C120)&gt;HLOOKUP(VERTRAUTENART,VERTRAUTEWERTE,8,FALSE),5*(SUM(B120:C120)-HLOOKUP(VERTRAUTENART,VERTRAUTEWERTE,8,FALSE)),0))</f>
        <v/>
      </c>
      <c r="R120" s="804"/>
      <c r="S120" s="1004"/>
      <c r="T120" s="802"/>
      <c r="U120" s="797"/>
      <c r="V120" s="797"/>
      <c r="W120" s="797"/>
      <c r="X120" s="797"/>
      <c r="Y120" s="267" t="str">
        <f t="shared" ref="Y120:Y135" si="41">IF(B120="","",B120+C120+G120)</f>
        <v/>
      </c>
      <c r="Z120" s="1003"/>
      <c r="AA120" s="240">
        <f t="shared" si="39"/>
        <v>0</v>
      </c>
      <c r="AB120" s="241">
        <f t="shared" si="39"/>
        <v>0</v>
      </c>
      <c r="AC120" s="241">
        <f t="shared" si="39"/>
        <v>0</v>
      </c>
      <c r="AD120" s="241">
        <f t="shared" si="39"/>
        <v>0</v>
      </c>
      <c r="AE120" s="241">
        <f t="shared" si="39"/>
        <v>0</v>
      </c>
      <c r="AF120" s="241">
        <f t="shared" si="39"/>
        <v>0</v>
      </c>
      <c r="AG120" s="241">
        <f t="shared" si="39"/>
        <v>0</v>
      </c>
      <c r="AH120" s="241">
        <f t="shared" si="39"/>
        <v>0</v>
      </c>
      <c r="AI120" s="241">
        <f t="shared" si="39"/>
        <v>0</v>
      </c>
      <c r="AJ120" s="241">
        <f t="shared" si="39"/>
        <v>0</v>
      </c>
      <c r="AK120" s="241">
        <f t="shared" si="40"/>
        <v>0</v>
      </c>
      <c r="AL120" s="241">
        <f t="shared" si="40"/>
        <v>0</v>
      </c>
      <c r="AM120" s="241">
        <f t="shared" si="40"/>
        <v>0</v>
      </c>
      <c r="AN120" s="241">
        <f t="shared" si="40"/>
        <v>0</v>
      </c>
      <c r="AO120" s="241">
        <f t="shared" si="40"/>
        <v>0</v>
      </c>
      <c r="AP120" s="241">
        <f t="shared" si="40"/>
        <v>0</v>
      </c>
      <c r="AQ120" s="241">
        <f t="shared" si="40"/>
        <v>0</v>
      </c>
      <c r="AR120" s="241">
        <f t="shared" si="40"/>
        <v>0</v>
      </c>
      <c r="AS120" s="241">
        <f t="shared" si="40"/>
        <v>0</v>
      </c>
      <c r="AT120" s="242">
        <f t="shared" si="40"/>
        <v>0</v>
      </c>
      <c r="AU120" s="212"/>
      <c r="AV120" s="105"/>
      <c r="AW120" s="105"/>
      <c r="AX120" s="105"/>
      <c r="AY120" s="105"/>
      <c r="AZ120" s="105"/>
      <c r="BA120" s="105"/>
      <c r="BB120" s="105"/>
      <c r="BC120" s="105"/>
      <c r="BD120" s="105"/>
      <c r="BE120" s="105"/>
      <c r="BF120" s="105"/>
      <c r="BG120" s="105"/>
      <c r="BH120" s="105"/>
      <c r="BI120" s="105"/>
      <c r="BJ120" s="105"/>
      <c r="BK120" s="105"/>
      <c r="BL120" s="105"/>
      <c r="BM120" s="105"/>
      <c r="BN120" s="105"/>
      <c r="BO120" s="105"/>
      <c r="BP120" s="105"/>
      <c r="BQ120" s="105"/>
      <c r="BR120" s="105"/>
      <c r="BS120" s="105"/>
      <c r="BT120" s="105"/>
      <c r="BU120" s="105"/>
      <c r="BV120" s="105"/>
      <c r="BW120" s="105"/>
      <c r="BX120" s="105"/>
    </row>
    <row r="121" spans="1:76" x14ac:dyDescent="0.2">
      <c r="A121" s="996" t="s">
        <v>76</v>
      </c>
      <c r="B121" s="997" t="str">
        <f>IF(VERTRAUTENART="","",HLOOKUP(VERTRAUTENART,VERTRAUTEWERTE,9))</f>
        <v/>
      </c>
      <c r="C121" s="249"/>
      <c r="D121" s="998"/>
      <c r="E121" s="998"/>
      <c r="F121" s="117"/>
      <c r="G121" s="1310"/>
      <c r="H121" s="1812" t="str">
        <f>IF(B121="","",IF(AND(SUM(B121:C121)&gt;VALUE(HLOOKUP(VERTRAUTENART,VERTRAUTEWERTE,10)),NOT(D113)),"Maximalwert überschritten",IF(ROUND((B121+C121)*1.5,0)&lt;SUM(B121:G121),"Gesamtwert zu hoch","")))</f>
        <v/>
      </c>
      <c r="I121" s="1813"/>
      <c r="J121" s="1813"/>
      <c r="K121" s="1813"/>
      <c r="L121" s="1813"/>
      <c r="M121" s="1814"/>
      <c r="N121" s="797"/>
      <c r="O121" s="246"/>
      <c r="P121" s="600" t="str">
        <f>IF(AND(VERTRAUTENART="",C121=""),"",IF(SUM(B121:C121)&gt;HLOOKUP(VERTRAUTENART,VERTRAUTEWERTE,6,FALSE),2*(HLOOKUP(VERTRAUTENART,VERTRAUTEWERTE,6,FALSE)-B121),C121*2))</f>
        <v/>
      </c>
      <c r="Q121" s="601" t="str">
        <f>IF(AND(VERTRAUTENART="",C121=""),"",IF(SUM(B121:C121)&gt;HLOOKUP(VERTRAUTENART,VERTRAUTEWERTE,10,FALSE),5*(SUM(B121:C121)-HLOOKUP(VERTRAUTENART,VERTRAUTEWERTE,10,FALSE)),0))</f>
        <v/>
      </c>
      <c r="R121" s="804"/>
      <c r="S121" s="1004"/>
      <c r="T121" s="802"/>
      <c r="U121" s="797"/>
      <c r="V121" s="797"/>
      <c r="W121" s="797"/>
      <c r="X121" s="797"/>
      <c r="Y121" s="267" t="str">
        <f t="shared" si="41"/>
        <v/>
      </c>
      <c r="Z121" s="1003"/>
      <c r="AA121" s="240">
        <f t="shared" si="39"/>
        <v>0</v>
      </c>
      <c r="AB121" s="241">
        <f t="shared" si="39"/>
        <v>0</v>
      </c>
      <c r="AC121" s="241">
        <f t="shared" si="39"/>
        <v>0</v>
      </c>
      <c r="AD121" s="241">
        <f t="shared" si="39"/>
        <v>0</v>
      </c>
      <c r="AE121" s="241">
        <f t="shared" si="39"/>
        <v>0</v>
      </c>
      <c r="AF121" s="241">
        <f t="shared" si="39"/>
        <v>0</v>
      </c>
      <c r="AG121" s="241">
        <f t="shared" si="39"/>
        <v>0</v>
      </c>
      <c r="AH121" s="241">
        <f t="shared" si="39"/>
        <v>0</v>
      </c>
      <c r="AI121" s="241">
        <f t="shared" si="39"/>
        <v>0</v>
      </c>
      <c r="AJ121" s="241">
        <f t="shared" si="39"/>
        <v>0</v>
      </c>
      <c r="AK121" s="241">
        <f t="shared" si="40"/>
        <v>0</v>
      </c>
      <c r="AL121" s="241">
        <f t="shared" si="40"/>
        <v>0</v>
      </c>
      <c r="AM121" s="241">
        <f t="shared" si="40"/>
        <v>0</v>
      </c>
      <c r="AN121" s="241">
        <f t="shared" si="40"/>
        <v>0</v>
      </c>
      <c r="AO121" s="241">
        <f t="shared" si="40"/>
        <v>0</v>
      </c>
      <c r="AP121" s="241">
        <f t="shared" si="40"/>
        <v>0</v>
      </c>
      <c r="AQ121" s="241">
        <f t="shared" si="40"/>
        <v>0</v>
      </c>
      <c r="AR121" s="241">
        <f t="shared" si="40"/>
        <v>0</v>
      </c>
      <c r="AS121" s="241">
        <f t="shared" si="40"/>
        <v>0</v>
      </c>
      <c r="AT121" s="242">
        <f t="shared" si="40"/>
        <v>0</v>
      </c>
      <c r="AU121" s="212"/>
      <c r="AV121" s="105"/>
      <c r="AW121" s="105"/>
      <c r="AX121" s="105"/>
      <c r="AY121" s="105"/>
      <c r="AZ121" s="105"/>
      <c r="BA121" s="105"/>
      <c r="BB121" s="105"/>
      <c r="BC121" s="105"/>
      <c r="BD121" s="105"/>
      <c r="BE121" s="105"/>
      <c r="BF121" s="105"/>
      <c r="BG121" s="105"/>
      <c r="BH121" s="105"/>
      <c r="BI121" s="105"/>
      <c r="BJ121" s="105"/>
      <c r="BK121" s="105"/>
      <c r="BL121" s="105"/>
      <c r="BM121" s="105"/>
      <c r="BN121" s="105"/>
      <c r="BO121" s="105"/>
      <c r="BP121" s="105"/>
      <c r="BQ121" s="105"/>
      <c r="BR121" s="105"/>
      <c r="BS121" s="105"/>
      <c r="BT121" s="105"/>
      <c r="BU121" s="105"/>
      <c r="BV121" s="105"/>
      <c r="BW121" s="105"/>
      <c r="BX121" s="105"/>
    </row>
    <row r="122" spans="1:76" x14ac:dyDescent="0.2">
      <c r="A122" s="996" t="s">
        <v>77</v>
      </c>
      <c r="B122" s="997" t="str">
        <f>IF(VERTRAUTENART="","",HLOOKUP(VERTRAUTENART,VERTRAUTEWERTE,11))</f>
        <v/>
      </c>
      <c r="C122" s="249"/>
      <c r="D122" s="998"/>
      <c r="E122" s="998"/>
      <c r="F122" s="117"/>
      <c r="G122" s="1310"/>
      <c r="H122" s="1812" t="str">
        <f>IF(B122="","",IF(AND(SUM(B122:C122)&gt;VALUE(HLOOKUP(VERTRAUTENART,VERTRAUTEWERTE,12)),NOT(D113)),"Maximalwert überschritten",IF(ROUND((B122+C122)*1.5,0)&lt;SUM(B122:G122),"Gesamtwert zu hoch","")))</f>
        <v/>
      </c>
      <c r="I122" s="1813"/>
      <c r="J122" s="1813"/>
      <c r="K122" s="1813"/>
      <c r="L122" s="1813"/>
      <c r="M122" s="1814"/>
      <c r="N122" s="797"/>
      <c r="O122" s="246"/>
      <c r="P122" s="600" t="str">
        <f>IF(AND(VERTRAUTENART="",C122=""),"",IF(SUM(B122:C122)&gt;HLOOKUP(VERTRAUTENART,VERTRAUTEWERTE,12,FALSE),2*(HLOOKUP(VERTRAUTENART,VERTRAUTEWERTE,12,FALSE)-B122),C122*2))</f>
        <v/>
      </c>
      <c r="Q122" s="601" t="str">
        <f>IF(AND(VERTRAUTENART="",C122=""),"",IF(SUM(B122:C122)&gt;HLOOKUP(VERTRAUTENART,VERTRAUTEWERTE,12,FALSE),5*(SUM(B122:C122)-HLOOKUP(VERTRAUTENART,VERTRAUTEWERTE,12,FALSE)),0))</f>
        <v/>
      </c>
      <c r="R122" s="804"/>
      <c r="S122" s="1004"/>
      <c r="T122" s="802"/>
      <c r="U122" s="797"/>
      <c r="V122" s="797"/>
      <c r="W122" s="797"/>
      <c r="X122" s="797"/>
      <c r="Y122" s="267" t="str">
        <f t="shared" si="41"/>
        <v/>
      </c>
      <c r="Z122" s="1003"/>
      <c r="AA122" s="240">
        <f t="shared" si="39"/>
        <v>0</v>
      </c>
      <c r="AB122" s="241">
        <f t="shared" si="39"/>
        <v>0</v>
      </c>
      <c r="AC122" s="241">
        <f t="shared" si="39"/>
        <v>0</v>
      </c>
      <c r="AD122" s="241">
        <f t="shared" si="39"/>
        <v>0</v>
      </c>
      <c r="AE122" s="241">
        <f t="shared" si="39"/>
        <v>0</v>
      </c>
      <c r="AF122" s="241">
        <f t="shared" si="39"/>
        <v>0</v>
      </c>
      <c r="AG122" s="241">
        <f t="shared" si="39"/>
        <v>0</v>
      </c>
      <c r="AH122" s="241">
        <f t="shared" si="39"/>
        <v>0</v>
      </c>
      <c r="AI122" s="241">
        <f t="shared" si="39"/>
        <v>0</v>
      </c>
      <c r="AJ122" s="241">
        <f t="shared" si="39"/>
        <v>0</v>
      </c>
      <c r="AK122" s="241">
        <f t="shared" si="40"/>
        <v>0</v>
      </c>
      <c r="AL122" s="241">
        <f t="shared" si="40"/>
        <v>0</v>
      </c>
      <c r="AM122" s="241">
        <f t="shared" si="40"/>
        <v>0</v>
      </c>
      <c r="AN122" s="241">
        <f t="shared" si="40"/>
        <v>0</v>
      </c>
      <c r="AO122" s="241">
        <f t="shared" si="40"/>
        <v>0</v>
      </c>
      <c r="AP122" s="241">
        <f t="shared" si="40"/>
        <v>0</v>
      </c>
      <c r="AQ122" s="241">
        <f t="shared" si="40"/>
        <v>0</v>
      </c>
      <c r="AR122" s="241">
        <f t="shared" si="40"/>
        <v>0</v>
      </c>
      <c r="AS122" s="241">
        <f t="shared" si="40"/>
        <v>0</v>
      </c>
      <c r="AT122" s="242">
        <f t="shared" si="40"/>
        <v>0</v>
      </c>
      <c r="AU122" s="212"/>
      <c r="AV122" s="105"/>
      <c r="AW122" s="105"/>
      <c r="AX122" s="105"/>
      <c r="AY122" s="105"/>
      <c r="AZ122" s="105"/>
      <c r="BA122" s="105"/>
      <c r="BB122" s="105"/>
      <c r="BC122" s="105"/>
      <c r="BD122" s="105"/>
      <c r="BE122" s="105"/>
      <c r="BF122" s="105"/>
      <c r="BG122" s="105"/>
      <c r="BH122" s="105"/>
      <c r="BI122" s="105"/>
      <c r="BJ122" s="105"/>
      <c r="BK122" s="105"/>
      <c r="BL122" s="105"/>
      <c r="BM122" s="105"/>
      <c r="BN122" s="105"/>
      <c r="BO122" s="105"/>
      <c r="BP122" s="105"/>
      <c r="BQ122" s="105"/>
      <c r="BR122" s="105"/>
      <c r="BS122" s="105"/>
      <c r="BT122" s="105"/>
      <c r="BU122" s="105"/>
      <c r="BV122" s="105"/>
      <c r="BW122" s="105"/>
      <c r="BX122" s="105"/>
    </row>
    <row r="123" spans="1:76" x14ac:dyDescent="0.2">
      <c r="A123" s="996" t="s">
        <v>750</v>
      </c>
      <c r="B123" s="997" t="str">
        <f>IF(VERTRAUTENART="","",HLOOKUP(VERTRAUTENART,VERTRAUTEWERTE,13))</f>
        <v/>
      </c>
      <c r="C123" s="249"/>
      <c r="D123" s="998"/>
      <c r="E123" s="998"/>
      <c r="F123" s="117"/>
      <c r="G123" s="1310"/>
      <c r="H123" s="1812" t="str">
        <f>IF(B123="","",IF(AND(SUM(B123:C123)&gt;VALUE(HLOOKUP(VERTRAUTENART,VERTRAUTEWERTE,14)),NOT(D113)),"Maximalwert überschritten",IF(ROUND((B123+C123)*1.5,0)&lt;SUM(B123:G123),"Gesamtwert zu hoch","")))</f>
        <v/>
      </c>
      <c r="I123" s="1813"/>
      <c r="J123" s="1813"/>
      <c r="K123" s="1813"/>
      <c r="L123" s="1813"/>
      <c r="M123" s="1814"/>
      <c r="N123" s="797"/>
      <c r="O123" s="246"/>
      <c r="P123" s="600" t="str">
        <f>IF(AND(VERTRAUTENART="",C123=""),"",IF(SUM(B123:C123)&gt;HLOOKUP(VERTRAUTENART,VERTRAUTEWERTE,14,FALSE),2*(HLOOKUP(VERTRAUTENART,VERTRAUTEWERTE,14,FALSE)-B123),C123*2))</f>
        <v/>
      </c>
      <c r="Q123" s="601" t="str">
        <f>IF(AND(VERTRAUTENART="",C123=""),"",IF(SUM(B123:C123)&gt;HLOOKUP(VERTRAUTENART,VERTRAUTEWERTE,14,FALSE),5*(SUM(B123:C123)-HLOOKUP(VERTRAUTENART,VERTRAUTEWERTE,14,FALSE)),0))</f>
        <v/>
      </c>
      <c r="R123" s="804"/>
      <c r="S123" s="1004"/>
      <c r="T123" s="802"/>
      <c r="U123" s="797"/>
      <c r="V123" s="797"/>
      <c r="W123" s="797"/>
      <c r="X123" s="797"/>
      <c r="Y123" s="267" t="str">
        <f t="shared" si="41"/>
        <v/>
      </c>
      <c r="Z123" s="1003"/>
      <c r="AA123" s="240">
        <f t="shared" si="39"/>
        <v>0</v>
      </c>
      <c r="AB123" s="241">
        <f t="shared" si="39"/>
        <v>0</v>
      </c>
      <c r="AC123" s="241">
        <f t="shared" si="39"/>
        <v>0</v>
      </c>
      <c r="AD123" s="241">
        <f t="shared" si="39"/>
        <v>0</v>
      </c>
      <c r="AE123" s="241">
        <f t="shared" si="39"/>
        <v>0</v>
      </c>
      <c r="AF123" s="241">
        <f t="shared" si="39"/>
        <v>0</v>
      </c>
      <c r="AG123" s="241">
        <f t="shared" si="39"/>
        <v>0</v>
      </c>
      <c r="AH123" s="241">
        <f t="shared" si="39"/>
        <v>0</v>
      </c>
      <c r="AI123" s="241">
        <f t="shared" si="39"/>
        <v>0</v>
      </c>
      <c r="AJ123" s="241">
        <f t="shared" si="39"/>
        <v>0</v>
      </c>
      <c r="AK123" s="241">
        <f t="shared" si="40"/>
        <v>0</v>
      </c>
      <c r="AL123" s="241">
        <f t="shared" si="40"/>
        <v>0</v>
      </c>
      <c r="AM123" s="241">
        <f t="shared" si="40"/>
        <v>0</v>
      </c>
      <c r="AN123" s="241">
        <f t="shared" si="40"/>
        <v>0</v>
      </c>
      <c r="AO123" s="241">
        <f t="shared" si="40"/>
        <v>0</v>
      </c>
      <c r="AP123" s="241">
        <f t="shared" si="40"/>
        <v>0</v>
      </c>
      <c r="AQ123" s="241">
        <f t="shared" si="40"/>
        <v>0</v>
      </c>
      <c r="AR123" s="241">
        <f t="shared" si="40"/>
        <v>0</v>
      </c>
      <c r="AS123" s="241">
        <f t="shared" si="40"/>
        <v>0</v>
      </c>
      <c r="AT123" s="242">
        <f t="shared" si="40"/>
        <v>0</v>
      </c>
      <c r="AU123" s="212"/>
      <c r="AV123" s="105"/>
      <c r="AW123" s="105"/>
      <c r="AX123" s="105"/>
      <c r="AY123" s="105"/>
      <c r="AZ123" s="105"/>
      <c r="BA123" s="105"/>
      <c r="BB123" s="105"/>
      <c r="BC123" s="105"/>
      <c r="BD123" s="105"/>
      <c r="BE123" s="105"/>
      <c r="BF123" s="105"/>
      <c r="BG123" s="105"/>
      <c r="BH123" s="105"/>
      <c r="BI123" s="105"/>
      <c r="BJ123" s="105"/>
      <c r="BK123" s="105"/>
      <c r="BL123" s="105"/>
      <c r="BM123" s="105"/>
      <c r="BN123" s="105"/>
      <c r="BO123" s="105"/>
      <c r="BP123" s="105"/>
      <c r="BQ123" s="105"/>
      <c r="BR123" s="105"/>
      <c r="BS123" s="105"/>
      <c r="BT123" s="105"/>
      <c r="BU123" s="105"/>
      <c r="BV123" s="105"/>
      <c r="BW123" s="105"/>
      <c r="BX123" s="105"/>
    </row>
    <row r="124" spans="1:76" x14ac:dyDescent="0.2">
      <c r="A124" s="996" t="s">
        <v>751</v>
      </c>
      <c r="B124" s="997" t="str">
        <f>IF(VERTRAUTENART="","",HLOOKUP(VERTRAUTENART,VERTRAUTEWERTE,15))</f>
        <v/>
      </c>
      <c r="C124" s="249"/>
      <c r="D124" s="998"/>
      <c r="E124" s="998"/>
      <c r="F124" s="117"/>
      <c r="G124" s="1310"/>
      <c r="H124" s="1812" t="str">
        <f>IF(B124="","",IF(AND(SUM(B124:C124)&gt;VALUE(HLOOKUP(VERTRAUTENART,VERTRAUTEWERTE,16)),NOT(D113)),"Maximalwert überschritten",IF(ROUND((B124+C124)*1.5,0)&lt;SUM(B124:G124),"Gesamtwert zu hoch","")))</f>
        <v/>
      </c>
      <c r="I124" s="1813"/>
      <c r="J124" s="1813"/>
      <c r="K124" s="1813"/>
      <c r="L124" s="1813"/>
      <c r="M124" s="1814"/>
      <c r="N124" s="797"/>
      <c r="O124" s="246"/>
      <c r="P124" s="600" t="str">
        <f>IF(AND(VERTRAUTENART="",C124=""),"",IF(SUM(B124:C124)&gt;HLOOKUP(VERTRAUTENART,VERTRAUTEWERTE,16,FALSE),2*(HLOOKUP(VERTRAUTENART,VERTRAUTEWERTE,16,FALSE)-B124),C124*2))</f>
        <v/>
      </c>
      <c r="Q124" s="601" t="str">
        <f>IF(AND(VERTRAUTENART="",C124=""),"",IF(SUM(B124:C124)&gt;HLOOKUP(VERTRAUTENART,VERTRAUTEWERTE,16,FALSE),5*(SUM(B124:C124)-HLOOKUP(VERTRAUTENART,VERTRAUTEWERTE,16,FALSE)),0))</f>
        <v/>
      </c>
      <c r="R124" s="804"/>
      <c r="S124" s="1004"/>
      <c r="T124" s="802"/>
      <c r="U124" s="797"/>
      <c r="V124" s="797"/>
      <c r="W124" s="797"/>
      <c r="X124" s="797"/>
      <c r="Y124" s="267" t="str">
        <f t="shared" si="41"/>
        <v/>
      </c>
      <c r="Z124" s="1003"/>
      <c r="AA124" s="240">
        <f t="shared" si="39"/>
        <v>0</v>
      </c>
      <c r="AB124" s="241">
        <f t="shared" si="39"/>
        <v>0</v>
      </c>
      <c r="AC124" s="241">
        <f t="shared" si="39"/>
        <v>0</v>
      </c>
      <c r="AD124" s="241">
        <f t="shared" si="39"/>
        <v>0</v>
      </c>
      <c r="AE124" s="241">
        <f t="shared" si="39"/>
        <v>0</v>
      </c>
      <c r="AF124" s="241">
        <f t="shared" si="39"/>
        <v>0</v>
      </c>
      <c r="AG124" s="241">
        <f t="shared" si="39"/>
        <v>0</v>
      </c>
      <c r="AH124" s="241">
        <f t="shared" si="39"/>
        <v>0</v>
      </c>
      <c r="AI124" s="241">
        <f t="shared" si="39"/>
        <v>0</v>
      </c>
      <c r="AJ124" s="241">
        <f t="shared" si="39"/>
        <v>0</v>
      </c>
      <c r="AK124" s="241">
        <f t="shared" si="40"/>
        <v>0</v>
      </c>
      <c r="AL124" s="241">
        <f t="shared" si="40"/>
        <v>0</v>
      </c>
      <c r="AM124" s="241">
        <f t="shared" si="40"/>
        <v>0</v>
      </c>
      <c r="AN124" s="241">
        <f t="shared" si="40"/>
        <v>0</v>
      </c>
      <c r="AO124" s="241">
        <f t="shared" si="40"/>
        <v>0</v>
      </c>
      <c r="AP124" s="241">
        <f t="shared" si="40"/>
        <v>0</v>
      </c>
      <c r="AQ124" s="241">
        <f t="shared" si="40"/>
        <v>0</v>
      </c>
      <c r="AR124" s="241">
        <f t="shared" si="40"/>
        <v>0</v>
      </c>
      <c r="AS124" s="241">
        <f t="shared" si="40"/>
        <v>0</v>
      </c>
      <c r="AT124" s="242">
        <f t="shared" si="40"/>
        <v>0</v>
      </c>
      <c r="AU124" s="212"/>
      <c r="AV124" s="105"/>
      <c r="AW124" s="105"/>
      <c r="AX124" s="105"/>
      <c r="AY124" s="105"/>
      <c r="AZ124" s="105"/>
      <c r="BA124" s="105"/>
      <c r="BB124" s="105"/>
      <c r="BC124" s="105"/>
      <c r="BD124" s="105"/>
      <c r="BE124" s="105"/>
      <c r="BF124" s="105"/>
      <c r="BG124" s="105"/>
      <c r="BH124" s="105"/>
      <c r="BI124" s="105"/>
      <c r="BJ124" s="105"/>
      <c r="BK124" s="105"/>
      <c r="BL124" s="105"/>
      <c r="BM124" s="105"/>
      <c r="BN124" s="105"/>
      <c r="BO124" s="105"/>
      <c r="BP124" s="105"/>
      <c r="BQ124" s="105"/>
      <c r="BR124" s="105"/>
      <c r="BS124" s="105"/>
      <c r="BT124" s="105"/>
      <c r="BU124" s="105"/>
      <c r="BV124" s="105"/>
      <c r="BW124" s="105"/>
      <c r="BX124" s="105"/>
    </row>
    <row r="125" spans="1:76" ht="12.75" customHeight="1" x14ac:dyDescent="0.2">
      <c r="A125" s="996" t="s">
        <v>5030</v>
      </c>
      <c r="B125" s="997" t="str">
        <f>IF(VERTRAUTENART="","",HLOOKUP(VERTRAUTENART,VERTRAUTEWERTE,17))</f>
        <v/>
      </c>
      <c r="C125" s="249"/>
      <c r="D125" s="998"/>
      <c r="E125" s="998"/>
      <c r="F125" s="117"/>
      <c r="G125" s="1310"/>
      <c r="H125" s="1812" t="str">
        <f>IF(B125="","",IF(AND(SUM(B125:C125)&gt;VALUE(HLOOKUP(VERTRAUTENART,VERTRAUTEWERTE,18)),NOT(D113)),"Maximalwert überschritten",IF(ROUND((B125+C125)*1.5,0)&lt;SUM(B125:G125),"Gesamtwert zu hoch","")))</f>
        <v/>
      </c>
      <c r="I125" s="1813"/>
      <c r="J125" s="1813"/>
      <c r="K125" s="1813"/>
      <c r="L125" s="1813"/>
      <c r="M125" s="1814"/>
      <c r="N125" s="797"/>
      <c r="O125" s="246"/>
      <c r="P125" s="600" t="str">
        <f>IF(AND(VERTRAUTENART="",C125=""),"",IF(SUM(B125:C125)&gt;HLOOKUP(VERTRAUTENART,VERTRAUTEWERTE,18,FALSE),2*(HLOOKUP(VERTRAUTENART,VERTRAUTEWERTE,18,FALSE)-B125),C125*2))</f>
        <v/>
      </c>
      <c r="Q125" s="601" t="str">
        <f>IF(AND(VERTRAUTENART="",C125=""),"",IF(SUM(B125:C125)&gt;HLOOKUP(VERTRAUTENART,VERTRAUTEWERTE,18,FALSE),5*(SUM(B125:C125)-HLOOKUP(VERTRAUTENART,VERTRAUTEWERTE,18,FALSE)),0))</f>
        <v/>
      </c>
      <c r="R125" s="804"/>
      <c r="S125" s="1004"/>
      <c r="T125" s="802"/>
      <c r="U125" s="797"/>
      <c r="V125" s="797"/>
      <c r="W125" s="797"/>
      <c r="X125" s="797"/>
      <c r="Y125" s="267" t="str">
        <f t="shared" si="41"/>
        <v/>
      </c>
      <c r="Z125" s="1003"/>
      <c r="AA125" s="240">
        <f t="shared" si="39"/>
        <v>0</v>
      </c>
      <c r="AB125" s="241">
        <f t="shared" si="39"/>
        <v>0</v>
      </c>
      <c r="AC125" s="241">
        <f t="shared" si="39"/>
        <v>0</v>
      </c>
      <c r="AD125" s="241">
        <f t="shared" si="39"/>
        <v>0</v>
      </c>
      <c r="AE125" s="241">
        <f t="shared" si="39"/>
        <v>0</v>
      </c>
      <c r="AF125" s="241">
        <f t="shared" si="39"/>
        <v>0</v>
      </c>
      <c r="AG125" s="241">
        <f t="shared" si="39"/>
        <v>0</v>
      </c>
      <c r="AH125" s="241">
        <f t="shared" si="39"/>
        <v>0</v>
      </c>
      <c r="AI125" s="241">
        <f t="shared" si="39"/>
        <v>0</v>
      </c>
      <c r="AJ125" s="241">
        <f t="shared" si="39"/>
        <v>0</v>
      </c>
      <c r="AK125" s="241">
        <f t="shared" si="40"/>
        <v>0</v>
      </c>
      <c r="AL125" s="241">
        <f t="shared" si="40"/>
        <v>0</v>
      </c>
      <c r="AM125" s="241">
        <f t="shared" si="40"/>
        <v>0</v>
      </c>
      <c r="AN125" s="241">
        <f t="shared" si="40"/>
        <v>0</v>
      </c>
      <c r="AO125" s="241">
        <f t="shared" si="40"/>
        <v>0</v>
      </c>
      <c r="AP125" s="241">
        <f t="shared" si="40"/>
        <v>0</v>
      </c>
      <c r="AQ125" s="241">
        <f t="shared" si="40"/>
        <v>0</v>
      </c>
      <c r="AR125" s="241">
        <f t="shared" si="40"/>
        <v>0</v>
      </c>
      <c r="AS125" s="241">
        <f t="shared" si="40"/>
        <v>0</v>
      </c>
      <c r="AT125" s="242">
        <f t="shared" si="40"/>
        <v>0</v>
      </c>
      <c r="AU125" s="212"/>
      <c r="AV125" s="105"/>
      <c r="AW125" s="105"/>
      <c r="AX125" s="105"/>
      <c r="AY125" s="105"/>
      <c r="AZ125" s="105"/>
      <c r="BA125" s="105"/>
      <c r="BB125" s="105"/>
      <c r="BC125" s="105"/>
      <c r="BD125" s="105"/>
      <c r="BE125" s="105"/>
      <c r="BF125" s="105"/>
      <c r="BG125" s="105"/>
      <c r="BH125" s="105"/>
      <c r="BI125" s="105"/>
      <c r="BJ125" s="105"/>
      <c r="BK125" s="105"/>
      <c r="BL125" s="105"/>
      <c r="BM125" s="105"/>
      <c r="BN125" s="105"/>
      <c r="BO125" s="105"/>
      <c r="BP125" s="105"/>
      <c r="BQ125" s="105"/>
      <c r="BR125" s="105"/>
      <c r="BS125" s="105"/>
      <c r="BT125" s="105"/>
      <c r="BU125" s="105"/>
      <c r="BV125" s="105"/>
      <c r="BW125" s="105"/>
      <c r="BX125" s="105"/>
    </row>
    <row r="126" spans="1:76" x14ac:dyDescent="0.2">
      <c r="A126" s="996" t="s">
        <v>752</v>
      </c>
      <c r="B126" s="997" t="str">
        <f>IF(VERTRAUTENART="","",HLOOKUP(VERTRAUTENART,VERTRAUTEWERTE,19))</f>
        <v/>
      </c>
      <c r="C126" s="249"/>
      <c r="D126" s="998"/>
      <c r="E126" s="998"/>
      <c r="F126" s="117"/>
      <c r="G126" s="1310"/>
      <c r="H126" s="1812" t="str">
        <f>IF(B126="","",IF(AND(SUM(B126:C126)&gt;VALUE(HLOOKUP(VERTRAUTENART,VERTRAUTEWERTE,20)),NOT(D113)),"Maximalwert überschritten",IF(ROUND((B126+C126)*1.5,0)&lt;SUM(B126:G126),"Gesamtwert zu hoch","")))</f>
        <v/>
      </c>
      <c r="I126" s="1813"/>
      <c r="J126" s="1813"/>
      <c r="K126" s="1813"/>
      <c r="L126" s="1813"/>
      <c r="M126" s="1814"/>
      <c r="N126" s="797"/>
      <c r="O126" s="246"/>
      <c r="P126" s="600" t="str">
        <f>IF(AND(VERTRAUTENART="",C126=""),"",IF(SUM(B126:C126)&gt;HLOOKUP(VERTRAUTENART,VERTRAUTEWERTE,20,FALSE),2*(HLOOKUP(VERTRAUTENART,VERTRAUTEWERTE,20,FALSE)-B126),C126*2))</f>
        <v/>
      </c>
      <c r="Q126" s="601" t="str">
        <f>IF(AND(VERTRAUTENART="",C126=""),"",IF(SUM(B126:C126)&gt;HLOOKUP(VERTRAUTENART,VERTRAUTEWERTE,20,FALSE),5*(SUM(B126:C126)-HLOOKUP(VERTRAUTENART,VERTRAUTEWERTE,20,FALSE)),0))</f>
        <v/>
      </c>
      <c r="R126" s="804"/>
      <c r="S126" s="1004"/>
      <c r="T126" s="802"/>
      <c r="U126" s="797"/>
      <c r="V126" s="797"/>
      <c r="W126" s="797"/>
      <c r="X126" s="797"/>
      <c r="Y126" s="267" t="str">
        <f t="shared" si="41"/>
        <v/>
      </c>
      <c r="Z126" s="1003"/>
      <c r="AA126" s="240">
        <f t="shared" si="39"/>
        <v>0</v>
      </c>
      <c r="AB126" s="241">
        <f t="shared" si="39"/>
        <v>0</v>
      </c>
      <c r="AC126" s="241">
        <f t="shared" si="39"/>
        <v>0</v>
      </c>
      <c r="AD126" s="241">
        <f t="shared" si="39"/>
        <v>0</v>
      </c>
      <c r="AE126" s="241">
        <f t="shared" si="39"/>
        <v>0</v>
      </c>
      <c r="AF126" s="241">
        <f t="shared" si="39"/>
        <v>0</v>
      </c>
      <c r="AG126" s="241">
        <f t="shared" si="39"/>
        <v>0</v>
      </c>
      <c r="AH126" s="241">
        <f t="shared" si="39"/>
        <v>0</v>
      </c>
      <c r="AI126" s="241">
        <f t="shared" si="39"/>
        <v>0</v>
      </c>
      <c r="AJ126" s="241">
        <f t="shared" si="39"/>
        <v>0</v>
      </c>
      <c r="AK126" s="241">
        <f t="shared" si="40"/>
        <v>0</v>
      </c>
      <c r="AL126" s="241">
        <f t="shared" si="40"/>
        <v>0</v>
      </c>
      <c r="AM126" s="241">
        <f t="shared" si="40"/>
        <v>0</v>
      </c>
      <c r="AN126" s="241">
        <f t="shared" si="40"/>
        <v>0</v>
      </c>
      <c r="AO126" s="241">
        <f t="shared" si="40"/>
        <v>0</v>
      </c>
      <c r="AP126" s="241">
        <f t="shared" si="40"/>
        <v>0</v>
      </c>
      <c r="AQ126" s="241">
        <f t="shared" si="40"/>
        <v>0</v>
      </c>
      <c r="AR126" s="241">
        <f t="shared" si="40"/>
        <v>0</v>
      </c>
      <c r="AS126" s="241">
        <f t="shared" si="40"/>
        <v>0</v>
      </c>
      <c r="AT126" s="242">
        <f t="shared" si="40"/>
        <v>0</v>
      </c>
      <c r="AU126" s="212"/>
      <c r="AV126" s="105"/>
      <c r="AW126" s="105"/>
      <c r="AX126" s="105"/>
      <c r="AY126" s="105"/>
      <c r="AZ126" s="105"/>
      <c r="BA126" s="105"/>
      <c r="BB126" s="105"/>
      <c r="BC126" s="105"/>
      <c r="BD126" s="105"/>
      <c r="BE126" s="105"/>
      <c r="BF126" s="105"/>
      <c r="BG126" s="105"/>
      <c r="BH126" s="105"/>
      <c r="BI126" s="105"/>
      <c r="BJ126" s="105"/>
      <c r="BK126" s="105"/>
      <c r="BL126" s="105"/>
      <c r="BM126" s="105"/>
      <c r="BN126" s="105"/>
      <c r="BO126" s="105"/>
      <c r="BP126" s="105"/>
      <c r="BQ126" s="105"/>
      <c r="BR126" s="105"/>
      <c r="BS126" s="105"/>
      <c r="BT126" s="105"/>
      <c r="BU126" s="105"/>
      <c r="BV126" s="105"/>
      <c r="BW126" s="105"/>
      <c r="BX126" s="105"/>
    </row>
    <row r="127" spans="1:76" x14ac:dyDescent="0.2">
      <c r="A127" s="996" t="s">
        <v>2138</v>
      </c>
      <c r="B127" s="997" t="str">
        <f>IF(VERTRAUTENART="","",HLOOKUP(VERTRAUTENART,VERTRAUTEWERTE,22))</f>
        <v/>
      </c>
      <c r="C127" s="249"/>
      <c r="D127" s="998"/>
      <c r="E127" s="998"/>
      <c r="F127" s="117"/>
      <c r="G127" s="1310"/>
      <c r="H127" s="1812" t="str">
        <f>IF(B127="","",IF(C127&gt;3,"Maximal 3 Punkte anheben",IF((ROUND(1.5*(B127+C127),0)&lt;SUM(B127:G127)),"Maximalwert überschritten","")))</f>
        <v/>
      </c>
      <c r="I127" s="1813"/>
      <c r="J127" s="1813"/>
      <c r="K127" s="1813"/>
      <c r="L127" s="1813"/>
      <c r="M127" s="1814"/>
      <c r="N127" s="797"/>
      <c r="O127" s="246"/>
      <c r="P127" s="600" t="str">
        <f>IF(AND(VERTRAUTENART="",C127=""),"",C127*5)</f>
        <v/>
      </c>
      <c r="Q127" s="601"/>
      <c r="R127" s="804"/>
      <c r="S127" s="1004"/>
      <c r="T127" s="802"/>
      <c r="U127" s="797"/>
      <c r="V127" s="797"/>
      <c r="W127" s="797"/>
      <c r="X127" s="797"/>
      <c r="Y127" s="267" t="str">
        <f t="shared" si="41"/>
        <v/>
      </c>
      <c r="Z127" s="1003"/>
      <c r="AA127" s="717">
        <f t="shared" ref="AA127:AJ128" si="42">IF(AND(NOT(ISBLANK($G127)),SUM($C127)&lt;AA$118,SUM($C127,$G127)&gt;=AA$118),HLOOKUP("F",SKT,AA$118+3,FALSE),0)</f>
        <v>0</v>
      </c>
      <c r="AB127" s="717">
        <f t="shared" si="42"/>
        <v>0</v>
      </c>
      <c r="AC127" s="717">
        <f t="shared" si="42"/>
        <v>0</v>
      </c>
      <c r="AD127" s="717">
        <f t="shared" si="42"/>
        <v>0</v>
      </c>
      <c r="AE127" s="717">
        <f t="shared" si="42"/>
        <v>0</v>
      </c>
      <c r="AF127" s="717">
        <f t="shared" si="42"/>
        <v>0</v>
      </c>
      <c r="AG127" s="717">
        <f t="shared" si="42"/>
        <v>0</v>
      </c>
      <c r="AH127" s="717">
        <f t="shared" si="42"/>
        <v>0</v>
      </c>
      <c r="AI127" s="717">
        <f t="shared" si="42"/>
        <v>0</v>
      </c>
      <c r="AJ127" s="717">
        <f t="shared" si="42"/>
        <v>0</v>
      </c>
      <c r="AK127" s="717">
        <f t="shared" ref="AK127:AT128" si="43">IF(AND(NOT(ISBLANK($G127)),SUM($C127)&lt;AK$118,SUM($C127,$G127)&gt;=AK$118),HLOOKUP("F",SKT,AK$118+3,FALSE),0)</f>
        <v>0</v>
      </c>
      <c r="AL127" s="717">
        <f t="shared" si="43"/>
        <v>0</v>
      </c>
      <c r="AM127" s="717">
        <f t="shared" si="43"/>
        <v>0</v>
      </c>
      <c r="AN127" s="717">
        <f t="shared" si="43"/>
        <v>0</v>
      </c>
      <c r="AO127" s="717">
        <f t="shared" si="43"/>
        <v>0</v>
      </c>
      <c r="AP127" s="717">
        <f t="shared" si="43"/>
        <v>0</v>
      </c>
      <c r="AQ127" s="717">
        <f t="shared" si="43"/>
        <v>0</v>
      </c>
      <c r="AR127" s="717">
        <f t="shared" si="43"/>
        <v>0</v>
      </c>
      <c r="AS127" s="717">
        <f t="shared" si="43"/>
        <v>0</v>
      </c>
      <c r="AT127" s="242">
        <f t="shared" si="43"/>
        <v>0</v>
      </c>
      <c r="AU127" s="212"/>
      <c r="AV127" s="105"/>
      <c r="AW127" s="105"/>
      <c r="AX127" s="105"/>
      <c r="AY127" s="105"/>
      <c r="AZ127" s="105"/>
      <c r="BA127" s="105"/>
      <c r="BB127" s="105"/>
      <c r="BC127" s="105"/>
      <c r="BD127" s="105"/>
      <c r="BE127" s="105"/>
      <c r="BF127" s="105"/>
      <c r="BG127" s="105"/>
      <c r="BH127" s="105"/>
      <c r="BI127" s="105"/>
      <c r="BJ127" s="105"/>
      <c r="BK127" s="105"/>
      <c r="BL127" s="105"/>
      <c r="BM127" s="105"/>
      <c r="BN127" s="105"/>
      <c r="BO127" s="105"/>
      <c r="BP127" s="105"/>
      <c r="BQ127" s="105"/>
      <c r="BR127" s="105"/>
      <c r="BS127" s="105"/>
      <c r="BT127" s="105"/>
      <c r="BU127" s="105"/>
      <c r="BV127" s="105"/>
      <c r="BW127" s="105"/>
      <c r="BX127" s="105"/>
    </row>
    <row r="128" spans="1:76" x14ac:dyDescent="0.2">
      <c r="A128" s="996" t="s">
        <v>313</v>
      </c>
      <c r="B128" s="997" t="str">
        <f>IF(VERTRAUTENART="","",HLOOKUP(VERTRAUTENART,VERTRAUTEWERTE,23))</f>
        <v/>
      </c>
      <c r="C128" s="249"/>
      <c r="D128" s="998"/>
      <c r="E128" s="998"/>
      <c r="F128" s="117"/>
      <c r="G128" s="1310"/>
      <c r="H128" s="1812" t="str">
        <f>IF(C128&gt;3,"Maximal 3 Punkte anheben","")</f>
        <v/>
      </c>
      <c r="I128" s="1813"/>
      <c r="J128" s="1813"/>
      <c r="K128" s="1813"/>
      <c r="L128" s="1813"/>
      <c r="M128" s="1814"/>
      <c r="N128" s="797"/>
      <c r="O128" s="246"/>
      <c r="P128" s="600" t="str">
        <f>IF(AND(VERTRAUTENART="",C128=""),"",C128*5)</f>
        <v/>
      </c>
      <c r="Q128" s="601"/>
      <c r="R128" s="804"/>
      <c r="S128" s="1004"/>
      <c r="T128" s="802"/>
      <c r="U128" s="797"/>
      <c r="V128" s="797"/>
      <c r="W128" s="797"/>
      <c r="X128" s="797"/>
      <c r="Y128" s="267" t="str">
        <f t="shared" si="41"/>
        <v/>
      </c>
      <c r="Z128" s="1003"/>
      <c r="AA128" s="717">
        <f t="shared" si="42"/>
        <v>0</v>
      </c>
      <c r="AB128" s="717">
        <f t="shared" si="42"/>
        <v>0</v>
      </c>
      <c r="AC128" s="717">
        <f t="shared" si="42"/>
        <v>0</v>
      </c>
      <c r="AD128" s="717">
        <f t="shared" si="42"/>
        <v>0</v>
      </c>
      <c r="AE128" s="717">
        <f t="shared" si="42"/>
        <v>0</v>
      </c>
      <c r="AF128" s="717">
        <f t="shared" si="42"/>
        <v>0</v>
      </c>
      <c r="AG128" s="717">
        <f t="shared" si="42"/>
        <v>0</v>
      </c>
      <c r="AH128" s="717">
        <f t="shared" si="42"/>
        <v>0</v>
      </c>
      <c r="AI128" s="717">
        <f t="shared" si="42"/>
        <v>0</v>
      </c>
      <c r="AJ128" s="717">
        <f t="shared" si="42"/>
        <v>0</v>
      </c>
      <c r="AK128" s="717">
        <f t="shared" si="43"/>
        <v>0</v>
      </c>
      <c r="AL128" s="717">
        <f t="shared" si="43"/>
        <v>0</v>
      </c>
      <c r="AM128" s="717">
        <f t="shared" si="43"/>
        <v>0</v>
      </c>
      <c r="AN128" s="717">
        <f t="shared" si="43"/>
        <v>0</v>
      </c>
      <c r="AO128" s="717">
        <f t="shared" si="43"/>
        <v>0</v>
      </c>
      <c r="AP128" s="717">
        <f t="shared" si="43"/>
        <v>0</v>
      </c>
      <c r="AQ128" s="717">
        <f t="shared" si="43"/>
        <v>0</v>
      </c>
      <c r="AR128" s="717">
        <f t="shared" si="43"/>
        <v>0</v>
      </c>
      <c r="AS128" s="717">
        <f t="shared" si="43"/>
        <v>0</v>
      </c>
      <c r="AT128" s="242">
        <f t="shared" si="43"/>
        <v>0</v>
      </c>
      <c r="AU128" s="212"/>
      <c r="AV128" s="105"/>
      <c r="AW128" s="105"/>
      <c r="AX128" s="105"/>
      <c r="AY128" s="105"/>
      <c r="AZ128" s="105"/>
      <c r="BA128" s="105"/>
      <c r="BB128" s="105"/>
      <c r="BC128" s="105"/>
      <c r="BD128" s="105"/>
      <c r="BE128" s="105"/>
      <c r="BF128" s="105"/>
      <c r="BG128" s="105"/>
      <c r="BH128" s="105"/>
      <c r="BI128" s="105"/>
      <c r="BJ128" s="105"/>
      <c r="BK128" s="105"/>
      <c r="BL128" s="105"/>
      <c r="BM128" s="105"/>
      <c r="BN128" s="105"/>
      <c r="BO128" s="105"/>
      <c r="BP128" s="105"/>
      <c r="BQ128" s="105"/>
      <c r="BR128" s="105"/>
      <c r="BS128" s="105"/>
      <c r="BT128" s="105"/>
      <c r="BU128" s="105"/>
      <c r="BV128" s="105"/>
      <c r="BW128" s="105"/>
      <c r="BX128" s="105"/>
    </row>
    <row r="129" spans="1:76" x14ac:dyDescent="0.2">
      <c r="A129" s="996" t="s">
        <v>3604</v>
      </c>
      <c r="B129" s="997" t="str">
        <f>IF(VERTRAUTENART="","",HLOOKUP(VERTRAUTENART,VERTRAUTEWERTE,24))</f>
        <v/>
      </c>
      <c r="C129" s="249"/>
      <c r="D129" s="998"/>
      <c r="E129" s="998"/>
      <c r="F129" s="117"/>
      <c r="G129" s="1310"/>
      <c r="H129" s="1827" t="str">
        <f>IF(B129="","",IF(C129&gt;3,"Maximal 3 Punkte anheben",IF((ROUND(1.5*(B129+C129),0)&lt;SUM(B129:G129)),"Maximalwert überschritten","")))</f>
        <v/>
      </c>
      <c r="I129" s="1828"/>
      <c r="J129" s="1828"/>
      <c r="K129" s="1828"/>
      <c r="L129" s="1828"/>
      <c r="M129" s="1829"/>
      <c r="N129" s="797"/>
      <c r="O129" s="247"/>
      <c r="P129" s="600" t="str">
        <f>IF(AND(VERTRAUTENART="",C129=""),"",C129*2)</f>
        <v/>
      </c>
      <c r="Q129" s="601"/>
      <c r="R129" s="806"/>
      <c r="S129" s="1005"/>
      <c r="T129" s="807"/>
      <c r="U129" s="797"/>
      <c r="V129" s="797"/>
      <c r="W129" s="797"/>
      <c r="X129" s="797"/>
      <c r="Y129" s="267" t="str">
        <f t="shared" si="41"/>
        <v/>
      </c>
      <c r="Z129" s="1003"/>
      <c r="AA129" s="243">
        <f t="shared" si="39"/>
        <v>0</v>
      </c>
      <c r="AB129" s="202">
        <f t="shared" si="39"/>
        <v>0</v>
      </c>
      <c r="AC129" s="202">
        <f t="shared" si="39"/>
        <v>0</v>
      </c>
      <c r="AD129" s="202">
        <f t="shared" si="39"/>
        <v>0</v>
      </c>
      <c r="AE129" s="202">
        <f t="shared" si="39"/>
        <v>0</v>
      </c>
      <c r="AF129" s="202">
        <f t="shared" si="39"/>
        <v>0</v>
      </c>
      <c r="AG129" s="202">
        <f t="shared" si="39"/>
        <v>0</v>
      </c>
      <c r="AH129" s="202">
        <f t="shared" si="39"/>
        <v>0</v>
      </c>
      <c r="AI129" s="202">
        <f t="shared" si="39"/>
        <v>0</v>
      </c>
      <c r="AJ129" s="202">
        <f t="shared" si="39"/>
        <v>0</v>
      </c>
      <c r="AK129" s="202">
        <f t="shared" si="40"/>
        <v>0</v>
      </c>
      <c r="AL129" s="202">
        <f t="shared" si="40"/>
        <v>0</v>
      </c>
      <c r="AM129" s="202">
        <f t="shared" si="40"/>
        <v>0</v>
      </c>
      <c r="AN129" s="202">
        <f t="shared" si="40"/>
        <v>0</v>
      </c>
      <c r="AO129" s="202">
        <f t="shared" si="40"/>
        <v>0</v>
      </c>
      <c r="AP129" s="202">
        <f t="shared" si="40"/>
        <v>0</v>
      </c>
      <c r="AQ129" s="202">
        <f t="shared" si="40"/>
        <v>0</v>
      </c>
      <c r="AR129" s="202">
        <f t="shared" si="40"/>
        <v>0</v>
      </c>
      <c r="AS129" s="202">
        <f t="shared" si="40"/>
        <v>0</v>
      </c>
      <c r="AT129" s="244">
        <f t="shared" si="40"/>
        <v>0</v>
      </c>
      <c r="AU129" s="212"/>
      <c r="AV129" s="105"/>
      <c r="AW129" s="105"/>
      <c r="AX129" s="105"/>
      <c r="AY129" s="105"/>
      <c r="AZ129" s="105"/>
      <c r="BA129" s="105"/>
      <c r="BB129" s="105"/>
      <c r="BC129" s="105"/>
      <c r="BD129" s="105"/>
      <c r="BE129" s="105"/>
      <c r="BF129" s="105"/>
      <c r="BG129" s="105"/>
      <c r="BH129" s="105"/>
      <c r="BI129" s="105"/>
      <c r="BJ129" s="105"/>
      <c r="BK129" s="105"/>
      <c r="BL129" s="105"/>
      <c r="BM129" s="105"/>
      <c r="BN129" s="105"/>
      <c r="BO129" s="105"/>
      <c r="BP129" s="105"/>
      <c r="BQ129" s="105"/>
      <c r="BR129" s="105"/>
      <c r="BS129" s="105"/>
      <c r="BT129" s="105"/>
      <c r="BU129" s="105"/>
      <c r="BV129" s="105"/>
      <c r="BW129" s="105"/>
      <c r="BX129" s="105"/>
    </row>
    <row r="130" spans="1:76" x14ac:dyDescent="0.2">
      <c r="A130" s="777" t="s">
        <v>3406</v>
      </c>
      <c r="B130" s="1006"/>
      <c r="C130" s="995"/>
      <c r="D130" s="1007"/>
      <c r="E130" s="1007"/>
      <c r="F130" s="995"/>
      <c r="G130" s="989"/>
      <c r="H130" s="1827"/>
      <c r="I130" s="1828"/>
      <c r="J130" s="1828"/>
      <c r="K130" s="1828"/>
      <c r="L130" s="1828"/>
      <c r="M130" s="1829"/>
      <c r="N130" s="797"/>
      <c r="O130" s="1008"/>
      <c r="P130" s="602" t="s">
        <v>626</v>
      </c>
      <c r="Q130" s="1000"/>
      <c r="R130" s="1000"/>
      <c r="S130" s="1001"/>
      <c r="T130" s="1002"/>
      <c r="U130" s="797"/>
      <c r="V130" s="797"/>
      <c r="W130" s="797"/>
      <c r="X130" s="797"/>
      <c r="Y130" s="267"/>
      <c r="Z130" s="1009"/>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12"/>
      <c r="AV130" s="105"/>
      <c r="AW130" s="105"/>
      <c r="AX130" s="105"/>
      <c r="AY130" s="105"/>
      <c r="AZ130" s="105"/>
      <c r="BA130" s="105"/>
      <c r="BB130" s="105"/>
      <c r="BC130" s="105"/>
      <c r="BD130" s="105"/>
      <c r="BE130" s="105"/>
      <c r="BF130" s="105"/>
      <c r="BG130" s="105"/>
      <c r="BH130" s="105"/>
      <c r="BI130" s="105"/>
      <c r="BJ130" s="105"/>
      <c r="BK130" s="105"/>
      <c r="BL130" s="105"/>
      <c r="BM130" s="105"/>
      <c r="BN130" s="105"/>
      <c r="BO130" s="105"/>
      <c r="BP130" s="105"/>
      <c r="BQ130" s="105"/>
      <c r="BR130" s="105"/>
      <c r="BS130" s="105"/>
      <c r="BT130" s="105"/>
      <c r="BU130" s="105"/>
      <c r="BV130" s="105"/>
      <c r="BW130" s="105"/>
      <c r="BX130" s="105"/>
    </row>
    <row r="131" spans="1:76" x14ac:dyDescent="0.2">
      <c r="A131" s="996" t="s">
        <v>716</v>
      </c>
      <c r="B131" s="997" t="str">
        <f>IF(VERTRAUTENART="","",HLOOKUP(VERTRAUTENART,VERTRAUTEWERTE,26))</f>
        <v/>
      </c>
      <c r="C131" s="235"/>
      <c r="D131" s="998"/>
      <c r="E131" s="998"/>
      <c r="F131" s="117"/>
      <c r="G131" s="1310"/>
      <c r="H131" s="1849" t="str">
        <f>IF(B131="","",IF(B131*1.5&lt;SUM(B131:G131),"Maximalwert überschritten",""))</f>
        <v/>
      </c>
      <c r="I131" s="1850"/>
      <c r="J131" s="1850"/>
      <c r="K131" s="1850"/>
      <c r="L131" s="1850"/>
      <c r="M131" s="1851"/>
      <c r="N131" s="797"/>
      <c r="O131" s="805"/>
      <c r="P131" s="600"/>
      <c r="Q131" s="601">
        <f>SUM(P119:P129)+SUM(Q119:Q129)</f>
        <v>0</v>
      </c>
      <c r="R131" s="806"/>
      <c r="S131" s="1005"/>
      <c r="T131" s="807"/>
      <c r="U131" s="797"/>
      <c r="V131" s="797"/>
      <c r="W131" s="797"/>
      <c r="X131" s="797"/>
      <c r="Y131" s="267" t="str">
        <f t="shared" si="41"/>
        <v/>
      </c>
      <c r="Z131" s="1003"/>
      <c r="AA131" s="237">
        <f t="shared" ref="AA131:AJ135" si="44">IF(AND(NOT(ISBLANK($G131)),$B131&lt;AA$118,SUM($B131,$G131)&gt;=AA$118),HLOOKUP("F",SKT,AA$118+3,FALSE),0)</f>
        <v>0</v>
      </c>
      <c r="AB131" s="238">
        <f t="shared" si="44"/>
        <v>0</v>
      </c>
      <c r="AC131" s="238">
        <f t="shared" si="44"/>
        <v>0</v>
      </c>
      <c r="AD131" s="238">
        <f t="shared" si="44"/>
        <v>0</v>
      </c>
      <c r="AE131" s="238">
        <f t="shared" si="44"/>
        <v>0</v>
      </c>
      <c r="AF131" s="238">
        <f t="shared" si="44"/>
        <v>0</v>
      </c>
      <c r="AG131" s="238">
        <f t="shared" si="44"/>
        <v>0</v>
      </c>
      <c r="AH131" s="238">
        <f t="shared" si="44"/>
        <v>0</v>
      </c>
      <c r="AI131" s="238">
        <f t="shared" si="44"/>
        <v>0</v>
      </c>
      <c r="AJ131" s="238">
        <f t="shared" si="44"/>
        <v>0</v>
      </c>
      <c r="AK131" s="238">
        <f t="shared" ref="AK131:AT135" si="45">IF(AND(NOT(ISBLANK($G131)),$B131&lt;AK$118,SUM($B131,$G131)&gt;=AK$118),HLOOKUP("F",SKT,AK$118+3,FALSE),0)</f>
        <v>0</v>
      </c>
      <c r="AL131" s="238">
        <f t="shared" si="45"/>
        <v>0</v>
      </c>
      <c r="AM131" s="238">
        <f t="shared" si="45"/>
        <v>0</v>
      </c>
      <c r="AN131" s="238">
        <f t="shared" si="45"/>
        <v>0</v>
      </c>
      <c r="AO131" s="238">
        <f t="shared" si="45"/>
        <v>0</v>
      </c>
      <c r="AP131" s="238">
        <f t="shared" si="45"/>
        <v>0</v>
      </c>
      <c r="AQ131" s="238">
        <f t="shared" si="45"/>
        <v>0</v>
      </c>
      <c r="AR131" s="238">
        <f t="shared" si="45"/>
        <v>0</v>
      </c>
      <c r="AS131" s="238">
        <f t="shared" si="45"/>
        <v>0</v>
      </c>
      <c r="AT131" s="239">
        <f t="shared" si="45"/>
        <v>0</v>
      </c>
      <c r="AU131" s="212"/>
      <c r="AV131" s="105"/>
      <c r="AW131" s="105"/>
      <c r="AX131" s="105"/>
      <c r="AY131" s="105"/>
      <c r="AZ131" s="105"/>
      <c r="BA131" s="105"/>
      <c r="BB131" s="105"/>
      <c r="BC131" s="105"/>
      <c r="BD131" s="105"/>
      <c r="BE131" s="105"/>
      <c r="BF131" s="105"/>
      <c r="BG131" s="105"/>
      <c r="BH131" s="105"/>
      <c r="BI131" s="105"/>
      <c r="BJ131" s="105"/>
      <c r="BK131" s="105"/>
      <c r="BL131" s="105"/>
      <c r="BM131" s="105"/>
      <c r="BN131" s="105"/>
      <c r="BO131" s="105"/>
      <c r="BP131" s="105"/>
      <c r="BQ131" s="105"/>
      <c r="BR131" s="105"/>
      <c r="BS131" s="105"/>
      <c r="BT131" s="105"/>
      <c r="BU131" s="105"/>
      <c r="BV131" s="105"/>
      <c r="BW131" s="105"/>
      <c r="BX131" s="105"/>
    </row>
    <row r="132" spans="1:76" x14ac:dyDescent="0.2">
      <c r="A132" s="996" t="s">
        <v>717</v>
      </c>
      <c r="B132" s="997" t="str">
        <f>IF(VERTRAUTENART="","",HLOOKUP(VERTRAUTENART,VERTRAUTEWERTE,27))</f>
        <v/>
      </c>
      <c r="C132" s="235"/>
      <c r="D132" s="998"/>
      <c r="E132" s="998"/>
      <c r="F132" s="117"/>
      <c r="G132" s="1310"/>
      <c r="H132" s="1812" t="str">
        <f>IF(B132="","",IF(B132*1.5&lt;SUM(B132:G132),"Maximalwert überschritten",""))</f>
        <v/>
      </c>
      <c r="I132" s="1813"/>
      <c r="J132" s="1813"/>
      <c r="K132" s="1813"/>
      <c r="L132" s="1813"/>
      <c r="M132" s="1814"/>
      <c r="N132" s="797"/>
      <c r="O132" s="1827" t="str">
        <f>IF(SUM(C119:C126)&gt;20,IF(VT_MACHT_VTRT,IF(SUM(C119:C126)&gt;40,"Maximal 40 Punkte für Anhebung",""),"Maximal 20 Punkte für Anhebung"),"")</f>
        <v/>
      </c>
      <c r="P132" s="1828"/>
      <c r="Q132" s="1828"/>
      <c r="R132" s="1828"/>
      <c r="S132" s="1828"/>
      <c r="T132" s="1829"/>
      <c r="U132" s="797"/>
      <c r="V132" s="797"/>
      <c r="W132" s="797"/>
      <c r="X132" s="797"/>
      <c r="Y132" s="267" t="str">
        <f t="shared" si="41"/>
        <v/>
      </c>
      <c r="Z132" s="1003"/>
      <c r="AA132" s="240">
        <f t="shared" si="44"/>
        <v>0</v>
      </c>
      <c r="AB132" s="241">
        <f t="shared" si="44"/>
        <v>0</v>
      </c>
      <c r="AC132" s="241">
        <f t="shared" si="44"/>
        <v>0</v>
      </c>
      <c r="AD132" s="241">
        <f t="shared" si="44"/>
        <v>0</v>
      </c>
      <c r="AE132" s="241">
        <f t="shared" si="44"/>
        <v>0</v>
      </c>
      <c r="AF132" s="241">
        <f t="shared" si="44"/>
        <v>0</v>
      </c>
      <c r="AG132" s="241">
        <f t="shared" si="44"/>
        <v>0</v>
      </c>
      <c r="AH132" s="241">
        <f t="shared" si="44"/>
        <v>0</v>
      </c>
      <c r="AI132" s="241">
        <f t="shared" si="44"/>
        <v>0</v>
      </c>
      <c r="AJ132" s="241">
        <f t="shared" si="44"/>
        <v>0</v>
      </c>
      <c r="AK132" s="241">
        <f t="shared" si="45"/>
        <v>0</v>
      </c>
      <c r="AL132" s="241">
        <f t="shared" si="45"/>
        <v>0</v>
      </c>
      <c r="AM132" s="241">
        <f t="shared" si="45"/>
        <v>0</v>
      </c>
      <c r="AN132" s="241">
        <f t="shared" si="45"/>
        <v>0</v>
      </c>
      <c r="AO132" s="241">
        <f t="shared" si="45"/>
        <v>0</v>
      </c>
      <c r="AP132" s="241">
        <f t="shared" si="45"/>
        <v>0</v>
      </c>
      <c r="AQ132" s="241">
        <f t="shared" si="45"/>
        <v>0</v>
      </c>
      <c r="AR132" s="241">
        <f t="shared" si="45"/>
        <v>0</v>
      </c>
      <c r="AS132" s="241">
        <f t="shared" si="45"/>
        <v>0</v>
      </c>
      <c r="AT132" s="242">
        <f t="shared" si="45"/>
        <v>0</v>
      </c>
      <c r="AU132" s="212"/>
      <c r="AV132" s="105"/>
      <c r="AW132" s="105"/>
      <c r="AX132" s="105"/>
      <c r="AY132" s="105"/>
      <c r="AZ132" s="105"/>
      <c r="BA132" s="105"/>
      <c r="BB132" s="105"/>
      <c r="BC132" s="105"/>
      <c r="BD132" s="105"/>
      <c r="BE132" s="105"/>
      <c r="BF132" s="105"/>
      <c r="BG132" s="105"/>
      <c r="BH132" s="105"/>
      <c r="BI132" s="105"/>
      <c r="BJ132" s="105"/>
      <c r="BK132" s="105"/>
      <c r="BL132" s="105"/>
      <c r="BM132" s="105"/>
      <c r="BN132" s="105"/>
      <c r="BO132" s="105"/>
      <c r="BP132" s="105"/>
      <c r="BQ132" s="105"/>
      <c r="BR132" s="105"/>
      <c r="BS132" s="105"/>
      <c r="BT132" s="105"/>
      <c r="BU132" s="105"/>
      <c r="BV132" s="105"/>
      <c r="BW132" s="105"/>
      <c r="BX132" s="105"/>
    </row>
    <row r="133" spans="1:76" x14ac:dyDescent="0.2">
      <c r="A133" s="996" t="s">
        <v>3605</v>
      </c>
      <c r="B133" s="997" t="str">
        <f>IF(VERTRAUTENART="","",HLOOKUP(VERTRAUTENART,VERTRAUTEWERTE,30))</f>
        <v/>
      </c>
      <c r="C133" s="235"/>
      <c r="D133" s="998"/>
      <c r="E133" s="998"/>
      <c r="F133" s="117"/>
      <c r="G133" s="1310"/>
      <c r="H133" s="1812" t="str">
        <f>IF(B133="","",IF(B133*1.5&lt;SUM(B133:G133),"Maximalwert überschritten",""))</f>
        <v/>
      </c>
      <c r="I133" s="1813"/>
      <c r="J133" s="1813"/>
      <c r="K133" s="1813"/>
      <c r="L133" s="1813"/>
      <c r="M133" s="1814"/>
      <c r="N133" s="797"/>
      <c r="O133" s="797"/>
      <c r="P133" s="797"/>
      <c r="Q133" s="797"/>
      <c r="R133" s="797"/>
      <c r="S133" s="567"/>
      <c r="T133" s="797"/>
      <c r="U133" s="797"/>
      <c r="V133" s="797"/>
      <c r="W133" s="797"/>
      <c r="X133" s="797"/>
      <c r="Y133" s="267" t="str">
        <f t="shared" si="41"/>
        <v/>
      </c>
      <c r="Z133" s="1003"/>
      <c r="AA133" s="717">
        <f t="shared" ref="AA133:AT133" si="46">IF(AND(NOT(ISBLANK($G133)),$G133&gt;=AA$118),HLOOKUP("F",SKT,AA$118+3,FALSE),0)</f>
        <v>0</v>
      </c>
      <c r="AB133" s="717">
        <f t="shared" si="46"/>
        <v>0</v>
      </c>
      <c r="AC133" s="717">
        <f t="shared" si="46"/>
        <v>0</v>
      </c>
      <c r="AD133" s="717">
        <f t="shared" si="46"/>
        <v>0</v>
      </c>
      <c r="AE133" s="717">
        <f t="shared" si="46"/>
        <v>0</v>
      </c>
      <c r="AF133" s="717">
        <f t="shared" si="46"/>
        <v>0</v>
      </c>
      <c r="AG133" s="717">
        <f t="shared" si="46"/>
        <v>0</v>
      </c>
      <c r="AH133" s="717">
        <f t="shared" si="46"/>
        <v>0</v>
      </c>
      <c r="AI133" s="717">
        <f t="shared" si="46"/>
        <v>0</v>
      </c>
      <c r="AJ133" s="717">
        <f t="shared" si="46"/>
        <v>0</v>
      </c>
      <c r="AK133" s="717">
        <f t="shared" si="46"/>
        <v>0</v>
      </c>
      <c r="AL133" s="717">
        <f t="shared" si="46"/>
        <v>0</v>
      </c>
      <c r="AM133" s="717">
        <f t="shared" si="46"/>
        <v>0</v>
      </c>
      <c r="AN133" s="717">
        <f t="shared" si="46"/>
        <v>0</v>
      </c>
      <c r="AO133" s="717">
        <f t="shared" si="46"/>
        <v>0</v>
      </c>
      <c r="AP133" s="717">
        <f t="shared" si="46"/>
        <v>0</v>
      </c>
      <c r="AQ133" s="717">
        <f t="shared" si="46"/>
        <v>0</v>
      </c>
      <c r="AR133" s="717">
        <f t="shared" si="46"/>
        <v>0</v>
      </c>
      <c r="AS133" s="717">
        <f t="shared" si="46"/>
        <v>0</v>
      </c>
      <c r="AT133" s="242">
        <f t="shared" si="46"/>
        <v>0</v>
      </c>
      <c r="AU133" s="212"/>
      <c r="AV133" s="105"/>
      <c r="AW133" s="105"/>
      <c r="AX133" s="105"/>
      <c r="AY133" s="105"/>
      <c r="AZ133" s="105"/>
      <c r="BA133" s="105"/>
      <c r="BB133" s="105"/>
      <c r="BC133" s="105"/>
      <c r="BD133" s="105"/>
      <c r="BE133" s="105"/>
      <c r="BF133" s="105"/>
      <c r="BG133" s="105"/>
      <c r="BH133" s="105"/>
      <c r="BI133" s="105"/>
      <c r="BJ133" s="105"/>
      <c r="BK133" s="105"/>
      <c r="BL133" s="105"/>
      <c r="BM133" s="105"/>
      <c r="BN133" s="105"/>
      <c r="BO133" s="105"/>
      <c r="BP133" s="105"/>
      <c r="BQ133" s="105"/>
      <c r="BR133" s="105"/>
      <c r="BS133" s="105"/>
      <c r="BT133" s="105"/>
      <c r="BU133" s="105"/>
      <c r="BV133" s="105"/>
      <c r="BW133" s="105"/>
      <c r="BX133" s="105"/>
    </row>
    <row r="134" spans="1:76" x14ac:dyDescent="0.2">
      <c r="A134" s="996" t="s">
        <v>3603</v>
      </c>
      <c r="B134" s="997" t="str">
        <f>IF(VERTRAUTENART="","",HLOOKUP(VERTRAUTENART,VERTRAUTEWERTE,29))</f>
        <v/>
      </c>
      <c r="C134" s="235"/>
      <c r="D134" s="998"/>
      <c r="E134" s="998"/>
      <c r="F134" s="117"/>
      <c r="G134" s="1310"/>
      <c r="H134" s="1812" t="str">
        <f>IF(B134="","",IF(B134*1.5&lt;SUM(B134:G134),"Maximalwert überschritten",""))</f>
        <v/>
      </c>
      <c r="I134" s="1813"/>
      <c r="J134" s="1813"/>
      <c r="K134" s="1813"/>
      <c r="L134" s="1813"/>
      <c r="M134" s="1814"/>
      <c r="N134" s="797"/>
      <c r="O134" s="797"/>
      <c r="P134" s="797"/>
      <c r="Q134" s="797"/>
      <c r="R134" s="797"/>
      <c r="S134" s="567"/>
      <c r="T134" s="797"/>
      <c r="U134" s="797"/>
      <c r="V134" s="797"/>
      <c r="W134" s="797"/>
      <c r="X134" s="797"/>
      <c r="Y134" s="267" t="str">
        <f t="shared" si="41"/>
        <v/>
      </c>
      <c r="Z134" s="1003"/>
      <c r="AA134" s="240">
        <f t="shared" si="44"/>
        <v>0</v>
      </c>
      <c r="AB134" s="241">
        <f t="shared" si="44"/>
        <v>0</v>
      </c>
      <c r="AC134" s="241">
        <f t="shared" si="44"/>
        <v>0</v>
      </c>
      <c r="AD134" s="241">
        <f t="shared" si="44"/>
        <v>0</v>
      </c>
      <c r="AE134" s="241">
        <f t="shared" si="44"/>
        <v>0</v>
      </c>
      <c r="AF134" s="241">
        <f t="shared" si="44"/>
        <v>0</v>
      </c>
      <c r="AG134" s="241">
        <f t="shared" si="44"/>
        <v>0</v>
      </c>
      <c r="AH134" s="241">
        <f t="shared" si="44"/>
        <v>0</v>
      </c>
      <c r="AI134" s="241">
        <f t="shared" si="44"/>
        <v>0</v>
      </c>
      <c r="AJ134" s="241">
        <f t="shared" si="44"/>
        <v>0</v>
      </c>
      <c r="AK134" s="241">
        <f t="shared" si="45"/>
        <v>0</v>
      </c>
      <c r="AL134" s="241">
        <f t="shared" si="45"/>
        <v>0</v>
      </c>
      <c r="AM134" s="241">
        <f t="shared" si="45"/>
        <v>0</v>
      </c>
      <c r="AN134" s="241">
        <f t="shared" si="45"/>
        <v>0</v>
      </c>
      <c r="AO134" s="241">
        <f t="shared" si="45"/>
        <v>0</v>
      </c>
      <c r="AP134" s="241">
        <f t="shared" si="45"/>
        <v>0</v>
      </c>
      <c r="AQ134" s="241">
        <f t="shared" si="45"/>
        <v>0</v>
      </c>
      <c r="AR134" s="241">
        <f t="shared" si="45"/>
        <v>0</v>
      </c>
      <c r="AS134" s="241">
        <f t="shared" si="45"/>
        <v>0</v>
      </c>
      <c r="AT134" s="242">
        <f t="shared" si="45"/>
        <v>0</v>
      </c>
      <c r="AU134" s="212"/>
      <c r="AV134" s="105"/>
      <c r="AW134" s="105"/>
      <c r="AX134" s="105"/>
      <c r="AY134" s="105"/>
      <c r="AZ134" s="105"/>
      <c r="BA134" s="105"/>
      <c r="BB134" s="105"/>
      <c r="BC134" s="105"/>
      <c r="BD134" s="105"/>
      <c r="BE134" s="105"/>
      <c r="BF134" s="105"/>
      <c r="BG134" s="105"/>
      <c r="BH134" s="105"/>
      <c r="BI134" s="105"/>
      <c r="BJ134" s="105"/>
      <c r="BK134" s="105"/>
      <c r="BL134" s="105"/>
      <c r="BM134" s="105"/>
      <c r="BN134" s="105"/>
      <c r="BO134" s="105"/>
      <c r="BP134" s="105"/>
      <c r="BQ134" s="105"/>
      <c r="BR134" s="105"/>
      <c r="BS134" s="105"/>
      <c r="BT134" s="105"/>
      <c r="BU134" s="105"/>
      <c r="BV134" s="105"/>
      <c r="BW134" s="105"/>
      <c r="BX134" s="105"/>
    </row>
    <row r="135" spans="1:76" x14ac:dyDescent="0.2">
      <c r="A135" s="996" t="s">
        <v>3407</v>
      </c>
      <c r="B135" s="997" t="str">
        <f>IF(VERTRAUTENART="","",3)</f>
        <v/>
      </c>
      <c r="C135" s="235"/>
      <c r="D135" s="998"/>
      <c r="E135" s="998"/>
      <c r="F135" s="117"/>
      <c r="G135" s="1310"/>
      <c r="H135" s="1827"/>
      <c r="I135" s="1828"/>
      <c r="J135" s="1828"/>
      <c r="K135" s="1828"/>
      <c r="L135" s="1828"/>
      <c r="M135" s="1829"/>
      <c r="N135" s="797"/>
      <c r="O135" s="797"/>
      <c r="P135" s="797"/>
      <c r="Q135" s="797"/>
      <c r="R135" s="797"/>
      <c r="S135" s="567"/>
      <c r="T135" s="797"/>
      <c r="U135" s="797"/>
      <c r="V135" s="797"/>
      <c r="W135" s="797"/>
      <c r="X135" s="797"/>
      <c r="Y135" s="267" t="str">
        <f t="shared" si="41"/>
        <v/>
      </c>
      <c r="Z135" s="1003"/>
      <c r="AA135" s="243">
        <f t="shared" si="44"/>
        <v>0</v>
      </c>
      <c r="AB135" s="202">
        <f t="shared" si="44"/>
        <v>0</v>
      </c>
      <c r="AC135" s="202">
        <f t="shared" si="44"/>
        <v>0</v>
      </c>
      <c r="AD135" s="202">
        <f t="shared" si="44"/>
        <v>0</v>
      </c>
      <c r="AE135" s="202">
        <f t="shared" si="44"/>
        <v>0</v>
      </c>
      <c r="AF135" s="202">
        <f t="shared" si="44"/>
        <v>0</v>
      </c>
      <c r="AG135" s="202">
        <f t="shared" si="44"/>
        <v>0</v>
      </c>
      <c r="AH135" s="202">
        <f t="shared" si="44"/>
        <v>0</v>
      </c>
      <c r="AI135" s="202">
        <f t="shared" si="44"/>
        <v>0</v>
      </c>
      <c r="AJ135" s="202">
        <f t="shared" si="44"/>
        <v>0</v>
      </c>
      <c r="AK135" s="202">
        <f t="shared" si="45"/>
        <v>0</v>
      </c>
      <c r="AL135" s="202">
        <f t="shared" si="45"/>
        <v>0</v>
      </c>
      <c r="AM135" s="202">
        <f t="shared" si="45"/>
        <v>0</v>
      </c>
      <c r="AN135" s="202">
        <f t="shared" si="45"/>
        <v>0</v>
      </c>
      <c r="AO135" s="202">
        <f t="shared" si="45"/>
        <v>0</v>
      </c>
      <c r="AP135" s="202">
        <f t="shared" si="45"/>
        <v>0</v>
      </c>
      <c r="AQ135" s="202">
        <f t="shared" si="45"/>
        <v>0</v>
      </c>
      <c r="AR135" s="202">
        <f t="shared" si="45"/>
        <v>0</v>
      </c>
      <c r="AS135" s="202">
        <f t="shared" si="45"/>
        <v>0</v>
      </c>
      <c r="AT135" s="244">
        <f t="shared" si="45"/>
        <v>0</v>
      </c>
      <c r="AU135" s="212"/>
      <c r="AV135" s="105"/>
      <c r="AW135" s="105"/>
      <c r="AX135" s="105"/>
      <c r="AY135" s="105"/>
      <c r="AZ135" s="105"/>
      <c r="BA135" s="105"/>
      <c r="BB135" s="105"/>
      <c r="BC135" s="105"/>
      <c r="BD135" s="105"/>
      <c r="BE135" s="105"/>
      <c r="BF135" s="105"/>
      <c r="BG135" s="105"/>
      <c r="BH135" s="105"/>
      <c r="BI135" s="105"/>
      <c r="BJ135" s="105"/>
      <c r="BK135" s="105"/>
      <c r="BL135" s="105"/>
      <c r="BM135" s="105"/>
      <c r="BN135" s="105"/>
      <c r="BO135" s="105"/>
      <c r="BP135" s="105"/>
      <c r="BQ135" s="105"/>
      <c r="BR135" s="105"/>
      <c r="BS135" s="105"/>
      <c r="BT135" s="105"/>
      <c r="BU135" s="105"/>
      <c r="BV135" s="105"/>
      <c r="BW135" s="105"/>
      <c r="BX135" s="105"/>
    </row>
    <row r="136" spans="1:76" ht="13.5" thickBot="1" x14ac:dyDescent="0.25">
      <c r="A136" s="996" t="s">
        <v>3606</v>
      </c>
      <c r="B136" s="997" t="str">
        <f>IF(VERTRAUTENART="","",15)</f>
        <v/>
      </c>
      <c r="C136" s="235"/>
      <c r="D136" s="998"/>
      <c r="E136" s="998"/>
      <c r="F136" s="117"/>
      <c r="G136" s="1311"/>
      <c r="H136" s="943" t="s">
        <v>834</v>
      </c>
      <c r="I136" s="999"/>
      <c r="J136" s="999"/>
      <c r="K136" s="999"/>
      <c r="L136" s="999"/>
      <c r="M136" s="999"/>
      <c r="N136" s="797"/>
      <c r="O136" s="797"/>
      <c r="P136" s="797"/>
      <c r="Q136" s="797"/>
      <c r="R136" s="797"/>
      <c r="S136" s="567"/>
      <c r="T136" s="797"/>
      <c r="U136" s="797"/>
      <c r="V136" s="797"/>
      <c r="W136" s="797"/>
      <c r="X136" s="797"/>
      <c r="Y136" s="995"/>
      <c r="Z136" s="995"/>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12"/>
      <c r="AV136" s="105"/>
      <c r="AW136" s="105"/>
      <c r="AX136" s="105"/>
      <c r="AY136" s="105"/>
      <c r="AZ136" s="105"/>
      <c r="BA136" s="105"/>
      <c r="BB136" s="105"/>
      <c r="BC136" s="105"/>
      <c r="BD136" s="105"/>
      <c r="BE136" s="105"/>
      <c r="BF136" s="105"/>
      <c r="BG136" s="105"/>
      <c r="BH136" s="105"/>
      <c r="BI136" s="105"/>
      <c r="BJ136" s="105"/>
      <c r="BK136" s="105"/>
      <c r="BL136" s="105"/>
      <c r="BM136" s="105"/>
      <c r="BN136" s="105"/>
      <c r="BO136" s="105"/>
      <c r="BP136" s="105"/>
      <c r="BQ136" s="105"/>
      <c r="BR136" s="241"/>
      <c r="BS136" s="105"/>
      <c r="BT136" s="105"/>
      <c r="BU136" s="105"/>
      <c r="BV136" s="105"/>
      <c r="BW136" s="105"/>
      <c r="BX136" s="105"/>
    </row>
    <row r="137" spans="1:76" ht="13.5" thickTop="1" x14ac:dyDescent="0.2">
      <c r="A137" s="996" t="s">
        <v>2499</v>
      </c>
      <c r="B137" s="997" t="str">
        <f>IF(VERTRAUTENART="","",HLOOKUP(VERTRAUTENART,VERTRAUTEWERTE,21))</f>
        <v/>
      </c>
      <c r="C137" s="235"/>
      <c r="D137" s="998"/>
      <c r="E137" s="998"/>
      <c r="F137" s="117"/>
      <c r="G137" s="251"/>
      <c r="H137" s="999"/>
      <c r="I137" s="999"/>
      <c r="J137" s="999"/>
      <c r="K137" s="999"/>
      <c r="L137" s="999"/>
      <c r="M137" s="999"/>
      <c r="N137" s="797"/>
      <c r="O137" s="797"/>
      <c r="P137" s="797"/>
      <c r="Q137" s="797"/>
      <c r="R137" s="797"/>
      <c r="S137" s="567"/>
      <c r="T137" s="797"/>
      <c r="U137" s="797"/>
      <c r="V137" s="797"/>
      <c r="W137" s="797"/>
      <c r="X137" s="797"/>
      <c r="Y137" s="995"/>
      <c r="Z137" s="995"/>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12"/>
      <c r="AV137" s="105"/>
      <c r="AW137" s="105"/>
      <c r="AX137" s="105"/>
      <c r="AY137" s="105"/>
      <c r="AZ137" s="105"/>
      <c r="BA137" s="105"/>
      <c r="BB137" s="105"/>
      <c r="BC137" s="105"/>
      <c r="BD137" s="105"/>
      <c r="BE137" s="105"/>
      <c r="BF137" s="105"/>
      <c r="BG137" s="105"/>
      <c r="BH137" s="105"/>
      <c r="BI137" s="105"/>
      <c r="BJ137" s="105"/>
      <c r="BK137" s="105"/>
      <c r="BL137" s="105"/>
      <c r="BM137" s="105"/>
      <c r="BN137" s="105"/>
      <c r="BO137" s="105"/>
      <c r="BP137" s="105"/>
      <c r="BQ137" s="105"/>
      <c r="BR137" s="241"/>
      <c r="BS137" s="105"/>
      <c r="BT137" s="105"/>
      <c r="BU137" s="105"/>
      <c r="BV137" s="105"/>
      <c r="BW137" s="105"/>
      <c r="BX137" s="105"/>
    </row>
    <row r="138" spans="1:76" x14ac:dyDescent="0.2">
      <c r="A138" s="996" t="s">
        <v>406</v>
      </c>
      <c r="B138" s="997" t="str">
        <f>IF(VERTRAUTENART="","",HLOOKUP(VERTRAUTENART,VERTRAUTEWERTE,25))</f>
        <v/>
      </c>
      <c r="C138" s="235"/>
      <c r="D138" s="998"/>
      <c r="E138" s="998"/>
      <c r="F138" s="117"/>
      <c r="G138" s="251"/>
      <c r="H138" s="999"/>
      <c r="I138" s="999"/>
      <c r="J138" s="999"/>
      <c r="K138" s="999"/>
      <c r="L138" s="999"/>
      <c r="M138" s="999"/>
      <c r="N138" s="797"/>
      <c r="O138" s="797"/>
      <c r="P138" s="797"/>
      <c r="Q138" s="797"/>
      <c r="R138" s="797"/>
      <c r="S138" s="567"/>
      <c r="T138" s="797"/>
      <c r="U138" s="797"/>
      <c r="V138" s="797"/>
      <c r="W138" s="797"/>
      <c r="X138" s="797"/>
      <c r="Y138" s="995"/>
      <c r="Z138" s="995"/>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12"/>
      <c r="AV138" s="105"/>
      <c r="AW138" s="105"/>
      <c r="AX138" s="105"/>
      <c r="AY138" s="105"/>
      <c r="AZ138" s="105"/>
      <c r="BA138" s="105"/>
      <c r="BB138" s="105"/>
      <c r="BC138" s="105"/>
      <c r="BD138" s="105"/>
      <c r="BE138" s="105"/>
      <c r="BF138" s="105"/>
      <c r="BG138" s="105"/>
      <c r="BH138" s="105"/>
      <c r="BI138" s="105"/>
      <c r="BJ138" s="105"/>
      <c r="BK138" s="105"/>
      <c r="BL138" s="105"/>
      <c r="BM138" s="105"/>
      <c r="BN138" s="105"/>
      <c r="BO138" s="105"/>
      <c r="BP138" s="105"/>
      <c r="BQ138" s="105"/>
      <c r="BR138" s="241"/>
      <c r="BS138" s="105"/>
      <c r="BT138" s="105"/>
      <c r="BU138" s="105"/>
      <c r="BV138" s="105"/>
      <c r="BW138" s="105"/>
      <c r="BX138" s="105"/>
    </row>
    <row r="139" spans="1:76" x14ac:dyDescent="0.2">
      <c r="A139" s="996" t="s">
        <v>2497</v>
      </c>
      <c r="B139" s="997" t="str">
        <f>IF(VERTRAUTENART="","",HLOOKUP(VERTRAUTENART,VERTRAUTEWERTE,28))</f>
        <v/>
      </c>
      <c r="C139" s="235"/>
      <c r="D139" s="998"/>
      <c r="E139" s="998"/>
      <c r="F139" s="117"/>
      <c r="G139" s="251"/>
      <c r="H139" s="999"/>
      <c r="I139" s="999"/>
      <c r="J139" s="999"/>
      <c r="K139" s="999"/>
      <c r="L139" s="999"/>
      <c r="M139" s="999"/>
      <c r="N139" s="797"/>
      <c r="O139" s="797"/>
      <c r="P139" s="797"/>
      <c r="Q139" s="797"/>
      <c r="R139" s="797"/>
      <c r="S139" s="567"/>
      <c r="T139" s="797"/>
      <c r="U139" s="797"/>
      <c r="V139" s="797"/>
      <c r="W139" s="797"/>
      <c r="X139" s="797"/>
      <c r="Y139" s="995"/>
      <c r="Z139" s="995"/>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12"/>
      <c r="AV139" s="105"/>
      <c r="AW139" s="105"/>
      <c r="AX139" s="105"/>
      <c r="AY139" s="105"/>
      <c r="AZ139" s="105"/>
      <c r="BA139" s="105"/>
      <c r="BB139" s="105"/>
      <c r="BC139" s="105"/>
      <c r="BD139" s="105"/>
      <c r="BE139" s="105"/>
      <c r="BF139" s="105"/>
      <c r="BG139" s="105"/>
      <c r="BH139" s="105"/>
      <c r="BI139" s="105"/>
      <c r="BJ139" s="105"/>
      <c r="BK139" s="105"/>
      <c r="BL139" s="105"/>
      <c r="BM139" s="105"/>
      <c r="BN139" s="105"/>
      <c r="BO139" s="105"/>
      <c r="BP139" s="105"/>
      <c r="BQ139" s="105"/>
      <c r="BR139" s="241"/>
      <c r="BS139" s="105"/>
      <c r="BT139" s="105"/>
      <c r="BU139" s="105"/>
      <c r="BV139" s="105"/>
      <c r="BW139" s="105"/>
      <c r="BX139" s="105"/>
    </row>
    <row r="140" spans="1:76" x14ac:dyDescent="0.2">
      <c r="A140" s="995"/>
      <c r="B140" s="126"/>
      <c r="C140" s="235"/>
      <c r="D140" s="998"/>
      <c r="E140" s="998"/>
      <c r="F140" s="117"/>
      <c r="G140" s="251"/>
      <c r="H140" s="999"/>
      <c r="I140" s="999"/>
      <c r="J140" s="999"/>
      <c r="K140" s="999"/>
      <c r="L140" s="999"/>
      <c r="M140" s="999"/>
      <c r="N140" s="797"/>
      <c r="O140" s="797"/>
      <c r="P140" s="797"/>
      <c r="Q140" s="797"/>
      <c r="R140" s="797"/>
      <c r="S140" s="567"/>
      <c r="T140" s="797"/>
      <c r="U140" s="797"/>
      <c r="V140" s="797"/>
      <c r="W140" s="797"/>
      <c r="X140" s="797"/>
      <c r="Y140" s="995"/>
      <c r="Z140" s="995"/>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12"/>
      <c r="AV140" s="105"/>
      <c r="AW140" s="105"/>
      <c r="AX140" s="105"/>
      <c r="AY140" s="105"/>
      <c r="AZ140" s="105"/>
      <c r="BA140" s="105"/>
      <c r="BB140" s="105"/>
      <c r="BC140" s="105"/>
      <c r="BD140" s="105"/>
      <c r="BE140" s="105"/>
      <c r="BF140" s="105"/>
      <c r="BG140" s="105"/>
      <c r="BH140" s="105"/>
      <c r="BI140" s="105"/>
      <c r="BJ140" s="105"/>
      <c r="BK140" s="105"/>
      <c r="BL140" s="105"/>
      <c r="BM140" s="105"/>
      <c r="BN140" s="105"/>
      <c r="BO140" s="105"/>
      <c r="BP140" s="105"/>
      <c r="BQ140" s="105"/>
      <c r="BR140" s="241"/>
      <c r="BS140" s="105"/>
      <c r="BT140" s="105"/>
      <c r="BU140" s="105"/>
      <c r="BV140" s="105"/>
      <c r="BW140" s="105"/>
      <c r="BX140" s="105"/>
    </row>
    <row r="141" spans="1:76" ht="12.75" customHeight="1" x14ac:dyDescent="0.2">
      <c r="A141" s="797"/>
      <c r="B141" s="797"/>
      <c r="C141" s="797"/>
      <c r="D141" s="1007"/>
      <c r="E141" s="1007"/>
      <c r="F141" s="797"/>
      <c r="G141" s="989"/>
      <c r="H141" s="989"/>
      <c r="I141" s="797"/>
      <c r="J141" s="797"/>
      <c r="K141" s="797"/>
      <c r="L141" s="797"/>
      <c r="M141" s="797"/>
      <c r="N141" s="797"/>
      <c r="O141" s="797"/>
      <c r="P141" s="797"/>
      <c r="Q141" s="797"/>
      <c r="R141" s="797"/>
      <c r="S141" s="567"/>
      <c r="T141" s="797"/>
      <c r="U141" s="797"/>
      <c r="V141" s="797"/>
      <c r="W141" s="797"/>
      <c r="X141" s="797"/>
      <c r="Y141" s="797"/>
      <c r="Z141" s="797"/>
      <c r="AA141" s="153"/>
      <c r="AB141" s="153"/>
      <c r="AC141" s="153"/>
      <c r="AD141" s="153"/>
      <c r="AE141" s="153"/>
      <c r="AF141" s="153"/>
      <c r="AG141" s="153"/>
      <c r="AH141" s="153"/>
      <c r="AI141" s="153"/>
      <c r="AJ141" s="153"/>
      <c r="AK141" s="153"/>
      <c r="AL141" s="153"/>
      <c r="AM141" s="153"/>
      <c r="AN141" s="153"/>
      <c r="AO141" s="153"/>
      <c r="AP141" s="153"/>
      <c r="AQ141" s="153"/>
      <c r="AR141" s="153"/>
      <c r="AS141" s="153"/>
      <c r="AT141" s="153"/>
      <c r="AU141" s="153"/>
      <c r="AV141" s="105"/>
      <c r="AW141" s="105"/>
      <c r="AX141" s="153"/>
      <c r="AY141" s="153"/>
      <c r="AZ141" s="153"/>
      <c r="BA141" s="153"/>
      <c r="BB141" s="153"/>
      <c r="BC141" s="153"/>
      <c r="BD141" s="153"/>
      <c r="BE141" s="153"/>
      <c r="BF141" s="153"/>
      <c r="BG141" s="153"/>
      <c r="BH141" s="153"/>
      <c r="BI141" s="153"/>
      <c r="BJ141" s="153"/>
      <c r="BK141" s="153"/>
      <c r="BL141" s="153"/>
      <c r="BM141" s="153"/>
      <c r="BN141" s="153"/>
      <c r="BO141" s="153"/>
      <c r="BP141" s="153"/>
      <c r="BQ141" s="153"/>
      <c r="BR141" s="153"/>
      <c r="BS141" s="105"/>
      <c r="BT141" s="105"/>
      <c r="BU141" s="105"/>
      <c r="BV141" s="105"/>
      <c r="BW141" s="105"/>
      <c r="BX141" s="105"/>
    </row>
    <row r="142" spans="1:76" x14ac:dyDescent="0.2">
      <c r="A142" s="797"/>
      <c r="B142" s="1806" t="s">
        <v>1560</v>
      </c>
      <c r="C142" s="1809" t="s">
        <v>4633</v>
      </c>
      <c r="D142" s="988"/>
      <c r="E142" s="988"/>
      <c r="F142" s="1845"/>
      <c r="G142" s="1846"/>
      <c r="H142" s="989"/>
      <c r="I142" s="797"/>
      <c r="J142" s="797"/>
      <c r="K142" s="797"/>
      <c r="L142" s="797"/>
      <c r="M142" s="797"/>
      <c r="N142" s="797"/>
      <c r="O142" s="797"/>
      <c r="P142" s="797"/>
      <c r="Q142" s="797"/>
      <c r="R142" s="797"/>
      <c r="S142" s="567"/>
      <c r="T142" s="797"/>
      <c r="U142" s="797"/>
      <c r="V142" s="797"/>
      <c r="W142" s="797"/>
      <c r="X142" s="797"/>
      <c r="Y142" s="797"/>
      <c r="Z142" s="797"/>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05"/>
      <c r="AW142" s="105"/>
      <c r="AX142" s="153"/>
      <c r="AY142" s="153"/>
      <c r="AZ142" s="153"/>
      <c r="BA142" s="153"/>
      <c r="BB142" s="153"/>
      <c r="BC142" s="153"/>
      <c r="BD142" s="153"/>
      <c r="BE142" s="153"/>
      <c r="BF142" s="153"/>
      <c r="BG142" s="153"/>
      <c r="BH142" s="153"/>
      <c r="BI142" s="153"/>
      <c r="BJ142" s="153"/>
      <c r="BK142" s="153"/>
      <c r="BL142" s="153"/>
      <c r="BM142" s="153"/>
      <c r="BN142" s="153"/>
      <c r="BO142" s="153"/>
      <c r="BP142" s="153"/>
      <c r="BQ142" s="153"/>
      <c r="BR142" s="153"/>
      <c r="BS142" s="105"/>
      <c r="BT142" s="105"/>
      <c r="BU142" s="105"/>
      <c r="BV142" s="105"/>
      <c r="BW142" s="105"/>
      <c r="BX142" s="105"/>
    </row>
    <row r="143" spans="1:76" x14ac:dyDescent="0.2">
      <c r="A143" s="797"/>
      <c r="B143" s="1807"/>
      <c r="C143" s="1810"/>
      <c r="D143" s="988"/>
      <c r="E143" s="988"/>
      <c r="F143" s="1845"/>
      <c r="G143" s="1847"/>
      <c r="H143" s="989"/>
      <c r="I143" s="797"/>
      <c r="J143" s="797"/>
      <c r="K143" s="797"/>
      <c r="L143" s="797"/>
      <c r="M143" s="797"/>
      <c r="N143" s="797"/>
      <c r="O143" s="797"/>
      <c r="P143" s="797"/>
      <c r="Q143" s="797"/>
      <c r="R143" s="797"/>
      <c r="S143" s="567"/>
      <c r="T143" s="797"/>
      <c r="U143" s="797"/>
      <c r="V143" s="797"/>
      <c r="W143" s="797"/>
      <c r="X143" s="797"/>
      <c r="Y143" s="797"/>
      <c r="Z143" s="797"/>
      <c r="AA143" s="153"/>
      <c r="AB143" s="153"/>
      <c r="AC143" s="153"/>
      <c r="AD143" s="153"/>
      <c r="AE143" s="153"/>
      <c r="AF143" s="153"/>
      <c r="AG143" s="153"/>
      <c r="AH143" s="153"/>
      <c r="AI143" s="153"/>
      <c r="AJ143" s="153"/>
      <c r="AK143" s="153"/>
      <c r="AL143" s="153"/>
      <c r="AM143" s="153"/>
      <c r="AN143" s="153"/>
      <c r="AO143" s="153"/>
      <c r="AP143" s="153"/>
      <c r="AQ143" s="153"/>
      <c r="AR143" s="153"/>
      <c r="AS143" s="153"/>
      <c r="AT143" s="153"/>
      <c r="AU143" s="153"/>
      <c r="AV143" s="105"/>
      <c r="AW143" s="105"/>
      <c r="AX143" s="153"/>
      <c r="AY143" s="153"/>
      <c r="AZ143" s="153"/>
      <c r="BA143" s="153"/>
      <c r="BB143" s="153"/>
      <c r="BC143" s="153"/>
      <c r="BD143" s="153"/>
      <c r="BE143" s="153"/>
      <c r="BF143" s="153"/>
      <c r="BG143" s="153"/>
      <c r="BH143" s="153"/>
      <c r="BI143" s="153"/>
      <c r="BJ143" s="153"/>
      <c r="BK143" s="153"/>
      <c r="BL143" s="153"/>
      <c r="BM143" s="153"/>
      <c r="BN143" s="153"/>
      <c r="BO143" s="153"/>
      <c r="BP143" s="153"/>
      <c r="BQ143" s="153"/>
      <c r="BR143" s="153"/>
      <c r="BS143" s="105"/>
      <c r="BT143" s="105"/>
      <c r="BU143" s="105"/>
      <c r="BV143" s="105"/>
      <c r="BW143" s="105"/>
      <c r="BX143" s="105"/>
    </row>
    <row r="144" spans="1:76" x14ac:dyDescent="0.2">
      <c r="A144" s="797"/>
      <c r="B144" s="1807"/>
      <c r="C144" s="1810"/>
      <c r="D144" s="988"/>
      <c r="E144" s="988"/>
      <c r="F144" s="1845"/>
      <c r="G144" s="1847"/>
      <c r="H144" s="989"/>
      <c r="I144" s="797"/>
      <c r="J144" s="797"/>
      <c r="K144" s="797"/>
      <c r="L144" s="797"/>
      <c r="M144" s="797"/>
      <c r="N144" s="797"/>
      <c r="O144" s="797"/>
      <c r="P144" s="797"/>
      <c r="Q144" s="797"/>
      <c r="R144" s="797"/>
      <c r="S144" s="567"/>
      <c r="T144" s="797"/>
      <c r="U144" s="797"/>
      <c r="V144" s="797"/>
      <c r="W144" s="797"/>
      <c r="X144" s="797"/>
      <c r="Y144" s="797"/>
      <c r="Z144" s="797"/>
      <c r="AA144" s="797"/>
      <c r="AB144" s="797"/>
      <c r="AC144" s="797"/>
      <c r="AD144" s="797"/>
      <c r="AE144" s="116"/>
      <c r="AF144" s="116"/>
      <c r="AG144" s="797"/>
      <c r="AH144" s="116"/>
      <c r="AI144" s="116"/>
      <c r="AJ144" s="797"/>
      <c r="AK144" s="797"/>
      <c r="AL144" s="797"/>
      <c r="AM144" s="797"/>
      <c r="AN144" s="797"/>
      <c r="AO144" s="797"/>
      <c r="AP144" s="797"/>
      <c r="AQ144" s="797"/>
      <c r="AR144" s="797"/>
      <c r="AS144" s="797"/>
      <c r="AT144" s="797"/>
      <c r="AU144" s="797"/>
      <c r="AV144" s="105"/>
      <c r="AW144" s="105"/>
      <c r="AX144" s="105"/>
      <c r="AY144" s="105"/>
      <c r="AZ144" s="105"/>
      <c r="BA144" s="105"/>
      <c r="BB144" s="116"/>
      <c r="BC144" s="116"/>
      <c r="BD144" s="105"/>
      <c r="BE144" s="116"/>
      <c r="BF144" s="116"/>
      <c r="BG144" s="105"/>
      <c r="BH144" s="105"/>
      <c r="BI144" s="105"/>
      <c r="BJ144" s="105"/>
      <c r="BK144" s="105"/>
      <c r="BL144" s="105"/>
      <c r="BM144" s="105"/>
      <c r="BN144" s="105"/>
      <c r="BO144" s="105"/>
      <c r="BP144" s="105"/>
      <c r="BQ144" s="105"/>
      <c r="BR144" s="105"/>
      <c r="BS144" s="105"/>
      <c r="BT144" s="105"/>
      <c r="BU144" s="105"/>
      <c r="BV144" s="105"/>
      <c r="BW144" s="105"/>
      <c r="BX144" s="105"/>
    </row>
    <row r="145" spans="1:76" x14ac:dyDescent="0.2">
      <c r="A145" s="797"/>
      <c r="B145" s="1807"/>
      <c r="C145" s="1810"/>
      <c r="D145" s="988"/>
      <c r="E145" s="988"/>
      <c r="F145" s="1845"/>
      <c r="G145" s="1847"/>
      <c r="H145" s="989"/>
      <c r="I145" s="797"/>
      <c r="J145" s="797"/>
      <c r="K145" s="797"/>
      <c r="L145" s="797"/>
      <c r="M145" s="797"/>
      <c r="N145" s="797"/>
      <c r="O145" s="797"/>
      <c r="P145" s="797"/>
      <c r="Q145" s="797"/>
      <c r="R145" s="797"/>
      <c r="S145" s="567"/>
      <c r="T145" s="797"/>
      <c r="U145" s="797"/>
      <c r="V145" s="797"/>
      <c r="W145" s="797"/>
      <c r="X145" s="797"/>
      <c r="Y145" s="797"/>
      <c r="Z145" s="797"/>
      <c r="AA145" s="797"/>
      <c r="AB145" s="797"/>
      <c r="AC145" s="797"/>
      <c r="AD145" s="797"/>
      <c r="AE145" s="116"/>
      <c r="AF145" s="116"/>
      <c r="AG145" s="797"/>
      <c r="AH145" s="116"/>
      <c r="AI145" s="116"/>
      <c r="AJ145" s="797"/>
      <c r="AK145" s="797"/>
      <c r="AL145" s="797"/>
      <c r="AM145" s="797"/>
      <c r="AN145" s="797"/>
      <c r="AO145" s="797"/>
      <c r="AP145" s="797"/>
      <c r="AQ145" s="797"/>
      <c r="AR145" s="797"/>
      <c r="AS145" s="797"/>
      <c r="AT145" s="797"/>
      <c r="AU145" s="797"/>
      <c r="AV145" s="105"/>
      <c r="AW145" s="105"/>
      <c r="AX145" s="105"/>
      <c r="AY145" s="105"/>
      <c r="AZ145" s="105"/>
      <c r="BA145" s="105"/>
      <c r="BB145" s="116"/>
      <c r="BC145" s="116"/>
      <c r="BD145" s="105"/>
      <c r="BE145" s="116"/>
      <c r="BF145" s="116"/>
      <c r="BG145" s="105"/>
      <c r="BH145" s="105"/>
      <c r="BI145" s="105"/>
      <c r="BJ145" s="105"/>
      <c r="BK145" s="105"/>
      <c r="BL145" s="105"/>
      <c r="BM145" s="105"/>
      <c r="BN145" s="105"/>
      <c r="BO145" s="105"/>
      <c r="BP145" s="105"/>
      <c r="BQ145" s="105"/>
      <c r="BR145" s="105"/>
      <c r="BS145" s="105"/>
      <c r="BT145" s="105"/>
      <c r="BU145" s="105"/>
      <c r="BV145" s="105"/>
      <c r="BW145" s="105"/>
      <c r="BX145" s="105"/>
    </row>
    <row r="146" spans="1:76" x14ac:dyDescent="0.2">
      <c r="A146" s="797"/>
      <c r="B146" s="1807"/>
      <c r="C146" s="1810"/>
      <c r="D146" s="988"/>
      <c r="E146" s="988"/>
      <c r="F146" s="1845"/>
      <c r="G146" s="1847"/>
      <c r="H146" s="989"/>
      <c r="I146" s="797"/>
      <c r="J146" s="797"/>
      <c r="K146" s="797"/>
      <c r="L146" s="797"/>
      <c r="M146" s="797"/>
      <c r="N146" s="797"/>
      <c r="O146" s="797"/>
      <c r="P146" s="797"/>
      <c r="Q146" s="797"/>
      <c r="R146" s="797"/>
      <c r="S146" s="567"/>
      <c r="T146" s="797"/>
      <c r="U146" s="797"/>
      <c r="V146" s="797"/>
      <c r="W146" s="797"/>
      <c r="X146" s="797"/>
      <c r="Y146" s="797"/>
      <c r="Z146" s="797"/>
      <c r="AA146" s="797"/>
      <c r="AB146" s="797"/>
      <c r="AC146" s="797"/>
      <c r="AD146" s="797"/>
      <c r="AE146" s="797"/>
      <c r="AF146" s="797"/>
      <c r="AG146" s="797"/>
      <c r="AH146" s="797"/>
      <c r="AI146" s="797"/>
      <c r="AJ146" s="116"/>
      <c r="AK146" s="116"/>
      <c r="AL146" s="797"/>
      <c r="AM146" s="116"/>
      <c r="AN146" s="116"/>
      <c r="AO146" s="797"/>
      <c r="AP146" s="797"/>
      <c r="AQ146" s="797"/>
      <c r="AR146" s="797"/>
      <c r="AS146" s="797"/>
      <c r="AT146" s="797"/>
      <c r="AU146" s="797"/>
      <c r="AV146" s="105"/>
      <c r="AW146" s="105"/>
      <c r="AX146" s="105"/>
      <c r="AY146" s="105"/>
      <c r="AZ146" s="105"/>
      <c r="BA146" s="105"/>
      <c r="BB146" s="105"/>
      <c r="BC146" s="105"/>
      <c r="BD146" s="105"/>
      <c r="BE146" s="105"/>
      <c r="BF146" s="105"/>
      <c r="BG146" s="116"/>
      <c r="BH146" s="116"/>
      <c r="BI146" s="105"/>
      <c r="BJ146" s="116"/>
      <c r="BK146" s="116"/>
      <c r="BL146" s="105"/>
      <c r="BM146" s="105"/>
      <c r="BN146" s="105"/>
      <c r="BO146" s="105"/>
      <c r="BP146" s="105"/>
      <c r="BQ146" s="105"/>
      <c r="BR146" s="105"/>
      <c r="BS146" s="105"/>
      <c r="BT146" s="105"/>
      <c r="BU146" s="105"/>
      <c r="BV146" s="105"/>
      <c r="BW146" s="105"/>
      <c r="BX146" s="105"/>
    </row>
    <row r="147" spans="1:76" x14ac:dyDescent="0.2">
      <c r="A147" s="797"/>
      <c r="B147" s="1807"/>
      <c r="C147" s="1810"/>
      <c r="D147" s="988"/>
      <c r="E147" s="988"/>
      <c r="F147" s="1845"/>
      <c r="G147" s="1847"/>
      <c r="H147" s="989"/>
      <c r="I147" s="797"/>
      <c r="J147" s="797"/>
      <c r="K147" s="797"/>
      <c r="L147" s="797"/>
      <c r="M147" s="797"/>
      <c r="N147" s="797"/>
      <c r="O147" s="797"/>
      <c r="P147" s="797"/>
      <c r="Q147" s="797"/>
      <c r="R147" s="797"/>
      <c r="S147" s="567"/>
      <c r="T147" s="797"/>
      <c r="U147" s="797"/>
      <c r="V147" s="797"/>
      <c r="W147" s="797"/>
      <c r="X147" s="797"/>
      <c r="Y147" s="797"/>
      <c r="Z147" s="797"/>
      <c r="AA147" s="797"/>
      <c r="AB147" s="797"/>
      <c r="AC147" s="797"/>
      <c r="AD147" s="797"/>
      <c r="AE147" s="797"/>
      <c r="AF147" s="797"/>
      <c r="AG147" s="797"/>
      <c r="AH147" s="797"/>
      <c r="AI147" s="797"/>
      <c r="AJ147" s="116"/>
      <c r="AK147" s="116"/>
      <c r="AL147" s="797"/>
      <c r="AM147" s="116"/>
      <c r="AN147" s="116"/>
      <c r="AO147" s="797"/>
      <c r="AP147" s="797"/>
      <c r="AQ147" s="797"/>
      <c r="AR147" s="797"/>
      <c r="AS147" s="797"/>
      <c r="AT147" s="797"/>
      <c r="AU147" s="797"/>
      <c r="AV147" s="105"/>
      <c r="AW147" s="105"/>
      <c r="AX147" s="105"/>
      <c r="AY147" s="105"/>
      <c r="AZ147" s="105"/>
      <c r="BA147" s="105"/>
      <c r="BB147" s="105"/>
      <c r="BC147" s="105"/>
      <c r="BD147" s="105"/>
      <c r="BE147" s="105"/>
      <c r="BF147" s="105"/>
      <c r="BG147" s="105"/>
      <c r="BH147" s="105"/>
      <c r="BI147" s="105"/>
      <c r="BJ147" s="105"/>
      <c r="BK147" s="105"/>
      <c r="BL147" s="105"/>
      <c r="BM147" s="105"/>
      <c r="BN147" s="105"/>
      <c r="BO147" s="105"/>
      <c r="BP147" s="105"/>
      <c r="BQ147" s="105"/>
      <c r="BR147" s="105"/>
      <c r="BS147" s="105"/>
      <c r="BT147" s="105"/>
      <c r="BU147" s="105"/>
      <c r="BV147" s="105"/>
      <c r="BW147" s="105"/>
      <c r="BX147" s="105"/>
    </row>
    <row r="148" spans="1:76" x14ac:dyDescent="0.2">
      <c r="A148" s="797"/>
      <c r="B148" s="1807"/>
      <c r="C148" s="1810"/>
      <c r="D148" s="988"/>
      <c r="E148" s="988"/>
      <c r="F148" s="1845"/>
      <c r="G148" s="1847"/>
      <c r="H148" s="989"/>
      <c r="I148" s="797"/>
      <c r="J148" s="797"/>
      <c r="K148" s="797"/>
      <c r="L148" s="797"/>
      <c r="M148" s="797"/>
      <c r="N148" s="797"/>
      <c r="O148" s="797"/>
      <c r="P148" s="797"/>
      <c r="Q148" s="797"/>
      <c r="R148" s="797"/>
      <c r="S148" s="567"/>
      <c r="T148" s="797"/>
      <c r="U148" s="797"/>
      <c r="V148" s="797"/>
      <c r="W148" s="797"/>
      <c r="X148" s="797"/>
      <c r="Y148" s="797"/>
      <c r="Z148" s="797"/>
      <c r="AA148" s="797"/>
      <c r="AB148" s="797"/>
      <c r="AC148" s="797"/>
      <c r="AD148" s="797"/>
      <c r="AE148" s="797"/>
      <c r="AF148" s="797"/>
      <c r="AG148" s="797"/>
      <c r="AH148" s="797"/>
      <c r="AI148" s="797"/>
      <c r="AJ148" s="116"/>
      <c r="AK148" s="116"/>
      <c r="AL148" s="797"/>
      <c r="AM148" s="116"/>
      <c r="AN148" s="116"/>
      <c r="AO148" s="797"/>
      <c r="AP148" s="797"/>
      <c r="AQ148" s="797"/>
      <c r="AR148" s="797"/>
      <c r="AS148" s="797"/>
      <c r="AT148" s="797"/>
      <c r="AU148" s="797"/>
      <c r="AV148" s="105"/>
      <c r="AW148" s="105"/>
      <c r="AX148" s="105"/>
      <c r="AY148" s="105"/>
      <c r="AZ148" s="105"/>
      <c r="BA148" s="105"/>
      <c r="BB148" s="105"/>
      <c r="BC148" s="105"/>
      <c r="BD148" s="105"/>
      <c r="BE148" s="105"/>
      <c r="BF148" s="105"/>
      <c r="BG148" s="105"/>
      <c r="BH148" s="105"/>
      <c r="BI148" s="105"/>
      <c r="BJ148" s="105"/>
      <c r="BK148" s="105"/>
      <c r="BL148" s="105"/>
      <c r="BM148" s="105"/>
      <c r="BN148" s="105"/>
      <c r="BO148" s="105"/>
      <c r="BP148" s="105"/>
      <c r="BQ148" s="105"/>
      <c r="BR148" s="105"/>
      <c r="BS148" s="105"/>
      <c r="BT148" s="105"/>
      <c r="BU148" s="105"/>
      <c r="BV148" s="105"/>
      <c r="BW148" s="105"/>
      <c r="BX148" s="105"/>
    </row>
    <row r="149" spans="1:76" x14ac:dyDescent="0.2">
      <c r="A149" s="777" t="s">
        <v>3408</v>
      </c>
      <c r="B149" s="1808"/>
      <c r="C149" s="1811"/>
      <c r="D149" s="988"/>
      <c r="E149" s="988"/>
      <c r="F149" s="1845"/>
      <c r="G149" s="1848"/>
      <c r="H149" s="1842" t="s">
        <v>1452</v>
      </c>
      <c r="I149" s="1843"/>
      <c r="J149" s="1843"/>
      <c r="K149" s="1843"/>
      <c r="L149" s="1843"/>
      <c r="M149" s="1844"/>
      <c r="N149" s="797"/>
      <c r="O149" s="1815" t="s">
        <v>1169</v>
      </c>
      <c r="P149" s="1816"/>
      <c r="Q149" s="1816"/>
      <c r="R149" s="1816"/>
      <c r="S149" s="1816"/>
      <c r="T149" s="1817"/>
      <c r="U149" s="1833" t="str">
        <f>IF(VERTRAUTENART="","",SUM(P150:Q159))</f>
        <v/>
      </c>
      <c r="V149" s="1834"/>
      <c r="W149" s="1835"/>
      <c r="X149" s="797"/>
      <c r="Y149" s="797"/>
      <c r="Z149" s="797"/>
      <c r="AA149" s="797"/>
      <c r="AB149" s="797"/>
      <c r="AC149" s="797"/>
      <c r="AD149" s="797"/>
      <c r="AE149" s="797"/>
      <c r="AF149" s="797"/>
      <c r="AG149" s="797"/>
      <c r="AH149" s="797"/>
      <c r="AI149" s="797"/>
      <c r="AJ149" s="116"/>
      <c r="AK149" s="116"/>
      <c r="AL149" s="797"/>
      <c r="AM149" s="116"/>
      <c r="AN149" s="116"/>
      <c r="AO149" s="797"/>
      <c r="AP149" s="797"/>
      <c r="AQ149" s="797"/>
      <c r="AR149" s="797"/>
      <c r="AS149" s="797"/>
      <c r="AT149" s="797"/>
      <c r="AU149" s="797"/>
      <c r="AV149" s="105"/>
      <c r="AW149" s="105"/>
      <c r="AX149" s="105"/>
      <c r="AY149" s="105"/>
      <c r="AZ149" s="105"/>
      <c r="BA149" s="105"/>
      <c r="BB149" s="105"/>
      <c r="BC149" s="105"/>
      <c r="BD149" s="105"/>
      <c r="BE149" s="105"/>
      <c r="BF149" s="105"/>
      <c r="BG149" s="105"/>
      <c r="BH149" s="105"/>
      <c r="BI149" s="105"/>
      <c r="BJ149" s="105"/>
      <c r="BK149" s="105"/>
      <c r="BL149" s="105"/>
      <c r="BM149" s="105"/>
      <c r="BN149" s="105"/>
      <c r="BO149" s="105"/>
      <c r="BP149" s="105"/>
      <c r="BQ149" s="105"/>
      <c r="BR149" s="105"/>
      <c r="BS149" s="105"/>
      <c r="BT149" s="105"/>
      <c r="BU149" s="105"/>
      <c r="BV149" s="105"/>
      <c r="BW149" s="105"/>
      <c r="BX149" s="105"/>
    </row>
    <row r="150" spans="1:76" x14ac:dyDescent="0.2">
      <c r="A150" s="95" t="s">
        <v>2060</v>
      </c>
      <c r="B150" s="1010" t="str">
        <f t="shared" ref="B150:B159" si="47">IF(VERTRAUTENART="","",IF(A150="Zwiegespräch","x",""))&amp;IF(AND(VERTRAUTENART="Kröte",A150="Krötenschlag"),"x","")</f>
        <v/>
      </c>
      <c r="C150" s="102"/>
      <c r="D150" s="1011"/>
      <c r="E150" s="998"/>
      <c r="F150" s="248"/>
      <c r="G150" s="1312"/>
      <c r="H150" s="1812"/>
      <c r="I150" s="1813"/>
      <c r="J150" s="1813"/>
      <c r="K150" s="1813"/>
      <c r="L150" s="1813"/>
      <c r="M150" s="1814"/>
      <c r="N150" s="797"/>
      <c r="O150" s="245"/>
      <c r="P150" s="1749" t="str">
        <f>IF(VERTRAUTENART="","",IF(B150="x",0,IF(G150="",0,VLOOKUP($A150,T_MAGIEWERTE,8))))</f>
        <v/>
      </c>
      <c r="Q150" s="1750"/>
      <c r="R150" s="1000"/>
      <c r="S150" s="1001"/>
      <c r="T150" s="1002"/>
      <c r="U150" s="797"/>
      <c r="V150" s="797"/>
      <c r="W150" s="797"/>
      <c r="X150" s="797"/>
      <c r="Y150" s="797" t="str">
        <f>IF(VERTRAUTENART="","",IF(OR(B150="x",NOT(G150="")),A150,""))</f>
        <v/>
      </c>
      <c r="Z150" s="797"/>
      <c r="AA150" s="797"/>
      <c r="AB150" s="797"/>
      <c r="AC150" s="797"/>
      <c r="AD150" s="797"/>
      <c r="AE150" s="797"/>
      <c r="AF150" s="797"/>
      <c r="AG150" s="797"/>
      <c r="AH150" s="797"/>
      <c r="AI150" s="797"/>
      <c r="AJ150" s="116"/>
      <c r="AK150" s="116"/>
      <c r="AL150" s="797"/>
      <c r="AM150" s="116"/>
      <c r="AN150" s="116"/>
      <c r="AO150" s="797"/>
      <c r="AP150" s="797"/>
      <c r="AQ150" s="797"/>
      <c r="AR150" s="797"/>
      <c r="AS150" s="797"/>
      <c r="AT150" s="797"/>
      <c r="AU150" s="797"/>
      <c r="AV150" s="105"/>
      <c r="AW150" s="105"/>
      <c r="AX150" s="105"/>
      <c r="AY150" s="105"/>
      <c r="AZ150" s="105"/>
      <c r="BA150" s="105"/>
      <c r="BB150" s="105"/>
      <c r="BC150" s="105"/>
      <c r="BD150" s="105"/>
      <c r="BE150" s="105"/>
      <c r="BF150" s="105"/>
      <c r="BG150" s="105"/>
      <c r="BH150" s="105"/>
      <c r="BI150" s="105"/>
      <c r="BJ150" s="105"/>
      <c r="BK150" s="105"/>
      <c r="BL150" s="105"/>
      <c r="BM150" s="105"/>
      <c r="BN150" s="105"/>
      <c r="BO150" s="105"/>
      <c r="BP150" s="105"/>
      <c r="BQ150" s="105"/>
      <c r="BR150" s="105"/>
      <c r="BS150" s="105"/>
      <c r="BT150" s="105"/>
      <c r="BU150" s="105"/>
      <c r="BV150" s="105"/>
      <c r="BW150" s="105"/>
      <c r="BX150" s="105"/>
    </row>
    <row r="151" spans="1:76" x14ac:dyDescent="0.2">
      <c r="A151" s="95" t="s">
        <v>7264</v>
      </c>
      <c r="B151" s="1010" t="str">
        <f t="shared" si="47"/>
        <v/>
      </c>
      <c r="C151" s="102"/>
      <c r="D151" s="1011"/>
      <c r="E151" s="998"/>
      <c r="F151" s="248"/>
      <c r="G151" s="1312"/>
      <c r="H151" s="1812"/>
      <c r="I151" s="1813"/>
      <c r="J151" s="1813"/>
      <c r="K151" s="1813"/>
      <c r="L151" s="1813"/>
      <c r="M151" s="1814"/>
      <c r="N151" s="797"/>
      <c r="O151" s="246"/>
      <c r="P151" s="1749" t="str">
        <f t="shared" ref="P151:P159" si="48">IF(VERTRAUTENART="","",IF(B151="x",0,IF(G151="",0,VLOOKUP($A151,T_MAGIEWERTE,8))))</f>
        <v/>
      </c>
      <c r="Q151" s="1750"/>
      <c r="R151" s="804"/>
      <c r="S151" s="1004"/>
      <c r="T151" s="802"/>
      <c r="U151" s="797"/>
      <c r="V151" s="797"/>
      <c r="W151" s="797"/>
      <c r="X151" s="797"/>
      <c r="Y151" s="797" t="str">
        <f t="shared" ref="Y151:Y159" si="49">IF(VERTRAUTENART="","",IF(OR(B151="x",NOT(G151="")),A151,""))</f>
        <v/>
      </c>
      <c r="Z151" s="797"/>
      <c r="AA151" s="797"/>
      <c r="AB151" s="797"/>
      <c r="AC151" s="797"/>
      <c r="AD151" s="797"/>
      <c r="AE151" s="797"/>
      <c r="AF151" s="797"/>
      <c r="AG151" s="797"/>
      <c r="AH151" s="797"/>
      <c r="AI151" s="797"/>
      <c r="AJ151" s="116"/>
      <c r="AK151" s="116"/>
      <c r="AL151" s="797"/>
      <c r="AM151" s="116"/>
      <c r="AN151" s="116"/>
      <c r="AO151" s="797"/>
      <c r="AP151" s="797"/>
      <c r="AQ151" s="797"/>
      <c r="AR151" s="797"/>
      <c r="AS151" s="797"/>
      <c r="AT151" s="797"/>
      <c r="AU151" s="797"/>
      <c r="AV151" s="105"/>
      <c r="AW151" s="105"/>
      <c r="AX151" s="105"/>
      <c r="AY151" s="105"/>
      <c r="AZ151" s="105"/>
      <c r="BA151" s="105"/>
      <c r="BB151" s="105"/>
      <c r="BC151" s="105"/>
      <c r="BD151" s="105"/>
      <c r="BE151" s="105"/>
      <c r="BF151" s="105"/>
      <c r="BG151" s="105"/>
      <c r="BH151" s="105"/>
      <c r="BI151" s="105"/>
      <c r="BJ151" s="105"/>
      <c r="BK151" s="105"/>
      <c r="BL151" s="105"/>
      <c r="BM151" s="105"/>
      <c r="BN151" s="105"/>
      <c r="BO151" s="105"/>
      <c r="BP151" s="105"/>
      <c r="BQ151" s="105"/>
      <c r="BR151" s="105"/>
      <c r="BS151" s="105"/>
      <c r="BT151" s="105"/>
      <c r="BU151" s="105"/>
      <c r="BV151" s="105"/>
      <c r="BW151" s="105"/>
      <c r="BX151" s="105"/>
    </row>
    <row r="152" spans="1:76" x14ac:dyDescent="0.2">
      <c r="A152" s="95" t="s">
        <v>7265</v>
      </c>
      <c r="B152" s="1010" t="str">
        <f t="shared" si="47"/>
        <v/>
      </c>
      <c r="C152" s="102"/>
      <c r="D152" s="1011"/>
      <c r="E152" s="998"/>
      <c r="F152" s="248"/>
      <c r="G152" s="1312"/>
      <c r="H152" s="1812"/>
      <c r="I152" s="1813"/>
      <c r="J152" s="1813"/>
      <c r="K152" s="1813"/>
      <c r="L152" s="1813"/>
      <c r="M152" s="1814"/>
      <c r="N152" s="797"/>
      <c r="O152" s="246"/>
      <c r="P152" s="1749" t="str">
        <f t="shared" si="48"/>
        <v/>
      </c>
      <c r="Q152" s="1750"/>
      <c r="R152" s="804"/>
      <c r="S152" s="1004"/>
      <c r="T152" s="802"/>
      <c r="U152" s="797"/>
      <c r="V152" s="797"/>
      <c r="W152" s="797"/>
      <c r="X152" s="797"/>
      <c r="Y152" s="797" t="str">
        <f t="shared" si="49"/>
        <v/>
      </c>
      <c r="Z152" s="797"/>
      <c r="AA152" s="797"/>
      <c r="AB152" s="797"/>
      <c r="AC152" s="797"/>
      <c r="AD152" s="797"/>
      <c r="AE152" s="797"/>
      <c r="AF152" s="797"/>
      <c r="AG152" s="797"/>
      <c r="AH152" s="797"/>
      <c r="AI152" s="797"/>
      <c r="AJ152" s="116"/>
      <c r="AK152" s="116"/>
      <c r="AL152" s="797"/>
      <c r="AM152" s="116"/>
      <c r="AN152" s="116"/>
      <c r="AO152" s="797"/>
      <c r="AP152" s="797"/>
      <c r="AQ152" s="797"/>
      <c r="AR152" s="797"/>
      <c r="AS152" s="797"/>
      <c r="AT152" s="797"/>
      <c r="AU152" s="797"/>
      <c r="AV152" s="105"/>
      <c r="AW152" s="105"/>
      <c r="AX152" s="105"/>
      <c r="AY152" s="105"/>
      <c r="AZ152" s="105"/>
      <c r="BA152" s="105"/>
      <c r="BB152" s="105"/>
      <c r="BC152" s="105"/>
      <c r="BD152" s="105"/>
      <c r="BE152" s="105"/>
      <c r="BF152" s="105"/>
      <c r="BG152" s="105"/>
      <c r="BH152" s="105"/>
      <c r="BI152" s="105"/>
      <c r="BJ152" s="105"/>
      <c r="BK152" s="105"/>
      <c r="BL152" s="105"/>
      <c r="BM152" s="105"/>
      <c r="BN152" s="105"/>
      <c r="BO152" s="105"/>
      <c r="BP152" s="105"/>
      <c r="BQ152" s="105"/>
      <c r="BR152" s="105"/>
      <c r="BS152" s="105"/>
      <c r="BT152" s="105"/>
      <c r="BU152" s="105"/>
      <c r="BV152" s="105"/>
      <c r="BW152" s="105"/>
      <c r="BX152" s="105"/>
    </row>
    <row r="153" spans="1:76" x14ac:dyDescent="0.2">
      <c r="A153" s="95" t="s">
        <v>2756</v>
      </c>
      <c r="B153" s="1010" t="str">
        <f t="shared" si="47"/>
        <v/>
      </c>
      <c r="C153" s="102"/>
      <c r="D153" s="1011"/>
      <c r="E153" s="998"/>
      <c r="F153" s="248"/>
      <c r="G153" s="1312"/>
      <c r="H153" s="1812"/>
      <c r="I153" s="1813"/>
      <c r="J153" s="1813"/>
      <c r="K153" s="1813"/>
      <c r="L153" s="1813"/>
      <c r="M153" s="1814"/>
      <c r="N153" s="797"/>
      <c r="O153" s="246"/>
      <c r="P153" s="1749" t="str">
        <f t="shared" si="48"/>
        <v/>
      </c>
      <c r="Q153" s="1750"/>
      <c r="R153" s="804"/>
      <c r="S153" s="1004"/>
      <c r="T153" s="802"/>
      <c r="U153" s="797"/>
      <c r="V153" s="797"/>
      <c r="W153" s="797"/>
      <c r="X153" s="797"/>
      <c r="Y153" s="797" t="str">
        <f t="shared" si="49"/>
        <v/>
      </c>
      <c r="Z153" s="797"/>
      <c r="AA153" s="797"/>
      <c r="AB153" s="797"/>
      <c r="AC153" s="797"/>
      <c r="AD153" s="797"/>
      <c r="AE153" s="797"/>
      <c r="AF153" s="797"/>
      <c r="AG153" s="797"/>
      <c r="AH153" s="797"/>
      <c r="AI153" s="797"/>
      <c r="AJ153" s="116"/>
      <c r="AK153" s="116"/>
      <c r="AL153" s="797"/>
      <c r="AM153" s="116"/>
      <c r="AN153" s="116"/>
      <c r="AO153" s="797"/>
      <c r="AP153" s="797"/>
      <c r="AQ153" s="797"/>
      <c r="AR153" s="797"/>
      <c r="AS153" s="797"/>
      <c r="AT153" s="797"/>
      <c r="AU153" s="797"/>
      <c r="AV153" s="105"/>
      <c r="AW153" s="105"/>
      <c r="AX153" s="105"/>
      <c r="AY153" s="105"/>
      <c r="AZ153" s="105"/>
      <c r="BA153" s="105"/>
      <c r="BB153" s="105"/>
      <c r="BC153" s="105"/>
      <c r="BD153" s="105"/>
      <c r="BE153" s="105"/>
      <c r="BF153" s="105"/>
      <c r="BG153" s="105"/>
      <c r="BH153" s="105"/>
      <c r="BI153" s="105"/>
      <c r="BJ153" s="105"/>
      <c r="BK153" s="105"/>
      <c r="BL153" s="105"/>
      <c r="BM153" s="105"/>
      <c r="BN153" s="105"/>
      <c r="BO153" s="105"/>
      <c r="BP153" s="105"/>
      <c r="BQ153" s="105"/>
      <c r="BR153" s="105"/>
      <c r="BS153" s="105"/>
      <c r="BT153" s="105"/>
      <c r="BU153" s="105"/>
      <c r="BV153" s="105"/>
      <c r="BW153" s="105"/>
      <c r="BX153" s="105"/>
    </row>
    <row r="154" spans="1:76" x14ac:dyDescent="0.2">
      <c r="A154" s="95" t="s">
        <v>2758</v>
      </c>
      <c r="B154" s="1010" t="str">
        <f t="shared" si="47"/>
        <v/>
      </c>
      <c r="C154" s="102"/>
      <c r="D154" s="1011"/>
      <c r="E154" s="998"/>
      <c r="F154" s="248"/>
      <c r="G154" s="1312"/>
      <c r="H154" s="1812"/>
      <c r="I154" s="1813"/>
      <c r="J154" s="1813"/>
      <c r="K154" s="1813"/>
      <c r="L154" s="1813"/>
      <c r="M154" s="1814"/>
      <c r="N154" s="797"/>
      <c r="O154" s="246"/>
      <c r="P154" s="1749" t="str">
        <f t="shared" si="48"/>
        <v/>
      </c>
      <c r="Q154" s="1750"/>
      <c r="R154" s="804"/>
      <c r="S154" s="1004"/>
      <c r="T154" s="802"/>
      <c r="U154" s="797"/>
      <c r="V154" s="797"/>
      <c r="W154" s="797"/>
      <c r="X154" s="797"/>
      <c r="Y154" s="797" t="str">
        <f t="shared" si="49"/>
        <v/>
      </c>
      <c r="Z154" s="797"/>
      <c r="AA154" s="797"/>
      <c r="AB154" s="797"/>
      <c r="AC154" s="797"/>
      <c r="AD154" s="797"/>
      <c r="AE154" s="797"/>
      <c r="AF154" s="797"/>
      <c r="AG154" s="797"/>
      <c r="AH154" s="797"/>
      <c r="AI154" s="797"/>
      <c r="AJ154" s="116"/>
      <c r="AK154" s="116"/>
      <c r="AL154" s="797"/>
      <c r="AM154" s="116"/>
      <c r="AN154" s="116"/>
      <c r="AO154" s="797"/>
      <c r="AP154" s="797"/>
      <c r="AQ154" s="797"/>
      <c r="AR154" s="797"/>
      <c r="AS154" s="797"/>
      <c r="AT154" s="797"/>
      <c r="AU154" s="797"/>
      <c r="AV154" s="105"/>
      <c r="AW154" s="105"/>
      <c r="AX154" s="105"/>
      <c r="AY154" s="105"/>
      <c r="AZ154" s="105"/>
      <c r="BA154" s="105"/>
      <c r="BB154" s="105"/>
      <c r="BC154" s="105"/>
      <c r="BD154" s="105"/>
      <c r="BE154" s="105"/>
      <c r="BF154" s="105"/>
      <c r="BG154" s="105"/>
      <c r="BH154" s="105"/>
      <c r="BI154" s="105"/>
      <c r="BJ154" s="105"/>
      <c r="BK154" s="105"/>
      <c r="BL154" s="105"/>
      <c r="BM154" s="105"/>
      <c r="BN154" s="105"/>
      <c r="BO154" s="105"/>
      <c r="BP154" s="105"/>
      <c r="BQ154" s="105"/>
      <c r="BR154" s="105"/>
      <c r="BS154" s="105"/>
      <c r="BT154" s="105"/>
      <c r="BU154" s="105"/>
      <c r="BV154" s="105"/>
      <c r="BW154" s="105"/>
      <c r="BX154" s="105"/>
    </row>
    <row r="155" spans="1:76" x14ac:dyDescent="0.2">
      <c r="A155" s="95" t="s">
        <v>2237</v>
      </c>
      <c r="B155" s="1010" t="str">
        <f t="shared" si="47"/>
        <v/>
      </c>
      <c r="C155" s="102"/>
      <c r="D155" s="1011"/>
      <c r="E155" s="998"/>
      <c r="F155" s="248"/>
      <c r="G155" s="1312"/>
      <c r="H155" s="1812"/>
      <c r="I155" s="1813"/>
      <c r="J155" s="1813"/>
      <c r="K155" s="1813"/>
      <c r="L155" s="1813"/>
      <c r="M155" s="1814"/>
      <c r="N155" s="797"/>
      <c r="O155" s="246"/>
      <c r="P155" s="1749" t="str">
        <f t="shared" si="48"/>
        <v/>
      </c>
      <c r="Q155" s="1750"/>
      <c r="R155" s="804"/>
      <c r="S155" s="1004"/>
      <c r="T155" s="802"/>
      <c r="U155" s="797"/>
      <c r="V155" s="797"/>
      <c r="W155" s="797"/>
      <c r="X155" s="797"/>
      <c r="Y155" s="797" t="str">
        <f t="shared" si="49"/>
        <v/>
      </c>
      <c r="Z155" s="797"/>
      <c r="AA155" s="797"/>
      <c r="AB155" s="797"/>
      <c r="AC155" s="797"/>
      <c r="AD155" s="797"/>
      <c r="AE155" s="797"/>
      <c r="AF155" s="797"/>
      <c r="AG155" s="797"/>
      <c r="AH155" s="797"/>
      <c r="AI155" s="797"/>
      <c r="AJ155" s="116"/>
      <c r="AK155" s="116"/>
      <c r="AL155" s="797"/>
      <c r="AM155" s="116"/>
      <c r="AN155" s="116"/>
      <c r="AO155" s="797"/>
      <c r="AP155" s="797"/>
      <c r="AQ155" s="797"/>
      <c r="AR155" s="797"/>
      <c r="AS155" s="797"/>
      <c r="AT155" s="797"/>
      <c r="AU155" s="797"/>
      <c r="AV155" s="105"/>
      <c r="AW155" s="105"/>
      <c r="AX155" s="105"/>
      <c r="AY155" s="105"/>
      <c r="AZ155" s="105"/>
      <c r="BA155" s="105"/>
      <c r="BB155" s="105"/>
      <c r="BC155" s="105"/>
      <c r="BD155" s="105"/>
      <c r="BE155" s="105"/>
      <c r="BF155" s="105"/>
      <c r="BG155" s="105"/>
      <c r="BH155" s="105"/>
      <c r="BI155" s="105"/>
      <c r="BJ155" s="105"/>
      <c r="BK155" s="105"/>
      <c r="BL155" s="105"/>
      <c r="BM155" s="105"/>
      <c r="BN155" s="105"/>
      <c r="BO155" s="105"/>
      <c r="BP155" s="105"/>
      <c r="BQ155" s="105"/>
      <c r="BR155" s="105"/>
      <c r="BS155" s="105"/>
      <c r="BT155" s="105"/>
      <c r="BU155" s="105"/>
      <c r="BV155" s="105"/>
      <c r="BW155" s="105"/>
      <c r="BX155" s="105"/>
    </row>
    <row r="156" spans="1:76" x14ac:dyDescent="0.2">
      <c r="A156" s="95" t="s">
        <v>2061</v>
      </c>
      <c r="B156" s="1010" t="str">
        <f t="shared" si="47"/>
        <v/>
      </c>
      <c r="C156" s="102"/>
      <c r="D156" s="1011"/>
      <c r="E156" s="998"/>
      <c r="F156" s="248"/>
      <c r="G156" s="1312"/>
      <c r="H156" s="1812"/>
      <c r="I156" s="1813"/>
      <c r="J156" s="1813"/>
      <c r="K156" s="1813"/>
      <c r="L156" s="1813"/>
      <c r="M156" s="1814"/>
      <c r="N156" s="797"/>
      <c r="O156" s="246"/>
      <c r="P156" s="1749" t="str">
        <f t="shared" si="48"/>
        <v/>
      </c>
      <c r="Q156" s="1750"/>
      <c r="R156" s="804"/>
      <c r="S156" s="1004"/>
      <c r="T156" s="802"/>
      <c r="U156" s="797"/>
      <c r="V156" s="797"/>
      <c r="W156" s="797"/>
      <c r="X156" s="797"/>
      <c r="Y156" s="797" t="str">
        <f t="shared" si="49"/>
        <v/>
      </c>
      <c r="Z156" s="797"/>
      <c r="AA156" s="797"/>
      <c r="AB156" s="797"/>
      <c r="AC156" s="797"/>
      <c r="AD156" s="797"/>
      <c r="AE156" s="797"/>
      <c r="AF156" s="797"/>
      <c r="AG156" s="797"/>
      <c r="AH156" s="797"/>
      <c r="AI156" s="797"/>
      <c r="AJ156" s="116"/>
      <c r="AK156" s="116"/>
      <c r="AL156" s="797"/>
      <c r="AM156" s="116"/>
      <c r="AN156" s="116"/>
      <c r="AO156" s="797"/>
      <c r="AP156" s="797"/>
      <c r="AQ156" s="797"/>
      <c r="AR156" s="797"/>
      <c r="AS156" s="797"/>
      <c r="AT156" s="797"/>
      <c r="AU156" s="797"/>
      <c r="AV156" s="105"/>
      <c r="AW156" s="105"/>
      <c r="AX156" s="105"/>
      <c r="AY156" s="105"/>
      <c r="AZ156" s="105"/>
      <c r="BA156" s="105"/>
      <c r="BB156" s="105"/>
      <c r="BC156" s="105"/>
      <c r="BD156" s="105"/>
      <c r="BE156" s="105"/>
      <c r="BF156" s="105"/>
      <c r="BG156" s="105"/>
      <c r="BH156" s="105"/>
      <c r="BI156" s="105"/>
      <c r="BJ156" s="105"/>
      <c r="BK156" s="105"/>
      <c r="BL156" s="105"/>
      <c r="BM156" s="105"/>
      <c r="BN156" s="105"/>
      <c r="BO156" s="105"/>
      <c r="BP156" s="105"/>
      <c r="BQ156" s="105"/>
      <c r="BR156" s="105"/>
      <c r="BS156" s="105"/>
      <c r="BT156" s="105"/>
      <c r="BU156" s="105"/>
      <c r="BV156" s="105"/>
      <c r="BW156" s="105"/>
      <c r="BX156" s="105"/>
    </row>
    <row r="157" spans="1:76" ht="12.75" customHeight="1" x14ac:dyDescent="0.2">
      <c r="A157" s="95" t="s">
        <v>2757</v>
      </c>
      <c r="B157" s="1010" t="str">
        <f t="shared" si="47"/>
        <v/>
      </c>
      <c r="C157" s="102"/>
      <c r="D157" s="1011"/>
      <c r="E157" s="998"/>
      <c r="F157" s="248"/>
      <c r="G157" s="1312"/>
      <c r="H157" s="1812"/>
      <c r="I157" s="1813"/>
      <c r="J157" s="1813"/>
      <c r="K157" s="1813"/>
      <c r="L157" s="1813"/>
      <c r="M157" s="1814"/>
      <c r="N157" s="797"/>
      <c r="O157" s="246"/>
      <c r="P157" s="1749" t="str">
        <f t="shared" si="48"/>
        <v/>
      </c>
      <c r="Q157" s="1750"/>
      <c r="R157" s="804"/>
      <c r="S157" s="1004"/>
      <c r="T157" s="802"/>
      <c r="U157" s="797"/>
      <c r="V157" s="797"/>
      <c r="W157" s="797"/>
      <c r="X157" s="797"/>
      <c r="Y157" s="797" t="str">
        <f t="shared" si="49"/>
        <v/>
      </c>
      <c r="Z157" s="797"/>
      <c r="AA157" s="797"/>
      <c r="AB157" s="797"/>
      <c r="AC157" s="797"/>
      <c r="AD157" s="797"/>
      <c r="AE157" s="797"/>
      <c r="AF157" s="797"/>
      <c r="AG157" s="797"/>
      <c r="AH157" s="797"/>
      <c r="AI157" s="797"/>
      <c r="AJ157" s="116"/>
      <c r="AK157" s="116"/>
      <c r="AL157" s="797"/>
      <c r="AM157" s="116"/>
      <c r="AN157" s="116"/>
      <c r="AO157" s="797"/>
      <c r="AP157" s="797"/>
      <c r="AQ157" s="797"/>
      <c r="AR157" s="797"/>
      <c r="AS157" s="797"/>
      <c r="AT157" s="797"/>
      <c r="AU157" s="797"/>
      <c r="AV157" s="105"/>
      <c r="AW157" s="105"/>
      <c r="AX157" s="105"/>
      <c r="AY157" s="105"/>
      <c r="AZ157" s="105"/>
      <c r="BA157" s="105"/>
      <c r="BB157" s="105"/>
      <c r="BC157" s="105"/>
      <c r="BD157" s="105"/>
      <c r="BE157" s="105"/>
      <c r="BF157" s="105"/>
      <c r="BG157" s="105"/>
      <c r="BH157" s="105"/>
      <c r="BI157" s="105"/>
      <c r="BJ157" s="105"/>
      <c r="BK157" s="105"/>
      <c r="BL157" s="105"/>
      <c r="BM157" s="105"/>
      <c r="BN157" s="105"/>
      <c r="BO157" s="105"/>
      <c r="BP157" s="105"/>
      <c r="BQ157" s="105"/>
      <c r="BR157" s="105"/>
      <c r="BS157" s="105"/>
      <c r="BT157" s="105"/>
      <c r="BU157" s="105"/>
      <c r="BV157" s="105"/>
      <c r="BW157" s="105"/>
      <c r="BX157" s="105"/>
    </row>
    <row r="158" spans="1:76" x14ac:dyDescent="0.2">
      <c r="A158" s="95" t="s">
        <v>1964</v>
      </c>
      <c r="B158" s="1010" t="str">
        <f t="shared" si="47"/>
        <v/>
      </c>
      <c r="C158" s="102"/>
      <c r="D158" s="1011"/>
      <c r="E158" s="998"/>
      <c r="F158" s="248"/>
      <c r="G158" s="1312"/>
      <c r="H158" s="1812"/>
      <c r="I158" s="1813"/>
      <c r="J158" s="1813"/>
      <c r="K158" s="1813"/>
      <c r="L158" s="1813"/>
      <c r="M158" s="1814"/>
      <c r="N158" s="797"/>
      <c r="O158" s="246"/>
      <c r="P158" s="1749" t="str">
        <f t="shared" si="48"/>
        <v/>
      </c>
      <c r="Q158" s="1750"/>
      <c r="R158" s="804"/>
      <c r="S158" s="1004"/>
      <c r="T158" s="802"/>
      <c r="U158" s="797"/>
      <c r="V158" s="797"/>
      <c r="W158" s="797"/>
      <c r="X158" s="797"/>
      <c r="Y158" s="797" t="str">
        <f t="shared" si="49"/>
        <v/>
      </c>
      <c r="Z158" s="797"/>
      <c r="AA158" s="797"/>
      <c r="AB158" s="797"/>
      <c r="AC158" s="797"/>
      <c r="AD158" s="797"/>
      <c r="AE158" s="797"/>
      <c r="AF158" s="797"/>
      <c r="AG158" s="797"/>
      <c r="AH158" s="797"/>
      <c r="AI158" s="797"/>
      <c r="AJ158" s="116"/>
      <c r="AK158" s="116"/>
      <c r="AL158" s="797"/>
      <c r="AM158" s="116"/>
      <c r="AN158" s="116"/>
      <c r="AO158" s="797"/>
      <c r="AP158" s="797"/>
      <c r="AQ158" s="797"/>
      <c r="AR158" s="797"/>
      <c r="AS158" s="797"/>
      <c r="AT158" s="797"/>
      <c r="AU158" s="797"/>
      <c r="AV158" s="105"/>
      <c r="AW158" s="105"/>
      <c r="AX158" s="105"/>
      <c r="AY158" s="105"/>
      <c r="AZ158" s="105"/>
      <c r="BA158" s="105"/>
      <c r="BB158" s="105"/>
      <c r="BC158" s="105"/>
      <c r="BD158" s="105"/>
      <c r="BE158" s="105"/>
      <c r="BF158" s="105"/>
      <c r="BG158" s="105"/>
      <c r="BH158" s="105"/>
      <c r="BI158" s="105"/>
      <c r="BJ158" s="105"/>
      <c r="BK158" s="105"/>
      <c r="BL158" s="105"/>
      <c r="BM158" s="105"/>
      <c r="BN158" s="105"/>
      <c r="BO158" s="105"/>
      <c r="BP158" s="105"/>
      <c r="BQ158" s="105"/>
      <c r="BR158" s="105"/>
      <c r="BS158" s="105"/>
      <c r="BT158" s="105"/>
      <c r="BU158" s="105"/>
      <c r="BV158" s="105"/>
      <c r="BW158" s="105"/>
      <c r="BX158" s="105"/>
    </row>
    <row r="159" spans="1:76" x14ac:dyDescent="0.2">
      <c r="A159" s="95" t="s">
        <v>7267</v>
      </c>
      <c r="B159" s="1010" t="str">
        <f t="shared" si="47"/>
        <v/>
      </c>
      <c r="C159" s="102"/>
      <c r="D159" s="1011"/>
      <c r="E159" s="998"/>
      <c r="F159" s="248"/>
      <c r="G159" s="1312"/>
      <c r="H159" s="1827"/>
      <c r="I159" s="1828"/>
      <c r="J159" s="1828"/>
      <c r="K159" s="1828"/>
      <c r="L159" s="1828"/>
      <c r="M159" s="1829"/>
      <c r="N159" s="797"/>
      <c r="O159" s="247"/>
      <c r="P159" s="1749" t="str">
        <f t="shared" si="48"/>
        <v/>
      </c>
      <c r="Q159" s="1750"/>
      <c r="R159" s="806"/>
      <c r="S159" s="1005"/>
      <c r="T159" s="807"/>
      <c r="U159" s="797"/>
      <c r="V159" s="797"/>
      <c r="W159" s="797"/>
      <c r="X159" s="797"/>
      <c r="Y159" s="797" t="str">
        <f t="shared" si="49"/>
        <v/>
      </c>
      <c r="Z159" s="797"/>
      <c r="AA159" s="797"/>
      <c r="AB159" s="797"/>
      <c r="AC159" s="797"/>
      <c r="AD159" s="797"/>
      <c r="AE159" s="797"/>
      <c r="AF159" s="797"/>
      <c r="AG159" s="797"/>
      <c r="AH159" s="797"/>
      <c r="AI159" s="797"/>
      <c r="AJ159" s="116"/>
      <c r="AK159" s="116"/>
      <c r="AL159" s="797"/>
      <c r="AM159" s="116"/>
      <c r="AN159" s="116"/>
      <c r="AO159" s="797"/>
      <c r="AP159" s="797"/>
      <c r="AQ159" s="797"/>
      <c r="AR159" s="797"/>
      <c r="AS159" s="797"/>
      <c r="AT159" s="797"/>
      <c r="AU159" s="797"/>
      <c r="AV159" s="105"/>
      <c r="AW159" s="105"/>
      <c r="AX159" s="105"/>
      <c r="AY159" s="105"/>
      <c r="AZ159" s="105"/>
      <c r="BA159" s="105"/>
      <c r="BB159" s="105"/>
      <c r="BC159" s="105"/>
      <c r="BD159" s="105"/>
      <c r="BE159" s="105"/>
      <c r="BF159" s="105"/>
      <c r="BG159" s="105"/>
      <c r="BH159" s="105"/>
      <c r="BI159" s="105"/>
      <c r="BJ159" s="105"/>
      <c r="BK159" s="105"/>
      <c r="BL159" s="105"/>
      <c r="BM159" s="105"/>
      <c r="BN159" s="105"/>
      <c r="BO159" s="105"/>
      <c r="BP159" s="105"/>
      <c r="BQ159" s="105"/>
      <c r="BR159" s="105"/>
      <c r="BS159" s="105"/>
      <c r="BT159" s="105"/>
      <c r="BU159" s="105"/>
      <c r="BV159" s="105"/>
      <c r="BW159" s="105"/>
      <c r="BX159" s="105"/>
    </row>
    <row r="160" spans="1:76" x14ac:dyDescent="0.2">
      <c r="A160" s="797"/>
      <c r="B160" s="797"/>
      <c r="C160" s="797"/>
      <c r="D160" s="1007"/>
      <c r="E160" s="1007"/>
      <c r="F160" s="797"/>
      <c r="G160" s="989"/>
      <c r="H160" s="989"/>
      <c r="I160" s="797"/>
      <c r="J160" s="797"/>
      <c r="K160" s="797"/>
      <c r="L160" s="797"/>
      <c r="M160" s="797"/>
      <c r="N160" s="797"/>
      <c r="O160" s="797"/>
      <c r="P160" s="797"/>
      <c r="Q160" s="797"/>
      <c r="R160" s="797"/>
      <c r="S160" s="797"/>
      <c r="T160" s="797"/>
      <c r="U160" s="797"/>
      <c r="V160" s="797"/>
      <c r="W160" s="797"/>
      <c r="X160" s="797"/>
      <c r="Y160" s="797"/>
      <c r="Z160" s="797"/>
      <c r="AA160" s="797"/>
      <c r="AB160" s="797"/>
      <c r="AC160" s="797"/>
      <c r="AD160" s="116"/>
      <c r="AE160" s="116"/>
      <c r="AF160" s="797"/>
      <c r="AG160" s="116"/>
      <c r="AH160" s="116"/>
      <c r="AI160" s="797"/>
      <c r="AJ160" s="797"/>
      <c r="AK160" s="797"/>
      <c r="AL160" s="797"/>
      <c r="AM160" s="797"/>
      <c r="AN160" s="797"/>
      <c r="AO160" s="797"/>
      <c r="AP160" s="797"/>
      <c r="AQ160" s="797"/>
      <c r="AR160" s="797"/>
      <c r="AS160" s="797"/>
      <c r="AT160" s="797"/>
      <c r="AU160" s="797"/>
      <c r="AV160" s="105"/>
      <c r="AW160" s="105"/>
      <c r="AX160" s="105"/>
      <c r="AY160" s="105"/>
      <c r="AZ160" s="105"/>
      <c r="BA160" s="105"/>
      <c r="BB160" s="105"/>
      <c r="BC160" s="105"/>
      <c r="BD160" s="105"/>
      <c r="BE160" s="105"/>
      <c r="BF160" s="105"/>
      <c r="BG160" s="105"/>
      <c r="BH160" s="105"/>
      <c r="BI160" s="105"/>
      <c r="BJ160" s="105"/>
      <c r="BK160" s="105"/>
      <c r="BL160" s="105"/>
      <c r="BM160" s="105"/>
      <c r="BN160" s="105"/>
      <c r="BO160" s="105"/>
      <c r="BP160" s="105"/>
      <c r="BQ160" s="105"/>
      <c r="BR160" s="105"/>
      <c r="BS160" s="105"/>
      <c r="BT160" s="105"/>
      <c r="BU160" s="105"/>
      <c r="BV160" s="105"/>
      <c r="BW160" s="105"/>
      <c r="BX160" s="105"/>
    </row>
    <row r="161" spans="1:76" x14ac:dyDescent="0.2">
      <c r="A161" s="797"/>
      <c r="B161" s="797"/>
      <c r="C161" s="797"/>
      <c r="D161" s="1007"/>
      <c r="E161" s="1007"/>
      <c r="F161" s="797"/>
      <c r="G161" s="989"/>
      <c r="H161" s="989"/>
      <c r="I161" s="797"/>
      <c r="J161" s="797"/>
      <c r="K161" s="797"/>
      <c r="L161" s="797"/>
      <c r="M161" s="797"/>
      <c r="N161" s="797"/>
      <c r="O161" s="797"/>
      <c r="P161" s="797"/>
      <c r="Q161" s="797"/>
      <c r="R161" s="797"/>
      <c r="S161" s="567"/>
      <c r="T161" s="797"/>
      <c r="U161" s="1409" t="s">
        <v>1949</v>
      </c>
      <c r="V161" s="1410"/>
      <c r="W161" s="1410"/>
      <c r="X161" s="1410"/>
      <c r="Y161" s="1411" t="str">
        <f>CONCATENATE(Y150,Y151,Y152,Y153,Y154,Y155,Y156,Y157,Y158,Y159)</f>
        <v/>
      </c>
      <c r="Z161" s="797"/>
      <c r="AA161" s="797"/>
      <c r="AB161" s="797"/>
      <c r="AC161" s="797"/>
      <c r="AD161" s="797"/>
      <c r="AE161" s="797"/>
      <c r="AF161" s="797"/>
      <c r="AG161" s="797"/>
      <c r="AH161" s="797"/>
      <c r="AI161" s="797"/>
      <c r="AJ161" s="116"/>
      <c r="AK161" s="116"/>
      <c r="AL161" s="797"/>
      <c r="AM161" s="116"/>
      <c r="AN161" s="116"/>
      <c r="AO161" s="797"/>
      <c r="AP161" s="797"/>
      <c r="AQ161" s="797"/>
      <c r="AR161" s="797"/>
      <c r="AS161" s="797"/>
      <c r="AT161" s="797"/>
      <c r="AU161" s="797"/>
      <c r="AV161" s="105"/>
      <c r="AW161" s="105"/>
      <c r="AX161" s="105"/>
      <c r="AY161" s="105"/>
      <c r="AZ161" s="105"/>
      <c r="BA161" s="105"/>
      <c r="BB161" s="105"/>
      <c r="BC161" s="105"/>
      <c r="BD161" s="105"/>
      <c r="BE161" s="105"/>
      <c r="BF161" s="105"/>
      <c r="BG161" s="105"/>
      <c r="BH161" s="105"/>
      <c r="BI161" s="105"/>
      <c r="BJ161" s="105"/>
      <c r="BK161" s="105"/>
      <c r="BL161" s="105"/>
      <c r="BM161" s="105"/>
      <c r="BN161" s="105"/>
      <c r="BO161" s="105"/>
      <c r="BP161" s="105"/>
      <c r="BQ161" s="105"/>
      <c r="BR161" s="105"/>
      <c r="BS161" s="105"/>
      <c r="BT161" s="105"/>
      <c r="BU161" s="105"/>
      <c r="BV161" s="105"/>
      <c r="BW161" s="105"/>
      <c r="BX161" s="105"/>
    </row>
    <row r="162" spans="1:76" ht="12.75" customHeight="1" x14ac:dyDescent="0.2">
      <c r="A162" s="797"/>
      <c r="B162" s="797"/>
      <c r="C162" s="797"/>
      <c r="D162" s="1007"/>
      <c r="E162" s="1007"/>
      <c r="F162" s="797"/>
      <c r="G162" s="989"/>
      <c r="H162" s="989"/>
      <c r="I162" s="797"/>
      <c r="J162" s="797"/>
      <c r="K162" s="797"/>
      <c r="L162" s="797"/>
      <c r="M162" s="797"/>
      <c r="N162" s="797"/>
      <c r="O162" s="797"/>
      <c r="P162" s="797"/>
      <c r="Q162" s="797"/>
      <c r="R162" s="797"/>
      <c r="S162" s="567"/>
      <c r="T162" s="797"/>
      <c r="U162" s="797"/>
      <c r="V162" s="797"/>
      <c r="W162" s="797"/>
      <c r="X162" s="797"/>
      <c r="Y162" s="797"/>
      <c r="Z162" s="797"/>
      <c r="AA162" s="797"/>
      <c r="AB162" s="797"/>
      <c r="AC162" s="797"/>
      <c r="AD162" s="797"/>
      <c r="AE162" s="797"/>
      <c r="AF162" s="797"/>
      <c r="AG162" s="797"/>
      <c r="AH162" s="797"/>
      <c r="AI162" s="797"/>
      <c r="AJ162" s="116"/>
      <c r="AK162" s="116"/>
      <c r="AL162" s="797"/>
      <c r="AM162" s="116"/>
      <c r="AN162" s="116"/>
      <c r="AO162" s="797"/>
      <c r="AP162" s="797"/>
      <c r="AQ162" s="797"/>
      <c r="AR162" s="797"/>
      <c r="AS162" s="797"/>
      <c r="AT162" s="797"/>
      <c r="AU162" s="797"/>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row>
    <row r="163" spans="1:76" x14ac:dyDescent="0.2">
      <c r="A163" s="797"/>
      <c r="B163" s="797"/>
      <c r="C163" s="797"/>
      <c r="D163" s="1007"/>
      <c r="E163" s="1007"/>
      <c r="F163" s="797"/>
      <c r="G163" s="989"/>
      <c r="H163" s="989"/>
      <c r="I163" s="797"/>
      <c r="J163" s="797"/>
      <c r="K163" s="797"/>
      <c r="L163" s="797"/>
      <c r="M163" s="797"/>
      <c r="N163" s="797"/>
      <c r="O163" s="797"/>
      <c r="P163" s="797"/>
      <c r="Q163" s="797"/>
      <c r="R163" s="797"/>
      <c r="S163" s="567"/>
      <c r="T163" s="797"/>
      <c r="U163" s="797"/>
      <c r="V163" s="797"/>
      <c r="W163" s="797"/>
      <c r="X163" s="797"/>
      <c r="Y163" s="797"/>
      <c r="Z163" s="797"/>
      <c r="AA163" s="797"/>
      <c r="AB163" s="797"/>
      <c r="AC163" s="797"/>
      <c r="AD163" s="797"/>
      <c r="AE163" s="797"/>
      <c r="AF163" s="797"/>
      <c r="AG163" s="797"/>
      <c r="AH163" s="797"/>
      <c r="AI163" s="797"/>
      <c r="AJ163" s="116"/>
      <c r="AK163" s="116"/>
      <c r="AL163" s="797"/>
      <c r="AM163" s="116"/>
      <c r="AN163" s="116"/>
      <c r="AO163" s="797"/>
      <c r="AP163" s="797"/>
      <c r="AQ163" s="797"/>
      <c r="AR163" s="797"/>
      <c r="AS163" s="797"/>
      <c r="AT163" s="797"/>
      <c r="AU163" s="797"/>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c r="BP163" s="105"/>
      <c r="BQ163" s="105"/>
      <c r="BR163" s="105"/>
      <c r="BS163" s="105"/>
      <c r="BT163" s="105"/>
      <c r="BU163" s="105"/>
      <c r="BV163" s="105"/>
      <c r="BW163" s="105"/>
      <c r="BX163" s="105"/>
    </row>
  </sheetData>
  <sheetProtection selectLockedCells="1"/>
  <mergeCells count="180">
    <mergeCell ref="Q93:AB93"/>
    <mergeCell ref="Q94:AB94"/>
    <mergeCell ref="H58:M58"/>
    <mergeCell ref="H90:M90"/>
    <mergeCell ref="H79:M79"/>
    <mergeCell ref="H76:M76"/>
    <mergeCell ref="H75:M75"/>
    <mergeCell ref="H84:M84"/>
    <mergeCell ref="H72:M72"/>
    <mergeCell ref="H83:M83"/>
    <mergeCell ref="H86:M86"/>
    <mergeCell ref="H88:M88"/>
    <mergeCell ref="Q91:AB91"/>
    <mergeCell ref="Q92:AB92"/>
    <mergeCell ref="H71:M71"/>
    <mergeCell ref="H65:M65"/>
    <mergeCell ref="H60:M60"/>
    <mergeCell ref="H69:M69"/>
    <mergeCell ref="H70:M70"/>
    <mergeCell ref="H66:M66"/>
    <mergeCell ref="H67:M67"/>
    <mergeCell ref="H73:M73"/>
    <mergeCell ref="H80:M80"/>
    <mergeCell ref="H74:M74"/>
    <mergeCell ref="H78:M78"/>
    <mergeCell ref="H77:M77"/>
    <mergeCell ref="H100:M100"/>
    <mergeCell ref="H91:M91"/>
    <mergeCell ref="H92:M92"/>
    <mergeCell ref="H81:M81"/>
    <mergeCell ref="H82:M82"/>
    <mergeCell ref="H96:M96"/>
    <mergeCell ref="H85:M85"/>
    <mergeCell ref="H95:M95"/>
    <mergeCell ref="H89:M89"/>
    <mergeCell ref="H87:M87"/>
    <mergeCell ref="H93:M93"/>
    <mergeCell ref="H98:M98"/>
    <mergeCell ref="H94:M94"/>
    <mergeCell ref="H97:M97"/>
    <mergeCell ref="P151:Q151"/>
    <mergeCell ref="P150:Q150"/>
    <mergeCell ref="H151:M151"/>
    <mergeCell ref="F142:F149"/>
    <mergeCell ref="G142:G149"/>
    <mergeCell ref="H129:M129"/>
    <mergeCell ref="H132:M132"/>
    <mergeCell ref="H131:M131"/>
    <mergeCell ref="H99:M99"/>
    <mergeCell ref="H133:M133"/>
    <mergeCell ref="H118:M118"/>
    <mergeCell ref="H101:M101"/>
    <mergeCell ref="H127:M127"/>
    <mergeCell ref="H126:M126"/>
    <mergeCell ref="H159:M159"/>
    <mergeCell ref="H149:M149"/>
    <mergeCell ref="H155:M155"/>
    <mergeCell ref="H156:M156"/>
    <mergeCell ref="H157:M157"/>
    <mergeCell ref="H154:M154"/>
    <mergeCell ref="H153:M153"/>
    <mergeCell ref="H158:M158"/>
    <mergeCell ref="H152:M152"/>
    <mergeCell ref="H150:M150"/>
    <mergeCell ref="B142:B149"/>
    <mergeCell ref="C142:C149"/>
    <mergeCell ref="H134:M134"/>
    <mergeCell ref="H119:M119"/>
    <mergeCell ref="O149:T149"/>
    <mergeCell ref="B110:B116"/>
    <mergeCell ref="C110:C117"/>
    <mergeCell ref="F110:F117"/>
    <mergeCell ref="H120:M120"/>
    <mergeCell ref="H124:M124"/>
    <mergeCell ref="O112:V112"/>
    <mergeCell ref="O132:T132"/>
    <mergeCell ref="H130:M130"/>
    <mergeCell ref="G110:G117"/>
    <mergeCell ref="U149:W149"/>
    <mergeCell ref="H135:M135"/>
    <mergeCell ref="H123:M123"/>
    <mergeCell ref="O118:T118"/>
    <mergeCell ref="H128:M128"/>
    <mergeCell ref="H121:M121"/>
    <mergeCell ref="H125:M125"/>
    <mergeCell ref="W112:Y112"/>
    <mergeCell ref="W110:Y110"/>
    <mergeCell ref="H122:M122"/>
    <mergeCell ref="H57:M57"/>
    <mergeCell ref="H45:M45"/>
    <mergeCell ref="H59:M59"/>
    <mergeCell ref="H68:M68"/>
    <mergeCell ref="H62:M62"/>
    <mergeCell ref="H61:M61"/>
    <mergeCell ref="H53:M53"/>
    <mergeCell ref="H50:M50"/>
    <mergeCell ref="H51:M51"/>
    <mergeCell ref="H56:M56"/>
    <mergeCell ref="H63:M63"/>
    <mergeCell ref="H64:M64"/>
    <mergeCell ref="H29:M29"/>
    <mergeCell ref="H31:M31"/>
    <mergeCell ref="H49:M49"/>
    <mergeCell ref="H54:M54"/>
    <mergeCell ref="H35:M35"/>
    <mergeCell ref="H33:M33"/>
    <mergeCell ref="H41:M41"/>
    <mergeCell ref="H52:M52"/>
    <mergeCell ref="H47:M47"/>
    <mergeCell ref="H36:M36"/>
    <mergeCell ref="H40:M40"/>
    <mergeCell ref="H37:M37"/>
    <mergeCell ref="H28:M28"/>
    <mergeCell ref="H12:M12"/>
    <mergeCell ref="O111:V111"/>
    <mergeCell ref="H44:M44"/>
    <mergeCell ref="O99:Z99"/>
    <mergeCell ref="R4:AB9"/>
    <mergeCell ref="H17:M17"/>
    <mergeCell ref="H21:M21"/>
    <mergeCell ref="H26:M26"/>
    <mergeCell ref="H13:M13"/>
    <mergeCell ref="N9:P9"/>
    <mergeCell ref="H30:M30"/>
    <mergeCell ref="O30:Z30"/>
    <mergeCell ref="H25:M25"/>
    <mergeCell ref="H23:M23"/>
    <mergeCell ref="H19:M19"/>
    <mergeCell ref="H20:M20"/>
    <mergeCell ref="H43:M43"/>
    <mergeCell ref="H32:M32"/>
    <mergeCell ref="H15:M15"/>
    <mergeCell ref="H18:M18"/>
    <mergeCell ref="H22:M22"/>
    <mergeCell ref="H34:M34"/>
    <mergeCell ref="H42:M42"/>
    <mergeCell ref="H24:M24"/>
    <mergeCell ref="D3:D10"/>
    <mergeCell ref="I7:M7"/>
    <mergeCell ref="F3:F10"/>
    <mergeCell ref="N8:P8"/>
    <mergeCell ref="N4:P4"/>
    <mergeCell ref="I6:M6"/>
    <mergeCell ref="H10:P10"/>
    <mergeCell ref="H27:M27"/>
    <mergeCell ref="I8:M8"/>
    <mergeCell ref="H16:M16"/>
    <mergeCell ref="B3:B10"/>
    <mergeCell ref="C3:C10"/>
    <mergeCell ref="G3:G10"/>
    <mergeCell ref="I3:M3"/>
    <mergeCell ref="E3:E10"/>
    <mergeCell ref="H11:M11"/>
    <mergeCell ref="I9:M9"/>
    <mergeCell ref="I4:M4"/>
    <mergeCell ref="I5:M5"/>
    <mergeCell ref="R3:AB3"/>
    <mergeCell ref="H14:M14"/>
    <mergeCell ref="N3:P3"/>
    <mergeCell ref="N5:P5"/>
    <mergeCell ref="N6:P6"/>
    <mergeCell ref="P159:Q159"/>
    <mergeCell ref="P152:Q152"/>
    <mergeCell ref="P153:Q153"/>
    <mergeCell ref="P154:Q154"/>
    <mergeCell ref="P155:Q155"/>
    <mergeCell ref="H39:M39"/>
    <mergeCell ref="H46:M46"/>
    <mergeCell ref="H55:M55"/>
    <mergeCell ref="H48:M48"/>
    <mergeCell ref="P156:Q156"/>
    <mergeCell ref="P158:Q158"/>
    <mergeCell ref="O101:Z101"/>
    <mergeCell ref="O96:Z96"/>
    <mergeCell ref="P157:Q157"/>
    <mergeCell ref="W111:Y111"/>
    <mergeCell ref="W115:Y115"/>
    <mergeCell ref="O110:V110"/>
    <mergeCell ref="N7:P7"/>
    <mergeCell ref="H38:M38"/>
  </mergeCells>
  <phoneticPr fontId="3" type="noConversion"/>
  <conditionalFormatting sqref="AA119:AU143 O150:O159 O119:O129 AX136:BR143 U161 AO18:BW18 AN12:AN18 BI15:BK15 AO15:BH17 BJ32:BJ44 BQ35:BQ37 BQ40:BQ42 BR41:BR42 O12:AL18 AN17:BK17 AL32:BD44 S32:AJ44 P95:AI95 AL46:AL95 O46:O95 AM95:BE95 AK98:BE100 O20:AL27 AN20:BK27 AA98:AI100 O98:Z98 O100:Z100 BQ25:BS27 BP23:BP27 BQ23:BS23 AN29:BR30 O29:AL30 AO12:BK14 AK95:AK97">
    <cfRule type="cellIs" dxfId="36" priority="68" stopIfTrue="1" operator="greaterThan">
      <formula>0</formula>
    </cfRule>
  </conditionalFormatting>
  <conditionalFormatting sqref="H28 H11 H19 H45 H31 H95">
    <cfRule type="cellIs" dxfId="35" priority="71" stopIfTrue="1" operator="equal">
      <formula>"Keine AP mehr übrig!"</formula>
    </cfRule>
    <cfRule type="cellIs" dxfId="34" priority="72" stopIfTrue="1" operator="equal">
      <formula>"Keine TaGP mehr übrig!"</formula>
    </cfRule>
  </conditionalFormatting>
  <conditionalFormatting sqref="E32:E44">
    <cfRule type="expression" dxfId="33" priority="122" stopIfTrue="1">
      <formula>$BH32</formula>
    </cfRule>
  </conditionalFormatting>
  <dataValidations disablePrompts="1" count="4">
    <dataValidation type="list" allowBlank="1" showInputMessage="1" showErrorMessage="1" sqref="A111">
      <formula1>VERTRAUTE</formula1>
    </dataValidation>
    <dataValidation type="list" allowBlank="1" showInputMessage="1" sqref="A115">
      <formula1>INDIRECT(HLOOKUP(VERTRAUTENART,VERTRAUTEWERTE,31))</formula1>
    </dataValidation>
    <dataValidation type="list" allowBlank="1" showInputMessage="1" showErrorMessage="1" sqref="A150:A159">
      <formula1>T_MAGIE</formula1>
    </dataValidation>
    <dataValidation type="list" allowBlank="1" showInputMessage="1" showErrorMessage="1" sqref="E25:E27">
      <formula1>"Abbauen (Start-AP), Abbauen (AP),"</formula1>
    </dataValidation>
  </dataValidations>
  <hyperlinks>
    <hyperlink ref="A3" location="Eigenschaften!A41" display="Basiswerte"/>
    <hyperlink ref="A4" location="Eigenschaften!A44" display="Eigenschaften"/>
    <hyperlink ref="A5" location="Eigenschaften!A30" display="Gaben"/>
    <hyperlink ref="A6" location="Eigenschaften!A45" display="schlechte Eigensch."/>
    <hyperlink ref="A8" location="Eigenschaften!A224" display="Vertrautentier"/>
  </hyperlinks>
  <pageMargins left="0.78740157499999996" right="0.78740157499999996" top="0.984251969" bottom="0.984251969" header="0.4921259845" footer="0.4921259845"/>
  <pageSetup paperSize="9" orientation="portrait" horizontalDpi="360" verticalDpi="360"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tabColor theme="2" tint="-0.249977111117893"/>
  </sheetPr>
  <dimension ref="A1:IU853"/>
  <sheetViews>
    <sheetView zoomScaleNormal="100" workbookViewId="0">
      <pane xSplit="1" ySplit="1" topLeftCell="B2" activePane="bottomRight" state="frozenSplit"/>
      <selection activeCell="A671" sqref="A671"/>
      <selection pane="topRight" activeCell="A671" sqref="A671"/>
      <selection pane="bottomLeft" activeCell="A671" sqref="A671"/>
      <selection pane="bottomRight" activeCell="GO11" sqref="GO11"/>
    </sheetView>
  </sheetViews>
  <sheetFormatPr baseColWidth="10" defaultColWidth="8.85546875" defaultRowHeight="12.75" outlineLevelRow="1" x14ac:dyDescent="0.2"/>
  <cols>
    <col min="1" max="1" width="29.85546875" customWidth="1"/>
    <col min="2" max="2" width="4.28515625" customWidth="1"/>
    <col min="3" max="53" width="5.7109375" customWidth="1"/>
    <col min="54" max="54" width="4.28515625" customWidth="1"/>
    <col min="55" max="197" width="5.7109375" customWidth="1"/>
    <col min="198" max="198" width="4.28515625" customWidth="1"/>
    <col min="199" max="255" width="5.7109375" customWidth="1"/>
  </cols>
  <sheetData>
    <row r="1" spans="1:255" ht="105" customHeight="1" x14ac:dyDescent="0.2">
      <c r="A1" t="s">
        <v>3537</v>
      </c>
      <c r="B1" t="s">
        <v>4666</v>
      </c>
      <c r="C1" t="s">
        <v>4089</v>
      </c>
      <c r="D1" t="s">
        <v>4095</v>
      </c>
      <c r="E1" t="s">
        <v>3375</v>
      </c>
      <c r="F1" t="s">
        <v>5797</v>
      </c>
      <c r="G1" t="s">
        <v>3376</v>
      </c>
      <c r="H1" t="s">
        <v>9186</v>
      </c>
      <c r="I1" t="s">
        <v>4097</v>
      </c>
      <c r="J1" t="s">
        <v>633</v>
      </c>
      <c r="K1" t="s">
        <v>634</v>
      </c>
      <c r="L1" t="s">
        <v>4478</v>
      </c>
      <c r="M1" t="s">
        <v>641</v>
      </c>
      <c r="N1" t="s">
        <v>7824</v>
      </c>
      <c r="O1" t="s">
        <v>2003</v>
      </c>
      <c r="P1" t="s">
        <v>2004</v>
      </c>
      <c r="Q1" t="s">
        <v>2005</v>
      </c>
      <c r="R1" t="s">
        <v>2006</v>
      </c>
      <c r="S1" t="s">
        <v>2669</v>
      </c>
      <c r="T1" t="s">
        <v>2007</v>
      </c>
      <c r="U1" t="s">
        <v>3427</v>
      </c>
      <c r="V1" t="s">
        <v>3539</v>
      </c>
      <c r="W1" t="s">
        <v>3429</v>
      </c>
      <c r="X1" t="s">
        <v>3428</v>
      </c>
      <c r="Y1" t="s">
        <v>2653</v>
      </c>
      <c r="Z1" t="s">
        <v>2008</v>
      </c>
      <c r="AA1" t="s">
        <v>2654</v>
      </c>
      <c r="AB1" t="s">
        <v>643</v>
      </c>
      <c r="AC1" t="s">
        <v>3431</v>
      </c>
      <c r="AD1" t="s">
        <v>3433</v>
      </c>
      <c r="AE1" t="s">
        <v>3432</v>
      </c>
      <c r="AF1" t="s">
        <v>8777</v>
      </c>
      <c r="AG1" t="s">
        <v>3430</v>
      </c>
      <c r="AH1" t="s">
        <v>3434</v>
      </c>
      <c r="AI1" t="s">
        <v>5798</v>
      </c>
      <c r="AJ1" t="s">
        <v>3435</v>
      </c>
      <c r="AK1" t="s">
        <v>3436</v>
      </c>
      <c r="AL1" t="s">
        <v>388</v>
      </c>
      <c r="AM1" t="s">
        <v>292</v>
      </c>
      <c r="AN1" t="s">
        <v>3437</v>
      </c>
      <c r="AO1" t="s">
        <v>3438</v>
      </c>
      <c r="AP1" t="s">
        <v>3439</v>
      </c>
      <c r="AQ1" t="s">
        <v>3440</v>
      </c>
      <c r="AR1" t="s">
        <v>4679</v>
      </c>
      <c r="AS1" t="s">
        <v>4332</v>
      </c>
      <c r="AT1" t="s">
        <v>4333</v>
      </c>
      <c r="AU1" t="s">
        <v>3899</v>
      </c>
      <c r="AV1" t="s">
        <v>3900</v>
      </c>
      <c r="AW1" t="s">
        <v>2973</v>
      </c>
      <c r="AX1" t="s">
        <v>3901</v>
      </c>
      <c r="AY1" t="s">
        <v>2999</v>
      </c>
      <c r="AZ1" t="s">
        <v>2975</v>
      </c>
      <c r="BA1" t="s">
        <v>7674</v>
      </c>
      <c r="BB1" t="s">
        <v>4036</v>
      </c>
      <c r="BC1" t="s">
        <v>2057</v>
      </c>
      <c r="BD1" t="s">
        <v>952</v>
      </c>
      <c r="BE1" t="s">
        <v>2027</v>
      </c>
      <c r="BF1" t="s">
        <v>2028</v>
      </c>
      <c r="BG1" t="s">
        <v>2029</v>
      </c>
      <c r="BH1" t="s">
        <v>2030</v>
      </c>
      <c r="BI1" t="s">
        <v>2031</v>
      </c>
      <c r="BJ1" t="s">
        <v>2032</v>
      </c>
      <c r="BK1" t="s">
        <v>0</v>
      </c>
      <c r="BL1" t="s">
        <v>2588</v>
      </c>
      <c r="BM1" t="s">
        <v>1</v>
      </c>
      <c r="BN1" t="s">
        <v>2</v>
      </c>
      <c r="BO1" t="s">
        <v>3000</v>
      </c>
      <c r="BP1" t="s">
        <v>4096</v>
      </c>
      <c r="BQ1" t="s">
        <v>7860</v>
      </c>
      <c r="BR1" t="s">
        <v>7861</v>
      </c>
      <c r="BS1" t="s">
        <v>4277</v>
      </c>
      <c r="BT1" t="s">
        <v>3002</v>
      </c>
      <c r="BU1" t="s">
        <v>3540</v>
      </c>
      <c r="BV1" t="s">
        <v>410</v>
      </c>
      <c r="BW1" t="s">
        <v>2539</v>
      </c>
      <c r="BX1" t="s">
        <v>4668</v>
      </c>
      <c r="BY1" t="s">
        <v>4669</v>
      </c>
      <c r="BZ1" t="s">
        <v>411</v>
      </c>
      <c r="CA1" t="s">
        <v>107</v>
      </c>
      <c r="CB1" t="s">
        <v>4670</v>
      </c>
      <c r="CC1" t="s">
        <v>4811</v>
      </c>
      <c r="CD1" t="s">
        <v>4671</v>
      </c>
      <c r="CE1" t="s">
        <v>4812</v>
      </c>
      <c r="CF1" t="s">
        <v>1688</v>
      </c>
      <c r="CG1" t="s">
        <v>1689</v>
      </c>
      <c r="CH1" t="s">
        <v>9189</v>
      </c>
      <c r="CI1" t="s">
        <v>774</v>
      </c>
      <c r="CJ1" t="s">
        <v>3508</v>
      </c>
      <c r="CK1" t="s">
        <v>775</v>
      </c>
      <c r="CL1" t="s">
        <v>3509</v>
      </c>
      <c r="CM1" t="s">
        <v>1112</v>
      </c>
      <c r="CN1" t="s">
        <v>776</v>
      </c>
      <c r="CO1" t="s">
        <v>3510</v>
      </c>
      <c r="CP1" t="s">
        <v>7862</v>
      </c>
      <c r="CQ1" t="s">
        <v>5803</v>
      </c>
      <c r="CR1" t="s">
        <v>1111</v>
      </c>
      <c r="CS1" t="s">
        <v>1113</v>
      </c>
      <c r="CT1" t="s">
        <v>1114</v>
      </c>
      <c r="CU1" t="s">
        <v>5804</v>
      </c>
      <c r="CV1" t="s">
        <v>5805</v>
      </c>
      <c r="CW1" t="s">
        <v>111</v>
      </c>
      <c r="CX1" t="s">
        <v>7863</v>
      </c>
      <c r="CY1" t="s">
        <v>7864</v>
      </c>
      <c r="CZ1" t="s">
        <v>9192</v>
      </c>
      <c r="DA1" t="s">
        <v>1115</v>
      </c>
      <c r="DB1" t="s">
        <v>1116</v>
      </c>
      <c r="DC1" t="s">
        <v>2557</v>
      </c>
      <c r="DD1" t="s">
        <v>2558</v>
      </c>
      <c r="DE1" t="s">
        <v>5808</v>
      </c>
      <c r="DF1" t="s">
        <v>2581</v>
      </c>
      <c r="DG1" t="s">
        <v>5809</v>
      </c>
      <c r="DH1" t="s">
        <v>2582</v>
      </c>
      <c r="DI1" t="s">
        <v>2583</v>
      </c>
      <c r="DJ1" t="s">
        <v>5810</v>
      </c>
      <c r="DK1" t="s">
        <v>514</v>
      </c>
      <c r="DL1" t="s">
        <v>5811</v>
      </c>
      <c r="DM1" t="s">
        <v>5812</v>
      </c>
      <c r="DN1" t="s">
        <v>2585</v>
      </c>
      <c r="DO1" t="s">
        <v>2586</v>
      </c>
      <c r="DP1" t="s">
        <v>1718</v>
      </c>
      <c r="DQ1" t="s">
        <v>2587</v>
      </c>
      <c r="DR1" t="s">
        <v>7865</v>
      </c>
      <c r="DS1" t="s">
        <v>9195</v>
      </c>
      <c r="DT1" t="s">
        <v>2589</v>
      </c>
      <c r="DU1" t="s">
        <v>2590</v>
      </c>
      <c r="DV1" t="s">
        <v>526</v>
      </c>
      <c r="DW1" t="s">
        <v>1550</v>
      </c>
      <c r="DX1" t="s">
        <v>1551</v>
      </c>
      <c r="DY1" t="s">
        <v>1552</v>
      </c>
      <c r="DZ1" t="s">
        <v>1553</v>
      </c>
      <c r="EA1" t="s">
        <v>1554</v>
      </c>
      <c r="EB1" t="s">
        <v>5813</v>
      </c>
      <c r="EC1" t="s">
        <v>4485</v>
      </c>
      <c r="ED1" t="s">
        <v>1163</v>
      </c>
      <c r="EE1" t="s">
        <v>1447</v>
      </c>
      <c r="EF1" t="s">
        <v>1448</v>
      </c>
      <c r="EG1" t="s">
        <v>1304</v>
      </c>
      <c r="EH1" t="s">
        <v>5814</v>
      </c>
      <c r="EI1" t="s">
        <v>5815</v>
      </c>
      <c r="EJ1" t="s">
        <v>5816</v>
      </c>
      <c r="EK1" t="s">
        <v>5817</v>
      </c>
      <c r="EL1" t="s">
        <v>5818</v>
      </c>
      <c r="EM1" t="s">
        <v>5819</v>
      </c>
      <c r="EN1" t="s">
        <v>5820</v>
      </c>
      <c r="EO1" t="s">
        <v>5821</v>
      </c>
      <c r="EP1" t="s">
        <v>5822</v>
      </c>
      <c r="EQ1" t="s">
        <v>5823</v>
      </c>
      <c r="ER1" t="s">
        <v>5824</v>
      </c>
      <c r="ES1" t="s">
        <v>5825</v>
      </c>
      <c r="ET1" t="s">
        <v>5826</v>
      </c>
      <c r="EU1" t="s">
        <v>5827</v>
      </c>
      <c r="EV1" t="s">
        <v>5828</v>
      </c>
      <c r="EW1" t="s">
        <v>5829</v>
      </c>
      <c r="EX1" t="s">
        <v>5830</v>
      </c>
      <c r="EY1" t="s">
        <v>5831</v>
      </c>
      <c r="EZ1" t="s">
        <v>5832</v>
      </c>
      <c r="FA1" t="s">
        <v>5833</v>
      </c>
      <c r="FB1" t="s">
        <v>5834</v>
      </c>
      <c r="FC1" t="s">
        <v>5835</v>
      </c>
      <c r="FD1" t="s">
        <v>5836</v>
      </c>
      <c r="FE1" t="s">
        <v>5837</v>
      </c>
      <c r="FF1" t="s">
        <v>5838</v>
      </c>
      <c r="FG1" t="s">
        <v>5839</v>
      </c>
      <c r="FH1" t="s">
        <v>5840</v>
      </c>
      <c r="FI1" t="s">
        <v>5841</v>
      </c>
      <c r="FJ1" t="s">
        <v>5842</v>
      </c>
      <c r="FK1" t="s">
        <v>5843</v>
      </c>
      <c r="FL1" t="s">
        <v>5844</v>
      </c>
      <c r="FM1" t="s">
        <v>5845</v>
      </c>
      <c r="FN1" t="s">
        <v>5846</v>
      </c>
      <c r="FO1" t="s">
        <v>5847</v>
      </c>
      <c r="FP1" t="s">
        <v>5848</v>
      </c>
      <c r="FQ1" t="s">
        <v>5849</v>
      </c>
      <c r="FR1" t="s">
        <v>5850</v>
      </c>
      <c r="FS1" t="s">
        <v>2504</v>
      </c>
      <c r="FT1" t="s">
        <v>5045</v>
      </c>
      <c r="FU1" t="s">
        <v>5851</v>
      </c>
      <c r="FV1" t="s">
        <v>1306</v>
      </c>
      <c r="FW1" t="s">
        <v>1307</v>
      </c>
      <c r="FX1" t="s">
        <v>1308</v>
      </c>
      <c r="FY1" t="s">
        <v>5044</v>
      </c>
      <c r="FZ1" t="s">
        <v>4680</v>
      </c>
      <c r="GA1" t="s">
        <v>1309</v>
      </c>
      <c r="GB1" t="s">
        <v>1310</v>
      </c>
      <c r="GC1" t="s">
        <v>5852</v>
      </c>
      <c r="GD1" t="s">
        <v>1581</v>
      </c>
      <c r="GE1" t="s">
        <v>3</v>
      </c>
      <c r="GF1" t="s">
        <v>4</v>
      </c>
      <c r="GG1" t="s">
        <v>2974</v>
      </c>
      <c r="GH1" t="s">
        <v>4476</v>
      </c>
      <c r="GI1" t="s">
        <v>4477</v>
      </c>
      <c r="GJ1" t="s">
        <v>5015</v>
      </c>
      <c r="GK1" t="s">
        <v>2976</v>
      </c>
      <c r="GL1" t="s">
        <v>5853</v>
      </c>
      <c r="GM1" t="s">
        <v>1987</v>
      </c>
      <c r="GN1" t="s">
        <v>1988</v>
      </c>
      <c r="GO1" t="s">
        <v>5854</v>
      </c>
      <c r="GP1" t="s">
        <v>1227</v>
      </c>
      <c r="GQ1" t="s">
        <v>632</v>
      </c>
      <c r="GR1" t="s">
        <v>4156</v>
      </c>
      <c r="GS1" t="s">
        <v>4249</v>
      </c>
      <c r="GT1" t="s">
        <v>4250</v>
      </c>
      <c r="GU1" t="s">
        <v>6590</v>
      </c>
      <c r="GV1" t="s">
        <v>4251</v>
      </c>
      <c r="GW1" t="s">
        <v>1596</v>
      </c>
      <c r="GX1" t="s">
        <v>635</v>
      </c>
      <c r="GY1" t="s">
        <v>2797</v>
      </c>
      <c r="GZ1" t="s">
        <v>637</v>
      </c>
      <c r="HA1" t="s">
        <v>2798</v>
      </c>
      <c r="HB1" t="s">
        <v>638</v>
      </c>
      <c r="HC1" t="s">
        <v>7920</v>
      </c>
      <c r="HD1" t="s">
        <v>5</v>
      </c>
      <c r="HE1" t="s">
        <v>2801</v>
      </c>
      <c r="HF1" t="s">
        <v>2799</v>
      </c>
      <c r="HG1" t="s">
        <v>1881</v>
      </c>
      <c r="HH1" t="s">
        <v>639</v>
      </c>
      <c r="HI1" t="s">
        <v>3812</v>
      </c>
      <c r="HJ1" t="s">
        <v>642</v>
      </c>
      <c r="HK1" t="s">
        <v>2802</v>
      </c>
      <c r="HL1" t="s">
        <v>3813</v>
      </c>
      <c r="HM1" t="s">
        <v>381</v>
      </c>
      <c r="HN1" t="s">
        <v>2803</v>
      </c>
      <c r="HO1" t="s">
        <v>2804</v>
      </c>
      <c r="HP1" t="s">
        <v>2805</v>
      </c>
      <c r="HQ1" t="s">
        <v>681</v>
      </c>
      <c r="HR1" t="s">
        <v>1854</v>
      </c>
      <c r="HS1" t="s">
        <v>1855</v>
      </c>
      <c r="HT1" t="s">
        <v>383</v>
      </c>
      <c r="HU1" t="s">
        <v>4215</v>
      </c>
      <c r="HV1" t="s">
        <v>682</v>
      </c>
      <c r="HW1" t="s">
        <v>9198</v>
      </c>
      <c r="HX1" t="s">
        <v>5025</v>
      </c>
      <c r="HY1" t="s">
        <v>384</v>
      </c>
      <c r="HZ1" t="s">
        <v>6594</v>
      </c>
      <c r="IA1" t="s">
        <v>387</v>
      </c>
      <c r="IB1" t="s">
        <v>389</v>
      </c>
      <c r="IC1" t="s">
        <v>5026</v>
      </c>
      <c r="ID1" t="s">
        <v>5027</v>
      </c>
      <c r="IE1" t="s">
        <v>1484</v>
      </c>
      <c r="IF1" t="s">
        <v>1485</v>
      </c>
      <c r="IG1" t="s">
        <v>1486</v>
      </c>
      <c r="IH1" t="s">
        <v>1487</v>
      </c>
      <c r="II1" t="s">
        <v>535</v>
      </c>
      <c r="IJ1" t="s">
        <v>2505</v>
      </c>
      <c r="IK1" t="s">
        <v>1488</v>
      </c>
      <c r="IL1" t="s">
        <v>1335</v>
      </c>
      <c r="IM1" t="s">
        <v>1336</v>
      </c>
      <c r="IN1" t="s">
        <v>1337</v>
      </c>
      <c r="IO1" t="s">
        <v>4221</v>
      </c>
      <c r="IP1" t="s">
        <v>5776</v>
      </c>
      <c r="IQ1" t="s">
        <v>4949</v>
      </c>
      <c r="IR1" t="s">
        <v>4950</v>
      </c>
      <c r="IS1" t="s">
        <v>2213</v>
      </c>
      <c r="IT1" t="s">
        <v>2670</v>
      </c>
      <c r="IU1" t="s">
        <v>5777</v>
      </c>
    </row>
    <row r="2" spans="1:255" x14ac:dyDescent="0.2">
      <c r="A2" t="s">
        <v>1783</v>
      </c>
      <c r="C2">
        <v>0</v>
      </c>
      <c r="D2">
        <v>3</v>
      </c>
      <c r="E2">
        <v>2</v>
      </c>
      <c r="F2">
        <v>2</v>
      </c>
      <c r="G2">
        <v>7</v>
      </c>
      <c r="H2">
        <v>14</v>
      </c>
      <c r="I2">
        <v>0</v>
      </c>
      <c r="J2">
        <v>4</v>
      </c>
      <c r="K2">
        <v>0</v>
      </c>
      <c r="L2">
        <v>1</v>
      </c>
      <c r="M2">
        <v>2</v>
      </c>
      <c r="N2">
        <v>6</v>
      </c>
      <c r="O2">
        <v>6</v>
      </c>
      <c r="P2">
        <v>4</v>
      </c>
      <c r="Q2">
        <v>7</v>
      </c>
      <c r="R2">
        <v>4</v>
      </c>
      <c r="S2">
        <v>6</v>
      </c>
      <c r="T2">
        <v>3</v>
      </c>
      <c r="U2">
        <v>1</v>
      </c>
      <c r="V2">
        <v>0</v>
      </c>
      <c r="W2">
        <v>0</v>
      </c>
      <c r="X2">
        <v>0</v>
      </c>
      <c r="Y2">
        <v>0</v>
      </c>
      <c r="Z2">
        <v>0</v>
      </c>
      <c r="AA2">
        <v>0</v>
      </c>
      <c r="AB2">
        <v>0</v>
      </c>
      <c r="AC2">
        <v>0</v>
      </c>
      <c r="AD2">
        <v>0</v>
      </c>
      <c r="AE2">
        <v>0</v>
      </c>
      <c r="AF2">
        <v>6</v>
      </c>
      <c r="AG2">
        <v>0</v>
      </c>
      <c r="AH2">
        <v>0</v>
      </c>
      <c r="AI2">
        <v>2</v>
      </c>
      <c r="AJ2">
        <v>0</v>
      </c>
      <c r="AK2">
        <v>0</v>
      </c>
      <c r="AL2">
        <v>0</v>
      </c>
      <c r="AM2">
        <v>0</v>
      </c>
      <c r="AN2">
        <v>0</v>
      </c>
      <c r="AO2">
        <v>0</v>
      </c>
      <c r="AP2">
        <v>3</v>
      </c>
      <c r="AQ2">
        <v>4</v>
      </c>
      <c r="AR2">
        <v>3</v>
      </c>
      <c r="AS2">
        <v>6</v>
      </c>
      <c r="AT2">
        <v>4</v>
      </c>
      <c r="AU2">
        <v>8</v>
      </c>
      <c r="AV2">
        <v>7</v>
      </c>
      <c r="AW2">
        <v>4</v>
      </c>
      <c r="AX2">
        <v>10</v>
      </c>
      <c r="AY2">
        <v>10</v>
      </c>
      <c r="AZ2">
        <v>1</v>
      </c>
      <c r="BC2">
        <v>0</v>
      </c>
      <c r="BD2">
        <v>0</v>
      </c>
      <c r="BE2">
        <v>1</v>
      </c>
      <c r="BF2">
        <v>1</v>
      </c>
      <c r="BG2">
        <v>5</v>
      </c>
      <c r="BH2">
        <v>2</v>
      </c>
      <c r="BI2">
        <v>7</v>
      </c>
      <c r="BJ2">
        <v>0</v>
      </c>
      <c r="BK2">
        <v>0</v>
      </c>
      <c r="BL2">
        <v>5</v>
      </c>
      <c r="BM2">
        <v>2</v>
      </c>
      <c r="BN2">
        <v>2</v>
      </c>
      <c r="BO2">
        <v>1</v>
      </c>
      <c r="BP2">
        <v>1</v>
      </c>
      <c r="BQ2">
        <v>2</v>
      </c>
      <c r="BR2">
        <v>6</v>
      </c>
      <c r="BS2">
        <v>0</v>
      </c>
      <c r="BT2">
        <v>1</v>
      </c>
      <c r="BU2">
        <v>0</v>
      </c>
      <c r="BV2">
        <v>0</v>
      </c>
      <c r="BW2">
        <v>1</v>
      </c>
      <c r="BX2">
        <v>1</v>
      </c>
      <c r="BY2">
        <v>3</v>
      </c>
      <c r="BZ2">
        <v>5</v>
      </c>
      <c r="CA2">
        <v>0</v>
      </c>
      <c r="CB2">
        <v>5</v>
      </c>
      <c r="CC2">
        <v>5</v>
      </c>
      <c r="CD2">
        <v>4</v>
      </c>
      <c r="CE2">
        <v>5</v>
      </c>
      <c r="CF2">
        <v>5</v>
      </c>
      <c r="CG2">
        <v>5</v>
      </c>
      <c r="CH2">
        <v>11</v>
      </c>
      <c r="CI2">
        <v>4</v>
      </c>
      <c r="CJ2">
        <v>3</v>
      </c>
      <c r="CK2">
        <v>0</v>
      </c>
      <c r="CL2">
        <v>2</v>
      </c>
      <c r="CM2">
        <v>2</v>
      </c>
      <c r="CN2">
        <v>0</v>
      </c>
      <c r="CO2">
        <v>3</v>
      </c>
      <c r="CP2">
        <v>4</v>
      </c>
      <c r="CQ2">
        <v>2</v>
      </c>
      <c r="CR2">
        <v>3</v>
      </c>
      <c r="CS2">
        <v>2</v>
      </c>
      <c r="CT2">
        <v>2</v>
      </c>
      <c r="CU2">
        <v>1</v>
      </c>
      <c r="CV2">
        <v>1</v>
      </c>
      <c r="CW2">
        <v>1</v>
      </c>
      <c r="CX2">
        <v>1</v>
      </c>
      <c r="CY2">
        <v>0</v>
      </c>
      <c r="CZ2">
        <v>2</v>
      </c>
      <c r="DA2">
        <v>1</v>
      </c>
      <c r="DB2">
        <v>1</v>
      </c>
      <c r="DC2">
        <v>1</v>
      </c>
      <c r="DD2">
        <v>1</v>
      </c>
      <c r="DE2">
        <v>1</v>
      </c>
      <c r="DF2">
        <v>1</v>
      </c>
      <c r="DG2">
        <v>1</v>
      </c>
      <c r="DH2">
        <v>1</v>
      </c>
      <c r="DI2">
        <v>1</v>
      </c>
      <c r="DJ2">
        <v>1</v>
      </c>
      <c r="DK2">
        <v>1</v>
      </c>
      <c r="DL2">
        <v>1</v>
      </c>
      <c r="DM2">
        <v>1</v>
      </c>
      <c r="DN2">
        <v>1</v>
      </c>
      <c r="DO2">
        <v>1</v>
      </c>
      <c r="DP2">
        <v>1</v>
      </c>
      <c r="DQ2">
        <v>1</v>
      </c>
      <c r="DR2">
        <v>1</v>
      </c>
      <c r="DS2">
        <v>4</v>
      </c>
      <c r="DT2">
        <v>1</v>
      </c>
      <c r="DU2">
        <v>1</v>
      </c>
      <c r="DV2">
        <v>1</v>
      </c>
      <c r="DW2">
        <v>1</v>
      </c>
      <c r="DX2">
        <v>1</v>
      </c>
      <c r="DY2">
        <v>1</v>
      </c>
      <c r="DZ2">
        <v>1</v>
      </c>
      <c r="EA2">
        <v>1</v>
      </c>
      <c r="EB2">
        <v>1</v>
      </c>
      <c r="EC2">
        <v>1</v>
      </c>
      <c r="ED2">
        <v>1</v>
      </c>
      <c r="EE2">
        <v>1</v>
      </c>
      <c r="EF2">
        <v>1</v>
      </c>
      <c r="EG2">
        <v>1</v>
      </c>
      <c r="EH2">
        <v>0</v>
      </c>
      <c r="EI2">
        <v>0</v>
      </c>
      <c r="EJ2">
        <v>0</v>
      </c>
      <c r="EK2">
        <v>0</v>
      </c>
      <c r="EL2">
        <v>0</v>
      </c>
      <c r="EM2">
        <v>0</v>
      </c>
      <c r="EN2">
        <v>0</v>
      </c>
      <c r="EO2">
        <v>0</v>
      </c>
      <c r="EP2">
        <v>0</v>
      </c>
      <c r="EQ2">
        <v>0</v>
      </c>
      <c r="ER2">
        <v>0</v>
      </c>
      <c r="ES2">
        <v>0</v>
      </c>
      <c r="ET2">
        <v>0</v>
      </c>
      <c r="EU2">
        <v>0</v>
      </c>
      <c r="EV2">
        <v>0</v>
      </c>
      <c r="EW2">
        <v>0</v>
      </c>
      <c r="EX2">
        <v>0</v>
      </c>
      <c r="EY2">
        <v>0</v>
      </c>
      <c r="EZ2">
        <v>0</v>
      </c>
      <c r="FA2">
        <v>0</v>
      </c>
      <c r="FB2">
        <v>0</v>
      </c>
      <c r="FC2">
        <v>0</v>
      </c>
      <c r="FD2">
        <v>0</v>
      </c>
      <c r="FE2">
        <v>0</v>
      </c>
      <c r="FF2">
        <v>0</v>
      </c>
      <c r="FG2">
        <v>0</v>
      </c>
      <c r="FH2">
        <v>0</v>
      </c>
      <c r="FI2">
        <v>0</v>
      </c>
      <c r="FJ2">
        <v>0</v>
      </c>
      <c r="FK2">
        <v>0</v>
      </c>
      <c r="FL2">
        <v>0</v>
      </c>
      <c r="FM2">
        <v>0</v>
      </c>
      <c r="FN2">
        <v>0</v>
      </c>
      <c r="FO2">
        <v>0</v>
      </c>
      <c r="FP2">
        <v>0</v>
      </c>
      <c r="FQ2">
        <v>0</v>
      </c>
      <c r="FR2">
        <v>0</v>
      </c>
      <c r="FS2">
        <v>2</v>
      </c>
      <c r="FT2">
        <v>2</v>
      </c>
      <c r="FU2">
        <v>0</v>
      </c>
      <c r="FV2">
        <v>0</v>
      </c>
      <c r="FW2">
        <v>1</v>
      </c>
      <c r="FX2">
        <v>0</v>
      </c>
      <c r="FY2">
        <v>1</v>
      </c>
      <c r="FZ2">
        <v>0</v>
      </c>
      <c r="GA2">
        <v>2</v>
      </c>
      <c r="GB2">
        <v>3</v>
      </c>
      <c r="GC2">
        <v>1</v>
      </c>
      <c r="GD2">
        <v>2</v>
      </c>
      <c r="GE2">
        <v>3</v>
      </c>
      <c r="GF2">
        <v>0</v>
      </c>
      <c r="GG2">
        <v>1</v>
      </c>
      <c r="GH2">
        <v>3</v>
      </c>
      <c r="GI2">
        <v>2</v>
      </c>
      <c r="GJ2">
        <v>8</v>
      </c>
      <c r="GK2">
        <v>0</v>
      </c>
      <c r="GL2">
        <v>1</v>
      </c>
      <c r="GM2">
        <v>1</v>
      </c>
      <c r="GN2">
        <v>1</v>
      </c>
      <c r="GO2">
        <v>2</v>
      </c>
      <c r="GQ2">
        <v>0</v>
      </c>
      <c r="GR2">
        <v>5</v>
      </c>
      <c r="GS2">
        <v>2</v>
      </c>
      <c r="GT2">
        <v>1</v>
      </c>
      <c r="GU2">
        <v>2</v>
      </c>
      <c r="GV2">
        <v>0</v>
      </c>
      <c r="GW2">
        <v>4</v>
      </c>
      <c r="GX2">
        <v>6</v>
      </c>
      <c r="GY2">
        <v>5</v>
      </c>
      <c r="GZ2">
        <v>7</v>
      </c>
      <c r="HA2">
        <v>11</v>
      </c>
      <c r="HB2">
        <v>0</v>
      </c>
      <c r="HC2">
        <v>3</v>
      </c>
      <c r="HD2">
        <v>2</v>
      </c>
      <c r="HE2">
        <v>3</v>
      </c>
      <c r="HF2">
        <v>3</v>
      </c>
      <c r="HG2">
        <v>4</v>
      </c>
      <c r="HH2">
        <v>2</v>
      </c>
      <c r="HI2">
        <v>12</v>
      </c>
      <c r="HJ2">
        <v>13</v>
      </c>
      <c r="HK2">
        <v>7</v>
      </c>
      <c r="HL2">
        <v>13</v>
      </c>
      <c r="HM2">
        <v>0</v>
      </c>
      <c r="HN2">
        <v>5</v>
      </c>
      <c r="HO2">
        <v>1</v>
      </c>
      <c r="HP2">
        <v>3</v>
      </c>
      <c r="HQ2">
        <v>3</v>
      </c>
      <c r="HR2">
        <v>0</v>
      </c>
      <c r="HS2">
        <v>3</v>
      </c>
      <c r="HT2">
        <v>11</v>
      </c>
      <c r="HU2">
        <v>13</v>
      </c>
      <c r="HV2">
        <v>9</v>
      </c>
      <c r="HW2">
        <v>11</v>
      </c>
      <c r="HX2">
        <v>13</v>
      </c>
      <c r="HY2">
        <v>5</v>
      </c>
      <c r="HZ2">
        <v>5</v>
      </c>
      <c r="IA2">
        <v>7</v>
      </c>
      <c r="IB2">
        <v>0</v>
      </c>
      <c r="IC2">
        <v>0</v>
      </c>
      <c r="ID2">
        <v>0</v>
      </c>
      <c r="IE2">
        <v>0</v>
      </c>
      <c r="IF2">
        <v>2</v>
      </c>
      <c r="IG2">
        <v>2</v>
      </c>
      <c r="IH2">
        <v>0</v>
      </c>
      <c r="II2">
        <v>4</v>
      </c>
      <c r="IJ2">
        <v>0</v>
      </c>
      <c r="IK2">
        <v>0</v>
      </c>
      <c r="IL2">
        <v>0</v>
      </c>
      <c r="IM2">
        <v>2</v>
      </c>
      <c r="IN2">
        <v>0</v>
      </c>
      <c r="IO2">
        <v>0</v>
      </c>
      <c r="IP2">
        <v>6</v>
      </c>
      <c r="IQ2">
        <v>0</v>
      </c>
      <c r="IR2">
        <v>3</v>
      </c>
      <c r="IS2">
        <v>0</v>
      </c>
      <c r="IT2">
        <v>0</v>
      </c>
      <c r="IU2">
        <v>0</v>
      </c>
    </row>
    <row r="3" spans="1:255" x14ac:dyDescent="0.2">
      <c r="A3" t="s">
        <v>2138</v>
      </c>
      <c r="C3">
        <v>0</v>
      </c>
      <c r="D3">
        <v>0</v>
      </c>
      <c r="E3">
        <v>0</v>
      </c>
      <c r="F3">
        <v>0</v>
      </c>
      <c r="G3">
        <v>0</v>
      </c>
      <c r="H3">
        <v>1</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BP3">
        <v>1</v>
      </c>
      <c r="BQ3">
        <v>1</v>
      </c>
      <c r="BR3">
        <v>1</v>
      </c>
    </row>
    <row r="4" spans="1:255" x14ac:dyDescent="0.2">
      <c r="A4" t="s">
        <v>313</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row>
    <row r="5" spans="1:255" x14ac:dyDescent="0.2">
      <c r="A5" t="s">
        <v>3604</v>
      </c>
      <c r="C5">
        <v>0</v>
      </c>
      <c r="D5">
        <v>0</v>
      </c>
      <c r="E5">
        <v>0</v>
      </c>
      <c r="F5">
        <v>0</v>
      </c>
      <c r="G5">
        <v>0</v>
      </c>
      <c r="H5">
        <v>2</v>
      </c>
      <c r="I5">
        <v>0</v>
      </c>
      <c r="J5">
        <v>2</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BP5">
        <v>3</v>
      </c>
      <c r="BR5">
        <v>3</v>
      </c>
      <c r="GE5">
        <v>2</v>
      </c>
      <c r="GG5">
        <v>1</v>
      </c>
      <c r="GH5">
        <v>1</v>
      </c>
      <c r="GI5">
        <v>1</v>
      </c>
      <c r="GJ5">
        <v>1</v>
      </c>
      <c r="GQ5">
        <v>2</v>
      </c>
      <c r="GR5">
        <v>2</v>
      </c>
      <c r="GS5">
        <v>2</v>
      </c>
      <c r="GT5">
        <v>2</v>
      </c>
      <c r="GU5">
        <v>4</v>
      </c>
      <c r="GV5">
        <v>2</v>
      </c>
      <c r="GW5">
        <v>5</v>
      </c>
      <c r="HC5">
        <v>3</v>
      </c>
      <c r="HG5">
        <v>3</v>
      </c>
      <c r="HI5">
        <v>2</v>
      </c>
      <c r="HM5">
        <v>1</v>
      </c>
      <c r="HN5">
        <v>1</v>
      </c>
      <c r="HO5">
        <v>1</v>
      </c>
      <c r="HP5">
        <v>1</v>
      </c>
      <c r="HQ5">
        <v>1</v>
      </c>
      <c r="HR5">
        <v>1</v>
      </c>
      <c r="HS5">
        <v>1</v>
      </c>
      <c r="HT5">
        <v>2</v>
      </c>
      <c r="HU5">
        <v>2</v>
      </c>
      <c r="HV5">
        <v>2</v>
      </c>
      <c r="HW5">
        <v>2</v>
      </c>
      <c r="HX5">
        <v>2</v>
      </c>
      <c r="HY5">
        <v>3</v>
      </c>
      <c r="HZ5">
        <v>3</v>
      </c>
      <c r="IA5">
        <v>2</v>
      </c>
    </row>
    <row r="6" spans="1:255" x14ac:dyDescent="0.2">
      <c r="A6" t="s">
        <v>3605</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row>
    <row r="7" spans="1:255" x14ac:dyDescent="0.2">
      <c r="A7" t="s">
        <v>74</v>
      </c>
      <c r="C7">
        <v>11</v>
      </c>
      <c r="I7">
        <v>11</v>
      </c>
      <c r="J7">
        <v>12</v>
      </c>
      <c r="K7">
        <v>12</v>
      </c>
      <c r="L7">
        <v>12</v>
      </c>
      <c r="M7">
        <v>11</v>
      </c>
      <c r="N7">
        <v>11</v>
      </c>
      <c r="O7">
        <v>11</v>
      </c>
      <c r="P7">
        <v>11</v>
      </c>
      <c r="Q7">
        <v>11</v>
      </c>
      <c r="R7">
        <v>11</v>
      </c>
      <c r="S7">
        <v>11</v>
      </c>
      <c r="T7">
        <v>11</v>
      </c>
      <c r="U7">
        <v>11</v>
      </c>
      <c r="V7">
        <v>11</v>
      </c>
      <c r="W7">
        <v>11</v>
      </c>
      <c r="X7">
        <v>11</v>
      </c>
      <c r="Y7">
        <v>11</v>
      </c>
      <c r="Z7">
        <v>11</v>
      </c>
      <c r="AA7">
        <v>11</v>
      </c>
      <c r="AB7">
        <v>11</v>
      </c>
      <c r="AJ7">
        <v>11</v>
      </c>
      <c r="AK7">
        <v>11</v>
      </c>
      <c r="AN7">
        <v>11</v>
      </c>
      <c r="AO7">
        <v>12</v>
      </c>
      <c r="AP7">
        <v>13</v>
      </c>
      <c r="AQ7">
        <v>12</v>
      </c>
      <c r="AR7">
        <v>11</v>
      </c>
      <c r="AS7">
        <v>12</v>
      </c>
      <c r="AT7">
        <v>11</v>
      </c>
      <c r="AU7">
        <v>11</v>
      </c>
      <c r="AV7">
        <v>11</v>
      </c>
      <c r="AW7">
        <v>13</v>
      </c>
      <c r="AX7">
        <v>13</v>
      </c>
      <c r="AY7">
        <v>13</v>
      </c>
      <c r="BP7">
        <v>12</v>
      </c>
      <c r="BQ7">
        <v>12</v>
      </c>
      <c r="BR7">
        <v>12</v>
      </c>
      <c r="FS7">
        <v>11</v>
      </c>
      <c r="FT7">
        <v>12</v>
      </c>
      <c r="GG7">
        <v>12</v>
      </c>
      <c r="GH7">
        <v>12</v>
      </c>
      <c r="GI7">
        <v>12</v>
      </c>
      <c r="GJ7">
        <v>12</v>
      </c>
      <c r="GQ7">
        <v>11</v>
      </c>
      <c r="GR7">
        <v>11</v>
      </c>
      <c r="GS7">
        <v>11</v>
      </c>
      <c r="GT7">
        <v>11</v>
      </c>
      <c r="GU7">
        <v>11</v>
      </c>
      <c r="GV7">
        <v>11</v>
      </c>
      <c r="GW7">
        <v>11</v>
      </c>
      <c r="GX7">
        <v>12</v>
      </c>
      <c r="GY7">
        <v>11</v>
      </c>
      <c r="GZ7">
        <v>11</v>
      </c>
      <c r="HA7">
        <v>11</v>
      </c>
      <c r="HD7">
        <v>12</v>
      </c>
      <c r="HH7">
        <v>11</v>
      </c>
      <c r="HI7">
        <v>12</v>
      </c>
      <c r="HJ7">
        <v>12</v>
      </c>
      <c r="HK7">
        <v>12</v>
      </c>
      <c r="HL7">
        <v>12</v>
      </c>
      <c r="HY7">
        <v>12</v>
      </c>
      <c r="HZ7">
        <v>12</v>
      </c>
      <c r="IA7">
        <v>12</v>
      </c>
      <c r="IB7">
        <v>11</v>
      </c>
      <c r="IC7">
        <v>11</v>
      </c>
      <c r="ID7">
        <v>11</v>
      </c>
      <c r="IE7">
        <v>11</v>
      </c>
      <c r="IF7">
        <v>11</v>
      </c>
      <c r="IG7">
        <v>11</v>
      </c>
      <c r="IH7">
        <v>11</v>
      </c>
      <c r="II7">
        <v>11</v>
      </c>
      <c r="IJ7">
        <v>12</v>
      </c>
      <c r="IK7">
        <v>12</v>
      </c>
      <c r="IL7">
        <v>12</v>
      </c>
      <c r="IM7">
        <v>12</v>
      </c>
      <c r="IN7">
        <v>12</v>
      </c>
      <c r="IO7">
        <v>12</v>
      </c>
      <c r="IP7">
        <v>12</v>
      </c>
      <c r="IQ7">
        <v>11</v>
      </c>
      <c r="IR7">
        <v>11</v>
      </c>
      <c r="IS7">
        <v>11</v>
      </c>
      <c r="IT7">
        <v>11</v>
      </c>
      <c r="IU7">
        <v>11</v>
      </c>
    </row>
    <row r="8" spans="1:255" x14ac:dyDescent="0.2">
      <c r="A8" t="s">
        <v>75</v>
      </c>
      <c r="D8">
        <v>11</v>
      </c>
      <c r="E8">
        <v>11</v>
      </c>
      <c r="F8">
        <v>11</v>
      </c>
      <c r="G8">
        <v>11</v>
      </c>
      <c r="H8">
        <v>11</v>
      </c>
      <c r="T8">
        <v>13</v>
      </c>
      <c r="U8">
        <v>12</v>
      </c>
      <c r="V8">
        <v>12</v>
      </c>
      <c r="W8">
        <v>12</v>
      </c>
      <c r="X8">
        <v>12</v>
      </c>
      <c r="Y8">
        <v>12</v>
      </c>
      <c r="Z8">
        <v>12</v>
      </c>
      <c r="AA8">
        <v>12</v>
      </c>
      <c r="AB8">
        <v>13</v>
      </c>
      <c r="AC8">
        <v>11</v>
      </c>
      <c r="AD8">
        <v>11</v>
      </c>
      <c r="AE8">
        <v>11</v>
      </c>
      <c r="AF8">
        <v>11</v>
      </c>
      <c r="AG8">
        <v>11</v>
      </c>
      <c r="AH8">
        <v>11</v>
      </c>
      <c r="AI8">
        <v>11</v>
      </c>
      <c r="AL8">
        <v>13</v>
      </c>
      <c r="AM8">
        <v>12</v>
      </c>
      <c r="AN8">
        <v>12</v>
      </c>
      <c r="AO8">
        <v>12</v>
      </c>
      <c r="AQ8">
        <v>13</v>
      </c>
      <c r="BC8">
        <v>11</v>
      </c>
      <c r="BL8">
        <v>12</v>
      </c>
      <c r="BZ8">
        <v>12</v>
      </c>
      <c r="CA8">
        <v>11</v>
      </c>
      <c r="CB8">
        <v>13</v>
      </c>
      <c r="CC8">
        <v>13</v>
      </c>
      <c r="CD8">
        <v>11</v>
      </c>
      <c r="CE8">
        <v>11</v>
      </c>
      <c r="CF8">
        <v>13</v>
      </c>
      <c r="CG8">
        <v>13</v>
      </c>
      <c r="CH8">
        <v>13</v>
      </c>
      <c r="CI8">
        <v>13</v>
      </c>
      <c r="CJ8">
        <v>13</v>
      </c>
      <c r="CK8">
        <v>13</v>
      </c>
      <c r="CL8">
        <v>13</v>
      </c>
      <c r="CM8">
        <v>13</v>
      </c>
      <c r="CN8">
        <v>13</v>
      </c>
      <c r="CO8">
        <v>13</v>
      </c>
      <c r="CP8">
        <v>13</v>
      </c>
      <c r="CQ8">
        <v>13</v>
      </c>
      <c r="CR8">
        <v>13</v>
      </c>
      <c r="CS8">
        <v>13</v>
      </c>
      <c r="CT8">
        <v>13</v>
      </c>
      <c r="CU8">
        <v>13</v>
      </c>
      <c r="CV8">
        <v>13</v>
      </c>
      <c r="CY8">
        <v>12</v>
      </c>
      <c r="DB8">
        <v>11</v>
      </c>
      <c r="EJ8">
        <v>11</v>
      </c>
      <c r="ES8">
        <v>11</v>
      </c>
      <c r="FD8">
        <v>11</v>
      </c>
      <c r="FU8">
        <v>11</v>
      </c>
      <c r="FV8">
        <v>11</v>
      </c>
      <c r="FW8">
        <v>11</v>
      </c>
      <c r="FX8">
        <v>12</v>
      </c>
      <c r="FY8">
        <v>12</v>
      </c>
      <c r="GX8">
        <v>12</v>
      </c>
      <c r="GY8">
        <v>12</v>
      </c>
      <c r="GZ8">
        <v>12</v>
      </c>
      <c r="HA8">
        <v>12</v>
      </c>
      <c r="HI8">
        <v>11</v>
      </c>
      <c r="HL8">
        <v>11</v>
      </c>
      <c r="IG8">
        <v>11</v>
      </c>
      <c r="IP8">
        <v>12</v>
      </c>
    </row>
    <row r="9" spans="1:255" x14ac:dyDescent="0.2">
      <c r="A9" t="s">
        <v>76</v>
      </c>
      <c r="C9">
        <v>13</v>
      </c>
      <c r="D9">
        <v>12</v>
      </c>
      <c r="E9">
        <v>12</v>
      </c>
      <c r="F9">
        <v>12</v>
      </c>
      <c r="G9">
        <v>12</v>
      </c>
      <c r="H9">
        <v>12</v>
      </c>
      <c r="I9">
        <v>11</v>
      </c>
      <c r="J9">
        <v>12</v>
      </c>
      <c r="Q9">
        <v>12</v>
      </c>
      <c r="AC9">
        <v>13</v>
      </c>
      <c r="AD9">
        <v>13</v>
      </c>
      <c r="AE9">
        <v>13</v>
      </c>
      <c r="AF9">
        <v>13</v>
      </c>
      <c r="AG9">
        <v>13</v>
      </c>
      <c r="AH9">
        <v>13</v>
      </c>
      <c r="AI9">
        <v>11</v>
      </c>
      <c r="AJ9">
        <v>11</v>
      </c>
      <c r="AL9">
        <v>12</v>
      </c>
      <c r="AM9">
        <v>12</v>
      </c>
      <c r="AN9">
        <v>12</v>
      </c>
      <c r="AO9">
        <v>12</v>
      </c>
      <c r="AP9">
        <v>12</v>
      </c>
      <c r="AQ9">
        <v>12</v>
      </c>
      <c r="AR9">
        <v>12</v>
      </c>
      <c r="AS9">
        <v>12</v>
      </c>
      <c r="AT9">
        <v>12</v>
      </c>
      <c r="AU9">
        <v>12</v>
      </c>
      <c r="AV9">
        <v>12</v>
      </c>
      <c r="AW9">
        <v>11</v>
      </c>
      <c r="AX9">
        <v>11</v>
      </c>
      <c r="AY9">
        <v>11</v>
      </c>
      <c r="AZ9">
        <v>11</v>
      </c>
      <c r="BH9">
        <v>12</v>
      </c>
      <c r="BS9">
        <v>11</v>
      </c>
      <c r="BT9">
        <v>11</v>
      </c>
      <c r="BU9">
        <v>11</v>
      </c>
      <c r="BV9">
        <v>11</v>
      </c>
      <c r="BW9">
        <v>11</v>
      </c>
      <c r="BX9">
        <v>11</v>
      </c>
      <c r="BY9">
        <v>11</v>
      </c>
      <c r="BZ9">
        <v>14</v>
      </c>
      <c r="CC9">
        <v>11</v>
      </c>
      <c r="CG9">
        <v>11</v>
      </c>
      <c r="CH9">
        <v>11</v>
      </c>
      <c r="CN9">
        <v>13</v>
      </c>
      <c r="CO9">
        <v>12</v>
      </c>
      <c r="CQ9">
        <v>13</v>
      </c>
      <c r="CV9">
        <v>13</v>
      </c>
      <c r="CY9">
        <v>12</v>
      </c>
      <c r="DB9">
        <v>11</v>
      </c>
      <c r="DC9">
        <v>11</v>
      </c>
      <c r="DF9">
        <v>11</v>
      </c>
      <c r="DN9">
        <v>12</v>
      </c>
      <c r="DO9">
        <v>11</v>
      </c>
      <c r="DW9">
        <v>11</v>
      </c>
      <c r="EJ9">
        <v>11</v>
      </c>
      <c r="EK9">
        <v>11</v>
      </c>
      <c r="ES9">
        <v>11</v>
      </c>
      <c r="ET9">
        <v>11</v>
      </c>
      <c r="FD9">
        <v>11</v>
      </c>
      <c r="FE9">
        <v>11</v>
      </c>
      <c r="GG9">
        <v>13</v>
      </c>
      <c r="GH9">
        <v>13</v>
      </c>
      <c r="GI9">
        <v>13</v>
      </c>
      <c r="GJ9">
        <v>13</v>
      </c>
      <c r="GK9">
        <v>12</v>
      </c>
      <c r="GL9">
        <v>14</v>
      </c>
      <c r="GM9">
        <v>12</v>
      </c>
      <c r="GN9">
        <v>12</v>
      </c>
      <c r="GO9">
        <v>12</v>
      </c>
      <c r="GX9">
        <v>12</v>
      </c>
      <c r="GY9">
        <v>12</v>
      </c>
      <c r="GZ9">
        <v>11</v>
      </c>
      <c r="HA9">
        <v>11</v>
      </c>
      <c r="HI9">
        <v>11</v>
      </c>
      <c r="HJ9">
        <v>11</v>
      </c>
      <c r="HK9">
        <v>11</v>
      </c>
      <c r="HL9">
        <v>11</v>
      </c>
      <c r="HT9">
        <v>11</v>
      </c>
      <c r="HU9">
        <v>11</v>
      </c>
      <c r="HV9">
        <v>11</v>
      </c>
      <c r="HW9">
        <v>11</v>
      </c>
      <c r="HX9">
        <v>11</v>
      </c>
      <c r="HY9">
        <v>11</v>
      </c>
      <c r="HZ9">
        <v>13</v>
      </c>
      <c r="IA9">
        <v>12</v>
      </c>
      <c r="IB9">
        <v>12</v>
      </c>
      <c r="IC9">
        <v>11</v>
      </c>
      <c r="ID9">
        <v>11</v>
      </c>
      <c r="IE9">
        <v>11</v>
      </c>
      <c r="IF9">
        <v>11</v>
      </c>
      <c r="IG9">
        <v>12</v>
      </c>
      <c r="IH9">
        <v>11</v>
      </c>
      <c r="II9">
        <v>11</v>
      </c>
      <c r="IJ9">
        <v>12</v>
      </c>
      <c r="IK9">
        <v>12</v>
      </c>
      <c r="IP9">
        <v>11</v>
      </c>
      <c r="IQ9">
        <v>11</v>
      </c>
      <c r="IR9">
        <v>11</v>
      </c>
    </row>
    <row r="10" spans="1:255" x14ac:dyDescent="0.2">
      <c r="A10" t="s">
        <v>77</v>
      </c>
      <c r="C10">
        <v>13</v>
      </c>
      <c r="D10">
        <v>13</v>
      </c>
      <c r="E10">
        <v>13</v>
      </c>
      <c r="F10">
        <v>13</v>
      </c>
      <c r="G10">
        <v>13</v>
      </c>
      <c r="H10">
        <v>13</v>
      </c>
      <c r="M10">
        <v>12</v>
      </c>
      <c r="N10">
        <v>12</v>
      </c>
      <c r="O10">
        <v>12</v>
      </c>
      <c r="P10">
        <v>12</v>
      </c>
      <c r="Q10">
        <v>12</v>
      </c>
      <c r="R10">
        <v>13</v>
      </c>
      <c r="S10">
        <v>12</v>
      </c>
      <c r="T10">
        <v>12</v>
      </c>
      <c r="U10">
        <v>12</v>
      </c>
      <c r="V10">
        <v>12</v>
      </c>
      <c r="W10">
        <v>12</v>
      </c>
      <c r="X10">
        <v>12</v>
      </c>
      <c r="Y10">
        <v>12</v>
      </c>
      <c r="Z10">
        <v>12</v>
      </c>
      <c r="AA10">
        <v>12</v>
      </c>
      <c r="AB10">
        <v>12</v>
      </c>
      <c r="AC10">
        <v>12</v>
      </c>
      <c r="AD10">
        <v>13</v>
      </c>
      <c r="AE10">
        <v>12</v>
      </c>
      <c r="AF10">
        <v>12</v>
      </c>
      <c r="AG10">
        <v>12</v>
      </c>
      <c r="AH10">
        <v>12</v>
      </c>
      <c r="AI10">
        <v>12</v>
      </c>
      <c r="AJ10">
        <v>13</v>
      </c>
      <c r="AK10">
        <v>11</v>
      </c>
      <c r="AL10">
        <v>12</v>
      </c>
      <c r="AP10">
        <v>12</v>
      </c>
      <c r="AQ10">
        <v>12</v>
      </c>
      <c r="AR10">
        <v>12</v>
      </c>
      <c r="AS10">
        <v>12</v>
      </c>
      <c r="AT10">
        <v>12</v>
      </c>
      <c r="AU10">
        <v>12</v>
      </c>
      <c r="AV10">
        <v>12</v>
      </c>
      <c r="AW10">
        <v>12</v>
      </c>
      <c r="AX10">
        <v>12</v>
      </c>
      <c r="AY10">
        <v>12</v>
      </c>
      <c r="AZ10">
        <v>11</v>
      </c>
      <c r="CO10">
        <v>13</v>
      </c>
      <c r="FU10">
        <v>11</v>
      </c>
      <c r="FV10">
        <v>11</v>
      </c>
      <c r="FW10">
        <v>11</v>
      </c>
      <c r="FX10">
        <v>11</v>
      </c>
      <c r="GG10">
        <v>13</v>
      </c>
      <c r="GH10">
        <v>13</v>
      </c>
      <c r="GI10">
        <v>13</v>
      </c>
      <c r="GJ10">
        <v>13</v>
      </c>
      <c r="GK10">
        <v>11</v>
      </c>
      <c r="GL10">
        <v>11</v>
      </c>
      <c r="GM10">
        <v>11</v>
      </c>
      <c r="GN10">
        <v>11</v>
      </c>
      <c r="GO10">
        <v>11</v>
      </c>
      <c r="GZ10">
        <v>12</v>
      </c>
      <c r="HA10">
        <v>12</v>
      </c>
      <c r="HM10">
        <v>11</v>
      </c>
      <c r="HN10">
        <v>11</v>
      </c>
      <c r="HO10">
        <v>11</v>
      </c>
      <c r="HP10">
        <v>11</v>
      </c>
      <c r="HQ10">
        <v>11</v>
      </c>
      <c r="HR10">
        <v>11</v>
      </c>
      <c r="HS10">
        <v>11</v>
      </c>
      <c r="HY10">
        <v>11</v>
      </c>
      <c r="HZ10">
        <v>11</v>
      </c>
      <c r="IR10">
        <v>12</v>
      </c>
    </row>
    <row r="11" spans="1:255" x14ac:dyDescent="0.2">
      <c r="A11" t="s">
        <v>750</v>
      </c>
      <c r="D11">
        <v>12</v>
      </c>
      <c r="G11">
        <v>12</v>
      </c>
      <c r="H11">
        <v>12</v>
      </c>
      <c r="I11">
        <v>12</v>
      </c>
      <c r="J11">
        <v>13</v>
      </c>
      <c r="K11">
        <v>13</v>
      </c>
      <c r="L11">
        <v>13</v>
      </c>
      <c r="AC11">
        <v>13</v>
      </c>
      <c r="AF11">
        <v>13</v>
      </c>
      <c r="AG11">
        <v>12</v>
      </c>
      <c r="AN11">
        <v>12</v>
      </c>
      <c r="AP11">
        <v>12</v>
      </c>
      <c r="AR11">
        <v>12</v>
      </c>
      <c r="AS11">
        <v>12</v>
      </c>
      <c r="AT11">
        <v>12</v>
      </c>
      <c r="AU11">
        <v>14</v>
      </c>
      <c r="AV11">
        <v>12</v>
      </c>
      <c r="AZ11">
        <v>11</v>
      </c>
      <c r="BC11">
        <v>12</v>
      </c>
      <c r="BH11">
        <v>11</v>
      </c>
      <c r="BL11">
        <v>11</v>
      </c>
      <c r="BS11">
        <v>11</v>
      </c>
      <c r="BT11">
        <v>11</v>
      </c>
      <c r="BU11">
        <v>11</v>
      </c>
      <c r="BV11">
        <v>11</v>
      </c>
      <c r="BW11">
        <v>11</v>
      </c>
      <c r="BX11">
        <v>11</v>
      </c>
      <c r="BY11">
        <v>11</v>
      </c>
      <c r="BZ11">
        <v>11</v>
      </c>
      <c r="CB11">
        <v>12</v>
      </c>
      <c r="CD11">
        <v>11</v>
      </c>
      <c r="CE11">
        <v>11</v>
      </c>
      <c r="CF11">
        <v>12</v>
      </c>
      <c r="CH11">
        <v>11</v>
      </c>
      <c r="CI11">
        <v>13</v>
      </c>
      <c r="CJ11">
        <v>14</v>
      </c>
      <c r="CL11">
        <v>11</v>
      </c>
      <c r="CP11">
        <v>12</v>
      </c>
      <c r="CW11">
        <v>11</v>
      </c>
      <c r="CX11">
        <v>11</v>
      </c>
      <c r="CY11">
        <v>11</v>
      </c>
      <c r="CZ11">
        <v>13</v>
      </c>
      <c r="DA11">
        <v>13</v>
      </c>
      <c r="DB11">
        <v>11</v>
      </c>
      <c r="DC11">
        <v>11</v>
      </c>
      <c r="DD11">
        <v>12</v>
      </c>
      <c r="DE11">
        <v>13</v>
      </c>
      <c r="DF11">
        <v>11</v>
      </c>
      <c r="DG11">
        <v>11</v>
      </c>
      <c r="DH11">
        <v>11</v>
      </c>
      <c r="DI11">
        <v>12</v>
      </c>
      <c r="DJ11">
        <v>13</v>
      </c>
      <c r="DK11">
        <v>11</v>
      </c>
      <c r="DL11">
        <v>11</v>
      </c>
      <c r="DM11">
        <v>12</v>
      </c>
      <c r="DN11">
        <v>12</v>
      </c>
      <c r="DO11">
        <v>11</v>
      </c>
      <c r="DP11">
        <v>13</v>
      </c>
      <c r="DQ11">
        <v>11</v>
      </c>
      <c r="DR11">
        <v>12</v>
      </c>
      <c r="DS11">
        <v>13</v>
      </c>
      <c r="DT11">
        <v>12</v>
      </c>
      <c r="DU11">
        <v>12</v>
      </c>
      <c r="DV11">
        <v>12</v>
      </c>
      <c r="DW11">
        <v>11</v>
      </c>
      <c r="DX11">
        <v>11</v>
      </c>
      <c r="DY11">
        <v>11</v>
      </c>
      <c r="DZ11">
        <v>11</v>
      </c>
      <c r="EA11">
        <v>11</v>
      </c>
      <c r="EB11">
        <v>11</v>
      </c>
      <c r="EC11">
        <v>13</v>
      </c>
      <c r="ED11">
        <v>12</v>
      </c>
      <c r="EE11">
        <v>12</v>
      </c>
      <c r="EF11">
        <v>12</v>
      </c>
      <c r="EG11">
        <v>12</v>
      </c>
      <c r="EH11">
        <v>11</v>
      </c>
      <c r="EI11">
        <v>13</v>
      </c>
      <c r="EJ11">
        <v>11</v>
      </c>
      <c r="EK11">
        <v>11</v>
      </c>
      <c r="EL11">
        <v>11</v>
      </c>
      <c r="EM11">
        <v>11</v>
      </c>
      <c r="EN11">
        <v>12</v>
      </c>
      <c r="EO11">
        <v>12</v>
      </c>
      <c r="EP11">
        <v>12</v>
      </c>
      <c r="EQ11">
        <v>11</v>
      </c>
      <c r="ER11">
        <v>13</v>
      </c>
      <c r="ES11">
        <v>11</v>
      </c>
      <c r="ET11">
        <v>11</v>
      </c>
      <c r="EU11">
        <v>11</v>
      </c>
      <c r="EV11">
        <v>11</v>
      </c>
      <c r="EW11">
        <v>11</v>
      </c>
      <c r="EX11">
        <v>12</v>
      </c>
      <c r="EY11">
        <v>11</v>
      </c>
      <c r="EZ11">
        <v>12</v>
      </c>
      <c r="FA11">
        <v>12</v>
      </c>
      <c r="FB11">
        <v>11</v>
      </c>
      <c r="FC11">
        <v>13</v>
      </c>
      <c r="FD11">
        <v>11</v>
      </c>
      <c r="FE11">
        <v>11</v>
      </c>
      <c r="FF11">
        <v>11</v>
      </c>
      <c r="FG11">
        <v>11</v>
      </c>
      <c r="FH11">
        <v>12</v>
      </c>
      <c r="FI11">
        <v>11</v>
      </c>
      <c r="FJ11">
        <v>12</v>
      </c>
      <c r="FK11">
        <v>12</v>
      </c>
      <c r="FL11">
        <v>11</v>
      </c>
      <c r="FM11">
        <v>13</v>
      </c>
      <c r="FN11">
        <v>12</v>
      </c>
      <c r="FO11">
        <v>12</v>
      </c>
      <c r="FP11">
        <v>13</v>
      </c>
      <c r="FQ11">
        <v>11</v>
      </c>
      <c r="FR11">
        <v>11</v>
      </c>
      <c r="FU11">
        <v>12</v>
      </c>
      <c r="FV11">
        <v>12</v>
      </c>
      <c r="FW11">
        <v>12</v>
      </c>
      <c r="FX11">
        <v>12</v>
      </c>
      <c r="FY11">
        <v>13</v>
      </c>
      <c r="GK11">
        <v>13</v>
      </c>
      <c r="GL11">
        <v>13</v>
      </c>
      <c r="GM11">
        <v>13</v>
      </c>
      <c r="GN11">
        <v>13</v>
      </c>
      <c r="GO11">
        <v>13</v>
      </c>
      <c r="HV11">
        <v>12</v>
      </c>
      <c r="HW11">
        <v>12</v>
      </c>
      <c r="IB11">
        <v>11</v>
      </c>
      <c r="IC11">
        <v>11</v>
      </c>
      <c r="IP11">
        <v>11</v>
      </c>
    </row>
    <row r="12" spans="1:255" x14ac:dyDescent="0.2">
      <c r="A12" t="s">
        <v>751</v>
      </c>
      <c r="J12">
        <v>13</v>
      </c>
      <c r="K12">
        <v>12</v>
      </c>
      <c r="L12">
        <v>12</v>
      </c>
      <c r="N12">
        <v>14</v>
      </c>
      <c r="AH12">
        <v>12</v>
      </c>
      <c r="AJ12">
        <v>12</v>
      </c>
      <c r="AK12">
        <v>12</v>
      </c>
      <c r="AW12">
        <v>11</v>
      </c>
      <c r="AX12">
        <v>11</v>
      </c>
      <c r="AY12">
        <v>11</v>
      </c>
      <c r="BP12">
        <v>11</v>
      </c>
      <c r="BQ12">
        <v>11</v>
      </c>
      <c r="BR12">
        <v>11</v>
      </c>
      <c r="DD12">
        <v>11</v>
      </c>
      <c r="DU12">
        <v>11</v>
      </c>
      <c r="DX12">
        <v>11</v>
      </c>
      <c r="EG12">
        <v>11</v>
      </c>
      <c r="FN12">
        <v>11</v>
      </c>
      <c r="FO12">
        <v>11</v>
      </c>
      <c r="FS12">
        <v>12</v>
      </c>
      <c r="FT12">
        <v>12</v>
      </c>
      <c r="FZ12">
        <v>11</v>
      </c>
      <c r="GA12">
        <v>11</v>
      </c>
      <c r="GB12">
        <v>11</v>
      </c>
      <c r="GC12">
        <v>11</v>
      </c>
      <c r="GD12">
        <v>11</v>
      </c>
      <c r="GE12">
        <v>11</v>
      </c>
      <c r="GF12">
        <v>11</v>
      </c>
      <c r="GG12">
        <v>11</v>
      </c>
      <c r="GH12">
        <v>11</v>
      </c>
      <c r="GI12">
        <v>11</v>
      </c>
      <c r="GJ12">
        <v>11</v>
      </c>
      <c r="GQ12">
        <v>11</v>
      </c>
      <c r="GR12">
        <v>11</v>
      </c>
      <c r="GS12">
        <v>11</v>
      </c>
      <c r="GT12">
        <v>11</v>
      </c>
      <c r="GU12">
        <v>11</v>
      </c>
      <c r="GV12">
        <v>11</v>
      </c>
      <c r="GW12">
        <v>11</v>
      </c>
      <c r="HB12">
        <v>12</v>
      </c>
      <c r="HC12">
        <v>12</v>
      </c>
      <c r="HD12">
        <v>12</v>
      </c>
      <c r="HE12">
        <v>12</v>
      </c>
      <c r="HF12">
        <v>12</v>
      </c>
      <c r="HG12">
        <v>12</v>
      </c>
      <c r="HI12">
        <v>12</v>
      </c>
      <c r="HJ12">
        <v>11</v>
      </c>
      <c r="HK12">
        <v>11</v>
      </c>
      <c r="HL12">
        <v>11</v>
      </c>
      <c r="HM12">
        <v>11</v>
      </c>
      <c r="HN12">
        <v>11</v>
      </c>
      <c r="HO12">
        <v>11</v>
      </c>
      <c r="HP12">
        <v>11</v>
      </c>
      <c r="HQ12">
        <v>11</v>
      </c>
      <c r="HR12">
        <v>11</v>
      </c>
      <c r="HS12">
        <v>11</v>
      </c>
      <c r="HT12">
        <v>12</v>
      </c>
      <c r="HU12">
        <v>12</v>
      </c>
      <c r="HV12">
        <v>12</v>
      </c>
      <c r="HW12">
        <v>12</v>
      </c>
      <c r="HX12">
        <v>12</v>
      </c>
      <c r="IE12">
        <v>12</v>
      </c>
      <c r="IF12">
        <v>12</v>
      </c>
      <c r="IG12">
        <v>12</v>
      </c>
      <c r="IH12">
        <v>13</v>
      </c>
      <c r="II12">
        <v>12</v>
      </c>
      <c r="IL12">
        <v>12</v>
      </c>
      <c r="IM12">
        <v>12</v>
      </c>
      <c r="IN12">
        <v>12</v>
      </c>
      <c r="IO12">
        <v>12</v>
      </c>
      <c r="IP12">
        <v>12</v>
      </c>
      <c r="IQ12">
        <v>11</v>
      </c>
      <c r="IR12">
        <v>11</v>
      </c>
      <c r="IS12">
        <v>11</v>
      </c>
      <c r="IT12">
        <v>11</v>
      </c>
      <c r="IU12">
        <v>11</v>
      </c>
    </row>
    <row r="13" spans="1:255" x14ac:dyDescent="0.2">
      <c r="A13" t="s">
        <v>5030</v>
      </c>
      <c r="AZ13">
        <v>11</v>
      </c>
      <c r="BD13">
        <v>11</v>
      </c>
      <c r="BE13">
        <v>11</v>
      </c>
      <c r="BF13">
        <v>11</v>
      </c>
      <c r="BG13">
        <v>11</v>
      </c>
      <c r="BH13">
        <v>11</v>
      </c>
      <c r="BI13">
        <v>11</v>
      </c>
      <c r="BJ13">
        <v>11</v>
      </c>
      <c r="BK13">
        <v>11</v>
      </c>
      <c r="BL13">
        <v>11</v>
      </c>
      <c r="BM13">
        <v>11</v>
      </c>
      <c r="BN13">
        <v>11</v>
      </c>
      <c r="BO13">
        <v>11</v>
      </c>
      <c r="BP13">
        <v>11</v>
      </c>
      <c r="BQ13">
        <v>11</v>
      </c>
      <c r="BR13">
        <v>11</v>
      </c>
      <c r="CE13">
        <v>12</v>
      </c>
      <c r="CL13">
        <v>11</v>
      </c>
      <c r="DB13">
        <v>11</v>
      </c>
      <c r="DH13">
        <v>12</v>
      </c>
      <c r="DI13">
        <v>11</v>
      </c>
      <c r="DL13">
        <v>12</v>
      </c>
      <c r="DQ13">
        <v>12</v>
      </c>
      <c r="EJ13">
        <v>11</v>
      </c>
      <c r="EM13">
        <v>12</v>
      </c>
      <c r="ES13">
        <v>11</v>
      </c>
      <c r="EV13">
        <v>12</v>
      </c>
      <c r="FD13">
        <v>11</v>
      </c>
      <c r="FG13">
        <v>12</v>
      </c>
      <c r="FS13">
        <v>12</v>
      </c>
      <c r="FT13">
        <v>12</v>
      </c>
      <c r="FZ13">
        <v>12</v>
      </c>
      <c r="GA13">
        <v>12</v>
      </c>
      <c r="GB13">
        <v>12</v>
      </c>
      <c r="GC13">
        <v>12</v>
      </c>
      <c r="GD13">
        <v>12</v>
      </c>
      <c r="GE13">
        <v>12</v>
      </c>
      <c r="GF13">
        <v>12</v>
      </c>
      <c r="GQ13">
        <v>12</v>
      </c>
      <c r="GR13">
        <v>12</v>
      </c>
      <c r="GS13">
        <v>12</v>
      </c>
      <c r="GT13">
        <v>12</v>
      </c>
      <c r="GU13">
        <v>12</v>
      </c>
      <c r="GV13">
        <v>12</v>
      </c>
      <c r="GW13">
        <v>12</v>
      </c>
      <c r="GX13">
        <v>11</v>
      </c>
      <c r="GY13">
        <v>11</v>
      </c>
      <c r="GZ13">
        <v>11</v>
      </c>
      <c r="HA13">
        <v>11</v>
      </c>
      <c r="HB13">
        <v>11</v>
      </c>
      <c r="HC13">
        <v>13</v>
      </c>
      <c r="HD13">
        <v>11</v>
      </c>
      <c r="HE13">
        <v>13</v>
      </c>
      <c r="HF13">
        <v>11</v>
      </c>
      <c r="HG13">
        <v>13</v>
      </c>
      <c r="HH13">
        <v>12</v>
      </c>
      <c r="HI13">
        <v>12</v>
      </c>
      <c r="HJ13">
        <v>12</v>
      </c>
      <c r="HK13">
        <v>12</v>
      </c>
      <c r="HL13">
        <v>12</v>
      </c>
      <c r="HM13">
        <v>11</v>
      </c>
      <c r="HN13">
        <v>11</v>
      </c>
      <c r="HO13">
        <v>11</v>
      </c>
      <c r="HP13">
        <v>11</v>
      </c>
      <c r="HQ13">
        <v>11</v>
      </c>
      <c r="HR13">
        <v>11</v>
      </c>
      <c r="HS13">
        <v>11</v>
      </c>
      <c r="HT13">
        <v>11</v>
      </c>
      <c r="HU13">
        <v>11</v>
      </c>
      <c r="HV13">
        <v>11</v>
      </c>
      <c r="HW13">
        <v>11</v>
      </c>
      <c r="HX13">
        <v>11</v>
      </c>
      <c r="HY13">
        <v>13</v>
      </c>
      <c r="HZ13">
        <v>13</v>
      </c>
      <c r="IA13">
        <v>12</v>
      </c>
      <c r="IB13">
        <v>11</v>
      </c>
      <c r="IC13">
        <v>11</v>
      </c>
      <c r="ID13">
        <v>11</v>
      </c>
      <c r="IE13">
        <v>11</v>
      </c>
      <c r="IF13">
        <v>12</v>
      </c>
      <c r="IG13">
        <v>11</v>
      </c>
      <c r="IH13">
        <v>11</v>
      </c>
      <c r="II13">
        <v>12</v>
      </c>
      <c r="IJ13">
        <v>11</v>
      </c>
      <c r="IK13">
        <v>11</v>
      </c>
      <c r="IL13">
        <v>11</v>
      </c>
      <c r="IM13">
        <v>11</v>
      </c>
      <c r="IN13">
        <v>11</v>
      </c>
      <c r="IO13">
        <v>11</v>
      </c>
      <c r="IP13">
        <v>11</v>
      </c>
      <c r="IQ13">
        <v>12</v>
      </c>
      <c r="IR13">
        <v>12</v>
      </c>
      <c r="IS13">
        <v>12</v>
      </c>
      <c r="IT13">
        <v>12</v>
      </c>
      <c r="IU13">
        <v>12</v>
      </c>
    </row>
    <row r="14" spans="1:255" x14ac:dyDescent="0.2">
      <c r="A14" t="s">
        <v>752</v>
      </c>
      <c r="BC14">
        <v>11</v>
      </c>
      <c r="BD14">
        <v>11</v>
      </c>
      <c r="BE14">
        <v>11</v>
      </c>
      <c r="BF14">
        <v>11</v>
      </c>
      <c r="BG14">
        <v>11</v>
      </c>
      <c r="BH14">
        <v>11</v>
      </c>
      <c r="BI14">
        <v>11</v>
      </c>
      <c r="BJ14">
        <v>11</v>
      </c>
      <c r="BK14">
        <v>11</v>
      </c>
      <c r="BL14">
        <v>12</v>
      </c>
      <c r="BM14">
        <v>11</v>
      </c>
      <c r="BN14">
        <v>11</v>
      </c>
      <c r="BO14">
        <v>11</v>
      </c>
      <c r="BP14">
        <v>13</v>
      </c>
      <c r="BQ14">
        <v>13</v>
      </c>
      <c r="BR14">
        <v>13</v>
      </c>
      <c r="DA14">
        <v>12</v>
      </c>
      <c r="DB14">
        <v>11</v>
      </c>
      <c r="DC14">
        <v>11</v>
      </c>
      <c r="DD14">
        <v>11</v>
      </c>
      <c r="DG14">
        <v>12</v>
      </c>
      <c r="DK14">
        <v>13</v>
      </c>
      <c r="DL14">
        <v>12</v>
      </c>
      <c r="DM14">
        <v>12</v>
      </c>
      <c r="DQ14">
        <v>12</v>
      </c>
      <c r="DU14">
        <v>11</v>
      </c>
      <c r="DZ14" t="s">
        <v>7322</v>
      </c>
      <c r="EA14">
        <v>12</v>
      </c>
      <c r="EE14">
        <v>12</v>
      </c>
      <c r="EG14">
        <v>11</v>
      </c>
      <c r="EI14">
        <v>12</v>
      </c>
      <c r="EJ14">
        <v>11</v>
      </c>
      <c r="EL14">
        <v>12</v>
      </c>
      <c r="EO14">
        <v>12</v>
      </c>
      <c r="ER14">
        <v>12</v>
      </c>
      <c r="ES14">
        <v>11</v>
      </c>
      <c r="EU14">
        <v>12</v>
      </c>
      <c r="EW14">
        <v>13</v>
      </c>
      <c r="FC14">
        <v>12</v>
      </c>
      <c r="FD14">
        <v>11</v>
      </c>
      <c r="FF14">
        <v>12</v>
      </c>
      <c r="FM14">
        <v>12</v>
      </c>
      <c r="FN14">
        <v>11</v>
      </c>
      <c r="FO14">
        <v>11</v>
      </c>
      <c r="FT14">
        <v>11</v>
      </c>
      <c r="FZ14">
        <v>13</v>
      </c>
      <c r="GA14">
        <v>13</v>
      </c>
      <c r="GB14">
        <v>13</v>
      </c>
      <c r="GC14">
        <v>13</v>
      </c>
      <c r="GD14">
        <v>13</v>
      </c>
      <c r="GE14">
        <v>13</v>
      </c>
      <c r="GF14">
        <v>13</v>
      </c>
      <c r="GG14">
        <v>12</v>
      </c>
      <c r="GI14">
        <v>12</v>
      </c>
      <c r="GJ14">
        <v>12</v>
      </c>
      <c r="HB14">
        <v>12</v>
      </c>
      <c r="HC14">
        <v>12</v>
      </c>
      <c r="HD14">
        <v>12</v>
      </c>
      <c r="HE14">
        <v>12</v>
      </c>
      <c r="HF14">
        <v>12</v>
      </c>
      <c r="HG14">
        <v>12</v>
      </c>
      <c r="HH14">
        <v>11</v>
      </c>
      <c r="HJ14">
        <v>11</v>
      </c>
      <c r="HK14">
        <v>11</v>
      </c>
      <c r="HL14">
        <v>11</v>
      </c>
      <c r="HM14">
        <v>11</v>
      </c>
      <c r="HN14">
        <v>11</v>
      </c>
      <c r="HO14">
        <v>11</v>
      </c>
      <c r="HP14">
        <v>11</v>
      </c>
      <c r="HQ14">
        <v>11</v>
      </c>
      <c r="HR14">
        <v>11</v>
      </c>
      <c r="HS14">
        <v>11</v>
      </c>
      <c r="HY14">
        <v>11</v>
      </c>
      <c r="HZ14">
        <v>11</v>
      </c>
      <c r="IE14">
        <v>11</v>
      </c>
      <c r="IL14">
        <v>11</v>
      </c>
      <c r="IM14">
        <v>11</v>
      </c>
      <c r="IN14">
        <v>11</v>
      </c>
      <c r="IO14">
        <v>11</v>
      </c>
      <c r="IP14">
        <v>11</v>
      </c>
      <c r="IQ14">
        <v>11</v>
      </c>
      <c r="IR14">
        <v>11</v>
      </c>
      <c r="IS14">
        <v>11</v>
      </c>
      <c r="IT14">
        <v>11</v>
      </c>
      <c r="IU14">
        <v>11</v>
      </c>
    </row>
    <row r="15" spans="1:255" x14ac:dyDescent="0.2">
      <c r="A15" t="s">
        <v>1900</v>
      </c>
      <c r="C15">
        <v>3</v>
      </c>
      <c r="D15">
        <v>5</v>
      </c>
      <c r="E15">
        <v>5</v>
      </c>
      <c r="F15">
        <v>5</v>
      </c>
      <c r="G15">
        <v>6</v>
      </c>
      <c r="H15">
        <v>6</v>
      </c>
      <c r="I15">
        <v>1</v>
      </c>
      <c r="J15">
        <v>1</v>
      </c>
      <c r="K15">
        <v>2</v>
      </c>
      <c r="L15">
        <v>2</v>
      </c>
      <c r="M15">
        <v>3</v>
      </c>
      <c r="N15">
        <v>3</v>
      </c>
      <c r="O15">
        <v>3</v>
      </c>
      <c r="P15">
        <v>3</v>
      </c>
      <c r="Q15">
        <v>3</v>
      </c>
      <c r="R15">
        <v>3</v>
      </c>
      <c r="S15">
        <v>3</v>
      </c>
      <c r="T15">
        <v>3</v>
      </c>
      <c r="U15">
        <v>5</v>
      </c>
      <c r="V15">
        <v>5</v>
      </c>
      <c r="W15">
        <v>7</v>
      </c>
      <c r="X15">
        <v>5</v>
      </c>
      <c r="Y15">
        <v>5</v>
      </c>
      <c r="Z15">
        <v>5</v>
      </c>
      <c r="AA15">
        <v>3</v>
      </c>
      <c r="AB15">
        <v>7</v>
      </c>
      <c r="AC15">
        <v>7</v>
      </c>
      <c r="AD15">
        <v>7</v>
      </c>
      <c r="AE15">
        <v>7</v>
      </c>
      <c r="AF15">
        <v>7</v>
      </c>
      <c r="AG15">
        <v>7</v>
      </c>
      <c r="AH15">
        <v>7</v>
      </c>
      <c r="AI15">
        <v>6</v>
      </c>
      <c r="AJ15">
        <v>7</v>
      </c>
      <c r="AK15">
        <v>2</v>
      </c>
      <c r="AL15">
        <v>7</v>
      </c>
      <c r="AM15">
        <v>7</v>
      </c>
      <c r="AN15">
        <v>6</v>
      </c>
      <c r="AO15">
        <v>4</v>
      </c>
      <c r="AP15">
        <v>4</v>
      </c>
      <c r="AQ15">
        <v>5</v>
      </c>
      <c r="AR15">
        <v>2</v>
      </c>
      <c r="AS15">
        <v>2</v>
      </c>
      <c r="AT15">
        <v>2</v>
      </c>
      <c r="AU15">
        <v>2</v>
      </c>
      <c r="AV15">
        <v>2</v>
      </c>
      <c r="AW15">
        <v>6</v>
      </c>
      <c r="AX15">
        <v>6</v>
      </c>
      <c r="AY15">
        <v>6</v>
      </c>
      <c r="AZ15">
        <v>3</v>
      </c>
      <c r="BC15">
        <v>3</v>
      </c>
      <c r="BD15">
        <v>1</v>
      </c>
      <c r="BE15">
        <v>1</v>
      </c>
      <c r="BF15">
        <v>1</v>
      </c>
      <c r="BG15">
        <v>3</v>
      </c>
      <c r="BH15">
        <v>2</v>
      </c>
      <c r="BI15">
        <v>7</v>
      </c>
      <c r="BJ15">
        <v>1</v>
      </c>
      <c r="BK15">
        <v>1</v>
      </c>
      <c r="BL15">
        <v>4</v>
      </c>
      <c r="BM15">
        <v>2</v>
      </c>
      <c r="BN15">
        <v>3</v>
      </c>
      <c r="BO15">
        <v>2</v>
      </c>
      <c r="BP15">
        <v>3</v>
      </c>
      <c r="BQ15">
        <v>3</v>
      </c>
      <c r="BR15">
        <v>3</v>
      </c>
      <c r="BS15">
        <v>3</v>
      </c>
      <c r="BT15">
        <v>3</v>
      </c>
      <c r="BU15">
        <v>1</v>
      </c>
      <c r="BV15">
        <v>1</v>
      </c>
      <c r="BW15">
        <v>3</v>
      </c>
      <c r="BX15">
        <v>3</v>
      </c>
      <c r="BY15">
        <v>3</v>
      </c>
      <c r="BZ15">
        <v>3</v>
      </c>
      <c r="CA15">
        <v>7</v>
      </c>
      <c r="CB15">
        <v>8</v>
      </c>
      <c r="CC15">
        <v>8</v>
      </c>
      <c r="CD15">
        <v>7</v>
      </c>
      <c r="CE15">
        <v>7</v>
      </c>
      <c r="CF15">
        <v>7</v>
      </c>
      <c r="CG15">
        <v>8</v>
      </c>
      <c r="CH15">
        <v>8</v>
      </c>
      <c r="CI15">
        <v>7</v>
      </c>
      <c r="CJ15">
        <v>7</v>
      </c>
      <c r="CK15">
        <v>7</v>
      </c>
      <c r="CL15">
        <v>6</v>
      </c>
      <c r="CM15">
        <v>7</v>
      </c>
      <c r="CN15">
        <v>7</v>
      </c>
      <c r="CO15">
        <v>7</v>
      </c>
      <c r="CP15">
        <v>7</v>
      </c>
      <c r="CQ15">
        <v>6</v>
      </c>
      <c r="CR15">
        <v>7</v>
      </c>
      <c r="CS15">
        <v>7</v>
      </c>
      <c r="CT15">
        <v>7</v>
      </c>
      <c r="CU15">
        <v>7</v>
      </c>
      <c r="CV15">
        <v>7</v>
      </c>
      <c r="CW15">
        <v>5</v>
      </c>
      <c r="CX15">
        <v>5</v>
      </c>
      <c r="CY15">
        <v>5</v>
      </c>
      <c r="CZ15">
        <v>5</v>
      </c>
      <c r="DA15">
        <v>5</v>
      </c>
      <c r="DB15">
        <v>5</v>
      </c>
      <c r="DC15">
        <v>5</v>
      </c>
      <c r="DD15">
        <v>5</v>
      </c>
      <c r="DE15">
        <v>5</v>
      </c>
      <c r="DF15">
        <v>5</v>
      </c>
      <c r="DG15">
        <v>5</v>
      </c>
      <c r="DH15">
        <v>5</v>
      </c>
      <c r="DI15">
        <v>5</v>
      </c>
      <c r="DJ15">
        <v>5</v>
      </c>
      <c r="DK15">
        <v>5</v>
      </c>
      <c r="DL15">
        <v>5</v>
      </c>
      <c r="DM15">
        <v>5</v>
      </c>
      <c r="DN15">
        <v>5</v>
      </c>
      <c r="DO15">
        <v>5</v>
      </c>
      <c r="DP15">
        <v>5</v>
      </c>
      <c r="DQ15">
        <v>5</v>
      </c>
      <c r="DR15">
        <v>5</v>
      </c>
      <c r="DS15">
        <v>5</v>
      </c>
      <c r="DT15">
        <v>5</v>
      </c>
      <c r="DU15">
        <v>5</v>
      </c>
      <c r="DV15">
        <v>5</v>
      </c>
      <c r="DW15">
        <v>5</v>
      </c>
      <c r="DX15">
        <v>5</v>
      </c>
      <c r="DY15">
        <v>5</v>
      </c>
      <c r="DZ15">
        <v>5</v>
      </c>
      <c r="EA15">
        <v>5</v>
      </c>
      <c r="EB15">
        <v>5</v>
      </c>
      <c r="EC15">
        <v>5</v>
      </c>
      <c r="ED15">
        <v>5</v>
      </c>
      <c r="EE15">
        <v>5</v>
      </c>
      <c r="EF15">
        <v>5</v>
      </c>
      <c r="EG15">
        <v>5</v>
      </c>
      <c r="EH15">
        <v>1</v>
      </c>
      <c r="EI15">
        <v>1</v>
      </c>
      <c r="EJ15">
        <v>1</v>
      </c>
      <c r="EK15">
        <v>1</v>
      </c>
      <c r="EL15">
        <v>1</v>
      </c>
      <c r="EM15">
        <v>1</v>
      </c>
      <c r="EN15">
        <v>1</v>
      </c>
      <c r="EO15">
        <v>1</v>
      </c>
      <c r="EP15">
        <v>1</v>
      </c>
      <c r="EQ15">
        <v>1</v>
      </c>
      <c r="ER15">
        <v>1</v>
      </c>
      <c r="ES15">
        <v>1</v>
      </c>
      <c r="ET15">
        <v>1</v>
      </c>
      <c r="EU15">
        <v>1</v>
      </c>
      <c r="EV15">
        <v>1</v>
      </c>
      <c r="EW15">
        <v>1</v>
      </c>
      <c r="EX15">
        <v>1</v>
      </c>
      <c r="EY15">
        <v>1</v>
      </c>
      <c r="EZ15">
        <v>1</v>
      </c>
      <c r="FA15">
        <v>1</v>
      </c>
      <c r="FB15">
        <v>1</v>
      </c>
      <c r="FC15">
        <v>1</v>
      </c>
      <c r="FD15">
        <v>1</v>
      </c>
      <c r="FE15">
        <v>1</v>
      </c>
      <c r="FF15">
        <v>1</v>
      </c>
      <c r="FG15">
        <v>1</v>
      </c>
      <c r="FH15">
        <v>1</v>
      </c>
      <c r="FI15">
        <v>1</v>
      </c>
      <c r="FJ15">
        <v>1</v>
      </c>
      <c r="FK15">
        <v>1</v>
      </c>
      <c r="FL15">
        <v>1</v>
      </c>
      <c r="FM15">
        <v>1</v>
      </c>
      <c r="FN15">
        <v>1</v>
      </c>
      <c r="FO15">
        <v>1</v>
      </c>
      <c r="FP15">
        <v>1</v>
      </c>
      <c r="FQ15">
        <v>1</v>
      </c>
      <c r="FR15">
        <v>1</v>
      </c>
      <c r="FS15">
        <v>1</v>
      </c>
      <c r="FT15">
        <v>1</v>
      </c>
      <c r="FU15">
        <v>7</v>
      </c>
      <c r="FV15">
        <v>7</v>
      </c>
      <c r="FW15">
        <v>7</v>
      </c>
      <c r="FX15">
        <v>7</v>
      </c>
      <c r="FY15">
        <v>7</v>
      </c>
      <c r="FZ15">
        <v>1</v>
      </c>
      <c r="GA15">
        <v>1</v>
      </c>
      <c r="GB15">
        <v>1</v>
      </c>
      <c r="GC15">
        <v>1</v>
      </c>
      <c r="GD15">
        <v>1</v>
      </c>
      <c r="GE15">
        <v>1</v>
      </c>
      <c r="GF15">
        <v>1</v>
      </c>
      <c r="GG15">
        <v>5</v>
      </c>
      <c r="GH15">
        <v>5</v>
      </c>
      <c r="GI15">
        <v>5</v>
      </c>
      <c r="GJ15">
        <v>5</v>
      </c>
      <c r="GK15">
        <v>5</v>
      </c>
      <c r="GL15">
        <v>5</v>
      </c>
      <c r="GM15">
        <v>5</v>
      </c>
      <c r="GN15">
        <v>5</v>
      </c>
      <c r="GO15">
        <v>5</v>
      </c>
      <c r="GQ15">
        <v>5</v>
      </c>
      <c r="GR15">
        <v>5</v>
      </c>
      <c r="GS15">
        <v>5</v>
      </c>
      <c r="GT15">
        <v>5</v>
      </c>
      <c r="GU15">
        <v>5</v>
      </c>
      <c r="GV15">
        <v>5</v>
      </c>
      <c r="GW15">
        <v>5</v>
      </c>
      <c r="GX15">
        <v>7</v>
      </c>
      <c r="GY15">
        <v>6</v>
      </c>
      <c r="GZ15">
        <v>7</v>
      </c>
      <c r="HA15">
        <v>7</v>
      </c>
      <c r="HB15">
        <v>3</v>
      </c>
      <c r="HC15">
        <v>3</v>
      </c>
      <c r="HD15">
        <v>3</v>
      </c>
      <c r="HE15">
        <v>3</v>
      </c>
      <c r="HF15">
        <v>3</v>
      </c>
      <c r="HG15">
        <v>3</v>
      </c>
      <c r="HH15">
        <v>3</v>
      </c>
      <c r="HI15">
        <v>5</v>
      </c>
      <c r="HJ15">
        <v>5</v>
      </c>
      <c r="HK15">
        <v>6</v>
      </c>
      <c r="HL15">
        <v>5</v>
      </c>
      <c r="HM15">
        <v>1</v>
      </c>
      <c r="HN15">
        <v>1</v>
      </c>
      <c r="HO15">
        <v>1</v>
      </c>
      <c r="HP15">
        <v>1</v>
      </c>
      <c r="HQ15">
        <v>1</v>
      </c>
      <c r="HR15">
        <v>1</v>
      </c>
      <c r="HS15">
        <v>1</v>
      </c>
      <c r="HT15">
        <v>3</v>
      </c>
      <c r="HU15">
        <v>3</v>
      </c>
      <c r="HV15">
        <v>3</v>
      </c>
      <c r="HW15">
        <v>3</v>
      </c>
      <c r="HX15">
        <v>3</v>
      </c>
      <c r="HY15">
        <v>3</v>
      </c>
      <c r="HZ15">
        <v>3</v>
      </c>
      <c r="IA15">
        <v>2</v>
      </c>
      <c r="IB15">
        <v>3</v>
      </c>
      <c r="IC15">
        <v>3</v>
      </c>
      <c r="ID15">
        <v>3</v>
      </c>
      <c r="IE15">
        <v>1</v>
      </c>
      <c r="IF15">
        <v>1</v>
      </c>
      <c r="IG15">
        <v>1</v>
      </c>
      <c r="IH15">
        <v>1</v>
      </c>
      <c r="II15">
        <v>1</v>
      </c>
      <c r="IJ15">
        <v>1</v>
      </c>
      <c r="IK15">
        <v>4</v>
      </c>
      <c r="IL15">
        <v>1</v>
      </c>
      <c r="IM15">
        <v>1</v>
      </c>
      <c r="IN15">
        <v>1</v>
      </c>
      <c r="IO15">
        <v>1</v>
      </c>
      <c r="IP15">
        <v>6</v>
      </c>
      <c r="IQ15">
        <v>1</v>
      </c>
      <c r="IR15">
        <v>5</v>
      </c>
      <c r="IS15">
        <v>1</v>
      </c>
      <c r="IT15">
        <v>1</v>
      </c>
      <c r="IU15">
        <v>1</v>
      </c>
    </row>
    <row r="16" spans="1:255" x14ac:dyDescent="0.2">
      <c r="A16" t="s">
        <v>1901</v>
      </c>
      <c r="C16">
        <v>8</v>
      </c>
      <c r="D16">
        <v>10</v>
      </c>
      <c r="E16">
        <v>10</v>
      </c>
      <c r="F16">
        <v>10</v>
      </c>
      <c r="G16">
        <v>13</v>
      </c>
      <c r="H16">
        <v>13</v>
      </c>
      <c r="I16">
        <v>4</v>
      </c>
      <c r="J16">
        <v>7</v>
      </c>
      <c r="K16">
        <v>10</v>
      </c>
      <c r="L16">
        <v>10</v>
      </c>
      <c r="M16">
        <v>7</v>
      </c>
      <c r="N16">
        <v>7</v>
      </c>
      <c r="O16">
        <v>7</v>
      </c>
      <c r="P16">
        <v>7</v>
      </c>
      <c r="Q16">
        <v>7</v>
      </c>
      <c r="R16">
        <v>7</v>
      </c>
      <c r="S16">
        <v>7</v>
      </c>
      <c r="T16">
        <v>7</v>
      </c>
      <c r="U16">
        <v>10</v>
      </c>
      <c r="V16">
        <v>10</v>
      </c>
      <c r="W16">
        <v>13</v>
      </c>
      <c r="X16">
        <v>10</v>
      </c>
      <c r="Y16">
        <v>10</v>
      </c>
      <c r="Z16">
        <v>10</v>
      </c>
      <c r="AA16">
        <v>8</v>
      </c>
      <c r="AB16">
        <v>13</v>
      </c>
      <c r="AC16">
        <v>12</v>
      </c>
      <c r="AD16">
        <v>12</v>
      </c>
      <c r="AE16">
        <v>12</v>
      </c>
      <c r="AF16">
        <v>12</v>
      </c>
      <c r="AG16">
        <v>12</v>
      </c>
      <c r="AH16">
        <v>12</v>
      </c>
      <c r="AI16">
        <v>10</v>
      </c>
      <c r="AJ16">
        <v>12</v>
      </c>
      <c r="AK16">
        <v>7</v>
      </c>
      <c r="AL16">
        <v>10</v>
      </c>
      <c r="AM16">
        <v>12</v>
      </c>
      <c r="AN16">
        <v>10</v>
      </c>
      <c r="AO16">
        <v>10</v>
      </c>
      <c r="AP16">
        <v>10</v>
      </c>
      <c r="AQ16">
        <v>10</v>
      </c>
      <c r="AR16">
        <v>10</v>
      </c>
      <c r="AS16">
        <v>10</v>
      </c>
      <c r="AT16">
        <v>10</v>
      </c>
      <c r="AU16">
        <v>10</v>
      </c>
      <c r="AV16">
        <v>10</v>
      </c>
      <c r="AW16">
        <v>12</v>
      </c>
      <c r="AX16">
        <v>12</v>
      </c>
      <c r="AY16">
        <v>12</v>
      </c>
      <c r="AZ16">
        <v>8</v>
      </c>
      <c r="BC16">
        <v>8</v>
      </c>
      <c r="BE16">
        <v>4</v>
      </c>
      <c r="BF16">
        <v>4</v>
      </c>
      <c r="BG16">
        <v>8</v>
      </c>
      <c r="BH16">
        <v>8</v>
      </c>
      <c r="BI16">
        <v>10</v>
      </c>
      <c r="BJ16">
        <v>7</v>
      </c>
      <c r="BK16">
        <v>4</v>
      </c>
      <c r="BL16">
        <v>8</v>
      </c>
      <c r="BM16">
        <v>6</v>
      </c>
      <c r="BN16">
        <v>10</v>
      </c>
      <c r="BO16">
        <v>8</v>
      </c>
      <c r="BP16">
        <f>IF(RASSE_ZWERG,13,8)</f>
        <v>8</v>
      </c>
      <c r="BQ16">
        <v>13</v>
      </c>
      <c r="BR16">
        <v>13</v>
      </c>
      <c r="BS16">
        <v>8</v>
      </c>
      <c r="BT16">
        <v>8</v>
      </c>
      <c r="BU16">
        <v>7</v>
      </c>
      <c r="BV16">
        <v>7</v>
      </c>
      <c r="BW16">
        <v>8</v>
      </c>
      <c r="BX16">
        <v>8</v>
      </c>
      <c r="BY16">
        <v>8</v>
      </c>
      <c r="BZ16">
        <v>8</v>
      </c>
      <c r="CA16">
        <v>12</v>
      </c>
      <c r="CB16">
        <v>12</v>
      </c>
      <c r="CC16">
        <v>12</v>
      </c>
      <c r="CD16">
        <v>12</v>
      </c>
      <c r="CE16">
        <v>12</v>
      </c>
      <c r="CF16">
        <v>12</v>
      </c>
      <c r="CG16">
        <v>12</v>
      </c>
      <c r="CH16">
        <v>12</v>
      </c>
      <c r="CI16">
        <v>12</v>
      </c>
      <c r="CJ16">
        <v>12</v>
      </c>
      <c r="CK16">
        <v>12</v>
      </c>
      <c r="CL16">
        <v>11</v>
      </c>
      <c r="CM16">
        <v>12</v>
      </c>
      <c r="CN16">
        <v>12</v>
      </c>
      <c r="CO16">
        <v>12</v>
      </c>
      <c r="CP16">
        <v>12</v>
      </c>
      <c r="CQ16">
        <v>11</v>
      </c>
      <c r="CR16">
        <v>12</v>
      </c>
      <c r="CS16">
        <v>12</v>
      </c>
      <c r="CT16">
        <v>12</v>
      </c>
      <c r="CU16">
        <v>12</v>
      </c>
      <c r="CV16">
        <v>12</v>
      </c>
      <c r="CW16">
        <v>10</v>
      </c>
      <c r="CX16">
        <v>10</v>
      </c>
      <c r="CY16">
        <v>10</v>
      </c>
      <c r="CZ16">
        <v>10</v>
      </c>
      <c r="DA16">
        <v>10</v>
      </c>
      <c r="DB16">
        <v>10</v>
      </c>
      <c r="DC16">
        <v>10</v>
      </c>
      <c r="DD16">
        <v>10</v>
      </c>
      <c r="DE16">
        <v>10</v>
      </c>
      <c r="DF16">
        <v>10</v>
      </c>
      <c r="DG16">
        <v>10</v>
      </c>
      <c r="DH16">
        <v>10</v>
      </c>
      <c r="DI16">
        <v>10</v>
      </c>
      <c r="DJ16">
        <v>10</v>
      </c>
      <c r="DK16">
        <v>10</v>
      </c>
      <c r="DL16">
        <v>10</v>
      </c>
      <c r="DM16">
        <v>10</v>
      </c>
      <c r="DN16">
        <v>10</v>
      </c>
      <c r="DO16">
        <v>10</v>
      </c>
      <c r="DP16">
        <v>10</v>
      </c>
      <c r="DQ16">
        <v>10</v>
      </c>
      <c r="DR16">
        <v>10</v>
      </c>
      <c r="DS16">
        <v>10</v>
      </c>
      <c r="DT16">
        <v>10</v>
      </c>
      <c r="DU16">
        <v>10</v>
      </c>
      <c r="DV16">
        <v>10</v>
      </c>
      <c r="DW16">
        <v>10</v>
      </c>
      <c r="DX16">
        <v>10</v>
      </c>
      <c r="DY16">
        <v>10</v>
      </c>
      <c r="DZ16">
        <v>10</v>
      </c>
      <c r="EA16">
        <v>10</v>
      </c>
      <c r="EB16">
        <v>10</v>
      </c>
      <c r="EC16">
        <v>10</v>
      </c>
      <c r="ED16">
        <v>10</v>
      </c>
      <c r="EE16">
        <v>10</v>
      </c>
      <c r="EF16">
        <v>10</v>
      </c>
      <c r="EG16">
        <v>10</v>
      </c>
      <c r="EH16">
        <v>10</v>
      </c>
      <c r="EI16">
        <v>10</v>
      </c>
      <c r="EJ16">
        <v>10</v>
      </c>
      <c r="EK16">
        <v>10</v>
      </c>
      <c r="EL16">
        <v>10</v>
      </c>
      <c r="EM16">
        <v>10</v>
      </c>
      <c r="EN16">
        <v>10</v>
      </c>
      <c r="EO16">
        <v>10</v>
      </c>
      <c r="EP16">
        <v>10</v>
      </c>
      <c r="EQ16">
        <v>10</v>
      </c>
      <c r="ER16">
        <v>10</v>
      </c>
      <c r="ES16">
        <v>10</v>
      </c>
      <c r="ET16">
        <v>10</v>
      </c>
      <c r="EU16">
        <v>10</v>
      </c>
      <c r="EV16">
        <v>10</v>
      </c>
      <c r="EW16">
        <v>10</v>
      </c>
      <c r="EX16">
        <v>10</v>
      </c>
      <c r="EY16">
        <v>10</v>
      </c>
      <c r="EZ16">
        <v>10</v>
      </c>
      <c r="FA16">
        <v>10</v>
      </c>
      <c r="FB16">
        <v>10</v>
      </c>
      <c r="FC16">
        <v>10</v>
      </c>
      <c r="FD16">
        <v>10</v>
      </c>
      <c r="FE16">
        <v>10</v>
      </c>
      <c r="FF16">
        <v>10</v>
      </c>
      <c r="FG16">
        <v>10</v>
      </c>
      <c r="FH16">
        <v>10</v>
      </c>
      <c r="FI16">
        <v>10</v>
      </c>
      <c r="FJ16">
        <v>10</v>
      </c>
      <c r="FK16">
        <v>10</v>
      </c>
      <c r="FL16">
        <v>10</v>
      </c>
      <c r="FM16">
        <v>10</v>
      </c>
      <c r="FN16">
        <v>10</v>
      </c>
      <c r="FO16">
        <v>10</v>
      </c>
      <c r="FP16">
        <v>10</v>
      </c>
      <c r="FQ16">
        <v>10</v>
      </c>
      <c r="FR16">
        <v>10</v>
      </c>
      <c r="FS16">
        <v>4</v>
      </c>
      <c r="FT16">
        <v>4</v>
      </c>
      <c r="FU16">
        <v>10</v>
      </c>
      <c r="FV16">
        <v>10</v>
      </c>
      <c r="FW16">
        <v>10</v>
      </c>
      <c r="FX16">
        <v>10</v>
      </c>
      <c r="FY16">
        <v>10</v>
      </c>
      <c r="FZ16">
        <v>4</v>
      </c>
      <c r="GA16">
        <v>4</v>
      </c>
      <c r="GB16">
        <v>4</v>
      </c>
      <c r="GC16">
        <v>4</v>
      </c>
      <c r="GD16">
        <v>4</v>
      </c>
      <c r="GE16">
        <v>4</v>
      </c>
      <c r="GF16">
        <v>4</v>
      </c>
      <c r="GG16">
        <v>10</v>
      </c>
      <c r="GH16">
        <v>10</v>
      </c>
      <c r="GI16">
        <v>10</v>
      </c>
      <c r="GJ16">
        <v>10</v>
      </c>
      <c r="GK16">
        <v>10</v>
      </c>
      <c r="GL16">
        <v>10</v>
      </c>
      <c r="GM16">
        <v>10</v>
      </c>
      <c r="GN16">
        <v>10</v>
      </c>
      <c r="GO16">
        <v>10</v>
      </c>
      <c r="GQ16">
        <v>10</v>
      </c>
      <c r="GR16">
        <v>10</v>
      </c>
      <c r="GS16">
        <v>10</v>
      </c>
      <c r="GT16">
        <v>10</v>
      </c>
      <c r="GU16">
        <v>10</v>
      </c>
      <c r="GV16">
        <v>10</v>
      </c>
      <c r="GW16">
        <v>10</v>
      </c>
      <c r="GX16">
        <v>13</v>
      </c>
      <c r="GY16">
        <v>10</v>
      </c>
      <c r="GZ16">
        <v>13</v>
      </c>
      <c r="HA16">
        <v>13</v>
      </c>
      <c r="HB16">
        <v>8</v>
      </c>
      <c r="HC16">
        <v>8</v>
      </c>
      <c r="HD16">
        <v>8</v>
      </c>
      <c r="HE16">
        <v>8</v>
      </c>
      <c r="HF16">
        <v>8</v>
      </c>
      <c r="HG16">
        <v>8</v>
      </c>
      <c r="HH16">
        <v>8</v>
      </c>
      <c r="HI16">
        <v>10</v>
      </c>
      <c r="HJ16">
        <v>13</v>
      </c>
      <c r="HK16">
        <v>10</v>
      </c>
      <c r="HL16">
        <v>10</v>
      </c>
      <c r="HM16">
        <v>7</v>
      </c>
      <c r="HN16">
        <v>7</v>
      </c>
      <c r="HO16">
        <v>7</v>
      </c>
      <c r="HP16">
        <v>7</v>
      </c>
      <c r="HQ16">
        <v>7</v>
      </c>
      <c r="HR16">
        <v>7</v>
      </c>
      <c r="HS16">
        <v>7</v>
      </c>
      <c r="HT16">
        <v>7</v>
      </c>
      <c r="HU16">
        <v>7</v>
      </c>
      <c r="HV16">
        <v>7</v>
      </c>
      <c r="HW16">
        <v>7</v>
      </c>
      <c r="HX16">
        <v>7</v>
      </c>
      <c r="HY16">
        <v>8</v>
      </c>
      <c r="HZ16">
        <v>8</v>
      </c>
      <c r="IA16">
        <v>7</v>
      </c>
      <c r="IB16">
        <v>7</v>
      </c>
      <c r="IC16">
        <v>7</v>
      </c>
      <c r="ID16">
        <v>7</v>
      </c>
      <c r="IE16">
        <v>10</v>
      </c>
      <c r="IF16">
        <v>10</v>
      </c>
      <c r="IG16">
        <v>10</v>
      </c>
      <c r="IH16">
        <v>10</v>
      </c>
      <c r="II16">
        <v>10</v>
      </c>
      <c r="IJ16">
        <v>7</v>
      </c>
      <c r="IK16">
        <v>10</v>
      </c>
      <c r="IL16">
        <v>10</v>
      </c>
      <c r="IM16">
        <v>10</v>
      </c>
      <c r="IN16">
        <v>10</v>
      </c>
      <c r="IO16">
        <v>10</v>
      </c>
      <c r="IP16">
        <v>10</v>
      </c>
      <c r="IQ16">
        <v>7</v>
      </c>
      <c r="IR16">
        <v>8</v>
      </c>
      <c r="IS16">
        <v>7</v>
      </c>
      <c r="IT16">
        <v>7</v>
      </c>
      <c r="IU16">
        <v>7</v>
      </c>
    </row>
    <row r="17" spans="1:245" x14ac:dyDescent="0.2">
      <c r="A17" t="s">
        <v>74</v>
      </c>
    </row>
    <row r="18" spans="1:245" x14ac:dyDescent="0.2">
      <c r="A18" t="s">
        <v>75</v>
      </c>
    </row>
    <row r="19" spans="1:245" x14ac:dyDescent="0.2">
      <c r="A19" t="s">
        <v>76</v>
      </c>
    </row>
    <row r="20" spans="1:245" x14ac:dyDescent="0.2">
      <c r="A20" t="s">
        <v>77</v>
      </c>
    </row>
    <row r="21" spans="1:245" x14ac:dyDescent="0.2">
      <c r="A21" t="s">
        <v>750</v>
      </c>
    </row>
    <row r="22" spans="1:245" x14ac:dyDescent="0.2">
      <c r="A22" t="s">
        <v>751</v>
      </c>
    </row>
    <row r="23" spans="1:245" x14ac:dyDescent="0.2">
      <c r="A23" t="s">
        <v>5030</v>
      </c>
    </row>
    <row r="24" spans="1:245" x14ac:dyDescent="0.2">
      <c r="A24" t="s">
        <v>752</v>
      </c>
    </row>
    <row r="25" spans="1:245" x14ac:dyDescent="0.2">
      <c r="A25" t="s">
        <v>2139</v>
      </c>
      <c r="G25">
        <v>1</v>
      </c>
      <c r="GR25">
        <v>1</v>
      </c>
      <c r="GV25">
        <v>1</v>
      </c>
      <c r="IK25">
        <v>3</v>
      </c>
    </row>
    <row r="26" spans="1:245" x14ac:dyDescent="0.2">
      <c r="A26" t="s">
        <v>2116</v>
      </c>
      <c r="I26" t="s">
        <v>6474</v>
      </c>
      <c r="S26" t="s">
        <v>2370</v>
      </c>
      <c r="U26" t="s">
        <v>6680</v>
      </c>
      <c r="V26" t="s">
        <v>6680</v>
      </c>
      <c r="W26" t="s">
        <v>6680</v>
      </c>
      <c r="X26" t="s">
        <v>6680</v>
      </c>
      <c r="Y26" t="s">
        <v>6680</v>
      </c>
      <c r="Z26" t="s">
        <v>6680</v>
      </c>
      <c r="AA26" t="s">
        <v>6680</v>
      </c>
      <c r="AF26" t="s">
        <v>1427</v>
      </c>
      <c r="AI26" t="s">
        <v>2995</v>
      </c>
      <c r="AO26" t="s">
        <v>4293</v>
      </c>
      <c r="AP26" t="s">
        <v>4293</v>
      </c>
      <c r="AQ26" t="s">
        <v>4293</v>
      </c>
      <c r="AR26" t="s">
        <v>4086</v>
      </c>
      <c r="AS26" t="s">
        <v>4086</v>
      </c>
      <c r="AT26" t="s">
        <v>4086</v>
      </c>
      <c r="AU26" t="s">
        <v>4086</v>
      </c>
      <c r="AV26" t="s">
        <v>4086</v>
      </c>
      <c r="AX26" t="s">
        <v>4293</v>
      </c>
      <c r="AY26" t="s">
        <v>4293</v>
      </c>
      <c r="AZ26" t="s">
        <v>6470</v>
      </c>
      <c r="BC26" t="s">
        <v>2122</v>
      </c>
      <c r="BP26" t="s">
        <v>2119</v>
      </c>
      <c r="BQ26" t="s">
        <v>2119</v>
      </c>
      <c r="BR26" t="s">
        <v>2119</v>
      </c>
      <c r="BS26" t="s">
        <v>230</v>
      </c>
      <c r="BT26" t="s">
        <v>230</v>
      </c>
      <c r="BU26" t="s">
        <v>230</v>
      </c>
      <c r="BV26" t="s">
        <v>230</v>
      </c>
      <c r="BW26" t="s">
        <v>230</v>
      </c>
      <c r="BX26" t="s">
        <v>230</v>
      </c>
      <c r="BY26" t="s">
        <v>230</v>
      </c>
      <c r="BZ26" t="s">
        <v>412</v>
      </c>
      <c r="CK26" t="s">
        <v>3045</v>
      </c>
      <c r="CL26" t="s">
        <v>3045</v>
      </c>
      <c r="CM26" t="s">
        <v>3045</v>
      </c>
      <c r="CN26" t="s">
        <v>3045</v>
      </c>
      <c r="CO26" t="s">
        <v>3045</v>
      </c>
      <c r="CP26" t="s">
        <v>3045</v>
      </c>
      <c r="CQ26" t="s">
        <v>3045</v>
      </c>
      <c r="CR26" t="s">
        <v>3045</v>
      </c>
      <c r="CS26" t="s">
        <v>3045</v>
      </c>
      <c r="CT26" t="s">
        <v>3045</v>
      </c>
      <c r="CU26" t="s">
        <v>3045</v>
      </c>
      <c r="CV26" t="s">
        <v>1427</v>
      </c>
      <c r="FU26" t="s">
        <v>2995</v>
      </c>
      <c r="FV26" t="s">
        <v>229</v>
      </c>
      <c r="FW26" t="s">
        <v>2995</v>
      </c>
      <c r="FX26" t="s">
        <v>229</v>
      </c>
      <c r="FY26" t="s">
        <v>2995</v>
      </c>
      <c r="GK26" t="s">
        <v>2122</v>
      </c>
      <c r="GL26" t="s">
        <v>2122</v>
      </c>
      <c r="GM26" t="s">
        <v>2122</v>
      </c>
      <c r="GN26" t="s">
        <v>2122</v>
      </c>
      <c r="GO26" t="s">
        <v>2122</v>
      </c>
      <c r="GU26" t="s">
        <v>2127</v>
      </c>
      <c r="GV26" t="s">
        <v>3814</v>
      </c>
      <c r="GY26" t="s">
        <v>3045</v>
      </c>
      <c r="HW26" t="s">
        <v>2126</v>
      </c>
      <c r="HY26" t="s">
        <v>680</v>
      </c>
      <c r="HZ26" t="s">
        <v>680</v>
      </c>
      <c r="ID26" t="s">
        <v>2127</v>
      </c>
      <c r="IJ26" t="s">
        <v>2127</v>
      </c>
    </row>
    <row r="27" spans="1:245" x14ac:dyDescent="0.2">
      <c r="Y27" t="s">
        <v>6473</v>
      </c>
      <c r="Z27" t="s">
        <v>6472</v>
      </c>
      <c r="AP27" t="s">
        <v>4086</v>
      </c>
      <c r="AQ27" t="s">
        <v>4086</v>
      </c>
      <c r="AR27" t="s">
        <v>6471</v>
      </c>
      <c r="AS27" t="s">
        <v>6471</v>
      </c>
      <c r="AT27" t="s">
        <v>6471</v>
      </c>
      <c r="AU27" t="s">
        <v>6471</v>
      </c>
      <c r="AV27" t="s">
        <v>6471</v>
      </c>
      <c r="BC27" t="s">
        <v>2995</v>
      </c>
      <c r="CV27" t="s">
        <v>3989</v>
      </c>
      <c r="HZ27" t="s">
        <v>6681</v>
      </c>
    </row>
    <row r="34" spans="1:245" x14ac:dyDescent="0.2">
      <c r="A34" t="s">
        <v>2140</v>
      </c>
      <c r="D34" t="s">
        <v>1383</v>
      </c>
      <c r="E34" t="s">
        <v>1383</v>
      </c>
      <c r="F34" t="s">
        <v>1383</v>
      </c>
      <c r="G34" t="s">
        <v>1383</v>
      </c>
      <c r="H34" t="s">
        <v>1383</v>
      </c>
      <c r="J34" t="s">
        <v>2125</v>
      </c>
      <c r="R34" t="s">
        <v>1382</v>
      </c>
      <c r="AP34" t="s">
        <v>6314</v>
      </c>
      <c r="AQ34" t="s">
        <v>1383</v>
      </c>
      <c r="AZ34" t="s">
        <v>1383</v>
      </c>
      <c r="BF34" t="s">
        <v>3663</v>
      </c>
      <c r="BK34" t="s">
        <v>3663</v>
      </c>
      <c r="CO34" t="s">
        <v>7519</v>
      </c>
      <c r="CV34" t="s">
        <v>1381</v>
      </c>
      <c r="GR34" t="s">
        <v>3815</v>
      </c>
      <c r="GV34" t="s">
        <v>3816</v>
      </c>
      <c r="GX34" t="s">
        <v>1383</v>
      </c>
      <c r="GY34" t="s">
        <v>1383</v>
      </c>
      <c r="HI34" t="s">
        <v>4082</v>
      </c>
      <c r="IJ34" t="s">
        <v>2125</v>
      </c>
      <c r="IK34" t="s">
        <v>2125</v>
      </c>
    </row>
    <row r="39" spans="1:245" x14ac:dyDescent="0.2">
      <c r="A39" t="s">
        <v>3084</v>
      </c>
    </row>
    <row r="40" spans="1:245" x14ac:dyDescent="0.2">
      <c r="A40" t="s">
        <v>1902</v>
      </c>
    </row>
    <row r="43" spans="1:245" ht="12.75" customHeight="1" x14ac:dyDescent="0.2">
      <c r="A43" t="str">
        <f>INDEX(TL_KPF,ROW()-41)</f>
        <v>Anderthalbhänder</v>
      </c>
      <c r="B43" t="s">
        <v>1608</v>
      </c>
      <c r="BB43" t="s">
        <v>1608</v>
      </c>
      <c r="GP43" t="s">
        <v>1608</v>
      </c>
    </row>
    <row r="44" spans="1:245" x14ac:dyDescent="0.2">
      <c r="A44" t="str">
        <f t="shared" ref="A44:A69" si="0">INDEX(TL_KPF,ROW()-41)</f>
        <v>Armbrust</v>
      </c>
      <c r="AN44">
        <v>2</v>
      </c>
      <c r="BR44">
        <v>2</v>
      </c>
      <c r="CK44">
        <v>1</v>
      </c>
      <c r="CL44">
        <v>1</v>
      </c>
      <c r="CM44">
        <v>1</v>
      </c>
      <c r="CN44">
        <v>1</v>
      </c>
      <c r="CP44">
        <v>1</v>
      </c>
      <c r="CQ44">
        <v>1</v>
      </c>
      <c r="CR44">
        <v>1</v>
      </c>
      <c r="CS44">
        <v>1</v>
      </c>
      <c r="CT44">
        <v>1</v>
      </c>
      <c r="CU44">
        <v>1</v>
      </c>
      <c r="CV44">
        <v>1</v>
      </c>
      <c r="GX44">
        <v>1</v>
      </c>
      <c r="GY44">
        <v>2</v>
      </c>
      <c r="GZ44">
        <v>1</v>
      </c>
      <c r="HA44">
        <v>1</v>
      </c>
      <c r="HH44">
        <v>2</v>
      </c>
    </row>
    <row r="45" spans="1:245" x14ac:dyDescent="0.2">
      <c r="A45" t="str">
        <f t="shared" si="0"/>
        <v>Belagerungswaffen</v>
      </c>
    </row>
    <row r="46" spans="1:245" x14ac:dyDescent="0.2">
      <c r="A46" t="str">
        <f t="shared" si="0"/>
        <v>Blasrohr</v>
      </c>
    </row>
    <row r="47" spans="1:245" x14ac:dyDescent="0.2">
      <c r="A47" t="str">
        <f t="shared" si="0"/>
        <v>Bogen</v>
      </c>
      <c r="CO47">
        <v>1</v>
      </c>
      <c r="GR47">
        <v>2</v>
      </c>
    </row>
    <row r="48" spans="1:245" x14ac:dyDescent="0.2">
      <c r="A48" t="str">
        <f t="shared" si="0"/>
        <v>Diskus</v>
      </c>
    </row>
    <row r="49" spans="1:255" x14ac:dyDescent="0.2">
      <c r="A49" t="str">
        <f t="shared" si="0"/>
        <v>Dolche</v>
      </c>
      <c r="C49">
        <v>2</v>
      </c>
      <c r="D49">
        <v>2</v>
      </c>
      <c r="E49">
        <v>2</v>
      </c>
      <c r="F49">
        <v>2</v>
      </c>
      <c r="G49">
        <v>2</v>
      </c>
      <c r="H49">
        <v>2</v>
      </c>
      <c r="I49">
        <v>2</v>
      </c>
      <c r="J49">
        <v>2</v>
      </c>
      <c r="K49">
        <v>3</v>
      </c>
      <c r="L49">
        <v>2</v>
      </c>
      <c r="M49">
        <v>1</v>
      </c>
      <c r="N49">
        <v>1</v>
      </c>
      <c r="O49">
        <v>1</v>
      </c>
      <c r="P49">
        <v>1</v>
      </c>
      <c r="Q49">
        <v>1</v>
      </c>
      <c r="R49">
        <v>1</v>
      </c>
      <c r="S49">
        <v>1</v>
      </c>
      <c r="T49">
        <v>1</v>
      </c>
      <c r="U49">
        <v>1</v>
      </c>
      <c r="V49">
        <v>1</v>
      </c>
      <c r="W49">
        <v>1</v>
      </c>
      <c r="X49">
        <v>1</v>
      </c>
      <c r="Y49">
        <v>1</v>
      </c>
      <c r="Z49">
        <v>1</v>
      </c>
      <c r="AA49">
        <v>1</v>
      </c>
      <c r="AB49">
        <v>1</v>
      </c>
      <c r="AC49">
        <v>1</v>
      </c>
      <c r="AD49">
        <v>1</v>
      </c>
      <c r="AE49">
        <v>1</v>
      </c>
      <c r="AF49">
        <v>1</v>
      </c>
      <c r="AG49">
        <v>1</v>
      </c>
      <c r="AH49">
        <v>1</v>
      </c>
      <c r="AI49">
        <v>3</v>
      </c>
      <c r="AJ49">
        <v>3</v>
      </c>
      <c r="AK49">
        <v>3</v>
      </c>
      <c r="AO49">
        <v>2</v>
      </c>
      <c r="AP49">
        <v>2</v>
      </c>
      <c r="AQ49">
        <v>2</v>
      </c>
      <c r="AR49">
        <v>3</v>
      </c>
      <c r="AS49">
        <v>3</v>
      </c>
      <c r="AT49">
        <v>3</v>
      </c>
      <c r="AU49">
        <v>3</v>
      </c>
      <c r="AV49">
        <v>3</v>
      </c>
      <c r="AW49">
        <v>2</v>
      </c>
      <c r="AX49">
        <v>2</v>
      </c>
      <c r="AY49">
        <v>2</v>
      </c>
      <c r="AZ49">
        <v>1</v>
      </c>
      <c r="BC49">
        <v>3</v>
      </c>
      <c r="BD49">
        <v>1</v>
      </c>
      <c r="BE49">
        <v>1</v>
      </c>
      <c r="BF49">
        <v>1</v>
      </c>
      <c r="BG49">
        <v>1</v>
      </c>
      <c r="BH49">
        <v>1</v>
      </c>
      <c r="BI49">
        <v>1</v>
      </c>
      <c r="BJ49">
        <v>1</v>
      </c>
      <c r="BK49">
        <v>1</v>
      </c>
      <c r="BL49">
        <v>1</v>
      </c>
      <c r="BM49">
        <v>1</v>
      </c>
      <c r="BN49">
        <v>1</v>
      </c>
      <c r="BO49">
        <v>1</v>
      </c>
      <c r="BR49">
        <v>2</v>
      </c>
      <c r="BS49">
        <v>1</v>
      </c>
      <c r="BT49">
        <v>1</v>
      </c>
      <c r="BU49">
        <v>1</v>
      </c>
      <c r="BV49">
        <v>1</v>
      </c>
      <c r="BW49">
        <v>1</v>
      </c>
      <c r="BX49">
        <v>1</v>
      </c>
      <c r="BY49">
        <v>1</v>
      </c>
      <c r="BZ49">
        <v>1</v>
      </c>
      <c r="CA49">
        <v>1</v>
      </c>
      <c r="CB49">
        <v>1</v>
      </c>
      <c r="CC49">
        <v>1</v>
      </c>
      <c r="CD49">
        <v>1</v>
      </c>
      <c r="CE49">
        <v>1</v>
      </c>
      <c r="CF49">
        <v>1</v>
      </c>
      <c r="CG49">
        <v>1</v>
      </c>
      <c r="CH49">
        <v>1</v>
      </c>
      <c r="CI49">
        <v>1</v>
      </c>
      <c r="CJ49">
        <v>1</v>
      </c>
      <c r="CW49">
        <v>1</v>
      </c>
      <c r="CX49">
        <v>1</v>
      </c>
      <c r="CY49">
        <v>1</v>
      </c>
      <c r="CZ49">
        <v>3</v>
      </c>
      <c r="DA49">
        <v>1</v>
      </c>
      <c r="DB49">
        <v>1</v>
      </c>
      <c r="DC49">
        <v>1</v>
      </c>
      <c r="DD49">
        <v>1</v>
      </c>
      <c r="DE49">
        <v>1</v>
      </c>
      <c r="DF49">
        <v>1</v>
      </c>
      <c r="DG49">
        <v>1</v>
      </c>
      <c r="DH49">
        <v>1</v>
      </c>
      <c r="DI49">
        <v>1</v>
      </c>
      <c r="DJ49">
        <v>1</v>
      </c>
      <c r="DK49">
        <v>1</v>
      </c>
      <c r="DL49">
        <v>1</v>
      </c>
      <c r="DM49">
        <v>1</v>
      </c>
      <c r="DN49">
        <v>1</v>
      </c>
      <c r="DO49">
        <v>1</v>
      </c>
      <c r="DP49">
        <v>1</v>
      </c>
      <c r="DQ49">
        <v>1</v>
      </c>
      <c r="DR49">
        <v>1</v>
      </c>
      <c r="DS49">
        <v>3</v>
      </c>
      <c r="DT49">
        <v>1</v>
      </c>
      <c r="DU49">
        <v>1</v>
      </c>
      <c r="DV49">
        <v>1</v>
      </c>
      <c r="DW49">
        <v>1</v>
      </c>
      <c r="DX49">
        <v>1</v>
      </c>
      <c r="DY49">
        <v>1</v>
      </c>
      <c r="DZ49">
        <v>1</v>
      </c>
      <c r="EA49">
        <v>1</v>
      </c>
      <c r="EB49">
        <v>1</v>
      </c>
      <c r="EC49">
        <v>1</v>
      </c>
      <c r="ED49">
        <v>1</v>
      </c>
      <c r="EE49">
        <v>1</v>
      </c>
      <c r="EF49">
        <v>1</v>
      </c>
      <c r="EG49">
        <v>1</v>
      </c>
      <c r="EH49">
        <v>1</v>
      </c>
      <c r="EI49">
        <v>1</v>
      </c>
      <c r="EJ49">
        <v>1</v>
      </c>
      <c r="EK49">
        <v>1</v>
      </c>
      <c r="EL49">
        <v>1</v>
      </c>
      <c r="EM49">
        <v>1</v>
      </c>
      <c r="EN49">
        <v>1</v>
      </c>
      <c r="EO49">
        <v>1</v>
      </c>
      <c r="EP49">
        <v>1</v>
      </c>
      <c r="EQ49">
        <v>1</v>
      </c>
      <c r="ER49">
        <v>1</v>
      </c>
      <c r="ES49">
        <v>1</v>
      </c>
      <c r="ET49">
        <v>1</v>
      </c>
      <c r="EU49">
        <v>1</v>
      </c>
      <c r="EV49">
        <v>1</v>
      </c>
      <c r="EW49">
        <v>1</v>
      </c>
      <c r="EX49">
        <v>1</v>
      </c>
      <c r="EY49">
        <v>1</v>
      </c>
      <c r="EZ49">
        <v>1</v>
      </c>
      <c r="FA49">
        <v>1</v>
      </c>
      <c r="FB49">
        <v>1</v>
      </c>
      <c r="FC49">
        <v>1</v>
      </c>
      <c r="FD49">
        <v>1</v>
      </c>
      <c r="FE49">
        <v>1</v>
      </c>
      <c r="FF49">
        <v>1</v>
      </c>
      <c r="FG49">
        <v>1</v>
      </c>
      <c r="FH49">
        <v>1</v>
      </c>
      <c r="FI49">
        <v>1</v>
      </c>
      <c r="FJ49">
        <v>1</v>
      </c>
      <c r="FK49">
        <v>1</v>
      </c>
      <c r="FL49">
        <v>1</v>
      </c>
      <c r="FM49">
        <v>1</v>
      </c>
      <c r="FN49">
        <v>1</v>
      </c>
      <c r="FO49">
        <v>1</v>
      </c>
      <c r="FP49">
        <v>1</v>
      </c>
      <c r="FQ49">
        <v>1</v>
      </c>
      <c r="FR49">
        <v>1</v>
      </c>
      <c r="FS49">
        <v>2</v>
      </c>
      <c r="FZ49">
        <v>2</v>
      </c>
      <c r="GA49">
        <v>2</v>
      </c>
      <c r="GB49">
        <v>2</v>
      </c>
      <c r="GC49">
        <v>2</v>
      </c>
      <c r="GD49">
        <v>2</v>
      </c>
      <c r="GE49">
        <v>2</v>
      </c>
      <c r="GF49">
        <v>1</v>
      </c>
      <c r="GG49">
        <v>1</v>
      </c>
      <c r="GH49">
        <v>1</v>
      </c>
      <c r="GI49">
        <v>1</v>
      </c>
      <c r="GJ49">
        <v>1</v>
      </c>
      <c r="GK49">
        <v>2</v>
      </c>
      <c r="GL49">
        <v>2</v>
      </c>
      <c r="GM49">
        <v>2</v>
      </c>
      <c r="GN49">
        <v>2</v>
      </c>
      <c r="GO49">
        <v>2</v>
      </c>
      <c r="GQ49">
        <v>1</v>
      </c>
      <c r="GR49">
        <v>1</v>
      </c>
      <c r="GS49">
        <v>1</v>
      </c>
      <c r="GT49">
        <v>1</v>
      </c>
      <c r="GU49">
        <v>3</v>
      </c>
      <c r="GV49">
        <v>1</v>
      </c>
      <c r="GW49">
        <v>3</v>
      </c>
      <c r="GZ49">
        <v>1</v>
      </c>
      <c r="HA49">
        <v>1</v>
      </c>
      <c r="HB49">
        <v>3</v>
      </c>
      <c r="HC49">
        <v>3</v>
      </c>
      <c r="HD49">
        <v>3</v>
      </c>
      <c r="HE49">
        <v>3</v>
      </c>
      <c r="HF49">
        <v>3</v>
      </c>
      <c r="HG49">
        <v>3</v>
      </c>
      <c r="HI49">
        <v>2</v>
      </c>
      <c r="HJ49">
        <v>1</v>
      </c>
      <c r="HK49">
        <v>3</v>
      </c>
      <c r="HL49">
        <v>2</v>
      </c>
      <c r="HM49">
        <v>2</v>
      </c>
      <c r="HN49">
        <v>3</v>
      </c>
      <c r="HO49">
        <v>2</v>
      </c>
      <c r="HP49">
        <v>2</v>
      </c>
      <c r="HQ49">
        <v>2</v>
      </c>
      <c r="HR49">
        <v>2</v>
      </c>
      <c r="HS49">
        <v>2</v>
      </c>
      <c r="HT49">
        <v>3</v>
      </c>
      <c r="HU49">
        <v>3</v>
      </c>
      <c r="HV49">
        <v>3</v>
      </c>
      <c r="HW49">
        <v>3</v>
      </c>
      <c r="HX49">
        <v>3</v>
      </c>
      <c r="HY49">
        <v>2</v>
      </c>
      <c r="HZ49">
        <v>2</v>
      </c>
      <c r="IA49">
        <v>2</v>
      </c>
      <c r="IB49">
        <v>2</v>
      </c>
      <c r="IC49">
        <v>2</v>
      </c>
      <c r="ID49">
        <v>3</v>
      </c>
      <c r="IE49">
        <v>2</v>
      </c>
      <c r="IF49">
        <v>2</v>
      </c>
      <c r="IG49">
        <v>2</v>
      </c>
      <c r="IH49">
        <v>2</v>
      </c>
      <c r="II49">
        <v>2</v>
      </c>
      <c r="IJ49">
        <v>2</v>
      </c>
      <c r="IK49">
        <v>2</v>
      </c>
      <c r="IL49">
        <v>2</v>
      </c>
      <c r="IM49">
        <v>2</v>
      </c>
      <c r="IN49">
        <v>2</v>
      </c>
      <c r="IO49">
        <v>2</v>
      </c>
      <c r="IP49">
        <v>2</v>
      </c>
      <c r="IT49">
        <v>3</v>
      </c>
    </row>
    <row r="50" spans="1:255" x14ac:dyDescent="0.2">
      <c r="A50" t="str">
        <f t="shared" si="0"/>
        <v>Fechtwaffen</v>
      </c>
    </row>
    <row r="51" spans="1:255" x14ac:dyDescent="0.2">
      <c r="A51" t="str">
        <f t="shared" si="0"/>
        <v>Hiebwaffen</v>
      </c>
      <c r="C51">
        <v>3</v>
      </c>
      <c r="I51">
        <v>1</v>
      </c>
      <c r="J51">
        <v>2</v>
      </c>
      <c r="L51">
        <v>2</v>
      </c>
      <c r="U51">
        <v>3</v>
      </c>
      <c r="V51">
        <v>2</v>
      </c>
      <c r="W51">
        <v>2</v>
      </c>
      <c r="X51">
        <v>3</v>
      </c>
      <c r="Y51">
        <v>2</v>
      </c>
      <c r="Z51">
        <v>2</v>
      </c>
      <c r="AA51">
        <v>3</v>
      </c>
      <c r="AK51">
        <v>1</v>
      </c>
      <c r="AL51">
        <v>2</v>
      </c>
      <c r="AZ51">
        <v>2</v>
      </c>
      <c r="BC51">
        <v>2</v>
      </c>
      <c r="BD51">
        <v>2</v>
      </c>
      <c r="BE51">
        <v>2</v>
      </c>
      <c r="BF51">
        <v>2</v>
      </c>
      <c r="BG51">
        <v>2</v>
      </c>
      <c r="BH51">
        <v>2</v>
      </c>
      <c r="BI51">
        <v>2</v>
      </c>
      <c r="BJ51">
        <v>2</v>
      </c>
      <c r="BK51">
        <v>2</v>
      </c>
      <c r="BL51">
        <v>2</v>
      </c>
      <c r="BM51">
        <v>2</v>
      </c>
      <c r="BN51">
        <v>2</v>
      </c>
      <c r="BO51">
        <v>2</v>
      </c>
      <c r="BP51">
        <v>3</v>
      </c>
      <c r="BQ51">
        <v>2</v>
      </c>
      <c r="BR51">
        <v>2</v>
      </c>
      <c r="BS51">
        <v>2</v>
      </c>
      <c r="BT51">
        <v>2</v>
      </c>
      <c r="BU51">
        <v>2</v>
      </c>
      <c r="BV51">
        <v>2</v>
      </c>
      <c r="BW51">
        <v>2</v>
      </c>
      <c r="BX51">
        <v>2</v>
      </c>
      <c r="BY51">
        <v>2</v>
      </c>
      <c r="BZ51">
        <v>2</v>
      </c>
      <c r="CC51">
        <v>1</v>
      </c>
      <c r="CF51">
        <v>1</v>
      </c>
      <c r="CG51">
        <v>1</v>
      </c>
      <c r="CH51">
        <v>3</v>
      </c>
      <c r="CW51">
        <v>2</v>
      </c>
      <c r="CX51">
        <v>2</v>
      </c>
      <c r="CY51">
        <v>2</v>
      </c>
      <c r="CZ51">
        <v>4</v>
      </c>
      <c r="DA51">
        <v>2</v>
      </c>
      <c r="DB51">
        <v>2</v>
      </c>
      <c r="DC51">
        <v>2</v>
      </c>
      <c r="DD51">
        <v>2</v>
      </c>
      <c r="DE51">
        <v>2</v>
      </c>
      <c r="DF51">
        <v>2</v>
      </c>
      <c r="DG51">
        <v>2</v>
      </c>
      <c r="DH51">
        <v>2</v>
      </c>
      <c r="DI51">
        <v>2</v>
      </c>
      <c r="DJ51">
        <v>2</v>
      </c>
      <c r="DK51">
        <v>2</v>
      </c>
      <c r="DL51">
        <v>2</v>
      </c>
      <c r="DM51">
        <v>2</v>
      </c>
      <c r="DN51">
        <v>2</v>
      </c>
      <c r="DO51">
        <v>2</v>
      </c>
      <c r="DP51">
        <v>2</v>
      </c>
      <c r="DQ51">
        <v>2</v>
      </c>
      <c r="DR51">
        <v>2</v>
      </c>
      <c r="DS51">
        <v>4</v>
      </c>
      <c r="DT51">
        <v>2</v>
      </c>
      <c r="DU51">
        <v>2</v>
      </c>
      <c r="DV51">
        <v>2</v>
      </c>
      <c r="DW51">
        <v>2</v>
      </c>
      <c r="DX51">
        <v>2</v>
      </c>
      <c r="DY51">
        <v>2</v>
      </c>
      <c r="DZ51">
        <v>2</v>
      </c>
      <c r="EA51">
        <v>2</v>
      </c>
      <c r="EB51">
        <v>2</v>
      </c>
      <c r="EC51">
        <v>2</v>
      </c>
      <c r="ED51">
        <v>2</v>
      </c>
      <c r="EE51">
        <v>2</v>
      </c>
      <c r="EF51">
        <v>2</v>
      </c>
      <c r="EG51">
        <v>2</v>
      </c>
      <c r="EH51">
        <v>2</v>
      </c>
      <c r="EI51">
        <v>2</v>
      </c>
      <c r="EJ51">
        <v>2</v>
      </c>
      <c r="EK51">
        <v>2</v>
      </c>
      <c r="EL51">
        <v>2</v>
      </c>
      <c r="EM51">
        <v>2</v>
      </c>
      <c r="EN51">
        <v>2</v>
      </c>
      <c r="EO51">
        <v>2</v>
      </c>
      <c r="EP51">
        <v>2</v>
      </c>
      <c r="EQ51">
        <v>2</v>
      </c>
      <c r="ER51">
        <v>2</v>
      </c>
      <c r="ES51">
        <v>2</v>
      </c>
      <c r="ET51">
        <v>2</v>
      </c>
      <c r="EU51">
        <v>2</v>
      </c>
      <c r="EV51">
        <v>2</v>
      </c>
      <c r="EW51">
        <v>2</v>
      </c>
      <c r="EX51">
        <v>2</v>
      </c>
      <c r="EY51">
        <v>2</v>
      </c>
      <c r="EZ51">
        <v>2</v>
      </c>
      <c r="FA51">
        <v>2</v>
      </c>
      <c r="FB51">
        <v>2</v>
      </c>
      <c r="FC51">
        <v>2</v>
      </c>
      <c r="FD51">
        <v>2</v>
      </c>
      <c r="FE51">
        <v>2</v>
      </c>
      <c r="FF51">
        <v>2</v>
      </c>
      <c r="FG51">
        <v>2</v>
      </c>
      <c r="FH51">
        <v>2</v>
      </c>
      <c r="FI51">
        <v>2</v>
      </c>
      <c r="FJ51">
        <v>2</v>
      </c>
      <c r="FK51">
        <v>2</v>
      </c>
      <c r="FL51">
        <v>2</v>
      </c>
      <c r="FM51">
        <v>2</v>
      </c>
      <c r="FN51">
        <v>2</v>
      </c>
      <c r="FO51">
        <v>2</v>
      </c>
      <c r="FP51">
        <v>2</v>
      </c>
      <c r="FQ51">
        <v>2</v>
      </c>
      <c r="FR51">
        <v>2</v>
      </c>
      <c r="FZ51">
        <v>2</v>
      </c>
      <c r="GA51">
        <v>2</v>
      </c>
      <c r="GB51">
        <v>2</v>
      </c>
      <c r="GC51">
        <v>2</v>
      </c>
      <c r="GD51">
        <v>2</v>
      </c>
      <c r="GE51">
        <v>2</v>
      </c>
      <c r="GF51">
        <v>4</v>
      </c>
      <c r="GG51">
        <v>1</v>
      </c>
      <c r="GH51">
        <v>1</v>
      </c>
      <c r="GI51">
        <v>1</v>
      </c>
      <c r="GJ51">
        <v>1</v>
      </c>
      <c r="GM51">
        <v>1</v>
      </c>
      <c r="GU51">
        <v>1</v>
      </c>
      <c r="IB51">
        <v>2</v>
      </c>
      <c r="IC51">
        <v>2</v>
      </c>
      <c r="ID51">
        <v>3</v>
      </c>
      <c r="IM51">
        <v>2</v>
      </c>
      <c r="IQ51">
        <v>5</v>
      </c>
      <c r="IR51">
        <v>4</v>
      </c>
      <c r="IS51">
        <v>4</v>
      </c>
      <c r="IT51">
        <v>4</v>
      </c>
      <c r="IU51">
        <v>4</v>
      </c>
    </row>
    <row r="52" spans="1:255" x14ac:dyDescent="0.2">
      <c r="A52" t="str">
        <f t="shared" si="0"/>
        <v>Infanteriewaffen</v>
      </c>
      <c r="CA52">
        <v>1</v>
      </c>
      <c r="CB52">
        <v>1</v>
      </c>
      <c r="CC52">
        <v>1</v>
      </c>
      <c r="CD52">
        <v>1</v>
      </c>
      <c r="CE52">
        <v>1</v>
      </c>
      <c r="CF52">
        <v>1</v>
      </c>
      <c r="CG52">
        <v>1</v>
      </c>
      <c r="CI52">
        <v>1</v>
      </c>
      <c r="CJ52">
        <v>1</v>
      </c>
    </row>
    <row r="53" spans="1:255" x14ac:dyDescent="0.2">
      <c r="A53" t="str">
        <f t="shared" si="0"/>
        <v>Kettenstäbe</v>
      </c>
    </row>
    <row r="54" spans="1:255" x14ac:dyDescent="0.2">
      <c r="A54" t="str">
        <f t="shared" si="0"/>
        <v>Kettenwaffen</v>
      </c>
    </row>
    <row r="55" spans="1:255" x14ac:dyDescent="0.2">
      <c r="A55" t="str">
        <f t="shared" si="0"/>
        <v>Lanzenreiten</v>
      </c>
    </row>
    <row r="56" spans="1:255" x14ac:dyDescent="0.2">
      <c r="A56" t="str">
        <f t="shared" si="0"/>
        <v>Peitsche</v>
      </c>
      <c r="O56">
        <v>2</v>
      </c>
      <c r="U56">
        <v>2</v>
      </c>
      <c r="BY56">
        <v>4</v>
      </c>
      <c r="GG56">
        <v>2</v>
      </c>
      <c r="GH56">
        <v>2</v>
      </c>
      <c r="GI56">
        <v>2</v>
      </c>
      <c r="GJ56">
        <v>2</v>
      </c>
      <c r="HH56">
        <v>4</v>
      </c>
      <c r="HK56">
        <v>3</v>
      </c>
      <c r="HN56">
        <v>5</v>
      </c>
    </row>
    <row r="57" spans="1:255" x14ac:dyDescent="0.2">
      <c r="A57" t="str">
        <f t="shared" si="0"/>
        <v>Raufen</v>
      </c>
      <c r="C57">
        <v>4</v>
      </c>
      <c r="D57">
        <v>3</v>
      </c>
      <c r="E57">
        <v>3</v>
      </c>
      <c r="F57">
        <v>3</v>
      </c>
      <c r="G57">
        <v>3</v>
      </c>
      <c r="H57">
        <v>3</v>
      </c>
      <c r="I57">
        <v>3</v>
      </c>
      <c r="J57">
        <v>3</v>
      </c>
      <c r="M57">
        <v>2</v>
      </c>
      <c r="N57">
        <v>2</v>
      </c>
      <c r="O57">
        <v>2</v>
      </c>
      <c r="P57">
        <v>2</v>
      </c>
      <c r="Q57">
        <v>2</v>
      </c>
      <c r="R57">
        <v>2</v>
      </c>
      <c r="S57">
        <v>2</v>
      </c>
      <c r="T57">
        <v>2</v>
      </c>
      <c r="U57">
        <v>1</v>
      </c>
      <c r="V57">
        <v>1</v>
      </c>
      <c r="W57">
        <v>1</v>
      </c>
      <c r="X57">
        <v>3</v>
      </c>
      <c r="Y57">
        <v>1</v>
      </c>
      <c r="Z57">
        <v>1</v>
      </c>
      <c r="AA57">
        <v>1</v>
      </c>
      <c r="AB57">
        <v>1</v>
      </c>
      <c r="AC57">
        <v>1</v>
      </c>
      <c r="AD57">
        <v>1</v>
      </c>
      <c r="AE57">
        <v>1</v>
      </c>
      <c r="AF57">
        <v>1</v>
      </c>
      <c r="AG57">
        <v>1</v>
      </c>
      <c r="AH57">
        <v>1</v>
      </c>
      <c r="AI57">
        <v>1</v>
      </c>
      <c r="AJ57">
        <v>1</v>
      </c>
      <c r="AK57">
        <v>3</v>
      </c>
      <c r="AL57">
        <v>1</v>
      </c>
      <c r="AM57">
        <v>2</v>
      </c>
      <c r="AN57">
        <v>2</v>
      </c>
      <c r="AO57">
        <v>2</v>
      </c>
      <c r="AP57">
        <v>2</v>
      </c>
      <c r="AQ57">
        <v>2</v>
      </c>
      <c r="AR57">
        <v>2</v>
      </c>
      <c r="AS57">
        <v>2</v>
      </c>
      <c r="AT57">
        <v>2</v>
      </c>
      <c r="AU57">
        <v>2</v>
      </c>
      <c r="AV57">
        <v>4</v>
      </c>
      <c r="AW57">
        <v>1</v>
      </c>
      <c r="AX57">
        <v>1</v>
      </c>
      <c r="AY57">
        <v>1</v>
      </c>
      <c r="AZ57">
        <v>2</v>
      </c>
      <c r="BC57">
        <v>3</v>
      </c>
      <c r="BD57">
        <v>3</v>
      </c>
      <c r="BE57">
        <v>3</v>
      </c>
      <c r="BF57">
        <v>3</v>
      </c>
      <c r="BG57">
        <v>3</v>
      </c>
      <c r="BH57">
        <v>3</v>
      </c>
      <c r="BI57">
        <v>3</v>
      </c>
      <c r="BJ57">
        <v>3</v>
      </c>
      <c r="BK57">
        <v>3</v>
      </c>
      <c r="BL57">
        <v>3</v>
      </c>
      <c r="BM57">
        <v>3</v>
      </c>
      <c r="BN57">
        <v>3</v>
      </c>
      <c r="BO57">
        <v>3</v>
      </c>
      <c r="BP57">
        <v>3</v>
      </c>
      <c r="BQ57">
        <v>3</v>
      </c>
      <c r="BR57">
        <v>3</v>
      </c>
      <c r="BS57">
        <v>1</v>
      </c>
      <c r="BT57">
        <v>1</v>
      </c>
      <c r="BU57">
        <v>1</v>
      </c>
      <c r="BV57">
        <v>1</v>
      </c>
      <c r="BW57">
        <v>2</v>
      </c>
      <c r="BX57">
        <v>1</v>
      </c>
      <c r="BY57">
        <v>1</v>
      </c>
      <c r="BZ57">
        <v>2</v>
      </c>
      <c r="CA57">
        <v>1</v>
      </c>
      <c r="CB57">
        <v>1</v>
      </c>
      <c r="CC57">
        <v>1</v>
      </c>
      <c r="CD57">
        <v>1</v>
      </c>
      <c r="CE57">
        <v>1</v>
      </c>
      <c r="CF57">
        <v>1</v>
      </c>
      <c r="CG57">
        <v>1</v>
      </c>
      <c r="CH57">
        <v>2</v>
      </c>
      <c r="CI57">
        <v>1</v>
      </c>
      <c r="CJ57">
        <v>1</v>
      </c>
      <c r="CW57">
        <v>2</v>
      </c>
      <c r="CX57">
        <v>2</v>
      </c>
      <c r="CY57">
        <v>2</v>
      </c>
      <c r="CZ57">
        <v>4</v>
      </c>
      <c r="DA57">
        <v>2</v>
      </c>
      <c r="DB57">
        <v>2</v>
      </c>
      <c r="DC57">
        <v>2</v>
      </c>
      <c r="DD57">
        <v>2</v>
      </c>
      <c r="DE57">
        <v>2</v>
      </c>
      <c r="DF57">
        <v>2</v>
      </c>
      <c r="DG57">
        <v>2</v>
      </c>
      <c r="DH57">
        <v>2</v>
      </c>
      <c r="DI57">
        <v>2</v>
      </c>
      <c r="DJ57">
        <v>2</v>
      </c>
      <c r="DK57">
        <v>2</v>
      </c>
      <c r="DL57">
        <v>2</v>
      </c>
      <c r="DM57">
        <v>2</v>
      </c>
      <c r="DN57">
        <v>2</v>
      </c>
      <c r="DO57">
        <v>2</v>
      </c>
      <c r="DP57">
        <v>2</v>
      </c>
      <c r="DQ57">
        <v>2</v>
      </c>
      <c r="DR57">
        <v>2</v>
      </c>
      <c r="DS57">
        <v>4</v>
      </c>
      <c r="DT57">
        <v>2</v>
      </c>
      <c r="DU57">
        <v>2</v>
      </c>
      <c r="DV57">
        <v>2</v>
      </c>
      <c r="DW57">
        <v>2</v>
      </c>
      <c r="DX57">
        <v>2</v>
      </c>
      <c r="DY57">
        <v>2</v>
      </c>
      <c r="DZ57">
        <v>2</v>
      </c>
      <c r="EA57">
        <v>2</v>
      </c>
      <c r="EB57">
        <v>2</v>
      </c>
      <c r="EC57">
        <v>2</v>
      </c>
      <c r="ED57">
        <v>2</v>
      </c>
      <c r="EE57">
        <v>2</v>
      </c>
      <c r="EF57">
        <v>2</v>
      </c>
      <c r="EG57">
        <v>2</v>
      </c>
      <c r="EH57">
        <v>2</v>
      </c>
      <c r="EI57">
        <v>2</v>
      </c>
      <c r="EJ57">
        <v>2</v>
      </c>
      <c r="EK57">
        <v>2</v>
      </c>
      <c r="EL57">
        <v>2</v>
      </c>
      <c r="EM57">
        <v>2</v>
      </c>
      <c r="EN57">
        <v>2</v>
      </c>
      <c r="EO57">
        <v>2</v>
      </c>
      <c r="EP57">
        <v>2</v>
      </c>
      <c r="EQ57">
        <v>2</v>
      </c>
      <c r="ER57">
        <v>2</v>
      </c>
      <c r="ES57">
        <v>2</v>
      </c>
      <c r="ET57">
        <v>2</v>
      </c>
      <c r="EU57">
        <v>2</v>
      </c>
      <c r="EV57">
        <v>2</v>
      </c>
      <c r="EW57">
        <v>2</v>
      </c>
      <c r="EX57">
        <v>2</v>
      </c>
      <c r="EY57">
        <v>2</v>
      </c>
      <c r="EZ57">
        <v>2</v>
      </c>
      <c r="FA57">
        <v>2</v>
      </c>
      <c r="FB57">
        <v>2</v>
      </c>
      <c r="FC57">
        <v>2</v>
      </c>
      <c r="FD57">
        <v>2</v>
      </c>
      <c r="FE57">
        <v>2</v>
      </c>
      <c r="FF57">
        <v>2</v>
      </c>
      <c r="FG57">
        <v>2</v>
      </c>
      <c r="FH57">
        <v>2</v>
      </c>
      <c r="FI57">
        <v>2</v>
      </c>
      <c r="FJ57">
        <v>2</v>
      </c>
      <c r="FK57">
        <v>2</v>
      </c>
      <c r="FL57">
        <v>2</v>
      </c>
      <c r="FM57">
        <v>2</v>
      </c>
      <c r="FN57">
        <v>2</v>
      </c>
      <c r="FO57">
        <v>2</v>
      </c>
      <c r="FP57">
        <v>2</v>
      </c>
      <c r="FQ57">
        <v>2</v>
      </c>
      <c r="FR57">
        <v>2</v>
      </c>
      <c r="FS57">
        <v>3</v>
      </c>
      <c r="FT57">
        <v>3</v>
      </c>
      <c r="FU57">
        <v>2</v>
      </c>
      <c r="FV57">
        <v>1</v>
      </c>
      <c r="FW57">
        <v>1</v>
      </c>
      <c r="FX57">
        <v>1</v>
      </c>
      <c r="FY57">
        <v>1</v>
      </c>
      <c r="FZ57">
        <v>4</v>
      </c>
      <c r="GA57">
        <v>4</v>
      </c>
      <c r="GB57">
        <v>4</v>
      </c>
      <c r="GC57">
        <v>4</v>
      </c>
      <c r="GD57">
        <v>4</v>
      </c>
      <c r="GE57">
        <v>4</v>
      </c>
      <c r="GF57">
        <v>3</v>
      </c>
      <c r="GG57">
        <v>3</v>
      </c>
      <c r="GH57">
        <v>3</v>
      </c>
      <c r="GI57">
        <v>3</v>
      </c>
      <c r="GJ57">
        <v>3</v>
      </c>
      <c r="GK57">
        <v>3</v>
      </c>
      <c r="GL57">
        <v>3</v>
      </c>
      <c r="GM57">
        <v>3</v>
      </c>
      <c r="GN57">
        <v>3</v>
      </c>
      <c r="GO57">
        <v>3</v>
      </c>
      <c r="HB57">
        <v>2</v>
      </c>
      <c r="HC57">
        <v>2</v>
      </c>
      <c r="HD57">
        <v>2</v>
      </c>
      <c r="HE57">
        <v>2</v>
      </c>
      <c r="HF57">
        <v>2</v>
      </c>
      <c r="HG57">
        <v>2</v>
      </c>
      <c r="HH57">
        <v>3</v>
      </c>
      <c r="HI57">
        <v>3</v>
      </c>
      <c r="HJ57">
        <v>1</v>
      </c>
      <c r="HK57">
        <v>3</v>
      </c>
      <c r="HL57">
        <v>3</v>
      </c>
      <c r="HM57">
        <v>3</v>
      </c>
      <c r="HN57">
        <v>3</v>
      </c>
      <c r="HO57">
        <v>3</v>
      </c>
      <c r="HP57">
        <v>3</v>
      </c>
      <c r="HQ57">
        <v>3</v>
      </c>
      <c r="HR57">
        <v>3</v>
      </c>
      <c r="HS57">
        <v>3</v>
      </c>
      <c r="HY57">
        <v>3</v>
      </c>
      <c r="HZ57">
        <v>3</v>
      </c>
      <c r="IB57">
        <v>3</v>
      </c>
      <c r="IC57">
        <v>2</v>
      </c>
      <c r="ID57">
        <v>2</v>
      </c>
      <c r="IE57">
        <v>2</v>
      </c>
      <c r="IF57">
        <v>3</v>
      </c>
      <c r="IG57">
        <v>2</v>
      </c>
      <c r="IH57">
        <v>2</v>
      </c>
      <c r="II57">
        <v>3</v>
      </c>
      <c r="IJ57">
        <v>2</v>
      </c>
      <c r="IK57">
        <v>2</v>
      </c>
      <c r="IL57">
        <v>2</v>
      </c>
      <c r="IM57">
        <v>3</v>
      </c>
      <c r="IN57">
        <v>2</v>
      </c>
      <c r="IO57">
        <v>2</v>
      </c>
      <c r="IP57">
        <v>2</v>
      </c>
      <c r="IQ57">
        <v>3</v>
      </c>
      <c r="IR57">
        <v>3</v>
      </c>
      <c r="IS57">
        <v>3</v>
      </c>
      <c r="IT57">
        <v>3</v>
      </c>
      <c r="IU57">
        <v>3</v>
      </c>
    </row>
    <row r="58" spans="1:255" x14ac:dyDescent="0.2">
      <c r="A58" t="str">
        <f t="shared" si="0"/>
        <v>Ringen</v>
      </c>
      <c r="C58">
        <v>4</v>
      </c>
      <c r="I58">
        <v>3</v>
      </c>
      <c r="J58">
        <v>3</v>
      </c>
      <c r="K58">
        <v>1</v>
      </c>
      <c r="L58">
        <v>2</v>
      </c>
      <c r="U58">
        <v>2</v>
      </c>
      <c r="V58">
        <v>2</v>
      </c>
      <c r="W58">
        <v>2</v>
      </c>
      <c r="X58">
        <v>2</v>
      </c>
      <c r="Y58">
        <v>2</v>
      </c>
      <c r="Z58">
        <v>2</v>
      </c>
      <c r="AA58">
        <v>2</v>
      </c>
      <c r="AB58">
        <v>1</v>
      </c>
      <c r="AC58">
        <v>1</v>
      </c>
      <c r="AD58">
        <v>1</v>
      </c>
      <c r="AE58">
        <v>1</v>
      </c>
      <c r="AF58">
        <v>1</v>
      </c>
      <c r="AG58">
        <v>1</v>
      </c>
      <c r="AH58">
        <v>1</v>
      </c>
      <c r="AJ58">
        <v>2</v>
      </c>
      <c r="AK58">
        <v>3</v>
      </c>
      <c r="AL58">
        <v>1</v>
      </c>
      <c r="AO58">
        <v>3</v>
      </c>
      <c r="AP58">
        <v>3</v>
      </c>
      <c r="AQ58">
        <v>3</v>
      </c>
      <c r="AR58">
        <v>1</v>
      </c>
      <c r="AS58">
        <v>1</v>
      </c>
      <c r="AT58">
        <v>1</v>
      </c>
      <c r="AU58">
        <v>1</v>
      </c>
      <c r="AV58">
        <v>4</v>
      </c>
      <c r="AW58">
        <v>2</v>
      </c>
      <c r="AX58">
        <v>2</v>
      </c>
      <c r="AY58">
        <v>2</v>
      </c>
      <c r="AZ58">
        <v>2</v>
      </c>
      <c r="BC58">
        <v>4</v>
      </c>
      <c r="BD58">
        <v>3</v>
      </c>
      <c r="BE58">
        <v>3</v>
      </c>
      <c r="BF58">
        <v>3</v>
      </c>
      <c r="BG58">
        <v>3</v>
      </c>
      <c r="BH58">
        <v>3</v>
      </c>
      <c r="BI58">
        <v>3</v>
      </c>
      <c r="BJ58">
        <v>3</v>
      </c>
      <c r="BK58">
        <v>3</v>
      </c>
      <c r="BL58">
        <v>3</v>
      </c>
      <c r="BM58">
        <v>3</v>
      </c>
      <c r="BN58">
        <v>3</v>
      </c>
      <c r="BO58">
        <v>3</v>
      </c>
      <c r="BP58">
        <v>3</v>
      </c>
      <c r="BQ58">
        <v>3</v>
      </c>
      <c r="BR58">
        <v>3</v>
      </c>
      <c r="BS58">
        <v>2</v>
      </c>
      <c r="BT58">
        <v>2</v>
      </c>
      <c r="BU58">
        <v>2</v>
      </c>
      <c r="BV58">
        <v>2</v>
      </c>
      <c r="BW58">
        <v>2</v>
      </c>
      <c r="BX58">
        <v>2</v>
      </c>
      <c r="BY58">
        <v>2</v>
      </c>
      <c r="BZ58">
        <v>4</v>
      </c>
      <c r="CA58">
        <v>1</v>
      </c>
      <c r="CB58">
        <v>1</v>
      </c>
      <c r="CC58">
        <v>1</v>
      </c>
      <c r="CD58">
        <v>1</v>
      </c>
      <c r="CE58">
        <v>1</v>
      </c>
      <c r="CF58">
        <v>1</v>
      </c>
      <c r="CG58">
        <v>1</v>
      </c>
      <c r="CI58">
        <v>1</v>
      </c>
      <c r="CJ58">
        <v>1</v>
      </c>
      <c r="CL58">
        <v>1</v>
      </c>
      <c r="CP58">
        <v>1</v>
      </c>
      <c r="CW58">
        <v>2</v>
      </c>
      <c r="CX58">
        <v>2</v>
      </c>
      <c r="CY58">
        <v>2</v>
      </c>
      <c r="DA58">
        <v>2</v>
      </c>
      <c r="DB58">
        <v>2</v>
      </c>
      <c r="DC58">
        <v>2</v>
      </c>
      <c r="DD58">
        <v>2</v>
      </c>
      <c r="DE58">
        <v>2</v>
      </c>
      <c r="DF58">
        <v>2</v>
      </c>
      <c r="DG58">
        <v>2</v>
      </c>
      <c r="DH58">
        <v>2</v>
      </c>
      <c r="DI58">
        <v>2</v>
      </c>
      <c r="DJ58">
        <v>2</v>
      </c>
      <c r="DK58">
        <v>2</v>
      </c>
      <c r="DL58">
        <v>2</v>
      </c>
      <c r="DM58">
        <v>2</v>
      </c>
      <c r="DN58">
        <v>2</v>
      </c>
      <c r="DO58">
        <v>2</v>
      </c>
      <c r="DP58">
        <v>2</v>
      </c>
      <c r="DQ58">
        <v>2</v>
      </c>
      <c r="DR58">
        <v>2</v>
      </c>
      <c r="DT58">
        <v>2</v>
      </c>
      <c r="DU58">
        <v>2</v>
      </c>
      <c r="DV58">
        <v>2</v>
      </c>
      <c r="DW58">
        <v>2</v>
      </c>
      <c r="DX58">
        <v>2</v>
      </c>
      <c r="DY58">
        <v>2</v>
      </c>
      <c r="DZ58">
        <v>2</v>
      </c>
      <c r="EA58">
        <v>2</v>
      </c>
      <c r="EB58">
        <v>2</v>
      </c>
      <c r="EC58">
        <v>2</v>
      </c>
      <c r="ED58">
        <v>2</v>
      </c>
      <c r="EE58">
        <v>2</v>
      </c>
      <c r="EF58">
        <v>2</v>
      </c>
      <c r="EG58">
        <v>2</v>
      </c>
      <c r="EH58">
        <v>2</v>
      </c>
      <c r="EI58">
        <v>2</v>
      </c>
      <c r="EJ58">
        <v>2</v>
      </c>
      <c r="EK58">
        <v>2</v>
      </c>
      <c r="EL58">
        <v>2</v>
      </c>
      <c r="EM58">
        <v>2</v>
      </c>
      <c r="EN58">
        <v>2</v>
      </c>
      <c r="EO58">
        <v>2</v>
      </c>
      <c r="EP58">
        <v>2</v>
      </c>
      <c r="EQ58">
        <v>2</v>
      </c>
      <c r="ER58">
        <v>2</v>
      </c>
      <c r="ES58">
        <v>2</v>
      </c>
      <c r="ET58">
        <v>2</v>
      </c>
      <c r="EU58">
        <v>2</v>
      </c>
      <c r="EV58">
        <v>2</v>
      </c>
      <c r="EW58">
        <v>2</v>
      </c>
      <c r="EX58">
        <v>2</v>
      </c>
      <c r="EY58">
        <v>2</v>
      </c>
      <c r="EZ58">
        <v>2</v>
      </c>
      <c r="FA58">
        <v>2</v>
      </c>
      <c r="FB58">
        <v>2</v>
      </c>
      <c r="FC58">
        <v>2</v>
      </c>
      <c r="FD58">
        <v>2</v>
      </c>
      <c r="FE58">
        <v>2</v>
      </c>
      <c r="FF58">
        <v>2</v>
      </c>
      <c r="FG58">
        <v>2</v>
      </c>
      <c r="FH58">
        <v>2</v>
      </c>
      <c r="FI58">
        <v>2</v>
      </c>
      <c r="FJ58">
        <v>2</v>
      </c>
      <c r="FK58">
        <v>2</v>
      </c>
      <c r="FL58">
        <v>2</v>
      </c>
      <c r="FM58">
        <v>2</v>
      </c>
      <c r="FN58">
        <v>2</v>
      </c>
      <c r="FO58">
        <v>2</v>
      </c>
      <c r="FP58">
        <v>2</v>
      </c>
      <c r="FQ58">
        <v>2</v>
      </c>
      <c r="FR58">
        <v>2</v>
      </c>
      <c r="FS58">
        <v>3</v>
      </c>
      <c r="FT58">
        <v>1</v>
      </c>
      <c r="FU58">
        <v>2</v>
      </c>
      <c r="FV58">
        <v>1</v>
      </c>
      <c r="FW58">
        <v>1</v>
      </c>
      <c r="FX58">
        <v>1</v>
      </c>
      <c r="FZ58">
        <v>4</v>
      </c>
      <c r="GA58">
        <v>4</v>
      </c>
      <c r="GB58">
        <v>4</v>
      </c>
      <c r="GC58">
        <v>4</v>
      </c>
      <c r="GD58">
        <v>4</v>
      </c>
      <c r="GE58">
        <v>4</v>
      </c>
      <c r="GF58">
        <v>4</v>
      </c>
      <c r="GG58">
        <v>3</v>
      </c>
      <c r="GH58">
        <v>3</v>
      </c>
      <c r="GI58">
        <v>3</v>
      </c>
      <c r="GJ58">
        <v>3</v>
      </c>
      <c r="GK58">
        <v>3</v>
      </c>
      <c r="GL58">
        <v>4</v>
      </c>
      <c r="GM58">
        <v>3</v>
      </c>
      <c r="GN58">
        <v>3</v>
      </c>
      <c r="GO58">
        <v>3</v>
      </c>
      <c r="GQ58">
        <v>1</v>
      </c>
      <c r="GR58">
        <v>1</v>
      </c>
      <c r="GS58">
        <v>1</v>
      </c>
      <c r="GT58">
        <v>1</v>
      </c>
      <c r="GU58">
        <v>1</v>
      </c>
      <c r="GV58">
        <v>1</v>
      </c>
      <c r="GW58">
        <v>1</v>
      </c>
      <c r="HC58">
        <v>2</v>
      </c>
      <c r="HH58">
        <v>3</v>
      </c>
      <c r="HI58">
        <v>2</v>
      </c>
      <c r="HJ58">
        <v>3</v>
      </c>
      <c r="HK58">
        <v>3</v>
      </c>
      <c r="HL58">
        <v>3</v>
      </c>
      <c r="HM58">
        <v>3</v>
      </c>
      <c r="HN58">
        <v>3</v>
      </c>
      <c r="HO58">
        <v>3</v>
      </c>
      <c r="HP58">
        <v>3</v>
      </c>
      <c r="HQ58">
        <v>3</v>
      </c>
      <c r="HR58">
        <v>3</v>
      </c>
      <c r="HS58">
        <v>3</v>
      </c>
      <c r="HT58">
        <v>2</v>
      </c>
      <c r="HU58">
        <v>2</v>
      </c>
      <c r="HV58">
        <v>2</v>
      </c>
      <c r="HW58">
        <v>2</v>
      </c>
      <c r="HX58">
        <v>2</v>
      </c>
      <c r="IA58">
        <v>2</v>
      </c>
      <c r="IB58">
        <v>2</v>
      </c>
      <c r="IC58">
        <v>2</v>
      </c>
      <c r="ID58">
        <v>3</v>
      </c>
      <c r="IE58">
        <v>2</v>
      </c>
      <c r="IF58">
        <v>2</v>
      </c>
      <c r="IG58">
        <v>2</v>
      </c>
      <c r="IH58">
        <v>2</v>
      </c>
      <c r="II58">
        <v>2</v>
      </c>
      <c r="IJ58">
        <v>2</v>
      </c>
      <c r="IK58">
        <v>2</v>
      </c>
      <c r="IQ58">
        <v>3</v>
      </c>
      <c r="IR58">
        <v>3</v>
      </c>
      <c r="IS58">
        <v>3</v>
      </c>
      <c r="IT58">
        <v>3</v>
      </c>
      <c r="IU58">
        <v>3</v>
      </c>
    </row>
    <row r="59" spans="1:255" x14ac:dyDescent="0.2">
      <c r="A59" t="str">
        <f t="shared" si="0"/>
        <v>Säbel</v>
      </c>
      <c r="HJ59">
        <v>1</v>
      </c>
      <c r="IM59">
        <v>2</v>
      </c>
    </row>
    <row r="60" spans="1:255" x14ac:dyDescent="0.2">
      <c r="A60" t="str">
        <f t="shared" si="0"/>
        <v>Schleuder</v>
      </c>
      <c r="K60">
        <v>1</v>
      </c>
      <c r="FS60">
        <v>3</v>
      </c>
      <c r="FT60">
        <v>3</v>
      </c>
      <c r="GG60">
        <v>3</v>
      </c>
      <c r="GH60">
        <v>3</v>
      </c>
      <c r="GI60">
        <v>3</v>
      </c>
      <c r="GJ60">
        <v>3</v>
      </c>
      <c r="HK60">
        <v>4</v>
      </c>
      <c r="HL60">
        <v>5</v>
      </c>
      <c r="HN60">
        <v>2</v>
      </c>
      <c r="II60">
        <v>3</v>
      </c>
      <c r="IL60">
        <v>1</v>
      </c>
      <c r="IT60">
        <v>3</v>
      </c>
    </row>
    <row r="61" spans="1:255" x14ac:dyDescent="0.2">
      <c r="A61" t="str">
        <f t="shared" si="0"/>
        <v>Schwerter</v>
      </c>
      <c r="BI61">
        <v>2</v>
      </c>
      <c r="GR61">
        <v>4</v>
      </c>
    </row>
    <row r="62" spans="1:255" x14ac:dyDescent="0.2">
      <c r="A62" t="str">
        <f t="shared" si="0"/>
        <v>Speere</v>
      </c>
      <c r="FL62">
        <v>2</v>
      </c>
      <c r="FM62">
        <v>2</v>
      </c>
      <c r="FN62">
        <v>2</v>
      </c>
      <c r="FO62">
        <v>2</v>
      </c>
      <c r="FP62">
        <v>2</v>
      </c>
      <c r="FQ62">
        <v>2</v>
      </c>
      <c r="FR62">
        <v>2</v>
      </c>
      <c r="GG62">
        <v>1</v>
      </c>
      <c r="GH62">
        <v>1</v>
      </c>
      <c r="GI62">
        <v>1</v>
      </c>
      <c r="GJ62">
        <v>1</v>
      </c>
      <c r="HG62">
        <v>2</v>
      </c>
      <c r="HI62">
        <v>3</v>
      </c>
      <c r="HL62">
        <v>2</v>
      </c>
      <c r="HT62">
        <v>3</v>
      </c>
      <c r="HU62">
        <v>4</v>
      </c>
      <c r="HV62">
        <v>3</v>
      </c>
      <c r="HW62">
        <v>4</v>
      </c>
      <c r="HX62">
        <v>3</v>
      </c>
      <c r="ID62">
        <v>1</v>
      </c>
      <c r="IE62">
        <v>2</v>
      </c>
      <c r="IF62">
        <v>2</v>
      </c>
      <c r="IG62">
        <v>2</v>
      </c>
      <c r="IH62">
        <v>2</v>
      </c>
      <c r="II62">
        <v>3</v>
      </c>
      <c r="IN62">
        <v>3</v>
      </c>
    </row>
    <row r="63" spans="1:255" x14ac:dyDescent="0.2">
      <c r="A63" t="str">
        <f t="shared" si="0"/>
        <v>Stäbe</v>
      </c>
      <c r="GK63">
        <v>2</v>
      </c>
      <c r="GL63">
        <v>2</v>
      </c>
      <c r="GM63">
        <v>2</v>
      </c>
      <c r="GN63">
        <v>2</v>
      </c>
      <c r="GO63">
        <v>2</v>
      </c>
    </row>
    <row r="64" spans="1:255" x14ac:dyDescent="0.2">
      <c r="A64" t="str">
        <f t="shared" si="0"/>
        <v>Wurfbeile</v>
      </c>
      <c r="H64">
        <v>3</v>
      </c>
      <c r="CH64">
        <v>2</v>
      </c>
      <c r="CZ64">
        <v>3</v>
      </c>
      <c r="DS64">
        <v>3</v>
      </c>
      <c r="HQ64">
        <v>2</v>
      </c>
    </row>
    <row r="65" spans="1:255" x14ac:dyDescent="0.2">
      <c r="A65" t="str">
        <f t="shared" si="0"/>
        <v>Wurfmesser</v>
      </c>
      <c r="J65">
        <v>2</v>
      </c>
      <c r="K65">
        <v>1</v>
      </c>
      <c r="M65">
        <v>2</v>
      </c>
      <c r="N65">
        <v>2</v>
      </c>
      <c r="O65">
        <v>2</v>
      </c>
      <c r="P65">
        <v>2</v>
      </c>
      <c r="Q65">
        <v>2</v>
      </c>
      <c r="R65">
        <v>2</v>
      </c>
      <c r="S65">
        <v>2</v>
      </c>
      <c r="T65">
        <v>2</v>
      </c>
      <c r="AO65">
        <v>2</v>
      </c>
      <c r="AR65">
        <v>2</v>
      </c>
      <c r="AS65">
        <v>2</v>
      </c>
      <c r="AT65">
        <v>2</v>
      </c>
      <c r="AU65">
        <v>2</v>
      </c>
      <c r="AV65">
        <v>2</v>
      </c>
      <c r="AW65">
        <v>2</v>
      </c>
      <c r="AX65">
        <v>2</v>
      </c>
      <c r="AY65">
        <v>2</v>
      </c>
      <c r="IF65">
        <v>1</v>
      </c>
    </row>
    <row r="66" spans="1:255" x14ac:dyDescent="0.2">
      <c r="A66" t="str">
        <f t="shared" si="0"/>
        <v>Wurfspeere</v>
      </c>
      <c r="HD66">
        <v>2</v>
      </c>
      <c r="HW66">
        <v>6</v>
      </c>
      <c r="IN66">
        <v>3</v>
      </c>
      <c r="IO66">
        <v>3</v>
      </c>
    </row>
    <row r="67" spans="1:255" x14ac:dyDescent="0.2">
      <c r="A67" t="str">
        <f t="shared" si="0"/>
        <v>Zweihandflegel</v>
      </c>
    </row>
    <row r="68" spans="1:255" x14ac:dyDescent="0.2">
      <c r="A68" t="str">
        <f t="shared" si="0"/>
        <v>Zweihand-Hiebwaffen</v>
      </c>
      <c r="BP68">
        <v>3</v>
      </c>
      <c r="BQ68">
        <v>1</v>
      </c>
      <c r="BR68">
        <v>1</v>
      </c>
      <c r="CH68">
        <v>3</v>
      </c>
      <c r="GB68">
        <v>3</v>
      </c>
      <c r="GC68">
        <v>1</v>
      </c>
      <c r="IB68">
        <v>1</v>
      </c>
    </row>
    <row r="69" spans="1:255" x14ac:dyDescent="0.2">
      <c r="A69" t="str">
        <f t="shared" si="0"/>
        <v>Zweihandschwerter/-säbel</v>
      </c>
    </row>
    <row r="70" spans="1:255" ht="12.75" customHeight="1" x14ac:dyDescent="0.2">
      <c r="A70" t="str">
        <f>INDEX(TL_KRP,ROW()-69)</f>
        <v>Akrobatik</v>
      </c>
      <c r="B70" t="s">
        <v>3311</v>
      </c>
      <c r="K70">
        <v>2</v>
      </c>
      <c r="L70">
        <v>2</v>
      </c>
      <c r="N70">
        <v>3</v>
      </c>
      <c r="AH70">
        <v>1</v>
      </c>
      <c r="AJ70">
        <v>1</v>
      </c>
      <c r="AK70">
        <v>1</v>
      </c>
      <c r="BB70" t="s">
        <v>3311</v>
      </c>
      <c r="GJ70">
        <v>2</v>
      </c>
      <c r="GP70" t="s">
        <v>3311</v>
      </c>
      <c r="IM70">
        <v>2</v>
      </c>
    </row>
    <row r="71" spans="1:255" x14ac:dyDescent="0.2">
      <c r="A71" t="str">
        <f t="shared" ref="A71:A87" si="1">INDEX(TL_KRP,ROW()-69)</f>
        <v>Athletik</v>
      </c>
      <c r="J71">
        <v>3</v>
      </c>
      <c r="K71">
        <v>2</v>
      </c>
      <c r="L71">
        <v>2</v>
      </c>
      <c r="AA71">
        <v>2</v>
      </c>
      <c r="AH71">
        <v>2</v>
      </c>
      <c r="AR71">
        <v>2</v>
      </c>
      <c r="AS71">
        <v>2</v>
      </c>
      <c r="AT71">
        <v>2</v>
      </c>
      <c r="AU71">
        <v>2</v>
      </c>
      <c r="AV71">
        <v>2</v>
      </c>
      <c r="BD71">
        <v>2</v>
      </c>
      <c r="BE71">
        <v>2</v>
      </c>
      <c r="BF71">
        <v>2</v>
      </c>
      <c r="BG71">
        <v>2</v>
      </c>
      <c r="BH71">
        <v>2</v>
      </c>
      <c r="BI71">
        <v>2</v>
      </c>
      <c r="BJ71">
        <v>2</v>
      </c>
      <c r="BK71">
        <v>2</v>
      </c>
      <c r="BL71">
        <v>2</v>
      </c>
      <c r="BM71">
        <v>2</v>
      </c>
      <c r="BN71">
        <v>2</v>
      </c>
      <c r="BO71">
        <v>2</v>
      </c>
      <c r="BP71">
        <v>3</v>
      </c>
      <c r="BQ71">
        <v>3</v>
      </c>
      <c r="BR71">
        <v>3</v>
      </c>
      <c r="FL71">
        <v>1</v>
      </c>
      <c r="FM71">
        <v>1</v>
      </c>
      <c r="FN71">
        <v>1</v>
      </c>
      <c r="FO71">
        <v>1</v>
      </c>
      <c r="FP71">
        <v>1</v>
      </c>
      <c r="FQ71">
        <v>1</v>
      </c>
      <c r="FR71">
        <v>1</v>
      </c>
      <c r="FZ71">
        <v>4</v>
      </c>
      <c r="GA71">
        <v>4</v>
      </c>
      <c r="GB71">
        <v>4</v>
      </c>
      <c r="GC71">
        <v>3</v>
      </c>
      <c r="GD71">
        <v>4</v>
      </c>
      <c r="GE71">
        <v>5</v>
      </c>
      <c r="GF71">
        <v>4</v>
      </c>
      <c r="GG71">
        <v>1</v>
      </c>
      <c r="GH71">
        <v>1</v>
      </c>
      <c r="GI71">
        <v>1</v>
      </c>
      <c r="GJ71">
        <v>1</v>
      </c>
      <c r="GQ71">
        <v>3</v>
      </c>
      <c r="GR71">
        <v>3</v>
      </c>
      <c r="GS71">
        <v>3</v>
      </c>
      <c r="GT71">
        <v>3</v>
      </c>
      <c r="GU71">
        <v>5</v>
      </c>
      <c r="GV71">
        <v>3</v>
      </c>
      <c r="GW71">
        <v>5</v>
      </c>
      <c r="HB71">
        <v>1</v>
      </c>
      <c r="HC71">
        <v>1</v>
      </c>
      <c r="HD71">
        <v>1</v>
      </c>
      <c r="HE71">
        <v>1</v>
      </c>
      <c r="HF71">
        <v>1</v>
      </c>
      <c r="HG71">
        <v>1</v>
      </c>
      <c r="HY71">
        <v>2</v>
      </c>
      <c r="HZ71">
        <v>3</v>
      </c>
      <c r="IL71">
        <v>2</v>
      </c>
      <c r="IM71">
        <v>2</v>
      </c>
      <c r="IN71">
        <v>2</v>
      </c>
      <c r="IO71">
        <v>3</v>
      </c>
      <c r="IP71">
        <v>2</v>
      </c>
      <c r="IU71">
        <v>1</v>
      </c>
    </row>
    <row r="72" spans="1:255" x14ac:dyDescent="0.2">
      <c r="A72" t="str">
        <f t="shared" si="1"/>
        <v>Fliegen</v>
      </c>
    </row>
    <row r="73" spans="1:255" x14ac:dyDescent="0.2">
      <c r="A73" t="str">
        <f t="shared" si="1"/>
        <v>Gaukeleien</v>
      </c>
      <c r="C73">
        <v>2</v>
      </c>
      <c r="D73">
        <v>3</v>
      </c>
      <c r="E73">
        <v>3</v>
      </c>
      <c r="F73">
        <v>3</v>
      </c>
      <c r="G73">
        <v>3</v>
      </c>
      <c r="J73">
        <v>3</v>
      </c>
      <c r="Q73">
        <v>3</v>
      </c>
      <c r="AJ73">
        <v>1</v>
      </c>
      <c r="AU73">
        <v>2</v>
      </c>
      <c r="AW73">
        <v>2</v>
      </c>
      <c r="AX73">
        <v>2</v>
      </c>
      <c r="AY73">
        <v>2</v>
      </c>
      <c r="FU73">
        <v>2</v>
      </c>
      <c r="GO73">
        <v>2</v>
      </c>
    </row>
    <row r="74" spans="1:255" x14ac:dyDescent="0.2">
      <c r="A74" t="str">
        <f t="shared" si="1"/>
        <v>Klettern</v>
      </c>
      <c r="J74">
        <v>2</v>
      </c>
      <c r="K74">
        <v>6</v>
      </c>
      <c r="L74">
        <v>6</v>
      </c>
      <c r="AR74">
        <v>1</v>
      </c>
      <c r="AS74">
        <v>1</v>
      </c>
      <c r="AT74">
        <v>1</v>
      </c>
      <c r="AU74">
        <v>1</v>
      </c>
      <c r="AV74">
        <v>1</v>
      </c>
      <c r="BH74">
        <v>1</v>
      </c>
      <c r="BP74">
        <v>4</v>
      </c>
      <c r="BQ74">
        <v>2</v>
      </c>
      <c r="BR74">
        <v>5</v>
      </c>
      <c r="CC74">
        <v>1</v>
      </c>
      <c r="CG74">
        <v>1</v>
      </c>
      <c r="CH74">
        <v>2</v>
      </c>
      <c r="FS74">
        <v>2</v>
      </c>
      <c r="FT74">
        <v>2</v>
      </c>
      <c r="FZ74">
        <v>2</v>
      </c>
      <c r="GA74">
        <v>3</v>
      </c>
      <c r="GB74">
        <v>2</v>
      </c>
      <c r="GC74">
        <v>1</v>
      </c>
      <c r="GD74">
        <v>2</v>
      </c>
      <c r="GE74">
        <v>2</v>
      </c>
      <c r="GF74">
        <v>5</v>
      </c>
      <c r="GH74">
        <v>1</v>
      </c>
      <c r="GU74">
        <v>5</v>
      </c>
      <c r="GX74">
        <v>2</v>
      </c>
      <c r="GY74">
        <v>3</v>
      </c>
      <c r="GZ74">
        <v>1</v>
      </c>
      <c r="HA74">
        <v>1</v>
      </c>
      <c r="HB74">
        <v>1</v>
      </c>
      <c r="HC74">
        <v>1</v>
      </c>
      <c r="HD74">
        <v>1</v>
      </c>
      <c r="HE74">
        <v>1</v>
      </c>
      <c r="HF74">
        <v>1</v>
      </c>
      <c r="HG74">
        <v>1</v>
      </c>
      <c r="HI74">
        <v>2</v>
      </c>
      <c r="HJ74">
        <v>1</v>
      </c>
      <c r="HK74">
        <v>1</v>
      </c>
      <c r="HL74">
        <v>1</v>
      </c>
      <c r="HM74">
        <v>3</v>
      </c>
      <c r="HN74">
        <v>3</v>
      </c>
      <c r="HO74">
        <v>3</v>
      </c>
      <c r="HP74">
        <v>3</v>
      </c>
      <c r="HQ74">
        <v>3</v>
      </c>
      <c r="HR74">
        <v>3</v>
      </c>
      <c r="HS74">
        <v>3</v>
      </c>
      <c r="HT74">
        <v>2</v>
      </c>
      <c r="HU74">
        <v>2</v>
      </c>
      <c r="HV74">
        <v>2</v>
      </c>
      <c r="HW74">
        <v>2</v>
      </c>
      <c r="HX74">
        <v>2</v>
      </c>
      <c r="HY74">
        <v>2</v>
      </c>
      <c r="IA74">
        <v>3</v>
      </c>
      <c r="IB74">
        <v>4</v>
      </c>
      <c r="IC74">
        <v>4</v>
      </c>
      <c r="ID74">
        <v>4</v>
      </c>
      <c r="IE74">
        <v>2</v>
      </c>
      <c r="IF74">
        <v>2</v>
      </c>
      <c r="IG74">
        <v>2</v>
      </c>
      <c r="IH74">
        <v>2</v>
      </c>
      <c r="II74">
        <v>2</v>
      </c>
      <c r="IJ74">
        <v>1</v>
      </c>
      <c r="IK74">
        <v>1</v>
      </c>
      <c r="IL74">
        <v>4</v>
      </c>
      <c r="IM74">
        <v>4</v>
      </c>
      <c r="IN74">
        <v>3</v>
      </c>
      <c r="IO74">
        <v>2</v>
      </c>
      <c r="IP74">
        <v>3</v>
      </c>
      <c r="IQ74">
        <v>2</v>
      </c>
      <c r="IR74">
        <v>2</v>
      </c>
      <c r="IS74">
        <v>2</v>
      </c>
      <c r="IT74">
        <v>2</v>
      </c>
      <c r="IU74">
        <v>2</v>
      </c>
    </row>
    <row r="75" spans="1:255" x14ac:dyDescent="0.2">
      <c r="A75" t="str">
        <f t="shared" si="1"/>
        <v>Körperbeherrschung</v>
      </c>
      <c r="J75">
        <v>3</v>
      </c>
      <c r="K75">
        <v>5</v>
      </c>
      <c r="L75">
        <v>5</v>
      </c>
      <c r="M75">
        <v>5</v>
      </c>
      <c r="N75">
        <v>7</v>
      </c>
      <c r="O75">
        <v>5</v>
      </c>
      <c r="P75">
        <v>5</v>
      </c>
      <c r="Q75">
        <v>5</v>
      </c>
      <c r="R75">
        <v>5</v>
      </c>
      <c r="S75">
        <v>5</v>
      </c>
      <c r="T75">
        <v>5</v>
      </c>
      <c r="AA75">
        <v>2</v>
      </c>
      <c r="AB75">
        <v>1</v>
      </c>
      <c r="AD75">
        <v>2</v>
      </c>
      <c r="AH75">
        <v>4</v>
      </c>
      <c r="AJ75">
        <v>4</v>
      </c>
      <c r="AK75">
        <v>4</v>
      </c>
      <c r="AR75">
        <v>1</v>
      </c>
      <c r="AS75">
        <v>1</v>
      </c>
      <c r="AT75">
        <v>1</v>
      </c>
      <c r="AU75">
        <v>1</v>
      </c>
      <c r="AV75">
        <v>1</v>
      </c>
      <c r="AW75">
        <v>1</v>
      </c>
      <c r="AX75">
        <v>2</v>
      </c>
      <c r="AY75">
        <v>1</v>
      </c>
      <c r="BP75">
        <v>3</v>
      </c>
      <c r="BQ75">
        <v>3</v>
      </c>
      <c r="BR75">
        <v>3</v>
      </c>
      <c r="BX75">
        <v>1</v>
      </c>
      <c r="BZ75">
        <v>2</v>
      </c>
      <c r="CC75">
        <v>1</v>
      </c>
      <c r="CW75">
        <v>1</v>
      </c>
      <c r="CX75">
        <v>1</v>
      </c>
      <c r="CY75">
        <v>1</v>
      </c>
      <c r="CZ75">
        <v>1</v>
      </c>
      <c r="DA75">
        <v>1</v>
      </c>
      <c r="DB75">
        <v>1</v>
      </c>
      <c r="DC75">
        <v>1</v>
      </c>
      <c r="DD75">
        <v>1</v>
      </c>
      <c r="DE75">
        <v>1</v>
      </c>
      <c r="DF75">
        <v>1</v>
      </c>
      <c r="DG75">
        <v>1</v>
      </c>
      <c r="DH75">
        <v>1</v>
      </c>
      <c r="DI75">
        <v>1</v>
      </c>
      <c r="DJ75">
        <v>1</v>
      </c>
      <c r="DK75">
        <v>1</v>
      </c>
      <c r="DL75">
        <v>1</v>
      </c>
      <c r="DM75">
        <v>1</v>
      </c>
      <c r="DN75">
        <v>1</v>
      </c>
      <c r="DO75">
        <v>1</v>
      </c>
      <c r="DP75">
        <v>1</v>
      </c>
      <c r="DQ75">
        <v>1</v>
      </c>
      <c r="DR75">
        <v>1</v>
      </c>
      <c r="DS75">
        <v>1</v>
      </c>
      <c r="DT75">
        <v>1</v>
      </c>
      <c r="DU75">
        <v>1</v>
      </c>
      <c r="DV75">
        <v>1</v>
      </c>
      <c r="DW75">
        <v>1</v>
      </c>
      <c r="DX75">
        <v>1</v>
      </c>
      <c r="DY75">
        <v>1</v>
      </c>
      <c r="DZ75">
        <v>1</v>
      </c>
      <c r="EA75">
        <v>1</v>
      </c>
      <c r="EB75">
        <v>1</v>
      </c>
      <c r="EC75">
        <v>1</v>
      </c>
      <c r="ED75">
        <v>1</v>
      </c>
      <c r="EE75">
        <v>1</v>
      </c>
      <c r="EF75">
        <v>1</v>
      </c>
      <c r="EG75">
        <v>1</v>
      </c>
      <c r="EH75">
        <v>1</v>
      </c>
      <c r="EI75">
        <v>1</v>
      </c>
      <c r="EJ75">
        <v>1</v>
      </c>
      <c r="EK75">
        <v>1</v>
      </c>
      <c r="EL75">
        <v>1</v>
      </c>
      <c r="EM75">
        <v>1</v>
      </c>
      <c r="EN75">
        <v>1</v>
      </c>
      <c r="EO75">
        <v>1</v>
      </c>
      <c r="EP75">
        <v>1</v>
      </c>
      <c r="EQ75">
        <v>1</v>
      </c>
      <c r="ER75">
        <v>1</v>
      </c>
      <c r="ES75">
        <v>1</v>
      </c>
      <c r="ET75">
        <v>1</v>
      </c>
      <c r="EU75">
        <v>1</v>
      </c>
      <c r="EV75">
        <v>1</v>
      </c>
      <c r="EW75">
        <v>1</v>
      </c>
      <c r="EX75">
        <v>1</v>
      </c>
      <c r="EY75">
        <v>1</v>
      </c>
      <c r="EZ75">
        <v>1</v>
      </c>
      <c r="FA75">
        <v>1</v>
      </c>
      <c r="FB75">
        <v>1</v>
      </c>
      <c r="FC75">
        <v>1</v>
      </c>
      <c r="FD75">
        <v>1</v>
      </c>
      <c r="FE75">
        <v>1</v>
      </c>
      <c r="FF75">
        <v>1</v>
      </c>
      <c r="FG75">
        <v>1</v>
      </c>
      <c r="FH75">
        <v>1</v>
      </c>
      <c r="FI75">
        <v>1</v>
      </c>
      <c r="FJ75">
        <v>1</v>
      </c>
      <c r="FK75">
        <v>1</v>
      </c>
      <c r="FL75">
        <v>1</v>
      </c>
      <c r="FM75">
        <v>1</v>
      </c>
      <c r="FN75">
        <v>1</v>
      </c>
      <c r="FO75">
        <v>1</v>
      </c>
      <c r="FP75">
        <v>1</v>
      </c>
      <c r="FQ75">
        <v>1</v>
      </c>
      <c r="FR75">
        <v>1</v>
      </c>
      <c r="FS75">
        <v>2</v>
      </c>
      <c r="FT75">
        <v>2</v>
      </c>
      <c r="FZ75">
        <v>2</v>
      </c>
      <c r="GA75">
        <v>3</v>
      </c>
      <c r="GB75">
        <v>3</v>
      </c>
      <c r="GC75">
        <v>2</v>
      </c>
      <c r="GD75">
        <v>2</v>
      </c>
      <c r="GE75">
        <v>3</v>
      </c>
      <c r="GF75">
        <v>2</v>
      </c>
      <c r="GG75">
        <v>3</v>
      </c>
      <c r="GH75">
        <v>3</v>
      </c>
      <c r="GI75">
        <v>3</v>
      </c>
      <c r="GJ75">
        <v>5</v>
      </c>
      <c r="GQ75">
        <v>1</v>
      </c>
      <c r="GR75">
        <v>1</v>
      </c>
      <c r="GS75">
        <v>1</v>
      </c>
      <c r="GT75">
        <v>1</v>
      </c>
      <c r="GU75">
        <v>1</v>
      </c>
      <c r="GV75">
        <v>1</v>
      </c>
      <c r="GW75">
        <v>3</v>
      </c>
      <c r="GX75">
        <v>1</v>
      </c>
      <c r="GY75">
        <v>2</v>
      </c>
      <c r="GZ75">
        <v>1</v>
      </c>
      <c r="HA75">
        <v>2</v>
      </c>
      <c r="HB75">
        <v>2</v>
      </c>
      <c r="HC75">
        <v>2</v>
      </c>
      <c r="HD75">
        <v>2</v>
      </c>
      <c r="HE75">
        <v>2</v>
      </c>
      <c r="HF75">
        <v>2</v>
      </c>
      <c r="HG75">
        <v>2</v>
      </c>
      <c r="HH75">
        <v>2</v>
      </c>
      <c r="HI75">
        <v>2</v>
      </c>
      <c r="HJ75">
        <v>1</v>
      </c>
      <c r="HK75">
        <v>3</v>
      </c>
      <c r="HL75">
        <v>2</v>
      </c>
      <c r="HM75">
        <v>3</v>
      </c>
      <c r="HN75">
        <v>3</v>
      </c>
      <c r="HO75">
        <v>3</v>
      </c>
      <c r="HP75">
        <v>3</v>
      </c>
      <c r="HQ75">
        <v>3</v>
      </c>
      <c r="HR75">
        <v>3</v>
      </c>
      <c r="HS75">
        <v>3</v>
      </c>
      <c r="HT75">
        <v>2</v>
      </c>
      <c r="HU75">
        <v>2</v>
      </c>
      <c r="HV75">
        <v>2</v>
      </c>
      <c r="HW75">
        <v>2</v>
      </c>
      <c r="HX75">
        <v>2</v>
      </c>
      <c r="HY75">
        <v>2</v>
      </c>
      <c r="HZ75">
        <v>2</v>
      </c>
      <c r="IA75">
        <v>2</v>
      </c>
      <c r="IB75">
        <v>1</v>
      </c>
      <c r="IC75">
        <v>1</v>
      </c>
      <c r="ID75">
        <v>1</v>
      </c>
      <c r="IE75">
        <v>2</v>
      </c>
      <c r="IF75">
        <v>2</v>
      </c>
      <c r="IG75">
        <v>2</v>
      </c>
      <c r="IH75">
        <v>4</v>
      </c>
      <c r="II75">
        <v>2</v>
      </c>
      <c r="IJ75">
        <v>1</v>
      </c>
      <c r="IK75">
        <v>1</v>
      </c>
      <c r="IL75">
        <v>3</v>
      </c>
      <c r="IM75">
        <v>4</v>
      </c>
      <c r="IN75">
        <v>3</v>
      </c>
      <c r="IO75">
        <v>3</v>
      </c>
      <c r="IP75">
        <v>3</v>
      </c>
      <c r="IQ75">
        <v>2</v>
      </c>
      <c r="IR75">
        <v>4</v>
      </c>
      <c r="IS75">
        <v>2</v>
      </c>
      <c r="IT75">
        <v>2</v>
      </c>
      <c r="IU75">
        <v>2</v>
      </c>
    </row>
    <row r="76" spans="1:255" x14ac:dyDescent="0.2">
      <c r="A76" t="str">
        <f t="shared" si="1"/>
        <v>Reiten</v>
      </c>
      <c r="U76">
        <v>3</v>
      </c>
      <c r="V76">
        <v>3</v>
      </c>
      <c r="W76">
        <v>3</v>
      </c>
      <c r="X76">
        <v>3</v>
      </c>
      <c r="Z76">
        <v>3</v>
      </c>
      <c r="AA76">
        <v>3</v>
      </c>
      <c r="AB76">
        <v>3</v>
      </c>
      <c r="AC76">
        <v>2</v>
      </c>
      <c r="AD76">
        <v>2</v>
      </c>
      <c r="AE76">
        <v>2</v>
      </c>
      <c r="AF76">
        <v>2</v>
      </c>
      <c r="AG76">
        <v>2</v>
      </c>
      <c r="AH76">
        <v>2</v>
      </c>
      <c r="AI76">
        <v>3</v>
      </c>
      <c r="AM76">
        <v>2</v>
      </c>
      <c r="AW76">
        <v>3</v>
      </c>
      <c r="AX76">
        <v>3</v>
      </c>
      <c r="AY76">
        <v>3</v>
      </c>
      <c r="BG76">
        <v>2</v>
      </c>
      <c r="BI76">
        <v>2</v>
      </c>
      <c r="BS76">
        <v>1</v>
      </c>
      <c r="BT76">
        <v>1</v>
      </c>
      <c r="BU76">
        <v>1</v>
      </c>
      <c r="BV76">
        <v>1</v>
      </c>
      <c r="BW76">
        <v>1</v>
      </c>
      <c r="BX76">
        <v>2</v>
      </c>
      <c r="BY76">
        <v>2</v>
      </c>
      <c r="GH76">
        <v>2</v>
      </c>
      <c r="GJ76">
        <v>7</v>
      </c>
      <c r="GQ76">
        <v>5</v>
      </c>
      <c r="GR76">
        <v>7</v>
      </c>
      <c r="GS76">
        <v>5</v>
      </c>
      <c r="GT76">
        <v>5</v>
      </c>
      <c r="GV76">
        <v>5</v>
      </c>
      <c r="GW76">
        <v>2</v>
      </c>
      <c r="GX76">
        <v>3</v>
      </c>
      <c r="GY76">
        <v>2</v>
      </c>
      <c r="GZ76">
        <v>3</v>
      </c>
      <c r="HA76">
        <v>3</v>
      </c>
      <c r="HH76">
        <v>2</v>
      </c>
      <c r="HJ76">
        <v>2</v>
      </c>
      <c r="HL76">
        <v>3</v>
      </c>
      <c r="HM76">
        <v>1</v>
      </c>
      <c r="HN76">
        <v>6</v>
      </c>
      <c r="HO76">
        <v>1</v>
      </c>
      <c r="HP76">
        <v>5</v>
      </c>
      <c r="HQ76">
        <v>1</v>
      </c>
      <c r="HS76">
        <v>2</v>
      </c>
      <c r="HY76">
        <v>5</v>
      </c>
      <c r="HZ76">
        <v>5</v>
      </c>
      <c r="IJ76">
        <v>2</v>
      </c>
      <c r="IK76">
        <v>2</v>
      </c>
      <c r="IQ76">
        <v>2</v>
      </c>
      <c r="IR76">
        <v>4</v>
      </c>
    </row>
    <row r="77" spans="1:255" x14ac:dyDescent="0.2">
      <c r="A77" t="str">
        <f t="shared" si="1"/>
        <v>Schleichen</v>
      </c>
      <c r="I77">
        <v>3</v>
      </c>
      <c r="J77">
        <v>3</v>
      </c>
      <c r="K77">
        <v>5</v>
      </c>
      <c r="L77">
        <v>3</v>
      </c>
      <c r="AH77">
        <v>1</v>
      </c>
      <c r="AI77">
        <v>1</v>
      </c>
      <c r="AJ77">
        <v>2</v>
      </c>
      <c r="AK77">
        <v>3</v>
      </c>
      <c r="AM77">
        <v>1</v>
      </c>
      <c r="AO77">
        <v>3</v>
      </c>
      <c r="AP77">
        <v>3</v>
      </c>
      <c r="AQ77">
        <v>3</v>
      </c>
      <c r="AR77">
        <v>3</v>
      </c>
      <c r="AS77">
        <v>3</v>
      </c>
      <c r="AT77">
        <v>3</v>
      </c>
      <c r="AU77">
        <v>3</v>
      </c>
      <c r="AV77">
        <v>3</v>
      </c>
      <c r="AW77">
        <v>1</v>
      </c>
      <c r="AX77">
        <v>1</v>
      </c>
      <c r="AY77">
        <v>1</v>
      </c>
      <c r="BR77">
        <v>2</v>
      </c>
      <c r="BS77">
        <v>2</v>
      </c>
      <c r="BT77">
        <v>2</v>
      </c>
      <c r="BU77">
        <v>2</v>
      </c>
      <c r="BV77">
        <v>2</v>
      </c>
      <c r="BW77">
        <v>2</v>
      </c>
      <c r="BX77">
        <v>2</v>
      </c>
      <c r="BY77">
        <v>2</v>
      </c>
      <c r="BZ77">
        <v>2</v>
      </c>
      <c r="FS77">
        <v>4</v>
      </c>
      <c r="FT77">
        <v>2</v>
      </c>
      <c r="GZ77">
        <v>1</v>
      </c>
      <c r="HA77">
        <v>1</v>
      </c>
      <c r="HI77">
        <v>4</v>
      </c>
      <c r="HJ77">
        <v>2</v>
      </c>
      <c r="HK77">
        <v>2</v>
      </c>
      <c r="HL77">
        <v>3</v>
      </c>
      <c r="HM77">
        <v>2</v>
      </c>
      <c r="HN77">
        <v>2</v>
      </c>
      <c r="HO77">
        <v>2</v>
      </c>
      <c r="HP77">
        <v>4</v>
      </c>
      <c r="HQ77">
        <v>2</v>
      </c>
      <c r="HR77">
        <v>2</v>
      </c>
      <c r="HS77">
        <v>2</v>
      </c>
      <c r="HT77">
        <v>5</v>
      </c>
      <c r="HU77">
        <v>5</v>
      </c>
      <c r="HV77">
        <v>5</v>
      </c>
      <c r="HW77">
        <v>3</v>
      </c>
      <c r="HX77">
        <v>5</v>
      </c>
      <c r="IA77">
        <v>4</v>
      </c>
      <c r="IJ77">
        <v>4</v>
      </c>
      <c r="IK77">
        <v>2</v>
      </c>
      <c r="IO77">
        <v>1</v>
      </c>
      <c r="IQ77">
        <v>1</v>
      </c>
      <c r="IR77">
        <v>1</v>
      </c>
      <c r="IS77">
        <v>2</v>
      </c>
      <c r="IT77">
        <v>2</v>
      </c>
      <c r="IU77">
        <v>3</v>
      </c>
    </row>
    <row r="78" spans="1:255" x14ac:dyDescent="0.2">
      <c r="A78" t="str">
        <f t="shared" si="1"/>
        <v>Schwimmen</v>
      </c>
      <c r="BC78">
        <v>1</v>
      </c>
      <c r="CG78">
        <v>1</v>
      </c>
      <c r="FS78">
        <v>2</v>
      </c>
      <c r="FT78">
        <v>4</v>
      </c>
      <c r="GB78">
        <v>1</v>
      </c>
      <c r="GD78">
        <v>2</v>
      </c>
      <c r="GQ78">
        <v>1</v>
      </c>
      <c r="GR78">
        <v>1</v>
      </c>
      <c r="GS78">
        <v>1</v>
      </c>
      <c r="GT78">
        <v>1</v>
      </c>
      <c r="GV78">
        <v>1</v>
      </c>
      <c r="GW78">
        <v>3</v>
      </c>
      <c r="GX78">
        <v>1</v>
      </c>
      <c r="GY78">
        <v>2</v>
      </c>
      <c r="GZ78">
        <v>1</v>
      </c>
      <c r="HA78">
        <v>2</v>
      </c>
      <c r="HB78">
        <v>4</v>
      </c>
      <c r="HC78">
        <v>7</v>
      </c>
      <c r="HD78">
        <v>4</v>
      </c>
      <c r="HE78">
        <v>7</v>
      </c>
      <c r="HF78">
        <v>4</v>
      </c>
      <c r="HG78">
        <v>7</v>
      </c>
      <c r="HI78">
        <v>2</v>
      </c>
      <c r="HJ78">
        <v>1</v>
      </c>
      <c r="HK78">
        <v>1</v>
      </c>
      <c r="HM78">
        <v>2</v>
      </c>
      <c r="HN78">
        <v>2</v>
      </c>
      <c r="HO78">
        <v>2</v>
      </c>
      <c r="HP78">
        <v>2</v>
      </c>
      <c r="HQ78">
        <v>2</v>
      </c>
      <c r="HR78">
        <v>2</v>
      </c>
      <c r="HS78">
        <v>4</v>
      </c>
      <c r="HT78">
        <v>2</v>
      </c>
      <c r="HU78">
        <v>2</v>
      </c>
      <c r="HV78">
        <v>2</v>
      </c>
      <c r="HW78">
        <v>1</v>
      </c>
      <c r="HX78">
        <v>2</v>
      </c>
      <c r="IA78">
        <v>2</v>
      </c>
      <c r="IE78">
        <v>4</v>
      </c>
      <c r="IF78">
        <v>2</v>
      </c>
      <c r="IG78">
        <v>2</v>
      </c>
      <c r="IH78">
        <v>4</v>
      </c>
      <c r="II78">
        <v>2</v>
      </c>
      <c r="IJ78">
        <v>1</v>
      </c>
      <c r="IK78">
        <v>1</v>
      </c>
      <c r="IL78">
        <v>2</v>
      </c>
      <c r="IM78">
        <v>3</v>
      </c>
      <c r="IN78">
        <v>4</v>
      </c>
      <c r="IO78">
        <v>2</v>
      </c>
      <c r="IP78">
        <v>2</v>
      </c>
    </row>
    <row r="79" spans="1:255" x14ac:dyDescent="0.2">
      <c r="A79" t="str">
        <f t="shared" si="1"/>
        <v>Selbstbeherrschung</v>
      </c>
      <c r="C79">
        <v>2</v>
      </c>
      <c r="D79">
        <v>1</v>
      </c>
      <c r="E79">
        <v>1</v>
      </c>
      <c r="F79">
        <v>1</v>
      </c>
      <c r="G79">
        <v>1</v>
      </c>
      <c r="H79">
        <v>2</v>
      </c>
      <c r="I79">
        <v>3</v>
      </c>
      <c r="J79">
        <v>2</v>
      </c>
      <c r="K79">
        <v>2</v>
      </c>
      <c r="L79">
        <v>3</v>
      </c>
      <c r="N79">
        <v>1</v>
      </c>
      <c r="O79">
        <v>1</v>
      </c>
      <c r="S79">
        <v>1</v>
      </c>
      <c r="U79">
        <v>2</v>
      </c>
      <c r="V79">
        <v>2</v>
      </c>
      <c r="W79">
        <v>2</v>
      </c>
      <c r="X79">
        <v>2</v>
      </c>
      <c r="Y79">
        <v>2</v>
      </c>
      <c r="Z79">
        <v>2</v>
      </c>
      <c r="AA79">
        <v>2</v>
      </c>
      <c r="AB79">
        <v>1</v>
      </c>
      <c r="AC79">
        <v>2</v>
      </c>
      <c r="AD79">
        <v>2</v>
      </c>
      <c r="AE79">
        <v>2</v>
      </c>
      <c r="AF79">
        <v>2</v>
      </c>
      <c r="AG79">
        <v>2</v>
      </c>
      <c r="AH79">
        <v>2</v>
      </c>
      <c r="AJ79">
        <v>4</v>
      </c>
      <c r="AK79">
        <v>4</v>
      </c>
      <c r="AL79">
        <v>2</v>
      </c>
      <c r="AR79">
        <v>1</v>
      </c>
      <c r="AS79">
        <v>1</v>
      </c>
      <c r="AT79">
        <v>1</v>
      </c>
      <c r="AU79">
        <v>3</v>
      </c>
      <c r="AV79">
        <v>1</v>
      </c>
      <c r="AW79">
        <v>1</v>
      </c>
      <c r="AX79">
        <v>2</v>
      </c>
      <c r="AY79">
        <v>1</v>
      </c>
      <c r="AZ79">
        <v>2</v>
      </c>
      <c r="BC79">
        <v>4</v>
      </c>
      <c r="BD79">
        <v>1</v>
      </c>
      <c r="BE79">
        <v>1</v>
      </c>
      <c r="BF79">
        <v>2</v>
      </c>
      <c r="BG79">
        <v>1</v>
      </c>
      <c r="BH79">
        <v>1</v>
      </c>
      <c r="BI79">
        <v>1</v>
      </c>
      <c r="BJ79">
        <v>1</v>
      </c>
      <c r="BK79">
        <v>2</v>
      </c>
      <c r="BL79">
        <v>1</v>
      </c>
      <c r="BM79">
        <v>2</v>
      </c>
      <c r="BN79">
        <v>1</v>
      </c>
      <c r="BO79">
        <v>1</v>
      </c>
      <c r="BP79">
        <v>3</v>
      </c>
      <c r="BQ79">
        <v>5</v>
      </c>
      <c r="BR79">
        <v>4</v>
      </c>
      <c r="BS79">
        <v>1</v>
      </c>
      <c r="BT79">
        <v>1</v>
      </c>
      <c r="BU79">
        <v>2</v>
      </c>
      <c r="BV79">
        <v>2</v>
      </c>
      <c r="BW79">
        <v>1</v>
      </c>
      <c r="BX79">
        <v>1</v>
      </c>
      <c r="BY79">
        <v>1</v>
      </c>
      <c r="BZ79">
        <v>3</v>
      </c>
      <c r="CA79">
        <v>1</v>
      </c>
      <c r="CB79">
        <v>1</v>
      </c>
      <c r="CC79">
        <v>1</v>
      </c>
      <c r="CD79">
        <v>1</v>
      </c>
      <c r="CE79">
        <v>1</v>
      </c>
      <c r="CF79">
        <v>1</v>
      </c>
      <c r="CG79">
        <v>1</v>
      </c>
      <c r="CH79">
        <v>1</v>
      </c>
      <c r="CI79">
        <v>1</v>
      </c>
      <c r="CJ79">
        <v>1</v>
      </c>
      <c r="CL79">
        <v>1</v>
      </c>
      <c r="CO79">
        <v>1</v>
      </c>
      <c r="CP79">
        <v>1</v>
      </c>
      <c r="CR79">
        <v>1</v>
      </c>
      <c r="CW79">
        <v>1</v>
      </c>
      <c r="CX79">
        <v>1</v>
      </c>
      <c r="CY79">
        <v>1</v>
      </c>
      <c r="CZ79">
        <v>1</v>
      </c>
      <c r="DA79">
        <v>1</v>
      </c>
      <c r="DB79">
        <v>1</v>
      </c>
      <c r="DC79">
        <v>1</v>
      </c>
      <c r="DD79">
        <v>1</v>
      </c>
      <c r="DE79">
        <v>1</v>
      </c>
      <c r="DF79">
        <v>1</v>
      </c>
      <c r="DG79">
        <v>1</v>
      </c>
      <c r="DH79">
        <v>1</v>
      </c>
      <c r="DI79">
        <v>1</v>
      </c>
      <c r="DJ79">
        <v>1</v>
      </c>
      <c r="DK79">
        <v>1</v>
      </c>
      <c r="DL79">
        <v>1</v>
      </c>
      <c r="DM79">
        <v>1</v>
      </c>
      <c r="DN79">
        <v>1</v>
      </c>
      <c r="DO79">
        <v>1</v>
      </c>
      <c r="DP79">
        <v>1</v>
      </c>
      <c r="DQ79">
        <v>1</v>
      </c>
      <c r="DR79">
        <v>1</v>
      </c>
      <c r="DS79">
        <v>1</v>
      </c>
      <c r="DT79">
        <v>1</v>
      </c>
      <c r="DU79">
        <v>1</v>
      </c>
      <c r="DV79">
        <v>1</v>
      </c>
      <c r="DW79">
        <v>1</v>
      </c>
      <c r="DX79">
        <v>1</v>
      </c>
      <c r="DY79">
        <v>1</v>
      </c>
      <c r="DZ79">
        <v>1</v>
      </c>
      <c r="EA79">
        <v>1</v>
      </c>
      <c r="EB79">
        <v>1</v>
      </c>
      <c r="EC79">
        <v>1</v>
      </c>
      <c r="ED79">
        <v>1</v>
      </c>
      <c r="EE79">
        <v>1</v>
      </c>
      <c r="EF79">
        <v>1</v>
      </c>
      <c r="EG79">
        <v>1</v>
      </c>
      <c r="EH79">
        <v>1</v>
      </c>
      <c r="EI79">
        <v>1</v>
      </c>
      <c r="EJ79">
        <v>1</v>
      </c>
      <c r="EK79">
        <v>1</v>
      </c>
      <c r="EL79">
        <v>1</v>
      </c>
      <c r="EM79">
        <v>1</v>
      </c>
      <c r="EN79">
        <v>1</v>
      </c>
      <c r="EO79">
        <v>1</v>
      </c>
      <c r="EP79">
        <v>1</v>
      </c>
      <c r="EQ79">
        <v>1</v>
      </c>
      <c r="ER79">
        <v>1</v>
      </c>
      <c r="ES79">
        <v>1</v>
      </c>
      <c r="ET79">
        <v>1</v>
      </c>
      <c r="EU79">
        <v>1</v>
      </c>
      <c r="EV79">
        <v>1</v>
      </c>
      <c r="EW79">
        <v>1</v>
      </c>
      <c r="EX79">
        <v>1</v>
      </c>
      <c r="EY79">
        <v>1</v>
      </c>
      <c r="EZ79">
        <v>1</v>
      </c>
      <c r="FA79">
        <v>1</v>
      </c>
      <c r="FB79">
        <v>1</v>
      </c>
      <c r="FC79">
        <v>1</v>
      </c>
      <c r="FD79">
        <v>1</v>
      </c>
      <c r="FE79">
        <v>1</v>
      </c>
      <c r="FF79">
        <v>1</v>
      </c>
      <c r="FG79">
        <v>1</v>
      </c>
      <c r="FH79">
        <v>1</v>
      </c>
      <c r="FI79">
        <v>1</v>
      </c>
      <c r="FJ79">
        <v>1</v>
      </c>
      <c r="FK79">
        <v>1</v>
      </c>
      <c r="FL79">
        <v>1</v>
      </c>
      <c r="FM79">
        <v>1</v>
      </c>
      <c r="FN79">
        <v>1</v>
      </c>
      <c r="FO79">
        <v>1</v>
      </c>
      <c r="FP79">
        <v>1</v>
      </c>
      <c r="FQ79">
        <v>1</v>
      </c>
      <c r="FR79">
        <v>1</v>
      </c>
      <c r="FS79">
        <v>2</v>
      </c>
      <c r="FT79">
        <v>2</v>
      </c>
      <c r="FZ79">
        <v>2</v>
      </c>
      <c r="GA79">
        <v>2</v>
      </c>
      <c r="GB79">
        <v>2</v>
      </c>
      <c r="GC79">
        <v>4</v>
      </c>
      <c r="GD79">
        <v>2</v>
      </c>
      <c r="GE79">
        <v>2</v>
      </c>
      <c r="GF79">
        <v>2</v>
      </c>
      <c r="GG79">
        <v>3</v>
      </c>
      <c r="GH79">
        <v>3</v>
      </c>
      <c r="GI79">
        <v>4</v>
      </c>
      <c r="GJ79">
        <v>3</v>
      </c>
      <c r="GK79">
        <v>2</v>
      </c>
      <c r="GL79">
        <v>4</v>
      </c>
      <c r="GM79">
        <v>2</v>
      </c>
      <c r="GN79">
        <v>2</v>
      </c>
      <c r="GO79">
        <v>2</v>
      </c>
      <c r="GQ79">
        <v>4</v>
      </c>
      <c r="GR79">
        <v>5</v>
      </c>
      <c r="GS79">
        <v>4</v>
      </c>
      <c r="GT79">
        <v>4</v>
      </c>
      <c r="GU79">
        <v>4</v>
      </c>
      <c r="GV79">
        <v>4</v>
      </c>
      <c r="GW79">
        <v>4</v>
      </c>
      <c r="HB79">
        <v>1</v>
      </c>
      <c r="HC79">
        <v>2</v>
      </c>
      <c r="HD79">
        <v>1</v>
      </c>
      <c r="HE79">
        <v>1</v>
      </c>
      <c r="HF79">
        <v>1</v>
      </c>
      <c r="HG79">
        <v>1</v>
      </c>
      <c r="HH79">
        <v>1</v>
      </c>
      <c r="HI79">
        <v>2</v>
      </c>
      <c r="HJ79">
        <v>2</v>
      </c>
      <c r="HK79">
        <v>2</v>
      </c>
      <c r="HL79">
        <v>2</v>
      </c>
      <c r="HT79">
        <v>2</v>
      </c>
      <c r="HU79">
        <v>2</v>
      </c>
      <c r="HV79">
        <v>2</v>
      </c>
      <c r="HW79">
        <v>2</v>
      </c>
      <c r="HX79">
        <v>2</v>
      </c>
      <c r="HY79">
        <v>2</v>
      </c>
      <c r="HZ79">
        <v>3</v>
      </c>
      <c r="IA79">
        <v>2</v>
      </c>
      <c r="IE79">
        <v>1</v>
      </c>
      <c r="IF79">
        <v>1</v>
      </c>
      <c r="IG79">
        <v>1</v>
      </c>
      <c r="IH79">
        <v>1</v>
      </c>
      <c r="II79">
        <v>1</v>
      </c>
      <c r="IL79">
        <v>1</v>
      </c>
      <c r="IM79">
        <v>1</v>
      </c>
      <c r="IN79">
        <v>1</v>
      </c>
      <c r="IO79">
        <v>2</v>
      </c>
      <c r="IP79">
        <v>1</v>
      </c>
      <c r="IS79">
        <v>1</v>
      </c>
      <c r="IT79">
        <v>1</v>
      </c>
    </row>
    <row r="80" spans="1:255" x14ac:dyDescent="0.2">
      <c r="A80" t="str">
        <f t="shared" si="1"/>
        <v>Sich Verstecken</v>
      </c>
      <c r="D80">
        <v>1</v>
      </c>
      <c r="E80">
        <v>1</v>
      </c>
      <c r="F80">
        <v>1</v>
      </c>
      <c r="G80">
        <v>1</v>
      </c>
      <c r="H80">
        <v>1</v>
      </c>
      <c r="I80">
        <v>4</v>
      </c>
      <c r="J80">
        <v>4</v>
      </c>
      <c r="K80">
        <v>5</v>
      </c>
      <c r="L80">
        <v>3</v>
      </c>
      <c r="M80">
        <v>1</v>
      </c>
      <c r="N80">
        <v>1</v>
      </c>
      <c r="O80">
        <v>1</v>
      </c>
      <c r="P80">
        <v>1</v>
      </c>
      <c r="Q80">
        <v>1</v>
      </c>
      <c r="R80">
        <v>1</v>
      </c>
      <c r="S80">
        <v>1</v>
      </c>
      <c r="T80">
        <v>1</v>
      </c>
      <c r="Y80">
        <v>1</v>
      </c>
      <c r="AI80">
        <v>1</v>
      </c>
      <c r="AJ80">
        <v>1</v>
      </c>
      <c r="AK80">
        <v>2</v>
      </c>
      <c r="AM80">
        <v>1</v>
      </c>
      <c r="AN80">
        <v>2</v>
      </c>
      <c r="AO80">
        <v>4</v>
      </c>
      <c r="AP80">
        <v>4</v>
      </c>
      <c r="AQ80">
        <v>4</v>
      </c>
      <c r="AR80">
        <v>3</v>
      </c>
      <c r="AS80">
        <v>3</v>
      </c>
      <c r="AT80">
        <v>3</v>
      </c>
      <c r="AU80">
        <v>3</v>
      </c>
      <c r="AV80">
        <v>3</v>
      </c>
      <c r="AW80">
        <v>2</v>
      </c>
      <c r="AX80">
        <v>2</v>
      </c>
      <c r="AY80">
        <v>2</v>
      </c>
      <c r="BF80">
        <v>1</v>
      </c>
      <c r="BS80">
        <v>2</v>
      </c>
      <c r="BT80">
        <v>2</v>
      </c>
      <c r="BU80">
        <v>3</v>
      </c>
      <c r="BV80">
        <v>3</v>
      </c>
      <c r="BW80">
        <v>2</v>
      </c>
      <c r="BX80">
        <v>2</v>
      </c>
      <c r="BY80">
        <v>2</v>
      </c>
      <c r="BZ80">
        <v>2</v>
      </c>
      <c r="FS80">
        <v>2</v>
      </c>
      <c r="FT80">
        <v>2</v>
      </c>
      <c r="FU80">
        <v>1</v>
      </c>
      <c r="FV80">
        <v>1</v>
      </c>
      <c r="FW80">
        <v>1</v>
      </c>
      <c r="FX80">
        <v>1</v>
      </c>
      <c r="GC80">
        <v>1</v>
      </c>
      <c r="GG80">
        <v>1</v>
      </c>
      <c r="GH80">
        <v>1</v>
      </c>
      <c r="GI80">
        <v>1</v>
      </c>
      <c r="GJ80">
        <v>1</v>
      </c>
      <c r="GZ80">
        <v>1</v>
      </c>
      <c r="HA80">
        <v>1</v>
      </c>
      <c r="HI80">
        <v>3</v>
      </c>
      <c r="HJ80">
        <v>3</v>
      </c>
      <c r="HK80">
        <v>3</v>
      </c>
      <c r="HL80">
        <v>3</v>
      </c>
      <c r="HM80">
        <v>2</v>
      </c>
      <c r="HN80">
        <v>2</v>
      </c>
      <c r="HO80">
        <v>2</v>
      </c>
      <c r="HP80">
        <v>2</v>
      </c>
      <c r="HQ80">
        <v>2</v>
      </c>
      <c r="HR80">
        <v>1</v>
      </c>
      <c r="HS80">
        <v>2</v>
      </c>
      <c r="HT80">
        <v>5</v>
      </c>
      <c r="HU80">
        <v>5</v>
      </c>
      <c r="HV80">
        <v>5</v>
      </c>
      <c r="HW80">
        <v>3</v>
      </c>
      <c r="HX80">
        <v>5</v>
      </c>
      <c r="IA80">
        <v>4</v>
      </c>
      <c r="IB80">
        <v>1</v>
      </c>
      <c r="IC80">
        <v>1</v>
      </c>
      <c r="ID80">
        <v>1</v>
      </c>
      <c r="II80">
        <v>3</v>
      </c>
      <c r="IJ80">
        <v>4</v>
      </c>
      <c r="IK80">
        <v>2</v>
      </c>
      <c r="IQ80">
        <v>2</v>
      </c>
      <c r="IR80">
        <v>2</v>
      </c>
      <c r="IS80">
        <v>4</v>
      </c>
      <c r="IT80">
        <v>3</v>
      </c>
      <c r="IU80">
        <v>3</v>
      </c>
    </row>
    <row r="81" spans="1:255" x14ac:dyDescent="0.2">
      <c r="A81" t="str">
        <f t="shared" si="1"/>
        <v>Singen</v>
      </c>
      <c r="C81">
        <v>3</v>
      </c>
      <c r="D81">
        <v>6</v>
      </c>
      <c r="E81">
        <v>2</v>
      </c>
      <c r="F81">
        <v>2</v>
      </c>
      <c r="G81">
        <v>7</v>
      </c>
      <c r="H81">
        <v>11</v>
      </c>
      <c r="P81">
        <v>3</v>
      </c>
      <c r="R81">
        <v>1</v>
      </c>
      <c r="AD81">
        <v>4</v>
      </c>
      <c r="AE81">
        <v>4</v>
      </c>
      <c r="AJ81">
        <v>1</v>
      </c>
      <c r="AL81">
        <v>1</v>
      </c>
      <c r="EH81">
        <v>1</v>
      </c>
      <c r="EI81">
        <v>1</v>
      </c>
      <c r="EJ81">
        <v>1</v>
      </c>
      <c r="EK81">
        <v>1</v>
      </c>
      <c r="EL81">
        <v>1</v>
      </c>
      <c r="EM81">
        <v>1</v>
      </c>
      <c r="EN81">
        <v>1</v>
      </c>
      <c r="EO81">
        <v>1</v>
      </c>
      <c r="EP81">
        <v>1</v>
      </c>
    </row>
    <row r="82" spans="1:255" x14ac:dyDescent="0.2">
      <c r="A82" t="str">
        <f t="shared" si="1"/>
        <v>Sinnenschärfe</v>
      </c>
      <c r="D82">
        <v>1</v>
      </c>
      <c r="E82">
        <v>1</v>
      </c>
      <c r="F82">
        <v>1</v>
      </c>
      <c r="G82">
        <v>1</v>
      </c>
      <c r="H82">
        <v>2</v>
      </c>
      <c r="I82">
        <v>2</v>
      </c>
      <c r="J82">
        <v>4</v>
      </c>
      <c r="K82">
        <v>3</v>
      </c>
      <c r="L82">
        <v>4</v>
      </c>
      <c r="P82">
        <v>1</v>
      </c>
      <c r="Q82">
        <v>4</v>
      </c>
      <c r="S82">
        <v>1</v>
      </c>
      <c r="U82">
        <v>1</v>
      </c>
      <c r="V82">
        <v>1</v>
      </c>
      <c r="W82">
        <v>1</v>
      </c>
      <c r="X82">
        <v>1</v>
      </c>
      <c r="Y82">
        <v>1</v>
      </c>
      <c r="Z82">
        <v>1</v>
      </c>
      <c r="AA82">
        <v>1</v>
      </c>
      <c r="AB82">
        <v>3</v>
      </c>
      <c r="AC82">
        <v>4</v>
      </c>
      <c r="AD82">
        <v>2</v>
      </c>
      <c r="AE82">
        <v>4</v>
      </c>
      <c r="AF82">
        <v>4</v>
      </c>
      <c r="AG82">
        <v>4</v>
      </c>
      <c r="AH82">
        <v>2</v>
      </c>
      <c r="AI82">
        <v>1</v>
      </c>
      <c r="AJ82">
        <v>1</v>
      </c>
      <c r="AK82">
        <v>1</v>
      </c>
      <c r="AM82">
        <v>4</v>
      </c>
      <c r="AN82">
        <v>4</v>
      </c>
      <c r="AO82">
        <v>3</v>
      </c>
      <c r="AP82">
        <v>3</v>
      </c>
      <c r="AQ82">
        <v>3</v>
      </c>
      <c r="AR82">
        <v>2</v>
      </c>
      <c r="AS82">
        <v>2</v>
      </c>
      <c r="AT82">
        <v>2</v>
      </c>
      <c r="AU82">
        <v>3</v>
      </c>
      <c r="AV82">
        <v>2</v>
      </c>
      <c r="AW82">
        <v>2</v>
      </c>
      <c r="AX82">
        <v>2</v>
      </c>
      <c r="AY82">
        <v>2</v>
      </c>
      <c r="AZ82">
        <v>2</v>
      </c>
      <c r="BC82">
        <v>2</v>
      </c>
      <c r="BD82">
        <v>1</v>
      </c>
      <c r="BE82">
        <v>1</v>
      </c>
      <c r="BF82">
        <v>1</v>
      </c>
      <c r="BG82">
        <v>1</v>
      </c>
      <c r="BH82">
        <v>3</v>
      </c>
      <c r="BI82">
        <v>1</v>
      </c>
      <c r="BJ82">
        <v>1</v>
      </c>
      <c r="BK82">
        <v>1</v>
      </c>
      <c r="BL82">
        <v>1</v>
      </c>
      <c r="BM82">
        <v>1</v>
      </c>
      <c r="BN82">
        <v>1</v>
      </c>
      <c r="BO82">
        <v>1</v>
      </c>
      <c r="BP82">
        <v>4</v>
      </c>
      <c r="BQ82">
        <v>5</v>
      </c>
      <c r="BR82">
        <v>4</v>
      </c>
      <c r="BS82">
        <v>2</v>
      </c>
      <c r="BT82">
        <v>2</v>
      </c>
      <c r="BU82">
        <v>2</v>
      </c>
      <c r="BV82">
        <v>2</v>
      </c>
      <c r="BW82">
        <v>2</v>
      </c>
      <c r="BX82">
        <v>2</v>
      </c>
      <c r="BY82">
        <v>2</v>
      </c>
      <c r="BZ82">
        <v>3</v>
      </c>
      <c r="CA82">
        <v>2</v>
      </c>
      <c r="CB82">
        <v>2</v>
      </c>
      <c r="CC82">
        <v>2</v>
      </c>
      <c r="CD82">
        <v>2</v>
      </c>
      <c r="CE82">
        <v>2</v>
      </c>
      <c r="CF82">
        <v>2</v>
      </c>
      <c r="CG82">
        <v>3</v>
      </c>
      <c r="CH82">
        <v>1</v>
      </c>
      <c r="CI82">
        <v>3</v>
      </c>
      <c r="CJ82">
        <v>3</v>
      </c>
      <c r="CL82">
        <v>1</v>
      </c>
      <c r="CP82">
        <v>1</v>
      </c>
      <c r="CS82">
        <v>2</v>
      </c>
      <c r="CT82">
        <v>4</v>
      </c>
      <c r="CW82">
        <v>1</v>
      </c>
      <c r="CX82">
        <v>1</v>
      </c>
      <c r="CY82">
        <v>2</v>
      </c>
      <c r="CZ82">
        <v>1</v>
      </c>
      <c r="DA82">
        <v>1</v>
      </c>
      <c r="DB82">
        <v>1</v>
      </c>
      <c r="DC82">
        <v>1</v>
      </c>
      <c r="DD82">
        <v>1</v>
      </c>
      <c r="DE82">
        <v>1</v>
      </c>
      <c r="DF82">
        <v>1</v>
      </c>
      <c r="DG82">
        <v>1</v>
      </c>
      <c r="DH82">
        <v>1</v>
      </c>
      <c r="DI82">
        <v>1</v>
      </c>
      <c r="DJ82">
        <v>1</v>
      </c>
      <c r="DK82">
        <v>1</v>
      </c>
      <c r="DL82">
        <v>1</v>
      </c>
      <c r="DM82">
        <v>1</v>
      </c>
      <c r="DN82">
        <v>1</v>
      </c>
      <c r="DO82">
        <v>1</v>
      </c>
      <c r="DP82">
        <v>1</v>
      </c>
      <c r="DQ82">
        <v>1</v>
      </c>
      <c r="DR82">
        <v>1</v>
      </c>
      <c r="DS82">
        <v>1</v>
      </c>
      <c r="DT82">
        <v>1</v>
      </c>
      <c r="DU82">
        <v>1</v>
      </c>
      <c r="DV82">
        <v>1</v>
      </c>
      <c r="DW82">
        <v>1</v>
      </c>
      <c r="DX82">
        <v>1</v>
      </c>
      <c r="DY82">
        <v>1</v>
      </c>
      <c r="DZ82">
        <v>1</v>
      </c>
      <c r="EA82">
        <v>1</v>
      </c>
      <c r="EB82">
        <v>1</v>
      </c>
      <c r="EC82">
        <v>1</v>
      </c>
      <c r="ED82">
        <v>1</v>
      </c>
      <c r="EE82">
        <v>1</v>
      </c>
      <c r="EF82">
        <v>1</v>
      </c>
      <c r="EG82">
        <v>1</v>
      </c>
      <c r="EH82">
        <v>1</v>
      </c>
      <c r="EI82">
        <v>1</v>
      </c>
      <c r="EJ82">
        <v>1</v>
      </c>
      <c r="EK82">
        <v>1</v>
      </c>
      <c r="EL82">
        <v>1</v>
      </c>
      <c r="EM82">
        <v>1</v>
      </c>
      <c r="EN82">
        <v>1</v>
      </c>
      <c r="EO82">
        <v>1</v>
      </c>
      <c r="EP82">
        <v>1</v>
      </c>
      <c r="EQ82">
        <v>1</v>
      </c>
      <c r="ER82">
        <v>1</v>
      </c>
      <c r="ES82">
        <v>1</v>
      </c>
      <c r="ET82">
        <v>1</v>
      </c>
      <c r="EU82">
        <v>1</v>
      </c>
      <c r="EV82">
        <v>1</v>
      </c>
      <c r="EW82">
        <v>1</v>
      </c>
      <c r="EX82">
        <v>1</v>
      </c>
      <c r="EY82">
        <v>1</v>
      </c>
      <c r="EZ82">
        <v>1</v>
      </c>
      <c r="FA82">
        <v>1</v>
      </c>
      <c r="FB82">
        <v>1</v>
      </c>
      <c r="FC82">
        <v>1</v>
      </c>
      <c r="FD82">
        <v>1</v>
      </c>
      <c r="FE82">
        <v>1</v>
      </c>
      <c r="FF82">
        <v>1</v>
      </c>
      <c r="FG82">
        <v>1</v>
      </c>
      <c r="FH82">
        <v>1</v>
      </c>
      <c r="FI82">
        <v>1</v>
      </c>
      <c r="FJ82">
        <v>1</v>
      </c>
      <c r="FK82">
        <v>1</v>
      </c>
      <c r="FL82">
        <v>1</v>
      </c>
      <c r="FM82">
        <v>1</v>
      </c>
      <c r="FN82">
        <v>1</v>
      </c>
      <c r="FO82">
        <v>1</v>
      </c>
      <c r="FP82">
        <v>1</v>
      </c>
      <c r="FQ82">
        <v>1</v>
      </c>
      <c r="FR82">
        <v>1</v>
      </c>
      <c r="FS82">
        <v>3</v>
      </c>
      <c r="FT82">
        <v>3</v>
      </c>
      <c r="GG82">
        <v>4</v>
      </c>
      <c r="GH82">
        <v>4</v>
      </c>
      <c r="GI82">
        <v>4</v>
      </c>
      <c r="GJ82">
        <v>4</v>
      </c>
      <c r="GK82">
        <v>2</v>
      </c>
      <c r="GL82">
        <v>2</v>
      </c>
      <c r="GM82">
        <v>2</v>
      </c>
      <c r="GN82">
        <v>2</v>
      </c>
      <c r="GO82">
        <v>2</v>
      </c>
      <c r="GQ82">
        <v>3</v>
      </c>
      <c r="GR82">
        <v>3</v>
      </c>
      <c r="GS82">
        <v>3</v>
      </c>
      <c r="GT82">
        <v>3</v>
      </c>
      <c r="GU82">
        <v>5</v>
      </c>
      <c r="GV82">
        <v>3</v>
      </c>
      <c r="GW82">
        <v>3</v>
      </c>
      <c r="GX82">
        <v>4</v>
      </c>
      <c r="GY82">
        <v>4</v>
      </c>
      <c r="GZ82">
        <v>2</v>
      </c>
      <c r="HA82">
        <v>2</v>
      </c>
      <c r="HB82">
        <v>2</v>
      </c>
      <c r="HC82">
        <v>2</v>
      </c>
      <c r="HD82">
        <v>2</v>
      </c>
      <c r="HE82">
        <v>2</v>
      </c>
      <c r="HF82">
        <v>2</v>
      </c>
      <c r="HG82">
        <v>2</v>
      </c>
      <c r="HH82">
        <v>1</v>
      </c>
      <c r="HI82">
        <v>5</v>
      </c>
      <c r="HJ82">
        <v>4</v>
      </c>
      <c r="HK82">
        <v>4</v>
      </c>
      <c r="HL82">
        <v>4</v>
      </c>
      <c r="HM82">
        <v>4</v>
      </c>
      <c r="HN82">
        <v>4</v>
      </c>
      <c r="HO82">
        <v>4</v>
      </c>
      <c r="HP82">
        <v>4</v>
      </c>
      <c r="HQ82">
        <v>4</v>
      </c>
      <c r="HR82">
        <v>4</v>
      </c>
      <c r="HS82">
        <v>4</v>
      </c>
      <c r="HT82">
        <v>5</v>
      </c>
      <c r="HU82">
        <v>5</v>
      </c>
      <c r="HV82">
        <v>5</v>
      </c>
      <c r="HW82">
        <v>5</v>
      </c>
      <c r="HX82">
        <v>5</v>
      </c>
      <c r="HY82">
        <v>4</v>
      </c>
      <c r="HZ82">
        <v>4</v>
      </c>
      <c r="IA82">
        <v>6</v>
      </c>
      <c r="IB82">
        <v>3</v>
      </c>
      <c r="IC82">
        <v>3</v>
      </c>
      <c r="ID82">
        <v>3</v>
      </c>
      <c r="IE82">
        <v>1</v>
      </c>
      <c r="IF82">
        <v>1</v>
      </c>
      <c r="IG82">
        <v>3</v>
      </c>
      <c r="IH82">
        <v>1</v>
      </c>
      <c r="II82">
        <v>1</v>
      </c>
      <c r="IJ82">
        <v>1</v>
      </c>
      <c r="IK82">
        <v>1</v>
      </c>
      <c r="IL82">
        <v>1</v>
      </c>
      <c r="IN82">
        <v>1</v>
      </c>
      <c r="IP82">
        <v>4</v>
      </c>
      <c r="IQ82">
        <v>1</v>
      </c>
      <c r="IR82">
        <v>1</v>
      </c>
      <c r="IS82">
        <v>1</v>
      </c>
      <c r="IT82">
        <v>1</v>
      </c>
      <c r="IU82">
        <v>2</v>
      </c>
    </row>
    <row r="83" spans="1:255" x14ac:dyDescent="0.2">
      <c r="A83" t="str">
        <f t="shared" si="1"/>
        <v>Skifahren</v>
      </c>
      <c r="CZ83">
        <v>2</v>
      </c>
      <c r="DS83">
        <v>2</v>
      </c>
      <c r="HQ83">
        <v>3</v>
      </c>
      <c r="HW83">
        <v>3</v>
      </c>
    </row>
    <row r="84" spans="1:255" x14ac:dyDescent="0.2">
      <c r="A84" t="str">
        <f t="shared" si="1"/>
        <v>Stimmen imitieren</v>
      </c>
      <c r="Q84">
        <v>2</v>
      </c>
      <c r="GG84">
        <v>2</v>
      </c>
      <c r="GH84">
        <v>2</v>
      </c>
      <c r="GI84">
        <v>2</v>
      </c>
      <c r="GJ84">
        <v>2</v>
      </c>
      <c r="HM84">
        <v>2</v>
      </c>
      <c r="HO84">
        <v>2</v>
      </c>
      <c r="HP84">
        <v>2</v>
      </c>
      <c r="HQ84">
        <v>2</v>
      </c>
      <c r="HR84">
        <v>2</v>
      </c>
      <c r="HS84">
        <v>2</v>
      </c>
      <c r="HT84">
        <v>1</v>
      </c>
      <c r="HU84">
        <v>1</v>
      </c>
      <c r="HV84">
        <v>1</v>
      </c>
      <c r="HW84">
        <v>1</v>
      </c>
      <c r="HX84">
        <v>1</v>
      </c>
    </row>
    <row r="85" spans="1:255" x14ac:dyDescent="0.2">
      <c r="A85" t="str">
        <f t="shared" si="1"/>
        <v>Tanzen</v>
      </c>
      <c r="D85">
        <v>3</v>
      </c>
      <c r="E85">
        <v>3</v>
      </c>
      <c r="F85">
        <v>3</v>
      </c>
      <c r="G85">
        <v>3</v>
      </c>
      <c r="H85">
        <v>2</v>
      </c>
      <c r="AB85">
        <v>2</v>
      </c>
      <c r="AC85">
        <v>3</v>
      </c>
      <c r="AD85">
        <v>3</v>
      </c>
      <c r="AE85">
        <v>5</v>
      </c>
      <c r="AF85">
        <v>3</v>
      </c>
      <c r="AG85">
        <v>3</v>
      </c>
      <c r="AH85">
        <v>7</v>
      </c>
      <c r="AI85">
        <v>3</v>
      </c>
      <c r="AJ85">
        <v>4</v>
      </c>
      <c r="AK85">
        <v>2</v>
      </c>
      <c r="AM85">
        <v>1</v>
      </c>
      <c r="AR85">
        <v>3</v>
      </c>
      <c r="AS85">
        <v>3</v>
      </c>
      <c r="AT85">
        <v>3</v>
      </c>
      <c r="AU85">
        <v>3</v>
      </c>
      <c r="AV85">
        <v>3</v>
      </c>
      <c r="AW85">
        <v>4</v>
      </c>
      <c r="AX85">
        <v>4</v>
      </c>
      <c r="AY85">
        <v>4</v>
      </c>
      <c r="AZ85">
        <v>1</v>
      </c>
      <c r="BD85">
        <v>1</v>
      </c>
      <c r="BE85">
        <v>1</v>
      </c>
      <c r="BF85">
        <v>1</v>
      </c>
      <c r="BG85">
        <v>1</v>
      </c>
      <c r="BH85">
        <v>1</v>
      </c>
      <c r="BI85">
        <v>1</v>
      </c>
      <c r="BJ85">
        <v>1</v>
      </c>
      <c r="BK85">
        <v>1</v>
      </c>
      <c r="BL85">
        <v>1</v>
      </c>
      <c r="BM85">
        <v>1</v>
      </c>
      <c r="BN85">
        <v>1</v>
      </c>
      <c r="BO85">
        <v>1</v>
      </c>
      <c r="BS85">
        <v>1</v>
      </c>
      <c r="BT85">
        <v>1</v>
      </c>
      <c r="BU85">
        <v>1</v>
      </c>
      <c r="BV85">
        <v>1</v>
      </c>
      <c r="BW85">
        <v>1</v>
      </c>
      <c r="BX85">
        <v>1</v>
      </c>
      <c r="BY85">
        <v>1</v>
      </c>
      <c r="CK85">
        <v>1</v>
      </c>
      <c r="CL85">
        <v>1</v>
      </c>
      <c r="CM85">
        <v>1</v>
      </c>
      <c r="CN85">
        <v>1</v>
      </c>
      <c r="CO85">
        <v>1</v>
      </c>
      <c r="CP85">
        <v>1</v>
      </c>
      <c r="CQ85">
        <v>1</v>
      </c>
      <c r="CR85">
        <v>1</v>
      </c>
      <c r="CS85">
        <v>1</v>
      </c>
      <c r="CT85">
        <v>1</v>
      </c>
      <c r="CU85">
        <v>1</v>
      </c>
      <c r="CW85">
        <v>1</v>
      </c>
      <c r="CX85">
        <v>1</v>
      </c>
      <c r="CY85">
        <v>1</v>
      </c>
      <c r="DA85">
        <v>1</v>
      </c>
      <c r="DB85">
        <v>1</v>
      </c>
      <c r="DC85">
        <v>1</v>
      </c>
      <c r="DD85">
        <v>1</v>
      </c>
      <c r="DE85">
        <v>1</v>
      </c>
      <c r="DF85">
        <v>1</v>
      </c>
      <c r="DG85">
        <v>1</v>
      </c>
      <c r="DH85">
        <v>1</v>
      </c>
      <c r="DI85">
        <v>1</v>
      </c>
      <c r="DJ85">
        <v>1</v>
      </c>
      <c r="DK85">
        <v>1</v>
      </c>
      <c r="DL85">
        <v>1</v>
      </c>
      <c r="DM85">
        <v>1</v>
      </c>
      <c r="DN85">
        <v>1</v>
      </c>
      <c r="DO85">
        <v>1</v>
      </c>
      <c r="DP85">
        <v>1</v>
      </c>
      <c r="DQ85">
        <v>1</v>
      </c>
      <c r="DR85">
        <v>1</v>
      </c>
      <c r="DT85">
        <v>1</v>
      </c>
      <c r="DU85">
        <v>1</v>
      </c>
      <c r="DV85">
        <v>1</v>
      </c>
      <c r="DW85">
        <v>1</v>
      </c>
      <c r="DX85">
        <v>1</v>
      </c>
      <c r="DY85">
        <v>1</v>
      </c>
      <c r="DZ85">
        <v>1</v>
      </c>
      <c r="EA85">
        <v>1</v>
      </c>
      <c r="EB85">
        <v>1</v>
      </c>
      <c r="EC85">
        <v>1</v>
      </c>
      <c r="ED85">
        <v>1</v>
      </c>
      <c r="EE85">
        <v>1</v>
      </c>
      <c r="EF85">
        <v>1</v>
      </c>
      <c r="EG85">
        <v>1</v>
      </c>
      <c r="EH85">
        <v>1</v>
      </c>
      <c r="EI85">
        <v>1</v>
      </c>
      <c r="EJ85">
        <v>1</v>
      </c>
      <c r="EK85">
        <v>1</v>
      </c>
      <c r="EL85">
        <v>1</v>
      </c>
      <c r="EM85">
        <v>1</v>
      </c>
      <c r="EN85">
        <v>1</v>
      </c>
      <c r="EO85">
        <v>1</v>
      </c>
      <c r="EP85">
        <v>1</v>
      </c>
      <c r="EQ85">
        <v>1</v>
      </c>
      <c r="ER85">
        <v>1</v>
      </c>
      <c r="ES85">
        <v>1</v>
      </c>
      <c r="ET85">
        <v>1</v>
      </c>
      <c r="EU85">
        <v>1</v>
      </c>
      <c r="EV85">
        <v>1</v>
      </c>
      <c r="EW85">
        <v>1</v>
      </c>
      <c r="EX85">
        <v>1</v>
      </c>
      <c r="EY85">
        <v>1</v>
      </c>
      <c r="EZ85">
        <v>1</v>
      </c>
      <c r="FA85">
        <v>1</v>
      </c>
      <c r="FB85">
        <v>1</v>
      </c>
      <c r="FC85">
        <v>1</v>
      </c>
      <c r="FD85">
        <v>1</v>
      </c>
      <c r="FE85">
        <v>1</v>
      </c>
      <c r="FF85">
        <v>1</v>
      </c>
      <c r="FG85">
        <v>1</v>
      </c>
      <c r="FH85">
        <v>1</v>
      </c>
      <c r="FI85">
        <v>1</v>
      </c>
      <c r="FJ85">
        <v>1</v>
      </c>
      <c r="FK85">
        <v>1</v>
      </c>
      <c r="FL85">
        <v>1</v>
      </c>
      <c r="FM85">
        <v>1</v>
      </c>
      <c r="FN85">
        <v>1</v>
      </c>
      <c r="FO85">
        <v>1</v>
      </c>
      <c r="FP85">
        <v>1</v>
      </c>
      <c r="FQ85">
        <v>1</v>
      </c>
      <c r="FR85">
        <v>1</v>
      </c>
    </row>
    <row r="86" spans="1:255" x14ac:dyDescent="0.2">
      <c r="A86" t="str">
        <f t="shared" si="1"/>
        <v>Taschendiebstahl</v>
      </c>
      <c r="J86">
        <v>7</v>
      </c>
      <c r="K86">
        <v>2</v>
      </c>
      <c r="L86">
        <v>1</v>
      </c>
      <c r="M86">
        <v>1</v>
      </c>
      <c r="N86">
        <v>1</v>
      </c>
      <c r="O86">
        <v>1</v>
      </c>
      <c r="P86">
        <v>1</v>
      </c>
      <c r="Q86">
        <v>1</v>
      </c>
      <c r="R86">
        <v>1</v>
      </c>
      <c r="S86">
        <v>1</v>
      </c>
      <c r="T86">
        <v>1</v>
      </c>
      <c r="AK86">
        <v>2</v>
      </c>
      <c r="AO86">
        <v>4</v>
      </c>
      <c r="AP86">
        <v>4</v>
      </c>
      <c r="AQ86">
        <v>4</v>
      </c>
      <c r="AR86">
        <v>5</v>
      </c>
      <c r="AS86">
        <v>5</v>
      </c>
      <c r="AT86">
        <v>3</v>
      </c>
      <c r="AU86">
        <v>4</v>
      </c>
      <c r="AV86">
        <v>5</v>
      </c>
      <c r="AW86">
        <v>2</v>
      </c>
      <c r="AX86">
        <v>2</v>
      </c>
      <c r="AY86">
        <v>2</v>
      </c>
    </row>
    <row r="87" spans="1:255" x14ac:dyDescent="0.2">
      <c r="A87" t="str">
        <f t="shared" si="1"/>
        <v>Zechen</v>
      </c>
      <c r="C87">
        <v>1</v>
      </c>
      <c r="I87">
        <v>3</v>
      </c>
      <c r="M87">
        <v>1</v>
      </c>
      <c r="N87">
        <v>1</v>
      </c>
      <c r="O87">
        <v>1</v>
      </c>
      <c r="P87">
        <v>1</v>
      </c>
      <c r="Q87">
        <v>1</v>
      </c>
      <c r="R87">
        <v>1</v>
      </c>
      <c r="S87">
        <v>1</v>
      </c>
      <c r="T87">
        <v>1</v>
      </c>
      <c r="AB87">
        <v>2</v>
      </c>
      <c r="AI87">
        <v>1</v>
      </c>
      <c r="AJ87">
        <v>2</v>
      </c>
      <c r="AK87">
        <v>3</v>
      </c>
      <c r="AM87">
        <v>3</v>
      </c>
      <c r="AN87">
        <v>1</v>
      </c>
      <c r="AR87">
        <v>3</v>
      </c>
      <c r="AS87">
        <v>3</v>
      </c>
      <c r="AT87">
        <v>3</v>
      </c>
      <c r="AU87">
        <v>3</v>
      </c>
      <c r="AV87">
        <v>3</v>
      </c>
      <c r="AW87">
        <v>2</v>
      </c>
      <c r="AX87">
        <v>2</v>
      </c>
      <c r="AY87">
        <v>2</v>
      </c>
      <c r="AZ87">
        <v>3</v>
      </c>
      <c r="BC87">
        <v>1</v>
      </c>
      <c r="BD87">
        <v>2</v>
      </c>
      <c r="BE87">
        <v>2</v>
      </c>
      <c r="BF87">
        <v>2</v>
      </c>
      <c r="BG87">
        <v>2</v>
      </c>
      <c r="BH87">
        <v>2</v>
      </c>
      <c r="BI87">
        <v>2</v>
      </c>
      <c r="BJ87">
        <v>2</v>
      </c>
      <c r="BK87">
        <v>3</v>
      </c>
      <c r="BL87">
        <v>2</v>
      </c>
      <c r="BM87">
        <v>2</v>
      </c>
      <c r="BN87">
        <v>2</v>
      </c>
      <c r="BO87">
        <v>2</v>
      </c>
      <c r="BP87">
        <v>3</v>
      </c>
      <c r="BQ87">
        <v>3</v>
      </c>
      <c r="BR87">
        <v>3</v>
      </c>
      <c r="BS87">
        <v>2</v>
      </c>
      <c r="BT87">
        <v>2</v>
      </c>
      <c r="BU87">
        <v>2</v>
      </c>
      <c r="BV87">
        <v>2</v>
      </c>
      <c r="BW87">
        <v>2</v>
      </c>
      <c r="BX87">
        <v>2</v>
      </c>
      <c r="BY87">
        <v>2</v>
      </c>
      <c r="BZ87">
        <v>2</v>
      </c>
      <c r="CW87">
        <v>1</v>
      </c>
      <c r="CX87">
        <v>1</v>
      </c>
      <c r="CY87">
        <v>1</v>
      </c>
      <c r="CZ87">
        <v>1</v>
      </c>
      <c r="DA87">
        <v>1</v>
      </c>
      <c r="DB87">
        <v>1</v>
      </c>
      <c r="DC87">
        <v>1</v>
      </c>
      <c r="DD87">
        <v>1</v>
      </c>
      <c r="DE87">
        <v>1</v>
      </c>
      <c r="DF87">
        <v>1</v>
      </c>
      <c r="DG87">
        <v>1</v>
      </c>
      <c r="DH87">
        <v>1</v>
      </c>
      <c r="DI87">
        <v>1</v>
      </c>
      <c r="DJ87">
        <v>1</v>
      </c>
      <c r="DK87">
        <v>1</v>
      </c>
      <c r="DL87">
        <v>1</v>
      </c>
      <c r="DM87">
        <v>1</v>
      </c>
      <c r="DN87">
        <v>1</v>
      </c>
      <c r="DO87">
        <v>1</v>
      </c>
      <c r="DP87">
        <v>1</v>
      </c>
      <c r="DQ87">
        <v>1</v>
      </c>
      <c r="DR87">
        <v>1</v>
      </c>
      <c r="DS87">
        <v>1</v>
      </c>
      <c r="DT87">
        <v>1</v>
      </c>
      <c r="DU87">
        <v>1</v>
      </c>
      <c r="DV87">
        <v>1</v>
      </c>
      <c r="DW87">
        <v>1</v>
      </c>
      <c r="DX87">
        <v>1</v>
      </c>
      <c r="DY87">
        <v>1</v>
      </c>
      <c r="DZ87">
        <v>1</v>
      </c>
      <c r="EA87">
        <v>1</v>
      </c>
      <c r="EB87">
        <v>1</v>
      </c>
      <c r="EC87">
        <v>1</v>
      </c>
      <c r="ED87">
        <v>1</v>
      </c>
      <c r="EE87">
        <v>1</v>
      </c>
      <c r="EF87">
        <v>1</v>
      </c>
      <c r="EG87">
        <v>1</v>
      </c>
      <c r="EQ87">
        <v>1</v>
      </c>
      <c r="ER87">
        <v>1</v>
      </c>
      <c r="ES87">
        <v>1</v>
      </c>
      <c r="ET87">
        <v>1</v>
      </c>
      <c r="EU87">
        <v>1</v>
      </c>
      <c r="EV87">
        <v>1</v>
      </c>
      <c r="EW87">
        <v>1</v>
      </c>
      <c r="EX87">
        <v>1</v>
      </c>
      <c r="EY87">
        <v>1</v>
      </c>
      <c r="EZ87">
        <v>1</v>
      </c>
      <c r="FA87">
        <v>1</v>
      </c>
      <c r="FB87">
        <v>1</v>
      </c>
      <c r="FC87">
        <v>1</v>
      </c>
      <c r="FD87">
        <v>1</v>
      </c>
      <c r="FE87">
        <v>1</v>
      </c>
      <c r="FF87">
        <v>1</v>
      </c>
      <c r="FG87">
        <v>1</v>
      </c>
      <c r="FH87">
        <v>1</v>
      </c>
      <c r="FI87">
        <v>1</v>
      </c>
      <c r="FJ87">
        <v>1</v>
      </c>
      <c r="FK87">
        <v>1</v>
      </c>
      <c r="FL87">
        <v>1</v>
      </c>
      <c r="FM87">
        <v>1</v>
      </c>
      <c r="FN87">
        <v>1</v>
      </c>
      <c r="FO87">
        <v>1</v>
      </c>
      <c r="FP87">
        <v>1</v>
      </c>
      <c r="FQ87">
        <v>1</v>
      </c>
      <c r="FR87">
        <v>1</v>
      </c>
      <c r="FS87">
        <v>1</v>
      </c>
      <c r="FT87">
        <v>1</v>
      </c>
      <c r="FZ87">
        <v>4</v>
      </c>
      <c r="GA87">
        <v>4</v>
      </c>
      <c r="GB87">
        <v>4</v>
      </c>
      <c r="GC87">
        <v>4</v>
      </c>
      <c r="GD87">
        <v>5</v>
      </c>
      <c r="GE87">
        <v>4</v>
      </c>
      <c r="GF87">
        <v>4</v>
      </c>
      <c r="GK87">
        <v>2</v>
      </c>
      <c r="GL87">
        <v>2</v>
      </c>
      <c r="GM87">
        <v>2</v>
      </c>
      <c r="GN87">
        <v>2</v>
      </c>
      <c r="GO87">
        <v>2</v>
      </c>
      <c r="GZ87">
        <v>1</v>
      </c>
      <c r="HA87">
        <v>1</v>
      </c>
      <c r="HB87">
        <v>2</v>
      </c>
      <c r="HC87">
        <v>2</v>
      </c>
      <c r="HD87">
        <v>2</v>
      </c>
      <c r="HE87">
        <v>2</v>
      </c>
      <c r="HF87">
        <v>2</v>
      </c>
      <c r="HG87">
        <v>2</v>
      </c>
      <c r="HH87">
        <v>2</v>
      </c>
      <c r="HI87">
        <v>1</v>
      </c>
      <c r="IE87">
        <v>2</v>
      </c>
      <c r="IF87">
        <v>2</v>
      </c>
      <c r="IG87">
        <v>2</v>
      </c>
      <c r="IH87">
        <v>2</v>
      </c>
      <c r="II87">
        <v>2</v>
      </c>
      <c r="IL87">
        <v>2</v>
      </c>
      <c r="IM87">
        <v>3</v>
      </c>
      <c r="IN87">
        <v>2</v>
      </c>
      <c r="IO87">
        <v>2</v>
      </c>
      <c r="IP87">
        <v>2</v>
      </c>
      <c r="IQ87">
        <v>1</v>
      </c>
      <c r="IR87">
        <v>1</v>
      </c>
      <c r="IS87">
        <v>1</v>
      </c>
      <c r="IT87">
        <v>1</v>
      </c>
      <c r="IU87">
        <v>1</v>
      </c>
    </row>
    <row r="88" spans="1:255" ht="12.75" customHeight="1" x14ac:dyDescent="0.2">
      <c r="A88" t="str">
        <f>INDEX(TL_GES,ROW()-87)</f>
        <v>Betören</v>
      </c>
      <c r="B88" t="s">
        <v>3310</v>
      </c>
      <c r="C88">
        <v>1</v>
      </c>
      <c r="D88">
        <v>2</v>
      </c>
      <c r="E88">
        <v>2</v>
      </c>
      <c r="F88">
        <v>2</v>
      </c>
      <c r="G88">
        <v>2</v>
      </c>
      <c r="H88">
        <v>2</v>
      </c>
      <c r="U88">
        <v>1</v>
      </c>
      <c r="V88">
        <v>1</v>
      </c>
      <c r="W88">
        <v>1</v>
      </c>
      <c r="X88">
        <v>1</v>
      </c>
      <c r="Y88">
        <v>1</v>
      </c>
      <c r="Z88">
        <v>1</v>
      </c>
      <c r="AA88">
        <v>1</v>
      </c>
      <c r="AC88">
        <v>2</v>
      </c>
      <c r="AD88">
        <v>2</v>
      </c>
      <c r="AE88">
        <v>2</v>
      </c>
      <c r="AF88">
        <v>2</v>
      </c>
      <c r="AG88">
        <v>2</v>
      </c>
      <c r="AH88">
        <v>2</v>
      </c>
      <c r="AI88">
        <v>1</v>
      </c>
      <c r="AJ88">
        <v>7</v>
      </c>
      <c r="AK88">
        <v>5</v>
      </c>
      <c r="AM88">
        <v>1</v>
      </c>
      <c r="AO88">
        <v>2</v>
      </c>
      <c r="AP88">
        <v>2</v>
      </c>
      <c r="AQ88">
        <v>2</v>
      </c>
      <c r="AR88">
        <v>2</v>
      </c>
      <c r="AS88">
        <v>6</v>
      </c>
      <c r="AT88">
        <v>2</v>
      </c>
      <c r="AU88">
        <v>2</v>
      </c>
      <c r="AV88">
        <v>2</v>
      </c>
      <c r="AW88">
        <v>4</v>
      </c>
      <c r="AX88">
        <v>4</v>
      </c>
      <c r="AY88">
        <v>4</v>
      </c>
      <c r="BB88" t="s">
        <v>3310</v>
      </c>
      <c r="GP88" t="s">
        <v>3310</v>
      </c>
    </row>
    <row r="89" spans="1:255" x14ac:dyDescent="0.2">
      <c r="A89" t="str">
        <f t="shared" ref="A89:A98" si="2">INDEX(TL_GES,ROW()-87)</f>
        <v>Etikette</v>
      </c>
      <c r="C89">
        <v>3</v>
      </c>
      <c r="D89">
        <v>3</v>
      </c>
      <c r="E89">
        <v>2</v>
      </c>
      <c r="F89">
        <v>2</v>
      </c>
      <c r="G89">
        <v>2</v>
      </c>
      <c r="H89">
        <v>3</v>
      </c>
      <c r="R89">
        <v>2</v>
      </c>
      <c r="T89">
        <v>1</v>
      </c>
      <c r="U89">
        <v>2</v>
      </c>
      <c r="V89">
        <v>2</v>
      </c>
      <c r="W89">
        <v>4</v>
      </c>
      <c r="X89">
        <v>2</v>
      </c>
      <c r="Y89">
        <v>2</v>
      </c>
      <c r="Z89">
        <v>2</v>
      </c>
      <c r="AB89">
        <v>7</v>
      </c>
      <c r="AC89">
        <v>4</v>
      </c>
      <c r="AD89">
        <v>4</v>
      </c>
      <c r="AE89">
        <v>4</v>
      </c>
      <c r="AF89">
        <v>4</v>
      </c>
      <c r="AG89">
        <v>4</v>
      </c>
      <c r="AH89">
        <v>5</v>
      </c>
      <c r="AI89">
        <v>5</v>
      </c>
      <c r="AJ89">
        <v>4</v>
      </c>
      <c r="AL89">
        <v>4</v>
      </c>
      <c r="AM89">
        <v>2</v>
      </c>
      <c r="AN89">
        <v>2</v>
      </c>
      <c r="AP89">
        <v>3</v>
      </c>
      <c r="AQ89">
        <v>2</v>
      </c>
      <c r="AR89">
        <v>2</v>
      </c>
      <c r="AS89">
        <v>4</v>
      </c>
      <c r="AT89">
        <v>3</v>
      </c>
      <c r="AU89">
        <v>4</v>
      </c>
      <c r="AV89">
        <v>2</v>
      </c>
      <c r="AW89">
        <v>5</v>
      </c>
      <c r="AX89">
        <v>3</v>
      </c>
      <c r="AY89">
        <v>3</v>
      </c>
      <c r="AZ89">
        <v>3</v>
      </c>
      <c r="BC89">
        <v>3</v>
      </c>
      <c r="BH89">
        <v>1</v>
      </c>
      <c r="BI89">
        <v>2</v>
      </c>
      <c r="BS89">
        <v>2</v>
      </c>
      <c r="BT89">
        <v>4</v>
      </c>
      <c r="BU89">
        <v>2</v>
      </c>
      <c r="BV89">
        <v>2</v>
      </c>
      <c r="BW89">
        <v>2</v>
      </c>
      <c r="BX89">
        <v>4</v>
      </c>
      <c r="BY89">
        <v>3</v>
      </c>
      <c r="BZ89">
        <v>2</v>
      </c>
      <c r="CA89">
        <v>1</v>
      </c>
      <c r="CB89">
        <v>1</v>
      </c>
      <c r="CC89">
        <v>1</v>
      </c>
      <c r="CD89">
        <v>1</v>
      </c>
      <c r="CE89">
        <v>1</v>
      </c>
      <c r="CF89">
        <v>1</v>
      </c>
      <c r="CG89">
        <v>1</v>
      </c>
      <c r="CI89">
        <v>1</v>
      </c>
      <c r="CJ89">
        <v>1</v>
      </c>
      <c r="CK89">
        <v>2</v>
      </c>
      <c r="CL89">
        <v>2</v>
      </c>
      <c r="CM89">
        <v>3</v>
      </c>
      <c r="CN89">
        <v>2</v>
      </c>
      <c r="CO89">
        <v>3</v>
      </c>
      <c r="CP89">
        <v>2</v>
      </c>
      <c r="CQ89">
        <v>2</v>
      </c>
      <c r="CR89">
        <v>4</v>
      </c>
      <c r="CS89">
        <v>2</v>
      </c>
      <c r="CT89">
        <v>2</v>
      </c>
      <c r="CU89">
        <v>2</v>
      </c>
      <c r="CV89">
        <v>2</v>
      </c>
      <c r="FU89">
        <v>2</v>
      </c>
      <c r="FV89">
        <v>4</v>
      </c>
      <c r="FW89">
        <v>2</v>
      </c>
      <c r="FX89">
        <v>2</v>
      </c>
      <c r="FY89">
        <v>3</v>
      </c>
      <c r="GH89">
        <v>3</v>
      </c>
      <c r="GK89">
        <v>1</v>
      </c>
      <c r="GL89">
        <v>1</v>
      </c>
      <c r="GM89">
        <v>1</v>
      </c>
      <c r="GN89">
        <v>1</v>
      </c>
      <c r="GO89">
        <v>1</v>
      </c>
      <c r="GQ89">
        <v>4</v>
      </c>
      <c r="GR89">
        <v>4</v>
      </c>
      <c r="GS89">
        <v>4</v>
      </c>
      <c r="GT89">
        <v>4</v>
      </c>
      <c r="GU89">
        <v>4</v>
      </c>
      <c r="GV89">
        <v>6</v>
      </c>
      <c r="GW89">
        <v>4</v>
      </c>
      <c r="GX89">
        <v>3</v>
      </c>
      <c r="GY89">
        <v>1</v>
      </c>
      <c r="GZ89">
        <v>3</v>
      </c>
      <c r="HA89">
        <v>3</v>
      </c>
      <c r="HI89">
        <v>1</v>
      </c>
      <c r="HJ89">
        <v>1</v>
      </c>
      <c r="HX89">
        <v>2</v>
      </c>
      <c r="HY89">
        <v>2</v>
      </c>
      <c r="HZ89">
        <v>2</v>
      </c>
      <c r="IE89">
        <v>2</v>
      </c>
      <c r="IP89">
        <v>1</v>
      </c>
      <c r="IR89">
        <v>1</v>
      </c>
    </row>
    <row r="90" spans="1:255" x14ac:dyDescent="0.2">
      <c r="A90" t="str">
        <f t="shared" si="2"/>
        <v>Galanterie</v>
      </c>
    </row>
    <row r="91" spans="1:255" x14ac:dyDescent="0.2">
      <c r="A91" t="str">
        <f t="shared" si="2"/>
        <v>Gassenwissen</v>
      </c>
      <c r="C91">
        <v>2</v>
      </c>
      <c r="D91">
        <v>3</v>
      </c>
      <c r="E91">
        <v>3</v>
      </c>
      <c r="F91">
        <v>5</v>
      </c>
      <c r="G91">
        <v>3</v>
      </c>
      <c r="H91">
        <v>1</v>
      </c>
      <c r="I91">
        <v>6</v>
      </c>
      <c r="J91">
        <v>6</v>
      </c>
      <c r="K91">
        <v>4</v>
      </c>
      <c r="L91">
        <v>2</v>
      </c>
      <c r="M91">
        <v>3</v>
      </c>
      <c r="N91">
        <v>3</v>
      </c>
      <c r="O91">
        <v>3</v>
      </c>
      <c r="P91">
        <v>3</v>
      </c>
      <c r="Q91">
        <v>3</v>
      </c>
      <c r="R91">
        <v>3</v>
      </c>
      <c r="S91">
        <v>3</v>
      </c>
      <c r="T91">
        <v>3</v>
      </c>
      <c r="U91">
        <v>2</v>
      </c>
      <c r="V91">
        <v>4</v>
      </c>
      <c r="W91">
        <v>2</v>
      </c>
      <c r="X91">
        <v>2</v>
      </c>
      <c r="Y91">
        <v>3</v>
      </c>
      <c r="Z91">
        <v>3</v>
      </c>
      <c r="AK91">
        <v>5</v>
      </c>
      <c r="AO91">
        <v>4</v>
      </c>
      <c r="AP91">
        <v>1</v>
      </c>
      <c r="AQ91">
        <v>3</v>
      </c>
      <c r="AR91">
        <v>5</v>
      </c>
      <c r="AS91">
        <v>5</v>
      </c>
      <c r="AT91">
        <v>5</v>
      </c>
      <c r="AU91">
        <v>3</v>
      </c>
      <c r="AV91">
        <v>5</v>
      </c>
      <c r="AW91">
        <v>3</v>
      </c>
      <c r="AX91">
        <v>2</v>
      </c>
      <c r="AY91">
        <v>1</v>
      </c>
      <c r="AZ91">
        <v>3</v>
      </c>
      <c r="BC91">
        <v>3</v>
      </c>
      <c r="BS91">
        <v>1</v>
      </c>
      <c r="BT91">
        <v>1</v>
      </c>
      <c r="BU91">
        <v>1</v>
      </c>
      <c r="BV91">
        <v>1</v>
      </c>
      <c r="BW91">
        <v>1</v>
      </c>
      <c r="BX91">
        <v>1</v>
      </c>
      <c r="BY91">
        <v>1</v>
      </c>
      <c r="CA91">
        <v>1</v>
      </c>
      <c r="CB91">
        <v>1</v>
      </c>
      <c r="CC91">
        <v>1</v>
      </c>
      <c r="CD91">
        <v>1</v>
      </c>
      <c r="CE91">
        <v>1</v>
      </c>
      <c r="CF91">
        <v>1</v>
      </c>
      <c r="CG91">
        <v>1</v>
      </c>
      <c r="CI91">
        <v>1</v>
      </c>
      <c r="CJ91">
        <v>1</v>
      </c>
      <c r="CU91">
        <v>1</v>
      </c>
      <c r="FS91">
        <v>3</v>
      </c>
      <c r="FT91">
        <v>3</v>
      </c>
      <c r="FU91">
        <v>1</v>
      </c>
      <c r="FZ91">
        <v>2</v>
      </c>
      <c r="GA91">
        <v>2</v>
      </c>
      <c r="GB91">
        <v>2</v>
      </c>
      <c r="GD91">
        <v>2</v>
      </c>
      <c r="GK91">
        <v>3</v>
      </c>
      <c r="GM91">
        <v>3</v>
      </c>
      <c r="GN91">
        <v>3</v>
      </c>
      <c r="GO91">
        <v>3</v>
      </c>
      <c r="GQ91">
        <v>1</v>
      </c>
      <c r="GR91">
        <v>1</v>
      </c>
      <c r="GS91">
        <v>1</v>
      </c>
      <c r="GT91">
        <v>1</v>
      </c>
      <c r="GV91">
        <v>1</v>
      </c>
      <c r="GW91">
        <v>1</v>
      </c>
      <c r="GZ91">
        <v>1</v>
      </c>
      <c r="HA91">
        <v>1</v>
      </c>
      <c r="HH91">
        <v>2</v>
      </c>
      <c r="HL91">
        <v>3</v>
      </c>
      <c r="IM91">
        <v>1</v>
      </c>
      <c r="IQ91">
        <v>1</v>
      </c>
      <c r="IR91">
        <v>1</v>
      </c>
      <c r="IS91">
        <v>1</v>
      </c>
      <c r="IU91">
        <v>2</v>
      </c>
    </row>
    <row r="92" spans="1:255" x14ac:dyDescent="0.2">
      <c r="A92" t="str">
        <f t="shared" si="2"/>
        <v>Lehren</v>
      </c>
      <c r="C92">
        <v>1</v>
      </c>
      <c r="D92">
        <v>3</v>
      </c>
      <c r="E92">
        <v>3</v>
      </c>
      <c r="F92">
        <v>3</v>
      </c>
      <c r="G92">
        <v>5</v>
      </c>
      <c r="H92">
        <v>5</v>
      </c>
      <c r="T92">
        <v>2</v>
      </c>
      <c r="AB92">
        <v>2</v>
      </c>
      <c r="AC92">
        <v>1</v>
      </c>
      <c r="AD92">
        <v>1</v>
      </c>
      <c r="AE92">
        <v>1</v>
      </c>
      <c r="AF92">
        <v>1</v>
      </c>
      <c r="AG92">
        <v>1</v>
      </c>
      <c r="AH92">
        <v>5</v>
      </c>
      <c r="AL92">
        <v>7</v>
      </c>
      <c r="BS92">
        <v>1</v>
      </c>
      <c r="BT92">
        <v>1</v>
      </c>
      <c r="BU92">
        <v>1</v>
      </c>
      <c r="BV92">
        <v>1</v>
      </c>
      <c r="BW92">
        <v>1</v>
      </c>
      <c r="BX92">
        <v>1</v>
      </c>
      <c r="BY92">
        <v>1</v>
      </c>
      <c r="BZ92">
        <v>5</v>
      </c>
      <c r="CA92">
        <v>2</v>
      </c>
      <c r="CB92">
        <v>2</v>
      </c>
      <c r="CC92">
        <v>2</v>
      </c>
      <c r="CD92">
        <v>2</v>
      </c>
      <c r="CE92">
        <v>2</v>
      </c>
      <c r="CF92">
        <v>2</v>
      </c>
      <c r="CG92">
        <v>2</v>
      </c>
      <c r="CH92">
        <v>2</v>
      </c>
      <c r="CI92">
        <v>2</v>
      </c>
      <c r="CJ92">
        <v>2</v>
      </c>
      <c r="CK92">
        <v>3</v>
      </c>
      <c r="CL92">
        <v>3</v>
      </c>
      <c r="CM92">
        <v>3</v>
      </c>
      <c r="CN92">
        <v>3</v>
      </c>
      <c r="CO92">
        <v>5</v>
      </c>
      <c r="CP92">
        <v>3</v>
      </c>
      <c r="CQ92">
        <v>6</v>
      </c>
      <c r="CR92">
        <v>3</v>
      </c>
      <c r="CS92">
        <v>3</v>
      </c>
      <c r="CT92">
        <v>3</v>
      </c>
      <c r="CU92">
        <v>3</v>
      </c>
      <c r="CV92">
        <v>4</v>
      </c>
      <c r="CW92">
        <v>2</v>
      </c>
      <c r="CX92">
        <v>2</v>
      </c>
      <c r="CY92">
        <v>2</v>
      </c>
      <c r="CZ92">
        <v>2</v>
      </c>
      <c r="DA92">
        <v>2</v>
      </c>
      <c r="DB92">
        <v>2</v>
      </c>
      <c r="DC92">
        <v>2</v>
      </c>
      <c r="DD92">
        <v>2</v>
      </c>
      <c r="DE92">
        <v>2</v>
      </c>
      <c r="DF92">
        <v>2</v>
      </c>
      <c r="DG92">
        <v>2</v>
      </c>
      <c r="DH92">
        <v>2</v>
      </c>
      <c r="DI92">
        <v>2</v>
      </c>
      <c r="DJ92">
        <v>2</v>
      </c>
      <c r="DK92">
        <v>2</v>
      </c>
      <c r="DL92">
        <v>2</v>
      </c>
      <c r="DM92">
        <v>2</v>
      </c>
      <c r="DN92">
        <v>2</v>
      </c>
      <c r="DO92">
        <v>2</v>
      </c>
      <c r="DP92">
        <v>2</v>
      </c>
      <c r="DQ92">
        <v>2</v>
      </c>
      <c r="DR92">
        <v>2</v>
      </c>
      <c r="DS92">
        <v>2</v>
      </c>
      <c r="DT92">
        <v>2</v>
      </c>
      <c r="DU92">
        <v>2</v>
      </c>
      <c r="DV92">
        <v>2</v>
      </c>
      <c r="DW92">
        <v>2</v>
      </c>
      <c r="DX92">
        <v>2</v>
      </c>
      <c r="DY92">
        <v>2</v>
      </c>
      <c r="DZ92">
        <v>2</v>
      </c>
      <c r="EA92">
        <v>2</v>
      </c>
      <c r="EB92">
        <v>2</v>
      </c>
      <c r="EC92">
        <v>2</v>
      </c>
      <c r="ED92">
        <v>2</v>
      </c>
      <c r="EE92">
        <v>2</v>
      </c>
      <c r="EF92">
        <v>2</v>
      </c>
      <c r="EG92">
        <v>2</v>
      </c>
      <c r="EH92">
        <v>2</v>
      </c>
      <c r="EI92">
        <v>2</v>
      </c>
      <c r="EJ92">
        <v>2</v>
      </c>
      <c r="EK92">
        <v>2</v>
      </c>
      <c r="EL92">
        <v>2</v>
      </c>
      <c r="EM92">
        <v>2</v>
      </c>
      <c r="EN92">
        <v>2</v>
      </c>
      <c r="EO92">
        <v>2</v>
      </c>
      <c r="EP92">
        <v>2</v>
      </c>
      <c r="EQ92">
        <v>2</v>
      </c>
      <c r="ER92">
        <v>2</v>
      </c>
      <c r="ES92">
        <v>2</v>
      </c>
      <c r="ET92">
        <v>2</v>
      </c>
      <c r="EU92">
        <v>2</v>
      </c>
      <c r="EV92">
        <v>2</v>
      </c>
      <c r="EW92">
        <v>2</v>
      </c>
      <c r="EX92">
        <v>2</v>
      </c>
      <c r="EY92">
        <v>2</v>
      </c>
      <c r="EZ92">
        <v>2</v>
      </c>
      <c r="FA92">
        <v>2</v>
      </c>
      <c r="FB92">
        <v>1</v>
      </c>
      <c r="FC92">
        <v>1</v>
      </c>
      <c r="FD92">
        <v>1</v>
      </c>
      <c r="FE92">
        <v>1</v>
      </c>
      <c r="FF92">
        <v>1</v>
      </c>
      <c r="FG92">
        <v>1</v>
      </c>
      <c r="FH92">
        <v>1</v>
      </c>
      <c r="FI92">
        <v>1</v>
      </c>
      <c r="FJ92">
        <v>1</v>
      </c>
      <c r="FK92">
        <v>1</v>
      </c>
      <c r="FL92">
        <v>2</v>
      </c>
      <c r="FM92">
        <v>2</v>
      </c>
      <c r="FN92">
        <v>2</v>
      </c>
      <c r="FO92">
        <v>2</v>
      </c>
      <c r="FP92">
        <v>2</v>
      </c>
      <c r="FQ92">
        <v>2</v>
      </c>
      <c r="FR92">
        <v>2</v>
      </c>
      <c r="FU92">
        <v>1</v>
      </c>
      <c r="FV92">
        <v>1</v>
      </c>
      <c r="FW92">
        <v>1</v>
      </c>
      <c r="FX92">
        <v>1</v>
      </c>
      <c r="FY92">
        <v>1</v>
      </c>
      <c r="GL92">
        <v>2</v>
      </c>
      <c r="GN92">
        <v>1</v>
      </c>
    </row>
    <row r="93" spans="1:255" x14ac:dyDescent="0.2">
      <c r="A93" t="str">
        <f t="shared" si="2"/>
        <v>Menschenkenntnis</v>
      </c>
      <c r="C93">
        <v>4</v>
      </c>
      <c r="D93">
        <v>4</v>
      </c>
      <c r="E93">
        <v>4</v>
      </c>
      <c r="F93">
        <v>4</v>
      </c>
      <c r="G93">
        <v>4</v>
      </c>
      <c r="H93">
        <v>5</v>
      </c>
      <c r="I93">
        <v>5</v>
      </c>
      <c r="J93">
        <v>4</v>
      </c>
      <c r="K93">
        <v>1</v>
      </c>
      <c r="L93">
        <v>1</v>
      </c>
      <c r="M93">
        <v>4</v>
      </c>
      <c r="N93">
        <v>4</v>
      </c>
      <c r="O93">
        <v>4</v>
      </c>
      <c r="P93">
        <v>4</v>
      </c>
      <c r="Q93">
        <v>5</v>
      </c>
      <c r="R93">
        <v>4</v>
      </c>
      <c r="S93">
        <v>2</v>
      </c>
      <c r="T93">
        <v>4</v>
      </c>
      <c r="U93">
        <v>4</v>
      </c>
      <c r="V93">
        <v>4</v>
      </c>
      <c r="W93">
        <v>4</v>
      </c>
      <c r="X93">
        <v>5</v>
      </c>
      <c r="Y93">
        <v>5</v>
      </c>
      <c r="Z93">
        <v>6</v>
      </c>
      <c r="AA93">
        <v>4</v>
      </c>
      <c r="AB93">
        <v>2</v>
      </c>
      <c r="AC93">
        <v>4</v>
      </c>
      <c r="AD93">
        <v>4</v>
      </c>
      <c r="AE93">
        <v>4</v>
      </c>
      <c r="AF93">
        <v>4</v>
      </c>
      <c r="AG93">
        <v>4</v>
      </c>
      <c r="AH93">
        <v>4</v>
      </c>
      <c r="AI93">
        <v>4</v>
      </c>
      <c r="AJ93">
        <v>5</v>
      </c>
      <c r="AK93">
        <v>5</v>
      </c>
      <c r="AL93">
        <v>5</v>
      </c>
      <c r="AM93">
        <v>4</v>
      </c>
      <c r="AN93">
        <v>4</v>
      </c>
      <c r="AO93">
        <v>4</v>
      </c>
      <c r="AP93">
        <v>4</v>
      </c>
      <c r="AQ93">
        <v>4</v>
      </c>
      <c r="AR93">
        <v>5</v>
      </c>
      <c r="AS93">
        <v>5</v>
      </c>
      <c r="AT93">
        <v>5</v>
      </c>
      <c r="AU93">
        <v>6</v>
      </c>
      <c r="AV93">
        <v>5</v>
      </c>
      <c r="AW93">
        <v>5</v>
      </c>
      <c r="AX93">
        <v>4</v>
      </c>
      <c r="AY93">
        <v>4</v>
      </c>
      <c r="AZ93">
        <v>5</v>
      </c>
      <c r="BC93">
        <v>4</v>
      </c>
      <c r="BD93">
        <v>1</v>
      </c>
      <c r="BE93">
        <v>1</v>
      </c>
      <c r="BF93">
        <v>1</v>
      </c>
      <c r="BG93">
        <v>1</v>
      </c>
      <c r="BH93">
        <v>2</v>
      </c>
      <c r="BI93">
        <v>1</v>
      </c>
      <c r="BJ93">
        <v>1</v>
      </c>
      <c r="BK93">
        <v>1</v>
      </c>
      <c r="BL93">
        <v>1</v>
      </c>
      <c r="BM93">
        <v>1</v>
      </c>
      <c r="BN93">
        <v>1</v>
      </c>
      <c r="BO93">
        <v>1</v>
      </c>
      <c r="BS93">
        <v>3</v>
      </c>
      <c r="BT93">
        <v>5</v>
      </c>
      <c r="BU93">
        <v>3</v>
      </c>
      <c r="BV93">
        <v>3</v>
      </c>
      <c r="BW93">
        <v>3</v>
      </c>
      <c r="BX93">
        <v>3</v>
      </c>
      <c r="BY93">
        <v>3</v>
      </c>
      <c r="BZ93">
        <v>5</v>
      </c>
      <c r="CA93">
        <v>4</v>
      </c>
      <c r="CB93">
        <v>4</v>
      </c>
      <c r="CC93">
        <v>4</v>
      </c>
      <c r="CD93">
        <v>4</v>
      </c>
      <c r="CE93">
        <v>4</v>
      </c>
      <c r="CF93">
        <v>4</v>
      </c>
      <c r="CG93">
        <v>4</v>
      </c>
      <c r="CH93">
        <v>2</v>
      </c>
      <c r="CI93">
        <v>4</v>
      </c>
      <c r="CJ93">
        <v>4</v>
      </c>
      <c r="CK93">
        <v>4</v>
      </c>
      <c r="CL93">
        <v>4</v>
      </c>
      <c r="CM93">
        <v>4</v>
      </c>
      <c r="CN93">
        <v>3</v>
      </c>
      <c r="CO93">
        <v>4</v>
      </c>
      <c r="CP93">
        <v>6</v>
      </c>
      <c r="CQ93">
        <v>5</v>
      </c>
      <c r="CR93">
        <v>5</v>
      </c>
      <c r="CS93">
        <v>4</v>
      </c>
      <c r="CT93">
        <v>4</v>
      </c>
      <c r="CU93">
        <v>6</v>
      </c>
      <c r="CV93">
        <v>4</v>
      </c>
      <c r="CW93">
        <v>2</v>
      </c>
      <c r="CX93">
        <v>2</v>
      </c>
      <c r="CY93">
        <v>2</v>
      </c>
      <c r="CZ93">
        <v>2</v>
      </c>
      <c r="DA93">
        <v>2</v>
      </c>
      <c r="DB93">
        <v>2</v>
      </c>
      <c r="DC93">
        <v>2</v>
      </c>
      <c r="DD93">
        <v>2</v>
      </c>
      <c r="DE93">
        <v>2</v>
      </c>
      <c r="DF93">
        <v>2</v>
      </c>
      <c r="DG93">
        <v>2</v>
      </c>
      <c r="DH93">
        <v>2</v>
      </c>
      <c r="DI93">
        <v>2</v>
      </c>
      <c r="DJ93">
        <v>2</v>
      </c>
      <c r="DK93">
        <v>2</v>
      </c>
      <c r="DL93">
        <v>2</v>
      </c>
      <c r="DM93">
        <v>2</v>
      </c>
      <c r="DN93">
        <v>2</v>
      </c>
      <c r="DO93">
        <v>2</v>
      </c>
      <c r="DP93">
        <v>2</v>
      </c>
      <c r="DQ93">
        <v>2</v>
      </c>
      <c r="DR93">
        <v>2</v>
      </c>
      <c r="DS93">
        <v>2</v>
      </c>
      <c r="DT93">
        <v>2</v>
      </c>
      <c r="DU93">
        <v>2</v>
      </c>
      <c r="DV93">
        <v>2</v>
      </c>
      <c r="DW93">
        <v>2</v>
      </c>
      <c r="DX93">
        <v>2</v>
      </c>
      <c r="DY93">
        <v>2</v>
      </c>
      <c r="DZ93">
        <v>2</v>
      </c>
      <c r="EA93">
        <v>2</v>
      </c>
      <c r="EB93">
        <v>2</v>
      </c>
      <c r="EC93">
        <v>2</v>
      </c>
      <c r="ED93">
        <v>2</v>
      </c>
      <c r="EE93">
        <v>2</v>
      </c>
      <c r="EF93">
        <v>2</v>
      </c>
      <c r="EG93">
        <v>2</v>
      </c>
      <c r="EH93">
        <v>2</v>
      </c>
      <c r="EI93">
        <v>2</v>
      </c>
      <c r="EJ93">
        <v>2</v>
      </c>
      <c r="EK93">
        <v>2</v>
      </c>
      <c r="EL93">
        <v>2</v>
      </c>
      <c r="EM93">
        <v>2</v>
      </c>
      <c r="EN93">
        <v>2</v>
      </c>
      <c r="EO93">
        <v>2</v>
      </c>
      <c r="EP93">
        <v>2</v>
      </c>
      <c r="EQ93">
        <v>2</v>
      </c>
      <c r="ER93">
        <v>2</v>
      </c>
      <c r="ES93">
        <v>2</v>
      </c>
      <c r="ET93">
        <v>2</v>
      </c>
      <c r="EU93">
        <v>2</v>
      </c>
      <c r="EV93">
        <v>2</v>
      </c>
      <c r="EW93">
        <v>2</v>
      </c>
      <c r="EX93">
        <v>2</v>
      </c>
      <c r="EY93">
        <v>2</v>
      </c>
      <c r="EZ93">
        <v>2</v>
      </c>
      <c r="FA93">
        <v>2</v>
      </c>
      <c r="FB93">
        <v>2</v>
      </c>
      <c r="FC93">
        <v>2</v>
      </c>
      <c r="FD93">
        <v>2</v>
      </c>
      <c r="FE93">
        <v>2</v>
      </c>
      <c r="FF93">
        <v>2</v>
      </c>
      <c r="FG93">
        <v>2</v>
      </c>
      <c r="FH93">
        <v>2</v>
      </c>
      <c r="FI93">
        <v>2</v>
      </c>
      <c r="FJ93">
        <v>2</v>
      </c>
      <c r="FK93">
        <v>2</v>
      </c>
      <c r="FL93">
        <v>2</v>
      </c>
      <c r="FM93">
        <v>2</v>
      </c>
      <c r="FN93">
        <v>2</v>
      </c>
      <c r="FO93">
        <v>2</v>
      </c>
      <c r="FP93">
        <v>2</v>
      </c>
      <c r="FQ93">
        <v>2</v>
      </c>
      <c r="FR93">
        <v>2</v>
      </c>
      <c r="FU93">
        <v>2</v>
      </c>
      <c r="FV93">
        <v>1</v>
      </c>
      <c r="FW93">
        <v>1</v>
      </c>
      <c r="FX93">
        <v>2</v>
      </c>
      <c r="FY93">
        <v>2</v>
      </c>
      <c r="FZ93">
        <v>1</v>
      </c>
      <c r="GA93">
        <v>1</v>
      </c>
      <c r="GB93">
        <v>1</v>
      </c>
      <c r="GC93">
        <v>1</v>
      </c>
      <c r="GD93">
        <v>2</v>
      </c>
      <c r="GE93">
        <v>1</v>
      </c>
      <c r="GF93">
        <v>1</v>
      </c>
      <c r="GK93">
        <v>5</v>
      </c>
      <c r="GL93">
        <v>5</v>
      </c>
      <c r="GM93">
        <v>5</v>
      </c>
      <c r="GN93">
        <v>5</v>
      </c>
      <c r="GO93">
        <v>5</v>
      </c>
      <c r="GQ93">
        <v>1</v>
      </c>
      <c r="GR93">
        <v>1</v>
      </c>
      <c r="GS93">
        <v>2</v>
      </c>
      <c r="GT93">
        <v>1</v>
      </c>
      <c r="GU93">
        <v>1</v>
      </c>
      <c r="GV93">
        <v>1</v>
      </c>
      <c r="GW93">
        <v>1</v>
      </c>
      <c r="GX93">
        <v>1</v>
      </c>
      <c r="GY93">
        <v>1</v>
      </c>
      <c r="GZ93">
        <v>2</v>
      </c>
      <c r="HA93">
        <v>2</v>
      </c>
      <c r="HH93">
        <v>1</v>
      </c>
      <c r="HI93">
        <v>2</v>
      </c>
      <c r="HL93">
        <v>3</v>
      </c>
      <c r="HR93">
        <v>1</v>
      </c>
      <c r="HY93">
        <v>4</v>
      </c>
      <c r="HZ93">
        <v>4</v>
      </c>
      <c r="IE93">
        <v>4</v>
      </c>
      <c r="IF93">
        <v>2</v>
      </c>
      <c r="IG93">
        <v>3</v>
      </c>
      <c r="IH93">
        <v>2</v>
      </c>
      <c r="II93">
        <v>2</v>
      </c>
      <c r="IJ93">
        <v>1</v>
      </c>
      <c r="IK93">
        <v>4</v>
      </c>
      <c r="IL93">
        <v>2</v>
      </c>
      <c r="IM93">
        <v>1</v>
      </c>
      <c r="IN93">
        <v>1</v>
      </c>
      <c r="IO93">
        <v>1</v>
      </c>
      <c r="IP93">
        <v>2</v>
      </c>
      <c r="IQ93">
        <v>1</v>
      </c>
      <c r="IU93">
        <v>2</v>
      </c>
    </row>
    <row r="94" spans="1:255" x14ac:dyDescent="0.2">
      <c r="A94" t="str">
        <f t="shared" si="2"/>
        <v>Schauspielerei</v>
      </c>
      <c r="C94">
        <v>4</v>
      </c>
      <c r="E94">
        <v>1</v>
      </c>
      <c r="F94">
        <v>1</v>
      </c>
      <c r="Q94">
        <v>1</v>
      </c>
      <c r="R94">
        <v>5</v>
      </c>
      <c r="AD94">
        <v>4</v>
      </c>
      <c r="AO94">
        <v>2</v>
      </c>
      <c r="AP94">
        <v>3</v>
      </c>
      <c r="AQ94">
        <v>2</v>
      </c>
      <c r="CR94">
        <v>1</v>
      </c>
    </row>
    <row r="95" spans="1:255" x14ac:dyDescent="0.2">
      <c r="A95" t="str">
        <f t="shared" si="2"/>
        <v>Schriftl. Ausdruck</v>
      </c>
      <c r="C95">
        <v>2</v>
      </c>
      <c r="AF95">
        <v>6</v>
      </c>
      <c r="AM95">
        <v>7</v>
      </c>
      <c r="AN95">
        <v>5</v>
      </c>
      <c r="AQ95">
        <v>5</v>
      </c>
      <c r="CD95">
        <v>1</v>
      </c>
      <c r="CK95">
        <v>1</v>
      </c>
      <c r="CL95">
        <v>1</v>
      </c>
      <c r="CM95">
        <v>1</v>
      </c>
      <c r="CN95">
        <v>1</v>
      </c>
      <c r="CO95">
        <v>1</v>
      </c>
      <c r="CP95">
        <v>1</v>
      </c>
      <c r="CQ95">
        <v>3</v>
      </c>
      <c r="CR95">
        <v>1</v>
      </c>
      <c r="CS95">
        <v>2</v>
      </c>
      <c r="CT95">
        <v>1</v>
      </c>
      <c r="CU95">
        <v>1</v>
      </c>
      <c r="CV95">
        <v>1</v>
      </c>
      <c r="FU95">
        <v>6</v>
      </c>
      <c r="FV95">
        <v>5</v>
      </c>
      <c r="FW95">
        <v>5</v>
      </c>
      <c r="FX95">
        <v>5</v>
      </c>
      <c r="FY95">
        <v>7</v>
      </c>
      <c r="GZ95">
        <v>1</v>
      </c>
      <c r="HA95">
        <v>1</v>
      </c>
    </row>
    <row r="96" spans="1:255" x14ac:dyDescent="0.2">
      <c r="A96" t="str">
        <f t="shared" si="2"/>
        <v>Sich Verkleiden</v>
      </c>
      <c r="C96">
        <v>2</v>
      </c>
      <c r="D96">
        <v>3</v>
      </c>
      <c r="E96">
        <v>2</v>
      </c>
      <c r="F96">
        <v>2</v>
      </c>
      <c r="G96">
        <v>2</v>
      </c>
      <c r="I96">
        <v>4</v>
      </c>
      <c r="J96">
        <v>3</v>
      </c>
      <c r="K96">
        <v>1</v>
      </c>
      <c r="L96">
        <v>1</v>
      </c>
      <c r="M96">
        <v>2</v>
      </c>
      <c r="N96">
        <v>2</v>
      </c>
      <c r="O96">
        <v>2</v>
      </c>
      <c r="P96">
        <v>2</v>
      </c>
      <c r="Q96">
        <v>2</v>
      </c>
      <c r="R96">
        <v>4</v>
      </c>
      <c r="S96">
        <v>2</v>
      </c>
      <c r="T96">
        <v>2</v>
      </c>
      <c r="Y96">
        <v>1</v>
      </c>
      <c r="AD96">
        <v>4</v>
      </c>
      <c r="AJ96">
        <v>2</v>
      </c>
      <c r="AK96">
        <v>2</v>
      </c>
      <c r="AM96">
        <v>1</v>
      </c>
      <c r="AN96">
        <v>2</v>
      </c>
      <c r="AO96">
        <v>4</v>
      </c>
      <c r="AP96">
        <v>4</v>
      </c>
      <c r="AQ96">
        <v>2</v>
      </c>
      <c r="AR96">
        <v>2</v>
      </c>
      <c r="AS96">
        <v>6</v>
      </c>
      <c r="AT96">
        <v>2</v>
      </c>
      <c r="AU96">
        <v>4</v>
      </c>
      <c r="AV96">
        <v>2</v>
      </c>
      <c r="AW96">
        <v>2</v>
      </c>
      <c r="AX96">
        <v>2</v>
      </c>
      <c r="AY96">
        <v>2</v>
      </c>
      <c r="GZ96">
        <v>1</v>
      </c>
      <c r="HA96">
        <v>1</v>
      </c>
      <c r="IJ96">
        <v>1</v>
      </c>
    </row>
    <row r="97" spans="1:255" x14ac:dyDescent="0.2">
      <c r="A97" t="str">
        <f t="shared" si="2"/>
        <v>Überreden</v>
      </c>
      <c r="C97">
        <v>6</v>
      </c>
      <c r="D97">
        <v>4</v>
      </c>
      <c r="E97">
        <v>6</v>
      </c>
      <c r="F97">
        <v>6</v>
      </c>
      <c r="G97">
        <v>4</v>
      </c>
      <c r="H97">
        <v>4</v>
      </c>
      <c r="I97">
        <v>6</v>
      </c>
      <c r="J97">
        <v>4</v>
      </c>
      <c r="M97">
        <v>3</v>
      </c>
      <c r="N97">
        <v>3</v>
      </c>
      <c r="O97">
        <v>3</v>
      </c>
      <c r="P97">
        <v>3</v>
      </c>
      <c r="Q97">
        <v>3</v>
      </c>
      <c r="R97">
        <v>3</v>
      </c>
      <c r="S97">
        <v>3</v>
      </c>
      <c r="T97">
        <v>3</v>
      </c>
      <c r="U97">
        <v>6</v>
      </c>
      <c r="V97">
        <v>6</v>
      </c>
      <c r="W97">
        <v>6</v>
      </c>
      <c r="X97">
        <v>7</v>
      </c>
      <c r="Y97">
        <v>6</v>
      </c>
      <c r="Z97">
        <v>8</v>
      </c>
      <c r="AA97">
        <v>6</v>
      </c>
      <c r="AC97">
        <v>3</v>
      </c>
      <c r="AD97">
        <v>3</v>
      </c>
      <c r="AE97">
        <v>3</v>
      </c>
      <c r="AF97">
        <v>3</v>
      </c>
      <c r="AG97">
        <v>3</v>
      </c>
      <c r="AH97">
        <v>3</v>
      </c>
      <c r="AI97">
        <v>3</v>
      </c>
      <c r="AJ97">
        <v>3</v>
      </c>
      <c r="AK97">
        <v>4</v>
      </c>
      <c r="AL97">
        <v>3</v>
      </c>
      <c r="AM97">
        <v>3</v>
      </c>
      <c r="AN97">
        <v>4</v>
      </c>
      <c r="AO97">
        <v>4</v>
      </c>
      <c r="AP97">
        <v>4</v>
      </c>
      <c r="AQ97">
        <v>4</v>
      </c>
      <c r="AR97">
        <v>3</v>
      </c>
      <c r="AS97">
        <v>6</v>
      </c>
      <c r="AT97">
        <v>6</v>
      </c>
      <c r="AU97">
        <v>4</v>
      </c>
      <c r="AV97">
        <v>3</v>
      </c>
      <c r="AW97">
        <v>4</v>
      </c>
      <c r="AX97">
        <v>2</v>
      </c>
      <c r="AY97">
        <v>2</v>
      </c>
      <c r="AZ97">
        <v>5</v>
      </c>
      <c r="BC97">
        <v>3</v>
      </c>
      <c r="BG97">
        <v>1</v>
      </c>
      <c r="BH97">
        <v>1</v>
      </c>
      <c r="BL97">
        <v>2</v>
      </c>
      <c r="BS97">
        <v>2</v>
      </c>
      <c r="BT97">
        <v>2</v>
      </c>
      <c r="BU97">
        <v>2</v>
      </c>
      <c r="BV97">
        <v>2</v>
      </c>
      <c r="BW97">
        <v>2</v>
      </c>
      <c r="BX97">
        <v>2</v>
      </c>
      <c r="BY97">
        <v>2</v>
      </c>
      <c r="BZ97">
        <v>4</v>
      </c>
      <c r="CA97">
        <v>2</v>
      </c>
      <c r="CB97">
        <v>2</v>
      </c>
      <c r="CC97">
        <v>2</v>
      </c>
      <c r="CD97">
        <v>2</v>
      </c>
      <c r="CE97">
        <v>2</v>
      </c>
      <c r="CF97">
        <v>2</v>
      </c>
      <c r="CG97">
        <v>2</v>
      </c>
      <c r="CH97">
        <v>2</v>
      </c>
      <c r="CI97">
        <v>2</v>
      </c>
      <c r="CJ97">
        <v>2</v>
      </c>
      <c r="CK97">
        <v>2</v>
      </c>
      <c r="CL97">
        <v>2</v>
      </c>
      <c r="CM97">
        <v>2</v>
      </c>
      <c r="CN97">
        <v>2</v>
      </c>
      <c r="CO97">
        <v>2</v>
      </c>
      <c r="CP97">
        <v>2</v>
      </c>
      <c r="CQ97">
        <v>3</v>
      </c>
      <c r="CR97">
        <v>4</v>
      </c>
      <c r="CS97">
        <v>3</v>
      </c>
      <c r="CT97">
        <v>2</v>
      </c>
      <c r="CU97">
        <v>2</v>
      </c>
      <c r="CV97">
        <v>2</v>
      </c>
      <c r="CW97">
        <v>2</v>
      </c>
      <c r="CX97">
        <v>2</v>
      </c>
      <c r="CY97">
        <v>2</v>
      </c>
      <c r="CZ97">
        <v>2</v>
      </c>
      <c r="DA97">
        <v>2</v>
      </c>
      <c r="DB97">
        <v>2</v>
      </c>
      <c r="DC97">
        <v>2</v>
      </c>
      <c r="DD97">
        <v>2</v>
      </c>
      <c r="DE97">
        <v>2</v>
      </c>
      <c r="DF97">
        <v>2</v>
      </c>
      <c r="DG97">
        <v>2</v>
      </c>
      <c r="DH97">
        <v>2</v>
      </c>
      <c r="DI97">
        <v>2</v>
      </c>
      <c r="DJ97">
        <v>2</v>
      </c>
      <c r="DK97">
        <v>2</v>
      </c>
      <c r="DL97">
        <v>2</v>
      </c>
      <c r="DM97">
        <v>2</v>
      </c>
      <c r="DN97">
        <v>2</v>
      </c>
      <c r="DO97">
        <v>2</v>
      </c>
      <c r="DP97">
        <v>2</v>
      </c>
      <c r="DQ97">
        <v>2</v>
      </c>
      <c r="DR97">
        <v>2</v>
      </c>
      <c r="DS97">
        <v>2</v>
      </c>
      <c r="DT97">
        <v>2</v>
      </c>
      <c r="DU97">
        <v>2</v>
      </c>
      <c r="DV97">
        <v>2</v>
      </c>
      <c r="DW97">
        <v>2</v>
      </c>
      <c r="DX97">
        <v>2</v>
      </c>
      <c r="DY97">
        <v>2</v>
      </c>
      <c r="DZ97">
        <v>2</v>
      </c>
      <c r="EA97">
        <v>2</v>
      </c>
      <c r="EB97">
        <v>2</v>
      </c>
      <c r="EC97">
        <v>2</v>
      </c>
      <c r="ED97">
        <v>2</v>
      </c>
      <c r="EE97">
        <v>2</v>
      </c>
      <c r="EF97">
        <v>2</v>
      </c>
      <c r="EG97">
        <v>2</v>
      </c>
      <c r="EH97">
        <v>2</v>
      </c>
      <c r="EI97">
        <v>2</v>
      </c>
      <c r="EJ97">
        <v>2</v>
      </c>
      <c r="EK97">
        <v>2</v>
      </c>
      <c r="EL97">
        <v>2</v>
      </c>
      <c r="EM97">
        <v>2</v>
      </c>
      <c r="EN97">
        <v>2</v>
      </c>
      <c r="EO97">
        <v>2</v>
      </c>
      <c r="EP97">
        <v>2</v>
      </c>
      <c r="EQ97">
        <v>2</v>
      </c>
      <c r="ER97">
        <v>2</v>
      </c>
      <c r="ES97">
        <v>2</v>
      </c>
      <c r="ET97">
        <v>2</v>
      </c>
      <c r="EU97">
        <v>2</v>
      </c>
      <c r="EV97">
        <v>2</v>
      </c>
      <c r="EW97">
        <v>2</v>
      </c>
      <c r="EX97">
        <v>2</v>
      </c>
      <c r="EY97">
        <v>2</v>
      </c>
      <c r="EZ97">
        <v>2</v>
      </c>
      <c r="FA97">
        <v>2</v>
      </c>
      <c r="FB97">
        <v>2</v>
      </c>
      <c r="FC97">
        <v>2</v>
      </c>
      <c r="FD97">
        <v>2</v>
      </c>
      <c r="FE97">
        <v>2</v>
      </c>
      <c r="FF97">
        <v>2</v>
      </c>
      <c r="FG97">
        <v>2</v>
      </c>
      <c r="FH97">
        <v>2</v>
      </c>
      <c r="FI97">
        <v>2</v>
      </c>
      <c r="FJ97">
        <v>2</v>
      </c>
      <c r="FK97">
        <v>2</v>
      </c>
      <c r="FL97">
        <v>2</v>
      </c>
      <c r="FM97">
        <v>2</v>
      </c>
      <c r="FN97">
        <v>2</v>
      </c>
      <c r="FO97">
        <v>2</v>
      </c>
      <c r="FP97">
        <v>2</v>
      </c>
      <c r="FQ97">
        <v>2</v>
      </c>
      <c r="FR97">
        <v>2</v>
      </c>
      <c r="FS97">
        <v>1</v>
      </c>
      <c r="FT97">
        <v>1</v>
      </c>
      <c r="FU97">
        <v>3</v>
      </c>
      <c r="FV97">
        <v>3</v>
      </c>
      <c r="FW97">
        <v>3</v>
      </c>
      <c r="FX97">
        <v>3</v>
      </c>
      <c r="FY97">
        <v>3</v>
      </c>
      <c r="FZ97">
        <v>1</v>
      </c>
      <c r="GA97">
        <v>1</v>
      </c>
      <c r="GB97">
        <v>1</v>
      </c>
      <c r="GC97">
        <v>1</v>
      </c>
      <c r="GD97">
        <v>1</v>
      </c>
      <c r="GE97">
        <v>1</v>
      </c>
      <c r="GF97">
        <v>1</v>
      </c>
      <c r="GK97">
        <v>4</v>
      </c>
      <c r="GL97">
        <v>4</v>
      </c>
      <c r="GM97">
        <v>4</v>
      </c>
      <c r="GN97">
        <v>4</v>
      </c>
      <c r="GO97">
        <v>6</v>
      </c>
      <c r="GX97">
        <v>2</v>
      </c>
      <c r="GZ97">
        <v>4</v>
      </c>
      <c r="HA97">
        <v>4</v>
      </c>
      <c r="HC97">
        <v>1</v>
      </c>
      <c r="HH97">
        <v>2</v>
      </c>
      <c r="HI97">
        <v>2</v>
      </c>
      <c r="HJ97">
        <v>2</v>
      </c>
      <c r="HK97">
        <v>2</v>
      </c>
      <c r="HL97">
        <v>2</v>
      </c>
      <c r="HP97">
        <v>2</v>
      </c>
      <c r="HR97">
        <v>2</v>
      </c>
      <c r="HY97">
        <v>2</v>
      </c>
      <c r="HZ97">
        <v>2</v>
      </c>
      <c r="IB97">
        <v>2</v>
      </c>
      <c r="IC97">
        <v>2</v>
      </c>
      <c r="IE97">
        <v>2</v>
      </c>
      <c r="IF97">
        <v>2</v>
      </c>
      <c r="IG97">
        <v>2</v>
      </c>
      <c r="IH97">
        <v>2</v>
      </c>
      <c r="II97">
        <v>2</v>
      </c>
      <c r="IJ97">
        <v>3</v>
      </c>
      <c r="IK97">
        <v>3</v>
      </c>
      <c r="IL97">
        <v>1</v>
      </c>
      <c r="IP97">
        <v>3</v>
      </c>
      <c r="IQ97">
        <v>3</v>
      </c>
      <c r="IR97">
        <v>2</v>
      </c>
      <c r="IS97">
        <v>2</v>
      </c>
      <c r="IT97">
        <v>2</v>
      </c>
      <c r="IU97">
        <v>4</v>
      </c>
    </row>
    <row r="98" spans="1:255" x14ac:dyDescent="0.2">
      <c r="A98" t="str">
        <f t="shared" si="2"/>
        <v>Überzeugen</v>
      </c>
      <c r="C98">
        <v>4</v>
      </c>
      <c r="D98">
        <v>2</v>
      </c>
      <c r="E98">
        <v>5</v>
      </c>
      <c r="F98">
        <v>5</v>
      </c>
      <c r="G98">
        <v>2</v>
      </c>
      <c r="H98">
        <v>4</v>
      </c>
      <c r="R98">
        <v>4</v>
      </c>
      <c r="AD98">
        <v>1</v>
      </c>
      <c r="AI98">
        <v>1</v>
      </c>
      <c r="AL98">
        <v>4</v>
      </c>
      <c r="AM98">
        <v>1</v>
      </c>
      <c r="AN98">
        <v>2</v>
      </c>
      <c r="AO98">
        <v>2</v>
      </c>
      <c r="AS98">
        <v>1</v>
      </c>
      <c r="AV98">
        <v>3</v>
      </c>
      <c r="AZ98">
        <v>2</v>
      </c>
      <c r="BT98">
        <v>1</v>
      </c>
      <c r="BZ98">
        <v>2</v>
      </c>
      <c r="CA98">
        <v>2</v>
      </c>
      <c r="CB98">
        <v>2</v>
      </c>
      <c r="CC98">
        <v>2</v>
      </c>
      <c r="CD98">
        <v>2</v>
      </c>
      <c r="CE98">
        <v>2</v>
      </c>
      <c r="CF98">
        <v>2</v>
      </c>
      <c r="CG98">
        <v>2</v>
      </c>
      <c r="CH98">
        <v>3</v>
      </c>
      <c r="CI98">
        <v>2</v>
      </c>
      <c r="CJ98">
        <v>2</v>
      </c>
      <c r="CK98">
        <v>2</v>
      </c>
      <c r="CL98">
        <v>2</v>
      </c>
      <c r="CM98">
        <v>2</v>
      </c>
      <c r="CN98">
        <v>2</v>
      </c>
      <c r="CO98">
        <v>4</v>
      </c>
      <c r="CP98">
        <v>2</v>
      </c>
      <c r="CQ98">
        <v>5</v>
      </c>
      <c r="CR98">
        <v>5</v>
      </c>
      <c r="CS98">
        <v>2</v>
      </c>
      <c r="CT98">
        <v>2</v>
      </c>
      <c r="CU98">
        <v>2</v>
      </c>
      <c r="CV98">
        <v>2</v>
      </c>
      <c r="GK98">
        <v>1</v>
      </c>
      <c r="GL98">
        <v>1</v>
      </c>
      <c r="GM98">
        <v>1</v>
      </c>
      <c r="GN98">
        <v>1</v>
      </c>
      <c r="GO98">
        <v>1</v>
      </c>
      <c r="HL98">
        <v>1</v>
      </c>
      <c r="IP98">
        <v>1</v>
      </c>
    </row>
    <row r="99" spans="1:255" ht="12.75" customHeight="1" x14ac:dyDescent="0.2">
      <c r="A99" t="str">
        <f>INDEX(TL_NAT,ROW()-98)</f>
        <v>Fährtensuchen</v>
      </c>
      <c r="B99" t="s">
        <v>3997</v>
      </c>
      <c r="K99">
        <v>1</v>
      </c>
      <c r="L99">
        <v>2</v>
      </c>
      <c r="AA99">
        <v>1</v>
      </c>
      <c r="BB99" t="s">
        <v>3997</v>
      </c>
      <c r="BD99">
        <v>3</v>
      </c>
      <c r="BE99">
        <v>3</v>
      </c>
      <c r="BF99">
        <v>3</v>
      </c>
      <c r="BG99">
        <v>3</v>
      </c>
      <c r="BH99">
        <v>3</v>
      </c>
      <c r="BI99">
        <v>3</v>
      </c>
      <c r="BJ99">
        <v>3</v>
      </c>
      <c r="BK99">
        <v>3</v>
      </c>
      <c r="BL99">
        <v>3</v>
      </c>
      <c r="BM99">
        <v>3</v>
      </c>
      <c r="BN99">
        <v>3</v>
      </c>
      <c r="BO99">
        <v>3</v>
      </c>
      <c r="BR99">
        <v>2</v>
      </c>
      <c r="FS99">
        <v>3</v>
      </c>
      <c r="FT99">
        <v>3</v>
      </c>
      <c r="GG99">
        <v>4</v>
      </c>
      <c r="GH99">
        <v>4</v>
      </c>
      <c r="GI99">
        <v>4</v>
      </c>
      <c r="GJ99">
        <v>4</v>
      </c>
      <c r="GP99" t="s">
        <v>3997</v>
      </c>
      <c r="GQ99">
        <v>1</v>
      </c>
      <c r="GR99">
        <v>1</v>
      </c>
      <c r="GS99">
        <v>1</v>
      </c>
      <c r="GT99">
        <v>1</v>
      </c>
      <c r="GU99">
        <v>1</v>
      </c>
      <c r="GV99">
        <v>1</v>
      </c>
      <c r="GW99">
        <v>1</v>
      </c>
      <c r="GX99">
        <v>2</v>
      </c>
      <c r="GY99">
        <v>2</v>
      </c>
      <c r="GZ99">
        <v>1</v>
      </c>
      <c r="HH99">
        <v>1</v>
      </c>
      <c r="HI99">
        <v>4</v>
      </c>
      <c r="HJ99">
        <v>4</v>
      </c>
      <c r="HK99">
        <v>4</v>
      </c>
      <c r="HL99">
        <v>5</v>
      </c>
      <c r="HM99">
        <v>3</v>
      </c>
      <c r="HN99">
        <v>3</v>
      </c>
      <c r="HO99">
        <v>3</v>
      </c>
      <c r="HP99">
        <v>3</v>
      </c>
      <c r="HQ99">
        <v>3</v>
      </c>
      <c r="HR99">
        <v>1</v>
      </c>
      <c r="HS99">
        <v>3</v>
      </c>
      <c r="HT99">
        <v>6</v>
      </c>
      <c r="HU99">
        <v>6</v>
      </c>
      <c r="HV99">
        <v>6</v>
      </c>
      <c r="HW99">
        <v>4</v>
      </c>
      <c r="HX99">
        <v>6</v>
      </c>
      <c r="HY99">
        <v>4</v>
      </c>
      <c r="HZ99">
        <v>1</v>
      </c>
      <c r="IA99">
        <v>5</v>
      </c>
      <c r="IB99">
        <v>1</v>
      </c>
      <c r="IC99">
        <v>1</v>
      </c>
      <c r="ID99">
        <v>1</v>
      </c>
      <c r="IJ99">
        <v>1</v>
      </c>
      <c r="IK99">
        <v>3</v>
      </c>
      <c r="IQ99">
        <v>2</v>
      </c>
      <c r="IR99">
        <v>2</v>
      </c>
      <c r="IS99">
        <v>2</v>
      </c>
      <c r="IT99">
        <v>2</v>
      </c>
      <c r="IU99">
        <v>2</v>
      </c>
    </row>
    <row r="100" spans="1:255" x14ac:dyDescent="0.2">
      <c r="A100" t="str">
        <f t="shared" ref="A100:A106" si="3">INDEX(TL_NAT,ROW()-98)</f>
        <v>Fallenstellen</v>
      </c>
      <c r="BD100">
        <v>2</v>
      </c>
      <c r="BE100">
        <v>2</v>
      </c>
      <c r="BF100">
        <v>2</v>
      </c>
      <c r="BG100">
        <v>2</v>
      </c>
      <c r="BH100">
        <v>2</v>
      </c>
      <c r="BI100">
        <v>2</v>
      </c>
      <c r="BJ100">
        <v>2</v>
      </c>
      <c r="BK100">
        <v>3</v>
      </c>
      <c r="BL100">
        <v>2</v>
      </c>
      <c r="BM100">
        <v>2</v>
      </c>
      <c r="BN100">
        <v>2</v>
      </c>
      <c r="BO100">
        <v>2</v>
      </c>
      <c r="BR100">
        <v>3</v>
      </c>
      <c r="CF100">
        <v>1</v>
      </c>
      <c r="FS100">
        <v>4</v>
      </c>
      <c r="GG100">
        <v>2</v>
      </c>
      <c r="GH100">
        <v>2</v>
      </c>
      <c r="GI100">
        <v>2</v>
      </c>
      <c r="GJ100">
        <v>2</v>
      </c>
      <c r="HI100">
        <v>1</v>
      </c>
      <c r="HJ100">
        <v>5</v>
      </c>
      <c r="HK100">
        <v>5</v>
      </c>
      <c r="HT100">
        <v>2</v>
      </c>
      <c r="HU100">
        <v>2</v>
      </c>
      <c r="HV100">
        <v>7</v>
      </c>
      <c r="HW100">
        <v>2</v>
      </c>
      <c r="HX100">
        <v>2</v>
      </c>
      <c r="IA100">
        <v>2</v>
      </c>
      <c r="IB100">
        <v>1</v>
      </c>
      <c r="IC100">
        <v>1</v>
      </c>
      <c r="ID100">
        <v>1</v>
      </c>
      <c r="IJ100">
        <v>1</v>
      </c>
      <c r="IK100">
        <v>1</v>
      </c>
      <c r="IQ100">
        <v>2</v>
      </c>
      <c r="IR100">
        <v>2</v>
      </c>
      <c r="IS100">
        <v>2</v>
      </c>
      <c r="IT100">
        <v>2</v>
      </c>
      <c r="IU100">
        <v>3</v>
      </c>
    </row>
    <row r="101" spans="1:255" x14ac:dyDescent="0.2">
      <c r="A101" t="str">
        <f t="shared" si="3"/>
        <v>Fesseln/Entfesseln</v>
      </c>
      <c r="K101">
        <v>1</v>
      </c>
      <c r="L101">
        <v>2</v>
      </c>
      <c r="BC101">
        <v>2</v>
      </c>
      <c r="BD101">
        <v>2</v>
      </c>
      <c r="BE101">
        <v>2</v>
      </c>
      <c r="BF101">
        <v>4</v>
      </c>
      <c r="BG101">
        <v>2</v>
      </c>
      <c r="BH101">
        <v>4</v>
      </c>
      <c r="BI101">
        <v>2</v>
      </c>
      <c r="BJ101">
        <v>2</v>
      </c>
      <c r="BK101">
        <v>2</v>
      </c>
      <c r="BL101">
        <v>2</v>
      </c>
      <c r="BM101">
        <v>2</v>
      </c>
      <c r="BN101">
        <v>2</v>
      </c>
      <c r="BO101">
        <v>2</v>
      </c>
      <c r="BR101">
        <v>2</v>
      </c>
      <c r="CF101">
        <v>1</v>
      </c>
      <c r="CG101">
        <v>2</v>
      </c>
      <c r="CH101">
        <v>5</v>
      </c>
      <c r="CL101">
        <v>2</v>
      </c>
      <c r="CP101">
        <v>2</v>
      </c>
      <c r="EH101">
        <v>1</v>
      </c>
      <c r="EI101">
        <v>1</v>
      </c>
      <c r="EJ101">
        <v>1</v>
      </c>
      <c r="EK101">
        <v>1</v>
      </c>
      <c r="EL101">
        <v>1</v>
      </c>
      <c r="EM101">
        <v>1</v>
      </c>
      <c r="EN101">
        <v>1</v>
      </c>
      <c r="EO101">
        <v>1</v>
      </c>
      <c r="EP101">
        <v>1</v>
      </c>
      <c r="FB101">
        <v>2</v>
      </c>
      <c r="FC101">
        <v>2</v>
      </c>
      <c r="FD101">
        <v>2</v>
      </c>
      <c r="FE101">
        <v>2</v>
      </c>
      <c r="FF101">
        <v>2</v>
      </c>
      <c r="FG101">
        <v>2</v>
      </c>
      <c r="FH101">
        <v>2</v>
      </c>
      <c r="FI101">
        <v>2</v>
      </c>
      <c r="FJ101">
        <v>2</v>
      </c>
      <c r="FK101">
        <v>2</v>
      </c>
      <c r="FS101">
        <v>2</v>
      </c>
      <c r="FT101">
        <v>2</v>
      </c>
      <c r="FZ101">
        <v>1</v>
      </c>
      <c r="GA101">
        <v>1</v>
      </c>
      <c r="GB101">
        <v>1</v>
      </c>
      <c r="GC101">
        <v>1</v>
      </c>
      <c r="GD101">
        <v>1</v>
      </c>
      <c r="GE101">
        <v>1</v>
      </c>
      <c r="GF101">
        <v>2</v>
      </c>
      <c r="GG101">
        <v>2</v>
      </c>
      <c r="GH101">
        <v>2</v>
      </c>
      <c r="GI101">
        <v>2</v>
      </c>
      <c r="GJ101">
        <v>2</v>
      </c>
      <c r="GK101">
        <v>1</v>
      </c>
      <c r="GL101">
        <v>1</v>
      </c>
      <c r="GM101">
        <v>1</v>
      </c>
      <c r="GN101">
        <v>1</v>
      </c>
      <c r="GO101">
        <v>1</v>
      </c>
      <c r="HB101">
        <v>5</v>
      </c>
      <c r="HC101">
        <v>5</v>
      </c>
      <c r="HD101">
        <v>5</v>
      </c>
      <c r="HE101">
        <v>5</v>
      </c>
      <c r="HF101">
        <v>5</v>
      </c>
      <c r="HG101">
        <v>5</v>
      </c>
      <c r="HH101">
        <v>1</v>
      </c>
      <c r="HI101">
        <v>2</v>
      </c>
      <c r="HJ101">
        <v>3</v>
      </c>
      <c r="HK101">
        <v>5</v>
      </c>
      <c r="HL101">
        <v>4</v>
      </c>
      <c r="HM101">
        <v>2</v>
      </c>
      <c r="HN101">
        <v>2</v>
      </c>
      <c r="HO101">
        <v>2</v>
      </c>
      <c r="HP101">
        <v>2</v>
      </c>
      <c r="HQ101">
        <v>2</v>
      </c>
      <c r="HR101">
        <v>2</v>
      </c>
      <c r="HS101">
        <v>2</v>
      </c>
      <c r="HT101">
        <v>3</v>
      </c>
      <c r="HU101">
        <v>3</v>
      </c>
      <c r="HV101">
        <v>3</v>
      </c>
      <c r="HW101">
        <v>3</v>
      </c>
      <c r="HX101">
        <v>3</v>
      </c>
      <c r="HZ101">
        <v>1</v>
      </c>
      <c r="IA101">
        <v>3</v>
      </c>
      <c r="IE101">
        <v>3</v>
      </c>
      <c r="IF101">
        <v>3</v>
      </c>
      <c r="IG101">
        <v>3</v>
      </c>
      <c r="IH101">
        <v>3</v>
      </c>
      <c r="II101">
        <v>3</v>
      </c>
      <c r="IL101">
        <v>5</v>
      </c>
      <c r="IM101">
        <v>3</v>
      </c>
      <c r="IN101">
        <v>3</v>
      </c>
      <c r="IO101">
        <v>3</v>
      </c>
      <c r="IP101">
        <v>3</v>
      </c>
      <c r="IQ101">
        <v>1</v>
      </c>
      <c r="IR101">
        <v>1</v>
      </c>
      <c r="IS101">
        <v>1</v>
      </c>
      <c r="IT101">
        <v>1</v>
      </c>
      <c r="IU101">
        <v>3</v>
      </c>
    </row>
    <row r="102" spans="1:255" x14ac:dyDescent="0.2">
      <c r="A102" t="str">
        <f t="shared" si="3"/>
        <v>Fischen/Angeln</v>
      </c>
      <c r="BD102">
        <v>1</v>
      </c>
      <c r="BE102">
        <v>1</v>
      </c>
      <c r="BF102">
        <v>1</v>
      </c>
      <c r="BG102">
        <v>1</v>
      </c>
      <c r="BH102">
        <v>1</v>
      </c>
      <c r="BI102">
        <v>1</v>
      </c>
      <c r="BJ102">
        <v>1</v>
      </c>
      <c r="BK102">
        <v>1</v>
      </c>
      <c r="BL102">
        <v>1</v>
      </c>
      <c r="BM102">
        <v>1</v>
      </c>
      <c r="BN102">
        <v>1</v>
      </c>
      <c r="BO102">
        <v>1</v>
      </c>
      <c r="FS102">
        <v>2</v>
      </c>
      <c r="FT102">
        <v>2</v>
      </c>
      <c r="GD102">
        <v>1</v>
      </c>
      <c r="GG102">
        <v>1</v>
      </c>
      <c r="GH102">
        <v>1</v>
      </c>
      <c r="GI102">
        <v>1</v>
      </c>
      <c r="GJ102">
        <v>1</v>
      </c>
      <c r="GY102">
        <v>1</v>
      </c>
      <c r="HA102">
        <v>1</v>
      </c>
      <c r="HB102">
        <v>7</v>
      </c>
      <c r="HC102">
        <v>5</v>
      </c>
      <c r="HD102">
        <v>7</v>
      </c>
      <c r="HE102">
        <v>7</v>
      </c>
      <c r="HF102">
        <v>7</v>
      </c>
      <c r="HG102">
        <v>7</v>
      </c>
      <c r="HI102">
        <v>1</v>
      </c>
      <c r="HJ102">
        <v>1</v>
      </c>
      <c r="HM102">
        <v>1</v>
      </c>
      <c r="HN102">
        <v>1</v>
      </c>
      <c r="HO102">
        <v>1</v>
      </c>
      <c r="HP102">
        <v>1</v>
      </c>
      <c r="HQ102">
        <v>1</v>
      </c>
      <c r="HR102">
        <v>1</v>
      </c>
      <c r="HS102">
        <v>1</v>
      </c>
      <c r="HT102">
        <v>2</v>
      </c>
      <c r="HU102">
        <v>2</v>
      </c>
      <c r="HV102">
        <v>2</v>
      </c>
      <c r="HW102">
        <v>3</v>
      </c>
      <c r="HX102">
        <v>2</v>
      </c>
      <c r="IA102">
        <v>2</v>
      </c>
      <c r="IB102">
        <v>2</v>
      </c>
      <c r="IC102">
        <v>2</v>
      </c>
      <c r="ID102">
        <v>2</v>
      </c>
      <c r="IE102">
        <v>4</v>
      </c>
      <c r="IF102">
        <v>3</v>
      </c>
      <c r="IG102">
        <v>3</v>
      </c>
      <c r="IH102">
        <v>3</v>
      </c>
      <c r="II102">
        <v>3</v>
      </c>
      <c r="IL102">
        <v>3</v>
      </c>
      <c r="IM102">
        <v>3</v>
      </c>
      <c r="IN102">
        <v>2</v>
      </c>
      <c r="IO102">
        <v>2</v>
      </c>
      <c r="IP102">
        <v>2</v>
      </c>
      <c r="IS102">
        <v>1</v>
      </c>
      <c r="IT102">
        <v>2</v>
      </c>
    </row>
    <row r="103" spans="1:255" x14ac:dyDescent="0.2">
      <c r="A103" t="str">
        <f t="shared" si="3"/>
        <v>Orientierung</v>
      </c>
      <c r="H103">
        <v>2</v>
      </c>
      <c r="J103">
        <v>2</v>
      </c>
      <c r="K103">
        <v>2</v>
      </c>
      <c r="L103">
        <v>3</v>
      </c>
      <c r="U103">
        <v>1</v>
      </c>
      <c r="X103">
        <v>2</v>
      </c>
      <c r="AA103">
        <v>2</v>
      </c>
      <c r="AB103">
        <v>1</v>
      </c>
      <c r="AI103">
        <v>1</v>
      </c>
      <c r="AN103">
        <v>1</v>
      </c>
      <c r="AO103">
        <v>2</v>
      </c>
      <c r="AP103">
        <v>2</v>
      </c>
      <c r="AQ103">
        <v>2</v>
      </c>
      <c r="BD103">
        <v>1</v>
      </c>
      <c r="BE103">
        <v>3</v>
      </c>
      <c r="BF103">
        <v>1</v>
      </c>
      <c r="BG103">
        <v>1</v>
      </c>
      <c r="BH103">
        <v>1</v>
      </c>
      <c r="BI103">
        <v>1</v>
      </c>
      <c r="BJ103">
        <v>1</v>
      </c>
      <c r="BK103">
        <v>1</v>
      </c>
      <c r="BL103">
        <v>1</v>
      </c>
      <c r="BM103">
        <v>1</v>
      </c>
      <c r="BN103">
        <v>1</v>
      </c>
      <c r="BO103">
        <v>1</v>
      </c>
      <c r="BP103">
        <v>3</v>
      </c>
      <c r="BQ103">
        <v>3</v>
      </c>
      <c r="BR103">
        <v>3</v>
      </c>
      <c r="BY103">
        <v>3</v>
      </c>
      <c r="CH103">
        <v>2</v>
      </c>
      <c r="CT103">
        <v>2</v>
      </c>
      <c r="EH103">
        <v>1</v>
      </c>
      <c r="EI103">
        <v>1</v>
      </c>
      <c r="EJ103">
        <v>1</v>
      </c>
      <c r="EK103">
        <v>1</v>
      </c>
      <c r="EL103">
        <v>1</v>
      </c>
      <c r="EM103">
        <v>1</v>
      </c>
      <c r="EN103">
        <v>1</v>
      </c>
      <c r="EO103">
        <v>1</v>
      </c>
      <c r="EP103">
        <v>1</v>
      </c>
      <c r="EQ103">
        <v>1</v>
      </c>
      <c r="ER103">
        <v>1</v>
      </c>
      <c r="ES103">
        <v>1</v>
      </c>
      <c r="ET103">
        <v>1</v>
      </c>
      <c r="EU103">
        <v>1</v>
      </c>
      <c r="EV103">
        <v>1</v>
      </c>
      <c r="EW103">
        <v>1</v>
      </c>
      <c r="EX103">
        <v>1</v>
      </c>
      <c r="EY103">
        <v>1</v>
      </c>
      <c r="EZ103">
        <v>1</v>
      </c>
      <c r="FA103">
        <v>1</v>
      </c>
      <c r="FB103">
        <v>1</v>
      </c>
      <c r="FC103">
        <v>1</v>
      </c>
      <c r="FD103">
        <v>1</v>
      </c>
      <c r="FE103">
        <v>1</v>
      </c>
      <c r="FF103">
        <v>1</v>
      </c>
      <c r="FG103">
        <v>1</v>
      </c>
      <c r="FH103">
        <v>1</v>
      </c>
      <c r="FI103">
        <v>1</v>
      </c>
      <c r="FJ103">
        <v>1</v>
      </c>
      <c r="FK103">
        <v>1</v>
      </c>
      <c r="FL103">
        <v>1</v>
      </c>
      <c r="FM103">
        <v>1</v>
      </c>
      <c r="FN103">
        <v>1</v>
      </c>
      <c r="FO103">
        <v>1</v>
      </c>
      <c r="FP103">
        <v>1</v>
      </c>
      <c r="FQ103">
        <v>1</v>
      </c>
      <c r="FR103">
        <v>1</v>
      </c>
      <c r="FS103">
        <v>2</v>
      </c>
      <c r="FT103">
        <v>2</v>
      </c>
      <c r="GE103">
        <v>2</v>
      </c>
      <c r="GQ103">
        <v>5</v>
      </c>
      <c r="GR103">
        <v>5</v>
      </c>
      <c r="GS103">
        <v>5</v>
      </c>
      <c r="GT103">
        <v>5</v>
      </c>
      <c r="GU103">
        <v>5</v>
      </c>
      <c r="GV103">
        <v>4</v>
      </c>
      <c r="GW103">
        <v>5</v>
      </c>
      <c r="GX103">
        <v>3</v>
      </c>
      <c r="GY103">
        <v>4</v>
      </c>
      <c r="GZ103">
        <v>2</v>
      </c>
      <c r="HA103">
        <v>3</v>
      </c>
      <c r="HB103">
        <v>2</v>
      </c>
      <c r="HC103">
        <v>2</v>
      </c>
      <c r="HD103">
        <v>2</v>
      </c>
      <c r="HE103">
        <v>2</v>
      </c>
      <c r="HF103">
        <v>4</v>
      </c>
      <c r="HG103">
        <v>2</v>
      </c>
      <c r="HH103">
        <v>3</v>
      </c>
      <c r="HI103">
        <v>3</v>
      </c>
      <c r="HJ103">
        <v>3</v>
      </c>
      <c r="HK103">
        <v>3</v>
      </c>
      <c r="HL103">
        <v>3</v>
      </c>
      <c r="HM103">
        <v>1</v>
      </c>
      <c r="HN103">
        <v>1</v>
      </c>
      <c r="HO103">
        <v>1</v>
      </c>
      <c r="HP103">
        <v>1</v>
      </c>
      <c r="HQ103">
        <v>1</v>
      </c>
      <c r="HR103">
        <v>1</v>
      </c>
      <c r="HS103">
        <v>1</v>
      </c>
      <c r="HT103">
        <v>3</v>
      </c>
      <c r="HU103">
        <v>3</v>
      </c>
      <c r="HV103">
        <v>3</v>
      </c>
      <c r="HW103">
        <v>4</v>
      </c>
      <c r="HX103">
        <v>3</v>
      </c>
      <c r="HY103">
        <v>5</v>
      </c>
      <c r="HZ103">
        <v>5</v>
      </c>
      <c r="IA103">
        <v>5</v>
      </c>
      <c r="IB103">
        <v>3</v>
      </c>
      <c r="IC103">
        <v>3</v>
      </c>
      <c r="ID103">
        <v>4</v>
      </c>
      <c r="IE103">
        <v>2</v>
      </c>
      <c r="IF103">
        <v>2</v>
      </c>
      <c r="IG103">
        <v>4</v>
      </c>
      <c r="IH103">
        <v>2</v>
      </c>
      <c r="II103">
        <v>2</v>
      </c>
      <c r="IJ103">
        <v>3</v>
      </c>
      <c r="IK103">
        <v>3</v>
      </c>
      <c r="IL103">
        <v>3</v>
      </c>
      <c r="IM103">
        <v>2</v>
      </c>
      <c r="IN103">
        <v>3</v>
      </c>
      <c r="IO103">
        <v>3</v>
      </c>
      <c r="IP103">
        <v>5</v>
      </c>
      <c r="IQ103">
        <v>2</v>
      </c>
      <c r="IR103">
        <v>2</v>
      </c>
      <c r="IS103">
        <v>2</v>
      </c>
      <c r="IT103">
        <v>2</v>
      </c>
      <c r="IU103">
        <v>2</v>
      </c>
    </row>
    <row r="104" spans="1:255" x14ac:dyDescent="0.2">
      <c r="A104" t="str">
        <f t="shared" si="3"/>
        <v>Seefischerei</v>
      </c>
    </row>
    <row r="105" spans="1:255" x14ac:dyDescent="0.2">
      <c r="A105" t="str">
        <f t="shared" si="3"/>
        <v>Wettervorhersage</v>
      </c>
      <c r="BD105">
        <v>5</v>
      </c>
      <c r="BE105">
        <v>5</v>
      </c>
      <c r="BF105">
        <v>5</v>
      </c>
      <c r="BG105">
        <v>5</v>
      </c>
      <c r="BH105">
        <v>5</v>
      </c>
      <c r="BI105">
        <v>5</v>
      </c>
      <c r="BJ105">
        <v>5</v>
      </c>
      <c r="BK105">
        <v>5</v>
      </c>
      <c r="BL105">
        <v>5</v>
      </c>
      <c r="BM105">
        <v>5</v>
      </c>
      <c r="BN105">
        <v>5</v>
      </c>
      <c r="BO105">
        <v>5</v>
      </c>
      <c r="CT105">
        <v>1</v>
      </c>
      <c r="EH105">
        <v>1</v>
      </c>
      <c r="EI105">
        <v>1</v>
      </c>
      <c r="EJ105">
        <v>1</v>
      </c>
      <c r="EK105">
        <v>1</v>
      </c>
      <c r="EL105">
        <v>1</v>
      </c>
      <c r="EM105">
        <v>1</v>
      </c>
      <c r="EN105">
        <v>1</v>
      </c>
      <c r="EO105">
        <v>1</v>
      </c>
      <c r="EP105">
        <v>1</v>
      </c>
      <c r="EQ105">
        <v>1</v>
      </c>
      <c r="ER105">
        <v>1</v>
      </c>
      <c r="ES105">
        <v>1</v>
      </c>
      <c r="ET105">
        <v>1</v>
      </c>
      <c r="EU105">
        <v>1</v>
      </c>
      <c r="EV105">
        <v>1</v>
      </c>
      <c r="EW105">
        <v>1</v>
      </c>
      <c r="EX105">
        <v>1</v>
      </c>
      <c r="EY105">
        <v>1</v>
      </c>
      <c r="EZ105">
        <v>1</v>
      </c>
      <c r="FA105">
        <v>1</v>
      </c>
      <c r="FB105">
        <v>1</v>
      </c>
      <c r="FC105">
        <v>1</v>
      </c>
      <c r="FD105">
        <v>1</v>
      </c>
      <c r="FE105">
        <v>1</v>
      </c>
      <c r="FF105">
        <v>1</v>
      </c>
      <c r="FG105">
        <v>1</v>
      </c>
      <c r="FH105">
        <v>1</v>
      </c>
      <c r="FI105">
        <v>1</v>
      </c>
      <c r="FJ105">
        <v>1</v>
      </c>
      <c r="FK105">
        <v>1</v>
      </c>
      <c r="FL105">
        <v>1</v>
      </c>
      <c r="FM105">
        <v>1</v>
      </c>
      <c r="FN105">
        <v>1</v>
      </c>
      <c r="FO105">
        <v>1</v>
      </c>
      <c r="FP105">
        <v>1</v>
      </c>
      <c r="FQ105">
        <v>1</v>
      </c>
      <c r="FR105">
        <v>1</v>
      </c>
      <c r="GC105">
        <v>3</v>
      </c>
      <c r="GG105">
        <v>1</v>
      </c>
      <c r="GH105">
        <v>1</v>
      </c>
      <c r="GI105">
        <v>1</v>
      </c>
      <c r="GJ105">
        <v>1</v>
      </c>
      <c r="GQ105">
        <v>3</v>
      </c>
      <c r="GR105">
        <v>3</v>
      </c>
      <c r="GS105">
        <v>3</v>
      </c>
      <c r="GT105">
        <v>3</v>
      </c>
      <c r="GU105">
        <v>1</v>
      </c>
      <c r="GV105">
        <v>3</v>
      </c>
      <c r="GW105">
        <v>3</v>
      </c>
      <c r="GX105">
        <v>2</v>
      </c>
      <c r="GY105">
        <v>4</v>
      </c>
      <c r="GZ105">
        <v>2</v>
      </c>
      <c r="HA105">
        <v>2</v>
      </c>
      <c r="HB105">
        <v>4</v>
      </c>
      <c r="HC105">
        <v>4</v>
      </c>
      <c r="HD105">
        <v>4</v>
      </c>
      <c r="HE105">
        <v>4</v>
      </c>
      <c r="HF105">
        <v>4</v>
      </c>
      <c r="HG105">
        <v>4</v>
      </c>
      <c r="HH105">
        <v>2</v>
      </c>
      <c r="HI105">
        <v>3</v>
      </c>
      <c r="HJ105">
        <v>2</v>
      </c>
      <c r="HK105">
        <v>2</v>
      </c>
      <c r="HL105">
        <v>2</v>
      </c>
      <c r="HM105">
        <v>3</v>
      </c>
      <c r="HN105">
        <v>3</v>
      </c>
      <c r="HO105">
        <v>3</v>
      </c>
      <c r="HP105">
        <v>3</v>
      </c>
      <c r="HQ105">
        <v>3</v>
      </c>
      <c r="HR105">
        <v>1</v>
      </c>
      <c r="HS105">
        <v>3</v>
      </c>
      <c r="HT105">
        <v>3</v>
      </c>
      <c r="HU105">
        <v>3</v>
      </c>
      <c r="HV105">
        <v>3</v>
      </c>
      <c r="HW105">
        <v>3</v>
      </c>
      <c r="HX105">
        <v>3</v>
      </c>
      <c r="HY105">
        <v>4</v>
      </c>
      <c r="HZ105">
        <v>4</v>
      </c>
      <c r="IA105">
        <v>3</v>
      </c>
      <c r="IB105">
        <v>2</v>
      </c>
      <c r="IC105">
        <v>2</v>
      </c>
      <c r="ID105">
        <v>2</v>
      </c>
      <c r="IE105">
        <v>2</v>
      </c>
      <c r="IF105">
        <v>2</v>
      </c>
      <c r="IG105">
        <v>4</v>
      </c>
      <c r="IH105">
        <v>2</v>
      </c>
      <c r="II105">
        <v>2</v>
      </c>
      <c r="IJ105">
        <v>2</v>
      </c>
      <c r="IK105">
        <v>2</v>
      </c>
      <c r="IL105">
        <v>3</v>
      </c>
      <c r="IM105">
        <v>3</v>
      </c>
      <c r="IN105">
        <v>3</v>
      </c>
      <c r="IO105">
        <v>3</v>
      </c>
      <c r="IP105">
        <v>4</v>
      </c>
      <c r="IS105">
        <v>1</v>
      </c>
      <c r="IT105">
        <v>1</v>
      </c>
      <c r="IU105">
        <v>1</v>
      </c>
    </row>
    <row r="106" spans="1:255" x14ac:dyDescent="0.2">
      <c r="A106" t="str">
        <f t="shared" si="3"/>
        <v>Wildnisleben</v>
      </c>
      <c r="D106">
        <v>2</v>
      </c>
      <c r="E106">
        <v>2</v>
      </c>
      <c r="G106">
        <v>2</v>
      </c>
      <c r="H106">
        <v>3</v>
      </c>
      <c r="U106">
        <v>1</v>
      </c>
      <c r="X106">
        <v>2</v>
      </c>
      <c r="AA106">
        <v>2</v>
      </c>
      <c r="AB106">
        <v>1</v>
      </c>
      <c r="AN106">
        <v>1</v>
      </c>
      <c r="BD106">
        <v>3</v>
      </c>
      <c r="BE106">
        <v>4</v>
      </c>
      <c r="BF106">
        <v>3</v>
      </c>
      <c r="BG106">
        <v>3</v>
      </c>
      <c r="BI106">
        <v>3</v>
      </c>
      <c r="BJ106">
        <v>3</v>
      </c>
      <c r="BK106">
        <v>4</v>
      </c>
      <c r="BL106">
        <v>2</v>
      </c>
      <c r="BM106">
        <v>3</v>
      </c>
      <c r="BN106">
        <v>3</v>
      </c>
      <c r="BO106">
        <v>3</v>
      </c>
      <c r="BP106">
        <v>1</v>
      </c>
      <c r="BQ106">
        <v>1</v>
      </c>
      <c r="BR106">
        <v>1</v>
      </c>
      <c r="CH106">
        <v>2</v>
      </c>
      <c r="EH106">
        <v>1</v>
      </c>
      <c r="EI106">
        <v>1</v>
      </c>
      <c r="EJ106">
        <v>1</v>
      </c>
      <c r="EK106">
        <v>1</v>
      </c>
      <c r="EL106">
        <v>1</v>
      </c>
      <c r="EM106">
        <v>1</v>
      </c>
      <c r="EN106">
        <v>1</v>
      </c>
      <c r="EO106">
        <v>1</v>
      </c>
      <c r="EP106">
        <v>1</v>
      </c>
      <c r="EQ106">
        <v>1</v>
      </c>
      <c r="ER106">
        <v>1</v>
      </c>
      <c r="ES106">
        <v>1</v>
      </c>
      <c r="ET106">
        <v>1</v>
      </c>
      <c r="EU106">
        <v>1</v>
      </c>
      <c r="EV106">
        <v>1</v>
      </c>
      <c r="EW106">
        <v>1</v>
      </c>
      <c r="EX106">
        <v>1</v>
      </c>
      <c r="EY106">
        <v>1</v>
      </c>
      <c r="EZ106">
        <v>1</v>
      </c>
      <c r="FA106">
        <v>1</v>
      </c>
      <c r="FB106">
        <v>1</v>
      </c>
      <c r="FC106">
        <v>1</v>
      </c>
      <c r="FD106">
        <v>1</v>
      </c>
      <c r="FE106">
        <v>1</v>
      </c>
      <c r="FF106">
        <v>1</v>
      </c>
      <c r="FG106">
        <v>1</v>
      </c>
      <c r="FH106">
        <v>1</v>
      </c>
      <c r="FI106">
        <v>1</v>
      </c>
      <c r="FJ106">
        <v>1</v>
      </c>
      <c r="FK106">
        <v>1</v>
      </c>
      <c r="FL106">
        <v>1</v>
      </c>
      <c r="FM106">
        <v>1</v>
      </c>
      <c r="FN106">
        <v>1</v>
      </c>
      <c r="FO106">
        <v>1</v>
      </c>
      <c r="FP106">
        <v>1</v>
      </c>
      <c r="FQ106">
        <v>1</v>
      </c>
      <c r="FR106">
        <v>1</v>
      </c>
      <c r="FZ106">
        <v>2</v>
      </c>
      <c r="GA106">
        <v>2</v>
      </c>
      <c r="GB106">
        <v>2</v>
      </c>
      <c r="GC106">
        <v>2</v>
      </c>
      <c r="GD106">
        <v>2</v>
      </c>
      <c r="GE106">
        <v>2</v>
      </c>
      <c r="GF106">
        <v>2</v>
      </c>
      <c r="GG106">
        <v>2</v>
      </c>
      <c r="GH106">
        <v>2</v>
      </c>
      <c r="GI106">
        <v>2</v>
      </c>
      <c r="GJ106">
        <v>2</v>
      </c>
      <c r="GQ106">
        <v>2</v>
      </c>
      <c r="GR106">
        <v>2</v>
      </c>
      <c r="GS106">
        <v>2</v>
      </c>
      <c r="GT106">
        <v>3</v>
      </c>
      <c r="GU106">
        <v>2</v>
      </c>
      <c r="GV106">
        <v>2</v>
      </c>
      <c r="GW106">
        <v>2</v>
      </c>
      <c r="GX106">
        <v>2</v>
      </c>
      <c r="GY106">
        <v>3</v>
      </c>
      <c r="GZ106">
        <v>2</v>
      </c>
      <c r="HA106">
        <v>1</v>
      </c>
      <c r="HB106">
        <v>2</v>
      </c>
      <c r="HD106">
        <v>2</v>
      </c>
      <c r="HE106">
        <v>2</v>
      </c>
      <c r="HF106">
        <v>2</v>
      </c>
      <c r="HG106">
        <v>2</v>
      </c>
      <c r="HH106">
        <v>1</v>
      </c>
      <c r="HI106">
        <v>4</v>
      </c>
      <c r="HJ106">
        <v>4</v>
      </c>
      <c r="HK106">
        <v>4</v>
      </c>
      <c r="HL106">
        <v>3</v>
      </c>
      <c r="HM106">
        <v>3</v>
      </c>
      <c r="HN106">
        <v>3</v>
      </c>
      <c r="HO106">
        <v>3</v>
      </c>
      <c r="HP106">
        <v>3</v>
      </c>
      <c r="HQ106">
        <v>3</v>
      </c>
      <c r="HR106">
        <v>1</v>
      </c>
      <c r="HS106">
        <v>3</v>
      </c>
      <c r="HT106">
        <v>5</v>
      </c>
      <c r="HU106">
        <v>5</v>
      </c>
      <c r="HV106">
        <v>5</v>
      </c>
      <c r="HW106">
        <v>5</v>
      </c>
      <c r="HX106">
        <v>5</v>
      </c>
      <c r="HY106">
        <v>4</v>
      </c>
      <c r="HZ106">
        <v>4</v>
      </c>
      <c r="IA106">
        <v>4</v>
      </c>
      <c r="IB106">
        <v>4</v>
      </c>
      <c r="IC106">
        <v>4</v>
      </c>
      <c r="ID106">
        <v>5</v>
      </c>
      <c r="IE106">
        <v>1</v>
      </c>
      <c r="IH106">
        <v>2</v>
      </c>
      <c r="IJ106">
        <v>2</v>
      </c>
      <c r="IK106">
        <v>2</v>
      </c>
      <c r="IQ106">
        <v>2</v>
      </c>
      <c r="IR106">
        <v>2</v>
      </c>
      <c r="IS106">
        <v>3</v>
      </c>
      <c r="IT106">
        <v>3</v>
      </c>
      <c r="IU106">
        <v>2</v>
      </c>
    </row>
    <row r="107" spans="1:255" ht="12.75" customHeight="1" x14ac:dyDescent="0.2">
      <c r="A107" t="str">
        <f>INDEX(TL_WIS,ROW()-106)</f>
        <v>Anatomie</v>
      </c>
      <c r="B107" t="s">
        <v>3321</v>
      </c>
      <c r="AC107">
        <v>2</v>
      </c>
      <c r="AG107">
        <v>2</v>
      </c>
      <c r="BB107" t="s">
        <v>3321</v>
      </c>
      <c r="BC107">
        <v>2</v>
      </c>
      <c r="CL107">
        <v>7</v>
      </c>
      <c r="CP107">
        <v>5</v>
      </c>
      <c r="GK107">
        <v>3</v>
      </c>
      <c r="GL107">
        <v>4</v>
      </c>
      <c r="GM107">
        <v>3</v>
      </c>
      <c r="GN107">
        <v>3</v>
      </c>
      <c r="GO107">
        <v>3</v>
      </c>
      <c r="GP107" t="s">
        <v>3321</v>
      </c>
    </row>
    <row r="108" spans="1:255" x14ac:dyDescent="0.2">
      <c r="A108" t="str">
        <f t="shared" ref="A108:A130" si="4">INDEX(TL_WIS,ROW()-106)</f>
        <v>Baukunst</v>
      </c>
      <c r="AC108">
        <v>2</v>
      </c>
      <c r="AG108">
        <v>2</v>
      </c>
      <c r="CC108">
        <v>7</v>
      </c>
      <c r="CI108">
        <v>2</v>
      </c>
    </row>
    <row r="109" spans="1:255" x14ac:dyDescent="0.2">
      <c r="A109" t="str">
        <f t="shared" si="4"/>
        <v>Brett-/Kartenspiel</v>
      </c>
      <c r="AC109">
        <v>2</v>
      </c>
      <c r="AD109">
        <v>2</v>
      </c>
      <c r="AE109">
        <v>2</v>
      </c>
      <c r="AF109">
        <v>4</v>
      </c>
      <c r="AG109">
        <v>2</v>
      </c>
      <c r="AH109">
        <v>2</v>
      </c>
      <c r="AL109">
        <v>2</v>
      </c>
      <c r="AU109">
        <v>4</v>
      </c>
      <c r="AW109">
        <v>2</v>
      </c>
      <c r="AX109">
        <v>2</v>
      </c>
      <c r="AY109">
        <v>2</v>
      </c>
      <c r="CN109">
        <v>3</v>
      </c>
      <c r="CO109">
        <v>3</v>
      </c>
    </row>
    <row r="110" spans="1:255" x14ac:dyDescent="0.2">
      <c r="A110" t="str">
        <f t="shared" si="4"/>
        <v>Geographie</v>
      </c>
      <c r="D110">
        <v>3</v>
      </c>
      <c r="E110">
        <v>3</v>
      </c>
      <c r="F110">
        <v>3</v>
      </c>
      <c r="G110">
        <v>3</v>
      </c>
      <c r="H110">
        <v>3</v>
      </c>
      <c r="M110">
        <v>1</v>
      </c>
      <c r="N110">
        <v>1</v>
      </c>
      <c r="O110">
        <v>1</v>
      </c>
      <c r="P110">
        <v>1</v>
      </c>
      <c r="Q110">
        <v>1</v>
      </c>
      <c r="R110">
        <v>1</v>
      </c>
      <c r="S110">
        <v>1</v>
      </c>
      <c r="T110">
        <v>1</v>
      </c>
      <c r="U110">
        <v>3</v>
      </c>
      <c r="V110">
        <v>2</v>
      </c>
      <c r="W110">
        <v>2</v>
      </c>
      <c r="X110">
        <v>2</v>
      </c>
      <c r="Y110">
        <v>2</v>
      </c>
      <c r="Z110">
        <v>2</v>
      </c>
      <c r="AA110">
        <v>2</v>
      </c>
      <c r="AB110">
        <v>2</v>
      </c>
      <c r="AM110">
        <v>1</v>
      </c>
      <c r="AN110">
        <v>2</v>
      </c>
      <c r="AQ110">
        <v>2</v>
      </c>
      <c r="AZ110">
        <v>1</v>
      </c>
      <c r="BE110">
        <v>1</v>
      </c>
      <c r="CK110">
        <v>1</v>
      </c>
      <c r="CL110">
        <v>1</v>
      </c>
      <c r="CM110">
        <v>3</v>
      </c>
      <c r="CN110">
        <v>1</v>
      </c>
      <c r="CO110">
        <v>1</v>
      </c>
      <c r="CP110">
        <v>1</v>
      </c>
      <c r="CQ110">
        <v>1</v>
      </c>
      <c r="CR110">
        <v>1</v>
      </c>
      <c r="CS110">
        <v>1</v>
      </c>
      <c r="CT110">
        <v>1</v>
      </c>
      <c r="CU110">
        <v>2</v>
      </c>
      <c r="CV110">
        <v>1</v>
      </c>
      <c r="FZ110">
        <v>2</v>
      </c>
      <c r="GA110">
        <v>2</v>
      </c>
      <c r="GB110">
        <v>2</v>
      </c>
      <c r="GD110">
        <v>2</v>
      </c>
      <c r="GE110">
        <v>2</v>
      </c>
      <c r="GQ110">
        <v>3</v>
      </c>
      <c r="GR110">
        <v>3</v>
      </c>
      <c r="GS110">
        <v>3</v>
      </c>
      <c r="GT110">
        <v>3</v>
      </c>
      <c r="GU110">
        <v>1</v>
      </c>
      <c r="GV110">
        <v>3</v>
      </c>
      <c r="GW110">
        <v>3</v>
      </c>
      <c r="GX110">
        <v>2</v>
      </c>
      <c r="GY110">
        <v>4</v>
      </c>
      <c r="GZ110">
        <v>3</v>
      </c>
      <c r="HA110">
        <v>3</v>
      </c>
      <c r="HB110">
        <v>1</v>
      </c>
      <c r="HC110">
        <v>1</v>
      </c>
      <c r="HD110">
        <v>1</v>
      </c>
      <c r="HE110">
        <v>1</v>
      </c>
      <c r="HF110">
        <v>1</v>
      </c>
      <c r="HG110">
        <v>1</v>
      </c>
      <c r="HH110">
        <v>2</v>
      </c>
      <c r="HI110">
        <v>1</v>
      </c>
      <c r="HJ110">
        <v>1</v>
      </c>
      <c r="HK110">
        <v>1</v>
      </c>
      <c r="HL110">
        <v>1</v>
      </c>
      <c r="HY110">
        <v>3</v>
      </c>
      <c r="IA110">
        <v>2</v>
      </c>
      <c r="IB110">
        <v>1</v>
      </c>
      <c r="IC110">
        <v>1</v>
      </c>
      <c r="IE110">
        <v>2</v>
      </c>
      <c r="IF110">
        <v>3</v>
      </c>
      <c r="IG110">
        <v>2</v>
      </c>
      <c r="IH110">
        <v>2</v>
      </c>
      <c r="II110">
        <v>2</v>
      </c>
      <c r="IJ110">
        <v>3</v>
      </c>
      <c r="IK110">
        <v>3</v>
      </c>
      <c r="IL110">
        <v>3</v>
      </c>
      <c r="IM110">
        <v>2</v>
      </c>
      <c r="IN110">
        <v>2</v>
      </c>
      <c r="IO110">
        <v>1</v>
      </c>
      <c r="IP110">
        <v>4</v>
      </c>
      <c r="IQ110">
        <v>2</v>
      </c>
      <c r="IR110">
        <v>2</v>
      </c>
      <c r="IS110">
        <v>1</v>
      </c>
      <c r="IT110">
        <v>1</v>
      </c>
      <c r="IU110">
        <v>2</v>
      </c>
    </row>
    <row r="111" spans="1:255" x14ac:dyDescent="0.2">
      <c r="A111" t="str">
        <f t="shared" si="4"/>
        <v>Geschichtswissen</v>
      </c>
      <c r="C111">
        <v>1</v>
      </c>
      <c r="D111">
        <v>4</v>
      </c>
      <c r="E111">
        <v>4</v>
      </c>
      <c r="F111">
        <v>4</v>
      </c>
      <c r="G111">
        <v>6</v>
      </c>
      <c r="H111">
        <v>7</v>
      </c>
      <c r="L111">
        <v>1</v>
      </c>
      <c r="T111">
        <v>1</v>
      </c>
      <c r="AB111">
        <v>4</v>
      </c>
      <c r="AC111">
        <v>1</v>
      </c>
      <c r="AD111">
        <v>1</v>
      </c>
      <c r="AE111">
        <v>1</v>
      </c>
      <c r="AF111">
        <v>3</v>
      </c>
      <c r="AG111">
        <v>1</v>
      </c>
      <c r="AH111">
        <v>1</v>
      </c>
      <c r="AI111">
        <v>2</v>
      </c>
      <c r="AM111">
        <v>3</v>
      </c>
      <c r="AN111">
        <v>2</v>
      </c>
      <c r="AZ111">
        <v>1</v>
      </c>
      <c r="CA111">
        <v>1</v>
      </c>
      <c r="CB111">
        <v>1</v>
      </c>
      <c r="CC111">
        <v>1</v>
      </c>
      <c r="CD111">
        <v>1</v>
      </c>
      <c r="CE111">
        <v>1</v>
      </c>
      <c r="CF111">
        <v>1</v>
      </c>
      <c r="CG111">
        <v>1</v>
      </c>
      <c r="CH111">
        <v>2</v>
      </c>
      <c r="CI111">
        <v>1</v>
      </c>
      <c r="CJ111">
        <v>1</v>
      </c>
      <c r="CK111">
        <v>2</v>
      </c>
      <c r="CL111">
        <v>2</v>
      </c>
      <c r="CM111">
        <v>7</v>
      </c>
      <c r="CN111">
        <v>2</v>
      </c>
      <c r="CO111">
        <v>5</v>
      </c>
      <c r="CP111">
        <v>2</v>
      </c>
      <c r="CQ111">
        <v>4</v>
      </c>
      <c r="CR111">
        <v>3</v>
      </c>
      <c r="CS111">
        <v>2</v>
      </c>
      <c r="CT111">
        <v>2</v>
      </c>
      <c r="CU111">
        <v>4</v>
      </c>
      <c r="CV111">
        <v>4</v>
      </c>
      <c r="FU111">
        <v>1</v>
      </c>
      <c r="FV111">
        <v>2</v>
      </c>
      <c r="FW111">
        <v>1</v>
      </c>
      <c r="FY111">
        <v>1</v>
      </c>
      <c r="GX111">
        <v>4</v>
      </c>
      <c r="GY111">
        <v>2</v>
      </c>
      <c r="GZ111">
        <v>2</v>
      </c>
      <c r="HA111">
        <v>2</v>
      </c>
    </row>
    <row r="112" spans="1:255" x14ac:dyDescent="0.2">
      <c r="A112" t="str">
        <f t="shared" si="4"/>
        <v>Gesteinskunde</v>
      </c>
      <c r="AC112">
        <v>4</v>
      </c>
      <c r="BP112">
        <v>4</v>
      </c>
      <c r="BQ112">
        <v>3</v>
      </c>
      <c r="BR112">
        <v>4</v>
      </c>
      <c r="CC112">
        <v>4</v>
      </c>
      <c r="CF112">
        <v>2</v>
      </c>
      <c r="CI112">
        <v>2</v>
      </c>
      <c r="EH112">
        <v>2</v>
      </c>
      <c r="EI112">
        <v>2</v>
      </c>
      <c r="EJ112">
        <v>2</v>
      </c>
      <c r="EK112">
        <v>2</v>
      </c>
      <c r="EL112">
        <v>2</v>
      </c>
      <c r="EM112">
        <v>2</v>
      </c>
      <c r="EN112">
        <v>2</v>
      </c>
      <c r="EO112">
        <v>2</v>
      </c>
      <c r="EP112">
        <v>2</v>
      </c>
      <c r="FL112">
        <v>1</v>
      </c>
      <c r="FM112">
        <v>1</v>
      </c>
      <c r="FN112">
        <v>1</v>
      </c>
      <c r="FO112">
        <v>1</v>
      </c>
      <c r="FP112">
        <v>1</v>
      </c>
      <c r="FQ112">
        <v>1</v>
      </c>
      <c r="FR112">
        <v>1</v>
      </c>
      <c r="GA112">
        <v>3</v>
      </c>
      <c r="GU112">
        <v>2</v>
      </c>
      <c r="GY112">
        <v>2</v>
      </c>
      <c r="IB112">
        <v>5</v>
      </c>
      <c r="IC112">
        <v>1</v>
      </c>
    </row>
    <row r="113" spans="1:255" x14ac:dyDescent="0.2">
      <c r="A113" t="str">
        <f t="shared" si="4"/>
        <v>Götter/Kulte</v>
      </c>
      <c r="C113">
        <v>3</v>
      </c>
      <c r="D113">
        <v>3</v>
      </c>
      <c r="E113">
        <v>3</v>
      </c>
      <c r="F113">
        <v>3</v>
      </c>
      <c r="G113">
        <v>3</v>
      </c>
      <c r="H113">
        <v>3</v>
      </c>
      <c r="I113">
        <v>2</v>
      </c>
      <c r="U113">
        <v>1</v>
      </c>
      <c r="V113">
        <v>1</v>
      </c>
      <c r="W113">
        <v>1</v>
      </c>
      <c r="X113">
        <v>1</v>
      </c>
      <c r="Y113">
        <v>1</v>
      </c>
      <c r="Z113">
        <v>1</v>
      </c>
      <c r="AA113">
        <v>1</v>
      </c>
      <c r="AC113">
        <v>2</v>
      </c>
      <c r="AD113">
        <v>2</v>
      </c>
      <c r="AE113">
        <v>2</v>
      </c>
      <c r="AF113">
        <v>2</v>
      </c>
      <c r="AG113">
        <v>2</v>
      </c>
      <c r="AH113">
        <v>2</v>
      </c>
      <c r="AI113">
        <v>2</v>
      </c>
      <c r="AL113">
        <v>4</v>
      </c>
      <c r="AM113">
        <v>3</v>
      </c>
      <c r="AN113">
        <v>2</v>
      </c>
      <c r="AQ113">
        <v>2</v>
      </c>
      <c r="AW113">
        <v>2</v>
      </c>
      <c r="AX113">
        <v>2</v>
      </c>
      <c r="AY113">
        <v>2</v>
      </c>
      <c r="AZ113">
        <v>1</v>
      </c>
      <c r="BC113">
        <v>2</v>
      </c>
      <c r="BD113">
        <v>1</v>
      </c>
      <c r="BE113">
        <v>1</v>
      </c>
      <c r="BF113">
        <v>1</v>
      </c>
      <c r="BG113">
        <v>1</v>
      </c>
      <c r="BH113">
        <v>1</v>
      </c>
      <c r="BI113">
        <v>1</v>
      </c>
      <c r="BJ113">
        <v>1</v>
      </c>
      <c r="BK113">
        <v>2</v>
      </c>
      <c r="BL113">
        <v>1</v>
      </c>
      <c r="BM113">
        <v>1</v>
      </c>
      <c r="BN113">
        <v>1</v>
      </c>
      <c r="BO113">
        <v>1</v>
      </c>
      <c r="BP113">
        <v>1</v>
      </c>
      <c r="BQ113">
        <v>1</v>
      </c>
      <c r="BR113">
        <v>1</v>
      </c>
      <c r="BS113">
        <v>1</v>
      </c>
      <c r="BT113">
        <v>1</v>
      </c>
      <c r="BU113">
        <v>1</v>
      </c>
      <c r="BV113">
        <v>1</v>
      </c>
      <c r="BW113">
        <v>1</v>
      </c>
      <c r="BX113">
        <v>1</v>
      </c>
      <c r="BY113">
        <v>1</v>
      </c>
      <c r="BZ113">
        <v>3</v>
      </c>
      <c r="CA113">
        <v>1</v>
      </c>
      <c r="CB113">
        <v>1</v>
      </c>
      <c r="CC113">
        <v>1</v>
      </c>
      <c r="CD113">
        <v>1</v>
      </c>
      <c r="CE113">
        <v>1</v>
      </c>
      <c r="CF113">
        <v>1</v>
      </c>
      <c r="CG113">
        <v>1</v>
      </c>
      <c r="CH113">
        <v>2</v>
      </c>
      <c r="CI113">
        <v>2</v>
      </c>
      <c r="CJ113">
        <v>1</v>
      </c>
      <c r="CK113">
        <v>1</v>
      </c>
      <c r="CL113">
        <v>1</v>
      </c>
      <c r="CM113">
        <v>3</v>
      </c>
      <c r="CN113">
        <v>1</v>
      </c>
      <c r="CO113">
        <v>7</v>
      </c>
      <c r="CP113">
        <v>1</v>
      </c>
      <c r="CQ113">
        <v>5</v>
      </c>
      <c r="CR113">
        <v>2</v>
      </c>
      <c r="CS113">
        <v>1</v>
      </c>
      <c r="CT113">
        <v>3</v>
      </c>
      <c r="CU113">
        <v>3</v>
      </c>
      <c r="CV113">
        <v>4</v>
      </c>
      <c r="CW113">
        <v>1</v>
      </c>
      <c r="CX113">
        <v>1</v>
      </c>
      <c r="CY113">
        <v>1</v>
      </c>
      <c r="CZ113">
        <v>1</v>
      </c>
      <c r="DA113">
        <v>1</v>
      </c>
      <c r="DB113">
        <v>1</v>
      </c>
      <c r="DC113">
        <v>1</v>
      </c>
      <c r="DD113">
        <v>1</v>
      </c>
      <c r="DE113">
        <v>1</v>
      </c>
      <c r="DF113">
        <v>1</v>
      </c>
      <c r="DG113">
        <v>1</v>
      </c>
      <c r="DH113">
        <v>1</v>
      </c>
      <c r="DI113">
        <v>1</v>
      </c>
      <c r="DJ113">
        <v>1</v>
      </c>
      <c r="DK113">
        <v>1</v>
      </c>
      <c r="DL113">
        <v>1</v>
      </c>
      <c r="DM113">
        <v>1</v>
      </c>
      <c r="DN113">
        <v>1</v>
      </c>
      <c r="DO113">
        <v>1</v>
      </c>
      <c r="DP113">
        <v>1</v>
      </c>
      <c r="DQ113">
        <v>1</v>
      </c>
      <c r="DR113">
        <v>1</v>
      </c>
      <c r="DS113">
        <v>1</v>
      </c>
      <c r="DT113">
        <v>1</v>
      </c>
      <c r="DU113">
        <v>1</v>
      </c>
      <c r="DV113">
        <v>1</v>
      </c>
      <c r="DW113">
        <v>1</v>
      </c>
      <c r="DX113">
        <v>1</v>
      </c>
      <c r="DY113">
        <v>1</v>
      </c>
      <c r="DZ113">
        <v>1</v>
      </c>
      <c r="EA113">
        <v>1</v>
      </c>
      <c r="EB113">
        <v>1</v>
      </c>
      <c r="EC113">
        <v>1</v>
      </c>
      <c r="ED113">
        <v>1</v>
      </c>
      <c r="EE113">
        <v>1</v>
      </c>
      <c r="EF113">
        <v>1</v>
      </c>
      <c r="EG113">
        <v>1</v>
      </c>
      <c r="EH113">
        <v>1</v>
      </c>
      <c r="EI113">
        <v>1</v>
      </c>
      <c r="EJ113">
        <v>1</v>
      </c>
      <c r="EK113">
        <v>1</v>
      </c>
      <c r="EL113">
        <v>1</v>
      </c>
      <c r="EM113">
        <v>1</v>
      </c>
      <c r="EN113">
        <v>1</v>
      </c>
      <c r="EO113">
        <v>1</v>
      </c>
      <c r="EP113">
        <v>1</v>
      </c>
      <c r="EQ113">
        <v>1</v>
      </c>
      <c r="ER113">
        <v>1</v>
      </c>
      <c r="ES113">
        <v>1</v>
      </c>
      <c r="ET113">
        <v>1</v>
      </c>
      <c r="EU113">
        <v>1</v>
      </c>
      <c r="EV113">
        <v>1</v>
      </c>
      <c r="EW113">
        <v>1</v>
      </c>
      <c r="EX113">
        <v>1</v>
      </c>
      <c r="EY113">
        <v>1</v>
      </c>
      <c r="EZ113">
        <v>1</v>
      </c>
      <c r="FA113">
        <v>1</v>
      </c>
      <c r="FB113">
        <v>1</v>
      </c>
      <c r="FC113">
        <v>1</v>
      </c>
      <c r="FD113">
        <v>1</v>
      </c>
      <c r="FE113">
        <v>1</v>
      </c>
      <c r="FF113">
        <v>1</v>
      </c>
      <c r="FG113">
        <v>1</v>
      </c>
      <c r="FH113">
        <v>1</v>
      </c>
      <c r="FI113">
        <v>1</v>
      </c>
      <c r="FJ113">
        <v>1</v>
      </c>
      <c r="FK113">
        <v>1</v>
      </c>
      <c r="FL113">
        <v>1</v>
      </c>
      <c r="FM113">
        <v>1</v>
      </c>
      <c r="FN113">
        <v>1</v>
      </c>
      <c r="FO113">
        <v>1</v>
      </c>
      <c r="FP113">
        <v>1</v>
      </c>
      <c r="FQ113">
        <v>1</v>
      </c>
      <c r="FR113">
        <v>1</v>
      </c>
      <c r="FU113">
        <v>2</v>
      </c>
      <c r="FV113">
        <v>2</v>
      </c>
      <c r="FW113">
        <v>5</v>
      </c>
      <c r="FX113">
        <v>2</v>
      </c>
      <c r="FY113">
        <v>2</v>
      </c>
      <c r="GA113">
        <v>1</v>
      </c>
      <c r="GK113">
        <v>2</v>
      </c>
      <c r="GL113">
        <v>2</v>
      </c>
      <c r="GM113">
        <v>2</v>
      </c>
      <c r="GN113">
        <v>2</v>
      </c>
      <c r="GO113">
        <v>2</v>
      </c>
      <c r="GS113">
        <v>1</v>
      </c>
      <c r="GX113">
        <v>3</v>
      </c>
      <c r="GZ113">
        <v>2</v>
      </c>
      <c r="HA113">
        <v>2</v>
      </c>
      <c r="HI113">
        <v>1</v>
      </c>
      <c r="HY113">
        <v>1</v>
      </c>
      <c r="HZ113">
        <v>1</v>
      </c>
    </row>
    <row r="114" spans="1:255" x14ac:dyDescent="0.2">
      <c r="A114" t="str">
        <f t="shared" si="4"/>
        <v>Heraldik</v>
      </c>
      <c r="C114">
        <v>2</v>
      </c>
      <c r="D114">
        <v>1</v>
      </c>
      <c r="E114">
        <v>1</v>
      </c>
      <c r="F114">
        <v>1</v>
      </c>
      <c r="G114">
        <v>1</v>
      </c>
      <c r="H114">
        <v>1</v>
      </c>
      <c r="AB114">
        <v>7</v>
      </c>
      <c r="AC114">
        <v>2</v>
      </c>
      <c r="AD114">
        <v>1</v>
      </c>
      <c r="AE114">
        <v>1</v>
      </c>
      <c r="AF114">
        <v>3</v>
      </c>
      <c r="AG114">
        <v>4</v>
      </c>
      <c r="AH114">
        <v>1</v>
      </c>
      <c r="AI114">
        <v>4</v>
      </c>
      <c r="AM114">
        <v>1</v>
      </c>
      <c r="AN114">
        <v>2</v>
      </c>
      <c r="BS114">
        <v>2</v>
      </c>
      <c r="BT114">
        <v>2</v>
      </c>
      <c r="BU114">
        <v>2</v>
      </c>
      <c r="BV114">
        <v>2</v>
      </c>
      <c r="BW114">
        <v>2</v>
      </c>
      <c r="BX114">
        <v>2</v>
      </c>
      <c r="BY114">
        <v>4</v>
      </c>
      <c r="CM114">
        <v>2</v>
      </c>
      <c r="FU114">
        <v>2</v>
      </c>
      <c r="FV114">
        <v>3</v>
      </c>
      <c r="FW114">
        <v>2</v>
      </c>
      <c r="FX114">
        <v>2</v>
      </c>
      <c r="FY114">
        <v>2</v>
      </c>
      <c r="GQ114">
        <v>3</v>
      </c>
      <c r="GR114">
        <v>3</v>
      </c>
      <c r="GS114">
        <v>3</v>
      </c>
      <c r="GT114">
        <v>3</v>
      </c>
      <c r="GU114">
        <v>3</v>
      </c>
      <c r="GV114">
        <v>5</v>
      </c>
      <c r="GW114">
        <v>3</v>
      </c>
      <c r="GX114">
        <v>1</v>
      </c>
      <c r="GZ114">
        <v>1</v>
      </c>
      <c r="HA114">
        <v>1</v>
      </c>
      <c r="HI114">
        <v>1</v>
      </c>
      <c r="HX114">
        <v>1</v>
      </c>
      <c r="IQ114">
        <v>1</v>
      </c>
      <c r="IR114">
        <v>1</v>
      </c>
    </row>
    <row r="115" spans="1:255" x14ac:dyDescent="0.2">
      <c r="A115" t="str">
        <f t="shared" si="4"/>
        <v>Hüttenkunde</v>
      </c>
      <c r="CF115">
        <v>1</v>
      </c>
      <c r="CI115">
        <v>2</v>
      </c>
    </row>
    <row r="116" spans="1:255" x14ac:dyDescent="0.2">
      <c r="A116" t="str">
        <f t="shared" si="4"/>
        <v>Kriegskunst</v>
      </c>
      <c r="AB116">
        <v>2</v>
      </c>
      <c r="HI116">
        <v>1</v>
      </c>
      <c r="HJ116">
        <v>1</v>
      </c>
      <c r="HK116">
        <v>2</v>
      </c>
      <c r="IM116">
        <v>2</v>
      </c>
      <c r="IQ116">
        <v>1</v>
      </c>
    </row>
    <row r="117" spans="1:255" x14ac:dyDescent="0.2">
      <c r="A117" t="str">
        <f t="shared" si="4"/>
        <v>Kryptographie</v>
      </c>
      <c r="CN117">
        <v>4</v>
      </c>
      <c r="CS117">
        <v>2</v>
      </c>
      <c r="CV117">
        <v>5</v>
      </c>
    </row>
    <row r="118" spans="1:255" x14ac:dyDescent="0.2">
      <c r="A118" t="str">
        <f t="shared" si="4"/>
        <v>Magiekunde</v>
      </c>
      <c r="AF118">
        <v>3</v>
      </c>
      <c r="BZ118">
        <v>2</v>
      </c>
      <c r="CM118">
        <v>1</v>
      </c>
      <c r="CQ118">
        <v>2</v>
      </c>
      <c r="CT118">
        <v>2</v>
      </c>
      <c r="GK118">
        <v>1</v>
      </c>
      <c r="GL118">
        <v>1</v>
      </c>
      <c r="GM118">
        <v>1</v>
      </c>
      <c r="GN118">
        <v>1</v>
      </c>
      <c r="GO118">
        <v>1</v>
      </c>
      <c r="GX118">
        <v>3</v>
      </c>
      <c r="GY118">
        <v>1</v>
      </c>
      <c r="GZ118">
        <v>1</v>
      </c>
      <c r="HA118">
        <v>1</v>
      </c>
    </row>
    <row r="119" spans="1:255" x14ac:dyDescent="0.2">
      <c r="A119" t="str">
        <f t="shared" si="4"/>
        <v>Mechanik</v>
      </c>
      <c r="K119">
        <v>1</v>
      </c>
      <c r="L119">
        <v>3</v>
      </c>
      <c r="AN119">
        <v>4</v>
      </c>
      <c r="BL119">
        <v>4</v>
      </c>
      <c r="BR119">
        <v>2</v>
      </c>
      <c r="CC119">
        <v>3</v>
      </c>
      <c r="CD119">
        <v>4</v>
      </c>
      <c r="CE119">
        <v>2</v>
      </c>
      <c r="CF119">
        <v>7</v>
      </c>
      <c r="CG119">
        <v>3</v>
      </c>
      <c r="CH119">
        <v>3</v>
      </c>
      <c r="CI119">
        <v>5</v>
      </c>
      <c r="CJ119">
        <v>4</v>
      </c>
      <c r="CN119">
        <v>4</v>
      </c>
      <c r="CV119">
        <v>3</v>
      </c>
      <c r="CY119">
        <v>2</v>
      </c>
      <c r="FZ119">
        <v>1</v>
      </c>
      <c r="GA119">
        <v>2</v>
      </c>
      <c r="GB119">
        <v>1</v>
      </c>
      <c r="GC119">
        <v>1</v>
      </c>
      <c r="GD119">
        <v>1</v>
      </c>
      <c r="GE119">
        <v>1</v>
      </c>
      <c r="GF119">
        <v>1</v>
      </c>
      <c r="GX119">
        <v>1</v>
      </c>
      <c r="HH119">
        <v>2</v>
      </c>
      <c r="HJ119">
        <v>1</v>
      </c>
      <c r="HK119">
        <v>1</v>
      </c>
      <c r="HZ119">
        <v>3</v>
      </c>
      <c r="IE119">
        <v>1</v>
      </c>
      <c r="IF119">
        <v>2</v>
      </c>
      <c r="IP119">
        <v>2</v>
      </c>
    </row>
    <row r="120" spans="1:255" x14ac:dyDescent="0.2">
      <c r="A120" t="str">
        <f t="shared" si="4"/>
        <v>Pflanzenkunde</v>
      </c>
      <c r="AZ120">
        <v>1</v>
      </c>
      <c r="BC120">
        <v>3</v>
      </c>
      <c r="BD120">
        <v>3</v>
      </c>
      <c r="BE120">
        <v>3</v>
      </c>
      <c r="BF120">
        <v>3</v>
      </c>
      <c r="BG120">
        <v>3</v>
      </c>
      <c r="BH120">
        <v>4</v>
      </c>
      <c r="BI120">
        <v>3</v>
      </c>
      <c r="BJ120">
        <v>3</v>
      </c>
      <c r="BK120">
        <v>3</v>
      </c>
      <c r="BL120">
        <v>3</v>
      </c>
      <c r="BM120">
        <v>3</v>
      </c>
      <c r="BN120">
        <v>3</v>
      </c>
      <c r="BO120">
        <v>4</v>
      </c>
      <c r="BQ120">
        <v>4</v>
      </c>
      <c r="CB120">
        <v>5</v>
      </c>
      <c r="CH120">
        <v>7</v>
      </c>
      <c r="CL120">
        <v>1</v>
      </c>
      <c r="CP120">
        <v>3</v>
      </c>
      <c r="EQ120">
        <v>1</v>
      </c>
      <c r="ER120">
        <v>1</v>
      </c>
      <c r="ES120">
        <v>1</v>
      </c>
      <c r="ET120">
        <v>1</v>
      </c>
      <c r="EU120">
        <v>1</v>
      </c>
      <c r="EV120">
        <v>1</v>
      </c>
      <c r="EW120">
        <v>1</v>
      </c>
      <c r="EX120">
        <v>1</v>
      </c>
      <c r="EY120">
        <v>1</v>
      </c>
      <c r="EZ120">
        <v>1</v>
      </c>
      <c r="FA120">
        <v>1</v>
      </c>
      <c r="GC120">
        <v>3</v>
      </c>
      <c r="GF120">
        <v>2</v>
      </c>
      <c r="GG120">
        <v>2</v>
      </c>
      <c r="GH120">
        <v>2</v>
      </c>
      <c r="GI120">
        <v>2</v>
      </c>
      <c r="GJ120">
        <v>2</v>
      </c>
      <c r="GK120">
        <v>4</v>
      </c>
      <c r="GL120">
        <v>4</v>
      </c>
      <c r="GM120">
        <v>4</v>
      </c>
      <c r="GN120">
        <v>4</v>
      </c>
      <c r="GO120">
        <v>4</v>
      </c>
      <c r="GY120">
        <v>1</v>
      </c>
      <c r="HI120">
        <v>1</v>
      </c>
      <c r="HJ120">
        <v>1</v>
      </c>
      <c r="HK120">
        <v>1</v>
      </c>
      <c r="HL120">
        <v>1</v>
      </c>
      <c r="HM120">
        <v>3</v>
      </c>
      <c r="HN120">
        <v>3</v>
      </c>
      <c r="HO120">
        <v>3</v>
      </c>
      <c r="HP120">
        <v>3</v>
      </c>
      <c r="HQ120">
        <v>3</v>
      </c>
      <c r="HR120">
        <v>3</v>
      </c>
      <c r="HS120">
        <v>3</v>
      </c>
      <c r="HT120">
        <v>2</v>
      </c>
      <c r="HU120">
        <v>2</v>
      </c>
      <c r="HV120">
        <v>2</v>
      </c>
      <c r="HW120">
        <v>2</v>
      </c>
      <c r="HX120">
        <v>2</v>
      </c>
      <c r="HY120">
        <v>3</v>
      </c>
      <c r="HZ120">
        <v>3</v>
      </c>
      <c r="IB120">
        <v>1</v>
      </c>
      <c r="IC120">
        <v>7</v>
      </c>
      <c r="ID120">
        <v>4</v>
      </c>
      <c r="IS120">
        <v>1</v>
      </c>
      <c r="IT120">
        <v>1</v>
      </c>
      <c r="IU120">
        <v>2</v>
      </c>
    </row>
    <row r="121" spans="1:255" x14ac:dyDescent="0.2">
      <c r="A121" t="str">
        <f t="shared" si="4"/>
        <v>Philosophie</v>
      </c>
      <c r="AZ121">
        <v>1</v>
      </c>
      <c r="CK121">
        <v>1</v>
      </c>
      <c r="CL121">
        <v>1</v>
      </c>
      <c r="CM121">
        <v>3</v>
      </c>
      <c r="CN121">
        <v>1</v>
      </c>
      <c r="CO121">
        <v>5</v>
      </c>
      <c r="CP121">
        <v>1</v>
      </c>
      <c r="CQ121">
        <v>7</v>
      </c>
      <c r="CR121">
        <v>3</v>
      </c>
      <c r="CS121">
        <v>1</v>
      </c>
      <c r="CT121">
        <v>3</v>
      </c>
      <c r="CU121">
        <v>4</v>
      </c>
      <c r="CV121">
        <v>5</v>
      </c>
    </row>
    <row r="122" spans="1:255" x14ac:dyDescent="0.2">
      <c r="A122" t="str">
        <f t="shared" si="4"/>
        <v>Rechnen</v>
      </c>
      <c r="D122">
        <v>2</v>
      </c>
      <c r="E122">
        <v>2</v>
      </c>
      <c r="F122">
        <v>2</v>
      </c>
      <c r="G122">
        <v>2</v>
      </c>
      <c r="H122">
        <v>2</v>
      </c>
      <c r="K122">
        <v>2</v>
      </c>
      <c r="L122">
        <v>2</v>
      </c>
      <c r="U122">
        <v>4</v>
      </c>
      <c r="V122">
        <v>6</v>
      </c>
      <c r="W122">
        <v>6</v>
      </c>
      <c r="X122">
        <v>4</v>
      </c>
      <c r="Y122">
        <v>4</v>
      </c>
      <c r="Z122">
        <v>4</v>
      </c>
      <c r="AA122">
        <v>4</v>
      </c>
      <c r="AC122">
        <v>5</v>
      </c>
      <c r="AD122">
        <v>4</v>
      </c>
      <c r="AE122">
        <v>4</v>
      </c>
      <c r="AF122">
        <v>4</v>
      </c>
      <c r="AG122">
        <v>5</v>
      </c>
      <c r="AH122">
        <v>4</v>
      </c>
      <c r="AI122">
        <v>4</v>
      </c>
      <c r="AL122">
        <v>7</v>
      </c>
      <c r="AO122">
        <v>4</v>
      </c>
      <c r="AP122">
        <v>4</v>
      </c>
      <c r="AQ122">
        <v>4</v>
      </c>
      <c r="AR122">
        <v>2</v>
      </c>
      <c r="AS122">
        <v>2</v>
      </c>
      <c r="AT122">
        <v>4</v>
      </c>
      <c r="AU122">
        <v>4</v>
      </c>
      <c r="AV122">
        <v>2</v>
      </c>
      <c r="AW122">
        <v>3</v>
      </c>
      <c r="AX122">
        <v>3</v>
      </c>
      <c r="AY122">
        <v>4</v>
      </c>
      <c r="AZ122">
        <v>4</v>
      </c>
      <c r="BH122">
        <v>2</v>
      </c>
      <c r="BI122">
        <v>4</v>
      </c>
      <c r="BL122">
        <v>3</v>
      </c>
      <c r="BS122">
        <v>4</v>
      </c>
      <c r="BT122">
        <v>4</v>
      </c>
      <c r="BU122">
        <v>4</v>
      </c>
      <c r="BV122">
        <v>4</v>
      </c>
      <c r="BW122">
        <v>4</v>
      </c>
      <c r="BX122">
        <v>4</v>
      </c>
      <c r="BY122">
        <v>4</v>
      </c>
      <c r="BZ122">
        <v>4</v>
      </c>
      <c r="CA122">
        <v>4</v>
      </c>
      <c r="CB122">
        <v>4</v>
      </c>
      <c r="CC122">
        <v>5</v>
      </c>
      <c r="CD122">
        <v>4</v>
      </c>
      <c r="CE122">
        <v>4</v>
      </c>
      <c r="CF122">
        <v>5</v>
      </c>
      <c r="CG122">
        <v>5</v>
      </c>
      <c r="CH122">
        <v>3</v>
      </c>
      <c r="CI122">
        <v>5</v>
      </c>
      <c r="CJ122">
        <v>5</v>
      </c>
      <c r="CK122">
        <v>4</v>
      </c>
      <c r="CL122">
        <v>4</v>
      </c>
      <c r="CM122">
        <v>4</v>
      </c>
      <c r="CN122">
        <v>7</v>
      </c>
      <c r="CO122">
        <v>4</v>
      </c>
      <c r="CP122">
        <v>4</v>
      </c>
      <c r="CQ122">
        <v>4</v>
      </c>
      <c r="CR122">
        <v>4</v>
      </c>
      <c r="CS122">
        <v>6</v>
      </c>
      <c r="CT122">
        <v>6</v>
      </c>
      <c r="CU122">
        <v>4</v>
      </c>
      <c r="CV122">
        <v>7</v>
      </c>
      <c r="CW122">
        <v>3</v>
      </c>
      <c r="CX122">
        <v>3</v>
      </c>
      <c r="CY122">
        <v>4</v>
      </c>
      <c r="CZ122">
        <v>3</v>
      </c>
      <c r="DA122">
        <v>3</v>
      </c>
      <c r="DB122">
        <v>3</v>
      </c>
      <c r="DC122">
        <v>3</v>
      </c>
      <c r="DD122">
        <v>3</v>
      </c>
      <c r="DE122">
        <v>3</v>
      </c>
      <c r="DF122">
        <v>3</v>
      </c>
      <c r="DG122">
        <v>3</v>
      </c>
      <c r="DH122">
        <v>3</v>
      </c>
      <c r="DI122">
        <v>3</v>
      </c>
      <c r="DJ122">
        <v>3</v>
      </c>
      <c r="DK122">
        <v>3</v>
      </c>
      <c r="DL122">
        <v>3</v>
      </c>
      <c r="DM122">
        <v>3</v>
      </c>
      <c r="DN122">
        <v>3</v>
      </c>
      <c r="DO122">
        <v>3</v>
      </c>
      <c r="DP122">
        <v>3</v>
      </c>
      <c r="DQ122">
        <v>3</v>
      </c>
      <c r="DR122">
        <v>3</v>
      </c>
      <c r="DS122">
        <v>3</v>
      </c>
      <c r="DT122">
        <v>3</v>
      </c>
      <c r="DU122">
        <v>3</v>
      </c>
      <c r="DV122">
        <v>3</v>
      </c>
      <c r="DW122">
        <v>3</v>
      </c>
      <c r="DX122">
        <v>3</v>
      </c>
      <c r="DY122">
        <v>3</v>
      </c>
      <c r="DZ122">
        <v>3</v>
      </c>
      <c r="EA122">
        <v>3</v>
      </c>
      <c r="EB122">
        <v>3</v>
      </c>
      <c r="EC122">
        <v>3</v>
      </c>
      <c r="ED122">
        <v>3</v>
      </c>
      <c r="EE122">
        <v>3</v>
      </c>
      <c r="EF122">
        <v>3</v>
      </c>
      <c r="EG122">
        <v>3</v>
      </c>
      <c r="EH122">
        <v>3</v>
      </c>
      <c r="EI122">
        <v>3</v>
      </c>
      <c r="EJ122">
        <v>3</v>
      </c>
      <c r="EK122">
        <v>3</v>
      </c>
      <c r="EL122">
        <v>3</v>
      </c>
      <c r="EM122">
        <v>3</v>
      </c>
      <c r="EN122">
        <v>3</v>
      </c>
      <c r="EO122">
        <v>3</v>
      </c>
      <c r="EP122">
        <v>3</v>
      </c>
      <c r="EQ122">
        <v>3</v>
      </c>
      <c r="ER122">
        <v>3</v>
      </c>
      <c r="ES122">
        <v>3</v>
      </c>
      <c r="ET122">
        <v>3</v>
      </c>
      <c r="EU122">
        <v>3</v>
      </c>
      <c r="EV122">
        <v>3</v>
      </c>
      <c r="EW122">
        <v>3</v>
      </c>
      <c r="EX122">
        <v>3</v>
      </c>
      <c r="EY122">
        <v>3</v>
      </c>
      <c r="EZ122">
        <v>3</v>
      </c>
      <c r="FA122">
        <v>3</v>
      </c>
      <c r="FB122">
        <v>3</v>
      </c>
      <c r="FC122">
        <v>3</v>
      </c>
      <c r="FD122">
        <v>3</v>
      </c>
      <c r="FE122">
        <v>3</v>
      </c>
      <c r="FF122">
        <v>3</v>
      </c>
      <c r="FG122">
        <v>3</v>
      </c>
      <c r="FH122">
        <v>3</v>
      </c>
      <c r="FI122">
        <v>3</v>
      </c>
      <c r="FJ122">
        <v>3</v>
      </c>
      <c r="FK122">
        <v>3</v>
      </c>
      <c r="FL122">
        <v>3</v>
      </c>
      <c r="FM122">
        <v>3</v>
      </c>
      <c r="FN122">
        <v>3</v>
      </c>
      <c r="FO122">
        <v>3</v>
      </c>
      <c r="FP122">
        <v>3</v>
      </c>
      <c r="FQ122">
        <v>3</v>
      </c>
      <c r="FR122">
        <v>3</v>
      </c>
      <c r="FU122">
        <v>4</v>
      </c>
      <c r="FV122">
        <v>4</v>
      </c>
      <c r="FW122">
        <v>4</v>
      </c>
      <c r="FX122">
        <v>5</v>
      </c>
      <c r="FY122">
        <v>4</v>
      </c>
      <c r="GK122">
        <v>3</v>
      </c>
      <c r="GL122">
        <v>3</v>
      </c>
      <c r="GM122">
        <v>3</v>
      </c>
      <c r="GN122">
        <v>3</v>
      </c>
      <c r="GO122">
        <v>3</v>
      </c>
      <c r="GQ122">
        <v>2</v>
      </c>
      <c r="GR122">
        <v>3</v>
      </c>
      <c r="GS122">
        <v>5</v>
      </c>
      <c r="GT122">
        <v>4</v>
      </c>
      <c r="GU122">
        <v>2</v>
      </c>
      <c r="GV122">
        <v>2</v>
      </c>
      <c r="GW122">
        <v>2</v>
      </c>
      <c r="GX122">
        <v>4</v>
      </c>
      <c r="GY122">
        <v>7</v>
      </c>
      <c r="GZ122">
        <v>5</v>
      </c>
      <c r="HA122">
        <v>5</v>
      </c>
      <c r="HH122">
        <v>4</v>
      </c>
      <c r="HI122">
        <v>1</v>
      </c>
      <c r="HM122">
        <v>1</v>
      </c>
      <c r="HN122">
        <v>1</v>
      </c>
      <c r="HO122">
        <v>1</v>
      </c>
      <c r="HP122">
        <v>1</v>
      </c>
      <c r="HQ122">
        <v>2</v>
      </c>
      <c r="HR122">
        <v>2</v>
      </c>
      <c r="HS122">
        <v>1</v>
      </c>
      <c r="HY122">
        <v>2</v>
      </c>
      <c r="HZ122">
        <v>2</v>
      </c>
      <c r="IF122">
        <v>4</v>
      </c>
      <c r="II122">
        <v>2</v>
      </c>
      <c r="IJ122">
        <v>4</v>
      </c>
      <c r="IK122">
        <v>4</v>
      </c>
      <c r="IP122">
        <v>4</v>
      </c>
    </row>
    <row r="123" spans="1:255" x14ac:dyDescent="0.2">
      <c r="A123" t="str">
        <f t="shared" si="4"/>
        <v>Rechtskunde</v>
      </c>
      <c r="C123">
        <v>2</v>
      </c>
      <c r="D123">
        <v>3</v>
      </c>
      <c r="E123">
        <v>3</v>
      </c>
      <c r="F123">
        <v>3</v>
      </c>
      <c r="G123">
        <v>3</v>
      </c>
      <c r="H123">
        <v>5</v>
      </c>
      <c r="J123">
        <v>1</v>
      </c>
      <c r="K123">
        <v>1</v>
      </c>
      <c r="L123">
        <v>1</v>
      </c>
      <c r="U123">
        <v>1</v>
      </c>
      <c r="V123">
        <v>1</v>
      </c>
      <c r="W123">
        <v>3</v>
      </c>
      <c r="X123">
        <v>1</v>
      </c>
      <c r="Y123">
        <v>1</v>
      </c>
      <c r="Z123">
        <v>1</v>
      </c>
      <c r="AA123">
        <v>1</v>
      </c>
      <c r="AB123">
        <v>4</v>
      </c>
      <c r="AC123">
        <v>1</v>
      </c>
      <c r="AD123">
        <v>1</v>
      </c>
      <c r="AE123">
        <v>1</v>
      </c>
      <c r="AF123">
        <v>1</v>
      </c>
      <c r="AG123">
        <v>1</v>
      </c>
      <c r="AH123">
        <v>1</v>
      </c>
      <c r="AI123">
        <v>2</v>
      </c>
      <c r="AO123">
        <v>1</v>
      </c>
      <c r="AP123">
        <v>2</v>
      </c>
      <c r="AQ123">
        <v>1</v>
      </c>
      <c r="AZ123">
        <v>1</v>
      </c>
      <c r="BS123">
        <v>1</v>
      </c>
      <c r="BT123">
        <v>1</v>
      </c>
      <c r="BU123">
        <v>1</v>
      </c>
      <c r="BV123">
        <v>1</v>
      </c>
      <c r="BW123">
        <v>1</v>
      </c>
      <c r="BX123">
        <v>1</v>
      </c>
      <c r="BY123">
        <v>1</v>
      </c>
      <c r="BZ123">
        <v>1</v>
      </c>
      <c r="CA123">
        <v>1</v>
      </c>
      <c r="CB123">
        <v>3</v>
      </c>
      <c r="CC123">
        <v>1</v>
      </c>
      <c r="CD123">
        <v>1</v>
      </c>
      <c r="CE123">
        <v>1</v>
      </c>
      <c r="CF123">
        <v>1</v>
      </c>
      <c r="CG123">
        <v>1</v>
      </c>
      <c r="CH123">
        <v>1</v>
      </c>
      <c r="CI123">
        <v>3</v>
      </c>
      <c r="CJ123">
        <v>1</v>
      </c>
      <c r="CK123">
        <v>1</v>
      </c>
      <c r="CL123">
        <v>1</v>
      </c>
      <c r="CM123">
        <v>3</v>
      </c>
      <c r="CN123">
        <v>1</v>
      </c>
      <c r="CO123">
        <v>7</v>
      </c>
      <c r="CP123">
        <v>1</v>
      </c>
      <c r="CQ123">
        <v>2</v>
      </c>
      <c r="CR123">
        <v>7</v>
      </c>
      <c r="CS123">
        <v>1</v>
      </c>
      <c r="CT123">
        <v>1</v>
      </c>
      <c r="CU123">
        <v>2</v>
      </c>
      <c r="CV123">
        <v>1</v>
      </c>
      <c r="CW123">
        <v>1</v>
      </c>
      <c r="CX123">
        <v>1</v>
      </c>
      <c r="CY123">
        <v>1</v>
      </c>
      <c r="CZ123">
        <v>1</v>
      </c>
      <c r="DA123">
        <v>1</v>
      </c>
      <c r="DB123">
        <v>1</v>
      </c>
      <c r="DC123">
        <v>1</v>
      </c>
      <c r="DD123">
        <v>1</v>
      </c>
      <c r="DE123">
        <v>1</v>
      </c>
      <c r="DF123">
        <v>1</v>
      </c>
      <c r="DG123">
        <v>1</v>
      </c>
      <c r="DH123">
        <v>1</v>
      </c>
      <c r="DI123">
        <v>1</v>
      </c>
      <c r="DJ123">
        <v>1</v>
      </c>
      <c r="DK123">
        <v>1</v>
      </c>
      <c r="DL123">
        <v>1</v>
      </c>
      <c r="DM123">
        <v>1</v>
      </c>
      <c r="DN123">
        <v>1</v>
      </c>
      <c r="DO123">
        <v>1</v>
      </c>
      <c r="DP123">
        <v>1</v>
      </c>
      <c r="DQ123">
        <v>1</v>
      </c>
      <c r="DR123">
        <v>1</v>
      </c>
      <c r="DS123">
        <v>1</v>
      </c>
      <c r="DT123">
        <v>1</v>
      </c>
      <c r="DU123">
        <v>1</v>
      </c>
      <c r="DV123">
        <v>1</v>
      </c>
      <c r="DW123">
        <v>1</v>
      </c>
      <c r="DX123">
        <v>1</v>
      </c>
      <c r="DY123">
        <v>1</v>
      </c>
      <c r="DZ123">
        <v>1</v>
      </c>
      <c r="EA123">
        <v>1</v>
      </c>
      <c r="EB123">
        <v>1</v>
      </c>
      <c r="EC123">
        <v>1</v>
      </c>
      <c r="ED123">
        <v>1</v>
      </c>
      <c r="EE123">
        <v>1</v>
      </c>
      <c r="EF123">
        <v>1</v>
      </c>
      <c r="EG123">
        <v>1</v>
      </c>
      <c r="EH123">
        <v>1</v>
      </c>
      <c r="EI123">
        <v>1</v>
      </c>
      <c r="EJ123">
        <v>1</v>
      </c>
      <c r="EK123">
        <v>1</v>
      </c>
      <c r="EL123">
        <v>1</v>
      </c>
      <c r="EM123">
        <v>1</v>
      </c>
      <c r="EN123">
        <v>1</v>
      </c>
      <c r="EO123">
        <v>1</v>
      </c>
      <c r="EP123">
        <v>1</v>
      </c>
      <c r="EQ123">
        <v>1</v>
      </c>
      <c r="ER123">
        <v>1</v>
      </c>
      <c r="ES123">
        <v>1</v>
      </c>
      <c r="ET123">
        <v>1</v>
      </c>
      <c r="EU123">
        <v>1</v>
      </c>
      <c r="EV123">
        <v>1</v>
      </c>
      <c r="EW123">
        <v>1</v>
      </c>
      <c r="EX123">
        <v>1</v>
      </c>
      <c r="EY123">
        <v>1</v>
      </c>
      <c r="EZ123">
        <v>1</v>
      </c>
      <c r="FA123">
        <v>1</v>
      </c>
      <c r="FB123">
        <v>1</v>
      </c>
      <c r="FC123">
        <v>1</v>
      </c>
      <c r="FD123">
        <v>1</v>
      </c>
      <c r="FE123">
        <v>1</v>
      </c>
      <c r="FF123">
        <v>1</v>
      </c>
      <c r="FG123">
        <v>1</v>
      </c>
      <c r="FH123">
        <v>1</v>
      </c>
      <c r="FI123">
        <v>1</v>
      </c>
      <c r="FJ123">
        <v>1</v>
      </c>
      <c r="FK123">
        <v>1</v>
      </c>
      <c r="FU123">
        <v>2</v>
      </c>
      <c r="FV123">
        <v>4</v>
      </c>
      <c r="FW123">
        <v>2</v>
      </c>
      <c r="FX123">
        <v>3</v>
      </c>
      <c r="FY123">
        <v>4</v>
      </c>
      <c r="GK123">
        <v>2</v>
      </c>
      <c r="GL123">
        <v>2</v>
      </c>
      <c r="GM123">
        <v>2</v>
      </c>
      <c r="GN123">
        <v>2</v>
      </c>
      <c r="GO123">
        <v>2</v>
      </c>
      <c r="GQ123">
        <v>2</v>
      </c>
      <c r="GR123">
        <v>2</v>
      </c>
      <c r="GS123">
        <v>2</v>
      </c>
      <c r="GT123">
        <v>2</v>
      </c>
      <c r="GU123">
        <v>2</v>
      </c>
      <c r="GV123">
        <v>3</v>
      </c>
      <c r="GW123">
        <v>2</v>
      </c>
      <c r="GX123">
        <v>1</v>
      </c>
      <c r="GZ123">
        <v>2</v>
      </c>
      <c r="HA123">
        <v>2</v>
      </c>
      <c r="HI123">
        <v>2</v>
      </c>
      <c r="HL123">
        <v>2</v>
      </c>
      <c r="IJ123">
        <v>2</v>
      </c>
      <c r="IK123">
        <v>5</v>
      </c>
      <c r="IP123">
        <v>1</v>
      </c>
    </row>
    <row r="124" spans="1:255" x14ac:dyDescent="0.2">
      <c r="A124" t="str">
        <f t="shared" si="4"/>
        <v>Sagen/Legenden</v>
      </c>
      <c r="C124">
        <v>3</v>
      </c>
      <c r="D124">
        <v>3</v>
      </c>
      <c r="E124">
        <v>7</v>
      </c>
      <c r="F124">
        <v>7</v>
      </c>
      <c r="G124">
        <v>7</v>
      </c>
      <c r="H124">
        <v>7</v>
      </c>
      <c r="I124">
        <v>3</v>
      </c>
      <c r="L124">
        <v>3</v>
      </c>
      <c r="M124">
        <v>2</v>
      </c>
      <c r="N124">
        <v>2</v>
      </c>
      <c r="O124">
        <v>2</v>
      </c>
      <c r="P124">
        <v>2</v>
      </c>
      <c r="Q124">
        <v>2</v>
      </c>
      <c r="R124">
        <v>2</v>
      </c>
      <c r="S124">
        <v>2</v>
      </c>
      <c r="T124">
        <v>2</v>
      </c>
      <c r="U124">
        <v>3</v>
      </c>
      <c r="V124">
        <v>2</v>
      </c>
      <c r="W124">
        <v>2</v>
      </c>
      <c r="X124">
        <v>3</v>
      </c>
      <c r="Y124">
        <v>2</v>
      </c>
      <c r="Z124">
        <v>3</v>
      </c>
      <c r="AA124">
        <v>2</v>
      </c>
      <c r="AC124">
        <v>1</v>
      </c>
      <c r="AD124">
        <v>1</v>
      </c>
      <c r="AE124">
        <v>1</v>
      </c>
      <c r="AF124">
        <v>3</v>
      </c>
      <c r="AG124">
        <v>1</v>
      </c>
      <c r="AH124">
        <v>1</v>
      </c>
      <c r="AI124">
        <v>1</v>
      </c>
      <c r="AJ124">
        <v>2</v>
      </c>
      <c r="AK124">
        <v>2</v>
      </c>
      <c r="AL124">
        <v>4</v>
      </c>
      <c r="AM124">
        <v>5</v>
      </c>
      <c r="AN124">
        <v>2</v>
      </c>
      <c r="AR124">
        <v>1</v>
      </c>
      <c r="AS124">
        <v>1</v>
      </c>
      <c r="AT124">
        <v>1</v>
      </c>
      <c r="AU124">
        <v>1</v>
      </c>
      <c r="AV124">
        <v>1</v>
      </c>
      <c r="AW124">
        <v>2</v>
      </c>
      <c r="AX124">
        <v>2</v>
      </c>
      <c r="AY124">
        <v>2</v>
      </c>
      <c r="AZ124">
        <v>3</v>
      </c>
      <c r="BC124">
        <v>3</v>
      </c>
      <c r="BD124">
        <v>2</v>
      </c>
      <c r="BE124">
        <v>2</v>
      </c>
      <c r="BF124">
        <v>2</v>
      </c>
      <c r="BG124">
        <v>2</v>
      </c>
      <c r="BH124">
        <v>2</v>
      </c>
      <c r="BI124">
        <v>2</v>
      </c>
      <c r="BJ124">
        <v>2</v>
      </c>
      <c r="BK124">
        <v>2</v>
      </c>
      <c r="BL124">
        <v>2</v>
      </c>
      <c r="BM124">
        <v>2</v>
      </c>
      <c r="BN124">
        <v>2</v>
      </c>
      <c r="BO124">
        <v>2</v>
      </c>
      <c r="BP124">
        <v>1</v>
      </c>
      <c r="BQ124">
        <v>1</v>
      </c>
      <c r="BR124">
        <v>1</v>
      </c>
      <c r="BZ124">
        <v>1</v>
      </c>
      <c r="CA124">
        <v>1</v>
      </c>
      <c r="CB124">
        <v>1</v>
      </c>
      <c r="CC124">
        <v>1</v>
      </c>
      <c r="CD124">
        <v>1</v>
      </c>
      <c r="CE124">
        <v>1</v>
      </c>
      <c r="CF124">
        <v>1</v>
      </c>
      <c r="CG124">
        <v>1</v>
      </c>
      <c r="CH124">
        <v>1</v>
      </c>
      <c r="CI124">
        <v>1</v>
      </c>
      <c r="CJ124">
        <v>1</v>
      </c>
      <c r="CM124">
        <v>4</v>
      </c>
      <c r="CO124">
        <v>3</v>
      </c>
      <c r="CQ124">
        <v>3</v>
      </c>
      <c r="CR124">
        <v>2</v>
      </c>
      <c r="CS124">
        <v>1</v>
      </c>
      <c r="CU124">
        <v>6</v>
      </c>
      <c r="CV124">
        <v>3</v>
      </c>
      <c r="CW124">
        <v>1</v>
      </c>
      <c r="CX124">
        <v>1</v>
      </c>
      <c r="CY124">
        <v>2</v>
      </c>
      <c r="CZ124">
        <v>1</v>
      </c>
      <c r="DA124">
        <v>1</v>
      </c>
      <c r="DB124">
        <v>1</v>
      </c>
      <c r="DC124">
        <v>1</v>
      </c>
      <c r="DD124">
        <v>1</v>
      </c>
      <c r="DE124">
        <v>1</v>
      </c>
      <c r="DF124">
        <v>1</v>
      </c>
      <c r="DG124">
        <v>1</v>
      </c>
      <c r="DH124">
        <v>1</v>
      </c>
      <c r="DI124">
        <v>1</v>
      </c>
      <c r="DJ124">
        <v>1</v>
      </c>
      <c r="DK124">
        <v>1</v>
      </c>
      <c r="DL124">
        <v>1</v>
      </c>
      <c r="DM124">
        <v>1</v>
      </c>
      <c r="DN124">
        <v>1</v>
      </c>
      <c r="DO124">
        <v>1</v>
      </c>
      <c r="DP124">
        <v>1</v>
      </c>
      <c r="DQ124">
        <v>1</v>
      </c>
      <c r="DR124">
        <v>1</v>
      </c>
      <c r="DS124">
        <v>1</v>
      </c>
      <c r="DT124">
        <v>1</v>
      </c>
      <c r="DU124">
        <v>1</v>
      </c>
      <c r="DV124">
        <v>1</v>
      </c>
      <c r="DW124">
        <v>1</v>
      </c>
      <c r="DX124">
        <v>1</v>
      </c>
      <c r="DY124">
        <v>1</v>
      </c>
      <c r="DZ124">
        <v>1</v>
      </c>
      <c r="EA124">
        <v>1</v>
      </c>
      <c r="EB124">
        <v>1</v>
      </c>
      <c r="EC124">
        <v>1</v>
      </c>
      <c r="ED124">
        <v>1</v>
      </c>
      <c r="EE124">
        <v>1</v>
      </c>
      <c r="EF124">
        <v>1</v>
      </c>
      <c r="EG124">
        <v>1</v>
      </c>
      <c r="EH124">
        <v>1</v>
      </c>
      <c r="EI124">
        <v>1</v>
      </c>
      <c r="EJ124">
        <v>1</v>
      </c>
      <c r="EK124">
        <v>1</v>
      </c>
      <c r="EL124">
        <v>1</v>
      </c>
      <c r="EM124">
        <v>1</v>
      </c>
      <c r="EN124">
        <v>1</v>
      </c>
      <c r="EO124">
        <v>1</v>
      </c>
      <c r="EP124">
        <v>1</v>
      </c>
      <c r="EQ124">
        <v>1</v>
      </c>
      <c r="ER124">
        <v>1</v>
      </c>
      <c r="ES124">
        <v>1</v>
      </c>
      <c r="ET124">
        <v>1</v>
      </c>
      <c r="EU124">
        <v>1</v>
      </c>
      <c r="EV124">
        <v>1</v>
      </c>
      <c r="EW124">
        <v>1</v>
      </c>
      <c r="EX124">
        <v>1</v>
      </c>
      <c r="EY124">
        <v>1</v>
      </c>
      <c r="EZ124">
        <v>1</v>
      </c>
      <c r="FA124">
        <v>1</v>
      </c>
      <c r="FB124">
        <v>1</v>
      </c>
      <c r="FC124">
        <v>1</v>
      </c>
      <c r="FD124">
        <v>1</v>
      </c>
      <c r="FE124">
        <v>1</v>
      </c>
      <c r="FF124">
        <v>1</v>
      </c>
      <c r="FG124">
        <v>1</v>
      </c>
      <c r="FH124">
        <v>1</v>
      </c>
      <c r="FI124">
        <v>1</v>
      </c>
      <c r="FJ124">
        <v>1</v>
      </c>
      <c r="FK124">
        <v>1</v>
      </c>
      <c r="FL124">
        <v>1</v>
      </c>
      <c r="FM124">
        <v>1</v>
      </c>
      <c r="FN124">
        <v>1</v>
      </c>
      <c r="FO124">
        <v>1</v>
      </c>
      <c r="FP124">
        <v>1</v>
      </c>
      <c r="FQ124">
        <v>1</v>
      </c>
      <c r="FR124">
        <v>1</v>
      </c>
      <c r="FU124">
        <v>2</v>
      </c>
      <c r="FV124">
        <v>2</v>
      </c>
      <c r="FW124">
        <v>5</v>
      </c>
      <c r="FX124">
        <v>2</v>
      </c>
      <c r="FY124">
        <v>2</v>
      </c>
      <c r="FZ124">
        <v>1</v>
      </c>
      <c r="GA124">
        <v>1</v>
      </c>
      <c r="GB124">
        <v>1</v>
      </c>
      <c r="GC124">
        <v>1</v>
      </c>
      <c r="GD124">
        <v>1</v>
      </c>
      <c r="GE124">
        <v>1</v>
      </c>
      <c r="GF124">
        <v>1</v>
      </c>
      <c r="GK124">
        <v>1</v>
      </c>
      <c r="GL124">
        <v>1</v>
      </c>
      <c r="GM124">
        <v>1</v>
      </c>
      <c r="GN124">
        <v>1</v>
      </c>
      <c r="GO124">
        <v>1</v>
      </c>
      <c r="GX124">
        <v>2</v>
      </c>
      <c r="GY124">
        <v>2</v>
      </c>
      <c r="GZ124">
        <v>2</v>
      </c>
      <c r="HA124">
        <v>2</v>
      </c>
      <c r="HB124">
        <v>2</v>
      </c>
      <c r="HC124">
        <v>2</v>
      </c>
      <c r="HD124">
        <v>2</v>
      </c>
      <c r="HE124">
        <v>2</v>
      </c>
      <c r="HF124">
        <v>2</v>
      </c>
      <c r="HG124">
        <v>2</v>
      </c>
      <c r="HH124">
        <v>2</v>
      </c>
      <c r="HJ124">
        <v>1</v>
      </c>
      <c r="HK124">
        <v>1</v>
      </c>
      <c r="HL124">
        <v>1</v>
      </c>
      <c r="HY124">
        <v>2</v>
      </c>
      <c r="HZ124">
        <v>2</v>
      </c>
      <c r="IB124">
        <v>1</v>
      </c>
      <c r="IC124">
        <v>1</v>
      </c>
      <c r="ID124">
        <v>1</v>
      </c>
      <c r="IE124">
        <v>1</v>
      </c>
      <c r="IF124">
        <v>1</v>
      </c>
      <c r="IG124">
        <v>1</v>
      </c>
      <c r="IH124">
        <v>1</v>
      </c>
      <c r="II124">
        <v>1</v>
      </c>
      <c r="IL124">
        <v>2</v>
      </c>
      <c r="IM124">
        <v>1</v>
      </c>
      <c r="IN124">
        <v>1</v>
      </c>
      <c r="IO124">
        <v>1</v>
      </c>
      <c r="IP124">
        <v>1</v>
      </c>
    </row>
    <row r="125" spans="1:255" x14ac:dyDescent="0.2">
      <c r="A125" t="str">
        <f t="shared" si="4"/>
        <v>Schätzen</v>
      </c>
      <c r="D125">
        <v>2</v>
      </c>
      <c r="E125">
        <v>2</v>
      </c>
      <c r="F125">
        <v>2</v>
      </c>
      <c r="G125">
        <v>2</v>
      </c>
      <c r="H125">
        <v>2</v>
      </c>
      <c r="I125">
        <v>2</v>
      </c>
      <c r="K125">
        <v>4</v>
      </c>
      <c r="L125">
        <v>5</v>
      </c>
      <c r="M125">
        <v>2</v>
      </c>
      <c r="N125">
        <v>2</v>
      </c>
      <c r="O125">
        <v>2</v>
      </c>
      <c r="P125">
        <v>2</v>
      </c>
      <c r="Q125">
        <v>2</v>
      </c>
      <c r="R125">
        <v>2</v>
      </c>
      <c r="S125">
        <v>2</v>
      </c>
      <c r="T125">
        <v>2</v>
      </c>
      <c r="U125">
        <v>5</v>
      </c>
      <c r="V125">
        <v>6</v>
      </c>
      <c r="W125">
        <v>5</v>
      </c>
      <c r="X125">
        <v>5</v>
      </c>
      <c r="Y125">
        <v>5</v>
      </c>
      <c r="Z125">
        <v>5</v>
      </c>
      <c r="AA125">
        <v>5</v>
      </c>
      <c r="AC125">
        <v>2</v>
      </c>
      <c r="AD125">
        <v>2</v>
      </c>
      <c r="AE125">
        <v>2</v>
      </c>
      <c r="AF125">
        <v>2</v>
      </c>
      <c r="AG125">
        <v>2</v>
      </c>
      <c r="AH125">
        <v>2</v>
      </c>
      <c r="AI125">
        <v>2</v>
      </c>
      <c r="AO125">
        <v>2</v>
      </c>
      <c r="AP125">
        <v>2</v>
      </c>
      <c r="AQ125">
        <v>2</v>
      </c>
      <c r="AR125">
        <v>3</v>
      </c>
      <c r="AS125">
        <v>3</v>
      </c>
      <c r="AT125">
        <v>6</v>
      </c>
      <c r="AU125">
        <v>3</v>
      </c>
      <c r="AV125">
        <v>3</v>
      </c>
      <c r="AW125">
        <v>3</v>
      </c>
      <c r="AX125">
        <v>3</v>
      </c>
      <c r="AY125">
        <v>3</v>
      </c>
      <c r="AZ125">
        <v>1</v>
      </c>
      <c r="BL125">
        <v>1</v>
      </c>
      <c r="BP125">
        <v>2</v>
      </c>
      <c r="BQ125">
        <v>2</v>
      </c>
      <c r="BR125">
        <v>2</v>
      </c>
      <c r="BS125">
        <v>2</v>
      </c>
      <c r="BT125">
        <v>2</v>
      </c>
      <c r="BU125">
        <v>2</v>
      </c>
      <c r="BV125">
        <v>2</v>
      </c>
      <c r="BW125">
        <v>2</v>
      </c>
      <c r="BX125">
        <v>2</v>
      </c>
      <c r="BY125">
        <v>2</v>
      </c>
      <c r="BZ125">
        <v>2</v>
      </c>
      <c r="CA125">
        <v>1</v>
      </c>
      <c r="CB125">
        <v>1</v>
      </c>
      <c r="CC125">
        <v>1</v>
      </c>
      <c r="CD125">
        <v>1</v>
      </c>
      <c r="CE125">
        <v>1</v>
      </c>
      <c r="CF125">
        <v>1</v>
      </c>
      <c r="CG125">
        <v>1</v>
      </c>
      <c r="CH125">
        <v>1</v>
      </c>
      <c r="CI125">
        <v>3</v>
      </c>
      <c r="CJ125">
        <v>3</v>
      </c>
      <c r="CR125">
        <v>1</v>
      </c>
      <c r="CW125">
        <v>2</v>
      </c>
      <c r="CX125">
        <v>2</v>
      </c>
      <c r="CY125">
        <v>2</v>
      </c>
      <c r="CZ125">
        <v>2</v>
      </c>
      <c r="DA125">
        <v>2</v>
      </c>
      <c r="DB125">
        <v>2</v>
      </c>
      <c r="DC125">
        <v>2</v>
      </c>
      <c r="DD125">
        <v>2</v>
      </c>
      <c r="DE125">
        <v>2</v>
      </c>
      <c r="DF125">
        <v>2</v>
      </c>
      <c r="DG125">
        <v>2</v>
      </c>
      <c r="DH125">
        <v>2</v>
      </c>
      <c r="DI125">
        <v>2</v>
      </c>
      <c r="DJ125">
        <v>2</v>
      </c>
      <c r="DK125">
        <v>2</v>
      </c>
      <c r="DL125">
        <v>2</v>
      </c>
      <c r="DM125">
        <v>2</v>
      </c>
      <c r="DN125">
        <v>2</v>
      </c>
      <c r="DO125">
        <v>2</v>
      </c>
      <c r="DP125">
        <v>2</v>
      </c>
      <c r="DQ125">
        <v>2</v>
      </c>
      <c r="DR125">
        <v>2</v>
      </c>
      <c r="DS125">
        <v>3</v>
      </c>
      <c r="DT125">
        <v>2</v>
      </c>
      <c r="DU125">
        <v>2</v>
      </c>
      <c r="DV125">
        <v>2</v>
      </c>
      <c r="DW125">
        <v>2</v>
      </c>
      <c r="DX125">
        <v>2</v>
      </c>
      <c r="DY125">
        <v>2</v>
      </c>
      <c r="DZ125">
        <v>2</v>
      </c>
      <c r="EA125">
        <v>2</v>
      </c>
      <c r="EB125">
        <v>2</v>
      </c>
      <c r="EC125">
        <v>2</v>
      </c>
      <c r="ED125">
        <v>2</v>
      </c>
      <c r="EE125">
        <v>2</v>
      </c>
      <c r="EF125">
        <v>2</v>
      </c>
      <c r="EG125">
        <v>2</v>
      </c>
      <c r="EQ125">
        <v>2</v>
      </c>
      <c r="ER125">
        <v>2</v>
      </c>
      <c r="ES125">
        <v>2</v>
      </c>
      <c r="ET125">
        <v>2</v>
      </c>
      <c r="EU125">
        <v>2</v>
      </c>
      <c r="EV125">
        <v>2</v>
      </c>
      <c r="EW125">
        <v>2</v>
      </c>
      <c r="EX125">
        <v>2</v>
      </c>
      <c r="EY125">
        <v>2</v>
      </c>
      <c r="EZ125">
        <v>2</v>
      </c>
      <c r="FA125">
        <v>2</v>
      </c>
      <c r="FB125">
        <v>2</v>
      </c>
      <c r="FC125">
        <v>2</v>
      </c>
      <c r="FD125">
        <v>2</v>
      </c>
      <c r="FE125">
        <v>2</v>
      </c>
      <c r="FF125">
        <v>2</v>
      </c>
      <c r="FG125">
        <v>2</v>
      </c>
      <c r="FH125">
        <v>2</v>
      </c>
      <c r="FI125">
        <v>2</v>
      </c>
      <c r="FJ125">
        <v>2</v>
      </c>
      <c r="FK125">
        <v>2</v>
      </c>
      <c r="FL125">
        <v>2</v>
      </c>
      <c r="FM125">
        <v>2</v>
      </c>
      <c r="FN125">
        <v>2</v>
      </c>
      <c r="FO125">
        <v>2</v>
      </c>
      <c r="FP125">
        <v>2</v>
      </c>
      <c r="FQ125">
        <v>2</v>
      </c>
      <c r="FR125">
        <v>2</v>
      </c>
      <c r="FU125">
        <v>2</v>
      </c>
      <c r="FV125">
        <v>2</v>
      </c>
      <c r="FW125">
        <v>2</v>
      </c>
      <c r="FX125">
        <v>3</v>
      </c>
      <c r="FY125">
        <v>2</v>
      </c>
      <c r="GT125">
        <v>1</v>
      </c>
      <c r="GX125">
        <v>3</v>
      </c>
      <c r="GZ125">
        <v>4</v>
      </c>
      <c r="HA125">
        <v>4</v>
      </c>
      <c r="HC125">
        <v>2</v>
      </c>
      <c r="HH125">
        <v>1</v>
      </c>
      <c r="HJ125">
        <v>2</v>
      </c>
      <c r="HL125">
        <v>2</v>
      </c>
      <c r="HP125">
        <v>3</v>
      </c>
      <c r="HY125">
        <v>1</v>
      </c>
      <c r="HZ125">
        <v>1</v>
      </c>
      <c r="IB125">
        <v>4</v>
      </c>
      <c r="II125">
        <v>2</v>
      </c>
      <c r="IJ125">
        <v>4</v>
      </c>
      <c r="IK125">
        <v>4</v>
      </c>
      <c r="IL125">
        <v>1</v>
      </c>
      <c r="IM125">
        <v>2</v>
      </c>
      <c r="IN125">
        <v>1</v>
      </c>
      <c r="IO125">
        <v>1</v>
      </c>
      <c r="IP125">
        <v>1</v>
      </c>
      <c r="IQ125">
        <v>3</v>
      </c>
      <c r="IR125">
        <v>2</v>
      </c>
      <c r="IS125">
        <v>2</v>
      </c>
      <c r="IT125">
        <v>2</v>
      </c>
      <c r="IU125">
        <v>2</v>
      </c>
    </row>
    <row r="126" spans="1:255" x14ac:dyDescent="0.2">
      <c r="A126" t="str">
        <f t="shared" si="4"/>
        <v>Schiffbau</v>
      </c>
    </row>
    <row r="127" spans="1:255" x14ac:dyDescent="0.2">
      <c r="A127" t="str">
        <f t="shared" si="4"/>
        <v>Sprachenkunde</v>
      </c>
      <c r="D127">
        <v>2</v>
      </c>
      <c r="E127">
        <v>2</v>
      </c>
      <c r="F127">
        <v>2</v>
      </c>
      <c r="G127">
        <v>2</v>
      </c>
      <c r="H127">
        <v>2</v>
      </c>
      <c r="AF127">
        <v>3</v>
      </c>
      <c r="AM127">
        <v>2</v>
      </c>
      <c r="CD127">
        <v>1</v>
      </c>
      <c r="CK127">
        <v>1</v>
      </c>
      <c r="CL127">
        <v>1</v>
      </c>
      <c r="CM127">
        <v>4</v>
      </c>
      <c r="CN127">
        <v>4</v>
      </c>
      <c r="CO127">
        <v>1</v>
      </c>
      <c r="CP127">
        <v>1</v>
      </c>
      <c r="CQ127">
        <v>1</v>
      </c>
      <c r="CR127">
        <v>1</v>
      </c>
      <c r="CS127">
        <v>7</v>
      </c>
      <c r="CT127">
        <v>1</v>
      </c>
      <c r="CU127">
        <v>1</v>
      </c>
      <c r="FU127">
        <v>2</v>
      </c>
      <c r="FV127">
        <v>2</v>
      </c>
      <c r="FW127">
        <v>2</v>
      </c>
      <c r="FX127">
        <v>2</v>
      </c>
      <c r="FY127">
        <v>2</v>
      </c>
      <c r="GX127">
        <v>3</v>
      </c>
    </row>
    <row r="128" spans="1:255" x14ac:dyDescent="0.2">
      <c r="A128" t="str">
        <f t="shared" si="4"/>
        <v>Staatskunst</v>
      </c>
      <c r="D128">
        <v>1</v>
      </c>
      <c r="E128">
        <v>1</v>
      </c>
      <c r="F128">
        <v>1</v>
      </c>
      <c r="G128">
        <v>1</v>
      </c>
      <c r="H128">
        <v>1</v>
      </c>
      <c r="AB128">
        <v>2</v>
      </c>
      <c r="AI128">
        <v>5</v>
      </c>
      <c r="AP128">
        <v>2</v>
      </c>
      <c r="AQ128">
        <v>1</v>
      </c>
      <c r="AW128">
        <v>1</v>
      </c>
      <c r="AX128">
        <v>1</v>
      </c>
      <c r="AY128">
        <v>1</v>
      </c>
      <c r="CM128">
        <v>3</v>
      </c>
      <c r="CO128">
        <v>3</v>
      </c>
      <c r="CR128">
        <v>3</v>
      </c>
      <c r="FU128">
        <v>1</v>
      </c>
      <c r="FV128">
        <v>3</v>
      </c>
      <c r="FW128">
        <v>1</v>
      </c>
      <c r="FX128">
        <v>1</v>
      </c>
      <c r="FY128">
        <v>4</v>
      </c>
    </row>
    <row r="129" spans="1:255" x14ac:dyDescent="0.2">
      <c r="A129" t="str">
        <f t="shared" si="4"/>
        <v>Sternkunde</v>
      </c>
      <c r="CJ129">
        <v>3</v>
      </c>
      <c r="CT129">
        <v>7</v>
      </c>
      <c r="CV129">
        <v>2</v>
      </c>
      <c r="GX129">
        <v>2</v>
      </c>
      <c r="GY129">
        <v>4</v>
      </c>
      <c r="GZ129">
        <v>1</v>
      </c>
      <c r="HA129">
        <v>1</v>
      </c>
      <c r="HB129">
        <v>1</v>
      </c>
      <c r="HC129">
        <v>1</v>
      </c>
      <c r="HD129">
        <v>1</v>
      </c>
      <c r="HE129">
        <v>1</v>
      </c>
      <c r="HF129">
        <v>1</v>
      </c>
      <c r="HG129">
        <v>1</v>
      </c>
      <c r="IG129">
        <v>1</v>
      </c>
      <c r="IP129">
        <v>4</v>
      </c>
    </row>
    <row r="130" spans="1:255" x14ac:dyDescent="0.2">
      <c r="A130" t="str">
        <f t="shared" si="4"/>
        <v>Tierkunde</v>
      </c>
      <c r="M130">
        <v>2</v>
      </c>
      <c r="N130">
        <v>2</v>
      </c>
      <c r="O130">
        <v>5</v>
      </c>
      <c r="P130">
        <v>2</v>
      </c>
      <c r="Q130">
        <v>2</v>
      </c>
      <c r="R130">
        <v>2</v>
      </c>
      <c r="S130">
        <v>5</v>
      </c>
      <c r="T130">
        <v>2</v>
      </c>
      <c r="AZ130">
        <v>1</v>
      </c>
      <c r="BD130">
        <v>3</v>
      </c>
      <c r="BE130">
        <v>3</v>
      </c>
      <c r="BF130">
        <v>3</v>
      </c>
      <c r="BG130">
        <v>3</v>
      </c>
      <c r="BH130">
        <v>3</v>
      </c>
      <c r="BI130">
        <v>3</v>
      </c>
      <c r="BJ130">
        <v>3</v>
      </c>
      <c r="BK130">
        <v>3</v>
      </c>
      <c r="BL130">
        <v>3</v>
      </c>
      <c r="BM130">
        <v>3</v>
      </c>
      <c r="BN130">
        <v>5</v>
      </c>
      <c r="BO130">
        <v>2</v>
      </c>
      <c r="BQ130">
        <v>2</v>
      </c>
      <c r="BR130">
        <v>3</v>
      </c>
      <c r="BS130">
        <v>1</v>
      </c>
      <c r="BT130">
        <v>1</v>
      </c>
      <c r="BU130">
        <v>2</v>
      </c>
      <c r="BV130">
        <v>2</v>
      </c>
      <c r="BW130">
        <v>2</v>
      </c>
      <c r="BX130">
        <v>2</v>
      </c>
      <c r="BY130">
        <v>1</v>
      </c>
      <c r="BZ130">
        <v>1</v>
      </c>
      <c r="EQ130">
        <v>1</v>
      </c>
      <c r="ER130">
        <v>1</v>
      </c>
      <c r="ES130">
        <v>1</v>
      </c>
      <c r="ET130">
        <v>1</v>
      </c>
      <c r="EU130">
        <v>1</v>
      </c>
      <c r="EV130">
        <v>1</v>
      </c>
      <c r="EW130">
        <v>1</v>
      </c>
      <c r="EX130">
        <v>1</v>
      </c>
      <c r="EY130">
        <v>1</v>
      </c>
      <c r="EZ130">
        <v>1</v>
      </c>
      <c r="FA130">
        <v>1</v>
      </c>
      <c r="FS130">
        <v>5</v>
      </c>
      <c r="FT130">
        <v>5</v>
      </c>
      <c r="GG130">
        <v>4</v>
      </c>
      <c r="GH130">
        <v>4</v>
      </c>
      <c r="GI130">
        <v>4</v>
      </c>
      <c r="GJ130">
        <v>4</v>
      </c>
      <c r="GL130">
        <v>2</v>
      </c>
      <c r="GQ130">
        <v>2</v>
      </c>
      <c r="GR130">
        <v>2</v>
      </c>
      <c r="GS130">
        <v>2</v>
      </c>
      <c r="GT130">
        <v>2</v>
      </c>
      <c r="GU130">
        <v>2</v>
      </c>
      <c r="GV130">
        <v>2</v>
      </c>
      <c r="GW130">
        <v>2</v>
      </c>
      <c r="GY130">
        <v>2</v>
      </c>
      <c r="HB130">
        <v>2</v>
      </c>
      <c r="HC130">
        <v>2</v>
      </c>
      <c r="HD130">
        <v>2</v>
      </c>
      <c r="HE130">
        <v>2</v>
      </c>
      <c r="HF130">
        <v>2</v>
      </c>
      <c r="HG130">
        <v>4</v>
      </c>
      <c r="HH130">
        <v>2</v>
      </c>
      <c r="HI130">
        <v>1</v>
      </c>
      <c r="HJ130">
        <v>5</v>
      </c>
      <c r="HK130">
        <v>1</v>
      </c>
      <c r="HL130">
        <v>1</v>
      </c>
      <c r="HM130">
        <v>4</v>
      </c>
      <c r="HN130">
        <v>4</v>
      </c>
      <c r="HO130">
        <v>4</v>
      </c>
      <c r="HP130">
        <v>4</v>
      </c>
      <c r="HQ130">
        <v>4</v>
      </c>
      <c r="HR130">
        <v>4</v>
      </c>
      <c r="HS130">
        <v>4</v>
      </c>
      <c r="HT130">
        <v>4</v>
      </c>
      <c r="HU130">
        <v>4</v>
      </c>
      <c r="HV130">
        <v>4</v>
      </c>
      <c r="HW130">
        <v>4</v>
      </c>
      <c r="HX130">
        <v>4</v>
      </c>
      <c r="HY130">
        <v>3</v>
      </c>
      <c r="HZ130">
        <v>3</v>
      </c>
      <c r="IB130">
        <v>1</v>
      </c>
      <c r="IC130">
        <v>2</v>
      </c>
      <c r="ID130">
        <v>3</v>
      </c>
      <c r="IE130">
        <v>2</v>
      </c>
      <c r="IF130">
        <v>2</v>
      </c>
      <c r="IG130">
        <v>2</v>
      </c>
      <c r="IH130">
        <v>2</v>
      </c>
      <c r="II130">
        <v>2</v>
      </c>
      <c r="IJ130">
        <v>1</v>
      </c>
      <c r="IK130">
        <v>1</v>
      </c>
      <c r="IL130">
        <v>1</v>
      </c>
      <c r="IN130">
        <v>2</v>
      </c>
      <c r="IO130">
        <v>2</v>
      </c>
      <c r="IS130">
        <v>1</v>
      </c>
      <c r="IT130">
        <v>1</v>
      </c>
      <c r="IU130">
        <v>1</v>
      </c>
    </row>
    <row r="131" spans="1:255" ht="12.75" customHeight="1" x14ac:dyDescent="0.2">
      <c r="A131" t="str">
        <f>INDEX(TL_HWK,ROW()-130)</f>
        <v>Abrichten</v>
      </c>
      <c r="B131" t="s">
        <v>3309</v>
      </c>
      <c r="O131">
        <v>3</v>
      </c>
      <c r="S131">
        <v>5</v>
      </c>
      <c r="BB131" t="s">
        <v>3309</v>
      </c>
      <c r="BD131">
        <v>1</v>
      </c>
      <c r="BE131">
        <v>1</v>
      </c>
      <c r="BF131">
        <v>1</v>
      </c>
      <c r="BG131">
        <v>1</v>
      </c>
      <c r="BH131">
        <v>1</v>
      </c>
      <c r="BI131">
        <v>1</v>
      </c>
      <c r="BJ131">
        <v>1</v>
      </c>
      <c r="BK131">
        <v>1</v>
      </c>
      <c r="BL131">
        <v>1</v>
      </c>
      <c r="BM131">
        <v>1</v>
      </c>
      <c r="BN131">
        <v>1</v>
      </c>
      <c r="BO131">
        <v>1</v>
      </c>
      <c r="EH131">
        <v>1</v>
      </c>
      <c r="EI131">
        <v>1</v>
      </c>
      <c r="EJ131">
        <v>1</v>
      </c>
      <c r="EK131">
        <v>1</v>
      </c>
      <c r="EL131">
        <v>1</v>
      </c>
      <c r="EM131">
        <v>1</v>
      </c>
      <c r="EN131">
        <v>1</v>
      </c>
      <c r="EO131">
        <v>1</v>
      </c>
      <c r="EP131">
        <v>1</v>
      </c>
      <c r="FS131">
        <v>4</v>
      </c>
      <c r="FT131">
        <v>4</v>
      </c>
      <c r="GG131">
        <v>7</v>
      </c>
      <c r="GH131">
        <v>7</v>
      </c>
      <c r="GI131">
        <v>7</v>
      </c>
      <c r="GJ131">
        <v>7</v>
      </c>
      <c r="GP131" t="s">
        <v>3309</v>
      </c>
      <c r="HH131">
        <v>2</v>
      </c>
      <c r="HM131">
        <v>1</v>
      </c>
      <c r="HN131">
        <v>1</v>
      </c>
      <c r="HO131">
        <v>5</v>
      </c>
      <c r="HP131">
        <v>1</v>
      </c>
      <c r="HQ131">
        <v>1</v>
      </c>
      <c r="HR131">
        <v>2</v>
      </c>
      <c r="HS131">
        <v>1</v>
      </c>
      <c r="HY131">
        <v>1</v>
      </c>
      <c r="HZ131">
        <v>1</v>
      </c>
      <c r="IA131">
        <v>1</v>
      </c>
    </row>
    <row r="132" spans="1:255" x14ac:dyDescent="0.2">
      <c r="A132" t="str">
        <f t="shared" ref="A132:A181" si="5">INDEX(TL_HWK,ROW()-130)</f>
        <v>Ackerbau</v>
      </c>
      <c r="AZ132">
        <v>1</v>
      </c>
      <c r="BD132">
        <v>6</v>
      </c>
      <c r="BE132">
        <v>6</v>
      </c>
      <c r="BF132">
        <v>6</v>
      </c>
      <c r="BG132">
        <v>6</v>
      </c>
      <c r="BH132">
        <v>7</v>
      </c>
      <c r="BI132">
        <v>6</v>
      </c>
      <c r="BJ132">
        <v>6</v>
      </c>
      <c r="BK132">
        <v>6</v>
      </c>
      <c r="BL132">
        <v>5</v>
      </c>
      <c r="BM132">
        <v>6</v>
      </c>
      <c r="BN132">
        <v>3</v>
      </c>
      <c r="BO132">
        <v>6</v>
      </c>
      <c r="BQ132">
        <v>6</v>
      </c>
    </row>
    <row r="133" spans="1:255" x14ac:dyDescent="0.2">
      <c r="A133" t="str">
        <f t="shared" si="5"/>
        <v>Alchimie</v>
      </c>
      <c r="AF133">
        <v>2</v>
      </c>
      <c r="AG133">
        <v>2</v>
      </c>
      <c r="CB133">
        <v>4</v>
      </c>
      <c r="CF133">
        <v>1</v>
      </c>
      <c r="CI133">
        <v>1</v>
      </c>
      <c r="CP133">
        <v>2</v>
      </c>
      <c r="CY133">
        <v>2</v>
      </c>
    </row>
    <row r="134" spans="1:255" x14ac:dyDescent="0.2">
      <c r="A134" t="str">
        <f t="shared" si="5"/>
        <v>Bergbau</v>
      </c>
      <c r="BP134">
        <v>7</v>
      </c>
      <c r="BQ134">
        <v>3</v>
      </c>
      <c r="BR134">
        <v>5</v>
      </c>
      <c r="CE134">
        <v>1</v>
      </c>
      <c r="IB134">
        <v>3</v>
      </c>
    </row>
    <row r="135" spans="1:255" x14ac:dyDescent="0.2">
      <c r="A135" t="str">
        <f t="shared" si="5"/>
        <v>Bogenbau</v>
      </c>
    </row>
    <row r="136" spans="1:255" x14ac:dyDescent="0.2">
      <c r="A136" t="str">
        <f t="shared" si="5"/>
        <v>Boote Fahren</v>
      </c>
      <c r="H136">
        <v>2</v>
      </c>
      <c r="AA136">
        <v>1</v>
      </c>
      <c r="CG136">
        <v>2</v>
      </c>
      <c r="CH136">
        <v>4</v>
      </c>
      <c r="FS136">
        <v>1</v>
      </c>
      <c r="FT136">
        <v>4</v>
      </c>
      <c r="GD136">
        <v>2</v>
      </c>
      <c r="GX136">
        <v>1</v>
      </c>
      <c r="GY136">
        <v>1</v>
      </c>
      <c r="HA136">
        <v>1</v>
      </c>
      <c r="HB136">
        <v>6</v>
      </c>
      <c r="HC136">
        <v>6</v>
      </c>
      <c r="HD136">
        <v>6</v>
      </c>
      <c r="HE136">
        <v>6</v>
      </c>
      <c r="HF136">
        <v>6</v>
      </c>
      <c r="HG136">
        <v>6</v>
      </c>
      <c r="HH136">
        <v>1</v>
      </c>
      <c r="HJ136">
        <v>1</v>
      </c>
      <c r="HK136">
        <v>1</v>
      </c>
      <c r="HW136">
        <v>2</v>
      </c>
      <c r="IE136">
        <v>5</v>
      </c>
      <c r="IF136">
        <v>6</v>
      </c>
      <c r="IG136">
        <v>3</v>
      </c>
      <c r="IH136">
        <v>3</v>
      </c>
      <c r="II136">
        <v>7</v>
      </c>
      <c r="IL136">
        <v>5</v>
      </c>
      <c r="IM136">
        <v>4</v>
      </c>
      <c r="IN136">
        <v>7</v>
      </c>
      <c r="IO136">
        <v>4</v>
      </c>
      <c r="IP136">
        <v>2</v>
      </c>
    </row>
    <row r="137" spans="1:255" x14ac:dyDescent="0.2">
      <c r="A137" t="str">
        <f t="shared" si="5"/>
        <v>Brauer</v>
      </c>
      <c r="AZ137">
        <v>3</v>
      </c>
      <c r="BG137">
        <v>1</v>
      </c>
    </row>
    <row r="138" spans="1:255" x14ac:dyDescent="0.2">
      <c r="A138" t="str">
        <f t="shared" si="5"/>
        <v>Drucker</v>
      </c>
      <c r="AN138">
        <v>5</v>
      </c>
      <c r="CD138">
        <v>7</v>
      </c>
    </row>
    <row r="139" spans="1:255" x14ac:dyDescent="0.2">
      <c r="A139" t="str">
        <f t="shared" si="5"/>
        <v>Eissegler Fahren</v>
      </c>
    </row>
    <row r="140" spans="1:255" x14ac:dyDescent="0.2">
      <c r="A140" t="str">
        <f t="shared" si="5"/>
        <v>Fahrzeug Lenken</v>
      </c>
      <c r="M140">
        <v>2</v>
      </c>
      <c r="N140">
        <v>2</v>
      </c>
      <c r="O140">
        <v>2</v>
      </c>
      <c r="P140">
        <v>2</v>
      </c>
      <c r="Q140">
        <v>2</v>
      </c>
      <c r="R140">
        <v>2</v>
      </c>
      <c r="T140">
        <v>2</v>
      </c>
      <c r="U140">
        <v>4</v>
      </c>
      <c r="V140">
        <v>1</v>
      </c>
      <c r="W140">
        <v>1</v>
      </c>
      <c r="X140">
        <v>1</v>
      </c>
      <c r="Z140">
        <v>1</v>
      </c>
      <c r="BD140">
        <v>2</v>
      </c>
      <c r="BE140">
        <v>2</v>
      </c>
      <c r="BF140">
        <v>2</v>
      </c>
      <c r="BG140">
        <v>3</v>
      </c>
      <c r="BH140">
        <v>2</v>
      </c>
      <c r="BI140">
        <v>2</v>
      </c>
      <c r="BJ140">
        <v>2</v>
      </c>
      <c r="BK140">
        <v>2</v>
      </c>
      <c r="BL140">
        <v>2</v>
      </c>
      <c r="BN140">
        <v>2</v>
      </c>
      <c r="BO140">
        <v>2</v>
      </c>
      <c r="BX140">
        <v>1</v>
      </c>
      <c r="BY140">
        <v>4</v>
      </c>
      <c r="GC140">
        <v>1</v>
      </c>
      <c r="GO140">
        <v>2</v>
      </c>
      <c r="GY140">
        <v>1</v>
      </c>
      <c r="HH140">
        <v>6</v>
      </c>
      <c r="HJ140">
        <v>1</v>
      </c>
      <c r="HQ140">
        <v>2</v>
      </c>
      <c r="HW140">
        <v>2</v>
      </c>
      <c r="HY140">
        <v>1</v>
      </c>
      <c r="IQ140">
        <v>1</v>
      </c>
      <c r="IR140">
        <v>3</v>
      </c>
    </row>
    <row r="141" spans="1:255" x14ac:dyDescent="0.2">
      <c r="A141" t="str">
        <f t="shared" si="5"/>
        <v>Falschspiel</v>
      </c>
      <c r="J141">
        <v>2</v>
      </c>
      <c r="AK141">
        <v>2</v>
      </c>
      <c r="AR141">
        <v>2</v>
      </c>
      <c r="AS141">
        <v>2</v>
      </c>
      <c r="AU141">
        <v>7</v>
      </c>
      <c r="AV141">
        <v>2</v>
      </c>
      <c r="AW141">
        <v>3</v>
      </c>
      <c r="AX141">
        <v>3</v>
      </c>
      <c r="AY141">
        <v>3</v>
      </c>
    </row>
    <row r="142" spans="1:255" x14ac:dyDescent="0.2">
      <c r="A142" t="str">
        <f t="shared" si="5"/>
        <v>Feinmechanik</v>
      </c>
      <c r="AN142">
        <v>2</v>
      </c>
      <c r="CD142">
        <v>2</v>
      </c>
      <c r="CF142">
        <v>4</v>
      </c>
      <c r="CI142">
        <v>6</v>
      </c>
      <c r="CJ142">
        <v>7</v>
      </c>
      <c r="CY142">
        <v>2</v>
      </c>
      <c r="GY142">
        <v>2</v>
      </c>
    </row>
    <row r="143" spans="1:255" x14ac:dyDescent="0.2">
      <c r="A143" t="str">
        <f t="shared" si="5"/>
        <v>Feuersteinbearbeitung</v>
      </c>
      <c r="EH143">
        <v>2</v>
      </c>
      <c r="EI143">
        <v>2</v>
      </c>
      <c r="EJ143">
        <v>2</v>
      </c>
      <c r="EK143">
        <v>2</v>
      </c>
      <c r="EL143">
        <v>2</v>
      </c>
      <c r="EM143">
        <v>2</v>
      </c>
      <c r="EN143">
        <v>2</v>
      </c>
      <c r="EO143">
        <v>2</v>
      </c>
      <c r="EP143">
        <v>2</v>
      </c>
      <c r="FB143">
        <v>4</v>
      </c>
      <c r="FC143">
        <v>4</v>
      </c>
      <c r="FD143">
        <v>4</v>
      </c>
      <c r="FE143">
        <v>4</v>
      </c>
      <c r="FF143">
        <v>4</v>
      </c>
      <c r="FG143">
        <v>4</v>
      </c>
      <c r="FH143">
        <v>4</v>
      </c>
      <c r="FI143">
        <v>4</v>
      </c>
      <c r="FJ143">
        <v>4</v>
      </c>
      <c r="FK143">
        <v>4</v>
      </c>
      <c r="FL143">
        <v>3</v>
      </c>
      <c r="FM143">
        <v>3</v>
      </c>
      <c r="FN143">
        <v>3</v>
      </c>
      <c r="FO143">
        <v>3</v>
      </c>
      <c r="FP143">
        <v>3</v>
      </c>
      <c r="FQ143">
        <v>3</v>
      </c>
      <c r="FR143">
        <v>3</v>
      </c>
      <c r="HU143">
        <v>2</v>
      </c>
    </row>
    <row r="144" spans="1:255" x14ac:dyDescent="0.2">
      <c r="A144" t="str">
        <f t="shared" si="5"/>
        <v>Fleischer</v>
      </c>
      <c r="BD144">
        <v>1</v>
      </c>
      <c r="BE144">
        <v>1</v>
      </c>
      <c r="BF144">
        <v>1</v>
      </c>
      <c r="BG144">
        <v>1</v>
      </c>
      <c r="BI144">
        <v>1</v>
      </c>
      <c r="BJ144">
        <v>1</v>
      </c>
      <c r="BK144">
        <v>1</v>
      </c>
      <c r="BL144">
        <v>1</v>
      </c>
      <c r="BM144">
        <v>1</v>
      </c>
      <c r="BN144">
        <v>1</v>
      </c>
      <c r="BO144">
        <v>1</v>
      </c>
      <c r="CL144">
        <v>2</v>
      </c>
      <c r="HD144">
        <v>1</v>
      </c>
      <c r="HW144">
        <v>3</v>
      </c>
    </row>
    <row r="145" spans="1:255" x14ac:dyDescent="0.2">
      <c r="A145" t="str">
        <f t="shared" si="5"/>
        <v>Gerber/Kürschner</v>
      </c>
    </row>
    <row r="146" spans="1:255" x14ac:dyDescent="0.2">
      <c r="A146" t="str">
        <f t="shared" si="5"/>
        <v>Glaskunst</v>
      </c>
    </row>
    <row r="147" spans="1:255" x14ac:dyDescent="0.2">
      <c r="A147" t="str">
        <f t="shared" si="5"/>
        <v>Grobschmied</v>
      </c>
      <c r="CE147">
        <v>1</v>
      </c>
      <c r="CF147">
        <v>1</v>
      </c>
      <c r="CI147">
        <v>3</v>
      </c>
    </row>
    <row r="148" spans="1:255" x14ac:dyDescent="0.2">
      <c r="A148" t="str">
        <f t="shared" si="5"/>
        <v>Handel</v>
      </c>
      <c r="U148">
        <v>4</v>
      </c>
      <c r="V148">
        <v>4</v>
      </c>
      <c r="W148">
        <v>7</v>
      </c>
      <c r="X148">
        <v>4</v>
      </c>
      <c r="Y148">
        <v>4</v>
      </c>
      <c r="Z148">
        <v>4</v>
      </c>
      <c r="AA148">
        <v>4</v>
      </c>
      <c r="AT148">
        <v>3</v>
      </c>
      <c r="AZ148">
        <v>2</v>
      </c>
      <c r="BL148">
        <v>2</v>
      </c>
      <c r="BS148">
        <v>1</v>
      </c>
      <c r="BT148">
        <v>1</v>
      </c>
      <c r="BU148">
        <v>1</v>
      </c>
      <c r="BV148">
        <v>1</v>
      </c>
      <c r="BW148">
        <v>1</v>
      </c>
      <c r="BX148">
        <v>1</v>
      </c>
      <c r="BY148">
        <v>1</v>
      </c>
      <c r="BZ148">
        <v>1</v>
      </c>
      <c r="CB148">
        <v>2</v>
      </c>
      <c r="CD148">
        <v>1</v>
      </c>
      <c r="FX148">
        <v>4</v>
      </c>
      <c r="GS148">
        <v>1</v>
      </c>
      <c r="GZ148">
        <v>7</v>
      </c>
      <c r="HA148">
        <v>7</v>
      </c>
      <c r="HH148">
        <v>1</v>
      </c>
      <c r="IF148">
        <v>2</v>
      </c>
      <c r="IJ148">
        <v>4</v>
      </c>
      <c r="IK148">
        <v>3</v>
      </c>
    </row>
    <row r="149" spans="1:255" x14ac:dyDescent="0.2">
      <c r="A149" t="str">
        <f t="shared" si="5"/>
        <v>Hauswirtschaft</v>
      </c>
      <c r="U149">
        <v>2</v>
      </c>
      <c r="V149">
        <v>2</v>
      </c>
      <c r="W149">
        <v>2</v>
      </c>
      <c r="X149">
        <v>2</v>
      </c>
      <c r="Y149">
        <v>2</v>
      </c>
      <c r="Z149">
        <v>2</v>
      </c>
      <c r="AJ149">
        <v>2</v>
      </c>
      <c r="AZ149">
        <v>5</v>
      </c>
      <c r="BI149">
        <v>2</v>
      </c>
      <c r="BL149">
        <v>2</v>
      </c>
      <c r="BS149">
        <v>3</v>
      </c>
      <c r="BT149">
        <v>7</v>
      </c>
      <c r="BU149">
        <v>3</v>
      </c>
      <c r="BV149">
        <v>3</v>
      </c>
      <c r="BW149">
        <v>3</v>
      </c>
      <c r="BX149">
        <v>4</v>
      </c>
      <c r="BY149">
        <v>3</v>
      </c>
      <c r="BZ149">
        <v>3</v>
      </c>
      <c r="CC149">
        <v>1</v>
      </c>
      <c r="FX149">
        <v>2</v>
      </c>
      <c r="GZ149">
        <v>2</v>
      </c>
      <c r="HA149">
        <v>2</v>
      </c>
    </row>
    <row r="150" spans="1:255" x14ac:dyDescent="0.2">
      <c r="A150" t="str">
        <f t="shared" si="5"/>
        <v>Heilkunde Gift</v>
      </c>
      <c r="BC150">
        <v>2</v>
      </c>
      <c r="BQ150">
        <v>2</v>
      </c>
      <c r="CB150">
        <v>5</v>
      </c>
      <c r="CL150">
        <v>1</v>
      </c>
      <c r="GK150">
        <v>3</v>
      </c>
      <c r="GL150">
        <v>3</v>
      </c>
      <c r="GM150">
        <v>3</v>
      </c>
      <c r="GN150">
        <v>3</v>
      </c>
      <c r="GO150">
        <v>3</v>
      </c>
      <c r="GX150">
        <v>1</v>
      </c>
      <c r="GZ150">
        <v>1</v>
      </c>
      <c r="HA150">
        <v>1</v>
      </c>
      <c r="HC150">
        <v>1</v>
      </c>
      <c r="HI150">
        <v>1</v>
      </c>
      <c r="HJ150">
        <v>1</v>
      </c>
      <c r="HK150">
        <v>3</v>
      </c>
      <c r="HL150">
        <v>2</v>
      </c>
      <c r="HM150">
        <v>1</v>
      </c>
      <c r="HN150">
        <v>1</v>
      </c>
      <c r="HO150">
        <v>1</v>
      </c>
      <c r="HP150">
        <v>1</v>
      </c>
      <c r="HQ150">
        <v>1</v>
      </c>
      <c r="HR150">
        <v>2</v>
      </c>
      <c r="HS150">
        <v>2</v>
      </c>
      <c r="HT150">
        <v>3</v>
      </c>
      <c r="HU150">
        <v>3</v>
      </c>
      <c r="HV150">
        <v>3</v>
      </c>
      <c r="HX150">
        <v>3</v>
      </c>
      <c r="HY150">
        <v>2</v>
      </c>
      <c r="HZ150">
        <v>2</v>
      </c>
      <c r="IA150">
        <v>3</v>
      </c>
      <c r="IC150">
        <v>3</v>
      </c>
      <c r="ID150">
        <v>1</v>
      </c>
    </row>
    <row r="151" spans="1:255" x14ac:dyDescent="0.2">
      <c r="A151" t="str">
        <f t="shared" si="5"/>
        <v>Heilkunde Krankheiten</v>
      </c>
      <c r="AJ151">
        <v>2</v>
      </c>
      <c r="AK151">
        <v>2</v>
      </c>
      <c r="BC151">
        <v>2</v>
      </c>
      <c r="BD151">
        <v>1</v>
      </c>
      <c r="BE151">
        <v>1</v>
      </c>
      <c r="BF151">
        <v>1</v>
      </c>
      <c r="BG151">
        <v>1</v>
      </c>
      <c r="BH151">
        <v>1</v>
      </c>
      <c r="BI151">
        <v>1</v>
      </c>
      <c r="BJ151">
        <v>1</v>
      </c>
      <c r="BK151">
        <v>1</v>
      </c>
      <c r="BL151">
        <v>1</v>
      </c>
      <c r="BM151">
        <v>1</v>
      </c>
      <c r="BN151">
        <v>1</v>
      </c>
      <c r="BO151">
        <v>1</v>
      </c>
      <c r="BS151">
        <v>1</v>
      </c>
      <c r="BT151">
        <v>1</v>
      </c>
      <c r="BU151">
        <v>1</v>
      </c>
      <c r="BV151">
        <v>1</v>
      </c>
      <c r="BW151">
        <v>1</v>
      </c>
      <c r="BX151">
        <v>1</v>
      </c>
      <c r="BY151">
        <v>1</v>
      </c>
      <c r="BZ151">
        <v>1</v>
      </c>
      <c r="CB151">
        <v>3</v>
      </c>
      <c r="CL151">
        <v>3</v>
      </c>
      <c r="FS151">
        <v>1</v>
      </c>
      <c r="FT151">
        <v>1</v>
      </c>
      <c r="GG151">
        <v>2</v>
      </c>
      <c r="GH151">
        <v>2</v>
      </c>
      <c r="GI151">
        <v>2</v>
      </c>
      <c r="GJ151">
        <v>2</v>
      </c>
      <c r="GK151">
        <v>3</v>
      </c>
      <c r="GL151">
        <v>4</v>
      </c>
      <c r="GM151">
        <v>3</v>
      </c>
      <c r="GN151">
        <v>5</v>
      </c>
      <c r="GO151">
        <v>3</v>
      </c>
      <c r="HI151">
        <v>1</v>
      </c>
      <c r="HR151">
        <v>1</v>
      </c>
      <c r="HS151">
        <v>2</v>
      </c>
      <c r="HT151">
        <v>2</v>
      </c>
      <c r="HU151">
        <v>2</v>
      </c>
      <c r="HV151">
        <v>2</v>
      </c>
      <c r="HW151">
        <v>1</v>
      </c>
      <c r="HX151">
        <v>2</v>
      </c>
      <c r="IA151">
        <v>2</v>
      </c>
      <c r="IC151">
        <v>2</v>
      </c>
      <c r="ID151">
        <v>1</v>
      </c>
    </row>
    <row r="152" spans="1:255" x14ac:dyDescent="0.2">
      <c r="A152" t="str">
        <f t="shared" si="5"/>
        <v>Heilkunde Seele</v>
      </c>
      <c r="D152">
        <v>1</v>
      </c>
      <c r="E152">
        <v>1</v>
      </c>
      <c r="F152">
        <v>1</v>
      </c>
      <c r="G152">
        <v>3</v>
      </c>
      <c r="H152">
        <v>4</v>
      </c>
      <c r="CO152">
        <v>1</v>
      </c>
      <c r="CQ152">
        <v>1</v>
      </c>
      <c r="GK152">
        <v>1</v>
      </c>
      <c r="GL152">
        <v>1</v>
      </c>
      <c r="GM152">
        <v>1</v>
      </c>
      <c r="GN152">
        <v>1</v>
      </c>
      <c r="GO152">
        <v>1</v>
      </c>
    </row>
    <row r="153" spans="1:255" x14ac:dyDescent="0.2">
      <c r="A153" t="str">
        <f t="shared" si="5"/>
        <v>Heilkunde Wunden</v>
      </c>
      <c r="H153">
        <v>1</v>
      </c>
      <c r="J153">
        <v>1</v>
      </c>
      <c r="M153">
        <v>1</v>
      </c>
      <c r="N153">
        <v>1</v>
      </c>
      <c r="O153">
        <v>1</v>
      </c>
      <c r="P153">
        <v>1</v>
      </c>
      <c r="Q153">
        <v>1</v>
      </c>
      <c r="R153">
        <v>1</v>
      </c>
      <c r="S153">
        <v>1</v>
      </c>
      <c r="T153">
        <v>1</v>
      </c>
      <c r="AJ153">
        <v>1</v>
      </c>
      <c r="AK153">
        <v>2</v>
      </c>
      <c r="BC153">
        <v>4</v>
      </c>
      <c r="BD153">
        <v>1</v>
      </c>
      <c r="BE153">
        <v>1</v>
      </c>
      <c r="BF153">
        <v>1</v>
      </c>
      <c r="BG153">
        <v>1</v>
      </c>
      <c r="BH153">
        <v>1</v>
      </c>
      <c r="BI153">
        <v>1</v>
      </c>
      <c r="BJ153">
        <v>1</v>
      </c>
      <c r="BK153">
        <v>1</v>
      </c>
      <c r="BL153">
        <v>1</v>
      </c>
      <c r="BM153">
        <v>1</v>
      </c>
      <c r="BN153">
        <v>1</v>
      </c>
      <c r="BO153">
        <v>1</v>
      </c>
      <c r="BP153">
        <v>2</v>
      </c>
      <c r="BQ153">
        <v>2</v>
      </c>
      <c r="BR153">
        <v>3</v>
      </c>
      <c r="BS153">
        <v>2</v>
      </c>
      <c r="BT153">
        <v>2</v>
      </c>
      <c r="BU153">
        <v>2</v>
      </c>
      <c r="BV153">
        <v>2</v>
      </c>
      <c r="BW153">
        <v>2</v>
      </c>
      <c r="BX153">
        <v>2</v>
      </c>
      <c r="BY153">
        <v>2</v>
      </c>
      <c r="BZ153">
        <v>2</v>
      </c>
      <c r="CA153">
        <v>1</v>
      </c>
      <c r="CB153">
        <v>2</v>
      </c>
      <c r="CC153">
        <v>1</v>
      </c>
      <c r="CD153">
        <v>1</v>
      </c>
      <c r="CE153">
        <v>2</v>
      </c>
      <c r="CF153">
        <v>1</v>
      </c>
      <c r="CG153">
        <v>1</v>
      </c>
      <c r="CH153">
        <v>2</v>
      </c>
      <c r="CI153">
        <v>1</v>
      </c>
      <c r="CJ153">
        <v>1</v>
      </c>
      <c r="CL153">
        <v>5</v>
      </c>
      <c r="CW153">
        <v>1</v>
      </c>
      <c r="CX153">
        <v>1</v>
      </c>
      <c r="CY153">
        <v>1</v>
      </c>
      <c r="CZ153">
        <v>1</v>
      </c>
      <c r="DA153">
        <v>1</v>
      </c>
      <c r="DB153">
        <v>1</v>
      </c>
      <c r="DC153">
        <v>1</v>
      </c>
      <c r="DD153">
        <v>1</v>
      </c>
      <c r="DE153">
        <v>1</v>
      </c>
      <c r="DF153">
        <v>1</v>
      </c>
      <c r="DG153">
        <v>1</v>
      </c>
      <c r="DH153">
        <v>1</v>
      </c>
      <c r="DI153">
        <v>1</v>
      </c>
      <c r="DJ153">
        <v>1</v>
      </c>
      <c r="DK153">
        <v>1</v>
      </c>
      <c r="DL153">
        <v>1</v>
      </c>
      <c r="DM153">
        <v>1</v>
      </c>
      <c r="DN153">
        <v>1</v>
      </c>
      <c r="DO153">
        <v>1</v>
      </c>
      <c r="DP153">
        <v>1</v>
      </c>
      <c r="DQ153">
        <v>1</v>
      </c>
      <c r="DR153">
        <v>1</v>
      </c>
      <c r="DS153">
        <v>1</v>
      </c>
      <c r="DT153">
        <v>1</v>
      </c>
      <c r="DU153">
        <v>1</v>
      </c>
      <c r="DV153">
        <v>1</v>
      </c>
      <c r="DW153">
        <v>1</v>
      </c>
      <c r="DX153">
        <v>1</v>
      </c>
      <c r="DY153">
        <v>1</v>
      </c>
      <c r="DZ153">
        <v>1</v>
      </c>
      <c r="EA153">
        <v>1</v>
      </c>
      <c r="EB153">
        <v>1</v>
      </c>
      <c r="EC153">
        <v>1</v>
      </c>
      <c r="ED153">
        <v>1</v>
      </c>
      <c r="EE153">
        <v>1</v>
      </c>
      <c r="EF153">
        <v>1</v>
      </c>
      <c r="EG153">
        <v>1</v>
      </c>
      <c r="EH153">
        <v>1</v>
      </c>
      <c r="EI153">
        <v>1</v>
      </c>
      <c r="EJ153">
        <v>1</v>
      </c>
      <c r="EK153">
        <v>1</v>
      </c>
      <c r="EL153">
        <v>1</v>
      </c>
      <c r="EM153">
        <v>1</v>
      </c>
      <c r="EN153">
        <v>1</v>
      </c>
      <c r="EO153">
        <v>1</v>
      </c>
      <c r="EP153">
        <v>1</v>
      </c>
      <c r="EQ153">
        <v>1</v>
      </c>
      <c r="ER153">
        <v>1</v>
      </c>
      <c r="ES153">
        <v>1</v>
      </c>
      <c r="ET153">
        <v>1</v>
      </c>
      <c r="EU153">
        <v>1</v>
      </c>
      <c r="EV153">
        <v>1</v>
      </c>
      <c r="EW153">
        <v>1</v>
      </c>
      <c r="EX153">
        <v>1</v>
      </c>
      <c r="EY153">
        <v>1</v>
      </c>
      <c r="EZ153">
        <v>1</v>
      </c>
      <c r="FA153">
        <v>1</v>
      </c>
      <c r="FB153">
        <v>1</v>
      </c>
      <c r="FC153">
        <v>1</v>
      </c>
      <c r="FD153">
        <v>1</v>
      </c>
      <c r="FE153">
        <v>1</v>
      </c>
      <c r="FF153">
        <v>1</v>
      </c>
      <c r="FG153">
        <v>1</v>
      </c>
      <c r="FH153">
        <v>1</v>
      </c>
      <c r="FI153">
        <v>1</v>
      </c>
      <c r="FJ153">
        <v>1</v>
      </c>
      <c r="FK153">
        <v>1</v>
      </c>
      <c r="FL153">
        <v>1</v>
      </c>
      <c r="FM153">
        <v>1</v>
      </c>
      <c r="FN153">
        <v>1</v>
      </c>
      <c r="FO153">
        <v>1</v>
      </c>
      <c r="FP153">
        <v>1</v>
      </c>
      <c r="FQ153">
        <v>1</v>
      </c>
      <c r="FR153">
        <v>1</v>
      </c>
      <c r="FS153">
        <v>1</v>
      </c>
      <c r="FT153">
        <v>1</v>
      </c>
      <c r="GC153">
        <v>1</v>
      </c>
      <c r="GG153">
        <v>2</v>
      </c>
      <c r="GH153">
        <v>2</v>
      </c>
      <c r="GI153">
        <v>2</v>
      </c>
      <c r="GJ153">
        <v>2</v>
      </c>
      <c r="GK153">
        <v>6</v>
      </c>
      <c r="GL153">
        <v>5</v>
      </c>
      <c r="GM153">
        <v>6</v>
      </c>
      <c r="GN153">
        <v>6</v>
      </c>
      <c r="GO153">
        <v>6</v>
      </c>
      <c r="GR153">
        <v>2</v>
      </c>
      <c r="GX153">
        <v>2</v>
      </c>
      <c r="GY153">
        <v>2</v>
      </c>
      <c r="GZ153">
        <v>1</v>
      </c>
      <c r="HA153">
        <v>1</v>
      </c>
      <c r="HB153">
        <v>1</v>
      </c>
      <c r="HC153">
        <v>1</v>
      </c>
      <c r="HD153">
        <v>1</v>
      </c>
      <c r="HE153">
        <v>1</v>
      </c>
      <c r="HF153">
        <v>1</v>
      </c>
      <c r="HG153">
        <v>2</v>
      </c>
      <c r="HH153">
        <v>2</v>
      </c>
      <c r="HI153">
        <v>2</v>
      </c>
      <c r="HJ153">
        <v>2</v>
      </c>
      <c r="HK153">
        <v>3</v>
      </c>
      <c r="HL153">
        <v>3</v>
      </c>
      <c r="HM153">
        <v>1</v>
      </c>
      <c r="HN153">
        <v>1</v>
      </c>
      <c r="HO153">
        <v>1</v>
      </c>
      <c r="HP153">
        <v>1</v>
      </c>
      <c r="HQ153">
        <v>1</v>
      </c>
      <c r="HR153">
        <v>1</v>
      </c>
      <c r="HS153">
        <v>1</v>
      </c>
      <c r="HT153">
        <v>2</v>
      </c>
      <c r="HU153">
        <v>2</v>
      </c>
      <c r="HV153">
        <v>2</v>
      </c>
      <c r="HW153">
        <v>2</v>
      </c>
      <c r="HX153">
        <v>2</v>
      </c>
      <c r="HY153">
        <v>2</v>
      </c>
      <c r="HZ153">
        <v>2</v>
      </c>
      <c r="IA153">
        <v>2</v>
      </c>
      <c r="IB153">
        <v>2</v>
      </c>
      <c r="IC153">
        <v>3</v>
      </c>
      <c r="ID153">
        <v>2</v>
      </c>
      <c r="IE153">
        <v>1</v>
      </c>
      <c r="IF153">
        <v>1</v>
      </c>
      <c r="IG153">
        <v>1</v>
      </c>
      <c r="IH153">
        <v>1</v>
      </c>
      <c r="II153">
        <v>1</v>
      </c>
      <c r="IJ153">
        <v>1</v>
      </c>
      <c r="IK153">
        <v>1</v>
      </c>
      <c r="IL153">
        <v>1</v>
      </c>
      <c r="IM153">
        <v>1</v>
      </c>
      <c r="IN153">
        <v>1</v>
      </c>
      <c r="IO153">
        <v>1</v>
      </c>
      <c r="IP153">
        <v>1</v>
      </c>
      <c r="IQ153">
        <v>2</v>
      </c>
      <c r="IR153">
        <v>2</v>
      </c>
      <c r="IS153">
        <v>2</v>
      </c>
      <c r="IT153">
        <v>2</v>
      </c>
      <c r="IU153">
        <v>3</v>
      </c>
    </row>
    <row r="154" spans="1:255" x14ac:dyDescent="0.2">
      <c r="A154" t="str">
        <f t="shared" si="5"/>
        <v>Holzbearbeitung</v>
      </c>
      <c r="D154">
        <v>1</v>
      </c>
      <c r="E154">
        <v>1</v>
      </c>
      <c r="F154">
        <v>1</v>
      </c>
      <c r="G154">
        <v>1</v>
      </c>
      <c r="H154">
        <v>1</v>
      </c>
      <c r="J154">
        <v>1</v>
      </c>
      <c r="U154">
        <v>1</v>
      </c>
      <c r="V154">
        <v>1</v>
      </c>
      <c r="W154">
        <v>1</v>
      </c>
      <c r="X154">
        <v>1</v>
      </c>
      <c r="Y154">
        <v>1</v>
      </c>
      <c r="Z154">
        <v>1</v>
      </c>
      <c r="AA154">
        <v>1</v>
      </c>
      <c r="AC154">
        <v>1</v>
      </c>
      <c r="AE154">
        <v>2</v>
      </c>
      <c r="AF154">
        <v>2</v>
      </c>
      <c r="BC154">
        <v>1</v>
      </c>
      <c r="BD154">
        <v>3</v>
      </c>
      <c r="BE154">
        <v>3</v>
      </c>
      <c r="BF154">
        <v>3</v>
      </c>
      <c r="BG154">
        <v>3</v>
      </c>
      <c r="BH154">
        <v>3</v>
      </c>
      <c r="BI154">
        <v>3</v>
      </c>
      <c r="BJ154">
        <v>3</v>
      </c>
      <c r="BK154">
        <v>3</v>
      </c>
      <c r="BL154">
        <v>4</v>
      </c>
      <c r="BM154">
        <v>4</v>
      </c>
      <c r="BN154">
        <v>3</v>
      </c>
      <c r="BO154">
        <v>3</v>
      </c>
      <c r="BP154">
        <v>4</v>
      </c>
      <c r="BQ154">
        <v>3</v>
      </c>
      <c r="BR154">
        <v>3</v>
      </c>
      <c r="BS154">
        <v>2</v>
      </c>
      <c r="BT154">
        <v>2</v>
      </c>
      <c r="BU154">
        <v>3</v>
      </c>
      <c r="BV154">
        <v>3</v>
      </c>
      <c r="BW154">
        <v>3</v>
      </c>
      <c r="BX154">
        <v>2</v>
      </c>
      <c r="BY154">
        <v>2</v>
      </c>
      <c r="BZ154">
        <v>2</v>
      </c>
      <c r="CA154">
        <v>1</v>
      </c>
      <c r="CB154">
        <v>1</v>
      </c>
      <c r="CC154">
        <v>1</v>
      </c>
      <c r="CD154">
        <v>3</v>
      </c>
      <c r="CE154">
        <v>2</v>
      </c>
      <c r="CF154">
        <v>3</v>
      </c>
      <c r="CG154">
        <v>5</v>
      </c>
      <c r="CH154">
        <v>5</v>
      </c>
      <c r="CI154">
        <v>1</v>
      </c>
      <c r="CJ154">
        <v>1</v>
      </c>
      <c r="CW154">
        <v>1</v>
      </c>
      <c r="CX154">
        <v>1</v>
      </c>
      <c r="CY154">
        <v>2</v>
      </c>
      <c r="CZ154">
        <v>1</v>
      </c>
      <c r="DA154">
        <v>1</v>
      </c>
      <c r="DB154">
        <v>1</v>
      </c>
      <c r="DC154">
        <v>1</v>
      </c>
      <c r="DD154">
        <v>1</v>
      </c>
      <c r="DE154">
        <v>1</v>
      </c>
      <c r="DF154">
        <v>1</v>
      </c>
      <c r="DG154">
        <v>1</v>
      </c>
      <c r="DH154">
        <v>1</v>
      </c>
      <c r="DI154">
        <v>1</v>
      </c>
      <c r="DJ154">
        <v>1</v>
      </c>
      <c r="DK154">
        <v>1</v>
      </c>
      <c r="DL154">
        <v>1</v>
      </c>
      <c r="DM154">
        <v>1</v>
      </c>
      <c r="DN154">
        <v>1</v>
      </c>
      <c r="DO154">
        <v>1</v>
      </c>
      <c r="DP154">
        <v>1</v>
      </c>
      <c r="DQ154">
        <v>1</v>
      </c>
      <c r="DR154">
        <v>1</v>
      </c>
      <c r="DS154">
        <v>1</v>
      </c>
      <c r="DT154">
        <v>1</v>
      </c>
      <c r="DU154">
        <v>1</v>
      </c>
      <c r="DV154">
        <v>1</v>
      </c>
      <c r="DW154">
        <v>1</v>
      </c>
      <c r="DX154">
        <v>1</v>
      </c>
      <c r="DY154">
        <v>1</v>
      </c>
      <c r="DZ154">
        <v>1</v>
      </c>
      <c r="EA154">
        <v>1</v>
      </c>
      <c r="EB154">
        <v>1</v>
      </c>
      <c r="EC154">
        <v>1</v>
      </c>
      <c r="ED154">
        <v>1</v>
      </c>
      <c r="EE154">
        <v>1</v>
      </c>
      <c r="EF154">
        <v>1</v>
      </c>
      <c r="EG154">
        <v>1</v>
      </c>
      <c r="EH154">
        <v>1</v>
      </c>
      <c r="EI154">
        <v>1</v>
      </c>
      <c r="EJ154">
        <v>1</v>
      </c>
      <c r="EK154">
        <v>1</v>
      </c>
      <c r="EL154">
        <v>1</v>
      </c>
      <c r="EM154">
        <v>1</v>
      </c>
      <c r="EN154">
        <v>1</v>
      </c>
      <c r="EO154">
        <v>1</v>
      </c>
      <c r="EP154">
        <v>1</v>
      </c>
      <c r="EQ154">
        <v>1</v>
      </c>
      <c r="ER154">
        <v>1</v>
      </c>
      <c r="ES154">
        <v>1</v>
      </c>
      <c r="ET154">
        <v>1</v>
      </c>
      <c r="EU154">
        <v>1</v>
      </c>
      <c r="EV154">
        <v>1</v>
      </c>
      <c r="EW154">
        <v>1</v>
      </c>
      <c r="EX154">
        <v>1</v>
      </c>
      <c r="EY154">
        <v>1</v>
      </c>
      <c r="EZ154">
        <v>1</v>
      </c>
      <c r="FA154">
        <v>1</v>
      </c>
      <c r="FB154">
        <v>2</v>
      </c>
      <c r="FC154">
        <v>2</v>
      </c>
      <c r="FD154">
        <v>2</v>
      </c>
      <c r="FE154">
        <v>2</v>
      </c>
      <c r="FF154">
        <v>2</v>
      </c>
      <c r="FG154">
        <v>2</v>
      </c>
      <c r="FH154">
        <v>2</v>
      </c>
      <c r="FI154">
        <v>2</v>
      </c>
      <c r="FJ154">
        <v>2</v>
      </c>
      <c r="FK154">
        <v>2</v>
      </c>
      <c r="FL154">
        <v>1</v>
      </c>
      <c r="FM154">
        <v>1</v>
      </c>
      <c r="FN154">
        <v>1</v>
      </c>
      <c r="FO154">
        <v>1</v>
      </c>
      <c r="FP154">
        <v>1</v>
      </c>
      <c r="FQ154">
        <v>1</v>
      </c>
      <c r="FR154">
        <v>1</v>
      </c>
      <c r="FS154">
        <v>1</v>
      </c>
      <c r="FT154">
        <v>1</v>
      </c>
      <c r="FU154">
        <v>1</v>
      </c>
      <c r="FW154">
        <v>1</v>
      </c>
      <c r="FY154">
        <v>1</v>
      </c>
      <c r="FZ154">
        <v>2</v>
      </c>
      <c r="GA154">
        <v>2</v>
      </c>
      <c r="GB154">
        <v>4</v>
      </c>
      <c r="GC154">
        <v>2</v>
      </c>
      <c r="GD154">
        <v>2</v>
      </c>
      <c r="GE154">
        <v>2</v>
      </c>
      <c r="GF154">
        <v>3</v>
      </c>
      <c r="GG154">
        <v>2</v>
      </c>
      <c r="GH154">
        <v>2</v>
      </c>
      <c r="GI154">
        <v>2</v>
      </c>
      <c r="GJ154">
        <v>2</v>
      </c>
      <c r="GY154">
        <v>1</v>
      </c>
      <c r="GZ154">
        <v>1</v>
      </c>
      <c r="HA154">
        <v>1</v>
      </c>
      <c r="HB154">
        <v>2</v>
      </c>
      <c r="HC154">
        <v>2</v>
      </c>
      <c r="HD154">
        <v>2</v>
      </c>
      <c r="HE154">
        <v>2</v>
      </c>
      <c r="HF154">
        <v>2</v>
      </c>
      <c r="HG154">
        <v>2</v>
      </c>
      <c r="HH154">
        <v>4</v>
      </c>
      <c r="HI154">
        <v>2</v>
      </c>
      <c r="HJ154">
        <v>1</v>
      </c>
      <c r="HK154">
        <v>1</v>
      </c>
      <c r="HL154">
        <v>1</v>
      </c>
      <c r="HM154">
        <v>2</v>
      </c>
      <c r="HN154">
        <v>2</v>
      </c>
      <c r="HO154">
        <v>2</v>
      </c>
      <c r="HP154">
        <v>2</v>
      </c>
      <c r="HQ154">
        <v>2</v>
      </c>
      <c r="HR154">
        <v>3</v>
      </c>
      <c r="HS154">
        <v>2</v>
      </c>
      <c r="HT154">
        <v>4</v>
      </c>
      <c r="HU154">
        <v>4</v>
      </c>
      <c r="HV154">
        <v>4</v>
      </c>
      <c r="HW154">
        <v>4</v>
      </c>
      <c r="HX154">
        <v>4</v>
      </c>
      <c r="HY154">
        <v>1</v>
      </c>
      <c r="HZ154">
        <v>1</v>
      </c>
      <c r="IA154">
        <v>2</v>
      </c>
      <c r="IB154">
        <v>2</v>
      </c>
      <c r="IC154">
        <v>2</v>
      </c>
      <c r="ID154">
        <v>2</v>
      </c>
      <c r="IE154">
        <v>4</v>
      </c>
      <c r="IF154">
        <v>4</v>
      </c>
      <c r="IG154">
        <v>2</v>
      </c>
      <c r="IH154">
        <v>4</v>
      </c>
      <c r="II154">
        <v>4</v>
      </c>
      <c r="IJ154">
        <v>2</v>
      </c>
      <c r="IK154">
        <v>2</v>
      </c>
      <c r="IL154">
        <v>2</v>
      </c>
      <c r="IM154">
        <v>2</v>
      </c>
      <c r="IN154">
        <v>2</v>
      </c>
      <c r="IO154">
        <v>2</v>
      </c>
      <c r="IP154">
        <v>2</v>
      </c>
      <c r="IQ154">
        <v>4</v>
      </c>
      <c r="IR154">
        <v>4</v>
      </c>
      <c r="IS154">
        <v>4</v>
      </c>
      <c r="IT154">
        <v>4</v>
      </c>
      <c r="IU154">
        <v>4</v>
      </c>
    </row>
    <row r="155" spans="1:255" x14ac:dyDescent="0.2">
      <c r="A155" t="str">
        <f t="shared" si="5"/>
        <v>Hundeschlitten Fahren</v>
      </c>
    </row>
    <row r="156" spans="1:255" x14ac:dyDescent="0.2">
      <c r="A156" t="str">
        <f t="shared" si="5"/>
        <v>Instrumentenbauer</v>
      </c>
      <c r="H156">
        <v>3</v>
      </c>
    </row>
    <row r="157" spans="1:255" x14ac:dyDescent="0.2">
      <c r="A157" t="str">
        <f t="shared" si="5"/>
        <v>Kapellmeister</v>
      </c>
    </row>
    <row r="158" spans="1:255" x14ac:dyDescent="0.2">
      <c r="A158" t="str">
        <f t="shared" si="5"/>
        <v>Kartographie</v>
      </c>
      <c r="CC158">
        <v>2</v>
      </c>
      <c r="CT158">
        <v>3</v>
      </c>
      <c r="GQ158">
        <v>5</v>
      </c>
      <c r="GR158">
        <v>5</v>
      </c>
      <c r="GS158">
        <v>5</v>
      </c>
      <c r="GT158">
        <v>5</v>
      </c>
      <c r="GU158">
        <v>5</v>
      </c>
      <c r="GV158">
        <v>5</v>
      </c>
      <c r="GW158">
        <v>5</v>
      </c>
      <c r="GX158">
        <v>5</v>
      </c>
      <c r="GY158">
        <v>7</v>
      </c>
      <c r="GZ158">
        <v>3</v>
      </c>
      <c r="HA158">
        <v>3</v>
      </c>
      <c r="IG158">
        <v>2</v>
      </c>
      <c r="IP158">
        <v>4</v>
      </c>
    </row>
    <row r="159" spans="1:255" x14ac:dyDescent="0.2">
      <c r="A159" t="str">
        <f t="shared" si="5"/>
        <v>Kochen</v>
      </c>
      <c r="M159">
        <v>1</v>
      </c>
      <c r="N159">
        <v>1</v>
      </c>
      <c r="O159">
        <v>1</v>
      </c>
      <c r="P159">
        <v>1</v>
      </c>
      <c r="Q159">
        <v>1</v>
      </c>
      <c r="R159">
        <v>1</v>
      </c>
      <c r="S159">
        <v>1</v>
      </c>
      <c r="T159">
        <v>1</v>
      </c>
      <c r="AZ159">
        <v>4</v>
      </c>
      <c r="BC159">
        <v>3</v>
      </c>
      <c r="BD159">
        <v>2</v>
      </c>
      <c r="BE159">
        <v>2</v>
      </c>
      <c r="BF159">
        <v>2</v>
      </c>
      <c r="BG159">
        <v>2</v>
      </c>
      <c r="BH159">
        <v>2</v>
      </c>
      <c r="BI159">
        <v>2</v>
      </c>
      <c r="BJ159">
        <v>4</v>
      </c>
      <c r="BK159">
        <v>2</v>
      </c>
      <c r="BL159">
        <v>2</v>
      </c>
      <c r="BM159">
        <v>2</v>
      </c>
      <c r="BN159">
        <v>2</v>
      </c>
      <c r="BO159">
        <v>2</v>
      </c>
      <c r="BQ159">
        <v>3</v>
      </c>
      <c r="BS159">
        <v>2</v>
      </c>
      <c r="BT159">
        <v>5</v>
      </c>
      <c r="BU159">
        <v>3</v>
      </c>
      <c r="BV159">
        <v>3</v>
      </c>
      <c r="BW159">
        <v>5</v>
      </c>
      <c r="BX159">
        <v>2</v>
      </c>
      <c r="BY159">
        <v>2</v>
      </c>
      <c r="BZ159">
        <v>2</v>
      </c>
      <c r="CB159">
        <v>5</v>
      </c>
      <c r="CP159">
        <v>4</v>
      </c>
      <c r="FB159">
        <v>1</v>
      </c>
      <c r="FC159">
        <v>1</v>
      </c>
      <c r="FD159">
        <v>1</v>
      </c>
      <c r="FE159">
        <v>1</v>
      </c>
      <c r="FF159">
        <v>1</v>
      </c>
      <c r="FG159">
        <v>1</v>
      </c>
      <c r="FH159">
        <v>1</v>
      </c>
      <c r="FI159">
        <v>1</v>
      </c>
      <c r="FJ159">
        <v>1</v>
      </c>
      <c r="FK159">
        <v>1</v>
      </c>
      <c r="GF159">
        <v>1</v>
      </c>
      <c r="GK159">
        <v>4</v>
      </c>
      <c r="GL159">
        <v>4</v>
      </c>
      <c r="GM159">
        <v>4</v>
      </c>
      <c r="GN159">
        <v>4</v>
      </c>
      <c r="GO159">
        <v>4</v>
      </c>
      <c r="GY159">
        <v>1</v>
      </c>
      <c r="HH159">
        <v>2</v>
      </c>
      <c r="HI159">
        <v>1</v>
      </c>
      <c r="HJ159">
        <v>1</v>
      </c>
      <c r="HK159">
        <v>1</v>
      </c>
      <c r="HL159">
        <v>1</v>
      </c>
      <c r="HT159">
        <v>1</v>
      </c>
      <c r="HU159">
        <v>1</v>
      </c>
      <c r="HV159">
        <v>1</v>
      </c>
      <c r="HW159">
        <v>2</v>
      </c>
      <c r="HX159">
        <v>1</v>
      </c>
      <c r="HY159">
        <v>2</v>
      </c>
      <c r="HZ159">
        <v>2</v>
      </c>
      <c r="IA159">
        <v>1</v>
      </c>
      <c r="IB159">
        <v>1</v>
      </c>
      <c r="IC159">
        <v>3</v>
      </c>
      <c r="ID159">
        <v>1</v>
      </c>
      <c r="IT159">
        <v>2</v>
      </c>
    </row>
    <row r="160" spans="1:255" x14ac:dyDescent="0.2">
      <c r="A160" t="str">
        <f t="shared" si="5"/>
        <v>Kristallzüchter</v>
      </c>
    </row>
    <row r="161" spans="1:255" x14ac:dyDescent="0.2">
      <c r="A161" t="str">
        <f t="shared" si="5"/>
        <v>Lederarbeiten</v>
      </c>
      <c r="D161">
        <v>1</v>
      </c>
      <c r="E161">
        <v>1</v>
      </c>
      <c r="F161">
        <v>1</v>
      </c>
      <c r="G161">
        <v>1</v>
      </c>
      <c r="H161">
        <v>1</v>
      </c>
      <c r="J161">
        <v>1</v>
      </c>
      <c r="U161">
        <v>1</v>
      </c>
      <c r="X161">
        <v>1</v>
      </c>
      <c r="AA161">
        <v>2</v>
      </c>
      <c r="BC161">
        <v>1</v>
      </c>
      <c r="BD161">
        <v>2</v>
      </c>
      <c r="BE161">
        <v>2</v>
      </c>
      <c r="BF161">
        <v>2</v>
      </c>
      <c r="BG161">
        <v>2</v>
      </c>
      <c r="BH161">
        <v>2</v>
      </c>
      <c r="BI161">
        <v>2</v>
      </c>
      <c r="BJ161">
        <v>2</v>
      </c>
      <c r="BK161">
        <v>2</v>
      </c>
      <c r="BL161">
        <v>3</v>
      </c>
      <c r="BM161">
        <v>2</v>
      </c>
      <c r="BN161">
        <v>3</v>
      </c>
      <c r="BO161">
        <v>2</v>
      </c>
      <c r="BP161">
        <v>1</v>
      </c>
      <c r="BQ161">
        <v>1</v>
      </c>
      <c r="BR161">
        <v>1</v>
      </c>
      <c r="BS161">
        <v>2</v>
      </c>
      <c r="BT161">
        <v>2</v>
      </c>
      <c r="BU161">
        <v>3</v>
      </c>
      <c r="BV161">
        <v>3</v>
      </c>
      <c r="BW161">
        <v>3</v>
      </c>
      <c r="BX161">
        <v>2</v>
      </c>
      <c r="BY161">
        <v>2</v>
      </c>
      <c r="BZ161">
        <v>2</v>
      </c>
      <c r="CA161">
        <v>1</v>
      </c>
      <c r="CB161">
        <v>1</v>
      </c>
      <c r="CC161">
        <v>1</v>
      </c>
      <c r="CD161">
        <v>1</v>
      </c>
      <c r="CE161">
        <v>1</v>
      </c>
      <c r="CF161">
        <v>2</v>
      </c>
      <c r="CG161">
        <v>1</v>
      </c>
      <c r="CI161">
        <v>1</v>
      </c>
      <c r="CJ161">
        <v>1</v>
      </c>
      <c r="CW161">
        <v>1</v>
      </c>
      <c r="CX161">
        <v>1</v>
      </c>
      <c r="CY161">
        <v>1</v>
      </c>
      <c r="CZ161">
        <v>1</v>
      </c>
      <c r="DA161">
        <v>1</v>
      </c>
      <c r="DB161">
        <v>1</v>
      </c>
      <c r="DC161">
        <v>1</v>
      </c>
      <c r="DD161">
        <v>1</v>
      </c>
      <c r="DE161">
        <v>1</v>
      </c>
      <c r="DF161">
        <v>1</v>
      </c>
      <c r="DG161">
        <v>1</v>
      </c>
      <c r="DH161">
        <v>1</v>
      </c>
      <c r="DI161">
        <v>1</v>
      </c>
      <c r="DJ161">
        <v>1</v>
      </c>
      <c r="DK161">
        <v>1</v>
      </c>
      <c r="DL161">
        <v>1</v>
      </c>
      <c r="DM161">
        <v>1</v>
      </c>
      <c r="DN161">
        <v>1</v>
      </c>
      <c r="DO161">
        <v>1</v>
      </c>
      <c r="DP161">
        <v>1</v>
      </c>
      <c r="DQ161">
        <v>1</v>
      </c>
      <c r="DR161">
        <v>1</v>
      </c>
      <c r="DS161">
        <v>1</v>
      </c>
      <c r="DT161">
        <v>1</v>
      </c>
      <c r="DU161">
        <v>1</v>
      </c>
      <c r="DV161">
        <v>1</v>
      </c>
      <c r="DW161">
        <v>1</v>
      </c>
      <c r="DX161">
        <v>1</v>
      </c>
      <c r="DY161">
        <v>1</v>
      </c>
      <c r="DZ161">
        <v>1</v>
      </c>
      <c r="EA161">
        <v>1</v>
      </c>
      <c r="EB161">
        <v>1</v>
      </c>
      <c r="EC161">
        <v>1</v>
      </c>
      <c r="ED161">
        <v>1</v>
      </c>
      <c r="EE161">
        <v>1</v>
      </c>
      <c r="EF161">
        <v>1</v>
      </c>
      <c r="EG161">
        <v>1</v>
      </c>
      <c r="EH161">
        <v>1</v>
      </c>
      <c r="EI161">
        <v>1</v>
      </c>
      <c r="EJ161">
        <v>1</v>
      </c>
      <c r="EK161">
        <v>1</v>
      </c>
      <c r="EL161">
        <v>1</v>
      </c>
      <c r="EM161">
        <v>1</v>
      </c>
      <c r="EN161">
        <v>1</v>
      </c>
      <c r="EO161">
        <v>1</v>
      </c>
      <c r="EP161">
        <v>1</v>
      </c>
      <c r="EQ161">
        <v>1</v>
      </c>
      <c r="ER161">
        <v>1</v>
      </c>
      <c r="ES161">
        <v>1</v>
      </c>
      <c r="ET161">
        <v>1</v>
      </c>
      <c r="EU161">
        <v>1</v>
      </c>
      <c r="EV161">
        <v>1</v>
      </c>
      <c r="EW161">
        <v>1</v>
      </c>
      <c r="EX161">
        <v>1</v>
      </c>
      <c r="EY161">
        <v>1</v>
      </c>
      <c r="EZ161">
        <v>1</v>
      </c>
      <c r="FA161">
        <v>1</v>
      </c>
      <c r="FB161">
        <v>2</v>
      </c>
      <c r="FC161">
        <v>2</v>
      </c>
      <c r="FD161">
        <v>2</v>
      </c>
      <c r="FE161">
        <v>2</v>
      </c>
      <c r="FF161">
        <v>2</v>
      </c>
      <c r="FG161">
        <v>2</v>
      </c>
      <c r="FH161">
        <v>2</v>
      </c>
      <c r="FI161">
        <v>2</v>
      </c>
      <c r="FJ161">
        <v>2</v>
      </c>
      <c r="FK161">
        <v>2</v>
      </c>
      <c r="FL161">
        <v>1</v>
      </c>
      <c r="FM161">
        <v>1</v>
      </c>
      <c r="FN161">
        <v>1</v>
      </c>
      <c r="FO161">
        <v>1</v>
      </c>
      <c r="FP161">
        <v>1</v>
      </c>
      <c r="FQ161">
        <v>1</v>
      </c>
      <c r="FR161">
        <v>1</v>
      </c>
      <c r="FS161">
        <v>1</v>
      </c>
      <c r="FT161">
        <v>1</v>
      </c>
      <c r="FW161">
        <v>1</v>
      </c>
      <c r="FZ161">
        <v>1</v>
      </c>
      <c r="GA161">
        <v>1</v>
      </c>
      <c r="GB161">
        <v>1</v>
      </c>
      <c r="GC161">
        <v>1</v>
      </c>
      <c r="GD161">
        <v>1</v>
      </c>
      <c r="GE161">
        <v>1</v>
      </c>
      <c r="GF161">
        <v>1</v>
      </c>
      <c r="GG161">
        <v>2</v>
      </c>
      <c r="GH161">
        <v>2</v>
      </c>
      <c r="GI161">
        <v>2</v>
      </c>
      <c r="GJ161">
        <v>2</v>
      </c>
      <c r="GY161">
        <v>1</v>
      </c>
      <c r="GZ161">
        <v>1</v>
      </c>
      <c r="HA161">
        <v>1</v>
      </c>
      <c r="HH161">
        <v>2</v>
      </c>
      <c r="HI161">
        <v>1</v>
      </c>
      <c r="HJ161">
        <v>1</v>
      </c>
      <c r="HK161">
        <v>1</v>
      </c>
      <c r="HL161">
        <v>1</v>
      </c>
      <c r="HT161">
        <v>2</v>
      </c>
      <c r="HU161">
        <v>2</v>
      </c>
      <c r="HV161">
        <v>2</v>
      </c>
      <c r="HW161">
        <v>3</v>
      </c>
      <c r="HX161">
        <v>2</v>
      </c>
      <c r="HY161">
        <v>1</v>
      </c>
      <c r="HZ161">
        <v>1</v>
      </c>
      <c r="IA161">
        <v>2</v>
      </c>
      <c r="IB161">
        <v>2</v>
      </c>
      <c r="IC161">
        <v>2</v>
      </c>
      <c r="ID161">
        <v>2</v>
      </c>
      <c r="IE161">
        <v>2</v>
      </c>
      <c r="IF161">
        <v>2</v>
      </c>
      <c r="IG161">
        <v>2</v>
      </c>
      <c r="IH161">
        <v>2</v>
      </c>
      <c r="II161">
        <v>2</v>
      </c>
      <c r="IJ161">
        <v>2</v>
      </c>
      <c r="IK161">
        <v>2</v>
      </c>
      <c r="IL161">
        <v>2</v>
      </c>
      <c r="IM161">
        <v>2</v>
      </c>
      <c r="IN161">
        <v>2</v>
      </c>
      <c r="IO161">
        <v>4</v>
      </c>
      <c r="IP161">
        <v>2</v>
      </c>
      <c r="IQ161">
        <v>2</v>
      </c>
      <c r="IR161">
        <v>2</v>
      </c>
      <c r="IS161">
        <v>2</v>
      </c>
      <c r="IT161">
        <v>2</v>
      </c>
      <c r="IU161">
        <v>2</v>
      </c>
    </row>
    <row r="162" spans="1:255" x14ac:dyDescent="0.2">
      <c r="A162" t="str">
        <f t="shared" si="5"/>
        <v>Malen/Zeichnen</v>
      </c>
      <c r="C162">
        <v>2</v>
      </c>
      <c r="K162">
        <v>2</v>
      </c>
      <c r="L162">
        <v>2</v>
      </c>
      <c r="AB162">
        <v>6</v>
      </c>
      <c r="AC162">
        <v>5</v>
      </c>
      <c r="AF162">
        <v>6</v>
      </c>
      <c r="AG162">
        <v>7</v>
      </c>
      <c r="AL162">
        <v>3</v>
      </c>
      <c r="AM162">
        <v>4</v>
      </c>
      <c r="AN162">
        <v>4</v>
      </c>
      <c r="CA162">
        <v>4</v>
      </c>
      <c r="CB162">
        <v>4</v>
      </c>
      <c r="CC162">
        <v>5</v>
      </c>
      <c r="CD162">
        <v>5</v>
      </c>
      <c r="CE162">
        <v>4</v>
      </c>
      <c r="CF162">
        <v>5</v>
      </c>
      <c r="CG162">
        <v>4</v>
      </c>
      <c r="CH162">
        <v>4</v>
      </c>
      <c r="CI162">
        <v>5</v>
      </c>
      <c r="CJ162">
        <v>5</v>
      </c>
      <c r="CK162">
        <v>3</v>
      </c>
      <c r="CL162">
        <v>5</v>
      </c>
      <c r="CM162">
        <v>3</v>
      </c>
      <c r="CN162">
        <v>5</v>
      </c>
      <c r="CO162">
        <v>3</v>
      </c>
      <c r="CP162">
        <v>3</v>
      </c>
      <c r="CQ162">
        <v>3</v>
      </c>
      <c r="CR162">
        <v>3</v>
      </c>
      <c r="CS162">
        <v>4</v>
      </c>
      <c r="CT162">
        <v>5</v>
      </c>
      <c r="CU162">
        <v>5</v>
      </c>
      <c r="CV162">
        <v>4</v>
      </c>
      <c r="CW162">
        <v>1</v>
      </c>
      <c r="CX162">
        <v>1</v>
      </c>
      <c r="CY162">
        <v>4</v>
      </c>
      <c r="CZ162">
        <v>1</v>
      </c>
      <c r="DA162">
        <v>1</v>
      </c>
      <c r="DB162">
        <v>1</v>
      </c>
      <c r="DC162">
        <v>1</v>
      </c>
      <c r="DD162">
        <v>1</v>
      </c>
      <c r="DE162">
        <v>1</v>
      </c>
      <c r="DF162">
        <v>1</v>
      </c>
      <c r="DG162">
        <v>1</v>
      </c>
      <c r="DH162">
        <v>1</v>
      </c>
      <c r="DI162">
        <v>1</v>
      </c>
      <c r="DJ162">
        <v>1</v>
      </c>
      <c r="DK162">
        <v>1</v>
      </c>
      <c r="DL162">
        <v>1</v>
      </c>
      <c r="DM162">
        <v>1</v>
      </c>
      <c r="DN162">
        <v>1</v>
      </c>
      <c r="DO162">
        <v>1</v>
      </c>
      <c r="DP162">
        <v>1</v>
      </c>
      <c r="DQ162">
        <v>1</v>
      </c>
      <c r="DR162">
        <v>1</v>
      </c>
      <c r="DS162">
        <v>3</v>
      </c>
      <c r="DT162">
        <v>1</v>
      </c>
      <c r="DU162">
        <v>1</v>
      </c>
      <c r="DV162">
        <v>1</v>
      </c>
      <c r="DW162">
        <v>1</v>
      </c>
      <c r="DX162">
        <v>1</v>
      </c>
      <c r="DY162">
        <v>1</v>
      </c>
      <c r="DZ162">
        <v>1</v>
      </c>
      <c r="EA162">
        <v>1</v>
      </c>
      <c r="EB162">
        <v>1</v>
      </c>
      <c r="EC162">
        <v>1</v>
      </c>
      <c r="ED162">
        <v>1</v>
      </c>
      <c r="EE162">
        <v>1</v>
      </c>
      <c r="EF162">
        <v>1</v>
      </c>
      <c r="EG162">
        <v>1</v>
      </c>
      <c r="EH162">
        <v>1</v>
      </c>
      <c r="EI162">
        <v>1</v>
      </c>
      <c r="EJ162">
        <v>1</v>
      </c>
      <c r="EK162">
        <v>1</v>
      </c>
      <c r="EL162">
        <v>1</v>
      </c>
      <c r="EM162">
        <v>1</v>
      </c>
      <c r="EN162">
        <v>1</v>
      </c>
      <c r="EO162">
        <v>1</v>
      </c>
      <c r="EP162">
        <v>1</v>
      </c>
      <c r="EQ162">
        <v>1</v>
      </c>
      <c r="ER162">
        <v>1</v>
      </c>
      <c r="ES162">
        <v>1</v>
      </c>
      <c r="ET162">
        <v>1</v>
      </c>
      <c r="EU162">
        <v>1</v>
      </c>
      <c r="EV162">
        <v>1</v>
      </c>
      <c r="EW162">
        <v>1</v>
      </c>
      <c r="EX162">
        <v>1</v>
      </c>
      <c r="EY162">
        <v>1</v>
      </c>
      <c r="EZ162">
        <v>1</v>
      </c>
      <c r="FA162">
        <v>1</v>
      </c>
      <c r="FB162">
        <v>1</v>
      </c>
      <c r="FC162">
        <v>1</v>
      </c>
      <c r="FD162">
        <v>1</v>
      </c>
      <c r="FE162">
        <v>1</v>
      </c>
      <c r="FF162">
        <v>1</v>
      </c>
      <c r="FG162">
        <v>1</v>
      </c>
      <c r="FH162">
        <v>1</v>
      </c>
      <c r="FI162">
        <v>1</v>
      </c>
      <c r="FJ162">
        <v>1</v>
      </c>
      <c r="FK162">
        <v>1</v>
      </c>
      <c r="FL162">
        <v>1</v>
      </c>
      <c r="FM162">
        <v>1</v>
      </c>
      <c r="FN162">
        <v>1</v>
      </c>
      <c r="FO162">
        <v>1</v>
      </c>
      <c r="FP162">
        <v>1</v>
      </c>
      <c r="FQ162">
        <v>1</v>
      </c>
      <c r="FR162">
        <v>1</v>
      </c>
      <c r="FU162">
        <v>4</v>
      </c>
      <c r="FV162">
        <v>4</v>
      </c>
      <c r="FW162">
        <v>7</v>
      </c>
      <c r="FX162">
        <v>4</v>
      </c>
      <c r="FY162">
        <v>6</v>
      </c>
      <c r="GQ162">
        <v>4</v>
      </c>
      <c r="GR162">
        <v>4</v>
      </c>
      <c r="GS162">
        <v>4</v>
      </c>
      <c r="GT162">
        <v>4</v>
      </c>
      <c r="GU162">
        <v>4</v>
      </c>
      <c r="GV162">
        <v>4</v>
      </c>
      <c r="GW162">
        <v>4</v>
      </c>
      <c r="GX162">
        <v>4</v>
      </c>
      <c r="GY162">
        <v>5</v>
      </c>
      <c r="GZ162">
        <v>4</v>
      </c>
      <c r="HA162">
        <v>4</v>
      </c>
      <c r="IB162">
        <v>3</v>
      </c>
      <c r="IG162">
        <v>4</v>
      </c>
      <c r="IP162">
        <v>4</v>
      </c>
    </row>
    <row r="163" spans="1:255" x14ac:dyDescent="0.2">
      <c r="A163" t="str">
        <f t="shared" si="5"/>
        <v>Maurer</v>
      </c>
    </row>
    <row r="164" spans="1:255" x14ac:dyDescent="0.2">
      <c r="A164" t="str">
        <f t="shared" si="5"/>
        <v>Metallguss</v>
      </c>
      <c r="CI164">
        <v>2</v>
      </c>
    </row>
    <row r="165" spans="1:255" x14ac:dyDescent="0.2">
      <c r="A165" t="str">
        <f t="shared" si="5"/>
        <v>Musizieren</v>
      </c>
      <c r="D165">
        <v>7</v>
      </c>
      <c r="E165">
        <v>2</v>
      </c>
      <c r="F165">
        <v>2</v>
      </c>
      <c r="G165">
        <v>4</v>
      </c>
      <c r="H165">
        <v>9</v>
      </c>
      <c r="P165">
        <v>3</v>
      </c>
      <c r="S165">
        <v>4</v>
      </c>
      <c r="AE165">
        <v>7</v>
      </c>
    </row>
    <row r="166" spans="1:255" x14ac:dyDescent="0.2">
      <c r="A166" t="str">
        <f t="shared" si="5"/>
        <v>Schlösser Knacken</v>
      </c>
      <c r="J166">
        <v>2</v>
      </c>
      <c r="K166">
        <v>7</v>
      </c>
      <c r="L166">
        <v>7</v>
      </c>
      <c r="AK166">
        <v>1</v>
      </c>
      <c r="AO166">
        <v>3</v>
      </c>
      <c r="AP166">
        <v>3</v>
      </c>
      <c r="AQ166">
        <v>2</v>
      </c>
      <c r="AR166">
        <v>2</v>
      </c>
      <c r="AS166">
        <v>2</v>
      </c>
      <c r="AT166">
        <v>2</v>
      </c>
      <c r="AU166">
        <v>1</v>
      </c>
      <c r="AV166">
        <v>2</v>
      </c>
      <c r="AW166">
        <v>1</v>
      </c>
      <c r="AX166">
        <v>1</v>
      </c>
      <c r="AY166">
        <v>1</v>
      </c>
      <c r="CI166">
        <v>3</v>
      </c>
      <c r="CJ166">
        <v>3</v>
      </c>
      <c r="CY166">
        <v>1</v>
      </c>
      <c r="GZ166">
        <v>1</v>
      </c>
      <c r="HA166">
        <v>1</v>
      </c>
      <c r="IQ166">
        <v>1</v>
      </c>
    </row>
    <row r="167" spans="1:255" x14ac:dyDescent="0.2">
      <c r="A167" t="str">
        <f t="shared" si="5"/>
        <v>Schnaps Brennen</v>
      </c>
    </row>
    <row r="168" spans="1:255" x14ac:dyDescent="0.2">
      <c r="A168" t="str">
        <f t="shared" si="5"/>
        <v>Schneidern</v>
      </c>
      <c r="D168">
        <v>2</v>
      </c>
      <c r="E168">
        <v>1</v>
      </c>
      <c r="F168">
        <v>1</v>
      </c>
      <c r="G168">
        <v>1</v>
      </c>
      <c r="H168">
        <v>2</v>
      </c>
      <c r="I168">
        <v>1</v>
      </c>
      <c r="M168">
        <v>2</v>
      </c>
      <c r="N168">
        <v>2</v>
      </c>
      <c r="O168">
        <v>2</v>
      </c>
      <c r="P168">
        <v>2</v>
      </c>
      <c r="Q168">
        <v>2</v>
      </c>
      <c r="R168">
        <v>2</v>
      </c>
      <c r="S168">
        <v>2</v>
      </c>
      <c r="T168">
        <v>2</v>
      </c>
      <c r="X168">
        <v>1</v>
      </c>
      <c r="AA168">
        <v>1</v>
      </c>
      <c r="AJ168">
        <v>3</v>
      </c>
      <c r="AK168">
        <v>1</v>
      </c>
      <c r="BC168">
        <v>1</v>
      </c>
      <c r="BD168">
        <v>2</v>
      </c>
      <c r="BE168">
        <v>2</v>
      </c>
      <c r="BF168">
        <v>2</v>
      </c>
      <c r="BG168">
        <v>2</v>
      </c>
      <c r="BH168">
        <v>2</v>
      </c>
      <c r="BI168">
        <v>2</v>
      </c>
      <c r="BJ168">
        <v>2</v>
      </c>
      <c r="BK168">
        <v>2</v>
      </c>
      <c r="BL168">
        <v>2</v>
      </c>
      <c r="BM168">
        <v>2</v>
      </c>
      <c r="BN168">
        <v>2</v>
      </c>
      <c r="BO168">
        <v>2</v>
      </c>
      <c r="BS168">
        <v>2</v>
      </c>
      <c r="BT168">
        <v>2</v>
      </c>
      <c r="BU168">
        <v>2</v>
      </c>
      <c r="BV168">
        <v>2</v>
      </c>
      <c r="BW168">
        <v>2</v>
      </c>
      <c r="BX168">
        <v>2</v>
      </c>
      <c r="BY168">
        <v>2</v>
      </c>
      <c r="BZ168">
        <v>2</v>
      </c>
      <c r="FZ168">
        <v>1</v>
      </c>
      <c r="GA168">
        <v>1</v>
      </c>
      <c r="GB168">
        <v>1</v>
      </c>
      <c r="GC168">
        <v>1</v>
      </c>
      <c r="GD168">
        <v>1</v>
      </c>
      <c r="GE168">
        <v>1</v>
      </c>
      <c r="GF168">
        <v>1</v>
      </c>
      <c r="GY168">
        <v>1</v>
      </c>
      <c r="GZ168">
        <v>1</v>
      </c>
      <c r="HA168">
        <v>1</v>
      </c>
      <c r="HB168">
        <v>2</v>
      </c>
      <c r="HC168">
        <v>2</v>
      </c>
      <c r="HD168">
        <v>2</v>
      </c>
      <c r="HE168">
        <v>2</v>
      </c>
      <c r="HF168">
        <v>2</v>
      </c>
      <c r="HG168">
        <v>2</v>
      </c>
      <c r="HI168">
        <v>1</v>
      </c>
      <c r="HL168">
        <v>1</v>
      </c>
      <c r="HT168">
        <v>2</v>
      </c>
      <c r="HU168">
        <v>2</v>
      </c>
      <c r="HV168">
        <v>2</v>
      </c>
      <c r="HW168">
        <v>1</v>
      </c>
      <c r="HX168">
        <v>2</v>
      </c>
      <c r="HY168">
        <v>1</v>
      </c>
      <c r="HZ168">
        <v>1</v>
      </c>
      <c r="IA168">
        <v>2</v>
      </c>
      <c r="IQ168">
        <v>1</v>
      </c>
      <c r="IR168">
        <v>1</v>
      </c>
      <c r="IS168">
        <v>1</v>
      </c>
      <c r="IT168">
        <v>1</v>
      </c>
      <c r="IU168">
        <v>1</v>
      </c>
    </row>
    <row r="169" spans="1:255" x14ac:dyDescent="0.2">
      <c r="A169" t="str">
        <f t="shared" si="5"/>
        <v>Seefahrt</v>
      </c>
      <c r="CG169">
        <v>2</v>
      </c>
      <c r="CH169">
        <v>4</v>
      </c>
      <c r="HA169">
        <v>2</v>
      </c>
      <c r="HF169">
        <v>4</v>
      </c>
      <c r="IE169">
        <v>3</v>
      </c>
      <c r="IF169">
        <v>7</v>
      </c>
      <c r="IG169">
        <v>7</v>
      </c>
      <c r="IH169">
        <v>3</v>
      </c>
      <c r="II169">
        <v>3</v>
      </c>
      <c r="IL169">
        <v>6</v>
      </c>
      <c r="IM169">
        <v>4</v>
      </c>
      <c r="IN169">
        <v>4</v>
      </c>
      <c r="IO169">
        <v>2</v>
      </c>
      <c r="IP169">
        <v>7</v>
      </c>
    </row>
    <row r="170" spans="1:255" x14ac:dyDescent="0.2">
      <c r="A170" t="str">
        <f t="shared" si="5"/>
        <v>Seiler</v>
      </c>
      <c r="IF170">
        <v>2</v>
      </c>
      <c r="II170">
        <v>2</v>
      </c>
    </row>
    <row r="171" spans="1:255" x14ac:dyDescent="0.2">
      <c r="A171" t="str">
        <f t="shared" si="5"/>
        <v>Steinmetz</v>
      </c>
      <c r="AC171">
        <v>7</v>
      </c>
    </row>
    <row r="172" spans="1:255" x14ac:dyDescent="0.2">
      <c r="A172" t="str">
        <f t="shared" si="5"/>
        <v>Steinschneider/Juwelier</v>
      </c>
    </row>
    <row r="173" spans="1:255" x14ac:dyDescent="0.2">
      <c r="A173" t="str">
        <f t="shared" si="5"/>
        <v>Stellmacher</v>
      </c>
    </row>
    <row r="174" spans="1:255" x14ac:dyDescent="0.2">
      <c r="A174" t="str">
        <f t="shared" si="5"/>
        <v>Steuermann</v>
      </c>
    </row>
    <row r="175" spans="1:255" x14ac:dyDescent="0.2">
      <c r="A175" t="str">
        <f t="shared" si="5"/>
        <v>Stoffe Färben</v>
      </c>
      <c r="AG175">
        <v>2</v>
      </c>
    </row>
    <row r="176" spans="1:255" x14ac:dyDescent="0.2">
      <c r="A176" t="str">
        <f t="shared" si="5"/>
        <v>Tätowieren</v>
      </c>
    </row>
    <row r="177" spans="1:243" x14ac:dyDescent="0.2">
      <c r="A177" t="str">
        <f t="shared" si="5"/>
        <v>Töpfern</v>
      </c>
      <c r="BD177">
        <v>2</v>
      </c>
      <c r="BE177">
        <v>2</v>
      </c>
      <c r="BF177">
        <v>2</v>
      </c>
      <c r="BG177">
        <v>2</v>
      </c>
      <c r="BI177">
        <v>2</v>
      </c>
      <c r="BJ177">
        <v>2</v>
      </c>
      <c r="BK177">
        <v>2</v>
      </c>
      <c r="BL177">
        <v>2</v>
      </c>
      <c r="BM177">
        <v>2</v>
      </c>
      <c r="BN177">
        <v>2</v>
      </c>
      <c r="BO177">
        <v>2</v>
      </c>
    </row>
    <row r="178" spans="1:243" x14ac:dyDescent="0.2">
      <c r="A178" t="str">
        <f t="shared" si="5"/>
        <v>Viehzucht</v>
      </c>
      <c r="BD178">
        <v>2</v>
      </c>
      <c r="BE178">
        <v>2</v>
      </c>
      <c r="BF178">
        <v>2</v>
      </c>
      <c r="BG178">
        <v>2</v>
      </c>
      <c r="BH178">
        <v>2</v>
      </c>
      <c r="BI178">
        <v>2</v>
      </c>
      <c r="BJ178">
        <v>2</v>
      </c>
      <c r="BK178">
        <v>2</v>
      </c>
      <c r="BL178">
        <v>2</v>
      </c>
      <c r="BM178">
        <v>2</v>
      </c>
      <c r="BN178">
        <v>7</v>
      </c>
      <c r="GG178">
        <v>4</v>
      </c>
      <c r="GH178">
        <v>4</v>
      </c>
      <c r="GI178">
        <v>4</v>
      </c>
      <c r="GJ178">
        <v>4</v>
      </c>
      <c r="HM178">
        <v>4</v>
      </c>
      <c r="HN178">
        <v>4</v>
      </c>
      <c r="HO178">
        <v>4</v>
      </c>
      <c r="HP178">
        <v>4</v>
      </c>
      <c r="HQ178">
        <v>4</v>
      </c>
      <c r="HR178">
        <v>7</v>
      </c>
      <c r="HS178">
        <v>4</v>
      </c>
    </row>
    <row r="179" spans="1:243" x14ac:dyDescent="0.2">
      <c r="A179" t="str">
        <f t="shared" si="5"/>
        <v>Webkunst</v>
      </c>
    </row>
    <row r="180" spans="1:243" x14ac:dyDescent="0.2">
      <c r="A180" t="str">
        <f t="shared" si="5"/>
        <v>Winzer</v>
      </c>
      <c r="BO180">
        <v>6</v>
      </c>
    </row>
    <row r="181" spans="1:243" x14ac:dyDescent="0.2">
      <c r="A181" t="str">
        <f t="shared" si="5"/>
        <v>Zimmermann</v>
      </c>
      <c r="CC181">
        <v>2</v>
      </c>
      <c r="CG181">
        <v>7</v>
      </c>
      <c r="CH181">
        <v>7</v>
      </c>
      <c r="IE181">
        <v>1</v>
      </c>
      <c r="IF181">
        <v>1</v>
      </c>
      <c r="IH181">
        <v>1</v>
      </c>
      <c r="II181">
        <v>1</v>
      </c>
    </row>
    <row r="182" spans="1:243" ht="12.75" customHeight="1" x14ac:dyDescent="0.2">
      <c r="A182" t="str">
        <f t="shared" ref="A182:A227" si="6">INDEX(SPRACHEN,ROW()-IDX_S+1)</f>
        <v>Alaani ('Norbardisch')</v>
      </c>
      <c r="B182" t="s">
        <v>1642</v>
      </c>
      <c r="BB182" t="s">
        <v>1642</v>
      </c>
      <c r="GP182" t="s">
        <v>1642</v>
      </c>
    </row>
    <row r="183" spans="1:243" x14ac:dyDescent="0.2">
      <c r="A183" t="str">
        <f t="shared" si="6"/>
        <v>Alberned (Dialekt)</v>
      </c>
    </row>
    <row r="184" spans="1:243" ht="12.75" customHeight="1" x14ac:dyDescent="0.2">
      <c r="A184" t="str">
        <f t="shared" si="6"/>
        <v>Andergastisch (Dialekt)</v>
      </c>
    </row>
    <row r="185" spans="1:243" x14ac:dyDescent="0.2">
      <c r="A185" t="str">
        <f t="shared" si="6"/>
        <v>Angram</v>
      </c>
    </row>
    <row r="186" spans="1:243" ht="12.75" customHeight="1" x14ac:dyDescent="0.2">
      <c r="A186" t="str">
        <f t="shared" si="6"/>
        <v>Asdharia</v>
      </c>
    </row>
    <row r="187" spans="1:243" x14ac:dyDescent="0.2">
      <c r="A187" t="str">
        <f t="shared" si="6"/>
        <v>Atak (inkl.  Schrift)</v>
      </c>
    </row>
    <row r="188" spans="1:243" ht="12.75" customHeight="1" x14ac:dyDescent="0.2">
      <c r="A188" t="str">
        <f t="shared" si="6"/>
        <v>Aureliani ('Altgüldenländisch')</v>
      </c>
    </row>
    <row r="189" spans="1:243" x14ac:dyDescent="0.2">
      <c r="A189" t="str">
        <f t="shared" si="6"/>
        <v>Bornländisch  (Dialekt)</v>
      </c>
    </row>
    <row r="190" spans="1:243" ht="12.75" customHeight="1" x14ac:dyDescent="0.2">
      <c r="A190" t="str">
        <f t="shared" si="6"/>
        <v>Bosparano</v>
      </c>
      <c r="T190" t="s">
        <v>4484</v>
      </c>
    </row>
    <row r="191" spans="1:243" x14ac:dyDescent="0.2">
      <c r="A191" t="str">
        <f t="shared" si="6"/>
        <v>Brabaci  (Dialekt)</v>
      </c>
    </row>
    <row r="192" spans="1:243" ht="12.75" customHeight="1" x14ac:dyDescent="0.2">
      <c r="A192" t="str">
        <f t="shared" si="6"/>
        <v>Charypto  (Dialekt)</v>
      </c>
    </row>
    <row r="193" spans="1:176" x14ac:dyDescent="0.2">
      <c r="A193" t="str">
        <f t="shared" si="6"/>
        <v>Drachisch</v>
      </c>
    </row>
    <row r="194" spans="1:176" ht="12.75" customHeight="1" x14ac:dyDescent="0.2">
      <c r="A194" t="str">
        <f t="shared" si="6"/>
        <v>Ferkina</v>
      </c>
    </row>
    <row r="195" spans="1:176" x14ac:dyDescent="0.2">
      <c r="A195" t="str">
        <f t="shared" si="6"/>
        <v>Fjarningsch</v>
      </c>
    </row>
    <row r="196" spans="1:176" ht="12.75" customHeight="1" x14ac:dyDescent="0.2">
      <c r="A196" t="str">
        <f t="shared" si="6"/>
        <v>Füchsisch (inkl. 'Schrift')</v>
      </c>
      <c r="AW196">
        <v>2</v>
      </c>
      <c r="AX196">
        <v>2</v>
      </c>
      <c r="AY196">
        <v>2</v>
      </c>
      <c r="FS196">
        <v>4</v>
      </c>
      <c r="FT196">
        <v>4</v>
      </c>
    </row>
    <row r="197" spans="1:176" x14ac:dyDescent="0.2">
      <c r="A197" t="str">
        <f t="shared" si="6"/>
        <v>Garethi</v>
      </c>
    </row>
    <row r="198" spans="1:176" ht="12.75" customHeight="1" x14ac:dyDescent="0.2">
      <c r="A198" t="str">
        <f t="shared" si="6"/>
        <v>Gatamo  (Dialekt)</v>
      </c>
    </row>
    <row r="199" spans="1:176" x14ac:dyDescent="0.2">
      <c r="A199" t="str">
        <f t="shared" si="6"/>
        <v>Gjalskisch</v>
      </c>
    </row>
    <row r="200" spans="1:176" ht="12.75" customHeight="1" x14ac:dyDescent="0.2">
      <c r="A200" t="str">
        <f t="shared" si="6"/>
        <v>Goblinisch</v>
      </c>
    </row>
    <row r="201" spans="1:176" x14ac:dyDescent="0.2">
      <c r="A201" t="str">
        <f t="shared" si="6"/>
        <v>Grolmisch</v>
      </c>
    </row>
    <row r="202" spans="1:176" ht="12.75" customHeight="1" x14ac:dyDescent="0.2">
      <c r="A202" t="str">
        <f t="shared" si="6"/>
        <v>Hjaldingsch ('Saga-Thorwalsch')</v>
      </c>
      <c r="H202">
        <v>8</v>
      </c>
      <c r="CH202">
        <v>6</v>
      </c>
      <c r="DS202">
        <v>6</v>
      </c>
    </row>
    <row r="203" spans="1:176" x14ac:dyDescent="0.2">
      <c r="A203" t="str">
        <f t="shared" si="6"/>
        <v>Horathi  (Dialekt)</v>
      </c>
    </row>
    <row r="204" spans="1:176" ht="12.75" customHeight="1" x14ac:dyDescent="0.2">
      <c r="A204" t="str">
        <f t="shared" si="6"/>
        <v>Isdira</v>
      </c>
    </row>
    <row r="205" spans="1:176" x14ac:dyDescent="0.2">
      <c r="A205" t="str">
        <f t="shared" si="6"/>
        <v>Koboldisch</v>
      </c>
    </row>
    <row r="206" spans="1:176" ht="12.75" customHeight="1" x14ac:dyDescent="0.2">
      <c r="A206" t="str">
        <f t="shared" si="6"/>
        <v>Mahrisch</v>
      </c>
    </row>
    <row r="207" spans="1:176" x14ac:dyDescent="0.2">
      <c r="A207" t="str">
        <f t="shared" si="6"/>
        <v>Maraskani  (Dialekt)</v>
      </c>
    </row>
    <row r="208" spans="1:176" ht="12.75" customHeight="1" x14ac:dyDescent="0.2">
      <c r="A208" t="str">
        <f t="shared" si="6"/>
        <v>Mohisch</v>
      </c>
    </row>
    <row r="209" spans="1:181" x14ac:dyDescent="0.2">
      <c r="A209" t="str">
        <f t="shared" si="6"/>
        <v>Molochisch</v>
      </c>
    </row>
    <row r="210" spans="1:181" ht="12.75" customHeight="1" x14ac:dyDescent="0.2">
      <c r="A210" t="str">
        <f t="shared" si="6"/>
        <v>Neckergesang</v>
      </c>
    </row>
    <row r="211" spans="1:181" x14ac:dyDescent="0.2">
      <c r="A211" t="str">
        <f t="shared" si="6"/>
        <v>Nujuka ('Nivesisch')</v>
      </c>
    </row>
    <row r="212" spans="1:181" ht="12.75" customHeight="1" x14ac:dyDescent="0.2">
      <c r="A212" t="str">
        <f t="shared" si="6"/>
        <v>Oloarkh</v>
      </c>
    </row>
    <row r="213" spans="1:181" x14ac:dyDescent="0.2">
      <c r="A213" t="str">
        <f t="shared" si="6"/>
        <v>Ologhaijan ('Hochorkisch')</v>
      </c>
    </row>
    <row r="214" spans="1:181" ht="12.75" customHeight="1" x14ac:dyDescent="0.2">
      <c r="A214" t="str">
        <f t="shared" si="6"/>
        <v>Rabensprache</v>
      </c>
    </row>
    <row r="215" spans="1:181" x14ac:dyDescent="0.2">
      <c r="A215" t="str">
        <f t="shared" si="6"/>
        <v>Rissoal</v>
      </c>
    </row>
    <row r="216" spans="1:181" ht="12.75" customHeight="1" x14ac:dyDescent="0.2">
      <c r="A216" t="str">
        <f t="shared" si="6"/>
        <v>Rogolan</v>
      </c>
    </row>
    <row r="217" spans="1:181" x14ac:dyDescent="0.2">
      <c r="A217" t="str">
        <f t="shared" si="6"/>
        <v>Rssahh</v>
      </c>
      <c r="FY217">
        <v>6</v>
      </c>
    </row>
    <row r="218" spans="1:181" ht="12.75" customHeight="1" x14ac:dyDescent="0.2">
      <c r="A218" t="str">
        <f t="shared" si="6"/>
        <v>Ruuz ('Ur-Maraskanisch' )</v>
      </c>
    </row>
    <row r="219" spans="1:181" x14ac:dyDescent="0.2">
      <c r="A219" t="str">
        <f t="shared" si="6"/>
        <v>Thorwalsch</v>
      </c>
    </row>
    <row r="220" spans="1:181" ht="12.75" customHeight="1" x14ac:dyDescent="0.2">
      <c r="A220" t="str">
        <f t="shared" si="6"/>
        <v>Trollisch</v>
      </c>
    </row>
    <row r="221" spans="1:181" x14ac:dyDescent="0.2">
      <c r="A221" t="str">
        <f t="shared" si="6"/>
        <v>Tulamidya</v>
      </c>
      <c r="AF221">
        <v>2</v>
      </c>
    </row>
    <row r="222" spans="1:181" ht="12.75" customHeight="1" x14ac:dyDescent="0.2">
      <c r="A222" t="str">
        <f t="shared" si="6"/>
        <v>Ur-Tulamidya</v>
      </c>
      <c r="AF222">
        <v>8</v>
      </c>
    </row>
    <row r="223" spans="1:181" x14ac:dyDescent="0.2">
      <c r="A223" t="str">
        <f t="shared" si="6"/>
        <v>Zelemja</v>
      </c>
    </row>
    <row r="224" spans="1:181" ht="12.75" customHeight="1" x14ac:dyDescent="0.2">
      <c r="A224" t="str">
        <f t="shared" si="6"/>
        <v>Zhayad</v>
      </c>
    </row>
    <row r="225" spans="1:198" x14ac:dyDescent="0.2">
      <c r="A225" t="str">
        <f t="shared" si="6"/>
        <v>Zhulchammaqra ('Trollzackisch')</v>
      </c>
    </row>
    <row r="226" spans="1:198" ht="12.75" customHeight="1" x14ac:dyDescent="0.2">
      <c r="A226" t="str">
        <f t="shared" si="6"/>
        <v>Z'Lit</v>
      </c>
    </row>
    <row r="227" spans="1:198" x14ac:dyDescent="0.2">
      <c r="A227" t="str">
        <f t="shared" si="6"/>
        <v>Zyklopäisch</v>
      </c>
    </row>
    <row r="228" spans="1:198" ht="12.75" customHeight="1" x14ac:dyDescent="0.2">
      <c r="A228" t="str">
        <f t="shared" ref="A228:A249" si="7">INDEX(SCHRIFTEN,ROW()-ROW($B$228)+1)</f>
        <v>Altes Alaani</v>
      </c>
      <c r="B228" t="s">
        <v>1642</v>
      </c>
      <c r="BB228" t="s">
        <v>1642</v>
      </c>
      <c r="GP228" t="s">
        <v>1642</v>
      </c>
    </row>
    <row r="229" spans="1:198" x14ac:dyDescent="0.2">
      <c r="A229" t="str">
        <f t="shared" si="7"/>
        <v>Amulashtra (mod./hist.)</v>
      </c>
    </row>
    <row r="230" spans="1:198" x14ac:dyDescent="0.2">
      <c r="A230" t="str">
        <f t="shared" si="7"/>
        <v>Angram</v>
      </c>
      <c r="CY230">
        <v>2</v>
      </c>
    </row>
    <row r="231" spans="1:198" x14ac:dyDescent="0.2">
      <c r="A231" t="str">
        <f t="shared" si="7"/>
        <v>Arkanil ('Rohalsschrift')</v>
      </c>
    </row>
    <row r="232" spans="1:198" x14ac:dyDescent="0.2">
      <c r="A232" t="str">
        <f t="shared" si="7"/>
        <v>Chrmk ('Zelemja')</v>
      </c>
      <c r="FY232">
        <v>6</v>
      </c>
    </row>
    <row r="233" spans="1:198" x14ac:dyDescent="0.2">
      <c r="A233" t="str">
        <f t="shared" si="7"/>
        <v>Chuchas ('Protozelemja')</v>
      </c>
    </row>
    <row r="234" spans="1:198" x14ac:dyDescent="0.2">
      <c r="A234" t="str">
        <f t="shared" si="7"/>
        <v>Drakhard-Zinken</v>
      </c>
    </row>
    <row r="235" spans="1:198" x14ac:dyDescent="0.2">
      <c r="A235" t="str">
        <f t="shared" si="7"/>
        <v>Drakned-Glyphen</v>
      </c>
    </row>
    <row r="236" spans="1:198" x14ac:dyDescent="0.2">
      <c r="A236" t="str">
        <f t="shared" si="7"/>
        <v>Gimaril</v>
      </c>
    </row>
    <row r="237" spans="1:198" x14ac:dyDescent="0.2">
      <c r="A237" t="str">
        <f t="shared" si="7"/>
        <v>Gjalskisch</v>
      </c>
    </row>
    <row r="238" spans="1:198" x14ac:dyDescent="0.2">
      <c r="A238" t="str">
        <f t="shared" si="7"/>
        <v>Hjaldingsche Runen</v>
      </c>
      <c r="H238">
        <v>8</v>
      </c>
      <c r="CH238">
        <v>6</v>
      </c>
      <c r="DS238">
        <v>6</v>
      </c>
    </row>
    <row r="239" spans="1:198" x14ac:dyDescent="0.2">
      <c r="A239" t="str">
        <f t="shared" si="7"/>
        <v>Imperiale Zeichen ('Altgüldenländisch')</v>
      </c>
    </row>
    <row r="240" spans="1:198" x14ac:dyDescent="0.2">
      <c r="A240" t="str">
        <f t="shared" si="7"/>
        <v>Isdira / Asdharia</v>
      </c>
    </row>
    <row r="241" spans="1:243" x14ac:dyDescent="0.2">
      <c r="A241" t="str">
        <f t="shared" si="7"/>
        <v>Kusliker Zeichen</v>
      </c>
      <c r="T241">
        <v>4</v>
      </c>
    </row>
    <row r="242" spans="1:243" x14ac:dyDescent="0.2">
      <c r="A242" t="str">
        <f t="shared" si="7"/>
        <v>Mahrische Glyphen</v>
      </c>
    </row>
    <row r="243" spans="1:243" x14ac:dyDescent="0.2">
      <c r="A243" t="str">
        <f t="shared" si="7"/>
        <v>Nanduria</v>
      </c>
    </row>
    <row r="244" spans="1:243" x14ac:dyDescent="0.2">
      <c r="A244" t="str">
        <f t="shared" si="7"/>
        <v>Rogolan</v>
      </c>
    </row>
    <row r="245" spans="1:243" x14ac:dyDescent="0.2">
      <c r="A245" t="str">
        <f t="shared" si="7"/>
        <v>Trollische Raumbilderschrift</v>
      </c>
    </row>
    <row r="246" spans="1:243" x14ac:dyDescent="0.2">
      <c r="A246" t="str">
        <f t="shared" si="7"/>
        <v>Tulamidya</v>
      </c>
      <c r="T246">
        <v>4</v>
      </c>
      <c r="AF246">
        <v>8</v>
      </c>
    </row>
    <row r="247" spans="1:243" x14ac:dyDescent="0.2">
      <c r="A247" t="str">
        <f t="shared" si="7"/>
        <v>Unauer Glyphen</v>
      </c>
    </row>
    <row r="248" spans="1:243" x14ac:dyDescent="0.2">
      <c r="A248" t="str">
        <f t="shared" si="7"/>
        <v>Ur-Tulamidya</v>
      </c>
      <c r="AF248">
        <v>8</v>
      </c>
    </row>
    <row r="249" spans="1:243" x14ac:dyDescent="0.2">
      <c r="A249" t="str">
        <f t="shared" si="7"/>
        <v>Zhayad</v>
      </c>
    </row>
    <row r="250" spans="1:243" x14ac:dyDescent="0.2">
      <c r="A250" t="s">
        <v>1319</v>
      </c>
      <c r="C250" t="s">
        <v>3112</v>
      </c>
      <c r="J250" t="s">
        <v>3112</v>
      </c>
      <c r="AK250" t="s">
        <v>3112</v>
      </c>
      <c r="AV250" t="s">
        <v>3112</v>
      </c>
      <c r="AZ250" t="s">
        <v>3112</v>
      </c>
      <c r="BC250" t="s">
        <v>3112</v>
      </c>
      <c r="FZ250" t="s">
        <v>3112</v>
      </c>
      <c r="GA250" t="s">
        <v>3112</v>
      </c>
      <c r="GB250" t="s">
        <v>3112</v>
      </c>
      <c r="GC250" t="s">
        <v>3112</v>
      </c>
      <c r="GD250" t="s">
        <v>3112</v>
      </c>
      <c r="GE250" t="s">
        <v>3112</v>
      </c>
      <c r="GF250" t="s">
        <v>3112</v>
      </c>
      <c r="HH250" t="s">
        <v>3112</v>
      </c>
    </row>
    <row r="253" spans="1:243" x14ac:dyDescent="0.2">
      <c r="A253" t="s">
        <v>3592</v>
      </c>
      <c r="I253" t="s">
        <v>3254</v>
      </c>
      <c r="J253" t="s">
        <v>3254</v>
      </c>
      <c r="M253" t="s">
        <v>3249</v>
      </c>
      <c r="N253" t="s">
        <v>3249</v>
      </c>
      <c r="O253" t="s">
        <v>3249</v>
      </c>
      <c r="P253" t="s">
        <v>3249</v>
      </c>
      <c r="Q253" t="s">
        <v>3249</v>
      </c>
      <c r="R253" t="s">
        <v>3249</v>
      </c>
      <c r="S253" t="s">
        <v>3249</v>
      </c>
      <c r="AR253" t="s">
        <v>3254</v>
      </c>
      <c r="AS253" t="s">
        <v>3254</v>
      </c>
      <c r="AT253" t="s">
        <v>3254</v>
      </c>
      <c r="AU253" t="s">
        <v>3254</v>
      </c>
      <c r="AV253" t="s">
        <v>3254</v>
      </c>
      <c r="FS253" t="s">
        <v>1393</v>
      </c>
      <c r="FT253" t="s">
        <v>1393</v>
      </c>
      <c r="HB253" t="s">
        <v>1393</v>
      </c>
      <c r="HC253" t="s">
        <v>1393</v>
      </c>
      <c r="HD253" t="s">
        <v>1393</v>
      </c>
      <c r="HE253" t="s">
        <v>1393</v>
      </c>
      <c r="HF253" t="s">
        <v>1393</v>
      </c>
      <c r="HG253" t="s">
        <v>1393</v>
      </c>
      <c r="HJ253" t="s">
        <v>3254</v>
      </c>
      <c r="HL253" t="s">
        <v>3254</v>
      </c>
      <c r="IE253" t="s">
        <v>1393</v>
      </c>
      <c r="IF253" t="s">
        <v>1393</v>
      </c>
      <c r="IG253" t="s">
        <v>1393</v>
      </c>
      <c r="IH253" t="s">
        <v>1393</v>
      </c>
      <c r="II253" t="s">
        <v>1393</v>
      </c>
    </row>
    <row r="254" spans="1:243" x14ac:dyDescent="0.2">
      <c r="FS254" t="s">
        <v>3249</v>
      </c>
      <c r="FT254" t="s">
        <v>3249</v>
      </c>
      <c r="HC254" t="s">
        <v>3457</v>
      </c>
      <c r="HG254" t="s">
        <v>3457</v>
      </c>
    </row>
    <row r="263" spans="1:255" x14ac:dyDescent="0.2">
      <c r="A263" t="s">
        <v>3630</v>
      </c>
      <c r="HJ263" t="s">
        <v>1366</v>
      </c>
      <c r="HT263" t="s">
        <v>1366</v>
      </c>
      <c r="HU263" t="s">
        <v>1366</v>
      </c>
      <c r="HW263" t="s">
        <v>1366</v>
      </c>
      <c r="HX263" t="s">
        <v>1366</v>
      </c>
    </row>
    <row r="266" spans="1:255" x14ac:dyDescent="0.2">
      <c r="A266" t="s">
        <v>3798</v>
      </c>
      <c r="G266" t="s">
        <v>2488</v>
      </c>
      <c r="H266" t="s">
        <v>2488</v>
      </c>
      <c r="I266" t="s">
        <v>5799</v>
      </c>
      <c r="J266" t="s">
        <v>5800</v>
      </c>
      <c r="K266" t="s">
        <v>5801</v>
      </c>
      <c r="L266" t="s">
        <v>5801</v>
      </c>
      <c r="U266" t="s">
        <v>7825</v>
      </c>
      <c r="V266" t="s">
        <v>7825</v>
      </c>
      <c r="W266" t="s">
        <v>7825</v>
      </c>
      <c r="X266" t="s">
        <v>7825</v>
      </c>
      <c r="Y266" t="s">
        <v>7825</v>
      </c>
      <c r="Z266" t="s">
        <v>7825</v>
      </c>
      <c r="AA266" t="s">
        <v>7825</v>
      </c>
      <c r="AK266" t="s">
        <v>5802</v>
      </c>
      <c r="AL266" t="s">
        <v>2488</v>
      </c>
      <c r="AZ266" t="s">
        <v>7826</v>
      </c>
      <c r="BC266" t="s">
        <v>7866</v>
      </c>
      <c r="BD266" t="s">
        <v>7867</v>
      </c>
      <c r="BE266" t="s">
        <v>7867</v>
      </c>
      <c r="BF266" t="s">
        <v>7867</v>
      </c>
      <c r="BG266" t="s">
        <v>7867</v>
      </c>
      <c r="BH266" t="s">
        <v>7867</v>
      </c>
      <c r="BI266" t="s">
        <v>7867</v>
      </c>
      <c r="BJ266" t="s">
        <v>7867</v>
      </c>
      <c r="BK266" t="s">
        <v>7867</v>
      </c>
      <c r="BL266" t="s">
        <v>7867</v>
      </c>
      <c r="BM266" t="s">
        <v>7867</v>
      </c>
      <c r="BN266" t="s">
        <v>7867</v>
      </c>
      <c r="BO266" t="s">
        <v>7867</v>
      </c>
      <c r="BP266" t="s">
        <v>3001</v>
      </c>
      <c r="BQ266" t="s">
        <v>3001</v>
      </c>
      <c r="BR266" t="s">
        <v>3001</v>
      </c>
      <c r="BS266" t="s">
        <v>7868</v>
      </c>
      <c r="BT266" t="s">
        <v>7868</v>
      </c>
      <c r="BU266" t="s">
        <v>7868</v>
      </c>
      <c r="BV266" t="s">
        <v>7868</v>
      </c>
      <c r="BW266" t="s">
        <v>7868</v>
      </c>
      <c r="BX266" t="s">
        <v>7868</v>
      </c>
      <c r="BY266" t="s">
        <v>7868</v>
      </c>
      <c r="BZ266" t="s">
        <v>7868</v>
      </c>
      <c r="CE266" t="s">
        <v>3671</v>
      </c>
      <c r="CH266" t="s">
        <v>2488</v>
      </c>
      <c r="CK266" t="s">
        <v>2488</v>
      </c>
      <c r="CL266" t="s">
        <v>2488</v>
      </c>
      <c r="CM266" t="s">
        <v>2488</v>
      </c>
      <c r="CN266" t="s">
        <v>2488</v>
      </c>
      <c r="CO266" t="s">
        <v>2488</v>
      </c>
      <c r="CP266" t="s">
        <v>2488</v>
      </c>
      <c r="CQ266" t="s">
        <v>2488</v>
      </c>
      <c r="CR266" t="s">
        <v>2488</v>
      </c>
      <c r="CS266" t="s">
        <v>2488</v>
      </c>
      <c r="CT266" t="s">
        <v>2488</v>
      </c>
      <c r="CU266" t="s">
        <v>2488</v>
      </c>
      <c r="CV266" t="s">
        <v>2488</v>
      </c>
      <c r="CW266" t="s">
        <v>1490</v>
      </c>
      <c r="CX266" t="s">
        <v>1490</v>
      </c>
      <c r="CY266" t="s">
        <v>1490</v>
      </c>
      <c r="CZ266" t="s">
        <v>1490</v>
      </c>
      <c r="DA266" t="s">
        <v>1490</v>
      </c>
      <c r="DB266" t="s">
        <v>1490</v>
      </c>
      <c r="DC266" t="s">
        <v>1490</v>
      </c>
      <c r="DD266" t="s">
        <v>1490</v>
      </c>
      <c r="DE266" t="s">
        <v>1490</v>
      </c>
      <c r="DF266" t="s">
        <v>1490</v>
      </c>
      <c r="DG266" t="s">
        <v>1490</v>
      </c>
      <c r="DH266" t="s">
        <v>1490</v>
      </c>
      <c r="DI266" t="s">
        <v>1490</v>
      </c>
      <c r="DJ266" t="s">
        <v>1490</v>
      </c>
      <c r="DK266" t="s">
        <v>1490</v>
      </c>
      <c r="DL266" t="s">
        <v>1490</v>
      </c>
      <c r="DM266" t="s">
        <v>1490</v>
      </c>
      <c r="DN266" t="s">
        <v>1490</v>
      </c>
      <c r="DO266" t="s">
        <v>1490</v>
      </c>
      <c r="DP266" t="s">
        <v>1490</v>
      </c>
      <c r="DQ266" t="s">
        <v>1490</v>
      </c>
      <c r="DR266" t="s">
        <v>1490</v>
      </c>
      <c r="DS266" t="s">
        <v>1490</v>
      </c>
      <c r="DT266" t="s">
        <v>1490</v>
      </c>
      <c r="DU266" t="s">
        <v>1490</v>
      </c>
      <c r="DV266" t="s">
        <v>1490</v>
      </c>
      <c r="DW266" t="s">
        <v>1490</v>
      </c>
      <c r="DX266" t="s">
        <v>1490</v>
      </c>
      <c r="DY266" t="s">
        <v>1490</v>
      </c>
      <c r="DZ266" t="s">
        <v>1490</v>
      </c>
      <c r="EA266" t="s">
        <v>1490</v>
      </c>
      <c r="EB266" t="s">
        <v>1490</v>
      </c>
      <c r="EC266" t="s">
        <v>1490</v>
      </c>
      <c r="ED266" t="s">
        <v>1490</v>
      </c>
      <c r="EE266" t="s">
        <v>1490</v>
      </c>
      <c r="EF266" t="s">
        <v>1490</v>
      </c>
      <c r="EG266" t="s">
        <v>1490</v>
      </c>
      <c r="EH266" t="s">
        <v>1490</v>
      </c>
      <c r="EI266" t="s">
        <v>1490</v>
      </c>
      <c r="EJ266" t="s">
        <v>1490</v>
      </c>
      <c r="EK266" t="s">
        <v>1490</v>
      </c>
      <c r="EL266" t="s">
        <v>1490</v>
      </c>
      <c r="EM266" t="s">
        <v>1490</v>
      </c>
      <c r="EN266" t="s">
        <v>1490</v>
      </c>
      <c r="EO266" t="s">
        <v>1490</v>
      </c>
      <c r="EP266" t="s">
        <v>1490</v>
      </c>
      <c r="EQ266" t="s">
        <v>1490</v>
      </c>
      <c r="ER266" t="s">
        <v>1490</v>
      </c>
      <c r="ES266" t="s">
        <v>1490</v>
      </c>
      <c r="ET266" t="s">
        <v>1490</v>
      </c>
      <c r="EU266" t="s">
        <v>1490</v>
      </c>
      <c r="EV266" t="s">
        <v>1490</v>
      </c>
      <c r="EW266" t="s">
        <v>1490</v>
      </c>
      <c r="EX266" t="s">
        <v>1490</v>
      </c>
      <c r="EY266" t="s">
        <v>1490</v>
      </c>
      <c r="EZ266" t="s">
        <v>1490</v>
      </c>
      <c r="FA266" t="s">
        <v>1490</v>
      </c>
      <c r="FB266" t="s">
        <v>1490</v>
      </c>
      <c r="FC266" t="s">
        <v>1490</v>
      </c>
      <c r="FD266" t="s">
        <v>1490</v>
      </c>
      <c r="FE266" t="s">
        <v>1490</v>
      </c>
      <c r="FF266" t="s">
        <v>1490</v>
      </c>
      <c r="FG266" t="s">
        <v>1490</v>
      </c>
      <c r="FH266" t="s">
        <v>1490</v>
      </c>
      <c r="FI266" t="s">
        <v>1490</v>
      </c>
      <c r="FJ266" t="s">
        <v>1490</v>
      </c>
      <c r="FK266" t="s">
        <v>1490</v>
      </c>
      <c r="FL266" t="s">
        <v>1490</v>
      </c>
      <c r="FM266" t="s">
        <v>1490</v>
      </c>
      <c r="FN266" t="s">
        <v>1490</v>
      </c>
      <c r="FO266" t="s">
        <v>1490</v>
      </c>
      <c r="FP266" t="s">
        <v>1490</v>
      </c>
      <c r="FQ266" t="s">
        <v>1490</v>
      </c>
      <c r="FR266" t="s">
        <v>1490</v>
      </c>
      <c r="FS266" t="s">
        <v>6612</v>
      </c>
      <c r="FT266" t="s">
        <v>6612</v>
      </c>
      <c r="FU266" t="s">
        <v>2488</v>
      </c>
      <c r="FV266" t="s">
        <v>2488</v>
      </c>
      <c r="FW266" t="s">
        <v>2488</v>
      </c>
      <c r="FX266" t="s">
        <v>2488</v>
      </c>
      <c r="FY266" t="s">
        <v>2488</v>
      </c>
      <c r="FZ266" t="s">
        <v>5855</v>
      </c>
      <c r="GA266" t="s">
        <v>5855</v>
      </c>
      <c r="GB266" t="s">
        <v>5855</v>
      </c>
      <c r="GC266" t="s">
        <v>5855</v>
      </c>
      <c r="GD266" t="s">
        <v>5855</v>
      </c>
      <c r="GE266" t="s">
        <v>5855</v>
      </c>
      <c r="GF266" t="s">
        <v>5855</v>
      </c>
      <c r="GR266" t="s">
        <v>2488</v>
      </c>
      <c r="GY266" t="s">
        <v>2488</v>
      </c>
      <c r="HA266" t="s">
        <v>3676</v>
      </c>
      <c r="HB266" t="s">
        <v>7921</v>
      </c>
      <c r="HC266" t="s">
        <v>7921</v>
      </c>
      <c r="HD266" t="s">
        <v>7921</v>
      </c>
      <c r="HE266" t="s">
        <v>2800</v>
      </c>
      <c r="HF266" t="s">
        <v>2800</v>
      </c>
      <c r="HG266" t="s">
        <v>7921</v>
      </c>
      <c r="HH266" t="s">
        <v>7922</v>
      </c>
      <c r="HI266" t="s">
        <v>2141</v>
      </c>
      <c r="HM266" t="s">
        <v>7923</v>
      </c>
      <c r="HN266" t="s">
        <v>7923</v>
      </c>
      <c r="HO266" t="s">
        <v>7923</v>
      </c>
      <c r="HP266" t="s">
        <v>7923</v>
      </c>
      <c r="HQ266" t="s">
        <v>7923</v>
      </c>
      <c r="HR266" t="s">
        <v>7923</v>
      </c>
      <c r="HS266" t="s">
        <v>7923</v>
      </c>
      <c r="HY266" t="s">
        <v>2141</v>
      </c>
      <c r="HZ266" t="s">
        <v>2141</v>
      </c>
      <c r="IB266" t="s">
        <v>2141</v>
      </c>
      <c r="IC266" t="s">
        <v>2141</v>
      </c>
      <c r="ID266" t="s">
        <v>2141</v>
      </c>
      <c r="IE266" t="s">
        <v>2141</v>
      </c>
      <c r="IF266" t="s">
        <v>2141</v>
      </c>
      <c r="IG266" t="s">
        <v>2141</v>
      </c>
      <c r="IH266" t="s">
        <v>2141</v>
      </c>
      <c r="II266" t="s">
        <v>2141</v>
      </c>
      <c r="IJ266" t="s">
        <v>2141</v>
      </c>
      <c r="IK266" t="s">
        <v>2141</v>
      </c>
      <c r="IL266" t="s">
        <v>2800</v>
      </c>
      <c r="IM266" t="s">
        <v>2800</v>
      </c>
      <c r="IN266" t="s">
        <v>2800</v>
      </c>
      <c r="IO266" t="s">
        <v>2800</v>
      </c>
      <c r="IP266" t="s">
        <v>2800</v>
      </c>
      <c r="IQ266" t="s">
        <v>2141</v>
      </c>
      <c r="IR266" t="s">
        <v>2141</v>
      </c>
      <c r="IS266" t="s">
        <v>2141</v>
      </c>
      <c r="IT266" t="s">
        <v>2141</v>
      </c>
      <c r="IU266" t="s">
        <v>2141</v>
      </c>
    </row>
    <row r="267" spans="1:255" x14ac:dyDescent="0.2">
      <c r="M267" t="s">
        <v>3676</v>
      </c>
      <c r="N267" t="s">
        <v>3676</v>
      </c>
      <c r="O267" t="s">
        <v>3676</v>
      </c>
      <c r="P267" t="s">
        <v>3676</v>
      </c>
      <c r="Q267" t="s">
        <v>3676</v>
      </c>
      <c r="R267" t="s">
        <v>3676</v>
      </c>
      <c r="S267" t="s">
        <v>3676</v>
      </c>
      <c r="T267" t="s">
        <v>3676</v>
      </c>
      <c r="CW267" t="s">
        <v>6611</v>
      </c>
      <c r="CX267" t="s">
        <v>6611</v>
      </c>
      <c r="CY267" t="s">
        <v>6611</v>
      </c>
      <c r="CZ267" t="s">
        <v>6611</v>
      </c>
      <c r="DA267" t="s">
        <v>6611</v>
      </c>
      <c r="DB267" t="s">
        <v>6611</v>
      </c>
      <c r="DC267" t="s">
        <v>6611</v>
      </c>
      <c r="DD267" t="s">
        <v>6611</v>
      </c>
      <c r="DE267" t="s">
        <v>6611</v>
      </c>
      <c r="DF267" t="s">
        <v>6611</v>
      </c>
      <c r="DG267" t="s">
        <v>6611</v>
      </c>
      <c r="DH267" t="s">
        <v>6611</v>
      </c>
      <c r="DI267" t="s">
        <v>6611</v>
      </c>
      <c r="DJ267" t="s">
        <v>6611</v>
      </c>
      <c r="DK267" t="s">
        <v>6611</v>
      </c>
      <c r="DL267" t="s">
        <v>6611</v>
      </c>
      <c r="DM267" t="s">
        <v>6611</v>
      </c>
      <c r="DN267" t="s">
        <v>6611</v>
      </c>
      <c r="DO267" t="s">
        <v>6611</v>
      </c>
      <c r="DP267" t="s">
        <v>6611</v>
      </c>
      <c r="DQ267" t="s">
        <v>6611</v>
      </c>
      <c r="DR267" t="s">
        <v>6611</v>
      </c>
      <c r="DS267" t="s">
        <v>6611</v>
      </c>
      <c r="DT267" t="s">
        <v>6611</v>
      </c>
      <c r="DU267" t="s">
        <v>6611</v>
      </c>
      <c r="DV267" t="s">
        <v>6611</v>
      </c>
      <c r="DW267" t="s">
        <v>6611</v>
      </c>
      <c r="DX267" t="s">
        <v>6611</v>
      </c>
      <c r="DY267" t="s">
        <v>6611</v>
      </c>
      <c r="DZ267" t="s">
        <v>6611</v>
      </c>
      <c r="EA267" t="s">
        <v>6611</v>
      </c>
      <c r="EB267" t="s">
        <v>6611</v>
      </c>
      <c r="EC267" t="s">
        <v>6611</v>
      </c>
      <c r="ED267" t="s">
        <v>6611</v>
      </c>
      <c r="EE267" t="s">
        <v>6611</v>
      </c>
      <c r="EF267" t="s">
        <v>6611</v>
      </c>
      <c r="EG267" t="s">
        <v>6611</v>
      </c>
      <c r="EH267" t="s">
        <v>6611</v>
      </c>
      <c r="EI267" t="s">
        <v>6611</v>
      </c>
      <c r="EJ267" t="s">
        <v>6611</v>
      </c>
      <c r="EK267" t="s">
        <v>6611</v>
      </c>
      <c r="EL267" t="s">
        <v>6611</v>
      </c>
      <c r="EM267" t="s">
        <v>6611</v>
      </c>
      <c r="EN267" t="s">
        <v>6611</v>
      </c>
      <c r="EO267" t="s">
        <v>6611</v>
      </c>
      <c r="EP267" t="s">
        <v>6611</v>
      </c>
      <c r="EQ267" t="s">
        <v>6611</v>
      </c>
      <c r="ER267" t="s">
        <v>6611</v>
      </c>
      <c r="ES267" t="s">
        <v>6611</v>
      </c>
      <c r="ET267" t="s">
        <v>6611</v>
      </c>
      <c r="EU267" t="s">
        <v>6611</v>
      </c>
      <c r="EV267" t="s">
        <v>6611</v>
      </c>
      <c r="EW267" t="s">
        <v>6611</v>
      </c>
      <c r="EX267" t="s">
        <v>6611</v>
      </c>
      <c r="EY267" t="s">
        <v>6611</v>
      </c>
      <c r="EZ267" t="s">
        <v>6611</v>
      </c>
      <c r="FA267" t="s">
        <v>6611</v>
      </c>
      <c r="FB267" t="s">
        <v>6611</v>
      </c>
      <c r="FC267" t="s">
        <v>6611</v>
      </c>
      <c r="FD267" t="s">
        <v>6611</v>
      </c>
      <c r="FE267" t="s">
        <v>6611</v>
      </c>
      <c r="FF267" t="s">
        <v>6611</v>
      </c>
      <c r="FG267" t="s">
        <v>6611</v>
      </c>
      <c r="FH267" t="s">
        <v>6611</v>
      </c>
      <c r="FI267" t="s">
        <v>6611</v>
      </c>
      <c r="FJ267" t="s">
        <v>6611</v>
      </c>
      <c r="FK267" t="s">
        <v>6611</v>
      </c>
      <c r="FL267" t="s">
        <v>6611</v>
      </c>
      <c r="FM267" t="s">
        <v>6611</v>
      </c>
      <c r="FN267" t="s">
        <v>6611</v>
      </c>
      <c r="FO267" t="s">
        <v>6611</v>
      </c>
      <c r="FP267" t="s">
        <v>6611</v>
      </c>
      <c r="FQ267" t="s">
        <v>6611</v>
      </c>
      <c r="FR267" t="s">
        <v>6611</v>
      </c>
      <c r="FU267" t="s">
        <v>7869</v>
      </c>
      <c r="FV267" t="s">
        <v>7869</v>
      </c>
      <c r="FW267" t="s">
        <v>7869</v>
      </c>
      <c r="FX267" t="s">
        <v>7869</v>
      </c>
      <c r="FY267" t="s">
        <v>7869</v>
      </c>
      <c r="GE267" t="s">
        <v>3676</v>
      </c>
      <c r="HB267" t="s">
        <v>3676</v>
      </c>
      <c r="HD267" t="s">
        <v>3676</v>
      </c>
      <c r="HE267" t="s">
        <v>7921</v>
      </c>
      <c r="HF267" t="s">
        <v>3676</v>
      </c>
      <c r="IE267" t="s">
        <v>3676</v>
      </c>
      <c r="IF267" t="s">
        <v>3676</v>
      </c>
      <c r="IG267" t="s">
        <v>3676</v>
      </c>
      <c r="IH267" t="s">
        <v>3676</v>
      </c>
      <c r="II267" t="s">
        <v>3676</v>
      </c>
      <c r="IL267" t="s">
        <v>3676</v>
      </c>
      <c r="IM267" t="s">
        <v>3676</v>
      </c>
      <c r="IN267" t="s">
        <v>3676</v>
      </c>
      <c r="IO267" t="s">
        <v>3676</v>
      </c>
      <c r="IP267" t="s">
        <v>3676</v>
      </c>
    </row>
    <row r="268" spans="1:255" x14ac:dyDescent="0.2">
      <c r="HF268" t="s">
        <v>7921</v>
      </c>
      <c r="IL268" t="s">
        <v>2141</v>
      </c>
      <c r="IO268" t="s">
        <v>3672</v>
      </c>
    </row>
    <row r="271" spans="1:255" x14ac:dyDescent="0.2">
      <c r="A271" t="s">
        <v>320</v>
      </c>
    </row>
    <row r="278" spans="1:252" x14ac:dyDescent="0.2">
      <c r="A278" t="s">
        <v>782</v>
      </c>
    </row>
    <row r="280" spans="1:252" x14ac:dyDescent="0.2">
      <c r="A280" t="s">
        <v>2755</v>
      </c>
    </row>
    <row r="282" spans="1:252" x14ac:dyDescent="0.2">
      <c r="A282" t="s">
        <v>2768</v>
      </c>
    </row>
    <row r="285" spans="1:252" x14ac:dyDescent="0.2">
      <c r="A285" t="s">
        <v>3257</v>
      </c>
      <c r="N285" t="s">
        <v>3254</v>
      </c>
      <c r="O285" t="s">
        <v>3254</v>
      </c>
      <c r="S285" t="s">
        <v>3254</v>
      </c>
      <c r="GB285" t="s">
        <v>5051</v>
      </c>
      <c r="GI285" t="s">
        <v>3254</v>
      </c>
      <c r="GJ285" t="s">
        <v>3251</v>
      </c>
      <c r="GK285" t="s">
        <v>5003</v>
      </c>
      <c r="GL285" t="s">
        <v>5003</v>
      </c>
      <c r="GM285" t="s">
        <v>5003</v>
      </c>
      <c r="GN285" t="s">
        <v>5003</v>
      </c>
      <c r="GO285" t="s">
        <v>5003</v>
      </c>
      <c r="GQ285" t="s">
        <v>3251</v>
      </c>
      <c r="GR285" t="s">
        <v>3251</v>
      </c>
      <c r="GS285" t="s">
        <v>3251</v>
      </c>
      <c r="GT285" t="s">
        <v>3251</v>
      </c>
      <c r="GV285" t="s">
        <v>3251</v>
      </c>
      <c r="HI285" t="s">
        <v>3254</v>
      </c>
      <c r="HL285" t="s">
        <v>5003</v>
      </c>
      <c r="IL285" t="s">
        <v>1393</v>
      </c>
      <c r="IM285" t="s">
        <v>1393</v>
      </c>
      <c r="IN285" t="s">
        <v>1393</v>
      </c>
      <c r="IO285" t="s">
        <v>1393</v>
      </c>
      <c r="IP285" t="s">
        <v>1393</v>
      </c>
      <c r="IR285" t="s">
        <v>3251</v>
      </c>
    </row>
    <row r="286" spans="1:252" x14ac:dyDescent="0.2">
      <c r="N286" t="s">
        <v>91</v>
      </c>
      <c r="GJ286" t="s">
        <v>5054</v>
      </c>
      <c r="HI286" t="s">
        <v>3252</v>
      </c>
      <c r="IN286" t="s">
        <v>3457</v>
      </c>
    </row>
    <row r="299" spans="1:235" x14ac:dyDescent="0.2">
      <c r="A299" t="s">
        <v>3258</v>
      </c>
      <c r="HL299" t="s">
        <v>1366</v>
      </c>
    </row>
    <row r="303" spans="1:235" x14ac:dyDescent="0.2">
      <c r="A303" t="s">
        <v>3807</v>
      </c>
      <c r="Z303" t="s">
        <v>1490</v>
      </c>
      <c r="AM303" t="s">
        <v>2488</v>
      </c>
      <c r="CH303" t="s">
        <v>2800</v>
      </c>
      <c r="GD303" t="s">
        <v>3676</v>
      </c>
      <c r="GQ303" t="s">
        <v>3817</v>
      </c>
      <c r="GR303" t="s">
        <v>3817</v>
      </c>
      <c r="GS303" t="s">
        <v>3817</v>
      </c>
      <c r="GT303" t="s">
        <v>3817</v>
      </c>
      <c r="GU303" t="s">
        <v>3817</v>
      </c>
      <c r="GV303" t="s">
        <v>3817</v>
      </c>
      <c r="GW303" t="s">
        <v>3817</v>
      </c>
      <c r="GX303" t="s">
        <v>2488</v>
      </c>
      <c r="HD303" t="s">
        <v>2800</v>
      </c>
      <c r="HE303" t="s">
        <v>3457</v>
      </c>
      <c r="HH303" t="s">
        <v>7922</v>
      </c>
      <c r="HK303" t="s">
        <v>4581</v>
      </c>
      <c r="HT303" t="s">
        <v>6121</v>
      </c>
      <c r="HU303" t="s">
        <v>6121</v>
      </c>
      <c r="HV303" t="s">
        <v>6121</v>
      </c>
      <c r="HW303" t="s">
        <v>6121</v>
      </c>
      <c r="HX303" t="s">
        <v>6121</v>
      </c>
      <c r="IA303" t="s">
        <v>2141</v>
      </c>
    </row>
    <row r="304" spans="1:235" x14ac:dyDescent="0.2">
      <c r="CH304" t="s">
        <v>1490</v>
      </c>
      <c r="GX304" t="s">
        <v>7924</v>
      </c>
      <c r="HE304" t="s">
        <v>3676</v>
      </c>
      <c r="HW304" t="s">
        <v>2065</v>
      </c>
    </row>
    <row r="308" spans="1:8" x14ac:dyDescent="0.2">
      <c r="A308" t="s">
        <v>2767</v>
      </c>
      <c r="H308" t="s">
        <v>2599</v>
      </c>
    </row>
    <row r="316" spans="1:8" x14ac:dyDescent="0.2">
      <c r="A316" t="s">
        <v>2766</v>
      </c>
    </row>
    <row r="319" spans="1:8" x14ac:dyDescent="0.2">
      <c r="A319" t="s">
        <v>2513</v>
      </c>
    </row>
    <row r="321" spans="1:255" x14ac:dyDescent="0.2">
      <c r="A321" t="s">
        <v>1713</v>
      </c>
      <c r="H321" t="s">
        <v>9187</v>
      </c>
      <c r="I321" t="s">
        <v>6334</v>
      </c>
      <c r="K321" t="s">
        <v>1030</v>
      </c>
      <c r="L321" t="s">
        <v>1030</v>
      </c>
      <c r="U321" t="s">
        <v>5043</v>
      </c>
      <c r="W321" t="s">
        <v>5043</v>
      </c>
      <c r="X321" t="s">
        <v>5043</v>
      </c>
      <c r="Y321" t="s">
        <v>5043</v>
      </c>
      <c r="Z321" t="s">
        <v>5043</v>
      </c>
      <c r="AA321" t="s">
        <v>5043</v>
      </c>
      <c r="AE321" t="s">
        <v>7827</v>
      </c>
      <c r="AJ321" t="s">
        <v>6333</v>
      </c>
      <c r="BH321" t="s">
        <v>7870</v>
      </c>
      <c r="BQ321" t="s">
        <v>409</v>
      </c>
      <c r="CB321" t="s">
        <v>4810</v>
      </c>
      <c r="CG321" t="s">
        <v>773</v>
      </c>
      <c r="CH321" t="s">
        <v>9190</v>
      </c>
      <c r="CO321" t="s">
        <v>778</v>
      </c>
      <c r="CW321" t="s">
        <v>5807</v>
      </c>
      <c r="CX321" t="s">
        <v>5807</v>
      </c>
      <c r="CZ321" t="s">
        <v>9193</v>
      </c>
      <c r="DA321" t="s">
        <v>5856</v>
      </c>
      <c r="DB321" t="s">
        <v>5857</v>
      </c>
      <c r="DC321" t="s">
        <v>5858</v>
      </c>
      <c r="DD321" t="s">
        <v>5859</v>
      </c>
      <c r="DE321" t="s">
        <v>5860</v>
      </c>
      <c r="DF321" t="s">
        <v>5861</v>
      </c>
      <c r="DG321" t="s">
        <v>5862</v>
      </c>
      <c r="DH321" t="s">
        <v>5863</v>
      </c>
      <c r="DI321" t="s">
        <v>5864</v>
      </c>
      <c r="DJ321" t="s">
        <v>5865</v>
      </c>
      <c r="DK321" t="s">
        <v>5866</v>
      </c>
      <c r="DL321" t="s">
        <v>5867</v>
      </c>
      <c r="DM321" t="s">
        <v>5868</v>
      </c>
      <c r="DN321" t="s">
        <v>5869</v>
      </c>
      <c r="DO321" t="s">
        <v>5870</v>
      </c>
      <c r="DP321" t="s">
        <v>5871</v>
      </c>
      <c r="DQ321" t="s">
        <v>5872</v>
      </c>
      <c r="DR321" t="s">
        <v>5873</v>
      </c>
      <c r="DS321" t="s">
        <v>9196</v>
      </c>
      <c r="DT321" t="s">
        <v>5874</v>
      </c>
      <c r="DU321" t="s">
        <v>773</v>
      </c>
      <c r="DV321" t="s">
        <v>5875</v>
      </c>
      <c r="DW321" t="s">
        <v>5876</v>
      </c>
      <c r="DX321" t="s">
        <v>5877</v>
      </c>
      <c r="DY321" t="s">
        <v>5878</v>
      </c>
      <c r="DZ321" t="s">
        <v>5879</v>
      </c>
      <c r="EA321" t="s">
        <v>5880</v>
      </c>
      <c r="EB321" t="s">
        <v>5881</v>
      </c>
      <c r="EC321" t="s">
        <v>5882</v>
      </c>
      <c r="ED321" t="s">
        <v>5883</v>
      </c>
      <c r="EE321" t="s">
        <v>5884</v>
      </c>
      <c r="EF321" t="s">
        <v>5885</v>
      </c>
      <c r="EG321" t="s">
        <v>5886</v>
      </c>
      <c r="EH321" t="s">
        <v>5807</v>
      </c>
      <c r="EI321" t="s">
        <v>5887</v>
      </c>
      <c r="EJ321" t="s">
        <v>5857</v>
      </c>
      <c r="EK321" t="s">
        <v>5888</v>
      </c>
      <c r="EL321" t="s">
        <v>5862</v>
      </c>
      <c r="EM321" t="s">
        <v>5863</v>
      </c>
      <c r="EN321" t="s">
        <v>5874</v>
      </c>
      <c r="EO321" t="s">
        <v>5889</v>
      </c>
      <c r="EP321" t="s">
        <v>5890</v>
      </c>
      <c r="EQ321" t="s">
        <v>5807</v>
      </c>
      <c r="ER321" t="s">
        <v>5887</v>
      </c>
      <c r="ES321" t="s">
        <v>5857</v>
      </c>
      <c r="ET321" t="s">
        <v>5888</v>
      </c>
      <c r="EU321" t="s">
        <v>5862</v>
      </c>
      <c r="EV321" t="s">
        <v>5863</v>
      </c>
      <c r="EW321" t="s">
        <v>5866</v>
      </c>
      <c r="EX321" t="s">
        <v>5874</v>
      </c>
      <c r="EY321" t="s">
        <v>5878</v>
      </c>
      <c r="EZ321" t="s">
        <v>5890</v>
      </c>
      <c r="FA321" t="s">
        <v>5885</v>
      </c>
      <c r="FB321" t="s">
        <v>5807</v>
      </c>
      <c r="FC321" t="s">
        <v>5887</v>
      </c>
      <c r="FD321" t="s">
        <v>5857</v>
      </c>
      <c r="FE321" t="s">
        <v>5888</v>
      </c>
      <c r="FF321" t="s">
        <v>5862</v>
      </c>
      <c r="FG321" t="s">
        <v>5863</v>
      </c>
      <c r="FH321" t="s">
        <v>5874</v>
      </c>
      <c r="FI321" t="s">
        <v>5878</v>
      </c>
      <c r="FJ321" t="s">
        <v>5890</v>
      </c>
      <c r="FK321" t="s">
        <v>5885</v>
      </c>
      <c r="FL321" t="s">
        <v>5807</v>
      </c>
      <c r="FM321" t="s">
        <v>5887</v>
      </c>
      <c r="FN321" t="s">
        <v>5891</v>
      </c>
      <c r="FO321" t="s">
        <v>5892</v>
      </c>
      <c r="FP321" t="s">
        <v>5882</v>
      </c>
      <c r="FQ321" t="s">
        <v>5893</v>
      </c>
      <c r="FR321" t="s">
        <v>5894</v>
      </c>
      <c r="GG321" t="s">
        <v>5895</v>
      </c>
      <c r="GH321" t="s">
        <v>5896</v>
      </c>
      <c r="GI321" t="s">
        <v>5897</v>
      </c>
      <c r="GJ321" t="s">
        <v>5898</v>
      </c>
      <c r="HC321" t="s">
        <v>2652</v>
      </c>
      <c r="HD321" t="s">
        <v>3818</v>
      </c>
      <c r="HE321" t="s">
        <v>2652</v>
      </c>
      <c r="HF321" t="s">
        <v>3818</v>
      </c>
      <c r="HG321" t="s">
        <v>2652</v>
      </c>
      <c r="HJ321" t="s">
        <v>3819</v>
      </c>
      <c r="HK321" t="s">
        <v>3819</v>
      </c>
      <c r="HL321" t="s">
        <v>3835</v>
      </c>
      <c r="HR321" t="s">
        <v>4216</v>
      </c>
      <c r="IG321" t="s">
        <v>5778</v>
      </c>
      <c r="IL321" t="s">
        <v>5779</v>
      </c>
      <c r="IP321" t="s">
        <v>5780</v>
      </c>
    </row>
    <row r="322" spans="1:255" x14ac:dyDescent="0.2">
      <c r="A322" t="s">
        <v>3906</v>
      </c>
      <c r="BD322" t="s">
        <v>3215</v>
      </c>
      <c r="BE322" t="s">
        <v>3215</v>
      </c>
      <c r="BF322" t="s">
        <v>3215</v>
      </c>
      <c r="BG322" t="s">
        <v>3215</v>
      </c>
      <c r="BH322" t="s">
        <v>3215</v>
      </c>
      <c r="BI322" t="s">
        <v>3215</v>
      </c>
      <c r="BJ322" t="s">
        <v>3215</v>
      </c>
      <c r="BK322" t="s">
        <v>3215</v>
      </c>
      <c r="BL322" t="s">
        <v>3215</v>
      </c>
      <c r="BM322" t="s">
        <v>3215</v>
      </c>
      <c r="BN322" t="s">
        <v>3215</v>
      </c>
      <c r="BO322" t="s">
        <v>3215</v>
      </c>
      <c r="BP322" t="s">
        <v>3215</v>
      </c>
      <c r="BQ322" t="s">
        <v>3215</v>
      </c>
      <c r="BR322" t="s">
        <v>3215</v>
      </c>
      <c r="BS322" t="s">
        <v>3215</v>
      </c>
      <c r="BT322" t="s">
        <v>3215</v>
      </c>
      <c r="BU322" t="s">
        <v>3215</v>
      </c>
      <c r="BV322" t="s">
        <v>3215</v>
      </c>
      <c r="BW322" t="s">
        <v>3215</v>
      </c>
      <c r="BX322" t="s">
        <v>3215</v>
      </c>
      <c r="BY322" t="s">
        <v>3215</v>
      </c>
      <c r="BZ322" t="s">
        <v>3215</v>
      </c>
      <c r="CW322" t="s">
        <v>3215</v>
      </c>
      <c r="CX322" t="s">
        <v>3215</v>
      </c>
      <c r="CY322" t="s">
        <v>3215</v>
      </c>
      <c r="CZ322" t="s">
        <v>3215</v>
      </c>
      <c r="DA322" t="s">
        <v>3215</v>
      </c>
      <c r="DB322" t="s">
        <v>3215</v>
      </c>
      <c r="DC322" t="s">
        <v>3215</v>
      </c>
      <c r="DD322" t="s">
        <v>3215</v>
      </c>
      <c r="DE322" t="s">
        <v>3215</v>
      </c>
      <c r="DF322" t="s">
        <v>3215</v>
      </c>
      <c r="DG322" t="s">
        <v>3215</v>
      </c>
      <c r="DH322" t="s">
        <v>3215</v>
      </c>
      <c r="DI322" t="s">
        <v>3215</v>
      </c>
      <c r="DJ322" t="s">
        <v>3215</v>
      </c>
      <c r="DK322" t="s">
        <v>3215</v>
      </c>
      <c r="DL322" t="s">
        <v>3215</v>
      </c>
      <c r="DM322" t="s">
        <v>3215</v>
      </c>
      <c r="DN322" t="s">
        <v>3215</v>
      </c>
      <c r="DO322" t="s">
        <v>3215</v>
      </c>
      <c r="DP322" t="s">
        <v>3215</v>
      </c>
      <c r="DQ322" t="s">
        <v>3215</v>
      </c>
      <c r="DR322" t="s">
        <v>3215</v>
      </c>
      <c r="DS322" t="s">
        <v>3215</v>
      </c>
      <c r="DT322" t="s">
        <v>3215</v>
      </c>
      <c r="DU322" t="s">
        <v>3215</v>
      </c>
      <c r="DV322" t="s">
        <v>3215</v>
      </c>
      <c r="DW322" t="s">
        <v>3215</v>
      </c>
      <c r="DX322" t="s">
        <v>3215</v>
      </c>
      <c r="DY322" t="s">
        <v>3215</v>
      </c>
      <c r="DZ322" t="s">
        <v>3215</v>
      </c>
      <c r="EA322" t="s">
        <v>3215</v>
      </c>
      <c r="EB322" t="s">
        <v>3215</v>
      </c>
      <c r="EC322" t="s">
        <v>3215</v>
      </c>
      <c r="ED322" t="s">
        <v>3215</v>
      </c>
      <c r="EE322" t="s">
        <v>3215</v>
      </c>
      <c r="EF322" t="s">
        <v>3215</v>
      </c>
      <c r="EG322" t="s">
        <v>3215</v>
      </c>
      <c r="EH322" t="s">
        <v>3215</v>
      </c>
      <c r="EI322" t="s">
        <v>3215</v>
      </c>
      <c r="EJ322" t="s">
        <v>3215</v>
      </c>
      <c r="EK322" t="s">
        <v>3215</v>
      </c>
      <c r="EL322" t="s">
        <v>3215</v>
      </c>
      <c r="EM322" t="s">
        <v>3215</v>
      </c>
      <c r="EN322" t="s">
        <v>3215</v>
      </c>
      <c r="EO322" t="s">
        <v>3215</v>
      </c>
      <c r="EP322" t="s">
        <v>3215</v>
      </c>
      <c r="EQ322" t="s">
        <v>3215</v>
      </c>
      <c r="ER322" t="s">
        <v>3215</v>
      </c>
      <c r="ES322" t="s">
        <v>3215</v>
      </c>
      <c r="ET322" t="s">
        <v>3215</v>
      </c>
      <c r="EU322" t="s">
        <v>3215</v>
      </c>
      <c r="EV322" t="s">
        <v>3215</v>
      </c>
      <c r="EW322" t="s">
        <v>3215</v>
      </c>
      <c r="EX322" t="s">
        <v>3215</v>
      </c>
      <c r="EY322" t="s">
        <v>3215</v>
      </c>
      <c r="EZ322" t="s">
        <v>3215</v>
      </c>
      <c r="FA322" t="s">
        <v>3215</v>
      </c>
      <c r="FB322" t="s">
        <v>3215</v>
      </c>
      <c r="FC322" t="s">
        <v>3215</v>
      </c>
      <c r="FD322" t="s">
        <v>3215</v>
      </c>
      <c r="FE322" t="s">
        <v>3215</v>
      </c>
      <c r="FF322" t="s">
        <v>3215</v>
      </c>
      <c r="FG322" t="s">
        <v>3215</v>
      </c>
      <c r="FH322" t="s">
        <v>3215</v>
      </c>
      <c r="FI322" t="s">
        <v>3215</v>
      </c>
      <c r="FJ322" t="s">
        <v>3215</v>
      </c>
      <c r="FK322" t="s">
        <v>3215</v>
      </c>
      <c r="FL322" t="s">
        <v>3215</v>
      </c>
      <c r="FM322" t="s">
        <v>3215</v>
      </c>
      <c r="FN322" t="s">
        <v>3215</v>
      </c>
      <c r="FO322" t="s">
        <v>3215</v>
      </c>
      <c r="FP322" t="s">
        <v>3215</v>
      </c>
      <c r="FQ322" t="s">
        <v>3215</v>
      </c>
      <c r="FR322" t="s">
        <v>3215</v>
      </c>
    </row>
    <row r="323" spans="1:255" x14ac:dyDescent="0.2">
      <c r="A323" t="s">
        <v>3907</v>
      </c>
      <c r="BC323" t="s">
        <v>4569</v>
      </c>
      <c r="BD323" t="s">
        <v>4569</v>
      </c>
      <c r="BE323" t="s">
        <v>4569</v>
      </c>
      <c r="BF323" t="s">
        <v>4569</v>
      </c>
      <c r="BG323" t="s">
        <v>4569</v>
      </c>
      <c r="BH323" t="s">
        <v>4569</v>
      </c>
      <c r="BI323" t="s">
        <v>4569</v>
      </c>
      <c r="BJ323" t="s">
        <v>4569</v>
      </c>
      <c r="BK323" t="s">
        <v>4569</v>
      </c>
      <c r="BL323" t="s">
        <v>4569</v>
      </c>
      <c r="BM323" t="s">
        <v>4569</v>
      </c>
      <c r="BN323" t="s">
        <v>4569</v>
      </c>
      <c r="BO323" t="s">
        <v>4569</v>
      </c>
      <c r="BP323" t="s">
        <v>4569</v>
      </c>
      <c r="BQ323" t="s">
        <v>4569</v>
      </c>
      <c r="BR323" t="s">
        <v>4569</v>
      </c>
      <c r="CA323" t="s">
        <v>3215</v>
      </c>
      <c r="CB323" t="s">
        <v>3215</v>
      </c>
      <c r="CC323" t="s">
        <v>3215</v>
      </c>
      <c r="CD323" t="s">
        <v>3215</v>
      </c>
      <c r="CE323" t="s">
        <v>3215</v>
      </c>
      <c r="CF323" t="s">
        <v>3215</v>
      </c>
      <c r="CG323" t="s">
        <v>3215</v>
      </c>
      <c r="CI323" t="s">
        <v>3215</v>
      </c>
      <c r="CJ323" t="s">
        <v>3215</v>
      </c>
      <c r="CK323" t="s">
        <v>3215</v>
      </c>
      <c r="CL323" t="s">
        <v>3215</v>
      </c>
      <c r="CM323" t="s">
        <v>3215</v>
      </c>
      <c r="CN323" t="s">
        <v>3215</v>
      </c>
      <c r="CO323" t="s">
        <v>3215</v>
      </c>
      <c r="CP323" t="s">
        <v>3215</v>
      </c>
      <c r="CQ323" t="s">
        <v>3215</v>
      </c>
      <c r="CR323" t="s">
        <v>3215</v>
      </c>
      <c r="CS323" t="s">
        <v>3215</v>
      </c>
      <c r="CT323" t="s">
        <v>3215</v>
      </c>
      <c r="CU323" t="s">
        <v>3215</v>
      </c>
      <c r="CV323" t="s">
        <v>3215</v>
      </c>
      <c r="FS323" t="s">
        <v>4569</v>
      </c>
      <c r="FT323" t="s">
        <v>4569</v>
      </c>
      <c r="GG323" t="s">
        <v>4569</v>
      </c>
      <c r="GH323" t="s">
        <v>4569</v>
      </c>
      <c r="GI323" t="s">
        <v>4569</v>
      </c>
      <c r="GJ323" t="s">
        <v>4569</v>
      </c>
      <c r="GK323" t="s">
        <v>4569</v>
      </c>
      <c r="GL323" t="s">
        <v>4569</v>
      </c>
      <c r="GM323" t="s">
        <v>4569</v>
      </c>
      <c r="GN323" t="s">
        <v>4569</v>
      </c>
      <c r="GO323" t="s">
        <v>4569</v>
      </c>
      <c r="GQ323" t="s">
        <v>4569</v>
      </c>
      <c r="GR323" t="s">
        <v>3215</v>
      </c>
      <c r="GS323" t="s">
        <v>4569</v>
      </c>
      <c r="GT323" t="s">
        <v>4569</v>
      </c>
      <c r="GU323" t="s">
        <v>4569</v>
      </c>
      <c r="GV323" t="s">
        <v>4569</v>
      </c>
      <c r="GW323" t="s">
        <v>4569</v>
      </c>
      <c r="GZ323" t="s">
        <v>4569</v>
      </c>
      <c r="HB323" t="s">
        <v>4569</v>
      </c>
      <c r="HE323" t="s">
        <v>4569</v>
      </c>
      <c r="HH323" t="s">
        <v>4569</v>
      </c>
      <c r="HJ323" t="s">
        <v>4569</v>
      </c>
      <c r="HK323" t="s">
        <v>4569</v>
      </c>
      <c r="HM323" t="s">
        <v>4569</v>
      </c>
      <c r="HN323" t="s">
        <v>4569</v>
      </c>
      <c r="HO323" t="s">
        <v>4569</v>
      </c>
      <c r="HP323" t="s">
        <v>4569</v>
      </c>
      <c r="HQ323" t="s">
        <v>4569</v>
      </c>
      <c r="HT323" t="s">
        <v>4569</v>
      </c>
      <c r="HV323" t="s">
        <v>4569</v>
      </c>
      <c r="HW323" t="s">
        <v>4569</v>
      </c>
      <c r="HX323" t="s">
        <v>4569</v>
      </c>
      <c r="HY323" t="s">
        <v>4569</v>
      </c>
      <c r="HZ323" t="s">
        <v>4569</v>
      </c>
      <c r="IA323" t="s">
        <v>4569</v>
      </c>
      <c r="IB323" t="s">
        <v>4569</v>
      </c>
      <c r="IC323" t="s">
        <v>4569</v>
      </c>
      <c r="ID323" t="s">
        <v>4569</v>
      </c>
      <c r="IE323" t="s">
        <v>4569</v>
      </c>
      <c r="IF323" t="s">
        <v>4569</v>
      </c>
      <c r="IG323" t="s">
        <v>4569</v>
      </c>
      <c r="IH323" t="s">
        <v>4569</v>
      </c>
      <c r="II323" t="s">
        <v>4569</v>
      </c>
      <c r="IJ323" t="s">
        <v>4569</v>
      </c>
      <c r="IK323" t="s">
        <v>4569</v>
      </c>
      <c r="IL323" t="s">
        <v>4569</v>
      </c>
      <c r="IM323" t="s">
        <v>4569</v>
      </c>
      <c r="IN323" t="s">
        <v>4569</v>
      </c>
      <c r="IO323" t="s">
        <v>4569</v>
      </c>
      <c r="IP323" t="s">
        <v>4569</v>
      </c>
      <c r="IQ323" t="s">
        <v>4569</v>
      </c>
      <c r="IR323" t="s">
        <v>4569</v>
      </c>
      <c r="IS323" t="s">
        <v>4569</v>
      </c>
      <c r="IT323" t="s">
        <v>4569</v>
      </c>
      <c r="IU323" t="s">
        <v>4569</v>
      </c>
    </row>
    <row r="324" spans="1:255" outlineLevel="1" x14ac:dyDescent="0.2"/>
    <row r="325" spans="1:255" outlineLevel="1" x14ac:dyDescent="0.2"/>
    <row r="326" spans="1:255" outlineLevel="1" x14ac:dyDescent="0.2"/>
    <row r="327" spans="1:255" outlineLevel="1" x14ac:dyDescent="0.2"/>
    <row r="328" spans="1:255" outlineLevel="1" x14ac:dyDescent="0.2"/>
    <row r="329" spans="1:255" outlineLevel="1" x14ac:dyDescent="0.2"/>
    <row r="330" spans="1:255" outlineLevel="1" x14ac:dyDescent="0.2"/>
    <row r="331" spans="1:255" outlineLevel="1" x14ac:dyDescent="0.2"/>
    <row r="332" spans="1:255" outlineLevel="1" x14ac:dyDescent="0.2"/>
    <row r="333" spans="1:255" outlineLevel="1" x14ac:dyDescent="0.2"/>
    <row r="334" spans="1:255" outlineLevel="1" x14ac:dyDescent="0.2"/>
    <row r="335" spans="1:255" outlineLevel="1" x14ac:dyDescent="0.2"/>
    <row r="336" spans="1:255" outlineLevel="1" x14ac:dyDescent="0.2"/>
    <row r="337" outlineLevel="1" x14ac:dyDescent="0.2"/>
    <row r="338" outlineLevel="1" x14ac:dyDescent="0.2"/>
    <row r="339" outlineLevel="1" x14ac:dyDescent="0.2"/>
    <row r="340" outlineLevel="1" x14ac:dyDescent="0.2"/>
    <row r="341" outlineLevel="1" x14ac:dyDescent="0.2"/>
    <row r="342" outlineLevel="1" x14ac:dyDescent="0.2"/>
    <row r="343" outlineLevel="1" x14ac:dyDescent="0.2"/>
    <row r="344" outlineLevel="1" x14ac:dyDescent="0.2"/>
    <row r="345" outlineLevel="1" x14ac:dyDescent="0.2"/>
    <row r="346" outlineLevel="1" x14ac:dyDescent="0.2"/>
    <row r="347" outlineLevel="1" x14ac:dyDescent="0.2"/>
    <row r="348" outlineLevel="1" x14ac:dyDescent="0.2"/>
    <row r="349" outlineLevel="1" x14ac:dyDescent="0.2"/>
    <row r="350" outlineLevel="1" x14ac:dyDescent="0.2"/>
    <row r="351" outlineLevel="1" x14ac:dyDescent="0.2"/>
    <row r="352" outlineLevel="1" x14ac:dyDescent="0.2"/>
    <row r="353" outlineLevel="1" x14ac:dyDescent="0.2"/>
    <row r="354" outlineLevel="1" x14ac:dyDescent="0.2"/>
    <row r="355" outlineLevel="1" x14ac:dyDescent="0.2"/>
    <row r="356" outlineLevel="1" x14ac:dyDescent="0.2"/>
    <row r="357" outlineLevel="1" x14ac:dyDescent="0.2"/>
    <row r="358" outlineLevel="1" x14ac:dyDescent="0.2"/>
    <row r="359" outlineLevel="1" x14ac:dyDescent="0.2"/>
    <row r="360" outlineLevel="1" x14ac:dyDescent="0.2"/>
    <row r="361" outlineLevel="1" x14ac:dyDescent="0.2"/>
    <row r="362" outlineLevel="1" x14ac:dyDescent="0.2"/>
    <row r="363" outlineLevel="1" x14ac:dyDescent="0.2"/>
    <row r="364" outlineLevel="1" x14ac:dyDescent="0.2"/>
    <row r="365" outlineLevel="1" x14ac:dyDescent="0.2"/>
    <row r="366" outlineLevel="1" x14ac:dyDescent="0.2"/>
    <row r="367" outlineLevel="1" x14ac:dyDescent="0.2"/>
    <row r="368" outlineLevel="1" x14ac:dyDescent="0.2"/>
    <row r="369" outlineLevel="1" x14ac:dyDescent="0.2"/>
    <row r="370" outlineLevel="1" x14ac:dyDescent="0.2"/>
    <row r="371" outlineLevel="1" x14ac:dyDescent="0.2"/>
    <row r="372" outlineLevel="1" x14ac:dyDescent="0.2"/>
    <row r="373" outlineLevel="1" x14ac:dyDescent="0.2"/>
    <row r="374" outlineLevel="1" x14ac:dyDescent="0.2"/>
    <row r="375" outlineLevel="1" x14ac:dyDescent="0.2"/>
    <row r="376" outlineLevel="1" x14ac:dyDescent="0.2"/>
    <row r="377" outlineLevel="1" x14ac:dyDescent="0.2"/>
    <row r="378" outlineLevel="1" x14ac:dyDescent="0.2"/>
    <row r="379" outlineLevel="1" x14ac:dyDescent="0.2"/>
    <row r="380" outlineLevel="1" x14ac:dyDescent="0.2"/>
    <row r="381" outlineLevel="1" x14ac:dyDescent="0.2"/>
    <row r="382" outlineLevel="1" x14ac:dyDescent="0.2"/>
    <row r="383" outlineLevel="1" x14ac:dyDescent="0.2"/>
    <row r="384" outlineLevel="1" x14ac:dyDescent="0.2"/>
    <row r="385" outlineLevel="1" x14ac:dyDescent="0.2"/>
    <row r="386" outlineLevel="1" x14ac:dyDescent="0.2"/>
    <row r="387" outlineLevel="1" x14ac:dyDescent="0.2"/>
    <row r="388" outlineLevel="1" x14ac:dyDescent="0.2"/>
    <row r="389" outlineLevel="1" x14ac:dyDescent="0.2"/>
    <row r="390" outlineLevel="1" x14ac:dyDescent="0.2"/>
    <row r="391" outlineLevel="1" x14ac:dyDescent="0.2"/>
    <row r="392" outlineLevel="1" x14ac:dyDescent="0.2"/>
    <row r="393" outlineLevel="1" x14ac:dyDescent="0.2"/>
    <row r="394" outlineLevel="1" x14ac:dyDescent="0.2"/>
    <row r="395" outlineLevel="1" x14ac:dyDescent="0.2"/>
    <row r="396" outlineLevel="1" x14ac:dyDescent="0.2"/>
    <row r="397" outlineLevel="1" x14ac:dyDescent="0.2"/>
    <row r="398" outlineLevel="1" x14ac:dyDescent="0.2"/>
    <row r="399" outlineLevel="1" x14ac:dyDescent="0.2"/>
    <row r="400" outlineLevel="1" x14ac:dyDescent="0.2"/>
    <row r="401" outlineLevel="1" x14ac:dyDescent="0.2"/>
    <row r="402" outlineLevel="1" x14ac:dyDescent="0.2"/>
    <row r="403" outlineLevel="1" x14ac:dyDescent="0.2"/>
    <row r="404" outlineLevel="1" x14ac:dyDescent="0.2"/>
    <row r="405" outlineLevel="1" x14ac:dyDescent="0.2"/>
    <row r="406" outlineLevel="1" x14ac:dyDescent="0.2"/>
    <row r="407" outlineLevel="1" x14ac:dyDescent="0.2"/>
    <row r="408" outlineLevel="1" x14ac:dyDescent="0.2"/>
    <row r="409" outlineLevel="1" x14ac:dyDescent="0.2"/>
    <row r="410" outlineLevel="1" x14ac:dyDescent="0.2"/>
    <row r="411" outlineLevel="1" x14ac:dyDescent="0.2"/>
    <row r="412" outlineLevel="1" x14ac:dyDescent="0.2"/>
    <row r="413" outlineLevel="1" x14ac:dyDescent="0.2"/>
    <row r="414" outlineLevel="1" x14ac:dyDescent="0.2"/>
    <row r="415" outlineLevel="1" x14ac:dyDescent="0.2"/>
    <row r="416" outlineLevel="1" x14ac:dyDescent="0.2"/>
    <row r="417" outlineLevel="1" x14ac:dyDescent="0.2"/>
    <row r="418" outlineLevel="1" x14ac:dyDescent="0.2"/>
    <row r="419" outlineLevel="1" x14ac:dyDescent="0.2"/>
    <row r="420" outlineLevel="1" x14ac:dyDescent="0.2"/>
    <row r="421" outlineLevel="1" x14ac:dyDescent="0.2"/>
    <row r="422" outlineLevel="1" x14ac:dyDescent="0.2"/>
    <row r="423" outlineLevel="1" x14ac:dyDescent="0.2"/>
    <row r="424" outlineLevel="1" x14ac:dyDescent="0.2"/>
    <row r="425" outlineLevel="1" x14ac:dyDescent="0.2"/>
    <row r="426" outlineLevel="1" x14ac:dyDescent="0.2"/>
    <row r="427" outlineLevel="1" x14ac:dyDescent="0.2"/>
    <row r="428" outlineLevel="1" x14ac:dyDescent="0.2"/>
    <row r="429" outlineLevel="1" x14ac:dyDescent="0.2"/>
    <row r="430" outlineLevel="1" x14ac:dyDescent="0.2"/>
    <row r="431" outlineLevel="1" x14ac:dyDescent="0.2"/>
    <row r="432" outlineLevel="1" x14ac:dyDescent="0.2"/>
    <row r="433" outlineLevel="1" x14ac:dyDescent="0.2"/>
    <row r="434" outlineLevel="1" x14ac:dyDescent="0.2"/>
    <row r="435" outlineLevel="1" x14ac:dyDescent="0.2"/>
    <row r="436" outlineLevel="1" x14ac:dyDescent="0.2"/>
    <row r="437" outlineLevel="1" x14ac:dyDescent="0.2"/>
    <row r="438" outlineLevel="1" x14ac:dyDescent="0.2"/>
    <row r="439" outlineLevel="1" x14ac:dyDescent="0.2"/>
    <row r="440" outlineLevel="1" x14ac:dyDescent="0.2"/>
    <row r="441" outlineLevel="1" x14ac:dyDescent="0.2"/>
    <row r="442" outlineLevel="1" x14ac:dyDescent="0.2"/>
    <row r="443" outlineLevel="1" x14ac:dyDescent="0.2"/>
    <row r="444" outlineLevel="1" x14ac:dyDescent="0.2"/>
    <row r="445" outlineLevel="1" x14ac:dyDescent="0.2"/>
    <row r="446" outlineLevel="1" x14ac:dyDescent="0.2"/>
    <row r="447" outlineLevel="1" x14ac:dyDescent="0.2"/>
    <row r="448" outlineLevel="1" x14ac:dyDescent="0.2"/>
    <row r="449" outlineLevel="1" x14ac:dyDescent="0.2"/>
    <row r="450" outlineLevel="1" x14ac:dyDescent="0.2"/>
    <row r="451" outlineLevel="1" x14ac:dyDescent="0.2"/>
    <row r="452" outlineLevel="1" x14ac:dyDescent="0.2"/>
    <row r="453" outlineLevel="1" x14ac:dyDescent="0.2"/>
    <row r="454" outlineLevel="1" x14ac:dyDescent="0.2"/>
    <row r="455" outlineLevel="1" x14ac:dyDescent="0.2"/>
    <row r="456" outlineLevel="1" x14ac:dyDescent="0.2"/>
    <row r="457" outlineLevel="1" x14ac:dyDescent="0.2"/>
    <row r="458" outlineLevel="1" x14ac:dyDescent="0.2"/>
    <row r="459" outlineLevel="1" x14ac:dyDescent="0.2"/>
    <row r="460" outlineLevel="1" x14ac:dyDescent="0.2"/>
    <row r="461" outlineLevel="1" x14ac:dyDescent="0.2"/>
    <row r="462" outlineLevel="1" x14ac:dyDescent="0.2"/>
    <row r="463" outlineLevel="1" x14ac:dyDescent="0.2"/>
    <row r="464" outlineLevel="1" x14ac:dyDescent="0.2"/>
    <row r="465" outlineLevel="1" x14ac:dyDescent="0.2"/>
    <row r="466" outlineLevel="1" x14ac:dyDescent="0.2"/>
    <row r="467" outlineLevel="1" x14ac:dyDescent="0.2"/>
    <row r="468" outlineLevel="1" x14ac:dyDescent="0.2"/>
    <row r="469" outlineLevel="1" x14ac:dyDescent="0.2"/>
    <row r="470" outlineLevel="1" x14ac:dyDescent="0.2"/>
    <row r="471" outlineLevel="1" x14ac:dyDescent="0.2"/>
    <row r="472" outlineLevel="1" x14ac:dyDescent="0.2"/>
    <row r="473" outlineLevel="1" x14ac:dyDescent="0.2"/>
    <row r="474" outlineLevel="1" x14ac:dyDescent="0.2"/>
    <row r="475" outlineLevel="1" x14ac:dyDescent="0.2"/>
    <row r="476" outlineLevel="1" x14ac:dyDescent="0.2"/>
    <row r="477" outlineLevel="1" x14ac:dyDescent="0.2"/>
    <row r="478" outlineLevel="1" x14ac:dyDescent="0.2"/>
    <row r="479" outlineLevel="1" x14ac:dyDescent="0.2"/>
    <row r="480" outlineLevel="1" x14ac:dyDescent="0.2"/>
    <row r="481" outlineLevel="1" x14ac:dyDescent="0.2"/>
    <row r="482" outlineLevel="1" x14ac:dyDescent="0.2"/>
    <row r="483" outlineLevel="1" x14ac:dyDescent="0.2"/>
    <row r="484" outlineLevel="1" x14ac:dyDescent="0.2"/>
    <row r="485" outlineLevel="1" x14ac:dyDescent="0.2"/>
    <row r="486" outlineLevel="1" x14ac:dyDescent="0.2"/>
    <row r="487" outlineLevel="1" x14ac:dyDescent="0.2"/>
    <row r="488" outlineLevel="1" x14ac:dyDescent="0.2"/>
    <row r="489" outlineLevel="1" x14ac:dyDescent="0.2"/>
    <row r="490" outlineLevel="1" x14ac:dyDescent="0.2"/>
    <row r="491" outlineLevel="1" x14ac:dyDescent="0.2"/>
    <row r="492" outlineLevel="1" x14ac:dyDescent="0.2"/>
    <row r="493" outlineLevel="1" x14ac:dyDescent="0.2"/>
    <row r="494" outlineLevel="1" x14ac:dyDescent="0.2"/>
    <row r="495" outlineLevel="1" x14ac:dyDescent="0.2"/>
    <row r="496" outlineLevel="1" x14ac:dyDescent="0.2"/>
    <row r="497" outlineLevel="1" x14ac:dyDescent="0.2"/>
    <row r="498" outlineLevel="1" x14ac:dyDescent="0.2"/>
    <row r="499" outlineLevel="1" x14ac:dyDescent="0.2"/>
    <row r="500" outlineLevel="1" x14ac:dyDescent="0.2"/>
    <row r="501" outlineLevel="1" x14ac:dyDescent="0.2"/>
    <row r="502" outlineLevel="1" x14ac:dyDescent="0.2"/>
    <row r="503" outlineLevel="1" x14ac:dyDescent="0.2"/>
    <row r="504" outlineLevel="1" x14ac:dyDescent="0.2"/>
    <row r="505" outlineLevel="1" x14ac:dyDescent="0.2"/>
    <row r="506" outlineLevel="1" x14ac:dyDescent="0.2"/>
    <row r="507" outlineLevel="1" x14ac:dyDescent="0.2"/>
    <row r="508" outlineLevel="1" x14ac:dyDescent="0.2"/>
    <row r="509" outlineLevel="1" x14ac:dyDescent="0.2"/>
    <row r="510" outlineLevel="1" x14ac:dyDescent="0.2"/>
    <row r="511" outlineLevel="1" x14ac:dyDescent="0.2"/>
    <row r="512" outlineLevel="1" x14ac:dyDescent="0.2"/>
    <row r="513" outlineLevel="1" x14ac:dyDescent="0.2"/>
    <row r="514" outlineLevel="1" x14ac:dyDescent="0.2"/>
    <row r="515" outlineLevel="1" x14ac:dyDescent="0.2"/>
    <row r="516" outlineLevel="1" x14ac:dyDescent="0.2"/>
    <row r="517" outlineLevel="1" x14ac:dyDescent="0.2"/>
    <row r="518" outlineLevel="1" x14ac:dyDescent="0.2"/>
    <row r="519" outlineLevel="1" x14ac:dyDescent="0.2"/>
    <row r="520" outlineLevel="1" x14ac:dyDescent="0.2"/>
    <row r="521" outlineLevel="1" x14ac:dyDescent="0.2"/>
    <row r="522" outlineLevel="1" x14ac:dyDescent="0.2"/>
    <row r="523" outlineLevel="1" x14ac:dyDescent="0.2"/>
    <row r="524" outlineLevel="1" x14ac:dyDescent="0.2"/>
    <row r="525" outlineLevel="1" x14ac:dyDescent="0.2"/>
    <row r="526" outlineLevel="1" x14ac:dyDescent="0.2"/>
    <row r="527" outlineLevel="1" x14ac:dyDescent="0.2"/>
    <row r="528" outlineLevel="1" x14ac:dyDescent="0.2"/>
    <row r="529" outlineLevel="1" x14ac:dyDescent="0.2"/>
    <row r="530" outlineLevel="1" x14ac:dyDescent="0.2"/>
    <row r="531" outlineLevel="1" x14ac:dyDescent="0.2"/>
    <row r="532" outlineLevel="1" x14ac:dyDescent="0.2"/>
    <row r="533" outlineLevel="1" x14ac:dyDescent="0.2"/>
    <row r="534" outlineLevel="1" x14ac:dyDescent="0.2"/>
    <row r="535" outlineLevel="1" x14ac:dyDescent="0.2"/>
    <row r="536" outlineLevel="1" x14ac:dyDescent="0.2"/>
    <row r="537" outlineLevel="1" x14ac:dyDescent="0.2"/>
    <row r="538" outlineLevel="1" x14ac:dyDescent="0.2"/>
    <row r="539" outlineLevel="1" x14ac:dyDescent="0.2"/>
    <row r="540" outlineLevel="1" x14ac:dyDescent="0.2"/>
    <row r="541" outlineLevel="1" x14ac:dyDescent="0.2"/>
    <row r="542" outlineLevel="1" x14ac:dyDescent="0.2"/>
    <row r="543" outlineLevel="1" x14ac:dyDescent="0.2"/>
    <row r="544" outlineLevel="1" x14ac:dyDescent="0.2"/>
    <row r="545" outlineLevel="1" x14ac:dyDescent="0.2"/>
    <row r="546" outlineLevel="1" x14ac:dyDescent="0.2"/>
    <row r="547" outlineLevel="1" x14ac:dyDescent="0.2"/>
    <row r="548" outlineLevel="1" x14ac:dyDescent="0.2"/>
    <row r="549" outlineLevel="1" x14ac:dyDescent="0.2"/>
    <row r="550" outlineLevel="1" x14ac:dyDescent="0.2"/>
    <row r="551" outlineLevel="1" x14ac:dyDescent="0.2"/>
    <row r="552" outlineLevel="1" x14ac:dyDescent="0.2"/>
    <row r="553" outlineLevel="1" x14ac:dyDescent="0.2"/>
    <row r="554" outlineLevel="1" x14ac:dyDescent="0.2"/>
    <row r="555" outlineLevel="1" x14ac:dyDescent="0.2"/>
    <row r="556" outlineLevel="1" x14ac:dyDescent="0.2"/>
    <row r="557" outlineLevel="1" x14ac:dyDescent="0.2"/>
    <row r="558" outlineLevel="1" x14ac:dyDescent="0.2"/>
    <row r="559" outlineLevel="1" x14ac:dyDescent="0.2"/>
    <row r="560" outlineLevel="1" x14ac:dyDescent="0.2"/>
    <row r="561" outlineLevel="1" x14ac:dyDescent="0.2"/>
    <row r="562" outlineLevel="1" x14ac:dyDescent="0.2"/>
    <row r="563" outlineLevel="1" x14ac:dyDescent="0.2"/>
    <row r="564" outlineLevel="1" x14ac:dyDescent="0.2"/>
    <row r="565" outlineLevel="1" x14ac:dyDescent="0.2"/>
    <row r="566" outlineLevel="1" x14ac:dyDescent="0.2"/>
    <row r="567" outlineLevel="1" x14ac:dyDescent="0.2"/>
    <row r="568" outlineLevel="1" x14ac:dyDescent="0.2"/>
    <row r="569" outlineLevel="1" x14ac:dyDescent="0.2"/>
    <row r="570" outlineLevel="1" x14ac:dyDescent="0.2"/>
    <row r="571" outlineLevel="1" x14ac:dyDescent="0.2"/>
    <row r="572" outlineLevel="1" x14ac:dyDescent="0.2"/>
    <row r="573" outlineLevel="1" x14ac:dyDescent="0.2"/>
    <row r="574" outlineLevel="1" x14ac:dyDescent="0.2"/>
    <row r="575" outlineLevel="1" x14ac:dyDescent="0.2"/>
    <row r="576" outlineLevel="1" x14ac:dyDescent="0.2"/>
    <row r="577" outlineLevel="1" x14ac:dyDescent="0.2"/>
    <row r="578" outlineLevel="1" x14ac:dyDescent="0.2"/>
    <row r="579" outlineLevel="1" x14ac:dyDescent="0.2"/>
    <row r="580" outlineLevel="1" x14ac:dyDescent="0.2"/>
    <row r="581" outlineLevel="1" x14ac:dyDescent="0.2"/>
    <row r="582" outlineLevel="1" x14ac:dyDescent="0.2"/>
    <row r="583" outlineLevel="1" x14ac:dyDescent="0.2"/>
    <row r="584" outlineLevel="1" x14ac:dyDescent="0.2"/>
    <row r="585" outlineLevel="1" x14ac:dyDescent="0.2"/>
    <row r="586" outlineLevel="1" x14ac:dyDescent="0.2"/>
    <row r="587" outlineLevel="1" x14ac:dyDescent="0.2"/>
    <row r="588" outlineLevel="1" x14ac:dyDescent="0.2"/>
    <row r="589" outlineLevel="1" x14ac:dyDescent="0.2"/>
    <row r="590" outlineLevel="1" x14ac:dyDescent="0.2"/>
    <row r="591" outlineLevel="1" x14ac:dyDescent="0.2"/>
    <row r="592" outlineLevel="1" x14ac:dyDescent="0.2"/>
    <row r="593" outlineLevel="1" x14ac:dyDescent="0.2"/>
    <row r="594" outlineLevel="1" x14ac:dyDescent="0.2"/>
    <row r="595" outlineLevel="1" x14ac:dyDescent="0.2"/>
    <row r="596" outlineLevel="1" x14ac:dyDescent="0.2"/>
    <row r="597" outlineLevel="1" x14ac:dyDescent="0.2"/>
    <row r="598" outlineLevel="1" x14ac:dyDescent="0.2"/>
    <row r="599" outlineLevel="1" x14ac:dyDescent="0.2"/>
    <row r="600" outlineLevel="1" x14ac:dyDescent="0.2"/>
    <row r="601" outlineLevel="1" x14ac:dyDescent="0.2"/>
    <row r="602" outlineLevel="1" x14ac:dyDescent="0.2"/>
    <row r="603" outlineLevel="1" x14ac:dyDescent="0.2"/>
    <row r="604" outlineLevel="1" x14ac:dyDescent="0.2"/>
    <row r="605" outlineLevel="1" x14ac:dyDescent="0.2"/>
    <row r="606" outlineLevel="1" x14ac:dyDescent="0.2"/>
    <row r="607" outlineLevel="1" x14ac:dyDescent="0.2"/>
    <row r="608" outlineLevel="1" x14ac:dyDescent="0.2"/>
    <row r="609" outlineLevel="1" x14ac:dyDescent="0.2"/>
    <row r="610" outlineLevel="1" x14ac:dyDescent="0.2"/>
    <row r="611" outlineLevel="1" x14ac:dyDescent="0.2"/>
    <row r="612" outlineLevel="1" x14ac:dyDescent="0.2"/>
    <row r="613" outlineLevel="1" x14ac:dyDescent="0.2"/>
    <row r="614" outlineLevel="1" x14ac:dyDescent="0.2"/>
    <row r="615" outlineLevel="1" x14ac:dyDescent="0.2"/>
    <row r="616" outlineLevel="1" x14ac:dyDescent="0.2"/>
    <row r="617" outlineLevel="1" x14ac:dyDescent="0.2"/>
    <row r="618" outlineLevel="1" x14ac:dyDescent="0.2"/>
    <row r="619" outlineLevel="1" x14ac:dyDescent="0.2"/>
    <row r="620" outlineLevel="1" x14ac:dyDescent="0.2"/>
    <row r="621" outlineLevel="1" x14ac:dyDescent="0.2"/>
    <row r="622" outlineLevel="1" x14ac:dyDescent="0.2"/>
    <row r="623" outlineLevel="1" x14ac:dyDescent="0.2"/>
    <row r="624" outlineLevel="1" x14ac:dyDescent="0.2"/>
    <row r="625" outlineLevel="1" x14ac:dyDescent="0.2"/>
    <row r="626" outlineLevel="1" x14ac:dyDescent="0.2"/>
    <row r="627" outlineLevel="1" x14ac:dyDescent="0.2"/>
    <row r="628" outlineLevel="1" x14ac:dyDescent="0.2"/>
    <row r="629" outlineLevel="1" x14ac:dyDescent="0.2"/>
    <row r="630" outlineLevel="1" x14ac:dyDescent="0.2"/>
    <row r="631" outlineLevel="1" x14ac:dyDescent="0.2"/>
    <row r="632" outlineLevel="1" x14ac:dyDescent="0.2"/>
    <row r="633" outlineLevel="1" x14ac:dyDescent="0.2"/>
    <row r="634" outlineLevel="1" x14ac:dyDescent="0.2"/>
    <row r="635" outlineLevel="1" x14ac:dyDescent="0.2"/>
    <row r="636" outlineLevel="1" x14ac:dyDescent="0.2"/>
    <row r="637" outlineLevel="1" x14ac:dyDescent="0.2"/>
    <row r="638" outlineLevel="1" x14ac:dyDescent="0.2"/>
    <row r="639" outlineLevel="1" x14ac:dyDescent="0.2"/>
    <row r="640" outlineLevel="1" x14ac:dyDescent="0.2"/>
    <row r="641" outlineLevel="1" x14ac:dyDescent="0.2"/>
    <row r="642" outlineLevel="1" x14ac:dyDescent="0.2"/>
    <row r="643" outlineLevel="1" x14ac:dyDescent="0.2"/>
    <row r="644" outlineLevel="1" x14ac:dyDescent="0.2"/>
    <row r="645" outlineLevel="1" x14ac:dyDescent="0.2"/>
    <row r="646" outlineLevel="1" x14ac:dyDescent="0.2"/>
    <row r="647" outlineLevel="1" x14ac:dyDescent="0.2"/>
    <row r="648" outlineLevel="1" x14ac:dyDescent="0.2"/>
    <row r="649" outlineLevel="1" x14ac:dyDescent="0.2"/>
    <row r="650" outlineLevel="1" x14ac:dyDescent="0.2"/>
    <row r="651" outlineLevel="1" x14ac:dyDescent="0.2"/>
    <row r="652" outlineLevel="1" x14ac:dyDescent="0.2"/>
    <row r="653" outlineLevel="1" x14ac:dyDescent="0.2"/>
    <row r="654" outlineLevel="1" x14ac:dyDescent="0.2"/>
    <row r="655" outlineLevel="1" x14ac:dyDescent="0.2"/>
    <row r="656" outlineLevel="1" x14ac:dyDescent="0.2"/>
    <row r="657" outlineLevel="1" x14ac:dyDescent="0.2"/>
    <row r="658" outlineLevel="1" x14ac:dyDescent="0.2"/>
    <row r="659" outlineLevel="1" x14ac:dyDescent="0.2"/>
    <row r="660" outlineLevel="1" x14ac:dyDescent="0.2"/>
    <row r="661" outlineLevel="1" x14ac:dyDescent="0.2"/>
    <row r="662" outlineLevel="1" x14ac:dyDescent="0.2"/>
    <row r="663" outlineLevel="1" x14ac:dyDescent="0.2"/>
    <row r="664" outlineLevel="1" x14ac:dyDescent="0.2"/>
    <row r="665" outlineLevel="1" x14ac:dyDescent="0.2"/>
    <row r="666" outlineLevel="1" x14ac:dyDescent="0.2"/>
    <row r="667" outlineLevel="1" x14ac:dyDescent="0.2"/>
    <row r="668" outlineLevel="1" x14ac:dyDescent="0.2"/>
    <row r="669" outlineLevel="1" x14ac:dyDescent="0.2"/>
    <row r="670" outlineLevel="1" x14ac:dyDescent="0.2"/>
    <row r="671" outlineLevel="1" x14ac:dyDescent="0.2"/>
    <row r="672" outlineLevel="1" x14ac:dyDescent="0.2"/>
    <row r="673" outlineLevel="1" x14ac:dyDescent="0.2"/>
    <row r="674" outlineLevel="1" x14ac:dyDescent="0.2"/>
    <row r="675" outlineLevel="1" x14ac:dyDescent="0.2"/>
    <row r="676" outlineLevel="1" x14ac:dyDescent="0.2"/>
    <row r="677" outlineLevel="1" x14ac:dyDescent="0.2"/>
    <row r="678" outlineLevel="1" x14ac:dyDescent="0.2"/>
    <row r="679" outlineLevel="1" x14ac:dyDescent="0.2"/>
    <row r="680" outlineLevel="1" x14ac:dyDescent="0.2"/>
    <row r="681" outlineLevel="1" x14ac:dyDescent="0.2"/>
    <row r="682" outlineLevel="1" x14ac:dyDescent="0.2"/>
    <row r="683" outlineLevel="1" x14ac:dyDescent="0.2"/>
    <row r="684" outlineLevel="1" x14ac:dyDescent="0.2"/>
    <row r="685" outlineLevel="1" x14ac:dyDescent="0.2"/>
    <row r="686" outlineLevel="1" x14ac:dyDescent="0.2"/>
    <row r="687" outlineLevel="1" x14ac:dyDescent="0.2"/>
    <row r="688" outlineLevel="1" x14ac:dyDescent="0.2"/>
    <row r="689" outlineLevel="1" x14ac:dyDescent="0.2"/>
    <row r="690" outlineLevel="1" x14ac:dyDescent="0.2"/>
    <row r="691" outlineLevel="1" x14ac:dyDescent="0.2"/>
    <row r="692" outlineLevel="1" x14ac:dyDescent="0.2"/>
    <row r="693" outlineLevel="1" x14ac:dyDescent="0.2"/>
    <row r="694" outlineLevel="1" x14ac:dyDescent="0.2"/>
    <row r="695" outlineLevel="1" x14ac:dyDescent="0.2"/>
    <row r="696" outlineLevel="1" x14ac:dyDescent="0.2"/>
    <row r="697" outlineLevel="1" x14ac:dyDescent="0.2"/>
    <row r="698" outlineLevel="1" x14ac:dyDescent="0.2"/>
    <row r="699" outlineLevel="1" x14ac:dyDescent="0.2"/>
    <row r="700" outlineLevel="1" x14ac:dyDescent="0.2"/>
    <row r="701" outlineLevel="1" x14ac:dyDescent="0.2"/>
    <row r="702" outlineLevel="1" x14ac:dyDescent="0.2"/>
    <row r="703" outlineLevel="1" x14ac:dyDescent="0.2"/>
    <row r="704" outlineLevel="1" x14ac:dyDescent="0.2"/>
    <row r="705" outlineLevel="1" x14ac:dyDescent="0.2"/>
    <row r="706" outlineLevel="1" x14ac:dyDescent="0.2"/>
    <row r="707" outlineLevel="1" x14ac:dyDescent="0.2"/>
    <row r="708" outlineLevel="1" x14ac:dyDescent="0.2"/>
    <row r="709" outlineLevel="1" x14ac:dyDescent="0.2"/>
    <row r="710" outlineLevel="1" x14ac:dyDescent="0.2"/>
    <row r="711" outlineLevel="1" x14ac:dyDescent="0.2"/>
    <row r="712" outlineLevel="1" x14ac:dyDescent="0.2"/>
    <row r="713" outlineLevel="1" x14ac:dyDescent="0.2"/>
    <row r="714" outlineLevel="1" x14ac:dyDescent="0.2"/>
    <row r="715" outlineLevel="1" x14ac:dyDescent="0.2"/>
    <row r="716" outlineLevel="1" x14ac:dyDescent="0.2"/>
    <row r="717" outlineLevel="1" x14ac:dyDescent="0.2"/>
    <row r="718" outlineLevel="1" x14ac:dyDescent="0.2"/>
    <row r="719" outlineLevel="1" x14ac:dyDescent="0.2"/>
    <row r="720" outlineLevel="1" x14ac:dyDescent="0.2"/>
    <row r="721" outlineLevel="1" x14ac:dyDescent="0.2"/>
    <row r="722" outlineLevel="1" x14ac:dyDescent="0.2"/>
    <row r="723" outlineLevel="1" x14ac:dyDescent="0.2"/>
    <row r="724" outlineLevel="1" x14ac:dyDescent="0.2"/>
    <row r="725" outlineLevel="1" x14ac:dyDescent="0.2"/>
    <row r="726" outlineLevel="1" x14ac:dyDescent="0.2"/>
    <row r="727" outlineLevel="1" x14ac:dyDescent="0.2"/>
    <row r="728" outlineLevel="1" x14ac:dyDescent="0.2"/>
    <row r="729" outlineLevel="1" x14ac:dyDescent="0.2"/>
    <row r="730" outlineLevel="1" x14ac:dyDescent="0.2"/>
    <row r="731" outlineLevel="1" x14ac:dyDescent="0.2"/>
    <row r="732" outlineLevel="1" x14ac:dyDescent="0.2"/>
    <row r="733" outlineLevel="1" x14ac:dyDescent="0.2"/>
    <row r="734" outlineLevel="1" x14ac:dyDescent="0.2"/>
    <row r="735" outlineLevel="1" x14ac:dyDescent="0.2"/>
    <row r="736" outlineLevel="1" x14ac:dyDescent="0.2"/>
    <row r="737" outlineLevel="1" x14ac:dyDescent="0.2"/>
    <row r="738" outlineLevel="1" x14ac:dyDescent="0.2"/>
    <row r="739" outlineLevel="1" x14ac:dyDescent="0.2"/>
    <row r="740" outlineLevel="1" x14ac:dyDescent="0.2"/>
    <row r="741" outlineLevel="1" x14ac:dyDescent="0.2"/>
    <row r="742" outlineLevel="1" x14ac:dyDescent="0.2"/>
    <row r="743" outlineLevel="1" x14ac:dyDescent="0.2"/>
    <row r="744" outlineLevel="1" x14ac:dyDescent="0.2"/>
    <row r="745" outlineLevel="1" x14ac:dyDescent="0.2"/>
    <row r="746" outlineLevel="1" x14ac:dyDescent="0.2"/>
    <row r="747" outlineLevel="1" x14ac:dyDescent="0.2"/>
    <row r="748" outlineLevel="1" x14ac:dyDescent="0.2"/>
    <row r="749" outlineLevel="1" x14ac:dyDescent="0.2"/>
    <row r="750" outlineLevel="1" x14ac:dyDescent="0.2"/>
    <row r="751" outlineLevel="1" x14ac:dyDescent="0.2"/>
    <row r="752" outlineLevel="1" x14ac:dyDescent="0.2"/>
    <row r="753" outlineLevel="1" x14ac:dyDescent="0.2"/>
    <row r="754" outlineLevel="1" x14ac:dyDescent="0.2"/>
    <row r="755" outlineLevel="1" x14ac:dyDescent="0.2"/>
    <row r="756" outlineLevel="1" x14ac:dyDescent="0.2"/>
    <row r="757" outlineLevel="1" x14ac:dyDescent="0.2"/>
    <row r="758" outlineLevel="1" x14ac:dyDescent="0.2"/>
    <row r="759" outlineLevel="1" x14ac:dyDescent="0.2"/>
    <row r="760" outlineLevel="1" x14ac:dyDescent="0.2"/>
    <row r="761" outlineLevel="1" x14ac:dyDescent="0.2"/>
    <row r="762" outlineLevel="1" x14ac:dyDescent="0.2"/>
    <row r="763" outlineLevel="1" x14ac:dyDescent="0.2"/>
    <row r="764" outlineLevel="1" x14ac:dyDescent="0.2"/>
    <row r="765" outlineLevel="1" x14ac:dyDescent="0.2"/>
    <row r="766" outlineLevel="1" x14ac:dyDescent="0.2"/>
    <row r="767" outlineLevel="1" x14ac:dyDescent="0.2"/>
    <row r="768" outlineLevel="1" x14ac:dyDescent="0.2"/>
    <row r="769" outlineLevel="1" x14ac:dyDescent="0.2"/>
    <row r="770" outlineLevel="1" x14ac:dyDescent="0.2"/>
    <row r="771" outlineLevel="1" x14ac:dyDescent="0.2"/>
    <row r="772" outlineLevel="1" x14ac:dyDescent="0.2"/>
    <row r="773" outlineLevel="1" x14ac:dyDescent="0.2"/>
    <row r="774" outlineLevel="1" x14ac:dyDescent="0.2"/>
    <row r="775" outlineLevel="1" x14ac:dyDescent="0.2"/>
    <row r="776" outlineLevel="1" x14ac:dyDescent="0.2"/>
    <row r="777" outlineLevel="1" x14ac:dyDescent="0.2"/>
    <row r="778" outlineLevel="1" x14ac:dyDescent="0.2"/>
    <row r="779" outlineLevel="1" x14ac:dyDescent="0.2"/>
    <row r="780" outlineLevel="1" x14ac:dyDescent="0.2"/>
    <row r="781" outlineLevel="1" x14ac:dyDescent="0.2"/>
    <row r="782" outlineLevel="1" x14ac:dyDescent="0.2"/>
    <row r="783" outlineLevel="1" x14ac:dyDescent="0.2"/>
    <row r="784" outlineLevel="1" x14ac:dyDescent="0.2"/>
    <row r="785" outlineLevel="1" x14ac:dyDescent="0.2"/>
    <row r="786" outlineLevel="1" x14ac:dyDescent="0.2"/>
    <row r="787" outlineLevel="1" x14ac:dyDescent="0.2"/>
    <row r="788" outlineLevel="1" x14ac:dyDescent="0.2"/>
    <row r="789" outlineLevel="1" x14ac:dyDescent="0.2"/>
    <row r="790" outlineLevel="1" x14ac:dyDescent="0.2"/>
    <row r="791" outlineLevel="1" x14ac:dyDescent="0.2"/>
    <row r="792" outlineLevel="1" x14ac:dyDescent="0.2"/>
    <row r="793" outlineLevel="1" x14ac:dyDescent="0.2"/>
    <row r="794" outlineLevel="1" x14ac:dyDescent="0.2"/>
    <row r="795" outlineLevel="1" x14ac:dyDescent="0.2"/>
    <row r="796" outlineLevel="1" x14ac:dyDescent="0.2"/>
    <row r="797" outlineLevel="1" x14ac:dyDescent="0.2"/>
    <row r="798" outlineLevel="1" x14ac:dyDescent="0.2"/>
    <row r="799" outlineLevel="1" x14ac:dyDescent="0.2"/>
    <row r="800" outlineLevel="1" x14ac:dyDescent="0.2"/>
    <row r="801" spans="1:49" outlineLevel="1" x14ac:dyDescent="0.2"/>
    <row r="802" spans="1:49" outlineLevel="1" x14ac:dyDescent="0.2"/>
    <row r="803" spans="1:49" outlineLevel="1" x14ac:dyDescent="0.2"/>
    <row r="804" spans="1:49" outlineLevel="1" x14ac:dyDescent="0.2"/>
    <row r="805" spans="1:49" outlineLevel="1" x14ac:dyDescent="0.2"/>
    <row r="806" spans="1:49" outlineLevel="1" x14ac:dyDescent="0.2"/>
    <row r="807" spans="1:49" outlineLevel="1" x14ac:dyDescent="0.2"/>
    <row r="808" spans="1:49" outlineLevel="1" x14ac:dyDescent="0.2"/>
    <row r="809" spans="1:49" outlineLevel="1" x14ac:dyDescent="0.2"/>
    <row r="810" spans="1:49" outlineLevel="1" x14ac:dyDescent="0.2"/>
    <row r="811" spans="1:49" outlineLevel="1" x14ac:dyDescent="0.2"/>
    <row r="812" spans="1:49" x14ac:dyDescent="0.2">
      <c r="A812" t="s">
        <v>3046</v>
      </c>
    </row>
    <row r="813" spans="1:49" x14ac:dyDescent="0.2">
      <c r="A813" t="s">
        <v>3918</v>
      </c>
      <c r="J813" t="s">
        <v>7828</v>
      </c>
      <c r="M813" t="s">
        <v>7829</v>
      </c>
      <c r="O813" t="s">
        <v>7829</v>
      </c>
      <c r="P813" t="s">
        <v>7829</v>
      </c>
      <c r="Q813" t="s">
        <v>7829</v>
      </c>
      <c r="R813" t="s">
        <v>7829</v>
      </c>
      <c r="S813" t="s">
        <v>7829</v>
      </c>
      <c r="T813" t="s">
        <v>7829</v>
      </c>
      <c r="AW813" t="s">
        <v>9165</v>
      </c>
    </row>
    <row r="817" spans="1:255" x14ac:dyDescent="0.2">
      <c r="A817" t="s">
        <v>3996</v>
      </c>
      <c r="K817" t="s">
        <v>7657</v>
      </c>
      <c r="L817" t="s">
        <v>7657</v>
      </c>
      <c r="GZ817" t="s">
        <v>3820</v>
      </c>
      <c r="HA817" t="s">
        <v>3820</v>
      </c>
      <c r="IL817" t="s">
        <v>5781</v>
      </c>
      <c r="IM817" t="s">
        <v>5781</v>
      </c>
      <c r="IN817" t="s">
        <v>5781</v>
      </c>
      <c r="IO817" t="s">
        <v>5781</v>
      </c>
      <c r="IP817" t="s">
        <v>5782</v>
      </c>
    </row>
    <row r="820" spans="1:255" x14ac:dyDescent="0.2">
      <c r="A820" t="s">
        <v>1646</v>
      </c>
      <c r="CO820" t="s">
        <v>7871</v>
      </c>
    </row>
    <row r="821" spans="1:255" ht="13.5" customHeight="1" x14ac:dyDescent="0.2">
      <c r="A821" t="s">
        <v>2663</v>
      </c>
      <c r="D821" t="s">
        <v>7830</v>
      </c>
      <c r="E821" t="s">
        <v>7830</v>
      </c>
      <c r="F821" t="s">
        <v>7830</v>
      </c>
      <c r="G821" t="s">
        <v>7830</v>
      </c>
      <c r="H821" t="s">
        <v>9188</v>
      </c>
      <c r="I821" t="s">
        <v>6317</v>
      </c>
      <c r="L821" t="s">
        <v>6318</v>
      </c>
      <c r="M821" t="s">
        <v>7831</v>
      </c>
      <c r="N821" t="s">
        <v>7831</v>
      </c>
      <c r="O821" t="s">
        <v>7831</v>
      </c>
      <c r="P821" t="s">
        <v>7831</v>
      </c>
      <c r="Q821" t="s">
        <v>7831</v>
      </c>
      <c r="R821" t="s">
        <v>7831</v>
      </c>
      <c r="S821" t="s">
        <v>7832</v>
      </c>
      <c r="T821" t="s">
        <v>7833</v>
      </c>
      <c r="U821" t="s">
        <v>7834</v>
      </c>
      <c r="W821" t="s">
        <v>7834</v>
      </c>
      <c r="X821" t="s">
        <v>7834</v>
      </c>
      <c r="Y821" t="s">
        <v>7834</v>
      </c>
      <c r="Z821" t="s">
        <v>7834</v>
      </c>
      <c r="AA821" t="s">
        <v>7835</v>
      </c>
      <c r="AB821" t="s">
        <v>7836</v>
      </c>
      <c r="AC821" t="s">
        <v>6256</v>
      </c>
      <c r="AD821" t="s">
        <v>7837</v>
      </c>
      <c r="AE821" t="s">
        <v>6256</v>
      </c>
      <c r="AF821" t="s">
        <v>7838</v>
      </c>
      <c r="AG821" t="s">
        <v>6256</v>
      </c>
      <c r="AH821" t="s">
        <v>6256</v>
      </c>
      <c r="AI821" t="s">
        <v>7839</v>
      </c>
      <c r="AJ821" t="s">
        <v>7840</v>
      </c>
      <c r="AL821" t="s">
        <v>7841</v>
      </c>
      <c r="AM821" t="s">
        <v>7842</v>
      </c>
      <c r="AN821" t="s">
        <v>7843</v>
      </c>
      <c r="AO821" t="s">
        <v>7844</v>
      </c>
      <c r="AP821" t="s">
        <v>7141</v>
      </c>
      <c r="AQ821" t="s">
        <v>6319</v>
      </c>
      <c r="AR821" t="s">
        <v>6320</v>
      </c>
      <c r="AS821" t="s">
        <v>6320</v>
      </c>
      <c r="AT821" t="s">
        <v>6321</v>
      </c>
      <c r="AU821" t="s">
        <v>6321</v>
      </c>
      <c r="AV821" t="s">
        <v>6322</v>
      </c>
      <c r="AW821" t="s">
        <v>6322</v>
      </c>
      <c r="AX821" t="s">
        <v>7845</v>
      </c>
      <c r="AY821" t="s">
        <v>7846</v>
      </c>
      <c r="AZ821" t="s">
        <v>7847</v>
      </c>
      <c r="BD821" t="s">
        <v>5100</v>
      </c>
      <c r="BE821" t="s">
        <v>5100</v>
      </c>
      <c r="BF821" t="s">
        <v>5100</v>
      </c>
      <c r="BG821" t="s">
        <v>5101</v>
      </c>
      <c r="BH821" t="s">
        <v>5102</v>
      </c>
      <c r="BI821" t="s">
        <v>5103</v>
      </c>
      <c r="BJ821" t="s">
        <v>5100</v>
      </c>
      <c r="BK821" t="s">
        <v>5100</v>
      </c>
      <c r="BL821" t="s">
        <v>5100</v>
      </c>
      <c r="BM821" t="s">
        <v>5104</v>
      </c>
      <c r="BN821" t="s">
        <v>5100</v>
      </c>
      <c r="BO821" t="s">
        <v>5100</v>
      </c>
      <c r="BP821" t="s">
        <v>5105</v>
      </c>
      <c r="BQ821" t="s">
        <v>5106</v>
      </c>
      <c r="BR821" t="s">
        <v>5105</v>
      </c>
      <c r="BS821" t="s">
        <v>5107</v>
      </c>
      <c r="BT821" t="s">
        <v>5107</v>
      </c>
      <c r="BU821" t="s">
        <v>7872</v>
      </c>
      <c r="BV821" t="s">
        <v>7872</v>
      </c>
      <c r="BW821" t="s">
        <v>7873</v>
      </c>
      <c r="BX821" t="s">
        <v>7874</v>
      </c>
      <c r="BY821" t="s">
        <v>5107</v>
      </c>
      <c r="BZ821" t="s">
        <v>5099</v>
      </c>
      <c r="CA821" t="s">
        <v>7875</v>
      </c>
      <c r="CB821" t="s">
        <v>7876</v>
      </c>
      <c r="CC821" t="s">
        <v>7877</v>
      </c>
      <c r="CD821" t="s">
        <v>7878</v>
      </c>
      <c r="CE821" t="s">
        <v>7879</v>
      </c>
      <c r="CF821" t="s">
        <v>7877</v>
      </c>
      <c r="CG821" t="s">
        <v>7878</v>
      </c>
      <c r="CH821" t="s">
        <v>9191</v>
      </c>
      <c r="CI821" t="s">
        <v>7875</v>
      </c>
      <c r="CJ821" t="s">
        <v>7880</v>
      </c>
      <c r="CK821" t="s">
        <v>5108</v>
      </c>
      <c r="CL821" t="s">
        <v>7881</v>
      </c>
      <c r="CM821" t="s">
        <v>7882</v>
      </c>
      <c r="CN821" t="s">
        <v>7882</v>
      </c>
      <c r="CO821" t="s">
        <v>7882</v>
      </c>
      <c r="CP821" t="s">
        <v>7883</v>
      </c>
      <c r="CQ821" t="s">
        <v>7884</v>
      </c>
      <c r="CR821" t="s">
        <v>7885</v>
      </c>
      <c r="CS821" t="s">
        <v>7882</v>
      </c>
      <c r="CT821" t="s">
        <v>7882</v>
      </c>
      <c r="CU821" t="s">
        <v>7884</v>
      </c>
      <c r="CV821" t="s">
        <v>5108</v>
      </c>
      <c r="CW821" t="s">
        <v>7886</v>
      </c>
      <c r="CX821" t="s">
        <v>7887</v>
      </c>
      <c r="CY821" t="s">
        <v>7888</v>
      </c>
      <c r="CZ821" t="s">
        <v>9194</v>
      </c>
      <c r="DA821" t="s">
        <v>7886</v>
      </c>
      <c r="DB821" t="s">
        <v>7886</v>
      </c>
      <c r="DC821" t="s">
        <v>7886</v>
      </c>
      <c r="DD821" t="s">
        <v>7886</v>
      </c>
      <c r="DE821" t="s">
        <v>7886</v>
      </c>
      <c r="DF821" t="s">
        <v>7886</v>
      </c>
      <c r="DG821" t="s">
        <v>7886</v>
      </c>
      <c r="DH821" t="s">
        <v>7886</v>
      </c>
      <c r="DI821" t="s">
        <v>7886</v>
      </c>
      <c r="DJ821" t="s">
        <v>7886</v>
      </c>
      <c r="DK821" t="s">
        <v>7886</v>
      </c>
      <c r="DL821" t="s">
        <v>7886</v>
      </c>
      <c r="DM821" t="s">
        <v>7886</v>
      </c>
      <c r="DN821" t="s">
        <v>7886</v>
      </c>
      <c r="DO821" t="s">
        <v>7886</v>
      </c>
      <c r="DP821" t="s">
        <v>7886</v>
      </c>
      <c r="DQ821" t="s">
        <v>7886</v>
      </c>
      <c r="DR821" t="s">
        <v>7886</v>
      </c>
      <c r="DS821" t="s">
        <v>9197</v>
      </c>
      <c r="DT821" t="s">
        <v>7886</v>
      </c>
      <c r="DU821" t="s">
        <v>7886</v>
      </c>
      <c r="DV821" t="s">
        <v>7886</v>
      </c>
      <c r="DW821" t="s">
        <v>7886</v>
      </c>
      <c r="DX821" t="s">
        <v>7886</v>
      </c>
      <c r="DY821" t="s">
        <v>7886</v>
      </c>
      <c r="DZ821" t="s">
        <v>7886</v>
      </c>
      <c r="EA821" t="s">
        <v>7886</v>
      </c>
      <c r="EB821" t="s">
        <v>7886</v>
      </c>
      <c r="EC821" t="s">
        <v>7886</v>
      </c>
      <c r="ED821" t="s">
        <v>7886</v>
      </c>
      <c r="EE821" t="s">
        <v>7886</v>
      </c>
      <c r="EF821" t="s">
        <v>7886</v>
      </c>
      <c r="EG821" t="s">
        <v>7886</v>
      </c>
      <c r="EH821" t="s">
        <v>7889</v>
      </c>
      <c r="EI821" t="s">
        <v>7889</v>
      </c>
      <c r="EJ821" t="s">
        <v>7889</v>
      </c>
      <c r="EK821" t="s">
        <v>7889</v>
      </c>
      <c r="EL821" t="s">
        <v>7889</v>
      </c>
      <c r="EM821" t="s">
        <v>7889</v>
      </c>
      <c r="EN821" t="s">
        <v>7889</v>
      </c>
      <c r="EO821" t="s">
        <v>7889</v>
      </c>
      <c r="EP821" t="s">
        <v>7889</v>
      </c>
      <c r="EQ821" t="s">
        <v>7890</v>
      </c>
      <c r="ER821" t="s">
        <v>7890</v>
      </c>
      <c r="ES821" t="s">
        <v>7890</v>
      </c>
      <c r="ET821" t="s">
        <v>7890</v>
      </c>
      <c r="EU821" t="s">
        <v>7890</v>
      </c>
      <c r="EV821" t="s">
        <v>7890</v>
      </c>
      <c r="EW821" t="s">
        <v>7890</v>
      </c>
      <c r="EX821" t="s">
        <v>7890</v>
      </c>
      <c r="EY821" t="s">
        <v>7890</v>
      </c>
      <c r="EZ821" t="s">
        <v>7890</v>
      </c>
      <c r="FA821" t="s">
        <v>7890</v>
      </c>
      <c r="FB821" t="s">
        <v>7891</v>
      </c>
      <c r="FC821" t="s">
        <v>7891</v>
      </c>
      <c r="FD821" t="s">
        <v>7891</v>
      </c>
      <c r="FE821" t="s">
        <v>7891</v>
      </c>
      <c r="FF821" t="s">
        <v>7891</v>
      </c>
      <c r="FG821" t="s">
        <v>7891</v>
      </c>
      <c r="FH821" t="s">
        <v>7891</v>
      </c>
      <c r="FI821" t="s">
        <v>7891</v>
      </c>
      <c r="FJ821" t="s">
        <v>7891</v>
      </c>
      <c r="FK821" t="s">
        <v>7891</v>
      </c>
      <c r="FL821" t="s">
        <v>7892</v>
      </c>
      <c r="FM821" t="s">
        <v>7892</v>
      </c>
      <c r="FN821" t="s">
        <v>7892</v>
      </c>
      <c r="FO821" t="s">
        <v>7892</v>
      </c>
      <c r="FP821" t="s">
        <v>7892</v>
      </c>
      <c r="FQ821" t="s">
        <v>7892</v>
      </c>
      <c r="FR821" t="s">
        <v>7892</v>
      </c>
      <c r="FS821" t="s">
        <v>5899</v>
      </c>
      <c r="FT821" t="s">
        <v>7893</v>
      </c>
      <c r="FU821" t="s">
        <v>7894</v>
      </c>
      <c r="FV821" t="s">
        <v>7894</v>
      </c>
      <c r="FW821" t="s">
        <v>7895</v>
      </c>
      <c r="FX821" t="s">
        <v>7894</v>
      </c>
      <c r="FY821" t="s">
        <v>7896</v>
      </c>
      <c r="FZ821" t="s">
        <v>7897</v>
      </c>
      <c r="GA821" t="s">
        <v>7898</v>
      </c>
      <c r="GB821" t="s">
        <v>7899</v>
      </c>
      <c r="GC821" t="s">
        <v>7897</v>
      </c>
      <c r="GD821" t="s">
        <v>7897</v>
      </c>
      <c r="GE821" t="s">
        <v>7900</v>
      </c>
      <c r="GF821" t="s">
        <v>7897</v>
      </c>
      <c r="GG821" t="s">
        <v>7901</v>
      </c>
      <c r="GI821" t="s">
        <v>7901</v>
      </c>
      <c r="GJ821" t="s">
        <v>7901</v>
      </c>
      <c r="GK821" t="s">
        <v>7902</v>
      </c>
      <c r="GL821" t="s">
        <v>7903</v>
      </c>
      <c r="GM821" t="s">
        <v>7904</v>
      </c>
      <c r="GN821" t="s">
        <v>7902</v>
      </c>
      <c r="GO821" t="s">
        <v>7902</v>
      </c>
      <c r="GQ821" t="s">
        <v>3821</v>
      </c>
      <c r="GR821" t="s">
        <v>3822</v>
      </c>
      <c r="GS821" t="s">
        <v>3821</v>
      </c>
      <c r="GT821" t="s">
        <v>3821</v>
      </c>
      <c r="GU821" t="s">
        <v>3823</v>
      </c>
      <c r="GV821" t="s">
        <v>3821</v>
      </c>
      <c r="GW821" t="s">
        <v>7925</v>
      </c>
      <c r="GX821" t="s">
        <v>7926</v>
      </c>
      <c r="GY821" t="s">
        <v>5773</v>
      </c>
      <c r="GZ821" t="s">
        <v>7927</v>
      </c>
      <c r="HA821" t="s">
        <v>7927</v>
      </c>
      <c r="HB821" t="s">
        <v>3825</v>
      </c>
      <c r="HC821" t="s">
        <v>3824</v>
      </c>
      <c r="HD821" t="s">
        <v>3825</v>
      </c>
      <c r="HE821" t="s">
        <v>3825</v>
      </c>
      <c r="HF821" t="s">
        <v>3825</v>
      </c>
      <c r="HG821" t="s">
        <v>3825</v>
      </c>
      <c r="HH821" t="s">
        <v>3826</v>
      </c>
      <c r="HI821" t="s">
        <v>3827</v>
      </c>
      <c r="HJ821" t="s">
        <v>7928</v>
      </c>
      <c r="HK821" t="s">
        <v>3828</v>
      </c>
      <c r="HL821" t="s">
        <v>3829</v>
      </c>
      <c r="HM821" t="s">
        <v>7929</v>
      </c>
      <c r="HN821" t="s">
        <v>7929</v>
      </c>
      <c r="HO821" t="s">
        <v>7929</v>
      </c>
      <c r="HP821" t="s">
        <v>7929</v>
      </c>
      <c r="HQ821" t="s">
        <v>7929</v>
      </c>
      <c r="HR821" t="s">
        <v>7929</v>
      </c>
      <c r="HS821" t="s">
        <v>7930</v>
      </c>
      <c r="HT821" t="s">
        <v>7931</v>
      </c>
      <c r="HU821" t="s">
        <v>7932</v>
      </c>
      <c r="HV821" t="s">
        <v>7933</v>
      </c>
      <c r="HW821" t="s">
        <v>9199</v>
      </c>
      <c r="HX821" t="s">
        <v>7931</v>
      </c>
      <c r="HY821" t="s">
        <v>4217</v>
      </c>
      <c r="HZ821" t="s">
        <v>4217</v>
      </c>
      <c r="IA821" t="s">
        <v>4218</v>
      </c>
      <c r="IB821" t="s">
        <v>7278</v>
      </c>
      <c r="IC821" t="s">
        <v>7278</v>
      </c>
      <c r="ID821" t="s">
        <v>7278</v>
      </c>
      <c r="IE821" t="s">
        <v>5783</v>
      </c>
      <c r="IF821" t="s">
        <v>5783</v>
      </c>
      <c r="IG821" t="s">
        <v>5783</v>
      </c>
      <c r="IH821" t="s">
        <v>5783</v>
      </c>
      <c r="II821" t="s">
        <v>5784</v>
      </c>
      <c r="IJ821" t="s">
        <v>7279</v>
      </c>
      <c r="IK821" t="s">
        <v>7934</v>
      </c>
      <c r="IL821" t="s">
        <v>5785</v>
      </c>
      <c r="IM821" t="s">
        <v>5786</v>
      </c>
      <c r="IN821" t="s">
        <v>5787</v>
      </c>
      <c r="IO821" t="s">
        <v>5788</v>
      </c>
      <c r="IP821" t="s">
        <v>5789</v>
      </c>
      <c r="IQ821" t="s">
        <v>5790</v>
      </c>
      <c r="IR821" t="s">
        <v>5791</v>
      </c>
      <c r="IS821" t="s">
        <v>5792</v>
      </c>
      <c r="IT821" t="s">
        <v>7935</v>
      </c>
      <c r="IU821" t="s">
        <v>5793</v>
      </c>
    </row>
    <row r="822" spans="1:255" ht="15" customHeight="1" x14ac:dyDescent="0.2">
      <c r="A822" t="s">
        <v>1515</v>
      </c>
      <c r="C822" t="s">
        <v>6315</v>
      </c>
      <c r="D822" t="s">
        <v>7848</v>
      </c>
      <c r="E822" t="s">
        <v>7848</v>
      </c>
      <c r="F822" t="s">
        <v>7848</v>
      </c>
      <c r="G822" t="s">
        <v>7848</v>
      </c>
      <c r="H822" t="s">
        <v>7848</v>
      </c>
      <c r="I822" t="s">
        <v>7849</v>
      </c>
      <c r="J822" t="s">
        <v>7850</v>
      </c>
      <c r="M822" t="s">
        <v>5116</v>
      </c>
      <c r="N822" t="s">
        <v>5116</v>
      </c>
      <c r="O822" t="s">
        <v>5116</v>
      </c>
      <c r="P822" t="s">
        <v>5116</v>
      </c>
      <c r="Q822" t="s">
        <v>5116</v>
      </c>
      <c r="R822" t="s">
        <v>5116</v>
      </c>
      <c r="S822" t="s">
        <v>5116</v>
      </c>
      <c r="T822" t="s">
        <v>5116</v>
      </c>
      <c r="U822" t="s">
        <v>7851</v>
      </c>
      <c r="V822" t="s">
        <v>7852</v>
      </c>
      <c r="W822" t="s">
        <v>7853</v>
      </c>
      <c r="X822" t="s">
        <v>7851</v>
      </c>
      <c r="Y822" t="s">
        <v>7854</v>
      </c>
      <c r="Z822" t="s">
        <v>7853</v>
      </c>
      <c r="AA822" t="s">
        <v>5116</v>
      </c>
      <c r="AB822" t="s">
        <v>6323</v>
      </c>
      <c r="AC822" t="s">
        <v>6324</v>
      </c>
      <c r="AD822" t="s">
        <v>6324</v>
      </c>
      <c r="AE822" t="s">
        <v>6324</v>
      </c>
      <c r="AF822" t="s">
        <v>7855</v>
      </c>
      <c r="AG822" t="s">
        <v>6324</v>
      </c>
      <c r="AH822" t="s">
        <v>6324</v>
      </c>
      <c r="AI822" t="s">
        <v>6325</v>
      </c>
      <c r="AJ822" t="s">
        <v>5116</v>
      </c>
      <c r="AK822" t="s">
        <v>5116</v>
      </c>
      <c r="AL822" t="s">
        <v>6326</v>
      </c>
      <c r="AM822" t="s">
        <v>6327</v>
      </c>
      <c r="AN822" t="s">
        <v>6328</v>
      </c>
      <c r="AO822" t="s">
        <v>6329</v>
      </c>
      <c r="AP822" t="s">
        <v>6329</v>
      </c>
      <c r="AQ822" t="s">
        <v>6330</v>
      </c>
      <c r="AR822" t="s">
        <v>5116</v>
      </c>
      <c r="AS822" t="s">
        <v>5116</v>
      </c>
      <c r="AT822" t="s">
        <v>5116</v>
      </c>
      <c r="AU822" t="s">
        <v>5116</v>
      </c>
      <c r="AV822" t="s">
        <v>5116</v>
      </c>
      <c r="AW822" t="s">
        <v>6332</v>
      </c>
      <c r="AX822" t="s">
        <v>6332</v>
      </c>
      <c r="AY822" t="s">
        <v>6332</v>
      </c>
      <c r="AZ822" t="s">
        <v>6331</v>
      </c>
      <c r="BE822" t="s">
        <v>5110</v>
      </c>
      <c r="BI822" t="s">
        <v>5109</v>
      </c>
      <c r="BS822" t="s">
        <v>5111</v>
      </c>
      <c r="BT822" t="s">
        <v>5112</v>
      </c>
      <c r="BU822" t="s">
        <v>5111</v>
      </c>
      <c r="BV822" t="s">
        <v>5110</v>
      </c>
      <c r="BW822" t="s">
        <v>5111</v>
      </c>
      <c r="BX822" t="s">
        <v>5111</v>
      </c>
      <c r="BY822" t="s">
        <v>5111</v>
      </c>
      <c r="BZ822" t="s">
        <v>5113</v>
      </c>
      <c r="CA822" t="s">
        <v>7905</v>
      </c>
      <c r="CB822" t="s">
        <v>7905</v>
      </c>
      <c r="CC822" t="s">
        <v>7905</v>
      </c>
      <c r="CD822" t="s">
        <v>7906</v>
      </c>
      <c r="CE822" t="s">
        <v>7905</v>
      </c>
      <c r="CF822" t="s">
        <v>7905</v>
      </c>
      <c r="CG822" t="s">
        <v>7905</v>
      </c>
      <c r="CI822" t="s">
        <v>7905</v>
      </c>
      <c r="CJ822" t="s">
        <v>7905</v>
      </c>
      <c r="CK822" t="s">
        <v>7907</v>
      </c>
      <c r="CL822" t="s">
        <v>7907</v>
      </c>
      <c r="CM822" t="s">
        <v>7908</v>
      </c>
      <c r="CN822" t="s">
        <v>7909</v>
      </c>
      <c r="CO822" t="s">
        <v>7910</v>
      </c>
      <c r="CP822" t="s">
        <v>7907</v>
      </c>
      <c r="CQ822" t="s">
        <v>7911</v>
      </c>
      <c r="CR822" t="s">
        <v>7911</v>
      </c>
      <c r="CS822" t="s">
        <v>7912</v>
      </c>
      <c r="CT822" t="s">
        <v>7907</v>
      </c>
      <c r="CU822" t="s">
        <v>7913</v>
      </c>
      <c r="CV822" t="s">
        <v>7907</v>
      </c>
      <c r="CW822" t="s">
        <v>5109</v>
      </c>
      <c r="CX822" t="s">
        <v>5109</v>
      </c>
      <c r="CY822" t="s">
        <v>5109</v>
      </c>
      <c r="CZ822" t="s">
        <v>5109</v>
      </c>
      <c r="DA822" t="s">
        <v>5109</v>
      </c>
      <c r="DB822" t="s">
        <v>5109</v>
      </c>
      <c r="DC822" t="s">
        <v>5109</v>
      </c>
      <c r="DD822" t="s">
        <v>5109</v>
      </c>
      <c r="DE822" t="s">
        <v>5109</v>
      </c>
      <c r="DF822" t="s">
        <v>5109</v>
      </c>
      <c r="DG822" t="s">
        <v>5109</v>
      </c>
      <c r="DH822" t="s">
        <v>5109</v>
      </c>
      <c r="DI822" t="s">
        <v>5109</v>
      </c>
      <c r="DJ822" t="s">
        <v>5109</v>
      </c>
      <c r="DK822" t="s">
        <v>5109</v>
      </c>
      <c r="DL822" t="s">
        <v>5109</v>
      </c>
      <c r="DM822" t="s">
        <v>5109</v>
      </c>
      <c r="DN822" t="s">
        <v>5109</v>
      </c>
      <c r="DO822" t="s">
        <v>5109</v>
      </c>
      <c r="DP822" t="s">
        <v>5109</v>
      </c>
      <c r="DQ822" t="s">
        <v>5109</v>
      </c>
      <c r="DR822" t="s">
        <v>5109</v>
      </c>
      <c r="DS822" t="s">
        <v>5109</v>
      </c>
      <c r="DT822" t="s">
        <v>5109</v>
      </c>
      <c r="DU822" t="s">
        <v>5109</v>
      </c>
      <c r="DV822" t="s">
        <v>5109</v>
      </c>
      <c r="DW822" t="s">
        <v>5109</v>
      </c>
      <c r="DX822" t="s">
        <v>5109</v>
      </c>
      <c r="DY822" t="s">
        <v>5109</v>
      </c>
      <c r="DZ822" t="s">
        <v>5109</v>
      </c>
      <c r="EA822" t="s">
        <v>5109</v>
      </c>
      <c r="EB822" t="s">
        <v>5109</v>
      </c>
      <c r="EC822" t="s">
        <v>5109</v>
      </c>
      <c r="ED822" t="s">
        <v>5109</v>
      </c>
      <c r="EE822" t="s">
        <v>5109</v>
      </c>
      <c r="EF822" t="s">
        <v>5109</v>
      </c>
      <c r="EG822" t="s">
        <v>5109</v>
      </c>
      <c r="FL822" t="s">
        <v>5116</v>
      </c>
      <c r="FM822" t="s">
        <v>5116</v>
      </c>
      <c r="FN822" t="s">
        <v>5116</v>
      </c>
      <c r="FO822" t="s">
        <v>5116</v>
      </c>
      <c r="FP822" t="s">
        <v>5116</v>
      </c>
      <c r="FQ822" t="s">
        <v>5116</v>
      </c>
      <c r="FR822" t="s">
        <v>5116</v>
      </c>
      <c r="FU822" t="s">
        <v>6257</v>
      </c>
      <c r="FV822" t="s">
        <v>6257</v>
      </c>
      <c r="FW822" t="s">
        <v>6258</v>
      </c>
      <c r="FX822" t="s">
        <v>6257</v>
      </c>
      <c r="FY822" t="s">
        <v>6257</v>
      </c>
      <c r="FZ822" t="s">
        <v>6259</v>
      </c>
      <c r="GA822" t="s">
        <v>6259</v>
      </c>
      <c r="GB822" t="s">
        <v>6259</v>
      </c>
      <c r="GC822" t="s">
        <v>6259</v>
      </c>
      <c r="GD822" t="s">
        <v>6259</v>
      </c>
      <c r="GE822" t="s">
        <v>6259</v>
      </c>
      <c r="GF822" t="s">
        <v>5116</v>
      </c>
      <c r="GK822" t="s">
        <v>6260</v>
      </c>
      <c r="GM822" t="s">
        <v>6260</v>
      </c>
      <c r="GN822" t="s">
        <v>6260</v>
      </c>
      <c r="GO822" t="s">
        <v>6260</v>
      </c>
      <c r="GQ822" t="s">
        <v>7936</v>
      </c>
      <c r="GR822" t="s">
        <v>7936</v>
      </c>
      <c r="GS822" t="s">
        <v>7936</v>
      </c>
      <c r="GT822" t="s">
        <v>7936</v>
      </c>
      <c r="GU822" t="s">
        <v>7936</v>
      </c>
      <c r="GV822" t="s">
        <v>7936</v>
      </c>
      <c r="GW822" t="s">
        <v>7936</v>
      </c>
      <c r="GX822" t="s">
        <v>5117</v>
      </c>
      <c r="GY822" t="s">
        <v>5118</v>
      </c>
      <c r="GZ822" t="s">
        <v>5119</v>
      </c>
      <c r="HA822" t="s">
        <v>5119</v>
      </c>
      <c r="HH822" t="s">
        <v>3830</v>
      </c>
      <c r="HI822" t="s">
        <v>5120</v>
      </c>
      <c r="HJ822" t="s">
        <v>3831</v>
      </c>
      <c r="HK822" t="s">
        <v>3831</v>
      </c>
      <c r="HL822" t="s">
        <v>5121</v>
      </c>
      <c r="HX822" t="s">
        <v>5115</v>
      </c>
      <c r="HY822" t="s">
        <v>4219</v>
      </c>
      <c r="IA822" t="s">
        <v>4220</v>
      </c>
      <c r="IE822" t="s">
        <v>5116</v>
      </c>
      <c r="IF822" t="s">
        <v>5116</v>
      </c>
      <c r="IG822" t="s">
        <v>7937</v>
      </c>
      <c r="IH822" t="s">
        <v>5116</v>
      </c>
      <c r="II822" t="s">
        <v>5116</v>
      </c>
      <c r="IJ822" t="s">
        <v>7938</v>
      </c>
      <c r="IK822" t="s">
        <v>7938</v>
      </c>
      <c r="IL822" t="s">
        <v>4219</v>
      </c>
      <c r="IM822" t="s">
        <v>4219</v>
      </c>
      <c r="IN822" t="s">
        <v>4219</v>
      </c>
      <c r="IO822" t="s">
        <v>4219</v>
      </c>
      <c r="IP822" t="s">
        <v>5794</v>
      </c>
      <c r="IQ822" t="s">
        <v>5116</v>
      </c>
    </row>
    <row r="823" spans="1:255" x14ac:dyDescent="0.2">
      <c r="A823" t="s">
        <v>2664</v>
      </c>
    </row>
    <row r="824" spans="1:255" x14ac:dyDescent="0.2">
      <c r="A824" t="s">
        <v>4245</v>
      </c>
    </row>
    <row r="825" spans="1:255" x14ac:dyDescent="0.2">
      <c r="A825" t="s">
        <v>2665</v>
      </c>
    </row>
    <row r="826" spans="1:255" x14ac:dyDescent="0.2">
      <c r="A826" t="s">
        <v>4246</v>
      </c>
      <c r="C826" t="s">
        <v>7856</v>
      </c>
      <c r="I826" t="s">
        <v>6585</v>
      </c>
      <c r="J826" t="s">
        <v>6586</v>
      </c>
      <c r="K826" t="s">
        <v>6587</v>
      </c>
      <c r="L826" t="s">
        <v>6587</v>
      </c>
      <c r="U826" t="s">
        <v>7857</v>
      </c>
      <c r="V826" t="s">
        <v>7858</v>
      </c>
      <c r="W826" t="s">
        <v>7857</v>
      </c>
      <c r="X826" t="s">
        <v>7857</v>
      </c>
      <c r="Y826" t="s">
        <v>7859</v>
      </c>
      <c r="Z826" t="s">
        <v>7857</v>
      </c>
      <c r="AA826" t="s">
        <v>7858</v>
      </c>
      <c r="AK826" t="s">
        <v>6605</v>
      </c>
      <c r="AW826" t="s">
        <v>6316</v>
      </c>
      <c r="AX826" t="s">
        <v>6316</v>
      </c>
      <c r="AY826" t="s">
        <v>6316</v>
      </c>
      <c r="AZ826" t="s">
        <v>6606</v>
      </c>
      <c r="BC826" t="s">
        <v>6607</v>
      </c>
      <c r="BD826" t="s">
        <v>7914</v>
      </c>
      <c r="BE826" t="s">
        <v>7914</v>
      </c>
      <c r="BF826" t="s">
        <v>7915</v>
      </c>
      <c r="BG826" t="s">
        <v>7914</v>
      </c>
      <c r="BH826" t="s">
        <v>7914</v>
      </c>
      <c r="BI826" t="s">
        <v>7914</v>
      </c>
      <c r="BJ826" t="s">
        <v>7914</v>
      </c>
      <c r="BK826" t="s">
        <v>7914</v>
      </c>
      <c r="BL826" t="s">
        <v>7914</v>
      </c>
      <c r="BM826" t="s">
        <v>7914</v>
      </c>
      <c r="BN826" t="s">
        <v>7914</v>
      </c>
      <c r="BO826" t="s">
        <v>7914</v>
      </c>
      <c r="BS826" t="s">
        <v>7916</v>
      </c>
      <c r="BT826" t="s">
        <v>7916</v>
      </c>
      <c r="BU826" t="s">
        <v>7916</v>
      </c>
      <c r="BV826" t="s">
        <v>7916</v>
      </c>
      <c r="BW826" t="s">
        <v>7916</v>
      </c>
      <c r="BX826" t="s">
        <v>7916</v>
      </c>
      <c r="BY826" t="s">
        <v>7916</v>
      </c>
      <c r="BZ826" t="s">
        <v>7916</v>
      </c>
      <c r="CA826" t="s">
        <v>5098</v>
      </c>
      <c r="CB826" t="s">
        <v>5098</v>
      </c>
      <c r="CC826" t="s">
        <v>5098</v>
      </c>
      <c r="CD826" t="s">
        <v>5098</v>
      </c>
      <c r="CE826" t="s">
        <v>5098</v>
      </c>
      <c r="CF826" t="s">
        <v>5098</v>
      </c>
      <c r="CG826" t="s">
        <v>5098</v>
      </c>
      <c r="CI826" t="s">
        <v>5098</v>
      </c>
      <c r="CJ826" t="s">
        <v>5098</v>
      </c>
      <c r="CW826" t="s">
        <v>6608</v>
      </c>
      <c r="CX826" t="s">
        <v>6608</v>
      </c>
      <c r="CY826" t="s">
        <v>6608</v>
      </c>
      <c r="CZ826" t="s">
        <v>6608</v>
      </c>
      <c r="DA826" t="s">
        <v>6608</v>
      </c>
      <c r="DB826" t="s">
        <v>6608</v>
      </c>
      <c r="DC826" t="s">
        <v>6608</v>
      </c>
      <c r="DD826" t="s">
        <v>6608</v>
      </c>
      <c r="DE826" t="s">
        <v>6608</v>
      </c>
      <c r="DF826" t="s">
        <v>6608</v>
      </c>
      <c r="DG826" t="s">
        <v>6608</v>
      </c>
      <c r="DH826" t="s">
        <v>6608</v>
      </c>
      <c r="DI826" t="s">
        <v>6608</v>
      </c>
      <c r="DJ826" t="s">
        <v>6608</v>
      </c>
      <c r="DK826" t="s">
        <v>6608</v>
      </c>
      <c r="DL826" t="s">
        <v>6608</v>
      </c>
      <c r="DM826" t="s">
        <v>6608</v>
      </c>
      <c r="DN826" t="s">
        <v>6608</v>
      </c>
      <c r="DO826" t="s">
        <v>6608</v>
      </c>
      <c r="DP826" t="s">
        <v>6608</v>
      </c>
      <c r="DQ826" t="s">
        <v>6608</v>
      </c>
      <c r="DR826" t="s">
        <v>6608</v>
      </c>
      <c r="DS826" t="s">
        <v>6608</v>
      </c>
      <c r="DT826" t="s">
        <v>6608</v>
      </c>
      <c r="DU826" t="s">
        <v>6608</v>
      </c>
      <c r="DV826" t="s">
        <v>6608</v>
      </c>
      <c r="DW826" t="s">
        <v>6608</v>
      </c>
      <c r="DX826" t="s">
        <v>6608</v>
      </c>
      <c r="DY826" t="s">
        <v>6608</v>
      </c>
      <c r="DZ826" t="s">
        <v>6608</v>
      </c>
      <c r="EA826" t="s">
        <v>6608</v>
      </c>
      <c r="EB826" t="s">
        <v>6608</v>
      </c>
      <c r="EC826" t="s">
        <v>6608</v>
      </c>
      <c r="ED826" t="s">
        <v>6608</v>
      </c>
      <c r="EE826" t="s">
        <v>6608</v>
      </c>
      <c r="EF826" t="s">
        <v>6608</v>
      </c>
      <c r="EG826" t="s">
        <v>6608</v>
      </c>
      <c r="EH826" t="s">
        <v>6608</v>
      </c>
      <c r="EI826" t="s">
        <v>6608</v>
      </c>
      <c r="EJ826" t="s">
        <v>6608</v>
      </c>
      <c r="EK826" t="s">
        <v>6608</v>
      </c>
      <c r="EL826" t="s">
        <v>6608</v>
      </c>
      <c r="EM826" t="s">
        <v>6608</v>
      </c>
      <c r="EN826" t="s">
        <v>6608</v>
      </c>
      <c r="EO826" t="s">
        <v>6608</v>
      </c>
      <c r="EP826" t="s">
        <v>6608</v>
      </c>
      <c r="EQ826" t="s">
        <v>6608</v>
      </c>
      <c r="ER826" t="s">
        <v>6608</v>
      </c>
      <c r="ES826" t="s">
        <v>6608</v>
      </c>
      <c r="ET826" t="s">
        <v>6608</v>
      </c>
      <c r="EU826" t="s">
        <v>6608</v>
      </c>
      <c r="EV826" t="s">
        <v>6608</v>
      </c>
      <c r="EW826" t="s">
        <v>6608</v>
      </c>
      <c r="EX826" t="s">
        <v>6608</v>
      </c>
      <c r="EY826" t="s">
        <v>6608</v>
      </c>
      <c r="EZ826" t="s">
        <v>6608</v>
      </c>
      <c r="FA826" t="s">
        <v>6608</v>
      </c>
      <c r="FB826" t="s">
        <v>6608</v>
      </c>
      <c r="FC826" t="s">
        <v>6608</v>
      </c>
      <c r="FD826" t="s">
        <v>6608</v>
      </c>
      <c r="FE826" t="s">
        <v>6608</v>
      </c>
      <c r="FF826" t="s">
        <v>6608</v>
      </c>
      <c r="FG826" t="s">
        <v>6608</v>
      </c>
      <c r="FH826" t="s">
        <v>6608</v>
      </c>
      <c r="FI826" t="s">
        <v>6608</v>
      </c>
      <c r="FJ826" t="s">
        <v>6608</v>
      </c>
      <c r="FK826" t="s">
        <v>6608</v>
      </c>
      <c r="FL826" t="s">
        <v>6608</v>
      </c>
      <c r="FM826" t="s">
        <v>6608</v>
      </c>
      <c r="FN826" t="s">
        <v>6608</v>
      </c>
      <c r="FO826" t="s">
        <v>6608</v>
      </c>
      <c r="FP826" t="s">
        <v>6608</v>
      </c>
      <c r="FQ826" t="s">
        <v>6608</v>
      </c>
      <c r="FR826" t="s">
        <v>6608</v>
      </c>
      <c r="FS826" t="s">
        <v>7917</v>
      </c>
      <c r="FT826" t="s">
        <v>7917</v>
      </c>
      <c r="FU826" t="s">
        <v>6609</v>
      </c>
      <c r="FV826" t="s">
        <v>6609</v>
      </c>
      <c r="FW826" t="s">
        <v>6609</v>
      </c>
      <c r="FX826" t="s">
        <v>6609</v>
      </c>
      <c r="FY826" t="s">
        <v>6609</v>
      </c>
      <c r="FZ826" t="s">
        <v>6610</v>
      </c>
      <c r="GA826" t="s">
        <v>6610</v>
      </c>
      <c r="GB826" t="s">
        <v>6610</v>
      </c>
      <c r="GC826" t="s">
        <v>6610</v>
      </c>
      <c r="GD826" t="s">
        <v>6610</v>
      </c>
      <c r="GE826" t="s">
        <v>6610</v>
      </c>
      <c r="GF826" t="s">
        <v>6610</v>
      </c>
      <c r="GW826" t="s">
        <v>3832</v>
      </c>
      <c r="HB826" t="s">
        <v>6591</v>
      </c>
      <c r="HC826" t="s">
        <v>6591</v>
      </c>
      <c r="HD826" t="s">
        <v>6591</v>
      </c>
      <c r="HE826" t="s">
        <v>6591</v>
      </c>
      <c r="HF826" t="s">
        <v>6591</v>
      </c>
      <c r="HG826" t="s">
        <v>6591</v>
      </c>
      <c r="HH826" t="s">
        <v>7939</v>
      </c>
      <c r="HI826" t="s">
        <v>7940</v>
      </c>
      <c r="HJ826" t="s">
        <v>4188</v>
      </c>
      <c r="HM826" t="s">
        <v>7941</v>
      </c>
      <c r="HN826" t="s">
        <v>7941</v>
      </c>
      <c r="HO826" t="s">
        <v>7941</v>
      </c>
      <c r="HP826" t="s">
        <v>7941</v>
      </c>
      <c r="HQ826" t="s">
        <v>7941</v>
      </c>
      <c r="HR826" t="s">
        <v>7941</v>
      </c>
      <c r="HS826" t="s">
        <v>7941</v>
      </c>
      <c r="HT826" t="s">
        <v>6588</v>
      </c>
      <c r="HU826" t="s">
        <v>6588</v>
      </c>
      <c r="HV826" t="s">
        <v>6588</v>
      </c>
      <c r="HX826" t="s">
        <v>6588</v>
      </c>
      <c r="HY826" t="s">
        <v>6595</v>
      </c>
      <c r="HZ826" t="s">
        <v>6595</v>
      </c>
      <c r="IA826" t="s">
        <v>4188</v>
      </c>
      <c r="IB826" t="s">
        <v>6597</v>
      </c>
      <c r="IC826" t="s">
        <v>6598</v>
      </c>
      <c r="ID826" t="s">
        <v>6598</v>
      </c>
      <c r="IE826" t="s">
        <v>6599</v>
      </c>
      <c r="IF826" t="s">
        <v>6599</v>
      </c>
      <c r="IG826" t="s">
        <v>6599</v>
      </c>
      <c r="IH826" t="s">
        <v>7942</v>
      </c>
      <c r="II826" t="s">
        <v>6599</v>
      </c>
      <c r="IJ826" t="s">
        <v>6600</v>
      </c>
      <c r="IK826" t="s">
        <v>6600</v>
      </c>
      <c r="IL826" t="s">
        <v>6601</v>
      </c>
      <c r="IQ826" t="s">
        <v>6603</v>
      </c>
      <c r="IR826" t="s">
        <v>6602</v>
      </c>
      <c r="IS826" t="s">
        <v>6604</v>
      </c>
      <c r="IT826" t="s">
        <v>6602</v>
      </c>
      <c r="IU826" t="s">
        <v>6602</v>
      </c>
    </row>
    <row r="827" spans="1:255" x14ac:dyDescent="0.2">
      <c r="A827" t="s">
        <v>2666</v>
      </c>
    </row>
    <row r="828" spans="1:255" x14ac:dyDescent="0.2">
      <c r="A828" t="s">
        <v>2667</v>
      </c>
    </row>
    <row r="829" spans="1:255" x14ac:dyDescent="0.2">
      <c r="A829" t="s">
        <v>2755</v>
      </c>
    </row>
    <row r="830" spans="1:255" x14ac:dyDescent="0.2">
      <c r="A830" t="s">
        <v>6614</v>
      </c>
    </row>
    <row r="831" spans="1:255" x14ac:dyDescent="0.2">
      <c r="A831" t="s">
        <v>6615</v>
      </c>
    </row>
    <row r="832" spans="1:255" x14ac:dyDescent="0.2">
      <c r="A832" t="s">
        <v>6616</v>
      </c>
    </row>
    <row r="833" spans="1:235" x14ac:dyDescent="0.2">
      <c r="A833" t="s">
        <v>6617</v>
      </c>
      <c r="AN833" t="s">
        <v>5098</v>
      </c>
      <c r="BZ833" t="s">
        <v>5098</v>
      </c>
      <c r="GQ833" t="s">
        <v>6589</v>
      </c>
      <c r="GR833" t="s">
        <v>6589</v>
      </c>
      <c r="GS833" t="s">
        <v>6589</v>
      </c>
      <c r="GT833" t="s">
        <v>6589</v>
      </c>
      <c r="GU833" t="s">
        <v>6589</v>
      </c>
      <c r="GV833" t="s">
        <v>6589</v>
      </c>
      <c r="GW833" t="s">
        <v>6589</v>
      </c>
      <c r="GX833" t="s">
        <v>3833</v>
      </c>
      <c r="GY833" t="s">
        <v>6588</v>
      </c>
      <c r="GZ833" t="s">
        <v>3834</v>
      </c>
      <c r="HA833" t="s">
        <v>3834</v>
      </c>
      <c r="HH833" t="s">
        <v>6592</v>
      </c>
      <c r="HL833" t="s">
        <v>4188</v>
      </c>
      <c r="HM833" t="s">
        <v>4188</v>
      </c>
      <c r="HN833" t="s">
        <v>4188</v>
      </c>
      <c r="HO833" t="s">
        <v>4188</v>
      </c>
      <c r="HP833" t="s">
        <v>4188</v>
      </c>
      <c r="HQ833" t="s">
        <v>4188</v>
      </c>
      <c r="HS833" t="s">
        <v>4188</v>
      </c>
      <c r="HT833" t="s">
        <v>6593</v>
      </c>
      <c r="HU833" t="s">
        <v>6593</v>
      </c>
      <c r="HV833" t="s">
        <v>6593</v>
      </c>
      <c r="HW833" t="s">
        <v>6593</v>
      </c>
      <c r="HX833" t="s">
        <v>6593</v>
      </c>
      <c r="IA833" t="s">
        <v>6596</v>
      </c>
    </row>
    <row r="834" spans="1:235" x14ac:dyDescent="0.2">
      <c r="A834" t="s">
        <v>6618</v>
      </c>
    </row>
    <row r="835" spans="1:235" x14ac:dyDescent="0.2">
      <c r="A835" t="s">
        <v>6619</v>
      </c>
    </row>
    <row r="836" spans="1:235" x14ac:dyDescent="0.2">
      <c r="A836" t="s">
        <v>6620</v>
      </c>
    </row>
    <row r="837" spans="1:235" x14ac:dyDescent="0.2">
      <c r="A837" t="s">
        <v>4247</v>
      </c>
    </row>
    <row r="838" spans="1:235" x14ac:dyDescent="0.2">
      <c r="A838" t="s">
        <v>4248</v>
      </c>
    </row>
    <row r="839" spans="1:235" x14ac:dyDescent="0.2">
      <c r="A839" t="s">
        <v>4976</v>
      </c>
    </row>
    <row r="840" spans="1:235" x14ac:dyDescent="0.2">
      <c r="A840" t="s">
        <v>3596</v>
      </c>
    </row>
    <row r="843" spans="1:235" x14ac:dyDescent="0.2">
      <c r="A843" t="s">
        <v>6711</v>
      </c>
    </row>
    <row r="844" spans="1:235" x14ac:dyDescent="0.2">
      <c r="A844" t="s">
        <v>4852</v>
      </c>
    </row>
    <row r="845" spans="1:235" x14ac:dyDescent="0.2">
      <c r="A845" t="s">
        <v>6740</v>
      </c>
    </row>
    <row r="846" spans="1:235" x14ac:dyDescent="0.2">
      <c r="A846" t="s">
        <v>7075</v>
      </c>
    </row>
    <row r="847" spans="1:235" x14ac:dyDescent="0.2">
      <c r="A847" t="s">
        <v>6479</v>
      </c>
    </row>
    <row r="848" spans="1:235" x14ac:dyDescent="0.2">
      <c r="A848" t="s">
        <v>2668</v>
      </c>
    </row>
    <row r="849" spans="1:255" x14ac:dyDescent="0.2">
      <c r="A849" t="s">
        <v>4194</v>
      </c>
    </row>
    <row r="850" spans="1:255" x14ac:dyDescent="0.2">
      <c r="A850" t="s">
        <v>3882</v>
      </c>
      <c r="C850" t="s">
        <v>3884</v>
      </c>
      <c r="D850" t="s">
        <v>3884</v>
      </c>
      <c r="E850" t="s">
        <v>3884</v>
      </c>
      <c r="F850" t="s">
        <v>3884</v>
      </c>
      <c r="G850" t="s">
        <v>3884</v>
      </c>
      <c r="H850" t="s">
        <v>3884</v>
      </c>
      <c r="I850" t="s">
        <v>3884</v>
      </c>
      <c r="J850" t="s">
        <v>3884</v>
      </c>
      <c r="K850" t="s">
        <v>3884</v>
      </c>
      <c r="L850" t="s">
        <v>3884</v>
      </c>
      <c r="M850" t="s">
        <v>3884</v>
      </c>
      <c r="N850" t="s">
        <v>3884</v>
      </c>
      <c r="O850" t="s">
        <v>3884</v>
      </c>
      <c r="P850" t="s">
        <v>3884</v>
      </c>
      <c r="Q850" t="s">
        <v>3884</v>
      </c>
      <c r="R850" t="s">
        <v>3884</v>
      </c>
      <c r="S850" t="s">
        <v>3884</v>
      </c>
      <c r="T850" t="s">
        <v>3884</v>
      </c>
      <c r="U850" t="s">
        <v>3884</v>
      </c>
      <c r="V850" t="s">
        <v>3884</v>
      </c>
      <c r="W850" t="s">
        <v>3884</v>
      </c>
      <c r="X850" t="s">
        <v>3884</v>
      </c>
      <c r="Y850" t="s">
        <v>3884</v>
      </c>
      <c r="Z850" t="s">
        <v>3884</v>
      </c>
      <c r="AA850" t="s">
        <v>3884</v>
      </c>
      <c r="AB850" t="s">
        <v>3884</v>
      </c>
      <c r="AC850" t="s">
        <v>3884</v>
      </c>
      <c r="AD850" t="s">
        <v>3884</v>
      </c>
      <c r="AE850" t="s">
        <v>3884</v>
      </c>
      <c r="AF850" t="s">
        <v>3884</v>
      </c>
      <c r="AG850" t="s">
        <v>3884</v>
      </c>
      <c r="AH850" t="s">
        <v>3884</v>
      </c>
      <c r="AI850" t="s">
        <v>3884</v>
      </c>
      <c r="AJ850" t="s">
        <v>3884</v>
      </c>
      <c r="AK850" t="s">
        <v>3884</v>
      </c>
      <c r="AL850" t="s">
        <v>3884</v>
      </c>
      <c r="AM850" t="s">
        <v>3884</v>
      </c>
      <c r="AN850" t="s">
        <v>3884</v>
      </c>
      <c r="AO850" t="s">
        <v>3884</v>
      </c>
      <c r="AP850" t="s">
        <v>3884</v>
      </c>
      <c r="AQ850" t="s">
        <v>3884</v>
      </c>
      <c r="AR850" t="s">
        <v>3884</v>
      </c>
      <c r="AS850" t="s">
        <v>3884</v>
      </c>
      <c r="AT850" t="s">
        <v>3884</v>
      </c>
      <c r="AU850" t="s">
        <v>3884</v>
      </c>
      <c r="AV850" t="s">
        <v>3884</v>
      </c>
      <c r="AW850" t="s">
        <v>3884</v>
      </c>
      <c r="AX850" t="s">
        <v>3884</v>
      </c>
      <c r="AY850" t="s">
        <v>3884</v>
      </c>
      <c r="AZ850" t="s">
        <v>3884</v>
      </c>
      <c r="BC850" t="s">
        <v>3884</v>
      </c>
      <c r="BD850" t="s">
        <v>3884</v>
      </c>
      <c r="BE850" t="s">
        <v>3884</v>
      </c>
      <c r="BF850" t="s">
        <v>3884</v>
      </c>
      <c r="BG850" t="s">
        <v>3884</v>
      </c>
      <c r="BH850" t="s">
        <v>3884</v>
      </c>
      <c r="BI850" t="s">
        <v>3884</v>
      </c>
      <c r="BJ850" t="s">
        <v>3884</v>
      </c>
      <c r="BK850" t="s">
        <v>3884</v>
      </c>
      <c r="BL850" t="s">
        <v>3884</v>
      </c>
      <c r="BM850" t="s">
        <v>3884</v>
      </c>
      <c r="BN850" t="s">
        <v>3884</v>
      </c>
      <c r="BO850" t="s">
        <v>3884</v>
      </c>
      <c r="BP850" t="s">
        <v>3884</v>
      </c>
      <c r="BQ850" t="s">
        <v>3884</v>
      </c>
      <c r="BR850" t="s">
        <v>3884</v>
      </c>
      <c r="BS850" t="s">
        <v>3884</v>
      </c>
      <c r="BT850" t="s">
        <v>3884</v>
      </c>
      <c r="BU850" t="s">
        <v>3884</v>
      </c>
      <c r="BV850" t="s">
        <v>3884</v>
      </c>
      <c r="BW850" t="s">
        <v>3884</v>
      </c>
      <c r="BX850" t="s">
        <v>3884</v>
      </c>
      <c r="BY850" t="s">
        <v>3884</v>
      </c>
      <c r="BZ850" t="s">
        <v>3884</v>
      </c>
      <c r="CA850" t="s">
        <v>3884</v>
      </c>
      <c r="CB850" t="s">
        <v>3884</v>
      </c>
      <c r="CC850" t="s">
        <v>3884</v>
      </c>
      <c r="CD850" t="s">
        <v>3884</v>
      </c>
      <c r="CE850" t="s">
        <v>3884</v>
      </c>
      <c r="CF850" t="s">
        <v>3884</v>
      </c>
      <c r="CG850" t="s">
        <v>3884</v>
      </c>
      <c r="CH850" t="s">
        <v>3884</v>
      </c>
      <c r="CI850" t="s">
        <v>3884</v>
      </c>
      <c r="CJ850" t="s">
        <v>3884</v>
      </c>
      <c r="CK850" t="s">
        <v>3884</v>
      </c>
      <c r="CL850" t="s">
        <v>3884</v>
      </c>
      <c r="CM850" t="s">
        <v>3884</v>
      </c>
      <c r="CN850" t="s">
        <v>3884</v>
      </c>
      <c r="CO850" t="s">
        <v>3884</v>
      </c>
      <c r="CP850" t="s">
        <v>3884</v>
      </c>
      <c r="CQ850" t="s">
        <v>3884</v>
      </c>
      <c r="CR850" t="s">
        <v>3884</v>
      </c>
      <c r="CS850" t="s">
        <v>3884</v>
      </c>
      <c r="CT850" t="s">
        <v>3884</v>
      </c>
      <c r="CU850" t="s">
        <v>3884</v>
      </c>
      <c r="CV850" t="s">
        <v>3884</v>
      </c>
      <c r="CW850" t="s">
        <v>3884</v>
      </c>
      <c r="CX850" t="s">
        <v>3884</v>
      </c>
      <c r="CY850" t="s">
        <v>3884</v>
      </c>
      <c r="CZ850" t="s">
        <v>3884</v>
      </c>
      <c r="DA850" t="s">
        <v>3884</v>
      </c>
      <c r="DB850" t="s">
        <v>3884</v>
      </c>
      <c r="DC850" t="s">
        <v>3884</v>
      </c>
      <c r="DD850" t="s">
        <v>3884</v>
      </c>
      <c r="DE850" t="s">
        <v>3884</v>
      </c>
      <c r="DF850" t="s">
        <v>3884</v>
      </c>
      <c r="DG850" t="s">
        <v>3884</v>
      </c>
      <c r="DH850" t="s">
        <v>3884</v>
      </c>
      <c r="DI850" t="s">
        <v>3884</v>
      </c>
      <c r="DJ850" t="s">
        <v>3884</v>
      </c>
      <c r="DK850" t="s">
        <v>3884</v>
      </c>
      <c r="DL850" t="s">
        <v>3884</v>
      </c>
      <c r="DM850" t="s">
        <v>3884</v>
      </c>
      <c r="DN850" t="s">
        <v>3884</v>
      </c>
      <c r="DO850" t="s">
        <v>3884</v>
      </c>
      <c r="DP850" t="s">
        <v>3884</v>
      </c>
      <c r="DQ850" t="s">
        <v>3884</v>
      </c>
      <c r="DR850" t="s">
        <v>3884</v>
      </c>
      <c r="DS850" t="s">
        <v>3884</v>
      </c>
      <c r="DT850" t="s">
        <v>3884</v>
      </c>
      <c r="DU850" t="s">
        <v>3884</v>
      </c>
      <c r="DV850" t="s">
        <v>3884</v>
      </c>
      <c r="DW850" t="s">
        <v>3884</v>
      </c>
      <c r="DX850" t="s">
        <v>3884</v>
      </c>
      <c r="DY850" t="s">
        <v>3884</v>
      </c>
      <c r="DZ850" t="s">
        <v>3884</v>
      </c>
      <c r="EA850" t="s">
        <v>3884</v>
      </c>
      <c r="EB850" t="s">
        <v>3884</v>
      </c>
      <c r="EC850" t="s">
        <v>3884</v>
      </c>
      <c r="ED850" t="s">
        <v>3884</v>
      </c>
      <c r="EE850" t="s">
        <v>3884</v>
      </c>
      <c r="EF850" t="s">
        <v>3884</v>
      </c>
      <c r="EG850" t="s">
        <v>3884</v>
      </c>
      <c r="EH850" t="s">
        <v>3884</v>
      </c>
      <c r="EI850" t="s">
        <v>3884</v>
      </c>
      <c r="EJ850" t="s">
        <v>3884</v>
      </c>
      <c r="EK850" t="s">
        <v>3884</v>
      </c>
      <c r="EL850" t="s">
        <v>3884</v>
      </c>
      <c r="EM850" t="s">
        <v>3884</v>
      </c>
      <c r="EN850" t="s">
        <v>3884</v>
      </c>
      <c r="EO850" t="s">
        <v>3884</v>
      </c>
      <c r="EP850" t="s">
        <v>3884</v>
      </c>
      <c r="EQ850" t="s">
        <v>3884</v>
      </c>
      <c r="ER850" t="s">
        <v>3884</v>
      </c>
      <c r="ES850" t="s">
        <v>3884</v>
      </c>
      <c r="ET850" t="s">
        <v>3884</v>
      </c>
      <c r="EU850" t="s">
        <v>3884</v>
      </c>
      <c r="EV850" t="s">
        <v>3884</v>
      </c>
      <c r="EW850" t="s">
        <v>3884</v>
      </c>
      <c r="EX850" t="s">
        <v>3884</v>
      </c>
      <c r="EY850" t="s">
        <v>3884</v>
      </c>
      <c r="EZ850" t="s">
        <v>3884</v>
      </c>
      <c r="FA850" t="s">
        <v>3884</v>
      </c>
      <c r="FB850" t="s">
        <v>3884</v>
      </c>
      <c r="FC850" t="s">
        <v>3884</v>
      </c>
      <c r="FD850" t="s">
        <v>3884</v>
      </c>
      <c r="FE850" t="s">
        <v>3884</v>
      </c>
      <c r="FF850" t="s">
        <v>3884</v>
      </c>
      <c r="FG850" t="s">
        <v>3884</v>
      </c>
      <c r="FH850" t="s">
        <v>3884</v>
      </c>
      <c r="FI850" t="s">
        <v>3884</v>
      </c>
      <c r="FJ850" t="s">
        <v>3884</v>
      </c>
      <c r="FK850" t="s">
        <v>3884</v>
      </c>
      <c r="FL850" t="s">
        <v>3884</v>
      </c>
      <c r="FM850" t="s">
        <v>3884</v>
      </c>
      <c r="FN850" t="s">
        <v>3884</v>
      </c>
      <c r="FO850" t="s">
        <v>3884</v>
      </c>
      <c r="FP850" t="s">
        <v>3884</v>
      </c>
      <c r="FQ850" t="s">
        <v>3884</v>
      </c>
      <c r="FR850" t="s">
        <v>3884</v>
      </c>
      <c r="FS850" t="s">
        <v>3884</v>
      </c>
      <c r="FT850" t="s">
        <v>3884</v>
      </c>
      <c r="FU850" t="s">
        <v>3884</v>
      </c>
      <c r="FV850" t="s">
        <v>3884</v>
      </c>
      <c r="FW850" t="s">
        <v>3884</v>
      </c>
      <c r="FX850" t="s">
        <v>3884</v>
      </c>
      <c r="FY850" t="s">
        <v>3884</v>
      </c>
      <c r="FZ850" t="s">
        <v>3884</v>
      </c>
      <c r="GA850" t="s">
        <v>3884</v>
      </c>
      <c r="GB850" t="s">
        <v>3884</v>
      </c>
      <c r="GC850" t="s">
        <v>3884</v>
      </c>
      <c r="GD850" t="s">
        <v>3884</v>
      </c>
      <c r="GE850" t="s">
        <v>3884</v>
      </c>
      <c r="GF850" t="s">
        <v>3884</v>
      </c>
      <c r="GG850" t="s">
        <v>3884</v>
      </c>
      <c r="GH850" t="s">
        <v>3884</v>
      </c>
      <c r="GI850" t="s">
        <v>3884</v>
      </c>
      <c r="GJ850" t="s">
        <v>3884</v>
      </c>
      <c r="GK850" t="s">
        <v>3884</v>
      </c>
      <c r="GL850" t="s">
        <v>3884</v>
      </c>
      <c r="GM850" t="s">
        <v>3884</v>
      </c>
      <c r="GN850" t="s">
        <v>3884</v>
      </c>
      <c r="GO850" t="s">
        <v>3884</v>
      </c>
      <c r="GQ850" t="s">
        <v>3884</v>
      </c>
      <c r="GR850" t="s">
        <v>3884</v>
      </c>
      <c r="GS850" t="s">
        <v>3884</v>
      </c>
      <c r="GT850" t="s">
        <v>3884</v>
      </c>
      <c r="GU850" t="s">
        <v>3884</v>
      </c>
      <c r="GV850" t="s">
        <v>3884</v>
      </c>
      <c r="GW850" t="s">
        <v>3884</v>
      </c>
      <c r="GX850" t="s">
        <v>3884</v>
      </c>
      <c r="GY850" t="s">
        <v>3884</v>
      </c>
      <c r="GZ850" t="s">
        <v>3884</v>
      </c>
      <c r="HA850" t="s">
        <v>3884</v>
      </c>
      <c r="HB850" t="s">
        <v>3884</v>
      </c>
      <c r="HC850" t="s">
        <v>3884</v>
      </c>
      <c r="HD850" t="s">
        <v>3884</v>
      </c>
      <c r="HE850" t="s">
        <v>3884</v>
      </c>
      <c r="HF850" t="s">
        <v>3884</v>
      </c>
      <c r="HG850" t="s">
        <v>3884</v>
      </c>
      <c r="HH850" t="s">
        <v>3884</v>
      </c>
      <c r="HI850" t="s">
        <v>3884</v>
      </c>
      <c r="HJ850" t="s">
        <v>3884</v>
      </c>
      <c r="HK850" t="s">
        <v>3884</v>
      </c>
      <c r="HL850" t="s">
        <v>3884</v>
      </c>
      <c r="HM850" t="s">
        <v>3884</v>
      </c>
      <c r="HN850" t="s">
        <v>3884</v>
      </c>
      <c r="HO850" t="s">
        <v>3884</v>
      </c>
      <c r="HP850" t="s">
        <v>3884</v>
      </c>
      <c r="HQ850" t="s">
        <v>3884</v>
      </c>
      <c r="HR850" t="s">
        <v>3884</v>
      </c>
      <c r="HS850" t="s">
        <v>3884</v>
      </c>
      <c r="HT850" t="s">
        <v>3884</v>
      </c>
      <c r="HU850" t="s">
        <v>3884</v>
      </c>
      <c r="HV850" t="s">
        <v>3884</v>
      </c>
      <c r="HW850" t="s">
        <v>3884</v>
      </c>
      <c r="HX850" t="s">
        <v>3884</v>
      </c>
      <c r="HY850" t="s">
        <v>3884</v>
      </c>
      <c r="HZ850" t="s">
        <v>3884</v>
      </c>
      <c r="IA850" t="s">
        <v>3884</v>
      </c>
      <c r="IB850" t="s">
        <v>3884</v>
      </c>
      <c r="IC850" t="s">
        <v>3884</v>
      </c>
      <c r="ID850" t="s">
        <v>3884</v>
      </c>
      <c r="IE850" t="s">
        <v>3884</v>
      </c>
      <c r="IF850" t="s">
        <v>3884</v>
      </c>
      <c r="IG850" t="s">
        <v>3884</v>
      </c>
      <c r="IH850" t="s">
        <v>3884</v>
      </c>
      <c r="II850" t="s">
        <v>3884</v>
      </c>
      <c r="IJ850" t="s">
        <v>3884</v>
      </c>
      <c r="IK850" t="s">
        <v>3884</v>
      </c>
      <c r="IL850" t="s">
        <v>3884</v>
      </c>
      <c r="IM850" t="s">
        <v>3884</v>
      </c>
      <c r="IN850" t="s">
        <v>3884</v>
      </c>
      <c r="IO850" t="s">
        <v>3884</v>
      </c>
      <c r="IP850" t="s">
        <v>3884</v>
      </c>
      <c r="IQ850" t="s">
        <v>3884</v>
      </c>
      <c r="IR850" t="s">
        <v>3884</v>
      </c>
      <c r="IS850" t="s">
        <v>3884</v>
      </c>
      <c r="IT850" t="s">
        <v>3884</v>
      </c>
      <c r="IU850" t="s">
        <v>3884</v>
      </c>
    </row>
    <row r="851" spans="1:255" x14ac:dyDescent="0.2">
      <c r="A851" t="s">
        <v>7073</v>
      </c>
    </row>
    <row r="852" spans="1:255" x14ac:dyDescent="0.2">
      <c r="A852" t="s">
        <v>3885</v>
      </c>
      <c r="BI852" t="s">
        <v>5114</v>
      </c>
      <c r="BQ852" t="s">
        <v>4809</v>
      </c>
      <c r="BR852" t="s">
        <v>4809</v>
      </c>
      <c r="BZ852" t="s">
        <v>4808</v>
      </c>
      <c r="CI852" t="s">
        <v>4809</v>
      </c>
      <c r="CO852" t="s">
        <v>777</v>
      </c>
      <c r="CV852" t="s">
        <v>5806</v>
      </c>
      <c r="CY852" t="s">
        <v>7918</v>
      </c>
      <c r="DL852" t="s">
        <v>7919</v>
      </c>
      <c r="DP852" t="s">
        <v>7919</v>
      </c>
      <c r="EH852" t="s">
        <v>5900</v>
      </c>
      <c r="EI852" t="s">
        <v>5900</v>
      </c>
      <c r="EJ852" t="s">
        <v>5900</v>
      </c>
      <c r="EK852" t="s">
        <v>5900</v>
      </c>
      <c r="EL852" t="s">
        <v>5900</v>
      </c>
      <c r="EM852" t="s">
        <v>5900</v>
      </c>
      <c r="EN852" t="s">
        <v>5900</v>
      </c>
      <c r="EO852" t="s">
        <v>5900</v>
      </c>
      <c r="EP852" t="s">
        <v>5900</v>
      </c>
      <c r="EQ852" t="s">
        <v>5901</v>
      </c>
      <c r="ER852" t="s">
        <v>5901</v>
      </c>
      <c r="ES852" t="s">
        <v>5901</v>
      </c>
      <c r="ET852" t="s">
        <v>5901</v>
      </c>
      <c r="EU852" t="s">
        <v>5901</v>
      </c>
      <c r="EV852" t="s">
        <v>5901</v>
      </c>
      <c r="EW852" t="s">
        <v>5901</v>
      </c>
      <c r="EX852" t="s">
        <v>5901</v>
      </c>
      <c r="EY852" t="s">
        <v>5901</v>
      </c>
      <c r="EZ852" t="s">
        <v>5901</v>
      </c>
      <c r="FA852" t="s">
        <v>5901</v>
      </c>
      <c r="FB852" t="s">
        <v>5902</v>
      </c>
      <c r="FC852" t="s">
        <v>5902</v>
      </c>
      <c r="FD852" t="s">
        <v>5902</v>
      </c>
      <c r="FE852" t="s">
        <v>5902</v>
      </c>
      <c r="FF852" t="s">
        <v>5902</v>
      </c>
      <c r="FG852" t="s">
        <v>5902</v>
      </c>
      <c r="FH852" t="s">
        <v>5902</v>
      </c>
      <c r="FI852" t="s">
        <v>5902</v>
      </c>
      <c r="FJ852" t="s">
        <v>5902</v>
      </c>
      <c r="FK852" t="s">
        <v>5902</v>
      </c>
      <c r="FT852" t="s">
        <v>5903</v>
      </c>
      <c r="FY852" t="s">
        <v>5905</v>
      </c>
      <c r="GF852" t="s">
        <v>5906</v>
      </c>
      <c r="GL852" t="s">
        <v>5907</v>
      </c>
    </row>
    <row r="853" spans="1:255" x14ac:dyDescent="0.2">
      <c r="FX853" t="s">
        <v>5904</v>
      </c>
    </row>
  </sheetData>
  <sheetProtection algorithmName="SHA-512" hashValue="4IWNVn2p8scprFlcpdd02tv7+Mb/+IAFzG03qb86XfXyTx5YGlsTwCLFwY+oPpS996YwgaI29+BdkuLUUCo6RA==" saltValue="KGDucfXE81TgyiWzCX9s6Q==" spinCount="100000" sheet="1" objects="1" scenarios="1" selectLockedCells="1" selectUnlockedCells="1"/>
  <phoneticPr fontId="3" type="noConversion"/>
  <dataValidations disablePrompts="1" count="5">
    <dataValidation type="list" allowBlank="1" showInputMessage="1" showErrorMessage="1" sqref="HJ266 HM303:HS303 HT266:HX266">
      <formula1>SF_ANDERE</formula1>
    </dataValidation>
    <dataValidation type="list" allowBlank="1" showInputMessage="1" showErrorMessage="1" sqref="IR285 IE285:II285">
      <formula1>KPFNAHSON</formula1>
    </dataValidation>
    <dataValidation type="list" allowBlank="1" showInputMessage="1" showErrorMessage="1" sqref="AJ39:AZ42 C39:AH42 BM39:BM42 BC39:BJ42 HT39:IT42">
      <formula1>BASISINKLGRP</formula1>
    </dataValidation>
    <dataValidation type="list" allowBlank="1" showInputMessage="1" showErrorMessage="1" sqref="HT263">
      <formula1>KPFFERNSON</formula1>
    </dataValidation>
    <dataValidation type="list" allowBlank="1" showInputMessage="1" showErrorMessage="1" sqref="C34:I38">
      <formula1>NACHTEILE</formula1>
    </dataValidation>
  </dataValidations>
  <pageMargins left="0.78740157499999996" right="0.78740157499999996" top="0.984251969" bottom="0.984251969" header="0.4921259845" footer="0.4921259845"/>
  <pageSetup paperSize="9" orientation="portrait" horizontalDpi="360" verticalDpi="360" r:id="rId1"/>
  <headerFooter alignWithMargins="0"/>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theme="2" tint="-0.249977111117893"/>
  </sheetPr>
  <dimension ref="A1:EI852"/>
  <sheetViews>
    <sheetView zoomScaleNormal="100" zoomScaleSheetLayoutView="100" workbookViewId="0">
      <pane xSplit="1" ySplit="1" topLeftCell="CU824" activePane="bottomRight" state="frozen"/>
      <selection activeCell="A671" sqref="A671"/>
      <selection pane="topRight" activeCell="A671" sqref="A671"/>
      <selection pane="bottomLeft" activeCell="A671" sqref="A671"/>
      <selection pane="bottomRight" activeCell="EF1" sqref="EF1:EF1048576"/>
    </sheetView>
  </sheetViews>
  <sheetFormatPr baseColWidth="10" defaultColWidth="8.85546875" defaultRowHeight="12.75" outlineLevelRow="1" x14ac:dyDescent="0.2"/>
  <cols>
    <col min="1" max="1" width="22.85546875" bestFit="1" customWidth="1"/>
    <col min="2" max="2" width="4.28515625" customWidth="1"/>
    <col min="3" max="94" width="5.7109375" customWidth="1"/>
    <col min="95" max="95" width="5.85546875" customWidth="1"/>
    <col min="96" max="139" width="5.7109375" customWidth="1"/>
    <col min="141" max="141" width="5.7109375" customWidth="1"/>
  </cols>
  <sheetData>
    <row r="1" spans="1:139" ht="105" customHeight="1" x14ac:dyDescent="0.2">
      <c r="A1" t="s">
        <v>3537</v>
      </c>
      <c r="B1" t="s">
        <v>4667</v>
      </c>
      <c r="C1" t="s">
        <v>4094</v>
      </c>
      <c r="D1" t="s">
        <v>1516</v>
      </c>
      <c r="E1" t="s">
        <v>1430</v>
      </c>
      <c r="F1" t="s">
        <v>1431</v>
      </c>
      <c r="G1" t="s">
        <v>1432</v>
      </c>
      <c r="H1" t="s">
        <v>1785</v>
      </c>
      <c r="I1" t="s">
        <v>1786</v>
      </c>
      <c r="J1" t="s">
        <v>2549</v>
      </c>
      <c r="K1" t="s">
        <v>4234</v>
      </c>
      <c r="L1" t="s">
        <v>4235</v>
      </c>
      <c r="M1" t="s">
        <v>2997</v>
      </c>
      <c r="N1" t="s">
        <v>1218</v>
      </c>
      <c r="O1" t="s">
        <v>7945</v>
      </c>
      <c r="P1" t="s">
        <v>455</v>
      </c>
      <c r="Q1" t="s">
        <v>4233</v>
      </c>
      <c r="R1" t="s">
        <v>1217</v>
      </c>
      <c r="S1" t="s">
        <v>1219</v>
      </c>
      <c r="T1" t="s">
        <v>542</v>
      </c>
      <c r="U1" t="s">
        <v>1612</v>
      </c>
      <c r="V1" t="s">
        <v>5056</v>
      </c>
      <c r="W1" t="s">
        <v>454</v>
      </c>
      <c r="X1" t="s">
        <v>7943</v>
      </c>
      <c r="Y1" t="s">
        <v>7944</v>
      </c>
      <c r="Z1" t="s">
        <v>1220</v>
      </c>
      <c r="AA1" t="s">
        <v>1434</v>
      </c>
      <c r="AB1" t="s">
        <v>1224</v>
      </c>
      <c r="AC1" t="s">
        <v>1228</v>
      </c>
      <c r="AD1" t="s">
        <v>9200</v>
      </c>
      <c r="AE1" t="s">
        <v>9201</v>
      </c>
      <c r="AF1" t="s">
        <v>1229</v>
      </c>
      <c r="AG1" t="s">
        <v>1230</v>
      </c>
      <c r="AH1" t="s">
        <v>1231</v>
      </c>
      <c r="AI1" t="s">
        <v>838</v>
      </c>
      <c r="AJ1" t="s">
        <v>6287</v>
      </c>
      <c r="AK1" t="s">
        <v>6288</v>
      </c>
      <c r="AL1" t="s">
        <v>385</v>
      </c>
      <c r="AM1" t="s">
        <v>9206</v>
      </c>
      <c r="AN1" t="s">
        <v>6289</v>
      </c>
      <c r="AO1" t="s">
        <v>6290</v>
      </c>
      <c r="AP1" t="s">
        <v>6291</v>
      </c>
      <c r="AQ1" t="s">
        <v>6292</v>
      </c>
      <c r="AR1" t="s">
        <v>6293</v>
      </c>
      <c r="AS1" t="s">
        <v>9292</v>
      </c>
      <c r="AT1" t="s">
        <v>662</v>
      </c>
      <c r="AU1" t="s">
        <v>2206</v>
      </c>
      <c r="AV1" t="s">
        <v>9295</v>
      </c>
      <c r="AW1" t="s">
        <v>4823</v>
      </c>
      <c r="AX1" t="s">
        <v>6294</v>
      </c>
      <c r="AY1" t="s">
        <v>1787</v>
      </c>
      <c r="AZ1" t="s">
        <v>4822</v>
      </c>
      <c r="BA1" t="s">
        <v>9293</v>
      </c>
      <c r="BB1" t="s">
        <v>4169</v>
      </c>
      <c r="BC1" t="s">
        <v>9303</v>
      </c>
      <c r="BD1" t="s">
        <v>3246</v>
      </c>
      <c r="BE1" t="s">
        <v>6295</v>
      </c>
      <c r="BF1" t="s">
        <v>5055</v>
      </c>
      <c r="BG1" t="s">
        <v>3248</v>
      </c>
      <c r="BH1" t="s">
        <v>9208</v>
      </c>
      <c r="BI1" t="s">
        <v>9209</v>
      </c>
      <c r="BJ1" t="s">
        <v>9210</v>
      </c>
      <c r="BK1" t="s">
        <v>9211</v>
      </c>
      <c r="BL1" t="s">
        <v>9212</v>
      </c>
      <c r="BM1" t="s">
        <v>9213</v>
      </c>
      <c r="BN1" t="s">
        <v>3247</v>
      </c>
      <c r="BO1" t="s">
        <v>2207</v>
      </c>
      <c r="BP1" t="s">
        <v>6296</v>
      </c>
      <c r="BQ1" t="s">
        <v>2208</v>
      </c>
      <c r="BR1" t="s">
        <v>2040</v>
      </c>
      <c r="BS1" t="s">
        <v>3538</v>
      </c>
      <c r="BT1" t="s">
        <v>7946</v>
      </c>
      <c r="BU1" t="s">
        <v>6297</v>
      </c>
      <c r="BV1" t="s">
        <v>3378</v>
      </c>
      <c r="BW1" t="s">
        <v>7270</v>
      </c>
      <c r="BX1" t="s">
        <v>6298</v>
      </c>
      <c r="BY1" t="s">
        <v>6299</v>
      </c>
      <c r="BZ1" t="s">
        <v>6300</v>
      </c>
      <c r="CA1" t="s">
        <v>8543</v>
      </c>
      <c r="CB1" t="s">
        <v>3153</v>
      </c>
      <c r="CC1" t="s">
        <v>4924</v>
      </c>
      <c r="CD1" t="s">
        <v>4923</v>
      </c>
      <c r="CE1" t="s">
        <v>9219</v>
      </c>
      <c r="CF1" t="s">
        <v>9220</v>
      </c>
      <c r="CG1" t="s">
        <v>9221</v>
      </c>
      <c r="CH1" t="s">
        <v>9222</v>
      </c>
      <c r="CI1" t="s">
        <v>9223</v>
      </c>
      <c r="CJ1" t="s">
        <v>9224</v>
      </c>
      <c r="CK1" t="s">
        <v>9225</v>
      </c>
      <c r="CL1" t="s">
        <v>9226</v>
      </c>
      <c r="CM1" t="s">
        <v>9227</v>
      </c>
      <c r="CN1" t="s">
        <v>9228</v>
      </c>
      <c r="CO1" t="s">
        <v>9229</v>
      </c>
      <c r="CP1" t="s">
        <v>9230</v>
      </c>
      <c r="CQ1" t="s">
        <v>4919</v>
      </c>
      <c r="CR1" t="s">
        <v>4918</v>
      </c>
      <c r="CS1" t="s">
        <v>4925</v>
      </c>
      <c r="CT1" t="s">
        <v>4922</v>
      </c>
      <c r="CU1" t="s">
        <v>4920</v>
      </c>
      <c r="CV1" t="s">
        <v>4182</v>
      </c>
      <c r="CW1" t="s">
        <v>4927</v>
      </c>
      <c r="CX1" t="s">
        <v>4926</v>
      </c>
      <c r="CY1" t="s">
        <v>4921</v>
      </c>
      <c r="CZ1" t="s">
        <v>6419</v>
      </c>
      <c r="DA1" t="s">
        <v>9234</v>
      </c>
      <c r="DB1" t="s">
        <v>9235</v>
      </c>
      <c r="DC1" t="s">
        <v>9236</v>
      </c>
      <c r="DD1" t="s">
        <v>9237</v>
      </c>
      <c r="DE1" t="s">
        <v>9238</v>
      </c>
      <c r="DF1" t="s">
        <v>9239</v>
      </c>
      <c r="DG1" t="s">
        <v>1491</v>
      </c>
      <c r="DH1" t="s">
        <v>1492</v>
      </c>
      <c r="DI1" t="s">
        <v>2149</v>
      </c>
      <c r="DJ1" t="s">
        <v>6420</v>
      </c>
      <c r="DK1" t="s">
        <v>2150</v>
      </c>
      <c r="DL1" t="s">
        <v>1057</v>
      </c>
      <c r="DM1" t="s">
        <v>3952</v>
      </c>
      <c r="DN1" t="s">
        <v>1058</v>
      </c>
      <c r="DO1" t="s">
        <v>1059</v>
      </c>
      <c r="DP1" t="s">
        <v>9240</v>
      </c>
      <c r="DQ1" t="s">
        <v>3951</v>
      </c>
      <c r="DR1" t="s">
        <v>6421</v>
      </c>
      <c r="DS1" t="s">
        <v>4180</v>
      </c>
      <c r="DT1" t="s">
        <v>7947</v>
      </c>
      <c r="DU1" t="s">
        <v>3364</v>
      </c>
      <c r="DV1" t="s">
        <v>4261</v>
      </c>
      <c r="DW1" t="s">
        <v>3626</v>
      </c>
      <c r="DX1" t="s">
        <v>3627</v>
      </c>
      <c r="DY1" t="s">
        <v>3628</v>
      </c>
      <c r="DZ1" t="s">
        <v>1841</v>
      </c>
      <c r="EA1" t="s">
        <v>4181</v>
      </c>
      <c r="EB1" t="s">
        <v>1408</v>
      </c>
      <c r="EC1" t="s">
        <v>1409</v>
      </c>
      <c r="ED1" t="s">
        <v>7948</v>
      </c>
      <c r="EE1" t="s">
        <v>6422</v>
      </c>
      <c r="EF1" t="s">
        <v>9299</v>
      </c>
      <c r="EG1" t="s">
        <v>7949</v>
      </c>
      <c r="EH1" t="s">
        <v>6439</v>
      </c>
      <c r="EI1" t="s">
        <v>6440</v>
      </c>
    </row>
    <row r="2" spans="1:139" x14ac:dyDescent="0.2">
      <c r="A2" t="s">
        <v>1783</v>
      </c>
      <c r="C2">
        <v>10</v>
      </c>
      <c r="D2">
        <v>3</v>
      </c>
      <c r="E2">
        <v>14</v>
      </c>
      <c r="F2">
        <v>12</v>
      </c>
      <c r="G2">
        <v>6</v>
      </c>
      <c r="H2">
        <v>18</v>
      </c>
      <c r="I2">
        <v>23</v>
      </c>
      <c r="J2">
        <v>11</v>
      </c>
      <c r="K2">
        <v>12</v>
      </c>
      <c r="L2">
        <v>20</v>
      </c>
      <c r="M2">
        <v>13</v>
      </c>
      <c r="N2">
        <v>20</v>
      </c>
      <c r="O2">
        <v>11</v>
      </c>
      <c r="P2">
        <v>15</v>
      </c>
      <c r="Q2">
        <v>11</v>
      </c>
      <c r="R2">
        <v>14</v>
      </c>
      <c r="S2">
        <v>16</v>
      </c>
      <c r="T2">
        <v>23</v>
      </c>
      <c r="U2">
        <v>23</v>
      </c>
      <c r="V2">
        <v>23</v>
      </c>
      <c r="W2">
        <v>21</v>
      </c>
      <c r="X2">
        <v>21</v>
      </c>
      <c r="Y2">
        <v>21</v>
      </c>
      <c r="Z2">
        <v>15</v>
      </c>
      <c r="AA2">
        <v>15</v>
      </c>
      <c r="AB2">
        <v>11</v>
      </c>
      <c r="AC2">
        <v>4</v>
      </c>
      <c r="AD2">
        <v>10</v>
      </c>
      <c r="AE2">
        <v>17</v>
      </c>
      <c r="AF2">
        <v>8</v>
      </c>
      <c r="AG2">
        <v>3</v>
      </c>
      <c r="AH2">
        <v>8</v>
      </c>
      <c r="AI2">
        <v>8</v>
      </c>
      <c r="AJ2">
        <v>21</v>
      </c>
      <c r="AK2">
        <v>21</v>
      </c>
      <c r="AL2">
        <v>11</v>
      </c>
      <c r="AM2">
        <v>24</v>
      </c>
      <c r="AN2">
        <v>12</v>
      </c>
      <c r="AO2">
        <v>18</v>
      </c>
      <c r="AP2">
        <v>20</v>
      </c>
      <c r="AQ2">
        <v>23</v>
      </c>
      <c r="AR2">
        <v>27</v>
      </c>
      <c r="AS2">
        <v>25</v>
      </c>
      <c r="AT2">
        <v>24</v>
      </c>
      <c r="AU2">
        <v>24</v>
      </c>
      <c r="AV2">
        <v>26</v>
      </c>
      <c r="AW2">
        <v>25</v>
      </c>
      <c r="AX2">
        <v>24</v>
      </c>
      <c r="AY2">
        <v>21</v>
      </c>
      <c r="AZ2">
        <v>19</v>
      </c>
      <c r="BA2">
        <v>24</v>
      </c>
      <c r="BB2">
        <v>20</v>
      </c>
      <c r="BC2">
        <v>24</v>
      </c>
      <c r="BD2">
        <v>19</v>
      </c>
      <c r="BE2">
        <v>21</v>
      </c>
      <c r="BF2">
        <v>19</v>
      </c>
      <c r="BG2">
        <v>25</v>
      </c>
      <c r="BH2">
        <v>23</v>
      </c>
      <c r="BI2">
        <v>27</v>
      </c>
      <c r="BJ2">
        <v>24</v>
      </c>
      <c r="BK2">
        <v>29</v>
      </c>
      <c r="BL2">
        <v>29</v>
      </c>
      <c r="BM2">
        <v>28</v>
      </c>
      <c r="BN2">
        <v>21</v>
      </c>
      <c r="BO2">
        <v>24</v>
      </c>
      <c r="BP2">
        <v>18</v>
      </c>
      <c r="BQ2">
        <v>22</v>
      </c>
      <c r="BR2">
        <v>24</v>
      </c>
      <c r="BS2">
        <v>22</v>
      </c>
      <c r="BT2">
        <v>23</v>
      </c>
      <c r="BU2">
        <v>18</v>
      </c>
      <c r="BV2">
        <v>22</v>
      </c>
      <c r="BW2">
        <v>22</v>
      </c>
      <c r="BX2">
        <v>20</v>
      </c>
      <c r="BY2">
        <v>27</v>
      </c>
      <c r="BZ2">
        <v>19</v>
      </c>
      <c r="CA2">
        <v>16</v>
      </c>
      <c r="CB2">
        <v>5</v>
      </c>
      <c r="CC2">
        <v>11</v>
      </c>
      <c r="CD2">
        <v>10</v>
      </c>
      <c r="CE2">
        <v>12</v>
      </c>
      <c r="CF2">
        <v>10</v>
      </c>
      <c r="CG2">
        <v>16</v>
      </c>
      <c r="CH2">
        <v>14</v>
      </c>
      <c r="CI2">
        <v>14</v>
      </c>
      <c r="CJ2">
        <v>12</v>
      </c>
      <c r="CK2">
        <v>10</v>
      </c>
      <c r="CL2">
        <v>8</v>
      </c>
      <c r="CM2">
        <v>11</v>
      </c>
      <c r="CN2">
        <v>9</v>
      </c>
      <c r="CO2">
        <v>11</v>
      </c>
      <c r="CP2">
        <v>9</v>
      </c>
      <c r="CQ2">
        <v>12</v>
      </c>
      <c r="CR2">
        <v>5</v>
      </c>
      <c r="CS2">
        <v>11</v>
      </c>
      <c r="CT2">
        <v>7</v>
      </c>
      <c r="CU2">
        <v>13</v>
      </c>
      <c r="CV2">
        <v>2</v>
      </c>
      <c r="CW2">
        <v>6</v>
      </c>
      <c r="CX2">
        <v>8</v>
      </c>
      <c r="CY2">
        <v>9</v>
      </c>
      <c r="CZ2">
        <v>1</v>
      </c>
      <c r="DA2">
        <v>4</v>
      </c>
      <c r="DB2">
        <v>2</v>
      </c>
      <c r="DC2">
        <v>11</v>
      </c>
      <c r="DD2">
        <v>12</v>
      </c>
      <c r="DE2">
        <v>17</v>
      </c>
      <c r="DF2">
        <v>15</v>
      </c>
      <c r="DG2">
        <v>8</v>
      </c>
      <c r="DH2">
        <v>11</v>
      </c>
      <c r="DI2">
        <v>16</v>
      </c>
      <c r="DJ2">
        <v>20</v>
      </c>
      <c r="DK2">
        <v>8</v>
      </c>
      <c r="DL2">
        <v>13</v>
      </c>
      <c r="DM2">
        <v>10</v>
      </c>
      <c r="DN2">
        <v>11</v>
      </c>
      <c r="DO2">
        <v>12</v>
      </c>
      <c r="DP2">
        <v>12</v>
      </c>
      <c r="DQ2">
        <v>17</v>
      </c>
      <c r="DR2">
        <v>6</v>
      </c>
      <c r="DS2">
        <v>11</v>
      </c>
      <c r="DT2">
        <v>12</v>
      </c>
      <c r="DU2">
        <v>4</v>
      </c>
      <c r="DV2">
        <v>9</v>
      </c>
      <c r="DW2">
        <v>7</v>
      </c>
      <c r="DX2">
        <v>1</v>
      </c>
      <c r="DY2">
        <v>14</v>
      </c>
      <c r="DZ2">
        <v>13</v>
      </c>
      <c r="EA2">
        <v>9</v>
      </c>
      <c r="EB2">
        <v>2</v>
      </c>
      <c r="EC2">
        <v>9</v>
      </c>
      <c r="ED2">
        <v>9</v>
      </c>
      <c r="EE2">
        <v>5</v>
      </c>
    </row>
    <row r="3" spans="1:139" x14ac:dyDescent="0.2">
      <c r="A3" t="s">
        <v>2138</v>
      </c>
      <c r="C3">
        <v>1</v>
      </c>
      <c r="D3">
        <v>1</v>
      </c>
      <c r="E3">
        <v>1</v>
      </c>
      <c r="F3">
        <v>1</v>
      </c>
      <c r="G3">
        <v>1</v>
      </c>
      <c r="H3">
        <v>1</v>
      </c>
      <c r="I3">
        <v>1</v>
      </c>
      <c r="J3">
        <v>1</v>
      </c>
      <c r="K3">
        <v>1</v>
      </c>
      <c r="L3">
        <v>1</v>
      </c>
      <c r="M3">
        <v>1</v>
      </c>
      <c r="N3">
        <v>1</v>
      </c>
      <c r="O3">
        <v>1</v>
      </c>
      <c r="P3">
        <v>1</v>
      </c>
      <c r="Q3">
        <v>1</v>
      </c>
      <c r="R3">
        <v>1</v>
      </c>
      <c r="S3">
        <v>1</v>
      </c>
      <c r="T3">
        <v>1</v>
      </c>
      <c r="U3">
        <v>1</v>
      </c>
      <c r="V3">
        <v>1</v>
      </c>
      <c r="W3">
        <v>1</v>
      </c>
      <c r="X3">
        <v>1</v>
      </c>
      <c r="Y3">
        <v>1</v>
      </c>
      <c r="Z3">
        <v>1</v>
      </c>
      <c r="AA3">
        <v>1</v>
      </c>
      <c r="AD3">
        <v>1</v>
      </c>
      <c r="AJ3">
        <v>2</v>
      </c>
      <c r="AK3">
        <v>2</v>
      </c>
      <c r="AL3">
        <v>2</v>
      </c>
      <c r="AM3">
        <v>2</v>
      </c>
      <c r="AN3">
        <v>2</v>
      </c>
      <c r="AO3">
        <v>2</v>
      </c>
      <c r="AP3">
        <v>2</v>
      </c>
      <c r="AQ3">
        <v>1</v>
      </c>
      <c r="AR3">
        <v>2</v>
      </c>
      <c r="AS3">
        <v>2</v>
      </c>
      <c r="AT3">
        <v>2</v>
      </c>
      <c r="AU3">
        <v>2</v>
      </c>
      <c r="AV3">
        <v>2</v>
      </c>
      <c r="AW3">
        <v>2</v>
      </c>
      <c r="AX3">
        <v>2</v>
      </c>
      <c r="AY3">
        <v>1</v>
      </c>
      <c r="AZ3">
        <v>2</v>
      </c>
      <c r="BA3">
        <v>2</v>
      </c>
      <c r="BB3">
        <v>2</v>
      </c>
      <c r="BC3">
        <v>1</v>
      </c>
      <c r="BD3">
        <v>2</v>
      </c>
      <c r="BE3">
        <v>2</v>
      </c>
      <c r="BF3">
        <v>2</v>
      </c>
      <c r="BG3">
        <v>2</v>
      </c>
      <c r="BH3">
        <v>2</v>
      </c>
      <c r="BI3">
        <v>2</v>
      </c>
      <c r="BJ3">
        <v>2</v>
      </c>
      <c r="BK3">
        <v>2</v>
      </c>
      <c r="BL3">
        <v>2</v>
      </c>
      <c r="BM3">
        <v>2</v>
      </c>
      <c r="BN3">
        <v>1</v>
      </c>
      <c r="BO3">
        <v>2</v>
      </c>
      <c r="BP3">
        <v>1</v>
      </c>
      <c r="BX3">
        <v>2</v>
      </c>
      <c r="BY3">
        <v>2</v>
      </c>
      <c r="CE3">
        <v>1</v>
      </c>
      <c r="CF3">
        <v>1</v>
      </c>
      <c r="CG3">
        <v>1</v>
      </c>
      <c r="CH3">
        <v>1</v>
      </c>
      <c r="CI3">
        <v>1</v>
      </c>
      <c r="CJ3">
        <v>1</v>
      </c>
      <c r="CK3">
        <v>1</v>
      </c>
      <c r="CL3">
        <v>1</v>
      </c>
      <c r="CM3">
        <v>1</v>
      </c>
      <c r="CN3">
        <v>1</v>
      </c>
      <c r="CO3">
        <v>1</v>
      </c>
      <c r="CP3">
        <v>1</v>
      </c>
      <c r="DA3">
        <v>1</v>
      </c>
      <c r="DB3">
        <v>1</v>
      </c>
      <c r="DC3">
        <v>1</v>
      </c>
      <c r="DD3">
        <v>1</v>
      </c>
      <c r="DE3">
        <v>1</v>
      </c>
      <c r="DF3">
        <v>1</v>
      </c>
      <c r="DG3">
        <v>1</v>
      </c>
      <c r="DH3">
        <v>1</v>
      </c>
      <c r="DI3">
        <v>1</v>
      </c>
      <c r="DJ3">
        <v>1</v>
      </c>
      <c r="DK3">
        <v>1</v>
      </c>
      <c r="DL3">
        <v>1</v>
      </c>
      <c r="DM3">
        <v>1</v>
      </c>
      <c r="DN3">
        <v>1</v>
      </c>
      <c r="DO3">
        <v>1</v>
      </c>
      <c r="DP3">
        <v>1</v>
      </c>
      <c r="DQ3">
        <v>1</v>
      </c>
      <c r="DR3">
        <v>1</v>
      </c>
      <c r="EF3">
        <v>2</v>
      </c>
      <c r="EH3">
        <v>1</v>
      </c>
    </row>
    <row r="4" spans="1:139" x14ac:dyDescent="0.2">
      <c r="A4" t="s">
        <v>313</v>
      </c>
    </row>
    <row r="5" spans="1:139" x14ac:dyDescent="0.2">
      <c r="A5" t="s">
        <v>3604</v>
      </c>
      <c r="C5">
        <v>3</v>
      </c>
      <c r="D5">
        <v>2</v>
      </c>
      <c r="E5">
        <v>3</v>
      </c>
      <c r="F5">
        <v>2</v>
      </c>
      <c r="G5">
        <v>2</v>
      </c>
      <c r="H5">
        <v>3</v>
      </c>
      <c r="I5">
        <v>3</v>
      </c>
      <c r="J5">
        <v>3</v>
      </c>
      <c r="K5">
        <v>3</v>
      </c>
      <c r="L5">
        <v>3</v>
      </c>
      <c r="M5">
        <v>3</v>
      </c>
      <c r="N5">
        <v>3</v>
      </c>
      <c r="O5">
        <v>3</v>
      </c>
      <c r="P5">
        <v>3</v>
      </c>
      <c r="Q5">
        <v>3</v>
      </c>
      <c r="R5">
        <v>3</v>
      </c>
      <c r="S5">
        <v>3</v>
      </c>
      <c r="T5">
        <v>3</v>
      </c>
      <c r="U5">
        <v>3</v>
      </c>
      <c r="V5">
        <v>3</v>
      </c>
      <c r="W5">
        <v>3</v>
      </c>
      <c r="X5">
        <v>3</v>
      </c>
      <c r="Y5">
        <v>3</v>
      </c>
      <c r="Z5">
        <v>3</v>
      </c>
      <c r="AA5">
        <v>3</v>
      </c>
      <c r="AB5">
        <v>1</v>
      </c>
      <c r="AC5">
        <v>1</v>
      </c>
      <c r="AD5">
        <v>2</v>
      </c>
      <c r="AE5">
        <v>1</v>
      </c>
      <c r="AF5">
        <v>1</v>
      </c>
      <c r="AG5">
        <v>1</v>
      </c>
      <c r="AH5">
        <v>1</v>
      </c>
      <c r="AI5">
        <v>1</v>
      </c>
      <c r="AJ5">
        <v>3</v>
      </c>
      <c r="AK5">
        <v>3</v>
      </c>
      <c r="AL5">
        <v>3</v>
      </c>
      <c r="AM5">
        <v>3</v>
      </c>
      <c r="AN5">
        <v>3</v>
      </c>
      <c r="AO5">
        <v>3</v>
      </c>
      <c r="AP5">
        <v>3</v>
      </c>
      <c r="AQ5">
        <v>3</v>
      </c>
      <c r="AR5">
        <v>3</v>
      </c>
      <c r="AS5">
        <v>5</v>
      </c>
      <c r="AT5">
        <v>3</v>
      </c>
      <c r="AU5">
        <v>3</v>
      </c>
      <c r="AV5">
        <v>3</v>
      </c>
      <c r="AW5">
        <v>3</v>
      </c>
      <c r="AX5">
        <v>3</v>
      </c>
      <c r="AZ5">
        <v>3</v>
      </c>
      <c r="BA5">
        <v>3</v>
      </c>
      <c r="BB5">
        <v>4</v>
      </c>
      <c r="BC5">
        <v>3</v>
      </c>
      <c r="BD5">
        <v>3</v>
      </c>
      <c r="BE5">
        <v>3</v>
      </c>
      <c r="BF5">
        <v>3</v>
      </c>
      <c r="BG5">
        <v>3</v>
      </c>
      <c r="BH5">
        <v>3</v>
      </c>
      <c r="BI5">
        <v>3</v>
      </c>
      <c r="BJ5">
        <v>3</v>
      </c>
      <c r="BK5">
        <v>3</v>
      </c>
      <c r="BL5">
        <v>3</v>
      </c>
      <c r="BM5">
        <v>3</v>
      </c>
      <c r="BO5">
        <v>3</v>
      </c>
      <c r="BQ5">
        <v>2</v>
      </c>
      <c r="BR5">
        <v>1</v>
      </c>
      <c r="BT5">
        <v>1</v>
      </c>
      <c r="BV5">
        <v>1</v>
      </c>
      <c r="BW5">
        <v>1</v>
      </c>
      <c r="BX5">
        <v>3</v>
      </c>
      <c r="BY5">
        <v>3</v>
      </c>
      <c r="BZ5">
        <v>1</v>
      </c>
      <c r="CA5">
        <v>2</v>
      </c>
      <c r="CB5">
        <v>2</v>
      </c>
      <c r="CC5">
        <v>2</v>
      </c>
      <c r="CD5">
        <v>2</v>
      </c>
      <c r="CE5">
        <v>3</v>
      </c>
      <c r="CF5">
        <v>3</v>
      </c>
      <c r="CG5">
        <v>3</v>
      </c>
      <c r="CH5">
        <v>3</v>
      </c>
      <c r="CI5">
        <v>2</v>
      </c>
      <c r="CJ5">
        <v>2</v>
      </c>
      <c r="CK5">
        <v>2</v>
      </c>
      <c r="CL5">
        <v>2</v>
      </c>
      <c r="CM5">
        <v>2</v>
      </c>
      <c r="CN5">
        <v>2</v>
      </c>
      <c r="CO5">
        <v>2</v>
      </c>
      <c r="CP5">
        <v>2</v>
      </c>
      <c r="CQ5">
        <v>2</v>
      </c>
      <c r="CR5">
        <v>2</v>
      </c>
      <c r="CS5">
        <v>4</v>
      </c>
      <c r="CT5">
        <v>2</v>
      </c>
      <c r="CU5">
        <v>2</v>
      </c>
      <c r="CV5">
        <v>2</v>
      </c>
      <c r="CW5">
        <v>2</v>
      </c>
      <c r="CX5">
        <v>2</v>
      </c>
      <c r="CY5">
        <v>2</v>
      </c>
      <c r="CZ5">
        <v>2</v>
      </c>
      <c r="DA5">
        <v>2</v>
      </c>
      <c r="DB5">
        <v>2</v>
      </c>
      <c r="DC5">
        <v>2</v>
      </c>
      <c r="DD5">
        <v>2</v>
      </c>
      <c r="DE5">
        <v>3</v>
      </c>
      <c r="DF5">
        <v>3</v>
      </c>
      <c r="DG5">
        <v>2</v>
      </c>
      <c r="DH5">
        <v>2</v>
      </c>
      <c r="DI5">
        <v>2</v>
      </c>
      <c r="DJ5">
        <v>2</v>
      </c>
      <c r="DK5">
        <v>2</v>
      </c>
      <c r="DL5">
        <v>2</v>
      </c>
      <c r="DM5">
        <v>2</v>
      </c>
      <c r="DN5">
        <v>4</v>
      </c>
      <c r="DO5">
        <v>2</v>
      </c>
      <c r="DP5">
        <v>2</v>
      </c>
      <c r="DQ5">
        <v>2</v>
      </c>
      <c r="DR5">
        <v>2</v>
      </c>
      <c r="DS5">
        <v>2</v>
      </c>
      <c r="DT5">
        <v>2</v>
      </c>
      <c r="DU5">
        <v>2</v>
      </c>
      <c r="DV5">
        <v>2</v>
      </c>
      <c r="DW5">
        <v>2</v>
      </c>
      <c r="DX5">
        <v>2</v>
      </c>
      <c r="DY5">
        <v>2</v>
      </c>
      <c r="DZ5">
        <v>2</v>
      </c>
      <c r="EA5">
        <v>2</v>
      </c>
      <c r="EB5">
        <v>2</v>
      </c>
      <c r="EC5">
        <v>2</v>
      </c>
      <c r="ED5">
        <v>2</v>
      </c>
      <c r="EF5">
        <v>3</v>
      </c>
      <c r="EG5">
        <v>2</v>
      </c>
      <c r="EH5">
        <v>2</v>
      </c>
    </row>
    <row r="6" spans="1:139" x14ac:dyDescent="0.2">
      <c r="A6" t="s">
        <v>3605</v>
      </c>
      <c r="DP6">
        <v>1</v>
      </c>
    </row>
    <row r="7" spans="1:139" x14ac:dyDescent="0.2">
      <c r="A7" t="s">
        <v>74</v>
      </c>
      <c r="C7">
        <v>13</v>
      </c>
      <c r="D7">
        <v>13</v>
      </c>
      <c r="E7">
        <v>12</v>
      </c>
      <c r="F7">
        <v>11</v>
      </c>
      <c r="H7">
        <v>12</v>
      </c>
      <c r="I7">
        <v>12</v>
      </c>
      <c r="J7">
        <v>12</v>
      </c>
      <c r="K7">
        <v>12</v>
      </c>
      <c r="L7">
        <v>12</v>
      </c>
      <c r="M7">
        <v>12</v>
      </c>
      <c r="N7">
        <v>12</v>
      </c>
      <c r="O7">
        <v>12</v>
      </c>
      <c r="P7">
        <v>12</v>
      </c>
      <c r="Q7">
        <v>12</v>
      </c>
      <c r="R7">
        <v>12</v>
      </c>
      <c r="S7">
        <v>12</v>
      </c>
      <c r="T7">
        <v>12</v>
      </c>
      <c r="U7">
        <v>12</v>
      </c>
      <c r="V7">
        <v>12</v>
      </c>
      <c r="W7">
        <v>12</v>
      </c>
      <c r="X7">
        <v>12</v>
      </c>
      <c r="Y7">
        <v>12</v>
      </c>
      <c r="Z7">
        <v>12</v>
      </c>
      <c r="AA7">
        <v>12</v>
      </c>
      <c r="AB7">
        <v>11</v>
      </c>
      <c r="AC7">
        <v>11</v>
      </c>
      <c r="AD7">
        <v>12</v>
      </c>
      <c r="AE7">
        <v>11</v>
      </c>
      <c r="AF7">
        <v>12</v>
      </c>
      <c r="AH7">
        <v>12</v>
      </c>
      <c r="AI7">
        <v>11</v>
      </c>
      <c r="AJ7">
        <v>12</v>
      </c>
      <c r="AK7">
        <v>12</v>
      </c>
      <c r="AL7">
        <v>12</v>
      </c>
      <c r="AM7">
        <v>12</v>
      </c>
      <c r="AN7">
        <v>12</v>
      </c>
      <c r="AO7">
        <v>12</v>
      </c>
      <c r="AP7">
        <v>13</v>
      </c>
      <c r="AQ7">
        <v>12</v>
      </c>
      <c r="AR7">
        <v>12</v>
      </c>
      <c r="AS7">
        <v>12</v>
      </c>
      <c r="AT7">
        <v>12</v>
      </c>
      <c r="AU7">
        <v>12</v>
      </c>
      <c r="AV7">
        <v>12</v>
      </c>
      <c r="AW7">
        <v>12</v>
      </c>
      <c r="AX7">
        <v>12</v>
      </c>
      <c r="AY7">
        <v>12</v>
      </c>
      <c r="AZ7">
        <v>13</v>
      </c>
      <c r="BA7">
        <v>12</v>
      </c>
      <c r="BB7">
        <v>12</v>
      </c>
      <c r="BC7">
        <v>12</v>
      </c>
      <c r="BD7">
        <v>12</v>
      </c>
      <c r="BE7">
        <v>12</v>
      </c>
      <c r="BF7">
        <v>12</v>
      </c>
      <c r="BG7">
        <v>12</v>
      </c>
      <c r="BH7">
        <v>12</v>
      </c>
      <c r="BI7">
        <v>12</v>
      </c>
      <c r="BJ7">
        <v>12</v>
      </c>
      <c r="BK7">
        <v>12</v>
      </c>
      <c r="BL7">
        <v>12</v>
      </c>
      <c r="BM7">
        <v>12</v>
      </c>
      <c r="BN7">
        <v>12</v>
      </c>
      <c r="BO7">
        <v>12</v>
      </c>
      <c r="BQ7">
        <v>12</v>
      </c>
      <c r="BR7">
        <v>12</v>
      </c>
      <c r="BS7">
        <v>11</v>
      </c>
      <c r="BT7">
        <v>13</v>
      </c>
      <c r="BU7">
        <v>12</v>
      </c>
      <c r="BV7">
        <v>12</v>
      </c>
      <c r="BW7">
        <v>12</v>
      </c>
      <c r="BX7">
        <v>12</v>
      </c>
      <c r="BY7">
        <v>13</v>
      </c>
      <c r="BZ7">
        <v>13</v>
      </c>
      <c r="CA7">
        <v>13</v>
      </c>
      <c r="CB7">
        <v>11</v>
      </c>
      <c r="CC7">
        <v>11</v>
      </c>
      <c r="CD7">
        <v>11</v>
      </c>
      <c r="CE7">
        <v>12</v>
      </c>
      <c r="CF7">
        <v>12</v>
      </c>
      <c r="CG7">
        <v>12</v>
      </c>
      <c r="CH7">
        <v>12</v>
      </c>
      <c r="CI7">
        <v>12</v>
      </c>
      <c r="CJ7">
        <v>12</v>
      </c>
      <c r="CK7">
        <v>12</v>
      </c>
      <c r="CL7">
        <v>12</v>
      </c>
      <c r="CM7">
        <v>12</v>
      </c>
      <c r="CN7">
        <v>12</v>
      </c>
      <c r="CO7">
        <v>12</v>
      </c>
      <c r="CP7">
        <v>12</v>
      </c>
      <c r="CQ7">
        <v>12</v>
      </c>
      <c r="CR7">
        <v>11</v>
      </c>
      <c r="CS7">
        <v>11</v>
      </c>
      <c r="CT7">
        <v>11</v>
      </c>
      <c r="CU7">
        <v>12</v>
      </c>
      <c r="CV7">
        <v>11</v>
      </c>
      <c r="CW7">
        <v>11</v>
      </c>
      <c r="CX7">
        <v>11</v>
      </c>
      <c r="CY7">
        <v>12</v>
      </c>
      <c r="CZ7">
        <v>12</v>
      </c>
      <c r="DA7">
        <v>12</v>
      </c>
      <c r="DB7">
        <v>12</v>
      </c>
      <c r="DC7">
        <v>12</v>
      </c>
      <c r="DD7">
        <v>12</v>
      </c>
      <c r="DE7">
        <v>12</v>
      </c>
      <c r="DF7">
        <v>12</v>
      </c>
      <c r="DG7">
        <v>12</v>
      </c>
      <c r="DH7">
        <v>12</v>
      </c>
      <c r="DI7">
        <v>12</v>
      </c>
      <c r="DJ7">
        <v>12</v>
      </c>
      <c r="DK7">
        <v>12</v>
      </c>
      <c r="DL7">
        <v>12</v>
      </c>
      <c r="DM7">
        <v>12</v>
      </c>
      <c r="DN7">
        <v>12</v>
      </c>
      <c r="DO7">
        <v>12</v>
      </c>
      <c r="DP7">
        <v>12</v>
      </c>
      <c r="DQ7">
        <v>13</v>
      </c>
      <c r="DR7">
        <v>12</v>
      </c>
      <c r="DS7">
        <v>12</v>
      </c>
      <c r="DT7">
        <v>12</v>
      </c>
      <c r="DU7">
        <v>13</v>
      </c>
      <c r="DV7">
        <v>12</v>
      </c>
      <c r="DW7">
        <v>14</v>
      </c>
      <c r="DX7">
        <v>12</v>
      </c>
      <c r="DY7">
        <v>13</v>
      </c>
      <c r="DZ7">
        <v>13</v>
      </c>
      <c r="EA7">
        <v>12</v>
      </c>
      <c r="EB7">
        <v>14</v>
      </c>
      <c r="EC7">
        <v>13</v>
      </c>
      <c r="ED7">
        <v>13</v>
      </c>
      <c r="EE7">
        <v>13</v>
      </c>
      <c r="EF7">
        <v>12</v>
      </c>
      <c r="EG7">
        <v>11</v>
      </c>
      <c r="EH7">
        <v>12</v>
      </c>
    </row>
    <row r="8" spans="1:139" x14ac:dyDescent="0.2">
      <c r="A8" t="s">
        <v>75</v>
      </c>
      <c r="H8">
        <v>11</v>
      </c>
      <c r="I8">
        <v>11</v>
      </c>
      <c r="J8">
        <v>12</v>
      </c>
      <c r="K8">
        <v>11</v>
      </c>
      <c r="L8">
        <v>11</v>
      </c>
      <c r="M8">
        <v>11</v>
      </c>
      <c r="N8">
        <v>11</v>
      </c>
      <c r="Z8">
        <v>11</v>
      </c>
      <c r="AA8">
        <v>11</v>
      </c>
      <c r="AC8">
        <v>11</v>
      </c>
      <c r="AF8">
        <v>11</v>
      </c>
      <c r="BU8">
        <v>12</v>
      </c>
      <c r="CB8">
        <v>12</v>
      </c>
      <c r="CW8">
        <v>12</v>
      </c>
      <c r="DM8">
        <v>12</v>
      </c>
    </row>
    <row r="9" spans="1:139" x14ac:dyDescent="0.2">
      <c r="A9" t="s">
        <v>76</v>
      </c>
      <c r="BQ9">
        <v>12</v>
      </c>
      <c r="BR9">
        <v>12</v>
      </c>
      <c r="BS9">
        <v>13</v>
      </c>
      <c r="BT9">
        <v>12</v>
      </c>
      <c r="BU9">
        <v>12</v>
      </c>
      <c r="BV9">
        <v>12</v>
      </c>
      <c r="BW9">
        <v>11</v>
      </c>
      <c r="BZ9">
        <v>12</v>
      </c>
      <c r="CB9">
        <v>12</v>
      </c>
      <c r="CC9">
        <v>11</v>
      </c>
      <c r="CD9">
        <v>11</v>
      </c>
      <c r="CT9">
        <v>12</v>
      </c>
      <c r="CW9">
        <v>12</v>
      </c>
      <c r="DK9">
        <v>11</v>
      </c>
      <c r="DL9">
        <v>11</v>
      </c>
      <c r="DM9">
        <v>12</v>
      </c>
      <c r="DR9">
        <v>11</v>
      </c>
      <c r="ED9">
        <v>11</v>
      </c>
    </row>
    <row r="10" spans="1:139" x14ac:dyDescent="0.2">
      <c r="A10" t="s">
        <v>77</v>
      </c>
      <c r="E10">
        <v>11</v>
      </c>
      <c r="F10">
        <v>11</v>
      </c>
      <c r="G10">
        <v>12</v>
      </c>
      <c r="H10">
        <v>11</v>
      </c>
      <c r="I10">
        <v>11</v>
      </c>
      <c r="J10">
        <v>11</v>
      </c>
      <c r="K10">
        <v>11</v>
      </c>
      <c r="L10">
        <v>11</v>
      </c>
      <c r="M10">
        <v>11</v>
      </c>
      <c r="N10">
        <v>11</v>
      </c>
      <c r="O10">
        <v>12</v>
      </c>
      <c r="P10">
        <v>11</v>
      </c>
      <c r="Q10">
        <v>12</v>
      </c>
      <c r="R10">
        <v>11</v>
      </c>
      <c r="S10">
        <v>12</v>
      </c>
      <c r="T10">
        <v>11</v>
      </c>
      <c r="U10">
        <v>11</v>
      </c>
      <c r="V10">
        <v>11</v>
      </c>
      <c r="W10">
        <v>11</v>
      </c>
      <c r="X10">
        <v>11</v>
      </c>
      <c r="Y10">
        <v>11</v>
      </c>
      <c r="Z10">
        <v>12</v>
      </c>
      <c r="AA10">
        <v>12</v>
      </c>
      <c r="AC10">
        <v>11</v>
      </c>
      <c r="AI10">
        <v>11</v>
      </c>
      <c r="AQ10">
        <v>11</v>
      </c>
      <c r="BS10">
        <v>12</v>
      </c>
      <c r="BU10">
        <v>12</v>
      </c>
      <c r="BW10">
        <v>13</v>
      </c>
    </row>
    <row r="11" spans="1:139" x14ac:dyDescent="0.2">
      <c r="A11" t="s">
        <v>750</v>
      </c>
      <c r="P11">
        <v>12</v>
      </c>
      <c r="AQ11">
        <v>12</v>
      </c>
      <c r="BJ11">
        <v>12</v>
      </c>
      <c r="BL11">
        <v>12</v>
      </c>
      <c r="BU11">
        <v>12</v>
      </c>
      <c r="BV11">
        <v>11</v>
      </c>
      <c r="CB11">
        <v>11</v>
      </c>
      <c r="CC11">
        <v>12</v>
      </c>
      <c r="CD11">
        <v>12</v>
      </c>
      <c r="CK11">
        <v>12</v>
      </c>
      <c r="CL11">
        <v>12</v>
      </c>
      <c r="CS11">
        <v>11</v>
      </c>
      <c r="CT11">
        <v>12</v>
      </c>
      <c r="CW11">
        <v>11</v>
      </c>
      <c r="DK11">
        <v>12</v>
      </c>
      <c r="DL11">
        <v>12</v>
      </c>
      <c r="DN11">
        <v>11</v>
      </c>
    </row>
    <row r="12" spans="1:139" x14ac:dyDescent="0.2">
      <c r="A12" t="s">
        <v>751</v>
      </c>
      <c r="C12">
        <v>12</v>
      </c>
      <c r="D12">
        <v>12</v>
      </c>
      <c r="E12">
        <v>12</v>
      </c>
      <c r="F12">
        <v>13</v>
      </c>
      <c r="G12">
        <v>12</v>
      </c>
      <c r="H12">
        <v>11</v>
      </c>
      <c r="I12">
        <v>11</v>
      </c>
      <c r="K12">
        <v>11</v>
      </c>
      <c r="L12">
        <v>11</v>
      </c>
      <c r="M12">
        <v>11</v>
      </c>
      <c r="N12">
        <v>11</v>
      </c>
      <c r="O12">
        <v>12</v>
      </c>
      <c r="P12">
        <v>12</v>
      </c>
      <c r="Q12">
        <v>12</v>
      </c>
      <c r="R12">
        <v>11</v>
      </c>
      <c r="S12">
        <v>12</v>
      </c>
      <c r="T12">
        <v>12</v>
      </c>
      <c r="U12">
        <v>12</v>
      </c>
      <c r="V12">
        <v>12</v>
      </c>
      <c r="W12">
        <v>12</v>
      </c>
      <c r="X12">
        <v>12</v>
      </c>
      <c r="Y12">
        <v>12</v>
      </c>
      <c r="AB12">
        <v>11</v>
      </c>
      <c r="AD12">
        <v>11</v>
      </c>
      <c r="AE12">
        <v>11</v>
      </c>
      <c r="AH12">
        <v>11</v>
      </c>
      <c r="AI12">
        <v>11</v>
      </c>
      <c r="AO12">
        <v>12</v>
      </c>
      <c r="AP12">
        <v>12</v>
      </c>
      <c r="AQ12">
        <v>12</v>
      </c>
      <c r="AR12">
        <v>12</v>
      </c>
      <c r="AS12">
        <v>12</v>
      </c>
      <c r="AT12">
        <v>12</v>
      </c>
      <c r="AU12">
        <v>12</v>
      </c>
      <c r="AV12">
        <v>12</v>
      </c>
      <c r="AW12">
        <v>13</v>
      </c>
      <c r="AX12">
        <v>12</v>
      </c>
      <c r="AY12">
        <v>13</v>
      </c>
      <c r="AZ12">
        <v>12</v>
      </c>
      <c r="BA12">
        <v>12</v>
      </c>
      <c r="BB12">
        <v>12</v>
      </c>
      <c r="BC12">
        <v>12</v>
      </c>
      <c r="BD12">
        <v>12</v>
      </c>
      <c r="BE12">
        <v>12</v>
      </c>
      <c r="BF12">
        <v>12</v>
      </c>
      <c r="BG12">
        <v>12</v>
      </c>
      <c r="BH12">
        <v>12</v>
      </c>
      <c r="BI12">
        <v>12</v>
      </c>
      <c r="BJ12">
        <v>12</v>
      </c>
      <c r="BK12">
        <v>12</v>
      </c>
      <c r="BM12">
        <v>12</v>
      </c>
      <c r="BN12">
        <v>13</v>
      </c>
      <c r="BO12">
        <v>13</v>
      </c>
      <c r="BP12">
        <v>11</v>
      </c>
      <c r="BQ12">
        <v>12</v>
      </c>
      <c r="BR12">
        <v>13</v>
      </c>
      <c r="BS12">
        <v>13</v>
      </c>
      <c r="BT12">
        <v>13</v>
      </c>
      <c r="BU12">
        <v>12</v>
      </c>
      <c r="BV12">
        <v>13</v>
      </c>
      <c r="BW12">
        <v>13</v>
      </c>
      <c r="BX12">
        <v>13</v>
      </c>
      <c r="BY12">
        <v>13</v>
      </c>
      <c r="BZ12">
        <v>13</v>
      </c>
      <c r="CA12">
        <v>12</v>
      </c>
      <c r="CB12">
        <v>11</v>
      </c>
      <c r="CC12">
        <v>12</v>
      </c>
      <c r="CD12">
        <v>12</v>
      </c>
      <c r="CQ12">
        <v>12</v>
      </c>
      <c r="CR12">
        <v>11</v>
      </c>
      <c r="CS12">
        <v>11</v>
      </c>
      <c r="CT12">
        <v>11</v>
      </c>
      <c r="CU12">
        <v>11</v>
      </c>
      <c r="CV12">
        <v>11</v>
      </c>
      <c r="CW12">
        <v>11</v>
      </c>
      <c r="CX12">
        <v>12</v>
      </c>
      <c r="CY12">
        <v>11</v>
      </c>
      <c r="CZ12">
        <v>11</v>
      </c>
      <c r="DG12">
        <v>12</v>
      </c>
      <c r="DH12">
        <v>12</v>
      </c>
      <c r="DI12">
        <v>12</v>
      </c>
      <c r="DJ12">
        <v>12</v>
      </c>
      <c r="DK12">
        <v>12</v>
      </c>
      <c r="DL12">
        <v>12</v>
      </c>
      <c r="DM12">
        <v>12</v>
      </c>
      <c r="DN12">
        <v>12</v>
      </c>
      <c r="DO12">
        <v>12</v>
      </c>
      <c r="DP12">
        <v>12</v>
      </c>
      <c r="DQ12">
        <v>12</v>
      </c>
      <c r="DR12">
        <v>11</v>
      </c>
      <c r="DS12">
        <v>13</v>
      </c>
      <c r="DT12">
        <v>13</v>
      </c>
      <c r="DU12">
        <v>11</v>
      </c>
      <c r="DV12">
        <v>12</v>
      </c>
      <c r="DW12">
        <v>12</v>
      </c>
      <c r="DX12">
        <v>11</v>
      </c>
      <c r="DY12">
        <v>12</v>
      </c>
      <c r="DZ12">
        <v>11</v>
      </c>
      <c r="EA12">
        <v>13</v>
      </c>
      <c r="EB12">
        <v>11</v>
      </c>
      <c r="EC12">
        <v>13</v>
      </c>
      <c r="ED12">
        <v>13</v>
      </c>
      <c r="EE12">
        <v>11</v>
      </c>
      <c r="EF12">
        <v>12</v>
      </c>
      <c r="EG12">
        <v>11</v>
      </c>
      <c r="EH12">
        <v>12</v>
      </c>
    </row>
    <row r="13" spans="1:139" x14ac:dyDescent="0.2">
      <c r="A13" t="s">
        <v>5030</v>
      </c>
      <c r="C13">
        <v>13</v>
      </c>
      <c r="D13">
        <v>12</v>
      </c>
      <c r="E13">
        <v>12</v>
      </c>
      <c r="F13">
        <v>12</v>
      </c>
      <c r="G13">
        <v>11</v>
      </c>
      <c r="H13">
        <v>11</v>
      </c>
      <c r="I13">
        <v>11</v>
      </c>
      <c r="J13">
        <v>12</v>
      </c>
      <c r="K13">
        <v>11</v>
      </c>
      <c r="L13">
        <v>11</v>
      </c>
      <c r="M13">
        <v>11</v>
      </c>
      <c r="N13">
        <v>11</v>
      </c>
      <c r="O13">
        <v>12</v>
      </c>
      <c r="P13">
        <v>11</v>
      </c>
      <c r="Q13">
        <v>12</v>
      </c>
      <c r="R13">
        <v>12</v>
      </c>
      <c r="S13">
        <v>12</v>
      </c>
      <c r="T13">
        <v>12</v>
      </c>
      <c r="U13">
        <v>12</v>
      </c>
      <c r="V13">
        <v>12</v>
      </c>
      <c r="W13">
        <v>12</v>
      </c>
      <c r="X13">
        <v>12</v>
      </c>
      <c r="Y13">
        <v>12</v>
      </c>
      <c r="Z13">
        <v>11</v>
      </c>
      <c r="AA13">
        <v>11</v>
      </c>
      <c r="AD13">
        <v>12</v>
      </c>
      <c r="AF13">
        <v>11</v>
      </c>
      <c r="AG13">
        <v>11</v>
      </c>
      <c r="AH13">
        <v>11</v>
      </c>
      <c r="AJ13">
        <v>12</v>
      </c>
      <c r="AK13">
        <v>12</v>
      </c>
      <c r="AL13">
        <v>12</v>
      </c>
      <c r="AM13">
        <v>12</v>
      </c>
      <c r="AN13">
        <v>12</v>
      </c>
      <c r="AO13">
        <v>13</v>
      </c>
      <c r="AP13">
        <v>13</v>
      </c>
      <c r="AQ13">
        <v>13</v>
      </c>
      <c r="AR13">
        <v>13</v>
      </c>
      <c r="AS13">
        <v>13</v>
      </c>
      <c r="AT13">
        <v>13</v>
      </c>
      <c r="AU13">
        <v>13</v>
      </c>
      <c r="AV13">
        <v>13</v>
      </c>
      <c r="AW13">
        <v>13</v>
      </c>
      <c r="AX13">
        <v>13</v>
      </c>
      <c r="AY13">
        <v>13</v>
      </c>
      <c r="AZ13">
        <v>13</v>
      </c>
      <c r="BA13">
        <v>13</v>
      </c>
      <c r="BB13">
        <v>13</v>
      </c>
      <c r="BC13">
        <v>13</v>
      </c>
      <c r="BD13">
        <v>13</v>
      </c>
      <c r="BE13">
        <v>13</v>
      </c>
      <c r="BF13">
        <v>13</v>
      </c>
      <c r="BG13">
        <v>13</v>
      </c>
      <c r="BH13">
        <v>13</v>
      </c>
      <c r="BI13">
        <v>13</v>
      </c>
      <c r="BJ13">
        <v>13</v>
      </c>
      <c r="BK13">
        <v>13</v>
      </c>
      <c r="BL13">
        <v>13</v>
      </c>
      <c r="BM13">
        <v>13</v>
      </c>
      <c r="BN13">
        <v>12</v>
      </c>
      <c r="BO13">
        <v>13</v>
      </c>
      <c r="BQ13">
        <v>12</v>
      </c>
      <c r="BR13">
        <v>11</v>
      </c>
      <c r="BS13">
        <v>11</v>
      </c>
      <c r="BT13">
        <v>11</v>
      </c>
      <c r="BU13">
        <v>12</v>
      </c>
      <c r="BV13">
        <v>11</v>
      </c>
      <c r="BW13">
        <v>11</v>
      </c>
      <c r="BX13">
        <v>13</v>
      </c>
      <c r="BY13">
        <v>13</v>
      </c>
      <c r="BZ13">
        <v>11</v>
      </c>
      <c r="CA13">
        <v>12</v>
      </c>
      <c r="CB13">
        <v>11</v>
      </c>
      <c r="CC13">
        <v>11</v>
      </c>
      <c r="CD13">
        <v>11</v>
      </c>
      <c r="CE13">
        <v>12</v>
      </c>
      <c r="CF13">
        <v>12</v>
      </c>
      <c r="CG13">
        <v>12</v>
      </c>
      <c r="CH13">
        <v>12</v>
      </c>
      <c r="CI13">
        <v>12</v>
      </c>
      <c r="CJ13">
        <v>12</v>
      </c>
      <c r="CK13">
        <v>12</v>
      </c>
      <c r="CL13">
        <v>12</v>
      </c>
      <c r="CM13">
        <v>12</v>
      </c>
      <c r="CN13">
        <v>12</v>
      </c>
      <c r="CO13">
        <v>12</v>
      </c>
      <c r="CP13">
        <v>12</v>
      </c>
      <c r="CQ13">
        <v>12</v>
      </c>
      <c r="CR13">
        <v>12</v>
      </c>
      <c r="CS13">
        <v>13</v>
      </c>
      <c r="CT13">
        <v>11</v>
      </c>
      <c r="CU13">
        <v>13</v>
      </c>
      <c r="CV13">
        <v>13</v>
      </c>
      <c r="CW13">
        <v>11</v>
      </c>
      <c r="CX13">
        <v>12</v>
      </c>
      <c r="CY13">
        <v>12</v>
      </c>
      <c r="CZ13">
        <v>12</v>
      </c>
      <c r="DA13">
        <v>12</v>
      </c>
      <c r="DB13">
        <v>12</v>
      </c>
      <c r="DC13">
        <v>12</v>
      </c>
      <c r="DD13">
        <v>12</v>
      </c>
      <c r="DE13">
        <v>12</v>
      </c>
      <c r="DF13">
        <v>12</v>
      </c>
      <c r="DG13">
        <v>13</v>
      </c>
      <c r="DH13">
        <v>12</v>
      </c>
      <c r="DI13">
        <v>11</v>
      </c>
      <c r="DJ13">
        <v>13</v>
      </c>
      <c r="DK13">
        <v>11</v>
      </c>
      <c r="DL13">
        <v>11</v>
      </c>
      <c r="DM13">
        <v>11</v>
      </c>
      <c r="DN13">
        <v>13</v>
      </c>
      <c r="DO13">
        <v>12</v>
      </c>
      <c r="DP13">
        <v>12</v>
      </c>
      <c r="DQ13">
        <v>12</v>
      </c>
      <c r="DR13">
        <v>11</v>
      </c>
      <c r="DS13">
        <v>13</v>
      </c>
      <c r="DT13">
        <v>13</v>
      </c>
      <c r="DU13">
        <v>13</v>
      </c>
      <c r="DV13">
        <v>14</v>
      </c>
      <c r="DW13">
        <v>13</v>
      </c>
      <c r="DX13">
        <v>13</v>
      </c>
      <c r="DY13">
        <v>13</v>
      </c>
      <c r="DZ13">
        <v>12</v>
      </c>
      <c r="EA13">
        <v>11</v>
      </c>
      <c r="EB13">
        <v>13</v>
      </c>
      <c r="EC13">
        <v>12</v>
      </c>
      <c r="ED13">
        <v>12</v>
      </c>
      <c r="EE13">
        <v>12</v>
      </c>
      <c r="EF13">
        <v>13</v>
      </c>
      <c r="EG13">
        <v>11</v>
      </c>
      <c r="EH13">
        <v>11</v>
      </c>
    </row>
    <row r="14" spans="1:139" x14ac:dyDescent="0.2">
      <c r="A14" t="s">
        <v>752</v>
      </c>
      <c r="C14">
        <v>11</v>
      </c>
      <c r="D14">
        <v>12</v>
      </c>
      <c r="E14">
        <v>12</v>
      </c>
      <c r="F14">
        <v>12</v>
      </c>
      <c r="G14">
        <v>13</v>
      </c>
      <c r="J14">
        <v>11</v>
      </c>
      <c r="AB14">
        <v>11</v>
      </c>
      <c r="AC14">
        <v>11</v>
      </c>
      <c r="AD14">
        <v>12</v>
      </c>
      <c r="AE14">
        <v>11</v>
      </c>
      <c r="AG14">
        <v>12</v>
      </c>
      <c r="AH14">
        <v>12</v>
      </c>
      <c r="AJ14">
        <v>12</v>
      </c>
      <c r="AK14">
        <v>12</v>
      </c>
      <c r="AL14">
        <v>12</v>
      </c>
      <c r="AM14">
        <v>12</v>
      </c>
      <c r="AN14">
        <v>12</v>
      </c>
      <c r="AO14">
        <v>12</v>
      </c>
      <c r="AP14">
        <v>12</v>
      </c>
      <c r="AQ14">
        <v>11</v>
      </c>
      <c r="AR14">
        <v>13</v>
      </c>
      <c r="AS14">
        <v>12</v>
      </c>
      <c r="AT14">
        <v>12</v>
      </c>
      <c r="AU14">
        <v>12</v>
      </c>
      <c r="AV14">
        <v>12</v>
      </c>
      <c r="AW14">
        <v>12</v>
      </c>
      <c r="AX14">
        <v>12</v>
      </c>
      <c r="AY14">
        <v>13</v>
      </c>
      <c r="AZ14">
        <v>12</v>
      </c>
      <c r="BA14">
        <v>12</v>
      </c>
      <c r="BB14">
        <v>12</v>
      </c>
      <c r="BC14">
        <v>12</v>
      </c>
      <c r="BD14">
        <v>13</v>
      </c>
      <c r="BE14">
        <v>12</v>
      </c>
      <c r="BF14">
        <v>12</v>
      </c>
      <c r="BG14">
        <v>13</v>
      </c>
      <c r="BH14">
        <v>13</v>
      </c>
      <c r="BI14">
        <v>13</v>
      </c>
      <c r="BK14">
        <v>13</v>
      </c>
      <c r="BL14">
        <v>13</v>
      </c>
      <c r="BM14">
        <v>13</v>
      </c>
      <c r="BN14">
        <v>11</v>
      </c>
      <c r="BO14">
        <v>12</v>
      </c>
      <c r="BP14">
        <v>13</v>
      </c>
      <c r="BQ14">
        <v>12</v>
      </c>
      <c r="BU14">
        <v>12</v>
      </c>
      <c r="BX14">
        <v>12</v>
      </c>
      <c r="BY14">
        <v>12</v>
      </c>
      <c r="BZ14">
        <v>12</v>
      </c>
      <c r="CA14">
        <v>12</v>
      </c>
      <c r="CB14">
        <v>11</v>
      </c>
      <c r="CC14">
        <v>11</v>
      </c>
      <c r="CD14">
        <v>11</v>
      </c>
      <c r="CE14">
        <v>12</v>
      </c>
      <c r="CF14">
        <v>12</v>
      </c>
      <c r="CG14">
        <v>12</v>
      </c>
      <c r="CH14">
        <v>12</v>
      </c>
      <c r="CI14">
        <v>12</v>
      </c>
      <c r="CJ14">
        <v>12</v>
      </c>
      <c r="CK14">
        <v>12</v>
      </c>
      <c r="CL14">
        <v>12</v>
      </c>
      <c r="CM14">
        <v>12</v>
      </c>
      <c r="CN14">
        <v>12</v>
      </c>
      <c r="CO14">
        <v>12</v>
      </c>
      <c r="CP14">
        <v>12</v>
      </c>
      <c r="CQ14">
        <v>11</v>
      </c>
      <c r="CR14">
        <v>12</v>
      </c>
      <c r="CS14">
        <v>13</v>
      </c>
      <c r="CT14">
        <v>11</v>
      </c>
      <c r="CU14">
        <v>12</v>
      </c>
      <c r="CV14">
        <v>12</v>
      </c>
      <c r="CW14">
        <v>11</v>
      </c>
      <c r="CX14">
        <v>11</v>
      </c>
      <c r="CY14">
        <v>11</v>
      </c>
      <c r="CZ14">
        <v>12</v>
      </c>
      <c r="DA14">
        <v>12</v>
      </c>
      <c r="DB14">
        <v>12</v>
      </c>
      <c r="DC14">
        <v>12</v>
      </c>
      <c r="DD14">
        <v>12</v>
      </c>
      <c r="DE14">
        <v>12</v>
      </c>
      <c r="DF14">
        <v>12</v>
      </c>
      <c r="DG14">
        <v>12</v>
      </c>
      <c r="DH14">
        <v>11</v>
      </c>
      <c r="DI14">
        <v>11</v>
      </c>
      <c r="DJ14">
        <v>12</v>
      </c>
      <c r="DK14">
        <v>11</v>
      </c>
      <c r="DL14">
        <v>11</v>
      </c>
      <c r="DM14">
        <v>11</v>
      </c>
      <c r="DN14">
        <v>13</v>
      </c>
      <c r="DO14">
        <v>12</v>
      </c>
      <c r="DP14">
        <v>12</v>
      </c>
      <c r="DQ14">
        <v>12</v>
      </c>
      <c r="DR14">
        <v>13</v>
      </c>
      <c r="DS14">
        <v>11</v>
      </c>
      <c r="DT14">
        <v>11</v>
      </c>
      <c r="DU14">
        <v>12</v>
      </c>
      <c r="DV14">
        <v>12</v>
      </c>
      <c r="DW14">
        <v>11</v>
      </c>
      <c r="DX14">
        <v>14</v>
      </c>
      <c r="EA14">
        <v>11</v>
      </c>
      <c r="EB14">
        <v>12</v>
      </c>
      <c r="EC14">
        <v>12</v>
      </c>
      <c r="ED14">
        <v>12</v>
      </c>
      <c r="EE14">
        <v>12</v>
      </c>
      <c r="EF14">
        <v>12</v>
      </c>
      <c r="EG14">
        <v>11</v>
      </c>
      <c r="EH14">
        <v>11</v>
      </c>
    </row>
    <row r="15" spans="1:139" x14ac:dyDescent="0.2">
      <c r="A15" t="s">
        <v>1900</v>
      </c>
      <c r="C15">
        <v>5</v>
      </c>
      <c r="D15">
        <v>1</v>
      </c>
      <c r="E15">
        <v>3</v>
      </c>
      <c r="F15">
        <v>3</v>
      </c>
      <c r="G15">
        <v>3</v>
      </c>
      <c r="H15">
        <v>7</v>
      </c>
      <c r="I15">
        <v>7</v>
      </c>
      <c r="J15">
        <v>7</v>
      </c>
      <c r="K15">
        <v>7</v>
      </c>
      <c r="L15">
        <v>7</v>
      </c>
      <c r="M15">
        <v>7</v>
      </c>
      <c r="N15">
        <v>7</v>
      </c>
      <c r="O15">
        <v>7</v>
      </c>
      <c r="P15">
        <v>7</v>
      </c>
      <c r="Q15">
        <v>7</v>
      </c>
      <c r="R15">
        <v>7</v>
      </c>
      <c r="S15">
        <v>7</v>
      </c>
      <c r="T15">
        <v>7</v>
      </c>
      <c r="U15">
        <v>7</v>
      </c>
      <c r="V15">
        <v>7</v>
      </c>
      <c r="W15">
        <v>7</v>
      </c>
      <c r="X15">
        <v>7</v>
      </c>
      <c r="Y15">
        <v>7</v>
      </c>
      <c r="Z15">
        <v>7</v>
      </c>
      <c r="AA15">
        <v>7</v>
      </c>
      <c r="AB15">
        <v>5</v>
      </c>
      <c r="AC15">
        <v>5</v>
      </c>
      <c r="AD15">
        <v>4</v>
      </c>
      <c r="AE15">
        <v>5</v>
      </c>
      <c r="AF15">
        <v>5</v>
      </c>
      <c r="AG15">
        <v>3</v>
      </c>
      <c r="AH15">
        <v>5</v>
      </c>
      <c r="AI15">
        <v>6</v>
      </c>
      <c r="AJ15">
        <v>8</v>
      </c>
      <c r="AK15">
        <v>7</v>
      </c>
      <c r="AL15">
        <v>7</v>
      </c>
      <c r="AM15">
        <v>7</v>
      </c>
      <c r="AN15">
        <v>7</v>
      </c>
      <c r="AO15">
        <v>7</v>
      </c>
      <c r="AP15">
        <v>4</v>
      </c>
      <c r="AQ15">
        <v>7</v>
      </c>
      <c r="AR15">
        <v>8</v>
      </c>
      <c r="AS15">
        <v>7</v>
      </c>
      <c r="AT15">
        <v>7</v>
      </c>
      <c r="AU15">
        <v>7</v>
      </c>
      <c r="AV15">
        <v>7</v>
      </c>
      <c r="AW15">
        <v>7</v>
      </c>
      <c r="AX15">
        <v>8</v>
      </c>
      <c r="AY15">
        <v>7</v>
      </c>
      <c r="AZ15">
        <v>7</v>
      </c>
      <c r="BA15">
        <v>7</v>
      </c>
      <c r="BB15">
        <v>7</v>
      </c>
      <c r="BC15">
        <v>9</v>
      </c>
      <c r="BD15">
        <v>5</v>
      </c>
      <c r="BE15">
        <v>7</v>
      </c>
      <c r="BF15">
        <v>7</v>
      </c>
      <c r="BG15">
        <v>5</v>
      </c>
      <c r="BH15">
        <v>5</v>
      </c>
      <c r="BI15">
        <v>5</v>
      </c>
      <c r="BJ15">
        <v>5</v>
      </c>
      <c r="BK15">
        <v>5</v>
      </c>
      <c r="BL15">
        <v>5</v>
      </c>
      <c r="BM15">
        <v>5</v>
      </c>
      <c r="BN15">
        <v>9</v>
      </c>
      <c r="BO15">
        <v>7</v>
      </c>
      <c r="BP15">
        <v>7</v>
      </c>
      <c r="BQ15">
        <v>9</v>
      </c>
      <c r="BR15">
        <v>8</v>
      </c>
      <c r="BS15">
        <v>8</v>
      </c>
      <c r="BT15">
        <v>8</v>
      </c>
      <c r="BU15">
        <v>7</v>
      </c>
      <c r="BV15">
        <v>4</v>
      </c>
      <c r="BW15">
        <v>9</v>
      </c>
      <c r="BX15">
        <v>6</v>
      </c>
      <c r="BY15">
        <v>6</v>
      </c>
      <c r="BZ15">
        <v>9</v>
      </c>
      <c r="CA15">
        <v>7</v>
      </c>
      <c r="CB15">
        <v>3</v>
      </c>
      <c r="CC15">
        <v>3</v>
      </c>
      <c r="CD15">
        <v>3</v>
      </c>
      <c r="CE15">
        <v>4</v>
      </c>
      <c r="CF15">
        <v>4</v>
      </c>
      <c r="CG15">
        <v>4</v>
      </c>
      <c r="CH15">
        <v>4</v>
      </c>
      <c r="CI15">
        <v>4</v>
      </c>
      <c r="CJ15">
        <v>4</v>
      </c>
      <c r="CK15">
        <v>4</v>
      </c>
      <c r="CL15">
        <v>4</v>
      </c>
      <c r="CM15">
        <v>4</v>
      </c>
      <c r="CN15">
        <v>4</v>
      </c>
      <c r="CO15">
        <v>4</v>
      </c>
      <c r="CP15">
        <v>4</v>
      </c>
      <c r="CQ15">
        <v>3</v>
      </c>
      <c r="CR15">
        <v>3</v>
      </c>
      <c r="CS15">
        <v>3</v>
      </c>
      <c r="CT15">
        <v>3</v>
      </c>
      <c r="CU15">
        <v>5</v>
      </c>
      <c r="CV15">
        <v>3</v>
      </c>
      <c r="CW15">
        <v>3</v>
      </c>
      <c r="CX15">
        <v>3</v>
      </c>
      <c r="CY15">
        <v>3</v>
      </c>
      <c r="CZ15">
        <v>3</v>
      </c>
      <c r="DA15">
        <v>4</v>
      </c>
      <c r="DB15">
        <v>4</v>
      </c>
      <c r="DC15">
        <v>4</v>
      </c>
      <c r="DD15">
        <v>4</v>
      </c>
      <c r="DE15">
        <v>4</v>
      </c>
      <c r="DF15">
        <v>4</v>
      </c>
      <c r="DG15">
        <v>2</v>
      </c>
      <c r="DH15">
        <v>2</v>
      </c>
      <c r="DI15">
        <v>2</v>
      </c>
      <c r="DJ15">
        <v>3</v>
      </c>
      <c r="DK15">
        <v>2</v>
      </c>
      <c r="DL15">
        <v>2</v>
      </c>
      <c r="DM15">
        <v>3</v>
      </c>
      <c r="DN15">
        <v>2</v>
      </c>
      <c r="DO15">
        <v>2</v>
      </c>
      <c r="DP15">
        <v>4</v>
      </c>
      <c r="DQ15">
        <v>5</v>
      </c>
      <c r="DR15">
        <v>2</v>
      </c>
      <c r="DS15">
        <v>3</v>
      </c>
      <c r="DT15">
        <v>3</v>
      </c>
      <c r="DU15">
        <v>3</v>
      </c>
      <c r="DV15">
        <v>3</v>
      </c>
      <c r="DW15">
        <v>3</v>
      </c>
      <c r="DX15">
        <v>3</v>
      </c>
      <c r="DY15">
        <v>7</v>
      </c>
      <c r="DZ15">
        <v>5</v>
      </c>
      <c r="EA15">
        <v>1</v>
      </c>
      <c r="EB15">
        <v>1</v>
      </c>
      <c r="EC15">
        <v>3</v>
      </c>
      <c r="ED15">
        <v>3</v>
      </c>
      <c r="EE15">
        <v>3</v>
      </c>
      <c r="EF15">
        <v>7</v>
      </c>
      <c r="EG15">
        <v>3</v>
      </c>
      <c r="EH15">
        <v>2</v>
      </c>
    </row>
    <row r="16" spans="1:139" x14ac:dyDescent="0.2">
      <c r="A16" t="s">
        <v>1901</v>
      </c>
      <c r="C16">
        <v>10</v>
      </c>
      <c r="D16">
        <v>7</v>
      </c>
      <c r="E16">
        <v>8</v>
      </c>
      <c r="F16">
        <v>8</v>
      </c>
      <c r="G16">
        <v>8</v>
      </c>
      <c r="H16">
        <v>11</v>
      </c>
      <c r="I16">
        <v>11</v>
      </c>
      <c r="J16">
        <v>11</v>
      </c>
      <c r="K16">
        <v>11</v>
      </c>
      <c r="L16">
        <v>11</v>
      </c>
      <c r="M16">
        <v>11</v>
      </c>
      <c r="N16">
        <v>11</v>
      </c>
      <c r="O16">
        <v>13</v>
      </c>
      <c r="P16">
        <v>13</v>
      </c>
      <c r="Q16">
        <v>13</v>
      </c>
      <c r="R16">
        <v>13</v>
      </c>
      <c r="S16">
        <v>13</v>
      </c>
      <c r="T16">
        <v>12</v>
      </c>
      <c r="U16">
        <v>12</v>
      </c>
      <c r="V16">
        <v>12</v>
      </c>
      <c r="W16">
        <v>12</v>
      </c>
      <c r="X16">
        <v>12</v>
      </c>
      <c r="Y16">
        <v>12</v>
      </c>
      <c r="Z16">
        <v>12</v>
      </c>
      <c r="AA16">
        <v>12</v>
      </c>
      <c r="AB16">
        <v>8</v>
      </c>
      <c r="AC16">
        <v>8</v>
      </c>
      <c r="AD16">
        <v>7</v>
      </c>
      <c r="AE16">
        <v>8</v>
      </c>
      <c r="AF16">
        <v>8</v>
      </c>
      <c r="AG16">
        <v>8</v>
      </c>
      <c r="AH16">
        <v>10</v>
      </c>
      <c r="AI16">
        <v>10</v>
      </c>
      <c r="AJ16">
        <v>13</v>
      </c>
      <c r="AK16">
        <v>13</v>
      </c>
      <c r="AL16">
        <v>12</v>
      </c>
      <c r="AM16">
        <v>13</v>
      </c>
      <c r="AN16">
        <v>13</v>
      </c>
      <c r="AO16">
        <v>12</v>
      </c>
      <c r="AP16">
        <v>11</v>
      </c>
      <c r="AQ16">
        <v>12</v>
      </c>
      <c r="AR16">
        <v>12</v>
      </c>
      <c r="AS16">
        <v>12</v>
      </c>
      <c r="AT16">
        <v>12</v>
      </c>
      <c r="AU16">
        <v>12</v>
      </c>
      <c r="AV16">
        <v>12</v>
      </c>
      <c r="AW16">
        <v>12</v>
      </c>
      <c r="AX16">
        <v>13</v>
      </c>
      <c r="AY16">
        <v>12</v>
      </c>
      <c r="AZ16">
        <v>12</v>
      </c>
      <c r="BA16">
        <v>12</v>
      </c>
      <c r="BB16">
        <v>12</v>
      </c>
      <c r="BC16">
        <v>12</v>
      </c>
      <c r="BD16">
        <v>10</v>
      </c>
      <c r="BE16">
        <v>12</v>
      </c>
      <c r="BF16">
        <v>12</v>
      </c>
      <c r="BG16">
        <v>11</v>
      </c>
      <c r="BH16">
        <v>11</v>
      </c>
      <c r="BI16">
        <v>11</v>
      </c>
      <c r="BJ16">
        <v>11</v>
      </c>
      <c r="BK16">
        <v>11</v>
      </c>
      <c r="BL16">
        <v>11</v>
      </c>
      <c r="BM16">
        <v>11</v>
      </c>
      <c r="BN16">
        <v>12</v>
      </c>
      <c r="BO16">
        <v>12</v>
      </c>
      <c r="BP16">
        <v>12</v>
      </c>
      <c r="BQ16">
        <v>12</v>
      </c>
      <c r="BR16">
        <v>11</v>
      </c>
      <c r="BS16">
        <v>12</v>
      </c>
      <c r="BT16">
        <v>12</v>
      </c>
      <c r="BU16">
        <v>12</v>
      </c>
      <c r="BV16">
        <v>10</v>
      </c>
      <c r="BW16">
        <v>12</v>
      </c>
      <c r="BX16">
        <v>12</v>
      </c>
      <c r="BY16">
        <v>12</v>
      </c>
      <c r="BZ16">
        <v>13</v>
      </c>
      <c r="CA16">
        <v>12</v>
      </c>
      <c r="CB16">
        <v>8</v>
      </c>
      <c r="CC16">
        <v>8</v>
      </c>
      <c r="CD16">
        <v>8</v>
      </c>
      <c r="CE16">
        <v>8</v>
      </c>
      <c r="CF16">
        <v>8</v>
      </c>
      <c r="CG16">
        <v>8</v>
      </c>
      <c r="CH16">
        <v>8</v>
      </c>
      <c r="CI16">
        <v>8</v>
      </c>
      <c r="CJ16">
        <v>8</v>
      </c>
      <c r="CK16">
        <v>8</v>
      </c>
      <c r="CL16">
        <v>8</v>
      </c>
      <c r="CM16">
        <v>8</v>
      </c>
      <c r="CN16">
        <v>8</v>
      </c>
      <c r="CO16">
        <v>8</v>
      </c>
      <c r="CP16">
        <v>8</v>
      </c>
      <c r="CQ16">
        <v>8</v>
      </c>
      <c r="CR16">
        <v>8</v>
      </c>
      <c r="CS16">
        <v>8</v>
      </c>
      <c r="CT16">
        <v>8</v>
      </c>
      <c r="CU16">
        <v>12</v>
      </c>
      <c r="CV16">
        <v>8</v>
      </c>
      <c r="CW16">
        <v>8</v>
      </c>
      <c r="CX16">
        <v>8</v>
      </c>
      <c r="CY16">
        <v>8</v>
      </c>
      <c r="CZ16">
        <v>8</v>
      </c>
      <c r="DA16">
        <v>8</v>
      </c>
      <c r="DB16">
        <v>8</v>
      </c>
      <c r="DC16">
        <v>8</v>
      </c>
      <c r="DD16">
        <v>8</v>
      </c>
      <c r="DE16">
        <v>8</v>
      </c>
      <c r="DF16">
        <v>8</v>
      </c>
      <c r="DG16">
        <v>10</v>
      </c>
      <c r="DH16">
        <v>10</v>
      </c>
      <c r="DI16">
        <v>10</v>
      </c>
      <c r="DJ16">
        <v>11</v>
      </c>
      <c r="DK16">
        <v>10</v>
      </c>
      <c r="DL16">
        <v>10</v>
      </c>
      <c r="DM16">
        <v>11</v>
      </c>
      <c r="DN16">
        <v>10</v>
      </c>
      <c r="DO16">
        <v>10</v>
      </c>
      <c r="DP16">
        <v>9</v>
      </c>
      <c r="DQ16">
        <v>10</v>
      </c>
      <c r="DR16">
        <v>10</v>
      </c>
      <c r="DS16">
        <v>4</v>
      </c>
      <c r="DT16">
        <v>4</v>
      </c>
      <c r="DU16">
        <v>4</v>
      </c>
      <c r="DV16">
        <v>5</v>
      </c>
      <c r="DW16">
        <v>5</v>
      </c>
      <c r="DX16">
        <v>4</v>
      </c>
      <c r="DY16">
        <v>11</v>
      </c>
      <c r="DZ16">
        <v>11</v>
      </c>
      <c r="EA16">
        <v>5</v>
      </c>
      <c r="EB16">
        <v>5</v>
      </c>
      <c r="EC16">
        <v>4</v>
      </c>
      <c r="ED16">
        <v>4</v>
      </c>
      <c r="EE16">
        <v>4</v>
      </c>
      <c r="EF16">
        <v>12</v>
      </c>
      <c r="EG16">
        <v>8</v>
      </c>
      <c r="EH16">
        <v>10</v>
      </c>
    </row>
    <row r="17" spans="1:136" x14ac:dyDescent="0.2">
      <c r="A17" t="s">
        <v>74</v>
      </c>
    </row>
    <row r="18" spans="1:136" x14ac:dyDescent="0.2">
      <c r="A18" t="s">
        <v>75</v>
      </c>
    </row>
    <row r="19" spans="1:136" x14ac:dyDescent="0.2">
      <c r="A19" t="s">
        <v>76</v>
      </c>
    </row>
    <row r="20" spans="1:136" x14ac:dyDescent="0.2">
      <c r="A20" t="s">
        <v>77</v>
      </c>
    </row>
    <row r="21" spans="1:136" x14ac:dyDescent="0.2">
      <c r="A21" t="s">
        <v>750</v>
      </c>
    </row>
    <row r="22" spans="1:136" x14ac:dyDescent="0.2">
      <c r="A22" t="s">
        <v>751</v>
      </c>
    </row>
    <row r="23" spans="1:136" x14ac:dyDescent="0.2">
      <c r="A23" t="s">
        <v>5030</v>
      </c>
    </row>
    <row r="24" spans="1:136" x14ac:dyDescent="0.2">
      <c r="A24" t="s">
        <v>752</v>
      </c>
    </row>
    <row r="25" spans="1:136" x14ac:dyDescent="0.2">
      <c r="A25" t="s">
        <v>2139</v>
      </c>
      <c r="BY25">
        <v>1</v>
      </c>
    </row>
    <row r="26" spans="1:136" x14ac:dyDescent="0.2">
      <c r="A26" t="s">
        <v>2116</v>
      </c>
      <c r="D26" t="s">
        <v>1429</v>
      </c>
      <c r="E26" t="s">
        <v>1429</v>
      </c>
      <c r="F26" t="s">
        <v>1429</v>
      </c>
      <c r="AO26" t="s">
        <v>663</v>
      </c>
      <c r="AP26" t="s">
        <v>663</v>
      </c>
      <c r="AQ26" t="s">
        <v>663</v>
      </c>
      <c r="AR26" t="s">
        <v>663</v>
      </c>
      <c r="AS26" t="s">
        <v>663</v>
      </c>
      <c r="AT26" t="s">
        <v>663</v>
      </c>
      <c r="AU26" t="s">
        <v>663</v>
      </c>
      <c r="AV26" t="s">
        <v>663</v>
      </c>
      <c r="AW26" t="s">
        <v>663</v>
      </c>
      <c r="AX26" t="s">
        <v>663</v>
      </c>
      <c r="AY26" t="s">
        <v>663</v>
      </c>
      <c r="AZ26" t="s">
        <v>663</v>
      </c>
      <c r="BA26" t="s">
        <v>663</v>
      </c>
      <c r="BB26" t="s">
        <v>663</v>
      </c>
      <c r="BC26" t="s">
        <v>663</v>
      </c>
      <c r="BD26" t="s">
        <v>663</v>
      </c>
      <c r="BE26" t="s">
        <v>663</v>
      </c>
      <c r="BF26" t="s">
        <v>663</v>
      </c>
      <c r="BG26" t="s">
        <v>663</v>
      </c>
      <c r="BH26" t="s">
        <v>663</v>
      </c>
      <c r="BI26" t="s">
        <v>663</v>
      </c>
      <c r="BJ26" t="s">
        <v>663</v>
      </c>
      <c r="BK26" t="s">
        <v>663</v>
      </c>
      <c r="BL26" t="s">
        <v>663</v>
      </c>
      <c r="BM26" t="s">
        <v>663</v>
      </c>
      <c r="BN26" t="s">
        <v>663</v>
      </c>
      <c r="BO26" t="s">
        <v>663</v>
      </c>
      <c r="BP26" t="s">
        <v>663</v>
      </c>
      <c r="DE26" t="s">
        <v>2126</v>
      </c>
      <c r="DF26" t="s">
        <v>2126</v>
      </c>
      <c r="DX26" t="s">
        <v>1429</v>
      </c>
      <c r="EB26" t="s">
        <v>1429</v>
      </c>
      <c r="EF26" t="s">
        <v>663</v>
      </c>
    </row>
    <row r="27" spans="1:136" x14ac:dyDescent="0.2">
      <c r="D27" t="s">
        <v>2128</v>
      </c>
      <c r="E27" t="s">
        <v>2128</v>
      </c>
      <c r="F27" t="s">
        <v>2128</v>
      </c>
      <c r="BC27" t="s">
        <v>9304</v>
      </c>
      <c r="DX27" t="s">
        <v>2128</v>
      </c>
    </row>
    <row r="34" spans="1:139" x14ac:dyDescent="0.2">
      <c r="A34" t="s">
        <v>2140</v>
      </c>
      <c r="H34" t="s">
        <v>7950</v>
      </c>
      <c r="I34" t="s">
        <v>7950</v>
      </c>
      <c r="J34" t="s">
        <v>7950</v>
      </c>
      <c r="K34" t="s">
        <v>7950</v>
      </c>
      <c r="L34" t="s">
        <v>7950</v>
      </c>
      <c r="M34" t="s">
        <v>7950</v>
      </c>
      <c r="N34" t="s">
        <v>7950</v>
      </c>
      <c r="O34" t="s">
        <v>7950</v>
      </c>
      <c r="P34" t="s">
        <v>7950</v>
      </c>
      <c r="Q34" t="s">
        <v>7950</v>
      </c>
      <c r="R34" t="s">
        <v>7950</v>
      </c>
      <c r="S34" t="s">
        <v>7950</v>
      </c>
      <c r="T34" t="s">
        <v>7950</v>
      </c>
      <c r="U34" t="s">
        <v>7950</v>
      </c>
      <c r="V34" t="s">
        <v>7950</v>
      </c>
      <c r="W34" t="s">
        <v>7950</v>
      </c>
      <c r="X34" t="s">
        <v>7950</v>
      </c>
      <c r="Y34" t="s">
        <v>7950</v>
      </c>
      <c r="Z34" t="s">
        <v>7950</v>
      </c>
      <c r="AA34" t="s">
        <v>7950</v>
      </c>
      <c r="AD34" t="s">
        <v>9202</v>
      </c>
      <c r="AH34" t="s">
        <v>7951</v>
      </c>
      <c r="AJ34" t="s">
        <v>7952</v>
      </c>
      <c r="AK34" t="s">
        <v>7952</v>
      </c>
      <c r="AL34" t="s">
        <v>7952</v>
      </c>
      <c r="AM34" t="s">
        <v>7952</v>
      </c>
      <c r="AN34" t="s">
        <v>7952</v>
      </c>
      <c r="AO34" t="s">
        <v>7953</v>
      </c>
      <c r="AP34" t="s">
        <v>7953</v>
      </c>
      <c r="AQ34" t="s">
        <v>7953</v>
      </c>
      <c r="AR34" t="s">
        <v>7953</v>
      </c>
      <c r="AS34" t="s">
        <v>7953</v>
      </c>
      <c r="AT34" t="s">
        <v>7953</v>
      </c>
      <c r="AU34" t="s">
        <v>7953</v>
      </c>
      <c r="AV34" t="s">
        <v>7953</v>
      </c>
      <c r="AW34" t="s">
        <v>7953</v>
      </c>
      <c r="AX34" t="s">
        <v>7953</v>
      </c>
      <c r="AY34" t="s">
        <v>7953</v>
      </c>
      <c r="AZ34" t="s">
        <v>7953</v>
      </c>
      <c r="BA34" t="s">
        <v>7953</v>
      </c>
      <c r="BB34" t="s">
        <v>7953</v>
      </c>
      <c r="BC34" t="s">
        <v>7953</v>
      </c>
      <c r="BD34" t="s">
        <v>7953</v>
      </c>
      <c r="BE34" t="s">
        <v>7953</v>
      </c>
      <c r="BF34" t="s">
        <v>7953</v>
      </c>
      <c r="BG34" t="s">
        <v>7953</v>
      </c>
      <c r="BH34" t="s">
        <v>7953</v>
      </c>
      <c r="BI34" t="s">
        <v>7953</v>
      </c>
      <c r="BJ34" t="s">
        <v>7953</v>
      </c>
      <c r="BK34" t="s">
        <v>7953</v>
      </c>
      <c r="BL34" t="s">
        <v>7953</v>
      </c>
      <c r="BM34" t="s">
        <v>7953</v>
      </c>
      <c r="BN34" t="s">
        <v>7953</v>
      </c>
      <c r="BO34" t="s">
        <v>7953</v>
      </c>
      <c r="BP34" t="s">
        <v>7953</v>
      </c>
      <c r="BQ34" t="s">
        <v>1379</v>
      </c>
      <c r="BR34" t="s">
        <v>1379</v>
      </c>
      <c r="BS34" t="s">
        <v>1379</v>
      </c>
      <c r="BT34" t="s">
        <v>1379</v>
      </c>
      <c r="BU34" t="s">
        <v>1379</v>
      </c>
      <c r="BV34" t="s">
        <v>7518</v>
      </c>
      <c r="BW34" t="s">
        <v>1379</v>
      </c>
      <c r="BX34" t="s">
        <v>1379</v>
      </c>
      <c r="BY34" t="s">
        <v>1379</v>
      </c>
      <c r="BZ34" t="s">
        <v>1379</v>
      </c>
      <c r="CA34" t="s">
        <v>1382</v>
      </c>
      <c r="EF34" t="s">
        <v>7953</v>
      </c>
      <c r="EI34" t="s">
        <v>1379</v>
      </c>
    </row>
    <row r="35" spans="1:139" x14ac:dyDescent="0.2">
      <c r="H35" t="s">
        <v>3769</v>
      </c>
      <c r="I35" t="s">
        <v>3769</v>
      </c>
      <c r="J35" t="s">
        <v>3769</v>
      </c>
      <c r="K35" t="s">
        <v>3769</v>
      </c>
      <c r="L35" t="s">
        <v>3769</v>
      </c>
      <c r="M35" t="s">
        <v>3769</v>
      </c>
      <c r="N35" t="s">
        <v>3769</v>
      </c>
      <c r="O35" t="s">
        <v>3767</v>
      </c>
      <c r="P35" t="s">
        <v>3768</v>
      </c>
      <c r="Q35" t="s">
        <v>3767</v>
      </c>
      <c r="R35" t="s">
        <v>3767</v>
      </c>
      <c r="S35" t="s">
        <v>3767</v>
      </c>
      <c r="T35" t="s">
        <v>3767</v>
      </c>
      <c r="U35" t="s">
        <v>3767</v>
      </c>
      <c r="V35" t="s">
        <v>3767</v>
      </c>
      <c r="W35" t="s">
        <v>3767</v>
      </c>
      <c r="X35" t="s">
        <v>3767</v>
      </c>
      <c r="Y35" t="s">
        <v>3767</v>
      </c>
      <c r="Z35" t="s">
        <v>3769</v>
      </c>
      <c r="AA35" t="s">
        <v>3769</v>
      </c>
      <c r="AJ35" t="s">
        <v>7954</v>
      </c>
      <c r="AK35" t="s">
        <v>7954</v>
      </c>
      <c r="AL35" t="s">
        <v>7954</v>
      </c>
      <c r="AM35" t="s">
        <v>7954</v>
      </c>
      <c r="AN35" t="s">
        <v>7954</v>
      </c>
      <c r="AQ35" t="s">
        <v>3770</v>
      </c>
      <c r="BP35" t="s">
        <v>6301</v>
      </c>
      <c r="BQ35" t="s">
        <v>1382</v>
      </c>
      <c r="BR35" t="s">
        <v>1382</v>
      </c>
      <c r="BS35" t="s">
        <v>1382</v>
      </c>
      <c r="BT35" t="s">
        <v>1382</v>
      </c>
      <c r="BU35" t="s">
        <v>1382</v>
      </c>
      <c r="BV35" t="s">
        <v>1382</v>
      </c>
      <c r="BW35" t="s">
        <v>1382</v>
      </c>
      <c r="BX35" t="s">
        <v>1382</v>
      </c>
      <c r="BY35" t="s">
        <v>1382</v>
      </c>
      <c r="BZ35" t="s">
        <v>1382</v>
      </c>
      <c r="CA35" t="s">
        <v>3815</v>
      </c>
      <c r="EI35" t="s">
        <v>1382</v>
      </c>
    </row>
    <row r="36" spans="1:139" x14ac:dyDescent="0.2">
      <c r="BP36" t="s">
        <v>6302</v>
      </c>
      <c r="BQ36" t="s">
        <v>3815</v>
      </c>
      <c r="BR36" t="s">
        <v>3815</v>
      </c>
      <c r="BS36" t="s">
        <v>3815</v>
      </c>
      <c r="BT36" t="s">
        <v>3815</v>
      </c>
      <c r="BU36" t="s">
        <v>3815</v>
      </c>
      <c r="BV36" t="s">
        <v>7955</v>
      </c>
      <c r="BW36" t="s">
        <v>7956</v>
      </c>
      <c r="BX36" t="s">
        <v>3815</v>
      </c>
      <c r="BY36" t="s">
        <v>3815</v>
      </c>
      <c r="BZ36" t="s">
        <v>3815</v>
      </c>
      <c r="CA36" t="s">
        <v>3769</v>
      </c>
      <c r="EI36" t="s">
        <v>3815</v>
      </c>
    </row>
    <row r="37" spans="1:139" x14ac:dyDescent="0.2">
      <c r="BP37" t="s">
        <v>7118</v>
      </c>
      <c r="BQ37" t="s">
        <v>3769</v>
      </c>
      <c r="BR37" t="s">
        <v>3769</v>
      </c>
      <c r="BS37" t="s">
        <v>3769</v>
      </c>
      <c r="BT37" t="s">
        <v>3769</v>
      </c>
      <c r="BU37" t="s">
        <v>3769</v>
      </c>
      <c r="BV37" t="s">
        <v>3379</v>
      </c>
      <c r="BW37" t="s">
        <v>3769</v>
      </c>
      <c r="BX37" t="s">
        <v>3769</v>
      </c>
      <c r="BY37" t="s">
        <v>3769</v>
      </c>
      <c r="BZ37" t="s">
        <v>3769</v>
      </c>
      <c r="EI37" t="s">
        <v>3769</v>
      </c>
    </row>
    <row r="38" spans="1:139" x14ac:dyDescent="0.2">
      <c r="BT38" t="s">
        <v>2834</v>
      </c>
    </row>
    <row r="39" spans="1:139" x14ac:dyDescent="0.2">
      <c r="A39" t="s">
        <v>3084</v>
      </c>
    </row>
    <row r="40" spans="1:139" x14ac:dyDescent="0.2">
      <c r="A40" t="s">
        <v>1902</v>
      </c>
    </row>
    <row r="43" spans="1:139" ht="12.75" customHeight="1" x14ac:dyDescent="0.2">
      <c r="A43" t="str">
        <f>INDEX(TL_KPF,ROW()-41)</f>
        <v>Anderthalbhänder</v>
      </c>
      <c r="B43" t="s">
        <v>1608</v>
      </c>
      <c r="AP43">
        <v>6</v>
      </c>
      <c r="AU43">
        <v>6</v>
      </c>
      <c r="AV43">
        <v>3</v>
      </c>
      <c r="AX43">
        <v>6</v>
      </c>
      <c r="BE43">
        <v>4</v>
      </c>
      <c r="BF43">
        <v>6</v>
      </c>
      <c r="BN43">
        <v>4</v>
      </c>
      <c r="BQ43">
        <v>7</v>
      </c>
      <c r="CA43">
        <v>7</v>
      </c>
    </row>
    <row r="44" spans="1:139" x14ac:dyDescent="0.2">
      <c r="A44" t="str">
        <f t="shared" ref="A44:A69" si="0">INDEX(TL_KPF,ROW()-41)</f>
        <v>Armbrust</v>
      </c>
      <c r="H44">
        <v>3</v>
      </c>
      <c r="I44">
        <v>3</v>
      </c>
      <c r="K44">
        <v>3</v>
      </c>
      <c r="L44">
        <v>6</v>
      </c>
      <c r="M44">
        <v>3</v>
      </c>
      <c r="N44">
        <v>6</v>
      </c>
      <c r="O44">
        <v>2</v>
      </c>
      <c r="Q44">
        <v>2</v>
      </c>
      <c r="R44">
        <v>2</v>
      </c>
      <c r="S44">
        <v>2</v>
      </c>
      <c r="T44">
        <v>2</v>
      </c>
      <c r="U44">
        <v>2</v>
      </c>
      <c r="V44">
        <v>2</v>
      </c>
      <c r="W44">
        <v>2</v>
      </c>
      <c r="X44">
        <v>2</v>
      </c>
      <c r="Y44">
        <v>2</v>
      </c>
      <c r="Z44">
        <v>4</v>
      </c>
      <c r="AA44">
        <v>4</v>
      </c>
      <c r="AU44">
        <v>4</v>
      </c>
      <c r="AX44">
        <v>4</v>
      </c>
      <c r="AZ44">
        <v>4</v>
      </c>
      <c r="BF44">
        <v>3</v>
      </c>
      <c r="BN44">
        <v>5</v>
      </c>
      <c r="BP44">
        <v>5</v>
      </c>
      <c r="BS44">
        <v>3</v>
      </c>
      <c r="BU44">
        <v>4</v>
      </c>
      <c r="BZ44">
        <v>2</v>
      </c>
      <c r="DM44">
        <v>2</v>
      </c>
    </row>
    <row r="45" spans="1:139" x14ac:dyDescent="0.2">
      <c r="A45" t="str">
        <f t="shared" si="0"/>
        <v>Belagerungswaffen</v>
      </c>
      <c r="I45">
        <v>4</v>
      </c>
      <c r="J45">
        <v>5</v>
      </c>
      <c r="T45">
        <v>4</v>
      </c>
      <c r="U45">
        <v>4</v>
      </c>
      <c r="V45">
        <v>4</v>
      </c>
      <c r="W45">
        <v>4</v>
      </c>
      <c r="X45">
        <v>4</v>
      </c>
      <c r="Y45">
        <v>4</v>
      </c>
      <c r="Z45">
        <v>2</v>
      </c>
      <c r="AA45">
        <v>2</v>
      </c>
      <c r="BG45">
        <v>3</v>
      </c>
      <c r="BH45">
        <v>3</v>
      </c>
      <c r="BI45">
        <v>3</v>
      </c>
      <c r="BJ45">
        <v>7</v>
      </c>
      <c r="BK45">
        <v>3</v>
      </c>
      <c r="BL45">
        <v>3</v>
      </c>
      <c r="BM45">
        <v>3</v>
      </c>
      <c r="BP45">
        <v>3</v>
      </c>
      <c r="CB45">
        <v>5</v>
      </c>
      <c r="CK45">
        <v>5</v>
      </c>
      <c r="CL45">
        <v>5</v>
      </c>
      <c r="CW45">
        <v>5</v>
      </c>
      <c r="DM45">
        <v>5</v>
      </c>
    </row>
    <row r="46" spans="1:139" x14ac:dyDescent="0.2">
      <c r="A46" t="str">
        <f t="shared" si="0"/>
        <v>Blasrohr</v>
      </c>
    </row>
    <row r="47" spans="1:139" x14ac:dyDescent="0.2">
      <c r="A47" t="str">
        <f t="shared" si="0"/>
        <v>Bogen</v>
      </c>
      <c r="P47">
        <v>3</v>
      </c>
      <c r="AD47">
        <v>3</v>
      </c>
      <c r="AE47">
        <v>4</v>
      </c>
      <c r="AW47">
        <v>3</v>
      </c>
      <c r="BB47">
        <v>4</v>
      </c>
      <c r="BD47">
        <v>3</v>
      </c>
      <c r="BL47">
        <v>6</v>
      </c>
      <c r="BO47">
        <v>3</v>
      </c>
      <c r="BT47">
        <v>4</v>
      </c>
      <c r="CM47">
        <v>6</v>
      </c>
      <c r="CN47">
        <v>6</v>
      </c>
    </row>
    <row r="48" spans="1:139" x14ac:dyDescent="0.2">
      <c r="A48" t="str">
        <f t="shared" si="0"/>
        <v>Diskus</v>
      </c>
      <c r="CA48">
        <v>2</v>
      </c>
    </row>
    <row r="49" spans="1:139" x14ac:dyDescent="0.2">
      <c r="A49" t="str">
        <f t="shared" si="0"/>
        <v>Dolche</v>
      </c>
      <c r="C49">
        <v>1</v>
      </c>
      <c r="G49">
        <v>3</v>
      </c>
      <c r="H49">
        <v>3</v>
      </c>
      <c r="I49">
        <v>1</v>
      </c>
      <c r="J49">
        <v>3</v>
      </c>
      <c r="K49">
        <v>1</v>
      </c>
      <c r="L49">
        <v>1</v>
      </c>
      <c r="M49">
        <v>1</v>
      </c>
      <c r="N49">
        <v>1</v>
      </c>
      <c r="O49">
        <v>2</v>
      </c>
      <c r="P49">
        <v>2</v>
      </c>
      <c r="Q49">
        <v>2</v>
      </c>
      <c r="R49">
        <v>2</v>
      </c>
      <c r="S49">
        <v>2</v>
      </c>
      <c r="T49">
        <v>2</v>
      </c>
      <c r="U49">
        <v>2</v>
      </c>
      <c r="V49">
        <v>2</v>
      </c>
      <c r="W49">
        <v>2</v>
      </c>
      <c r="X49">
        <v>2</v>
      </c>
      <c r="Y49">
        <v>2</v>
      </c>
      <c r="Z49">
        <v>1</v>
      </c>
      <c r="AA49">
        <v>1</v>
      </c>
      <c r="AB49">
        <v>2</v>
      </c>
      <c r="AC49">
        <v>2</v>
      </c>
      <c r="AD49">
        <v>4</v>
      </c>
      <c r="AE49">
        <v>2</v>
      </c>
      <c r="AF49">
        <v>2</v>
      </c>
      <c r="AG49">
        <v>2</v>
      </c>
      <c r="AH49">
        <v>2</v>
      </c>
      <c r="AI49">
        <v>3</v>
      </c>
      <c r="AJ49">
        <v>3</v>
      </c>
      <c r="AK49">
        <v>3</v>
      </c>
      <c r="AL49">
        <v>3</v>
      </c>
      <c r="AM49">
        <v>3</v>
      </c>
      <c r="AN49">
        <v>3</v>
      </c>
      <c r="AO49">
        <v>2</v>
      </c>
      <c r="AP49">
        <v>2</v>
      </c>
      <c r="AQ49">
        <v>2</v>
      </c>
      <c r="AR49">
        <v>2</v>
      </c>
      <c r="AS49">
        <v>2</v>
      </c>
      <c r="AT49">
        <v>2</v>
      </c>
      <c r="AU49">
        <v>2</v>
      </c>
      <c r="AV49">
        <v>2</v>
      </c>
      <c r="AW49">
        <v>2</v>
      </c>
      <c r="AX49">
        <v>2</v>
      </c>
      <c r="AY49">
        <v>2</v>
      </c>
      <c r="AZ49">
        <v>4</v>
      </c>
      <c r="BA49">
        <v>2</v>
      </c>
      <c r="BB49">
        <v>2</v>
      </c>
      <c r="BC49">
        <v>3</v>
      </c>
      <c r="BD49">
        <v>2</v>
      </c>
      <c r="BE49">
        <v>2</v>
      </c>
      <c r="BF49">
        <v>2</v>
      </c>
      <c r="BG49">
        <v>2</v>
      </c>
      <c r="BH49">
        <v>2</v>
      </c>
      <c r="BI49">
        <v>2</v>
      </c>
      <c r="BJ49">
        <v>2</v>
      </c>
      <c r="BK49">
        <v>2</v>
      </c>
      <c r="BL49">
        <v>2</v>
      </c>
      <c r="BM49">
        <v>2</v>
      </c>
      <c r="BN49">
        <v>3</v>
      </c>
      <c r="BO49">
        <v>4</v>
      </c>
      <c r="BP49">
        <v>2</v>
      </c>
      <c r="BQ49">
        <v>2</v>
      </c>
      <c r="BR49">
        <v>2</v>
      </c>
      <c r="BS49">
        <v>4</v>
      </c>
      <c r="BT49">
        <v>4</v>
      </c>
      <c r="BV49">
        <v>5</v>
      </c>
      <c r="BW49">
        <v>2</v>
      </c>
      <c r="BX49">
        <v>4</v>
      </c>
      <c r="BY49">
        <v>6</v>
      </c>
      <c r="BZ49">
        <v>3</v>
      </c>
      <c r="CA49">
        <v>1</v>
      </c>
      <c r="CE49">
        <v>2</v>
      </c>
      <c r="CF49">
        <v>2</v>
      </c>
      <c r="CG49">
        <v>2</v>
      </c>
      <c r="CH49">
        <v>2</v>
      </c>
      <c r="CI49">
        <v>2</v>
      </c>
      <c r="CJ49">
        <v>2</v>
      </c>
      <c r="CK49">
        <v>2</v>
      </c>
      <c r="CL49">
        <v>2</v>
      </c>
      <c r="CM49">
        <v>2</v>
      </c>
      <c r="CN49">
        <v>2</v>
      </c>
      <c r="CO49">
        <v>2</v>
      </c>
      <c r="CP49">
        <v>2</v>
      </c>
      <c r="CQ49">
        <v>3</v>
      </c>
      <c r="CR49">
        <v>4</v>
      </c>
      <c r="CU49">
        <v>3</v>
      </c>
      <c r="CX49">
        <v>2</v>
      </c>
      <c r="CY49">
        <v>3</v>
      </c>
      <c r="CZ49">
        <v>2</v>
      </c>
      <c r="DA49">
        <v>2</v>
      </c>
      <c r="DB49">
        <v>2</v>
      </c>
      <c r="DC49">
        <v>2</v>
      </c>
      <c r="DD49">
        <v>2</v>
      </c>
      <c r="DE49">
        <v>2</v>
      </c>
      <c r="DF49">
        <v>2</v>
      </c>
      <c r="DG49">
        <v>3</v>
      </c>
      <c r="DH49">
        <v>3</v>
      </c>
      <c r="DI49">
        <v>3</v>
      </c>
      <c r="DJ49">
        <v>3</v>
      </c>
      <c r="DK49">
        <v>3</v>
      </c>
      <c r="DL49">
        <v>3</v>
      </c>
      <c r="DM49">
        <v>3</v>
      </c>
      <c r="DN49">
        <v>3</v>
      </c>
      <c r="DO49">
        <v>3</v>
      </c>
      <c r="DP49">
        <v>3</v>
      </c>
      <c r="DQ49">
        <v>3</v>
      </c>
      <c r="DR49">
        <v>3</v>
      </c>
      <c r="DS49">
        <v>2</v>
      </c>
      <c r="DT49">
        <v>2</v>
      </c>
      <c r="DU49">
        <v>3</v>
      </c>
      <c r="DV49">
        <v>3</v>
      </c>
      <c r="DW49">
        <v>2</v>
      </c>
      <c r="DY49">
        <v>4</v>
      </c>
      <c r="DZ49">
        <v>4</v>
      </c>
      <c r="EA49">
        <v>3</v>
      </c>
      <c r="EB49">
        <v>3</v>
      </c>
      <c r="EC49">
        <v>3</v>
      </c>
      <c r="ED49">
        <v>3</v>
      </c>
      <c r="EE49">
        <v>3</v>
      </c>
      <c r="EF49">
        <v>2</v>
      </c>
      <c r="EH49">
        <v>3</v>
      </c>
    </row>
    <row r="50" spans="1:139" x14ac:dyDescent="0.2">
      <c r="A50" t="str">
        <f t="shared" si="0"/>
        <v>Fechtwaffen</v>
      </c>
      <c r="BN50">
        <v>6</v>
      </c>
      <c r="BS50">
        <v>7</v>
      </c>
      <c r="BZ50">
        <v>2</v>
      </c>
    </row>
    <row r="51" spans="1:139" x14ac:dyDescent="0.2">
      <c r="A51" t="str">
        <f t="shared" si="0"/>
        <v>Hiebwaffen</v>
      </c>
      <c r="R51">
        <v>3</v>
      </c>
      <c r="AD51">
        <v>4</v>
      </c>
      <c r="AR51">
        <v>4</v>
      </c>
      <c r="AT51">
        <v>2</v>
      </c>
      <c r="AY51">
        <v>3</v>
      </c>
      <c r="AZ51">
        <v>6</v>
      </c>
      <c r="BB51">
        <v>4</v>
      </c>
      <c r="BD51">
        <v>5</v>
      </c>
      <c r="BP51">
        <v>3</v>
      </c>
      <c r="BU51">
        <v>4</v>
      </c>
      <c r="BW51">
        <v>2</v>
      </c>
      <c r="CE51">
        <v>5</v>
      </c>
      <c r="CF51">
        <v>5</v>
      </c>
      <c r="CG51">
        <v>5</v>
      </c>
      <c r="CH51">
        <v>5</v>
      </c>
      <c r="CI51">
        <v>4</v>
      </c>
      <c r="CJ51">
        <v>4</v>
      </c>
      <c r="CK51">
        <v>4</v>
      </c>
      <c r="CL51">
        <v>4</v>
      </c>
      <c r="CM51">
        <v>4</v>
      </c>
      <c r="CN51">
        <v>4</v>
      </c>
      <c r="CO51">
        <v>4</v>
      </c>
      <c r="CP51">
        <v>4</v>
      </c>
      <c r="CS51">
        <v>3</v>
      </c>
      <c r="DA51">
        <v>4</v>
      </c>
      <c r="DB51">
        <v>4</v>
      </c>
      <c r="DC51">
        <v>4</v>
      </c>
      <c r="DD51">
        <v>4</v>
      </c>
      <c r="DE51">
        <v>4</v>
      </c>
      <c r="DF51">
        <v>4</v>
      </c>
      <c r="DP51">
        <v>4</v>
      </c>
      <c r="DV51">
        <v>4</v>
      </c>
      <c r="DX51">
        <v>2</v>
      </c>
    </row>
    <row r="52" spans="1:139" x14ac:dyDescent="0.2">
      <c r="A52" t="str">
        <f t="shared" si="0"/>
        <v>Infanteriewaffen</v>
      </c>
      <c r="Z52">
        <v>3</v>
      </c>
      <c r="AA52">
        <v>3</v>
      </c>
      <c r="AC52">
        <v>5</v>
      </c>
      <c r="AF52">
        <v>5</v>
      </c>
      <c r="AG52">
        <v>3</v>
      </c>
      <c r="AX52">
        <v>3</v>
      </c>
      <c r="BN52">
        <v>3</v>
      </c>
      <c r="CA52">
        <v>4</v>
      </c>
    </row>
    <row r="53" spans="1:139" x14ac:dyDescent="0.2">
      <c r="A53" t="str">
        <f t="shared" si="0"/>
        <v>Kettenstäbe</v>
      </c>
    </row>
    <row r="54" spans="1:139" x14ac:dyDescent="0.2">
      <c r="A54" t="str">
        <f t="shared" si="0"/>
        <v>Kettenwaffen</v>
      </c>
      <c r="H54">
        <v>3</v>
      </c>
      <c r="AR54">
        <v>4</v>
      </c>
      <c r="AZ54">
        <v>3</v>
      </c>
    </row>
    <row r="55" spans="1:139" x14ac:dyDescent="0.2">
      <c r="A55" t="str">
        <f t="shared" si="0"/>
        <v>Lanzenreiten</v>
      </c>
      <c r="C55">
        <v>5</v>
      </c>
      <c r="O55">
        <v>5</v>
      </c>
      <c r="P55">
        <v>3</v>
      </c>
      <c r="Q55">
        <v>5</v>
      </c>
      <c r="R55">
        <v>5</v>
      </c>
      <c r="S55">
        <v>5</v>
      </c>
      <c r="Z55">
        <v>1</v>
      </c>
      <c r="AA55">
        <v>1</v>
      </c>
      <c r="AJ55">
        <v>7</v>
      </c>
      <c r="AK55">
        <v>7</v>
      </c>
      <c r="AL55">
        <v>5</v>
      </c>
      <c r="AM55">
        <v>7</v>
      </c>
      <c r="AN55">
        <v>5</v>
      </c>
      <c r="AP55">
        <v>5</v>
      </c>
      <c r="AR55">
        <v>7</v>
      </c>
      <c r="AT55">
        <v>7</v>
      </c>
      <c r="AU55">
        <v>4</v>
      </c>
      <c r="AV55">
        <v>5</v>
      </c>
      <c r="AW55">
        <v>7</v>
      </c>
      <c r="BE55">
        <v>5</v>
      </c>
      <c r="BF55">
        <v>4</v>
      </c>
      <c r="BI55">
        <v>3</v>
      </c>
      <c r="BY55">
        <v>5</v>
      </c>
      <c r="CI55">
        <v>2</v>
      </c>
      <c r="CJ55">
        <v>2</v>
      </c>
      <c r="CQ55">
        <v>5</v>
      </c>
      <c r="CU55">
        <v>7</v>
      </c>
      <c r="DJ55">
        <v>7</v>
      </c>
      <c r="DY55">
        <v>5</v>
      </c>
      <c r="DZ55">
        <v>5</v>
      </c>
      <c r="EA55">
        <v>3</v>
      </c>
    </row>
    <row r="56" spans="1:139" x14ac:dyDescent="0.2">
      <c r="A56" t="str">
        <f t="shared" si="0"/>
        <v>Peitsche</v>
      </c>
      <c r="AZ56">
        <v>3</v>
      </c>
      <c r="CC56">
        <v>2</v>
      </c>
      <c r="CY56">
        <v>5</v>
      </c>
      <c r="DR56">
        <v>5</v>
      </c>
    </row>
    <row r="57" spans="1:139" x14ac:dyDescent="0.2">
      <c r="A57" t="str">
        <f t="shared" si="0"/>
        <v>Raufen</v>
      </c>
      <c r="C57">
        <v>1</v>
      </c>
      <c r="D57">
        <v>4</v>
      </c>
      <c r="E57">
        <v>4</v>
      </c>
      <c r="F57">
        <v>6</v>
      </c>
      <c r="G57">
        <v>7</v>
      </c>
      <c r="H57">
        <v>2</v>
      </c>
      <c r="I57">
        <v>2</v>
      </c>
      <c r="J57">
        <v>1</v>
      </c>
      <c r="K57">
        <v>2</v>
      </c>
      <c r="L57">
        <v>2</v>
      </c>
      <c r="M57">
        <v>2</v>
      </c>
      <c r="N57">
        <v>2</v>
      </c>
      <c r="O57">
        <v>2</v>
      </c>
      <c r="P57">
        <v>1</v>
      </c>
      <c r="Q57">
        <v>2</v>
      </c>
      <c r="R57">
        <v>2</v>
      </c>
      <c r="S57">
        <v>2</v>
      </c>
      <c r="T57">
        <v>3</v>
      </c>
      <c r="U57">
        <v>3</v>
      </c>
      <c r="V57">
        <v>3</v>
      </c>
      <c r="W57">
        <v>3</v>
      </c>
      <c r="X57">
        <v>3</v>
      </c>
      <c r="Y57">
        <v>3</v>
      </c>
      <c r="Z57">
        <v>2</v>
      </c>
      <c r="AA57">
        <v>2</v>
      </c>
      <c r="AB57">
        <v>5</v>
      </c>
      <c r="AC57">
        <v>5</v>
      </c>
      <c r="AD57">
        <v>4</v>
      </c>
      <c r="AE57">
        <v>5</v>
      </c>
      <c r="AF57">
        <v>5</v>
      </c>
      <c r="AG57">
        <v>3</v>
      </c>
      <c r="AH57">
        <v>5</v>
      </c>
      <c r="AI57">
        <v>2</v>
      </c>
      <c r="AJ57">
        <v>1</v>
      </c>
      <c r="AK57">
        <v>3</v>
      </c>
      <c r="AL57">
        <v>1</v>
      </c>
      <c r="AM57">
        <v>3</v>
      </c>
      <c r="AN57">
        <v>3</v>
      </c>
      <c r="AO57">
        <v>1</v>
      </c>
      <c r="AP57">
        <v>2</v>
      </c>
      <c r="AQ57">
        <v>1</v>
      </c>
      <c r="AR57">
        <v>2</v>
      </c>
      <c r="AS57">
        <v>1</v>
      </c>
      <c r="AT57">
        <v>2</v>
      </c>
      <c r="AU57">
        <v>1</v>
      </c>
      <c r="AV57">
        <v>2</v>
      </c>
      <c r="AW57">
        <v>2</v>
      </c>
      <c r="AX57">
        <v>2</v>
      </c>
      <c r="AY57">
        <v>2</v>
      </c>
      <c r="AZ57">
        <v>2</v>
      </c>
      <c r="BA57">
        <v>2</v>
      </c>
      <c r="BB57">
        <v>5</v>
      </c>
      <c r="BC57">
        <v>1</v>
      </c>
      <c r="BD57">
        <v>3</v>
      </c>
      <c r="BE57">
        <v>2</v>
      </c>
      <c r="BF57">
        <v>1</v>
      </c>
      <c r="BG57">
        <v>3</v>
      </c>
      <c r="BH57">
        <v>3</v>
      </c>
      <c r="BI57">
        <v>3</v>
      </c>
      <c r="BJ57">
        <v>3</v>
      </c>
      <c r="BK57">
        <v>3</v>
      </c>
      <c r="BL57">
        <v>3</v>
      </c>
      <c r="BM57">
        <v>3</v>
      </c>
      <c r="BN57">
        <v>2</v>
      </c>
      <c r="BO57">
        <v>1</v>
      </c>
      <c r="BP57">
        <v>2</v>
      </c>
      <c r="BQ57">
        <v>4</v>
      </c>
      <c r="BR57">
        <v>4</v>
      </c>
      <c r="BS57">
        <v>4</v>
      </c>
      <c r="BT57">
        <v>3</v>
      </c>
      <c r="BU57">
        <v>3</v>
      </c>
      <c r="BV57">
        <v>5</v>
      </c>
      <c r="BW57">
        <v>3</v>
      </c>
      <c r="BX57">
        <v>2</v>
      </c>
      <c r="BY57">
        <v>2</v>
      </c>
      <c r="BZ57">
        <v>3</v>
      </c>
      <c r="CA57">
        <v>3</v>
      </c>
      <c r="CB57">
        <v>3</v>
      </c>
      <c r="CC57">
        <v>3</v>
      </c>
      <c r="CD57">
        <v>3</v>
      </c>
      <c r="CE57">
        <v>3</v>
      </c>
      <c r="CF57">
        <v>3</v>
      </c>
      <c r="CG57">
        <v>3</v>
      </c>
      <c r="CH57">
        <v>3</v>
      </c>
      <c r="CI57">
        <v>3</v>
      </c>
      <c r="CJ57">
        <v>3</v>
      </c>
      <c r="CK57">
        <v>3</v>
      </c>
      <c r="CL57">
        <v>3</v>
      </c>
      <c r="CM57">
        <v>3</v>
      </c>
      <c r="CN57">
        <v>3</v>
      </c>
      <c r="CO57">
        <v>3</v>
      </c>
      <c r="CP57">
        <v>3</v>
      </c>
      <c r="CQ57">
        <v>3</v>
      </c>
      <c r="CR57">
        <v>3</v>
      </c>
      <c r="CS57">
        <v>3</v>
      </c>
      <c r="CT57">
        <v>3</v>
      </c>
      <c r="CU57">
        <v>3</v>
      </c>
      <c r="CV57">
        <v>3</v>
      </c>
      <c r="CW57">
        <v>3</v>
      </c>
      <c r="CX57">
        <v>3</v>
      </c>
      <c r="CY57">
        <v>3</v>
      </c>
      <c r="CZ57">
        <v>3</v>
      </c>
      <c r="DA57">
        <v>3</v>
      </c>
      <c r="DB57">
        <v>3</v>
      </c>
      <c r="DC57">
        <v>3</v>
      </c>
      <c r="DD57">
        <v>3</v>
      </c>
      <c r="DE57">
        <v>3</v>
      </c>
      <c r="DF57">
        <v>3</v>
      </c>
      <c r="DG57">
        <v>3</v>
      </c>
      <c r="DH57">
        <v>3</v>
      </c>
      <c r="DI57">
        <v>3</v>
      </c>
      <c r="DJ57">
        <v>3</v>
      </c>
      <c r="DK57">
        <v>3</v>
      </c>
      <c r="DL57">
        <v>3</v>
      </c>
      <c r="DM57">
        <v>3</v>
      </c>
      <c r="DN57">
        <v>3</v>
      </c>
      <c r="DO57">
        <v>3</v>
      </c>
      <c r="DP57">
        <v>3</v>
      </c>
      <c r="DQ57">
        <v>5</v>
      </c>
      <c r="DR57">
        <v>3</v>
      </c>
      <c r="DS57">
        <v>4</v>
      </c>
      <c r="DT57">
        <v>2</v>
      </c>
      <c r="DU57">
        <v>5</v>
      </c>
      <c r="DV57">
        <v>3</v>
      </c>
      <c r="DW57">
        <v>3</v>
      </c>
      <c r="DX57">
        <v>4</v>
      </c>
      <c r="DY57">
        <v>3</v>
      </c>
      <c r="DZ57">
        <v>3</v>
      </c>
      <c r="EA57">
        <v>3</v>
      </c>
      <c r="EB57">
        <v>3</v>
      </c>
      <c r="EC57">
        <v>1</v>
      </c>
      <c r="ED57">
        <v>3</v>
      </c>
      <c r="EE57">
        <v>1</v>
      </c>
      <c r="EF57">
        <v>1</v>
      </c>
      <c r="EG57">
        <v>3</v>
      </c>
      <c r="EH57">
        <v>3</v>
      </c>
      <c r="EI57">
        <v>3</v>
      </c>
    </row>
    <row r="58" spans="1:139" x14ac:dyDescent="0.2">
      <c r="A58" t="str">
        <f t="shared" si="0"/>
        <v>Ringen</v>
      </c>
      <c r="C58">
        <v>3</v>
      </c>
      <c r="D58">
        <v>3</v>
      </c>
      <c r="E58">
        <v>4</v>
      </c>
      <c r="F58">
        <v>5</v>
      </c>
      <c r="G58">
        <v>7</v>
      </c>
      <c r="H58">
        <v>1</v>
      </c>
      <c r="I58">
        <v>2</v>
      </c>
      <c r="J58">
        <v>2</v>
      </c>
      <c r="K58">
        <v>2</v>
      </c>
      <c r="L58">
        <v>2</v>
      </c>
      <c r="M58">
        <v>2</v>
      </c>
      <c r="N58">
        <v>2</v>
      </c>
      <c r="P58">
        <v>2</v>
      </c>
      <c r="U58">
        <v>2</v>
      </c>
      <c r="Z58">
        <v>2</v>
      </c>
      <c r="AA58">
        <v>2</v>
      </c>
      <c r="AB58">
        <v>3</v>
      </c>
      <c r="AC58">
        <v>3</v>
      </c>
      <c r="AE58">
        <v>3</v>
      </c>
      <c r="AF58">
        <v>3</v>
      </c>
      <c r="AG58">
        <v>5</v>
      </c>
      <c r="AH58">
        <v>3</v>
      </c>
      <c r="AI58">
        <v>3</v>
      </c>
      <c r="AJ58">
        <v>3</v>
      </c>
      <c r="AK58">
        <v>1</v>
      </c>
      <c r="AL58">
        <v>3</v>
      </c>
      <c r="AM58">
        <v>1</v>
      </c>
      <c r="AN58">
        <v>1</v>
      </c>
      <c r="AO58">
        <v>3</v>
      </c>
      <c r="AP58">
        <v>3</v>
      </c>
      <c r="AQ58">
        <v>2</v>
      </c>
      <c r="AR58">
        <v>2</v>
      </c>
      <c r="AS58">
        <v>3</v>
      </c>
      <c r="AT58">
        <v>3</v>
      </c>
      <c r="AU58">
        <v>3</v>
      </c>
      <c r="AV58">
        <v>3</v>
      </c>
      <c r="AW58">
        <v>3</v>
      </c>
      <c r="AX58">
        <v>3</v>
      </c>
      <c r="AY58">
        <v>5</v>
      </c>
      <c r="AZ58">
        <v>5</v>
      </c>
      <c r="BA58">
        <v>3</v>
      </c>
      <c r="BB58">
        <v>4</v>
      </c>
      <c r="BC58">
        <v>3</v>
      </c>
      <c r="BD58">
        <v>2</v>
      </c>
      <c r="BE58">
        <v>3</v>
      </c>
      <c r="BF58">
        <v>3</v>
      </c>
      <c r="BG58">
        <v>3</v>
      </c>
      <c r="BN58">
        <v>3</v>
      </c>
      <c r="BO58">
        <v>3</v>
      </c>
      <c r="BP58">
        <v>2</v>
      </c>
      <c r="BQ58">
        <v>3</v>
      </c>
      <c r="BR58">
        <v>4</v>
      </c>
      <c r="BS58">
        <v>3</v>
      </c>
      <c r="BT58">
        <v>5</v>
      </c>
      <c r="BU58">
        <v>6</v>
      </c>
      <c r="BV58">
        <v>4</v>
      </c>
      <c r="BW58">
        <v>5</v>
      </c>
      <c r="BX58">
        <v>5</v>
      </c>
      <c r="BY58">
        <v>6</v>
      </c>
      <c r="BZ58">
        <v>3</v>
      </c>
      <c r="CA58">
        <v>3</v>
      </c>
      <c r="CB58">
        <v>2</v>
      </c>
      <c r="CC58">
        <v>2</v>
      </c>
      <c r="CD58">
        <v>2</v>
      </c>
      <c r="CQ58">
        <v>2</v>
      </c>
      <c r="CR58">
        <v>2</v>
      </c>
      <c r="CS58">
        <v>2</v>
      </c>
      <c r="CT58">
        <v>2</v>
      </c>
      <c r="CU58">
        <v>2</v>
      </c>
      <c r="CV58">
        <v>2</v>
      </c>
      <c r="CW58">
        <v>2</v>
      </c>
      <c r="CX58">
        <v>2</v>
      </c>
      <c r="CY58">
        <v>2</v>
      </c>
      <c r="CZ58">
        <v>2</v>
      </c>
      <c r="DG58">
        <v>3</v>
      </c>
      <c r="DH58">
        <v>3</v>
      </c>
      <c r="DI58">
        <v>3</v>
      </c>
      <c r="DJ58">
        <v>3</v>
      </c>
      <c r="DK58">
        <v>3</v>
      </c>
      <c r="DL58">
        <v>3</v>
      </c>
      <c r="DM58">
        <v>3</v>
      </c>
      <c r="DN58">
        <v>3</v>
      </c>
      <c r="DO58">
        <v>3</v>
      </c>
      <c r="DQ58">
        <v>5</v>
      </c>
      <c r="DR58">
        <v>3</v>
      </c>
      <c r="DT58">
        <v>2</v>
      </c>
      <c r="DV58">
        <v>3</v>
      </c>
      <c r="DY58">
        <v>4</v>
      </c>
      <c r="DZ58">
        <v>4</v>
      </c>
      <c r="EC58">
        <v>3</v>
      </c>
      <c r="ED58">
        <v>4</v>
      </c>
      <c r="EE58">
        <v>1</v>
      </c>
      <c r="EF58">
        <v>3</v>
      </c>
      <c r="EG58">
        <v>2</v>
      </c>
      <c r="EH58">
        <v>3</v>
      </c>
      <c r="EI58">
        <v>3</v>
      </c>
    </row>
    <row r="59" spans="1:139" x14ac:dyDescent="0.2">
      <c r="A59" t="str">
        <f t="shared" si="0"/>
        <v>Säbel</v>
      </c>
      <c r="J59">
        <v>3</v>
      </c>
      <c r="P59">
        <v>5</v>
      </c>
      <c r="R59">
        <v>5</v>
      </c>
      <c r="AQ59">
        <v>5</v>
      </c>
      <c r="AW59">
        <v>6</v>
      </c>
      <c r="AZ59">
        <v>3</v>
      </c>
      <c r="BE59">
        <v>6</v>
      </c>
      <c r="BT59">
        <v>7</v>
      </c>
      <c r="BW59">
        <v>7</v>
      </c>
      <c r="BX59">
        <v>6</v>
      </c>
      <c r="BY59">
        <v>4</v>
      </c>
      <c r="CY59">
        <v>5</v>
      </c>
      <c r="DY59">
        <v>5</v>
      </c>
      <c r="DZ59">
        <v>5</v>
      </c>
    </row>
    <row r="60" spans="1:139" x14ac:dyDescent="0.2">
      <c r="A60" t="str">
        <f t="shared" si="0"/>
        <v>Schleuder</v>
      </c>
      <c r="CX60">
        <v>2</v>
      </c>
    </row>
    <row r="61" spans="1:139" x14ac:dyDescent="0.2">
      <c r="A61" t="str">
        <f t="shared" si="0"/>
        <v>Schwerter</v>
      </c>
      <c r="AO61">
        <v>6</v>
      </c>
      <c r="AP61">
        <v>6</v>
      </c>
      <c r="AR61">
        <v>6</v>
      </c>
      <c r="AT61">
        <v>6</v>
      </c>
      <c r="AU61">
        <v>4</v>
      </c>
      <c r="AW61">
        <v>4</v>
      </c>
      <c r="AX61">
        <v>6</v>
      </c>
      <c r="BB61">
        <v>6</v>
      </c>
      <c r="BF61">
        <v>2</v>
      </c>
      <c r="BJ61">
        <v>4</v>
      </c>
      <c r="BO61">
        <v>6</v>
      </c>
      <c r="BQ61">
        <v>4</v>
      </c>
      <c r="BT61">
        <v>3</v>
      </c>
      <c r="BU61">
        <v>6</v>
      </c>
      <c r="BV61">
        <v>7</v>
      </c>
      <c r="BZ61">
        <v>7</v>
      </c>
    </row>
    <row r="62" spans="1:139" x14ac:dyDescent="0.2">
      <c r="A62" t="str">
        <f t="shared" si="0"/>
        <v>Speere</v>
      </c>
      <c r="C62">
        <v>2</v>
      </c>
      <c r="P62">
        <v>3</v>
      </c>
      <c r="AQ62">
        <v>3</v>
      </c>
      <c r="AY62">
        <v>3</v>
      </c>
      <c r="BI62">
        <v>6</v>
      </c>
      <c r="CI62">
        <v>4</v>
      </c>
      <c r="CJ62">
        <v>4</v>
      </c>
      <c r="CQ62">
        <v>3</v>
      </c>
      <c r="CU62">
        <v>3</v>
      </c>
      <c r="DE62">
        <v>2</v>
      </c>
      <c r="DF62">
        <v>2</v>
      </c>
      <c r="DJ62">
        <v>3</v>
      </c>
      <c r="DO62">
        <v>3</v>
      </c>
      <c r="DP62">
        <v>3</v>
      </c>
      <c r="DX62">
        <v>3</v>
      </c>
      <c r="DY62">
        <v>3</v>
      </c>
      <c r="DZ62">
        <v>3</v>
      </c>
    </row>
    <row r="63" spans="1:139" x14ac:dyDescent="0.2">
      <c r="A63" t="str">
        <f t="shared" si="0"/>
        <v>Stäbe</v>
      </c>
    </row>
    <row r="64" spans="1:139" x14ac:dyDescent="0.2">
      <c r="A64" t="str">
        <f t="shared" si="0"/>
        <v>Wurfbeile</v>
      </c>
      <c r="AD64">
        <v>4</v>
      </c>
      <c r="BD64">
        <v>4</v>
      </c>
      <c r="BG64">
        <v>4</v>
      </c>
      <c r="BH64">
        <v>4</v>
      </c>
      <c r="BI64">
        <v>4</v>
      </c>
      <c r="BJ64">
        <v>4</v>
      </c>
      <c r="BK64">
        <v>4</v>
      </c>
      <c r="BL64">
        <v>4</v>
      </c>
      <c r="BM64">
        <v>4</v>
      </c>
      <c r="CE64">
        <v>6</v>
      </c>
      <c r="CF64">
        <v>6</v>
      </c>
      <c r="CG64">
        <v>6</v>
      </c>
      <c r="CH64">
        <v>6</v>
      </c>
      <c r="CK64">
        <v>4</v>
      </c>
      <c r="CL64">
        <v>4</v>
      </c>
      <c r="CM64">
        <v>4</v>
      </c>
      <c r="CN64">
        <v>4</v>
      </c>
      <c r="CO64">
        <v>4</v>
      </c>
      <c r="CP64">
        <v>4</v>
      </c>
      <c r="CZ64">
        <v>4</v>
      </c>
      <c r="DA64">
        <v>4</v>
      </c>
      <c r="DB64">
        <v>4</v>
      </c>
      <c r="DC64">
        <v>4</v>
      </c>
      <c r="DD64">
        <v>4</v>
      </c>
      <c r="DP64">
        <v>4</v>
      </c>
      <c r="DX64">
        <v>4</v>
      </c>
    </row>
    <row r="65" spans="1:139" x14ac:dyDescent="0.2">
      <c r="A65" t="str">
        <f t="shared" si="0"/>
        <v>Wurfmesser</v>
      </c>
      <c r="BB65">
        <v>2</v>
      </c>
      <c r="BV65">
        <v>3</v>
      </c>
      <c r="BW65">
        <v>3</v>
      </c>
    </row>
    <row r="66" spans="1:139" x14ac:dyDescent="0.2">
      <c r="A66" t="str">
        <f t="shared" si="0"/>
        <v>Wurfspeere</v>
      </c>
      <c r="BG66">
        <v>4</v>
      </c>
      <c r="BH66">
        <v>4</v>
      </c>
      <c r="BI66">
        <v>4</v>
      </c>
      <c r="BJ66">
        <v>3</v>
      </c>
      <c r="BK66">
        <v>4</v>
      </c>
      <c r="BM66">
        <v>4</v>
      </c>
      <c r="BO66">
        <v>2</v>
      </c>
      <c r="BX66">
        <v>4</v>
      </c>
      <c r="CE66">
        <v>4</v>
      </c>
      <c r="CF66">
        <v>4</v>
      </c>
      <c r="CG66">
        <v>4</v>
      </c>
      <c r="CH66">
        <v>4</v>
      </c>
      <c r="CI66">
        <v>4</v>
      </c>
      <c r="CJ66">
        <v>4</v>
      </c>
      <c r="CO66">
        <v>4</v>
      </c>
      <c r="CP66">
        <v>4</v>
      </c>
      <c r="CQ66">
        <v>4</v>
      </c>
      <c r="DE66">
        <v>6</v>
      </c>
      <c r="DF66">
        <v>6</v>
      </c>
      <c r="DP66">
        <v>4</v>
      </c>
    </row>
    <row r="67" spans="1:139" x14ac:dyDescent="0.2">
      <c r="A67" t="str">
        <f t="shared" si="0"/>
        <v>Zweihandflegel</v>
      </c>
    </row>
    <row r="68" spans="1:139" x14ac:dyDescent="0.2">
      <c r="A68" t="str">
        <f t="shared" si="0"/>
        <v>Zweihand-Hiebwaffen</v>
      </c>
      <c r="I68">
        <v>3</v>
      </c>
      <c r="AD68">
        <v>3</v>
      </c>
      <c r="AY68">
        <v>6</v>
      </c>
      <c r="AZ68">
        <v>3</v>
      </c>
      <c r="BD68">
        <v>4</v>
      </c>
      <c r="BP68">
        <v>6</v>
      </c>
      <c r="CS68">
        <v>3</v>
      </c>
      <c r="DN68">
        <v>2</v>
      </c>
      <c r="DX68">
        <v>2</v>
      </c>
    </row>
    <row r="69" spans="1:139" x14ac:dyDescent="0.2">
      <c r="A69" t="str">
        <f t="shared" si="0"/>
        <v>Zweihandschwerter/-säbel</v>
      </c>
      <c r="H69">
        <v>3</v>
      </c>
      <c r="AP69">
        <v>4</v>
      </c>
      <c r="AR69">
        <v>4</v>
      </c>
      <c r="AT69">
        <v>4</v>
      </c>
      <c r="AU69">
        <v>4</v>
      </c>
      <c r="AX69">
        <v>4</v>
      </c>
      <c r="BE69">
        <v>4</v>
      </c>
      <c r="BF69">
        <v>4</v>
      </c>
      <c r="BO69">
        <v>4</v>
      </c>
      <c r="BP69">
        <v>3</v>
      </c>
      <c r="BT69">
        <v>3</v>
      </c>
      <c r="BX69">
        <v>6</v>
      </c>
      <c r="BY69">
        <v>6</v>
      </c>
    </row>
    <row r="70" spans="1:139" ht="12.75" customHeight="1" x14ac:dyDescent="0.2">
      <c r="A70" t="str">
        <f>INDEX(TL_KRP,ROW()-69)</f>
        <v>Akrobatik</v>
      </c>
      <c r="B70" t="s">
        <v>3311</v>
      </c>
      <c r="D70">
        <v>1</v>
      </c>
      <c r="F70">
        <v>3</v>
      </c>
      <c r="G70">
        <v>4</v>
      </c>
      <c r="AY70">
        <v>3</v>
      </c>
      <c r="BM70">
        <v>1</v>
      </c>
      <c r="BV70">
        <v>3</v>
      </c>
      <c r="CC70">
        <v>3</v>
      </c>
      <c r="CX70">
        <v>2</v>
      </c>
      <c r="CY70">
        <v>2</v>
      </c>
      <c r="DO70">
        <v>2</v>
      </c>
      <c r="DS70">
        <v>4</v>
      </c>
      <c r="DT70">
        <v>4</v>
      </c>
      <c r="DW70">
        <v>2</v>
      </c>
      <c r="DY70">
        <v>2</v>
      </c>
      <c r="DZ70">
        <v>2</v>
      </c>
      <c r="EA70">
        <v>4</v>
      </c>
    </row>
    <row r="71" spans="1:139" x14ac:dyDescent="0.2">
      <c r="A71" t="str">
        <f t="shared" ref="A71:A87" si="1">INDEX(TL_KRP,ROW()-69)</f>
        <v>Athletik</v>
      </c>
      <c r="C71">
        <v>3</v>
      </c>
      <c r="D71">
        <v>2</v>
      </c>
      <c r="E71">
        <v>2</v>
      </c>
      <c r="F71">
        <v>4</v>
      </c>
      <c r="G71">
        <v>4</v>
      </c>
      <c r="H71">
        <v>4</v>
      </c>
      <c r="I71">
        <v>4</v>
      </c>
      <c r="J71">
        <v>4</v>
      </c>
      <c r="K71">
        <v>4</v>
      </c>
      <c r="L71">
        <v>4</v>
      </c>
      <c r="M71">
        <v>4</v>
      </c>
      <c r="N71">
        <v>4</v>
      </c>
      <c r="O71">
        <v>3</v>
      </c>
      <c r="P71">
        <v>2</v>
      </c>
      <c r="Q71">
        <v>3</v>
      </c>
      <c r="R71">
        <v>3</v>
      </c>
      <c r="S71">
        <v>3</v>
      </c>
      <c r="T71">
        <v>3</v>
      </c>
      <c r="U71">
        <v>3</v>
      </c>
      <c r="V71">
        <v>3</v>
      </c>
      <c r="W71">
        <v>3</v>
      </c>
      <c r="X71">
        <v>3</v>
      </c>
      <c r="Y71">
        <v>3</v>
      </c>
      <c r="Z71">
        <v>3</v>
      </c>
      <c r="AA71">
        <v>3</v>
      </c>
      <c r="AB71">
        <v>2</v>
      </c>
      <c r="AC71">
        <v>2</v>
      </c>
      <c r="AD71">
        <v>2</v>
      </c>
      <c r="AE71">
        <v>2</v>
      </c>
      <c r="AF71">
        <v>2</v>
      </c>
      <c r="AG71">
        <v>2</v>
      </c>
      <c r="AH71">
        <v>2</v>
      </c>
      <c r="AI71">
        <v>2</v>
      </c>
      <c r="AJ71">
        <v>3</v>
      </c>
      <c r="AK71">
        <v>3</v>
      </c>
      <c r="AL71">
        <v>3</v>
      </c>
      <c r="AM71">
        <v>3</v>
      </c>
      <c r="AN71">
        <v>3</v>
      </c>
      <c r="AO71">
        <v>3</v>
      </c>
      <c r="AP71">
        <v>3</v>
      </c>
      <c r="AQ71">
        <v>3</v>
      </c>
      <c r="AR71">
        <v>3</v>
      </c>
      <c r="AS71">
        <v>3</v>
      </c>
      <c r="AT71">
        <v>3</v>
      </c>
      <c r="AU71">
        <v>4</v>
      </c>
      <c r="AV71">
        <v>3</v>
      </c>
      <c r="AW71">
        <v>5</v>
      </c>
      <c r="AX71">
        <v>4</v>
      </c>
      <c r="AY71">
        <v>5</v>
      </c>
      <c r="AZ71">
        <v>5</v>
      </c>
      <c r="BA71">
        <v>3</v>
      </c>
      <c r="BB71">
        <v>5</v>
      </c>
      <c r="BC71">
        <v>3</v>
      </c>
      <c r="BD71">
        <v>4</v>
      </c>
      <c r="BE71">
        <v>5</v>
      </c>
      <c r="BF71">
        <v>5</v>
      </c>
      <c r="BG71">
        <v>5</v>
      </c>
      <c r="BH71">
        <v>5</v>
      </c>
      <c r="BI71">
        <v>5</v>
      </c>
      <c r="BJ71">
        <v>5</v>
      </c>
      <c r="BK71">
        <v>5</v>
      </c>
      <c r="BL71">
        <v>4</v>
      </c>
      <c r="BM71">
        <v>5</v>
      </c>
      <c r="BN71">
        <v>3</v>
      </c>
      <c r="BO71">
        <v>5</v>
      </c>
      <c r="BP71">
        <v>5</v>
      </c>
      <c r="BQ71">
        <v>3</v>
      </c>
      <c r="BR71">
        <v>2</v>
      </c>
      <c r="BS71">
        <v>2</v>
      </c>
      <c r="BT71">
        <v>2</v>
      </c>
      <c r="BU71">
        <v>3</v>
      </c>
      <c r="BV71">
        <v>3</v>
      </c>
      <c r="BW71">
        <v>4</v>
      </c>
      <c r="BX71">
        <v>5</v>
      </c>
      <c r="BY71">
        <v>5</v>
      </c>
      <c r="BZ71">
        <v>3</v>
      </c>
      <c r="CA71">
        <v>2</v>
      </c>
      <c r="CB71">
        <v>4</v>
      </c>
      <c r="CC71">
        <v>4</v>
      </c>
      <c r="CD71">
        <v>4</v>
      </c>
      <c r="CE71">
        <v>2</v>
      </c>
      <c r="CF71">
        <v>2</v>
      </c>
      <c r="CG71">
        <v>2</v>
      </c>
      <c r="CH71">
        <v>2</v>
      </c>
      <c r="CI71">
        <v>2</v>
      </c>
      <c r="CJ71">
        <v>2</v>
      </c>
      <c r="CK71">
        <v>2</v>
      </c>
      <c r="CL71">
        <v>2</v>
      </c>
      <c r="CM71">
        <v>2</v>
      </c>
      <c r="CN71">
        <v>2</v>
      </c>
      <c r="CO71">
        <v>2</v>
      </c>
      <c r="CP71">
        <v>2</v>
      </c>
      <c r="CQ71">
        <v>4</v>
      </c>
      <c r="CR71">
        <v>4</v>
      </c>
      <c r="CS71">
        <v>4</v>
      </c>
      <c r="CT71">
        <v>2</v>
      </c>
      <c r="CU71">
        <v>4</v>
      </c>
      <c r="CV71">
        <v>4</v>
      </c>
      <c r="CW71">
        <v>2</v>
      </c>
      <c r="CX71">
        <v>2</v>
      </c>
      <c r="CY71">
        <v>4</v>
      </c>
      <c r="CZ71">
        <v>5</v>
      </c>
      <c r="DA71">
        <v>2</v>
      </c>
      <c r="DB71">
        <v>2</v>
      </c>
      <c r="DC71">
        <v>2</v>
      </c>
      <c r="DD71">
        <v>2</v>
      </c>
      <c r="DE71">
        <v>2</v>
      </c>
      <c r="DF71">
        <v>2</v>
      </c>
      <c r="DG71">
        <v>2</v>
      </c>
      <c r="DH71">
        <v>2</v>
      </c>
      <c r="DI71">
        <v>2</v>
      </c>
      <c r="DJ71">
        <v>2</v>
      </c>
      <c r="DK71">
        <v>2</v>
      </c>
      <c r="DL71">
        <v>2</v>
      </c>
      <c r="DM71">
        <v>3</v>
      </c>
      <c r="DN71">
        <v>4</v>
      </c>
      <c r="DO71">
        <v>2</v>
      </c>
      <c r="DP71">
        <v>3</v>
      </c>
      <c r="DQ71">
        <v>2</v>
      </c>
      <c r="DR71">
        <v>2</v>
      </c>
      <c r="DS71">
        <v>4</v>
      </c>
      <c r="DT71">
        <v>4</v>
      </c>
      <c r="DU71">
        <v>3</v>
      </c>
      <c r="DV71">
        <v>4</v>
      </c>
      <c r="DW71">
        <v>3</v>
      </c>
      <c r="DX71">
        <v>3</v>
      </c>
      <c r="DY71">
        <v>3</v>
      </c>
      <c r="DZ71">
        <v>3</v>
      </c>
      <c r="EA71">
        <v>3</v>
      </c>
      <c r="EB71">
        <v>5</v>
      </c>
      <c r="EC71">
        <v>5</v>
      </c>
      <c r="ED71">
        <v>3</v>
      </c>
      <c r="EE71">
        <v>3</v>
      </c>
      <c r="EF71">
        <v>3</v>
      </c>
      <c r="EG71">
        <v>4</v>
      </c>
      <c r="EH71">
        <v>2</v>
      </c>
      <c r="EI71">
        <v>2</v>
      </c>
    </row>
    <row r="72" spans="1:139" x14ac:dyDescent="0.2">
      <c r="A72" t="str">
        <f t="shared" si="1"/>
        <v>Fliegen</v>
      </c>
    </row>
    <row r="73" spans="1:139" x14ac:dyDescent="0.2">
      <c r="A73" t="str">
        <f t="shared" si="1"/>
        <v>Gaukeleien</v>
      </c>
      <c r="F73">
        <v>2</v>
      </c>
    </row>
    <row r="74" spans="1:139" x14ac:dyDescent="0.2">
      <c r="A74" t="str">
        <f t="shared" si="1"/>
        <v>Klettern</v>
      </c>
      <c r="C74">
        <v>2</v>
      </c>
      <c r="H74">
        <v>2</v>
      </c>
      <c r="I74">
        <v>2</v>
      </c>
      <c r="J74">
        <v>2</v>
      </c>
      <c r="K74">
        <v>2</v>
      </c>
      <c r="L74">
        <v>2</v>
      </c>
      <c r="M74">
        <v>2</v>
      </c>
      <c r="N74">
        <v>2</v>
      </c>
      <c r="P74">
        <v>2</v>
      </c>
      <c r="T74">
        <v>4</v>
      </c>
      <c r="U74">
        <v>4</v>
      </c>
      <c r="V74">
        <v>4</v>
      </c>
      <c r="W74">
        <v>4</v>
      </c>
      <c r="X74">
        <v>4</v>
      </c>
      <c r="Y74">
        <v>4</v>
      </c>
      <c r="AB74">
        <v>1</v>
      </c>
      <c r="AC74">
        <v>1</v>
      </c>
      <c r="AD74">
        <v>1</v>
      </c>
      <c r="AE74">
        <v>3</v>
      </c>
      <c r="AO74">
        <v>1</v>
      </c>
      <c r="AP74">
        <v>1</v>
      </c>
      <c r="AQ74">
        <v>1</v>
      </c>
      <c r="AR74">
        <v>1</v>
      </c>
      <c r="AS74">
        <v>3</v>
      </c>
      <c r="AT74">
        <v>2</v>
      </c>
      <c r="AU74">
        <v>1</v>
      </c>
      <c r="AV74">
        <v>1</v>
      </c>
      <c r="AW74">
        <v>1</v>
      </c>
      <c r="AX74">
        <v>2</v>
      </c>
      <c r="AY74">
        <v>4</v>
      </c>
      <c r="AZ74">
        <v>1</v>
      </c>
      <c r="BA74">
        <v>1</v>
      </c>
      <c r="BB74">
        <v>3</v>
      </c>
      <c r="BC74">
        <v>1</v>
      </c>
      <c r="BD74">
        <v>1</v>
      </c>
      <c r="BE74">
        <v>1</v>
      </c>
      <c r="BF74">
        <v>1</v>
      </c>
      <c r="BG74">
        <v>2</v>
      </c>
      <c r="BH74">
        <v>2</v>
      </c>
      <c r="BJ74">
        <v>2</v>
      </c>
      <c r="BK74">
        <v>2</v>
      </c>
      <c r="BL74">
        <v>2</v>
      </c>
      <c r="BM74">
        <v>2</v>
      </c>
      <c r="BN74">
        <v>1</v>
      </c>
      <c r="BO74">
        <v>2</v>
      </c>
      <c r="BP74">
        <v>2</v>
      </c>
      <c r="BQ74">
        <v>1</v>
      </c>
      <c r="BR74">
        <v>2</v>
      </c>
      <c r="BS74">
        <v>1</v>
      </c>
      <c r="BT74">
        <v>1</v>
      </c>
      <c r="BU74">
        <v>2</v>
      </c>
      <c r="BV74">
        <v>3</v>
      </c>
      <c r="BW74">
        <v>1</v>
      </c>
      <c r="BX74">
        <v>1</v>
      </c>
      <c r="BY74">
        <v>2</v>
      </c>
      <c r="BZ74">
        <v>1</v>
      </c>
      <c r="CA74">
        <v>1</v>
      </c>
      <c r="CB74">
        <v>1</v>
      </c>
      <c r="CR74">
        <v>2</v>
      </c>
      <c r="CS74">
        <v>4</v>
      </c>
      <c r="CT74">
        <v>4</v>
      </c>
      <c r="CV74">
        <v>1</v>
      </c>
      <c r="CX74">
        <v>4</v>
      </c>
      <c r="DC74">
        <v>1</v>
      </c>
      <c r="DD74">
        <v>1</v>
      </c>
      <c r="DG74">
        <v>1</v>
      </c>
      <c r="DH74">
        <v>1</v>
      </c>
      <c r="DI74">
        <v>1</v>
      </c>
      <c r="DJ74">
        <v>1</v>
      </c>
      <c r="DK74">
        <v>1</v>
      </c>
      <c r="DL74">
        <v>1</v>
      </c>
      <c r="DM74">
        <v>1</v>
      </c>
      <c r="DN74">
        <v>3</v>
      </c>
      <c r="DO74">
        <v>3</v>
      </c>
      <c r="DP74">
        <v>2</v>
      </c>
      <c r="DQ74">
        <v>1</v>
      </c>
      <c r="DR74">
        <v>1</v>
      </c>
      <c r="DS74">
        <v>3</v>
      </c>
      <c r="DT74">
        <v>2</v>
      </c>
      <c r="DV74">
        <v>2</v>
      </c>
      <c r="DY74">
        <v>2</v>
      </c>
      <c r="DZ74">
        <v>2</v>
      </c>
      <c r="EA74">
        <v>4</v>
      </c>
      <c r="EB74">
        <v>2</v>
      </c>
      <c r="EC74">
        <v>1</v>
      </c>
      <c r="ED74">
        <v>1</v>
      </c>
      <c r="EE74">
        <v>2</v>
      </c>
      <c r="EF74">
        <v>1</v>
      </c>
      <c r="EH74">
        <v>1</v>
      </c>
      <c r="EI74">
        <v>1</v>
      </c>
    </row>
    <row r="75" spans="1:139" x14ac:dyDescent="0.2">
      <c r="A75" t="str">
        <f t="shared" si="1"/>
        <v>Körperbeherrschung</v>
      </c>
      <c r="C75">
        <v>2</v>
      </c>
      <c r="D75">
        <v>4</v>
      </c>
      <c r="E75">
        <v>4</v>
      </c>
      <c r="F75">
        <v>4</v>
      </c>
      <c r="G75">
        <v>4</v>
      </c>
      <c r="H75">
        <v>4</v>
      </c>
      <c r="I75">
        <v>4</v>
      </c>
      <c r="J75">
        <v>3</v>
      </c>
      <c r="K75">
        <v>4</v>
      </c>
      <c r="L75">
        <v>4</v>
      </c>
      <c r="M75">
        <v>4</v>
      </c>
      <c r="N75">
        <v>4</v>
      </c>
      <c r="O75">
        <v>5</v>
      </c>
      <c r="P75">
        <v>4</v>
      </c>
      <c r="Q75">
        <v>5</v>
      </c>
      <c r="R75">
        <v>5</v>
      </c>
      <c r="S75">
        <v>5</v>
      </c>
      <c r="T75">
        <v>4</v>
      </c>
      <c r="U75">
        <v>4</v>
      </c>
      <c r="V75">
        <v>4</v>
      </c>
      <c r="W75">
        <v>4</v>
      </c>
      <c r="X75">
        <v>4</v>
      </c>
      <c r="Y75">
        <v>4</v>
      </c>
      <c r="Z75">
        <v>3</v>
      </c>
      <c r="AA75">
        <v>3</v>
      </c>
      <c r="AB75">
        <v>2</v>
      </c>
      <c r="AD75">
        <v>3</v>
      </c>
      <c r="AE75">
        <v>2</v>
      </c>
      <c r="AH75">
        <v>2</v>
      </c>
      <c r="AI75">
        <v>2</v>
      </c>
      <c r="AJ75">
        <v>3</v>
      </c>
      <c r="AK75">
        <v>3</v>
      </c>
      <c r="AL75">
        <v>3</v>
      </c>
      <c r="AM75">
        <v>3</v>
      </c>
      <c r="AN75">
        <v>3</v>
      </c>
      <c r="AO75">
        <v>2</v>
      </c>
      <c r="AP75">
        <v>2</v>
      </c>
      <c r="AQ75">
        <v>4</v>
      </c>
      <c r="AR75">
        <v>2</v>
      </c>
      <c r="AS75">
        <v>5</v>
      </c>
      <c r="AT75">
        <v>2</v>
      </c>
      <c r="AU75">
        <v>2</v>
      </c>
      <c r="AV75">
        <v>3</v>
      </c>
      <c r="AW75">
        <v>4</v>
      </c>
      <c r="AX75">
        <v>2</v>
      </c>
      <c r="AY75">
        <v>5</v>
      </c>
      <c r="AZ75">
        <v>2</v>
      </c>
      <c r="BA75">
        <v>4</v>
      </c>
      <c r="BB75">
        <v>3</v>
      </c>
      <c r="BC75">
        <v>2</v>
      </c>
      <c r="BD75">
        <v>2</v>
      </c>
      <c r="BE75">
        <v>4</v>
      </c>
      <c r="BF75">
        <v>2</v>
      </c>
      <c r="BG75">
        <v>2</v>
      </c>
      <c r="BH75">
        <v>2</v>
      </c>
      <c r="BI75">
        <v>2</v>
      </c>
      <c r="BJ75">
        <v>2</v>
      </c>
      <c r="BK75">
        <v>2</v>
      </c>
      <c r="BL75">
        <v>2</v>
      </c>
      <c r="BM75">
        <v>3</v>
      </c>
      <c r="BN75">
        <v>2</v>
      </c>
      <c r="BO75">
        <v>4</v>
      </c>
      <c r="BP75">
        <v>2</v>
      </c>
      <c r="BQ75">
        <v>3</v>
      </c>
      <c r="BR75">
        <v>4</v>
      </c>
      <c r="BS75">
        <v>4</v>
      </c>
      <c r="BT75">
        <v>4</v>
      </c>
      <c r="BU75">
        <v>4</v>
      </c>
      <c r="BV75">
        <v>4</v>
      </c>
      <c r="BW75">
        <v>4</v>
      </c>
      <c r="BX75">
        <v>3</v>
      </c>
      <c r="BY75">
        <v>3</v>
      </c>
      <c r="BZ75">
        <v>4</v>
      </c>
      <c r="CA75">
        <v>3</v>
      </c>
      <c r="CB75">
        <v>1</v>
      </c>
      <c r="CC75">
        <v>4</v>
      </c>
      <c r="CD75">
        <v>4</v>
      </c>
      <c r="CE75">
        <v>3</v>
      </c>
      <c r="CF75">
        <v>3</v>
      </c>
      <c r="CG75">
        <v>3</v>
      </c>
      <c r="CH75">
        <v>3</v>
      </c>
      <c r="CI75">
        <v>3</v>
      </c>
      <c r="CJ75">
        <v>3</v>
      </c>
      <c r="CK75">
        <v>2</v>
      </c>
      <c r="CL75">
        <v>2</v>
      </c>
      <c r="CM75">
        <v>2</v>
      </c>
      <c r="CN75">
        <v>2</v>
      </c>
      <c r="CO75">
        <v>3</v>
      </c>
      <c r="CP75">
        <v>3</v>
      </c>
      <c r="CQ75">
        <v>5</v>
      </c>
      <c r="CR75">
        <v>3</v>
      </c>
      <c r="CS75">
        <v>3</v>
      </c>
      <c r="CT75">
        <v>4</v>
      </c>
      <c r="CU75">
        <v>5</v>
      </c>
      <c r="CV75">
        <v>3</v>
      </c>
      <c r="CW75">
        <v>1</v>
      </c>
      <c r="CX75">
        <v>4</v>
      </c>
      <c r="CY75">
        <v>4</v>
      </c>
      <c r="CZ75">
        <v>2</v>
      </c>
      <c r="DA75">
        <v>2</v>
      </c>
      <c r="DB75">
        <v>2</v>
      </c>
      <c r="DC75">
        <v>2</v>
      </c>
      <c r="DD75">
        <v>2</v>
      </c>
      <c r="DE75">
        <v>3</v>
      </c>
      <c r="DF75">
        <v>3</v>
      </c>
      <c r="DG75">
        <v>2</v>
      </c>
      <c r="DH75">
        <v>2</v>
      </c>
      <c r="DI75">
        <v>2</v>
      </c>
      <c r="DJ75">
        <v>5</v>
      </c>
      <c r="DK75">
        <v>2</v>
      </c>
      <c r="DL75">
        <v>2</v>
      </c>
      <c r="DM75">
        <v>2</v>
      </c>
      <c r="DN75">
        <v>2</v>
      </c>
      <c r="DO75">
        <v>4</v>
      </c>
      <c r="DP75">
        <v>2</v>
      </c>
      <c r="DQ75">
        <v>2</v>
      </c>
      <c r="DR75">
        <v>2</v>
      </c>
      <c r="DS75">
        <v>4</v>
      </c>
      <c r="DT75">
        <v>4</v>
      </c>
      <c r="DU75">
        <v>3</v>
      </c>
      <c r="DV75">
        <v>3</v>
      </c>
      <c r="DW75">
        <v>5</v>
      </c>
      <c r="DX75">
        <v>3</v>
      </c>
      <c r="DY75">
        <v>4</v>
      </c>
      <c r="DZ75">
        <v>4</v>
      </c>
      <c r="EA75">
        <v>4</v>
      </c>
      <c r="EB75">
        <v>3</v>
      </c>
      <c r="EC75">
        <v>4</v>
      </c>
      <c r="ED75">
        <v>4</v>
      </c>
      <c r="EE75">
        <v>3</v>
      </c>
      <c r="EF75">
        <v>2</v>
      </c>
      <c r="EH75">
        <v>2</v>
      </c>
      <c r="EI75">
        <v>3</v>
      </c>
    </row>
    <row r="76" spans="1:139" x14ac:dyDescent="0.2">
      <c r="A76" t="str">
        <f t="shared" si="1"/>
        <v>Reiten</v>
      </c>
      <c r="C76">
        <v>4</v>
      </c>
      <c r="H76">
        <v>2</v>
      </c>
      <c r="I76">
        <v>3</v>
      </c>
      <c r="J76">
        <v>3</v>
      </c>
      <c r="K76">
        <v>3</v>
      </c>
      <c r="L76">
        <v>4</v>
      </c>
      <c r="M76">
        <v>3</v>
      </c>
      <c r="N76">
        <v>4</v>
      </c>
      <c r="O76">
        <v>7</v>
      </c>
      <c r="P76">
        <v>6</v>
      </c>
      <c r="Q76">
        <v>7</v>
      </c>
      <c r="R76">
        <v>7</v>
      </c>
      <c r="S76">
        <v>7</v>
      </c>
      <c r="Z76">
        <v>3</v>
      </c>
      <c r="AA76">
        <v>3</v>
      </c>
      <c r="AC76">
        <v>1</v>
      </c>
      <c r="AF76">
        <v>2</v>
      </c>
      <c r="AH76">
        <v>2</v>
      </c>
      <c r="AI76">
        <v>3</v>
      </c>
      <c r="AJ76">
        <v>7</v>
      </c>
      <c r="AK76">
        <v>7</v>
      </c>
      <c r="AL76">
        <v>6</v>
      </c>
      <c r="AM76">
        <v>7</v>
      </c>
      <c r="AN76">
        <v>6</v>
      </c>
      <c r="AO76">
        <v>5</v>
      </c>
      <c r="AP76">
        <v>5</v>
      </c>
      <c r="AQ76">
        <v>6</v>
      </c>
      <c r="AR76">
        <v>7</v>
      </c>
      <c r="AS76">
        <v>3</v>
      </c>
      <c r="AT76">
        <v>5</v>
      </c>
      <c r="AU76">
        <v>5</v>
      </c>
      <c r="AV76">
        <v>7</v>
      </c>
      <c r="AW76">
        <v>7</v>
      </c>
      <c r="AX76">
        <v>5</v>
      </c>
      <c r="AY76">
        <v>1</v>
      </c>
      <c r="AZ76">
        <v>2</v>
      </c>
      <c r="BA76">
        <v>5</v>
      </c>
      <c r="BB76">
        <v>1</v>
      </c>
      <c r="BC76">
        <v>7</v>
      </c>
      <c r="BD76">
        <v>2</v>
      </c>
      <c r="BE76">
        <v>7</v>
      </c>
      <c r="BF76">
        <v>5</v>
      </c>
      <c r="BG76">
        <v>2</v>
      </c>
      <c r="BH76">
        <v>2</v>
      </c>
      <c r="BI76">
        <v>7</v>
      </c>
      <c r="BK76">
        <v>2</v>
      </c>
      <c r="BL76">
        <v>2</v>
      </c>
      <c r="BM76">
        <v>2</v>
      </c>
      <c r="BN76">
        <v>4</v>
      </c>
      <c r="BO76">
        <v>5</v>
      </c>
      <c r="BQ76">
        <v>3</v>
      </c>
      <c r="BR76">
        <v>2</v>
      </c>
      <c r="BS76">
        <v>2</v>
      </c>
      <c r="BT76">
        <v>6</v>
      </c>
      <c r="BU76">
        <v>2</v>
      </c>
      <c r="BW76">
        <v>2</v>
      </c>
      <c r="BX76">
        <v>5</v>
      </c>
      <c r="BY76">
        <v>5</v>
      </c>
      <c r="BZ76">
        <v>3</v>
      </c>
      <c r="CC76">
        <v>2</v>
      </c>
      <c r="CD76">
        <v>5</v>
      </c>
      <c r="CI76">
        <v>5</v>
      </c>
      <c r="CJ76">
        <v>5</v>
      </c>
      <c r="CQ76">
        <v>5</v>
      </c>
      <c r="CU76">
        <v>7</v>
      </c>
      <c r="CY76">
        <v>3</v>
      </c>
      <c r="DI76">
        <v>5</v>
      </c>
      <c r="DJ76">
        <v>7</v>
      </c>
      <c r="DL76">
        <v>5</v>
      </c>
      <c r="DY76">
        <v>5</v>
      </c>
      <c r="DZ76">
        <v>5</v>
      </c>
      <c r="EA76">
        <v>5</v>
      </c>
      <c r="EF76">
        <v>5</v>
      </c>
      <c r="EI76">
        <v>2</v>
      </c>
    </row>
    <row r="77" spans="1:139" x14ac:dyDescent="0.2">
      <c r="A77" t="str">
        <f t="shared" si="1"/>
        <v>Schleichen</v>
      </c>
      <c r="BV77">
        <v>3</v>
      </c>
      <c r="BY77">
        <v>2</v>
      </c>
      <c r="DE77">
        <v>3</v>
      </c>
      <c r="DF77">
        <v>3</v>
      </c>
      <c r="DG77">
        <v>2</v>
      </c>
      <c r="DH77">
        <v>2</v>
      </c>
      <c r="DI77">
        <v>2</v>
      </c>
      <c r="DJ77">
        <v>2</v>
      </c>
      <c r="DK77">
        <v>2</v>
      </c>
      <c r="DL77">
        <v>2</v>
      </c>
      <c r="DM77">
        <v>2</v>
      </c>
      <c r="DN77">
        <v>2</v>
      </c>
      <c r="DO77">
        <v>2</v>
      </c>
      <c r="DP77">
        <v>2</v>
      </c>
      <c r="DQ77">
        <v>2</v>
      </c>
      <c r="DR77">
        <v>2</v>
      </c>
      <c r="DS77">
        <v>3</v>
      </c>
      <c r="DT77">
        <v>1</v>
      </c>
      <c r="DU77">
        <v>2</v>
      </c>
      <c r="DV77">
        <v>3</v>
      </c>
      <c r="DW77">
        <v>3</v>
      </c>
      <c r="DY77">
        <v>2</v>
      </c>
      <c r="DZ77">
        <v>2</v>
      </c>
      <c r="EA77">
        <v>4</v>
      </c>
      <c r="EB77">
        <v>2</v>
      </c>
      <c r="EC77">
        <v>4</v>
      </c>
      <c r="ED77">
        <v>4</v>
      </c>
      <c r="EE77">
        <v>1</v>
      </c>
      <c r="EH77">
        <v>2</v>
      </c>
    </row>
    <row r="78" spans="1:139" x14ac:dyDescent="0.2">
      <c r="A78" t="str">
        <f t="shared" si="1"/>
        <v>Schwimmen</v>
      </c>
      <c r="H78">
        <v>2</v>
      </c>
      <c r="K78">
        <v>1</v>
      </c>
      <c r="P78">
        <v>1</v>
      </c>
      <c r="T78">
        <v>4</v>
      </c>
      <c r="U78">
        <v>4</v>
      </c>
      <c r="V78">
        <v>4</v>
      </c>
      <c r="W78">
        <v>4</v>
      </c>
      <c r="X78">
        <v>4</v>
      </c>
      <c r="Y78">
        <v>4</v>
      </c>
      <c r="AO78">
        <v>2</v>
      </c>
      <c r="AQ78">
        <v>1</v>
      </c>
      <c r="AX78">
        <v>2</v>
      </c>
      <c r="AY78">
        <v>5</v>
      </c>
      <c r="AZ78">
        <v>1</v>
      </c>
      <c r="BB78">
        <v>1</v>
      </c>
      <c r="BC78">
        <v>3</v>
      </c>
      <c r="BG78">
        <v>1</v>
      </c>
      <c r="BH78">
        <v>1</v>
      </c>
      <c r="BJ78">
        <v>1</v>
      </c>
      <c r="BK78">
        <v>1</v>
      </c>
      <c r="BL78">
        <v>1</v>
      </c>
      <c r="BM78">
        <v>2</v>
      </c>
      <c r="BO78">
        <v>1</v>
      </c>
      <c r="CO78">
        <v>1</v>
      </c>
      <c r="CP78">
        <v>1</v>
      </c>
      <c r="CW78">
        <v>1</v>
      </c>
      <c r="CX78">
        <v>3</v>
      </c>
      <c r="DO78">
        <v>2</v>
      </c>
      <c r="DP78">
        <v>2</v>
      </c>
      <c r="DS78">
        <v>3</v>
      </c>
      <c r="DT78">
        <v>4</v>
      </c>
      <c r="DU78">
        <v>2</v>
      </c>
      <c r="DV78">
        <v>3</v>
      </c>
      <c r="DX78">
        <v>2</v>
      </c>
      <c r="EC78">
        <v>2</v>
      </c>
      <c r="ED78">
        <v>2</v>
      </c>
    </row>
    <row r="79" spans="1:139" x14ac:dyDescent="0.2">
      <c r="A79" t="str">
        <f t="shared" si="1"/>
        <v>Selbstbeherrschung</v>
      </c>
      <c r="C79">
        <v>2</v>
      </c>
      <c r="D79">
        <v>2</v>
      </c>
      <c r="E79">
        <v>1</v>
      </c>
      <c r="F79">
        <v>3</v>
      </c>
      <c r="G79">
        <v>4</v>
      </c>
      <c r="H79">
        <v>4</v>
      </c>
      <c r="I79">
        <v>4</v>
      </c>
      <c r="J79">
        <v>5</v>
      </c>
      <c r="K79">
        <v>4</v>
      </c>
      <c r="L79">
        <v>4</v>
      </c>
      <c r="M79">
        <v>4</v>
      </c>
      <c r="N79">
        <v>4</v>
      </c>
      <c r="O79">
        <v>4</v>
      </c>
      <c r="P79">
        <v>3</v>
      </c>
      <c r="Q79">
        <v>4</v>
      </c>
      <c r="R79">
        <v>5</v>
      </c>
      <c r="S79">
        <v>4</v>
      </c>
      <c r="T79">
        <v>5</v>
      </c>
      <c r="U79">
        <v>5</v>
      </c>
      <c r="V79">
        <v>5</v>
      </c>
      <c r="W79">
        <v>5</v>
      </c>
      <c r="X79">
        <v>5</v>
      </c>
      <c r="Y79">
        <v>5</v>
      </c>
      <c r="Z79">
        <v>6</v>
      </c>
      <c r="AA79">
        <v>6</v>
      </c>
      <c r="AB79">
        <v>2</v>
      </c>
      <c r="AC79">
        <v>2</v>
      </c>
      <c r="AD79">
        <v>4</v>
      </c>
      <c r="AE79">
        <v>3</v>
      </c>
      <c r="AF79">
        <v>2</v>
      </c>
      <c r="AG79">
        <v>2</v>
      </c>
      <c r="AH79">
        <v>2</v>
      </c>
      <c r="AI79">
        <v>2</v>
      </c>
      <c r="AJ79">
        <v>5</v>
      </c>
      <c r="AK79">
        <v>4</v>
      </c>
      <c r="AL79">
        <v>3</v>
      </c>
      <c r="AM79">
        <v>3</v>
      </c>
      <c r="AN79">
        <v>3</v>
      </c>
      <c r="AO79">
        <v>5</v>
      </c>
      <c r="AP79">
        <v>5</v>
      </c>
      <c r="AQ79">
        <v>5</v>
      </c>
      <c r="AR79">
        <v>3</v>
      </c>
      <c r="AS79">
        <v>5</v>
      </c>
      <c r="AT79">
        <v>3</v>
      </c>
      <c r="AU79">
        <v>4</v>
      </c>
      <c r="AV79">
        <v>5</v>
      </c>
      <c r="AW79">
        <v>5</v>
      </c>
      <c r="AX79">
        <v>5</v>
      </c>
      <c r="AY79">
        <v>5</v>
      </c>
      <c r="AZ79">
        <v>5</v>
      </c>
      <c r="BA79">
        <v>5</v>
      </c>
      <c r="BB79">
        <v>3</v>
      </c>
      <c r="BC79">
        <v>4</v>
      </c>
      <c r="BD79">
        <v>3</v>
      </c>
      <c r="BE79">
        <v>5</v>
      </c>
      <c r="BF79">
        <v>3</v>
      </c>
      <c r="BG79">
        <v>3</v>
      </c>
      <c r="BH79">
        <v>3</v>
      </c>
      <c r="BI79">
        <v>3</v>
      </c>
      <c r="BJ79">
        <v>3</v>
      </c>
      <c r="BK79">
        <v>3</v>
      </c>
      <c r="BL79">
        <v>4</v>
      </c>
      <c r="BM79">
        <v>3</v>
      </c>
      <c r="BN79">
        <v>5</v>
      </c>
      <c r="BO79">
        <v>5</v>
      </c>
      <c r="BP79">
        <v>5</v>
      </c>
      <c r="BQ79">
        <v>5</v>
      </c>
      <c r="BR79">
        <v>4</v>
      </c>
      <c r="BS79">
        <v>4</v>
      </c>
      <c r="BT79">
        <v>4</v>
      </c>
      <c r="BU79">
        <v>4</v>
      </c>
      <c r="BV79">
        <v>4</v>
      </c>
      <c r="BW79">
        <v>4</v>
      </c>
      <c r="BX79">
        <v>5</v>
      </c>
      <c r="BY79">
        <v>5</v>
      </c>
      <c r="BZ79">
        <v>4</v>
      </c>
      <c r="CA79">
        <v>5</v>
      </c>
      <c r="CB79">
        <v>2</v>
      </c>
      <c r="CC79">
        <v>3</v>
      </c>
      <c r="CD79">
        <v>2</v>
      </c>
      <c r="CE79">
        <v>3</v>
      </c>
      <c r="CF79">
        <v>3</v>
      </c>
      <c r="CG79">
        <v>3</v>
      </c>
      <c r="CH79">
        <v>3</v>
      </c>
      <c r="CI79">
        <v>2</v>
      </c>
      <c r="CJ79">
        <v>2</v>
      </c>
      <c r="CK79">
        <v>2</v>
      </c>
      <c r="CL79">
        <v>2</v>
      </c>
      <c r="CM79">
        <v>3</v>
      </c>
      <c r="CN79">
        <v>3</v>
      </c>
      <c r="CO79">
        <v>2</v>
      </c>
      <c r="CP79">
        <v>2</v>
      </c>
      <c r="CQ79">
        <v>3</v>
      </c>
      <c r="CR79">
        <v>3</v>
      </c>
      <c r="CS79">
        <v>3</v>
      </c>
      <c r="CT79">
        <v>4</v>
      </c>
      <c r="CU79">
        <v>4</v>
      </c>
      <c r="CV79">
        <v>3</v>
      </c>
      <c r="CW79">
        <v>2</v>
      </c>
      <c r="CX79">
        <v>2</v>
      </c>
      <c r="CY79">
        <v>3</v>
      </c>
      <c r="DA79">
        <v>2</v>
      </c>
      <c r="DB79">
        <v>2</v>
      </c>
      <c r="DC79">
        <v>2</v>
      </c>
      <c r="DD79">
        <v>2</v>
      </c>
      <c r="DE79">
        <v>2</v>
      </c>
      <c r="DF79">
        <v>2</v>
      </c>
      <c r="DG79">
        <v>1</v>
      </c>
      <c r="DH79">
        <v>1</v>
      </c>
      <c r="DI79">
        <v>1</v>
      </c>
      <c r="DJ79">
        <v>4</v>
      </c>
      <c r="DK79">
        <v>1</v>
      </c>
      <c r="DL79">
        <v>1</v>
      </c>
      <c r="DM79">
        <v>1</v>
      </c>
      <c r="DN79">
        <v>1</v>
      </c>
      <c r="DO79">
        <v>1</v>
      </c>
      <c r="DP79">
        <v>1</v>
      </c>
      <c r="DQ79">
        <v>4</v>
      </c>
      <c r="DR79">
        <v>1</v>
      </c>
      <c r="DS79">
        <v>3</v>
      </c>
      <c r="DT79">
        <v>3</v>
      </c>
      <c r="DU79">
        <v>4</v>
      </c>
      <c r="DV79">
        <v>3</v>
      </c>
      <c r="DW79">
        <v>3</v>
      </c>
      <c r="DY79">
        <v>3</v>
      </c>
      <c r="DZ79">
        <v>3</v>
      </c>
      <c r="EC79">
        <v>3</v>
      </c>
      <c r="ED79">
        <v>3</v>
      </c>
      <c r="EE79">
        <v>3</v>
      </c>
      <c r="EF79">
        <v>5</v>
      </c>
      <c r="EH79">
        <v>1</v>
      </c>
      <c r="EI79">
        <v>4</v>
      </c>
    </row>
    <row r="80" spans="1:139" x14ac:dyDescent="0.2">
      <c r="A80" t="str">
        <f t="shared" si="1"/>
        <v>Sich Verstecken</v>
      </c>
      <c r="BV80">
        <v>2</v>
      </c>
      <c r="BY80">
        <v>2</v>
      </c>
      <c r="CD80">
        <v>1</v>
      </c>
      <c r="CR80">
        <v>2</v>
      </c>
      <c r="CS80">
        <v>3</v>
      </c>
      <c r="CT80">
        <v>2</v>
      </c>
      <c r="DE80">
        <v>2</v>
      </c>
      <c r="DF80">
        <v>2</v>
      </c>
      <c r="DG80">
        <v>1</v>
      </c>
      <c r="DH80">
        <v>1</v>
      </c>
      <c r="DI80">
        <v>1</v>
      </c>
      <c r="DJ80">
        <v>1</v>
      </c>
      <c r="DK80">
        <v>1</v>
      </c>
      <c r="DL80">
        <v>1</v>
      </c>
      <c r="DM80">
        <v>1</v>
      </c>
      <c r="DN80">
        <v>2</v>
      </c>
      <c r="DO80">
        <v>1</v>
      </c>
      <c r="DP80">
        <v>1</v>
      </c>
      <c r="DQ80">
        <v>1</v>
      </c>
      <c r="DR80">
        <v>1</v>
      </c>
      <c r="DS80">
        <v>4</v>
      </c>
      <c r="DT80">
        <v>1</v>
      </c>
      <c r="DU80">
        <v>2</v>
      </c>
      <c r="DV80">
        <v>2</v>
      </c>
      <c r="DW80">
        <v>2</v>
      </c>
      <c r="DY80">
        <v>2</v>
      </c>
      <c r="DZ80">
        <v>2</v>
      </c>
      <c r="EA80">
        <v>5</v>
      </c>
      <c r="EB80">
        <v>1</v>
      </c>
      <c r="EC80">
        <v>5</v>
      </c>
      <c r="ED80">
        <v>5</v>
      </c>
      <c r="EE80">
        <v>2</v>
      </c>
      <c r="EH80">
        <v>1</v>
      </c>
    </row>
    <row r="81" spans="1:139" x14ac:dyDescent="0.2">
      <c r="A81" t="str">
        <f t="shared" si="1"/>
        <v>Singen</v>
      </c>
      <c r="BW81">
        <v>3</v>
      </c>
      <c r="CE81">
        <v>1</v>
      </c>
      <c r="CF81">
        <v>1</v>
      </c>
      <c r="CG81">
        <v>1</v>
      </c>
      <c r="CH81">
        <v>1</v>
      </c>
      <c r="CI81">
        <v>1</v>
      </c>
      <c r="CJ81">
        <v>1</v>
      </c>
      <c r="CK81">
        <v>1</v>
      </c>
      <c r="CL81">
        <v>1</v>
      </c>
      <c r="CM81">
        <v>2</v>
      </c>
      <c r="CN81">
        <v>2</v>
      </c>
      <c r="CO81">
        <v>2</v>
      </c>
      <c r="CP81">
        <v>2</v>
      </c>
      <c r="CZ81">
        <v>1</v>
      </c>
      <c r="DA81">
        <v>1</v>
      </c>
      <c r="DB81">
        <v>1</v>
      </c>
      <c r="DC81">
        <v>1</v>
      </c>
      <c r="DD81">
        <v>1</v>
      </c>
      <c r="DE81">
        <v>1</v>
      </c>
      <c r="DF81">
        <v>1</v>
      </c>
    </row>
    <row r="82" spans="1:139" x14ac:dyDescent="0.2">
      <c r="A82" t="str">
        <f t="shared" si="1"/>
        <v>Sinnenschärfe</v>
      </c>
      <c r="C82">
        <v>2</v>
      </c>
      <c r="F82">
        <v>2</v>
      </c>
      <c r="H82">
        <v>4</v>
      </c>
      <c r="I82">
        <v>4</v>
      </c>
      <c r="J82">
        <v>4</v>
      </c>
      <c r="K82">
        <v>3</v>
      </c>
      <c r="L82">
        <v>3</v>
      </c>
      <c r="M82">
        <v>3</v>
      </c>
      <c r="N82">
        <v>3</v>
      </c>
      <c r="O82">
        <v>3</v>
      </c>
      <c r="P82">
        <v>3</v>
      </c>
      <c r="Q82">
        <v>3</v>
      </c>
      <c r="R82">
        <v>3</v>
      </c>
      <c r="S82">
        <v>3</v>
      </c>
      <c r="T82">
        <v>4</v>
      </c>
      <c r="U82">
        <v>4</v>
      </c>
      <c r="V82">
        <v>4</v>
      </c>
      <c r="W82">
        <v>4</v>
      </c>
      <c r="X82">
        <v>4</v>
      </c>
      <c r="Y82">
        <v>4</v>
      </c>
      <c r="Z82">
        <v>3</v>
      </c>
      <c r="AA82">
        <v>3</v>
      </c>
      <c r="AB82">
        <v>3</v>
      </c>
      <c r="AC82">
        <v>3</v>
      </c>
      <c r="AD82">
        <v>2</v>
      </c>
      <c r="AE82">
        <v>3</v>
      </c>
      <c r="AF82">
        <v>3</v>
      </c>
      <c r="AG82">
        <v>3</v>
      </c>
      <c r="AH82">
        <v>3</v>
      </c>
      <c r="AI82">
        <v>3</v>
      </c>
      <c r="AJ82">
        <v>2</v>
      </c>
      <c r="AK82">
        <v>2</v>
      </c>
      <c r="AL82">
        <v>2</v>
      </c>
      <c r="AM82">
        <v>2</v>
      </c>
      <c r="AN82">
        <v>2</v>
      </c>
      <c r="AO82">
        <v>2</v>
      </c>
      <c r="AP82">
        <v>2</v>
      </c>
      <c r="AQ82">
        <v>3</v>
      </c>
      <c r="AR82">
        <v>1</v>
      </c>
      <c r="AS82">
        <v>2</v>
      </c>
      <c r="AT82">
        <v>1</v>
      </c>
      <c r="AU82">
        <v>2</v>
      </c>
      <c r="AV82">
        <v>2</v>
      </c>
      <c r="AW82">
        <v>2</v>
      </c>
      <c r="AX82">
        <v>2</v>
      </c>
      <c r="AY82">
        <v>2</v>
      </c>
      <c r="AZ82">
        <v>2</v>
      </c>
      <c r="BA82">
        <v>2</v>
      </c>
      <c r="BB82">
        <v>3</v>
      </c>
      <c r="BC82">
        <v>2</v>
      </c>
      <c r="BD82">
        <v>2</v>
      </c>
      <c r="BE82">
        <v>2</v>
      </c>
      <c r="BF82">
        <v>2</v>
      </c>
      <c r="BG82">
        <v>3</v>
      </c>
      <c r="BH82">
        <v>3</v>
      </c>
      <c r="BI82">
        <v>3</v>
      </c>
      <c r="BJ82">
        <v>5</v>
      </c>
      <c r="BK82">
        <v>3</v>
      </c>
      <c r="BL82">
        <v>4</v>
      </c>
      <c r="BM82">
        <v>4</v>
      </c>
      <c r="BN82">
        <v>2</v>
      </c>
      <c r="BO82">
        <v>2</v>
      </c>
      <c r="BP82">
        <v>2</v>
      </c>
      <c r="BQ82">
        <v>2</v>
      </c>
      <c r="BR82">
        <v>2</v>
      </c>
      <c r="BS82">
        <v>2</v>
      </c>
      <c r="BT82">
        <v>2</v>
      </c>
      <c r="BU82">
        <v>3</v>
      </c>
      <c r="BV82">
        <v>3</v>
      </c>
      <c r="BW82">
        <v>5</v>
      </c>
      <c r="BX82">
        <v>2</v>
      </c>
      <c r="BY82">
        <v>3</v>
      </c>
      <c r="BZ82">
        <v>2</v>
      </c>
      <c r="CA82">
        <v>2</v>
      </c>
      <c r="CB82">
        <v>4</v>
      </c>
      <c r="CC82">
        <v>3</v>
      </c>
      <c r="CD82">
        <v>3</v>
      </c>
      <c r="CE82">
        <v>2</v>
      </c>
      <c r="CF82">
        <v>2</v>
      </c>
      <c r="CG82">
        <v>2</v>
      </c>
      <c r="CH82">
        <v>2</v>
      </c>
      <c r="CI82">
        <v>2</v>
      </c>
      <c r="CJ82">
        <v>2</v>
      </c>
      <c r="CK82">
        <v>4</v>
      </c>
      <c r="CL82">
        <v>4</v>
      </c>
      <c r="CM82">
        <v>2</v>
      </c>
      <c r="CN82">
        <v>2</v>
      </c>
      <c r="CO82">
        <v>3</v>
      </c>
      <c r="CP82">
        <v>3</v>
      </c>
      <c r="CT82">
        <v>3</v>
      </c>
      <c r="CW82">
        <v>4</v>
      </c>
      <c r="CY82">
        <v>2</v>
      </c>
      <c r="CZ82">
        <v>1</v>
      </c>
      <c r="DA82">
        <v>2</v>
      </c>
      <c r="DB82">
        <v>2</v>
      </c>
      <c r="DC82">
        <v>2</v>
      </c>
      <c r="DD82">
        <v>2</v>
      </c>
      <c r="DE82">
        <v>4</v>
      </c>
      <c r="DF82">
        <v>4</v>
      </c>
      <c r="DQ82">
        <v>4</v>
      </c>
      <c r="DR82">
        <v>1</v>
      </c>
      <c r="DS82">
        <v>3</v>
      </c>
      <c r="DT82">
        <v>3</v>
      </c>
      <c r="DV82">
        <v>3</v>
      </c>
      <c r="DW82">
        <v>2</v>
      </c>
      <c r="DX82">
        <v>3</v>
      </c>
      <c r="DY82">
        <v>3</v>
      </c>
      <c r="DZ82">
        <v>3</v>
      </c>
      <c r="EA82">
        <v>1</v>
      </c>
      <c r="EB82">
        <v>3</v>
      </c>
      <c r="EC82">
        <v>2</v>
      </c>
      <c r="ED82">
        <v>2</v>
      </c>
      <c r="EE82">
        <v>3</v>
      </c>
      <c r="EF82">
        <v>2</v>
      </c>
      <c r="EI82">
        <v>2</v>
      </c>
    </row>
    <row r="83" spans="1:139" x14ac:dyDescent="0.2">
      <c r="A83" t="str">
        <f t="shared" si="1"/>
        <v>Skifahren</v>
      </c>
      <c r="BB83">
        <v>3</v>
      </c>
      <c r="BK83">
        <v>2</v>
      </c>
      <c r="DE83">
        <v>3</v>
      </c>
      <c r="DF83">
        <v>3</v>
      </c>
      <c r="EE83">
        <v>1</v>
      </c>
    </row>
    <row r="84" spans="1:139" x14ac:dyDescent="0.2">
      <c r="A84" t="str">
        <f t="shared" si="1"/>
        <v>Stimmen imitieren</v>
      </c>
    </row>
    <row r="85" spans="1:139" x14ac:dyDescent="0.2">
      <c r="A85" t="str">
        <f t="shared" si="1"/>
        <v>Tanzen</v>
      </c>
      <c r="F85">
        <v>2</v>
      </c>
      <c r="J85">
        <v>2</v>
      </c>
      <c r="L85">
        <v>3</v>
      </c>
      <c r="N85">
        <v>3</v>
      </c>
      <c r="O85">
        <v>3</v>
      </c>
      <c r="Q85">
        <v>3</v>
      </c>
      <c r="R85">
        <v>3</v>
      </c>
      <c r="S85">
        <v>3</v>
      </c>
      <c r="T85">
        <v>2</v>
      </c>
      <c r="U85">
        <v>2</v>
      </c>
      <c r="V85">
        <v>2</v>
      </c>
      <c r="W85">
        <v>2</v>
      </c>
      <c r="X85">
        <v>2</v>
      </c>
      <c r="Y85">
        <v>2</v>
      </c>
      <c r="Z85">
        <v>2</v>
      </c>
      <c r="AA85">
        <v>2</v>
      </c>
      <c r="AJ85">
        <v>2</v>
      </c>
      <c r="AL85">
        <v>2</v>
      </c>
      <c r="AY85">
        <v>3</v>
      </c>
      <c r="BC85">
        <v>2</v>
      </c>
      <c r="BN85">
        <v>2</v>
      </c>
      <c r="BQ85">
        <v>1</v>
      </c>
      <c r="BR85">
        <v>1</v>
      </c>
      <c r="BS85">
        <v>2</v>
      </c>
      <c r="BT85">
        <v>1</v>
      </c>
      <c r="BV85">
        <v>3</v>
      </c>
      <c r="BW85">
        <v>4</v>
      </c>
      <c r="BX85">
        <v>1</v>
      </c>
      <c r="BY85">
        <v>1</v>
      </c>
      <c r="BZ85">
        <v>1</v>
      </c>
      <c r="CA85">
        <v>1</v>
      </c>
      <c r="DQ85">
        <v>1</v>
      </c>
      <c r="DY85">
        <v>2</v>
      </c>
      <c r="DZ85">
        <v>2</v>
      </c>
      <c r="EI85">
        <v>1</v>
      </c>
    </row>
    <row r="86" spans="1:139" x14ac:dyDescent="0.2">
      <c r="A86" t="str">
        <f t="shared" si="1"/>
        <v>Taschendiebstahl</v>
      </c>
    </row>
    <row r="87" spans="1:139" x14ac:dyDescent="0.2">
      <c r="A87" t="str">
        <f t="shared" si="1"/>
        <v>Zechen</v>
      </c>
      <c r="D87">
        <v>3</v>
      </c>
      <c r="E87">
        <v>3</v>
      </c>
      <c r="F87">
        <v>2</v>
      </c>
      <c r="G87">
        <v>2</v>
      </c>
      <c r="H87">
        <v>1</v>
      </c>
      <c r="I87">
        <v>1</v>
      </c>
      <c r="J87">
        <v>1</v>
      </c>
      <c r="K87">
        <v>1</v>
      </c>
      <c r="L87">
        <v>1</v>
      </c>
      <c r="M87">
        <v>1</v>
      </c>
      <c r="N87">
        <v>1</v>
      </c>
      <c r="O87">
        <v>1</v>
      </c>
      <c r="Q87">
        <v>1</v>
      </c>
      <c r="S87">
        <v>1</v>
      </c>
      <c r="T87">
        <v>2</v>
      </c>
      <c r="U87">
        <v>2</v>
      </c>
      <c r="V87">
        <v>2</v>
      </c>
      <c r="W87">
        <v>2</v>
      </c>
      <c r="X87">
        <v>2</v>
      </c>
      <c r="Y87">
        <v>2</v>
      </c>
      <c r="AB87">
        <v>2</v>
      </c>
      <c r="AC87">
        <v>2</v>
      </c>
      <c r="AD87">
        <v>1</v>
      </c>
      <c r="AE87">
        <v>2</v>
      </c>
      <c r="AF87">
        <v>2</v>
      </c>
      <c r="AG87">
        <v>3</v>
      </c>
      <c r="AH87">
        <v>2</v>
      </c>
      <c r="AI87">
        <v>2</v>
      </c>
      <c r="AK87">
        <v>2</v>
      </c>
      <c r="AM87">
        <v>2</v>
      </c>
      <c r="AN87">
        <v>2</v>
      </c>
      <c r="AO87">
        <v>1</v>
      </c>
      <c r="AR87">
        <v>3</v>
      </c>
      <c r="AX87">
        <v>1</v>
      </c>
      <c r="BB87">
        <v>3</v>
      </c>
      <c r="BD87">
        <v>3</v>
      </c>
      <c r="BE87">
        <v>1</v>
      </c>
      <c r="BG87">
        <v>1</v>
      </c>
      <c r="BH87">
        <v>1</v>
      </c>
      <c r="BI87">
        <v>1</v>
      </c>
      <c r="BJ87">
        <v>1</v>
      </c>
      <c r="BK87">
        <v>1</v>
      </c>
      <c r="BL87">
        <v>1</v>
      </c>
      <c r="BM87">
        <v>1</v>
      </c>
      <c r="BO87">
        <v>2</v>
      </c>
      <c r="BP87">
        <v>1</v>
      </c>
      <c r="BQ87">
        <v>1</v>
      </c>
      <c r="BR87">
        <v>2</v>
      </c>
      <c r="BS87">
        <v>2</v>
      </c>
      <c r="BT87">
        <v>1</v>
      </c>
      <c r="BU87">
        <v>1</v>
      </c>
      <c r="BV87">
        <v>1</v>
      </c>
      <c r="BW87">
        <v>1</v>
      </c>
      <c r="BX87">
        <v>1</v>
      </c>
      <c r="BY87">
        <v>1</v>
      </c>
      <c r="BZ87">
        <v>1</v>
      </c>
      <c r="CA87">
        <v>1</v>
      </c>
      <c r="CB87">
        <v>3</v>
      </c>
      <c r="CC87">
        <v>3</v>
      </c>
      <c r="CD87">
        <v>3</v>
      </c>
      <c r="CE87">
        <v>1</v>
      </c>
      <c r="CF87">
        <v>1</v>
      </c>
      <c r="CG87">
        <v>1</v>
      </c>
      <c r="CH87">
        <v>1</v>
      </c>
      <c r="CI87">
        <v>1</v>
      </c>
      <c r="CJ87">
        <v>1</v>
      </c>
      <c r="CK87">
        <v>1</v>
      </c>
      <c r="CL87">
        <v>1</v>
      </c>
      <c r="CM87">
        <v>1</v>
      </c>
      <c r="CN87">
        <v>1</v>
      </c>
      <c r="CO87">
        <v>1</v>
      </c>
      <c r="CP87">
        <v>1</v>
      </c>
      <c r="CQ87">
        <v>3</v>
      </c>
      <c r="CR87">
        <v>3</v>
      </c>
      <c r="CS87">
        <v>4</v>
      </c>
      <c r="CT87">
        <v>3</v>
      </c>
      <c r="CU87">
        <v>3</v>
      </c>
      <c r="CV87">
        <v>3</v>
      </c>
      <c r="CW87">
        <v>3</v>
      </c>
      <c r="CX87">
        <v>3</v>
      </c>
      <c r="CY87">
        <v>3</v>
      </c>
      <c r="CZ87">
        <v>3</v>
      </c>
      <c r="DA87">
        <v>1</v>
      </c>
      <c r="DB87">
        <v>1</v>
      </c>
      <c r="DC87">
        <v>1</v>
      </c>
      <c r="DD87">
        <v>1</v>
      </c>
      <c r="DE87">
        <v>1</v>
      </c>
      <c r="DF87">
        <v>1</v>
      </c>
      <c r="DG87">
        <v>3</v>
      </c>
      <c r="DH87">
        <v>3</v>
      </c>
      <c r="DI87">
        <v>3</v>
      </c>
      <c r="DJ87">
        <v>3</v>
      </c>
      <c r="DK87">
        <v>3</v>
      </c>
      <c r="DL87">
        <v>3</v>
      </c>
      <c r="DM87">
        <v>3</v>
      </c>
      <c r="DN87">
        <v>4</v>
      </c>
      <c r="DO87">
        <v>3</v>
      </c>
      <c r="DP87">
        <v>2</v>
      </c>
      <c r="DQ87">
        <v>3</v>
      </c>
      <c r="DR87">
        <v>3</v>
      </c>
      <c r="DW87">
        <v>2</v>
      </c>
      <c r="DY87">
        <v>3</v>
      </c>
      <c r="DZ87">
        <v>3</v>
      </c>
      <c r="EE87">
        <v>3</v>
      </c>
      <c r="EG87">
        <v>3</v>
      </c>
      <c r="EH87">
        <v>3</v>
      </c>
      <c r="EI87">
        <v>1</v>
      </c>
    </row>
    <row r="88" spans="1:139" ht="12.75" customHeight="1" x14ac:dyDescent="0.2">
      <c r="A88" t="str">
        <f>INDEX(TL_GES,ROW()-87)</f>
        <v>Betören</v>
      </c>
      <c r="B88" t="s">
        <v>3310</v>
      </c>
      <c r="BQ88">
        <v>1</v>
      </c>
      <c r="BR88">
        <v>1</v>
      </c>
      <c r="BS88">
        <v>2</v>
      </c>
      <c r="BT88">
        <v>1</v>
      </c>
      <c r="BU88">
        <v>2</v>
      </c>
      <c r="BV88">
        <v>1</v>
      </c>
      <c r="BW88">
        <v>3</v>
      </c>
      <c r="BX88">
        <v>1</v>
      </c>
      <c r="BY88">
        <v>1</v>
      </c>
      <c r="BZ88">
        <v>2</v>
      </c>
      <c r="CA88">
        <v>1</v>
      </c>
      <c r="EI88">
        <v>1</v>
      </c>
    </row>
    <row r="89" spans="1:139" x14ac:dyDescent="0.2">
      <c r="A89" t="str">
        <f t="shared" ref="A89:A98" si="2">INDEX(TL_GES,ROW()-87)</f>
        <v>Etikette</v>
      </c>
      <c r="F89">
        <v>2</v>
      </c>
      <c r="H89">
        <v>4</v>
      </c>
      <c r="I89">
        <v>4</v>
      </c>
      <c r="J89">
        <v>3</v>
      </c>
      <c r="K89">
        <v>4</v>
      </c>
      <c r="L89">
        <v>5</v>
      </c>
      <c r="M89">
        <v>4</v>
      </c>
      <c r="N89">
        <v>5</v>
      </c>
      <c r="O89">
        <v>5</v>
      </c>
      <c r="P89">
        <v>3</v>
      </c>
      <c r="Q89">
        <v>5</v>
      </c>
      <c r="R89">
        <v>5</v>
      </c>
      <c r="S89">
        <v>5</v>
      </c>
      <c r="T89">
        <v>4</v>
      </c>
      <c r="U89">
        <v>4</v>
      </c>
      <c r="V89">
        <v>4</v>
      </c>
      <c r="W89">
        <v>4</v>
      </c>
      <c r="X89">
        <v>4</v>
      </c>
      <c r="Y89">
        <v>4</v>
      </c>
      <c r="Z89">
        <v>5</v>
      </c>
      <c r="AA89">
        <v>5</v>
      </c>
      <c r="AB89">
        <v>3</v>
      </c>
      <c r="AC89">
        <v>1</v>
      </c>
      <c r="AE89">
        <v>3</v>
      </c>
      <c r="AF89">
        <v>2</v>
      </c>
      <c r="AG89">
        <v>1</v>
      </c>
      <c r="AH89">
        <v>3</v>
      </c>
      <c r="AI89">
        <v>3</v>
      </c>
      <c r="AJ89">
        <v>5</v>
      </c>
      <c r="AK89">
        <v>4</v>
      </c>
      <c r="AL89">
        <v>4</v>
      </c>
      <c r="AM89">
        <v>3</v>
      </c>
      <c r="AN89">
        <v>3</v>
      </c>
      <c r="AO89">
        <v>3</v>
      </c>
      <c r="AP89">
        <v>3</v>
      </c>
      <c r="AQ89">
        <v>3</v>
      </c>
      <c r="AR89">
        <v>3</v>
      </c>
      <c r="AS89">
        <v>2</v>
      </c>
      <c r="AT89">
        <v>4</v>
      </c>
      <c r="AU89">
        <v>4</v>
      </c>
      <c r="AV89">
        <v>5</v>
      </c>
      <c r="AW89">
        <v>4</v>
      </c>
      <c r="AX89">
        <v>3</v>
      </c>
      <c r="AY89">
        <v>3</v>
      </c>
      <c r="AZ89">
        <v>2</v>
      </c>
      <c r="BA89">
        <v>3</v>
      </c>
      <c r="BB89">
        <v>2</v>
      </c>
      <c r="BC89">
        <v>4</v>
      </c>
      <c r="BD89">
        <v>1</v>
      </c>
      <c r="BE89">
        <v>3</v>
      </c>
      <c r="BF89">
        <v>4</v>
      </c>
      <c r="BG89">
        <v>1</v>
      </c>
      <c r="BH89">
        <v>1</v>
      </c>
      <c r="BI89">
        <v>1</v>
      </c>
      <c r="BJ89">
        <v>1</v>
      </c>
      <c r="BK89">
        <v>1</v>
      </c>
      <c r="BL89">
        <v>1</v>
      </c>
      <c r="BM89">
        <v>1</v>
      </c>
      <c r="BN89">
        <v>4</v>
      </c>
      <c r="BO89">
        <v>3</v>
      </c>
      <c r="BP89">
        <v>2</v>
      </c>
      <c r="BQ89">
        <v>4</v>
      </c>
      <c r="BR89">
        <v>4</v>
      </c>
      <c r="BS89">
        <v>5</v>
      </c>
      <c r="BT89">
        <v>4</v>
      </c>
      <c r="BU89">
        <v>4</v>
      </c>
      <c r="BV89">
        <v>4</v>
      </c>
      <c r="BW89">
        <v>5</v>
      </c>
      <c r="BX89">
        <v>3</v>
      </c>
      <c r="BY89">
        <v>4</v>
      </c>
      <c r="BZ89">
        <v>5</v>
      </c>
      <c r="CA89">
        <v>4</v>
      </c>
      <c r="CB89">
        <v>2</v>
      </c>
      <c r="CC89">
        <v>2</v>
      </c>
      <c r="CD89">
        <v>2</v>
      </c>
      <c r="CQ89">
        <v>2</v>
      </c>
      <c r="CR89">
        <v>2</v>
      </c>
      <c r="CS89">
        <v>2</v>
      </c>
      <c r="CT89">
        <v>2</v>
      </c>
      <c r="CU89">
        <v>2</v>
      </c>
      <c r="CV89">
        <v>2</v>
      </c>
      <c r="CW89">
        <v>2</v>
      </c>
      <c r="CX89">
        <v>2</v>
      </c>
      <c r="CY89">
        <v>2</v>
      </c>
      <c r="DQ89">
        <v>3</v>
      </c>
      <c r="ED89">
        <v>2</v>
      </c>
      <c r="EF89">
        <v>3</v>
      </c>
      <c r="EG89">
        <v>2</v>
      </c>
      <c r="EI89">
        <v>4</v>
      </c>
    </row>
    <row r="90" spans="1:139" x14ac:dyDescent="0.2">
      <c r="A90" t="str">
        <f t="shared" si="2"/>
        <v>Galanterie</v>
      </c>
    </row>
    <row r="91" spans="1:139" x14ac:dyDescent="0.2">
      <c r="A91" t="str">
        <f t="shared" si="2"/>
        <v>Gassenwissen</v>
      </c>
      <c r="E91">
        <v>1</v>
      </c>
      <c r="G91">
        <v>3</v>
      </c>
      <c r="AB91">
        <v>3</v>
      </c>
      <c r="AC91">
        <v>2</v>
      </c>
      <c r="AD91">
        <v>3</v>
      </c>
      <c r="AE91">
        <v>3</v>
      </c>
      <c r="AG91">
        <v>1</v>
      </c>
      <c r="AH91">
        <v>2</v>
      </c>
      <c r="BM91">
        <v>1</v>
      </c>
      <c r="CO91">
        <v>1</v>
      </c>
      <c r="CP91">
        <v>1</v>
      </c>
      <c r="DG91">
        <v>1</v>
      </c>
      <c r="DH91">
        <v>1</v>
      </c>
      <c r="DI91">
        <v>1</v>
      </c>
      <c r="DJ91">
        <v>1</v>
      </c>
      <c r="DK91">
        <v>1</v>
      </c>
      <c r="DL91">
        <v>1</v>
      </c>
      <c r="DM91">
        <v>1</v>
      </c>
      <c r="DN91">
        <v>1</v>
      </c>
      <c r="DO91">
        <v>1</v>
      </c>
      <c r="DQ91">
        <v>1</v>
      </c>
      <c r="EH91">
        <v>1</v>
      </c>
    </row>
    <row r="92" spans="1:139" x14ac:dyDescent="0.2">
      <c r="A92" t="str">
        <f t="shared" si="2"/>
        <v>Lehren</v>
      </c>
      <c r="H92">
        <v>4</v>
      </c>
      <c r="I92">
        <v>4</v>
      </c>
      <c r="J92">
        <v>4</v>
      </c>
      <c r="K92">
        <v>4</v>
      </c>
      <c r="L92">
        <v>4</v>
      </c>
      <c r="M92">
        <v>4</v>
      </c>
      <c r="N92">
        <v>4</v>
      </c>
      <c r="O92">
        <v>4</v>
      </c>
      <c r="P92">
        <v>4</v>
      </c>
      <c r="Q92">
        <v>4</v>
      </c>
      <c r="R92">
        <v>4</v>
      </c>
      <c r="S92">
        <v>4</v>
      </c>
      <c r="T92">
        <v>4</v>
      </c>
      <c r="U92">
        <v>4</v>
      </c>
      <c r="V92">
        <v>4</v>
      </c>
      <c r="W92">
        <v>4</v>
      </c>
      <c r="X92">
        <v>4</v>
      </c>
      <c r="Y92">
        <v>4</v>
      </c>
      <c r="Z92">
        <v>4</v>
      </c>
      <c r="AA92">
        <v>4</v>
      </c>
      <c r="AJ92">
        <v>1</v>
      </c>
      <c r="AK92">
        <v>1</v>
      </c>
      <c r="AL92">
        <v>1</v>
      </c>
      <c r="AM92">
        <v>1</v>
      </c>
      <c r="AN92">
        <v>1</v>
      </c>
      <c r="AQ92">
        <v>4</v>
      </c>
      <c r="BA92">
        <v>2</v>
      </c>
      <c r="BG92">
        <v>2</v>
      </c>
      <c r="BH92">
        <v>2</v>
      </c>
      <c r="BI92">
        <v>2</v>
      </c>
      <c r="BJ92">
        <v>2</v>
      </c>
      <c r="BK92">
        <v>2</v>
      </c>
      <c r="BL92">
        <v>2</v>
      </c>
      <c r="BM92">
        <v>2</v>
      </c>
      <c r="BQ92">
        <v>2</v>
      </c>
      <c r="BR92">
        <v>1</v>
      </c>
      <c r="BS92">
        <v>1</v>
      </c>
      <c r="BT92">
        <v>1</v>
      </c>
      <c r="BU92">
        <v>1</v>
      </c>
      <c r="BV92">
        <v>1</v>
      </c>
      <c r="BW92">
        <v>1</v>
      </c>
      <c r="BX92">
        <v>1</v>
      </c>
      <c r="BY92">
        <v>1</v>
      </c>
      <c r="BZ92">
        <v>1</v>
      </c>
      <c r="CA92">
        <v>1</v>
      </c>
      <c r="EI92">
        <v>1</v>
      </c>
    </row>
    <row r="93" spans="1:139" x14ac:dyDescent="0.2">
      <c r="A93" t="str">
        <f t="shared" si="2"/>
        <v>Menschenkenntnis</v>
      </c>
      <c r="D93">
        <v>1</v>
      </c>
      <c r="E93">
        <v>1</v>
      </c>
      <c r="F93">
        <v>3</v>
      </c>
      <c r="G93">
        <v>3</v>
      </c>
      <c r="H93">
        <v>5</v>
      </c>
      <c r="I93">
        <v>4</v>
      </c>
      <c r="J93">
        <v>4</v>
      </c>
      <c r="K93">
        <v>5</v>
      </c>
      <c r="L93">
        <v>5</v>
      </c>
      <c r="M93">
        <v>5</v>
      </c>
      <c r="N93">
        <v>5</v>
      </c>
      <c r="O93">
        <v>4</v>
      </c>
      <c r="P93">
        <v>4</v>
      </c>
      <c r="Q93">
        <v>4</v>
      </c>
      <c r="R93">
        <v>5</v>
      </c>
      <c r="S93">
        <v>4</v>
      </c>
      <c r="T93">
        <v>5</v>
      </c>
      <c r="U93">
        <v>5</v>
      </c>
      <c r="V93">
        <v>5</v>
      </c>
      <c r="W93">
        <v>5</v>
      </c>
      <c r="X93">
        <v>5</v>
      </c>
      <c r="Y93">
        <v>5</v>
      </c>
      <c r="Z93">
        <v>5</v>
      </c>
      <c r="AA93">
        <v>5</v>
      </c>
      <c r="AB93">
        <v>4</v>
      </c>
      <c r="AC93">
        <v>4</v>
      </c>
      <c r="AD93">
        <v>3</v>
      </c>
      <c r="AE93">
        <v>4</v>
      </c>
      <c r="AF93">
        <v>4</v>
      </c>
      <c r="AG93">
        <v>4</v>
      </c>
      <c r="AH93">
        <v>4</v>
      </c>
      <c r="AI93">
        <v>3</v>
      </c>
      <c r="AJ93">
        <v>4</v>
      </c>
      <c r="AK93">
        <v>2</v>
      </c>
      <c r="AL93">
        <v>2</v>
      </c>
      <c r="AM93">
        <v>1</v>
      </c>
      <c r="AN93">
        <v>1</v>
      </c>
      <c r="AQ93">
        <v>4</v>
      </c>
      <c r="AZ93">
        <v>1</v>
      </c>
      <c r="BC93">
        <v>2</v>
      </c>
      <c r="BD93">
        <v>1</v>
      </c>
      <c r="BN93">
        <v>4</v>
      </c>
      <c r="BQ93">
        <v>4</v>
      </c>
      <c r="BR93">
        <v>5</v>
      </c>
      <c r="BS93">
        <v>4</v>
      </c>
      <c r="BT93">
        <v>4</v>
      </c>
      <c r="BU93">
        <v>4</v>
      </c>
      <c r="BV93">
        <v>4</v>
      </c>
      <c r="BW93">
        <v>4</v>
      </c>
      <c r="BX93">
        <v>4</v>
      </c>
      <c r="BY93">
        <v>4</v>
      </c>
      <c r="BZ93">
        <v>4</v>
      </c>
      <c r="CA93">
        <v>4</v>
      </c>
      <c r="CB93">
        <v>2</v>
      </c>
      <c r="CC93">
        <v>2</v>
      </c>
      <c r="CD93">
        <v>2</v>
      </c>
      <c r="CE93">
        <v>1</v>
      </c>
      <c r="CF93">
        <v>1</v>
      </c>
      <c r="CG93">
        <v>1</v>
      </c>
      <c r="CH93">
        <v>1</v>
      </c>
      <c r="CI93">
        <v>1</v>
      </c>
      <c r="CJ93">
        <v>1</v>
      </c>
      <c r="CK93">
        <v>1</v>
      </c>
      <c r="CL93">
        <v>1</v>
      </c>
      <c r="CM93">
        <v>1</v>
      </c>
      <c r="CN93">
        <v>1</v>
      </c>
      <c r="CO93">
        <v>1</v>
      </c>
      <c r="CP93">
        <v>1</v>
      </c>
      <c r="CQ93">
        <v>2</v>
      </c>
      <c r="CR93">
        <v>2</v>
      </c>
      <c r="CS93">
        <v>2</v>
      </c>
      <c r="CT93">
        <v>2</v>
      </c>
      <c r="CU93">
        <v>2</v>
      </c>
      <c r="CV93">
        <v>2</v>
      </c>
      <c r="CW93">
        <v>2</v>
      </c>
      <c r="CX93">
        <v>2</v>
      </c>
      <c r="CY93">
        <v>2</v>
      </c>
      <c r="CZ93">
        <v>2</v>
      </c>
      <c r="DA93">
        <v>1</v>
      </c>
      <c r="DB93">
        <v>1</v>
      </c>
      <c r="DC93">
        <v>1</v>
      </c>
      <c r="DD93">
        <v>1</v>
      </c>
      <c r="DE93">
        <v>1</v>
      </c>
      <c r="DF93">
        <v>1</v>
      </c>
      <c r="DG93">
        <v>2</v>
      </c>
      <c r="DH93">
        <v>2</v>
      </c>
      <c r="DI93">
        <v>2</v>
      </c>
      <c r="DJ93">
        <v>2</v>
      </c>
      <c r="DK93">
        <v>2</v>
      </c>
      <c r="DL93">
        <v>2</v>
      </c>
      <c r="DM93">
        <v>2</v>
      </c>
      <c r="DN93">
        <v>2</v>
      </c>
      <c r="DO93">
        <v>2</v>
      </c>
      <c r="DQ93">
        <v>4</v>
      </c>
      <c r="DR93">
        <v>3</v>
      </c>
      <c r="ED93">
        <v>1</v>
      </c>
      <c r="EE93">
        <v>1</v>
      </c>
      <c r="EG93">
        <v>2</v>
      </c>
      <c r="EH93">
        <v>2</v>
      </c>
      <c r="EI93">
        <v>4</v>
      </c>
    </row>
    <row r="94" spans="1:139" x14ac:dyDescent="0.2">
      <c r="A94" t="str">
        <f t="shared" si="2"/>
        <v>Schauspielerei</v>
      </c>
      <c r="F94">
        <v>2</v>
      </c>
      <c r="G94">
        <v>2</v>
      </c>
    </row>
    <row r="95" spans="1:139" x14ac:dyDescent="0.2">
      <c r="A95" t="str">
        <f t="shared" si="2"/>
        <v>Schriftl. Ausdruck</v>
      </c>
    </row>
    <row r="96" spans="1:139" x14ac:dyDescent="0.2">
      <c r="A96" t="str">
        <f t="shared" si="2"/>
        <v>Sich Verkleiden</v>
      </c>
      <c r="F96">
        <v>2</v>
      </c>
      <c r="G96">
        <v>4</v>
      </c>
    </row>
    <row r="97" spans="1:139" x14ac:dyDescent="0.2">
      <c r="A97" t="str">
        <f t="shared" si="2"/>
        <v>Überreden</v>
      </c>
      <c r="F97">
        <v>2</v>
      </c>
      <c r="G97">
        <v>3</v>
      </c>
      <c r="H97">
        <v>3</v>
      </c>
      <c r="I97">
        <v>3</v>
      </c>
      <c r="J97">
        <v>3</v>
      </c>
      <c r="K97">
        <v>3</v>
      </c>
      <c r="L97">
        <v>3</v>
      </c>
      <c r="M97">
        <v>3</v>
      </c>
      <c r="N97">
        <v>3</v>
      </c>
      <c r="O97">
        <v>3</v>
      </c>
      <c r="P97">
        <v>2</v>
      </c>
      <c r="Q97">
        <v>3</v>
      </c>
      <c r="R97">
        <v>3</v>
      </c>
      <c r="S97">
        <v>3</v>
      </c>
      <c r="T97">
        <v>2</v>
      </c>
      <c r="U97">
        <v>2</v>
      </c>
      <c r="V97">
        <v>2</v>
      </c>
      <c r="W97">
        <v>2</v>
      </c>
      <c r="X97">
        <v>2</v>
      </c>
      <c r="Y97">
        <v>2</v>
      </c>
      <c r="Z97">
        <v>3</v>
      </c>
      <c r="AA97">
        <v>3</v>
      </c>
      <c r="AB97">
        <v>2</v>
      </c>
      <c r="AC97">
        <v>2</v>
      </c>
      <c r="AD97">
        <v>2</v>
      </c>
      <c r="AE97">
        <v>2</v>
      </c>
      <c r="AF97">
        <v>2</v>
      </c>
      <c r="AH97">
        <v>2</v>
      </c>
      <c r="AQ97">
        <v>2</v>
      </c>
      <c r="AV97">
        <v>2</v>
      </c>
      <c r="BG97">
        <v>2</v>
      </c>
      <c r="BH97">
        <v>2</v>
      </c>
      <c r="BI97">
        <v>2</v>
      </c>
      <c r="BJ97">
        <v>2</v>
      </c>
      <c r="BK97">
        <v>2</v>
      </c>
      <c r="BL97">
        <v>2</v>
      </c>
      <c r="BM97">
        <v>2</v>
      </c>
      <c r="BQ97">
        <v>2</v>
      </c>
      <c r="BR97">
        <v>2</v>
      </c>
      <c r="BS97">
        <v>2</v>
      </c>
      <c r="BT97">
        <v>2</v>
      </c>
      <c r="BU97">
        <v>2</v>
      </c>
      <c r="BV97">
        <v>2</v>
      </c>
      <c r="BW97">
        <v>2</v>
      </c>
      <c r="BX97">
        <v>2</v>
      </c>
      <c r="BY97">
        <v>2</v>
      </c>
      <c r="BZ97">
        <v>2</v>
      </c>
      <c r="CA97">
        <v>2</v>
      </c>
      <c r="EI97">
        <v>2</v>
      </c>
    </row>
    <row r="98" spans="1:139" x14ac:dyDescent="0.2">
      <c r="A98" t="str">
        <f t="shared" si="2"/>
        <v>Überzeugen</v>
      </c>
      <c r="H98">
        <v>4</v>
      </c>
      <c r="I98">
        <v>2</v>
      </c>
      <c r="J98">
        <v>2</v>
      </c>
      <c r="K98">
        <v>4</v>
      </c>
      <c r="L98">
        <v>4</v>
      </c>
      <c r="M98">
        <v>4</v>
      </c>
      <c r="N98">
        <v>4</v>
      </c>
      <c r="O98">
        <v>3</v>
      </c>
      <c r="P98">
        <v>3</v>
      </c>
      <c r="Q98">
        <v>3</v>
      </c>
      <c r="R98">
        <v>4</v>
      </c>
      <c r="S98">
        <v>3</v>
      </c>
      <c r="T98">
        <v>2</v>
      </c>
      <c r="U98">
        <v>4</v>
      </c>
      <c r="V98">
        <v>2</v>
      </c>
      <c r="W98">
        <v>2</v>
      </c>
      <c r="X98">
        <v>2</v>
      </c>
      <c r="Y98">
        <v>2</v>
      </c>
      <c r="Z98">
        <v>4</v>
      </c>
      <c r="AA98">
        <v>4</v>
      </c>
      <c r="AQ98">
        <v>3</v>
      </c>
      <c r="BG98">
        <v>2</v>
      </c>
      <c r="BH98">
        <v>2</v>
      </c>
      <c r="BI98">
        <v>2</v>
      </c>
      <c r="BJ98">
        <v>2</v>
      </c>
      <c r="BK98">
        <v>2</v>
      </c>
      <c r="BL98">
        <v>2</v>
      </c>
      <c r="BM98">
        <v>2</v>
      </c>
      <c r="BN98">
        <v>1</v>
      </c>
    </row>
    <row r="99" spans="1:139" ht="12.75" customHeight="1" x14ac:dyDescent="0.2">
      <c r="A99" t="str">
        <f>INDEX(TL_NAT,ROW()-98)</f>
        <v>Fährtensuchen</v>
      </c>
      <c r="B99" t="s">
        <v>3997</v>
      </c>
      <c r="AB99">
        <v>1</v>
      </c>
      <c r="AC99">
        <v>2</v>
      </c>
      <c r="AD99">
        <v>1</v>
      </c>
      <c r="AF99">
        <v>2</v>
      </c>
      <c r="AK99">
        <v>1</v>
      </c>
      <c r="AM99">
        <v>1</v>
      </c>
      <c r="AN99">
        <v>1</v>
      </c>
      <c r="AS99">
        <v>2</v>
      </c>
      <c r="BB99">
        <v>2</v>
      </c>
      <c r="BP99">
        <v>2</v>
      </c>
      <c r="DE99">
        <v>2</v>
      </c>
      <c r="DF99">
        <v>2</v>
      </c>
      <c r="DG99">
        <v>2</v>
      </c>
      <c r="DH99">
        <v>2</v>
      </c>
      <c r="DI99">
        <v>2</v>
      </c>
      <c r="DJ99">
        <v>2</v>
      </c>
      <c r="DK99">
        <v>2</v>
      </c>
      <c r="DL99">
        <v>2</v>
      </c>
      <c r="DM99">
        <v>2</v>
      </c>
      <c r="DN99">
        <v>2</v>
      </c>
      <c r="DO99">
        <v>2</v>
      </c>
      <c r="DR99">
        <v>2</v>
      </c>
      <c r="DS99">
        <v>3</v>
      </c>
      <c r="DV99">
        <v>3</v>
      </c>
      <c r="DW99">
        <v>3</v>
      </c>
      <c r="DX99">
        <v>3</v>
      </c>
      <c r="DY99">
        <v>1</v>
      </c>
      <c r="DZ99">
        <v>1</v>
      </c>
      <c r="EA99">
        <v>3</v>
      </c>
      <c r="EB99">
        <v>1</v>
      </c>
      <c r="EC99">
        <v>3</v>
      </c>
      <c r="ED99">
        <v>1</v>
      </c>
      <c r="EE99">
        <v>2</v>
      </c>
      <c r="EH99">
        <v>2</v>
      </c>
    </row>
    <row r="100" spans="1:139" x14ac:dyDescent="0.2">
      <c r="A100" t="str">
        <f t="shared" ref="A100:A106" si="3">INDEX(TL_NAT,ROW()-98)</f>
        <v>Fallenstellen</v>
      </c>
      <c r="DG100">
        <v>2</v>
      </c>
      <c r="DH100">
        <v>2</v>
      </c>
      <c r="DI100">
        <v>2</v>
      </c>
      <c r="DJ100">
        <v>2</v>
      </c>
      <c r="DK100">
        <v>2</v>
      </c>
      <c r="DL100">
        <v>2</v>
      </c>
      <c r="DM100">
        <v>2</v>
      </c>
      <c r="DN100">
        <v>2</v>
      </c>
      <c r="DO100">
        <v>2</v>
      </c>
      <c r="DR100">
        <v>2</v>
      </c>
      <c r="DV100">
        <v>1</v>
      </c>
      <c r="EH100">
        <v>2</v>
      </c>
    </row>
    <row r="101" spans="1:139" x14ac:dyDescent="0.2">
      <c r="A101" t="str">
        <f t="shared" si="3"/>
        <v>Fesseln/Entfesseln</v>
      </c>
      <c r="H101">
        <v>1</v>
      </c>
      <c r="I101">
        <v>1</v>
      </c>
      <c r="O101">
        <v>1</v>
      </c>
      <c r="Q101">
        <v>1</v>
      </c>
      <c r="R101">
        <v>1</v>
      </c>
      <c r="S101">
        <v>3</v>
      </c>
      <c r="T101">
        <v>3</v>
      </c>
      <c r="U101">
        <v>3</v>
      </c>
      <c r="V101">
        <v>3</v>
      </c>
      <c r="W101">
        <v>3</v>
      </c>
      <c r="X101">
        <v>3</v>
      </c>
      <c r="Y101">
        <v>3</v>
      </c>
      <c r="AB101">
        <v>3</v>
      </c>
      <c r="AC101">
        <v>3</v>
      </c>
      <c r="AE101">
        <v>3</v>
      </c>
      <c r="AF101">
        <v>3</v>
      </c>
      <c r="AG101">
        <v>5</v>
      </c>
      <c r="AH101">
        <v>3</v>
      </c>
      <c r="AO101">
        <v>1</v>
      </c>
      <c r="AP101">
        <v>1</v>
      </c>
      <c r="AQ101">
        <v>1</v>
      </c>
      <c r="AR101">
        <v>1</v>
      </c>
      <c r="AS101">
        <v>1</v>
      </c>
      <c r="AU101">
        <v>1</v>
      </c>
      <c r="AV101">
        <v>1</v>
      </c>
      <c r="AW101">
        <v>1</v>
      </c>
      <c r="AX101">
        <v>1</v>
      </c>
      <c r="AY101">
        <v>1</v>
      </c>
      <c r="AZ101">
        <v>1</v>
      </c>
      <c r="BA101">
        <v>1</v>
      </c>
      <c r="BB101">
        <v>1</v>
      </c>
      <c r="BC101">
        <v>1</v>
      </c>
      <c r="BD101">
        <v>1</v>
      </c>
      <c r="BE101">
        <v>1</v>
      </c>
      <c r="BF101">
        <v>1</v>
      </c>
      <c r="BG101">
        <v>2</v>
      </c>
      <c r="BH101">
        <v>2</v>
      </c>
      <c r="BI101">
        <v>2</v>
      </c>
      <c r="BJ101">
        <v>3</v>
      </c>
      <c r="BK101">
        <v>2</v>
      </c>
      <c r="BL101">
        <v>2</v>
      </c>
      <c r="BM101">
        <v>3</v>
      </c>
      <c r="BN101">
        <v>1</v>
      </c>
      <c r="BO101">
        <v>1</v>
      </c>
      <c r="BP101">
        <v>1</v>
      </c>
      <c r="BX101">
        <v>1</v>
      </c>
      <c r="BY101">
        <v>1</v>
      </c>
      <c r="CB101">
        <v>2</v>
      </c>
      <c r="CC101">
        <v>1</v>
      </c>
      <c r="CD101">
        <v>1</v>
      </c>
      <c r="CK101">
        <v>2</v>
      </c>
      <c r="CL101">
        <v>2</v>
      </c>
      <c r="CO101">
        <v>1</v>
      </c>
      <c r="CP101">
        <v>1</v>
      </c>
      <c r="CQ101">
        <v>1</v>
      </c>
      <c r="CR101">
        <v>1</v>
      </c>
      <c r="CS101">
        <v>3</v>
      </c>
      <c r="CT101">
        <v>1</v>
      </c>
      <c r="CU101">
        <v>1</v>
      </c>
      <c r="CV101">
        <v>1</v>
      </c>
      <c r="CW101">
        <v>3</v>
      </c>
      <c r="CX101">
        <v>2</v>
      </c>
      <c r="CY101">
        <v>2</v>
      </c>
      <c r="CZ101">
        <v>1</v>
      </c>
      <c r="DC101">
        <v>2</v>
      </c>
      <c r="DD101">
        <v>2</v>
      </c>
      <c r="DG101">
        <v>1</v>
      </c>
      <c r="DH101">
        <v>1</v>
      </c>
      <c r="DI101">
        <v>2</v>
      </c>
      <c r="DJ101">
        <v>1</v>
      </c>
      <c r="DK101">
        <v>1</v>
      </c>
      <c r="DL101">
        <v>2</v>
      </c>
      <c r="DM101">
        <v>3</v>
      </c>
      <c r="DN101">
        <v>3</v>
      </c>
      <c r="DO101">
        <v>2</v>
      </c>
      <c r="DP101">
        <v>1</v>
      </c>
      <c r="DQ101">
        <v>2</v>
      </c>
      <c r="DR101">
        <v>3</v>
      </c>
      <c r="DY101">
        <v>1</v>
      </c>
      <c r="DZ101">
        <v>1</v>
      </c>
      <c r="EA101">
        <v>1</v>
      </c>
      <c r="EC101">
        <v>1</v>
      </c>
      <c r="ED101">
        <v>1</v>
      </c>
      <c r="EF101">
        <v>1</v>
      </c>
      <c r="EG101">
        <v>1</v>
      </c>
      <c r="EH101">
        <v>1</v>
      </c>
    </row>
    <row r="102" spans="1:139" x14ac:dyDescent="0.2">
      <c r="A102" t="str">
        <f t="shared" si="3"/>
        <v>Fischen/Angeln</v>
      </c>
      <c r="BB102">
        <v>1</v>
      </c>
      <c r="CE102">
        <v>1</v>
      </c>
      <c r="CG102">
        <v>1</v>
      </c>
      <c r="CI102">
        <v>1</v>
      </c>
      <c r="CK102">
        <v>1</v>
      </c>
      <c r="CM102">
        <v>1</v>
      </c>
      <c r="CO102">
        <v>1</v>
      </c>
      <c r="CW102">
        <v>1</v>
      </c>
      <c r="CX102">
        <v>1</v>
      </c>
      <c r="CZ102">
        <v>1</v>
      </c>
      <c r="DA102">
        <v>1</v>
      </c>
      <c r="DC102">
        <v>1</v>
      </c>
      <c r="DD102">
        <v>1</v>
      </c>
      <c r="DE102">
        <v>2</v>
      </c>
      <c r="DF102">
        <v>1</v>
      </c>
      <c r="DG102">
        <v>1</v>
      </c>
      <c r="DH102">
        <v>1</v>
      </c>
      <c r="DI102">
        <v>1</v>
      </c>
      <c r="DJ102">
        <v>1</v>
      </c>
      <c r="DK102">
        <v>1</v>
      </c>
      <c r="DL102">
        <v>1</v>
      </c>
      <c r="DM102">
        <v>1</v>
      </c>
      <c r="DN102">
        <v>1</v>
      </c>
      <c r="DO102">
        <v>2</v>
      </c>
      <c r="DP102">
        <v>2</v>
      </c>
      <c r="DR102">
        <v>1</v>
      </c>
      <c r="DV102">
        <v>1</v>
      </c>
      <c r="EH102">
        <v>1</v>
      </c>
    </row>
    <row r="103" spans="1:139" x14ac:dyDescent="0.2">
      <c r="A103" t="str">
        <f t="shared" si="3"/>
        <v>Orientierung</v>
      </c>
      <c r="C103">
        <v>1</v>
      </c>
      <c r="H103">
        <v>1</v>
      </c>
      <c r="I103">
        <v>2</v>
      </c>
      <c r="J103">
        <v>2</v>
      </c>
      <c r="K103">
        <v>1</v>
      </c>
      <c r="L103">
        <v>1</v>
      </c>
      <c r="M103">
        <v>1</v>
      </c>
      <c r="N103">
        <v>1</v>
      </c>
      <c r="O103">
        <v>2</v>
      </c>
      <c r="P103">
        <v>2</v>
      </c>
      <c r="Q103">
        <v>2</v>
      </c>
      <c r="R103">
        <v>2</v>
      </c>
      <c r="S103">
        <v>2</v>
      </c>
      <c r="T103">
        <v>4</v>
      </c>
      <c r="U103">
        <v>5</v>
      </c>
      <c r="V103">
        <v>4</v>
      </c>
      <c r="W103">
        <v>4</v>
      </c>
      <c r="X103">
        <v>4</v>
      </c>
      <c r="Y103">
        <v>4</v>
      </c>
      <c r="Z103">
        <v>2</v>
      </c>
      <c r="AA103">
        <v>2</v>
      </c>
      <c r="AB103">
        <v>1</v>
      </c>
      <c r="AD103">
        <v>2</v>
      </c>
      <c r="AE103">
        <v>1</v>
      </c>
      <c r="AH103">
        <v>1</v>
      </c>
      <c r="AI103">
        <v>1</v>
      </c>
      <c r="AJ103">
        <v>2</v>
      </c>
      <c r="AK103">
        <v>2</v>
      </c>
      <c r="AL103">
        <v>2</v>
      </c>
      <c r="AM103">
        <v>2</v>
      </c>
      <c r="AN103">
        <v>2</v>
      </c>
      <c r="AO103">
        <v>1</v>
      </c>
      <c r="AQ103">
        <v>2</v>
      </c>
      <c r="AR103">
        <v>1</v>
      </c>
      <c r="AS103">
        <v>5</v>
      </c>
      <c r="AT103">
        <v>1</v>
      </c>
      <c r="AU103">
        <v>1</v>
      </c>
      <c r="AV103">
        <v>2</v>
      </c>
      <c r="AW103">
        <v>2</v>
      </c>
      <c r="AX103">
        <v>1</v>
      </c>
      <c r="AY103">
        <v>1</v>
      </c>
      <c r="AZ103">
        <v>1</v>
      </c>
      <c r="BA103">
        <v>2</v>
      </c>
      <c r="BB103">
        <v>3</v>
      </c>
      <c r="BC103">
        <v>1</v>
      </c>
      <c r="BD103">
        <v>1</v>
      </c>
      <c r="BE103">
        <v>1</v>
      </c>
      <c r="BF103">
        <v>1</v>
      </c>
      <c r="BG103">
        <v>1</v>
      </c>
      <c r="BH103">
        <v>1</v>
      </c>
      <c r="BI103">
        <v>1</v>
      </c>
      <c r="BJ103">
        <v>1</v>
      </c>
      <c r="BK103">
        <v>1</v>
      </c>
      <c r="BL103">
        <v>1</v>
      </c>
      <c r="BM103">
        <v>2</v>
      </c>
      <c r="BN103">
        <v>1</v>
      </c>
      <c r="BO103">
        <v>1</v>
      </c>
      <c r="BP103">
        <v>1</v>
      </c>
      <c r="BQ103">
        <v>1</v>
      </c>
      <c r="BR103">
        <v>1</v>
      </c>
      <c r="BS103">
        <v>1</v>
      </c>
      <c r="BT103">
        <v>2</v>
      </c>
      <c r="BU103">
        <v>1</v>
      </c>
      <c r="BV103">
        <v>1</v>
      </c>
      <c r="BW103">
        <v>1</v>
      </c>
      <c r="BX103">
        <v>1</v>
      </c>
      <c r="BY103">
        <v>2</v>
      </c>
      <c r="BZ103">
        <v>1</v>
      </c>
      <c r="CA103">
        <v>1</v>
      </c>
      <c r="CB103">
        <v>2</v>
      </c>
      <c r="CC103">
        <v>1</v>
      </c>
      <c r="CD103">
        <v>3</v>
      </c>
      <c r="CE103">
        <v>1</v>
      </c>
      <c r="CF103">
        <v>1</v>
      </c>
      <c r="CG103">
        <v>1</v>
      </c>
      <c r="CH103">
        <v>1</v>
      </c>
      <c r="CI103">
        <v>1</v>
      </c>
      <c r="CJ103">
        <v>1</v>
      </c>
      <c r="CK103">
        <v>1</v>
      </c>
      <c r="CL103">
        <v>1</v>
      </c>
      <c r="CM103">
        <v>1</v>
      </c>
      <c r="CN103">
        <v>1</v>
      </c>
      <c r="CO103">
        <v>2</v>
      </c>
      <c r="CP103">
        <v>2</v>
      </c>
      <c r="CQ103">
        <v>2</v>
      </c>
      <c r="CR103">
        <v>1</v>
      </c>
      <c r="CS103">
        <v>2</v>
      </c>
      <c r="CT103">
        <v>1</v>
      </c>
      <c r="CU103">
        <v>2</v>
      </c>
      <c r="CV103">
        <v>1</v>
      </c>
      <c r="CW103">
        <v>1</v>
      </c>
      <c r="CX103">
        <v>1</v>
      </c>
      <c r="CY103">
        <v>2</v>
      </c>
      <c r="CZ103">
        <v>1</v>
      </c>
      <c r="DA103">
        <v>1</v>
      </c>
      <c r="DB103">
        <v>1</v>
      </c>
      <c r="DC103">
        <v>3</v>
      </c>
      <c r="DD103">
        <v>3</v>
      </c>
      <c r="DE103">
        <v>2</v>
      </c>
      <c r="DF103">
        <v>2</v>
      </c>
      <c r="DG103">
        <v>1</v>
      </c>
      <c r="DH103">
        <v>1</v>
      </c>
      <c r="DI103">
        <v>2</v>
      </c>
      <c r="DJ103">
        <v>2</v>
      </c>
      <c r="DK103">
        <v>1</v>
      </c>
      <c r="DL103">
        <v>2</v>
      </c>
      <c r="DM103">
        <v>2</v>
      </c>
      <c r="DN103">
        <v>2</v>
      </c>
      <c r="DO103">
        <v>1</v>
      </c>
      <c r="DP103">
        <v>1</v>
      </c>
      <c r="DQ103">
        <v>1</v>
      </c>
      <c r="DR103">
        <v>1</v>
      </c>
      <c r="DS103">
        <v>3</v>
      </c>
      <c r="DT103">
        <v>3</v>
      </c>
      <c r="DV103">
        <v>3</v>
      </c>
      <c r="DW103">
        <v>2</v>
      </c>
      <c r="DX103">
        <v>2</v>
      </c>
      <c r="DY103">
        <v>2</v>
      </c>
      <c r="DZ103">
        <v>2</v>
      </c>
      <c r="EA103">
        <v>1</v>
      </c>
      <c r="EB103">
        <v>1</v>
      </c>
      <c r="EC103">
        <v>3</v>
      </c>
      <c r="ED103">
        <v>3</v>
      </c>
      <c r="EE103">
        <v>2</v>
      </c>
      <c r="EF103">
        <v>1</v>
      </c>
      <c r="EG103">
        <v>1</v>
      </c>
      <c r="EH103">
        <v>1</v>
      </c>
      <c r="EI103">
        <v>1</v>
      </c>
    </row>
    <row r="104" spans="1:139" x14ac:dyDescent="0.2">
      <c r="A104" t="str">
        <f t="shared" si="3"/>
        <v>Seefischerei</v>
      </c>
    </row>
    <row r="105" spans="1:139" x14ac:dyDescent="0.2">
      <c r="A105" t="str">
        <f t="shared" si="3"/>
        <v>Wettervorhersage</v>
      </c>
      <c r="T105">
        <v>3</v>
      </c>
      <c r="U105">
        <v>3</v>
      </c>
      <c r="V105">
        <v>3</v>
      </c>
      <c r="W105">
        <v>3</v>
      </c>
      <c r="X105">
        <v>3</v>
      </c>
      <c r="Y105">
        <v>3</v>
      </c>
      <c r="AK105">
        <v>1</v>
      </c>
      <c r="AM105">
        <v>1</v>
      </c>
      <c r="AN105">
        <v>1</v>
      </c>
      <c r="BB105">
        <v>2</v>
      </c>
      <c r="BM105">
        <v>1</v>
      </c>
      <c r="CB105">
        <v>1</v>
      </c>
      <c r="CC105">
        <v>1</v>
      </c>
      <c r="CD105">
        <v>1</v>
      </c>
      <c r="CO105">
        <v>1</v>
      </c>
      <c r="CP105">
        <v>1</v>
      </c>
      <c r="CQ105">
        <v>1</v>
      </c>
      <c r="CR105">
        <v>1</v>
      </c>
      <c r="CS105">
        <v>1</v>
      </c>
      <c r="CT105">
        <v>1</v>
      </c>
      <c r="CU105">
        <v>1</v>
      </c>
      <c r="CV105">
        <v>1</v>
      </c>
      <c r="CW105">
        <v>1</v>
      </c>
      <c r="CX105">
        <v>1</v>
      </c>
      <c r="CY105">
        <v>1</v>
      </c>
      <c r="CZ105">
        <v>1</v>
      </c>
      <c r="DC105">
        <v>2</v>
      </c>
      <c r="DD105">
        <v>2</v>
      </c>
      <c r="DG105">
        <v>1</v>
      </c>
      <c r="DH105">
        <v>1</v>
      </c>
      <c r="DI105">
        <v>1</v>
      </c>
      <c r="DJ105">
        <v>1</v>
      </c>
      <c r="DK105">
        <v>1</v>
      </c>
      <c r="DL105">
        <v>1</v>
      </c>
      <c r="DM105">
        <v>1</v>
      </c>
      <c r="DN105">
        <v>2</v>
      </c>
      <c r="DO105">
        <v>2</v>
      </c>
      <c r="DR105">
        <v>1</v>
      </c>
      <c r="DV105">
        <v>1</v>
      </c>
      <c r="EG105">
        <v>1</v>
      </c>
      <c r="EH105">
        <v>1</v>
      </c>
    </row>
    <row r="106" spans="1:139" x14ac:dyDescent="0.2">
      <c r="A106" t="str">
        <f t="shared" si="3"/>
        <v>Wildnisleben</v>
      </c>
      <c r="H106">
        <v>1</v>
      </c>
      <c r="I106">
        <v>1</v>
      </c>
      <c r="K106">
        <v>1</v>
      </c>
      <c r="L106">
        <v>1</v>
      </c>
      <c r="M106">
        <v>1</v>
      </c>
      <c r="N106">
        <v>1</v>
      </c>
      <c r="O106">
        <v>1</v>
      </c>
      <c r="Q106">
        <v>1</v>
      </c>
      <c r="S106">
        <v>1</v>
      </c>
      <c r="T106">
        <v>1</v>
      </c>
      <c r="U106">
        <v>1</v>
      </c>
      <c r="V106">
        <v>1</v>
      </c>
      <c r="W106">
        <v>1</v>
      </c>
      <c r="X106">
        <v>1</v>
      </c>
      <c r="Y106">
        <v>1</v>
      </c>
      <c r="AD106">
        <v>1</v>
      </c>
      <c r="AI106">
        <v>1</v>
      </c>
      <c r="AK106">
        <v>1</v>
      </c>
      <c r="AM106">
        <v>1</v>
      </c>
      <c r="AN106">
        <v>1</v>
      </c>
      <c r="AS106">
        <v>3</v>
      </c>
      <c r="AV106">
        <v>1</v>
      </c>
      <c r="BB106">
        <v>3</v>
      </c>
      <c r="BD106">
        <v>1</v>
      </c>
      <c r="BG106">
        <v>1</v>
      </c>
      <c r="BH106">
        <v>1</v>
      </c>
      <c r="BI106">
        <v>2</v>
      </c>
      <c r="BJ106">
        <v>1</v>
      </c>
      <c r="BK106">
        <v>1</v>
      </c>
      <c r="BL106">
        <v>1</v>
      </c>
      <c r="BM106">
        <v>1</v>
      </c>
      <c r="BO106">
        <v>1</v>
      </c>
      <c r="BT106">
        <v>1</v>
      </c>
      <c r="BU106">
        <v>2</v>
      </c>
      <c r="CB106">
        <v>1</v>
      </c>
      <c r="CC106">
        <v>1</v>
      </c>
      <c r="CD106">
        <v>1</v>
      </c>
      <c r="CE106">
        <v>2</v>
      </c>
      <c r="CF106">
        <v>2</v>
      </c>
      <c r="CG106">
        <v>2</v>
      </c>
      <c r="CH106">
        <v>2</v>
      </c>
      <c r="CI106">
        <v>2</v>
      </c>
      <c r="CJ106">
        <v>2</v>
      </c>
      <c r="CK106">
        <v>1</v>
      </c>
      <c r="CL106">
        <v>1</v>
      </c>
      <c r="CM106">
        <v>1</v>
      </c>
      <c r="CN106">
        <v>1</v>
      </c>
      <c r="CO106">
        <v>1</v>
      </c>
      <c r="CP106">
        <v>1</v>
      </c>
      <c r="CQ106">
        <v>1</v>
      </c>
      <c r="CR106">
        <v>1</v>
      </c>
      <c r="CS106">
        <v>1</v>
      </c>
      <c r="CT106">
        <v>2</v>
      </c>
      <c r="CU106">
        <v>1</v>
      </c>
      <c r="CV106">
        <v>1</v>
      </c>
      <c r="CY106">
        <v>1</v>
      </c>
      <c r="CZ106">
        <v>1</v>
      </c>
      <c r="DA106">
        <v>1</v>
      </c>
      <c r="DB106">
        <v>1</v>
      </c>
      <c r="DC106">
        <v>1</v>
      </c>
      <c r="DD106">
        <v>1</v>
      </c>
      <c r="DE106">
        <v>1</v>
      </c>
      <c r="DF106">
        <v>1</v>
      </c>
      <c r="DG106">
        <v>2</v>
      </c>
      <c r="DH106">
        <v>2</v>
      </c>
      <c r="DI106">
        <v>2</v>
      </c>
      <c r="DJ106">
        <v>2</v>
      </c>
      <c r="DK106">
        <v>2</v>
      </c>
      <c r="DL106">
        <v>2</v>
      </c>
      <c r="DM106">
        <v>2</v>
      </c>
      <c r="DN106">
        <v>2</v>
      </c>
      <c r="DO106">
        <v>2</v>
      </c>
      <c r="DP106">
        <v>1</v>
      </c>
      <c r="DQ106">
        <v>1</v>
      </c>
      <c r="DR106">
        <v>2</v>
      </c>
      <c r="DS106">
        <v>1</v>
      </c>
      <c r="DT106">
        <v>1</v>
      </c>
      <c r="DV106">
        <v>4</v>
      </c>
      <c r="DY106">
        <v>2</v>
      </c>
      <c r="DZ106">
        <v>2</v>
      </c>
      <c r="EA106">
        <v>2</v>
      </c>
      <c r="EB106">
        <v>2</v>
      </c>
      <c r="EC106">
        <v>2</v>
      </c>
      <c r="ED106">
        <v>2</v>
      </c>
      <c r="EE106">
        <v>2</v>
      </c>
      <c r="EG106">
        <v>1</v>
      </c>
      <c r="EH106">
        <v>2</v>
      </c>
    </row>
    <row r="107" spans="1:139" ht="12.75" customHeight="1" x14ac:dyDescent="0.2">
      <c r="A107" t="str">
        <f>INDEX(TL_WIS,ROW()-106)</f>
        <v>Anatomie</v>
      </c>
      <c r="B107" t="s">
        <v>3321</v>
      </c>
      <c r="AZ107">
        <v>1</v>
      </c>
      <c r="BN107">
        <v>1</v>
      </c>
      <c r="BX107">
        <v>1</v>
      </c>
      <c r="BY107">
        <v>1</v>
      </c>
    </row>
    <row r="108" spans="1:139" x14ac:dyDescent="0.2">
      <c r="A108" t="str">
        <f t="shared" ref="A108:A130" si="4">INDEX(TL_WIS,ROW()-106)</f>
        <v>Baukunst</v>
      </c>
      <c r="CS108">
        <v>2</v>
      </c>
      <c r="DN108">
        <v>1</v>
      </c>
    </row>
    <row r="109" spans="1:139" x14ac:dyDescent="0.2">
      <c r="A109" t="str">
        <f t="shared" si="4"/>
        <v>Brett-/Kartenspiel</v>
      </c>
      <c r="L109">
        <v>2</v>
      </c>
      <c r="N109">
        <v>2</v>
      </c>
      <c r="P109">
        <v>2</v>
      </c>
      <c r="AJ109">
        <v>1</v>
      </c>
      <c r="AK109">
        <v>1</v>
      </c>
      <c r="AL109">
        <v>1</v>
      </c>
      <c r="AM109">
        <v>1</v>
      </c>
      <c r="AN109">
        <v>1</v>
      </c>
      <c r="AZ109">
        <v>2</v>
      </c>
      <c r="BN109">
        <v>2</v>
      </c>
      <c r="BW109">
        <v>2</v>
      </c>
      <c r="BX109">
        <v>2</v>
      </c>
      <c r="BZ109">
        <v>2</v>
      </c>
    </row>
    <row r="110" spans="1:139" x14ac:dyDescent="0.2">
      <c r="A110" t="str">
        <f t="shared" si="4"/>
        <v>Geographie</v>
      </c>
      <c r="H110">
        <v>2</v>
      </c>
      <c r="I110">
        <v>2</v>
      </c>
      <c r="K110">
        <v>2</v>
      </c>
      <c r="L110">
        <v>2</v>
      </c>
      <c r="M110">
        <v>2</v>
      </c>
      <c r="N110">
        <v>2</v>
      </c>
      <c r="T110">
        <v>3</v>
      </c>
      <c r="U110">
        <v>3</v>
      </c>
      <c r="V110">
        <v>3</v>
      </c>
      <c r="W110">
        <v>3</v>
      </c>
      <c r="X110">
        <v>3</v>
      </c>
      <c r="Y110">
        <v>3</v>
      </c>
      <c r="AD110">
        <v>1</v>
      </c>
      <c r="BD110">
        <v>2</v>
      </c>
      <c r="BM110">
        <v>1</v>
      </c>
      <c r="CE110">
        <v>1</v>
      </c>
      <c r="CF110">
        <v>1</v>
      </c>
      <c r="CG110">
        <v>1</v>
      </c>
      <c r="CH110">
        <v>1</v>
      </c>
      <c r="CI110">
        <v>1</v>
      </c>
      <c r="CJ110">
        <v>1</v>
      </c>
      <c r="CK110">
        <v>1</v>
      </c>
      <c r="CL110">
        <v>1</v>
      </c>
      <c r="CM110">
        <v>1</v>
      </c>
      <c r="CN110">
        <v>1</v>
      </c>
      <c r="CO110">
        <v>2</v>
      </c>
      <c r="CP110">
        <v>2</v>
      </c>
      <c r="CW110">
        <v>2</v>
      </c>
      <c r="CX110">
        <v>2</v>
      </c>
      <c r="DA110">
        <v>1</v>
      </c>
      <c r="DB110">
        <v>1</v>
      </c>
      <c r="DC110">
        <v>2</v>
      </c>
      <c r="DD110">
        <v>2</v>
      </c>
      <c r="DE110">
        <v>1</v>
      </c>
      <c r="DF110">
        <v>1</v>
      </c>
      <c r="DO110">
        <v>1</v>
      </c>
      <c r="DP110">
        <v>1</v>
      </c>
    </row>
    <row r="111" spans="1:139" x14ac:dyDescent="0.2">
      <c r="A111" t="str">
        <f t="shared" si="4"/>
        <v>Geschichtswissen</v>
      </c>
      <c r="H111">
        <v>2</v>
      </c>
      <c r="I111">
        <v>2</v>
      </c>
      <c r="J111">
        <v>2</v>
      </c>
      <c r="K111">
        <v>2</v>
      </c>
      <c r="L111">
        <v>2</v>
      </c>
      <c r="M111">
        <v>2</v>
      </c>
      <c r="N111">
        <v>2</v>
      </c>
      <c r="O111">
        <v>2</v>
      </c>
      <c r="P111">
        <v>2</v>
      </c>
      <c r="Q111">
        <v>2</v>
      </c>
      <c r="R111">
        <v>2</v>
      </c>
      <c r="S111">
        <v>2</v>
      </c>
      <c r="T111">
        <v>2</v>
      </c>
      <c r="U111">
        <v>2</v>
      </c>
      <c r="V111">
        <v>2</v>
      </c>
      <c r="W111">
        <v>2</v>
      </c>
      <c r="X111">
        <v>2</v>
      </c>
      <c r="Y111">
        <v>2</v>
      </c>
      <c r="Z111">
        <v>2</v>
      </c>
      <c r="AA111">
        <v>2</v>
      </c>
      <c r="AJ111">
        <v>2</v>
      </c>
      <c r="AL111">
        <v>2</v>
      </c>
      <c r="AO111">
        <v>2</v>
      </c>
      <c r="AP111">
        <v>3</v>
      </c>
      <c r="AQ111">
        <v>2</v>
      </c>
      <c r="AR111">
        <v>1</v>
      </c>
      <c r="AS111">
        <v>2</v>
      </c>
      <c r="AT111">
        <v>2</v>
      </c>
      <c r="AU111">
        <v>2</v>
      </c>
      <c r="AV111">
        <v>3</v>
      </c>
      <c r="AW111">
        <v>2</v>
      </c>
      <c r="AX111">
        <v>2</v>
      </c>
      <c r="AY111">
        <v>2</v>
      </c>
      <c r="AZ111">
        <v>2</v>
      </c>
      <c r="BA111">
        <v>3</v>
      </c>
      <c r="BB111">
        <v>2</v>
      </c>
      <c r="BC111">
        <v>2</v>
      </c>
      <c r="BD111">
        <v>2</v>
      </c>
      <c r="BE111">
        <v>2</v>
      </c>
      <c r="BF111">
        <v>2</v>
      </c>
      <c r="BN111">
        <v>2</v>
      </c>
      <c r="BO111">
        <v>2</v>
      </c>
      <c r="BP111">
        <v>3</v>
      </c>
      <c r="BQ111">
        <v>3</v>
      </c>
      <c r="BR111">
        <v>2</v>
      </c>
      <c r="BS111">
        <v>2</v>
      </c>
      <c r="BT111">
        <v>2</v>
      </c>
      <c r="BU111">
        <v>4</v>
      </c>
      <c r="BV111">
        <v>2</v>
      </c>
      <c r="BW111">
        <v>2</v>
      </c>
      <c r="BX111">
        <v>2</v>
      </c>
      <c r="BY111">
        <v>2</v>
      </c>
      <c r="BZ111">
        <v>2</v>
      </c>
      <c r="CA111">
        <v>2</v>
      </c>
      <c r="EF111">
        <v>2</v>
      </c>
      <c r="EI111">
        <v>2</v>
      </c>
    </row>
    <row r="112" spans="1:139" x14ac:dyDescent="0.2">
      <c r="A112" t="str">
        <f t="shared" si="4"/>
        <v>Gesteinskunde</v>
      </c>
      <c r="BK112">
        <v>3</v>
      </c>
      <c r="CG112">
        <v>3</v>
      </c>
      <c r="CH112">
        <v>3</v>
      </c>
      <c r="CS112">
        <v>3</v>
      </c>
      <c r="DN112">
        <v>3</v>
      </c>
    </row>
    <row r="113" spans="1:139" x14ac:dyDescent="0.2">
      <c r="A113" t="str">
        <f t="shared" si="4"/>
        <v>Götter/Kulte</v>
      </c>
      <c r="C113">
        <v>1</v>
      </c>
      <c r="H113">
        <v>3</v>
      </c>
      <c r="I113">
        <v>1</v>
      </c>
      <c r="J113">
        <v>1</v>
      </c>
      <c r="K113">
        <v>1</v>
      </c>
      <c r="L113">
        <v>2</v>
      </c>
      <c r="M113">
        <v>1</v>
      </c>
      <c r="N113">
        <v>2</v>
      </c>
      <c r="O113">
        <v>2</v>
      </c>
      <c r="P113">
        <v>1</v>
      </c>
      <c r="Q113">
        <v>2</v>
      </c>
      <c r="R113">
        <v>2</v>
      </c>
      <c r="S113">
        <v>2</v>
      </c>
      <c r="T113">
        <v>1</v>
      </c>
      <c r="U113">
        <v>1</v>
      </c>
      <c r="V113">
        <v>1</v>
      </c>
      <c r="W113">
        <v>1</v>
      </c>
      <c r="X113">
        <v>1</v>
      </c>
      <c r="Y113">
        <v>1</v>
      </c>
      <c r="Z113">
        <v>2</v>
      </c>
      <c r="AA113">
        <v>2</v>
      </c>
      <c r="AB113">
        <v>2</v>
      </c>
      <c r="AC113">
        <v>1</v>
      </c>
      <c r="AD113">
        <v>3</v>
      </c>
      <c r="AE113">
        <v>2</v>
      </c>
      <c r="AF113">
        <v>2</v>
      </c>
      <c r="AH113">
        <v>3</v>
      </c>
      <c r="AI113">
        <v>3</v>
      </c>
      <c r="AJ113">
        <v>2</v>
      </c>
      <c r="AK113">
        <v>2</v>
      </c>
      <c r="AL113">
        <v>2</v>
      </c>
      <c r="AM113">
        <v>2</v>
      </c>
      <c r="AN113">
        <v>2</v>
      </c>
      <c r="AO113">
        <v>2</v>
      </c>
      <c r="AP113">
        <v>4</v>
      </c>
      <c r="AQ113">
        <v>2</v>
      </c>
      <c r="AR113">
        <v>3</v>
      </c>
      <c r="AS113">
        <v>2</v>
      </c>
      <c r="AT113">
        <v>3</v>
      </c>
      <c r="AU113">
        <v>2</v>
      </c>
      <c r="AV113">
        <v>2</v>
      </c>
      <c r="AW113">
        <v>2</v>
      </c>
      <c r="AX113">
        <v>2</v>
      </c>
      <c r="AY113">
        <v>2</v>
      </c>
      <c r="AZ113">
        <v>4</v>
      </c>
      <c r="BA113">
        <v>2</v>
      </c>
      <c r="BB113">
        <v>1</v>
      </c>
      <c r="BC113">
        <v>2</v>
      </c>
      <c r="BD113">
        <v>2</v>
      </c>
      <c r="BE113">
        <v>2</v>
      </c>
      <c r="BF113">
        <v>2</v>
      </c>
      <c r="BG113">
        <v>2</v>
      </c>
      <c r="BH113">
        <v>2</v>
      </c>
      <c r="BI113">
        <v>2</v>
      </c>
      <c r="BJ113">
        <v>2</v>
      </c>
      <c r="BK113">
        <v>2</v>
      </c>
      <c r="BL113">
        <v>2</v>
      </c>
      <c r="BM113">
        <v>2</v>
      </c>
      <c r="BN113">
        <v>2</v>
      </c>
      <c r="BO113">
        <v>2</v>
      </c>
      <c r="BP113">
        <v>2</v>
      </c>
      <c r="BQ113">
        <v>3</v>
      </c>
      <c r="BR113">
        <v>2</v>
      </c>
      <c r="BS113">
        <v>2</v>
      </c>
      <c r="BT113">
        <v>5</v>
      </c>
      <c r="BU113">
        <v>2</v>
      </c>
      <c r="BV113">
        <v>2</v>
      </c>
      <c r="BW113">
        <v>4</v>
      </c>
      <c r="BX113">
        <v>2</v>
      </c>
      <c r="BY113">
        <v>2</v>
      </c>
      <c r="BZ113">
        <v>2</v>
      </c>
      <c r="CA113">
        <v>2</v>
      </c>
      <c r="CB113">
        <v>1</v>
      </c>
      <c r="CC113">
        <v>1</v>
      </c>
      <c r="CD113">
        <v>1</v>
      </c>
      <c r="CQ113">
        <v>1</v>
      </c>
      <c r="CR113">
        <v>1</v>
      </c>
      <c r="CS113">
        <v>1</v>
      </c>
      <c r="CT113">
        <v>1</v>
      </c>
      <c r="CU113">
        <v>1</v>
      </c>
      <c r="CV113">
        <v>1</v>
      </c>
      <c r="CW113">
        <v>1</v>
      </c>
      <c r="CX113">
        <v>1</v>
      </c>
      <c r="CY113">
        <v>1</v>
      </c>
      <c r="CZ113">
        <v>1</v>
      </c>
      <c r="ED113">
        <v>2</v>
      </c>
      <c r="EF113">
        <v>2</v>
      </c>
      <c r="EG113">
        <v>1</v>
      </c>
      <c r="EI113">
        <v>2</v>
      </c>
    </row>
    <row r="114" spans="1:139" x14ac:dyDescent="0.2">
      <c r="A114" t="str">
        <f t="shared" si="4"/>
        <v>Heraldik</v>
      </c>
      <c r="H114">
        <v>2</v>
      </c>
      <c r="I114">
        <v>3</v>
      </c>
      <c r="J114">
        <v>3</v>
      </c>
      <c r="K114">
        <v>3</v>
      </c>
      <c r="L114">
        <v>4</v>
      </c>
      <c r="M114">
        <v>3</v>
      </c>
      <c r="N114">
        <v>4</v>
      </c>
      <c r="O114">
        <v>4</v>
      </c>
      <c r="P114">
        <v>2</v>
      </c>
      <c r="Q114">
        <v>4</v>
      </c>
      <c r="R114">
        <v>3</v>
      </c>
      <c r="S114">
        <v>4</v>
      </c>
      <c r="T114">
        <v>2</v>
      </c>
      <c r="U114">
        <v>2</v>
      </c>
      <c r="V114">
        <v>2</v>
      </c>
      <c r="W114">
        <v>2</v>
      </c>
      <c r="X114">
        <v>2</v>
      </c>
      <c r="Y114">
        <v>2</v>
      </c>
      <c r="Z114">
        <v>4</v>
      </c>
      <c r="AA114">
        <v>4</v>
      </c>
      <c r="AB114">
        <v>2</v>
      </c>
      <c r="AC114">
        <v>1</v>
      </c>
      <c r="AE114">
        <v>2</v>
      </c>
      <c r="AF114">
        <v>2</v>
      </c>
      <c r="AG114">
        <v>1</v>
      </c>
      <c r="AH114">
        <v>2</v>
      </c>
      <c r="AI114">
        <v>3</v>
      </c>
      <c r="AJ114">
        <v>5</v>
      </c>
      <c r="AK114">
        <v>5</v>
      </c>
      <c r="AL114">
        <v>5</v>
      </c>
      <c r="AM114">
        <v>5</v>
      </c>
      <c r="AN114">
        <v>5</v>
      </c>
      <c r="AO114">
        <v>2</v>
      </c>
      <c r="AP114">
        <v>3</v>
      </c>
      <c r="AQ114">
        <v>2</v>
      </c>
      <c r="AR114">
        <v>3</v>
      </c>
      <c r="AS114">
        <v>2</v>
      </c>
      <c r="AT114">
        <v>3</v>
      </c>
      <c r="AU114">
        <v>3</v>
      </c>
      <c r="AV114">
        <v>2</v>
      </c>
      <c r="AW114">
        <v>3</v>
      </c>
      <c r="AX114">
        <v>3</v>
      </c>
      <c r="AY114">
        <v>2</v>
      </c>
      <c r="AZ114">
        <v>2</v>
      </c>
      <c r="BA114">
        <v>2</v>
      </c>
      <c r="BB114">
        <v>1</v>
      </c>
      <c r="BC114">
        <v>2</v>
      </c>
      <c r="BE114">
        <v>2</v>
      </c>
      <c r="BF114">
        <v>2</v>
      </c>
      <c r="BN114">
        <v>3</v>
      </c>
      <c r="BO114">
        <v>2</v>
      </c>
      <c r="BQ114">
        <v>3</v>
      </c>
      <c r="BR114">
        <v>2</v>
      </c>
      <c r="BS114">
        <v>2</v>
      </c>
      <c r="BT114">
        <v>2</v>
      </c>
      <c r="BU114">
        <v>2</v>
      </c>
      <c r="BV114">
        <v>2</v>
      </c>
      <c r="BW114">
        <v>2</v>
      </c>
      <c r="BX114">
        <v>2</v>
      </c>
      <c r="BY114">
        <v>2</v>
      </c>
      <c r="BZ114">
        <v>3</v>
      </c>
      <c r="CA114">
        <v>2</v>
      </c>
      <c r="CB114">
        <v>2</v>
      </c>
      <c r="CC114">
        <v>3</v>
      </c>
      <c r="CD114">
        <v>3</v>
      </c>
      <c r="CQ114">
        <v>2</v>
      </c>
      <c r="CR114">
        <v>2</v>
      </c>
      <c r="CS114">
        <v>2</v>
      </c>
      <c r="CT114">
        <v>3</v>
      </c>
      <c r="CU114">
        <v>3</v>
      </c>
      <c r="CV114">
        <v>2</v>
      </c>
      <c r="CW114">
        <v>2</v>
      </c>
      <c r="CX114">
        <v>2</v>
      </c>
      <c r="CY114">
        <v>2</v>
      </c>
      <c r="CZ114">
        <v>2</v>
      </c>
      <c r="DG114">
        <v>1</v>
      </c>
      <c r="DH114">
        <v>1</v>
      </c>
      <c r="DI114">
        <v>1</v>
      </c>
      <c r="DJ114">
        <v>2</v>
      </c>
      <c r="DK114">
        <v>1</v>
      </c>
      <c r="DL114">
        <v>1</v>
      </c>
      <c r="DM114">
        <v>1</v>
      </c>
      <c r="DN114">
        <v>1</v>
      </c>
      <c r="DO114">
        <v>1</v>
      </c>
      <c r="DQ114">
        <v>2</v>
      </c>
      <c r="DR114">
        <v>1</v>
      </c>
      <c r="EF114">
        <v>2</v>
      </c>
      <c r="EG114">
        <v>2</v>
      </c>
      <c r="EH114">
        <v>1</v>
      </c>
      <c r="EI114">
        <v>2</v>
      </c>
    </row>
    <row r="115" spans="1:139" x14ac:dyDescent="0.2">
      <c r="A115" t="str">
        <f t="shared" si="4"/>
        <v>Hüttenkunde</v>
      </c>
    </row>
    <row r="116" spans="1:139" x14ac:dyDescent="0.2">
      <c r="A116" t="str">
        <f t="shared" si="4"/>
        <v>Kriegskunst</v>
      </c>
      <c r="C116">
        <v>3</v>
      </c>
      <c r="E116">
        <v>2</v>
      </c>
      <c r="H116">
        <v>6</v>
      </c>
      <c r="I116">
        <v>6</v>
      </c>
      <c r="J116">
        <v>6</v>
      </c>
      <c r="K116">
        <v>6</v>
      </c>
      <c r="L116">
        <v>6</v>
      </c>
      <c r="M116">
        <v>6</v>
      </c>
      <c r="N116">
        <v>6</v>
      </c>
      <c r="O116">
        <v>6</v>
      </c>
      <c r="P116">
        <v>6</v>
      </c>
      <c r="Q116">
        <v>6</v>
      </c>
      <c r="R116">
        <v>6</v>
      </c>
      <c r="S116">
        <v>6</v>
      </c>
      <c r="T116">
        <v>7</v>
      </c>
      <c r="U116">
        <v>7</v>
      </c>
      <c r="V116">
        <v>7</v>
      </c>
      <c r="W116">
        <v>7</v>
      </c>
      <c r="X116">
        <v>7</v>
      </c>
      <c r="Y116">
        <v>7</v>
      </c>
      <c r="Z116">
        <v>7</v>
      </c>
      <c r="AA116">
        <v>7</v>
      </c>
      <c r="AB116">
        <v>2</v>
      </c>
      <c r="AD116">
        <v>2</v>
      </c>
      <c r="AE116">
        <v>2</v>
      </c>
      <c r="AH116">
        <v>2</v>
      </c>
      <c r="AI116">
        <v>3</v>
      </c>
      <c r="AJ116">
        <v>4</v>
      </c>
      <c r="AK116">
        <v>4</v>
      </c>
      <c r="AL116">
        <v>2</v>
      </c>
      <c r="AM116">
        <v>4</v>
      </c>
      <c r="AN116">
        <v>2</v>
      </c>
      <c r="AO116">
        <v>4</v>
      </c>
      <c r="AP116">
        <v>5</v>
      </c>
      <c r="AQ116">
        <v>6</v>
      </c>
      <c r="AR116">
        <v>5</v>
      </c>
      <c r="AS116">
        <v>6</v>
      </c>
      <c r="AT116">
        <v>5</v>
      </c>
      <c r="AU116">
        <v>6</v>
      </c>
      <c r="AV116">
        <v>7</v>
      </c>
      <c r="AW116">
        <v>5</v>
      </c>
      <c r="AX116">
        <v>4</v>
      </c>
      <c r="AY116">
        <v>4</v>
      </c>
      <c r="AZ116">
        <v>4</v>
      </c>
      <c r="BA116">
        <v>7</v>
      </c>
      <c r="BB116">
        <v>4</v>
      </c>
      <c r="BC116">
        <v>3</v>
      </c>
      <c r="BD116">
        <v>3</v>
      </c>
      <c r="BE116">
        <v>4</v>
      </c>
      <c r="BF116">
        <v>4</v>
      </c>
      <c r="BG116">
        <v>5</v>
      </c>
      <c r="BH116">
        <v>5</v>
      </c>
      <c r="BI116">
        <v>5</v>
      </c>
      <c r="BJ116">
        <v>5</v>
      </c>
      <c r="BK116">
        <v>6</v>
      </c>
      <c r="BL116">
        <v>5</v>
      </c>
      <c r="BM116">
        <v>5</v>
      </c>
      <c r="BN116">
        <v>5</v>
      </c>
      <c r="BO116">
        <v>4</v>
      </c>
      <c r="BP116">
        <v>4</v>
      </c>
      <c r="BQ116">
        <v>2</v>
      </c>
      <c r="BR116">
        <v>2</v>
      </c>
      <c r="BS116">
        <v>2</v>
      </c>
      <c r="BT116">
        <v>2</v>
      </c>
      <c r="BU116">
        <v>2</v>
      </c>
      <c r="BV116">
        <v>2</v>
      </c>
      <c r="BW116">
        <v>2</v>
      </c>
      <c r="BX116">
        <v>5</v>
      </c>
      <c r="BY116">
        <v>5</v>
      </c>
      <c r="BZ116">
        <v>2</v>
      </c>
      <c r="CA116">
        <v>2</v>
      </c>
      <c r="CB116">
        <v>3</v>
      </c>
      <c r="CC116">
        <v>3</v>
      </c>
      <c r="CD116">
        <v>3</v>
      </c>
      <c r="CE116">
        <v>4</v>
      </c>
      <c r="CF116">
        <v>4</v>
      </c>
      <c r="CG116">
        <v>4</v>
      </c>
      <c r="CH116">
        <v>4</v>
      </c>
      <c r="CI116">
        <v>4</v>
      </c>
      <c r="CJ116">
        <v>4</v>
      </c>
      <c r="CK116">
        <v>3</v>
      </c>
      <c r="CL116">
        <v>3</v>
      </c>
      <c r="CM116">
        <v>2</v>
      </c>
      <c r="CN116">
        <v>2</v>
      </c>
      <c r="CO116">
        <v>2</v>
      </c>
      <c r="CP116">
        <v>2</v>
      </c>
      <c r="CQ116">
        <v>3</v>
      </c>
      <c r="CR116">
        <v>3</v>
      </c>
      <c r="CS116">
        <v>3</v>
      </c>
      <c r="CT116">
        <v>3</v>
      </c>
      <c r="CU116">
        <v>3</v>
      </c>
      <c r="CV116">
        <v>3</v>
      </c>
      <c r="CW116">
        <v>3</v>
      </c>
      <c r="CX116">
        <v>3</v>
      </c>
      <c r="CY116">
        <v>3</v>
      </c>
      <c r="CZ116">
        <v>3</v>
      </c>
      <c r="DA116">
        <v>2</v>
      </c>
      <c r="DB116">
        <v>2</v>
      </c>
      <c r="DC116">
        <v>2</v>
      </c>
      <c r="DD116">
        <v>2</v>
      </c>
      <c r="DE116">
        <v>2</v>
      </c>
      <c r="DF116">
        <v>2</v>
      </c>
      <c r="DG116">
        <v>3</v>
      </c>
      <c r="DH116">
        <v>3</v>
      </c>
      <c r="DI116">
        <v>3</v>
      </c>
      <c r="DJ116">
        <v>3</v>
      </c>
      <c r="DK116">
        <v>3</v>
      </c>
      <c r="DL116">
        <v>3</v>
      </c>
      <c r="DM116">
        <v>4</v>
      </c>
      <c r="DN116">
        <v>3</v>
      </c>
      <c r="DO116">
        <v>3</v>
      </c>
      <c r="DP116">
        <v>2</v>
      </c>
      <c r="DQ116">
        <v>3</v>
      </c>
      <c r="DR116">
        <v>3</v>
      </c>
      <c r="DY116">
        <v>1</v>
      </c>
      <c r="DZ116">
        <v>1</v>
      </c>
      <c r="EE116">
        <v>1</v>
      </c>
      <c r="EF116">
        <v>4</v>
      </c>
      <c r="EG116">
        <v>3</v>
      </c>
      <c r="EH116">
        <v>3</v>
      </c>
      <c r="EI116">
        <v>2</v>
      </c>
    </row>
    <row r="117" spans="1:139" x14ac:dyDescent="0.2">
      <c r="A117" t="str">
        <f t="shared" si="4"/>
        <v>Kryptographie</v>
      </c>
    </row>
    <row r="118" spans="1:139" x14ac:dyDescent="0.2">
      <c r="A118" t="str">
        <f t="shared" si="4"/>
        <v>Magiekunde</v>
      </c>
      <c r="H118">
        <v>1</v>
      </c>
      <c r="I118">
        <v>1</v>
      </c>
      <c r="K118">
        <v>1</v>
      </c>
      <c r="L118">
        <v>1</v>
      </c>
      <c r="M118">
        <v>1</v>
      </c>
      <c r="N118">
        <v>1</v>
      </c>
      <c r="O118">
        <v>1</v>
      </c>
      <c r="Q118">
        <v>1</v>
      </c>
      <c r="R118">
        <v>1</v>
      </c>
      <c r="S118">
        <v>1</v>
      </c>
      <c r="T118">
        <v>1</v>
      </c>
      <c r="U118">
        <v>1</v>
      </c>
      <c r="V118">
        <v>1</v>
      </c>
      <c r="W118">
        <v>1</v>
      </c>
      <c r="X118">
        <v>1</v>
      </c>
      <c r="Y118">
        <v>1</v>
      </c>
      <c r="Z118">
        <v>1</v>
      </c>
      <c r="AA118">
        <v>1</v>
      </c>
      <c r="AP118">
        <v>1</v>
      </c>
      <c r="AS118">
        <v>2</v>
      </c>
      <c r="AY118">
        <v>2</v>
      </c>
      <c r="BB118">
        <v>1</v>
      </c>
      <c r="BN118">
        <v>1</v>
      </c>
      <c r="BP118">
        <v>3</v>
      </c>
      <c r="BX118">
        <v>2</v>
      </c>
      <c r="BY118">
        <v>2</v>
      </c>
      <c r="DQ118">
        <v>2</v>
      </c>
      <c r="EC118">
        <v>1</v>
      </c>
      <c r="ED118">
        <v>1</v>
      </c>
    </row>
    <row r="119" spans="1:139" x14ac:dyDescent="0.2">
      <c r="A119" t="str">
        <f t="shared" si="4"/>
        <v>Mechanik</v>
      </c>
      <c r="I119">
        <v>3</v>
      </c>
      <c r="J119">
        <v>4</v>
      </c>
      <c r="BJ119">
        <v>4</v>
      </c>
      <c r="BK119">
        <v>3</v>
      </c>
      <c r="BP119">
        <v>3</v>
      </c>
      <c r="CB119">
        <v>2</v>
      </c>
      <c r="CG119">
        <v>2</v>
      </c>
      <c r="CH119">
        <v>2</v>
      </c>
      <c r="CK119">
        <v>3</v>
      </c>
      <c r="CL119">
        <v>3</v>
      </c>
      <c r="CS119">
        <v>3</v>
      </c>
      <c r="CW119">
        <v>2</v>
      </c>
      <c r="DM119">
        <v>4</v>
      </c>
      <c r="DN119">
        <v>3</v>
      </c>
    </row>
    <row r="120" spans="1:139" x14ac:dyDescent="0.2">
      <c r="A120" t="str">
        <f t="shared" si="4"/>
        <v>Pflanzenkunde</v>
      </c>
      <c r="S120">
        <v>1</v>
      </c>
      <c r="BB120">
        <v>1</v>
      </c>
      <c r="DS120">
        <v>1</v>
      </c>
      <c r="DT120">
        <v>1</v>
      </c>
      <c r="DV120">
        <v>1</v>
      </c>
      <c r="EA120">
        <v>1</v>
      </c>
      <c r="EC120">
        <v>2</v>
      </c>
      <c r="ED120">
        <v>2</v>
      </c>
    </row>
    <row r="121" spans="1:139" x14ac:dyDescent="0.2">
      <c r="A121" t="str">
        <f t="shared" si="4"/>
        <v>Philosophie</v>
      </c>
      <c r="AY121">
        <v>2</v>
      </c>
    </row>
    <row r="122" spans="1:139" x14ac:dyDescent="0.2">
      <c r="A122" t="str">
        <f t="shared" si="4"/>
        <v>Rechnen</v>
      </c>
      <c r="H122">
        <v>2</v>
      </c>
      <c r="I122">
        <v>4</v>
      </c>
      <c r="J122">
        <v>4</v>
      </c>
      <c r="K122">
        <v>2</v>
      </c>
      <c r="L122">
        <v>2</v>
      </c>
      <c r="M122">
        <v>2</v>
      </c>
      <c r="N122">
        <v>3</v>
      </c>
      <c r="O122">
        <v>2</v>
      </c>
      <c r="P122">
        <v>2</v>
      </c>
      <c r="Q122">
        <v>2</v>
      </c>
      <c r="R122">
        <v>3</v>
      </c>
      <c r="S122">
        <v>2</v>
      </c>
      <c r="T122">
        <v>3</v>
      </c>
      <c r="U122">
        <v>3</v>
      </c>
      <c r="V122">
        <v>3</v>
      </c>
      <c r="W122">
        <v>2</v>
      </c>
      <c r="X122">
        <v>2</v>
      </c>
      <c r="Y122">
        <v>2</v>
      </c>
      <c r="Z122">
        <v>4</v>
      </c>
      <c r="AA122">
        <v>4</v>
      </c>
      <c r="AB122">
        <v>1</v>
      </c>
      <c r="AC122">
        <v>1</v>
      </c>
      <c r="AD122">
        <v>1</v>
      </c>
      <c r="AE122">
        <v>1</v>
      </c>
      <c r="AF122">
        <v>1</v>
      </c>
      <c r="AH122">
        <v>1</v>
      </c>
      <c r="AJ122">
        <v>4</v>
      </c>
      <c r="AK122">
        <v>2</v>
      </c>
      <c r="AL122">
        <v>4</v>
      </c>
      <c r="AN122">
        <v>2</v>
      </c>
      <c r="AO122">
        <v>2</v>
      </c>
      <c r="AP122">
        <v>2</v>
      </c>
      <c r="AQ122">
        <v>2</v>
      </c>
      <c r="AR122">
        <v>2</v>
      </c>
      <c r="AS122">
        <v>2</v>
      </c>
      <c r="AT122">
        <v>2</v>
      </c>
      <c r="AU122">
        <v>2</v>
      </c>
      <c r="AV122">
        <v>2</v>
      </c>
      <c r="AW122">
        <v>2</v>
      </c>
      <c r="AX122">
        <v>2</v>
      </c>
      <c r="AY122">
        <v>2</v>
      </c>
      <c r="AZ122">
        <v>2</v>
      </c>
      <c r="BA122">
        <v>2</v>
      </c>
      <c r="BB122">
        <v>1</v>
      </c>
      <c r="BC122">
        <v>2</v>
      </c>
      <c r="BD122">
        <v>2</v>
      </c>
      <c r="BE122">
        <v>2</v>
      </c>
      <c r="BF122">
        <v>2</v>
      </c>
      <c r="BG122">
        <v>2</v>
      </c>
      <c r="BH122">
        <v>2</v>
      </c>
      <c r="BI122">
        <v>2</v>
      </c>
      <c r="BJ122">
        <v>4</v>
      </c>
      <c r="BK122">
        <v>2</v>
      </c>
      <c r="BL122">
        <v>2</v>
      </c>
      <c r="BM122">
        <v>2</v>
      </c>
      <c r="BN122">
        <v>2</v>
      </c>
      <c r="BO122">
        <v>2</v>
      </c>
      <c r="BP122">
        <v>2</v>
      </c>
      <c r="BQ122">
        <v>2</v>
      </c>
      <c r="BR122">
        <v>2</v>
      </c>
      <c r="BS122">
        <v>2</v>
      </c>
      <c r="BT122">
        <v>2</v>
      </c>
      <c r="BU122">
        <v>2</v>
      </c>
      <c r="BV122">
        <v>2</v>
      </c>
      <c r="BW122">
        <v>2</v>
      </c>
      <c r="BX122">
        <v>2</v>
      </c>
      <c r="BY122">
        <v>2</v>
      </c>
      <c r="BZ122">
        <v>2</v>
      </c>
      <c r="CA122">
        <v>2</v>
      </c>
      <c r="CB122">
        <v>2</v>
      </c>
      <c r="CE122">
        <v>2</v>
      </c>
      <c r="CF122">
        <v>2</v>
      </c>
      <c r="CG122">
        <v>2</v>
      </c>
      <c r="CH122">
        <v>2</v>
      </c>
      <c r="CI122">
        <v>2</v>
      </c>
      <c r="CJ122">
        <v>2</v>
      </c>
      <c r="CK122">
        <v>5</v>
      </c>
      <c r="CL122">
        <v>5</v>
      </c>
      <c r="CM122">
        <v>2</v>
      </c>
      <c r="CN122">
        <v>2</v>
      </c>
      <c r="CO122">
        <v>2</v>
      </c>
      <c r="CP122">
        <v>2</v>
      </c>
      <c r="CW122">
        <v>2</v>
      </c>
      <c r="DA122">
        <v>2</v>
      </c>
      <c r="DB122">
        <v>2</v>
      </c>
      <c r="DC122">
        <v>2</v>
      </c>
      <c r="DD122">
        <v>2</v>
      </c>
      <c r="DE122">
        <v>2</v>
      </c>
      <c r="DF122">
        <v>2</v>
      </c>
      <c r="DM122">
        <v>3</v>
      </c>
      <c r="DP122">
        <v>1</v>
      </c>
      <c r="EE122">
        <v>1</v>
      </c>
      <c r="EF122">
        <v>2</v>
      </c>
      <c r="EI122">
        <v>2</v>
      </c>
    </row>
    <row r="123" spans="1:139" x14ac:dyDescent="0.2">
      <c r="A123" t="str">
        <f t="shared" si="4"/>
        <v>Rechtskunde</v>
      </c>
      <c r="H123">
        <v>3</v>
      </c>
      <c r="I123">
        <v>3</v>
      </c>
      <c r="J123">
        <v>3</v>
      </c>
      <c r="K123">
        <v>3</v>
      </c>
      <c r="L123">
        <v>3</v>
      </c>
      <c r="M123">
        <v>3</v>
      </c>
      <c r="N123">
        <v>3</v>
      </c>
      <c r="O123">
        <v>3</v>
      </c>
      <c r="P123">
        <v>3</v>
      </c>
      <c r="Q123">
        <v>3</v>
      </c>
      <c r="R123">
        <v>3</v>
      </c>
      <c r="S123">
        <v>2</v>
      </c>
      <c r="T123">
        <v>3</v>
      </c>
      <c r="U123">
        <v>3</v>
      </c>
      <c r="V123">
        <v>3</v>
      </c>
      <c r="W123">
        <v>3</v>
      </c>
      <c r="X123">
        <v>3</v>
      </c>
      <c r="Y123">
        <v>3</v>
      </c>
      <c r="Z123">
        <v>4</v>
      </c>
      <c r="AA123">
        <v>4</v>
      </c>
      <c r="AB123">
        <v>4</v>
      </c>
      <c r="AC123">
        <v>3</v>
      </c>
      <c r="AD123">
        <v>2</v>
      </c>
      <c r="AE123">
        <v>2</v>
      </c>
      <c r="AF123">
        <v>3</v>
      </c>
      <c r="AG123">
        <v>2</v>
      </c>
      <c r="AH123">
        <v>4</v>
      </c>
      <c r="AJ123">
        <v>3</v>
      </c>
      <c r="AK123">
        <v>3</v>
      </c>
      <c r="AL123">
        <v>3</v>
      </c>
      <c r="AM123">
        <v>3</v>
      </c>
      <c r="AN123">
        <v>3</v>
      </c>
      <c r="AO123">
        <v>2</v>
      </c>
      <c r="AP123">
        <v>2</v>
      </c>
      <c r="AQ123">
        <v>3</v>
      </c>
      <c r="AR123">
        <v>2</v>
      </c>
      <c r="AS123">
        <v>2</v>
      </c>
      <c r="AT123">
        <v>2</v>
      </c>
      <c r="AU123">
        <v>3</v>
      </c>
      <c r="AV123">
        <v>2</v>
      </c>
      <c r="AW123">
        <v>2</v>
      </c>
      <c r="AX123">
        <v>2</v>
      </c>
      <c r="AY123">
        <v>1</v>
      </c>
      <c r="AZ123">
        <v>2</v>
      </c>
      <c r="BA123">
        <v>2</v>
      </c>
      <c r="BB123">
        <v>1</v>
      </c>
      <c r="BC123">
        <v>2</v>
      </c>
      <c r="BD123">
        <v>2</v>
      </c>
      <c r="BE123">
        <v>2</v>
      </c>
      <c r="BF123">
        <v>2</v>
      </c>
      <c r="BG123">
        <v>3</v>
      </c>
      <c r="BH123">
        <v>3</v>
      </c>
      <c r="BI123">
        <v>3</v>
      </c>
      <c r="BJ123">
        <v>3</v>
      </c>
      <c r="BK123">
        <v>3</v>
      </c>
      <c r="BL123">
        <v>3</v>
      </c>
      <c r="BM123">
        <v>3</v>
      </c>
      <c r="BN123">
        <v>2</v>
      </c>
      <c r="BO123">
        <v>2</v>
      </c>
      <c r="BP123">
        <v>1</v>
      </c>
      <c r="BQ123">
        <v>3</v>
      </c>
      <c r="BR123">
        <v>2</v>
      </c>
      <c r="BS123">
        <v>2</v>
      </c>
      <c r="BT123">
        <v>4</v>
      </c>
      <c r="BU123">
        <v>2</v>
      </c>
      <c r="BV123">
        <v>2</v>
      </c>
      <c r="BW123">
        <v>2</v>
      </c>
      <c r="BX123">
        <v>2</v>
      </c>
      <c r="BY123">
        <v>2</v>
      </c>
      <c r="BZ123">
        <v>2</v>
      </c>
      <c r="CA123">
        <v>2</v>
      </c>
      <c r="CB123">
        <v>1</v>
      </c>
      <c r="CC123">
        <v>1</v>
      </c>
      <c r="CD123">
        <v>1</v>
      </c>
      <c r="CE123">
        <v>1</v>
      </c>
      <c r="CF123">
        <v>1</v>
      </c>
      <c r="CG123">
        <v>1</v>
      </c>
      <c r="CH123">
        <v>1</v>
      </c>
      <c r="CI123">
        <v>1</v>
      </c>
      <c r="CJ123">
        <v>1</v>
      </c>
      <c r="CK123">
        <v>1</v>
      </c>
      <c r="CL123">
        <v>1</v>
      </c>
      <c r="CM123">
        <v>1</v>
      </c>
      <c r="CN123">
        <v>1</v>
      </c>
      <c r="CO123">
        <v>1</v>
      </c>
      <c r="CP123">
        <v>1</v>
      </c>
      <c r="CQ123">
        <v>1</v>
      </c>
      <c r="CR123">
        <v>1</v>
      </c>
      <c r="CS123">
        <v>1</v>
      </c>
      <c r="CT123">
        <v>1</v>
      </c>
      <c r="CU123">
        <v>1</v>
      </c>
      <c r="CV123">
        <v>1</v>
      </c>
      <c r="CW123">
        <v>1</v>
      </c>
      <c r="CX123">
        <v>1</v>
      </c>
      <c r="CY123">
        <v>1</v>
      </c>
      <c r="CZ123">
        <v>1</v>
      </c>
      <c r="DA123">
        <v>1</v>
      </c>
      <c r="DB123">
        <v>1</v>
      </c>
      <c r="DC123">
        <v>1</v>
      </c>
      <c r="DD123">
        <v>1</v>
      </c>
      <c r="DE123">
        <v>1</v>
      </c>
      <c r="DF123">
        <v>1</v>
      </c>
      <c r="DG123">
        <v>1</v>
      </c>
      <c r="DH123">
        <v>1</v>
      </c>
      <c r="DI123">
        <v>1</v>
      </c>
      <c r="DJ123">
        <v>1</v>
      </c>
      <c r="DK123">
        <v>1</v>
      </c>
      <c r="DL123">
        <v>1</v>
      </c>
      <c r="DM123">
        <v>1</v>
      </c>
      <c r="DN123">
        <v>1</v>
      </c>
      <c r="DO123">
        <v>1</v>
      </c>
      <c r="DP123">
        <v>1</v>
      </c>
      <c r="DQ123">
        <v>2</v>
      </c>
      <c r="DR123">
        <v>1</v>
      </c>
      <c r="EF123">
        <v>2</v>
      </c>
      <c r="EG123">
        <v>1</v>
      </c>
      <c r="EH123">
        <v>1</v>
      </c>
      <c r="EI123">
        <v>2</v>
      </c>
    </row>
    <row r="124" spans="1:139" x14ac:dyDescent="0.2">
      <c r="A124" t="str">
        <f t="shared" si="4"/>
        <v>Sagen/Legenden</v>
      </c>
      <c r="F124">
        <v>2</v>
      </c>
      <c r="H124">
        <v>1</v>
      </c>
      <c r="I124">
        <v>1</v>
      </c>
      <c r="J124">
        <v>1</v>
      </c>
      <c r="K124">
        <v>1</v>
      </c>
      <c r="L124">
        <v>1</v>
      </c>
      <c r="M124">
        <v>1</v>
      </c>
      <c r="N124">
        <v>1</v>
      </c>
      <c r="O124">
        <v>1</v>
      </c>
      <c r="P124">
        <v>1</v>
      </c>
      <c r="Q124">
        <v>1</v>
      </c>
      <c r="R124">
        <v>1</v>
      </c>
      <c r="S124">
        <v>2</v>
      </c>
      <c r="T124">
        <v>2</v>
      </c>
      <c r="U124">
        <v>2</v>
      </c>
      <c r="V124">
        <v>2</v>
      </c>
      <c r="W124">
        <v>2</v>
      </c>
      <c r="X124">
        <v>2</v>
      </c>
      <c r="Y124">
        <v>2</v>
      </c>
      <c r="AD124">
        <v>2</v>
      </c>
      <c r="AI124">
        <v>4</v>
      </c>
      <c r="AK124">
        <v>2</v>
      </c>
      <c r="AM124">
        <v>3</v>
      </c>
      <c r="AN124">
        <v>2</v>
      </c>
      <c r="AO124">
        <v>1</v>
      </c>
      <c r="AP124">
        <v>1</v>
      </c>
      <c r="AQ124">
        <v>1</v>
      </c>
      <c r="AR124">
        <v>4</v>
      </c>
      <c r="AS124">
        <v>1</v>
      </c>
      <c r="AT124">
        <v>1</v>
      </c>
      <c r="AU124">
        <v>1</v>
      </c>
      <c r="AV124">
        <v>1</v>
      </c>
      <c r="AW124">
        <v>1</v>
      </c>
      <c r="AX124">
        <v>2</v>
      </c>
      <c r="AY124">
        <v>2</v>
      </c>
      <c r="AZ124">
        <v>1</v>
      </c>
      <c r="BA124">
        <v>1</v>
      </c>
      <c r="BB124">
        <v>2</v>
      </c>
      <c r="BC124">
        <v>1</v>
      </c>
      <c r="BD124">
        <v>2</v>
      </c>
      <c r="BE124">
        <v>1</v>
      </c>
      <c r="BF124">
        <v>1</v>
      </c>
      <c r="BG124">
        <v>3</v>
      </c>
      <c r="BH124">
        <v>3</v>
      </c>
      <c r="BI124">
        <v>3</v>
      </c>
      <c r="BJ124">
        <v>3</v>
      </c>
      <c r="BK124">
        <v>3</v>
      </c>
      <c r="BL124">
        <v>3</v>
      </c>
      <c r="BM124">
        <v>3</v>
      </c>
      <c r="BN124">
        <v>1</v>
      </c>
      <c r="BO124">
        <v>2</v>
      </c>
      <c r="BP124">
        <v>4</v>
      </c>
      <c r="BQ124">
        <v>4</v>
      </c>
      <c r="BR124">
        <v>4</v>
      </c>
      <c r="BS124">
        <v>2</v>
      </c>
      <c r="BT124">
        <v>2</v>
      </c>
      <c r="BU124">
        <v>4</v>
      </c>
      <c r="BV124">
        <v>2</v>
      </c>
      <c r="BW124">
        <v>4</v>
      </c>
      <c r="BX124">
        <v>2</v>
      </c>
      <c r="BY124">
        <v>2</v>
      </c>
      <c r="BZ124">
        <v>2</v>
      </c>
      <c r="CA124">
        <v>2</v>
      </c>
      <c r="CB124">
        <v>1</v>
      </c>
      <c r="CC124">
        <v>1</v>
      </c>
      <c r="CD124">
        <v>1</v>
      </c>
      <c r="CE124">
        <v>1</v>
      </c>
      <c r="CF124">
        <v>1</v>
      </c>
      <c r="CG124">
        <v>1</v>
      </c>
      <c r="CH124">
        <v>1</v>
      </c>
      <c r="CI124">
        <v>1</v>
      </c>
      <c r="CJ124">
        <v>1</v>
      </c>
      <c r="CK124">
        <v>1</v>
      </c>
      <c r="CL124">
        <v>1</v>
      </c>
      <c r="CM124">
        <v>1</v>
      </c>
      <c r="CN124">
        <v>1</v>
      </c>
      <c r="CO124">
        <v>1</v>
      </c>
      <c r="CP124">
        <v>1</v>
      </c>
      <c r="CQ124">
        <v>1</v>
      </c>
      <c r="CR124">
        <v>1</v>
      </c>
      <c r="CS124">
        <v>1</v>
      </c>
      <c r="CT124">
        <v>1</v>
      </c>
      <c r="CU124">
        <v>1</v>
      </c>
      <c r="CV124">
        <v>1</v>
      </c>
      <c r="CW124">
        <v>2</v>
      </c>
      <c r="CX124">
        <v>2</v>
      </c>
      <c r="CY124">
        <v>1</v>
      </c>
      <c r="CZ124">
        <v>1</v>
      </c>
      <c r="DA124">
        <v>1</v>
      </c>
      <c r="DB124">
        <v>1</v>
      </c>
      <c r="DC124">
        <v>1</v>
      </c>
      <c r="DD124">
        <v>1</v>
      </c>
      <c r="DE124">
        <v>1</v>
      </c>
      <c r="DF124">
        <v>1</v>
      </c>
      <c r="DO124">
        <v>1</v>
      </c>
      <c r="DP124">
        <v>1</v>
      </c>
      <c r="DV124">
        <v>1</v>
      </c>
      <c r="DY124">
        <v>1</v>
      </c>
      <c r="DZ124">
        <v>1</v>
      </c>
      <c r="EE124">
        <v>2</v>
      </c>
      <c r="EF124">
        <v>1</v>
      </c>
      <c r="EG124">
        <v>1</v>
      </c>
      <c r="EI124">
        <v>2</v>
      </c>
    </row>
    <row r="125" spans="1:139" x14ac:dyDescent="0.2">
      <c r="A125" t="str">
        <f t="shared" si="4"/>
        <v>Schätzen</v>
      </c>
      <c r="T125">
        <v>2</v>
      </c>
      <c r="V125">
        <v>2</v>
      </c>
      <c r="AB125">
        <v>3</v>
      </c>
      <c r="AC125">
        <v>1</v>
      </c>
      <c r="AE125">
        <v>3</v>
      </c>
      <c r="AF125">
        <v>3</v>
      </c>
      <c r="AH125">
        <v>1</v>
      </c>
      <c r="CE125">
        <v>1</v>
      </c>
      <c r="CF125">
        <v>1</v>
      </c>
      <c r="CG125">
        <v>1</v>
      </c>
      <c r="CH125">
        <v>1</v>
      </c>
      <c r="CI125">
        <v>1</v>
      </c>
      <c r="CJ125">
        <v>1</v>
      </c>
      <c r="CK125">
        <v>1</v>
      </c>
      <c r="CL125">
        <v>1</v>
      </c>
      <c r="CM125">
        <v>1</v>
      </c>
      <c r="CN125">
        <v>1</v>
      </c>
      <c r="CO125">
        <v>1</v>
      </c>
      <c r="CP125">
        <v>1</v>
      </c>
      <c r="DA125">
        <v>1</v>
      </c>
      <c r="DB125">
        <v>1</v>
      </c>
      <c r="DC125">
        <v>2</v>
      </c>
      <c r="DD125">
        <v>2</v>
      </c>
      <c r="DE125">
        <v>1</v>
      </c>
      <c r="DF125">
        <v>1</v>
      </c>
      <c r="DG125">
        <v>2</v>
      </c>
      <c r="DH125">
        <v>2</v>
      </c>
      <c r="DI125">
        <v>2</v>
      </c>
      <c r="DJ125">
        <v>2</v>
      </c>
      <c r="DK125">
        <v>2</v>
      </c>
      <c r="DL125">
        <v>2</v>
      </c>
      <c r="DM125">
        <v>2</v>
      </c>
      <c r="DN125">
        <v>2</v>
      </c>
      <c r="DO125">
        <v>2</v>
      </c>
      <c r="DP125">
        <v>2</v>
      </c>
      <c r="DQ125">
        <v>2</v>
      </c>
      <c r="DR125">
        <v>2</v>
      </c>
      <c r="EH125">
        <v>2</v>
      </c>
    </row>
    <row r="126" spans="1:139" x14ac:dyDescent="0.2">
      <c r="A126" t="str">
        <f t="shared" si="4"/>
        <v>Schiffbau</v>
      </c>
    </row>
    <row r="127" spans="1:139" x14ac:dyDescent="0.2">
      <c r="A127" t="str">
        <f t="shared" si="4"/>
        <v>Sprachenkunde</v>
      </c>
    </row>
    <row r="128" spans="1:139" x14ac:dyDescent="0.2">
      <c r="A128" t="str">
        <f t="shared" si="4"/>
        <v>Staatskunst</v>
      </c>
      <c r="H128">
        <v>2</v>
      </c>
      <c r="I128">
        <v>2</v>
      </c>
      <c r="J128">
        <v>2</v>
      </c>
      <c r="K128">
        <v>2</v>
      </c>
      <c r="L128">
        <v>2</v>
      </c>
      <c r="M128">
        <v>2</v>
      </c>
      <c r="N128">
        <v>2</v>
      </c>
      <c r="O128">
        <v>2</v>
      </c>
      <c r="P128">
        <v>2</v>
      </c>
      <c r="Q128">
        <v>2</v>
      </c>
      <c r="R128">
        <v>2</v>
      </c>
      <c r="S128">
        <v>1</v>
      </c>
      <c r="T128">
        <v>1</v>
      </c>
      <c r="U128">
        <v>1</v>
      </c>
      <c r="V128">
        <v>1</v>
      </c>
      <c r="W128">
        <v>1</v>
      </c>
      <c r="X128">
        <v>1</v>
      </c>
      <c r="Y128">
        <v>1</v>
      </c>
      <c r="Z128">
        <v>4</v>
      </c>
      <c r="AA128">
        <v>4</v>
      </c>
      <c r="AJ128">
        <v>3</v>
      </c>
      <c r="AL128">
        <v>3</v>
      </c>
      <c r="AQ128">
        <v>2</v>
      </c>
      <c r="AV128">
        <v>2</v>
      </c>
    </row>
    <row r="129" spans="1:138" x14ac:dyDescent="0.2">
      <c r="A129" t="str">
        <f t="shared" si="4"/>
        <v>Sternkunde</v>
      </c>
      <c r="T129">
        <v>4</v>
      </c>
      <c r="U129">
        <v>4</v>
      </c>
      <c r="V129">
        <v>4</v>
      </c>
      <c r="W129">
        <v>4</v>
      </c>
      <c r="X129">
        <v>4</v>
      </c>
      <c r="Y129">
        <v>4</v>
      </c>
      <c r="CW129">
        <v>1</v>
      </c>
      <c r="DC129">
        <v>2</v>
      </c>
      <c r="DD129">
        <v>2</v>
      </c>
    </row>
    <row r="130" spans="1:138" x14ac:dyDescent="0.2">
      <c r="A130" t="str">
        <f t="shared" si="4"/>
        <v>Tierkunde</v>
      </c>
      <c r="E130">
        <v>2</v>
      </c>
      <c r="O130">
        <v>3</v>
      </c>
      <c r="P130">
        <v>3</v>
      </c>
      <c r="Q130">
        <v>3</v>
      </c>
      <c r="R130">
        <v>3</v>
      </c>
      <c r="S130">
        <v>4</v>
      </c>
      <c r="AF130">
        <v>1</v>
      </c>
      <c r="AI130">
        <v>1</v>
      </c>
      <c r="AO130">
        <v>2</v>
      </c>
      <c r="AQ130">
        <v>3</v>
      </c>
      <c r="AT130">
        <v>3</v>
      </c>
      <c r="AV130">
        <v>3</v>
      </c>
      <c r="AW130">
        <v>3</v>
      </c>
      <c r="AX130">
        <v>2</v>
      </c>
      <c r="BB130">
        <v>3</v>
      </c>
      <c r="BC130">
        <v>4</v>
      </c>
      <c r="BE130">
        <v>2</v>
      </c>
      <c r="BF130">
        <v>2</v>
      </c>
      <c r="BI130">
        <v>1</v>
      </c>
      <c r="BO130">
        <v>2</v>
      </c>
      <c r="BP130">
        <v>4</v>
      </c>
      <c r="CD130">
        <v>2</v>
      </c>
      <c r="CI130">
        <v>1</v>
      </c>
      <c r="CJ130">
        <v>1</v>
      </c>
      <c r="CQ130">
        <v>2</v>
      </c>
      <c r="CU130">
        <v>2</v>
      </c>
      <c r="CY130">
        <v>2</v>
      </c>
      <c r="DC130">
        <v>1</v>
      </c>
      <c r="DD130">
        <v>1</v>
      </c>
      <c r="DG130">
        <v>2</v>
      </c>
      <c r="DH130">
        <v>2</v>
      </c>
      <c r="DI130">
        <v>3</v>
      </c>
      <c r="DJ130">
        <v>4</v>
      </c>
      <c r="DK130">
        <v>2</v>
      </c>
      <c r="DL130">
        <v>3</v>
      </c>
      <c r="DM130">
        <v>2</v>
      </c>
      <c r="DN130">
        <v>2</v>
      </c>
      <c r="DO130">
        <v>2</v>
      </c>
      <c r="DQ130">
        <v>2</v>
      </c>
      <c r="DR130">
        <v>2</v>
      </c>
      <c r="DS130">
        <v>1</v>
      </c>
      <c r="DT130">
        <v>1</v>
      </c>
      <c r="DU130">
        <v>2</v>
      </c>
      <c r="DV130">
        <v>1</v>
      </c>
      <c r="DW130">
        <v>2</v>
      </c>
      <c r="DX130">
        <v>2</v>
      </c>
      <c r="EA130">
        <v>2</v>
      </c>
      <c r="EB130">
        <v>2</v>
      </c>
      <c r="EC130">
        <v>2</v>
      </c>
      <c r="ED130">
        <v>2</v>
      </c>
      <c r="EH130">
        <v>2</v>
      </c>
    </row>
    <row r="131" spans="1:138" ht="12.75" customHeight="1" x14ac:dyDescent="0.2">
      <c r="A131" t="str">
        <f>INDEX(TL_HWK,ROW()-130)</f>
        <v>Abrichten</v>
      </c>
      <c r="B131" t="s">
        <v>3309</v>
      </c>
      <c r="O131">
        <v>2</v>
      </c>
      <c r="P131">
        <v>3</v>
      </c>
      <c r="Q131">
        <v>2</v>
      </c>
      <c r="R131">
        <v>2</v>
      </c>
      <c r="S131">
        <v>7</v>
      </c>
      <c r="AJ131">
        <v>2</v>
      </c>
      <c r="AK131">
        <v>2</v>
      </c>
      <c r="AL131">
        <v>2</v>
      </c>
      <c r="AM131">
        <v>2</v>
      </c>
      <c r="AN131">
        <v>2</v>
      </c>
      <c r="AQ131">
        <v>3</v>
      </c>
      <c r="AT131">
        <v>2</v>
      </c>
      <c r="BC131">
        <v>5</v>
      </c>
      <c r="BI131">
        <v>2</v>
      </c>
      <c r="BT131">
        <v>3</v>
      </c>
      <c r="CD131">
        <v>2</v>
      </c>
      <c r="CI131">
        <v>1</v>
      </c>
      <c r="CJ131">
        <v>1</v>
      </c>
      <c r="CY131">
        <v>2</v>
      </c>
      <c r="DI131">
        <v>2</v>
      </c>
      <c r="DJ131">
        <v>2</v>
      </c>
      <c r="DL131">
        <v>2</v>
      </c>
      <c r="DY131">
        <v>2</v>
      </c>
      <c r="DZ131">
        <v>2</v>
      </c>
      <c r="EA131">
        <v>2</v>
      </c>
    </row>
    <row r="132" spans="1:138" x14ac:dyDescent="0.2">
      <c r="A132" t="str">
        <f t="shared" ref="A132:A181" si="5">INDEX(TL_HWK,ROW()-130)</f>
        <v>Ackerbau</v>
      </c>
    </row>
    <row r="133" spans="1:138" x14ac:dyDescent="0.2">
      <c r="A133" t="str">
        <f t="shared" si="5"/>
        <v>Alchimie</v>
      </c>
    </row>
    <row r="134" spans="1:138" x14ac:dyDescent="0.2">
      <c r="A134" t="str">
        <f t="shared" si="5"/>
        <v>Bergbau</v>
      </c>
      <c r="BK134">
        <v>4</v>
      </c>
      <c r="CG134">
        <v>4</v>
      </c>
      <c r="CH134">
        <v>4</v>
      </c>
      <c r="CS134">
        <v>3</v>
      </c>
      <c r="DN134">
        <v>3</v>
      </c>
    </row>
    <row r="135" spans="1:138" x14ac:dyDescent="0.2">
      <c r="A135" t="str">
        <f t="shared" si="5"/>
        <v>Bogenbau</v>
      </c>
      <c r="BL135">
        <v>3</v>
      </c>
      <c r="CM135">
        <v>1</v>
      </c>
      <c r="CN135">
        <v>1</v>
      </c>
    </row>
    <row r="136" spans="1:138" x14ac:dyDescent="0.2">
      <c r="A136" t="str">
        <f t="shared" si="5"/>
        <v>Boote Fahren</v>
      </c>
      <c r="T136">
        <v>3</v>
      </c>
      <c r="U136">
        <v>3</v>
      </c>
      <c r="V136">
        <v>3</v>
      </c>
      <c r="W136">
        <v>3</v>
      </c>
      <c r="X136">
        <v>3</v>
      </c>
      <c r="Y136">
        <v>3</v>
      </c>
      <c r="AD136">
        <v>3</v>
      </c>
      <c r="AY136">
        <v>1</v>
      </c>
      <c r="BD136">
        <v>2</v>
      </c>
      <c r="BG136">
        <v>3</v>
      </c>
      <c r="BH136">
        <v>3</v>
      </c>
      <c r="BI136">
        <v>1</v>
      </c>
      <c r="BJ136">
        <v>3</v>
      </c>
      <c r="BK136">
        <v>3</v>
      </c>
      <c r="BL136">
        <v>3</v>
      </c>
      <c r="BM136">
        <v>7</v>
      </c>
      <c r="BO136">
        <v>1</v>
      </c>
      <c r="BR136">
        <v>1</v>
      </c>
      <c r="CE136">
        <v>4</v>
      </c>
      <c r="CG136">
        <v>4</v>
      </c>
      <c r="CI136">
        <v>4</v>
      </c>
      <c r="CK136">
        <v>5</v>
      </c>
      <c r="CL136">
        <v>1</v>
      </c>
      <c r="CM136">
        <v>4</v>
      </c>
      <c r="CO136">
        <v>7</v>
      </c>
      <c r="CP136">
        <v>3</v>
      </c>
      <c r="CX136">
        <v>3</v>
      </c>
      <c r="DA136">
        <v>4</v>
      </c>
      <c r="DC136">
        <v>6</v>
      </c>
      <c r="DD136">
        <v>5</v>
      </c>
      <c r="DE136">
        <v>7</v>
      </c>
      <c r="DF136">
        <v>3</v>
      </c>
      <c r="DO136">
        <v>3</v>
      </c>
      <c r="DP136">
        <v>4</v>
      </c>
      <c r="DS136">
        <v>2</v>
      </c>
      <c r="DT136">
        <v>2</v>
      </c>
      <c r="DU136">
        <v>2</v>
      </c>
    </row>
    <row r="137" spans="1:138" x14ac:dyDescent="0.2">
      <c r="A137" t="str">
        <f t="shared" si="5"/>
        <v>Brauer</v>
      </c>
    </row>
    <row r="138" spans="1:138" x14ac:dyDescent="0.2">
      <c r="A138" t="str">
        <f t="shared" si="5"/>
        <v>Drucker</v>
      </c>
    </row>
    <row r="139" spans="1:138" x14ac:dyDescent="0.2">
      <c r="A139" t="str">
        <f t="shared" si="5"/>
        <v>Eissegler Fahren</v>
      </c>
    </row>
    <row r="140" spans="1:138" x14ac:dyDescent="0.2">
      <c r="A140" t="str">
        <f t="shared" si="5"/>
        <v>Fahrzeug Lenken</v>
      </c>
      <c r="E140">
        <v>2</v>
      </c>
      <c r="I140">
        <v>2</v>
      </c>
      <c r="J140">
        <v>3</v>
      </c>
      <c r="K140">
        <v>2</v>
      </c>
      <c r="P140">
        <v>4</v>
      </c>
      <c r="S140">
        <v>2</v>
      </c>
      <c r="AF140">
        <v>2</v>
      </c>
      <c r="AH140">
        <v>2</v>
      </c>
      <c r="AI140">
        <v>2</v>
      </c>
      <c r="AQ140">
        <v>4</v>
      </c>
      <c r="AW140">
        <v>3</v>
      </c>
      <c r="BK140">
        <v>2</v>
      </c>
      <c r="CB140">
        <v>2</v>
      </c>
      <c r="CC140">
        <v>2</v>
      </c>
      <c r="CY140">
        <v>6</v>
      </c>
      <c r="DE140">
        <v>3</v>
      </c>
      <c r="DF140">
        <v>3</v>
      </c>
      <c r="DM140">
        <v>2</v>
      </c>
      <c r="DN140">
        <v>2</v>
      </c>
      <c r="DU140">
        <v>2</v>
      </c>
    </row>
    <row r="141" spans="1:138" x14ac:dyDescent="0.2">
      <c r="A141" t="str">
        <f t="shared" si="5"/>
        <v>Falschspiel</v>
      </c>
    </row>
    <row r="142" spans="1:138" x14ac:dyDescent="0.2">
      <c r="A142" t="str">
        <f t="shared" si="5"/>
        <v>Feinmechanik</v>
      </c>
      <c r="BU142">
        <v>2</v>
      </c>
    </row>
    <row r="143" spans="1:138" x14ac:dyDescent="0.2">
      <c r="A143" t="str">
        <f t="shared" si="5"/>
        <v>Feuersteinbearbeitung</v>
      </c>
      <c r="DV143">
        <v>3</v>
      </c>
      <c r="EE143">
        <v>3</v>
      </c>
    </row>
    <row r="144" spans="1:138" x14ac:dyDescent="0.2">
      <c r="A144" t="str">
        <f t="shared" si="5"/>
        <v>Fleischer</v>
      </c>
      <c r="DE144">
        <v>3</v>
      </c>
      <c r="DF144">
        <v>3</v>
      </c>
    </row>
    <row r="145" spans="1:139" x14ac:dyDescent="0.2">
      <c r="A145" t="str">
        <f t="shared" si="5"/>
        <v>Gerber/Kürschner</v>
      </c>
    </row>
    <row r="146" spans="1:139" x14ac:dyDescent="0.2">
      <c r="A146" t="str">
        <f t="shared" si="5"/>
        <v>Glaskunst</v>
      </c>
    </row>
    <row r="147" spans="1:139" x14ac:dyDescent="0.2">
      <c r="A147" t="str">
        <f t="shared" si="5"/>
        <v>Grobschmied</v>
      </c>
    </row>
    <row r="148" spans="1:139" x14ac:dyDescent="0.2">
      <c r="A148" t="str">
        <f t="shared" si="5"/>
        <v>Handel</v>
      </c>
      <c r="T148">
        <v>3</v>
      </c>
      <c r="V148">
        <v>3</v>
      </c>
    </row>
    <row r="149" spans="1:139" x14ac:dyDescent="0.2">
      <c r="A149" t="str">
        <f t="shared" si="5"/>
        <v>Hauswirtschaft</v>
      </c>
    </row>
    <row r="150" spans="1:139" x14ac:dyDescent="0.2">
      <c r="A150" t="str">
        <f t="shared" si="5"/>
        <v>Heilkunde Gift</v>
      </c>
      <c r="H150">
        <v>2</v>
      </c>
      <c r="L150">
        <v>1</v>
      </c>
      <c r="N150">
        <v>1</v>
      </c>
      <c r="S150">
        <v>1</v>
      </c>
      <c r="AZ150">
        <v>3</v>
      </c>
      <c r="BV150">
        <v>2</v>
      </c>
      <c r="DQ150">
        <v>2</v>
      </c>
      <c r="DS150">
        <v>1</v>
      </c>
      <c r="DT150">
        <v>2</v>
      </c>
      <c r="DW150">
        <v>2</v>
      </c>
      <c r="EC150">
        <v>2</v>
      </c>
      <c r="ED150">
        <v>2</v>
      </c>
    </row>
    <row r="151" spans="1:139" x14ac:dyDescent="0.2">
      <c r="A151" t="str">
        <f t="shared" si="5"/>
        <v>Heilkunde Krankheiten</v>
      </c>
      <c r="T151">
        <v>2</v>
      </c>
      <c r="U151">
        <v>2</v>
      </c>
      <c r="V151">
        <v>2</v>
      </c>
      <c r="W151">
        <v>2</v>
      </c>
      <c r="X151">
        <v>2</v>
      </c>
      <c r="Y151">
        <v>2</v>
      </c>
      <c r="BB151">
        <v>1</v>
      </c>
    </row>
    <row r="152" spans="1:139" x14ac:dyDescent="0.2">
      <c r="A152" t="str">
        <f t="shared" si="5"/>
        <v>Heilkunde Seele</v>
      </c>
    </row>
    <row r="153" spans="1:139" x14ac:dyDescent="0.2">
      <c r="A153" t="str">
        <f t="shared" si="5"/>
        <v>Heilkunde Wunden</v>
      </c>
      <c r="C153">
        <v>2</v>
      </c>
      <c r="D153">
        <v>1</v>
      </c>
      <c r="E153">
        <v>1</v>
      </c>
      <c r="F153">
        <v>2</v>
      </c>
      <c r="G153">
        <v>1</v>
      </c>
      <c r="H153">
        <v>2</v>
      </c>
      <c r="I153">
        <v>2</v>
      </c>
      <c r="J153">
        <v>2</v>
      </c>
      <c r="K153">
        <v>2</v>
      </c>
      <c r="L153">
        <v>2</v>
      </c>
      <c r="M153">
        <v>2</v>
      </c>
      <c r="N153">
        <v>2</v>
      </c>
      <c r="O153">
        <v>2</v>
      </c>
      <c r="P153">
        <v>1</v>
      </c>
      <c r="Q153">
        <v>2</v>
      </c>
      <c r="R153">
        <v>2</v>
      </c>
      <c r="S153">
        <v>2</v>
      </c>
      <c r="T153">
        <v>2</v>
      </c>
      <c r="U153">
        <v>2</v>
      </c>
      <c r="V153">
        <v>2</v>
      </c>
      <c r="W153">
        <v>2</v>
      </c>
      <c r="X153">
        <v>2</v>
      </c>
      <c r="Y153">
        <v>2</v>
      </c>
      <c r="Z153">
        <v>2</v>
      </c>
      <c r="AA153">
        <v>2</v>
      </c>
      <c r="AD153">
        <v>3</v>
      </c>
      <c r="AI153">
        <v>2</v>
      </c>
      <c r="AJ153">
        <v>2</v>
      </c>
      <c r="AK153">
        <v>2</v>
      </c>
      <c r="AL153">
        <v>2</v>
      </c>
      <c r="AM153">
        <v>2</v>
      </c>
      <c r="AN153">
        <v>2</v>
      </c>
      <c r="AO153">
        <v>3</v>
      </c>
      <c r="AP153">
        <v>3</v>
      </c>
      <c r="AQ153">
        <v>1</v>
      </c>
      <c r="AR153">
        <v>2</v>
      </c>
      <c r="AS153">
        <v>3</v>
      </c>
      <c r="AT153">
        <v>3</v>
      </c>
      <c r="AU153">
        <v>3</v>
      </c>
      <c r="AV153">
        <v>3</v>
      </c>
      <c r="AW153">
        <v>3</v>
      </c>
      <c r="AX153">
        <v>3</v>
      </c>
      <c r="AY153">
        <v>3</v>
      </c>
      <c r="AZ153">
        <v>3</v>
      </c>
      <c r="BA153">
        <v>3</v>
      </c>
      <c r="BB153">
        <v>3</v>
      </c>
      <c r="BC153">
        <v>2</v>
      </c>
      <c r="BD153">
        <v>3</v>
      </c>
      <c r="BE153">
        <v>3</v>
      </c>
      <c r="BF153">
        <v>3</v>
      </c>
      <c r="BG153">
        <v>3</v>
      </c>
      <c r="BH153">
        <v>3</v>
      </c>
      <c r="BI153">
        <v>3</v>
      </c>
      <c r="BJ153">
        <v>3</v>
      </c>
      <c r="BK153">
        <v>3</v>
      </c>
      <c r="BL153">
        <v>3</v>
      </c>
      <c r="BM153">
        <v>3</v>
      </c>
      <c r="BN153">
        <v>3</v>
      </c>
      <c r="BO153">
        <v>2</v>
      </c>
      <c r="BP153">
        <v>3</v>
      </c>
      <c r="BQ153">
        <v>2</v>
      </c>
      <c r="BR153">
        <v>2</v>
      </c>
      <c r="BS153">
        <v>3</v>
      </c>
      <c r="BT153">
        <v>2</v>
      </c>
      <c r="BU153">
        <v>2</v>
      </c>
      <c r="BV153">
        <v>2</v>
      </c>
      <c r="BW153">
        <v>4</v>
      </c>
      <c r="BX153">
        <v>3</v>
      </c>
      <c r="BY153">
        <v>3</v>
      </c>
      <c r="BZ153">
        <v>2</v>
      </c>
      <c r="CA153">
        <v>2</v>
      </c>
      <c r="CB153">
        <v>2</v>
      </c>
      <c r="CC153">
        <v>2</v>
      </c>
      <c r="CD153">
        <v>2</v>
      </c>
      <c r="CE153">
        <v>3</v>
      </c>
      <c r="CF153">
        <v>3</v>
      </c>
      <c r="CG153">
        <v>3</v>
      </c>
      <c r="CH153">
        <v>3</v>
      </c>
      <c r="CI153">
        <v>2</v>
      </c>
      <c r="CJ153">
        <v>2</v>
      </c>
      <c r="CK153">
        <v>2</v>
      </c>
      <c r="CL153">
        <v>2</v>
      </c>
      <c r="CM153">
        <v>2</v>
      </c>
      <c r="CN153">
        <v>2</v>
      </c>
      <c r="CO153">
        <v>2</v>
      </c>
      <c r="CP153">
        <v>2</v>
      </c>
      <c r="CQ153">
        <v>2</v>
      </c>
      <c r="CR153">
        <v>2</v>
      </c>
      <c r="CS153">
        <v>2</v>
      </c>
      <c r="CT153">
        <v>2</v>
      </c>
      <c r="CU153">
        <v>2</v>
      </c>
      <c r="CV153">
        <v>2</v>
      </c>
      <c r="CW153">
        <v>2</v>
      </c>
      <c r="CX153">
        <v>2</v>
      </c>
      <c r="CY153">
        <v>2</v>
      </c>
      <c r="CZ153">
        <v>2</v>
      </c>
      <c r="DA153">
        <v>2</v>
      </c>
      <c r="DB153">
        <v>2</v>
      </c>
      <c r="DC153">
        <v>2</v>
      </c>
      <c r="DD153">
        <v>2</v>
      </c>
      <c r="DE153">
        <v>2</v>
      </c>
      <c r="DF153">
        <v>2</v>
      </c>
      <c r="DG153">
        <v>2</v>
      </c>
      <c r="DH153">
        <v>2</v>
      </c>
      <c r="DI153">
        <v>2</v>
      </c>
      <c r="DJ153">
        <v>2</v>
      </c>
      <c r="DK153">
        <v>2</v>
      </c>
      <c r="DL153">
        <v>2</v>
      </c>
      <c r="DM153">
        <v>2</v>
      </c>
      <c r="DN153">
        <v>2</v>
      </c>
      <c r="DO153">
        <v>2</v>
      </c>
      <c r="DP153">
        <v>2</v>
      </c>
      <c r="DQ153">
        <v>2</v>
      </c>
      <c r="DR153">
        <v>2</v>
      </c>
      <c r="DS153">
        <v>2</v>
      </c>
      <c r="DT153">
        <v>2</v>
      </c>
      <c r="DU153">
        <v>3</v>
      </c>
      <c r="DV153">
        <v>3</v>
      </c>
      <c r="DW153">
        <v>3</v>
      </c>
      <c r="DX153">
        <v>3</v>
      </c>
      <c r="DY153">
        <v>3</v>
      </c>
      <c r="DZ153">
        <v>3</v>
      </c>
      <c r="EA153">
        <v>3</v>
      </c>
      <c r="EB153">
        <v>3</v>
      </c>
      <c r="EC153">
        <v>3</v>
      </c>
      <c r="ED153">
        <v>1</v>
      </c>
      <c r="EE153">
        <v>2</v>
      </c>
      <c r="EF153">
        <v>3</v>
      </c>
      <c r="EG153">
        <v>2</v>
      </c>
      <c r="EH153">
        <v>2</v>
      </c>
      <c r="EI153">
        <v>2</v>
      </c>
    </row>
    <row r="154" spans="1:139" x14ac:dyDescent="0.2">
      <c r="A154" t="str">
        <f t="shared" si="5"/>
        <v>Holzbearbeitung</v>
      </c>
      <c r="I154">
        <v>2</v>
      </c>
      <c r="J154">
        <v>4</v>
      </c>
      <c r="P154">
        <v>1</v>
      </c>
      <c r="T154">
        <v>1</v>
      </c>
      <c r="U154">
        <v>1</v>
      </c>
      <c r="V154">
        <v>1</v>
      </c>
      <c r="W154">
        <v>1</v>
      </c>
      <c r="X154">
        <v>1</v>
      </c>
      <c r="Y154">
        <v>1</v>
      </c>
      <c r="AD154">
        <v>1</v>
      </c>
      <c r="AQ154">
        <v>1</v>
      </c>
      <c r="BB154">
        <v>1</v>
      </c>
      <c r="BD154">
        <v>1</v>
      </c>
      <c r="BG154">
        <v>1</v>
      </c>
      <c r="BH154">
        <v>1</v>
      </c>
      <c r="BI154">
        <v>1</v>
      </c>
      <c r="BJ154">
        <v>3</v>
      </c>
      <c r="BK154">
        <v>3</v>
      </c>
      <c r="BL154">
        <v>1</v>
      </c>
      <c r="BM154">
        <v>1</v>
      </c>
      <c r="CA154">
        <v>2</v>
      </c>
      <c r="CB154">
        <v>4</v>
      </c>
      <c r="CC154">
        <v>1</v>
      </c>
      <c r="CD154">
        <v>1</v>
      </c>
      <c r="CG154">
        <v>2</v>
      </c>
      <c r="CH154">
        <v>2</v>
      </c>
      <c r="CK154">
        <v>2</v>
      </c>
      <c r="CL154">
        <v>2</v>
      </c>
      <c r="CQ154">
        <v>1</v>
      </c>
      <c r="CR154">
        <v>1</v>
      </c>
      <c r="CS154">
        <v>4</v>
      </c>
      <c r="CT154">
        <v>1</v>
      </c>
      <c r="CU154">
        <v>1</v>
      </c>
      <c r="CV154">
        <v>2</v>
      </c>
      <c r="CW154">
        <v>4</v>
      </c>
      <c r="CX154">
        <v>1</v>
      </c>
      <c r="CY154">
        <v>1</v>
      </c>
      <c r="CZ154">
        <v>1</v>
      </c>
      <c r="DC154">
        <v>3</v>
      </c>
      <c r="DD154">
        <v>2</v>
      </c>
      <c r="DG154">
        <v>3</v>
      </c>
      <c r="DH154">
        <v>3</v>
      </c>
      <c r="DI154">
        <v>3</v>
      </c>
      <c r="DJ154">
        <v>3</v>
      </c>
      <c r="DK154">
        <v>3</v>
      </c>
      <c r="DL154">
        <v>3</v>
      </c>
      <c r="DM154">
        <v>4</v>
      </c>
      <c r="DN154">
        <v>4</v>
      </c>
      <c r="DO154">
        <v>3</v>
      </c>
      <c r="DP154">
        <v>2</v>
      </c>
      <c r="DQ154">
        <v>1</v>
      </c>
      <c r="DR154">
        <v>3</v>
      </c>
      <c r="DS154">
        <v>1</v>
      </c>
      <c r="DT154">
        <v>1</v>
      </c>
      <c r="DV154">
        <v>1</v>
      </c>
      <c r="DY154">
        <v>2</v>
      </c>
      <c r="DZ154">
        <v>2</v>
      </c>
      <c r="EC154">
        <v>2</v>
      </c>
      <c r="ED154">
        <v>2</v>
      </c>
      <c r="EE154">
        <v>3</v>
      </c>
      <c r="EG154">
        <v>1</v>
      </c>
      <c r="EH154">
        <v>3</v>
      </c>
    </row>
    <row r="155" spans="1:139" x14ac:dyDescent="0.2">
      <c r="A155" t="str">
        <f t="shared" si="5"/>
        <v>Hundeschlitten Fahren</v>
      </c>
    </row>
    <row r="156" spans="1:139" x14ac:dyDescent="0.2">
      <c r="A156" t="str">
        <f t="shared" si="5"/>
        <v>Instrumentenbauer</v>
      </c>
    </row>
    <row r="157" spans="1:139" x14ac:dyDescent="0.2">
      <c r="A157" t="str">
        <f t="shared" si="5"/>
        <v>Kapellmeister</v>
      </c>
    </row>
    <row r="158" spans="1:139" x14ac:dyDescent="0.2">
      <c r="A158" t="str">
        <f t="shared" si="5"/>
        <v>Kartographie</v>
      </c>
      <c r="T158">
        <v>2</v>
      </c>
      <c r="U158">
        <v>3</v>
      </c>
      <c r="V158">
        <v>2</v>
      </c>
      <c r="W158">
        <v>2</v>
      </c>
      <c r="X158">
        <v>2</v>
      </c>
      <c r="Y158">
        <v>2</v>
      </c>
      <c r="Z158">
        <v>2</v>
      </c>
      <c r="AA158">
        <v>2</v>
      </c>
    </row>
    <row r="159" spans="1:139" x14ac:dyDescent="0.2">
      <c r="A159" t="str">
        <f t="shared" si="5"/>
        <v>Kochen</v>
      </c>
      <c r="BB159">
        <v>1</v>
      </c>
      <c r="CB159">
        <v>1</v>
      </c>
      <c r="CC159">
        <v>1</v>
      </c>
      <c r="CD159">
        <v>1</v>
      </c>
      <c r="CQ159">
        <v>1</v>
      </c>
      <c r="CR159">
        <v>1</v>
      </c>
      <c r="CS159">
        <v>1</v>
      </c>
      <c r="CT159">
        <v>1</v>
      </c>
      <c r="CU159">
        <v>1</v>
      </c>
      <c r="CV159">
        <v>1</v>
      </c>
      <c r="CW159">
        <v>1</v>
      </c>
      <c r="CX159">
        <v>1</v>
      </c>
      <c r="CY159">
        <v>1</v>
      </c>
      <c r="CZ159">
        <v>1</v>
      </c>
      <c r="DE159">
        <v>2</v>
      </c>
      <c r="DF159">
        <v>2</v>
      </c>
      <c r="DG159">
        <v>1</v>
      </c>
      <c r="DH159">
        <v>1</v>
      </c>
      <c r="DI159">
        <v>1</v>
      </c>
      <c r="DJ159">
        <v>1</v>
      </c>
      <c r="DK159">
        <v>1</v>
      </c>
      <c r="DL159">
        <v>1</v>
      </c>
      <c r="DM159">
        <v>1</v>
      </c>
      <c r="DN159">
        <v>1</v>
      </c>
      <c r="DO159">
        <v>1</v>
      </c>
      <c r="DR159">
        <v>1</v>
      </c>
      <c r="EG159">
        <v>1</v>
      </c>
      <c r="EH159">
        <v>1</v>
      </c>
    </row>
    <row r="160" spans="1:139" x14ac:dyDescent="0.2">
      <c r="A160" t="str">
        <f t="shared" si="5"/>
        <v>Kristallzüchter</v>
      </c>
    </row>
    <row r="161" spans="1:139" x14ac:dyDescent="0.2">
      <c r="A161" t="str">
        <f t="shared" si="5"/>
        <v>Lederarbeiten</v>
      </c>
      <c r="C161">
        <v>1</v>
      </c>
      <c r="I161">
        <v>2</v>
      </c>
      <c r="J161">
        <v>2</v>
      </c>
      <c r="O161">
        <v>2</v>
      </c>
      <c r="Q161">
        <v>2</v>
      </c>
      <c r="R161">
        <v>2</v>
      </c>
      <c r="S161">
        <v>2</v>
      </c>
      <c r="AD161">
        <v>1</v>
      </c>
      <c r="AO161">
        <v>2</v>
      </c>
      <c r="AP161">
        <v>2</v>
      </c>
      <c r="AQ161">
        <v>2</v>
      </c>
      <c r="AS161">
        <v>2</v>
      </c>
      <c r="AT161">
        <v>2</v>
      </c>
      <c r="AU161">
        <v>2</v>
      </c>
      <c r="AV161">
        <v>2</v>
      </c>
      <c r="AX161">
        <v>2</v>
      </c>
      <c r="BA161">
        <v>2</v>
      </c>
      <c r="BB161">
        <v>2</v>
      </c>
      <c r="BC161">
        <v>2</v>
      </c>
      <c r="BD161">
        <v>1</v>
      </c>
      <c r="BE161">
        <v>2</v>
      </c>
      <c r="BF161">
        <v>1</v>
      </c>
      <c r="BG161">
        <v>2</v>
      </c>
      <c r="BH161">
        <v>2</v>
      </c>
      <c r="BI161">
        <v>3</v>
      </c>
      <c r="BJ161">
        <v>2</v>
      </c>
      <c r="BK161">
        <v>2</v>
      </c>
      <c r="BL161">
        <v>2</v>
      </c>
      <c r="BM161">
        <v>2</v>
      </c>
      <c r="BO161">
        <v>2</v>
      </c>
      <c r="BP161">
        <v>2</v>
      </c>
      <c r="CB161">
        <v>4</v>
      </c>
      <c r="CC161">
        <v>2</v>
      </c>
      <c r="CD161">
        <v>2</v>
      </c>
      <c r="CE161">
        <v>1</v>
      </c>
      <c r="CF161">
        <v>1</v>
      </c>
      <c r="CG161">
        <v>1</v>
      </c>
      <c r="CH161">
        <v>1</v>
      </c>
      <c r="CI161">
        <v>1</v>
      </c>
      <c r="CJ161">
        <v>1</v>
      </c>
      <c r="CQ161">
        <v>2</v>
      </c>
      <c r="CR161">
        <v>2</v>
      </c>
      <c r="CS161">
        <v>3</v>
      </c>
      <c r="CT161">
        <v>2</v>
      </c>
      <c r="CU161">
        <v>2</v>
      </c>
      <c r="CV161">
        <v>2</v>
      </c>
      <c r="CW161">
        <v>4</v>
      </c>
      <c r="CX161">
        <v>2</v>
      </c>
      <c r="CY161">
        <v>2</v>
      </c>
      <c r="CZ161">
        <v>2</v>
      </c>
      <c r="DE161">
        <v>2</v>
      </c>
      <c r="DF161">
        <v>2</v>
      </c>
      <c r="DG161">
        <v>2</v>
      </c>
      <c r="DH161">
        <v>2</v>
      </c>
      <c r="DI161">
        <v>3</v>
      </c>
      <c r="DJ161">
        <v>2</v>
      </c>
      <c r="DK161">
        <v>2</v>
      </c>
      <c r="DL161">
        <v>3</v>
      </c>
      <c r="DM161">
        <v>4</v>
      </c>
      <c r="DN161">
        <v>4</v>
      </c>
      <c r="DO161">
        <v>2</v>
      </c>
      <c r="DP161">
        <v>2</v>
      </c>
      <c r="DQ161">
        <v>2</v>
      </c>
      <c r="DR161">
        <v>2</v>
      </c>
      <c r="DS161">
        <v>2</v>
      </c>
      <c r="DT161">
        <v>2</v>
      </c>
      <c r="DV161">
        <v>3</v>
      </c>
      <c r="DY161">
        <v>2</v>
      </c>
      <c r="DZ161">
        <v>2</v>
      </c>
      <c r="EB161">
        <v>2</v>
      </c>
      <c r="EC161">
        <v>2</v>
      </c>
      <c r="ED161">
        <v>2</v>
      </c>
      <c r="EE161">
        <v>1</v>
      </c>
      <c r="EF161">
        <v>2</v>
      </c>
      <c r="EG161">
        <v>2</v>
      </c>
      <c r="EH161">
        <v>2</v>
      </c>
    </row>
    <row r="162" spans="1:139" x14ac:dyDescent="0.2">
      <c r="A162" t="str">
        <f t="shared" si="5"/>
        <v>Malen/Zeichnen</v>
      </c>
      <c r="T162">
        <v>4</v>
      </c>
      <c r="U162">
        <v>4</v>
      </c>
      <c r="V162">
        <v>4</v>
      </c>
      <c r="W162">
        <v>4</v>
      </c>
      <c r="X162">
        <v>4</v>
      </c>
      <c r="Y162">
        <v>4</v>
      </c>
      <c r="Z162">
        <v>4</v>
      </c>
      <c r="AA162">
        <v>4</v>
      </c>
      <c r="AI162">
        <v>2</v>
      </c>
      <c r="BK162">
        <v>2</v>
      </c>
      <c r="BQ162">
        <v>2</v>
      </c>
      <c r="BR162">
        <v>2</v>
      </c>
      <c r="BS162">
        <v>2</v>
      </c>
      <c r="BT162">
        <v>2</v>
      </c>
      <c r="BU162">
        <v>2</v>
      </c>
      <c r="BV162">
        <v>4</v>
      </c>
      <c r="BW162">
        <v>4</v>
      </c>
      <c r="BX162">
        <v>2</v>
      </c>
      <c r="BY162">
        <v>2</v>
      </c>
      <c r="BZ162">
        <v>2</v>
      </c>
      <c r="CA162">
        <v>2</v>
      </c>
      <c r="CG162">
        <v>2</v>
      </c>
      <c r="CH162">
        <v>2</v>
      </c>
      <c r="EI162">
        <v>2</v>
      </c>
    </row>
    <row r="163" spans="1:139" x14ac:dyDescent="0.2">
      <c r="A163" t="str">
        <f t="shared" si="5"/>
        <v>Maurer</v>
      </c>
    </row>
    <row r="164" spans="1:139" x14ac:dyDescent="0.2">
      <c r="A164" t="str">
        <f t="shared" si="5"/>
        <v>Metallguss</v>
      </c>
    </row>
    <row r="165" spans="1:139" x14ac:dyDescent="0.2">
      <c r="A165" t="str">
        <f t="shared" si="5"/>
        <v>Musizieren</v>
      </c>
      <c r="AK165">
        <v>2</v>
      </c>
      <c r="AM165">
        <v>2</v>
      </c>
      <c r="AN165">
        <v>2</v>
      </c>
      <c r="BS165">
        <v>3</v>
      </c>
      <c r="BU165">
        <v>2</v>
      </c>
      <c r="BW165">
        <v>4</v>
      </c>
    </row>
    <row r="166" spans="1:139" x14ac:dyDescent="0.2">
      <c r="A166" t="str">
        <f t="shared" si="5"/>
        <v>Schlösser Knacken</v>
      </c>
      <c r="AG166">
        <v>2</v>
      </c>
    </row>
    <row r="167" spans="1:139" x14ac:dyDescent="0.2">
      <c r="A167" t="str">
        <f t="shared" si="5"/>
        <v>Schnaps Brennen</v>
      </c>
    </row>
    <row r="168" spans="1:139" x14ac:dyDescent="0.2">
      <c r="A168" t="str">
        <f t="shared" si="5"/>
        <v>Schneidern</v>
      </c>
      <c r="AS168">
        <v>3</v>
      </c>
      <c r="BB168">
        <v>2</v>
      </c>
      <c r="BY168">
        <v>1</v>
      </c>
      <c r="CB168">
        <v>2</v>
      </c>
      <c r="CC168">
        <v>2</v>
      </c>
      <c r="CD168">
        <v>2</v>
      </c>
      <c r="CQ168">
        <v>2</v>
      </c>
      <c r="CR168">
        <v>2</v>
      </c>
      <c r="CS168">
        <v>2</v>
      </c>
      <c r="CT168">
        <v>2</v>
      </c>
      <c r="CU168">
        <v>2</v>
      </c>
      <c r="CV168">
        <v>2</v>
      </c>
      <c r="CW168">
        <v>2</v>
      </c>
      <c r="CX168">
        <v>2</v>
      </c>
      <c r="CY168">
        <v>2</v>
      </c>
      <c r="CZ168">
        <v>2</v>
      </c>
      <c r="DG168">
        <v>2</v>
      </c>
      <c r="DH168">
        <v>2</v>
      </c>
      <c r="DI168">
        <v>2</v>
      </c>
      <c r="DJ168">
        <v>2</v>
      </c>
      <c r="DK168">
        <v>2</v>
      </c>
      <c r="DL168">
        <v>2</v>
      </c>
      <c r="DM168">
        <v>2</v>
      </c>
      <c r="DN168">
        <v>2</v>
      </c>
      <c r="DO168">
        <v>2</v>
      </c>
      <c r="DQ168">
        <v>2</v>
      </c>
      <c r="DR168">
        <v>2</v>
      </c>
      <c r="DY168">
        <v>2</v>
      </c>
      <c r="DZ168">
        <v>2</v>
      </c>
      <c r="EG168">
        <v>2</v>
      </c>
      <c r="EH168">
        <v>2</v>
      </c>
    </row>
    <row r="169" spans="1:139" x14ac:dyDescent="0.2">
      <c r="A169" t="str">
        <f t="shared" si="5"/>
        <v>Seefahrt</v>
      </c>
      <c r="T169">
        <v>6</v>
      </c>
      <c r="U169">
        <v>6</v>
      </c>
      <c r="V169">
        <v>6</v>
      </c>
      <c r="W169">
        <v>6</v>
      </c>
      <c r="X169">
        <v>6</v>
      </c>
      <c r="Y169">
        <v>6</v>
      </c>
      <c r="BG169">
        <v>2</v>
      </c>
      <c r="BH169">
        <v>2</v>
      </c>
      <c r="BI169">
        <v>2</v>
      </c>
      <c r="BJ169">
        <v>2</v>
      </c>
      <c r="BK169">
        <v>2</v>
      </c>
      <c r="BL169">
        <v>2</v>
      </c>
      <c r="BM169">
        <v>5</v>
      </c>
      <c r="CE169">
        <v>2</v>
      </c>
      <c r="CG169">
        <v>2</v>
      </c>
      <c r="CI169">
        <v>2</v>
      </c>
      <c r="CK169">
        <v>2</v>
      </c>
      <c r="CM169">
        <v>2</v>
      </c>
      <c r="CO169">
        <v>3</v>
      </c>
      <c r="CP169">
        <v>1</v>
      </c>
      <c r="CW169">
        <v>2</v>
      </c>
      <c r="CX169">
        <v>2</v>
      </c>
      <c r="DA169">
        <v>2</v>
      </c>
      <c r="DC169">
        <v>4</v>
      </c>
      <c r="DD169">
        <v>3</v>
      </c>
      <c r="DE169">
        <v>2</v>
      </c>
      <c r="DO169">
        <v>4</v>
      </c>
      <c r="DP169">
        <v>4</v>
      </c>
    </row>
    <row r="170" spans="1:139" x14ac:dyDescent="0.2">
      <c r="A170" t="str">
        <f t="shared" si="5"/>
        <v>Seiler</v>
      </c>
      <c r="DC170">
        <v>3</v>
      </c>
      <c r="DD170">
        <v>3</v>
      </c>
    </row>
    <row r="171" spans="1:139" x14ac:dyDescent="0.2">
      <c r="A171" t="str">
        <f t="shared" si="5"/>
        <v>Steinmetz</v>
      </c>
    </row>
    <row r="172" spans="1:139" x14ac:dyDescent="0.2">
      <c r="A172" t="str">
        <f t="shared" si="5"/>
        <v>Steinschneider/Juwelier</v>
      </c>
    </row>
    <row r="173" spans="1:139" x14ac:dyDescent="0.2">
      <c r="A173" t="str">
        <f t="shared" si="5"/>
        <v>Stellmacher</v>
      </c>
    </row>
    <row r="174" spans="1:139" x14ac:dyDescent="0.2">
      <c r="A174" t="str">
        <f t="shared" si="5"/>
        <v>Steuermann</v>
      </c>
    </row>
    <row r="175" spans="1:139" x14ac:dyDescent="0.2">
      <c r="A175" t="str">
        <f t="shared" si="5"/>
        <v>Stoffe Färben</v>
      </c>
    </row>
    <row r="176" spans="1:139" x14ac:dyDescent="0.2">
      <c r="A176" t="str">
        <f t="shared" si="5"/>
        <v>Tätowieren</v>
      </c>
    </row>
    <row r="177" spans="1:108" x14ac:dyDescent="0.2">
      <c r="A177" t="str">
        <f t="shared" si="5"/>
        <v>Töpfern</v>
      </c>
    </row>
    <row r="178" spans="1:108" x14ac:dyDescent="0.2">
      <c r="A178" t="str">
        <f t="shared" si="5"/>
        <v>Viehzucht</v>
      </c>
    </row>
    <row r="179" spans="1:108" x14ac:dyDescent="0.2">
      <c r="A179" t="str">
        <f t="shared" si="5"/>
        <v>Webkunst</v>
      </c>
      <c r="DC179">
        <v>3</v>
      </c>
      <c r="DD179">
        <v>3</v>
      </c>
    </row>
    <row r="180" spans="1:108" x14ac:dyDescent="0.2">
      <c r="A180" t="str">
        <f t="shared" si="5"/>
        <v>Winzer</v>
      </c>
    </row>
    <row r="181" spans="1:108" x14ac:dyDescent="0.2">
      <c r="A181" t="str">
        <f t="shared" si="5"/>
        <v>Zimmermann</v>
      </c>
      <c r="BK181">
        <v>3</v>
      </c>
      <c r="CG181">
        <v>3</v>
      </c>
      <c r="CH181">
        <v>3</v>
      </c>
      <c r="DC181">
        <v>2</v>
      </c>
      <c r="DD181">
        <v>2</v>
      </c>
    </row>
    <row r="182" spans="1:108" ht="12.75" customHeight="1" x14ac:dyDescent="0.2">
      <c r="A182" t="str">
        <f t="shared" ref="A182:A227" si="6">INDEX(SPRACHEN,ROW()-IDX_S+1)</f>
        <v>Alaani ('Norbardisch')</v>
      </c>
      <c r="B182" t="s">
        <v>1642</v>
      </c>
      <c r="K182">
        <v>4</v>
      </c>
      <c r="AV182">
        <v>4</v>
      </c>
    </row>
    <row r="183" spans="1:108" x14ac:dyDescent="0.2">
      <c r="A183" t="str">
        <f t="shared" si="6"/>
        <v>Alberned (Dialekt)</v>
      </c>
    </row>
    <row r="184" spans="1:108" ht="12.75" customHeight="1" x14ac:dyDescent="0.2">
      <c r="A184" t="str">
        <f t="shared" si="6"/>
        <v>Andergastisch (Dialekt)</v>
      </c>
    </row>
    <row r="185" spans="1:108" x14ac:dyDescent="0.2">
      <c r="A185" t="str">
        <f t="shared" si="6"/>
        <v>Angram</v>
      </c>
    </row>
    <row r="186" spans="1:108" ht="12.75" customHeight="1" x14ac:dyDescent="0.2">
      <c r="A186" t="str">
        <f t="shared" si="6"/>
        <v>Asdharia</v>
      </c>
    </row>
    <row r="187" spans="1:108" x14ac:dyDescent="0.2">
      <c r="A187" t="str">
        <f t="shared" si="6"/>
        <v>Atak (inkl.  Schrift)</v>
      </c>
    </row>
    <row r="188" spans="1:108" ht="12.75" customHeight="1" x14ac:dyDescent="0.2">
      <c r="A188" t="str">
        <f t="shared" si="6"/>
        <v>Aureliani ('Altgüldenländisch')</v>
      </c>
    </row>
    <row r="189" spans="1:108" x14ac:dyDescent="0.2">
      <c r="A189" t="str">
        <f t="shared" si="6"/>
        <v>Bornländisch  (Dialekt)</v>
      </c>
    </row>
    <row r="190" spans="1:108" ht="12.75" customHeight="1" x14ac:dyDescent="0.2">
      <c r="A190" t="str">
        <f t="shared" si="6"/>
        <v>Bosparano</v>
      </c>
      <c r="Z190">
        <v>4</v>
      </c>
      <c r="AA190">
        <v>4</v>
      </c>
      <c r="AS190">
        <v>4</v>
      </c>
      <c r="BA190">
        <v>5</v>
      </c>
    </row>
    <row r="191" spans="1:108" x14ac:dyDescent="0.2">
      <c r="A191" t="str">
        <f t="shared" si="6"/>
        <v>Brabaci  (Dialekt)</v>
      </c>
    </row>
    <row r="192" spans="1:108" ht="12.75" customHeight="1" x14ac:dyDescent="0.2">
      <c r="A192" t="str">
        <f t="shared" si="6"/>
        <v>Charypto  (Dialekt)</v>
      </c>
    </row>
    <row r="193" spans="1:109" x14ac:dyDescent="0.2">
      <c r="A193" t="str">
        <f t="shared" si="6"/>
        <v>Drachisch</v>
      </c>
    </row>
    <row r="194" spans="1:109" ht="12.75" customHeight="1" x14ac:dyDescent="0.2">
      <c r="A194" t="str">
        <f t="shared" si="6"/>
        <v>Ferkina</v>
      </c>
    </row>
    <row r="195" spans="1:109" x14ac:dyDescent="0.2">
      <c r="A195" t="str">
        <f t="shared" si="6"/>
        <v>Fjarningsch</v>
      </c>
    </row>
    <row r="196" spans="1:109" ht="12.75" customHeight="1" x14ac:dyDescent="0.2">
      <c r="A196" t="str">
        <f t="shared" si="6"/>
        <v>Füchsisch (inkl. 'Schrift')</v>
      </c>
    </row>
    <row r="197" spans="1:109" x14ac:dyDescent="0.2">
      <c r="A197" t="str">
        <f t="shared" si="6"/>
        <v>Garethi</v>
      </c>
      <c r="BD197">
        <v>3</v>
      </c>
      <c r="BG197">
        <v>2</v>
      </c>
      <c r="BH197">
        <v>2</v>
      </c>
      <c r="BI197">
        <v>2</v>
      </c>
      <c r="BJ197">
        <v>2</v>
      </c>
      <c r="BK197">
        <v>2</v>
      </c>
      <c r="BL197">
        <v>2</v>
      </c>
      <c r="BM197">
        <v>2</v>
      </c>
      <c r="CE197">
        <v>2</v>
      </c>
      <c r="CG197">
        <v>2</v>
      </c>
      <c r="CI197">
        <v>2</v>
      </c>
      <c r="CK197">
        <v>2</v>
      </c>
      <c r="CM197">
        <v>2</v>
      </c>
      <c r="CO197">
        <v>2</v>
      </c>
      <c r="DA197">
        <v>2</v>
      </c>
      <c r="DC197">
        <v>2</v>
      </c>
      <c r="DD197">
        <v>4</v>
      </c>
      <c r="DE197">
        <v>2</v>
      </c>
    </row>
    <row r="198" spans="1:109" ht="12.75" customHeight="1" x14ac:dyDescent="0.2">
      <c r="A198" t="str">
        <f t="shared" si="6"/>
        <v>Gatamo  (Dialekt)</v>
      </c>
    </row>
    <row r="199" spans="1:109" x14ac:dyDescent="0.2">
      <c r="A199" t="str">
        <f t="shared" si="6"/>
        <v>Gjalskisch</v>
      </c>
    </row>
    <row r="200" spans="1:109" ht="12.75" customHeight="1" x14ac:dyDescent="0.2">
      <c r="A200" t="str">
        <f t="shared" si="6"/>
        <v>Goblinisch</v>
      </c>
    </row>
    <row r="201" spans="1:109" x14ac:dyDescent="0.2">
      <c r="A201" t="str">
        <f t="shared" si="6"/>
        <v>Grolmisch</v>
      </c>
    </row>
    <row r="202" spans="1:109" ht="12.75" customHeight="1" x14ac:dyDescent="0.2">
      <c r="A202" t="str">
        <f t="shared" si="6"/>
        <v>Hjaldingsch ('Saga-Thorwalsch')</v>
      </c>
    </row>
    <row r="203" spans="1:109" x14ac:dyDescent="0.2">
      <c r="A203" t="str">
        <f t="shared" si="6"/>
        <v>Horathi  (Dialekt)</v>
      </c>
    </row>
    <row r="204" spans="1:109" ht="12.75" customHeight="1" x14ac:dyDescent="0.2">
      <c r="A204" t="str">
        <f t="shared" si="6"/>
        <v>Isdira</v>
      </c>
    </row>
    <row r="205" spans="1:109" x14ac:dyDescent="0.2">
      <c r="A205" t="str">
        <f t="shared" si="6"/>
        <v>Koboldisch</v>
      </c>
    </row>
    <row r="206" spans="1:109" ht="12.75" customHeight="1" x14ac:dyDescent="0.2">
      <c r="A206" t="str">
        <f t="shared" si="6"/>
        <v>Mahrisch</v>
      </c>
    </row>
    <row r="207" spans="1:109" x14ac:dyDescent="0.2">
      <c r="A207" t="str">
        <f t="shared" si="6"/>
        <v>Maraskani  (Dialekt)</v>
      </c>
    </row>
    <row r="208" spans="1:109" ht="12.75" customHeight="1" x14ac:dyDescent="0.2">
      <c r="A208" t="str">
        <f t="shared" si="6"/>
        <v>Mohisch</v>
      </c>
    </row>
    <row r="209" spans="1:53" x14ac:dyDescent="0.2">
      <c r="A209" t="str">
        <f t="shared" si="6"/>
        <v>Molochisch</v>
      </c>
    </row>
    <row r="210" spans="1:53" ht="12.75" customHeight="1" x14ac:dyDescent="0.2">
      <c r="A210" t="str">
        <f t="shared" si="6"/>
        <v>Neckergesang</v>
      </c>
    </row>
    <row r="211" spans="1:53" x14ac:dyDescent="0.2">
      <c r="A211" t="str">
        <f t="shared" si="6"/>
        <v>Nujuka ('Nivesisch')</v>
      </c>
      <c r="K211">
        <v>4</v>
      </c>
    </row>
    <row r="212" spans="1:53" ht="12.75" customHeight="1" x14ac:dyDescent="0.2">
      <c r="A212" t="str">
        <f t="shared" si="6"/>
        <v>Oloarkh</v>
      </c>
      <c r="AD212">
        <v>2</v>
      </c>
    </row>
    <row r="213" spans="1:53" x14ac:dyDescent="0.2">
      <c r="A213" t="str">
        <f t="shared" si="6"/>
        <v>Ologhaijan ('Hochorkisch')</v>
      </c>
    </row>
    <row r="214" spans="1:53" ht="12.75" customHeight="1" x14ac:dyDescent="0.2">
      <c r="A214" t="str">
        <f t="shared" si="6"/>
        <v>Rabensprache</v>
      </c>
    </row>
    <row r="215" spans="1:53" x14ac:dyDescent="0.2">
      <c r="A215" t="str">
        <f t="shared" si="6"/>
        <v>Rissoal</v>
      </c>
    </row>
    <row r="216" spans="1:53" ht="12.75" customHeight="1" x14ac:dyDescent="0.2">
      <c r="A216" t="str">
        <f t="shared" si="6"/>
        <v>Rogolan</v>
      </c>
      <c r="I216">
        <v>4</v>
      </c>
    </row>
    <row r="217" spans="1:53" x14ac:dyDescent="0.2">
      <c r="A217" t="str">
        <f t="shared" si="6"/>
        <v>Rssahh</v>
      </c>
    </row>
    <row r="218" spans="1:53" ht="12.75" customHeight="1" x14ac:dyDescent="0.2">
      <c r="A218" t="str">
        <f t="shared" si="6"/>
        <v>Ruuz ('Ur-Maraskanisch' )</v>
      </c>
    </row>
    <row r="219" spans="1:53" x14ac:dyDescent="0.2">
      <c r="A219" t="str">
        <f t="shared" si="6"/>
        <v>Thorwalsch</v>
      </c>
    </row>
    <row r="220" spans="1:53" ht="12.75" customHeight="1" x14ac:dyDescent="0.2">
      <c r="A220" t="str">
        <f t="shared" si="6"/>
        <v>Trollisch</v>
      </c>
    </row>
    <row r="221" spans="1:53" x14ac:dyDescent="0.2">
      <c r="A221" t="str">
        <f t="shared" si="6"/>
        <v>Tulamidya</v>
      </c>
      <c r="AV221">
        <v>4</v>
      </c>
      <c r="BA221">
        <v>4</v>
      </c>
    </row>
    <row r="222" spans="1:53" ht="12.75" customHeight="1" x14ac:dyDescent="0.2">
      <c r="A222" t="str">
        <f t="shared" si="6"/>
        <v>Ur-Tulamidya</v>
      </c>
    </row>
    <row r="223" spans="1:53" x14ac:dyDescent="0.2">
      <c r="A223" t="str">
        <f t="shared" si="6"/>
        <v>Zelemja</v>
      </c>
    </row>
    <row r="224" spans="1:53" ht="12.75" customHeight="1" x14ac:dyDescent="0.2">
      <c r="A224" t="str">
        <f t="shared" si="6"/>
        <v>Zhayad</v>
      </c>
    </row>
    <row r="225" spans="1:134" x14ac:dyDescent="0.2">
      <c r="A225" t="str">
        <f t="shared" si="6"/>
        <v>Zhulchammaqra ('Trollzackisch')</v>
      </c>
    </row>
    <row r="226" spans="1:134" ht="12.75" customHeight="1" x14ac:dyDescent="0.2">
      <c r="A226" t="str">
        <f t="shared" si="6"/>
        <v>Z'Lit</v>
      </c>
    </row>
    <row r="227" spans="1:134" x14ac:dyDescent="0.2">
      <c r="A227" t="str">
        <f t="shared" si="6"/>
        <v>Zyklopäisch</v>
      </c>
    </row>
    <row r="228" spans="1:134" ht="21.75" customHeight="1" x14ac:dyDescent="0.2">
      <c r="A228" t="str">
        <f t="shared" ref="A228:A249" si="7">INDEX(SCHRIFTEN,ROW()-ROW($B$228)+1)</f>
        <v>Altes Alaani</v>
      </c>
      <c r="B228" t="s">
        <v>1642</v>
      </c>
    </row>
    <row r="229" spans="1:134" x14ac:dyDescent="0.2">
      <c r="A229" t="str">
        <f t="shared" si="7"/>
        <v>Amulashtra (mod./hist.)</v>
      </c>
    </row>
    <row r="230" spans="1:134" x14ac:dyDescent="0.2">
      <c r="A230" t="str">
        <f t="shared" si="7"/>
        <v>Angram</v>
      </c>
    </row>
    <row r="231" spans="1:134" x14ac:dyDescent="0.2">
      <c r="A231" t="str">
        <f t="shared" si="7"/>
        <v>Arkanil ('Rohalsschrift')</v>
      </c>
    </row>
    <row r="232" spans="1:134" x14ac:dyDescent="0.2">
      <c r="A232" t="str">
        <f t="shared" si="7"/>
        <v>Chrmk ('Zelemja')</v>
      </c>
      <c r="ED232">
        <v>5</v>
      </c>
    </row>
    <row r="233" spans="1:134" x14ac:dyDescent="0.2">
      <c r="A233" t="str">
        <f t="shared" si="7"/>
        <v>Chuchas ('Protozelemja')</v>
      </c>
    </row>
    <row r="234" spans="1:134" x14ac:dyDescent="0.2">
      <c r="A234" t="str">
        <f t="shared" si="7"/>
        <v>Drakhard-Zinken</v>
      </c>
    </row>
    <row r="235" spans="1:134" x14ac:dyDescent="0.2">
      <c r="A235" t="str">
        <f t="shared" si="7"/>
        <v>Drakned-Glyphen</v>
      </c>
    </row>
    <row r="236" spans="1:134" x14ac:dyDescent="0.2">
      <c r="A236" t="str">
        <f t="shared" si="7"/>
        <v>Gimaril</v>
      </c>
    </row>
    <row r="237" spans="1:134" x14ac:dyDescent="0.2">
      <c r="A237" t="str">
        <f t="shared" si="7"/>
        <v>Gjalskisch</v>
      </c>
    </row>
    <row r="238" spans="1:134" x14ac:dyDescent="0.2">
      <c r="A238" t="str">
        <f t="shared" si="7"/>
        <v>Hjaldingsche Runen</v>
      </c>
      <c r="AD238">
        <v>4</v>
      </c>
      <c r="BD238">
        <v>4</v>
      </c>
      <c r="BG238">
        <v>4</v>
      </c>
      <c r="BH238">
        <v>4</v>
      </c>
      <c r="BI238">
        <v>4</v>
      </c>
      <c r="BJ238">
        <v>4</v>
      </c>
      <c r="BK238">
        <v>4</v>
      </c>
      <c r="BL238">
        <v>4</v>
      </c>
      <c r="BM238">
        <v>4</v>
      </c>
    </row>
    <row r="239" spans="1:134" x14ac:dyDescent="0.2">
      <c r="A239" t="str">
        <f t="shared" si="7"/>
        <v>Imperiale Zeichen ('Altgüldenländisch')</v>
      </c>
    </row>
    <row r="240" spans="1:134" x14ac:dyDescent="0.2">
      <c r="A240" t="str">
        <f t="shared" si="7"/>
        <v>Isdira / Asdharia</v>
      </c>
    </row>
    <row r="241" spans="1:138" x14ac:dyDescent="0.2">
      <c r="A241" t="str">
        <f t="shared" si="7"/>
        <v>Kusliker Zeichen</v>
      </c>
      <c r="H241">
        <v>4</v>
      </c>
      <c r="I241">
        <v>4</v>
      </c>
      <c r="J241">
        <v>4</v>
      </c>
      <c r="K241">
        <v>4</v>
      </c>
      <c r="L241">
        <v>4</v>
      </c>
      <c r="M241">
        <v>4</v>
      </c>
      <c r="N241">
        <v>4</v>
      </c>
      <c r="O241">
        <v>4</v>
      </c>
      <c r="P241">
        <v>4</v>
      </c>
      <c r="Q241">
        <v>4</v>
      </c>
      <c r="R241">
        <v>4</v>
      </c>
      <c r="S241">
        <v>4</v>
      </c>
      <c r="T241">
        <v>4</v>
      </c>
      <c r="U241">
        <v>4</v>
      </c>
      <c r="V241">
        <v>4</v>
      </c>
      <c r="W241">
        <v>4</v>
      </c>
      <c r="X241">
        <v>4</v>
      </c>
      <c r="Y241">
        <v>4</v>
      </c>
      <c r="Z241">
        <v>4</v>
      </c>
      <c r="AA241">
        <v>4</v>
      </c>
      <c r="AO241">
        <v>4</v>
      </c>
      <c r="AP241">
        <v>4</v>
      </c>
      <c r="AR241">
        <v>4</v>
      </c>
      <c r="AS241">
        <v>7</v>
      </c>
      <c r="AT241">
        <v>4</v>
      </c>
      <c r="AU241">
        <v>4</v>
      </c>
      <c r="AV241">
        <v>8</v>
      </c>
      <c r="AW241">
        <v>4</v>
      </c>
      <c r="AX241">
        <v>4</v>
      </c>
      <c r="AY241">
        <v>4</v>
      </c>
      <c r="AZ241">
        <v>4</v>
      </c>
      <c r="BA241">
        <v>8</v>
      </c>
      <c r="BB241">
        <v>4</v>
      </c>
      <c r="BC241">
        <v>4</v>
      </c>
      <c r="BD241">
        <v>2</v>
      </c>
      <c r="BE241">
        <v>4</v>
      </c>
      <c r="BF241">
        <v>4</v>
      </c>
      <c r="BN241">
        <v>4</v>
      </c>
      <c r="BO241">
        <v>4</v>
      </c>
      <c r="EF241">
        <v>4</v>
      </c>
    </row>
    <row r="242" spans="1:138" x14ac:dyDescent="0.2">
      <c r="A242" t="str">
        <f t="shared" si="7"/>
        <v>Mahrische Glyphen</v>
      </c>
    </row>
    <row r="243" spans="1:138" x14ac:dyDescent="0.2">
      <c r="A243" t="str">
        <f t="shared" si="7"/>
        <v>Nanduria</v>
      </c>
    </row>
    <row r="244" spans="1:138" x14ac:dyDescent="0.2">
      <c r="A244" t="str">
        <f t="shared" si="7"/>
        <v>Rogolan</v>
      </c>
      <c r="I244">
        <v>4</v>
      </c>
      <c r="BP244">
        <v>4</v>
      </c>
    </row>
    <row r="245" spans="1:138" x14ac:dyDescent="0.2">
      <c r="A245" t="str">
        <f t="shared" si="7"/>
        <v>Trollische Raumbilderschrift</v>
      </c>
    </row>
    <row r="246" spans="1:138" x14ac:dyDescent="0.2">
      <c r="A246" t="str">
        <f t="shared" si="7"/>
        <v>Tulamidya</v>
      </c>
    </row>
    <row r="247" spans="1:138" x14ac:dyDescent="0.2">
      <c r="A247" t="str">
        <f t="shared" si="7"/>
        <v>Unauer Glyphen</v>
      </c>
      <c r="BT247">
        <v>4</v>
      </c>
    </row>
    <row r="248" spans="1:138" x14ac:dyDescent="0.2">
      <c r="A248" t="str">
        <f t="shared" si="7"/>
        <v>Ur-Tulamidya</v>
      </c>
    </row>
    <row r="249" spans="1:138" x14ac:dyDescent="0.2">
      <c r="A249" t="str">
        <f t="shared" si="7"/>
        <v>Zhayad</v>
      </c>
    </row>
    <row r="250" spans="1:138" x14ac:dyDescent="0.2">
      <c r="A250" t="s">
        <v>1319</v>
      </c>
      <c r="AD250" t="s">
        <v>3114</v>
      </c>
      <c r="AG250" t="s">
        <v>3112</v>
      </c>
      <c r="CE250" t="s">
        <v>3114</v>
      </c>
      <c r="CF250" t="s">
        <v>3114</v>
      </c>
      <c r="CG250" t="s">
        <v>3114</v>
      </c>
      <c r="CH250" t="s">
        <v>3114</v>
      </c>
      <c r="DS250" t="s">
        <v>3115</v>
      </c>
      <c r="DV250" t="s">
        <v>3112</v>
      </c>
      <c r="DX250" t="s">
        <v>3114</v>
      </c>
      <c r="DY250" t="s">
        <v>90</v>
      </c>
      <c r="DZ250" t="s">
        <v>90</v>
      </c>
      <c r="EB250" t="s">
        <v>3114</v>
      </c>
    </row>
    <row r="253" spans="1:138" x14ac:dyDescent="0.2">
      <c r="A253" t="s">
        <v>3592</v>
      </c>
      <c r="C253" t="s">
        <v>3251</v>
      </c>
      <c r="E253" t="s">
        <v>3254</v>
      </c>
      <c r="F253" t="s">
        <v>3254</v>
      </c>
      <c r="G253" t="s">
        <v>3249</v>
      </c>
      <c r="H253" t="s">
        <v>3252</v>
      </c>
      <c r="I253" t="s">
        <v>3252</v>
      </c>
      <c r="J253" t="s">
        <v>3252</v>
      </c>
      <c r="K253" t="s">
        <v>3252</v>
      </c>
      <c r="L253" t="s">
        <v>3252</v>
      </c>
      <c r="M253" t="s">
        <v>3252</v>
      </c>
      <c r="N253" t="s">
        <v>3250</v>
      </c>
      <c r="O253" t="s">
        <v>3252</v>
      </c>
      <c r="P253" t="s">
        <v>3250</v>
      </c>
      <c r="Q253" t="s">
        <v>3252</v>
      </c>
      <c r="R253" t="s">
        <v>3252</v>
      </c>
      <c r="S253" t="s">
        <v>3252</v>
      </c>
      <c r="T253" t="s">
        <v>3250</v>
      </c>
      <c r="U253" t="s">
        <v>3250</v>
      </c>
      <c r="V253" t="s">
        <v>3250</v>
      </c>
      <c r="W253" t="s">
        <v>3250</v>
      </c>
      <c r="X253" t="s">
        <v>3250</v>
      </c>
      <c r="Y253" t="s">
        <v>3250</v>
      </c>
      <c r="Z253" t="s">
        <v>3252</v>
      </c>
      <c r="AA253" t="s">
        <v>3252</v>
      </c>
      <c r="AB253" t="s">
        <v>3252</v>
      </c>
      <c r="AD253" t="s">
        <v>3250</v>
      </c>
      <c r="AE253" t="s">
        <v>3252</v>
      </c>
      <c r="AF253" t="s">
        <v>3252</v>
      </c>
      <c r="AG253" t="s">
        <v>5052</v>
      </c>
      <c r="AH253" t="s">
        <v>3252</v>
      </c>
      <c r="AI253" t="s">
        <v>3252</v>
      </c>
      <c r="AJ253" t="s">
        <v>3250</v>
      </c>
      <c r="AK253" t="s">
        <v>3250</v>
      </c>
      <c r="AL253" t="s">
        <v>3250</v>
      </c>
      <c r="AM253" t="s">
        <v>3250</v>
      </c>
      <c r="AN253" t="s">
        <v>3250</v>
      </c>
      <c r="AO253" t="s">
        <v>3250</v>
      </c>
      <c r="AP253" t="s">
        <v>3250</v>
      </c>
      <c r="AQ253" t="s">
        <v>3250</v>
      </c>
      <c r="AR253" t="s">
        <v>3250</v>
      </c>
      <c r="AS253" t="s">
        <v>3250</v>
      </c>
      <c r="AT253" t="s">
        <v>3250</v>
      </c>
      <c r="AU253" t="s">
        <v>3250</v>
      </c>
      <c r="AV253" t="s">
        <v>3250</v>
      </c>
      <c r="AW253" t="s">
        <v>3250</v>
      </c>
      <c r="AX253" t="s">
        <v>3250</v>
      </c>
      <c r="AY253" t="s">
        <v>5052</v>
      </c>
      <c r="AZ253" t="s">
        <v>3250</v>
      </c>
      <c r="BA253" t="s">
        <v>3250</v>
      </c>
      <c r="BB253" t="s">
        <v>3252</v>
      </c>
      <c r="BC253" t="s">
        <v>3250</v>
      </c>
      <c r="BD253" t="s">
        <v>3250</v>
      </c>
      <c r="BE253" t="s">
        <v>3250</v>
      </c>
      <c r="BF253" t="s">
        <v>1395</v>
      </c>
      <c r="BG253" t="s">
        <v>3250</v>
      </c>
      <c r="BH253" t="s">
        <v>3250</v>
      </c>
      <c r="BI253" t="s">
        <v>3250</v>
      </c>
      <c r="BJ253" t="s">
        <v>3250</v>
      </c>
      <c r="BK253" t="s">
        <v>3250</v>
      </c>
      <c r="BL253" t="s">
        <v>3250</v>
      </c>
      <c r="BM253" t="s">
        <v>3250</v>
      </c>
      <c r="BN253" t="s">
        <v>3250</v>
      </c>
      <c r="BO253" t="s">
        <v>3250</v>
      </c>
      <c r="BP253" t="s">
        <v>3252</v>
      </c>
      <c r="BQ253" t="s">
        <v>2211</v>
      </c>
      <c r="BR253" t="s">
        <v>2211</v>
      </c>
      <c r="BS253" t="s">
        <v>2211</v>
      </c>
      <c r="BT253" t="s">
        <v>5052</v>
      </c>
      <c r="BU253" t="s">
        <v>3250</v>
      </c>
      <c r="BV253" t="s">
        <v>5004</v>
      </c>
      <c r="BW253" t="s">
        <v>1395</v>
      </c>
      <c r="BX253" t="s">
        <v>3250</v>
      </c>
      <c r="BY253" t="s">
        <v>3250</v>
      </c>
      <c r="BZ253" t="s">
        <v>2211</v>
      </c>
      <c r="CA253" t="s">
        <v>1395</v>
      </c>
      <c r="CB253" t="s">
        <v>3252</v>
      </c>
      <c r="CC253" t="s">
        <v>3252</v>
      </c>
      <c r="CD253" t="s">
        <v>3252</v>
      </c>
      <c r="CE253" t="s">
        <v>3250</v>
      </c>
      <c r="CF253" t="s">
        <v>3250</v>
      </c>
      <c r="CG253" t="s">
        <v>3250</v>
      </c>
      <c r="CH253" t="s">
        <v>3250</v>
      </c>
      <c r="CI253" t="s">
        <v>3250</v>
      </c>
      <c r="CJ253" t="s">
        <v>3250</v>
      </c>
      <c r="CK253" t="s">
        <v>3250</v>
      </c>
      <c r="CL253" t="s">
        <v>3250</v>
      </c>
      <c r="CM253" t="s">
        <v>3250</v>
      </c>
      <c r="CN253" t="s">
        <v>3250</v>
      </c>
      <c r="CO253" t="s">
        <v>3250</v>
      </c>
      <c r="CP253" t="s">
        <v>3250</v>
      </c>
      <c r="CQ253" t="s">
        <v>3252</v>
      </c>
      <c r="CR253" t="s">
        <v>3252</v>
      </c>
      <c r="CS253" t="s">
        <v>3252</v>
      </c>
      <c r="CT253" t="s">
        <v>3252</v>
      </c>
      <c r="CU253" t="s">
        <v>3252</v>
      </c>
      <c r="CV253" t="s">
        <v>3252</v>
      </c>
      <c r="CW253" t="s">
        <v>3252</v>
      </c>
      <c r="CX253" t="s">
        <v>3252</v>
      </c>
      <c r="CY253" t="s">
        <v>3252</v>
      </c>
      <c r="CZ253" t="s">
        <v>3252</v>
      </c>
      <c r="DA253" t="s">
        <v>3250</v>
      </c>
      <c r="DB253" t="s">
        <v>3250</v>
      </c>
      <c r="DC253" t="s">
        <v>3250</v>
      </c>
      <c r="DD253" t="s">
        <v>3250</v>
      </c>
      <c r="DE253" t="s">
        <v>3250</v>
      </c>
      <c r="DF253" t="s">
        <v>3250</v>
      </c>
      <c r="DG253" t="s">
        <v>3252</v>
      </c>
      <c r="DI253" t="s">
        <v>3250</v>
      </c>
      <c r="DJ253" t="s">
        <v>3252</v>
      </c>
      <c r="DK253" t="s">
        <v>3252</v>
      </c>
      <c r="DL253" t="s">
        <v>3252</v>
      </c>
      <c r="DM253" t="s">
        <v>3252</v>
      </c>
      <c r="DN253" t="s">
        <v>3252</v>
      </c>
      <c r="DO253" t="s">
        <v>3252</v>
      </c>
      <c r="DP253" t="s">
        <v>3250</v>
      </c>
      <c r="DQ253" t="s">
        <v>3252</v>
      </c>
      <c r="DR253" t="s">
        <v>3252</v>
      </c>
      <c r="DS253" t="s">
        <v>5052</v>
      </c>
      <c r="DT253" t="s">
        <v>5052</v>
      </c>
      <c r="DU253" t="s">
        <v>3254</v>
      </c>
      <c r="DV253" t="s">
        <v>5051</v>
      </c>
      <c r="DW253" t="s">
        <v>5051</v>
      </c>
      <c r="DX253" t="s">
        <v>5051</v>
      </c>
      <c r="DY253" t="s">
        <v>3251</v>
      </c>
      <c r="DZ253" t="s">
        <v>3251</v>
      </c>
      <c r="EA253" t="s">
        <v>3249</v>
      </c>
      <c r="EB253" t="s">
        <v>3254</v>
      </c>
      <c r="EC253" t="s">
        <v>3253</v>
      </c>
      <c r="ED253" t="s">
        <v>3253</v>
      </c>
      <c r="EE253" t="s">
        <v>3163</v>
      </c>
      <c r="EF253" t="s">
        <v>3250</v>
      </c>
      <c r="EG253" t="s">
        <v>3252</v>
      </c>
      <c r="EH253" t="s">
        <v>3252</v>
      </c>
    </row>
    <row r="254" spans="1:138" x14ac:dyDescent="0.2">
      <c r="C254" t="s">
        <v>3252</v>
      </c>
      <c r="E254" t="s">
        <v>3250</v>
      </c>
      <c r="G254" t="s">
        <v>3254</v>
      </c>
      <c r="H254" t="s">
        <v>5050</v>
      </c>
      <c r="I254" t="s">
        <v>5050</v>
      </c>
      <c r="J254" t="s">
        <v>3249</v>
      </c>
      <c r="K254" t="s">
        <v>5050</v>
      </c>
      <c r="L254" t="s">
        <v>5050</v>
      </c>
      <c r="M254" t="s">
        <v>5050</v>
      </c>
      <c r="N254" t="s">
        <v>3252</v>
      </c>
      <c r="O254" t="s">
        <v>3251</v>
      </c>
      <c r="P254" t="s">
        <v>3251</v>
      </c>
      <c r="Q254" t="s">
        <v>3251</v>
      </c>
      <c r="R254" t="s">
        <v>3251</v>
      </c>
      <c r="S254" t="s">
        <v>3251</v>
      </c>
      <c r="T254" t="s">
        <v>5049</v>
      </c>
      <c r="U254" t="s">
        <v>5051</v>
      </c>
      <c r="V254" t="s">
        <v>5049</v>
      </c>
      <c r="W254" t="s">
        <v>5049</v>
      </c>
      <c r="X254" t="s">
        <v>5049</v>
      </c>
      <c r="Y254" t="s">
        <v>5049</v>
      </c>
      <c r="AD254" t="s">
        <v>3253</v>
      </c>
      <c r="AJ254" t="s">
        <v>3252</v>
      </c>
      <c r="AK254" t="s">
        <v>3252</v>
      </c>
      <c r="AL254" t="s">
        <v>3252</v>
      </c>
      <c r="AM254" t="s">
        <v>3252</v>
      </c>
      <c r="AN254" t="s">
        <v>3252</v>
      </c>
      <c r="AO254" t="s">
        <v>3252</v>
      </c>
      <c r="AP254" t="s">
        <v>3252</v>
      </c>
      <c r="AQ254" t="s">
        <v>3251</v>
      </c>
      <c r="AR254" t="s">
        <v>3252</v>
      </c>
      <c r="AS254" t="s">
        <v>3252</v>
      </c>
      <c r="AT254" t="s">
        <v>3252</v>
      </c>
      <c r="AU254" t="s">
        <v>3252</v>
      </c>
      <c r="AV254" t="s">
        <v>3252</v>
      </c>
      <c r="AW254" t="s">
        <v>3252</v>
      </c>
      <c r="AX254" t="s">
        <v>3252</v>
      </c>
      <c r="AY254" t="s">
        <v>3252</v>
      </c>
      <c r="AZ254" t="s">
        <v>3252</v>
      </c>
      <c r="BA254" t="s">
        <v>3252</v>
      </c>
      <c r="BC254" t="s">
        <v>3252</v>
      </c>
      <c r="BD254" t="s">
        <v>3252</v>
      </c>
      <c r="BE254" t="s">
        <v>3252</v>
      </c>
      <c r="BF254" t="s">
        <v>3252</v>
      </c>
      <c r="BG254" t="s">
        <v>3252</v>
      </c>
      <c r="BH254" t="s">
        <v>3252</v>
      </c>
      <c r="BI254" t="s">
        <v>3251</v>
      </c>
      <c r="BJ254" t="s">
        <v>3252</v>
      </c>
      <c r="BK254" t="s">
        <v>3252</v>
      </c>
      <c r="BL254" t="s">
        <v>3252</v>
      </c>
      <c r="BM254" t="s">
        <v>3252</v>
      </c>
      <c r="BN254" t="s">
        <v>3252</v>
      </c>
      <c r="BO254" t="s">
        <v>3252</v>
      </c>
      <c r="BQ254" t="s">
        <v>2039</v>
      </c>
      <c r="BR254" t="s">
        <v>5052</v>
      </c>
      <c r="BS254" t="s">
        <v>5052</v>
      </c>
      <c r="BT254" t="s">
        <v>3250</v>
      </c>
      <c r="BU254" t="s">
        <v>2039</v>
      </c>
      <c r="BV254" t="s">
        <v>2211</v>
      </c>
      <c r="BW254" t="s">
        <v>2211</v>
      </c>
      <c r="BX254" t="s">
        <v>3253</v>
      </c>
      <c r="BY254" t="s">
        <v>3254</v>
      </c>
      <c r="BZ254" t="s">
        <v>5052</v>
      </c>
      <c r="CA254" t="s">
        <v>2211</v>
      </c>
      <c r="CE254" t="s">
        <v>3252</v>
      </c>
      <c r="CF254" t="s">
        <v>3252</v>
      </c>
      <c r="CG254" t="s">
        <v>3252</v>
      </c>
      <c r="CH254" t="s">
        <v>3252</v>
      </c>
      <c r="CI254" t="s">
        <v>3251</v>
      </c>
      <c r="CJ254" t="s">
        <v>3251</v>
      </c>
      <c r="CK254" t="s">
        <v>3252</v>
      </c>
      <c r="CL254" t="s">
        <v>3252</v>
      </c>
      <c r="CM254" t="s">
        <v>3252</v>
      </c>
      <c r="CN254" t="s">
        <v>3252</v>
      </c>
      <c r="CO254" t="s">
        <v>3252</v>
      </c>
      <c r="CP254" t="s">
        <v>3252</v>
      </c>
      <c r="CQ254" t="s">
        <v>3251</v>
      </c>
      <c r="CR254" t="s">
        <v>3253</v>
      </c>
      <c r="CU254" t="s">
        <v>3251</v>
      </c>
      <c r="CV254" t="s">
        <v>5051</v>
      </c>
      <c r="DA254" t="s">
        <v>3252</v>
      </c>
      <c r="DB254" t="s">
        <v>3252</v>
      </c>
      <c r="DC254" t="s">
        <v>3252</v>
      </c>
      <c r="DD254" t="s">
        <v>3252</v>
      </c>
      <c r="DE254" t="s">
        <v>3252</v>
      </c>
      <c r="DF254" t="s">
        <v>3252</v>
      </c>
      <c r="DG254" t="s">
        <v>3254</v>
      </c>
      <c r="DH254" t="s">
        <v>3252</v>
      </c>
      <c r="DI254" t="s">
        <v>3251</v>
      </c>
      <c r="DJ254" t="s">
        <v>3250</v>
      </c>
      <c r="DL254" t="s">
        <v>3251</v>
      </c>
      <c r="DM254" t="s">
        <v>3679</v>
      </c>
      <c r="DP254" t="s">
        <v>3252</v>
      </c>
      <c r="DQ254" t="s">
        <v>3254</v>
      </c>
      <c r="DS254" t="s">
        <v>3249</v>
      </c>
      <c r="DT254" t="s">
        <v>3249</v>
      </c>
      <c r="DU254" t="s">
        <v>3252</v>
      </c>
      <c r="DX254" t="s">
        <v>4274</v>
      </c>
      <c r="EA254" t="s">
        <v>5052</v>
      </c>
      <c r="EB254" t="s">
        <v>4274</v>
      </c>
      <c r="EC254" t="s">
        <v>1393</v>
      </c>
      <c r="ED254" t="s">
        <v>5051</v>
      </c>
      <c r="EE254" t="s">
        <v>4274</v>
      </c>
      <c r="EF254" t="s">
        <v>3252</v>
      </c>
    </row>
    <row r="255" spans="1:138" x14ac:dyDescent="0.2">
      <c r="C255" t="s">
        <v>3253</v>
      </c>
      <c r="E255" t="s">
        <v>3252</v>
      </c>
      <c r="H255" t="s">
        <v>5051</v>
      </c>
      <c r="I255" t="s">
        <v>3250</v>
      </c>
      <c r="L255" t="s">
        <v>3250</v>
      </c>
      <c r="M255" t="s">
        <v>3250</v>
      </c>
      <c r="N255" t="s">
        <v>3253</v>
      </c>
      <c r="O255" t="s">
        <v>3455</v>
      </c>
      <c r="Q255" t="s">
        <v>3455</v>
      </c>
      <c r="R255" t="s">
        <v>3455</v>
      </c>
      <c r="S255" t="s">
        <v>3455</v>
      </c>
      <c r="AJ255" t="s">
        <v>3251</v>
      </c>
      <c r="AK255" t="s">
        <v>3251</v>
      </c>
      <c r="AL255" t="s">
        <v>3251</v>
      </c>
      <c r="AM255" t="s">
        <v>3251</v>
      </c>
      <c r="AN255" t="s">
        <v>3251</v>
      </c>
      <c r="AO255" t="s">
        <v>3253</v>
      </c>
      <c r="AP255" t="s">
        <v>3253</v>
      </c>
      <c r="AR255" t="s">
        <v>3251</v>
      </c>
      <c r="AS255" t="s">
        <v>3253</v>
      </c>
      <c r="AT255" t="s">
        <v>3253</v>
      </c>
      <c r="AU255" t="s">
        <v>3253</v>
      </c>
      <c r="AV255" t="s">
        <v>3253</v>
      </c>
      <c r="AW255" t="s">
        <v>3251</v>
      </c>
      <c r="AX255" t="s">
        <v>3253</v>
      </c>
      <c r="BC255" t="s">
        <v>3253</v>
      </c>
      <c r="BD255" t="s">
        <v>3253</v>
      </c>
      <c r="BE255" t="s">
        <v>3253</v>
      </c>
      <c r="BF255" t="s">
        <v>2211</v>
      </c>
      <c r="BG255" t="s">
        <v>3253</v>
      </c>
      <c r="BH255" t="s">
        <v>3253</v>
      </c>
      <c r="BI255" t="s">
        <v>3252</v>
      </c>
      <c r="BJ255" t="s">
        <v>3253</v>
      </c>
      <c r="BK255" t="s">
        <v>3253</v>
      </c>
      <c r="BL255" t="s">
        <v>1366</v>
      </c>
      <c r="BM255" t="s">
        <v>3253</v>
      </c>
      <c r="BN255" t="s">
        <v>5049</v>
      </c>
      <c r="BO255" t="s">
        <v>3253</v>
      </c>
      <c r="BQ255" t="s">
        <v>3249</v>
      </c>
      <c r="BR255" t="s">
        <v>3250</v>
      </c>
      <c r="BS255" t="s">
        <v>3250</v>
      </c>
      <c r="BT255" t="s">
        <v>2039</v>
      </c>
      <c r="BU255" t="s">
        <v>3249</v>
      </c>
      <c r="BV255" t="s">
        <v>5052</v>
      </c>
      <c r="BW255" t="s">
        <v>5052</v>
      </c>
      <c r="BX255" t="s">
        <v>5051</v>
      </c>
      <c r="BY255" t="s">
        <v>5051</v>
      </c>
      <c r="BZ255" t="s">
        <v>3250</v>
      </c>
      <c r="CA255" t="s">
        <v>5052</v>
      </c>
      <c r="CE255" t="s">
        <v>3253</v>
      </c>
      <c r="CF255" t="s">
        <v>3253</v>
      </c>
      <c r="CG255" t="s">
        <v>3253</v>
      </c>
      <c r="CH255" t="s">
        <v>3253</v>
      </c>
      <c r="CI255" t="s">
        <v>3252</v>
      </c>
      <c r="CJ255" t="s">
        <v>3252</v>
      </c>
      <c r="CK255" t="s">
        <v>3253</v>
      </c>
      <c r="CL255" t="s">
        <v>3253</v>
      </c>
      <c r="CM255" t="s">
        <v>1366</v>
      </c>
      <c r="CN255" t="s">
        <v>1366</v>
      </c>
      <c r="CO255" t="s">
        <v>3253</v>
      </c>
      <c r="CP255" t="s">
        <v>3253</v>
      </c>
      <c r="CR255" t="s">
        <v>3250</v>
      </c>
      <c r="CV255" t="s">
        <v>3254</v>
      </c>
      <c r="DA255" t="s">
        <v>3253</v>
      </c>
      <c r="DB255" t="s">
        <v>3253</v>
      </c>
      <c r="DC255" t="s">
        <v>3253</v>
      </c>
      <c r="DD255" t="s">
        <v>3253</v>
      </c>
      <c r="DE255" t="s">
        <v>3253</v>
      </c>
      <c r="DF255" t="s">
        <v>3253</v>
      </c>
      <c r="DG255" t="s">
        <v>5050</v>
      </c>
      <c r="DI255" t="s">
        <v>3252</v>
      </c>
      <c r="DJ255" t="s">
        <v>3251</v>
      </c>
      <c r="DP255" t="s">
        <v>3253</v>
      </c>
      <c r="DQ255" t="s">
        <v>1060</v>
      </c>
      <c r="DT255" t="s">
        <v>1393</v>
      </c>
      <c r="DU255" t="s">
        <v>4274</v>
      </c>
      <c r="EB255" t="s">
        <v>5051</v>
      </c>
      <c r="EC255" t="s">
        <v>3250</v>
      </c>
      <c r="ED255" t="s">
        <v>3250</v>
      </c>
      <c r="EE255" t="s">
        <v>5051</v>
      </c>
      <c r="EF255" t="s">
        <v>3253</v>
      </c>
    </row>
    <row r="256" spans="1:138" x14ac:dyDescent="0.2">
      <c r="C256" t="s">
        <v>3249</v>
      </c>
      <c r="I256" t="s">
        <v>3253</v>
      </c>
      <c r="L256" t="s">
        <v>3253</v>
      </c>
      <c r="M256" t="s">
        <v>3253</v>
      </c>
      <c r="N256" t="s">
        <v>5050</v>
      </c>
      <c r="AJ256" t="s">
        <v>3455</v>
      </c>
      <c r="AK256" t="s">
        <v>3455</v>
      </c>
      <c r="AM256" t="s">
        <v>5054</v>
      </c>
      <c r="AN256" t="s">
        <v>5051</v>
      </c>
      <c r="AR256" t="s">
        <v>3455</v>
      </c>
      <c r="AT256" t="s">
        <v>3251</v>
      </c>
      <c r="AU256" t="s">
        <v>5053</v>
      </c>
      <c r="AV256" t="s">
        <v>3251</v>
      </c>
      <c r="BC256" t="s">
        <v>3251</v>
      </c>
      <c r="BD256" t="s">
        <v>3254</v>
      </c>
      <c r="BI256" t="s">
        <v>3253</v>
      </c>
      <c r="BL256" t="s">
        <v>9214</v>
      </c>
      <c r="BO256" t="s">
        <v>5052</v>
      </c>
      <c r="BQ256" t="s">
        <v>3252</v>
      </c>
      <c r="BR256" t="s">
        <v>2039</v>
      </c>
      <c r="BS256" t="s">
        <v>2039</v>
      </c>
      <c r="BT256" t="s">
        <v>1395</v>
      </c>
      <c r="BU256" t="s">
        <v>3252</v>
      </c>
      <c r="BV256" t="s">
        <v>3250</v>
      </c>
      <c r="BW256" t="s">
        <v>3250</v>
      </c>
      <c r="BX256" t="s">
        <v>3252</v>
      </c>
      <c r="BY256" t="s">
        <v>5012</v>
      </c>
      <c r="BZ256" t="s">
        <v>2039</v>
      </c>
      <c r="CA256" t="s">
        <v>4274</v>
      </c>
      <c r="CE256" t="s">
        <v>4274</v>
      </c>
      <c r="CF256" t="s">
        <v>4274</v>
      </c>
      <c r="CG256" t="s">
        <v>4274</v>
      </c>
      <c r="CH256" t="s">
        <v>4274</v>
      </c>
      <c r="CI256" t="s">
        <v>3253</v>
      </c>
      <c r="CJ256" t="s">
        <v>3253</v>
      </c>
      <c r="CM256" t="s">
        <v>9214</v>
      </c>
      <c r="CN256" t="s">
        <v>9214</v>
      </c>
      <c r="CV256" t="s">
        <v>5050</v>
      </c>
      <c r="DI256" t="s">
        <v>3253</v>
      </c>
      <c r="DQ256" t="s">
        <v>5052</v>
      </c>
      <c r="DT256" t="s">
        <v>3457</v>
      </c>
      <c r="DU256" t="s">
        <v>5051</v>
      </c>
    </row>
    <row r="257" spans="1:124" x14ac:dyDescent="0.2">
      <c r="C257" t="s">
        <v>3250</v>
      </c>
      <c r="AJ257" t="s">
        <v>3253</v>
      </c>
      <c r="AK257" t="s">
        <v>3253</v>
      </c>
      <c r="AM257" t="s">
        <v>3253</v>
      </c>
      <c r="AT257" t="s">
        <v>5053</v>
      </c>
      <c r="BQ257" t="s">
        <v>3254</v>
      </c>
      <c r="BR257" t="s">
        <v>5049</v>
      </c>
      <c r="BS257" t="s">
        <v>1394</v>
      </c>
      <c r="BT257" t="s">
        <v>3251</v>
      </c>
      <c r="BU257" t="s">
        <v>3254</v>
      </c>
      <c r="BV257" t="s">
        <v>2039</v>
      </c>
      <c r="BW257" t="s">
        <v>2039</v>
      </c>
      <c r="BY257" t="s">
        <v>3252</v>
      </c>
      <c r="BZ257" t="s">
        <v>3253</v>
      </c>
      <c r="CA257" t="s">
        <v>5051</v>
      </c>
      <c r="CE257" t="s">
        <v>5051</v>
      </c>
      <c r="CF257" t="s">
        <v>5051</v>
      </c>
      <c r="CG257" t="s">
        <v>5051</v>
      </c>
      <c r="CH257" t="s">
        <v>5051</v>
      </c>
      <c r="DQ257" t="s">
        <v>1061</v>
      </c>
    </row>
    <row r="258" spans="1:124" x14ac:dyDescent="0.2">
      <c r="AK258" t="s">
        <v>5051</v>
      </c>
      <c r="AM258" t="s">
        <v>5051</v>
      </c>
      <c r="BQ258" t="s">
        <v>5051</v>
      </c>
      <c r="BR258" t="s">
        <v>5051</v>
      </c>
      <c r="BS258" t="s">
        <v>5049</v>
      </c>
      <c r="BT258" t="s">
        <v>3253</v>
      </c>
      <c r="BW258" t="s">
        <v>5049</v>
      </c>
      <c r="CA258" t="s">
        <v>3252</v>
      </c>
    </row>
    <row r="259" spans="1:124" x14ac:dyDescent="0.2">
      <c r="BR259" t="s">
        <v>1393</v>
      </c>
      <c r="BS259" t="s">
        <v>3249</v>
      </c>
      <c r="BT259" t="s">
        <v>2211</v>
      </c>
    </row>
    <row r="263" spans="1:124" x14ac:dyDescent="0.2">
      <c r="A263" t="s">
        <v>3630</v>
      </c>
      <c r="AE263" t="s">
        <v>1366</v>
      </c>
      <c r="CC263" t="s">
        <v>1366</v>
      </c>
      <c r="CD263" t="s">
        <v>1366</v>
      </c>
      <c r="CT263" t="s">
        <v>1366</v>
      </c>
      <c r="DK263" t="s">
        <v>1366</v>
      </c>
      <c r="DL263" t="s">
        <v>1367</v>
      </c>
    </row>
    <row r="264" spans="1:124" x14ac:dyDescent="0.2">
      <c r="CC264" t="s">
        <v>1367</v>
      </c>
      <c r="CD264" t="s">
        <v>1367</v>
      </c>
      <c r="DK264" t="s">
        <v>3162</v>
      </c>
    </row>
    <row r="266" spans="1:124" x14ac:dyDescent="0.2">
      <c r="A266" t="s">
        <v>3798</v>
      </c>
      <c r="T266" t="s">
        <v>3676</v>
      </c>
      <c r="U266" t="s">
        <v>3676</v>
      </c>
      <c r="V266" t="s">
        <v>3676</v>
      </c>
      <c r="W266" t="s">
        <v>3676</v>
      </c>
      <c r="X266" t="s">
        <v>3676</v>
      </c>
      <c r="Y266" t="s">
        <v>3676</v>
      </c>
      <c r="AB266" t="s">
        <v>2141</v>
      </c>
      <c r="AD266" t="s">
        <v>9203</v>
      </c>
      <c r="AE266" t="s">
        <v>2141</v>
      </c>
      <c r="AF266" t="s">
        <v>2141</v>
      </c>
      <c r="CS266" t="s">
        <v>1490</v>
      </c>
      <c r="CW266" t="s">
        <v>3676</v>
      </c>
      <c r="CX266" t="s">
        <v>3676</v>
      </c>
      <c r="DN266" t="s">
        <v>1490</v>
      </c>
      <c r="DO266" t="s">
        <v>3676</v>
      </c>
      <c r="DT266" t="s">
        <v>3676</v>
      </c>
    </row>
    <row r="271" spans="1:124" x14ac:dyDescent="0.2">
      <c r="A271" t="s">
        <v>320</v>
      </c>
    </row>
    <row r="278" spans="1:138" x14ac:dyDescent="0.2">
      <c r="A278" t="s">
        <v>782</v>
      </c>
    </row>
    <row r="280" spans="1:138" x14ac:dyDescent="0.2">
      <c r="A280" t="s">
        <v>2755</v>
      </c>
    </row>
    <row r="282" spans="1:138" x14ac:dyDescent="0.2">
      <c r="A282" t="s">
        <v>2768</v>
      </c>
      <c r="BB282" t="s">
        <v>3112</v>
      </c>
      <c r="BG282" t="s">
        <v>3114</v>
      </c>
      <c r="BH282" t="s">
        <v>3114</v>
      </c>
      <c r="BI282" t="s">
        <v>3114</v>
      </c>
      <c r="BJ282" t="s">
        <v>3114</v>
      </c>
      <c r="BK282" t="s">
        <v>3114</v>
      </c>
      <c r="BL282" t="s">
        <v>3114</v>
      </c>
      <c r="BM282" t="s">
        <v>3114</v>
      </c>
      <c r="BQ282" t="s">
        <v>3116</v>
      </c>
      <c r="BR282" t="s">
        <v>3116</v>
      </c>
      <c r="BS282" t="s">
        <v>3116</v>
      </c>
      <c r="BT282" t="s">
        <v>90</v>
      </c>
      <c r="BU282" t="s">
        <v>90</v>
      </c>
      <c r="BV282" t="s">
        <v>3116</v>
      </c>
      <c r="BW282" t="s">
        <v>90</v>
      </c>
      <c r="BZ282" t="s">
        <v>3116</v>
      </c>
      <c r="DR282" t="s">
        <v>3116</v>
      </c>
      <c r="DU282" t="s">
        <v>3114</v>
      </c>
    </row>
    <row r="285" spans="1:138" x14ac:dyDescent="0.2">
      <c r="A285" t="s">
        <v>3257</v>
      </c>
      <c r="C285" t="s">
        <v>1395</v>
      </c>
      <c r="D285" t="s">
        <v>3254</v>
      </c>
      <c r="E285" t="s">
        <v>3249</v>
      </c>
      <c r="F285" t="s">
        <v>2211</v>
      </c>
      <c r="G285" t="s">
        <v>91</v>
      </c>
      <c r="H285" t="s">
        <v>3254</v>
      </c>
      <c r="I285" t="s">
        <v>3254</v>
      </c>
      <c r="K285" t="s">
        <v>3254</v>
      </c>
      <c r="L285" t="s">
        <v>3254</v>
      </c>
      <c r="M285" t="s">
        <v>3254</v>
      </c>
      <c r="N285" t="s">
        <v>3254</v>
      </c>
      <c r="O285" t="s">
        <v>3254</v>
      </c>
      <c r="Q285" t="s">
        <v>3254</v>
      </c>
      <c r="S285" t="s">
        <v>3254</v>
      </c>
      <c r="T285" t="s">
        <v>3254</v>
      </c>
      <c r="U285" t="s">
        <v>3254</v>
      </c>
      <c r="V285" t="s">
        <v>3254</v>
      </c>
      <c r="W285" t="s">
        <v>3254</v>
      </c>
      <c r="X285" t="s">
        <v>3254</v>
      </c>
      <c r="Y285" t="s">
        <v>3254</v>
      </c>
      <c r="Z285" t="s">
        <v>3254</v>
      </c>
      <c r="AA285" t="s">
        <v>3254</v>
      </c>
      <c r="AB285" t="s">
        <v>3254</v>
      </c>
      <c r="AC285" t="s">
        <v>3254</v>
      </c>
      <c r="AD285" t="s">
        <v>3252</v>
      </c>
      <c r="AE285" t="s">
        <v>3254</v>
      </c>
      <c r="AF285" t="s">
        <v>3254</v>
      </c>
      <c r="AG285" t="s">
        <v>3254</v>
      </c>
      <c r="AH285" t="s">
        <v>3254</v>
      </c>
      <c r="AI285" t="s">
        <v>3254</v>
      </c>
      <c r="AJ285" t="s">
        <v>5054</v>
      </c>
      <c r="AK285" t="s">
        <v>5054</v>
      </c>
      <c r="AL285" t="s">
        <v>3253</v>
      </c>
      <c r="AM285" t="s">
        <v>5054</v>
      </c>
      <c r="AN285" t="s">
        <v>3253</v>
      </c>
      <c r="AQ285" t="s">
        <v>3254</v>
      </c>
      <c r="AR285" t="s">
        <v>5054</v>
      </c>
      <c r="AS285" t="s">
        <v>93</v>
      </c>
      <c r="AV285" t="s">
        <v>5054</v>
      </c>
      <c r="AW285" t="s">
        <v>5054</v>
      </c>
      <c r="BF285" t="s">
        <v>2039</v>
      </c>
      <c r="BG285" t="s">
        <v>3254</v>
      </c>
      <c r="BH285" t="s">
        <v>3254</v>
      </c>
      <c r="BI285" t="s">
        <v>3254</v>
      </c>
      <c r="BJ285" t="s">
        <v>3254</v>
      </c>
      <c r="BK285" t="s">
        <v>3254</v>
      </c>
      <c r="BL285" t="s">
        <v>3254</v>
      </c>
      <c r="BM285" t="s">
        <v>3254</v>
      </c>
      <c r="BN285" t="s">
        <v>2039</v>
      </c>
      <c r="BP285" t="s">
        <v>5000</v>
      </c>
      <c r="BQ285" t="s">
        <v>1395</v>
      </c>
      <c r="BR285" t="s">
        <v>3254</v>
      </c>
      <c r="BS285" t="s">
        <v>3254</v>
      </c>
      <c r="BT285" t="s">
        <v>3254</v>
      </c>
      <c r="BU285" t="s">
        <v>91</v>
      </c>
      <c r="BV285" t="s">
        <v>3254</v>
      </c>
      <c r="BW285" t="s">
        <v>3249</v>
      </c>
      <c r="BX285" t="s">
        <v>5002</v>
      </c>
      <c r="BY285" t="s">
        <v>5002</v>
      </c>
      <c r="BZ285" t="s">
        <v>1395</v>
      </c>
      <c r="CA285" t="s">
        <v>3254</v>
      </c>
      <c r="CB285" t="s">
        <v>3254</v>
      </c>
      <c r="CC285" t="s">
        <v>3254</v>
      </c>
      <c r="CD285" t="s">
        <v>3254</v>
      </c>
      <c r="CE285" t="s">
        <v>1060</v>
      </c>
      <c r="CF285" t="s">
        <v>1060</v>
      </c>
      <c r="CG285" t="s">
        <v>1060</v>
      </c>
      <c r="CH285" t="s">
        <v>1060</v>
      </c>
      <c r="CI285" t="s">
        <v>1393</v>
      </c>
      <c r="CJ285" t="s">
        <v>5054</v>
      </c>
      <c r="CK285" t="s">
        <v>1060</v>
      </c>
      <c r="CL285" t="s">
        <v>1060</v>
      </c>
      <c r="CM285" t="s">
        <v>3254</v>
      </c>
      <c r="CN285" t="s">
        <v>3254</v>
      </c>
      <c r="CO285" t="s">
        <v>3254</v>
      </c>
      <c r="CP285" t="s">
        <v>3254</v>
      </c>
      <c r="CQ285" t="s">
        <v>3254</v>
      </c>
      <c r="CR285" t="s">
        <v>3254</v>
      </c>
      <c r="CS285" t="s">
        <v>3254</v>
      </c>
      <c r="CT285" t="s">
        <v>3254</v>
      </c>
      <c r="CU285" t="s">
        <v>3254</v>
      </c>
      <c r="CV285" t="s">
        <v>5053</v>
      </c>
      <c r="CW285" t="s">
        <v>3254</v>
      </c>
      <c r="CX285" t="s">
        <v>3254</v>
      </c>
      <c r="CY285" t="s">
        <v>3254</v>
      </c>
      <c r="CZ285" t="s">
        <v>3250</v>
      </c>
      <c r="DA285" t="s">
        <v>1060</v>
      </c>
      <c r="DB285" t="s">
        <v>1060</v>
      </c>
      <c r="DC285" t="s">
        <v>1060</v>
      </c>
      <c r="DD285" t="s">
        <v>1060</v>
      </c>
      <c r="DE285" t="s">
        <v>1060</v>
      </c>
      <c r="DF285" t="s">
        <v>1060</v>
      </c>
      <c r="DG285" t="s">
        <v>5053</v>
      </c>
      <c r="DH285" t="s">
        <v>3254</v>
      </c>
      <c r="DI285" t="s">
        <v>3254</v>
      </c>
      <c r="DJ285" t="s">
        <v>3254</v>
      </c>
      <c r="DK285" t="s">
        <v>3254</v>
      </c>
      <c r="DL285" t="s">
        <v>3254</v>
      </c>
      <c r="DM285" t="s">
        <v>3254</v>
      </c>
      <c r="DN285" t="s">
        <v>3254</v>
      </c>
      <c r="DO285" t="s">
        <v>3254</v>
      </c>
      <c r="DP285" t="s">
        <v>1393</v>
      </c>
      <c r="DQ285" t="s">
        <v>5053</v>
      </c>
      <c r="DR285" t="s">
        <v>3254</v>
      </c>
      <c r="DS285" t="s">
        <v>3254</v>
      </c>
      <c r="DT285" t="s">
        <v>3254</v>
      </c>
      <c r="DU285" t="s">
        <v>5002</v>
      </c>
      <c r="DV285" t="s">
        <v>3254</v>
      </c>
      <c r="DW285" t="s">
        <v>1367</v>
      </c>
      <c r="DX285" t="s">
        <v>5002</v>
      </c>
      <c r="DY285" t="s">
        <v>1367</v>
      </c>
      <c r="DZ285" t="s">
        <v>1367</v>
      </c>
      <c r="EA285" t="s">
        <v>91</v>
      </c>
      <c r="EB285" t="s">
        <v>5052</v>
      </c>
      <c r="EC285" t="s">
        <v>5052</v>
      </c>
      <c r="ED285" t="s">
        <v>5052</v>
      </c>
      <c r="EE285" t="s">
        <v>3254</v>
      </c>
      <c r="EG285" t="s">
        <v>3254</v>
      </c>
      <c r="EH285" t="s">
        <v>3254</v>
      </c>
    </row>
    <row r="286" spans="1:138" x14ac:dyDescent="0.2">
      <c r="C286" t="s">
        <v>2211</v>
      </c>
      <c r="D286" t="s">
        <v>3249</v>
      </c>
      <c r="E286" t="s">
        <v>2211</v>
      </c>
      <c r="F286" t="s">
        <v>5052</v>
      </c>
      <c r="G286" t="s">
        <v>92</v>
      </c>
      <c r="H286" t="s">
        <v>3250</v>
      </c>
      <c r="I286" t="s">
        <v>3249</v>
      </c>
      <c r="K286" t="s">
        <v>3250</v>
      </c>
      <c r="L286" t="s">
        <v>5052</v>
      </c>
      <c r="M286" t="s">
        <v>5053</v>
      </c>
      <c r="N286" t="s">
        <v>5052</v>
      </c>
      <c r="O286" t="s">
        <v>5054</v>
      </c>
      <c r="Q286" t="s">
        <v>5054</v>
      </c>
      <c r="S286" t="s">
        <v>5054</v>
      </c>
      <c r="T286" t="s">
        <v>2211</v>
      </c>
      <c r="U286" t="s">
        <v>2211</v>
      </c>
      <c r="V286" t="s">
        <v>2211</v>
      </c>
      <c r="W286" t="s">
        <v>2211</v>
      </c>
      <c r="X286" t="s">
        <v>2211</v>
      </c>
      <c r="Y286" t="s">
        <v>2211</v>
      </c>
      <c r="Z286" t="s">
        <v>3250</v>
      </c>
      <c r="AA286" t="s">
        <v>3250</v>
      </c>
      <c r="AB286" t="s">
        <v>3249</v>
      </c>
      <c r="AC286" t="s">
        <v>3249</v>
      </c>
      <c r="AD286" t="s">
        <v>5051</v>
      </c>
      <c r="AE286" t="s">
        <v>3249</v>
      </c>
      <c r="AF286" t="s">
        <v>3249</v>
      </c>
      <c r="AG286" t="s">
        <v>3249</v>
      </c>
      <c r="AH286" t="s">
        <v>3249</v>
      </c>
      <c r="AI286" t="s">
        <v>3249</v>
      </c>
      <c r="AJ286" t="s">
        <v>5053</v>
      </c>
      <c r="AK286" t="s">
        <v>5053</v>
      </c>
      <c r="AM286" t="s">
        <v>5053</v>
      </c>
      <c r="AQ286" t="s">
        <v>3253</v>
      </c>
      <c r="AR286" t="s">
        <v>4999</v>
      </c>
      <c r="AW286" t="s">
        <v>3253</v>
      </c>
      <c r="BG286" t="s">
        <v>6303</v>
      </c>
      <c r="BH286" t="s">
        <v>1393</v>
      </c>
      <c r="BI286" t="s">
        <v>1393</v>
      </c>
      <c r="BJ286" t="s">
        <v>1393</v>
      </c>
      <c r="BK286" t="s">
        <v>1393</v>
      </c>
      <c r="BL286" t="s">
        <v>1367</v>
      </c>
      <c r="BM286" t="s">
        <v>1393</v>
      </c>
      <c r="BP286" t="s">
        <v>4999</v>
      </c>
      <c r="BQ286" t="s">
        <v>5002</v>
      </c>
      <c r="BR286" t="s">
        <v>1395</v>
      </c>
      <c r="BS286" t="s">
        <v>1395</v>
      </c>
      <c r="BT286" t="s">
        <v>3249</v>
      </c>
      <c r="BU286" t="s">
        <v>5002</v>
      </c>
      <c r="BV286" t="s">
        <v>1395</v>
      </c>
      <c r="BW286" t="s">
        <v>91</v>
      </c>
      <c r="BX286" t="s">
        <v>2211</v>
      </c>
      <c r="BY286" t="s">
        <v>2211</v>
      </c>
      <c r="BZ286" t="s">
        <v>3249</v>
      </c>
      <c r="CA286" t="s">
        <v>5002</v>
      </c>
      <c r="CB286" t="s">
        <v>5053</v>
      </c>
      <c r="CC286" t="s">
        <v>5053</v>
      </c>
      <c r="CD286" t="s">
        <v>5053</v>
      </c>
      <c r="CE286" t="s">
        <v>1393</v>
      </c>
      <c r="CG286" t="s">
        <v>1393</v>
      </c>
      <c r="CI286" t="s">
        <v>5054</v>
      </c>
      <c r="CJ286" t="s">
        <v>5051</v>
      </c>
      <c r="CK286" t="s">
        <v>1393</v>
      </c>
      <c r="CL286" t="s">
        <v>5051</v>
      </c>
      <c r="CM286" t="s">
        <v>1060</v>
      </c>
      <c r="CN286" t="s">
        <v>1060</v>
      </c>
      <c r="CO286" t="s">
        <v>1060</v>
      </c>
      <c r="CP286" t="s">
        <v>1060</v>
      </c>
      <c r="CQ286" t="s">
        <v>5053</v>
      </c>
      <c r="CR286" t="s">
        <v>5053</v>
      </c>
      <c r="CS286" t="s">
        <v>5053</v>
      </c>
      <c r="CT286" t="s">
        <v>5053</v>
      </c>
      <c r="CU286" t="s">
        <v>5053</v>
      </c>
      <c r="CV286" t="s">
        <v>4274</v>
      </c>
      <c r="CW286" t="s">
        <v>5053</v>
      </c>
      <c r="CX286" t="s">
        <v>5053</v>
      </c>
      <c r="CY286" t="s">
        <v>5053</v>
      </c>
      <c r="CZ286" t="s">
        <v>3253</v>
      </c>
      <c r="DA286" t="s">
        <v>1393</v>
      </c>
      <c r="DB286" t="s">
        <v>5051</v>
      </c>
      <c r="DC286" t="s">
        <v>1393</v>
      </c>
      <c r="DD286" t="s">
        <v>1393</v>
      </c>
      <c r="DE286" t="s">
        <v>1393</v>
      </c>
      <c r="DF286" t="s">
        <v>5051</v>
      </c>
      <c r="DG286" t="s">
        <v>4999</v>
      </c>
      <c r="DH286" t="s">
        <v>5053</v>
      </c>
      <c r="DI286" t="s">
        <v>5053</v>
      </c>
      <c r="DJ286" t="s">
        <v>5053</v>
      </c>
      <c r="DK286" t="s">
        <v>5053</v>
      </c>
      <c r="DL286" t="s">
        <v>5053</v>
      </c>
      <c r="DM286" t="s">
        <v>5053</v>
      </c>
      <c r="DN286" t="s">
        <v>5053</v>
      </c>
      <c r="DO286" t="s">
        <v>5053</v>
      </c>
      <c r="DR286" t="s">
        <v>5053</v>
      </c>
      <c r="DS286" t="s">
        <v>91</v>
      </c>
      <c r="DT286" t="s">
        <v>91</v>
      </c>
      <c r="DU286" t="s">
        <v>4999</v>
      </c>
      <c r="DV286" t="s">
        <v>5052</v>
      </c>
      <c r="DW286" t="s">
        <v>4999</v>
      </c>
      <c r="DX286" t="s">
        <v>4999</v>
      </c>
      <c r="DY286" t="s">
        <v>5052</v>
      </c>
      <c r="DZ286" t="s">
        <v>5052</v>
      </c>
      <c r="EA286" t="s">
        <v>3251</v>
      </c>
      <c r="EB286" t="s">
        <v>4999</v>
      </c>
      <c r="EC286" t="s">
        <v>2211</v>
      </c>
      <c r="ED286" t="s">
        <v>2211</v>
      </c>
      <c r="EE286" t="s">
        <v>3250</v>
      </c>
      <c r="EG286" t="s">
        <v>5053</v>
      </c>
      <c r="EH286" t="s">
        <v>5053</v>
      </c>
    </row>
    <row r="287" spans="1:138" x14ac:dyDescent="0.2">
      <c r="C287" t="s">
        <v>5052</v>
      </c>
      <c r="D287" t="s">
        <v>2211</v>
      </c>
      <c r="E287" t="s">
        <v>5052</v>
      </c>
      <c r="F287" t="s">
        <v>5051</v>
      </c>
      <c r="G287" t="s">
        <v>5013</v>
      </c>
      <c r="H287" t="s">
        <v>3253</v>
      </c>
      <c r="I287" t="s">
        <v>3679</v>
      </c>
      <c r="K287" t="s">
        <v>3253</v>
      </c>
      <c r="L287" t="s">
        <v>93</v>
      </c>
      <c r="M287" t="s">
        <v>93</v>
      </c>
      <c r="N287" t="s">
        <v>93</v>
      </c>
      <c r="S287" t="s">
        <v>3250</v>
      </c>
      <c r="T287" t="s">
        <v>1393</v>
      </c>
      <c r="U287" t="s">
        <v>1393</v>
      </c>
      <c r="V287" t="s">
        <v>1393</v>
      </c>
      <c r="W287" t="s">
        <v>1393</v>
      </c>
      <c r="X287" t="s">
        <v>1393</v>
      </c>
      <c r="Y287" t="s">
        <v>1393</v>
      </c>
      <c r="Z287" t="s">
        <v>5008</v>
      </c>
      <c r="AA287" t="s">
        <v>5053</v>
      </c>
      <c r="AB287" t="s">
        <v>5050</v>
      </c>
      <c r="AC287" t="s">
        <v>2039</v>
      </c>
      <c r="AE287" t="s">
        <v>5050</v>
      </c>
      <c r="AF287" t="s">
        <v>2039</v>
      </c>
      <c r="AG287" t="s">
        <v>2039</v>
      </c>
      <c r="AH287" t="s">
        <v>5050</v>
      </c>
      <c r="AI287" t="s">
        <v>2039</v>
      </c>
      <c r="AK287" t="s">
        <v>4999</v>
      </c>
      <c r="AM287" t="s">
        <v>4999</v>
      </c>
      <c r="AQ287" t="s">
        <v>5052</v>
      </c>
      <c r="AR287" t="s">
        <v>3253</v>
      </c>
      <c r="AW287" t="s">
        <v>3455</v>
      </c>
      <c r="BG287" t="s">
        <v>4999</v>
      </c>
      <c r="BH287" t="s">
        <v>4999</v>
      </c>
      <c r="BI287" t="s">
        <v>4999</v>
      </c>
      <c r="BJ287" t="s">
        <v>4999</v>
      </c>
      <c r="BK287" t="s">
        <v>4999</v>
      </c>
      <c r="BL287" t="s">
        <v>4999</v>
      </c>
      <c r="BM287" t="s">
        <v>4999</v>
      </c>
      <c r="BP287" t="s">
        <v>3163</v>
      </c>
      <c r="BQ287" t="s">
        <v>5006</v>
      </c>
      <c r="BR287" t="s">
        <v>3249</v>
      </c>
      <c r="BS287" t="s">
        <v>91</v>
      </c>
      <c r="BT287" t="s">
        <v>91</v>
      </c>
      <c r="BU287" t="s">
        <v>5006</v>
      </c>
      <c r="BV287" t="s">
        <v>3249</v>
      </c>
      <c r="BW287" t="s">
        <v>5006</v>
      </c>
      <c r="BX287" t="s">
        <v>2039</v>
      </c>
      <c r="BY287" t="s">
        <v>2039</v>
      </c>
      <c r="BZ287" t="s">
        <v>91</v>
      </c>
      <c r="CA287" t="s">
        <v>5006</v>
      </c>
      <c r="CB287" t="s">
        <v>3249</v>
      </c>
      <c r="CI287" t="s">
        <v>5051</v>
      </c>
      <c r="CK287" t="s">
        <v>5051</v>
      </c>
      <c r="CM287" t="s">
        <v>1393</v>
      </c>
      <c r="CN287" t="s">
        <v>3253</v>
      </c>
      <c r="CO287" t="s">
        <v>1393</v>
      </c>
      <c r="CP287" t="s">
        <v>5051</v>
      </c>
      <c r="CQ287" t="s">
        <v>5054</v>
      </c>
      <c r="CR287" t="s">
        <v>2039</v>
      </c>
      <c r="CS287" t="s">
        <v>3249</v>
      </c>
      <c r="CU287" t="s">
        <v>5054</v>
      </c>
      <c r="CW287" t="s">
        <v>3249</v>
      </c>
      <c r="CX287" t="s">
        <v>1393</v>
      </c>
      <c r="CY287" t="s">
        <v>5054</v>
      </c>
      <c r="CZ287" t="s">
        <v>5051</v>
      </c>
      <c r="DA287" t="s">
        <v>5051</v>
      </c>
      <c r="DC287" t="s">
        <v>5051</v>
      </c>
      <c r="DD287" t="s">
        <v>5051</v>
      </c>
      <c r="DE287" t="s">
        <v>5051</v>
      </c>
      <c r="DG287" t="s">
        <v>5001</v>
      </c>
      <c r="DI287" t="s">
        <v>93</v>
      </c>
      <c r="DJ287" t="s">
        <v>5054</v>
      </c>
      <c r="DR287" t="s">
        <v>3456</v>
      </c>
      <c r="DS287" t="s">
        <v>92</v>
      </c>
      <c r="DT287" t="s">
        <v>92</v>
      </c>
      <c r="DU287" t="s">
        <v>5001</v>
      </c>
      <c r="DV287" t="s">
        <v>4274</v>
      </c>
      <c r="DW287" t="s">
        <v>4274</v>
      </c>
      <c r="DX287" t="s">
        <v>5001</v>
      </c>
      <c r="DY287" t="s">
        <v>5054</v>
      </c>
      <c r="DZ287" t="s">
        <v>5054</v>
      </c>
      <c r="EE287" t="s">
        <v>3253</v>
      </c>
    </row>
    <row r="288" spans="1:138" x14ac:dyDescent="0.2">
      <c r="C288" t="s">
        <v>5014</v>
      </c>
      <c r="D288" t="s">
        <v>5051</v>
      </c>
      <c r="E288" t="s">
        <v>3253</v>
      </c>
      <c r="F288" t="s">
        <v>5003</v>
      </c>
      <c r="G288" t="s">
        <v>5052</v>
      </c>
      <c r="H288" t="s">
        <v>5053</v>
      </c>
      <c r="I288" t="s">
        <v>4999</v>
      </c>
      <c r="K288" t="s">
        <v>5053</v>
      </c>
      <c r="L288" t="s">
        <v>1061</v>
      </c>
      <c r="N288" t="s">
        <v>1061</v>
      </c>
      <c r="S288" t="s">
        <v>3253</v>
      </c>
      <c r="T288" t="s">
        <v>3252</v>
      </c>
      <c r="U288" t="s">
        <v>3252</v>
      </c>
      <c r="V288" t="s">
        <v>3252</v>
      </c>
      <c r="W288" t="s">
        <v>3252</v>
      </c>
      <c r="X288" t="s">
        <v>3252</v>
      </c>
      <c r="Y288" t="s">
        <v>3252</v>
      </c>
      <c r="Z288" t="s">
        <v>5050</v>
      </c>
      <c r="AA288" t="s">
        <v>3251</v>
      </c>
      <c r="AB288" t="s">
        <v>3250</v>
      </c>
      <c r="AC288" t="s">
        <v>5051</v>
      </c>
      <c r="AE288" t="s">
        <v>3250</v>
      </c>
      <c r="AF288" t="s">
        <v>5051</v>
      </c>
      <c r="AG288" t="s">
        <v>5051</v>
      </c>
      <c r="AH288" t="s">
        <v>2039</v>
      </c>
      <c r="AI288" t="s">
        <v>5051</v>
      </c>
      <c r="AK288" t="s">
        <v>5002</v>
      </c>
      <c r="AM288" t="s">
        <v>5002</v>
      </c>
      <c r="AQ288" t="s">
        <v>5054</v>
      </c>
      <c r="AR288" t="s">
        <v>5051</v>
      </c>
      <c r="BG288" t="s">
        <v>5051</v>
      </c>
      <c r="BH288" t="s">
        <v>5051</v>
      </c>
      <c r="BJ288" t="s">
        <v>5051</v>
      </c>
      <c r="BK288" t="s">
        <v>5051</v>
      </c>
      <c r="BL288" t="s">
        <v>3253</v>
      </c>
      <c r="BM288" t="s">
        <v>5051</v>
      </c>
      <c r="BP288" t="s">
        <v>4274</v>
      </c>
      <c r="BQ288" t="s">
        <v>5008</v>
      </c>
      <c r="BR288" t="s">
        <v>5013</v>
      </c>
      <c r="BS288" t="s">
        <v>5006</v>
      </c>
      <c r="BT288" t="s">
        <v>5006</v>
      </c>
      <c r="BU288" t="s">
        <v>5008</v>
      </c>
      <c r="BV288" t="s">
        <v>91</v>
      </c>
      <c r="BW288" t="s">
        <v>5014</v>
      </c>
      <c r="BX288" t="s">
        <v>4999</v>
      </c>
      <c r="BY288" t="s">
        <v>4999</v>
      </c>
      <c r="BZ288" t="s">
        <v>5006</v>
      </c>
      <c r="CA288" t="s">
        <v>5011</v>
      </c>
      <c r="CB288" t="s">
        <v>91</v>
      </c>
      <c r="CM288" t="s">
        <v>3253</v>
      </c>
      <c r="CN288" t="s">
        <v>5051</v>
      </c>
      <c r="CO288" t="s">
        <v>5051</v>
      </c>
      <c r="CQ288" t="s">
        <v>3250</v>
      </c>
      <c r="CS288" t="s">
        <v>1060</v>
      </c>
      <c r="CU288" t="s">
        <v>3253</v>
      </c>
      <c r="CW288" t="s">
        <v>3679</v>
      </c>
      <c r="CY288" t="s">
        <v>3251</v>
      </c>
      <c r="DG288" t="s">
        <v>4274</v>
      </c>
      <c r="DI288" t="s">
        <v>5054</v>
      </c>
      <c r="DJ288" t="s">
        <v>3253</v>
      </c>
    </row>
    <row r="289" spans="1:126" x14ac:dyDescent="0.2">
      <c r="C289" t="s">
        <v>5054</v>
      </c>
      <c r="D289" t="s">
        <v>3250</v>
      </c>
      <c r="E289" t="s">
        <v>5051</v>
      </c>
      <c r="H289" t="s">
        <v>1393</v>
      </c>
      <c r="I289" t="s">
        <v>93</v>
      </c>
      <c r="K289" t="s">
        <v>5051</v>
      </c>
      <c r="Z289" t="s">
        <v>3679</v>
      </c>
      <c r="AA289" t="s">
        <v>3253</v>
      </c>
      <c r="AB289" t="s">
        <v>2039</v>
      </c>
      <c r="AC289" t="s">
        <v>3250</v>
      </c>
      <c r="AE289" t="s">
        <v>2039</v>
      </c>
      <c r="AF289" t="s">
        <v>3250</v>
      </c>
      <c r="AH289" t="s">
        <v>5051</v>
      </c>
      <c r="AI289" t="s">
        <v>3250</v>
      </c>
      <c r="AM289" t="s">
        <v>3455</v>
      </c>
      <c r="AQ289" t="s">
        <v>3252</v>
      </c>
      <c r="BL289" t="s">
        <v>5051</v>
      </c>
      <c r="BP289" t="s">
        <v>5051</v>
      </c>
      <c r="BQ289" t="s">
        <v>1394</v>
      </c>
      <c r="BR289" t="s">
        <v>5006</v>
      </c>
      <c r="BS289" t="s">
        <v>5008</v>
      </c>
      <c r="BT289" t="s">
        <v>5014</v>
      </c>
      <c r="BU289" t="s">
        <v>4999</v>
      </c>
      <c r="BV289" t="s">
        <v>5005</v>
      </c>
      <c r="BW289" t="s">
        <v>4998</v>
      </c>
      <c r="BX289" t="s">
        <v>3251</v>
      </c>
      <c r="BY289" t="s">
        <v>3251</v>
      </c>
      <c r="BZ289" t="s">
        <v>1394</v>
      </c>
      <c r="CA289" t="s">
        <v>5013</v>
      </c>
      <c r="CB289" t="s">
        <v>3679</v>
      </c>
      <c r="CM289" t="s">
        <v>5051</v>
      </c>
      <c r="CQ289" t="s">
        <v>3253</v>
      </c>
      <c r="CS289" t="s">
        <v>5051</v>
      </c>
      <c r="DG289" t="s">
        <v>5051</v>
      </c>
    </row>
    <row r="290" spans="1:126" x14ac:dyDescent="0.2">
      <c r="C290" t="s">
        <v>1061</v>
      </c>
      <c r="D290" t="s">
        <v>5052</v>
      </c>
      <c r="I290" t="s">
        <v>4274</v>
      </c>
      <c r="Z290" t="s">
        <v>2039</v>
      </c>
      <c r="AB290" t="s">
        <v>3253</v>
      </c>
      <c r="AC290" t="s">
        <v>3253</v>
      </c>
      <c r="AE290" t="s">
        <v>3253</v>
      </c>
      <c r="AF290" t="s">
        <v>3253</v>
      </c>
      <c r="AH290" t="s">
        <v>3250</v>
      </c>
      <c r="AI290" t="s">
        <v>3251</v>
      </c>
      <c r="BQ290" t="s">
        <v>5011</v>
      </c>
      <c r="BR290" t="s">
        <v>5008</v>
      </c>
      <c r="BS290" t="s">
        <v>1060</v>
      </c>
      <c r="BT290" t="s">
        <v>5054</v>
      </c>
      <c r="BU290" t="s">
        <v>2211</v>
      </c>
      <c r="BV290" t="s">
        <v>5009</v>
      </c>
      <c r="BW290" t="s">
        <v>3453</v>
      </c>
      <c r="BX290" t="s">
        <v>5053</v>
      </c>
      <c r="BY290" t="s">
        <v>5052</v>
      </c>
      <c r="BZ290" t="s">
        <v>5011</v>
      </c>
      <c r="CA290" t="s">
        <v>5014</v>
      </c>
    </row>
    <row r="291" spans="1:126" x14ac:dyDescent="0.2">
      <c r="D291" t="s">
        <v>3253</v>
      </c>
      <c r="I291" t="s">
        <v>5051</v>
      </c>
      <c r="Z291" t="s">
        <v>5049</v>
      </c>
      <c r="AB291" t="s">
        <v>5051</v>
      </c>
      <c r="AE291" t="s">
        <v>5051</v>
      </c>
      <c r="AH291" t="s">
        <v>3253</v>
      </c>
      <c r="AI291" t="s">
        <v>3253</v>
      </c>
      <c r="BQ291" t="s">
        <v>5013</v>
      </c>
      <c r="BR291" t="s">
        <v>5011</v>
      </c>
      <c r="BS291" t="s">
        <v>5013</v>
      </c>
      <c r="BT291" t="s">
        <v>93</v>
      </c>
      <c r="BU291" t="s">
        <v>5011</v>
      </c>
      <c r="BV291" t="s">
        <v>5012</v>
      </c>
      <c r="BW291" t="s">
        <v>5051</v>
      </c>
      <c r="BX291" t="s">
        <v>93</v>
      </c>
      <c r="BZ291" t="s">
        <v>3251</v>
      </c>
      <c r="CA291" t="s">
        <v>3159</v>
      </c>
    </row>
    <row r="292" spans="1:126" x14ac:dyDescent="0.2">
      <c r="D292" t="s">
        <v>4999</v>
      </c>
      <c r="BQ292" t="s">
        <v>5052</v>
      </c>
      <c r="BR292" t="s">
        <v>3159</v>
      </c>
      <c r="BS292" t="s">
        <v>3159</v>
      </c>
      <c r="BU292" t="s">
        <v>5052</v>
      </c>
      <c r="BV292" t="s">
        <v>1060</v>
      </c>
      <c r="BZ292" t="s">
        <v>93</v>
      </c>
      <c r="CA292" t="s">
        <v>2039</v>
      </c>
    </row>
    <row r="293" spans="1:126" x14ac:dyDescent="0.2">
      <c r="D293" t="s">
        <v>3252</v>
      </c>
      <c r="BQ293" t="s">
        <v>5014</v>
      </c>
      <c r="BR293" t="s">
        <v>4998</v>
      </c>
      <c r="BS293" t="s">
        <v>3453</v>
      </c>
      <c r="BU293" t="s">
        <v>3253</v>
      </c>
      <c r="BV293" t="s">
        <v>1061</v>
      </c>
      <c r="BZ293" t="s">
        <v>1061</v>
      </c>
      <c r="CA293" t="s">
        <v>4999</v>
      </c>
    </row>
    <row r="294" spans="1:126" x14ac:dyDescent="0.2">
      <c r="BQ294" t="s">
        <v>3159</v>
      </c>
      <c r="BR294" t="s">
        <v>3253</v>
      </c>
      <c r="BS294" t="s">
        <v>4998</v>
      </c>
      <c r="BU294" t="s">
        <v>93</v>
      </c>
      <c r="BZ294" t="s">
        <v>3254</v>
      </c>
      <c r="CA294" t="s">
        <v>1061</v>
      </c>
    </row>
    <row r="295" spans="1:126" x14ac:dyDescent="0.2">
      <c r="BQ295" t="s">
        <v>3160</v>
      </c>
      <c r="BR295" t="s">
        <v>1061</v>
      </c>
      <c r="BS295" t="s">
        <v>1061</v>
      </c>
      <c r="BU295" t="s">
        <v>5051</v>
      </c>
      <c r="CA295" t="s">
        <v>3460</v>
      </c>
    </row>
    <row r="296" spans="1:126" x14ac:dyDescent="0.2">
      <c r="BQ296" t="s">
        <v>4999</v>
      </c>
    </row>
    <row r="297" spans="1:126" x14ac:dyDescent="0.2">
      <c r="BQ297" t="s">
        <v>3460</v>
      </c>
      <c r="BR297" t="s">
        <v>3453</v>
      </c>
    </row>
    <row r="299" spans="1:126" x14ac:dyDescent="0.2">
      <c r="A299" t="s">
        <v>3258</v>
      </c>
      <c r="AE299" t="s">
        <v>3162</v>
      </c>
      <c r="AQ299" t="s">
        <v>1367</v>
      </c>
      <c r="BV299" t="s">
        <v>1366</v>
      </c>
      <c r="CC299" t="s">
        <v>1368</v>
      </c>
      <c r="CD299" t="s">
        <v>1368</v>
      </c>
      <c r="CT299" t="s">
        <v>1367</v>
      </c>
      <c r="DK299" t="s">
        <v>1368</v>
      </c>
      <c r="DL299" t="s">
        <v>3162</v>
      </c>
      <c r="DP299" t="s">
        <v>2800</v>
      </c>
    </row>
    <row r="300" spans="1:126" x14ac:dyDescent="0.2">
      <c r="CC300" t="s">
        <v>3162</v>
      </c>
      <c r="CD300" t="s">
        <v>3162</v>
      </c>
      <c r="CT300" t="s">
        <v>1368</v>
      </c>
      <c r="DL300" t="s">
        <v>1366</v>
      </c>
    </row>
    <row r="301" spans="1:126" x14ac:dyDescent="0.2">
      <c r="CT301" t="s">
        <v>3162</v>
      </c>
      <c r="DL301" t="s">
        <v>1368</v>
      </c>
    </row>
    <row r="303" spans="1:126" x14ac:dyDescent="0.2">
      <c r="A303" t="s">
        <v>3807</v>
      </c>
      <c r="BR303" t="s">
        <v>3676</v>
      </c>
      <c r="BX303" t="s">
        <v>3676</v>
      </c>
      <c r="BY303" t="s">
        <v>3676</v>
      </c>
      <c r="DD303" t="s">
        <v>2800</v>
      </c>
      <c r="DE303" t="s">
        <v>2065</v>
      </c>
      <c r="DF303" t="s">
        <v>2065</v>
      </c>
      <c r="DV303" t="s">
        <v>2065</v>
      </c>
    </row>
    <row r="304" spans="1:126" x14ac:dyDescent="0.2">
      <c r="DV304" t="s">
        <v>343</v>
      </c>
    </row>
    <row r="305" spans="1:126" x14ac:dyDescent="0.2">
      <c r="DV305" t="s">
        <v>593</v>
      </c>
    </row>
    <row r="306" spans="1:126" x14ac:dyDescent="0.2">
      <c r="DV306" t="s">
        <v>2064</v>
      </c>
    </row>
    <row r="308" spans="1:126" x14ac:dyDescent="0.2">
      <c r="A308" t="s">
        <v>2767</v>
      </c>
    </row>
    <row r="316" spans="1:126" x14ac:dyDescent="0.2">
      <c r="A316" t="s">
        <v>2766</v>
      </c>
    </row>
    <row r="319" spans="1:126" x14ac:dyDescent="0.2">
      <c r="A319" t="s">
        <v>2513</v>
      </c>
    </row>
    <row r="321" spans="1:139" x14ac:dyDescent="0.2">
      <c r="A321" t="s">
        <v>1713</v>
      </c>
      <c r="S321" t="s">
        <v>9296</v>
      </c>
      <c r="T321" t="s">
        <v>9297</v>
      </c>
      <c r="U321" t="s">
        <v>9297</v>
      </c>
      <c r="V321" t="s">
        <v>9297</v>
      </c>
      <c r="W321" t="s">
        <v>9297</v>
      </c>
      <c r="X321" t="s">
        <v>9297</v>
      </c>
      <c r="Y321" t="s">
        <v>9297</v>
      </c>
      <c r="AV321" t="s">
        <v>9298</v>
      </c>
      <c r="BP321" t="s">
        <v>6304</v>
      </c>
    </row>
    <row r="322" spans="1:139" x14ac:dyDescent="0.2">
      <c r="A322" t="s">
        <v>3906</v>
      </c>
    </row>
    <row r="323" spans="1:139" x14ac:dyDescent="0.2">
      <c r="A323" t="s">
        <v>3907</v>
      </c>
      <c r="C323" t="s">
        <v>3215</v>
      </c>
      <c r="D323" t="s">
        <v>4569</v>
      </c>
      <c r="E323" t="s">
        <v>4569</v>
      </c>
      <c r="F323" t="s">
        <v>4569</v>
      </c>
      <c r="G323" t="s">
        <v>4569</v>
      </c>
      <c r="H323" t="s">
        <v>3215</v>
      </c>
      <c r="I323" t="s">
        <v>3215</v>
      </c>
      <c r="J323" t="s">
        <v>3215</v>
      </c>
      <c r="K323" t="s">
        <v>3215</v>
      </c>
      <c r="L323" t="s">
        <v>3215</v>
      </c>
      <c r="M323" t="s">
        <v>3215</v>
      </c>
      <c r="N323" t="s">
        <v>3215</v>
      </c>
      <c r="O323" t="s">
        <v>3215</v>
      </c>
      <c r="P323" t="s">
        <v>3215</v>
      </c>
      <c r="Q323" t="s">
        <v>3215</v>
      </c>
      <c r="R323" t="s">
        <v>3215</v>
      </c>
      <c r="S323" t="s">
        <v>3215</v>
      </c>
      <c r="T323" t="s">
        <v>3215</v>
      </c>
      <c r="U323" t="s">
        <v>3215</v>
      </c>
      <c r="V323" t="s">
        <v>3215</v>
      </c>
      <c r="W323" t="s">
        <v>3215</v>
      </c>
      <c r="X323" t="s">
        <v>3215</v>
      </c>
      <c r="Y323" t="s">
        <v>3215</v>
      </c>
      <c r="Z323" t="s">
        <v>3215</v>
      </c>
      <c r="AA323" t="s">
        <v>3215</v>
      </c>
      <c r="AB323" t="s">
        <v>4569</v>
      </c>
      <c r="AC323" t="s">
        <v>4569</v>
      </c>
      <c r="AE323" t="s">
        <v>4569</v>
      </c>
      <c r="AF323" t="s">
        <v>4569</v>
      </c>
      <c r="AG323" t="s">
        <v>4569</v>
      </c>
      <c r="AH323" t="s">
        <v>4569</v>
      </c>
      <c r="AJ323" t="s">
        <v>3215</v>
      </c>
      <c r="AK323" t="s">
        <v>3215</v>
      </c>
      <c r="AM323" t="s">
        <v>3215</v>
      </c>
      <c r="AO323" t="s">
        <v>3215</v>
      </c>
      <c r="AP323" t="s">
        <v>3215</v>
      </c>
      <c r="AQ323" t="s">
        <v>3215</v>
      </c>
      <c r="AR323" t="s">
        <v>3215</v>
      </c>
      <c r="AS323" t="s">
        <v>3215</v>
      </c>
      <c r="AT323" t="s">
        <v>3215</v>
      </c>
      <c r="AU323" t="s">
        <v>3215</v>
      </c>
      <c r="AV323" t="s">
        <v>3215</v>
      </c>
      <c r="AW323" t="s">
        <v>3215</v>
      </c>
      <c r="AX323" t="s">
        <v>3215</v>
      </c>
      <c r="AY323" t="s">
        <v>3215</v>
      </c>
      <c r="AZ323" t="s">
        <v>3215</v>
      </c>
      <c r="BA323" t="s">
        <v>3215</v>
      </c>
      <c r="BB323" t="s">
        <v>3215</v>
      </c>
      <c r="BC323" t="s">
        <v>3215</v>
      </c>
      <c r="BD323" t="s">
        <v>3215</v>
      </c>
      <c r="BE323" t="s">
        <v>3215</v>
      </c>
      <c r="BF323" t="s">
        <v>3215</v>
      </c>
      <c r="BG323" t="s">
        <v>3215</v>
      </c>
      <c r="BH323" t="s">
        <v>3215</v>
      </c>
      <c r="BI323" t="s">
        <v>3215</v>
      </c>
      <c r="BJ323" t="s">
        <v>3215</v>
      </c>
      <c r="BK323" t="s">
        <v>3215</v>
      </c>
      <c r="BL323" t="s">
        <v>3215</v>
      </c>
      <c r="BM323" t="s">
        <v>3215</v>
      </c>
      <c r="BN323" t="s">
        <v>3215</v>
      </c>
      <c r="BO323" t="s">
        <v>3215</v>
      </c>
      <c r="BP323" t="s">
        <v>3215</v>
      </c>
      <c r="BQ323" t="s">
        <v>3215</v>
      </c>
      <c r="BR323" t="s">
        <v>3215</v>
      </c>
      <c r="BS323" t="s">
        <v>3215</v>
      </c>
      <c r="BT323" t="s">
        <v>3215</v>
      </c>
      <c r="BU323" t="s">
        <v>3215</v>
      </c>
      <c r="BV323" t="s">
        <v>3215</v>
      </c>
      <c r="BW323" t="s">
        <v>3215</v>
      </c>
      <c r="BX323" t="s">
        <v>3215</v>
      </c>
      <c r="BY323" t="s">
        <v>3215</v>
      </c>
      <c r="BZ323" t="s">
        <v>3215</v>
      </c>
      <c r="CA323" t="s">
        <v>3215</v>
      </c>
      <c r="DI323" t="s">
        <v>3215</v>
      </c>
      <c r="DJ323" t="s">
        <v>3215</v>
      </c>
      <c r="EF323" t="s">
        <v>3215</v>
      </c>
      <c r="EI323" t="s">
        <v>3215</v>
      </c>
    </row>
    <row r="324" spans="1:139" outlineLevel="1" x14ac:dyDescent="0.2"/>
    <row r="325" spans="1:139" outlineLevel="1" x14ac:dyDescent="0.2"/>
    <row r="326" spans="1:139" outlineLevel="1" x14ac:dyDescent="0.2"/>
    <row r="327" spans="1:139" outlineLevel="1" x14ac:dyDescent="0.2"/>
    <row r="328" spans="1:139" outlineLevel="1" x14ac:dyDescent="0.2"/>
    <row r="329" spans="1:139" outlineLevel="1" x14ac:dyDescent="0.2"/>
    <row r="330" spans="1:139" outlineLevel="1" x14ac:dyDescent="0.2"/>
    <row r="331" spans="1:139" outlineLevel="1" x14ac:dyDescent="0.2"/>
    <row r="332" spans="1:139" outlineLevel="1" x14ac:dyDescent="0.2"/>
    <row r="333" spans="1:139" outlineLevel="1" x14ac:dyDescent="0.2"/>
    <row r="334" spans="1:139" outlineLevel="1" x14ac:dyDescent="0.2"/>
    <row r="335" spans="1:139" outlineLevel="1" x14ac:dyDescent="0.2"/>
    <row r="336" spans="1:139" outlineLevel="1" x14ac:dyDescent="0.2"/>
    <row r="337" outlineLevel="1" x14ac:dyDescent="0.2"/>
    <row r="338" outlineLevel="1" x14ac:dyDescent="0.2"/>
    <row r="339" outlineLevel="1" x14ac:dyDescent="0.2"/>
    <row r="340" outlineLevel="1" x14ac:dyDescent="0.2"/>
    <row r="341" outlineLevel="1" x14ac:dyDescent="0.2"/>
    <row r="342" outlineLevel="1" x14ac:dyDescent="0.2"/>
    <row r="343" outlineLevel="1" x14ac:dyDescent="0.2"/>
    <row r="344" outlineLevel="1" x14ac:dyDescent="0.2"/>
    <row r="345" outlineLevel="1" x14ac:dyDescent="0.2"/>
    <row r="346" outlineLevel="1" x14ac:dyDescent="0.2"/>
    <row r="347" outlineLevel="1" x14ac:dyDescent="0.2"/>
    <row r="348" outlineLevel="1" x14ac:dyDescent="0.2"/>
    <row r="349" outlineLevel="1" x14ac:dyDescent="0.2"/>
    <row r="350" outlineLevel="1" x14ac:dyDescent="0.2"/>
    <row r="351" outlineLevel="1" x14ac:dyDescent="0.2"/>
    <row r="352" outlineLevel="1" x14ac:dyDescent="0.2"/>
    <row r="353" outlineLevel="1" x14ac:dyDescent="0.2"/>
    <row r="354" outlineLevel="1" x14ac:dyDescent="0.2"/>
    <row r="355" outlineLevel="1" x14ac:dyDescent="0.2"/>
    <row r="356" outlineLevel="1" x14ac:dyDescent="0.2"/>
    <row r="357" outlineLevel="1" x14ac:dyDescent="0.2"/>
    <row r="358" outlineLevel="1" x14ac:dyDescent="0.2"/>
    <row r="359" outlineLevel="1" x14ac:dyDescent="0.2"/>
    <row r="360" outlineLevel="1" x14ac:dyDescent="0.2"/>
    <row r="361" outlineLevel="1" x14ac:dyDescent="0.2"/>
    <row r="362" outlineLevel="1" x14ac:dyDescent="0.2"/>
    <row r="363" outlineLevel="1" x14ac:dyDescent="0.2"/>
    <row r="364" outlineLevel="1" x14ac:dyDescent="0.2"/>
    <row r="365" outlineLevel="1" x14ac:dyDescent="0.2"/>
    <row r="366" outlineLevel="1" x14ac:dyDescent="0.2"/>
    <row r="367" outlineLevel="1" x14ac:dyDescent="0.2"/>
    <row r="368" outlineLevel="1" x14ac:dyDescent="0.2"/>
    <row r="369" outlineLevel="1" x14ac:dyDescent="0.2"/>
    <row r="370" outlineLevel="1" x14ac:dyDescent="0.2"/>
    <row r="371" outlineLevel="1" x14ac:dyDescent="0.2"/>
    <row r="372" outlineLevel="1" x14ac:dyDescent="0.2"/>
    <row r="373" outlineLevel="1" x14ac:dyDescent="0.2"/>
    <row r="374" outlineLevel="1" x14ac:dyDescent="0.2"/>
    <row r="375" outlineLevel="1" x14ac:dyDescent="0.2"/>
    <row r="376" outlineLevel="1" x14ac:dyDescent="0.2"/>
    <row r="377" outlineLevel="1" x14ac:dyDescent="0.2"/>
    <row r="378" outlineLevel="1" x14ac:dyDescent="0.2"/>
    <row r="379" outlineLevel="1" x14ac:dyDescent="0.2"/>
    <row r="380" outlineLevel="1" x14ac:dyDescent="0.2"/>
    <row r="381" outlineLevel="1" x14ac:dyDescent="0.2"/>
    <row r="382" outlineLevel="1" x14ac:dyDescent="0.2"/>
    <row r="383" outlineLevel="1" x14ac:dyDescent="0.2"/>
    <row r="384" outlineLevel="1" x14ac:dyDescent="0.2"/>
    <row r="385" outlineLevel="1" x14ac:dyDescent="0.2"/>
    <row r="386" outlineLevel="1" x14ac:dyDescent="0.2"/>
    <row r="387" outlineLevel="1" x14ac:dyDescent="0.2"/>
    <row r="388" outlineLevel="1" x14ac:dyDescent="0.2"/>
    <row r="389" outlineLevel="1" x14ac:dyDescent="0.2"/>
    <row r="390" outlineLevel="1" x14ac:dyDescent="0.2"/>
    <row r="391" outlineLevel="1" x14ac:dyDescent="0.2"/>
    <row r="392" outlineLevel="1" x14ac:dyDescent="0.2"/>
    <row r="393" outlineLevel="1" x14ac:dyDescent="0.2"/>
    <row r="394" outlineLevel="1" x14ac:dyDescent="0.2"/>
    <row r="395" outlineLevel="1" x14ac:dyDescent="0.2"/>
    <row r="396" outlineLevel="1" x14ac:dyDescent="0.2"/>
    <row r="397" outlineLevel="1" x14ac:dyDescent="0.2"/>
    <row r="398" outlineLevel="1" x14ac:dyDescent="0.2"/>
    <row r="399" outlineLevel="1" x14ac:dyDescent="0.2"/>
    <row r="400" outlineLevel="1" x14ac:dyDescent="0.2"/>
    <row r="401" outlineLevel="1" x14ac:dyDescent="0.2"/>
    <row r="402" outlineLevel="1" x14ac:dyDescent="0.2"/>
    <row r="403" outlineLevel="1" x14ac:dyDescent="0.2"/>
    <row r="404" outlineLevel="1" x14ac:dyDescent="0.2"/>
    <row r="405" outlineLevel="1" x14ac:dyDescent="0.2"/>
    <row r="406" outlineLevel="1" x14ac:dyDescent="0.2"/>
    <row r="407" outlineLevel="1" x14ac:dyDescent="0.2"/>
    <row r="408" outlineLevel="1" x14ac:dyDescent="0.2"/>
    <row r="409" outlineLevel="1" x14ac:dyDescent="0.2"/>
    <row r="410" outlineLevel="1" x14ac:dyDescent="0.2"/>
    <row r="411" outlineLevel="1" x14ac:dyDescent="0.2"/>
    <row r="412" outlineLevel="1" x14ac:dyDescent="0.2"/>
    <row r="413" outlineLevel="1" x14ac:dyDescent="0.2"/>
    <row r="414" outlineLevel="1" x14ac:dyDescent="0.2"/>
    <row r="415" outlineLevel="1" x14ac:dyDescent="0.2"/>
    <row r="416" outlineLevel="1" x14ac:dyDescent="0.2"/>
    <row r="417" outlineLevel="1" x14ac:dyDescent="0.2"/>
    <row r="418" outlineLevel="1" x14ac:dyDescent="0.2"/>
    <row r="419" outlineLevel="1" x14ac:dyDescent="0.2"/>
    <row r="420" outlineLevel="1" x14ac:dyDescent="0.2"/>
    <row r="421" outlineLevel="1" x14ac:dyDescent="0.2"/>
    <row r="422" outlineLevel="1" x14ac:dyDescent="0.2"/>
    <row r="423" outlineLevel="1" x14ac:dyDescent="0.2"/>
    <row r="424" outlineLevel="1" x14ac:dyDescent="0.2"/>
    <row r="425" outlineLevel="1" x14ac:dyDescent="0.2"/>
    <row r="426" outlineLevel="1" x14ac:dyDescent="0.2"/>
    <row r="427" outlineLevel="1" x14ac:dyDescent="0.2"/>
    <row r="428" outlineLevel="1" x14ac:dyDescent="0.2"/>
    <row r="429" outlineLevel="1" x14ac:dyDescent="0.2"/>
    <row r="430" outlineLevel="1" x14ac:dyDescent="0.2"/>
    <row r="431" outlineLevel="1" x14ac:dyDescent="0.2"/>
    <row r="432" outlineLevel="1" x14ac:dyDescent="0.2"/>
    <row r="433" outlineLevel="1" x14ac:dyDescent="0.2"/>
    <row r="434" outlineLevel="1" x14ac:dyDescent="0.2"/>
    <row r="435" outlineLevel="1" x14ac:dyDescent="0.2"/>
    <row r="436" outlineLevel="1" x14ac:dyDescent="0.2"/>
    <row r="437" outlineLevel="1" x14ac:dyDescent="0.2"/>
    <row r="438" outlineLevel="1" x14ac:dyDescent="0.2"/>
    <row r="439" outlineLevel="1" x14ac:dyDescent="0.2"/>
    <row r="440" outlineLevel="1" x14ac:dyDescent="0.2"/>
    <row r="441" outlineLevel="1" x14ac:dyDescent="0.2"/>
    <row r="442" outlineLevel="1" x14ac:dyDescent="0.2"/>
    <row r="443" outlineLevel="1" x14ac:dyDescent="0.2"/>
    <row r="444" outlineLevel="1" x14ac:dyDescent="0.2"/>
    <row r="445" outlineLevel="1" x14ac:dyDescent="0.2"/>
    <row r="446" outlineLevel="1" x14ac:dyDescent="0.2"/>
    <row r="447" outlineLevel="1" x14ac:dyDescent="0.2"/>
    <row r="448" outlineLevel="1" x14ac:dyDescent="0.2"/>
    <row r="449" outlineLevel="1" x14ac:dyDescent="0.2"/>
    <row r="450" outlineLevel="1" x14ac:dyDescent="0.2"/>
    <row r="451" outlineLevel="1" x14ac:dyDescent="0.2"/>
    <row r="452" outlineLevel="1" x14ac:dyDescent="0.2"/>
    <row r="453" outlineLevel="1" x14ac:dyDescent="0.2"/>
    <row r="454" outlineLevel="1" x14ac:dyDescent="0.2"/>
    <row r="455" outlineLevel="1" x14ac:dyDescent="0.2"/>
    <row r="456" outlineLevel="1" x14ac:dyDescent="0.2"/>
    <row r="457" outlineLevel="1" x14ac:dyDescent="0.2"/>
    <row r="458" outlineLevel="1" x14ac:dyDescent="0.2"/>
    <row r="459" outlineLevel="1" x14ac:dyDescent="0.2"/>
    <row r="460" outlineLevel="1" x14ac:dyDescent="0.2"/>
    <row r="461" outlineLevel="1" x14ac:dyDescent="0.2"/>
    <row r="462" outlineLevel="1" x14ac:dyDescent="0.2"/>
    <row r="463" outlineLevel="1" x14ac:dyDescent="0.2"/>
    <row r="464" outlineLevel="1" x14ac:dyDescent="0.2"/>
    <row r="465" outlineLevel="1" x14ac:dyDescent="0.2"/>
    <row r="466" outlineLevel="1" x14ac:dyDescent="0.2"/>
    <row r="467" outlineLevel="1" x14ac:dyDescent="0.2"/>
    <row r="468" outlineLevel="1" x14ac:dyDescent="0.2"/>
    <row r="469" outlineLevel="1" x14ac:dyDescent="0.2"/>
    <row r="470" outlineLevel="1" x14ac:dyDescent="0.2"/>
    <row r="471" outlineLevel="1" x14ac:dyDescent="0.2"/>
    <row r="472" outlineLevel="1" x14ac:dyDescent="0.2"/>
    <row r="473" outlineLevel="1" x14ac:dyDescent="0.2"/>
    <row r="474" outlineLevel="1" x14ac:dyDescent="0.2"/>
    <row r="475" outlineLevel="1" x14ac:dyDescent="0.2"/>
    <row r="476" outlineLevel="1" x14ac:dyDescent="0.2"/>
    <row r="477" outlineLevel="1" x14ac:dyDescent="0.2"/>
    <row r="478" outlineLevel="1" x14ac:dyDescent="0.2"/>
    <row r="479" outlineLevel="1" x14ac:dyDescent="0.2"/>
    <row r="480" outlineLevel="1" x14ac:dyDescent="0.2"/>
    <row r="481" outlineLevel="1" x14ac:dyDescent="0.2"/>
    <row r="482" outlineLevel="1" x14ac:dyDescent="0.2"/>
    <row r="483" outlineLevel="1" x14ac:dyDescent="0.2"/>
    <row r="484" outlineLevel="1" x14ac:dyDescent="0.2"/>
    <row r="485" outlineLevel="1" x14ac:dyDescent="0.2"/>
    <row r="486" outlineLevel="1" x14ac:dyDescent="0.2"/>
    <row r="487" outlineLevel="1" x14ac:dyDescent="0.2"/>
    <row r="488" outlineLevel="1" x14ac:dyDescent="0.2"/>
    <row r="489" outlineLevel="1" x14ac:dyDescent="0.2"/>
    <row r="490" outlineLevel="1" x14ac:dyDescent="0.2"/>
    <row r="491" outlineLevel="1" x14ac:dyDescent="0.2"/>
    <row r="492" outlineLevel="1" x14ac:dyDescent="0.2"/>
    <row r="493" outlineLevel="1" x14ac:dyDescent="0.2"/>
    <row r="494" outlineLevel="1" x14ac:dyDescent="0.2"/>
    <row r="495" outlineLevel="1" x14ac:dyDescent="0.2"/>
    <row r="496" outlineLevel="1" x14ac:dyDescent="0.2"/>
    <row r="497" outlineLevel="1" x14ac:dyDescent="0.2"/>
    <row r="498" outlineLevel="1" x14ac:dyDescent="0.2"/>
    <row r="499" outlineLevel="1" x14ac:dyDescent="0.2"/>
    <row r="500" outlineLevel="1" x14ac:dyDescent="0.2"/>
    <row r="501" outlineLevel="1" x14ac:dyDescent="0.2"/>
    <row r="502" outlineLevel="1" x14ac:dyDescent="0.2"/>
    <row r="503" outlineLevel="1" x14ac:dyDescent="0.2"/>
    <row r="504" outlineLevel="1" x14ac:dyDescent="0.2"/>
    <row r="505" outlineLevel="1" x14ac:dyDescent="0.2"/>
    <row r="506" outlineLevel="1" x14ac:dyDescent="0.2"/>
    <row r="507" outlineLevel="1" x14ac:dyDescent="0.2"/>
    <row r="508" outlineLevel="1" x14ac:dyDescent="0.2"/>
    <row r="509" outlineLevel="1" x14ac:dyDescent="0.2"/>
    <row r="510" outlineLevel="1" x14ac:dyDescent="0.2"/>
    <row r="511" outlineLevel="1" x14ac:dyDescent="0.2"/>
    <row r="512" outlineLevel="1" x14ac:dyDescent="0.2"/>
    <row r="513" outlineLevel="1" x14ac:dyDescent="0.2"/>
    <row r="514" outlineLevel="1" x14ac:dyDescent="0.2"/>
    <row r="515" outlineLevel="1" x14ac:dyDescent="0.2"/>
    <row r="516" outlineLevel="1" x14ac:dyDescent="0.2"/>
    <row r="517" outlineLevel="1" x14ac:dyDescent="0.2"/>
    <row r="518" outlineLevel="1" x14ac:dyDescent="0.2"/>
    <row r="519" outlineLevel="1" x14ac:dyDescent="0.2"/>
    <row r="520" outlineLevel="1" x14ac:dyDescent="0.2"/>
    <row r="521" outlineLevel="1" x14ac:dyDescent="0.2"/>
    <row r="522" outlineLevel="1" x14ac:dyDescent="0.2"/>
    <row r="523" outlineLevel="1" x14ac:dyDescent="0.2"/>
    <row r="524" outlineLevel="1" x14ac:dyDescent="0.2"/>
    <row r="525" outlineLevel="1" x14ac:dyDescent="0.2"/>
    <row r="526" outlineLevel="1" x14ac:dyDescent="0.2"/>
    <row r="527" outlineLevel="1" x14ac:dyDescent="0.2"/>
    <row r="528" outlineLevel="1" x14ac:dyDescent="0.2"/>
    <row r="529" outlineLevel="1" x14ac:dyDescent="0.2"/>
    <row r="530" outlineLevel="1" x14ac:dyDescent="0.2"/>
    <row r="531" outlineLevel="1" x14ac:dyDescent="0.2"/>
    <row r="532" outlineLevel="1" x14ac:dyDescent="0.2"/>
    <row r="533" outlineLevel="1" x14ac:dyDescent="0.2"/>
    <row r="534" outlineLevel="1" x14ac:dyDescent="0.2"/>
    <row r="535" outlineLevel="1" x14ac:dyDescent="0.2"/>
    <row r="536" outlineLevel="1" x14ac:dyDescent="0.2"/>
    <row r="537" outlineLevel="1" x14ac:dyDescent="0.2"/>
    <row r="538" outlineLevel="1" x14ac:dyDescent="0.2"/>
    <row r="539" outlineLevel="1" x14ac:dyDescent="0.2"/>
    <row r="540" outlineLevel="1" x14ac:dyDescent="0.2"/>
    <row r="541" outlineLevel="1" x14ac:dyDescent="0.2"/>
    <row r="542" outlineLevel="1" x14ac:dyDescent="0.2"/>
    <row r="543" outlineLevel="1" x14ac:dyDescent="0.2"/>
    <row r="544" outlineLevel="1" x14ac:dyDescent="0.2"/>
    <row r="545" outlineLevel="1" x14ac:dyDescent="0.2"/>
    <row r="546" outlineLevel="1" x14ac:dyDescent="0.2"/>
    <row r="547" outlineLevel="1" x14ac:dyDescent="0.2"/>
    <row r="548" outlineLevel="1" x14ac:dyDescent="0.2"/>
    <row r="549" outlineLevel="1" x14ac:dyDescent="0.2"/>
    <row r="550" outlineLevel="1" x14ac:dyDescent="0.2"/>
    <row r="551" outlineLevel="1" x14ac:dyDescent="0.2"/>
    <row r="552" outlineLevel="1" x14ac:dyDescent="0.2"/>
    <row r="553" outlineLevel="1" x14ac:dyDescent="0.2"/>
    <row r="554" outlineLevel="1" x14ac:dyDescent="0.2"/>
    <row r="555" outlineLevel="1" x14ac:dyDescent="0.2"/>
    <row r="556" outlineLevel="1" x14ac:dyDescent="0.2"/>
    <row r="557" outlineLevel="1" x14ac:dyDescent="0.2"/>
    <row r="558" outlineLevel="1" x14ac:dyDescent="0.2"/>
    <row r="559" outlineLevel="1" x14ac:dyDescent="0.2"/>
    <row r="560" outlineLevel="1" x14ac:dyDescent="0.2"/>
    <row r="561" outlineLevel="1" x14ac:dyDescent="0.2"/>
    <row r="562" outlineLevel="1" x14ac:dyDescent="0.2"/>
    <row r="563" outlineLevel="1" x14ac:dyDescent="0.2"/>
    <row r="564" outlineLevel="1" x14ac:dyDescent="0.2"/>
    <row r="565" outlineLevel="1" x14ac:dyDescent="0.2"/>
    <row r="566" outlineLevel="1" x14ac:dyDescent="0.2"/>
    <row r="567" outlineLevel="1" x14ac:dyDescent="0.2"/>
    <row r="568" outlineLevel="1" x14ac:dyDescent="0.2"/>
    <row r="569" outlineLevel="1" x14ac:dyDescent="0.2"/>
    <row r="570" outlineLevel="1" x14ac:dyDescent="0.2"/>
    <row r="571" outlineLevel="1" x14ac:dyDescent="0.2"/>
    <row r="572" outlineLevel="1" x14ac:dyDescent="0.2"/>
    <row r="573" outlineLevel="1" x14ac:dyDescent="0.2"/>
    <row r="574" outlineLevel="1" x14ac:dyDescent="0.2"/>
    <row r="575" outlineLevel="1" x14ac:dyDescent="0.2"/>
    <row r="576" outlineLevel="1" x14ac:dyDescent="0.2"/>
    <row r="577" outlineLevel="1" x14ac:dyDescent="0.2"/>
    <row r="578" outlineLevel="1" x14ac:dyDescent="0.2"/>
    <row r="579" outlineLevel="1" x14ac:dyDescent="0.2"/>
    <row r="580" outlineLevel="1" x14ac:dyDescent="0.2"/>
    <row r="581" outlineLevel="1" x14ac:dyDescent="0.2"/>
    <row r="582" outlineLevel="1" x14ac:dyDescent="0.2"/>
    <row r="583" outlineLevel="1" x14ac:dyDescent="0.2"/>
    <row r="584" outlineLevel="1" x14ac:dyDescent="0.2"/>
    <row r="585" outlineLevel="1" x14ac:dyDescent="0.2"/>
    <row r="586" outlineLevel="1" x14ac:dyDescent="0.2"/>
    <row r="587" outlineLevel="1" x14ac:dyDescent="0.2"/>
    <row r="588" outlineLevel="1" x14ac:dyDescent="0.2"/>
    <row r="589" outlineLevel="1" x14ac:dyDescent="0.2"/>
    <row r="590" outlineLevel="1" x14ac:dyDescent="0.2"/>
    <row r="591" outlineLevel="1" x14ac:dyDescent="0.2"/>
    <row r="592" outlineLevel="1" x14ac:dyDescent="0.2"/>
    <row r="593" outlineLevel="1" x14ac:dyDescent="0.2"/>
    <row r="594" outlineLevel="1" x14ac:dyDescent="0.2"/>
    <row r="595" outlineLevel="1" x14ac:dyDescent="0.2"/>
    <row r="596" outlineLevel="1" x14ac:dyDescent="0.2"/>
    <row r="597" outlineLevel="1" x14ac:dyDescent="0.2"/>
    <row r="598" outlineLevel="1" x14ac:dyDescent="0.2"/>
    <row r="599" outlineLevel="1" x14ac:dyDescent="0.2"/>
    <row r="600" outlineLevel="1" x14ac:dyDescent="0.2"/>
    <row r="601" outlineLevel="1" x14ac:dyDescent="0.2"/>
    <row r="602" outlineLevel="1" x14ac:dyDescent="0.2"/>
    <row r="603" outlineLevel="1" x14ac:dyDescent="0.2"/>
    <row r="604" outlineLevel="1" x14ac:dyDescent="0.2"/>
    <row r="605" outlineLevel="1" x14ac:dyDescent="0.2"/>
    <row r="606" outlineLevel="1" x14ac:dyDescent="0.2"/>
    <row r="607" outlineLevel="1" x14ac:dyDescent="0.2"/>
    <row r="608" outlineLevel="1" x14ac:dyDescent="0.2"/>
    <row r="609" outlineLevel="1" x14ac:dyDescent="0.2"/>
    <row r="610" outlineLevel="1" x14ac:dyDescent="0.2"/>
    <row r="611" outlineLevel="1" x14ac:dyDescent="0.2"/>
    <row r="612" outlineLevel="1" x14ac:dyDescent="0.2"/>
    <row r="613" outlineLevel="1" x14ac:dyDescent="0.2"/>
    <row r="614" outlineLevel="1" x14ac:dyDescent="0.2"/>
    <row r="615" outlineLevel="1" x14ac:dyDescent="0.2"/>
    <row r="616" outlineLevel="1" x14ac:dyDescent="0.2"/>
    <row r="617" outlineLevel="1" x14ac:dyDescent="0.2"/>
    <row r="618" outlineLevel="1" x14ac:dyDescent="0.2"/>
    <row r="619" outlineLevel="1" x14ac:dyDescent="0.2"/>
    <row r="620" outlineLevel="1" x14ac:dyDescent="0.2"/>
    <row r="621" outlineLevel="1" x14ac:dyDescent="0.2"/>
    <row r="622" outlineLevel="1" x14ac:dyDescent="0.2"/>
    <row r="623" outlineLevel="1" x14ac:dyDescent="0.2"/>
    <row r="624" outlineLevel="1" x14ac:dyDescent="0.2"/>
    <row r="625" outlineLevel="1" x14ac:dyDescent="0.2"/>
    <row r="626" outlineLevel="1" x14ac:dyDescent="0.2"/>
    <row r="627" outlineLevel="1" x14ac:dyDescent="0.2"/>
    <row r="628" outlineLevel="1" x14ac:dyDescent="0.2"/>
    <row r="629" outlineLevel="1" x14ac:dyDescent="0.2"/>
    <row r="630" outlineLevel="1" x14ac:dyDescent="0.2"/>
    <row r="631" outlineLevel="1" x14ac:dyDescent="0.2"/>
    <row r="632" outlineLevel="1" x14ac:dyDescent="0.2"/>
    <row r="633" outlineLevel="1" x14ac:dyDescent="0.2"/>
    <row r="634" outlineLevel="1" x14ac:dyDescent="0.2"/>
    <row r="635" outlineLevel="1" x14ac:dyDescent="0.2"/>
    <row r="636" outlineLevel="1" x14ac:dyDescent="0.2"/>
    <row r="637" outlineLevel="1" x14ac:dyDescent="0.2"/>
    <row r="638" outlineLevel="1" x14ac:dyDescent="0.2"/>
    <row r="639" outlineLevel="1" x14ac:dyDescent="0.2"/>
    <row r="640" outlineLevel="1" x14ac:dyDescent="0.2"/>
    <row r="641" outlineLevel="1" x14ac:dyDescent="0.2"/>
    <row r="642" outlineLevel="1" x14ac:dyDescent="0.2"/>
    <row r="643" outlineLevel="1" x14ac:dyDescent="0.2"/>
    <row r="644" outlineLevel="1" x14ac:dyDescent="0.2"/>
    <row r="645" outlineLevel="1" x14ac:dyDescent="0.2"/>
    <row r="646" outlineLevel="1" x14ac:dyDescent="0.2"/>
    <row r="647" outlineLevel="1" x14ac:dyDescent="0.2"/>
    <row r="648" outlineLevel="1" x14ac:dyDescent="0.2"/>
    <row r="649" outlineLevel="1" x14ac:dyDescent="0.2"/>
    <row r="650" outlineLevel="1" x14ac:dyDescent="0.2"/>
    <row r="651" outlineLevel="1" x14ac:dyDescent="0.2"/>
    <row r="652" outlineLevel="1" x14ac:dyDescent="0.2"/>
    <row r="653" outlineLevel="1" x14ac:dyDescent="0.2"/>
    <row r="654" outlineLevel="1" x14ac:dyDescent="0.2"/>
    <row r="655" outlineLevel="1" x14ac:dyDescent="0.2"/>
    <row r="656" outlineLevel="1" x14ac:dyDescent="0.2"/>
    <row r="657" outlineLevel="1" x14ac:dyDescent="0.2"/>
    <row r="658" outlineLevel="1" x14ac:dyDescent="0.2"/>
    <row r="659" outlineLevel="1" x14ac:dyDescent="0.2"/>
    <row r="660" outlineLevel="1" x14ac:dyDescent="0.2"/>
    <row r="661" outlineLevel="1" x14ac:dyDescent="0.2"/>
    <row r="662" outlineLevel="1" x14ac:dyDescent="0.2"/>
    <row r="663" outlineLevel="1" x14ac:dyDescent="0.2"/>
    <row r="664" outlineLevel="1" x14ac:dyDescent="0.2"/>
    <row r="665" outlineLevel="1" x14ac:dyDescent="0.2"/>
    <row r="666" outlineLevel="1" x14ac:dyDescent="0.2"/>
    <row r="667" outlineLevel="1" x14ac:dyDescent="0.2"/>
    <row r="668" outlineLevel="1" x14ac:dyDescent="0.2"/>
    <row r="669" outlineLevel="1" x14ac:dyDescent="0.2"/>
    <row r="670" outlineLevel="1" x14ac:dyDescent="0.2"/>
    <row r="671" outlineLevel="1" x14ac:dyDescent="0.2"/>
    <row r="672" outlineLevel="1" x14ac:dyDescent="0.2"/>
    <row r="673" outlineLevel="1" x14ac:dyDescent="0.2"/>
    <row r="674" outlineLevel="1" x14ac:dyDescent="0.2"/>
    <row r="675" outlineLevel="1" x14ac:dyDescent="0.2"/>
    <row r="676" outlineLevel="1" x14ac:dyDescent="0.2"/>
    <row r="677" outlineLevel="1" x14ac:dyDescent="0.2"/>
    <row r="678" outlineLevel="1" x14ac:dyDescent="0.2"/>
    <row r="679" outlineLevel="1" x14ac:dyDescent="0.2"/>
    <row r="680" outlineLevel="1" x14ac:dyDescent="0.2"/>
    <row r="681" outlineLevel="1" x14ac:dyDescent="0.2"/>
    <row r="682" outlineLevel="1" x14ac:dyDescent="0.2"/>
    <row r="683" outlineLevel="1" x14ac:dyDescent="0.2"/>
    <row r="684" outlineLevel="1" x14ac:dyDescent="0.2"/>
    <row r="685" outlineLevel="1" x14ac:dyDescent="0.2"/>
    <row r="686" outlineLevel="1" x14ac:dyDescent="0.2"/>
    <row r="687" outlineLevel="1" x14ac:dyDescent="0.2"/>
    <row r="688" outlineLevel="1" x14ac:dyDescent="0.2"/>
    <row r="689" outlineLevel="1" x14ac:dyDescent="0.2"/>
    <row r="690" outlineLevel="1" x14ac:dyDescent="0.2"/>
    <row r="691" outlineLevel="1" x14ac:dyDescent="0.2"/>
    <row r="692" outlineLevel="1" x14ac:dyDescent="0.2"/>
    <row r="693" outlineLevel="1" x14ac:dyDescent="0.2"/>
    <row r="694" outlineLevel="1" x14ac:dyDescent="0.2"/>
    <row r="695" outlineLevel="1" x14ac:dyDescent="0.2"/>
    <row r="696" outlineLevel="1" x14ac:dyDescent="0.2"/>
    <row r="697" outlineLevel="1" x14ac:dyDescent="0.2"/>
    <row r="698" outlineLevel="1" x14ac:dyDescent="0.2"/>
    <row r="699" outlineLevel="1" x14ac:dyDescent="0.2"/>
    <row r="700" outlineLevel="1" x14ac:dyDescent="0.2"/>
    <row r="701" outlineLevel="1" x14ac:dyDescent="0.2"/>
    <row r="702" outlineLevel="1" x14ac:dyDescent="0.2"/>
    <row r="703" outlineLevel="1" x14ac:dyDescent="0.2"/>
    <row r="704" outlineLevel="1" x14ac:dyDescent="0.2"/>
    <row r="705" outlineLevel="1" x14ac:dyDescent="0.2"/>
    <row r="706" outlineLevel="1" x14ac:dyDescent="0.2"/>
    <row r="707" outlineLevel="1" x14ac:dyDescent="0.2"/>
    <row r="708" outlineLevel="1" x14ac:dyDescent="0.2"/>
    <row r="709" outlineLevel="1" x14ac:dyDescent="0.2"/>
    <row r="710" outlineLevel="1" x14ac:dyDescent="0.2"/>
    <row r="711" outlineLevel="1" x14ac:dyDescent="0.2"/>
    <row r="712" outlineLevel="1" x14ac:dyDescent="0.2"/>
    <row r="713" outlineLevel="1" x14ac:dyDescent="0.2"/>
    <row r="714" outlineLevel="1" x14ac:dyDescent="0.2"/>
    <row r="715" outlineLevel="1" x14ac:dyDescent="0.2"/>
    <row r="716" outlineLevel="1" x14ac:dyDescent="0.2"/>
    <row r="717" outlineLevel="1" x14ac:dyDescent="0.2"/>
    <row r="718" outlineLevel="1" x14ac:dyDescent="0.2"/>
    <row r="719" outlineLevel="1" x14ac:dyDescent="0.2"/>
    <row r="720" outlineLevel="1" x14ac:dyDescent="0.2"/>
    <row r="721" outlineLevel="1" x14ac:dyDescent="0.2"/>
    <row r="722" outlineLevel="1" x14ac:dyDescent="0.2"/>
    <row r="723" outlineLevel="1" x14ac:dyDescent="0.2"/>
    <row r="724" outlineLevel="1" x14ac:dyDescent="0.2"/>
    <row r="725" outlineLevel="1" x14ac:dyDescent="0.2"/>
    <row r="726" outlineLevel="1" x14ac:dyDescent="0.2"/>
    <row r="727" outlineLevel="1" x14ac:dyDescent="0.2"/>
    <row r="728" outlineLevel="1" x14ac:dyDescent="0.2"/>
    <row r="729" outlineLevel="1" x14ac:dyDescent="0.2"/>
    <row r="730" outlineLevel="1" x14ac:dyDescent="0.2"/>
    <row r="731" outlineLevel="1" x14ac:dyDescent="0.2"/>
    <row r="732" outlineLevel="1" x14ac:dyDescent="0.2"/>
    <row r="733" outlineLevel="1" x14ac:dyDescent="0.2"/>
    <row r="734" outlineLevel="1" x14ac:dyDescent="0.2"/>
    <row r="735" outlineLevel="1" x14ac:dyDescent="0.2"/>
    <row r="736" outlineLevel="1" x14ac:dyDescent="0.2"/>
    <row r="737" outlineLevel="1" x14ac:dyDescent="0.2"/>
    <row r="738" outlineLevel="1" x14ac:dyDescent="0.2"/>
    <row r="739" outlineLevel="1" x14ac:dyDescent="0.2"/>
    <row r="740" outlineLevel="1" x14ac:dyDescent="0.2"/>
    <row r="741" outlineLevel="1" x14ac:dyDescent="0.2"/>
    <row r="742" outlineLevel="1" x14ac:dyDescent="0.2"/>
    <row r="743" outlineLevel="1" x14ac:dyDescent="0.2"/>
    <row r="744" outlineLevel="1" x14ac:dyDescent="0.2"/>
    <row r="745" outlineLevel="1" x14ac:dyDescent="0.2"/>
    <row r="746" outlineLevel="1" x14ac:dyDescent="0.2"/>
    <row r="747" outlineLevel="1" x14ac:dyDescent="0.2"/>
    <row r="748" outlineLevel="1" x14ac:dyDescent="0.2"/>
    <row r="749" outlineLevel="1" x14ac:dyDescent="0.2"/>
    <row r="750" outlineLevel="1" x14ac:dyDescent="0.2"/>
    <row r="751" outlineLevel="1" x14ac:dyDescent="0.2"/>
    <row r="752" outlineLevel="1" x14ac:dyDescent="0.2"/>
    <row r="753" outlineLevel="1" x14ac:dyDescent="0.2"/>
    <row r="754" outlineLevel="1" x14ac:dyDescent="0.2"/>
    <row r="755" outlineLevel="1" x14ac:dyDescent="0.2"/>
    <row r="756" outlineLevel="1" x14ac:dyDescent="0.2"/>
    <row r="757" outlineLevel="1" x14ac:dyDescent="0.2"/>
    <row r="758" outlineLevel="1" x14ac:dyDescent="0.2"/>
    <row r="759" outlineLevel="1" x14ac:dyDescent="0.2"/>
    <row r="760" outlineLevel="1" x14ac:dyDescent="0.2"/>
    <row r="761" outlineLevel="1" x14ac:dyDescent="0.2"/>
    <row r="762" outlineLevel="1" x14ac:dyDescent="0.2"/>
    <row r="763" outlineLevel="1" x14ac:dyDescent="0.2"/>
    <row r="764" outlineLevel="1" x14ac:dyDescent="0.2"/>
    <row r="765" outlineLevel="1" x14ac:dyDescent="0.2"/>
    <row r="766" outlineLevel="1" x14ac:dyDescent="0.2"/>
    <row r="767" outlineLevel="1" x14ac:dyDescent="0.2"/>
    <row r="768" outlineLevel="1" x14ac:dyDescent="0.2"/>
    <row r="769" outlineLevel="1" x14ac:dyDescent="0.2"/>
    <row r="770" outlineLevel="1" x14ac:dyDescent="0.2"/>
    <row r="771" outlineLevel="1" x14ac:dyDescent="0.2"/>
    <row r="772" outlineLevel="1" x14ac:dyDescent="0.2"/>
    <row r="773" outlineLevel="1" x14ac:dyDescent="0.2"/>
    <row r="774" outlineLevel="1" x14ac:dyDescent="0.2"/>
    <row r="775" outlineLevel="1" x14ac:dyDescent="0.2"/>
    <row r="776" outlineLevel="1" x14ac:dyDescent="0.2"/>
    <row r="777" outlineLevel="1" x14ac:dyDescent="0.2"/>
    <row r="778" outlineLevel="1" x14ac:dyDescent="0.2"/>
    <row r="779" outlineLevel="1" x14ac:dyDescent="0.2"/>
    <row r="780" outlineLevel="1" x14ac:dyDescent="0.2"/>
    <row r="781" outlineLevel="1" x14ac:dyDescent="0.2"/>
    <row r="782" outlineLevel="1" x14ac:dyDescent="0.2"/>
    <row r="783" outlineLevel="1" x14ac:dyDescent="0.2"/>
    <row r="784" outlineLevel="1" x14ac:dyDescent="0.2"/>
    <row r="785" outlineLevel="1" x14ac:dyDescent="0.2"/>
    <row r="786" outlineLevel="1" x14ac:dyDescent="0.2"/>
    <row r="787" outlineLevel="1" x14ac:dyDescent="0.2"/>
    <row r="788" outlineLevel="1" x14ac:dyDescent="0.2"/>
    <row r="789" outlineLevel="1" x14ac:dyDescent="0.2"/>
    <row r="790" outlineLevel="1" x14ac:dyDescent="0.2"/>
    <row r="791" outlineLevel="1" x14ac:dyDescent="0.2"/>
    <row r="792" outlineLevel="1" x14ac:dyDescent="0.2"/>
    <row r="793" outlineLevel="1" x14ac:dyDescent="0.2"/>
    <row r="794" outlineLevel="1" x14ac:dyDescent="0.2"/>
    <row r="795" outlineLevel="1" x14ac:dyDescent="0.2"/>
    <row r="796" outlineLevel="1" x14ac:dyDescent="0.2"/>
    <row r="797" outlineLevel="1" x14ac:dyDescent="0.2"/>
    <row r="798" outlineLevel="1" x14ac:dyDescent="0.2"/>
    <row r="799" outlineLevel="1" x14ac:dyDescent="0.2"/>
    <row r="800" outlineLevel="1" x14ac:dyDescent="0.2"/>
    <row r="801" spans="1:131" outlineLevel="1" x14ac:dyDescent="0.2"/>
    <row r="802" spans="1:131" outlineLevel="1" x14ac:dyDescent="0.2"/>
    <row r="803" spans="1:131" outlineLevel="1" x14ac:dyDescent="0.2"/>
    <row r="804" spans="1:131" outlineLevel="1" x14ac:dyDescent="0.2"/>
    <row r="805" spans="1:131" outlineLevel="1" x14ac:dyDescent="0.2"/>
    <row r="806" spans="1:131" outlineLevel="1" x14ac:dyDescent="0.2"/>
    <row r="807" spans="1:131" outlineLevel="1" x14ac:dyDescent="0.2"/>
    <row r="808" spans="1:131" outlineLevel="1" x14ac:dyDescent="0.2"/>
    <row r="809" spans="1:131" outlineLevel="1" x14ac:dyDescent="0.2"/>
    <row r="810" spans="1:131" outlineLevel="1" x14ac:dyDescent="0.2"/>
    <row r="811" spans="1:131" outlineLevel="1" x14ac:dyDescent="0.2"/>
    <row r="812" spans="1:131" x14ac:dyDescent="0.2">
      <c r="A812" t="s">
        <v>3046</v>
      </c>
    </row>
    <row r="813" spans="1:131" x14ac:dyDescent="0.2">
      <c r="A813" t="s">
        <v>3918</v>
      </c>
      <c r="EA813" t="s">
        <v>7828</v>
      </c>
    </row>
    <row r="817" spans="1:139" x14ac:dyDescent="0.2">
      <c r="A817" t="s">
        <v>3996</v>
      </c>
      <c r="C817" t="s">
        <v>7957</v>
      </c>
      <c r="AI817" t="s">
        <v>6308</v>
      </c>
      <c r="BS817" t="s">
        <v>6623</v>
      </c>
      <c r="DY817" t="s">
        <v>6360</v>
      </c>
      <c r="DZ817" t="s">
        <v>6360</v>
      </c>
      <c r="EE817" t="s">
        <v>6624</v>
      </c>
    </row>
    <row r="820" spans="1:139" x14ac:dyDescent="0.2">
      <c r="A820" t="s">
        <v>1646</v>
      </c>
      <c r="BP820" t="s">
        <v>7958</v>
      </c>
      <c r="BV820" t="s">
        <v>7959</v>
      </c>
    </row>
    <row r="821" spans="1:139" x14ac:dyDescent="0.2">
      <c r="A821" t="s">
        <v>2663</v>
      </c>
      <c r="C821" t="s">
        <v>7960</v>
      </c>
      <c r="D821" t="s">
        <v>7961</v>
      </c>
      <c r="E821" t="s">
        <v>7962</v>
      </c>
      <c r="F821" t="s">
        <v>4228</v>
      </c>
      <c r="H821" t="s">
        <v>7965</v>
      </c>
      <c r="I821" t="s">
        <v>7965</v>
      </c>
      <c r="K821" t="s">
        <v>7965</v>
      </c>
      <c r="L821" t="s">
        <v>7966</v>
      </c>
      <c r="M821" t="s">
        <v>7964</v>
      </c>
      <c r="N821" t="s">
        <v>7964</v>
      </c>
      <c r="O821" t="s">
        <v>7963</v>
      </c>
      <c r="Q821" t="s">
        <v>7963</v>
      </c>
      <c r="S821" t="s">
        <v>7963</v>
      </c>
      <c r="T821" t="s">
        <v>7964</v>
      </c>
      <c r="U821" t="s">
        <v>7964</v>
      </c>
      <c r="V821" t="s">
        <v>7964</v>
      </c>
      <c r="W821" t="s">
        <v>7964</v>
      </c>
      <c r="X821" t="s">
        <v>7964</v>
      </c>
      <c r="Y821" t="s">
        <v>7964</v>
      </c>
      <c r="Z821" t="s">
        <v>4229</v>
      </c>
      <c r="AA821" t="s">
        <v>4229</v>
      </c>
      <c r="AB821" t="s">
        <v>6305</v>
      </c>
      <c r="AC821" t="s">
        <v>7967</v>
      </c>
      <c r="AD821" t="s">
        <v>7979</v>
      </c>
      <c r="AE821" t="s">
        <v>9204</v>
      </c>
      <c r="AF821" t="s">
        <v>7968</v>
      </c>
      <c r="AG821" t="s">
        <v>7969</v>
      </c>
      <c r="AH821" t="s">
        <v>7970</v>
      </c>
      <c r="AI821" t="s">
        <v>7971</v>
      </c>
      <c r="AJ821" t="s">
        <v>7972</v>
      </c>
      <c r="AK821" t="s">
        <v>7973</v>
      </c>
      <c r="AL821" t="s">
        <v>7974</v>
      </c>
      <c r="AM821" t="s">
        <v>9207</v>
      </c>
      <c r="AN821" t="s">
        <v>7975</v>
      </c>
      <c r="AO821" t="s">
        <v>7976</v>
      </c>
      <c r="AQ821" t="s">
        <v>7977</v>
      </c>
      <c r="AS821" t="s">
        <v>9300</v>
      </c>
      <c r="AV821" t="s">
        <v>9301</v>
      </c>
      <c r="AY821" t="s">
        <v>7978</v>
      </c>
      <c r="BA821" t="s">
        <v>9302</v>
      </c>
      <c r="BC821" t="s">
        <v>9306</v>
      </c>
      <c r="BD821" t="s">
        <v>7979</v>
      </c>
      <c r="BG821" t="s">
        <v>7980</v>
      </c>
      <c r="BH821" t="s">
        <v>7980</v>
      </c>
      <c r="BI821" t="s">
        <v>9215</v>
      </c>
      <c r="BJ821" t="s">
        <v>9216</v>
      </c>
      <c r="BK821" t="s">
        <v>7980</v>
      </c>
      <c r="BL821" t="s">
        <v>9217</v>
      </c>
      <c r="BM821" t="s">
        <v>7980</v>
      </c>
      <c r="BP821" t="s">
        <v>7981</v>
      </c>
      <c r="BQ821" t="s">
        <v>7197</v>
      </c>
      <c r="BR821" t="s">
        <v>7982</v>
      </c>
      <c r="BS821" t="s">
        <v>7983</v>
      </c>
      <c r="BT821" t="s">
        <v>7984</v>
      </c>
      <c r="BU821" t="s">
        <v>7985</v>
      </c>
      <c r="BV821" t="s">
        <v>7986</v>
      </c>
      <c r="BW821" t="s">
        <v>7049</v>
      </c>
      <c r="BX821" t="s">
        <v>7050</v>
      </c>
      <c r="BY821" t="s">
        <v>7051</v>
      </c>
      <c r="BZ821" t="s">
        <v>7987</v>
      </c>
      <c r="CA821" t="s">
        <v>7052</v>
      </c>
      <c r="CB821" t="s">
        <v>7988</v>
      </c>
      <c r="CC821" t="s">
        <v>7053</v>
      </c>
      <c r="CD821" t="s">
        <v>7053</v>
      </c>
      <c r="CE821" t="s">
        <v>9231</v>
      </c>
      <c r="CF821" t="s">
        <v>9231</v>
      </c>
      <c r="CG821" t="s">
        <v>9231</v>
      </c>
      <c r="CH821" t="s">
        <v>9231</v>
      </c>
      <c r="CI821" t="s">
        <v>9232</v>
      </c>
      <c r="CJ821" t="s">
        <v>9232</v>
      </c>
      <c r="CK821" t="s">
        <v>9233</v>
      </c>
      <c r="CL821" t="s">
        <v>9233</v>
      </c>
      <c r="CO821" t="s">
        <v>9232</v>
      </c>
      <c r="CP821" t="s">
        <v>9232</v>
      </c>
      <c r="CQ821" t="s">
        <v>7054</v>
      </c>
      <c r="CR821" t="s">
        <v>7054</v>
      </c>
      <c r="CS821" t="s">
        <v>7055</v>
      </c>
      <c r="CT821" t="s">
        <v>7053</v>
      </c>
      <c r="CU821" t="s">
        <v>7054</v>
      </c>
      <c r="CV821" t="s">
        <v>7056</v>
      </c>
      <c r="CW821" t="s">
        <v>7989</v>
      </c>
      <c r="CX821" t="s">
        <v>7057</v>
      </c>
      <c r="CZ821" t="s">
        <v>7990</v>
      </c>
      <c r="DA821" t="s">
        <v>9232</v>
      </c>
      <c r="DB821" t="s">
        <v>9232</v>
      </c>
      <c r="DC821" t="s">
        <v>9232</v>
      </c>
      <c r="DD821" t="s">
        <v>9232</v>
      </c>
      <c r="DE821" t="s">
        <v>9232</v>
      </c>
      <c r="DF821" t="s">
        <v>9232</v>
      </c>
      <c r="DG821" t="s">
        <v>7058</v>
      </c>
      <c r="DH821" t="s">
        <v>7991</v>
      </c>
      <c r="DI821" t="s">
        <v>7059</v>
      </c>
      <c r="DJ821" t="s">
        <v>7054</v>
      </c>
      <c r="DK821" t="s">
        <v>7060</v>
      </c>
      <c r="DL821" t="s">
        <v>7060</v>
      </c>
      <c r="DM821" t="s">
        <v>7061</v>
      </c>
      <c r="DN821" t="s">
        <v>7992</v>
      </c>
      <c r="DO821" t="s">
        <v>7062</v>
      </c>
      <c r="DP821" t="s">
        <v>9241</v>
      </c>
      <c r="DQ821" t="s">
        <v>7063</v>
      </c>
      <c r="DR821" t="s">
        <v>7993</v>
      </c>
      <c r="DS821" t="s">
        <v>7994</v>
      </c>
      <c r="DT821" t="s">
        <v>7994</v>
      </c>
      <c r="DU821" t="s">
        <v>7995</v>
      </c>
      <c r="DV821" t="s">
        <v>7996</v>
      </c>
      <c r="DW821" t="s">
        <v>7997</v>
      </c>
      <c r="EA821" t="s">
        <v>7998</v>
      </c>
      <c r="EB821" t="s">
        <v>7999</v>
      </c>
      <c r="EC821" t="s">
        <v>8000</v>
      </c>
      <c r="ED821" t="s">
        <v>8001</v>
      </c>
      <c r="EE821" t="s">
        <v>8002</v>
      </c>
    </row>
    <row r="822" spans="1:139" x14ac:dyDescent="0.2">
      <c r="A822" t="s">
        <v>1515</v>
      </c>
      <c r="E822" t="s">
        <v>5116</v>
      </c>
      <c r="AB822" t="s">
        <v>8003</v>
      </c>
      <c r="AC822" t="s">
        <v>8003</v>
      </c>
      <c r="AE822" t="s">
        <v>8003</v>
      </c>
      <c r="AF822" t="s">
        <v>8003</v>
      </c>
      <c r="AG822" t="s">
        <v>8003</v>
      </c>
      <c r="AH822" t="s">
        <v>8003</v>
      </c>
      <c r="AI822" t="s">
        <v>8003</v>
      </c>
      <c r="AJ822" t="s">
        <v>8003</v>
      </c>
      <c r="AL822" t="s">
        <v>8003</v>
      </c>
      <c r="AQ822" t="s">
        <v>8004</v>
      </c>
      <c r="BC822" t="s">
        <v>9305</v>
      </c>
      <c r="BM822" t="s">
        <v>9218</v>
      </c>
      <c r="BQ822" t="s">
        <v>8005</v>
      </c>
      <c r="BR822" t="s">
        <v>8005</v>
      </c>
      <c r="BS822" t="s">
        <v>8005</v>
      </c>
      <c r="BT822" t="s">
        <v>8006</v>
      </c>
      <c r="BU822" t="s">
        <v>8005</v>
      </c>
      <c r="BV822" t="s">
        <v>8005</v>
      </c>
      <c r="BW822" t="s">
        <v>8005</v>
      </c>
      <c r="BX822" t="s">
        <v>8005</v>
      </c>
      <c r="BY822" t="s">
        <v>8005</v>
      </c>
      <c r="BZ822" t="s">
        <v>8005</v>
      </c>
      <c r="CA822" t="s">
        <v>8005</v>
      </c>
      <c r="CO822" t="s">
        <v>9218</v>
      </c>
      <c r="CP822" t="s">
        <v>9218</v>
      </c>
      <c r="DG822" t="s">
        <v>4219</v>
      </c>
      <c r="DH822" t="s">
        <v>4219</v>
      </c>
      <c r="DI822" t="s">
        <v>4219</v>
      </c>
      <c r="DJ822" t="s">
        <v>4219</v>
      </c>
      <c r="DK822" t="s">
        <v>4219</v>
      </c>
      <c r="DL822" t="s">
        <v>4219</v>
      </c>
      <c r="DM822" t="s">
        <v>8007</v>
      </c>
      <c r="DN822" t="s">
        <v>4219</v>
      </c>
      <c r="DO822" t="s">
        <v>4219</v>
      </c>
      <c r="DQ822" t="s">
        <v>4219</v>
      </c>
      <c r="DR822" t="s">
        <v>4219</v>
      </c>
      <c r="EH822" t="s">
        <v>4219</v>
      </c>
      <c r="EI822" t="s">
        <v>8005</v>
      </c>
    </row>
    <row r="823" spans="1:139" x14ac:dyDescent="0.2">
      <c r="A823" t="s">
        <v>2664</v>
      </c>
      <c r="D823" t="s">
        <v>4232</v>
      </c>
      <c r="E823" t="s">
        <v>4230</v>
      </c>
      <c r="F823" t="s">
        <v>4231</v>
      </c>
      <c r="G823" t="s">
        <v>4232</v>
      </c>
      <c r="AD823" t="s">
        <v>9205</v>
      </c>
      <c r="DQ823" t="s">
        <v>8008</v>
      </c>
    </row>
    <row r="824" spans="1:139" x14ac:dyDescent="0.2">
      <c r="A824" t="s">
        <v>4245</v>
      </c>
      <c r="BA824" t="s">
        <v>9294</v>
      </c>
      <c r="DH824" t="s">
        <v>8009</v>
      </c>
      <c r="DP824" t="s">
        <v>9242</v>
      </c>
      <c r="DW824" t="s">
        <v>6423</v>
      </c>
      <c r="DY824" t="s">
        <v>8010</v>
      </c>
      <c r="DZ824" t="s">
        <v>8010</v>
      </c>
    </row>
    <row r="825" spans="1:139" x14ac:dyDescent="0.2">
      <c r="A825" t="s">
        <v>2665</v>
      </c>
    </row>
    <row r="826" spans="1:139" x14ac:dyDescent="0.2">
      <c r="A826" t="s">
        <v>4246</v>
      </c>
      <c r="AB826" t="s">
        <v>6584</v>
      </c>
      <c r="AE826" t="s">
        <v>6584</v>
      </c>
      <c r="AF826" t="s">
        <v>6584</v>
      </c>
      <c r="DV826" t="s">
        <v>6424</v>
      </c>
      <c r="EE826" t="s">
        <v>6425</v>
      </c>
    </row>
    <row r="827" spans="1:139" x14ac:dyDescent="0.2">
      <c r="A827" t="s">
        <v>2666</v>
      </c>
    </row>
    <row r="828" spans="1:139" x14ac:dyDescent="0.2">
      <c r="A828" t="s">
        <v>2667</v>
      </c>
    </row>
    <row r="829" spans="1:139" x14ac:dyDescent="0.2">
      <c r="A829" t="s">
        <v>2755</v>
      </c>
    </row>
    <row r="830" spans="1:139" x14ac:dyDescent="0.2">
      <c r="A830" t="s">
        <v>6614</v>
      </c>
    </row>
    <row r="831" spans="1:139" x14ac:dyDescent="0.2">
      <c r="A831" t="s">
        <v>6615</v>
      </c>
      <c r="BV831" t="s">
        <v>7142</v>
      </c>
      <c r="DH831" t="s">
        <v>8011</v>
      </c>
      <c r="DW831" t="s">
        <v>8012</v>
      </c>
    </row>
    <row r="832" spans="1:139" x14ac:dyDescent="0.2">
      <c r="A832" t="s">
        <v>6616</v>
      </c>
      <c r="DW832" t="s">
        <v>8012</v>
      </c>
    </row>
    <row r="833" spans="1:1" x14ac:dyDescent="0.2">
      <c r="A833" t="s">
        <v>6617</v>
      </c>
    </row>
    <row r="834" spans="1:1" x14ac:dyDescent="0.2">
      <c r="A834" t="s">
        <v>6618</v>
      </c>
    </row>
    <row r="835" spans="1:1" x14ac:dyDescent="0.2">
      <c r="A835" t="s">
        <v>6619</v>
      </c>
    </row>
    <row r="836" spans="1:1" x14ac:dyDescent="0.2">
      <c r="A836" t="s">
        <v>6620</v>
      </c>
    </row>
    <row r="837" spans="1:1" x14ac:dyDescent="0.2">
      <c r="A837" t="s">
        <v>4247</v>
      </c>
    </row>
    <row r="838" spans="1:1" x14ac:dyDescent="0.2">
      <c r="A838" t="s">
        <v>4248</v>
      </c>
    </row>
    <row r="839" spans="1:1" x14ac:dyDescent="0.2">
      <c r="A839" t="s">
        <v>4976</v>
      </c>
    </row>
    <row r="840" spans="1:1" x14ac:dyDescent="0.2">
      <c r="A840" t="s">
        <v>3596</v>
      </c>
    </row>
    <row r="843" spans="1:1" x14ac:dyDescent="0.2">
      <c r="A843" t="s">
        <v>6711</v>
      </c>
    </row>
    <row r="844" spans="1:1" x14ac:dyDescent="0.2">
      <c r="A844" t="s">
        <v>4852</v>
      </c>
    </row>
    <row r="845" spans="1:1" x14ac:dyDescent="0.2">
      <c r="A845" t="s">
        <v>6740</v>
      </c>
    </row>
    <row r="846" spans="1:1" x14ac:dyDescent="0.2">
      <c r="A846" t="s">
        <v>7075</v>
      </c>
    </row>
    <row r="847" spans="1:1" x14ac:dyDescent="0.2">
      <c r="A847" t="s">
        <v>6479</v>
      </c>
    </row>
    <row r="848" spans="1:1" x14ac:dyDescent="0.2">
      <c r="A848" t="s">
        <v>2668</v>
      </c>
    </row>
    <row r="849" spans="1:138" x14ac:dyDescent="0.2">
      <c r="A849" t="s">
        <v>4194</v>
      </c>
    </row>
    <row r="850" spans="1:138" x14ac:dyDescent="0.2">
      <c r="A850" t="s">
        <v>3882</v>
      </c>
      <c r="C850" t="s">
        <v>3884</v>
      </c>
      <c r="D850" t="s">
        <v>3884</v>
      </c>
      <c r="E850" t="s">
        <v>3884</v>
      </c>
      <c r="F850" t="s">
        <v>3884</v>
      </c>
      <c r="G850" t="s">
        <v>3884</v>
      </c>
      <c r="H850" t="s">
        <v>3884</v>
      </c>
      <c r="I850" t="s">
        <v>3884</v>
      </c>
      <c r="J850" t="s">
        <v>3883</v>
      </c>
      <c r="K850" t="s">
        <v>3884</v>
      </c>
      <c r="L850" t="s">
        <v>3884</v>
      </c>
      <c r="M850" t="s">
        <v>3884</v>
      </c>
      <c r="N850" t="s">
        <v>3883</v>
      </c>
      <c r="O850" t="s">
        <v>3884</v>
      </c>
      <c r="P850" t="s">
        <v>3883</v>
      </c>
      <c r="Q850" t="s">
        <v>3884</v>
      </c>
      <c r="R850" t="s">
        <v>3883</v>
      </c>
      <c r="S850" t="s">
        <v>3884</v>
      </c>
      <c r="T850" t="s">
        <v>3884</v>
      </c>
      <c r="U850" t="s">
        <v>3884</v>
      </c>
      <c r="V850" t="s">
        <v>3884</v>
      </c>
      <c r="W850" t="s">
        <v>3884</v>
      </c>
      <c r="X850" t="s">
        <v>3884</v>
      </c>
      <c r="Y850" t="s">
        <v>3884</v>
      </c>
      <c r="Z850" t="s">
        <v>3884</v>
      </c>
      <c r="AA850" t="s">
        <v>3884</v>
      </c>
      <c r="AB850" t="s">
        <v>3884</v>
      </c>
      <c r="AC850" t="s">
        <v>3884</v>
      </c>
      <c r="AD850" t="s">
        <v>3884</v>
      </c>
      <c r="AE850" t="s">
        <v>3884</v>
      </c>
      <c r="AF850" t="s">
        <v>3884</v>
      </c>
      <c r="AG850" t="s">
        <v>3884</v>
      </c>
      <c r="AH850" t="s">
        <v>3884</v>
      </c>
      <c r="AI850" t="s">
        <v>3884</v>
      </c>
      <c r="AJ850" t="s">
        <v>3884</v>
      </c>
      <c r="AK850" t="s">
        <v>3884</v>
      </c>
      <c r="AL850" t="s">
        <v>3884</v>
      </c>
      <c r="AM850" t="s">
        <v>3884</v>
      </c>
      <c r="AN850" t="s">
        <v>3884</v>
      </c>
      <c r="AO850" t="s">
        <v>3884</v>
      </c>
      <c r="AP850" t="s">
        <v>3884</v>
      </c>
      <c r="AQ850" t="s">
        <v>3884</v>
      </c>
      <c r="AR850" t="s">
        <v>3884</v>
      </c>
      <c r="AS850" t="s">
        <v>3884</v>
      </c>
      <c r="AT850" t="s">
        <v>3884</v>
      </c>
      <c r="AU850" t="s">
        <v>3884</v>
      </c>
      <c r="AV850" t="s">
        <v>3884</v>
      </c>
      <c r="AW850" t="s">
        <v>3884</v>
      </c>
      <c r="AX850" t="s">
        <v>3884</v>
      </c>
      <c r="AY850" t="s">
        <v>3884</v>
      </c>
      <c r="AZ850" t="s">
        <v>3884</v>
      </c>
      <c r="BA850" t="s">
        <v>3884</v>
      </c>
      <c r="BB850" t="s">
        <v>3884</v>
      </c>
      <c r="BC850" t="s">
        <v>7658</v>
      </c>
      <c r="BD850" t="s">
        <v>3884</v>
      </c>
      <c r="BE850" t="s">
        <v>3884</v>
      </c>
      <c r="BF850" t="s">
        <v>3884</v>
      </c>
      <c r="BG850" t="s">
        <v>3884</v>
      </c>
      <c r="BH850" t="s">
        <v>3884</v>
      </c>
      <c r="BI850" t="s">
        <v>3884</v>
      </c>
      <c r="BJ850" t="s">
        <v>3884</v>
      </c>
      <c r="BK850" t="s">
        <v>3884</v>
      </c>
      <c r="BL850" t="s">
        <v>3884</v>
      </c>
      <c r="BM850" t="s">
        <v>3884</v>
      </c>
      <c r="BN850" t="s">
        <v>3884</v>
      </c>
      <c r="BO850" t="s">
        <v>3884</v>
      </c>
      <c r="BP850" t="s">
        <v>3884</v>
      </c>
      <c r="BQ850" t="s">
        <v>3884</v>
      </c>
      <c r="BR850" t="s">
        <v>3884</v>
      </c>
      <c r="BS850" t="s">
        <v>3884</v>
      </c>
      <c r="BT850" t="s">
        <v>3884</v>
      </c>
      <c r="BU850" t="s">
        <v>3884</v>
      </c>
      <c r="BV850" t="s">
        <v>3884</v>
      </c>
      <c r="BW850" t="s">
        <v>3884</v>
      </c>
      <c r="BX850" t="s">
        <v>3884</v>
      </c>
      <c r="BY850" t="s">
        <v>3884</v>
      </c>
      <c r="BZ850" t="s">
        <v>3884</v>
      </c>
      <c r="CA850" t="s">
        <v>3884</v>
      </c>
      <c r="CB850" t="s">
        <v>3884</v>
      </c>
      <c r="CC850" t="s">
        <v>3884</v>
      </c>
      <c r="CD850" t="s">
        <v>3884</v>
      </c>
      <c r="CQ850" t="s">
        <v>3884</v>
      </c>
      <c r="CR850" t="s">
        <v>3884</v>
      </c>
      <c r="CS850" t="s">
        <v>3884</v>
      </c>
      <c r="CT850" t="s">
        <v>3884</v>
      </c>
      <c r="CU850" t="s">
        <v>3884</v>
      </c>
      <c r="CV850" t="s">
        <v>3884</v>
      </c>
      <c r="CW850" t="s">
        <v>3884</v>
      </c>
      <c r="CX850" t="s">
        <v>3884</v>
      </c>
      <c r="CY850" t="s">
        <v>3884</v>
      </c>
      <c r="CZ850" t="s">
        <v>3884</v>
      </c>
      <c r="DG850" t="s">
        <v>3884</v>
      </c>
      <c r="DH850" t="s">
        <v>3884</v>
      </c>
      <c r="DI850" t="s">
        <v>3884</v>
      </c>
      <c r="DJ850" t="s">
        <v>3884</v>
      </c>
      <c r="DK850" t="s">
        <v>3884</v>
      </c>
      <c r="DL850" t="s">
        <v>3884</v>
      </c>
      <c r="DM850" t="s">
        <v>3884</v>
      </c>
      <c r="DN850" t="s">
        <v>3884</v>
      </c>
      <c r="DO850" t="s">
        <v>3884</v>
      </c>
      <c r="DQ850" t="s">
        <v>3884</v>
      </c>
      <c r="DR850" t="s">
        <v>3884</v>
      </c>
      <c r="DS850" t="s">
        <v>3884</v>
      </c>
      <c r="DT850" t="s">
        <v>3884</v>
      </c>
      <c r="DU850" t="s">
        <v>3884</v>
      </c>
      <c r="DV850" t="s">
        <v>3884</v>
      </c>
      <c r="DW850" t="s">
        <v>3884</v>
      </c>
      <c r="DX850" t="s">
        <v>3884</v>
      </c>
      <c r="DY850" t="s">
        <v>3884</v>
      </c>
      <c r="DZ850" t="s">
        <v>3884</v>
      </c>
      <c r="EA850" t="s">
        <v>3884</v>
      </c>
      <c r="EB850" t="s">
        <v>3884</v>
      </c>
      <c r="EC850" t="s">
        <v>3884</v>
      </c>
      <c r="ED850" t="s">
        <v>3884</v>
      </c>
      <c r="EE850" t="s">
        <v>3884</v>
      </c>
      <c r="EG850" t="s">
        <v>3884</v>
      </c>
      <c r="EH850" t="s">
        <v>3884</v>
      </c>
    </row>
    <row r="851" spans="1:138" x14ac:dyDescent="0.2">
      <c r="A851" t="s">
        <v>7073</v>
      </c>
    </row>
    <row r="852" spans="1:138" x14ac:dyDescent="0.2">
      <c r="A852" t="s">
        <v>3885</v>
      </c>
      <c r="AS852" t="s">
        <v>3681</v>
      </c>
      <c r="AV852" t="s">
        <v>3681</v>
      </c>
      <c r="BA852" t="s">
        <v>3681</v>
      </c>
      <c r="BC852" t="s">
        <v>3681</v>
      </c>
      <c r="BZ852" t="s">
        <v>6426</v>
      </c>
      <c r="CA852" t="s">
        <v>6427</v>
      </c>
      <c r="CZ852" t="s">
        <v>8477</v>
      </c>
      <c r="DS852" t="s">
        <v>6428</v>
      </c>
      <c r="DT852" t="s">
        <v>6428</v>
      </c>
      <c r="DU852" t="s">
        <v>6429</v>
      </c>
      <c r="DV852" t="s">
        <v>6430</v>
      </c>
      <c r="DW852" t="s">
        <v>6431</v>
      </c>
      <c r="DX852" t="s">
        <v>6432</v>
      </c>
      <c r="DY852" t="s">
        <v>6433</v>
      </c>
      <c r="DZ852" t="s">
        <v>6434</v>
      </c>
      <c r="EA852" t="s">
        <v>6435</v>
      </c>
      <c r="EB852" t="s">
        <v>6436</v>
      </c>
      <c r="EC852" t="s">
        <v>6437</v>
      </c>
      <c r="ED852" t="s">
        <v>6437</v>
      </c>
      <c r="EE852" t="s">
        <v>6438</v>
      </c>
    </row>
  </sheetData>
  <sheetProtection algorithmName="SHA-512" hashValue="DEacHpl6qSWO51ltNqf+tBJ0pXteygCaqLoJkzGjIRVeXXzC5Jur5/PyrhUOv8hFSWwgd8Ld3umHvIPvmpx2SQ==" saltValue="BCo1eZu2HHps4rzvUtPkPA==" spinCount="100000" sheet="1" objects="1" scenarios="1" selectLockedCells="1" selectUnlockedCells="1"/>
  <phoneticPr fontId="5" type="noConversion"/>
  <dataValidations count="14">
    <dataValidation type="list" allowBlank="1" showInputMessage="1" showErrorMessage="1" sqref="DU285:DU298 DQ287:DR298 DG287:DG298 DL287:DL288 CB287:CB288 CX287:CY287 CT287:CU287 CS287:CS289 CQ287:CR287 CU288 CQ288:CQ289 CB285:DR286 DH287:DJ288 BX293:BY298 DT255:DT256 BU285:BW298 BZ285:CA298 BX285:BY291 C253:AF262 EF253:EF255">
      <formula1>KPFNAHSON</formula1>
    </dataValidation>
    <dataValidation type="list" allowBlank="1" showInputMessage="1" showErrorMessage="1" sqref="DU299:DU302 CC299:DF302 C263:AF265">
      <formula1>KPFFERNSON</formula1>
    </dataValidation>
    <dataValidation type="list" allowBlank="1" showInputMessage="1" showErrorMessage="1" sqref="DU321 BP321">
      <formula1>TALENTE</formula1>
    </dataValidation>
    <dataValidation type="list" allowBlank="1" showInputMessage="1" showErrorMessage="1" sqref="DU308:DU315">
      <formula1>SF_MAGIE</formula1>
    </dataValidation>
    <dataValidation type="list" allowBlank="1" showInputMessage="1" showErrorMessage="1" sqref="DU319:DU320">
      <formula1>REPRAES</formula1>
    </dataValidation>
    <dataValidation type="list" allowBlank="1" showInputMessage="1" showErrorMessage="1" sqref="DU282:DU284 DQ282:DR284 DQ250:DS250 BU282:CA282">
      <formula1>SF_WLOS</formula1>
    </dataValidation>
    <dataValidation type="list" allowBlank="1" showInputMessage="1" showErrorMessage="1" sqref="DU303:DU307">
      <formula1>SF_ANDERE</formula1>
    </dataValidation>
    <dataValidation type="list" allowBlank="1" showInputMessage="1" showErrorMessage="1" sqref="DU316:DU318">
      <formula1>MERKMALE</formula1>
    </dataValidation>
    <dataValidation type="list" allowBlank="1" showInputMessage="1" showErrorMessage="1" sqref="DN39:EC42 AB39:AF40 AG39:DL42 C39:AA42">
      <formula1>BASISINKLGRP</formula1>
    </dataValidation>
    <dataValidation type="list" allowBlank="1" showInputMessage="1" showErrorMessage="1" sqref="DN34:EC38 AG34:DL38">
      <formula1>NACHTEILE</formula1>
    </dataValidation>
    <dataValidation type="list" allowBlank="1" showInputMessage="1" showErrorMessage="1" sqref="BD26:BD33">
      <formula1>VORTEILE</formula1>
    </dataValidation>
    <dataValidation type="list" allowBlank="1" showInputMessage="1" sqref="BD321">
      <formula1>TALENTE</formula1>
    </dataValidation>
    <dataValidation type="list" allowBlank="1" showInputMessage="1" showErrorMessage="1" sqref="C250:AF252">
      <formula1>WFLOSALLE</formula1>
    </dataValidation>
    <dataValidation type="list" allowBlank="1" showInputMessage="1" showErrorMessage="1" sqref="C266:AF281">
      <formula1>SFANDERE</formula1>
    </dataValidation>
  </dataValidations>
  <pageMargins left="0.78740157499999996" right="0.78740157499999996" top="0.984251969" bottom="0.984251969" header="0.4921259845" footer="0.4921259845"/>
  <pageSetup paperSize="9" orientation="portrait" horizontalDpi="360" verticalDpi="360"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tabColor theme="2" tint="-0.249977111117893"/>
  </sheetPr>
  <dimension ref="A1:IM853"/>
  <sheetViews>
    <sheetView zoomScale="85" zoomScaleNormal="85" workbookViewId="0">
      <pane xSplit="1" ySplit="1" topLeftCell="BL301" activePane="bottomRight" state="frozen"/>
      <selection activeCell="A671" sqref="A671"/>
      <selection pane="topRight" activeCell="A671" sqref="A671"/>
      <selection pane="bottomLeft" activeCell="A671" sqref="A671"/>
      <selection pane="bottomRight" activeCell="BN675" sqref="BN675"/>
    </sheetView>
  </sheetViews>
  <sheetFormatPr baseColWidth="10" defaultColWidth="8.85546875" defaultRowHeight="12.75" outlineLevelRow="1" x14ac:dyDescent="0.2"/>
  <cols>
    <col min="1" max="1" width="31.42578125" customWidth="1"/>
    <col min="2" max="2" width="4.28515625" customWidth="1"/>
    <col min="3" max="14" width="5.7109375" customWidth="1"/>
    <col min="15" max="15" width="4.28515625" customWidth="1"/>
    <col min="16" max="45" width="5.7109375" customWidth="1"/>
    <col min="46" max="46" width="4.28515625" customWidth="1"/>
    <col min="47" max="50" width="5.7109375" customWidth="1"/>
    <col min="51" max="51" width="4.28515625" customWidth="1"/>
    <col min="52" max="59" width="5.7109375" customWidth="1"/>
    <col min="60" max="60" width="4.28515625" customWidth="1"/>
    <col min="61" max="62" width="5.7109375" customWidth="1"/>
    <col min="63" max="63" width="4.28515625" customWidth="1"/>
    <col min="64" max="99" width="5.7109375" customWidth="1"/>
    <col min="100" max="100" width="4.28515625" customWidth="1"/>
    <col min="101" max="142" width="5.7109375" customWidth="1"/>
    <col min="143" max="143" width="6.7109375" customWidth="1"/>
    <col min="144" max="153" width="5.7109375" customWidth="1"/>
    <col min="154" max="154" width="4.28515625" customWidth="1"/>
    <col min="155" max="178" width="7.140625" customWidth="1"/>
    <col min="179" max="179" width="4.28515625" customWidth="1"/>
    <col min="180" max="186" width="5.7109375" customWidth="1"/>
    <col min="187" max="187" width="4.28515625" customWidth="1"/>
    <col min="188" max="194" width="5.7109375" customWidth="1"/>
    <col min="195" max="195" width="4.28515625" customWidth="1"/>
    <col min="196" max="205" width="5.7109375" customWidth="1"/>
    <col min="206" max="206" width="4.28515625" customWidth="1"/>
    <col min="207" max="207" width="5.7109375" customWidth="1"/>
    <col min="208" max="208" width="4.28515625" customWidth="1"/>
    <col min="209" max="243" width="5.7109375" customWidth="1"/>
    <col min="244" max="244" width="4.28515625" customWidth="1"/>
    <col min="245" max="247" width="5.7109375" customWidth="1"/>
  </cols>
  <sheetData>
    <row r="1" spans="1:247" ht="112.5" customHeight="1" x14ac:dyDescent="0.2">
      <c r="A1" t="s">
        <v>3537</v>
      </c>
      <c r="B1" t="s">
        <v>563</v>
      </c>
      <c r="C1" t="s">
        <v>6167</v>
      </c>
      <c r="D1" t="s">
        <v>3014</v>
      </c>
      <c r="E1" t="s">
        <v>3551</v>
      </c>
      <c r="F1" t="s">
        <v>3552</v>
      </c>
      <c r="G1" t="s">
        <v>4178</v>
      </c>
      <c r="H1" t="s">
        <v>6168</v>
      </c>
      <c r="I1" t="s">
        <v>3036</v>
      </c>
      <c r="J1" t="s">
        <v>3037</v>
      </c>
      <c r="K1" t="s">
        <v>1670</v>
      </c>
      <c r="L1" t="s">
        <v>1671</v>
      </c>
      <c r="M1" t="s">
        <v>1672</v>
      </c>
      <c r="N1" t="s">
        <v>1673</v>
      </c>
      <c r="O1" t="s">
        <v>4301</v>
      </c>
      <c r="P1" t="s">
        <v>3398</v>
      </c>
      <c r="Q1" t="s">
        <v>3399</v>
      </c>
      <c r="R1" t="s">
        <v>3229</v>
      </c>
      <c r="S1" t="s">
        <v>2552</v>
      </c>
      <c r="T1" t="s">
        <v>2553</v>
      </c>
      <c r="U1" t="s">
        <v>2554</v>
      </c>
      <c r="V1" t="s">
        <v>2555</v>
      </c>
      <c r="W1" t="s">
        <v>3401</v>
      </c>
      <c r="X1" t="s">
        <v>833</v>
      </c>
      <c r="Y1" t="s">
        <v>2242</v>
      </c>
      <c r="Z1" t="s">
        <v>2241</v>
      </c>
      <c r="AA1" t="s">
        <v>2240</v>
      </c>
      <c r="AB1" t="s">
        <v>2548</v>
      </c>
      <c r="AC1" t="s">
        <v>3402</v>
      </c>
      <c r="AD1" t="s">
        <v>6497</v>
      </c>
      <c r="AE1" t="s">
        <v>6498</v>
      </c>
      <c r="AF1" t="s">
        <v>6499</v>
      </c>
      <c r="AG1" t="s">
        <v>6502</v>
      </c>
      <c r="AH1" t="s">
        <v>6500</v>
      </c>
      <c r="AI1" t="s">
        <v>6501</v>
      </c>
      <c r="AJ1" t="s">
        <v>6503</v>
      </c>
      <c r="AK1" t="s">
        <v>6504</v>
      </c>
      <c r="AL1" t="s">
        <v>6505</v>
      </c>
      <c r="AM1" t="s">
        <v>6506</v>
      </c>
      <c r="AN1" t="s">
        <v>6507</v>
      </c>
      <c r="AO1" t="s">
        <v>6508</v>
      </c>
      <c r="AP1" t="s">
        <v>8464</v>
      </c>
      <c r="AQ1" t="s">
        <v>8465</v>
      </c>
      <c r="AR1" t="s">
        <v>8466</v>
      </c>
      <c r="AS1" t="s">
        <v>8467</v>
      </c>
      <c r="AT1" t="s">
        <v>4304</v>
      </c>
      <c r="AU1" t="s">
        <v>6171</v>
      </c>
      <c r="AV1" t="s">
        <v>4306</v>
      </c>
      <c r="AW1" t="s">
        <v>4307</v>
      </c>
      <c r="AX1" t="s">
        <v>6169</v>
      </c>
      <c r="AY1" t="s">
        <v>4305</v>
      </c>
      <c r="AZ1" t="s">
        <v>6175</v>
      </c>
      <c r="BA1" t="s">
        <v>4308</v>
      </c>
      <c r="BB1" t="s">
        <v>4309</v>
      </c>
      <c r="BC1" t="s">
        <v>4310</v>
      </c>
      <c r="BD1" t="s">
        <v>4311</v>
      </c>
      <c r="BE1" t="s">
        <v>4313</v>
      </c>
      <c r="BF1" t="s">
        <v>4314</v>
      </c>
      <c r="BG1" t="s">
        <v>4315</v>
      </c>
      <c r="BH1" t="s">
        <v>4316</v>
      </c>
      <c r="BI1" t="s">
        <v>4317</v>
      </c>
      <c r="BJ1" t="s">
        <v>6172</v>
      </c>
      <c r="BK1" t="s">
        <v>4318</v>
      </c>
      <c r="BL1" t="s">
        <v>8509</v>
      </c>
      <c r="BM1" t="s">
        <v>8510</v>
      </c>
      <c r="BN1" t="s">
        <v>8511</v>
      </c>
      <c r="BO1" t="s">
        <v>8501</v>
      </c>
      <c r="BP1" t="s">
        <v>8500</v>
      </c>
      <c r="BQ1" t="s">
        <v>8499</v>
      </c>
      <c r="BR1" t="s">
        <v>8498</v>
      </c>
      <c r="BS1" t="s">
        <v>8497</v>
      </c>
      <c r="BT1" t="s">
        <v>8502</v>
      </c>
      <c r="BU1" t="s">
        <v>8503</v>
      </c>
      <c r="BV1" t="s">
        <v>8512</v>
      </c>
      <c r="BW1" t="s">
        <v>8504</v>
      </c>
      <c r="BX1" t="s">
        <v>8505</v>
      </c>
      <c r="BY1" t="s">
        <v>8506</v>
      </c>
      <c r="BZ1" t="s">
        <v>8507</v>
      </c>
      <c r="CA1" t="s">
        <v>8508</v>
      </c>
      <c r="CB1" t="s">
        <v>3245</v>
      </c>
      <c r="CC1" t="s">
        <v>6176</v>
      </c>
      <c r="CD1" t="s">
        <v>4416</v>
      </c>
      <c r="CE1" t="s">
        <v>4417</v>
      </c>
      <c r="CF1" t="s">
        <v>6177</v>
      </c>
      <c r="CG1" t="s">
        <v>4418</v>
      </c>
      <c r="CH1" t="s">
        <v>4419</v>
      </c>
      <c r="CI1" t="s">
        <v>6178</v>
      </c>
      <c r="CJ1" t="s">
        <v>4421</v>
      </c>
      <c r="CK1" t="s">
        <v>6179</v>
      </c>
      <c r="CL1" t="s">
        <v>4422</v>
      </c>
      <c r="CM1" t="s">
        <v>9245</v>
      </c>
      <c r="CN1" t="s">
        <v>9246</v>
      </c>
      <c r="CO1" t="s">
        <v>9247</v>
      </c>
      <c r="CP1" t="s">
        <v>9248</v>
      </c>
      <c r="CQ1" t="s">
        <v>9249</v>
      </c>
      <c r="CR1" t="s">
        <v>9250</v>
      </c>
      <c r="CS1" t="s">
        <v>9251</v>
      </c>
      <c r="CT1" t="s">
        <v>9252</v>
      </c>
      <c r="CU1" t="s">
        <v>9253</v>
      </c>
      <c r="CV1" t="s">
        <v>4423</v>
      </c>
      <c r="CW1" t="s">
        <v>4425</v>
      </c>
      <c r="CX1" t="s">
        <v>4426</v>
      </c>
      <c r="CY1" t="s">
        <v>4424</v>
      </c>
      <c r="CZ1" t="s">
        <v>8106</v>
      </c>
      <c r="DA1" t="s">
        <v>4427</v>
      </c>
      <c r="DB1" t="s">
        <v>4428</v>
      </c>
      <c r="DC1" t="s">
        <v>2243</v>
      </c>
      <c r="DD1" t="s">
        <v>1066</v>
      </c>
      <c r="DE1" t="s">
        <v>1067</v>
      </c>
      <c r="DF1" t="s">
        <v>2244</v>
      </c>
      <c r="DG1" t="s">
        <v>2245</v>
      </c>
      <c r="DH1" t="s">
        <v>2217</v>
      </c>
      <c r="DI1" t="s">
        <v>2218</v>
      </c>
      <c r="DJ1" t="s">
        <v>3157</v>
      </c>
      <c r="DK1" t="s">
        <v>3158</v>
      </c>
      <c r="DL1" t="s">
        <v>4945</v>
      </c>
      <c r="DM1" t="s">
        <v>1653</v>
      </c>
      <c r="DN1" t="s">
        <v>2306</v>
      </c>
      <c r="DO1" t="s">
        <v>2307</v>
      </c>
      <c r="DP1" t="s">
        <v>2308</v>
      </c>
      <c r="DQ1" t="s">
        <v>2309</v>
      </c>
      <c r="DR1" t="s">
        <v>746</v>
      </c>
      <c r="DS1" t="s">
        <v>4703</v>
      </c>
      <c r="DT1" t="s">
        <v>2310</v>
      </c>
      <c r="DU1" t="s">
        <v>2311</v>
      </c>
      <c r="DV1" t="s">
        <v>2312</v>
      </c>
      <c r="DW1" t="s">
        <v>6398</v>
      </c>
      <c r="DX1" t="s">
        <v>2313</v>
      </c>
      <c r="DY1" t="s">
        <v>2314</v>
      </c>
      <c r="DZ1" t="s">
        <v>2315</v>
      </c>
      <c r="EA1" t="s">
        <v>1435</v>
      </c>
      <c r="EB1" t="s">
        <v>2447</v>
      </c>
      <c r="EC1" t="s">
        <v>417</v>
      </c>
      <c r="ED1" t="s">
        <v>546</v>
      </c>
      <c r="EE1" t="s">
        <v>548</v>
      </c>
      <c r="EF1" t="s">
        <v>549</v>
      </c>
      <c r="EG1" t="s">
        <v>3576</v>
      </c>
      <c r="EH1" t="s">
        <v>1677</v>
      </c>
      <c r="EI1" t="s">
        <v>9243</v>
      </c>
      <c r="EJ1" t="s">
        <v>1498</v>
      </c>
      <c r="EK1" t="s">
        <v>6441</v>
      </c>
      <c r="EL1" t="s">
        <v>6442</v>
      </c>
      <c r="EM1" t="s">
        <v>6443</v>
      </c>
      <c r="EN1" t="s">
        <v>6444</v>
      </c>
      <c r="EO1" t="s">
        <v>6445</v>
      </c>
      <c r="EP1" t="s">
        <v>2605</v>
      </c>
      <c r="EQ1" t="s">
        <v>708</v>
      </c>
      <c r="ER1" t="s">
        <v>709</v>
      </c>
      <c r="ES1" t="s">
        <v>710</v>
      </c>
      <c r="ET1" t="s">
        <v>3034</v>
      </c>
      <c r="EU1" t="s">
        <v>1501</v>
      </c>
      <c r="EV1" t="s">
        <v>1502</v>
      </c>
      <c r="EW1" t="s">
        <v>4687</v>
      </c>
      <c r="EX1" t="s">
        <v>1557</v>
      </c>
      <c r="EY1" t="s">
        <v>9101</v>
      </c>
      <c r="EZ1" t="s">
        <v>8838</v>
      </c>
      <c r="FA1" t="s">
        <v>9106</v>
      </c>
      <c r="FB1" t="s">
        <v>8827</v>
      </c>
      <c r="FC1" t="s">
        <v>8828</v>
      </c>
      <c r="FD1" t="s">
        <v>9107</v>
      </c>
      <c r="FE1" t="s">
        <v>8908</v>
      </c>
      <c r="FF1" t="s">
        <v>9102</v>
      </c>
      <c r="FG1" t="s">
        <v>8829</v>
      </c>
      <c r="FH1" t="s">
        <v>8830</v>
      </c>
      <c r="FI1" t="s">
        <v>8831</v>
      </c>
      <c r="FJ1" t="s">
        <v>8832</v>
      </c>
      <c r="FK1" t="s">
        <v>4628</v>
      </c>
      <c r="FL1" t="s">
        <v>8912</v>
      </c>
      <c r="FM1" t="s">
        <v>9108</v>
      </c>
      <c r="FN1" t="s">
        <v>8833</v>
      </c>
      <c r="FO1" t="s">
        <v>9103</v>
      </c>
      <c r="FP1" t="s">
        <v>8834</v>
      </c>
      <c r="FQ1" t="s">
        <v>8835</v>
      </c>
      <c r="FR1" t="s">
        <v>8836</v>
      </c>
      <c r="FS1" t="s">
        <v>8837</v>
      </c>
      <c r="FT1" t="s">
        <v>2690</v>
      </c>
      <c r="FU1" t="s">
        <v>9104</v>
      </c>
      <c r="FV1" t="s">
        <v>9105</v>
      </c>
      <c r="FW1" t="s">
        <v>4943</v>
      </c>
      <c r="FX1" t="s">
        <v>6205</v>
      </c>
      <c r="FY1" t="s">
        <v>6268</v>
      </c>
      <c r="FZ1" t="s">
        <v>6269</v>
      </c>
      <c r="GA1" t="s">
        <v>6270</v>
      </c>
      <c r="GB1" t="s">
        <v>6271</v>
      </c>
      <c r="GC1" t="s">
        <v>6272</v>
      </c>
      <c r="GD1" t="s">
        <v>6273</v>
      </c>
      <c r="GE1" t="s">
        <v>2036</v>
      </c>
      <c r="GF1" t="s">
        <v>2037</v>
      </c>
      <c r="GG1" t="s">
        <v>1186</v>
      </c>
      <c r="GH1" t="s">
        <v>1187</v>
      </c>
      <c r="GI1" t="s">
        <v>1188</v>
      </c>
      <c r="GJ1" t="s">
        <v>1189</v>
      </c>
      <c r="GK1" t="s">
        <v>1190</v>
      </c>
      <c r="GL1" t="s">
        <v>1191</v>
      </c>
      <c r="GM1" t="s">
        <v>1192</v>
      </c>
      <c r="GN1" t="s">
        <v>6245</v>
      </c>
      <c r="GO1" t="s">
        <v>6246</v>
      </c>
      <c r="GP1" t="s">
        <v>6247</v>
      </c>
      <c r="GQ1" t="s">
        <v>6248</v>
      </c>
      <c r="GR1" t="s">
        <v>6249</v>
      </c>
      <c r="GS1" t="s">
        <v>6250</v>
      </c>
      <c r="GT1" t="s">
        <v>6251</v>
      </c>
      <c r="GU1" t="s">
        <v>6252</v>
      </c>
      <c r="GV1" t="s">
        <v>6253</v>
      </c>
      <c r="GW1" t="s">
        <v>7103</v>
      </c>
      <c r="GX1" t="s">
        <v>7282</v>
      </c>
      <c r="GY1" t="s">
        <v>4721</v>
      </c>
      <c r="GZ1" t="s">
        <v>7138</v>
      </c>
      <c r="HA1" t="s">
        <v>6207</v>
      </c>
      <c r="HB1" t="s">
        <v>6208</v>
      </c>
      <c r="HC1" t="s">
        <v>6209</v>
      </c>
      <c r="HD1" t="s">
        <v>6210</v>
      </c>
      <c r="HE1" t="s">
        <v>6211</v>
      </c>
      <c r="HF1" t="s">
        <v>6212</v>
      </c>
      <c r="HG1" t="s">
        <v>6213</v>
      </c>
      <c r="HH1" t="s">
        <v>6214</v>
      </c>
      <c r="HI1" t="s">
        <v>6215</v>
      </c>
      <c r="HJ1" t="s">
        <v>6216</v>
      </c>
      <c r="HK1" t="s">
        <v>6217</v>
      </c>
      <c r="HL1" t="s">
        <v>6218</v>
      </c>
      <c r="HM1" t="s">
        <v>6219</v>
      </c>
      <c r="HN1" t="s">
        <v>6220</v>
      </c>
      <c r="HO1" t="s">
        <v>6221</v>
      </c>
      <c r="HP1" t="s">
        <v>6222</v>
      </c>
      <c r="HQ1" t="s">
        <v>6223</v>
      </c>
      <c r="HR1" t="s">
        <v>6224</v>
      </c>
      <c r="HS1" t="s">
        <v>6225</v>
      </c>
      <c r="HT1" t="s">
        <v>6226</v>
      </c>
      <c r="HU1" t="s">
        <v>6227</v>
      </c>
      <c r="HV1" t="s">
        <v>6228</v>
      </c>
      <c r="HW1" t="s">
        <v>6229</v>
      </c>
      <c r="HX1" t="s">
        <v>6230</v>
      </c>
      <c r="HY1" t="s">
        <v>6231</v>
      </c>
      <c r="HZ1" t="s">
        <v>6232</v>
      </c>
      <c r="IA1" t="s">
        <v>6233</v>
      </c>
      <c r="IB1" t="s">
        <v>6234</v>
      </c>
      <c r="IC1" t="s">
        <v>6235</v>
      </c>
      <c r="ID1" t="s">
        <v>6236</v>
      </c>
      <c r="IE1" t="s">
        <v>7811</v>
      </c>
      <c r="IF1" t="s">
        <v>7814</v>
      </c>
      <c r="IG1" t="s">
        <v>7813</v>
      </c>
      <c r="IH1" t="s">
        <v>7808</v>
      </c>
      <c r="II1" t="s">
        <v>7810</v>
      </c>
      <c r="IJ1" t="s">
        <v>7189</v>
      </c>
      <c r="IK1" t="s">
        <v>7190</v>
      </c>
      <c r="IL1" t="s">
        <v>2058</v>
      </c>
      <c r="IM1" t="s">
        <v>7674</v>
      </c>
    </row>
    <row r="2" spans="1:247" x14ac:dyDescent="0.2">
      <c r="A2" t="s">
        <v>1783</v>
      </c>
      <c r="C2">
        <v>0</v>
      </c>
      <c r="D2">
        <v>17</v>
      </c>
      <c r="E2">
        <v>20</v>
      </c>
      <c r="F2">
        <v>15</v>
      </c>
      <c r="G2">
        <v>15</v>
      </c>
      <c r="H2">
        <v>0</v>
      </c>
      <c r="I2">
        <v>22</v>
      </c>
      <c r="J2">
        <v>21</v>
      </c>
      <c r="K2">
        <v>22</v>
      </c>
      <c r="L2">
        <v>22</v>
      </c>
      <c r="M2">
        <v>22</v>
      </c>
      <c r="N2">
        <v>21</v>
      </c>
      <c r="P2">
        <v>2</v>
      </c>
      <c r="Q2">
        <v>0</v>
      </c>
      <c r="S2">
        <v>7</v>
      </c>
      <c r="T2">
        <v>9</v>
      </c>
      <c r="U2">
        <v>8</v>
      </c>
      <c r="V2">
        <v>7</v>
      </c>
      <c r="W2">
        <v>4</v>
      </c>
      <c r="Y2">
        <v>5</v>
      </c>
      <c r="Z2">
        <v>5</v>
      </c>
      <c r="AA2">
        <v>5</v>
      </c>
      <c r="AB2">
        <v>4</v>
      </c>
      <c r="AC2">
        <v>5</v>
      </c>
      <c r="AD2">
        <v>4</v>
      </c>
      <c r="AE2">
        <v>2</v>
      </c>
      <c r="AF2">
        <v>9</v>
      </c>
      <c r="AG2">
        <v>11</v>
      </c>
      <c r="AH2">
        <v>10</v>
      </c>
      <c r="AI2">
        <v>9</v>
      </c>
      <c r="AJ2">
        <v>6</v>
      </c>
      <c r="AK2">
        <v>7</v>
      </c>
      <c r="AL2">
        <v>7</v>
      </c>
      <c r="AM2">
        <v>7</v>
      </c>
      <c r="AN2">
        <v>6</v>
      </c>
      <c r="AO2">
        <v>7</v>
      </c>
      <c r="AP2">
        <v>5</v>
      </c>
      <c r="AQ2">
        <v>7</v>
      </c>
      <c r="AR2">
        <v>8</v>
      </c>
      <c r="AS2">
        <v>10</v>
      </c>
      <c r="AU2">
        <v>0</v>
      </c>
      <c r="AV2">
        <v>15</v>
      </c>
      <c r="AW2">
        <v>17</v>
      </c>
      <c r="AX2">
        <v>2</v>
      </c>
      <c r="AZ2">
        <v>0</v>
      </c>
      <c r="BA2">
        <v>16</v>
      </c>
      <c r="BB2">
        <v>18</v>
      </c>
      <c r="BC2">
        <v>19</v>
      </c>
      <c r="BD2">
        <v>17</v>
      </c>
      <c r="BE2">
        <v>18</v>
      </c>
      <c r="BF2">
        <v>15</v>
      </c>
      <c r="BG2">
        <v>17</v>
      </c>
      <c r="BI2">
        <v>10</v>
      </c>
      <c r="BJ2">
        <v>10</v>
      </c>
      <c r="BL2">
        <v>10</v>
      </c>
      <c r="BM2">
        <v>3</v>
      </c>
      <c r="BN2">
        <v>14</v>
      </c>
      <c r="BO2">
        <v>10</v>
      </c>
      <c r="BP2">
        <v>3</v>
      </c>
      <c r="BQ2">
        <v>6</v>
      </c>
      <c r="BR2">
        <v>3</v>
      </c>
      <c r="BS2">
        <v>10</v>
      </c>
      <c r="BT2">
        <v>12</v>
      </c>
      <c r="BU2">
        <v>6</v>
      </c>
      <c r="BV2">
        <v>10</v>
      </c>
      <c r="BW2">
        <v>4</v>
      </c>
      <c r="BX2">
        <v>16</v>
      </c>
      <c r="BY2">
        <v>10</v>
      </c>
      <c r="BZ2">
        <v>3</v>
      </c>
      <c r="CA2">
        <v>4</v>
      </c>
      <c r="CB2">
        <v>9</v>
      </c>
      <c r="CD2">
        <v>16</v>
      </c>
      <c r="CE2">
        <v>17</v>
      </c>
      <c r="CF2">
        <v>17</v>
      </c>
      <c r="CG2">
        <v>17</v>
      </c>
      <c r="CH2">
        <v>17</v>
      </c>
      <c r="CI2">
        <v>18</v>
      </c>
      <c r="CJ2">
        <v>16</v>
      </c>
      <c r="CK2">
        <v>16</v>
      </c>
      <c r="CL2">
        <v>16</v>
      </c>
      <c r="CM2">
        <v>8</v>
      </c>
      <c r="CN2">
        <v>7</v>
      </c>
      <c r="CO2">
        <v>7</v>
      </c>
      <c r="CP2">
        <v>9</v>
      </c>
      <c r="CQ2">
        <v>16</v>
      </c>
      <c r="CR2">
        <v>6</v>
      </c>
      <c r="CS2">
        <v>6</v>
      </c>
      <c r="CT2">
        <v>3</v>
      </c>
      <c r="CU2">
        <v>5</v>
      </c>
      <c r="CW2">
        <v>25</v>
      </c>
      <c r="CX2">
        <v>26</v>
      </c>
      <c r="CY2">
        <v>28</v>
      </c>
      <c r="CZ2">
        <v>29</v>
      </c>
      <c r="DA2">
        <v>25</v>
      </c>
      <c r="DB2">
        <v>27</v>
      </c>
      <c r="DC2">
        <v>30</v>
      </c>
      <c r="DD2">
        <v>29</v>
      </c>
      <c r="DE2">
        <v>29</v>
      </c>
      <c r="DF2">
        <v>31</v>
      </c>
      <c r="DG2">
        <v>31</v>
      </c>
      <c r="DH2">
        <v>31</v>
      </c>
      <c r="DI2">
        <v>31</v>
      </c>
      <c r="DJ2">
        <v>31</v>
      </c>
      <c r="DK2">
        <v>31</v>
      </c>
      <c r="DL2">
        <v>30</v>
      </c>
      <c r="DM2">
        <v>26</v>
      </c>
      <c r="DN2">
        <v>30</v>
      </c>
      <c r="DO2">
        <v>31</v>
      </c>
      <c r="DP2">
        <v>26</v>
      </c>
      <c r="DQ2">
        <v>27</v>
      </c>
      <c r="DR2">
        <v>29</v>
      </c>
      <c r="DS2">
        <v>26</v>
      </c>
      <c r="DT2">
        <v>30</v>
      </c>
      <c r="DU2">
        <v>23</v>
      </c>
      <c r="DV2">
        <v>29</v>
      </c>
      <c r="DW2">
        <v>29</v>
      </c>
      <c r="DX2">
        <v>31</v>
      </c>
      <c r="DY2">
        <v>23</v>
      </c>
      <c r="DZ2">
        <v>29</v>
      </c>
      <c r="EA2">
        <v>25</v>
      </c>
      <c r="EB2">
        <v>24</v>
      </c>
      <c r="EC2">
        <v>23</v>
      </c>
      <c r="ED2">
        <v>24</v>
      </c>
      <c r="EE2">
        <v>22</v>
      </c>
      <c r="EF2">
        <v>23</v>
      </c>
      <c r="EG2">
        <v>25</v>
      </c>
      <c r="EH2">
        <v>29</v>
      </c>
      <c r="EI2">
        <v>37</v>
      </c>
      <c r="EJ2">
        <v>29</v>
      </c>
      <c r="EK2">
        <v>28</v>
      </c>
      <c r="EL2">
        <v>30</v>
      </c>
      <c r="EM2">
        <v>29</v>
      </c>
      <c r="EN2">
        <v>29</v>
      </c>
      <c r="EO2">
        <v>23</v>
      </c>
      <c r="EP2">
        <v>25</v>
      </c>
      <c r="EQ2">
        <v>29</v>
      </c>
      <c r="ER2">
        <v>27</v>
      </c>
      <c r="ES2">
        <v>26</v>
      </c>
      <c r="ET2">
        <v>22</v>
      </c>
      <c r="EU2">
        <v>25</v>
      </c>
      <c r="EV2">
        <v>24</v>
      </c>
      <c r="EW2">
        <v>26</v>
      </c>
      <c r="EY2">
        <v>23</v>
      </c>
      <c r="EZ2">
        <v>24</v>
      </c>
      <c r="FA2">
        <v>24</v>
      </c>
      <c r="FB2">
        <v>21</v>
      </c>
      <c r="FC2">
        <v>18</v>
      </c>
      <c r="FD2">
        <v>15</v>
      </c>
      <c r="FE2">
        <v>27</v>
      </c>
      <c r="FF2">
        <v>27</v>
      </c>
      <c r="FG2">
        <v>29</v>
      </c>
      <c r="FH2">
        <v>25</v>
      </c>
      <c r="FI2">
        <v>29</v>
      </c>
      <c r="FJ2">
        <v>29</v>
      </c>
      <c r="FK2">
        <v>14</v>
      </c>
      <c r="FL2">
        <v>24</v>
      </c>
      <c r="FM2">
        <v>23</v>
      </c>
      <c r="FN2">
        <v>19</v>
      </c>
      <c r="FO2">
        <v>25</v>
      </c>
      <c r="FP2">
        <v>27</v>
      </c>
      <c r="FQ2">
        <v>30</v>
      </c>
      <c r="FR2">
        <v>32</v>
      </c>
      <c r="FS2">
        <v>30</v>
      </c>
      <c r="FT2">
        <v>23</v>
      </c>
      <c r="FU2">
        <v>20</v>
      </c>
      <c r="FV2">
        <v>22</v>
      </c>
      <c r="FX2">
        <v>0</v>
      </c>
      <c r="FY2">
        <v>13</v>
      </c>
      <c r="FZ2">
        <v>13</v>
      </c>
      <c r="GA2">
        <v>14</v>
      </c>
      <c r="GB2">
        <v>13</v>
      </c>
      <c r="GC2">
        <v>15</v>
      </c>
      <c r="GD2">
        <v>14</v>
      </c>
      <c r="GF2">
        <v>12</v>
      </c>
      <c r="GG2">
        <v>17</v>
      </c>
      <c r="GH2">
        <v>16</v>
      </c>
      <c r="GI2">
        <v>17</v>
      </c>
      <c r="GJ2">
        <v>12</v>
      </c>
      <c r="GK2">
        <v>18</v>
      </c>
      <c r="GL2">
        <v>20</v>
      </c>
      <c r="GN2">
        <v>0</v>
      </c>
      <c r="GO2">
        <v>7</v>
      </c>
      <c r="GP2">
        <v>7</v>
      </c>
      <c r="GQ2">
        <v>6</v>
      </c>
      <c r="GR2">
        <v>4</v>
      </c>
      <c r="GS2">
        <v>8</v>
      </c>
      <c r="GT2">
        <v>9</v>
      </c>
      <c r="GU2">
        <v>10</v>
      </c>
      <c r="GV2">
        <v>6</v>
      </c>
      <c r="GW2">
        <v>9</v>
      </c>
      <c r="GY2">
        <v>5</v>
      </c>
      <c r="HA2">
        <v>5</v>
      </c>
      <c r="HB2">
        <v>11</v>
      </c>
      <c r="HC2">
        <v>6</v>
      </c>
      <c r="HD2">
        <v>12</v>
      </c>
      <c r="HE2">
        <v>6</v>
      </c>
      <c r="HF2">
        <v>12</v>
      </c>
      <c r="HG2">
        <v>6</v>
      </c>
      <c r="HH2">
        <v>12</v>
      </c>
      <c r="HI2">
        <v>6</v>
      </c>
      <c r="HJ2">
        <v>12</v>
      </c>
      <c r="HK2">
        <v>6</v>
      </c>
      <c r="HL2">
        <v>12</v>
      </c>
      <c r="HM2">
        <v>7</v>
      </c>
      <c r="HN2">
        <v>13</v>
      </c>
      <c r="HO2">
        <v>6</v>
      </c>
      <c r="HP2">
        <v>12</v>
      </c>
      <c r="HQ2">
        <v>16</v>
      </c>
      <c r="HR2">
        <v>5</v>
      </c>
      <c r="HS2">
        <v>11</v>
      </c>
      <c r="HT2">
        <v>10</v>
      </c>
      <c r="HU2">
        <v>16</v>
      </c>
      <c r="HV2">
        <v>10</v>
      </c>
      <c r="HW2">
        <v>16</v>
      </c>
      <c r="HX2">
        <v>11</v>
      </c>
      <c r="HY2">
        <v>17</v>
      </c>
      <c r="HZ2">
        <v>11</v>
      </c>
      <c r="IA2">
        <v>17</v>
      </c>
      <c r="IB2">
        <v>9</v>
      </c>
      <c r="IC2">
        <v>15</v>
      </c>
      <c r="ID2">
        <v>15</v>
      </c>
      <c r="IE2">
        <v>8</v>
      </c>
      <c r="IF2">
        <v>6</v>
      </c>
      <c r="IG2">
        <v>12</v>
      </c>
      <c r="IH2">
        <v>7</v>
      </c>
      <c r="II2">
        <v>13</v>
      </c>
      <c r="IK2">
        <v>500</v>
      </c>
    </row>
    <row r="3" spans="1:247" x14ac:dyDescent="0.2">
      <c r="A3" t="s">
        <v>2138</v>
      </c>
      <c r="DV3">
        <v>-1</v>
      </c>
      <c r="DW3">
        <v>-1</v>
      </c>
      <c r="FO3">
        <v>-1</v>
      </c>
      <c r="HQ3">
        <v>-1</v>
      </c>
      <c r="IF3" t="s">
        <v>4569</v>
      </c>
      <c r="IG3" t="s">
        <v>4569</v>
      </c>
      <c r="IH3" t="s">
        <v>4569</v>
      </c>
      <c r="II3" t="s">
        <v>4569</v>
      </c>
    </row>
    <row r="4" spans="1:247" x14ac:dyDescent="0.2">
      <c r="A4" t="s">
        <v>564</v>
      </c>
      <c r="C4">
        <v>1</v>
      </c>
      <c r="D4">
        <v>1</v>
      </c>
      <c r="E4">
        <v>1</v>
      </c>
      <c r="F4">
        <v>1</v>
      </c>
      <c r="G4">
        <v>1</v>
      </c>
      <c r="H4">
        <v>1</v>
      </c>
      <c r="I4">
        <v>1</v>
      </c>
      <c r="J4">
        <v>1</v>
      </c>
      <c r="K4">
        <v>1</v>
      </c>
      <c r="L4">
        <v>1</v>
      </c>
      <c r="M4">
        <v>1</v>
      </c>
      <c r="N4">
        <v>1</v>
      </c>
      <c r="AC4">
        <v>3</v>
      </c>
      <c r="AO4">
        <v>3</v>
      </c>
      <c r="AR4">
        <v>3</v>
      </c>
      <c r="AS4">
        <v>3</v>
      </c>
      <c r="AZ4">
        <v>1</v>
      </c>
      <c r="BA4">
        <v>1</v>
      </c>
      <c r="BB4">
        <v>1</v>
      </c>
      <c r="BC4">
        <v>1</v>
      </c>
      <c r="BD4">
        <v>1</v>
      </c>
      <c r="BE4">
        <v>1</v>
      </c>
      <c r="BF4">
        <v>1</v>
      </c>
      <c r="BG4">
        <v>1</v>
      </c>
      <c r="CW4">
        <v>6</v>
      </c>
      <c r="CX4">
        <v>6</v>
      </c>
      <c r="CY4">
        <v>6</v>
      </c>
      <c r="CZ4">
        <v>6</v>
      </c>
      <c r="DA4">
        <v>6</v>
      </c>
      <c r="DB4">
        <v>6</v>
      </c>
      <c r="DC4">
        <v>4</v>
      </c>
      <c r="DD4">
        <v>6</v>
      </c>
      <c r="DE4">
        <v>6</v>
      </c>
      <c r="DF4">
        <v>6</v>
      </c>
      <c r="DG4">
        <v>6</v>
      </c>
      <c r="DH4">
        <v>6</v>
      </c>
      <c r="DI4">
        <v>6</v>
      </c>
      <c r="DJ4">
        <v>6</v>
      </c>
      <c r="DK4">
        <v>6</v>
      </c>
      <c r="DL4">
        <v>6</v>
      </c>
      <c r="DM4">
        <v>6</v>
      </c>
      <c r="DN4">
        <v>6</v>
      </c>
      <c r="DO4">
        <v>6</v>
      </c>
      <c r="DP4">
        <v>6</v>
      </c>
      <c r="DQ4">
        <v>6</v>
      </c>
      <c r="DR4">
        <v>6</v>
      </c>
      <c r="DS4">
        <v>6</v>
      </c>
      <c r="DT4">
        <v>6</v>
      </c>
      <c r="DU4">
        <v>6</v>
      </c>
      <c r="DV4">
        <v>4</v>
      </c>
      <c r="DW4">
        <v>2</v>
      </c>
      <c r="DX4">
        <v>6</v>
      </c>
      <c r="DY4">
        <v>6</v>
      </c>
      <c r="DZ4">
        <v>6</v>
      </c>
      <c r="EA4">
        <v>6</v>
      </c>
      <c r="EB4">
        <v>6</v>
      </c>
      <c r="EC4">
        <v>6</v>
      </c>
      <c r="ED4">
        <v>6</v>
      </c>
      <c r="EE4">
        <v>6</v>
      </c>
      <c r="EF4">
        <v>6</v>
      </c>
      <c r="EG4">
        <v>6</v>
      </c>
      <c r="EH4">
        <v>6</v>
      </c>
      <c r="EI4">
        <v>6</v>
      </c>
      <c r="EJ4">
        <v>6</v>
      </c>
      <c r="EK4">
        <v>6</v>
      </c>
      <c r="EL4">
        <v>6</v>
      </c>
      <c r="EM4">
        <v>6</v>
      </c>
      <c r="EN4">
        <v>6</v>
      </c>
      <c r="EO4">
        <v>6</v>
      </c>
      <c r="EP4">
        <v>6</v>
      </c>
      <c r="EQ4">
        <v>6</v>
      </c>
      <c r="ER4">
        <v>6</v>
      </c>
      <c r="ES4">
        <v>6</v>
      </c>
      <c r="ET4">
        <v>6</v>
      </c>
      <c r="EU4">
        <v>6</v>
      </c>
      <c r="EV4">
        <v>6</v>
      </c>
      <c r="EW4">
        <v>6</v>
      </c>
      <c r="EY4">
        <v>-1</v>
      </c>
      <c r="EZ4">
        <v>11</v>
      </c>
      <c r="FA4">
        <v>11</v>
      </c>
      <c r="FB4">
        <v>11</v>
      </c>
      <c r="FC4">
        <v>11</v>
      </c>
      <c r="FD4">
        <v>11</v>
      </c>
      <c r="FE4">
        <v>11</v>
      </c>
      <c r="FF4">
        <v>11</v>
      </c>
      <c r="FG4">
        <v>18</v>
      </c>
      <c r="FH4">
        <v>18</v>
      </c>
      <c r="FI4">
        <v>18</v>
      </c>
      <c r="FJ4">
        <v>18</v>
      </c>
      <c r="FK4">
        <v>-1</v>
      </c>
      <c r="FL4">
        <v>-1</v>
      </c>
      <c r="FM4">
        <v>-2</v>
      </c>
      <c r="FN4">
        <v>-1</v>
      </c>
      <c r="FO4">
        <v>-2</v>
      </c>
      <c r="FP4">
        <v>6</v>
      </c>
      <c r="FQ4">
        <v>6</v>
      </c>
      <c r="FR4">
        <v>6</v>
      </c>
      <c r="FS4">
        <v>6</v>
      </c>
      <c r="FT4">
        <v>-1</v>
      </c>
      <c r="FU4">
        <v>-1</v>
      </c>
      <c r="FV4">
        <v>-1</v>
      </c>
      <c r="FY4">
        <v>3</v>
      </c>
      <c r="FZ4">
        <v>3</v>
      </c>
      <c r="GA4">
        <v>2</v>
      </c>
      <c r="GB4">
        <v>0</v>
      </c>
      <c r="GC4">
        <v>3</v>
      </c>
      <c r="GD4">
        <v>0</v>
      </c>
      <c r="HQ4">
        <v>2</v>
      </c>
      <c r="ID4">
        <v>1</v>
      </c>
      <c r="IF4" t="s">
        <v>4569</v>
      </c>
      <c r="IH4" t="s">
        <v>4569</v>
      </c>
    </row>
    <row r="5" spans="1:247" x14ac:dyDescent="0.2">
      <c r="A5" t="s">
        <v>3604</v>
      </c>
      <c r="BL5">
        <v>2</v>
      </c>
      <c r="BM5">
        <v>1</v>
      </c>
      <c r="BN5">
        <v>2</v>
      </c>
      <c r="BO5">
        <v>2</v>
      </c>
      <c r="BQ5">
        <v>1</v>
      </c>
      <c r="BS5">
        <v>2</v>
      </c>
      <c r="BT5">
        <v>2</v>
      </c>
      <c r="BU5">
        <v>1</v>
      </c>
      <c r="BV5">
        <v>2</v>
      </c>
      <c r="BW5">
        <v>1</v>
      </c>
      <c r="BX5">
        <v>2</v>
      </c>
      <c r="BY5">
        <v>2</v>
      </c>
      <c r="BZ5">
        <v>1</v>
      </c>
      <c r="CA5">
        <v>1</v>
      </c>
      <c r="CB5">
        <v>3</v>
      </c>
      <c r="CC5">
        <v>3</v>
      </c>
      <c r="CD5">
        <v>3</v>
      </c>
      <c r="CE5">
        <v>3</v>
      </c>
      <c r="CF5">
        <v>4</v>
      </c>
      <c r="CG5">
        <v>3</v>
      </c>
      <c r="CH5">
        <v>3</v>
      </c>
      <c r="CI5">
        <v>3</v>
      </c>
      <c r="CJ5">
        <v>3</v>
      </c>
      <c r="CK5">
        <v>3</v>
      </c>
      <c r="CL5">
        <v>5</v>
      </c>
      <c r="CT5">
        <v>2</v>
      </c>
      <c r="CU5">
        <v>2</v>
      </c>
      <c r="GN5">
        <v>3</v>
      </c>
      <c r="GO5">
        <v>3</v>
      </c>
      <c r="GP5">
        <v>3</v>
      </c>
      <c r="GQ5">
        <v>3</v>
      </c>
      <c r="GR5">
        <v>3</v>
      </c>
      <c r="GS5">
        <v>3</v>
      </c>
      <c r="GT5">
        <v>3</v>
      </c>
      <c r="GU5">
        <v>3</v>
      </c>
      <c r="GV5">
        <v>3</v>
      </c>
      <c r="GW5">
        <v>3</v>
      </c>
      <c r="IF5" t="s">
        <v>4569</v>
      </c>
      <c r="IG5" t="s">
        <v>4569</v>
      </c>
      <c r="IH5" t="s">
        <v>4569</v>
      </c>
      <c r="II5" t="s">
        <v>4569</v>
      </c>
    </row>
    <row r="6" spans="1:247" x14ac:dyDescent="0.2">
      <c r="A6" t="s">
        <v>3605</v>
      </c>
      <c r="C6">
        <v>2</v>
      </c>
      <c r="D6">
        <v>2</v>
      </c>
      <c r="E6">
        <v>2</v>
      </c>
      <c r="F6">
        <v>2</v>
      </c>
      <c r="G6">
        <v>2</v>
      </c>
      <c r="H6">
        <v>2</v>
      </c>
      <c r="I6">
        <v>2</v>
      </c>
      <c r="J6">
        <v>2</v>
      </c>
      <c r="K6">
        <v>2</v>
      </c>
      <c r="L6">
        <v>2</v>
      </c>
      <c r="M6">
        <v>2</v>
      </c>
      <c r="N6">
        <v>2</v>
      </c>
      <c r="AU6">
        <v>4</v>
      </c>
      <c r="AV6">
        <v>4</v>
      </c>
      <c r="AW6">
        <v>4</v>
      </c>
      <c r="AX6">
        <v>1</v>
      </c>
      <c r="AZ6">
        <v>2</v>
      </c>
      <c r="BA6">
        <v>2</v>
      </c>
      <c r="BB6">
        <v>2</v>
      </c>
      <c r="BC6">
        <v>2</v>
      </c>
      <c r="BD6">
        <v>2</v>
      </c>
      <c r="BE6">
        <v>2</v>
      </c>
      <c r="BF6">
        <v>2</v>
      </c>
      <c r="BG6">
        <v>2</v>
      </c>
      <c r="BI6">
        <v>2</v>
      </c>
      <c r="BJ6">
        <v>2</v>
      </c>
      <c r="CB6">
        <v>1</v>
      </c>
      <c r="CT6">
        <v>1</v>
      </c>
      <c r="CU6">
        <v>3</v>
      </c>
      <c r="CW6">
        <v>2</v>
      </c>
      <c r="CX6">
        <v>2</v>
      </c>
      <c r="CY6">
        <v>2</v>
      </c>
      <c r="CZ6">
        <v>2</v>
      </c>
      <c r="DA6">
        <v>2</v>
      </c>
      <c r="DB6">
        <v>2</v>
      </c>
      <c r="DC6">
        <v>2</v>
      </c>
      <c r="DD6">
        <v>2</v>
      </c>
      <c r="DE6">
        <v>2</v>
      </c>
      <c r="DF6">
        <v>2</v>
      </c>
      <c r="DG6">
        <v>2</v>
      </c>
      <c r="DH6">
        <v>2</v>
      </c>
      <c r="DI6">
        <v>2</v>
      </c>
      <c r="DJ6">
        <v>2</v>
      </c>
      <c r="DK6">
        <v>2</v>
      </c>
      <c r="DL6">
        <v>2</v>
      </c>
      <c r="DM6">
        <v>2</v>
      </c>
      <c r="DN6">
        <v>2</v>
      </c>
      <c r="DO6">
        <v>2</v>
      </c>
      <c r="DP6">
        <v>2</v>
      </c>
      <c r="DQ6">
        <v>2</v>
      </c>
      <c r="DR6">
        <v>2</v>
      </c>
      <c r="DS6">
        <v>2</v>
      </c>
      <c r="DT6">
        <v>2</v>
      </c>
      <c r="DU6">
        <v>2</v>
      </c>
      <c r="DV6">
        <v>2</v>
      </c>
      <c r="DW6">
        <v>2</v>
      </c>
      <c r="DX6">
        <v>2</v>
      </c>
      <c r="DY6">
        <v>2</v>
      </c>
      <c r="DZ6">
        <v>2</v>
      </c>
      <c r="EA6">
        <v>2</v>
      </c>
      <c r="EB6">
        <v>2</v>
      </c>
      <c r="EC6">
        <v>2</v>
      </c>
      <c r="ED6">
        <v>2</v>
      </c>
      <c r="EE6">
        <v>2</v>
      </c>
      <c r="EF6">
        <v>2</v>
      </c>
      <c r="EG6">
        <v>2</v>
      </c>
      <c r="EH6">
        <v>2</v>
      </c>
      <c r="EI6">
        <v>2</v>
      </c>
      <c r="EJ6">
        <v>2</v>
      </c>
      <c r="EK6">
        <v>2</v>
      </c>
      <c r="EL6">
        <v>2</v>
      </c>
      <c r="EM6">
        <v>2</v>
      </c>
      <c r="EN6">
        <v>2</v>
      </c>
      <c r="EO6">
        <v>2</v>
      </c>
      <c r="EP6">
        <v>2</v>
      </c>
      <c r="EQ6">
        <v>2</v>
      </c>
      <c r="ER6">
        <v>2</v>
      </c>
      <c r="ES6">
        <v>2</v>
      </c>
      <c r="ET6">
        <v>2</v>
      </c>
      <c r="EU6">
        <v>2</v>
      </c>
      <c r="EV6">
        <v>2</v>
      </c>
      <c r="EW6">
        <v>2</v>
      </c>
      <c r="EY6">
        <v>2</v>
      </c>
      <c r="EZ6">
        <v>2</v>
      </c>
      <c r="FA6">
        <v>2</v>
      </c>
      <c r="FB6">
        <v>2</v>
      </c>
      <c r="FC6">
        <v>2</v>
      </c>
      <c r="FD6">
        <v>2</v>
      </c>
      <c r="FE6">
        <v>2</v>
      </c>
      <c r="FF6">
        <v>2</v>
      </c>
      <c r="FG6">
        <v>2</v>
      </c>
      <c r="FH6">
        <v>2</v>
      </c>
      <c r="FI6">
        <v>2</v>
      </c>
      <c r="FJ6">
        <v>2</v>
      </c>
      <c r="FK6">
        <v>2</v>
      </c>
      <c r="FL6">
        <v>2</v>
      </c>
      <c r="FM6">
        <v>2</v>
      </c>
      <c r="FN6">
        <v>2</v>
      </c>
      <c r="FO6">
        <v>2</v>
      </c>
      <c r="FP6">
        <v>2</v>
      </c>
      <c r="FQ6">
        <v>2</v>
      </c>
      <c r="FR6">
        <v>2</v>
      </c>
      <c r="FS6">
        <v>2</v>
      </c>
      <c r="FT6">
        <v>2</v>
      </c>
      <c r="FU6">
        <v>2</v>
      </c>
      <c r="FV6">
        <v>2</v>
      </c>
      <c r="FX6">
        <v>1</v>
      </c>
      <c r="FY6">
        <v>1</v>
      </c>
      <c r="FZ6">
        <v>1</v>
      </c>
      <c r="GA6">
        <v>1</v>
      </c>
      <c r="GB6">
        <v>1</v>
      </c>
      <c r="GC6">
        <v>1</v>
      </c>
      <c r="GD6">
        <v>1</v>
      </c>
      <c r="GF6">
        <v>3</v>
      </c>
      <c r="GG6">
        <v>3</v>
      </c>
      <c r="GH6">
        <v>3</v>
      </c>
      <c r="GI6">
        <v>3</v>
      </c>
      <c r="GJ6">
        <v>3</v>
      </c>
      <c r="GK6">
        <v>3</v>
      </c>
      <c r="GL6">
        <v>3</v>
      </c>
      <c r="GT6">
        <v>1</v>
      </c>
      <c r="GU6">
        <v>1</v>
      </c>
      <c r="GV6">
        <v>1</v>
      </c>
      <c r="GW6">
        <v>1</v>
      </c>
      <c r="GY6">
        <v>2</v>
      </c>
      <c r="HC6">
        <v>1</v>
      </c>
      <c r="HD6">
        <v>1</v>
      </c>
      <c r="HE6">
        <v>1</v>
      </c>
      <c r="HF6">
        <v>1</v>
      </c>
      <c r="HG6">
        <v>1</v>
      </c>
      <c r="HH6">
        <v>1</v>
      </c>
      <c r="HI6">
        <v>1</v>
      </c>
      <c r="HJ6">
        <v>1</v>
      </c>
      <c r="HK6">
        <v>1</v>
      </c>
      <c r="HL6">
        <v>1</v>
      </c>
      <c r="HM6">
        <v>1</v>
      </c>
      <c r="HN6">
        <v>1</v>
      </c>
      <c r="HO6">
        <v>1</v>
      </c>
      <c r="HP6">
        <v>1</v>
      </c>
      <c r="HQ6">
        <v>1</v>
      </c>
      <c r="IB6">
        <v>1</v>
      </c>
      <c r="IC6">
        <v>1</v>
      </c>
      <c r="ID6">
        <v>1</v>
      </c>
      <c r="IF6" t="s">
        <v>4569</v>
      </c>
      <c r="IG6" t="s">
        <v>4569</v>
      </c>
      <c r="IH6" t="s">
        <v>4569</v>
      </c>
      <c r="II6" t="s">
        <v>4569</v>
      </c>
    </row>
    <row r="7" spans="1:247" x14ac:dyDescent="0.2">
      <c r="A7" t="s">
        <v>74</v>
      </c>
      <c r="C7">
        <v>12</v>
      </c>
      <c r="D7">
        <v>12</v>
      </c>
      <c r="E7">
        <v>12</v>
      </c>
      <c r="F7">
        <v>12</v>
      </c>
      <c r="G7">
        <v>12</v>
      </c>
      <c r="H7">
        <v>12</v>
      </c>
      <c r="I7">
        <v>12</v>
      </c>
      <c r="J7">
        <v>12</v>
      </c>
      <c r="K7">
        <v>12</v>
      </c>
      <c r="L7">
        <v>12</v>
      </c>
      <c r="M7">
        <v>12</v>
      </c>
      <c r="N7">
        <v>12</v>
      </c>
      <c r="AD7">
        <v>12</v>
      </c>
      <c r="AE7">
        <v>12</v>
      </c>
      <c r="AF7">
        <v>12</v>
      </c>
      <c r="AG7">
        <v>12</v>
      </c>
      <c r="AH7">
        <v>12</v>
      </c>
      <c r="AI7">
        <v>12</v>
      </c>
      <c r="AJ7">
        <v>12</v>
      </c>
      <c r="AK7">
        <v>12</v>
      </c>
      <c r="AL7">
        <v>12</v>
      </c>
      <c r="AM7">
        <v>12</v>
      </c>
      <c r="AN7">
        <v>12</v>
      </c>
      <c r="AO7">
        <v>12</v>
      </c>
      <c r="AQ7">
        <v>12</v>
      </c>
      <c r="AS7">
        <v>12</v>
      </c>
      <c r="BB7">
        <v>11</v>
      </c>
      <c r="BC7">
        <v>12</v>
      </c>
      <c r="BG7">
        <v>12</v>
      </c>
      <c r="BL7">
        <v>14</v>
      </c>
      <c r="BM7">
        <v>12</v>
      </c>
      <c r="BN7">
        <v>12</v>
      </c>
      <c r="BO7">
        <v>14</v>
      </c>
      <c r="BP7">
        <v>12</v>
      </c>
      <c r="BQ7">
        <v>12</v>
      </c>
      <c r="BR7">
        <v>12</v>
      </c>
      <c r="BS7">
        <v>14</v>
      </c>
      <c r="BT7">
        <v>12</v>
      </c>
      <c r="BU7">
        <v>12</v>
      </c>
      <c r="BV7">
        <v>14</v>
      </c>
      <c r="BW7">
        <v>12</v>
      </c>
      <c r="BX7">
        <v>12</v>
      </c>
      <c r="BY7">
        <v>14</v>
      </c>
      <c r="BZ7">
        <v>12</v>
      </c>
      <c r="CA7">
        <v>12</v>
      </c>
      <c r="CB7">
        <v>12</v>
      </c>
      <c r="CD7">
        <v>12</v>
      </c>
      <c r="CE7">
        <v>12</v>
      </c>
      <c r="CF7">
        <v>12</v>
      </c>
      <c r="CG7">
        <v>12</v>
      </c>
      <c r="CH7">
        <v>12</v>
      </c>
      <c r="CI7">
        <v>12</v>
      </c>
      <c r="CJ7">
        <v>12</v>
      </c>
      <c r="CK7">
        <v>12</v>
      </c>
      <c r="CL7">
        <v>12</v>
      </c>
      <c r="CM7">
        <v>11</v>
      </c>
      <c r="CN7">
        <v>11</v>
      </c>
      <c r="CT7">
        <v>12</v>
      </c>
      <c r="CU7">
        <v>12</v>
      </c>
      <c r="CW7">
        <v>11</v>
      </c>
      <c r="CX7">
        <v>11</v>
      </c>
      <c r="CY7">
        <v>12</v>
      </c>
      <c r="CZ7">
        <v>12</v>
      </c>
      <c r="DA7">
        <v>11</v>
      </c>
      <c r="DB7">
        <v>12</v>
      </c>
      <c r="DC7">
        <v>14</v>
      </c>
      <c r="DD7">
        <v>11</v>
      </c>
      <c r="DE7">
        <v>11</v>
      </c>
      <c r="DF7">
        <v>12</v>
      </c>
      <c r="DG7">
        <v>12</v>
      </c>
      <c r="DH7">
        <v>12</v>
      </c>
      <c r="DI7">
        <v>12</v>
      </c>
      <c r="DJ7">
        <v>12</v>
      </c>
      <c r="DK7">
        <v>12</v>
      </c>
      <c r="DL7">
        <v>14</v>
      </c>
      <c r="DM7">
        <v>12</v>
      </c>
      <c r="DN7">
        <v>13</v>
      </c>
      <c r="DO7">
        <v>13</v>
      </c>
      <c r="DP7">
        <v>13</v>
      </c>
      <c r="DQ7">
        <v>11</v>
      </c>
      <c r="DR7">
        <v>12</v>
      </c>
      <c r="DS7">
        <v>11</v>
      </c>
      <c r="DT7">
        <v>11</v>
      </c>
      <c r="DU7">
        <v>11</v>
      </c>
      <c r="DV7">
        <v>11</v>
      </c>
      <c r="DW7">
        <v>13</v>
      </c>
      <c r="DX7">
        <v>11</v>
      </c>
      <c r="DY7">
        <v>11</v>
      </c>
      <c r="DZ7">
        <v>13</v>
      </c>
      <c r="EA7">
        <v>11</v>
      </c>
      <c r="EB7">
        <v>11</v>
      </c>
      <c r="EC7">
        <v>12</v>
      </c>
      <c r="ED7">
        <v>11</v>
      </c>
      <c r="EE7">
        <v>11</v>
      </c>
      <c r="EF7">
        <v>12</v>
      </c>
      <c r="EG7">
        <v>12</v>
      </c>
      <c r="EH7">
        <v>12</v>
      </c>
      <c r="EI7">
        <v>12</v>
      </c>
      <c r="EJ7">
        <v>13</v>
      </c>
      <c r="EK7">
        <v>12</v>
      </c>
      <c r="EL7">
        <v>12</v>
      </c>
      <c r="EM7">
        <v>12</v>
      </c>
      <c r="EN7">
        <v>12</v>
      </c>
      <c r="EO7">
        <v>11</v>
      </c>
      <c r="EP7">
        <v>11</v>
      </c>
      <c r="EQ7">
        <v>12</v>
      </c>
      <c r="ER7">
        <v>12</v>
      </c>
      <c r="ES7">
        <v>12</v>
      </c>
      <c r="ET7">
        <v>12</v>
      </c>
      <c r="EU7">
        <v>11</v>
      </c>
      <c r="EV7">
        <v>11</v>
      </c>
      <c r="EW7">
        <v>11</v>
      </c>
      <c r="EY7">
        <v>13</v>
      </c>
      <c r="EZ7">
        <v>12</v>
      </c>
      <c r="FA7">
        <v>12</v>
      </c>
      <c r="FB7">
        <v>13</v>
      </c>
      <c r="FC7">
        <v>13</v>
      </c>
      <c r="FD7">
        <v>13</v>
      </c>
      <c r="FE7">
        <v>13</v>
      </c>
      <c r="FF7">
        <v>11</v>
      </c>
      <c r="FG7">
        <v>13</v>
      </c>
      <c r="FH7">
        <v>13</v>
      </c>
      <c r="FI7">
        <v>13</v>
      </c>
      <c r="FJ7">
        <v>13</v>
      </c>
      <c r="FK7">
        <v>13</v>
      </c>
      <c r="FL7">
        <v>13</v>
      </c>
      <c r="FM7">
        <v>11</v>
      </c>
      <c r="FN7">
        <v>13</v>
      </c>
      <c r="FO7">
        <v>12</v>
      </c>
      <c r="FP7">
        <v>13</v>
      </c>
      <c r="FQ7">
        <v>13</v>
      </c>
      <c r="FR7">
        <v>13</v>
      </c>
      <c r="FS7">
        <v>13</v>
      </c>
      <c r="FT7">
        <v>11</v>
      </c>
      <c r="FU7">
        <v>12</v>
      </c>
      <c r="FV7">
        <v>12</v>
      </c>
      <c r="HA7">
        <v>11</v>
      </c>
      <c r="HB7">
        <v>11</v>
      </c>
      <c r="HC7">
        <v>11</v>
      </c>
      <c r="HD7">
        <v>11</v>
      </c>
      <c r="HE7">
        <v>11</v>
      </c>
      <c r="HF7">
        <v>11</v>
      </c>
      <c r="HG7">
        <v>11</v>
      </c>
      <c r="HH7">
        <v>11</v>
      </c>
      <c r="HI7">
        <v>11</v>
      </c>
      <c r="HJ7">
        <v>11</v>
      </c>
      <c r="HK7">
        <v>11</v>
      </c>
      <c r="HL7">
        <v>11</v>
      </c>
      <c r="HM7">
        <v>11</v>
      </c>
      <c r="HN7">
        <v>11</v>
      </c>
      <c r="HO7">
        <v>11</v>
      </c>
      <c r="HP7">
        <v>11</v>
      </c>
      <c r="HQ7">
        <v>11</v>
      </c>
      <c r="HR7">
        <v>11</v>
      </c>
      <c r="HS7">
        <v>11</v>
      </c>
      <c r="HT7">
        <v>11</v>
      </c>
      <c r="HU7">
        <v>11</v>
      </c>
      <c r="HV7">
        <v>11</v>
      </c>
      <c r="HW7">
        <v>11</v>
      </c>
      <c r="HX7">
        <v>11</v>
      </c>
      <c r="HY7">
        <v>11</v>
      </c>
      <c r="HZ7">
        <v>11</v>
      </c>
      <c r="IA7">
        <v>11</v>
      </c>
      <c r="IB7">
        <v>12</v>
      </c>
      <c r="IC7">
        <v>12</v>
      </c>
      <c r="ID7">
        <v>11</v>
      </c>
      <c r="IE7">
        <v>11</v>
      </c>
      <c r="IF7">
        <v>11</v>
      </c>
      <c r="IG7">
        <v>11</v>
      </c>
      <c r="IH7">
        <v>11</v>
      </c>
      <c r="II7">
        <v>11</v>
      </c>
    </row>
    <row r="8" spans="1:247" x14ac:dyDescent="0.2">
      <c r="A8" t="s">
        <v>75</v>
      </c>
      <c r="C8">
        <v>12</v>
      </c>
      <c r="D8">
        <v>12</v>
      </c>
      <c r="E8">
        <v>12</v>
      </c>
      <c r="F8">
        <v>12</v>
      </c>
      <c r="G8">
        <v>12</v>
      </c>
      <c r="H8">
        <v>12</v>
      </c>
      <c r="I8">
        <v>12</v>
      </c>
      <c r="J8">
        <v>12</v>
      </c>
      <c r="K8">
        <v>12</v>
      </c>
      <c r="L8">
        <v>12</v>
      </c>
      <c r="M8">
        <v>12</v>
      </c>
      <c r="N8">
        <v>12</v>
      </c>
      <c r="Q8">
        <v>10</v>
      </c>
      <c r="AC8">
        <v>11</v>
      </c>
      <c r="AE8">
        <v>10</v>
      </c>
      <c r="AO8">
        <v>11</v>
      </c>
      <c r="AR8">
        <v>11</v>
      </c>
      <c r="AS8">
        <v>11</v>
      </c>
      <c r="AU8">
        <v>12</v>
      </c>
      <c r="AV8">
        <v>12</v>
      </c>
      <c r="AW8">
        <v>12</v>
      </c>
      <c r="AX8">
        <v>12</v>
      </c>
      <c r="BD8">
        <v>12</v>
      </c>
      <c r="BI8">
        <v>13</v>
      </c>
      <c r="BJ8">
        <v>13</v>
      </c>
      <c r="CE8">
        <v>11</v>
      </c>
      <c r="CH8">
        <v>12</v>
      </c>
      <c r="CM8">
        <v>11</v>
      </c>
      <c r="CN8">
        <v>12</v>
      </c>
      <c r="CO8">
        <v>12</v>
      </c>
      <c r="CP8">
        <v>12</v>
      </c>
      <c r="CQ8">
        <v>13</v>
      </c>
      <c r="CR8">
        <v>12</v>
      </c>
      <c r="CS8">
        <v>12</v>
      </c>
      <c r="CT8">
        <v>12</v>
      </c>
      <c r="CU8">
        <v>12</v>
      </c>
      <c r="CW8">
        <v>13</v>
      </c>
      <c r="CX8">
        <v>13</v>
      </c>
      <c r="CY8">
        <v>13</v>
      </c>
      <c r="CZ8">
        <v>13</v>
      </c>
      <c r="DA8">
        <v>13</v>
      </c>
      <c r="DB8">
        <v>13</v>
      </c>
      <c r="DC8">
        <v>13</v>
      </c>
      <c r="DD8">
        <v>13</v>
      </c>
      <c r="DE8">
        <v>13</v>
      </c>
      <c r="DF8">
        <v>13</v>
      </c>
      <c r="DG8">
        <v>13</v>
      </c>
      <c r="DH8">
        <v>13</v>
      </c>
      <c r="DI8">
        <v>13</v>
      </c>
      <c r="DJ8">
        <v>13</v>
      </c>
      <c r="DK8">
        <v>13</v>
      </c>
      <c r="DL8">
        <v>13</v>
      </c>
      <c r="DM8">
        <v>13</v>
      </c>
      <c r="DN8">
        <v>13</v>
      </c>
      <c r="DO8">
        <v>13</v>
      </c>
      <c r="DP8">
        <v>13</v>
      </c>
      <c r="DQ8">
        <v>13</v>
      </c>
      <c r="DR8">
        <v>13</v>
      </c>
      <c r="DS8">
        <v>13</v>
      </c>
      <c r="DT8">
        <v>13</v>
      </c>
      <c r="DU8">
        <v>13</v>
      </c>
      <c r="DV8">
        <v>13</v>
      </c>
      <c r="DW8">
        <v>13</v>
      </c>
      <c r="DX8">
        <v>13</v>
      </c>
      <c r="DY8">
        <v>13</v>
      </c>
      <c r="DZ8">
        <v>13</v>
      </c>
      <c r="EA8">
        <v>13</v>
      </c>
      <c r="EB8">
        <v>13</v>
      </c>
      <c r="EC8">
        <v>13</v>
      </c>
      <c r="ED8">
        <v>13</v>
      </c>
      <c r="EE8">
        <v>13</v>
      </c>
      <c r="EF8">
        <v>13</v>
      </c>
      <c r="EG8">
        <v>13</v>
      </c>
      <c r="EH8">
        <v>12</v>
      </c>
      <c r="EI8">
        <v>12</v>
      </c>
      <c r="EJ8">
        <v>13</v>
      </c>
      <c r="EK8">
        <v>14</v>
      </c>
      <c r="EL8">
        <v>14</v>
      </c>
      <c r="EM8">
        <v>13</v>
      </c>
      <c r="EN8">
        <v>13</v>
      </c>
      <c r="EO8">
        <v>13</v>
      </c>
      <c r="EP8">
        <v>13</v>
      </c>
      <c r="EQ8">
        <v>13</v>
      </c>
      <c r="ER8">
        <v>13</v>
      </c>
      <c r="ES8">
        <v>13</v>
      </c>
      <c r="ET8">
        <v>13</v>
      </c>
      <c r="EU8">
        <v>13</v>
      </c>
      <c r="EV8">
        <v>13</v>
      </c>
      <c r="EW8">
        <v>12</v>
      </c>
      <c r="EY8">
        <v>12</v>
      </c>
      <c r="EZ8">
        <v>12</v>
      </c>
      <c r="FA8">
        <v>12</v>
      </c>
      <c r="FB8">
        <v>13</v>
      </c>
      <c r="FC8">
        <v>13</v>
      </c>
      <c r="FD8">
        <v>13</v>
      </c>
      <c r="FE8">
        <v>13</v>
      </c>
      <c r="FF8">
        <v>12</v>
      </c>
      <c r="FG8">
        <v>13</v>
      </c>
      <c r="FH8">
        <v>13</v>
      </c>
      <c r="FI8">
        <v>13</v>
      </c>
      <c r="FJ8">
        <v>13</v>
      </c>
      <c r="FK8">
        <v>12</v>
      </c>
      <c r="FL8">
        <v>13</v>
      </c>
      <c r="FM8">
        <v>13</v>
      </c>
      <c r="FN8">
        <v>13</v>
      </c>
      <c r="FO8">
        <v>12</v>
      </c>
      <c r="FP8">
        <v>13</v>
      </c>
      <c r="FQ8">
        <v>13</v>
      </c>
      <c r="FR8">
        <v>13</v>
      </c>
      <c r="FS8">
        <v>13</v>
      </c>
      <c r="FT8">
        <v>13</v>
      </c>
      <c r="FU8">
        <v>12</v>
      </c>
      <c r="FV8">
        <v>12</v>
      </c>
      <c r="FX8">
        <v>11</v>
      </c>
      <c r="FY8">
        <v>11</v>
      </c>
      <c r="FZ8">
        <v>11</v>
      </c>
      <c r="GA8">
        <v>11</v>
      </c>
      <c r="GB8">
        <v>11</v>
      </c>
      <c r="GC8">
        <v>11</v>
      </c>
      <c r="GD8">
        <v>11</v>
      </c>
      <c r="GY8">
        <v>12</v>
      </c>
      <c r="HA8">
        <v>13</v>
      </c>
      <c r="HB8">
        <v>13</v>
      </c>
      <c r="HC8">
        <v>13</v>
      </c>
      <c r="HD8">
        <v>13</v>
      </c>
      <c r="HE8">
        <v>13</v>
      </c>
      <c r="HF8">
        <v>13</v>
      </c>
      <c r="HG8">
        <v>13</v>
      </c>
      <c r="HH8">
        <v>13</v>
      </c>
      <c r="HI8">
        <v>13</v>
      </c>
      <c r="HJ8">
        <v>13</v>
      </c>
      <c r="HK8">
        <v>13</v>
      </c>
      <c r="HL8">
        <v>13</v>
      </c>
      <c r="HM8">
        <v>13</v>
      </c>
      <c r="HN8">
        <v>13</v>
      </c>
      <c r="HO8">
        <v>13</v>
      </c>
      <c r="HP8">
        <v>13</v>
      </c>
      <c r="HQ8">
        <v>13</v>
      </c>
      <c r="HR8">
        <v>13</v>
      </c>
      <c r="HS8">
        <v>13</v>
      </c>
      <c r="HT8">
        <v>13</v>
      </c>
      <c r="HU8">
        <v>13</v>
      </c>
      <c r="HV8">
        <v>13</v>
      </c>
      <c r="HW8">
        <v>13</v>
      </c>
      <c r="HX8">
        <v>13</v>
      </c>
      <c r="HY8">
        <v>13</v>
      </c>
      <c r="HZ8">
        <v>13</v>
      </c>
      <c r="IA8">
        <v>13</v>
      </c>
      <c r="IB8">
        <v>13</v>
      </c>
      <c r="IC8">
        <v>13</v>
      </c>
      <c r="ID8">
        <v>13</v>
      </c>
      <c r="IE8">
        <v>13</v>
      </c>
      <c r="IF8">
        <v>13</v>
      </c>
      <c r="IG8">
        <v>13</v>
      </c>
      <c r="IH8">
        <v>13</v>
      </c>
      <c r="II8">
        <v>13</v>
      </c>
    </row>
    <row r="9" spans="1:247" x14ac:dyDescent="0.2">
      <c r="A9" t="s">
        <v>76</v>
      </c>
      <c r="C9">
        <v>11</v>
      </c>
      <c r="D9">
        <v>11</v>
      </c>
      <c r="E9">
        <v>11</v>
      </c>
      <c r="F9">
        <v>11</v>
      </c>
      <c r="G9">
        <v>11</v>
      </c>
      <c r="H9">
        <v>11</v>
      </c>
      <c r="I9">
        <v>11</v>
      </c>
      <c r="J9">
        <v>11</v>
      </c>
      <c r="K9">
        <v>11</v>
      </c>
      <c r="L9">
        <v>11</v>
      </c>
      <c r="M9">
        <v>11</v>
      </c>
      <c r="N9">
        <v>11</v>
      </c>
      <c r="P9">
        <v>13</v>
      </c>
      <c r="Q9">
        <v>12</v>
      </c>
      <c r="W9">
        <v>13</v>
      </c>
      <c r="AC9">
        <v>13</v>
      </c>
      <c r="AD9">
        <v>13</v>
      </c>
      <c r="AE9">
        <v>12</v>
      </c>
      <c r="AJ9">
        <v>13</v>
      </c>
      <c r="AO9">
        <v>13</v>
      </c>
      <c r="AP9">
        <v>13</v>
      </c>
      <c r="AQ9">
        <v>13</v>
      </c>
      <c r="AR9">
        <v>13</v>
      </c>
      <c r="AS9">
        <v>13</v>
      </c>
      <c r="AU9">
        <v>12</v>
      </c>
      <c r="AV9">
        <v>12</v>
      </c>
      <c r="AW9">
        <v>12</v>
      </c>
      <c r="AX9">
        <v>12</v>
      </c>
      <c r="BA9">
        <v>12</v>
      </c>
      <c r="BB9">
        <v>12</v>
      </c>
      <c r="BC9">
        <v>12</v>
      </c>
      <c r="BD9">
        <v>12</v>
      </c>
      <c r="BE9">
        <v>13</v>
      </c>
      <c r="BF9">
        <v>12</v>
      </c>
      <c r="BG9">
        <v>12</v>
      </c>
      <c r="BI9">
        <v>15</v>
      </c>
      <c r="BJ9">
        <v>15</v>
      </c>
      <c r="BN9">
        <v>11</v>
      </c>
      <c r="BP9">
        <v>11</v>
      </c>
      <c r="BT9">
        <v>11</v>
      </c>
      <c r="BX9">
        <v>11</v>
      </c>
      <c r="CD9">
        <v>13</v>
      </c>
      <c r="CE9">
        <v>13</v>
      </c>
      <c r="CF9">
        <v>13</v>
      </c>
      <c r="CG9">
        <v>13</v>
      </c>
      <c r="CH9">
        <v>13</v>
      </c>
      <c r="CI9">
        <v>13</v>
      </c>
      <c r="CJ9">
        <v>13</v>
      </c>
      <c r="CK9">
        <v>13</v>
      </c>
      <c r="CL9">
        <v>13</v>
      </c>
      <c r="CM9">
        <v>13</v>
      </c>
      <c r="CN9">
        <v>12</v>
      </c>
      <c r="CO9">
        <v>12</v>
      </c>
      <c r="CP9">
        <v>12</v>
      </c>
      <c r="CQ9">
        <v>12</v>
      </c>
      <c r="CR9">
        <v>12</v>
      </c>
      <c r="CS9">
        <v>12</v>
      </c>
      <c r="CT9">
        <v>12</v>
      </c>
      <c r="CU9">
        <v>12</v>
      </c>
      <c r="CW9">
        <v>11</v>
      </c>
      <c r="CX9">
        <v>11</v>
      </c>
      <c r="CY9">
        <v>11</v>
      </c>
      <c r="CZ9">
        <v>11</v>
      </c>
      <c r="DA9">
        <v>11</v>
      </c>
      <c r="DB9">
        <v>11</v>
      </c>
      <c r="DC9">
        <v>11</v>
      </c>
      <c r="DD9">
        <v>13</v>
      </c>
      <c r="DE9">
        <v>13</v>
      </c>
      <c r="DF9">
        <v>11</v>
      </c>
      <c r="DG9">
        <v>11</v>
      </c>
      <c r="DH9">
        <v>11</v>
      </c>
      <c r="DI9">
        <v>11</v>
      </c>
      <c r="DJ9">
        <v>11</v>
      </c>
      <c r="DK9">
        <v>11</v>
      </c>
      <c r="DL9">
        <v>11</v>
      </c>
      <c r="DM9">
        <v>11</v>
      </c>
      <c r="DN9">
        <v>11</v>
      </c>
      <c r="DO9">
        <v>11</v>
      </c>
      <c r="DP9">
        <v>13</v>
      </c>
      <c r="DQ9">
        <v>11</v>
      </c>
      <c r="DR9">
        <v>11</v>
      </c>
      <c r="DS9">
        <v>11</v>
      </c>
      <c r="DT9">
        <v>11</v>
      </c>
      <c r="DU9">
        <v>11</v>
      </c>
      <c r="DV9">
        <v>11</v>
      </c>
      <c r="DW9">
        <v>11</v>
      </c>
      <c r="DX9">
        <v>12</v>
      </c>
      <c r="DY9">
        <v>11</v>
      </c>
      <c r="DZ9">
        <v>11</v>
      </c>
      <c r="EA9">
        <v>11</v>
      </c>
      <c r="EB9">
        <v>12</v>
      </c>
      <c r="EC9">
        <v>11</v>
      </c>
      <c r="ED9">
        <v>11</v>
      </c>
      <c r="EE9">
        <v>11</v>
      </c>
      <c r="EF9">
        <v>11</v>
      </c>
      <c r="EG9">
        <v>11</v>
      </c>
      <c r="EH9">
        <v>12</v>
      </c>
      <c r="EI9">
        <v>12</v>
      </c>
      <c r="EJ9">
        <v>11</v>
      </c>
      <c r="EK9">
        <v>12</v>
      </c>
      <c r="EL9">
        <v>12</v>
      </c>
      <c r="EM9">
        <v>11</v>
      </c>
      <c r="EN9">
        <v>11</v>
      </c>
      <c r="EO9">
        <v>12</v>
      </c>
      <c r="EP9">
        <v>12</v>
      </c>
      <c r="EQ9">
        <v>11</v>
      </c>
      <c r="ER9">
        <v>11</v>
      </c>
      <c r="ES9">
        <v>11</v>
      </c>
      <c r="ET9">
        <v>11</v>
      </c>
      <c r="EU9">
        <v>11</v>
      </c>
      <c r="EV9">
        <v>11</v>
      </c>
      <c r="EW9">
        <v>11</v>
      </c>
      <c r="EY9">
        <v>11</v>
      </c>
      <c r="EZ9">
        <v>11</v>
      </c>
      <c r="FA9">
        <v>11</v>
      </c>
      <c r="FB9">
        <v>11</v>
      </c>
      <c r="FC9">
        <v>11</v>
      </c>
      <c r="FD9">
        <v>12</v>
      </c>
      <c r="FE9">
        <v>11</v>
      </c>
      <c r="FF9">
        <v>12</v>
      </c>
      <c r="FG9">
        <v>12</v>
      </c>
      <c r="FH9">
        <v>12</v>
      </c>
      <c r="FI9">
        <v>12</v>
      </c>
      <c r="FJ9">
        <v>12</v>
      </c>
      <c r="FK9">
        <v>11</v>
      </c>
      <c r="FL9">
        <v>12</v>
      </c>
      <c r="FM9">
        <v>11</v>
      </c>
      <c r="FN9">
        <v>11</v>
      </c>
      <c r="FO9">
        <v>13</v>
      </c>
      <c r="FP9">
        <v>11</v>
      </c>
      <c r="FQ9">
        <v>11</v>
      </c>
      <c r="FR9">
        <v>11</v>
      </c>
      <c r="FS9">
        <v>11</v>
      </c>
      <c r="FT9">
        <v>13</v>
      </c>
      <c r="FU9">
        <v>13</v>
      </c>
      <c r="FV9">
        <v>12</v>
      </c>
      <c r="FX9">
        <v>11</v>
      </c>
      <c r="FY9">
        <v>11</v>
      </c>
      <c r="FZ9">
        <v>11</v>
      </c>
      <c r="GA9">
        <v>11</v>
      </c>
      <c r="GB9">
        <v>11</v>
      </c>
      <c r="GC9">
        <v>11</v>
      </c>
      <c r="GD9">
        <v>11</v>
      </c>
      <c r="GF9">
        <v>13</v>
      </c>
      <c r="GG9">
        <v>13</v>
      </c>
      <c r="GH9">
        <v>13</v>
      </c>
      <c r="GI9">
        <v>13</v>
      </c>
      <c r="GJ9">
        <v>13</v>
      </c>
      <c r="GK9">
        <v>13</v>
      </c>
      <c r="GL9">
        <v>13</v>
      </c>
      <c r="GN9">
        <v>12</v>
      </c>
      <c r="GO9">
        <v>12</v>
      </c>
      <c r="GP9">
        <v>12</v>
      </c>
      <c r="GQ9">
        <v>12</v>
      </c>
      <c r="GR9">
        <v>12</v>
      </c>
      <c r="GS9">
        <v>12</v>
      </c>
      <c r="GT9">
        <v>13</v>
      </c>
      <c r="GU9">
        <v>13</v>
      </c>
      <c r="GV9">
        <v>13</v>
      </c>
      <c r="GW9">
        <v>13</v>
      </c>
      <c r="GY9">
        <v>13</v>
      </c>
      <c r="HA9">
        <v>11</v>
      </c>
      <c r="HB9">
        <v>11</v>
      </c>
      <c r="HC9">
        <v>11</v>
      </c>
      <c r="HD9">
        <v>11</v>
      </c>
      <c r="HE9">
        <v>11</v>
      </c>
      <c r="HF9">
        <v>11</v>
      </c>
      <c r="HG9">
        <v>11</v>
      </c>
      <c r="HH9">
        <v>11</v>
      </c>
      <c r="HI9">
        <v>11</v>
      </c>
      <c r="HJ9">
        <v>11</v>
      </c>
      <c r="HK9">
        <v>11</v>
      </c>
      <c r="HL9">
        <v>11</v>
      </c>
      <c r="HM9">
        <v>11</v>
      </c>
      <c r="HN9">
        <v>11</v>
      </c>
      <c r="HO9">
        <v>11</v>
      </c>
      <c r="HP9">
        <v>11</v>
      </c>
      <c r="HQ9">
        <v>11</v>
      </c>
      <c r="HR9">
        <v>11</v>
      </c>
      <c r="HS9">
        <v>11</v>
      </c>
      <c r="HT9">
        <v>11</v>
      </c>
      <c r="HU9">
        <v>11</v>
      </c>
      <c r="HV9">
        <v>11</v>
      </c>
      <c r="HW9">
        <v>11</v>
      </c>
      <c r="HX9">
        <v>11</v>
      </c>
      <c r="HY9">
        <v>11</v>
      </c>
      <c r="HZ9">
        <v>11</v>
      </c>
      <c r="IA9">
        <v>11</v>
      </c>
      <c r="IB9">
        <v>11</v>
      </c>
      <c r="IC9">
        <v>11</v>
      </c>
      <c r="ID9">
        <v>11</v>
      </c>
      <c r="IE9">
        <v>11</v>
      </c>
      <c r="IF9">
        <v>11</v>
      </c>
      <c r="IG9">
        <v>11</v>
      </c>
      <c r="IH9">
        <v>11</v>
      </c>
      <c r="II9">
        <v>11</v>
      </c>
    </row>
    <row r="10" spans="1:247" x14ac:dyDescent="0.2">
      <c r="A10" t="s">
        <v>77</v>
      </c>
      <c r="F10">
        <v>11</v>
      </c>
      <c r="G10">
        <v>11</v>
      </c>
      <c r="P10">
        <v>12</v>
      </c>
      <c r="W10">
        <v>13</v>
      </c>
      <c r="AD10">
        <v>12</v>
      </c>
      <c r="AJ10">
        <v>13</v>
      </c>
      <c r="AP10">
        <v>13</v>
      </c>
      <c r="AQ10">
        <v>13</v>
      </c>
      <c r="AW10">
        <v>12</v>
      </c>
      <c r="BA10">
        <v>12</v>
      </c>
      <c r="BB10">
        <v>13</v>
      </c>
      <c r="BC10">
        <v>12</v>
      </c>
      <c r="BD10">
        <v>12</v>
      </c>
      <c r="BE10">
        <v>12</v>
      </c>
      <c r="BF10">
        <v>12</v>
      </c>
      <c r="BG10">
        <v>12</v>
      </c>
      <c r="BI10">
        <v>12</v>
      </c>
      <c r="BJ10">
        <v>12</v>
      </c>
      <c r="BM10">
        <v>11</v>
      </c>
      <c r="BQ10">
        <v>11</v>
      </c>
      <c r="BU10">
        <v>11</v>
      </c>
      <c r="BW10">
        <v>11</v>
      </c>
      <c r="BZ10">
        <v>11</v>
      </c>
      <c r="CA10">
        <v>11</v>
      </c>
      <c r="CM10">
        <v>12</v>
      </c>
      <c r="CN10">
        <v>11</v>
      </c>
      <c r="CW10">
        <v>12</v>
      </c>
      <c r="CX10">
        <v>12</v>
      </c>
      <c r="CY10">
        <v>12</v>
      </c>
      <c r="CZ10">
        <v>12</v>
      </c>
      <c r="DA10">
        <v>12</v>
      </c>
      <c r="DB10">
        <v>12</v>
      </c>
      <c r="DC10">
        <v>12</v>
      </c>
      <c r="DD10">
        <v>12</v>
      </c>
      <c r="DE10">
        <v>12</v>
      </c>
      <c r="DF10">
        <v>12</v>
      </c>
      <c r="DG10">
        <v>12</v>
      </c>
      <c r="DH10">
        <v>12</v>
      </c>
      <c r="DI10">
        <v>12</v>
      </c>
      <c r="DJ10">
        <v>12</v>
      </c>
      <c r="DK10">
        <v>12</v>
      </c>
      <c r="DL10">
        <v>12</v>
      </c>
      <c r="DM10">
        <v>13</v>
      </c>
      <c r="DN10">
        <v>12</v>
      </c>
      <c r="DO10">
        <v>12</v>
      </c>
      <c r="DP10">
        <v>12</v>
      </c>
      <c r="DQ10">
        <v>12</v>
      </c>
      <c r="DR10">
        <v>12</v>
      </c>
      <c r="DS10">
        <v>12</v>
      </c>
      <c r="DT10">
        <v>12</v>
      </c>
      <c r="DU10">
        <v>12</v>
      </c>
      <c r="DV10">
        <v>12</v>
      </c>
      <c r="DW10">
        <v>12</v>
      </c>
      <c r="DX10">
        <v>12</v>
      </c>
      <c r="DY10">
        <v>12</v>
      </c>
      <c r="DZ10">
        <v>12</v>
      </c>
      <c r="EA10">
        <v>12</v>
      </c>
      <c r="EB10">
        <v>12</v>
      </c>
      <c r="EC10">
        <v>12</v>
      </c>
      <c r="ED10">
        <v>12</v>
      </c>
      <c r="EE10">
        <v>12</v>
      </c>
      <c r="EF10">
        <v>12</v>
      </c>
      <c r="EG10">
        <v>12</v>
      </c>
      <c r="EH10">
        <v>12</v>
      </c>
      <c r="EI10">
        <v>12</v>
      </c>
      <c r="EJ10">
        <v>12</v>
      </c>
      <c r="EK10">
        <v>12</v>
      </c>
      <c r="EL10">
        <v>12</v>
      </c>
      <c r="EM10">
        <v>12</v>
      </c>
      <c r="EN10">
        <v>12</v>
      </c>
      <c r="EO10">
        <v>12</v>
      </c>
      <c r="EP10">
        <v>12</v>
      </c>
      <c r="EQ10">
        <v>12</v>
      </c>
      <c r="ER10">
        <v>12</v>
      </c>
      <c r="ES10">
        <v>12</v>
      </c>
      <c r="ET10">
        <v>12</v>
      </c>
      <c r="EU10">
        <v>12</v>
      </c>
      <c r="EV10">
        <v>12</v>
      </c>
      <c r="EW10">
        <v>12</v>
      </c>
      <c r="EY10">
        <v>12</v>
      </c>
      <c r="EZ10">
        <v>12</v>
      </c>
      <c r="FA10">
        <v>12</v>
      </c>
      <c r="FB10">
        <v>12</v>
      </c>
      <c r="FC10">
        <v>13</v>
      </c>
      <c r="FD10">
        <v>12</v>
      </c>
      <c r="FE10">
        <v>14</v>
      </c>
      <c r="FF10">
        <v>12</v>
      </c>
      <c r="FK10">
        <v>12</v>
      </c>
      <c r="FL10">
        <v>13</v>
      </c>
      <c r="FM10">
        <v>12</v>
      </c>
      <c r="FN10">
        <v>13</v>
      </c>
      <c r="FO10">
        <v>13</v>
      </c>
      <c r="FP10">
        <v>12</v>
      </c>
      <c r="FQ10">
        <v>12</v>
      </c>
      <c r="FR10">
        <v>12</v>
      </c>
      <c r="FS10">
        <v>12</v>
      </c>
      <c r="FT10">
        <v>12</v>
      </c>
      <c r="FU10">
        <v>12</v>
      </c>
      <c r="FV10">
        <v>12</v>
      </c>
      <c r="FX10">
        <v>12</v>
      </c>
      <c r="FY10">
        <v>12</v>
      </c>
      <c r="FZ10">
        <v>13</v>
      </c>
      <c r="GA10">
        <v>13</v>
      </c>
      <c r="GB10">
        <v>13</v>
      </c>
      <c r="GC10">
        <v>12</v>
      </c>
      <c r="GD10">
        <v>12</v>
      </c>
      <c r="GF10">
        <v>12</v>
      </c>
      <c r="GG10">
        <v>12</v>
      </c>
      <c r="GH10">
        <v>12</v>
      </c>
      <c r="GI10">
        <v>12</v>
      </c>
      <c r="GJ10">
        <v>12</v>
      </c>
      <c r="GK10">
        <v>12</v>
      </c>
      <c r="GL10">
        <v>12</v>
      </c>
      <c r="GN10">
        <v>13</v>
      </c>
      <c r="GO10">
        <v>13</v>
      </c>
      <c r="GP10">
        <v>13</v>
      </c>
      <c r="GQ10">
        <v>13</v>
      </c>
      <c r="GR10">
        <v>13</v>
      </c>
      <c r="GS10">
        <v>13</v>
      </c>
      <c r="GT10">
        <v>14</v>
      </c>
      <c r="GU10">
        <v>14</v>
      </c>
      <c r="GV10">
        <v>14</v>
      </c>
      <c r="GW10">
        <v>14</v>
      </c>
      <c r="GY10">
        <v>12</v>
      </c>
      <c r="IF10" t="s">
        <v>4569</v>
      </c>
      <c r="IG10" t="s">
        <v>4569</v>
      </c>
      <c r="IH10" t="s">
        <v>4569</v>
      </c>
      <c r="II10" t="s">
        <v>4569</v>
      </c>
    </row>
    <row r="11" spans="1:247" x14ac:dyDescent="0.2">
      <c r="A11" t="s">
        <v>750</v>
      </c>
      <c r="Q11">
        <v>13</v>
      </c>
      <c r="AE11">
        <v>13</v>
      </c>
      <c r="BF11">
        <v>11</v>
      </c>
      <c r="BI11">
        <v>12</v>
      </c>
      <c r="BJ11">
        <v>12</v>
      </c>
      <c r="BT11">
        <v>12</v>
      </c>
      <c r="CB11">
        <v>13</v>
      </c>
      <c r="CN11">
        <v>13</v>
      </c>
      <c r="CO11">
        <v>13</v>
      </c>
      <c r="CP11">
        <v>13</v>
      </c>
      <c r="CQ11">
        <v>11</v>
      </c>
      <c r="CR11">
        <v>11</v>
      </c>
      <c r="CS11">
        <v>13</v>
      </c>
      <c r="CW11">
        <v>11</v>
      </c>
      <c r="CX11">
        <v>11</v>
      </c>
      <c r="CY11">
        <v>11</v>
      </c>
      <c r="CZ11">
        <v>11</v>
      </c>
      <c r="DA11">
        <v>11</v>
      </c>
      <c r="DB11">
        <v>11</v>
      </c>
      <c r="DC11">
        <v>12</v>
      </c>
      <c r="DD11">
        <v>11</v>
      </c>
      <c r="DE11">
        <v>11</v>
      </c>
      <c r="DF11">
        <v>11</v>
      </c>
      <c r="DG11">
        <v>11</v>
      </c>
      <c r="DH11">
        <v>11</v>
      </c>
      <c r="DI11">
        <v>11</v>
      </c>
      <c r="DJ11">
        <v>11</v>
      </c>
      <c r="DK11">
        <v>11</v>
      </c>
      <c r="DL11">
        <v>12</v>
      </c>
      <c r="DM11">
        <v>11</v>
      </c>
      <c r="DN11">
        <v>11</v>
      </c>
      <c r="DO11">
        <v>11</v>
      </c>
      <c r="DP11">
        <v>11</v>
      </c>
      <c r="DQ11">
        <v>11</v>
      </c>
      <c r="DR11">
        <v>11</v>
      </c>
      <c r="DS11">
        <v>11</v>
      </c>
      <c r="DT11">
        <v>12</v>
      </c>
      <c r="DU11">
        <v>12</v>
      </c>
      <c r="DV11">
        <v>11</v>
      </c>
      <c r="DW11">
        <v>11</v>
      </c>
      <c r="DX11">
        <v>11</v>
      </c>
      <c r="DY11">
        <v>11</v>
      </c>
      <c r="DZ11">
        <v>11</v>
      </c>
      <c r="EA11">
        <v>11</v>
      </c>
      <c r="EB11">
        <v>11</v>
      </c>
      <c r="EC11">
        <v>11</v>
      </c>
      <c r="ED11">
        <v>11</v>
      </c>
      <c r="EE11">
        <v>11</v>
      </c>
      <c r="EF11">
        <v>11</v>
      </c>
      <c r="EG11">
        <v>12</v>
      </c>
      <c r="EH11">
        <v>11</v>
      </c>
      <c r="EI11">
        <v>11</v>
      </c>
      <c r="EK11">
        <v>11</v>
      </c>
      <c r="EL11">
        <v>11</v>
      </c>
      <c r="EM11">
        <v>11</v>
      </c>
      <c r="EN11">
        <v>11</v>
      </c>
      <c r="EO11">
        <v>11</v>
      </c>
      <c r="EP11">
        <v>11</v>
      </c>
      <c r="EQ11">
        <v>12</v>
      </c>
      <c r="ER11">
        <v>12</v>
      </c>
      <c r="ES11">
        <v>12</v>
      </c>
      <c r="ET11">
        <v>11</v>
      </c>
      <c r="EU11">
        <v>12</v>
      </c>
      <c r="EW11">
        <v>11</v>
      </c>
      <c r="EY11">
        <v>11</v>
      </c>
      <c r="EZ11">
        <v>12</v>
      </c>
      <c r="FA11">
        <v>12</v>
      </c>
      <c r="FB11">
        <v>11</v>
      </c>
      <c r="FC11">
        <v>11</v>
      </c>
      <c r="FD11">
        <v>13</v>
      </c>
      <c r="FE11">
        <v>11</v>
      </c>
      <c r="FF11">
        <v>12</v>
      </c>
      <c r="FK11">
        <v>11</v>
      </c>
      <c r="FL11">
        <v>12</v>
      </c>
      <c r="FM11">
        <v>13</v>
      </c>
      <c r="FN11">
        <v>11</v>
      </c>
      <c r="FO11">
        <v>11</v>
      </c>
      <c r="FP11">
        <v>11</v>
      </c>
      <c r="FQ11">
        <v>11</v>
      </c>
      <c r="FR11">
        <v>11</v>
      </c>
      <c r="FS11">
        <v>11</v>
      </c>
      <c r="FT11">
        <v>11</v>
      </c>
      <c r="FU11">
        <v>12</v>
      </c>
      <c r="FV11">
        <v>10</v>
      </c>
      <c r="FX11">
        <v>12</v>
      </c>
      <c r="FY11">
        <v>12</v>
      </c>
      <c r="FZ11">
        <v>12</v>
      </c>
      <c r="GA11">
        <v>12</v>
      </c>
      <c r="GB11">
        <v>12</v>
      </c>
      <c r="GC11">
        <v>12</v>
      </c>
      <c r="GD11">
        <v>13</v>
      </c>
      <c r="GF11">
        <v>13</v>
      </c>
      <c r="GG11">
        <v>13</v>
      </c>
      <c r="GH11">
        <v>13</v>
      </c>
      <c r="GI11">
        <v>13</v>
      </c>
      <c r="GJ11">
        <v>13</v>
      </c>
      <c r="GK11">
        <v>13</v>
      </c>
      <c r="GL11">
        <v>13</v>
      </c>
      <c r="GN11">
        <v>11</v>
      </c>
      <c r="GO11">
        <v>11</v>
      </c>
      <c r="GP11">
        <v>11</v>
      </c>
      <c r="GQ11">
        <v>11</v>
      </c>
      <c r="GR11">
        <v>11</v>
      </c>
      <c r="GS11">
        <v>11</v>
      </c>
      <c r="GT11">
        <v>11</v>
      </c>
      <c r="GU11">
        <v>11</v>
      </c>
      <c r="GV11">
        <v>11</v>
      </c>
      <c r="GW11">
        <v>11</v>
      </c>
      <c r="GY11">
        <v>11</v>
      </c>
      <c r="HA11">
        <v>12</v>
      </c>
      <c r="HB11">
        <v>12</v>
      </c>
      <c r="HC11">
        <v>12</v>
      </c>
      <c r="HD11">
        <v>12</v>
      </c>
      <c r="HE11">
        <v>12</v>
      </c>
      <c r="HF11">
        <v>12</v>
      </c>
      <c r="HG11">
        <v>12</v>
      </c>
      <c r="HH11">
        <v>12</v>
      </c>
      <c r="HI11">
        <v>12</v>
      </c>
      <c r="HJ11">
        <v>12</v>
      </c>
      <c r="HK11">
        <v>12</v>
      </c>
      <c r="HL11">
        <v>12</v>
      </c>
      <c r="HM11">
        <v>12</v>
      </c>
      <c r="HN11">
        <v>12</v>
      </c>
      <c r="HO11">
        <v>12</v>
      </c>
      <c r="HP11">
        <v>12</v>
      </c>
      <c r="HQ11">
        <v>12</v>
      </c>
      <c r="HR11">
        <v>12</v>
      </c>
      <c r="HS11">
        <v>12</v>
      </c>
      <c r="HT11">
        <v>12</v>
      </c>
      <c r="HU11">
        <v>12</v>
      </c>
      <c r="HV11">
        <v>12</v>
      </c>
      <c r="HW11">
        <v>12</v>
      </c>
      <c r="HX11">
        <v>12</v>
      </c>
      <c r="HY11">
        <v>12</v>
      </c>
      <c r="HZ11">
        <v>12</v>
      </c>
      <c r="IA11">
        <v>12</v>
      </c>
      <c r="IB11">
        <v>12</v>
      </c>
      <c r="IC11">
        <v>12</v>
      </c>
      <c r="ID11">
        <v>12</v>
      </c>
      <c r="IE11">
        <v>12</v>
      </c>
      <c r="IF11">
        <v>12</v>
      </c>
      <c r="IG11">
        <v>12</v>
      </c>
      <c r="IH11">
        <v>12</v>
      </c>
      <c r="II11">
        <v>12</v>
      </c>
    </row>
    <row r="12" spans="1:247" x14ac:dyDescent="0.2">
      <c r="A12" t="s">
        <v>751</v>
      </c>
      <c r="R12">
        <v>13</v>
      </c>
      <c r="S12">
        <v>13</v>
      </c>
      <c r="T12">
        <v>13</v>
      </c>
      <c r="U12">
        <v>13</v>
      </c>
      <c r="V12">
        <v>13</v>
      </c>
      <c r="X12">
        <v>13</v>
      </c>
      <c r="Y12">
        <v>13</v>
      </c>
      <c r="Z12">
        <v>13</v>
      </c>
      <c r="AA12">
        <v>13</v>
      </c>
      <c r="AB12">
        <v>13</v>
      </c>
      <c r="AF12">
        <v>13</v>
      </c>
      <c r="AG12">
        <v>13</v>
      </c>
      <c r="AH12">
        <v>13</v>
      </c>
      <c r="AI12">
        <v>13</v>
      </c>
      <c r="AK12">
        <v>13</v>
      </c>
      <c r="AL12">
        <v>13</v>
      </c>
      <c r="AM12">
        <v>13</v>
      </c>
      <c r="AN12">
        <v>13</v>
      </c>
      <c r="BC12">
        <v>11</v>
      </c>
      <c r="BL12">
        <v>12</v>
      </c>
      <c r="BM12">
        <v>11</v>
      </c>
      <c r="BN12">
        <v>12</v>
      </c>
      <c r="BO12">
        <v>12</v>
      </c>
      <c r="BP12">
        <v>11</v>
      </c>
      <c r="BQ12">
        <v>11</v>
      </c>
      <c r="BR12">
        <v>11</v>
      </c>
      <c r="BS12">
        <v>12</v>
      </c>
      <c r="BT12">
        <v>12</v>
      </c>
      <c r="BU12">
        <v>11</v>
      </c>
      <c r="BV12">
        <v>12</v>
      </c>
      <c r="BW12">
        <v>11</v>
      </c>
      <c r="BX12">
        <v>12</v>
      </c>
      <c r="BY12">
        <v>12</v>
      </c>
      <c r="BZ12">
        <v>11</v>
      </c>
      <c r="CA12">
        <v>11</v>
      </c>
      <c r="CE12">
        <v>12</v>
      </c>
      <c r="CF12">
        <v>13</v>
      </c>
      <c r="CG12">
        <v>13</v>
      </c>
      <c r="CH12">
        <v>12</v>
      </c>
      <c r="CI12">
        <v>13</v>
      </c>
      <c r="CL12">
        <v>12</v>
      </c>
      <c r="CZ12">
        <v>11</v>
      </c>
      <c r="DB12">
        <v>11</v>
      </c>
      <c r="DR12">
        <v>11</v>
      </c>
      <c r="DT12">
        <v>13</v>
      </c>
      <c r="EH12">
        <v>11</v>
      </c>
      <c r="EI12">
        <v>11</v>
      </c>
      <c r="EV12">
        <v>11</v>
      </c>
      <c r="EZ12">
        <v>12</v>
      </c>
      <c r="FA12">
        <v>13</v>
      </c>
      <c r="FV12">
        <v>10</v>
      </c>
      <c r="GF12">
        <v>12</v>
      </c>
      <c r="GG12">
        <v>12</v>
      </c>
      <c r="GH12">
        <v>12</v>
      </c>
      <c r="GI12">
        <v>12</v>
      </c>
      <c r="GJ12">
        <v>12</v>
      </c>
      <c r="GK12">
        <v>12</v>
      </c>
      <c r="GL12">
        <v>12</v>
      </c>
      <c r="GN12">
        <v>13</v>
      </c>
      <c r="GO12">
        <v>13</v>
      </c>
      <c r="GP12">
        <v>13</v>
      </c>
      <c r="GQ12">
        <v>13</v>
      </c>
      <c r="GR12">
        <v>13</v>
      </c>
      <c r="GS12">
        <v>13</v>
      </c>
      <c r="GT12">
        <v>13</v>
      </c>
      <c r="GU12">
        <v>13</v>
      </c>
      <c r="GV12">
        <v>13</v>
      </c>
      <c r="GW12">
        <v>13</v>
      </c>
      <c r="IF12" t="s">
        <v>4569</v>
      </c>
      <c r="IG12" t="s">
        <v>4569</v>
      </c>
      <c r="IH12" t="s">
        <v>4569</v>
      </c>
      <c r="II12" t="s">
        <v>4569</v>
      </c>
    </row>
    <row r="13" spans="1:247" x14ac:dyDescent="0.2">
      <c r="A13" t="s">
        <v>5030</v>
      </c>
      <c r="D13">
        <v>11</v>
      </c>
      <c r="E13">
        <v>11</v>
      </c>
      <c r="H13">
        <v>11</v>
      </c>
      <c r="I13">
        <v>11</v>
      </c>
      <c r="J13">
        <v>11</v>
      </c>
      <c r="K13">
        <v>11</v>
      </c>
      <c r="L13">
        <v>11</v>
      </c>
      <c r="M13">
        <v>11</v>
      </c>
      <c r="N13">
        <v>11</v>
      </c>
      <c r="R13">
        <v>12</v>
      </c>
      <c r="S13">
        <v>12</v>
      </c>
      <c r="T13">
        <v>12</v>
      </c>
      <c r="U13">
        <v>12</v>
      </c>
      <c r="V13">
        <v>12</v>
      </c>
      <c r="X13">
        <v>12</v>
      </c>
      <c r="Y13">
        <v>12</v>
      </c>
      <c r="Z13">
        <v>12</v>
      </c>
      <c r="AA13">
        <v>12</v>
      </c>
      <c r="AB13">
        <v>12</v>
      </c>
      <c r="AF13">
        <v>12</v>
      </c>
      <c r="AG13">
        <v>12</v>
      </c>
      <c r="AH13">
        <v>12</v>
      </c>
      <c r="AI13">
        <v>12</v>
      </c>
      <c r="AK13">
        <v>12</v>
      </c>
      <c r="AL13">
        <v>12</v>
      </c>
      <c r="AM13">
        <v>12</v>
      </c>
      <c r="AN13">
        <v>12</v>
      </c>
      <c r="BA13">
        <v>11</v>
      </c>
      <c r="BL13">
        <v>13</v>
      </c>
      <c r="BM13">
        <v>12</v>
      </c>
      <c r="BN13">
        <v>12</v>
      </c>
      <c r="BO13">
        <v>13</v>
      </c>
      <c r="BP13">
        <v>12</v>
      </c>
      <c r="BQ13">
        <v>12</v>
      </c>
      <c r="BR13">
        <v>12</v>
      </c>
      <c r="BS13">
        <v>13</v>
      </c>
      <c r="BT13">
        <v>12</v>
      </c>
      <c r="BU13">
        <v>12</v>
      </c>
      <c r="BV13">
        <v>13</v>
      </c>
      <c r="BW13">
        <v>12</v>
      </c>
      <c r="BX13">
        <v>12</v>
      </c>
      <c r="BY13">
        <v>13</v>
      </c>
      <c r="BZ13">
        <v>12</v>
      </c>
      <c r="CA13">
        <v>12</v>
      </c>
      <c r="CB13">
        <v>13</v>
      </c>
      <c r="CD13">
        <v>12</v>
      </c>
      <c r="CF13">
        <v>12</v>
      </c>
      <c r="CI13">
        <v>12</v>
      </c>
      <c r="CJ13">
        <v>13</v>
      </c>
      <c r="CL13">
        <v>11</v>
      </c>
      <c r="CN13">
        <v>12</v>
      </c>
      <c r="CW13">
        <v>11</v>
      </c>
      <c r="CX13">
        <v>11</v>
      </c>
      <c r="CY13">
        <v>12</v>
      </c>
      <c r="DA13">
        <v>11</v>
      </c>
      <c r="DB13">
        <v>11</v>
      </c>
      <c r="DW13">
        <v>13</v>
      </c>
      <c r="EH13">
        <v>11</v>
      </c>
      <c r="EI13">
        <v>11</v>
      </c>
      <c r="FD13">
        <v>11</v>
      </c>
      <c r="FL13">
        <v>11</v>
      </c>
      <c r="FM13">
        <v>11</v>
      </c>
      <c r="FT13">
        <v>11</v>
      </c>
      <c r="FU13">
        <v>12</v>
      </c>
      <c r="FV13">
        <v>10</v>
      </c>
      <c r="GN13">
        <v>12</v>
      </c>
      <c r="GO13">
        <v>12</v>
      </c>
      <c r="GP13">
        <v>12</v>
      </c>
      <c r="GQ13">
        <v>12</v>
      </c>
      <c r="GR13">
        <v>12</v>
      </c>
      <c r="GS13">
        <v>12</v>
      </c>
      <c r="GT13">
        <v>13</v>
      </c>
      <c r="GU13">
        <v>13</v>
      </c>
      <c r="GV13">
        <v>13</v>
      </c>
      <c r="GW13">
        <v>13</v>
      </c>
      <c r="IF13" t="s">
        <v>4569</v>
      </c>
      <c r="IG13" t="s">
        <v>4569</v>
      </c>
      <c r="IH13" t="s">
        <v>4569</v>
      </c>
      <c r="II13" t="s">
        <v>4569</v>
      </c>
    </row>
    <row r="14" spans="1:247" x14ac:dyDescent="0.2">
      <c r="A14" t="s">
        <v>752</v>
      </c>
      <c r="R14">
        <v>11</v>
      </c>
      <c r="S14">
        <v>11</v>
      </c>
      <c r="T14">
        <v>11</v>
      </c>
      <c r="U14">
        <v>11</v>
      </c>
      <c r="V14">
        <v>11</v>
      </c>
      <c r="AF14">
        <v>11</v>
      </c>
      <c r="AG14">
        <v>11</v>
      </c>
      <c r="AH14">
        <v>11</v>
      </c>
      <c r="AI14">
        <v>11</v>
      </c>
      <c r="AR14">
        <v>11</v>
      </c>
      <c r="AS14">
        <v>11</v>
      </c>
      <c r="BL14">
        <v>11</v>
      </c>
      <c r="BM14">
        <v>11</v>
      </c>
      <c r="BO14">
        <v>11</v>
      </c>
      <c r="BP14">
        <v>11</v>
      </c>
      <c r="BQ14">
        <v>11</v>
      </c>
      <c r="BR14">
        <v>11</v>
      </c>
      <c r="BS14">
        <v>11</v>
      </c>
      <c r="BU14">
        <v>11</v>
      </c>
      <c r="BV14">
        <v>11</v>
      </c>
      <c r="BW14">
        <v>11</v>
      </c>
      <c r="BY14">
        <v>11</v>
      </c>
      <c r="BZ14">
        <v>11</v>
      </c>
      <c r="CA14">
        <v>11</v>
      </c>
      <c r="CD14">
        <v>12</v>
      </c>
      <c r="CK14">
        <v>12</v>
      </c>
      <c r="CR14">
        <v>12</v>
      </c>
      <c r="CT14">
        <v>11</v>
      </c>
      <c r="CU14">
        <v>11</v>
      </c>
      <c r="CZ14">
        <v>11</v>
      </c>
      <c r="DR14">
        <v>11</v>
      </c>
      <c r="EH14">
        <v>11</v>
      </c>
      <c r="EI14">
        <v>11</v>
      </c>
      <c r="FV14">
        <v>10</v>
      </c>
      <c r="IF14" t="s">
        <v>4569</v>
      </c>
      <c r="IG14" t="s">
        <v>4569</v>
      </c>
      <c r="IH14" t="s">
        <v>4569</v>
      </c>
      <c r="II14" t="s">
        <v>4569</v>
      </c>
    </row>
    <row r="15" spans="1:247" x14ac:dyDescent="0.2">
      <c r="A15" t="s">
        <v>1900</v>
      </c>
      <c r="C15">
        <v>3</v>
      </c>
      <c r="D15">
        <v>3</v>
      </c>
      <c r="E15">
        <v>3</v>
      </c>
      <c r="F15">
        <v>3</v>
      </c>
      <c r="G15">
        <v>6</v>
      </c>
      <c r="H15">
        <v>3</v>
      </c>
      <c r="I15">
        <v>3</v>
      </c>
      <c r="J15">
        <v>3</v>
      </c>
      <c r="K15">
        <v>3</v>
      </c>
      <c r="L15">
        <v>3</v>
      </c>
      <c r="M15">
        <v>3</v>
      </c>
      <c r="N15">
        <v>3</v>
      </c>
      <c r="P15">
        <v>5</v>
      </c>
      <c r="Q15">
        <v>5</v>
      </c>
      <c r="R15">
        <v>4</v>
      </c>
      <c r="S15">
        <v>4</v>
      </c>
      <c r="T15">
        <v>4</v>
      </c>
      <c r="U15">
        <v>4</v>
      </c>
      <c r="V15">
        <v>4</v>
      </c>
      <c r="W15">
        <v>3</v>
      </c>
      <c r="X15">
        <v>3</v>
      </c>
      <c r="Y15">
        <v>3</v>
      </c>
      <c r="Z15">
        <v>3</v>
      </c>
      <c r="AA15">
        <v>3</v>
      </c>
      <c r="AB15">
        <v>3</v>
      </c>
      <c r="AC15">
        <v>6</v>
      </c>
      <c r="AD15">
        <v>5</v>
      </c>
      <c r="AE15">
        <v>5</v>
      </c>
      <c r="AF15">
        <v>4</v>
      </c>
      <c r="AG15">
        <v>4</v>
      </c>
      <c r="AH15">
        <v>4</v>
      </c>
      <c r="AI15">
        <v>4</v>
      </c>
      <c r="AJ15">
        <v>3</v>
      </c>
      <c r="AK15">
        <v>3</v>
      </c>
      <c r="AL15">
        <v>3</v>
      </c>
      <c r="AM15">
        <v>3</v>
      </c>
      <c r="AN15">
        <v>3</v>
      </c>
      <c r="AO15">
        <v>6</v>
      </c>
      <c r="AP15">
        <v>3</v>
      </c>
      <c r="AQ15">
        <v>3</v>
      </c>
      <c r="AR15">
        <v>6</v>
      </c>
      <c r="AS15">
        <v>6</v>
      </c>
      <c r="AU15">
        <v>6</v>
      </c>
      <c r="AV15">
        <v>6</v>
      </c>
      <c r="AW15">
        <v>6</v>
      </c>
      <c r="AX15">
        <v>3</v>
      </c>
      <c r="BA15">
        <v>3</v>
      </c>
      <c r="BB15">
        <v>6</v>
      </c>
      <c r="BC15">
        <v>3</v>
      </c>
      <c r="BD15">
        <v>6</v>
      </c>
      <c r="BE15">
        <v>3</v>
      </c>
      <c r="BF15">
        <v>3</v>
      </c>
      <c r="BG15">
        <v>3</v>
      </c>
      <c r="BI15">
        <v>4</v>
      </c>
      <c r="BJ15">
        <v>4</v>
      </c>
      <c r="BL15">
        <v>3</v>
      </c>
      <c r="BM15">
        <v>1</v>
      </c>
      <c r="BN15">
        <v>3</v>
      </c>
      <c r="BO15">
        <v>3</v>
      </c>
      <c r="BP15">
        <v>1</v>
      </c>
      <c r="BQ15">
        <v>1</v>
      </c>
      <c r="BR15">
        <v>1</v>
      </c>
      <c r="BS15">
        <v>3</v>
      </c>
      <c r="BT15">
        <v>3</v>
      </c>
      <c r="BU15">
        <v>1</v>
      </c>
      <c r="BV15">
        <v>3</v>
      </c>
      <c r="BW15">
        <v>1</v>
      </c>
      <c r="BX15">
        <v>3</v>
      </c>
      <c r="BY15">
        <v>3</v>
      </c>
      <c r="BZ15">
        <v>1</v>
      </c>
      <c r="CA15">
        <v>1</v>
      </c>
      <c r="CB15">
        <v>6</v>
      </c>
      <c r="CC15">
        <v>2</v>
      </c>
      <c r="CD15">
        <v>2</v>
      </c>
      <c r="CE15">
        <v>2</v>
      </c>
      <c r="CF15">
        <v>2</v>
      </c>
      <c r="CG15">
        <v>2</v>
      </c>
      <c r="CH15">
        <v>2</v>
      </c>
      <c r="CI15">
        <v>2</v>
      </c>
      <c r="CJ15">
        <v>2</v>
      </c>
      <c r="CK15">
        <v>2</v>
      </c>
      <c r="CL15">
        <v>2</v>
      </c>
      <c r="CM15">
        <v>6</v>
      </c>
      <c r="CN15">
        <v>4</v>
      </c>
      <c r="CO15">
        <v>5</v>
      </c>
      <c r="CP15">
        <v>5</v>
      </c>
      <c r="CQ15">
        <v>8</v>
      </c>
      <c r="CR15">
        <v>5</v>
      </c>
      <c r="CS15">
        <v>5</v>
      </c>
      <c r="CT15">
        <v>4</v>
      </c>
      <c r="CU15">
        <v>4</v>
      </c>
      <c r="CW15">
        <v>7</v>
      </c>
      <c r="CX15">
        <v>7</v>
      </c>
      <c r="CY15">
        <v>6</v>
      </c>
      <c r="CZ15">
        <v>8</v>
      </c>
      <c r="DA15">
        <v>7</v>
      </c>
      <c r="DB15">
        <v>9</v>
      </c>
      <c r="DC15">
        <v>6</v>
      </c>
      <c r="DD15">
        <v>6</v>
      </c>
      <c r="DE15">
        <v>6</v>
      </c>
      <c r="DF15">
        <v>7</v>
      </c>
      <c r="DG15">
        <v>7</v>
      </c>
      <c r="DH15">
        <v>7</v>
      </c>
      <c r="DI15">
        <v>7</v>
      </c>
      <c r="DJ15">
        <v>7</v>
      </c>
      <c r="DK15">
        <v>7</v>
      </c>
      <c r="DL15">
        <v>6</v>
      </c>
      <c r="DM15">
        <v>6</v>
      </c>
      <c r="DN15">
        <v>7</v>
      </c>
      <c r="DO15">
        <v>7</v>
      </c>
      <c r="DP15">
        <v>6</v>
      </c>
      <c r="DQ15">
        <v>6</v>
      </c>
      <c r="DR15">
        <v>8</v>
      </c>
      <c r="DS15">
        <v>8</v>
      </c>
      <c r="DT15">
        <v>4</v>
      </c>
      <c r="DU15">
        <v>7</v>
      </c>
      <c r="DV15">
        <v>7</v>
      </c>
      <c r="DW15">
        <v>8</v>
      </c>
      <c r="DX15">
        <v>9</v>
      </c>
      <c r="DY15">
        <v>6</v>
      </c>
      <c r="DZ15">
        <v>7</v>
      </c>
      <c r="EA15">
        <v>7</v>
      </c>
      <c r="EB15">
        <v>8</v>
      </c>
      <c r="EC15">
        <v>7</v>
      </c>
      <c r="ED15">
        <v>7</v>
      </c>
      <c r="EE15">
        <v>7</v>
      </c>
      <c r="EF15">
        <v>6</v>
      </c>
      <c r="EG15">
        <v>6</v>
      </c>
      <c r="EH15">
        <v>5</v>
      </c>
      <c r="EI15">
        <v>5</v>
      </c>
      <c r="EJ15">
        <v>7</v>
      </c>
      <c r="EK15">
        <v>8</v>
      </c>
      <c r="EL15">
        <v>8</v>
      </c>
      <c r="EM15">
        <v>7</v>
      </c>
      <c r="EN15">
        <v>7</v>
      </c>
      <c r="EO15">
        <v>8</v>
      </c>
      <c r="EP15">
        <v>8</v>
      </c>
      <c r="EQ15">
        <v>8</v>
      </c>
      <c r="ER15">
        <v>6</v>
      </c>
      <c r="ES15">
        <v>6</v>
      </c>
      <c r="ET15">
        <v>8</v>
      </c>
      <c r="EU15">
        <v>7</v>
      </c>
      <c r="EV15">
        <v>7</v>
      </c>
      <c r="EW15">
        <v>6</v>
      </c>
      <c r="EY15">
        <v>5</v>
      </c>
      <c r="EZ15">
        <v>6</v>
      </c>
      <c r="FA15">
        <v>6</v>
      </c>
      <c r="FB15">
        <v>4</v>
      </c>
      <c r="FC15">
        <v>4</v>
      </c>
      <c r="FD15">
        <v>4</v>
      </c>
      <c r="FE15">
        <v>1</v>
      </c>
      <c r="FF15">
        <v>5</v>
      </c>
      <c r="FG15">
        <v>7</v>
      </c>
      <c r="FH15">
        <v>7</v>
      </c>
      <c r="FI15">
        <v>7</v>
      </c>
      <c r="FJ15">
        <v>7</v>
      </c>
      <c r="FK15">
        <v>1</v>
      </c>
      <c r="FL15">
        <v>7</v>
      </c>
      <c r="FM15">
        <v>5</v>
      </c>
      <c r="FN15">
        <v>4</v>
      </c>
      <c r="FO15">
        <v>4</v>
      </c>
      <c r="FP15">
        <v>7</v>
      </c>
      <c r="FQ15">
        <v>7</v>
      </c>
      <c r="FR15">
        <v>7</v>
      </c>
      <c r="FS15">
        <v>7</v>
      </c>
      <c r="FT15">
        <v>4</v>
      </c>
      <c r="FU15">
        <v>5</v>
      </c>
      <c r="FV15">
        <v>5</v>
      </c>
      <c r="FX15">
        <v>3</v>
      </c>
      <c r="FY15">
        <v>6</v>
      </c>
      <c r="FZ15">
        <v>3</v>
      </c>
      <c r="GA15">
        <v>3</v>
      </c>
      <c r="GB15">
        <v>3</v>
      </c>
      <c r="GC15">
        <v>6</v>
      </c>
      <c r="GD15">
        <v>3</v>
      </c>
      <c r="GF15">
        <v>2</v>
      </c>
      <c r="GG15">
        <v>2</v>
      </c>
      <c r="GH15">
        <v>2</v>
      </c>
      <c r="GI15">
        <v>2</v>
      </c>
      <c r="GJ15">
        <v>2</v>
      </c>
      <c r="GK15">
        <v>2</v>
      </c>
      <c r="GL15">
        <v>2</v>
      </c>
      <c r="GO15">
        <v>3</v>
      </c>
      <c r="GP15">
        <v>6</v>
      </c>
      <c r="GQ15">
        <v>6</v>
      </c>
      <c r="GR15">
        <v>2</v>
      </c>
      <c r="GS15">
        <v>4</v>
      </c>
      <c r="GT15">
        <v>6</v>
      </c>
      <c r="GU15">
        <v>6</v>
      </c>
      <c r="GV15">
        <v>2</v>
      </c>
      <c r="GW15">
        <v>4</v>
      </c>
      <c r="GY15">
        <v>5</v>
      </c>
      <c r="HA15">
        <v>6</v>
      </c>
      <c r="HB15">
        <v>6</v>
      </c>
      <c r="HC15">
        <v>6</v>
      </c>
      <c r="HD15">
        <v>6</v>
      </c>
      <c r="HE15">
        <v>6</v>
      </c>
      <c r="HF15">
        <v>6</v>
      </c>
      <c r="HG15">
        <v>6</v>
      </c>
      <c r="HH15">
        <v>6</v>
      </c>
      <c r="HI15">
        <v>6</v>
      </c>
      <c r="HJ15">
        <v>6</v>
      </c>
      <c r="HK15">
        <v>6</v>
      </c>
      <c r="HL15">
        <v>6</v>
      </c>
      <c r="HM15">
        <v>6</v>
      </c>
      <c r="HN15">
        <v>6</v>
      </c>
      <c r="HO15">
        <v>6</v>
      </c>
      <c r="HP15">
        <v>6</v>
      </c>
      <c r="HQ15">
        <v>6</v>
      </c>
      <c r="HR15">
        <v>6</v>
      </c>
      <c r="HS15">
        <v>6</v>
      </c>
      <c r="HT15">
        <v>6</v>
      </c>
      <c r="HU15">
        <v>6</v>
      </c>
      <c r="HV15">
        <v>6</v>
      </c>
      <c r="HW15">
        <v>6</v>
      </c>
      <c r="HX15">
        <v>6</v>
      </c>
      <c r="HY15">
        <v>6</v>
      </c>
      <c r="HZ15">
        <v>6</v>
      </c>
      <c r="IA15">
        <v>6</v>
      </c>
      <c r="IB15">
        <v>6</v>
      </c>
      <c r="IC15">
        <v>6</v>
      </c>
      <c r="ID15">
        <v>6</v>
      </c>
      <c r="IE15">
        <v>6</v>
      </c>
      <c r="IF15">
        <v>6</v>
      </c>
      <c r="IG15">
        <v>6</v>
      </c>
      <c r="IH15">
        <v>6</v>
      </c>
      <c r="II15">
        <v>6</v>
      </c>
    </row>
    <row r="16" spans="1:247" x14ac:dyDescent="0.2">
      <c r="A16" t="s">
        <v>1901</v>
      </c>
      <c r="C16">
        <v>10</v>
      </c>
      <c r="D16">
        <v>10</v>
      </c>
      <c r="E16">
        <v>10</v>
      </c>
      <c r="F16">
        <v>10</v>
      </c>
      <c r="G16">
        <v>13</v>
      </c>
      <c r="H16">
        <v>10</v>
      </c>
      <c r="I16">
        <v>10</v>
      </c>
      <c r="J16">
        <v>10</v>
      </c>
      <c r="K16">
        <v>10</v>
      </c>
      <c r="L16">
        <v>10</v>
      </c>
      <c r="M16">
        <v>10</v>
      </c>
      <c r="N16">
        <v>10</v>
      </c>
      <c r="P16">
        <v>10</v>
      </c>
      <c r="Q16">
        <v>10</v>
      </c>
      <c r="R16">
        <v>10</v>
      </c>
      <c r="S16">
        <v>10</v>
      </c>
      <c r="T16">
        <v>10</v>
      </c>
      <c r="U16">
        <v>10</v>
      </c>
      <c r="V16">
        <v>10</v>
      </c>
      <c r="W16">
        <v>13</v>
      </c>
      <c r="X16">
        <v>13</v>
      </c>
      <c r="Y16">
        <v>13</v>
      </c>
      <c r="Z16">
        <v>13</v>
      </c>
      <c r="AA16">
        <v>13</v>
      </c>
      <c r="AB16">
        <v>13</v>
      </c>
      <c r="AC16">
        <v>10</v>
      </c>
      <c r="AD16">
        <v>10</v>
      </c>
      <c r="AE16">
        <v>10</v>
      </c>
      <c r="AF16">
        <v>10</v>
      </c>
      <c r="AG16">
        <v>10</v>
      </c>
      <c r="AH16">
        <v>10</v>
      </c>
      <c r="AI16">
        <v>10</v>
      </c>
      <c r="AJ16">
        <v>13</v>
      </c>
      <c r="AK16">
        <v>13</v>
      </c>
      <c r="AL16">
        <v>13</v>
      </c>
      <c r="AM16">
        <v>13</v>
      </c>
      <c r="AN16">
        <v>13</v>
      </c>
      <c r="AO16">
        <v>10</v>
      </c>
      <c r="AP16">
        <v>13</v>
      </c>
      <c r="AQ16">
        <v>13</v>
      </c>
      <c r="AR16">
        <v>10</v>
      </c>
      <c r="AS16">
        <v>10</v>
      </c>
      <c r="AU16">
        <v>10</v>
      </c>
      <c r="AV16">
        <v>10</v>
      </c>
      <c r="AW16">
        <v>10</v>
      </c>
      <c r="AX16">
        <v>4</v>
      </c>
      <c r="BA16">
        <v>7</v>
      </c>
      <c r="BB16">
        <v>10</v>
      </c>
      <c r="BC16">
        <v>8</v>
      </c>
      <c r="BD16">
        <v>12</v>
      </c>
      <c r="BE16">
        <v>12</v>
      </c>
      <c r="BF16">
        <v>9</v>
      </c>
      <c r="BG16">
        <v>11</v>
      </c>
      <c r="BI16">
        <v>5</v>
      </c>
      <c r="BJ16">
        <v>5</v>
      </c>
      <c r="BL16">
        <v>5</v>
      </c>
      <c r="BM16">
        <v>7</v>
      </c>
      <c r="BN16">
        <v>7</v>
      </c>
      <c r="BO16">
        <v>5</v>
      </c>
      <c r="BP16">
        <v>7</v>
      </c>
      <c r="BQ16">
        <v>7</v>
      </c>
      <c r="BR16">
        <v>7</v>
      </c>
      <c r="BS16">
        <v>5</v>
      </c>
      <c r="BT16">
        <v>7</v>
      </c>
      <c r="BU16">
        <v>7</v>
      </c>
      <c r="BV16">
        <v>5</v>
      </c>
      <c r="BW16">
        <v>7</v>
      </c>
      <c r="BX16">
        <v>7</v>
      </c>
      <c r="BY16">
        <v>5</v>
      </c>
      <c r="BZ16">
        <v>7</v>
      </c>
      <c r="CA16">
        <v>7</v>
      </c>
      <c r="CB16">
        <v>10</v>
      </c>
      <c r="CC16">
        <v>6</v>
      </c>
      <c r="CD16">
        <v>6</v>
      </c>
      <c r="CE16">
        <v>6</v>
      </c>
      <c r="CF16">
        <v>6</v>
      </c>
      <c r="CG16">
        <v>6</v>
      </c>
      <c r="CH16">
        <v>6</v>
      </c>
      <c r="CI16">
        <v>6</v>
      </c>
      <c r="CJ16">
        <v>6</v>
      </c>
      <c r="CK16">
        <v>6</v>
      </c>
      <c r="CL16">
        <v>6</v>
      </c>
      <c r="CM16">
        <v>10</v>
      </c>
      <c r="CN16">
        <v>8</v>
      </c>
      <c r="CO16">
        <v>10</v>
      </c>
      <c r="CP16">
        <v>10</v>
      </c>
      <c r="CQ16">
        <v>12</v>
      </c>
      <c r="CR16">
        <v>10</v>
      </c>
      <c r="CS16">
        <v>10</v>
      </c>
      <c r="CT16">
        <v>9</v>
      </c>
      <c r="CU16">
        <v>9</v>
      </c>
      <c r="CW16">
        <v>13</v>
      </c>
      <c r="CX16">
        <v>13</v>
      </c>
      <c r="CY16">
        <v>12</v>
      </c>
      <c r="CZ16">
        <v>12</v>
      </c>
      <c r="DA16">
        <v>12</v>
      </c>
      <c r="DB16">
        <v>12</v>
      </c>
      <c r="DC16">
        <v>10</v>
      </c>
      <c r="DD16">
        <v>12</v>
      </c>
      <c r="DE16">
        <v>12</v>
      </c>
      <c r="DF16">
        <v>10</v>
      </c>
      <c r="DG16">
        <v>10</v>
      </c>
      <c r="DH16">
        <v>10</v>
      </c>
      <c r="DI16">
        <v>10</v>
      </c>
      <c r="DJ16">
        <v>10</v>
      </c>
      <c r="DK16">
        <v>10</v>
      </c>
      <c r="DL16">
        <v>10</v>
      </c>
      <c r="DM16">
        <v>12</v>
      </c>
      <c r="DN16">
        <v>12</v>
      </c>
      <c r="DO16">
        <v>12</v>
      </c>
      <c r="DP16">
        <v>10</v>
      </c>
      <c r="DQ16">
        <v>12</v>
      </c>
      <c r="DR16">
        <v>12</v>
      </c>
      <c r="DS16">
        <v>12</v>
      </c>
      <c r="DT16">
        <v>8</v>
      </c>
      <c r="DU16">
        <v>12</v>
      </c>
      <c r="DV16">
        <v>13</v>
      </c>
      <c r="DW16">
        <v>12</v>
      </c>
      <c r="DX16">
        <v>12</v>
      </c>
      <c r="DY16">
        <v>12</v>
      </c>
      <c r="DZ16">
        <v>12</v>
      </c>
      <c r="EA16">
        <v>12</v>
      </c>
      <c r="EB16">
        <v>12</v>
      </c>
      <c r="EC16">
        <v>13</v>
      </c>
      <c r="ED16">
        <v>12</v>
      </c>
      <c r="EE16">
        <v>11</v>
      </c>
      <c r="EF16">
        <v>12</v>
      </c>
      <c r="EG16">
        <v>12</v>
      </c>
      <c r="EH16">
        <v>10</v>
      </c>
      <c r="EI16">
        <v>10</v>
      </c>
      <c r="EJ16">
        <v>12</v>
      </c>
      <c r="EK16">
        <v>13</v>
      </c>
      <c r="EL16">
        <v>13</v>
      </c>
      <c r="EM16">
        <v>13</v>
      </c>
      <c r="EN16">
        <v>13</v>
      </c>
      <c r="EO16">
        <v>11</v>
      </c>
      <c r="EP16">
        <v>11</v>
      </c>
      <c r="EQ16">
        <v>12</v>
      </c>
      <c r="ER16">
        <v>11</v>
      </c>
      <c r="ES16">
        <v>10</v>
      </c>
      <c r="ET16">
        <v>12</v>
      </c>
      <c r="EU16">
        <v>11</v>
      </c>
      <c r="EV16">
        <v>12</v>
      </c>
      <c r="EW16">
        <v>10</v>
      </c>
      <c r="EY16">
        <v>8</v>
      </c>
      <c r="EZ16">
        <v>12</v>
      </c>
      <c r="FA16">
        <v>12</v>
      </c>
      <c r="FB16">
        <v>10</v>
      </c>
      <c r="FC16">
        <v>10</v>
      </c>
      <c r="FD16">
        <v>7</v>
      </c>
      <c r="FE16">
        <v>7</v>
      </c>
      <c r="FF16">
        <v>8</v>
      </c>
      <c r="FG16">
        <v>12</v>
      </c>
      <c r="FH16">
        <v>12</v>
      </c>
      <c r="FI16">
        <v>12</v>
      </c>
      <c r="FJ16">
        <v>12</v>
      </c>
      <c r="FK16">
        <v>8</v>
      </c>
      <c r="FL16">
        <v>11</v>
      </c>
      <c r="FM16">
        <v>9</v>
      </c>
      <c r="FN16">
        <v>10</v>
      </c>
      <c r="FO16">
        <v>8</v>
      </c>
      <c r="FP16">
        <v>12</v>
      </c>
      <c r="FQ16">
        <v>12</v>
      </c>
      <c r="FR16">
        <v>12</v>
      </c>
      <c r="FS16">
        <v>12</v>
      </c>
      <c r="FT16">
        <v>8</v>
      </c>
      <c r="FU16">
        <v>7</v>
      </c>
      <c r="FV16">
        <v>8</v>
      </c>
      <c r="FX16">
        <v>8</v>
      </c>
      <c r="FY16">
        <v>10</v>
      </c>
      <c r="FZ16">
        <v>8</v>
      </c>
      <c r="GA16">
        <v>8</v>
      </c>
      <c r="GB16">
        <v>8</v>
      </c>
      <c r="GC16">
        <v>10</v>
      </c>
      <c r="GD16">
        <v>8</v>
      </c>
      <c r="GF16">
        <v>7</v>
      </c>
      <c r="GG16">
        <v>7</v>
      </c>
      <c r="GH16">
        <v>7</v>
      </c>
      <c r="GI16">
        <v>7</v>
      </c>
      <c r="GJ16">
        <v>7</v>
      </c>
      <c r="GK16">
        <v>7</v>
      </c>
      <c r="GL16">
        <v>7</v>
      </c>
      <c r="GO16">
        <v>7</v>
      </c>
      <c r="GP16">
        <v>10</v>
      </c>
      <c r="GQ16">
        <v>10</v>
      </c>
      <c r="GR16">
        <v>6</v>
      </c>
      <c r="GS16">
        <v>9</v>
      </c>
      <c r="GT16">
        <v>10</v>
      </c>
      <c r="GU16">
        <v>10</v>
      </c>
      <c r="GV16">
        <v>6</v>
      </c>
      <c r="GW16">
        <v>9</v>
      </c>
      <c r="GY16">
        <v>10</v>
      </c>
      <c r="HA16">
        <v>10</v>
      </c>
      <c r="HB16">
        <v>10</v>
      </c>
      <c r="HC16">
        <v>10</v>
      </c>
      <c r="HD16">
        <v>10</v>
      </c>
      <c r="HE16">
        <v>10</v>
      </c>
      <c r="HF16">
        <v>10</v>
      </c>
      <c r="HG16">
        <v>10</v>
      </c>
      <c r="HH16">
        <v>10</v>
      </c>
      <c r="HI16">
        <v>10</v>
      </c>
      <c r="HJ16">
        <v>10</v>
      </c>
      <c r="HK16">
        <v>10</v>
      </c>
      <c r="HL16">
        <v>10</v>
      </c>
      <c r="HM16">
        <v>10</v>
      </c>
      <c r="HN16">
        <v>10</v>
      </c>
      <c r="HO16">
        <v>10</v>
      </c>
      <c r="HP16">
        <v>10</v>
      </c>
      <c r="HQ16">
        <v>10</v>
      </c>
      <c r="HR16">
        <v>10</v>
      </c>
      <c r="HS16">
        <v>10</v>
      </c>
      <c r="HT16">
        <v>10</v>
      </c>
      <c r="HU16">
        <v>10</v>
      </c>
      <c r="HV16">
        <v>10</v>
      </c>
      <c r="HW16">
        <v>10</v>
      </c>
      <c r="HX16">
        <v>10</v>
      </c>
      <c r="HY16">
        <v>10</v>
      </c>
      <c r="HZ16">
        <v>10</v>
      </c>
      <c r="IA16">
        <v>10</v>
      </c>
      <c r="IB16">
        <v>10</v>
      </c>
      <c r="IC16">
        <v>10</v>
      </c>
      <c r="ID16">
        <v>10</v>
      </c>
      <c r="IE16">
        <v>10</v>
      </c>
      <c r="IF16">
        <v>10</v>
      </c>
      <c r="IG16">
        <v>10</v>
      </c>
      <c r="IH16">
        <v>10</v>
      </c>
      <c r="II16">
        <v>10</v>
      </c>
    </row>
    <row r="17" spans="1:243" x14ac:dyDescent="0.2">
      <c r="A17" t="s">
        <v>74</v>
      </c>
      <c r="EZ17">
        <v>0</v>
      </c>
      <c r="IF17" t="s">
        <v>4569</v>
      </c>
      <c r="IG17" t="s">
        <v>4569</v>
      </c>
      <c r="IH17" t="s">
        <v>4569</v>
      </c>
      <c r="II17" t="s">
        <v>4569</v>
      </c>
    </row>
    <row r="18" spans="1:243" x14ac:dyDescent="0.2">
      <c r="A18" t="s">
        <v>75</v>
      </c>
      <c r="EZ18">
        <v>0</v>
      </c>
      <c r="IF18" t="s">
        <v>4569</v>
      </c>
      <c r="IG18" t="s">
        <v>4569</v>
      </c>
      <c r="IH18" t="s">
        <v>4569</v>
      </c>
      <c r="II18" t="s">
        <v>4569</v>
      </c>
    </row>
    <row r="19" spans="1:243" x14ac:dyDescent="0.2">
      <c r="A19" t="s">
        <v>76</v>
      </c>
      <c r="CM19">
        <v>1</v>
      </c>
      <c r="EZ19">
        <v>0</v>
      </c>
      <c r="IF19" t="s">
        <v>4569</v>
      </c>
      <c r="IG19" t="s">
        <v>4569</v>
      </c>
      <c r="IH19" t="s">
        <v>4569</v>
      </c>
      <c r="II19" t="s">
        <v>4569</v>
      </c>
    </row>
    <row r="20" spans="1:243" x14ac:dyDescent="0.2">
      <c r="A20" t="s">
        <v>77</v>
      </c>
      <c r="EZ20">
        <v>0</v>
      </c>
      <c r="IF20" t="s">
        <v>4569</v>
      </c>
      <c r="IG20" t="s">
        <v>4569</v>
      </c>
      <c r="IH20" t="s">
        <v>4569</v>
      </c>
      <c r="II20" t="s">
        <v>4569</v>
      </c>
    </row>
    <row r="21" spans="1:243" x14ac:dyDescent="0.2">
      <c r="A21" t="s">
        <v>750</v>
      </c>
      <c r="EZ21">
        <v>0</v>
      </c>
      <c r="IF21" t="s">
        <v>4569</v>
      </c>
      <c r="IG21" t="s">
        <v>4569</v>
      </c>
      <c r="IH21" t="s">
        <v>4569</v>
      </c>
      <c r="II21" t="s">
        <v>4569</v>
      </c>
    </row>
    <row r="22" spans="1:243" x14ac:dyDescent="0.2">
      <c r="A22" t="s">
        <v>751</v>
      </c>
      <c r="EZ22">
        <v>0</v>
      </c>
      <c r="IF22" t="s">
        <v>4569</v>
      </c>
      <c r="IG22" t="s">
        <v>4569</v>
      </c>
      <c r="IH22" t="s">
        <v>4569</v>
      </c>
      <c r="II22" t="s">
        <v>4569</v>
      </c>
    </row>
    <row r="23" spans="1:243" x14ac:dyDescent="0.2">
      <c r="A23" t="s">
        <v>5030</v>
      </c>
      <c r="EZ23">
        <v>0</v>
      </c>
      <c r="IF23" t="s">
        <v>4569</v>
      </c>
      <c r="IG23" t="s">
        <v>4569</v>
      </c>
      <c r="IH23" t="s">
        <v>4569</v>
      </c>
      <c r="II23" t="s">
        <v>4569</v>
      </c>
    </row>
    <row r="24" spans="1:243" x14ac:dyDescent="0.2">
      <c r="A24" t="s">
        <v>752</v>
      </c>
      <c r="EZ24">
        <v>0</v>
      </c>
      <c r="IF24" t="s">
        <v>4569</v>
      </c>
      <c r="IG24" t="s">
        <v>4569</v>
      </c>
      <c r="IH24" t="s">
        <v>4569</v>
      </c>
      <c r="II24" t="s">
        <v>4569</v>
      </c>
    </row>
    <row r="25" spans="1:243" x14ac:dyDescent="0.2">
      <c r="A25" t="s">
        <v>2139</v>
      </c>
      <c r="EZ25">
        <v>0</v>
      </c>
      <c r="GT25">
        <v>1</v>
      </c>
      <c r="GU25">
        <v>1</v>
      </c>
      <c r="GV25">
        <v>1</v>
      </c>
      <c r="GW25">
        <v>1</v>
      </c>
      <c r="HC25">
        <v>1</v>
      </c>
      <c r="HD25">
        <v>1</v>
      </c>
      <c r="HE25">
        <v>1</v>
      </c>
      <c r="HF25">
        <v>1</v>
      </c>
      <c r="HG25">
        <v>1</v>
      </c>
      <c r="HH25">
        <v>1</v>
      </c>
      <c r="HI25">
        <v>1</v>
      </c>
      <c r="HJ25">
        <v>1</v>
      </c>
      <c r="HK25">
        <v>1</v>
      </c>
      <c r="HL25">
        <v>1</v>
      </c>
      <c r="HO25">
        <v>1</v>
      </c>
      <c r="HP25">
        <v>1</v>
      </c>
      <c r="HQ25">
        <v>1</v>
      </c>
      <c r="HR25">
        <v>1</v>
      </c>
      <c r="HS25">
        <v>1</v>
      </c>
      <c r="HT25">
        <v>1</v>
      </c>
      <c r="HU25">
        <v>1</v>
      </c>
      <c r="HV25">
        <v>1</v>
      </c>
      <c r="HW25">
        <v>1</v>
      </c>
      <c r="HX25">
        <v>1</v>
      </c>
      <c r="HY25">
        <v>1</v>
      </c>
      <c r="HZ25">
        <v>1</v>
      </c>
      <c r="IA25">
        <v>1</v>
      </c>
      <c r="IB25">
        <v>1</v>
      </c>
      <c r="IC25">
        <v>1</v>
      </c>
      <c r="ID25">
        <v>1</v>
      </c>
      <c r="IF25" t="s">
        <v>4569</v>
      </c>
      <c r="IG25" t="s">
        <v>4569</v>
      </c>
      <c r="IH25" t="s">
        <v>4569</v>
      </c>
      <c r="II25" t="s">
        <v>4569</v>
      </c>
    </row>
    <row r="26" spans="1:243" x14ac:dyDescent="0.2">
      <c r="A26" t="s">
        <v>2116</v>
      </c>
      <c r="C26" t="s">
        <v>1427</v>
      </c>
      <c r="D26" t="s">
        <v>1427</v>
      </c>
      <c r="E26" t="s">
        <v>1427</v>
      </c>
      <c r="F26" t="s">
        <v>1427</v>
      </c>
      <c r="G26" t="s">
        <v>1427</v>
      </c>
      <c r="H26" t="s">
        <v>1427</v>
      </c>
      <c r="I26" t="s">
        <v>1427</v>
      </c>
      <c r="J26" t="s">
        <v>1427</v>
      </c>
      <c r="K26" t="s">
        <v>1427</v>
      </c>
      <c r="L26" t="s">
        <v>1427</v>
      </c>
      <c r="M26" t="s">
        <v>1427</v>
      </c>
      <c r="N26" t="s">
        <v>1427</v>
      </c>
      <c r="AU26" t="s">
        <v>315</v>
      </c>
      <c r="AV26" t="s">
        <v>315</v>
      </c>
      <c r="AW26" t="s">
        <v>315</v>
      </c>
      <c r="AX26" t="s">
        <v>4155</v>
      </c>
      <c r="AZ26" t="s">
        <v>315</v>
      </c>
      <c r="BA26" t="s">
        <v>315</v>
      </c>
      <c r="BB26" t="s">
        <v>315</v>
      </c>
      <c r="BC26" t="s">
        <v>315</v>
      </c>
      <c r="BD26" t="s">
        <v>315</v>
      </c>
      <c r="BE26" t="s">
        <v>315</v>
      </c>
      <c r="BF26" t="s">
        <v>315</v>
      </c>
      <c r="BG26" t="s">
        <v>315</v>
      </c>
      <c r="BI26" t="s">
        <v>315</v>
      </c>
      <c r="BJ26" t="s">
        <v>315</v>
      </c>
      <c r="BL26" t="s">
        <v>316</v>
      </c>
      <c r="BM26" t="s">
        <v>316</v>
      </c>
      <c r="BN26" t="s">
        <v>316</v>
      </c>
      <c r="BO26" t="s">
        <v>316</v>
      </c>
      <c r="BP26" t="s">
        <v>316</v>
      </c>
      <c r="BQ26" t="s">
        <v>316</v>
      </c>
      <c r="BR26" t="s">
        <v>316</v>
      </c>
      <c r="BS26" t="s">
        <v>316</v>
      </c>
      <c r="BT26" t="s">
        <v>316</v>
      </c>
      <c r="BU26" t="s">
        <v>316</v>
      </c>
      <c r="BV26" t="s">
        <v>316</v>
      </c>
      <c r="BW26" t="s">
        <v>316</v>
      </c>
      <c r="BX26" t="s">
        <v>316</v>
      </c>
      <c r="BY26" t="s">
        <v>316</v>
      </c>
      <c r="BZ26" t="s">
        <v>316</v>
      </c>
      <c r="CA26" t="s">
        <v>316</v>
      </c>
      <c r="CB26" t="s">
        <v>316</v>
      </c>
      <c r="CC26" t="s">
        <v>316</v>
      </c>
      <c r="CD26" t="s">
        <v>316</v>
      </c>
      <c r="CE26" t="s">
        <v>316</v>
      </c>
      <c r="CF26" t="s">
        <v>316</v>
      </c>
      <c r="CG26" t="s">
        <v>316</v>
      </c>
      <c r="CH26" t="s">
        <v>316</v>
      </c>
      <c r="CI26" t="s">
        <v>316</v>
      </c>
      <c r="CJ26" t="s">
        <v>316</v>
      </c>
      <c r="CK26" t="s">
        <v>316</v>
      </c>
      <c r="CL26" t="s">
        <v>316</v>
      </c>
      <c r="CM26" t="s">
        <v>316</v>
      </c>
      <c r="CN26" t="s">
        <v>316</v>
      </c>
      <c r="CO26" t="s">
        <v>316</v>
      </c>
      <c r="CP26" t="s">
        <v>316</v>
      </c>
      <c r="CQ26" t="s">
        <v>316</v>
      </c>
      <c r="CR26" t="s">
        <v>316</v>
      </c>
      <c r="CS26" t="s">
        <v>316</v>
      </c>
      <c r="CT26" t="s">
        <v>316</v>
      </c>
      <c r="CU26" t="s">
        <v>4155</v>
      </c>
      <c r="CW26" t="s">
        <v>116</v>
      </c>
      <c r="CX26" t="s">
        <v>116</v>
      </c>
      <c r="CY26" t="s">
        <v>116</v>
      </c>
      <c r="CZ26" t="s">
        <v>116</v>
      </c>
      <c r="DA26" t="s">
        <v>116</v>
      </c>
      <c r="DB26" t="s">
        <v>116</v>
      </c>
      <c r="DC26" t="s">
        <v>116</v>
      </c>
      <c r="DD26" t="s">
        <v>116</v>
      </c>
      <c r="DE26" t="s">
        <v>116</v>
      </c>
      <c r="DF26" t="s">
        <v>116</v>
      </c>
      <c r="DG26" t="s">
        <v>116</v>
      </c>
      <c r="DH26" t="s">
        <v>116</v>
      </c>
      <c r="DI26" t="s">
        <v>116</v>
      </c>
      <c r="DJ26" t="s">
        <v>116</v>
      </c>
      <c r="DK26" t="s">
        <v>116</v>
      </c>
      <c r="DL26" t="s">
        <v>116</v>
      </c>
      <c r="DM26" t="s">
        <v>116</v>
      </c>
      <c r="DN26" t="s">
        <v>116</v>
      </c>
      <c r="DO26" t="s">
        <v>116</v>
      </c>
      <c r="DP26" t="s">
        <v>116</v>
      </c>
      <c r="DQ26" t="s">
        <v>116</v>
      </c>
      <c r="DR26" t="s">
        <v>116</v>
      </c>
      <c r="DS26" t="s">
        <v>116</v>
      </c>
      <c r="DT26" t="s">
        <v>116</v>
      </c>
      <c r="DU26" t="s">
        <v>116</v>
      </c>
      <c r="DV26" t="s">
        <v>116</v>
      </c>
      <c r="DW26" t="s">
        <v>116</v>
      </c>
      <c r="DX26" t="s">
        <v>116</v>
      </c>
      <c r="DY26" t="s">
        <v>116</v>
      </c>
      <c r="DZ26" t="s">
        <v>116</v>
      </c>
      <c r="EA26" t="s">
        <v>116</v>
      </c>
      <c r="EB26" t="s">
        <v>116</v>
      </c>
      <c r="EC26" t="s">
        <v>116</v>
      </c>
      <c r="ED26" t="s">
        <v>116</v>
      </c>
      <c r="EE26" t="s">
        <v>116</v>
      </c>
      <c r="EF26" t="s">
        <v>116</v>
      </c>
      <c r="EG26" t="s">
        <v>116</v>
      </c>
      <c r="EH26" t="s">
        <v>116</v>
      </c>
      <c r="EI26" t="s">
        <v>116</v>
      </c>
      <c r="EJ26" t="s">
        <v>116</v>
      </c>
      <c r="EK26" t="s">
        <v>116</v>
      </c>
      <c r="EL26" t="s">
        <v>116</v>
      </c>
      <c r="EM26" t="s">
        <v>116</v>
      </c>
      <c r="EN26" t="s">
        <v>116</v>
      </c>
      <c r="EO26" t="s">
        <v>116</v>
      </c>
      <c r="EP26" t="s">
        <v>116</v>
      </c>
      <c r="EQ26" t="s">
        <v>116</v>
      </c>
      <c r="ER26" t="s">
        <v>116</v>
      </c>
      <c r="ES26" t="s">
        <v>116</v>
      </c>
      <c r="ET26" t="s">
        <v>116</v>
      </c>
      <c r="EU26" t="s">
        <v>116</v>
      </c>
      <c r="EV26" t="s">
        <v>116</v>
      </c>
      <c r="EW26" t="s">
        <v>116</v>
      </c>
      <c r="EY26" t="s">
        <v>315</v>
      </c>
      <c r="EZ26" t="s">
        <v>315</v>
      </c>
      <c r="FA26" t="s">
        <v>315</v>
      </c>
      <c r="FB26" t="s">
        <v>315</v>
      </c>
      <c r="FC26" t="s">
        <v>315</v>
      </c>
      <c r="FD26" t="s">
        <v>315</v>
      </c>
      <c r="FE26" t="s">
        <v>315</v>
      </c>
      <c r="FF26" t="s">
        <v>315</v>
      </c>
      <c r="FG26" t="s">
        <v>116</v>
      </c>
      <c r="FH26" t="s">
        <v>116</v>
      </c>
      <c r="FI26" t="s">
        <v>116</v>
      </c>
      <c r="FJ26" t="s">
        <v>116</v>
      </c>
      <c r="FK26" t="s">
        <v>315</v>
      </c>
      <c r="FL26" t="s">
        <v>315</v>
      </c>
      <c r="FM26" t="s">
        <v>315</v>
      </c>
      <c r="FN26" t="s">
        <v>315</v>
      </c>
      <c r="FO26" t="s">
        <v>315</v>
      </c>
      <c r="FP26" t="s">
        <v>116</v>
      </c>
      <c r="FQ26" t="s">
        <v>116</v>
      </c>
      <c r="FR26" t="s">
        <v>116</v>
      </c>
      <c r="FS26" t="s">
        <v>116</v>
      </c>
      <c r="FT26" t="s">
        <v>315</v>
      </c>
      <c r="FU26" t="s">
        <v>315</v>
      </c>
      <c r="FV26" t="s">
        <v>315</v>
      </c>
      <c r="FX26" t="s">
        <v>4155</v>
      </c>
      <c r="FY26" t="s">
        <v>4155</v>
      </c>
      <c r="FZ26" t="s">
        <v>4155</v>
      </c>
      <c r="GA26" t="s">
        <v>4155</v>
      </c>
      <c r="GB26" t="s">
        <v>4155</v>
      </c>
      <c r="GC26" t="s">
        <v>4155</v>
      </c>
      <c r="GD26" t="s">
        <v>4155</v>
      </c>
      <c r="GF26" t="s">
        <v>4155</v>
      </c>
      <c r="GG26" t="s">
        <v>4155</v>
      </c>
      <c r="GH26" t="s">
        <v>4155</v>
      </c>
      <c r="GI26" t="s">
        <v>4155</v>
      </c>
      <c r="GJ26" t="s">
        <v>4155</v>
      </c>
      <c r="GK26" t="s">
        <v>4155</v>
      </c>
      <c r="GL26" t="s">
        <v>4155</v>
      </c>
      <c r="GT26" t="s">
        <v>4155</v>
      </c>
      <c r="GU26" t="s">
        <v>4155</v>
      </c>
      <c r="GV26" t="s">
        <v>4155</v>
      </c>
      <c r="GW26" t="s">
        <v>4155</v>
      </c>
      <c r="GY26" t="s">
        <v>4155</v>
      </c>
      <c r="HB26" t="s">
        <v>316</v>
      </c>
      <c r="HC26" t="s">
        <v>3045</v>
      </c>
      <c r="HD26" t="s">
        <v>316</v>
      </c>
      <c r="HE26" t="s">
        <v>3045</v>
      </c>
      <c r="HF26" t="s">
        <v>316</v>
      </c>
      <c r="HG26" t="s">
        <v>3045</v>
      </c>
      <c r="HH26" t="s">
        <v>316</v>
      </c>
      <c r="HI26" t="s">
        <v>3045</v>
      </c>
      <c r="HJ26" t="s">
        <v>316</v>
      </c>
      <c r="HK26" t="s">
        <v>3045</v>
      </c>
      <c r="HL26" t="s">
        <v>316</v>
      </c>
      <c r="HM26" t="s">
        <v>3045</v>
      </c>
      <c r="HN26" t="s">
        <v>316</v>
      </c>
      <c r="HO26" t="s">
        <v>3045</v>
      </c>
      <c r="HP26" t="s">
        <v>316</v>
      </c>
      <c r="HQ26" t="s">
        <v>316</v>
      </c>
      <c r="HR26" t="s">
        <v>3045</v>
      </c>
      <c r="HS26" t="s">
        <v>316</v>
      </c>
      <c r="HT26" t="s">
        <v>3045</v>
      </c>
      <c r="HU26" t="s">
        <v>316</v>
      </c>
      <c r="HV26" t="s">
        <v>3045</v>
      </c>
      <c r="HW26" t="s">
        <v>316</v>
      </c>
      <c r="HX26" t="s">
        <v>3045</v>
      </c>
      <c r="HY26" t="s">
        <v>316</v>
      </c>
      <c r="HZ26" t="s">
        <v>3045</v>
      </c>
      <c r="IA26" t="s">
        <v>316</v>
      </c>
      <c r="IB26" t="s">
        <v>3045</v>
      </c>
      <c r="IC26" t="s">
        <v>316</v>
      </c>
      <c r="ID26" t="s">
        <v>316</v>
      </c>
      <c r="IF26" t="s">
        <v>4569</v>
      </c>
      <c r="IG26" t="s">
        <v>316</v>
      </c>
      <c r="IH26" t="s">
        <v>4569</v>
      </c>
      <c r="II26" t="s">
        <v>316</v>
      </c>
    </row>
    <row r="27" spans="1:243" x14ac:dyDescent="0.2">
      <c r="C27" t="s">
        <v>315</v>
      </c>
      <c r="D27" t="s">
        <v>315</v>
      </c>
      <c r="E27" t="s">
        <v>315</v>
      </c>
      <c r="F27" t="s">
        <v>315</v>
      </c>
      <c r="G27" t="s">
        <v>315</v>
      </c>
      <c r="H27" t="s">
        <v>315</v>
      </c>
      <c r="I27" t="s">
        <v>315</v>
      </c>
      <c r="J27" t="s">
        <v>315</v>
      </c>
      <c r="K27" t="s">
        <v>315</v>
      </c>
      <c r="L27" t="s">
        <v>315</v>
      </c>
      <c r="M27" t="s">
        <v>315</v>
      </c>
      <c r="N27" t="s">
        <v>315</v>
      </c>
      <c r="AX27" t="s">
        <v>4293</v>
      </c>
      <c r="BE27" t="s">
        <v>3989</v>
      </c>
      <c r="BL27" t="s">
        <v>6181</v>
      </c>
      <c r="BM27" t="s">
        <v>6181</v>
      </c>
      <c r="BN27" t="s">
        <v>6181</v>
      </c>
      <c r="BO27" t="s">
        <v>6180</v>
      </c>
      <c r="BP27" t="s">
        <v>6180</v>
      </c>
      <c r="BQ27" t="s">
        <v>6180</v>
      </c>
      <c r="BR27" t="s">
        <v>6180</v>
      </c>
      <c r="BS27" t="s">
        <v>6182</v>
      </c>
      <c r="BT27" t="s">
        <v>6182</v>
      </c>
      <c r="BU27" t="s">
        <v>6182</v>
      </c>
      <c r="BV27" t="s">
        <v>8073</v>
      </c>
      <c r="BW27" t="s">
        <v>8073</v>
      </c>
      <c r="BX27" t="s">
        <v>8073</v>
      </c>
      <c r="BY27" t="s">
        <v>6183</v>
      </c>
      <c r="BZ27" t="s">
        <v>6183</v>
      </c>
      <c r="CA27" t="s">
        <v>6183</v>
      </c>
      <c r="CB27" t="s">
        <v>6194</v>
      </c>
      <c r="CC27" t="s">
        <v>6184</v>
      </c>
      <c r="CD27" t="s">
        <v>6185</v>
      </c>
      <c r="CE27" t="s">
        <v>6186</v>
      </c>
      <c r="CF27" t="s">
        <v>6187</v>
      </c>
      <c r="CG27" t="s">
        <v>6188</v>
      </c>
      <c r="CH27" t="s">
        <v>6189</v>
      </c>
      <c r="CI27" t="s">
        <v>6190</v>
      </c>
      <c r="CJ27" t="s">
        <v>6191</v>
      </c>
      <c r="CK27" t="s">
        <v>6192</v>
      </c>
      <c r="CL27" t="s">
        <v>6193</v>
      </c>
      <c r="CN27" t="s">
        <v>2122</v>
      </c>
      <c r="CW27" t="s">
        <v>315</v>
      </c>
      <c r="CX27" t="s">
        <v>315</v>
      </c>
      <c r="CY27" t="s">
        <v>315</v>
      </c>
      <c r="CZ27" t="s">
        <v>315</v>
      </c>
      <c r="DA27" t="s">
        <v>315</v>
      </c>
      <c r="DB27" t="s">
        <v>315</v>
      </c>
      <c r="DC27" t="s">
        <v>315</v>
      </c>
      <c r="DD27" t="s">
        <v>315</v>
      </c>
      <c r="DE27" t="s">
        <v>315</v>
      </c>
      <c r="DF27" t="s">
        <v>315</v>
      </c>
      <c r="DG27" t="s">
        <v>315</v>
      </c>
      <c r="DH27" t="s">
        <v>315</v>
      </c>
      <c r="DI27" t="s">
        <v>315</v>
      </c>
      <c r="DJ27" t="s">
        <v>315</v>
      </c>
      <c r="DK27" t="s">
        <v>315</v>
      </c>
      <c r="DL27" t="s">
        <v>315</v>
      </c>
      <c r="DM27" t="s">
        <v>315</v>
      </c>
      <c r="DN27" t="s">
        <v>315</v>
      </c>
      <c r="DO27" t="s">
        <v>315</v>
      </c>
      <c r="DP27" t="s">
        <v>315</v>
      </c>
      <c r="DQ27" t="s">
        <v>315</v>
      </c>
      <c r="DR27" t="s">
        <v>315</v>
      </c>
      <c r="DS27" t="s">
        <v>315</v>
      </c>
      <c r="DT27" t="s">
        <v>315</v>
      </c>
      <c r="DU27" t="s">
        <v>315</v>
      </c>
      <c r="DV27" t="s">
        <v>315</v>
      </c>
      <c r="DW27" t="s">
        <v>315</v>
      </c>
      <c r="DX27" t="s">
        <v>315</v>
      </c>
      <c r="DY27" t="s">
        <v>315</v>
      </c>
      <c r="DZ27" t="s">
        <v>315</v>
      </c>
      <c r="EA27" t="s">
        <v>315</v>
      </c>
      <c r="EB27" t="s">
        <v>315</v>
      </c>
      <c r="EC27" t="s">
        <v>315</v>
      </c>
      <c r="ED27" t="s">
        <v>315</v>
      </c>
      <c r="EE27" t="s">
        <v>315</v>
      </c>
      <c r="EF27" t="s">
        <v>315</v>
      </c>
      <c r="EG27" t="s">
        <v>315</v>
      </c>
      <c r="EH27" t="s">
        <v>315</v>
      </c>
      <c r="EI27" t="s">
        <v>315</v>
      </c>
      <c r="EJ27" t="s">
        <v>315</v>
      </c>
      <c r="EK27" t="s">
        <v>315</v>
      </c>
      <c r="EL27" t="s">
        <v>315</v>
      </c>
      <c r="EM27" t="s">
        <v>315</v>
      </c>
      <c r="EN27" t="s">
        <v>315</v>
      </c>
      <c r="EO27" t="s">
        <v>315</v>
      </c>
      <c r="EP27" t="s">
        <v>315</v>
      </c>
      <c r="EQ27" t="s">
        <v>315</v>
      </c>
      <c r="ER27" t="s">
        <v>315</v>
      </c>
      <c r="ES27" t="s">
        <v>315</v>
      </c>
      <c r="ET27" t="s">
        <v>315</v>
      </c>
      <c r="EU27" t="s">
        <v>315</v>
      </c>
      <c r="EV27" t="s">
        <v>315</v>
      </c>
      <c r="EW27" t="s">
        <v>315</v>
      </c>
      <c r="EZ27" t="s">
        <v>4569</v>
      </c>
      <c r="FA27" t="s">
        <v>4569</v>
      </c>
      <c r="FF27" t="s">
        <v>6474</v>
      </c>
      <c r="FG27" t="s">
        <v>315</v>
      </c>
      <c r="FH27" t="s">
        <v>315</v>
      </c>
      <c r="FI27" t="s">
        <v>315</v>
      </c>
      <c r="FJ27" t="s">
        <v>315</v>
      </c>
      <c r="FM27" t="s">
        <v>2119</v>
      </c>
      <c r="FP27" t="s">
        <v>315</v>
      </c>
      <c r="FQ27" t="s">
        <v>315</v>
      </c>
      <c r="FR27" t="s">
        <v>315</v>
      </c>
      <c r="FS27" t="s">
        <v>315</v>
      </c>
      <c r="FU27" t="s">
        <v>4368</v>
      </c>
      <c r="GF27" t="s">
        <v>4154</v>
      </c>
      <c r="GG27" t="s">
        <v>4154</v>
      </c>
      <c r="GH27" t="s">
        <v>4154</v>
      </c>
      <c r="GI27" t="s">
        <v>4154</v>
      </c>
      <c r="GJ27" t="s">
        <v>4154</v>
      </c>
      <c r="GK27" t="s">
        <v>4154</v>
      </c>
      <c r="GL27" t="s">
        <v>4154</v>
      </c>
      <c r="GY27" t="s">
        <v>3989</v>
      </c>
      <c r="HB27" t="s">
        <v>8228</v>
      </c>
      <c r="HD27" t="s">
        <v>8228</v>
      </c>
      <c r="HF27" t="s">
        <v>8228</v>
      </c>
      <c r="HH27" t="s">
        <v>8228</v>
      </c>
      <c r="HJ27" t="s">
        <v>8228</v>
      </c>
      <c r="HL27" t="s">
        <v>8228</v>
      </c>
      <c r="HM27" t="s">
        <v>6237</v>
      </c>
      <c r="HN27" t="s">
        <v>8228</v>
      </c>
      <c r="HP27" t="s">
        <v>8228</v>
      </c>
      <c r="HQ27" t="s">
        <v>8228</v>
      </c>
      <c r="HS27" t="s">
        <v>8228</v>
      </c>
      <c r="HU27" t="s">
        <v>8228</v>
      </c>
      <c r="HW27" t="s">
        <v>8228</v>
      </c>
      <c r="HY27" t="s">
        <v>8228</v>
      </c>
      <c r="IA27" t="s">
        <v>8228</v>
      </c>
      <c r="IB27" t="s">
        <v>6238</v>
      </c>
      <c r="IC27" t="s">
        <v>8228</v>
      </c>
      <c r="ID27" t="s">
        <v>8228</v>
      </c>
      <c r="IF27" t="s">
        <v>4569</v>
      </c>
      <c r="IG27" t="s">
        <v>8228</v>
      </c>
      <c r="IH27" t="s">
        <v>4569</v>
      </c>
      <c r="II27" t="s">
        <v>8228</v>
      </c>
    </row>
    <row r="28" spans="1:243" x14ac:dyDescent="0.2">
      <c r="BL28" t="s">
        <v>8076</v>
      </c>
      <c r="BM28" t="s">
        <v>8076</v>
      </c>
      <c r="BN28" t="s">
        <v>8076</v>
      </c>
      <c r="BO28" t="s">
        <v>8075</v>
      </c>
      <c r="BP28" t="s">
        <v>8075</v>
      </c>
      <c r="BQ28" t="s">
        <v>8075</v>
      </c>
      <c r="BR28" t="s">
        <v>8075</v>
      </c>
      <c r="BS28" t="s">
        <v>6195</v>
      </c>
      <c r="BT28" t="s">
        <v>6195</v>
      </c>
      <c r="BU28" t="s">
        <v>6195</v>
      </c>
      <c r="BV28" t="s">
        <v>8074</v>
      </c>
      <c r="BW28" t="s">
        <v>8074</v>
      </c>
      <c r="BX28" t="s">
        <v>8074</v>
      </c>
      <c r="BY28" t="s">
        <v>6196</v>
      </c>
      <c r="BZ28" t="s">
        <v>6196</v>
      </c>
      <c r="CA28" t="s">
        <v>6196</v>
      </c>
      <c r="CC28" t="s">
        <v>4874</v>
      </c>
      <c r="CD28" t="s">
        <v>4874</v>
      </c>
      <c r="CE28" t="s">
        <v>4874</v>
      </c>
      <c r="CF28" t="s">
        <v>4874</v>
      </c>
      <c r="CG28" t="s">
        <v>4874</v>
      </c>
      <c r="CH28" t="s">
        <v>4874</v>
      </c>
      <c r="CI28" t="s">
        <v>4874</v>
      </c>
      <c r="CJ28" t="s">
        <v>4874</v>
      </c>
      <c r="CK28" t="s">
        <v>4874</v>
      </c>
      <c r="CL28" t="s">
        <v>4874</v>
      </c>
      <c r="DF28" t="s">
        <v>1649</v>
      </c>
      <c r="DG28" t="s">
        <v>1649</v>
      </c>
      <c r="DH28" t="s">
        <v>1649</v>
      </c>
      <c r="DI28" t="s">
        <v>1649</v>
      </c>
      <c r="DJ28" t="s">
        <v>1649</v>
      </c>
      <c r="DK28" t="s">
        <v>1649</v>
      </c>
      <c r="DP28" t="s">
        <v>3287</v>
      </c>
      <c r="DS28" t="s">
        <v>300</v>
      </c>
      <c r="EM28" t="s">
        <v>1650</v>
      </c>
      <c r="EN28" t="s">
        <v>1649</v>
      </c>
      <c r="ET28" t="s">
        <v>2122</v>
      </c>
      <c r="EZ28" t="s">
        <v>4569</v>
      </c>
      <c r="FA28" t="s">
        <v>4569</v>
      </c>
      <c r="GF28" t="s">
        <v>1008</v>
      </c>
      <c r="GG28" t="s">
        <v>1008</v>
      </c>
      <c r="GH28" t="s">
        <v>1008</v>
      </c>
      <c r="GI28" t="s">
        <v>1008</v>
      </c>
      <c r="GJ28" t="s">
        <v>1008</v>
      </c>
      <c r="GK28" t="s">
        <v>1008</v>
      </c>
      <c r="GL28" t="s">
        <v>1008</v>
      </c>
      <c r="HB28" t="s">
        <v>6306</v>
      </c>
      <c r="HD28" t="s">
        <v>6306</v>
      </c>
      <c r="HF28" t="s">
        <v>6306</v>
      </c>
      <c r="HH28" t="s">
        <v>6306</v>
      </c>
      <c r="HJ28" t="s">
        <v>6306</v>
      </c>
      <c r="HL28" t="s">
        <v>6306</v>
      </c>
      <c r="HN28" t="s">
        <v>6306</v>
      </c>
      <c r="HP28" t="s">
        <v>6306</v>
      </c>
      <c r="HQ28" t="s">
        <v>6306</v>
      </c>
      <c r="HS28" t="s">
        <v>6306</v>
      </c>
      <c r="HU28" t="s">
        <v>6306</v>
      </c>
      <c r="HW28" t="s">
        <v>6306</v>
      </c>
      <c r="HY28" t="s">
        <v>6306</v>
      </c>
      <c r="IA28" t="s">
        <v>6306</v>
      </c>
      <c r="IC28" t="s">
        <v>6306</v>
      </c>
      <c r="ID28" t="s">
        <v>6306</v>
      </c>
      <c r="IF28" t="s">
        <v>4569</v>
      </c>
      <c r="IG28" t="s">
        <v>6306</v>
      </c>
      <c r="IH28" t="s">
        <v>4569</v>
      </c>
      <c r="II28" t="s">
        <v>6306</v>
      </c>
    </row>
    <row r="29" spans="1:243" x14ac:dyDescent="0.2">
      <c r="DF29" t="s">
        <v>2119</v>
      </c>
      <c r="DK29" t="s">
        <v>2126</v>
      </c>
      <c r="EZ29" t="s">
        <v>4569</v>
      </c>
      <c r="FA29" t="s">
        <v>4569</v>
      </c>
      <c r="GF29" t="s">
        <v>4876</v>
      </c>
      <c r="GG29" t="s">
        <v>4876</v>
      </c>
      <c r="GH29" t="s">
        <v>4876</v>
      </c>
      <c r="GI29" t="s">
        <v>4876</v>
      </c>
      <c r="GJ29" t="s">
        <v>4876</v>
      </c>
      <c r="GK29" t="s">
        <v>4876</v>
      </c>
      <c r="GL29" t="s">
        <v>4876</v>
      </c>
      <c r="HD29" t="s">
        <v>3045</v>
      </c>
      <c r="HF29" t="s">
        <v>3045</v>
      </c>
      <c r="HH29" t="s">
        <v>3045</v>
      </c>
      <c r="HJ29" t="s">
        <v>3045</v>
      </c>
      <c r="HL29" t="s">
        <v>3045</v>
      </c>
      <c r="HN29" t="s">
        <v>3045</v>
      </c>
      <c r="HP29" t="s">
        <v>3045</v>
      </c>
      <c r="HQ29" t="s">
        <v>3045</v>
      </c>
      <c r="HS29" t="s">
        <v>3045</v>
      </c>
      <c r="HU29" t="s">
        <v>3045</v>
      </c>
      <c r="HW29" t="s">
        <v>3045</v>
      </c>
      <c r="HY29" t="s">
        <v>3045</v>
      </c>
      <c r="IA29" t="s">
        <v>3045</v>
      </c>
      <c r="IC29" t="s">
        <v>3045</v>
      </c>
      <c r="ID29" t="s">
        <v>3045</v>
      </c>
      <c r="IF29" t="s">
        <v>4569</v>
      </c>
      <c r="IG29" t="s">
        <v>4569</v>
      </c>
      <c r="IH29" t="s">
        <v>4569</v>
      </c>
      <c r="II29" t="s">
        <v>4569</v>
      </c>
    </row>
    <row r="30" spans="1:243" x14ac:dyDescent="0.2">
      <c r="CD30" t="s">
        <v>4297</v>
      </c>
      <c r="CE30" t="s">
        <v>6683</v>
      </c>
      <c r="CF30" t="s">
        <v>3638</v>
      </c>
      <c r="CG30" t="s">
        <v>4296</v>
      </c>
      <c r="CH30" t="s">
        <v>4085</v>
      </c>
      <c r="CI30" t="s">
        <v>6682</v>
      </c>
      <c r="CJ30" t="s">
        <v>6683</v>
      </c>
      <c r="CK30" t="s">
        <v>6263</v>
      </c>
      <c r="CL30" t="s">
        <v>2120</v>
      </c>
      <c r="EZ30" t="s">
        <v>4569</v>
      </c>
      <c r="FA30" t="s">
        <v>4569</v>
      </c>
      <c r="GI30" t="s">
        <v>4154</v>
      </c>
      <c r="IF30" t="s">
        <v>4569</v>
      </c>
      <c r="IG30" t="s">
        <v>4569</v>
      </c>
      <c r="IH30" t="s">
        <v>4569</v>
      </c>
      <c r="II30" t="s">
        <v>4569</v>
      </c>
    </row>
    <row r="31" spans="1:243" x14ac:dyDescent="0.2">
      <c r="CD31" t="s">
        <v>6263</v>
      </c>
      <c r="CE31" t="s">
        <v>4962</v>
      </c>
      <c r="CF31" t="s">
        <v>2128</v>
      </c>
      <c r="CH31" t="s">
        <v>6682</v>
      </c>
      <c r="CI31" t="s">
        <v>4295</v>
      </c>
      <c r="CL31" t="s">
        <v>1429</v>
      </c>
      <c r="EZ31" t="s">
        <v>4569</v>
      </c>
      <c r="FA31" t="s">
        <v>4569</v>
      </c>
      <c r="IF31" t="s">
        <v>4569</v>
      </c>
      <c r="IG31" t="s">
        <v>4569</v>
      </c>
      <c r="IH31" t="s">
        <v>4569</v>
      </c>
      <c r="II31" t="s">
        <v>4569</v>
      </c>
    </row>
    <row r="32" spans="1:243" x14ac:dyDescent="0.2">
      <c r="CH32" t="s">
        <v>4775</v>
      </c>
      <c r="EZ32" t="s">
        <v>4569</v>
      </c>
      <c r="FA32" t="s">
        <v>4569</v>
      </c>
      <c r="IF32" t="s">
        <v>4569</v>
      </c>
      <c r="IG32" t="s">
        <v>4569</v>
      </c>
      <c r="IH32" t="s">
        <v>4569</v>
      </c>
      <c r="II32" t="s">
        <v>4569</v>
      </c>
    </row>
    <row r="33" spans="1:244" x14ac:dyDescent="0.2">
      <c r="EZ33" t="s">
        <v>4569</v>
      </c>
      <c r="FA33" t="s">
        <v>4569</v>
      </c>
      <c r="IF33" t="s">
        <v>4569</v>
      </c>
      <c r="IG33" t="s">
        <v>4569</v>
      </c>
      <c r="IH33" t="s">
        <v>4569</v>
      </c>
      <c r="II33" t="s">
        <v>4569</v>
      </c>
    </row>
    <row r="34" spans="1:244" x14ac:dyDescent="0.2">
      <c r="A34" t="s">
        <v>2140</v>
      </c>
      <c r="C34" t="s">
        <v>1389</v>
      </c>
      <c r="D34" t="s">
        <v>1389</v>
      </c>
      <c r="E34" t="s">
        <v>1389</v>
      </c>
      <c r="F34" t="s">
        <v>1389</v>
      </c>
      <c r="G34" t="s">
        <v>1389</v>
      </c>
      <c r="H34" t="s">
        <v>1389</v>
      </c>
      <c r="I34" t="s">
        <v>1389</v>
      </c>
      <c r="J34" t="s">
        <v>1389</v>
      </c>
      <c r="K34" t="s">
        <v>1389</v>
      </c>
      <c r="L34" t="s">
        <v>1389</v>
      </c>
      <c r="M34" t="s">
        <v>1389</v>
      </c>
      <c r="N34" t="s">
        <v>1389</v>
      </c>
      <c r="AD34" t="s">
        <v>4649</v>
      </c>
      <c r="AE34" t="s">
        <v>4649</v>
      </c>
      <c r="AF34" t="s">
        <v>4649</v>
      </c>
      <c r="AG34" t="s">
        <v>4649</v>
      </c>
      <c r="AH34" t="s">
        <v>4649</v>
      </c>
      <c r="AI34" t="s">
        <v>4649</v>
      </c>
      <c r="AJ34" t="s">
        <v>4649</v>
      </c>
      <c r="AK34" t="s">
        <v>4649</v>
      </c>
      <c r="AL34" t="s">
        <v>4649</v>
      </c>
      <c r="AM34" t="s">
        <v>4649</v>
      </c>
      <c r="AN34" t="s">
        <v>4649</v>
      </c>
      <c r="AO34" t="s">
        <v>4649</v>
      </c>
      <c r="AQ34" t="s">
        <v>4649</v>
      </c>
      <c r="AS34" t="s">
        <v>4649</v>
      </c>
      <c r="AU34" t="s">
        <v>1389</v>
      </c>
      <c r="AV34" t="s">
        <v>1389</v>
      </c>
      <c r="AW34" t="s">
        <v>1389</v>
      </c>
      <c r="AX34" t="s">
        <v>1389</v>
      </c>
      <c r="AZ34" t="s">
        <v>2889</v>
      </c>
      <c r="BA34" t="s">
        <v>2889</v>
      </c>
      <c r="BB34" t="s">
        <v>2889</v>
      </c>
      <c r="BC34" t="s">
        <v>2889</v>
      </c>
      <c r="BD34" t="s">
        <v>2889</v>
      </c>
      <c r="BE34" t="s">
        <v>2889</v>
      </c>
      <c r="BF34" t="s">
        <v>2889</v>
      </c>
      <c r="BG34" t="s">
        <v>2889</v>
      </c>
      <c r="BI34" t="s">
        <v>1064</v>
      </c>
      <c r="BJ34" t="s">
        <v>1064</v>
      </c>
      <c r="BL34" t="s">
        <v>4947</v>
      </c>
      <c r="BM34" t="s">
        <v>4947</v>
      </c>
      <c r="BN34" t="s">
        <v>4947</v>
      </c>
      <c r="BO34" t="s">
        <v>4947</v>
      </c>
      <c r="BP34" t="s">
        <v>4947</v>
      </c>
      <c r="BQ34" t="s">
        <v>4947</v>
      </c>
      <c r="BR34" t="s">
        <v>4947</v>
      </c>
      <c r="BS34" t="s">
        <v>4947</v>
      </c>
      <c r="BT34" t="s">
        <v>4947</v>
      </c>
      <c r="BU34" t="s">
        <v>4947</v>
      </c>
      <c r="BV34" t="s">
        <v>4947</v>
      </c>
      <c r="BW34" t="s">
        <v>4947</v>
      </c>
      <c r="BX34" t="s">
        <v>4947</v>
      </c>
      <c r="BY34" t="s">
        <v>4947</v>
      </c>
      <c r="BZ34" t="s">
        <v>4947</v>
      </c>
      <c r="CA34" t="s">
        <v>4947</v>
      </c>
      <c r="CB34" t="s">
        <v>6200</v>
      </c>
      <c r="CC34" t="s">
        <v>6199</v>
      </c>
      <c r="CD34" t="s">
        <v>6199</v>
      </c>
      <c r="CE34" t="s">
        <v>6199</v>
      </c>
      <c r="CF34" t="s">
        <v>6199</v>
      </c>
      <c r="CG34" t="s">
        <v>6199</v>
      </c>
      <c r="CH34" t="s">
        <v>6199</v>
      </c>
      <c r="CI34" t="s">
        <v>6199</v>
      </c>
      <c r="CJ34" t="s">
        <v>6199</v>
      </c>
      <c r="CK34" t="s">
        <v>6199</v>
      </c>
      <c r="CL34" t="s">
        <v>6199</v>
      </c>
      <c r="CM34" t="s">
        <v>9254</v>
      </c>
      <c r="CO34" t="s">
        <v>9255</v>
      </c>
      <c r="CP34" t="s">
        <v>9255</v>
      </c>
      <c r="CQ34" t="s">
        <v>9255</v>
      </c>
      <c r="CR34" t="s">
        <v>9255</v>
      </c>
      <c r="CS34" t="s">
        <v>9255</v>
      </c>
      <c r="CW34" t="s">
        <v>2584</v>
      </c>
      <c r="CX34" t="s">
        <v>2584</v>
      </c>
      <c r="CY34" t="s">
        <v>2584</v>
      </c>
      <c r="CZ34" t="s">
        <v>2584</v>
      </c>
      <c r="DA34" t="s">
        <v>2584</v>
      </c>
      <c r="DB34" t="s">
        <v>2584</v>
      </c>
      <c r="DC34" t="s">
        <v>1803</v>
      </c>
      <c r="DD34" t="s">
        <v>2584</v>
      </c>
      <c r="DE34" t="s">
        <v>1803</v>
      </c>
      <c r="DF34" t="s">
        <v>8107</v>
      </c>
      <c r="DG34" t="s">
        <v>8107</v>
      </c>
      <c r="DH34" t="s">
        <v>8107</v>
      </c>
      <c r="DI34" t="s">
        <v>8107</v>
      </c>
      <c r="DJ34" t="s">
        <v>8107</v>
      </c>
      <c r="DK34" t="s">
        <v>8107</v>
      </c>
      <c r="DL34" t="s">
        <v>2584</v>
      </c>
      <c r="DM34" t="s">
        <v>2584</v>
      </c>
      <c r="DN34" t="s">
        <v>2584</v>
      </c>
      <c r="DO34" t="s">
        <v>2584</v>
      </c>
      <c r="DP34" t="s">
        <v>2584</v>
      </c>
      <c r="DQ34" t="s">
        <v>2584</v>
      </c>
      <c r="DR34" t="s">
        <v>2584</v>
      </c>
      <c r="DS34" t="s">
        <v>2584</v>
      </c>
      <c r="DT34" t="s">
        <v>2584</v>
      </c>
      <c r="DU34" t="s">
        <v>2584</v>
      </c>
      <c r="DV34" t="s">
        <v>2584</v>
      </c>
      <c r="DW34" t="s">
        <v>2584</v>
      </c>
      <c r="DX34" t="s">
        <v>2584</v>
      </c>
      <c r="DY34" t="s">
        <v>2584</v>
      </c>
      <c r="DZ34" t="s">
        <v>2584</v>
      </c>
      <c r="EA34" t="s">
        <v>2584</v>
      </c>
      <c r="EB34" t="s">
        <v>2584</v>
      </c>
      <c r="EC34" t="s">
        <v>2584</v>
      </c>
      <c r="ED34" t="s">
        <v>2584</v>
      </c>
      <c r="EE34" t="s">
        <v>2584</v>
      </c>
      <c r="EF34" t="s">
        <v>2584</v>
      </c>
      <c r="EG34" t="s">
        <v>2584</v>
      </c>
      <c r="EH34" t="s">
        <v>2584</v>
      </c>
      <c r="EI34" t="s">
        <v>2584</v>
      </c>
      <c r="EJ34" t="s">
        <v>2584</v>
      </c>
      <c r="EK34" t="s">
        <v>2584</v>
      </c>
      <c r="EL34" t="s">
        <v>2584</v>
      </c>
      <c r="EM34" t="s">
        <v>2584</v>
      </c>
      <c r="EN34" t="s">
        <v>2584</v>
      </c>
      <c r="EO34" t="s">
        <v>2584</v>
      </c>
      <c r="EP34" t="s">
        <v>2584</v>
      </c>
      <c r="EQ34" t="s">
        <v>2584</v>
      </c>
      <c r="ER34" t="s">
        <v>2584</v>
      </c>
      <c r="ES34" t="s">
        <v>2584</v>
      </c>
      <c r="ET34" t="s">
        <v>2584</v>
      </c>
      <c r="EU34" t="s">
        <v>2584</v>
      </c>
      <c r="EV34" t="s">
        <v>2584</v>
      </c>
      <c r="EW34" t="s">
        <v>2584</v>
      </c>
      <c r="EY34" t="s">
        <v>1383</v>
      </c>
      <c r="EZ34" t="s">
        <v>1383</v>
      </c>
      <c r="FA34" t="s">
        <v>1383</v>
      </c>
      <c r="FB34" t="s">
        <v>1379</v>
      </c>
      <c r="FC34" t="s">
        <v>2584</v>
      </c>
      <c r="FD34" t="s">
        <v>8869</v>
      </c>
      <c r="FE34" t="s">
        <v>515</v>
      </c>
      <c r="FF34" t="s">
        <v>1382</v>
      </c>
      <c r="FG34" t="s">
        <v>8870</v>
      </c>
      <c r="FH34" t="s">
        <v>8870</v>
      </c>
      <c r="FI34" t="s">
        <v>8870</v>
      </c>
      <c r="FJ34" t="s">
        <v>8870</v>
      </c>
      <c r="FK34" t="s">
        <v>515</v>
      </c>
      <c r="FL34" t="s">
        <v>1379</v>
      </c>
      <c r="FM34" t="s">
        <v>1383</v>
      </c>
      <c r="FN34" t="s">
        <v>1379</v>
      </c>
      <c r="FO34" t="s">
        <v>2584</v>
      </c>
      <c r="FP34" t="s">
        <v>8870</v>
      </c>
      <c r="FQ34" t="s">
        <v>8870</v>
      </c>
      <c r="FR34" t="s">
        <v>8870</v>
      </c>
      <c r="FS34" t="s">
        <v>8870</v>
      </c>
      <c r="FT34" t="s">
        <v>1383</v>
      </c>
      <c r="FU34" t="s">
        <v>2584</v>
      </c>
      <c r="FV34" t="s">
        <v>1383</v>
      </c>
      <c r="GF34" t="s">
        <v>31</v>
      </c>
      <c r="GG34" t="s">
        <v>31</v>
      </c>
      <c r="GH34" t="s">
        <v>31</v>
      </c>
      <c r="GI34" t="s">
        <v>31</v>
      </c>
      <c r="GJ34" t="s">
        <v>31</v>
      </c>
      <c r="GK34" t="s">
        <v>31</v>
      </c>
      <c r="GL34" t="s">
        <v>31</v>
      </c>
      <c r="GN34" t="s">
        <v>1382</v>
      </c>
      <c r="GO34" t="s">
        <v>1382</v>
      </c>
      <c r="GP34" t="s">
        <v>1382</v>
      </c>
      <c r="GQ34" t="s">
        <v>1382</v>
      </c>
      <c r="GR34" t="s">
        <v>1382</v>
      </c>
      <c r="GS34" t="s">
        <v>1382</v>
      </c>
      <c r="GT34" t="s">
        <v>1382</v>
      </c>
      <c r="GU34" t="s">
        <v>1382</v>
      </c>
      <c r="GV34" t="s">
        <v>1382</v>
      </c>
      <c r="GW34" t="s">
        <v>1382</v>
      </c>
      <c r="GY34" t="s">
        <v>6243</v>
      </c>
      <c r="HA34" t="s">
        <v>2214</v>
      </c>
      <c r="HB34" t="s">
        <v>2214</v>
      </c>
      <c r="HC34" t="s">
        <v>2214</v>
      </c>
      <c r="HD34" t="s">
        <v>2214</v>
      </c>
      <c r="HE34" t="s">
        <v>2214</v>
      </c>
      <c r="HF34" t="s">
        <v>2214</v>
      </c>
      <c r="HG34" t="s">
        <v>2214</v>
      </c>
      <c r="HH34" t="s">
        <v>2214</v>
      </c>
      <c r="HI34" t="s">
        <v>2214</v>
      </c>
      <c r="HJ34" t="s">
        <v>2214</v>
      </c>
      <c r="HK34" t="s">
        <v>2214</v>
      </c>
      <c r="HL34" t="s">
        <v>2214</v>
      </c>
      <c r="HM34" t="s">
        <v>2214</v>
      </c>
      <c r="HN34" t="s">
        <v>2214</v>
      </c>
      <c r="HO34" t="s">
        <v>2214</v>
      </c>
      <c r="HP34" t="s">
        <v>2214</v>
      </c>
      <c r="HQ34" t="s">
        <v>2214</v>
      </c>
      <c r="HR34" t="s">
        <v>2214</v>
      </c>
      <c r="HS34" t="s">
        <v>2214</v>
      </c>
      <c r="HT34" t="s">
        <v>2214</v>
      </c>
      <c r="HU34" t="s">
        <v>2214</v>
      </c>
      <c r="HV34" t="s">
        <v>2214</v>
      </c>
      <c r="HW34" t="s">
        <v>2214</v>
      </c>
      <c r="HX34" t="s">
        <v>2214</v>
      </c>
      <c r="HY34" t="s">
        <v>2214</v>
      </c>
      <c r="HZ34" t="s">
        <v>2214</v>
      </c>
      <c r="IA34" t="s">
        <v>2214</v>
      </c>
      <c r="IB34" t="s">
        <v>2214</v>
      </c>
      <c r="IC34" t="s">
        <v>2214</v>
      </c>
      <c r="ID34" t="s">
        <v>2214</v>
      </c>
      <c r="IF34" t="s">
        <v>7815</v>
      </c>
      <c r="IG34" t="s">
        <v>7815</v>
      </c>
      <c r="IH34" t="s">
        <v>2214</v>
      </c>
      <c r="II34" t="s">
        <v>2214</v>
      </c>
    </row>
    <row r="35" spans="1:244" x14ac:dyDescent="0.2">
      <c r="H35" t="s">
        <v>7119</v>
      </c>
      <c r="I35" t="s">
        <v>7119</v>
      </c>
      <c r="J35" t="s">
        <v>7119</v>
      </c>
      <c r="K35" t="s">
        <v>7119</v>
      </c>
      <c r="L35" t="s">
        <v>7119</v>
      </c>
      <c r="M35" t="s">
        <v>7119</v>
      </c>
      <c r="N35" t="s">
        <v>7119</v>
      </c>
      <c r="AX35" t="s">
        <v>6170</v>
      </c>
      <c r="BI35" t="s">
        <v>6173</v>
      </c>
      <c r="BJ35" t="s">
        <v>6173</v>
      </c>
      <c r="BL35" t="s">
        <v>6201</v>
      </c>
      <c r="BM35" t="s">
        <v>6201</v>
      </c>
      <c r="BN35" t="s">
        <v>6201</v>
      </c>
      <c r="BO35" t="s">
        <v>6201</v>
      </c>
      <c r="BP35" t="s">
        <v>6201</v>
      </c>
      <c r="BQ35" t="s">
        <v>6201</v>
      </c>
      <c r="BR35" t="s">
        <v>6201</v>
      </c>
      <c r="BS35" t="s">
        <v>6201</v>
      </c>
      <c r="BT35" t="s">
        <v>6201</v>
      </c>
      <c r="BU35" t="s">
        <v>6201</v>
      </c>
      <c r="BV35" t="s">
        <v>6201</v>
      </c>
      <c r="BW35" t="s">
        <v>6201</v>
      </c>
      <c r="BX35" t="s">
        <v>6201</v>
      </c>
      <c r="BY35" t="s">
        <v>6201</v>
      </c>
      <c r="BZ35" t="s">
        <v>6201</v>
      </c>
      <c r="CA35" t="s">
        <v>6201</v>
      </c>
      <c r="CB35" t="s">
        <v>6202</v>
      </c>
      <c r="CE35" t="s">
        <v>6710</v>
      </c>
      <c r="CF35" t="s">
        <v>1383</v>
      </c>
      <c r="CG35" t="s">
        <v>1378</v>
      </c>
      <c r="CH35" t="s">
        <v>2584</v>
      </c>
      <c r="CI35" t="s">
        <v>6311</v>
      </c>
      <c r="CJ35" t="s">
        <v>1383</v>
      </c>
      <c r="CK35" t="s">
        <v>4292</v>
      </c>
      <c r="CL35" t="s">
        <v>2584</v>
      </c>
      <c r="CW35" t="s">
        <v>1382</v>
      </c>
      <c r="CX35" t="s">
        <v>1382</v>
      </c>
      <c r="CY35" t="s">
        <v>7477</v>
      </c>
      <c r="CZ35" t="s">
        <v>1379</v>
      </c>
      <c r="DA35" t="s">
        <v>3770</v>
      </c>
      <c r="DB35" t="s">
        <v>1379</v>
      </c>
      <c r="DC35" t="s">
        <v>8108</v>
      </c>
      <c r="DD35" t="s">
        <v>8109</v>
      </c>
      <c r="DE35" t="s">
        <v>8109</v>
      </c>
      <c r="DF35" t="s">
        <v>7521</v>
      </c>
      <c r="DG35" t="s">
        <v>7521</v>
      </c>
      <c r="DH35" t="s">
        <v>7521</v>
      </c>
      <c r="DI35" t="s">
        <v>7521</v>
      </c>
      <c r="DJ35" t="s">
        <v>7521</v>
      </c>
      <c r="DK35" t="s">
        <v>7521</v>
      </c>
      <c r="DL35" t="s">
        <v>1379</v>
      </c>
      <c r="DM35" t="s">
        <v>395</v>
      </c>
      <c r="DN35" t="s">
        <v>515</v>
      </c>
      <c r="DO35" t="s">
        <v>515</v>
      </c>
      <c r="DP35" t="s">
        <v>744</v>
      </c>
      <c r="DR35" t="s">
        <v>1379</v>
      </c>
      <c r="DS35" t="s">
        <v>1379</v>
      </c>
      <c r="DT35" t="s">
        <v>8110</v>
      </c>
      <c r="DU35" t="s">
        <v>3770</v>
      </c>
      <c r="DV35" t="s">
        <v>2214</v>
      </c>
      <c r="DW35" t="s">
        <v>2125</v>
      </c>
      <c r="DX35" t="s">
        <v>1379</v>
      </c>
      <c r="DY35" t="s">
        <v>8111</v>
      </c>
      <c r="DZ35" t="s">
        <v>3770</v>
      </c>
      <c r="EA35" t="s">
        <v>3770</v>
      </c>
      <c r="EB35" t="s">
        <v>8112</v>
      </c>
      <c r="EC35" t="s">
        <v>8113</v>
      </c>
      <c r="ED35" t="s">
        <v>1382</v>
      </c>
      <c r="EE35" t="s">
        <v>745</v>
      </c>
      <c r="EF35" t="s">
        <v>6446</v>
      </c>
      <c r="EG35" t="s">
        <v>8114</v>
      </c>
      <c r="EH35" t="s">
        <v>2879</v>
      </c>
      <c r="EI35" t="s">
        <v>2879</v>
      </c>
      <c r="EJ35" t="s">
        <v>6447</v>
      </c>
      <c r="EK35" t="s">
        <v>515</v>
      </c>
      <c r="EL35" t="s">
        <v>515</v>
      </c>
      <c r="EM35" t="s">
        <v>3770</v>
      </c>
      <c r="EN35" t="s">
        <v>3770</v>
      </c>
      <c r="EO35" t="s">
        <v>3769</v>
      </c>
      <c r="EP35" t="s">
        <v>3769</v>
      </c>
      <c r="EQ35" t="s">
        <v>1379</v>
      </c>
      <c r="ER35" t="s">
        <v>6448</v>
      </c>
      <c r="ES35" t="s">
        <v>6449</v>
      </c>
      <c r="ET35" t="s">
        <v>1379</v>
      </c>
      <c r="EU35" t="s">
        <v>3770</v>
      </c>
      <c r="EV35" t="s">
        <v>6450</v>
      </c>
      <c r="EW35" t="s">
        <v>6451</v>
      </c>
      <c r="EY35" t="s">
        <v>6465</v>
      </c>
      <c r="EZ35" t="s">
        <v>832</v>
      </c>
      <c r="FA35" t="s">
        <v>832</v>
      </c>
      <c r="FB35" t="s">
        <v>2584</v>
      </c>
      <c r="FC35" t="s">
        <v>9111</v>
      </c>
      <c r="FD35" t="s">
        <v>2584</v>
      </c>
      <c r="FE35" t="s">
        <v>2584</v>
      </c>
      <c r="FF35" t="s">
        <v>1383</v>
      </c>
      <c r="FG35" t="s">
        <v>8869</v>
      </c>
      <c r="FH35" t="s">
        <v>8869</v>
      </c>
      <c r="FI35" t="s">
        <v>8869</v>
      </c>
      <c r="FJ35" t="s">
        <v>8869</v>
      </c>
      <c r="FK35" t="s">
        <v>1383</v>
      </c>
      <c r="FL35" t="s">
        <v>2584</v>
      </c>
      <c r="FN35" t="s">
        <v>2584</v>
      </c>
      <c r="FO35" t="s">
        <v>3770</v>
      </c>
      <c r="FP35" t="s">
        <v>8869</v>
      </c>
      <c r="FQ35" t="s">
        <v>8869</v>
      </c>
      <c r="FR35" t="s">
        <v>8869</v>
      </c>
      <c r="FS35" t="s">
        <v>8869</v>
      </c>
      <c r="FT35" t="s">
        <v>6083</v>
      </c>
      <c r="FU35" t="s">
        <v>7131</v>
      </c>
      <c r="FV35" t="s">
        <v>1381</v>
      </c>
      <c r="GF35" t="s">
        <v>6206</v>
      </c>
      <c r="GG35" t="s">
        <v>6206</v>
      </c>
      <c r="GH35" t="s">
        <v>6206</v>
      </c>
      <c r="GI35" t="s">
        <v>6206</v>
      </c>
      <c r="GJ35" t="s">
        <v>6206</v>
      </c>
      <c r="GK35" t="s">
        <v>6206</v>
      </c>
      <c r="GL35" t="s">
        <v>6206</v>
      </c>
      <c r="GO35" t="s">
        <v>4291</v>
      </c>
      <c r="GQ35" t="s">
        <v>6254</v>
      </c>
      <c r="GS35" t="s">
        <v>6255</v>
      </c>
      <c r="GU35" t="s">
        <v>6254</v>
      </c>
      <c r="GW35" t="s">
        <v>6255</v>
      </c>
      <c r="GY35" t="s">
        <v>5061</v>
      </c>
      <c r="HC35" t="s">
        <v>6239</v>
      </c>
      <c r="HD35" t="s">
        <v>6239</v>
      </c>
      <c r="HE35" t="s">
        <v>6239</v>
      </c>
      <c r="HF35" t="s">
        <v>6239</v>
      </c>
      <c r="HG35" t="s">
        <v>6239</v>
      </c>
      <c r="HH35" t="s">
        <v>6239</v>
      </c>
      <c r="HI35" t="s">
        <v>6239</v>
      </c>
      <c r="HJ35" t="s">
        <v>6239</v>
      </c>
      <c r="HK35" t="s">
        <v>6239</v>
      </c>
      <c r="HL35" t="s">
        <v>6239</v>
      </c>
      <c r="HM35" t="s">
        <v>6240</v>
      </c>
      <c r="HN35" t="s">
        <v>6240</v>
      </c>
      <c r="HO35" t="s">
        <v>4082</v>
      </c>
      <c r="HP35" t="s">
        <v>4082</v>
      </c>
      <c r="HQ35" t="s">
        <v>3769</v>
      </c>
      <c r="HR35" t="s">
        <v>8229</v>
      </c>
      <c r="HS35" t="s">
        <v>8229</v>
      </c>
      <c r="HT35" t="s">
        <v>8229</v>
      </c>
      <c r="HU35" t="s">
        <v>8229</v>
      </c>
      <c r="HV35" t="s">
        <v>8229</v>
      </c>
      <c r="HW35" t="s">
        <v>8229</v>
      </c>
      <c r="HX35" t="s">
        <v>8229</v>
      </c>
      <c r="HY35" t="s">
        <v>8229</v>
      </c>
      <c r="HZ35" t="s">
        <v>8229</v>
      </c>
      <c r="IA35" t="s">
        <v>8229</v>
      </c>
      <c r="IB35" t="s">
        <v>6241</v>
      </c>
      <c r="IC35" t="s">
        <v>6241</v>
      </c>
      <c r="ID35" t="s">
        <v>3769</v>
      </c>
      <c r="IF35" t="s">
        <v>4569</v>
      </c>
      <c r="IG35" t="s">
        <v>4569</v>
      </c>
      <c r="IH35" t="s">
        <v>4569</v>
      </c>
      <c r="II35" t="s">
        <v>4569</v>
      </c>
    </row>
    <row r="36" spans="1:244" x14ac:dyDescent="0.2">
      <c r="H36" t="s">
        <v>7120</v>
      </c>
      <c r="I36" t="s">
        <v>7120</v>
      </c>
      <c r="J36" t="s">
        <v>7120</v>
      </c>
      <c r="K36" t="s">
        <v>7120</v>
      </c>
      <c r="L36" t="s">
        <v>7120</v>
      </c>
      <c r="M36" t="s">
        <v>7120</v>
      </c>
      <c r="N36" t="s">
        <v>7120</v>
      </c>
      <c r="BI36" t="s">
        <v>7122</v>
      </c>
      <c r="BJ36" t="s">
        <v>7122</v>
      </c>
      <c r="CD36" t="s">
        <v>1383</v>
      </c>
      <c r="CE36" t="s">
        <v>4292</v>
      </c>
      <c r="CF36" t="s">
        <v>3651</v>
      </c>
      <c r="CH36" t="s">
        <v>3985</v>
      </c>
      <c r="CI36" t="s">
        <v>8077</v>
      </c>
      <c r="CL36" t="s">
        <v>4292</v>
      </c>
      <c r="CW36" t="s">
        <v>3770</v>
      </c>
      <c r="CX36" t="s">
        <v>3770</v>
      </c>
      <c r="CY36" t="s">
        <v>3770</v>
      </c>
      <c r="CZ36" t="s">
        <v>8115</v>
      </c>
      <c r="DB36" t="s">
        <v>8116</v>
      </c>
      <c r="DC36" t="s">
        <v>3769</v>
      </c>
      <c r="DD36" t="s">
        <v>3035</v>
      </c>
      <c r="DE36" t="s">
        <v>3035</v>
      </c>
      <c r="DF36" t="s">
        <v>2584</v>
      </c>
      <c r="DG36" t="s">
        <v>2584</v>
      </c>
      <c r="DH36" t="s">
        <v>2584</v>
      </c>
      <c r="DI36" t="s">
        <v>2584</v>
      </c>
      <c r="DJ36" t="s">
        <v>2584</v>
      </c>
      <c r="DK36" t="s">
        <v>2584</v>
      </c>
      <c r="DM36" t="s">
        <v>745</v>
      </c>
      <c r="DN36" t="s">
        <v>744</v>
      </c>
      <c r="DO36" t="s">
        <v>744</v>
      </c>
      <c r="DP36" t="s">
        <v>4615</v>
      </c>
      <c r="DQ36" t="s">
        <v>3769</v>
      </c>
      <c r="DR36" t="s">
        <v>8115</v>
      </c>
      <c r="DS36" t="s">
        <v>8117</v>
      </c>
      <c r="DT36" t="s">
        <v>1379</v>
      </c>
      <c r="DU36" t="s">
        <v>4574</v>
      </c>
      <c r="DV36" t="s">
        <v>3769</v>
      </c>
      <c r="DW36" t="s">
        <v>3769</v>
      </c>
      <c r="DX36" t="s">
        <v>3769</v>
      </c>
      <c r="DY36" t="s">
        <v>3770</v>
      </c>
      <c r="DZ36" t="s">
        <v>6399</v>
      </c>
      <c r="EA36" t="s">
        <v>6400</v>
      </c>
      <c r="EB36" t="s">
        <v>6401</v>
      </c>
      <c r="EC36" t="s">
        <v>4575</v>
      </c>
      <c r="ED36" t="s">
        <v>3770</v>
      </c>
      <c r="EE36" t="s">
        <v>3770</v>
      </c>
      <c r="EF36" t="s">
        <v>70</v>
      </c>
      <c r="EG36" t="s">
        <v>3770</v>
      </c>
      <c r="EK36" t="s">
        <v>3769</v>
      </c>
      <c r="EL36" t="s">
        <v>3769</v>
      </c>
      <c r="EM36" t="s">
        <v>6452</v>
      </c>
      <c r="EN36" t="s">
        <v>6453</v>
      </c>
      <c r="EO36" t="s">
        <v>6454</v>
      </c>
      <c r="EP36" t="s">
        <v>6454</v>
      </c>
      <c r="EQ36" t="s">
        <v>6455</v>
      </c>
      <c r="ES36" t="s">
        <v>4636</v>
      </c>
      <c r="ET36" t="s">
        <v>1382</v>
      </c>
      <c r="EW36" t="s">
        <v>6456</v>
      </c>
      <c r="EZ36" t="s">
        <v>9110</v>
      </c>
      <c r="FA36" t="s">
        <v>9110</v>
      </c>
      <c r="FB36" t="s">
        <v>9111</v>
      </c>
      <c r="FD36" t="s">
        <v>8871</v>
      </c>
      <c r="FE36" t="s">
        <v>9109</v>
      </c>
      <c r="FG36" t="s">
        <v>2584</v>
      </c>
      <c r="FH36" t="s">
        <v>2584</v>
      </c>
      <c r="FI36" t="s">
        <v>2584</v>
      </c>
      <c r="FJ36" t="s">
        <v>2584</v>
      </c>
      <c r="FK36" t="s">
        <v>9113</v>
      </c>
      <c r="FL36" t="s">
        <v>8892</v>
      </c>
      <c r="FN36" t="s">
        <v>9111</v>
      </c>
      <c r="FO36" t="s">
        <v>9112</v>
      </c>
      <c r="FP36" t="s">
        <v>2584</v>
      </c>
      <c r="FQ36" t="s">
        <v>2584</v>
      </c>
      <c r="FR36" t="s">
        <v>2584</v>
      </c>
      <c r="FS36" t="s">
        <v>2584</v>
      </c>
      <c r="FT36" t="s">
        <v>6466</v>
      </c>
      <c r="FU36" t="s">
        <v>1379</v>
      </c>
      <c r="FV36" t="s">
        <v>6467</v>
      </c>
      <c r="GF36" t="s">
        <v>7132</v>
      </c>
      <c r="GG36" t="s">
        <v>7132</v>
      </c>
      <c r="GH36" t="s">
        <v>7132</v>
      </c>
      <c r="GI36" t="s">
        <v>7132</v>
      </c>
      <c r="GJ36" t="s">
        <v>7132</v>
      </c>
      <c r="GK36" t="s">
        <v>7132</v>
      </c>
      <c r="GL36" t="s">
        <v>7132</v>
      </c>
      <c r="HM36" t="s">
        <v>3769</v>
      </c>
      <c r="HN36" t="s">
        <v>3769</v>
      </c>
      <c r="HO36" t="s">
        <v>6307</v>
      </c>
      <c r="HP36" t="s">
        <v>6307</v>
      </c>
      <c r="HQ36" t="s">
        <v>6242</v>
      </c>
      <c r="IF36" t="s">
        <v>4569</v>
      </c>
      <c r="IG36" t="s">
        <v>4569</v>
      </c>
      <c r="IH36" t="s">
        <v>4569</v>
      </c>
      <c r="II36" t="s">
        <v>4569</v>
      </c>
    </row>
    <row r="37" spans="1:244" x14ac:dyDescent="0.2">
      <c r="H37" t="s">
        <v>570</v>
      </c>
      <c r="I37" t="s">
        <v>570</v>
      </c>
      <c r="J37" t="s">
        <v>570</v>
      </c>
      <c r="K37" t="s">
        <v>570</v>
      </c>
      <c r="L37" t="s">
        <v>570</v>
      </c>
      <c r="M37" t="s">
        <v>570</v>
      </c>
      <c r="N37" t="s">
        <v>570</v>
      </c>
      <c r="BI37" t="s">
        <v>7123</v>
      </c>
      <c r="BJ37" t="s">
        <v>7123</v>
      </c>
      <c r="CD37" t="s">
        <v>3662</v>
      </c>
      <c r="CE37" t="s">
        <v>6203</v>
      </c>
      <c r="CF37" t="s">
        <v>6203</v>
      </c>
      <c r="CH37" t="s">
        <v>4079</v>
      </c>
      <c r="CI37" t="s">
        <v>6083</v>
      </c>
      <c r="CL37" t="s">
        <v>6203</v>
      </c>
      <c r="CW37" t="s">
        <v>8118</v>
      </c>
      <c r="CX37" t="s">
        <v>8118</v>
      </c>
      <c r="CY37" t="s">
        <v>8119</v>
      </c>
      <c r="CZ37" t="s">
        <v>3769</v>
      </c>
      <c r="DB37" t="s">
        <v>8120</v>
      </c>
      <c r="DF37" t="s">
        <v>570</v>
      </c>
      <c r="DG37" t="s">
        <v>570</v>
      </c>
      <c r="DH37" t="s">
        <v>570</v>
      </c>
      <c r="DI37" t="s">
        <v>570</v>
      </c>
      <c r="DJ37" t="s">
        <v>570</v>
      </c>
      <c r="DK37" t="s">
        <v>570</v>
      </c>
      <c r="DL37" t="s">
        <v>4616</v>
      </c>
      <c r="DR37" t="s">
        <v>3769</v>
      </c>
      <c r="DS37" t="s">
        <v>3769</v>
      </c>
      <c r="DV37" t="s">
        <v>6242</v>
      </c>
      <c r="DW37" t="s">
        <v>6242</v>
      </c>
      <c r="ED37" t="s">
        <v>4576</v>
      </c>
      <c r="EK37" t="s">
        <v>6457</v>
      </c>
      <c r="EL37" t="s">
        <v>6457</v>
      </c>
      <c r="EQ37" t="s">
        <v>6458</v>
      </c>
      <c r="ET37" t="s">
        <v>6459</v>
      </c>
      <c r="EZ37" t="s">
        <v>4569</v>
      </c>
      <c r="FA37" t="s">
        <v>4569</v>
      </c>
      <c r="FG37" t="s">
        <v>8871</v>
      </c>
      <c r="FH37" t="s">
        <v>8871</v>
      </c>
      <c r="FI37" t="s">
        <v>8871</v>
      </c>
      <c r="FJ37" t="s">
        <v>8871</v>
      </c>
      <c r="FL37" t="s">
        <v>8893</v>
      </c>
      <c r="FO37" t="s">
        <v>9114</v>
      </c>
      <c r="FP37" t="s">
        <v>8894</v>
      </c>
      <c r="FQ37" t="s">
        <v>8894</v>
      </c>
      <c r="FR37" t="s">
        <v>8894</v>
      </c>
      <c r="FS37" t="s">
        <v>8894</v>
      </c>
      <c r="FT37" t="s">
        <v>3035</v>
      </c>
      <c r="FV37" t="s">
        <v>6468</v>
      </c>
      <c r="GF37" t="s">
        <v>70</v>
      </c>
      <c r="GG37" t="s">
        <v>70</v>
      </c>
      <c r="GH37" t="s">
        <v>70</v>
      </c>
      <c r="GI37" t="s">
        <v>70</v>
      </c>
      <c r="GJ37" t="s">
        <v>70</v>
      </c>
      <c r="GK37" t="s">
        <v>70</v>
      </c>
      <c r="GL37" t="s">
        <v>70</v>
      </c>
      <c r="IF37" t="s">
        <v>4569</v>
      </c>
      <c r="IG37" t="s">
        <v>4569</v>
      </c>
      <c r="IH37" t="s">
        <v>4569</v>
      </c>
      <c r="II37" t="s">
        <v>4569</v>
      </c>
    </row>
    <row r="38" spans="1:244" x14ac:dyDescent="0.2">
      <c r="CE38" t="s">
        <v>23</v>
      </c>
      <c r="CZ38" t="s">
        <v>3371</v>
      </c>
      <c r="DF38" t="s">
        <v>7522</v>
      </c>
      <c r="DG38" t="s">
        <v>7522</v>
      </c>
      <c r="DH38" t="s">
        <v>7522</v>
      </c>
      <c r="DI38" t="s">
        <v>7522</v>
      </c>
      <c r="DJ38" t="s">
        <v>7522</v>
      </c>
      <c r="DK38" t="s">
        <v>7522</v>
      </c>
      <c r="DR38" t="s">
        <v>3371</v>
      </c>
      <c r="DS38" t="s">
        <v>3371</v>
      </c>
      <c r="DW38" t="s">
        <v>6402</v>
      </c>
      <c r="EK38" t="s">
        <v>7124</v>
      </c>
      <c r="EL38" t="s">
        <v>7124</v>
      </c>
      <c r="ET38" t="s">
        <v>6460</v>
      </c>
      <c r="EZ38" t="s">
        <v>4569</v>
      </c>
      <c r="FA38" t="s">
        <v>4569</v>
      </c>
      <c r="FT38" t="s">
        <v>7125</v>
      </c>
      <c r="FV38" t="s">
        <v>3770</v>
      </c>
      <c r="GF38" t="s">
        <v>8210</v>
      </c>
      <c r="GG38" t="s">
        <v>8210</v>
      </c>
      <c r="GH38" t="s">
        <v>8210</v>
      </c>
      <c r="GI38" t="s">
        <v>8210</v>
      </c>
      <c r="GJ38" t="s">
        <v>4294</v>
      </c>
      <c r="GK38" t="s">
        <v>8210</v>
      </c>
      <c r="GL38" t="s">
        <v>8210</v>
      </c>
      <c r="IF38" t="s">
        <v>4569</v>
      </c>
      <c r="IG38" t="s">
        <v>4569</v>
      </c>
      <c r="IH38" t="s">
        <v>4569</v>
      </c>
      <c r="II38" t="s">
        <v>4569</v>
      </c>
    </row>
    <row r="39" spans="1:244" x14ac:dyDescent="0.2">
      <c r="A39" t="s">
        <v>3084</v>
      </c>
      <c r="EZ39" t="s">
        <v>4569</v>
      </c>
      <c r="FA39" t="s">
        <v>4569</v>
      </c>
      <c r="IF39" t="s">
        <v>4569</v>
      </c>
      <c r="IG39" t="s">
        <v>4569</v>
      </c>
      <c r="IH39" t="s">
        <v>4569</v>
      </c>
      <c r="II39" t="s">
        <v>4569</v>
      </c>
    </row>
    <row r="40" spans="1:244" x14ac:dyDescent="0.2">
      <c r="A40" t="s">
        <v>156</v>
      </c>
      <c r="EZ40" t="s">
        <v>4569</v>
      </c>
      <c r="FA40" t="s">
        <v>4569</v>
      </c>
      <c r="IF40" t="s">
        <v>4569</v>
      </c>
      <c r="IG40" t="s">
        <v>4569</v>
      </c>
      <c r="IH40" t="s">
        <v>4569</v>
      </c>
      <c r="II40" t="s">
        <v>4569</v>
      </c>
    </row>
    <row r="41" spans="1:244" x14ac:dyDescent="0.2">
      <c r="EZ41" t="s">
        <v>4569</v>
      </c>
      <c r="FA41" t="s">
        <v>4569</v>
      </c>
      <c r="IF41" t="s">
        <v>4569</v>
      </c>
      <c r="IG41" t="s">
        <v>4569</v>
      </c>
      <c r="IH41" t="s">
        <v>4569</v>
      </c>
      <c r="II41" t="s">
        <v>4569</v>
      </c>
    </row>
    <row r="42" spans="1:244" x14ac:dyDescent="0.2">
      <c r="EZ42" t="s">
        <v>4569</v>
      </c>
      <c r="FA42" t="s">
        <v>4569</v>
      </c>
      <c r="IF42" t="s">
        <v>4569</v>
      </c>
      <c r="IG42" t="s">
        <v>4569</v>
      </c>
      <c r="IH42" t="s">
        <v>4569</v>
      </c>
      <c r="II42" t="s">
        <v>4569</v>
      </c>
    </row>
    <row r="43" spans="1:244" ht="12.75" customHeight="1" outlineLevel="1" x14ac:dyDescent="0.2">
      <c r="A43" t="str">
        <f>INDEX(TL_KPF,ROW()-41)</f>
        <v>Anderthalbhänder</v>
      </c>
      <c r="B43" t="s">
        <v>1608</v>
      </c>
      <c r="O43" t="s">
        <v>1608</v>
      </c>
      <c r="AT43" t="s">
        <v>1608</v>
      </c>
      <c r="AY43" t="s">
        <v>1608</v>
      </c>
      <c r="BH43" t="s">
        <v>1608</v>
      </c>
      <c r="BK43" t="s">
        <v>1608</v>
      </c>
      <c r="CV43" t="s">
        <v>1608</v>
      </c>
      <c r="EX43" t="s">
        <v>1608</v>
      </c>
      <c r="EZ43" t="s">
        <v>4569</v>
      </c>
      <c r="FW43" t="s">
        <v>1608</v>
      </c>
      <c r="GE43" t="s">
        <v>1608</v>
      </c>
      <c r="GM43" t="s">
        <v>1608</v>
      </c>
      <c r="GX43" t="s">
        <v>1608</v>
      </c>
      <c r="IF43" t="s">
        <v>4569</v>
      </c>
      <c r="IG43" t="s">
        <v>4569</v>
      </c>
      <c r="IH43" t="s">
        <v>4569</v>
      </c>
      <c r="II43" t="s">
        <v>4569</v>
      </c>
      <c r="IJ43" t="s">
        <v>1608</v>
      </c>
    </row>
    <row r="44" spans="1:244" outlineLevel="1" x14ac:dyDescent="0.2">
      <c r="A44" t="str">
        <f t="shared" ref="A44:A69" si="0">INDEX(TL_KPF,ROW()-41)</f>
        <v>Armbrust</v>
      </c>
      <c r="EZ44" t="s">
        <v>4569</v>
      </c>
      <c r="FA44" t="s">
        <v>4569</v>
      </c>
      <c r="IF44" t="s">
        <v>4569</v>
      </c>
      <c r="IG44" t="s">
        <v>4569</v>
      </c>
      <c r="IH44" t="s">
        <v>4569</v>
      </c>
      <c r="II44" t="s">
        <v>4569</v>
      </c>
    </row>
    <row r="45" spans="1:244" outlineLevel="1" x14ac:dyDescent="0.2">
      <c r="A45" t="str">
        <f t="shared" si="0"/>
        <v>Belagerungswaffen</v>
      </c>
      <c r="EZ45" t="s">
        <v>4569</v>
      </c>
      <c r="FA45" t="s">
        <v>4569</v>
      </c>
      <c r="IF45" t="s">
        <v>4569</v>
      </c>
      <c r="IG45" t="s">
        <v>4569</v>
      </c>
      <c r="IH45" t="s">
        <v>4569</v>
      </c>
      <c r="II45" t="s">
        <v>4569</v>
      </c>
    </row>
    <row r="46" spans="1:244" outlineLevel="1" x14ac:dyDescent="0.2">
      <c r="A46" t="str">
        <f t="shared" si="0"/>
        <v>Blasrohr</v>
      </c>
      <c r="BG46">
        <v>3</v>
      </c>
      <c r="EZ46" t="s">
        <v>4569</v>
      </c>
      <c r="FA46" t="s">
        <v>4569</v>
      </c>
      <c r="IF46" t="s">
        <v>4569</v>
      </c>
      <c r="IG46" t="s">
        <v>4569</v>
      </c>
      <c r="IH46" t="s">
        <v>4569</v>
      </c>
      <c r="II46" t="s">
        <v>4569</v>
      </c>
    </row>
    <row r="47" spans="1:244" outlineLevel="1" x14ac:dyDescent="0.2">
      <c r="A47" t="str">
        <f t="shared" si="0"/>
        <v>Bogen</v>
      </c>
      <c r="EZ47" t="s">
        <v>4569</v>
      </c>
      <c r="FA47" t="s">
        <v>4569</v>
      </c>
      <c r="IF47" t="s">
        <v>4569</v>
      </c>
      <c r="IG47" t="s">
        <v>4569</v>
      </c>
      <c r="IH47" t="s">
        <v>4569</v>
      </c>
      <c r="II47" t="s">
        <v>4569</v>
      </c>
    </row>
    <row r="48" spans="1:244" outlineLevel="1" x14ac:dyDescent="0.2">
      <c r="A48" t="str">
        <f t="shared" si="0"/>
        <v>Diskus</v>
      </c>
      <c r="ER48">
        <v>1</v>
      </c>
      <c r="EZ48" t="s">
        <v>4569</v>
      </c>
      <c r="FA48" t="s">
        <v>4569</v>
      </c>
      <c r="IF48" t="s">
        <v>4569</v>
      </c>
      <c r="IG48" t="s">
        <v>4569</v>
      </c>
      <c r="IH48" t="s">
        <v>4569</v>
      </c>
      <c r="II48" t="s">
        <v>4569</v>
      </c>
    </row>
    <row r="49" spans="1:243" outlineLevel="1" x14ac:dyDescent="0.2">
      <c r="A49" t="str">
        <f t="shared" si="0"/>
        <v>Dolche</v>
      </c>
      <c r="C49">
        <v>2</v>
      </c>
      <c r="D49">
        <v>2</v>
      </c>
      <c r="E49">
        <v>2</v>
      </c>
      <c r="F49">
        <v>2</v>
      </c>
      <c r="G49">
        <v>2</v>
      </c>
      <c r="H49">
        <v>2</v>
      </c>
      <c r="I49">
        <v>2</v>
      </c>
      <c r="J49">
        <v>2</v>
      </c>
      <c r="K49">
        <v>2</v>
      </c>
      <c r="L49">
        <v>2</v>
      </c>
      <c r="M49">
        <v>2</v>
      </c>
      <c r="N49">
        <v>2</v>
      </c>
      <c r="R49">
        <v>3</v>
      </c>
      <c r="S49">
        <v>3</v>
      </c>
      <c r="T49">
        <v>3</v>
      </c>
      <c r="U49">
        <v>3</v>
      </c>
      <c r="V49">
        <v>3</v>
      </c>
      <c r="X49">
        <v>2</v>
      </c>
      <c r="Y49">
        <v>2</v>
      </c>
      <c r="Z49">
        <v>2</v>
      </c>
      <c r="AA49">
        <v>2</v>
      </c>
      <c r="AB49">
        <v>2</v>
      </c>
      <c r="AF49">
        <v>3</v>
      </c>
      <c r="AG49">
        <v>3</v>
      </c>
      <c r="AH49">
        <v>3</v>
      </c>
      <c r="AI49">
        <v>3</v>
      </c>
      <c r="AK49">
        <v>2</v>
      </c>
      <c r="AL49">
        <v>2</v>
      </c>
      <c r="AM49">
        <v>2</v>
      </c>
      <c r="AN49">
        <v>2</v>
      </c>
      <c r="AU49">
        <v>2</v>
      </c>
      <c r="AV49">
        <v>2</v>
      </c>
      <c r="AW49">
        <v>2</v>
      </c>
      <c r="AX49">
        <v>2</v>
      </c>
      <c r="AZ49">
        <v>2</v>
      </c>
      <c r="BA49">
        <v>1</v>
      </c>
      <c r="BD49">
        <v>2</v>
      </c>
      <c r="BE49">
        <v>2</v>
      </c>
      <c r="BF49">
        <v>2</v>
      </c>
      <c r="BG49">
        <v>2</v>
      </c>
      <c r="BI49">
        <v>2</v>
      </c>
      <c r="BJ49">
        <v>2</v>
      </c>
      <c r="BL49">
        <v>2</v>
      </c>
      <c r="BM49">
        <v>2</v>
      </c>
      <c r="BN49">
        <v>3</v>
      </c>
      <c r="BO49">
        <v>2</v>
      </c>
      <c r="BP49" t="s">
        <v>4569</v>
      </c>
      <c r="BQ49">
        <v>2</v>
      </c>
      <c r="BR49" t="s">
        <v>4569</v>
      </c>
      <c r="BS49">
        <v>2</v>
      </c>
      <c r="BT49">
        <v>3</v>
      </c>
      <c r="BU49">
        <v>2</v>
      </c>
      <c r="BV49">
        <v>2</v>
      </c>
      <c r="BW49">
        <v>2</v>
      </c>
      <c r="BX49">
        <v>3</v>
      </c>
      <c r="BY49">
        <v>2</v>
      </c>
      <c r="BZ49">
        <v>2</v>
      </c>
      <c r="CA49">
        <v>2</v>
      </c>
      <c r="CB49">
        <v>1</v>
      </c>
      <c r="CC49">
        <v>2</v>
      </c>
      <c r="CD49">
        <v>3</v>
      </c>
      <c r="CE49">
        <v>2</v>
      </c>
      <c r="CF49">
        <v>3</v>
      </c>
      <c r="CG49">
        <v>3</v>
      </c>
      <c r="CH49">
        <v>2</v>
      </c>
      <c r="CI49">
        <v>2</v>
      </c>
      <c r="CJ49">
        <v>2</v>
      </c>
      <c r="CK49">
        <v>3</v>
      </c>
      <c r="CL49">
        <v>2</v>
      </c>
      <c r="CM49">
        <v>2</v>
      </c>
      <c r="CN49">
        <v>3</v>
      </c>
      <c r="CO49">
        <v>3</v>
      </c>
      <c r="CP49">
        <v>3</v>
      </c>
      <c r="CQ49">
        <v>1</v>
      </c>
      <c r="CR49">
        <v>1</v>
      </c>
      <c r="CS49">
        <v>1</v>
      </c>
      <c r="CT49">
        <v>2</v>
      </c>
      <c r="CU49">
        <v>2</v>
      </c>
      <c r="CY49">
        <v>2</v>
      </c>
      <c r="DB49">
        <v>3</v>
      </c>
      <c r="DL49">
        <v>1</v>
      </c>
      <c r="DM49">
        <v>1</v>
      </c>
      <c r="DN49">
        <v>3</v>
      </c>
      <c r="DO49">
        <v>3</v>
      </c>
      <c r="DP49">
        <v>2</v>
      </c>
      <c r="DS49">
        <v>2</v>
      </c>
      <c r="DX49">
        <v>1</v>
      </c>
      <c r="DY49">
        <v>1</v>
      </c>
      <c r="DZ49">
        <v>1</v>
      </c>
      <c r="EB49">
        <v>2</v>
      </c>
      <c r="EC49">
        <v>2</v>
      </c>
      <c r="EG49">
        <v>2</v>
      </c>
      <c r="EH49">
        <v>1</v>
      </c>
      <c r="EI49">
        <v>1</v>
      </c>
      <c r="EM49">
        <v>1</v>
      </c>
      <c r="EN49">
        <v>1</v>
      </c>
      <c r="EO49">
        <v>1</v>
      </c>
      <c r="EP49">
        <v>2</v>
      </c>
      <c r="EQ49">
        <v>1</v>
      </c>
      <c r="EV49">
        <v>1</v>
      </c>
      <c r="EW49">
        <v>1</v>
      </c>
      <c r="EZ49">
        <v>2</v>
      </c>
      <c r="FA49">
        <v>5</v>
      </c>
      <c r="FB49">
        <v>3</v>
      </c>
      <c r="FC49">
        <v>2</v>
      </c>
      <c r="FD49">
        <v>1</v>
      </c>
      <c r="FE49">
        <v>3</v>
      </c>
      <c r="FF49">
        <v>3</v>
      </c>
      <c r="FG49">
        <v>1</v>
      </c>
      <c r="FH49">
        <v>1</v>
      </c>
      <c r="FI49">
        <v>1</v>
      </c>
      <c r="FJ49">
        <v>1</v>
      </c>
      <c r="FK49">
        <v>3</v>
      </c>
      <c r="FM49">
        <v>1</v>
      </c>
      <c r="FN49">
        <v>2</v>
      </c>
      <c r="FP49">
        <v>1</v>
      </c>
      <c r="FQ49">
        <v>1</v>
      </c>
      <c r="FR49">
        <v>1</v>
      </c>
      <c r="FS49">
        <v>1</v>
      </c>
      <c r="FT49">
        <v>2</v>
      </c>
      <c r="FU49">
        <v>1</v>
      </c>
      <c r="FV49">
        <v>2</v>
      </c>
      <c r="FX49">
        <v>1</v>
      </c>
      <c r="FY49">
        <v>1</v>
      </c>
      <c r="FZ49">
        <v>1</v>
      </c>
      <c r="GA49">
        <v>1</v>
      </c>
      <c r="GB49">
        <v>1</v>
      </c>
      <c r="GC49">
        <v>1</v>
      </c>
      <c r="GD49">
        <v>2</v>
      </c>
      <c r="GN49">
        <v>2</v>
      </c>
      <c r="GO49">
        <v>2</v>
      </c>
      <c r="GP49">
        <v>2</v>
      </c>
      <c r="GQ49">
        <v>2</v>
      </c>
      <c r="GR49">
        <v>4</v>
      </c>
      <c r="GS49">
        <v>2</v>
      </c>
      <c r="GT49">
        <v>2</v>
      </c>
      <c r="GU49">
        <v>2</v>
      </c>
      <c r="GV49">
        <v>4</v>
      </c>
      <c r="GW49">
        <v>2</v>
      </c>
      <c r="GY49">
        <v>2</v>
      </c>
      <c r="HM49">
        <v>1</v>
      </c>
      <c r="HN49">
        <v>1</v>
      </c>
      <c r="HQ49">
        <v>1</v>
      </c>
      <c r="IB49">
        <v>1</v>
      </c>
      <c r="IC49">
        <v>1</v>
      </c>
      <c r="IF49" t="s">
        <v>4569</v>
      </c>
      <c r="IG49" t="s">
        <v>4569</v>
      </c>
      <c r="IH49" t="s">
        <v>4569</v>
      </c>
      <c r="II49" t="s">
        <v>4569</v>
      </c>
    </row>
    <row r="50" spans="1:243" outlineLevel="1" x14ac:dyDescent="0.2">
      <c r="A50" t="str">
        <f t="shared" si="0"/>
        <v>Fechtwaffen</v>
      </c>
      <c r="DB50">
        <v>3</v>
      </c>
      <c r="DX50">
        <v>3</v>
      </c>
      <c r="DY50">
        <v>2</v>
      </c>
      <c r="EZ50" t="s">
        <v>4569</v>
      </c>
      <c r="FA50" t="s">
        <v>4569</v>
      </c>
      <c r="IF50" t="s">
        <v>4569</v>
      </c>
      <c r="IG50" t="s">
        <v>4569</v>
      </c>
      <c r="IH50" t="s">
        <v>4569</v>
      </c>
      <c r="II50" t="s">
        <v>4569</v>
      </c>
    </row>
    <row r="51" spans="1:243" outlineLevel="1" x14ac:dyDescent="0.2">
      <c r="A51" t="str">
        <f t="shared" si="0"/>
        <v>Hiebwaffen</v>
      </c>
      <c r="C51">
        <v>2</v>
      </c>
      <c r="D51">
        <v>2</v>
      </c>
      <c r="E51">
        <v>2</v>
      </c>
      <c r="F51">
        <v>2</v>
      </c>
      <c r="G51">
        <v>2</v>
      </c>
      <c r="H51">
        <v>2</v>
      </c>
      <c r="I51">
        <v>2</v>
      </c>
      <c r="J51">
        <v>2</v>
      </c>
      <c r="K51">
        <v>2</v>
      </c>
      <c r="L51">
        <v>2</v>
      </c>
      <c r="M51">
        <v>2</v>
      </c>
      <c r="N51">
        <v>2</v>
      </c>
      <c r="BA51">
        <v>2</v>
      </c>
      <c r="BP51">
        <v>5</v>
      </c>
      <c r="BR51">
        <v>4</v>
      </c>
      <c r="CC51">
        <v>4</v>
      </c>
      <c r="CD51">
        <v>4</v>
      </c>
      <c r="CE51">
        <v>3</v>
      </c>
      <c r="CG51">
        <v>4</v>
      </c>
      <c r="CH51">
        <v>2</v>
      </c>
      <c r="CI51">
        <v>4</v>
      </c>
      <c r="CJ51">
        <v>4</v>
      </c>
      <c r="CK51">
        <v>4</v>
      </c>
      <c r="CM51">
        <v>2</v>
      </c>
      <c r="CN51">
        <v>2</v>
      </c>
      <c r="CO51">
        <v>4</v>
      </c>
      <c r="CP51">
        <v>4</v>
      </c>
      <c r="CQ51">
        <v>3</v>
      </c>
      <c r="CR51">
        <v>2</v>
      </c>
      <c r="CS51">
        <v>2</v>
      </c>
      <c r="CT51">
        <v>3</v>
      </c>
      <c r="CU51">
        <v>3</v>
      </c>
      <c r="EZ51" t="s">
        <v>4569</v>
      </c>
      <c r="FA51" t="s">
        <v>4569</v>
      </c>
      <c r="IF51" t="s">
        <v>4569</v>
      </c>
      <c r="IG51" t="s">
        <v>4569</v>
      </c>
      <c r="IH51" t="s">
        <v>4569</v>
      </c>
      <c r="II51" t="s">
        <v>4569</v>
      </c>
    </row>
    <row r="52" spans="1:243" outlineLevel="1" x14ac:dyDescent="0.2">
      <c r="A52" t="str">
        <f t="shared" si="0"/>
        <v>Infanteriewaffen</v>
      </c>
      <c r="EZ52" t="s">
        <v>4569</v>
      </c>
      <c r="FA52" t="s">
        <v>4569</v>
      </c>
      <c r="IF52" t="s">
        <v>4569</v>
      </c>
      <c r="IG52" t="s">
        <v>4569</v>
      </c>
      <c r="IH52" t="s">
        <v>4569</v>
      </c>
      <c r="II52" t="s">
        <v>4569</v>
      </c>
    </row>
    <row r="53" spans="1:243" outlineLevel="1" x14ac:dyDescent="0.2">
      <c r="A53" t="str">
        <f t="shared" si="0"/>
        <v>Kettenstäbe</v>
      </c>
      <c r="EZ53" t="s">
        <v>4569</v>
      </c>
      <c r="FA53" t="s">
        <v>4569</v>
      </c>
      <c r="GS53">
        <v>2</v>
      </c>
      <c r="GW53">
        <v>2</v>
      </c>
      <c r="IF53" t="s">
        <v>4569</v>
      </c>
      <c r="IG53" t="s">
        <v>4569</v>
      </c>
      <c r="IH53" t="s">
        <v>4569</v>
      </c>
      <c r="II53" t="s">
        <v>4569</v>
      </c>
    </row>
    <row r="54" spans="1:243" outlineLevel="1" x14ac:dyDescent="0.2">
      <c r="A54" t="str">
        <f t="shared" si="0"/>
        <v>Kettenwaffen</v>
      </c>
      <c r="EZ54" t="s">
        <v>4569</v>
      </c>
      <c r="FA54" t="s">
        <v>4569</v>
      </c>
      <c r="IF54" t="s">
        <v>4569</v>
      </c>
      <c r="IG54" t="s">
        <v>4569</v>
      </c>
      <c r="IH54" t="s">
        <v>4569</v>
      </c>
      <c r="II54" t="s">
        <v>4569</v>
      </c>
    </row>
    <row r="55" spans="1:243" outlineLevel="1" x14ac:dyDescent="0.2">
      <c r="A55" t="str">
        <f t="shared" si="0"/>
        <v>Lanzenreiten</v>
      </c>
      <c r="EZ55" t="s">
        <v>4569</v>
      </c>
      <c r="FA55" t="s">
        <v>4569</v>
      </c>
      <c r="IF55" t="s">
        <v>4569</v>
      </c>
      <c r="IG55" t="s">
        <v>4569</v>
      </c>
      <c r="IH55" t="s">
        <v>4569</v>
      </c>
      <c r="II55" t="s">
        <v>4569</v>
      </c>
    </row>
    <row r="56" spans="1:243" outlineLevel="1" x14ac:dyDescent="0.2">
      <c r="A56" t="str">
        <f t="shared" si="0"/>
        <v>Peitsche</v>
      </c>
      <c r="EZ56" t="s">
        <v>4569</v>
      </c>
      <c r="FA56" t="s">
        <v>4569</v>
      </c>
      <c r="IF56" t="s">
        <v>4569</v>
      </c>
      <c r="IG56" t="s">
        <v>4569</v>
      </c>
      <c r="IH56" t="s">
        <v>4569</v>
      </c>
      <c r="II56" t="s">
        <v>4569</v>
      </c>
    </row>
    <row r="57" spans="1:243" outlineLevel="1" x14ac:dyDescent="0.2">
      <c r="A57" t="str">
        <f t="shared" si="0"/>
        <v>Raufen</v>
      </c>
      <c r="AP57">
        <v>2</v>
      </c>
      <c r="AQ57">
        <v>2</v>
      </c>
      <c r="AR57">
        <v>2</v>
      </c>
      <c r="AS57">
        <v>2</v>
      </c>
      <c r="BB57">
        <v>2</v>
      </c>
      <c r="BC57">
        <v>5</v>
      </c>
      <c r="BF57">
        <v>2</v>
      </c>
      <c r="BL57">
        <v>6</v>
      </c>
      <c r="BM57">
        <v>6</v>
      </c>
      <c r="BN57">
        <v>3</v>
      </c>
      <c r="BO57">
        <v>6</v>
      </c>
      <c r="BP57">
        <v>6</v>
      </c>
      <c r="BQ57">
        <v>6</v>
      </c>
      <c r="BR57">
        <v>6</v>
      </c>
      <c r="BS57">
        <v>6</v>
      </c>
      <c r="BT57">
        <v>3</v>
      </c>
      <c r="BU57">
        <v>6</v>
      </c>
      <c r="BV57">
        <v>6</v>
      </c>
      <c r="BW57">
        <v>6</v>
      </c>
      <c r="BX57">
        <v>3</v>
      </c>
      <c r="BY57">
        <v>6</v>
      </c>
      <c r="BZ57">
        <v>6</v>
      </c>
      <c r="CA57">
        <v>6</v>
      </c>
      <c r="CB57">
        <v>1</v>
      </c>
      <c r="CC57">
        <v>4</v>
      </c>
      <c r="CD57">
        <v>4</v>
      </c>
      <c r="CE57">
        <v>3</v>
      </c>
      <c r="CF57">
        <v>1</v>
      </c>
      <c r="CG57">
        <v>4</v>
      </c>
      <c r="CH57">
        <v>4</v>
      </c>
      <c r="CI57">
        <v>4</v>
      </c>
      <c r="CJ57">
        <v>4</v>
      </c>
      <c r="CK57">
        <v>4</v>
      </c>
      <c r="CL57">
        <v>5</v>
      </c>
      <c r="CM57">
        <v>2</v>
      </c>
      <c r="CN57">
        <v>2</v>
      </c>
      <c r="CO57">
        <v>4</v>
      </c>
      <c r="CP57">
        <v>4</v>
      </c>
      <c r="CQ57">
        <v>2</v>
      </c>
      <c r="CR57">
        <v>2</v>
      </c>
      <c r="CS57">
        <v>2</v>
      </c>
      <c r="CT57">
        <v>3</v>
      </c>
      <c r="CU57">
        <v>3</v>
      </c>
      <c r="CW57">
        <v>1</v>
      </c>
      <c r="CX57">
        <v>2</v>
      </c>
      <c r="CY57">
        <v>2</v>
      </c>
      <c r="CZ57">
        <v>2</v>
      </c>
      <c r="DA57">
        <v>1</v>
      </c>
      <c r="DB57">
        <v>4</v>
      </c>
      <c r="DD57">
        <v>1</v>
      </c>
      <c r="DE57">
        <v>1</v>
      </c>
      <c r="DL57">
        <v>2</v>
      </c>
      <c r="DM57">
        <v>1</v>
      </c>
      <c r="DR57">
        <v>2</v>
      </c>
      <c r="DT57">
        <v>2</v>
      </c>
      <c r="DU57">
        <v>1</v>
      </c>
      <c r="DX57">
        <v>2</v>
      </c>
      <c r="DZ57">
        <v>2</v>
      </c>
      <c r="EA57">
        <v>1</v>
      </c>
      <c r="EB57">
        <v>1</v>
      </c>
      <c r="ED57">
        <v>1</v>
      </c>
      <c r="EG57">
        <v>3</v>
      </c>
      <c r="EH57">
        <v>1</v>
      </c>
      <c r="EI57">
        <v>1</v>
      </c>
      <c r="EJ57">
        <v>3</v>
      </c>
      <c r="EP57">
        <v>2</v>
      </c>
      <c r="ER57">
        <v>2</v>
      </c>
      <c r="ES57">
        <v>1</v>
      </c>
      <c r="EV57">
        <v>2</v>
      </c>
      <c r="EW57">
        <v>2</v>
      </c>
      <c r="EZ57" t="s">
        <v>4569</v>
      </c>
      <c r="FA57" t="s">
        <v>4569</v>
      </c>
      <c r="FB57">
        <v>2</v>
      </c>
      <c r="FC57">
        <v>2</v>
      </c>
      <c r="FE57">
        <v>2</v>
      </c>
      <c r="FK57">
        <v>3</v>
      </c>
      <c r="FN57">
        <v>2</v>
      </c>
      <c r="FV57">
        <v>2</v>
      </c>
      <c r="FX57">
        <v>2</v>
      </c>
      <c r="FY57">
        <v>2</v>
      </c>
      <c r="FZ57">
        <v>2</v>
      </c>
      <c r="GA57">
        <v>2</v>
      </c>
      <c r="GB57">
        <v>4</v>
      </c>
      <c r="GC57">
        <v>2</v>
      </c>
      <c r="GD57">
        <v>3</v>
      </c>
      <c r="GF57">
        <v>3</v>
      </c>
      <c r="GG57">
        <v>3</v>
      </c>
      <c r="GH57">
        <v>3</v>
      </c>
      <c r="GI57">
        <v>3</v>
      </c>
      <c r="GJ57">
        <v>3</v>
      </c>
      <c r="GK57">
        <v>3</v>
      </c>
      <c r="GL57">
        <v>3</v>
      </c>
      <c r="IF57" t="s">
        <v>4569</v>
      </c>
      <c r="IG57" t="s">
        <v>4569</v>
      </c>
      <c r="IH57" t="s">
        <v>4569</v>
      </c>
      <c r="II57" t="s">
        <v>4569</v>
      </c>
    </row>
    <row r="58" spans="1:243" outlineLevel="1" x14ac:dyDescent="0.2">
      <c r="A58" t="str">
        <f t="shared" si="0"/>
        <v>Ringen</v>
      </c>
      <c r="P58">
        <v>3</v>
      </c>
      <c r="AD58">
        <v>3</v>
      </c>
      <c r="BB58">
        <v>2</v>
      </c>
      <c r="BL58">
        <v>2</v>
      </c>
      <c r="BM58">
        <v>5</v>
      </c>
      <c r="BN58">
        <v>4</v>
      </c>
      <c r="BO58">
        <v>2</v>
      </c>
      <c r="BP58">
        <v>5</v>
      </c>
      <c r="BQ58">
        <v>5</v>
      </c>
      <c r="BR58">
        <v>5</v>
      </c>
      <c r="BS58">
        <v>2</v>
      </c>
      <c r="BT58">
        <v>4</v>
      </c>
      <c r="BU58">
        <v>5</v>
      </c>
      <c r="BV58">
        <v>2</v>
      </c>
      <c r="BW58">
        <v>5</v>
      </c>
      <c r="BX58">
        <v>4</v>
      </c>
      <c r="BY58">
        <v>2</v>
      </c>
      <c r="BZ58">
        <v>5</v>
      </c>
      <c r="CA58">
        <v>5</v>
      </c>
      <c r="CB58">
        <v>3</v>
      </c>
      <c r="CC58">
        <v>2</v>
      </c>
      <c r="CD58">
        <v>3</v>
      </c>
      <c r="CE58">
        <v>2</v>
      </c>
      <c r="CF58">
        <v>4</v>
      </c>
      <c r="CG58">
        <v>2</v>
      </c>
      <c r="CI58">
        <v>2</v>
      </c>
      <c r="CJ58">
        <v>2</v>
      </c>
      <c r="CK58">
        <v>3</v>
      </c>
      <c r="CL58">
        <v>3</v>
      </c>
      <c r="CR58">
        <v>2</v>
      </c>
      <c r="CS58">
        <v>2</v>
      </c>
      <c r="CW58">
        <v>2</v>
      </c>
      <c r="CX58">
        <v>2</v>
      </c>
      <c r="CY58">
        <v>2</v>
      </c>
      <c r="CZ58">
        <v>2</v>
      </c>
      <c r="DA58">
        <v>1</v>
      </c>
      <c r="DB58">
        <v>4</v>
      </c>
      <c r="DL58">
        <v>2</v>
      </c>
      <c r="DN58">
        <v>2</v>
      </c>
      <c r="DO58">
        <v>2</v>
      </c>
      <c r="DR58">
        <v>2</v>
      </c>
      <c r="DS58">
        <v>2</v>
      </c>
      <c r="EJ58">
        <v>2</v>
      </c>
      <c r="EZ58" t="s">
        <v>4569</v>
      </c>
      <c r="FA58" t="s">
        <v>4569</v>
      </c>
      <c r="FB58">
        <v>2</v>
      </c>
      <c r="FC58">
        <v>2</v>
      </c>
      <c r="FE58">
        <v>2</v>
      </c>
      <c r="FK58">
        <v>3</v>
      </c>
      <c r="FN58">
        <v>2</v>
      </c>
      <c r="GF58">
        <v>2</v>
      </c>
      <c r="GG58">
        <v>2</v>
      </c>
      <c r="GH58">
        <v>2</v>
      </c>
      <c r="GI58">
        <v>2</v>
      </c>
      <c r="GJ58">
        <v>2</v>
      </c>
      <c r="GK58">
        <v>2</v>
      </c>
      <c r="GL58">
        <v>2</v>
      </c>
      <c r="IF58" t="s">
        <v>4569</v>
      </c>
      <c r="IG58" t="s">
        <v>4569</v>
      </c>
      <c r="IH58" t="s">
        <v>4569</v>
      </c>
      <c r="II58" t="s">
        <v>4569</v>
      </c>
    </row>
    <row r="59" spans="1:243" outlineLevel="1" x14ac:dyDescent="0.2">
      <c r="A59" t="str">
        <f t="shared" si="0"/>
        <v>Säbel</v>
      </c>
      <c r="CB59">
        <v>2</v>
      </c>
      <c r="EZ59" t="s">
        <v>4569</v>
      </c>
      <c r="FA59" t="s">
        <v>4569</v>
      </c>
      <c r="GP59">
        <v>1</v>
      </c>
      <c r="GQ59">
        <v>2</v>
      </c>
      <c r="GT59">
        <v>1</v>
      </c>
      <c r="GU59">
        <v>2</v>
      </c>
      <c r="IF59" t="s">
        <v>4569</v>
      </c>
      <c r="IG59" t="s">
        <v>4569</v>
      </c>
      <c r="IH59" t="s">
        <v>4569</v>
      </c>
      <c r="II59" t="s">
        <v>4569</v>
      </c>
    </row>
    <row r="60" spans="1:243" outlineLevel="1" x14ac:dyDescent="0.2">
      <c r="A60" t="str">
        <f t="shared" si="0"/>
        <v>Schleuder</v>
      </c>
      <c r="E60">
        <v>2</v>
      </c>
      <c r="CG60">
        <v>4</v>
      </c>
      <c r="EZ60" t="s">
        <v>4569</v>
      </c>
      <c r="FA60" t="s">
        <v>4569</v>
      </c>
      <c r="IF60" t="s">
        <v>4569</v>
      </c>
      <c r="IG60" t="s">
        <v>4569</v>
      </c>
      <c r="IH60" t="s">
        <v>4569</v>
      </c>
      <c r="II60" t="s">
        <v>4569</v>
      </c>
    </row>
    <row r="61" spans="1:243" outlineLevel="1" x14ac:dyDescent="0.2">
      <c r="A61" t="str">
        <f t="shared" si="0"/>
        <v>Schwerter</v>
      </c>
      <c r="CZ61">
        <v>4</v>
      </c>
      <c r="DR61">
        <v>4</v>
      </c>
      <c r="EZ61" t="s">
        <v>4569</v>
      </c>
      <c r="FA61" t="s">
        <v>4569</v>
      </c>
      <c r="FK61">
        <v>2</v>
      </c>
      <c r="IF61" t="s">
        <v>4569</v>
      </c>
      <c r="IG61" t="s">
        <v>4569</v>
      </c>
      <c r="IH61" t="s">
        <v>4569</v>
      </c>
      <c r="II61" t="s">
        <v>4569</v>
      </c>
    </row>
    <row r="62" spans="1:243" outlineLevel="1" x14ac:dyDescent="0.2">
      <c r="A62" t="str">
        <f t="shared" si="0"/>
        <v>Speere</v>
      </c>
      <c r="BN62">
        <v>3</v>
      </c>
      <c r="BT62">
        <v>3</v>
      </c>
      <c r="BX62">
        <v>4</v>
      </c>
      <c r="CE62">
        <v>5</v>
      </c>
      <c r="CF62">
        <v>5</v>
      </c>
      <c r="CH62">
        <v>4</v>
      </c>
      <c r="CI62">
        <v>4</v>
      </c>
      <c r="EZ62" t="s">
        <v>4569</v>
      </c>
      <c r="FA62" t="s">
        <v>4569</v>
      </c>
      <c r="IF62" t="s">
        <v>4569</v>
      </c>
      <c r="IG62" t="s">
        <v>4569</v>
      </c>
      <c r="IH62" t="s">
        <v>4569</v>
      </c>
      <c r="II62" t="s">
        <v>4569</v>
      </c>
    </row>
    <row r="63" spans="1:243" outlineLevel="1" x14ac:dyDescent="0.2">
      <c r="A63" t="str">
        <f t="shared" si="0"/>
        <v>Stäbe</v>
      </c>
      <c r="H63">
        <v>1</v>
      </c>
      <c r="I63">
        <v>1</v>
      </c>
      <c r="J63">
        <v>1</v>
      </c>
      <c r="K63">
        <v>1</v>
      </c>
      <c r="L63">
        <v>1</v>
      </c>
      <c r="M63">
        <v>1</v>
      </c>
      <c r="N63">
        <v>1</v>
      </c>
      <c r="CM63">
        <v>2</v>
      </c>
      <c r="CW63">
        <v>2</v>
      </c>
      <c r="CX63">
        <v>3</v>
      </c>
      <c r="CY63">
        <v>4</v>
      </c>
      <c r="CZ63">
        <v>5</v>
      </c>
      <c r="DA63">
        <v>3</v>
      </c>
      <c r="DB63">
        <v>4</v>
      </c>
      <c r="DC63">
        <v>1</v>
      </c>
      <c r="DD63">
        <v>1</v>
      </c>
      <c r="DE63">
        <v>1</v>
      </c>
      <c r="DF63">
        <v>1</v>
      </c>
      <c r="DG63">
        <v>1</v>
      </c>
      <c r="DH63">
        <v>1</v>
      </c>
      <c r="DI63">
        <v>1</v>
      </c>
      <c r="DJ63">
        <v>1</v>
      </c>
      <c r="DK63">
        <v>1</v>
      </c>
      <c r="DL63">
        <v>1</v>
      </c>
      <c r="DM63">
        <v>3</v>
      </c>
      <c r="DN63">
        <v>1</v>
      </c>
      <c r="DO63">
        <v>1</v>
      </c>
      <c r="DP63">
        <v>2</v>
      </c>
      <c r="DQ63">
        <v>1</v>
      </c>
      <c r="DR63">
        <v>5</v>
      </c>
      <c r="DS63">
        <v>3</v>
      </c>
      <c r="DT63">
        <v>1</v>
      </c>
      <c r="DU63">
        <v>2</v>
      </c>
      <c r="DV63">
        <v>1</v>
      </c>
      <c r="DW63">
        <v>1</v>
      </c>
      <c r="DX63">
        <v>2</v>
      </c>
      <c r="DY63">
        <v>2</v>
      </c>
      <c r="DZ63">
        <v>3</v>
      </c>
      <c r="EA63">
        <v>3</v>
      </c>
      <c r="EB63">
        <v>2</v>
      </c>
      <c r="EC63">
        <v>2</v>
      </c>
      <c r="ED63">
        <v>1</v>
      </c>
      <c r="EE63">
        <v>3</v>
      </c>
      <c r="EF63">
        <v>1</v>
      </c>
      <c r="EG63">
        <v>3</v>
      </c>
      <c r="EJ63">
        <v>2</v>
      </c>
      <c r="EM63">
        <v>2</v>
      </c>
      <c r="EN63">
        <v>2</v>
      </c>
      <c r="EO63">
        <v>2</v>
      </c>
      <c r="EP63">
        <v>3</v>
      </c>
      <c r="EQ63">
        <v>2</v>
      </c>
      <c r="ER63">
        <v>3</v>
      </c>
      <c r="ES63">
        <v>3</v>
      </c>
      <c r="ET63">
        <v>1</v>
      </c>
      <c r="EU63">
        <v>2</v>
      </c>
      <c r="EV63">
        <v>2</v>
      </c>
      <c r="EW63">
        <v>3</v>
      </c>
      <c r="EY63">
        <v>1</v>
      </c>
      <c r="EZ63">
        <v>1</v>
      </c>
      <c r="FA63">
        <v>1</v>
      </c>
      <c r="FB63">
        <v>2</v>
      </c>
      <c r="FC63">
        <v>2</v>
      </c>
      <c r="FD63">
        <v>1</v>
      </c>
      <c r="FE63">
        <v>2</v>
      </c>
      <c r="FF63">
        <v>1</v>
      </c>
      <c r="FG63">
        <v>4</v>
      </c>
      <c r="FH63">
        <v>4</v>
      </c>
      <c r="FI63">
        <v>4</v>
      </c>
      <c r="FJ63">
        <v>4</v>
      </c>
      <c r="FK63">
        <v>3</v>
      </c>
      <c r="FL63">
        <v>2</v>
      </c>
      <c r="FM63">
        <v>1</v>
      </c>
      <c r="FN63">
        <v>1</v>
      </c>
      <c r="FO63">
        <v>3</v>
      </c>
      <c r="FP63">
        <v>1</v>
      </c>
      <c r="FQ63">
        <v>1</v>
      </c>
      <c r="FR63">
        <v>1</v>
      </c>
      <c r="FS63">
        <v>1</v>
      </c>
      <c r="FT63">
        <v>2</v>
      </c>
      <c r="FU63">
        <v>2</v>
      </c>
      <c r="GS63">
        <v>2</v>
      </c>
      <c r="GW63">
        <v>2</v>
      </c>
      <c r="IF63" t="s">
        <v>4569</v>
      </c>
      <c r="IG63" t="s">
        <v>4569</v>
      </c>
      <c r="IH63" t="s">
        <v>4569</v>
      </c>
      <c r="II63" t="s">
        <v>4569</v>
      </c>
    </row>
    <row r="64" spans="1:243" outlineLevel="1" x14ac:dyDescent="0.2">
      <c r="A64" t="str">
        <f t="shared" si="0"/>
        <v>Wurfbeile</v>
      </c>
      <c r="CD64">
        <v>3</v>
      </c>
      <c r="CK64">
        <v>4</v>
      </c>
      <c r="CM64">
        <v>1</v>
      </c>
      <c r="CO64">
        <v>3</v>
      </c>
      <c r="CP64">
        <v>3</v>
      </c>
      <c r="CQ64">
        <v>2</v>
      </c>
      <c r="CT64">
        <v>3</v>
      </c>
      <c r="CU64">
        <v>3</v>
      </c>
      <c r="EH64">
        <v>2</v>
      </c>
      <c r="EI64">
        <v>2</v>
      </c>
      <c r="EZ64" t="s">
        <v>4569</v>
      </c>
      <c r="FA64" t="s">
        <v>4569</v>
      </c>
      <c r="IF64" t="s">
        <v>4569</v>
      </c>
      <c r="IG64" t="s">
        <v>4569</v>
      </c>
      <c r="IH64" t="s">
        <v>4569</v>
      </c>
      <c r="II64" t="s">
        <v>4569</v>
      </c>
    </row>
    <row r="65" spans="1:244" outlineLevel="1" x14ac:dyDescent="0.2">
      <c r="A65" t="str">
        <f t="shared" si="0"/>
        <v>Wurfmesser</v>
      </c>
      <c r="BF65">
        <v>2</v>
      </c>
      <c r="CN65">
        <v>1</v>
      </c>
      <c r="EO65">
        <v>2</v>
      </c>
      <c r="EP65">
        <v>2</v>
      </c>
      <c r="EZ65">
        <v>1</v>
      </c>
      <c r="FA65">
        <v>4</v>
      </c>
      <c r="GF65">
        <v>2</v>
      </c>
      <c r="GG65">
        <v>2</v>
      </c>
      <c r="GH65">
        <v>2</v>
      </c>
      <c r="GI65">
        <v>2</v>
      </c>
      <c r="GJ65">
        <v>2</v>
      </c>
      <c r="GK65">
        <v>2</v>
      </c>
      <c r="GL65">
        <v>2</v>
      </c>
      <c r="GO65">
        <v>2</v>
      </c>
      <c r="GR65">
        <v>2</v>
      </c>
      <c r="GV65">
        <v>2</v>
      </c>
      <c r="IF65" t="s">
        <v>4569</v>
      </c>
      <c r="IG65" t="s">
        <v>4569</v>
      </c>
      <c r="IH65" t="s">
        <v>4569</v>
      </c>
      <c r="II65" t="s">
        <v>4569</v>
      </c>
    </row>
    <row r="66" spans="1:244" outlineLevel="1" x14ac:dyDescent="0.2">
      <c r="A66" t="str">
        <f t="shared" si="0"/>
        <v>Wurfspeere</v>
      </c>
      <c r="CE66">
        <v>5</v>
      </c>
      <c r="CF66">
        <v>1</v>
      </c>
      <c r="CI66">
        <v>5</v>
      </c>
      <c r="CL66">
        <v>4</v>
      </c>
      <c r="EZ66" t="s">
        <v>4569</v>
      </c>
      <c r="FA66" t="s">
        <v>4569</v>
      </c>
      <c r="IF66" t="s">
        <v>4569</v>
      </c>
      <c r="IG66" t="s">
        <v>4569</v>
      </c>
      <c r="IH66" t="s">
        <v>4569</v>
      </c>
      <c r="II66" t="s">
        <v>4569</v>
      </c>
    </row>
    <row r="67" spans="1:244" outlineLevel="1" x14ac:dyDescent="0.2">
      <c r="A67" t="str">
        <f t="shared" si="0"/>
        <v>Zweihandflegel</v>
      </c>
      <c r="EZ67" t="s">
        <v>4569</v>
      </c>
      <c r="FA67" t="s">
        <v>4569</v>
      </c>
      <c r="IF67" t="s">
        <v>4569</v>
      </c>
      <c r="IG67" t="s">
        <v>4569</v>
      </c>
      <c r="IH67" t="s">
        <v>4569</v>
      </c>
      <c r="II67" t="s">
        <v>4569</v>
      </c>
    </row>
    <row r="68" spans="1:244" outlineLevel="1" x14ac:dyDescent="0.2">
      <c r="A68" t="str">
        <f t="shared" si="0"/>
        <v>Zweihand-Hiebwaffen</v>
      </c>
      <c r="CD68">
        <v>2</v>
      </c>
      <c r="CQ68">
        <v>3</v>
      </c>
      <c r="EZ68" t="s">
        <v>4569</v>
      </c>
      <c r="FA68" t="s">
        <v>4569</v>
      </c>
      <c r="IF68" t="s">
        <v>4569</v>
      </c>
      <c r="IG68" t="s">
        <v>4569</v>
      </c>
      <c r="IH68" t="s">
        <v>4569</v>
      </c>
      <c r="II68" t="s">
        <v>4569</v>
      </c>
    </row>
    <row r="69" spans="1:244" outlineLevel="1" x14ac:dyDescent="0.2">
      <c r="A69" t="str">
        <f t="shared" si="0"/>
        <v>Zweihandschwerter/-säbel</v>
      </c>
      <c r="EZ69" t="s">
        <v>4569</v>
      </c>
      <c r="FA69" t="s">
        <v>4569</v>
      </c>
      <c r="IF69" t="s">
        <v>4569</v>
      </c>
      <c r="IG69" t="s">
        <v>4569</v>
      </c>
      <c r="IH69" t="s">
        <v>4569</v>
      </c>
      <c r="II69" t="s">
        <v>4569</v>
      </c>
    </row>
    <row r="70" spans="1:244" ht="12.75" customHeight="1" outlineLevel="1" x14ac:dyDescent="0.2">
      <c r="A70" t="str">
        <f>INDEX(TL_KRP,ROW()-69)</f>
        <v>Akrobatik</v>
      </c>
      <c r="B70" t="s">
        <v>3311</v>
      </c>
      <c r="O70" t="s">
        <v>3311</v>
      </c>
      <c r="AT70" t="s">
        <v>3311</v>
      </c>
      <c r="AY70" t="s">
        <v>3311</v>
      </c>
      <c r="BH70" t="s">
        <v>3311</v>
      </c>
      <c r="BK70" t="s">
        <v>3311</v>
      </c>
      <c r="BL70">
        <v>2</v>
      </c>
      <c r="BO70">
        <v>2</v>
      </c>
      <c r="BS70">
        <v>2</v>
      </c>
      <c r="BV70">
        <v>2</v>
      </c>
      <c r="BY70">
        <v>2</v>
      </c>
      <c r="CB70">
        <v>2</v>
      </c>
      <c r="CV70" t="s">
        <v>3311</v>
      </c>
      <c r="EX70" t="s">
        <v>3311</v>
      </c>
      <c r="EZ70">
        <v>1</v>
      </c>
      <c r="FA70">
        <v>2</v>
      </c>
      <c r="FW70" t="s">
        <v>3311</v>
      </c>
      <c r="GE70" t="s">
        <v>3311</v>
      </c>
      <c r="GF70">
        <v>5</v>
      </c>
      <c r="GG70">
        <v>5</v>
      </c>
      <c r="GH70">
        <v>5</v>
      </c>
      <c r="GI70">
        <v>6</v>
      </c>
      <c r="GJ70">
        <v>5</v>
      </c>
      <c r="GK70">
        <v>6</v>
      </c>
      <c r="GL70">
        <v>5</v>
      </c>
      <c r="GM70" t="s">
        <v>3311</v>
      </c>
      <c r="GN70">
        <v>3</v>
      </c>
      <c r="GO70">
        <v>5</v>
      </c>
      <c r="GP70">
        <v>3</v>
      </c>
      <c r="GQ70">
        <v>3</v>
      </c>
      <c r="GR70">
        <v>5</v>
      </c>
      <c r="GS70">
        <v>5</v>
      </c>
      <c r="GT70">
        <v>3</v>
      </c>
      <c r="GU70">
        <v>3</v>
      </c>
      <c r="GV70">
        <v>5</v>
      </c>
      <c r="GW70">
        <v>5</v>
      </c>
      <c r="GX70" t="s">
        <v>3311</v>
      </c>
      <c r="IF70" t="s">
        <v>4569</v>
      </c>
      <c r="IG70" t="s">
        <v>4569</v>
      </c>
      <c r="IH70" t="s">
        <v>4569</v>
      </c>
      <c r="II70" t="s">
        <v>4569</v>
      </c>
      <c r="IJ70" t="s">
        <v>3311</v>
      </c>
    </row>
    <row r="71" spans="1:244" outlineLevel="1" x14ac:dyDescent="0.2">
      <c r="A71" t="str">
        <f t="shared" ref="A71:A87" si="1">INDEX(TL_KRP,ROW()-69)</f>
        <v>Athletik</v>
      </c>
      <c r="R71">
        <v>3</v>
      </c>
      <c r="S71">
        <v>3</v>
      </c>
      <c r="T71">
        <v>3</v>
      </c>
      <c r="U71">
        <v>3</v>
      </c>
      <c r="V71">
        <v>3</v>
      </c>
      <c r="X71">
        <v>3</v>
      </c>
      <c r="Y71">
        <v>3</v>
      </c>
      <c r="Z71">
        <v>3</v>
      </c>
      <c r="AA71">
        <v>3</v>
      </c>
      <c r="AB71">
        <v>3</v>
      </c>
      <c r="AF71">
        <v>3</v>
      </c>
      <c r="AG71">
        <v>3</v>
      </c>
      <c r="AH71">
        <v>3</v>
      </c>
      <c r="AI71">
        <v>3</v>
      </c>
      <c r="AK71">
        <v>3</v>
      </c>
      <c r="AL71">
        <v>3</v>
      </c>
      <c r="AM71">
        <v>3</v>
      </c>
      <c r="AN71">
        <v>3</v>
      </c>
      <c r="BL71">
        <v>3</v>
      </c>
      <c r="BO71">
        <v>3</v>
      </c>
      <c r="BS71">
        <v>3</v>
      </c>
      <c r="BV71">
        <v>3</v>
      </c>
      <c r="BY71">
        <v>3</v>
      </c>
      <c r="CB71">
        <v>2</v>
      </c>
      <c r="CC71">
        <v>3</v>
      </c>
      <c r="CD71">
        <v>3</v>
      </c>
      <c r="CE71">
        <v>3</v>
      </c>
      <c r="CF71">
        <v>2</v>
      </c>
      <c r="CG71">
        <v>4</v>
      </c>
      <c r="CH71">
        <v>3</v>
      </c>
      <c r="CI71">
        <v>3</v>
      </c>
      <c r="CJ71">
        <v>3</v>
      </c>
      <c r="CK71">
        <v>3</v>
      </c>
      <c r="CL71">
        <v>4</v>
      </c>
      <c r="CY71">
        <v>3</v>
      </c>
      <c r="CZ71">
        <v>3</v>
      </c>
      <c r="DB71">
        <v>1</v>
      </c>
      <c r="DR71">
        <v>3</v>
      </c>
      <c r="DT71">
        <v>1</v>
      </c>
      <c r="EE71">
        <v>1</v>
      </c>
      <c r="EZ71">
        <v>1</v>
      </c>
      <c r="FA71">
        <v>2</v>
      </c>
      <c r="FT71">
        <v>2</v>
      </c>
      <c r="GN71">
        <v>3</v>
      </c>
      <c r="GO71">
        <v>3</v>
      </c>
      <c r="GP71">
        <v>3</v>
      </c>
      <c r="GQ71">
        <v>3</v>
      </c>
      <c r="GR71">
        <v>3</v>
      </c>
      <c r="GS71">
        <v>5</v>
      </c>
      <c r="GT71">
        <v>3</v>
      </c>
      <c r="GU71">
        <v>3</v>
      </c>
      <c r="GV71">
        <v>3</v>
      </c>
      <c r="GW71">
        <v>5</v>
      </c>
      <c r="IF71" t="s">
        <v>4569</v>
      </c>
      <c r="IG71" t="s">
        <v>4569</v>
      </c>
      <c r="IH71" t="s">
        <v>4569</v>
      </c>
      <c r="II71" t="s">
        <v>4569</v>
      </c>
    </row>
    <row r="72" spans="1:244" outlineLevel="1" x14ac:dyDescent="0.2">
      <c r="A72" t="str">
        <f t="shared" si="1"/>
        <v>Fliegen</v>
      </c>
      <c r="AZ72">
        <v>5</v>
      </c>
      <c r="BA72">
        <v>5</v>
      </c>
      <c r="BB72">
        <v>5</v>
      </c>
      <c r="BC72">
        <v>5</v>
      </c>
      <c r="BD72">
        <v>5</v>
      </c>
      <c r="BE72">
        <v>5</v>
      </c>
      <c r="BF72">
        <v>5</v>
      </c>
      <c r="BG72">
        <v>4</v>
      </c>
      <c r="CH72">
        <v>2</v>
      </c>
      <c r="CI72">
        <v>2</v>
      </c>
      <c r="DI72">
        <v>2</v>
      </c>
      <c r="EM72">
        <v>1</v>
      </c>
      <c r="EN72">
        <v>1</v>
      </c>
      <c r="EZ72" t="s">
        <v>4569</v>
      </c>
      <c r="FA72" t="s">
        <v>4569</v>
      </c>
      <c r="IF72" t="s">
        <v>4569</v>
      </c>
      <c r="IG72" t="s">
        <v>4569</v>
      </c>
      <c r="IH72" t="s">
        <v>4569</v>
      </c>
      <c r="II72" t="s">
        <v>4569</v>
      </c>
    </row>
    <row r="73" spans="1:244" outlineLevel="1" x14ac:dyDescent="0.2">
      <c r="A73" t="str">
        <f t="shared" si="1"/>
        <v>Gaukeleien</v>
      </c>
      <c r="BF73">
        <v>3</v>
      </c>
      <c r="CF73">
        <v>1</v>
      </c>
      <c r="EU73">
        <v>2</v>
      </c>
      <c r="EZ73" t="s">
        <v>4569</v>
      </c>
      <c r="FA73" t="s">
        <v>4569</v>
      </c>
      <c r="FZ73">
        <v>5</v>
      </c>
      <c r="GA73">
        <v>3</v>
      </c>
      <c r="GB73">
        <v>3</v>
      </c>
      <c r="GD73">
        <v>5</v>
      </c>
      <c r="GF73">
        <v>7</v>
      </c>
      <c r="GG73">
        <v>7</v>
      </c>
      <c r="GH73">
        <v>7</v>
      </c>
      <c r="GI73">
        <v>8</v>
      </c>
      <c r="GJ73">
        <v>7</v>
      </c>
      <c r="GK73">
        <v>9</v>
      </c>
      <c r="GL73">
        <v>7</v>
      </c>
      <c r="GO73">
        <v>4</v>
      </c>
      <c r="IF73" t="s">
        <v>4569</v>
      </c>
      <c r="IG73" t="s">
        <v>4569</v>
      </c>
      <c r="IH73" t="s">
        <v>4569</v>
      </c>
      <c r="II73" t="s">
        <v>4569</v>
      </c>
    </row>
    <row r="74" spans="1:244" outlineLevel="1" x14ac:dyDescent="0.2">
      <c r="A74" t="str">
        <f t="shared" si="1"/>
        <v>Klettern</v>
      </c>
      <c r="H74">
        <v>2</v>
      </c>
      <c r="I74">
        <v>2</v>
      </c>
      <c r="J74">
        <v>2</v>
      </c>
      <c r="K74">
        <v>2</v>
      </c>
      <c r="L74">
        <v>2</v>
      </c>
      <c r="M74">
        <v>2</v>
      </c>
      <c r="N74">
        <v>2</v>
      </c>
      <c r="U74">
        <v>3</v>
      </c>
      <c r="X74">
        <v>2</v>
      </c>
      <c r="Y74">
        <v>2</v>
      </c>
      <c r="Z74">
        <v>2</v>
      </c>
      <c r="AA74">
        <v>4</v>
      </c>
      <c r="AB74">
        <v>2</v>
      </c>
      <c r="AH74">
        <v>3</v>
      </c>
      <c r="AK74">
        <v>2</v>
      </c>
      <c r="AL74">
        <v>2</v>
      </c>
      <c r="AM74">
        <v>4</v>
      </c>
      <c r="AN74">
        <v>2</v>
      </c>
      <c r="AU74">
        <v>1</v>
      </c>
      <c r="AV74">
        <v>1</v>
      </c>
      <c r="AW74">
        <v>1</v>
      </c>
      <c r="AX74">
        <v>1</v>
      </c>
      <c r="BB74">
        <v>2</v>
      </c>
      <c r="BC74">
        <v>2</v>
      </c>
      <c r="BM74">
        <v>3</v>
      </c>
      <c r="BN74">
        <v>2</v>
      </c>
      <c r="BP74">
        <v>2</v>
      </c>
      <c r="BQ74">
        <v>3</v>
      </c>
      <c r="BR74">
        <v>2</v>
      </c>
      <c r="BT74">
        <v>2</v>
      </c>
      <c r="BU74">
        <v>3</v>
      </c>
      <c r="BW74">
        <v>3</v>
      </c>
      <c r="BX74">
        <v>2</v>
      </c>
      <c r="BZ74">
        <v>3</v>
      </c>
      <c r="CA74">
        <v>3</v>
      </c>
      <c r="CC74">
        <v>1</v>
      </c>
      <c r="CD74">
        <v>2</v>
      </c>
      <c r="CE74">
        <v>4</v>
      </c>
      <c r="CF74">
        <v>1</v>
      </c>
      <c r="CG74">
        <v>5</v>
      </c>
      <c r="CH74">
        <v>2</v>
      </c>
      <c r="CI74">
        <v>3</v>
      </c>
      <c r="CJ74">
        <v>1</v>
      </c>
      <c r="CK74">
        <v>3</v>
      </c>
      <c r="CL74">
        <v>2</v>
      </c>
      <c r="CN74">
        <v>1</v>
      </c>
      <c r="CQ74">
        <v>2</v>
      </c>
      <c r="CT74">
        <v>1</v>
      </c>
      <c r="CU74">
        <v>1</v>
      </c>
      <c r="CY74">
        <v>1</v>
      </c>
      <c r="CZ74">
        <v>2</v>
      </c>
      <c r="DF74">
        <v>3</v>
      </c>
      <c r="DG74">
        <v>3</v>
      </c>
      <c r="DH74">
        <v>3</v>
      </c>
      <c r="DI74">
        <v>3</v>
      </c>
      <c r="DJ74">
        <v>3</v>
      </c>
      <c r="DK74">
        <v>4</v>
      </c>
      <c r="DR74">
        <v>2</v>
      </c>
      <c r="DT74">
        <v>1</v>
      </c>
      <c r="DW74">
        <v>2</v>
      </c>
      <c r="ED74">
        <v>1</v>
      </c>
      <c r="EH74">
        <v>1</v>
      </c>
      <c r="EI74">
        <v>1</v>
      </c>
      <c r="ER74">
        <v>1</v>
      </c>
      <c r="ES74">
        <v>1</v>
      </c>
      <c r="EV74">
        <v>2</v>
      </c>
      <c r="EY74">
        <v>1</v>
      </c>
      <c r="EZ74">
        <v>1</v>
      </c>
      <c r="FA74">
        <v>2</v>
      </c>
      <c r="FT74">
        <v>2</v>
      </c>
      <c r="FU74">
        <v>2</v>
      </c>
      <c r="FV74">
        <v>2</v>
      </c>
      <c r="GF74">
        <v>4</v>
      </c>
      <c r="GG74">
        <v>4</v>
      </c>
      <c r="GH74">
        <v>4</v>
      </c>
      <c r="GI74">
        <v>4</v>
      </c>
      <c r="GJ74">
        <v>4</v>
      </c>
      <c r="GK74">
        <v>4</v>
      </c>
      <c r="GL74">
        <v>5</v>
      </c>
      <c r="IF74" t="s">
        <v>4569</v>
      </c>
      <c r="IG74" t="s">
        <v>4569</v>
      </c>
      <c r="IH74" t="s">
        <v>4569</v>
      </c>
      <c r="II74" t="s">
        <v>4569</v>
      </c>
    </row>
    <row r="75" spans="1:244" outlineLevel="1" x14ac:dyDescent="0.2">
      <c r="A75" t="str">
        <f t="shared" si="1"/>
        <v>Körperbeherrschung</v>
      </c>
      <c r="H75">
        <v>1</v>
      </c>
      <c r="I75">
        <v>1</v>
      </c>
      <c r="J75">
        <v>1</v>
      </c>
      <c r="K75">
        <v>1</v>
      </c>
      <c r="L75">
        <v>1</v>
      </c>
      <c r="M75">
        <v>1</v>
      </c>
      <c r="N75">
        <v>1</v>
      </c>
      <c r="R75">
        <v>2</v>
      </c>
      <c r="S75">
        <v>2</v>
      </c>
      <c r="T75">
        <v>2</v>
      </c>
      <c r="U75">
        <v>2</v>
      </c>
      <c r="V75">
        <v>2</v>
      </c>
      <c r="X75">
        <v>3</v>
      </c>
      <c r="Y75">
        <v>3</v>
      </c>
      <c r="Z75">
        <v>3</v>
      </c>
      <c r="AA75">
        <v>3</v>
      </c>
      <c r="AB75">
        <v>3</v>
      </c>
      <c r="AF75">
        <v>2</v>
      </c>
      <c r="AG75">
        <v>2</v>
      </c>
      <c r="AH75">
        <v>2</v>
      </c>
      <c r="AI75">
        <v>2</v>
      </c>
      <c r="AK75">
        <v>3</v>
      </c>
      <c r="AL75">
        <v>3</v>
      </c>
      <c r="AM75">
        <v>3</v>
      </c>
      <c r="AN75">
        <v>3</v>
      </c>
      <c r="AU75">
        <v>1</v>
      </c>
      <c r="AV75">
        <v>1</v>
      </c>
      <c r="AW75">
        <v>1</v>
      </c>
      <c r="AX75">
        <v>1</v>
      </c>
      <c r="BF75">
        <v>3</v>
      </c>
      <c r="BL75">
        <v>5</v>
      </c>
      <c r="BM75">
        <v>3</v>
      </c>
      <c r="BN75">
        <v>2</v>
      </c>
      <c r="BO75">
        <v>5</v>
      </c>
      <c r="BP75">
        <v>2</v>
      </c>
      <c r="BQ75">
        <v>3</v>
      </c>
      <c r="BR75">
        <v>2</v>
      </c>
      <c r="BS75">
        <v>5</v>
      </c>
      <c r="BT75">
        <v>2</v>
      </c>
      <c r="BU75">
        <v>3</v>
      </c>
      <c r="BV75">
        <v>5</v>
      </c>
      <c r="BW75">
        <v>3</v>
      </c>
      <c r="BX75">
        <v>2</v>
      </c>
      <c r="BY75">
        <v>5</v>
      </c>
      <c r="BZ75">
        <v>3</v>
      </c>
      <c r="CA75">
        <v>3</v>
      </c>
      <c r="CB75">
        <v>3</v>
      </c>
      <c r="CC75">
        <v>3</v>
      </c>
      <c r="CD75">
        <v>3</v>
      </c>
      <c r="CE75">
        <v>4</v>
      </c>
      <c r="CF75">
        <v>3</v>
      </c>
      <c r="CG75">
        <v>4</v>
      </c>
      <c r="CH75">
        <v>5</v>
      </c>
      <c r="CI75">
        <v>4</v>
      </c>
      <c r="CJ75">
        <v>3</v>
      </c>
      <c r="CK75">
        <v>3</v>
      </c>
      <c r="CL75">
        <v>4</v>
      </c>
      <c r="CM75">
        <v>1</v>
      </c>
      <c r="CN75">
        <v>1</v>
      </c>
      <c r="CO75">
        <v>1</v>
      </c>
      <c r="CP75">
        <v>1</v>
      </c>
      <c r="CR75">
        <v>1</v>
      </c>
      <c r="CS75">
        <v>1</v>
      </c>
      <c r="CT75">
        <v>1</v>
      </c>
      <c r="CU75">
        <v>1</v>
      </c>
      <c r="CW75">
        <v>1</v>
      </c>
      <c r="CX75">
        <v>3</v>
      </c>
      <c r="CY75">
        <v>4</v>
      </c>
      <c r="CZ75">
        <v>4</v>
      </c>
      <c r="DA75">
        <v>1</v>
      </c>
      <c r="DB75">
        <v>3</v>
      </c>
      <c r="DD75">
        <v>2</v>
      </c>
      <c r="DE75">
        <v>2</v>
      </c>
      <c r="DF75">
        <v>2</v>
      </c>
      <c r="DG75">
        <v>2</v>
      </c>
      <c r="DH75">
        <v>2</v>
      </c>
      <c r="DI75">
        <v>2</v>
      </c>
      <c r="DJ75">
        <v>2</v>
      </c>
      <c r="DK75">
        <v>2</v>
      </c>
      <c r="DN75">
        <v>1</v>
      </c>
      <c r="DO75">
        <v>1</v>
      </c>
      <c r="DP75">
        <v>2</v>
      </c>
      <c r="DR75">
        <v>4</v>
      </c>
      <c r="DS75">
        <v>2</v>
      </c>
      <c r="DT75">
        <v>2</v>
      </c>
      <c r="DV75">
        <v>1</v>
      </c>
      <c r="DW75">
        <v>2</v>
      </c>
      <c r="DZ75">
        <v>2</v>
      </c>
      <c r="EA75">
        <v>2</v>
      </c>
      <c r="ED75">
        <v>1</v>
      </c>
      <c r="EE75">
        <v>1</v>
      </c>
      <c r="EG75">
        <v>1</v>
      </c>
      <c r="EH75">
        <v>1</v>
      </c>
      <c r="EI75">
        <v>1</v>
      </c>
      <c r="EP75">
        <v>2</v>
      </c>
      <c r="ER75">
        <v>1</v>
      </c>
      <c r="ES75">
        <v>1</v>
      </c>
      <c r="EW75">
        <v>1</v>
      </c>
      <c r="EY75">
        <v>1</v>
      </c>
      <c r="EZ75">
        <v>2</v>
      </c>
      <c r="FA75">
        <v>3</v>
      </c>
      <c r="FG75">
        <v>2</v>
      </c>
      <c r="FH75">
        <v>2</v>
      </c>
      <c r="FI75">
        <v>2</v>
      </c>
      <c r="FJ75">
        <v>2</v>
      </c>
      <c r="FT75">
        <v>2</v>
      </c>
      <c r="FV75">
        <v>2</v>
      </c>
      <c r="FX75">
        <v>1</v>
      </c>
      <c r="FY75">
        <v>1</v>
      </c>
      <c r="FZ75">
        <v>1</v>
      </c>
      <c r="GA75">
        <v>1</v>
      </c>
      <c r="GB75">
        <v>1</v>
      </c>
      <c r="GC75">
        <v>1</v>
      </c>
      <c r="GD75">
        <v>1</v>
      </c>
      <c r="GF75">
        <v>4</v>
      </c>
      <c r="GG75">
        <v>4</v>
      </c>
      <c r="GH75">
        <v>4</v>
      </c>
      <c r="GI75">
        <v>4</v>
      </c>
      <c r="GJ75">
        <v>4</v>
      </c>
      <c r="GK75">
        <v>4</v>
      </c>
      <c r="GL75">
        <v>4</v>
      </c>
      <c r="GN75">
        <v>4</v>
      </c>
      <c r="GO75">
        <v>4</v>
      </c>
      <c r="GP75">
        <v>4</v>
      </c>
      <c r="GQ75">
        <v>4</v>
      </c>
      <c r="GR75">
        <v>4</v>
      </c>
      <c r="GS75">
        <v>5</v>
      </c>
      <c r="GT75">
        <v>4</v>
      </c>
      <c r="GU75">
        <v>4</v>
      </c>
      <c r="GV75">
        <v>4</v>
      </c>
      <c r="GW75">
        <v>5</v>
      </c>
      <c r="HA75">
        <v>1</v>
      </c>
      <c r="HB75">
        <v>1</v>
      </c>
      <c r="HC75">
        <v>1</v>
      </c>
      <c r="HD75">
        <v>1</v>
      </c>
      <c r="HE75">
        <v>1</v>
      </c>
      <c r="HF75">
        <v>1</v>
      </c>
      <c r="HG75">
        <v>1</v>
      </c>
      <c r="HH75">
        <v>1</v>
      </c>
      <c r="HI75">
        <v>1</v>
      </c>
      <c r="HJ75">
        <v>1</v>
      </c>
      <c r="HK75">
        <v>1</v>
      </c>
      <c r="HL75">
        <v>1</v>
      </c>
      <c r="HM75">
        <v>1</v>
      </c>
      <c r="HN75">
        <v>1</v>
      </c>
      <c r="HO75">
        <v>1</v>
      </c>
      <c r="HP75">
        <v>1</v>
      </c>
      <c r="HQ75">
        <v>1</v>
      </c>
      <c r="HR75">
        <v>1</v>
      </c>
      <c r="HS75">
        <v>1</v>
      </c>
      <c r="HT75">
        <v>1</v>
      </c>
      <c r="HU75">
        <v>1</v>
      </c>
      <c r="HV75">
        <v>1</v>
      </c>
      <c r="HW75">
        <v>1</v>
      </c>
      <c r="HX75">
        <v>1</v>
      </c>
      <c r="HY75">
        <v>1</v>
      </c>
      <c r="HZ75">
        <v>1</v>
      </c>
      <c r="IA75">
        <v>1</v>
      </c>
      <c r="IB75">
        <v>1</v>
      </c>
      <c r="IC75">
        <v>1</v>
      </c>
      <c r="ID75">
        <v>1</v>
      </c>
      <c r="IE75">
        <v>1</v>
      </c>
      <c r="IF75">
        <v>1</v>
      </c>
      <c r="IG75">
        <v>1</v>
      </c>
      <c r="IH75">
        <v>1</v>
      </c>
      <c r="II75">
        <v>1</v>
      </c>
    </row>
    <row r="76" spans="1:244" outlineLevel="1" x14ac:dyDescent="0.2">
      <c r="A76" t="str">
        <f t="shared" si="1"/>
        <v>Reiten</v>
      </c>
      <c r="T76">
        <v>2</v>
      </c>
      <c r="Z76">
        <v>2</v>
      </c>
      <c r="AG76">
        <v>2</v>
      </c>
      <c r="AL76">
        <v>2</v>
      </c>
      <c r="BM76">
        <v>1</v>
      </c>
      <c r="BP76">
        <v>2</v>
      </c>
      <c r="BQ76">
        <v>5</v>
      </c>
      <c r="BU76">
        <v>5</v>
      </c>
      <c r="BW76">
        <v>1</v>
      </c>
      <c r="BZ76">
        <v>1</v>
      </c>
      <c r="CA76">
        <v>1</v>
      </c>
      <c r="CB76">
        <v>1</v>
      </c>
      <c r="CZ76">
        <v>2</v>
      </c>
      <c r="DR76">
        <v>2</v>
      </c>
      <c r="DS76">
        <v>2</v>
      </c>
      <c r="DV76">
        <v>1</v>
      </c>
      <c r="DX76">
        <v>2</v>
      </c>
      <c r="EE76">
        <v>1</v>
      </c>
      <c r="EO76">
        <v>2</v>
      </c>
      <c r="EP76">
        <v>2</v>
      </c>
      <c r="EU76">
        <v>1</v>
      </c>
      <c r="EY76">
        <v>2</v>
      </c>
      <c r="EZ76" t="s">
        <v>4569</v>
      </c>
      <c r="FA76" t="s">
        <v>4569</v>
      </c>
      <c r="GQ76">
        <v>3</v>
      </c>
      <c r="GS76">
        <v>2</v>
      </c>
      <c r="GU76">
        <v>3</v>
      </c>
      <c r="GW76">
        <v>2</v>
      </c>
      <c r="HQ76">
        <v>1</v>
      </c>
      <c r="IF76" t="s">
        <v>4569</v>
      </c>
      <c r="IG76" t="s">
        <v>4569</v>
      </c>
      <c r="IH76" t="s">
        <v>4569</v>
      </c>
      <c r="II76" t="s">
        <v>4569</v>
      </c>
    </row>
    <row r="77" spans="1:244" outlineLevel="1" x14ac:dyDescent="0.2">
      <c r="A77" t="str">
        <f t="shared" si="1"/>
        <v>Schleichen</v>
      </c>
      <c r="C77">
        <v>1</v>
      </c>
      <c r="D77">
        <v>3</v>
      </c>
      <c r="E77">
        <v>3</v>
      </c>
      <c r="F77">
        <v>1</v>
      </c>
      <c r="G77">
        <v>1</v>
      </c>
      <c r="H77">
        <v>1</v>
      </c>
      <c r="I77">
        <v>1</v>
      </c>
      <c r="J77">
        <v>1</v>
      </c>
      <c r="K77">
        <v>1</v>
      </c>
      <c r="L77">
        <v>1</v>
      </c>
      <c r="M77">
        <v>1</v>
      </c>
      <c r="N77">
        <v>1</v>
      </c>
      <c r="R77">
        <v>2</v>
      </c>
      <c r="S77">
        <v>2</v>
      </c>
      <c r="T77">
        <v>2</v>
      </c>
      <c r="U77">
        <v>2</v>
      </c>
      <c r="V77">
        <v>2</v>
      </c>
      <c r="X77">
        <v>3</v>
      </c>
      <c r="Y77">
        <v>3</v>
      </c>
      <c r="Z77">
        <v>3</v>
      </c>
      <c r="AA77">
        <v>3</v>
      </c>
      <c r="AB77">
        <v>3</v>
      </c>
      <c r="AF77">
        <v>2</v>
      </c>
      <c r="AG77">
        <v>2</v>
      </c>
      <c r="AH77">
        <v>2</v>
      </c>
      <c r="AI77">
        <v>2</v>
      </c>
      <c r="AK77">
        <v>3</v>
      </c>
      <c r="AL77">
        <v>3</v>
      </c>
      <c r="AM77">
        <v>3</v>
      </c>
      <c r="AN77">
        <v>3</v>
      </c>
      <c r="AR77">
        <v>1</v>
      </c>
      <c r="AS77">
        <v>1</v>
      </c>
      <c r="AU77">
        <v>1</v>
      </c>
      <c r="AV77">
        <v>1</v>
      </c>
      <c r="AW77">
        <v>1</v>
      </c>
      <c r="AX77">
        <v>1</v>
      </c>
      <c r="BA77">
        <v>2</v>
      </c>
      <c r="BB77">
        <v>4</v>
      </c>
      <c r="BC77">
        <v>5</v>
      </c>
      <c r="BD77">
        <v>2</v>
      </c>
      <c r="BE77">
        <v>2</v>
      </c>
      <c r="BF77">
        <v>4</v>
      </c>
      <c r="BG77">
        <v>2</v>
      </c>
      <c r="BL77">
        <v>3</v>
      </c>
      <c r="BM77">
        <v>2</v>
      </c>
      <c r="BN77">
        <v>5</v>
      </c>
      <c r="BO77">
        <v>3</v>
      </c>
      <c r="BP77">
        <v>1</v>
      </c>
      <c r="BQ77">
        <v>4</v>
      </c>
      <c r="BR77">
        <v>2</v>
      </c>
      <c r="BS77">
        <v>3</v>
      </c>
      <c r="BT77">
        <v>5</v>
      </c>
      <c r="BU77">
        <v>4</v>
      </c>
      <c r="BV77">
        <v>3</v>
      </c>
      <c r="BW77">
        <v>2</v>
      </c>
      <c r="BX77">
        <v>5</v>
      </c>
      <c r="BY77">
        <v>3</v>
      </c>
      <c r="BZ77">
        <v>2</v>
      </c>
      <c r="CA77">
        <v>2</v>
      </c>
      <c r="CC77">
        <v>2</v>
      </c>
      <c r="CD77">
        <v>3</v>
      </c>
      <c r="CE77">
        <v>5</v>
      </c>
      <c r="CF77">
        <v>2</v>
      </c>
      <c r="CG77">
        <v>2</v>
      </c>
      <c r="CH77">
        <v>2</v>
      </c>
      <c r="CI77">
        <v>2</v>
      </c>
      <c r="CJ77">
        <v>2</v>
      </c>
      <c r="CK77">
        <v>2</v>
      </c>
      <c r="CL77">
        <v>4</v>
      </c>
      <c r="CY77">
        <v>2</v>
      </c>
      <c r="DP77">
        <v>1</v>
      </c>
      <c r="DT77">
        <v>2</v>
      </c>
      <c r="ED77">
        <v>1</v>
      </c>
      <c r="ER77">
        <v>1</v>
      </c>
      <c r="EV77">
        <v>1</v>
      </c>
      <c r="EZ77">
        <v>3</v>
      </c>
      <c r="FA77">
        <v>5</v>
      </c>
      <c r="FT77">
        <v>2</v>
      </c>
      <c r="FY77">
        <v>1</v>
      </c>
      <c r="GC77">
        <v>2</v>
      </c>
      <c r="GD77">
        <v>1</v>
      </c>
      <c r="GF77">
        <v>3</v>
      </c>
      <c r="GG77">
        <v>3</v>
      </c>
      <c r="GH77">
        <v>3</v>
      </c>
      <c r="GI77">
        <v>3</v>
      </c>
      <c r="GJ77">
        <v>3</v>
      </c>
      <c r="GK77">
        <v>3</v>
      </c>
      <c r="GL77">
        <v>3</v>
      </c>
      <c r="IF77" t="s">
        <v>4569</v>
      </c>
      <c r="IG77" t="s">
        <v>4569</v>
      </c>
      <c r="IH77" t="s">
        <v>4569</v>
      </c>
      <c r="II77" t="s">
        <v>4569</v>
      </c>
    </row>
    <row r="78" spans="1:244" outlineLevel="1" x14ac:dyDescent="0.2">
      <c r="A78" t="str">
        <f t="shared" si="1"/>
        <v>Schwimmen</v>
      </c>
      <c r="S78">
        <v>2</v>
      </c>
      <c r="Y78">
        <v>2</v>
      </c>
      <c r="AF78">
        <v>2</v>
      </c>
      <c r="AK78">
        <v>2</v>
      </c>
      <c r="BM78">
        <v>2</v>
      </c>
      <c r="BN78">
        <v>2</v>
      </c>
      <c r="BQ78">
        <v>2</v>
      </c>
      <c r="BT78">
        <v>2</v>
      </c>
      <c r="BU78">
        <v>2</v>
      </c>
      <c r="BW78">
        <v>2</v>
      </c>
      <c r="BX78">
        <v>2</v>
      </c>
      <c r="BZ78">
        <v>2</v>
      </c>
      <c r="CA78">
        <v>2</v>
      </c>
      <c r="CC78">
        <v>1</v>
      </c>
      <c r="CD78">
        <v>2</v>
      </c>
      <c r="CE78">
        <v>3</v>
      </c>
      <c r="CF78">
        <v>5</v>
      </c>
      <c r="CG78">
        <v>1</v>
      </c>
      <c r="CH78">
        <v>1</v>
      </c>
      <c r="CI78">
        <v>1</v>
      </c>
      <c r="CJ78">
        <v>3</v>
      </c>
      <c r="CK78">
        <v>1</v>
      </c>
      <c r="CL78">
        <v>1</v>
      </c>
      <c r="CT78">
        <v>3</v>
      </c>
      <c r="CU78">
        <v>3</v>
      </c>
      <c r="CX78">
        <v>2</v>
      </c>
      <c r="CY78">
        <v>1</v>
      </c>
      <c r="DH78">
        <v>2</v>
      </c>
      <c r="DT78">
        <v>1</v>
      </c>
      <c r="DW78">
        <v>4</v>
      </c>
      <c r="ED78">
        <v>1</v>
      </c>
      <c r="EG78">
        <v>1</v>
      </c>
      <c r="EH78">
        <v>2</v>
      </c>
      <c r="EI78">
        <v>2</v>
      </c>
      <c r="EO78">
        <v>3</v>
      </c>
      <c r="EP78">
        <v>3</v>
      </c>
      <c r="ER78">
        <v>1</v>
      </c>
      <c r="ES78">
        <v>1</v>
      </c>
      <c r="ET78">
        <v>1</v>
      </c>
      <c r="EV78">
        <v>2</v>
      </c>
      <c r="EZ78" t="s">
        <v>4569</v>
      </c>
      <c r="FA78" t="s">
        <v>4569</v>
      </c>
      <c r="FT78">
        <v>2</v>
      </c>
      <c r="FU78">
        <v>2</v>
      </c>
      <c r="FV78">
        <v>2</v>
      </c>
      <c r="GL78">
        <v>4</v>
      </c>
      <c r="IF78" t="s">
        <v>4569</v>
      </c>
      <c r="IG78" t="s">
        <v>4569</v>
      </c>
      <c r="IH78" t="s">
        <v>4569</v>
      </c>
      <c r="II78" t="s">
        <v>4569</v>
      </c>
    </row>
    <row r="79" spans="1:244" outlineLevel="1" x14ac:dyDescent="0.2">
      <c r="A79" t="str">
        <f t="shared" si="1"/>
        <v>Selbstbeherrschung</v>
      </c>
      <c r="C79">
        <v>4</v>
      </c>
      <c r="D79">
        <v>4</v>
      </c>
      <c r="E79">
        <v>4</v>
      </c>
      <c r="F79">
        <v>4</v>
      </c>
      <c r="G79">
        <v>4</v>
      </c>
      <c r="H79">
        <v>4</v>
      </c>
      <c r="I79">
        <v>4</v>
      </c>
      <c r="J79">
        <v>4</v>
      </c>
      <c r="K79">
        <v>4</v>
      </c>
      <c r="L79">
        <v>4</v>
      </c>
      <c r="M79">
        <v>4</v>
      </c>
      <c r="N79">
        <v>4</v>
      </c>
      <c r="P79">
        <v>2</v>
      </c>
      <c r="R79" t="s">
        <v>1719</v>
      </c>
      <c r="S79" t="s">
        <v>1719</v>
      </c>
      <c r="T79" t="s">
        <v>1719</v>
      </c>
      <c r="U79" t="s">
        <v>1719</v>
      </c>
      <c r="V79" t="s">
        <v>1719</v>
      </c>
      <c r="AC79">
        <v>3</v>
      </c>
      <c r="AD79">
        <v>2</v>
      </c>
      <c r="AF79" t="s">
        <v>1719</v>
      </c>
      <c r="AG79" t="s">
        <v>1719</v>
      </c>
      <c r="AH79" t="s">
        <v>1719</v>
      </c>
      <c r="AI79" t="s">
        <v>1719</v>
      </c>
      <c r="AO79">
        <v>3</v>
      </c>
      <c r="AR79">
        <v>3</v>
      </c>
      <c r="AS79">
        <v>3</v>
      </c>
      <c r="AU79">
        <v>2</v>
      </c>
      <c r="AV79">
        <v>2</v>
      </c>
      <c r="AW79">
        <v>2</v>
      </c>
      <c r="AX79">
        <v>2</v>
      </c>
      <c r="BA79">
        <v>3</v>
      </c>
      <c r="BE79">
        <v>3</v>
      </c>
      <c r="BG79">
        <v>4</v>
      </c>
      <c r="BI79">
        <v>1</v>
      </c>
      <c r="BJ79">
        <v>1</v>
      </c>
      <c r="BL79">
        <v>4</v>
      </c>
      <c r="BM79">
        <v>1</v>
      </c>
      <c r="BN79">
        <v>3</v>
      </c>
      <c r="BO79">
        <v>4</v>
      </c>
      <c r="BP79">
        <v>1</v>
      </c>
      <c r="BQ79">
        <v>1</v>
      </c>
      <c r="BR79">
        <v>2</v>
      </c>
      <c r="BS79">
        <v>4</v>
      </c>
      <c r="BT79">
        <v>3</v>
      </c>
      <c r="BU79">
        <v>1</v>
      </c>
      <c r="BV79">
        <v>4</v>
      </c>
      <c r="BW79">
        <v>1</v>
      </c>
      <c r="BX79">
        <v>3</v>
      </c>
      <c r="BY79">
        <v>4</v>
      </c>
      <c r="BZ79">
        <v>1</v>
      </c>
      <c r="CA79">
        <v>1</v>
      </c>
      <c r="CB79">
        <v>3</v>
      </c>
      <c r="CC79">
        <v>2</v>
      </c>
      <c r="CD79">
        <v>4</v>
      </c>
      <c r="CE79">
        <v>2</v>
      </c>
      <c r="CF79">
        <v>1</v>
      </c>
      <c r="CG79">
        <v>3</v>
      </c>
      <c r="CH79">
        <v>2</v>
      </c>
      <c r="CI79">
        <v>2</v>
      </c>
      <c r="CJ79">
        <v>5</v>
      </c>
      <c r="CK79">
        <v>1</v>
      </c>
      <c r="CL79">
        <v>3</v>
      </c>
      <c r="CM79">
        <v>4</v>
      </c>
      <c r="CN79">
        <v>4</v>
      </c>
      <c r="CO79">
        <v>1</v>
      </c>
      <c r="CP79">
        <v>1</v>
      </c>
      <c r="CQ79">
        <v>1</v>
      </c>
      <c r="CR79">
        <v>1</v>
      </c>
      <c r="CS79">
        <v>1</v>
      </c>
      <c r="CT79">
        <v>3</v>
      </c>
      <c r="CU79">
        <v>3</v>
      </c>
      <c r="CW79">
        <v>4</v>
      </c>
      <c r="CX79">
        <v>4</v>
      </c>
      <c r="CY79">
        <v>4</v>
      </c>
      <c r="CZ79">
        <v>4</v>
      </c>
      <c r="DA79">
        <v>2</v>
      </c>
      <c r="DB79">
        <v>4</v>
      </c>
      <c r="DC79">
        <v>5</v>
      </c>
      <c r="DD79">
        <v>2</v>
      </c>
      <c r="DE79">
        <v>2</v>
      </c>
      <c r="DF79">
        <v>2</v>
      </c>
      <c r="DG79">
        <v>2</v>
      </c>
      <c r="DH79">
        <v>2</v>
      </c>
      <c r="DI79">
        <v>2</v>
      </c>
      <c r="DJ79">
        <v>2</v>
      </c>
      <c r="DK79">
        <v>2</v>
      </c>
      <c r="DL79">
        <v>6</v>
      </c>
      <c r="DM79">
        <v>4</v>
      </c>
      <c r="DN79">
        <v>3</v>
      </c>
      <c r="DO79">
        <v>3</v>
      </c>
      <c r="DP79">
        <v>2</v>
      </c>
      <c r="DQ79">
        <v>1</v>
      </c>
      <c r="DR79">
        <v>4</v>
      </c>
      <c r="DS79">
        <v>4</v>
      </c>
      <c r="DT79">
        <v>1</v>
      </c>
      <c r="DU79">
        <v>2</v>
      </c>
      <c r="DV79">
        <v>1</v>
      </c>
      <c r="DW79">
        <v>1</v>
      </c>
      <c r="DX79">
        <v>3</v>
      </c>
      <c r="DY79">
        <v>2</v>
      </c>
      <c r="DZ79">
        <v>5</v>
      </c>
      <c r="EA79">
        <v>4</v>
      </c>
      <c r="EB79">
        <v>2</v>
      </c>
      <c r="EC79">
        <v>4</v>
      </c>
      <c r="ED79">
        <v>2</v>
      </c>
      <c r="EE79">
        <v>3</v>
      </c>
      <c r="EF79">
        <v>4</v>
      </c>
      <c r="EG79">
        <v>4</v>
      </c>
      <c r="EH79">
        <v>3</v>
      </c>
      <c r="EI79">
        <v>3</v>
      </c>
      <c r="EJ79">
        <v>4</v>
      </c>
      <c r="EK79">
        <v>3</v>
      </c>
      <c r="EL79">
        <v>3</v>
      </c>
      <c r="EM79">
        <v>3</v>
      </c>
      <c r="EN79">
        <v>3</v>
      </c>
      <c r="EO79">
        <v>2</v>
      </c>
      <c r="EP79">
        <v>4</v>
      </c>
      <c r="EQ79">
        <v>3</v>
      </c>
      <c r="ER79">
        <v>3</v>
      </c>
      <c r="ES79">
        <v>2</v>
      </c>
      <c r="ET79">
        <v>4</v>
      </c>
      <c r="EU79">
        <v>1</v>
      </c>
      <c r="EV79">
        <v>4</v>
      </c>
      <c r="EW79">
        <v>3</v>
      </c>
      <c r="EY79">
        <v>2</v>
      </c>
      <c r="EZ79">
        <v>3</v>
      </c>
      <c r="FA79">
        <v>3</v>
      </c>
      <c r="FB79">
        <v>5</v>
      </c>
      <c r="FC79">
        <v>5</v>
      </c>
      <c r="FD79">
        <v>3</v>
      </c>
      <c r="FE79">
        <v>5</v>
      </c>
      <c r="FF79">
        <v>2</v>
      </c>
      <c r="FG79">
        <v>2</v>
      </c>
      <c r="FH79">
        <v>2</v>
      </c>
      <c r="FI79">
        <v>2</v>
      </c>
      <c r="FJ79">
        <v>2</v>
      </c>
      <c r="FK79">
        <v>5</v>
      </c>
      <c r="FL79">
        <v>3</v>
      </c>
      <c r="FM79">
        <v>2</v>
      </c>
      <c r="FN79">
        <v>4</v>
      </c>
      <c r="FO79">
        <v>3</v>
      </c>
      <c r="FP79">
        <v>4</v>
      </c>
      <c r="FQ79">
        <v>4</v>
      </c>
      <c r="FR79">
        <v>4</v>
      </c>
      <c r="FS79">
        <v>4</v>
      </c>
      <c r="FT79">
        <v>2</v>
      </c>
      <c r="FU79">
        <v>2</v>
      </c>
      <c r="FV79">
        <v>2</v>
      </c>
      <c r="FX79">
        <v>2</v>
      </c>
      <c r="FY79">
        <v>2</v>
      </c>
      <c r="FZ79">
        <v>4</v>
      </c>
      <c r="GA79">
        <v>4</v>
      </c>
      <c r="GB79">
        <v>2</v>
      </c>
      <c r="GC79">
        <v>2</v>
      </c>
      <c r="GD79">
        <v>2</v>
      </c>
      <c r="GF79">
        <v>2</v>
      </c>
      <c r="GG79">
        <v>2</v>
      </c>
      <c r="GH79">
        <v>2</v>
      </c>
      <c r="GI79">
        <v>2</v>
      </c>
      <c r="GJ79">
        <v>2</v>
      </c>
      <c r="GK79">
        <v>2</v>
      </c>
      <c r="GL79">
        <v>2</v>
      </c>
      <c r="GN79">
        <v>4</v>
      </c>
      <c r="GO79">
        <v>4</v>
      </c>
      <c r="GP79">
        <v>4</v>
      </c>
      <c r="GQ79">
        <v>6</v>
      </c>
      <c r="GR79">
        <v>4</v>
      </c>
      <c r="GS79">
        <v>4</v>
      </c>
      <c r="GT79">
        <v>4</v>
      </c>
      <c r="GU79">
        <v>6</v>
      </c>
      <c r="GV79">
        <v>4</v>
      </c>
      <c r="GW79">
        <v>4</v>
      </c>
      <c r="GY79">
        <v>2</v>
      </c>
      <c r="HA79">
        <v>3</v>
      </c>
      <c r="HB79">
        <v>3</v>
      </c>
      <c r="HC79">
        <v>3</v>
      </c>
      <c r="HD79">
        <v>3</v>
      </c>
      <c r="HE79">
        <v>3</v>
      </c>
      <c r="HF79">
        <v>3</v>
      </c>
      <c r="HG79">
        <v>3</v>
      </c>
      <c r="HH79">
        <v>3</v>
      </c>
      <c r="HI79">
        <v>3</v>
      </c>
      <c r="HJ79">
        <v>3</v>
      </c>
      <c r="HK79">
        <v>3</v>
      </c>
      <c r="HL79">
        <v>3</v>
      </c>
      <c r="HM79">
        <v>5</v>
      </c>
      <c r="HN79">
        <v>5</v>
      </c>
      <c r="HO79">
        <v>4</v>
      </c>
      <c r="HP79">
        <v>4</v>
      </c>
      <c r="HQ79">
        <v>2</v>
      </c>
      <c r="HR79">
        <v>3</v>
      </c>
      <c r="HS79">
        <v>3</v>
      </c>
      <c r="HT79">
        <v>3</v>
      </c>
      <c r="HU79">
        <v>3</v>
      </c>
      <c r="HV79">
        <v>3</v>
      </c>
      <c r="HW79">
        <v>3</v>
      </c>
      <c r="HX79">
        <v>3</v>
      </c>
      <c r="HY79">
        <v>3</v>
      </c>
      <c r="HZ79">
        <v>3</v>
      </c>
      <c r="IA79">
        <v>3</v>
      </c>
      <c r="IB79">
        <v>4</v>
      </c>
      <c r="IC79">
        <v>4</v>
      </c>
      <c r="ID79">
        <v>2</v>
      </c>
      <c r="IE79">
        <v>3</v>
      </c>
      <c r="IF79">
        <v>3</v>
      </c>
      <c r="IG79">
        <v>3</v>
      </c>
      <c r="IH79">
        <v>3</v>
      </c>
      <c r="II79">
        <v>3</v>
      </c>
    </row>
    <row r="80" spans="1:244" outlineLevel="1" x14ac:dyDescent="0.2">
      <c r="A80" t="str">
        <f t="shared" si="1"/>
        <v>Sich Verstecken</v>
      </c>
      <c r="C80">
        <v>1</v>
      </c>
      <c r="D80">
        <v>1</v>
      </c>
      <c r="E80">
        <v>1</v>
      </c>
      <c r="F80">
        <v>1</v>
      </c>
      <c r="G80">
        <v>1</v>
      </c>
      <c r="H80">
        <v>1</v>
      </c>
      <c r="I80">
        <v>1</v>
      </c>
      <c r="J80">
        <v>1</v>
      </c>
      <c r="K80">
        <v>1</v>
      </c>
      <c r="L80">
        <v>1</v>
      </c>
      <c r="M80">
        <v>1</v>
      </c>
      <c r="N80">
        <v>1</v>
      </c>
      <c r="R80">
        <v>3</v>
      </c>
      <c r="S80">
        <v>3</v>
      </c>
      <c r="T80">
        <v>3</v>
      </c>
      <c r="U80">
        <v>5</v>
      </c>
      <c r="V80">
        <v>3</v>
      </c>
      <c r="X80">
        <v>3</v>
      </c>
      <c r="Y80">
        <v>3</v>
      </c>
      <c r="Z80">
        <v>3</v>
      </c>
      <c r="AA80">
        <v>3</v>
      </c>
      <c r="AB80">
        <v>3</v>
      </c>
      <c r="AF80">
        <v>3</v>
      </c>
      <c r="AG80">
        <v>3</v>
      </c>
      <c r="AH80">
        <v>5</v>
      </c>
      <c r="AI80">
        <v>3</v>
      </c>
      <c r="AK80">
        <v>3</v>
      </c>
      <c r="AL80">
        <v>3</v>
      </c>
      <c r="AM80">
        <v>3</v>
      </c>
      <c r="AN80">
        <v>3</v>
      </c>
      <c r="AR80">
        <v>1</v>
      </c>
      <c r="AS80">
        <v>1</v>
      </c>
      <c r="BA80">
        <v>3</v>
      </c>
      <c r="BB80">
        <v>3</v>
      </c>
      <c r="BC80">
        <v>5</v>
      </c>
      <c r="BD80">
        <v>3</v>
      </c>
      <c r="BE80">
        <v>3</v>
      </c>
      <c r="BF80">
        <v>4</v>
      </c>
      <c r="BG80">
        <v>3</v>
      </c>
      <c r="BL80">
        <v>2</v>
      </c>
      <c r="BM80">
        <v>2</v>
      </c>
      <c r="BN80">
        <v>5</v>
      </c>
      <c r="BO80">
        <v>2</v>
      </c>
      <c r="BP80">
        <v>2</v>
      </c>
      <c r="BQ80">
        <v>2</v>
      </c>
      <c r="BR80">
        <v>4</v>
      </c>
      <c r="BS80">
        <v>2</v>
      </c>
      <c r="BT80">
        <v>5</v>
      </c>
      <c r="BU80">
        <v>2</v>
      </c>
      <c r="BV80">
        <v>2</v>
      </c>
      <c r="BW80">
        <v>2</v>
      </c>
      <c r="BX80">
        <v>5</v>
      </c>
      <c r="BY80">
        <v>2</v>
      </c>
      <c r="BZ80">
        <v>2</v>
      </c>
      <c r="CA80">
        <v>2</v>
      </c>
      <c r="CC80">
        <v>2</v>
      </c>
      <c r="CD80">
        <v>2</v>
      </c>
      <c r="CE80">
        <v>4</v>
      </c>
      <c r="CF80">
        <v>3</v>
      </c>
      <c r="CG80">
        <v>2</v>
      </c>
      <c r="CH80">
        <v>2</v>
      </c>
      <c r="CI80">
        <v>2</v>
      </c>
      <c r="CJ80">
        <v>2</v>
      </c>
      <c r="CK80">
        <v>3</v>
      </c>
      <c r="CL80">
        <v>2</v>
      </c>
      <c r="DP80">
        <v>2</v>
      </c>
      <c r="ER80">
        <v>1</v>
      </c>
      <c r="EZ80">
        <v>3</v>
      </c>
      <c r="FA80">
        <v>3</v>
      </c>
      <c r="FU80">
        <v>2</v>
      </c>
      <c r="FY80">
        <v>2</v>
      </c>
      <c r="GC80">
        <v>2</v>
      </c>
      <c r="GD80">
        <v>2</v>
      </c>
      <c r="GF80">
        <v>5</v>
      </c>
      <c r="GG80">
        <v>5</v>
      </c>
      <c r="GH80">
        <v>5</v>
      </c>
      <c r="GI80">
        <v>5</v>
      </c>
      <c r="GJ80">
        <v>5</v>
      </c>
      <c r="GK80">
        <v>5</v>
      </c>
      <c r="GL80">
        <v>8</v>
      </c>
      <c r="IF80" t="s">
        <v>4569</v>
      </c>
      <c r="IG80" t="s">
        <v>4569</v>
      </c>
      <c r="IH80" t="s">
        <v>4569</v>
      </c>
      <c r="II80" t="s">
        <v>4569</v>
      </c>
    </row>
    <row r="81" spans="1:245" outlineLevel="1" x14ac:dyDescent="0.2">
      <c r="A81" t="str">
        <f t="shared" si="1"/>
        <v>Singen</v>
      </c>
      <c r="P81">
        <v>3</v>
      </c>
      <c r="Q81">
        <v>4</v>
      </c>
      <c r="W81">
        <v>5</v>
      </c>
      <c r="AC81">
        <v>4</v>
      </c>
      <c r="AD81">
        <v>3</v>
      </c>
      <c r="AE81">
        <v>4</v>
      </c>
      <c r="AJ81">
        <v>5</v>
      </c>
      <c r="AO81">
        <v>4</v>
      </c>
      <c r="AP81">
        <v>5</v>
      </c>
      <c r="AQ81">
        <v>5</v>
      </c>
      <c r="AR81">
        <v>4</v>
      </c>
      <c r="AS81">
        <v>4</v>
      </c>
      <c r="CA81" t="s">
        <v>4569</v>
      </c>
      <c r="CB81">
        <v>3</v>
      </c>
      <c r="CM81">
        <v>1</v>
      </c>
      <c r="DA81">
        <v>2</v>
      </c>
      <c r="EB81">
        <v>1</v>
      </c>
      <c r="EH81">
        <v>1</v>
      </c>
      <c r="EI81">
        <v>5</v>
      </c>
      <c r="EZ81" t="s">
        <v>4569</v>
      </c>
      <c r="FA81" t="s">
        <v>4569</v>
      </c>
      <c r="FT81">
        <v>3</v>
      </c>
      <c r="GC81">
        <v>4</v>
      </c>
      <c r="GF81">
        <v>2</v>
      </c>
      <c r="GG81">
        <v>2</v>
      </c>
      <c r="GH81">
        <v>2</v>
      </c>
      <c r="GI81">
        <v>2</v>
      </c>
      <c r="GJ81">
        <v>2</v>
      </c>
      <c r="GK81">
        <v>2</v>
      </c>
      <c r="GL81">
        <v>3</v>
      </c>
      <c r="GY81">
        <v>4</v>
      </c>
      <c r="HX81">
        <v>3</v>
      </c>
      <c r="HY81">
        <v>3</v>
      </c>
      <c r="IF81" t="s">
        <v>4569</v>
      </c>
      <c r="IG81" t="s">
        <v>4569</v>
      </c>
      <c r="IH81" t="s">
        <v>4569</v>
      </c>
      <c r="II81" t="s">
        <v>4569</v>
      </c>
    </row>
    <row r="82" spans="1:245" outlineLevel="1" x14ac:dyDescent="0.2">
      <c r="A82" t="str">
        <f t="shared" si="1"/>
        <v>Sinnenschärfe</v>
      </c>
      <c r="C82">
        <v>2</v>
      </c>
      <c r="D82">
        <v>2</v>
      </c>
      <c r="E82">
        <v>2</v>
      </c>
      <c r="F82">
        <v>2</v>
      </c>
      <c r="G82">
        <v>2</v>
      </c>
      <c r="H82">
        <v>2</v>
      </c>
      <c r="I82">
        <v>2</v>
      </c>
      <c r="J82">
        <v>2</v>
      </c>
      <c r="K82">
        <v>2</v>
      </c>
      <c r="L82">
        <v>2</v>
      </c>
      <c r="M82">
        <v>2</v>
      </c>
      <c r="N82">
        <v>2</v>
      </c>
      <c r="P82">
        <v>3</v>
      </c>
      <c r="Q82">
        <v>3</v>
      </c>
      <c r="R82">
        <v>2</v>
      </c>
      <c r="S82">
        <v>2</v>
      </c>
      <c r="T82">
        <v>2</v>
      </c>
      <c r="U82">
        <v>2</v>
      </c>
      <c r="V82">
        <v>2</v>
      </c>
      <c r="W82">
        <v>2</v>
      </c>
      <c r="X82">
        <v>4</v>
      </c>
      <c r="Y82">
        <v>4</v>
      </c>
      <c r="Z82">
        <v>4</v>
      </c>
      <c r="AA82">
        <v>4</v>
      </c>
      <c r="AB82">
        <v>4</v>
      </c>
      <c r="AC82">
        <v>1</v>
      </c>
      <c r="AD82">
        <v>3</v>
      </c>
      <c r="AE82">
        <v>3</v>
      </c>
      <c r="AF82">
        <v>2</v>
      </c>
      <c r="AG82">
        <v>2</v>
      </c>
      <c r="AH82">
        <v>2</v>
      </c>
      <c r="AI82">
        <v>2</v>
      </c>
      <c r="AJ82">
        <v>2</v>
      </c>
      <c r="AK82">
        <v>4</v>
      </c>
      <c r="AL82">
        <v>4</v>
      </c>
      <c r="AM82">
        <v>4</v>
      </c>
      <c r="AN82">
        <v>4</v>
      </c>
      <c r="AO82">
        <v>1</v>
      </c>
      <c r="AP82">
        <v>2</v>
      </c>
      <c r="AQ82">
        <v>2</v>
      </c>
      <c r="AR82">
        <v>1</v>
      </c>
      <c r="AS82">
        <v>1</v>
      </c>
      <c r="AU82">
        <v>2</v>
      </c>
      <c r="AV82">
        <v>2</v>
      </c>
      <c r="AW82">
        <v>2</v>
      </c>
      <c r="AX82">
        <v>2</v>
      </c>
      <c r="BB82">
        <v>2</v>
      </c>
      <c r="BC82">
        <v>2</v>
      </c>
      <c r="BE82">
        <v>3</v>
      </c>
      <c r="BG82">
        <v>3</v>
      </c>
      <c r="BI82">
        <v>1</v>
      </c>
      <c r="BJ82">
        <v>1</v>
      </c>
      <c r="BL82">
        <v>2</v>
      </c>
      <c r="BM82">
        <v>4</v>
      </c>
      <c r="BN82">
        <v>5</v>
      </c>
      <c r="BO82">
        <v>2</v>
      </c>
      <c r="BP82">
        <v>1</v>
      </c>
      <c r="BQ82">
        <v>4</v>
      </c>
      <c r="BR82">
        <v>1</v>
      </c>
      <c r="BS82">
        <v>2</v>
      </c>
      <c r="BT82">
        <v>5</v>
      </c>
      <c r="BU82">
        <v>4</v>
      </c>
      <c r="BV82">
        <v>2</v>
      </c>
      <c r="BW82">
        <v>4</v>
      </c>
      <c r="BX82">
        <v>5</v>
      </c>
      <c r="BY82">
        <v>2</v>
      </c>
      <c r="BZ82">
        <v>4</v>
      </c>
      <c r="CA82">
        <v>4</v>
      </c>
      <c r="CC82">
        <v>4</v>
      </c>
      <c r="CD82">
        <v>2</v>
      </c>
      <c r="CE82">
        <v>4</v>
      </c>
      <c r="CF82">
        <v>4</v>
      </c>
      <c r="CG82">
        <v>4</v>
      </c>
      <c r="CH82">
        <v>5</v>
      </c>
      <c r="CI82">
        <v>6</v>
      </c>
      <c r="CJ82">
        <v>4</v>
      </c>
      <c r="CK82">
        <v>4</v>
      </c>
      <c r="CL82">
        <v>4</v>
      </c>
      <c r="CM82">
        <v>3</v>
      </c>
      <c r="CN82">
        <v>4</v>
      </c>
      <c r="CO82">
        <v>1</v>
      </c>
      <c r="CP82">
        <v>1</v>
      </c>
      <c r="CQ82">
        <v>1</v>
      </c>
      <c r="CR82">
        <v>1</v>
      </c>
      <c r="CS82">
        <v>1</v>
      </c>
      <c r="CT82">
        <v>1</v>
      </c>
      <c r="CU82">
        <v>1</v>
      </c>
      <c r="CW82">
        <v>3</v>
      </c>
      <c r="CX82">
        <v>3</v>
      </c>
      <c r="CY82">
        <v>3</v>
      </c>
      <c r="CZ82">
        <v>4</v>
      </c>
      <c r="DA82">
        <v>2</v>
      </c>
      <c r="DB82">
        <v>2</v>
      </c>
      <c r="DC82">
        <v>2</v>
      </c>
      <c r="DD82">
        <v>3</v>
      </c>
      <c r="DE82">
        <v>3</v>
      </c>
      <c r="DF82">
        <v>3</v>
      </c>
      <c r="DG82">
        <v>3</v>
      </c>
      <c r="DH82">
        <v>3</v>
      </c>
      <c r="DI82">
        <v>3</v>
      </c>
      <c r="DJ82">
        <v>3</v>
      </c>
      <c r="DK82">
        <v>3</v>
      </c>
      <c r="DL82">
        <v>2</v>
      </c>
      <c r="DM82">
        <v>3</v>
      </c>
      <c r="DN82">
        <v>2</v>
      </c>
      <c r="DO82">
        <v>2</v>
      </c>
      <c r="DP82">
        <v>3</v>
      </c>
      <c r="DQ82">
        <v>2</v>
      </c>
      <c r="DR82">
        <v>4</v>
      </c>
      <c r="DS82">
        <v>4</v>
      </c>
      <c r="DT82">
        <v>3</v>
      </c>
      <c r="DU82">
        <v>3</v>
      </c>
      <c r="DV82">
        <v>2</v>
      </c>
      <c r="DW82">
        <v>2</v>
      </c>
      <c r="DX82">
        <v>3</v>
      </c>
      <c r="DY82">
        <v>3</v>
      </c>
      <c r="DZ82">
        <v>2</v>
      </c>
      <c r="EA82">
        <v>2</v>
      </c>
      <c r="EB82">
        <v>4</v>
      </c>
      <c r="EC82">
        <v>2</v>
      </c>
      <c r="ED82">
        <v>2</v>
      </c>
      <c r="EE82">
        <v>4</v>
      </c>
      <c r="EF82">
        <v>2</v>
      </c>
      <c r="EG82">
        <v>2</v>
      </c>
      <c r="EH82">
        <v>3</v>
      </c>
      <c r="EI82">
        <v>3</v>
      </c>
      <c r="EJ82">
        <v>3</v>
      </c>
      <c r="EK82">
        <v>2</v>
      </c>
      <c r="EL82">
        <v>2</v>
      </c>
      <c r="EM82">
        <v>2</v>
      </c>
      <c r="EN82">
        <v>2</v>
      </c>
      <c r="EO82">
        <v>2</v>
      </c>
      <c r="EP82">
        <v>2</v>
      </c>
      <c r="EQ82">
        <v>4</v>
      </c>
      <c r="ER82">
        <v>3</v>
      </c>
      <c r="ES82">
        <v>2</v>
      </c>
      <c r="ET82">
        <v>2</v>
      </c>
      <c r="EU82">
        <v>2</v>
      </c>
      <c r="EV82">
        <v>4</v>
      </c>
      <c r="EW82">
        <v>3</v>
      </c>
      <c r="EY82">
        <v>2</v>
      </c>
      <c r="EZ82">
        <v>3</v>
      </c>
      <c r="FA82">
        <v>3</v>
      </c>
      <c r="FB82">
        <v>4</v>
      </c>
      <c r="FC82">
        <v>2</v>
      </c>
      <c r="FD82">
        <v>3</v>
      </c>
      <c r="FE82">
        <v>2</v>
      </c>
      <c r="FF82">
        <v>4</v>
      </c>
      <c r="FK82">
        <v>3</v>
      </c>
      <c r="FL82">
        <v>2</v>
      </c>
      <c r="FM82">
        <v>3</v>
      </c>
      <c r="FN82">
        <v>4</v>
      </c>
      <c r="FO82">
        <v>2</v>
      </c>
      <c r="FP82">
        <v>2</v>
      </c>
      <c r="FQ82">
        <v>2</v>
      </c>
      <c r="FR82">
        <v>2</v>
      </c>
      <c r="FS82">
        <v>2</v>
      </c>
      <c r="FT82">
        <v>4</v>
      </c>
      <c r="FU82">
        <v>2</v>
      </c>
      <c r="FV82">
        <v>2</v>
      </c>
      <c r="GN82">
        <v>3</v>
      </c>
      <c r="GO82">
        <v>3</v>
      </c>
      <c r="GP82">
        <v>3</v>
      </c>
      <c r="GQ82">
        <v>3</v>
      </c>
      <c r="GR82">
        <v>3</v>
      </c>
      <c r="GS82">
        <v>3</v>
      </c>
      <c r="GT82">
        <v>3</v>
      </c>
      <c r="GU82">
        <v>3</v>
      </c>
      <c r="GV82">
        <v>3</v>
      </c>
      <c r="GW82">
        <v>3</v>
      </c>
      <c r="GY82">
        <v>2</v>
      </c>
      <c r="HA82">
        <v>3</v>
      </c>
      <c r="HB82">
        <v>3</v>
      </c>
      <c r="HC82">
        <v>3</v>
      </c>
      <c r="HD82">
        <v>3</v>
      </c>
      <c r="HE82">
        <v>3</v>
      </c>
      <c r="HF82">
        <v>3</v>
      </c>
      <c r="HG82">
        <v>3</v>
      </c>
      <c r="HH82">
        <v>3</v>
      </c>
      <c r="HI82">
        <v>3</v>
      </c>
      <c r="HJ82">
        <v>3</v>
      </c>
      <c r="HK82">
        <v>3</v>
      </c>
      <c r="HL82">
        <v>3</v>
      </c>
      <c r="HM82">
        <v>4</v>
      </c>
      <c r="HN82">
        <v>4</v>
      </c>
      <c r="HO82">
        <v>3</v>
      </c>
      <c r="HP82">
        <v>3</v>
      </c>
      <c r="HQ82">
        <v>3</v>
      </c>
      <c r="HR82">
        <v>3</v>
      </c>
      <c r="HS82">
        <v>3</v>
      </c>
      <c r="HT82">
        <v>3</v>
      </c>
      <c r="HU82">
        <v>3</v>
      </c>
      <c r="HV82">
        <v>3</v>
      </c>
      <c r="HW82">
        <v>3</v>
      </c>
      <c r="HX82">
        <v>4</v>
      </c>
      <c r="HY82">
        <v>4</v>
      </c>
      <c r="HZ82">
        <v>6</v>
      </c>
      <c r="IA82">
        <v>6</v>
      </c>
      <c r="IB82">
        <v>3</v>
      </c>
      <c r="IC82">
        <v>3</v>
      </c>
      <c r="ID82">
        <v>3</v>
      </c>
      <c r="IE82">
        <v>3</v>
      </c>
      <c r="IF82">
        <v>3</v>
      </c>
      <c r="IG82">
        <v>3</v>
      </c>
      <c r="IH82">
        <v>3</v>
      </c>
      <c r="II82">
        <v>3</v>
      </c>
    </row>
    <row r="83" spans="1:245" outlineLevel="1" x14ac:dyDescent="0.2">
      <c r="A83" t="str">
        <f t="shared" si="1"/>
        <v>Skifahren</v>
      </c>
      <c r="AB83" t="s">
        <v>666</v>
      </c>
      <c r="AN83" t="s">
        <v>666</v>
      </c>
      <c r="CA83" t="s">
        <v>4569</v>
      </c>
      <c r="CF83">
        <v>1</v>
      </c>
      <c r="CO83">
        <v>2</v>
      </c>
      <c r="CP83">
        <v>2</v>
      </c>
      <c r="EZ83" t="s">
        <v>4569</v>
      </c>
      <c r="FA83" t="s">
        <v>4569</v>
      </c>
      <c r="IF83" t="s">
        <v>4569</v>
      </c>
      <c r="IG83" t="s">
        <v>4569</v>
      </c>
      <c r="IH83" t="s">
        <v>4569</v>
      </c>
      <c r="II83" t="s">
        <v>4569</v>
      </c>
    </row>
    <row r="84" spans="1:245" outlineLevel="1" x14ac:dyDescent="0.2">
      <c r="A84" t="str">
        <f t="shared" si="1"/>
        <v>Stimmen imitieren</v>
      </c>
      <c r="Y84" t="s">
        <v>666</v>
      </c>
      <c r="Z84" t="s">
        <v>1721</v>
      </c>
      <c r="AA84" t="s">
        <v>1721</v>
      </c>
      <c r="AK84" t="s">
        <v>666</v>
      </c>
      <c r="AL84" t="s">
        <v>1721</v>
      </c>
      <c r="AM84" t="s">
        <v>1721</v>
      </c>
      <c r="BM84">
        <v>2</v>
      </c>
      <c r="BN84">
        <v>1</v>
      </c>
      <c r="BQ84">
        <v>2</v>
      </c>
      <c r="BT84">
        <v>1</v>
      </c>
      <c r="BU84">
        <v>2</v>
      </c>
      <c r="BW84">
        <v>2</v>
      </c>
      <c r="BX84">
        <v>1</v>
      </c>
      <c r="BZ84">
        <v>2</v>
      </c>
      <c r="CA84">
        <v>2</v>
      </c>
      <c r="CM84">
        <v>2</v>
      </c>
      <c r="EZ84" t="s">
        <v>4569</v>
      </c>
      <c r="FA84" t="s">
        <v>4569</v>
      </c>
      <c r="FX84">
        <v>2</v>
      </c>
      <c r="FY84">
        <v>4</v>
      </c>
      <c r="FZ84">
        <v>2</v>
      </c>
      <c r="GA84">
        <v>5</v>
      </c>
      <c r="GB84">
        <v>2</v>
      </c>
      <c r="GC84">
        <v>4</v>
      </c>
      <c r="GD84">
        <v>2</v>
      </c>
      <c r="GF84">
        <v>5</v>
      </c>
      <c r="GG84">
        <v>5</v>
      </c>
      <c r="GH84">
        <v>5</v>
      </c>
      <c r="GI84">
        <v>6</v>
      </c>
      <c r="GJ84">
        <v>5</v>
      </c>
      <c r="GK84">
        <v>5</v>
      </c>
      <c r="GL84">
        <v>5</v>
      </c>
      <c r="IF84" t="s">
        <v>4569</v>
      </c>
      <c r="IG84" t="s">
        <v>4569</v>
      </c>
      <c r="IH84" t="s">
        <v>4569</v>
      </c>
      <c r="II84" t="s">
        <v>4569</v>
      </c>
    </row>
    <row r="85" spans="1:245" outlineLevel="1" x14ac:dyDescent="0.2">
      <c r="A85" t="str">
        <f t="shared" si="1"/>
        <v>Tanzen</v>
      </c>
      <c r="W85">
        <v>5</v>
      </c>
      <c r="AC85">
        <v>1</v>
      </c>
      <c r="AJ85">
        <v>5</v>
      </c>
      <c r="AO85">
        <v>1</v>
      </c>
      <c r="AP85">
        <v>4</v>
      </c>
      <c r="AQ85">
        <v>4</v>
      </c>
      <c r="AR85">
        <v>1</v>
      </c>
      <c r="AS85">
        <v>1</v>
      </c>
      <c r="AZ85">
        <v>3</v>
      </c>
      <c r="BA85">
        <v>3</v>
      </c>
      <c r="BB85">
        <v>5</v>
      </c>
      <c r="BC85">
        <v>3</v>
      </c>
      <c r="BD85">
        <v>3</v>
      </c>
      <c r="BE85">
        <v>3</v>
      </c>
      <c r="BF85">
        <v>4</v>
      </c>
      <c r="BG85">
        <v>3</v>
      </c>
      <c r="CB85">
        <v>4</v>
      </c>
      <c r="CR85">
        <v>1</v>
      </c>
      <c r="CS85">
        <v>1</v>
      </c>
      <c r="CW85">
        <v>2</v>
      </c>
      <c r="DA85">
        <v>2</v>
      </c>
      <c r="DB85">
        <v>3</v>
      </c>
      <c r="DP85">
        <v>2</v>
      </c>
      <c r="DU85">
        <v>1</v>
      </c>
      <c r="DX85">
        <v>2</v>
      </c>
      <c r="DY85">
        <v>1</v>
      </c>
      <c r="EB85">
        <v>2</v>
      </c>
      <c r="ET85">
        <v>1</v>
      </c>
      <c r="EU85">
        <v>1</v>
      </c>
      <c r="EW85">
        <v>1</v>
      </c>
      <c r="EZ85" t="s">
        <v>4569</v>
      </c>
      <c r="FA85" t="s">
        <v>4569</v>
      </c>
      <c r="FT85">
        <v>2</v>
      </c>
      <c r="FY85">
        <v>2</v>
      </c>
      <c r="GF85">
        <v>2</v>
      </c>
      <c r="GG85">
        <v>2</v>
      </c>
      <c r="GH85">
        <v>2</v>
      </c>
      <c r="GI85">
        <v>2</v>
      </c>
      <c r="GJ85">
        <v>2</v>
      </c>
      <c r="GK85">
        <v>2</v>
      </c>
      <c r="GL85">
        <v>2</v>
      </c>
      <c r="GN85">
        <v>7</v>
      </c>
      <c r="GO85">
        <v>7</v>
      </c>
      <c r="GP85">
        <v>7</v>
      </c>
      <c r="GQ85">
        <v>7</v>
      </c>
      <c r="GR85">
        <v>7</v>
      </c>
      <c r="GS85">
        <v>7</v>
      </c>
      <c r="GT85">
        <v>7</v>
      </c>
      <c r="GU85">
        <v>7</v>
      </c>
      <c r="GV85">
        <v>7</v>
      </c>
      <c r="GW85">
        <v>7</v>
      </c>
      <c r="HX85">
        <v>2</v>
      </c>
      <c r="HY85">
        <v>2</v>
      </c>
      <c r="IF85" t="s">
        <v>4569</v>
      </c>
      <c r="IG85" t="s">
        <v>4569</v>
      </c>
      <c r="IH85" t="s">
        <v>4569</v>
      </c>
      <c r="II85" t="s">
        <v>4569</v>
      </c>
    </row>
    <row r="86" spans="1:245" outlineLevel="1" x14ac:dyDescent="0.2">
      <c r="A86" t="str">
        <f t="shared" si="1"/>
        <v>Taschendiebstahl</v>
      </c>
      <c r="BF86">
        <v>3</v>
      </c>
      <c r="EZ86" t="s">
        <v>4569</v>
      </c>
      <c r="FA86" t="s">
        <v>4569</v>
      </c>
      <c r="GD86">
        <v>3</v>
      </c>
      <c r="GO86">
        <v>1</v>
      </c>
      <c r="IF86" t="s">
        <v>4569</v>
      </c>
      <c r="IG86" t="s">
        <v>4569</v>
      </c>
      <c r="IH86" t="s">
        <v>4569</v>
      </c>
      <c r="II86" t="s">
        <v>4569</v>
      </c>
    </row>
    <row r="87" spans="1:245" outlineLevel="1" x14ac:dyDescent="0.2">
      <c r="A87" t="str">
        <f t="shared" si="1"/>
        <v>Zechen</v>
      </c>
      <c r="F87">
        <v>2</v>
      </c>
      <c r="BL87">
        <v>2</v>
      </c>
      <c r="BO87">
        <v>2</v>
      </c>
      <c r="BP87">
        <v>1</v>
      </c>
      <c r="BR87">
        <v>1</v>
      </c>
      <c r="BS87">
        <v>2</v>
      </c>
      <c r="BV87">
        <v>2</v>
      </c>
      <c r="BY87">
        <v>2</v>
      </c>
      <c r="CN87">
        <v>1</v>
      </c>
      <c r="CO87">
        <v>1</v>
      </c>
      <c r="CP87">
        <v>1</v>
      </c>
      <c r="CR87">
        <v>1</v>
      </c>
      <c r="CS87">
        <v>1</v>
      </c>
      <c r="CT87">
        <v>1</v>
      </c>
      <c r="CU87">
        <v>1</v>
      </c>
      <c r="CY87">
        <v>1</v>
      </c>
      <c r="DA87">
        <v>1</v>
      </c>
      <c r="DU87">
        <v>1</v>
      </c>
      <c r="DV87">
        <v>1</v>
      </c>
      <c r="DW87">
        <v>1</v>
      </c>
      <c r="DX87">
        <v>1</v>
      </c>
      <c r="EE87">
        <v>1</v>
      </c>
      <c r="EH87">
        <v>1</v>
      </c>
      <c r="EI87">
        <v>1</v>
      </c>
      <c r="ES87">
        <v>1</v>
      </c>
      <c r="ET87">
        <v>1</v>
      </c>
      <c r="EW87">
        <v>2</v>
      </c>
      <c r="EY87">
        <v>4</v>
      </c>
      <c r="EZ87" t="s">
        <v>4569</v>
      </c>
      <c r="FA87" t="s">
        <v>4569</v>
      </c>
      <c r="FF87">
        <v>3</v>
      </c>
      <c r="FL87">
        <v>1</v>
      </c>
      <c r="FV87">
        <v>1</v>
      </c>
      <c r="FZ87">
        <v>1</v>
      </c>
      <c r="GA87">
        <v>1</v>
      </c>
      <c r="GB87">
        <v>3</v>
      </c>
      <c r="GD87">
        <v>2</v>
      </c>
      <c r="HA87">
        <v>2</v>
      </c>
      <c r="HB87">
        <v>2</v>
      </c>
      <c r="HC87">
        <v>2</v>
      </c>
      <c r="HD87">
        <v>2</v>
      </c>
      <c r="HE87">
        <v>2</v>
      </c>
      <c r="HF87">
        <v>2</v>
      </c>
      <c r="HG87">
        <v>2</v>
      </c>
      <c r="HH87">
        <v>2</v>
      </c>
      <c r="HI87">
        <v>2</v>
      </c>
      <c r="HJ87">
        <v>2</v>
      </c>
      <c r="HK87">
        <v>2</v>
      </c>
      <c r="HL87">
        <v>2</v>
      </c>
      <c r="HM87">
        <v>2</v>
      </c>
      <c r="HN87">
        <v>2</v>
      </c>
      <c r="HO87">
        <v>2</v>
      </c>
      <c r="HP87">
        <v>2</v>
      </c>
      <c r="HQ87">
        <v>2</v>
      </c>
      <c r="HR87">
        <v>2</v>
      </c>
      <c r="HS87">
        <v>2</v>
      </c>
      <c r="HT87">
        <v>2</v>
      </c>
      <c r="HU87">
        <v>2</v>
      </c>
      <c r="HV87">
        <v>2</v>
      </c>
      <c r="HW87">
        <v>2</v>
      </c>
      <c r="HX87">
        <v>3</v>
      </c>
      <c r="HY87">
        <v>3</v>
      </c>
      <c r="HZ87">
        <v>2</v>
      </c>
      <c r="IA87">
        <v>2</v>
      </c>
      <c r="IB87">
        <v>2</v>
      </c>
      <c r="IC87">
        <v>2</v>
      </c>
      <c r="ID87">
        <v>2</v>
      </c>
      <c r="IE87">
        <v>2</v>
      </c>
      <c r="IF87">
        <v>2</v>
      </c>
      <c r="IG87">
        <v>2</v>
      </c>
      <c r="IH87">
        <v>2</v>
      </c>
      <c r="II87">
        <v>2</v>
      </c>
    </row>
    <row r="88" spans="1:245" ht="12.75" customHeight="1" outlineLevel="1" x14ac:dyDescent="0.2">
      <c r="A88" t="str">
        <f>INDEX(TL_GES,ROW()-87)</f>
        <v>Betören</v>
      </c>
      <c r="B88" t="s">
        <v>3310</v>
      </c>
      <c r="O88" t="s">
        <v>3310</v>
      </c>
      <c r="W88">
        <v>1</v>
      </c>
      <c r="AJ88">
        <v>1</v>
      </c>
      <c r="AP88">
        <v>1</v>
      </c>
      <c r="AQ88">
        <v>1</v>
      </c>
      <c r="AT88" t="s">
        <v>3310</v>
      </c>
      <c r="AY88" t="s">
        <v>3310</v>
      </c>
      <c r="AZ88">
        <v>2</v>
      </c>
      <c r="BA88">
        <v>2</v>
      </c>
      <c r="BB88">
        <v>5</v>
      </c>
      <c r="BC88">
        <v>2</v>
      </c>
      <c r="BD88">
        <v>2</v>
      </c>
      <c r="BE88">
        <v>2</v>
      </c>
      <c r="BF88">
        <v>4</v>
      </c>
      <c r="BG88">
        <v>2</v>
      </c>
      <c r="BH88" t="s">
        <v>3310</v>
      </c>
      <c r="BK88" t="s">
        <v>3310</v>
      </c>
      <c r="CK88">
        <v>1</v>
      </c>
      <c r="CV88" t="s">
        <v>3310</v>
      </c>
      <c r="CW88">
        <v>2</v>
      </c>
      <c r="DN88">
        <v>2</v>
      </c>
      <c r="DO88">
        <v>2</v>
      </c>
      <c r="DX88">
        <v>2</v>
      </c>
      <c r="ET88">
        <v>3</v>
      </c>
      <c r="EU88">
        <v>2</v>
      </c>
      <c r="EX88" t="s">
        <v>3310</v>
      </c>
      <c r="EZ88" t="s">
        <v>4569</v>
      </c>
      <c r="FA88" t="s">
        <v>4569</v>
      </c>
      <c r="FE88">
        <v>3</v>
      </c>
      <c r="FN88">
        <v>2</v>
      </c>
      <c r="FO88">
        <v>2</v>
      </c>
      <c r="FW88" t="s">
        <v>3310</v>
      </c>
      <c r="FX88">
        <v>1</v>
      </c>
      <c r="FY88">
        <v>2</v>
      </c>
      <c r="FZ88">
        <v>1</v>
      </c>
      <c r="GA88">
        <v>1</v>
      </c>
      <c r="GB88">
        <v>1</v>
      </c>
      <c r="GC88">
        <v>1</v>
      </c>
      <c r="GD88">
        <v>1</v>
      </c>
      <c r="GE88" t="s">
        <v>3310</v>
      </c>
      <c r="GM88" t="s">
        <v>3310</v>
      </c>
      <c r="GN88">
        <v>4</v>
      </c>
      <c r="GO88">
        <v>4</v>
      </c>
      <c r="GP88">
        <v>4</v>
      </c>
      <c r="GQ88">
        <v>5</v>
      </c>
      <c r="GR88">
        <v>6</v>
      </c>
      <c r="GS88">
        <v>4</v>
      </c>
      <c r="GT88">
        <v>4</v>
      </c>
      <c r="GU88">
        <v>5</v>
      </c>
      <c r="GV88">
        <v>6</v>
      </c>
      <c r="GW88">
        <v>4</v>
      </c>
      <c r="GX88" t="s">
        <v>3310</v>
      </c>
      <c r="HX88">
        <v>2</v>
      </c>
      <c r="HY88">
        <v>2</v>
      </c>
      <c r="IF88" t="s">
        <v>4569</v>
      </c>
      <c r="IG88" t="s">
        <v>4569</v>
      </c>
      <c r="IH88" t="s">
        <v>4569</v>
      </c>
      <c r="II88" t="s">
        <v>4569</v>
      </c>
      <c r="IJ88" t="s">
        <v>3310</v>
      </c>
    </row>
    <row r="89" spans="1:245" outlineLevel="1" x14ac:dyDescent="0.2">
      <c r="A89" t="str">
        <f t="shared" ref="A89:A98" si="2">INDEX(TL_GES,ROW()-87)</f>
        <v>Etikette</v>
      </c>
      <c r="BB89">
        <v>2</v>
      </c>
      <c r="BD89">
        <v>2</v>
      </c>
      <c r="BE89">
        <v>2</v>
      </c>
      <c r="CW89">
        <v>4</v>
      </c>
      <c r="CX89">
        <v>3</v>
      </c>
      <c r="CY89">
        <v>1</v>
      </c>
      <c r="CZ89">
        <v>3</v>
      </c>
      <c r="DA89">
        <v>3</v>
      </c>
      <c r="DB89">
        <v>4</v>
      </c>
      <c r="DC89">
        <v>1</v>
      </c>
      <c r="DD89">
        <v>1</v>
      </c>
      <c r="DE89">
        <v>1</v>
      </c>
      <c r="DF89">
        <v>1</v>
      </c>
      <c r="DG89">
        <v>1</v>
      </c>
      <c r="DH89">
        <v>1</v>
      </c>
      <c r="DI89">
        <v>1</v>
      </c>
      <c r="DJ89">
        <v>1</v>
      </c>
      <c r="DK89">
        <v>1</v>
      </c>
      <c r="DL89">
        <v>2</v>
      </c>
      <c r="DM89">
        <v>3</v>
      </c>
      <c r="DN89">
        <v>3</v>
      </c>
      <c r="DO89">
        <v>3</v>
      </c>
      <c r="DP89">
        <v>6</v>
      </c>
      <c r="DQ89">
        <v>2</v>
      </c>
      <c r="DR89">
        <v>3</v>
      </c>
      <c r="DS89">
        <v>4</v>
      </c>
      <c r="DT89">
        <v>1</v>
      </c>
      <c r="DU89">
        <v>2</v>
      </c>
      <c r="DV89">
        <v>3</v>
      </c>
      <c r="DW89">
        <v>2</v>
      </c>
      <c r="DX89">
        <v>5</v>
      </c>
      <c r="DY89">
        <v>3</v>
      </c>
      <c r="DZ89">
        <v>2</v>
      </c>
      <c r="EA89">
        <v>3</v>
      </c>
      <c r="EB89">
        <v>2</v>
      </c>
      <c r="EC89">
        <v>3</v>
      </c>
      <c r="ED89">
        <v>1</v>
      </c>
      <c r="EE89">
        <v>1</v>
      </c>
      <c r="EF89">
        <v>1</v>
      </c>
      <c r="EG89">
        <v>2</v>
      </c>
      <c r="EJ89">
        <v>1</v>
      </c>
      <c r="EK89">
        <v>2</v>
      </c>
      <c r="EL89">
        <v>2</v>
      </c>
      <c r="EM89">
        <v>3</v>
      </c>
      <c r="EN89">
        <v>3</v>
      </c>
      <c r="EO89">
        <v>4</v>
      </c>
      <c r="EP89">
        <v>4</v>
      </c>
      <c r="EQ89">
        <v>4</v>
      </c>
      <c r="ER89">
        <v>2</v>
      </c>
      <c r="ET89">
        <v>5</v>
      </c>
      <c r="EU89">
        <v>3</v>
      </c>
      <c r="EV89">
        <v>1</v>
      </c>
      <c r="EW89">
        <v>1</v>
      </c>
      <c r="EY89">
        <v>2</v>
      </c>
      <c r="EZ89">
        <v>2</v>
      </c>
      <c r="FA89">
        <v>2</v>
      </c>
      <c r="FB89">
        <v>4</v>
      </c>
      <c r="FC89">
        <v>2</v>
      </c>
      <c r="FD89">
        <v>1</v>
      </c>
      <c r="FE89">
        <v>2</v>
      </c>
      <c r="FF89">
        <v>3</v>
      </c>
      <c r="FK89">
        <v>2</v>
      </c>
      <c r="FL89">
        <v>3</v>
      </c>
      <c r="FM89">
        <v>1</v>
      </c>
      <c r="FN89">
        <v>5</v>
      </c>
      <c r="FO89">
        <v>3</v>
      </c>
      <c r="FP89">
        <v>2</v>
      </c>
      <c r="FQ89">
        <v>2</v>
      </c>
      <c r="FR89">
        <v>2</v>
      </c>
      <c r="FS89">
        <v>2</v>
      </c>
      <c r="FV89">
        <v>1</v>
      </c>
      <c r="FY89">
        <v>4</v>
      </c>
      <c r="FZ89">
        <v>2</v>
      </c>
      <c r="GC89">
        <v>3</v>
      </c>
      <c r="GK89">
        <v>2</v>
      </c>
      <c r="GP89">
        <v>3</v>
      </c>
      <c r="GQ89">
        <v>2</v>
      </c>
      <c r="GS89">
        <v>2</v>
      </c>
      <c r="GT89">
        <v>3</v>
      </c>
      <c r="GU89">
        <v>2</v>
      </c>
      <c r="GW89">
        <v>2</v>
      </c>
      <c r="HA89">
        <v>1</v>
      </c>
      <c r="HB89">
        <v>1</v>
      </c>
      <c r="HC89">
        <v>1</v>
      </c>
      <c r="HD89">
        <v>1</v>
      </c>
      <c r="HE89">
        <v>1</v>
      </c>
      <c r="HF89">
        <v>1</v>
      </c>
      <c r="HG89">
        <v>1</v>
      </c>
      <c r="HH89">
        <v>1</v>
      </c>
      <c r="HI89">
        <v>1</v>
      </c>
      <c r="HJ89">
        <v>1</v>
      </c>
      <c r="HK89">
        <v>1</v>
      </c>
      <c r="HL89">
        <v>1</v>
      </c>
      <c r="HM89">
        <v>1</v>
      </c>
      <c r="HN89">
        <v>1</v>
      </c>
      <c r="HO89">
        <v>2</v>
      </c>
      <c r="HP89">
        <v>2</v>
      </c>
      <c r="HQ89">
        <v>3</v>
      </c>
      <c r="HR89">
        <v>2</v>
      </c>
      <c r="HS89">
        <v>2</v>
      </c>
      <c r="HT89">
        <v>2</v>
      </c>
      <c r="HU89">
        <v>2</v>
      </c>
      <c r="HV89">
        <v>2</v>
      </c>
      <c r="HW89">
        <v>2</v>
      </c>
      <c r="HX89">
        <v>2</v>
      </c>
      <c r="HY89">
        <v>2</v>
      </c>
      <c r="HZ89">
        <v>2</v>
      </c>
      <c r="IA89">
        <v>2</v>
      </c>
      <c r="IB89">
        <v>1</v>
      </c>
      <c r="IC89">
        <v>1</v>
      </c>
      <c r="ID89">
        <v>2</v>
      </c>
      <c r="IE89">
        <v>1</v>
      </c>
      <c r="IF89">
        <v>2</v>
      </c>
      <c r="IG89">
        <v>2</v>
      </c>
      <c r="IH89">
        <v>1</v>
      </c>
      <c r="II89">
        <v>1</v>
      </c>
    </row>
    <row r="90" spans="1:245" outlineLevel="1" x14ac:dyDescent="0.2">
      <c r="A90" t="str">
        <f t="shared" si="2"/>
        <v>Galanterie</v>
      </c>
      <c r="EZ90" t="s">
        <v>4569</v>
      </c>
      <c r="FA90" t="s">
        <v>4569</v>
      </c>
      <c r="IF90" t="s">
        <v>4569</v>
      </c>
      <c r="IG90" t="s">
        <v>4569</v>
      </c>
      <c r="IH90" t="s">
        <v>4569</v>
      </c>
      <c r="II90" t="s">
        <v>4569</v>
      </c>
    </row>
    <row r="91" spans="1:245" outlineLevel="1" x14ac:dyDescent="0.2">
      <c r="A91" t="str">
        <f t="shared" si="2"/>
        <v>Gassenwissen</v>
      </c>
      <c r="F91">
        <v>1</v>
      </c>
      <c r="BB91">
        <v>2</v>
      </c>
      <c r="BF91">
        <v>2</v>
      </c>
      <c r="BP91">
        <v>1</v>
      </c>
      <c r="BR91">
        <v>1</v>
      </c>
      <c r="CN91">
        <v>1</v>
      </c>
      <c r="DA91">
        <v>1</v>
      </c>
      <c r="DN91">
        <v>2</v>
      </c>
      <c r="DO91">
        <v>2</v>
      </c>
      <c r="DU91">
        <v>2</v>
      </c>
      <c r="DV91">
        <v>1</v>
      </c>
      <c r="EW91">
        <v>1</v>
      </c>
      <c r="EZ91">
        <v>3</v>
      </c>
      <c r="FA91">
        <v>3</v>
      </c>
      <c r="FB91">
        <v>2</v>
      </c>
      <c r="FE91">
        <v>2</v>
      </c>
      <c r="FK91">
        <v>3</v>
      </c>
      <c r="FL91">
        <v>2</v>
      </c>
      <c r="FN91">
        <v>2</v>
      </c>
      <c r="FV91">
        <v>2</v>
      </c>
      <c r="FX91">
        <v>1</v>
      </c>
      <c r="FY91">
        <v>1</v>
      </c>
      <c r="FZ91">
        <v>4</v>
      </c>
      <c r="GA91">
        <v>4</v>
      </c>
      <c r="GB91">
        <v>4</v>
      </c>
      <c r="GC91">
        <v>1</v>
      </c>
      <c r="GD91">
        <v>3</v>
      </c>
      <c r="GO91">
        <v>3</v>
      </c>
      <c r="GP91">
        <v>2</v>
      </c>
      <c r="GS91">
        <v>1</v>
      </c>
      <c r="GT91">
        <v>2</v>
      </c>
      <c r="GW91">
        <v>1</v>
      </c>
      <c r="HA91">
        <v>1</v>
      </c>
      <c r="HB91">
        <v>1</v>
      </c>
      <c r="HC91">
        <v>2</v>
      </c>
      <c r="HD91">
        <v>2</v>
      </c>
      <c r="HE91">
        <v>2</v>
      </c>
      <c r="HF91">
        <v>2</v>
      </c>
      <c r="HG91">
        <v>2</v>
      </c>
      <c r="HH91">
        <v>2</v>
      </c>
      <c r="HI91">
        <v>2</v>
      </c>
      <c r="HJ91">
        <v>2</v>
      </c>
      <c r="HK91">
        <v>2</v>
      </c>
      <c r="HL91">
        <v>2</v>
      </c>
      <c r="HM91">
        <v>1</v>
      </c>
      <c r="HN91">
        <v>1</v>
      </c>
      <c r="HO91">
        <v>2</v>
      </c>
      <c r="HP91">
        <v>2</v>
      </c>
      <c r="HQ91">
        <v>1</v>
      </c>
      <c r="HR91">
        <v>1</v>
      </c>
      <c r="HS91">
        <v>1</v>
      </c>
      <c r="HT91">
        <v>1</v>
      </c>
      <c r="HU91">
        <v>1</v>
      </c>
      <c r="HV91">
        <v>1</v>
      </c>
      <c r="HW91">
        <v>1</v>
      </c>
      <c r="HX91">
        <v>1</v>
      </c>
      <c r="HY91">
        <v>1</v>
      </c>
      <c r="HZ91">
        <v>1</v>
      </c>
      <c r="IA91">
        <v>1</v>
      </c>
      <c r="ID91">
        <v>1</v>
      </c>
      <c r="IE91">
        <v>1</v>
      </c>
      <c r="IF91">
        <v>1</v>
      </c>
      <c r="IG91">
        <v>1</v>
      </c>
      <c r="IH91">
        <v>1</v>
      </c>
      <c r="II91">
        <v>1</v>
      </c>
    </row>
    <row r="92" spans="1:245" outlineLevel="1" x14ac:dyDescent="0.2">
      <c r="A92" t="str">
        <f t="shared" si="2"/>
        <v>Lehren</v>
      </c>
      <c r="W92">
        <v>4</v>
      </c>
      <c r="AC92" t="s">
        <v>666</v>
      </c>
      <c r="AJ92">
        <v>4</v>
      </c>
      <c r="AO92" t="s">
        <v>666</v>
      </c>
      <c r="AP92">
        <v>4</v>
      </c>
      <c r="AQ92">
        <v>4</v>
      </c>
      <c r="AR92">
        <v>2</v>
      </c>
      <c r="AS92">
        <v>2</v>
      </c>
      <c r="AU92">
        <v>5</v>
      </c>
      <c r="AV92">
        <v>5</v>
      </c>
      <c r="AW92">
        <v>5</v>
      </c>
      <c r="AX92">
        <v>5</v>
      </c>
      <c r="BA92">
        <v>3</v>
      </c>
      <c r="BD92">
        <v>4</v>
      </c>
      <c r="BI92">
        <v>4</v>
      </c>
      <c r="BJ92">
        <v>4</v>
      </c>
      <c r="CB92">
        <v>2</v>
      </c>
      <c r="CO92">
        <v>2</v>
      </c>
      <c r="CP92">
        <v>2</v>
      </c>
      <c r="CQ92">
        <v>2</v>
      </c>
      <c r="CR92">
        <v>2</v>
      </c>
      <c r="CS92">
        <v>2</v>
      </c>
      <c r="CT92">
        <v>1</v>
      </c>
      <c r="CU92">
        <v>1</v>
      </c>
      <c r="CW92">
        <v>2</v>
      </c>
      <c r="CX92">
        <v>2</v>
      </c>
      <c r="CY92">
        <v>2</v>
      </c>
      <c r="CZ92">
        <v>3</v>
      </c>
      <c r="DA92">
        <v>3</v>
      </c>
      <c r="DB92">
        <v>2</v>
      </c>
      <c r="DC92">
        <v>2</v>
      </c>
      <c r="DD92">
        <v>3</v>
      </c>
      <c r="DE92">
        <v>3</v>
      </c>
      <c r="DF92">
        <v>2</v>
      </c>
      <c r="DG92">
        <v>2</v>
      </c>
      <c r="DH92">
        <v>2</v>
      </c>
      <c r="DI92">
        <v>2</v>
      </c>
      <c r="DJ92">
        <v>2</v>
      </c>
      <c r="DK92">
        <v>2</v>
      </c>
      <c r="DL92">
        <v>2</v>
      </c>
      <c r="DM92">
        <v>4</v>
      </c>
      <c r="DN92">
        <v>2</v>
      </c>
      <c r="DO92">
        <v>2</v>
      </c>
      <c r="DP92">
        <v>2</v>
      </c>
      <c r="DQ92">
        <v>3</v>
      </c>
      <c r="DR92">
        <v>3</v>
      </c>
      <c r="DS92">
        <v>3</v>
      </c>
      <c r="DT92">
        <v>3</v>
      </c>
      <c r="DU92">
        <v>3</v>
      </c>
      <c r="DV92">
        <v>2</v>
      </c>
      <c r="DW92">
        <v>2</v>
      </c>
      <c r="DX92">
        <v>2</v>
      </c>
      <c r="DY92">
        <v>5</v>
      </c>
      <c r="DZ92">
        <v>3</v>
      </c>
      <c r="EA92">
        <v>4</v>
      </c>
      <c r="EB92">
        <v>6</v>
      </c>
      <c r="EC92">
        <v>2</v>
      </c>
      <c r="ED92">
        <v>2</v>
      </c>
      <c r="EE92">
        <v>5</v>
      </c>
      <c r="EF92">
        <v>3</v>
      </c>
      <c r="EG92">
        <v>2</v>
      </c>
      <c r="EH92">
        <v>3</v>
      </c>
      <c r="EI92">
        <v>3</v>
      </c>
      <c r="EJ92">
        <v>3</v>
      </c>
      <c r="EK92">
        <v>4</v>
      </c>
      <c r="EL92">
        <v>4</v>
      </c>
      <c r="EM92">
        <v>2</v>
      </c>
      <c r="EN92">
        <v>2</v>
      </c>
      <c r="EO92">
        <v>2</v>
      </c>
      <c r="EP92">
        <v>2</v>
      </c>
      <c r="EQ92">
        <v>3</v>
      </c>
      <c r="ER92">
        <v>3</v>
      </c>
      <c r="ES92">
        <v>2</v>
      </c>
      <c r="ET92">
        <v>5</v>
      </c>
      <c r="EU92">
        <v>2</v>
      </c>
      <c r="EV92">
        <v>3</v>
      </c>
      <c r="EW92">
        <v>3</v>
      </c>
      <c r="EY92">
        <v>2</v>
      </c>
      <c r="EZ92">
        <v>2</v>
      </c>
      <c r="FA92">
        <v>2</v>
      </c>
      <c r="FB92">
        <v>4</v>
      </c>
      <c r="FC92">
        <v>6</v>
      </c>
      <c r="FD92">
        <v>2</v>
      </c>
      <c r="FE92">
        <v>2</v>
      </c>
      <c r="FF92">
        <v>2</v>
      </c>
      <c r="FG92">
        <v>2</v>
      </c>
      <c r="FH92">
        <v>2</v>
      </c>
      <c r="FI92">
        <v>2</v>
      </c>
      <c r="FJ92">
        <v>2</v>
      </c>
      <c r="FK92">
        <v>5</v>
      </c>
      <c r="FL92">
        <v>2</v>
      </c>
      <c r="FM92">
        <v>2</v>
      </c>
      <c r="FN92">
        <v>5</v>
      </c>
      <c r="FO92">
        <v>4</v>
      </c>
      <c r="FP92">
        <v>2</v>
      </c>
      <c r="FQ92">
        <v>2</v>
      </c>
      <c r="FR92">
        <v>2</v>
      </c>
      <c r="FS92">
        <v>2</v>
      </c>
      <c r="FT92">
        <v>3</v>
      </c>
      <c r="FU92">
        <v>3</v>
      </c>
      <c r="FV92">
        <v>1</v>
      </c>
      <c r="GY92">
        <v>3</v>
      </c>
      <c r="HA92">
        <v>2</v>
      </c>
      <c r="HB92">
        <v>2</v>
      </c>
      <c r="HC92">
        <v>3</v>
      </c>
      <c r="HD92">
        <v>3</v>
      </c>
      <c r="HE92">
        <v>3</v>
      </c>
      <c r="HF92">
        <v>3</v>
      </c>
      <c r="HG92">
        <v>3</v>
      </c>
      <c r="HH92">
        <v>3</v>
      </c>
      <c r="HI92">
        <v>3</v>
      </c>
      <c r="HJ92">
        <v>3</v>
      </c>
      <c r="HK92">
        <v>3</v>
      </c>
      <c r="HL92">
        <v>3</v>
      </c>
      <c r="HM92">
        <v>2</v>
      </c>
      <c r="HN92">
        <v>2</v>
      </c>
      <c r="HO92">
        <v>2</v>
      </c>
      <c r="HP92">
        <v>2</v>
      </c>
      <c r="HQ92">
        <v>2</v>
      </c>
      <c r="HR92">
        <v>2</v>
      </c>
      <c r="HS92">
        <v>2</v>
      </c>
      <c r="HT92">
        <v>2</v>
      </c>
      <c r="HU92">
        <v>2</v>
      </c>
      <c r="HV92">
        <v>2</v>
      </c>
      <c r="HW92">
        <v>2</v>
      </c>
      <c r="HX92">
        <v>2</v>
      </c>
      <c r="HY92">
        <v>2</v>
      </c>
      <c r="HZ92">
        <v>2</v>
      </c>
      <c r="IA92">
        <v>2</v>
      </c>
      <c r="IB92">
        <v>2</v>
      </c>
      <c r="IC92">
        <v>2</v>
      </c>
      <c r="ID92">
        <v>2</v>
      </c>
      <c r="IE92">
        <v>2</v>
      </c>
      <c r="IF92">
        <v>2</v>
      </c>
      <c r="IG92">
        <v>2</v>
      </c>
      <c r="IH92">
        <v>2</v>
      </c>
      <c r="II92">
        <v>2</v>
      </c>
      <c r="IK92">
        <v>1</v>
      </c>
    </row>
    <row r="93" spans="1:245" outlineLevel="1" x14ac:dyDescent="0.2">
      <c r="A93" t="str">
        <f t="shared" si="2"/>
        <v>Menschenkenntnis</v>
      </c>
      <c r="F93">
        <v>2</v>
      </c>
      <c r="G93">
        <v>1</v>
      </c>
      <c r="P93">
        <v>4</v>
      </c>
      <c r="W93" t="s">
        <v>1719</v>
      </c>
      <c r="AC93">
        <v>2</v>
      </c>
      <c r="AD93">
        <v>6</v>
      </c>
      <c r="AE93">
        <v>2</v>
      </c>
      <c r="AF93">
        <v>2</v>
      </c>
      <c r="AG93">
        <v>2</v>
      </c>
      <c r="AH93">
        <v>2</v>
      </c>
      <c r="AI93">
        <v>2</v>
      </c>
      <c r="AJ93" t="s">
        <v>2674</v>
      </c>
      <c r="AK93">
        <v>2</v>
      </c>
      <c r="AL93">
        <v>2</v>
      </c>
      <c r="AM93">
        <v>2</v>
      </c>
      <c r="AN93">
        <v>2</v>
      </c>
      <c r="AO93">
        <v>4</v>
      </c>
      <c r="AP93" t="s">
        <v>1719</v>
      </c>
      <c r="AQ93" t="s">
        <v>2674</v>
      </c>
      <c r="AR93">
        <v>2</v>
      </c>
      <c r="AS93">
        <v>4</v>
      </c>
      <c r="AU93">
        <v>2</v>
      </c>
      <c r="AV93">
        <v>2</v>
      </c>
      <c r="AW93">
        <v>2</v>
      </c>
      <c r="AX93">
        <v>2</v>
      </c>
      <c r="AZ93">
        <v>2</v>
      </c>
      <c r="BA93">
        <v>4</v>
      </c>
      <c r="BB93">
        <v>4</v>
      </c>
      <c r="BC93">
        <v>2</v>
      </c>
      <c r="BD93">
        <v>2</v>
      </c>
      <c r="BE93">
        <v>5</v>
      </c>
      <c r="BF93">
        <v>4</v>
      </c>
      <c r="BG93">
        <v>3</v>
      </c>
      <c r="BI93">
        <v>-1</v>
      </c>
      <c r="BJ93">
        <v>-1</v>
      </c>
      <c r="BP93">
        <v>1</v>
      </c>
      <c r="CB93">
        <v>1</v>
      </c>
      <c r="CK93">
        <v>2</v>
      </c>
      <c r="CL93">
        <v>1</v>
      </c>
      <c r="CM93">
        <v>5</v>
      </c>
      <c r="CN93">
        <v>5</v>
      </c>
      <c r="CO93">
        <v>2</v>
      </c>
      <c r="CP93">
        <v>2</v>
      </c>
      <c r="CQ93">
        <v>2</v>
      </c>
      <c r="CR93">
        <v>2</v>
      </c>
      <c r="CS93">
        <v>2</v>
      </c>
      <c r="CT93">
        <v>1</v>
      </c>
      <c r="CU93">
        <v>1</v>
      </c>
      <c r="CW93">
        <v>4</v>
      </c>
      <c r="CX93">
        <v>2</v>
      </c>
      <c r="CY93">
        <v>2</v>
      </c>
      <c r="CZ93">
        <v>4</v>
      </c>
      <c r="DA93">
        <v>2</v>
      </c>
      <c r="DB93">
        <v>2</v>
      </c>
      <c r="DD93">
        <v>3</v>
      </c>
      <c r="DE93">
        <v>3</v>
      </c>
      <c r="DF93">
        <v>-1</v>
      </c>
      <c r="DG93">
        <v>-1</v>
      </c>
      <c r="DH93">
        <v>-1</v>
      </c>
      <c r="DI93">
        <v>-1</v>
      </c>
      <c r="DJ93">
        <v>-1</v>
      </c>
      <c r="DK93">
        <v>-1</v>
      </c>
      <c r="DL93">
        <v>2</v>
      </c>
      <c r="DM93">
        <v>4</v>
      </c>
      <c r="DN93">
        <v>5</v>
      </c>
      <c r="DO93">
        <v>5</v>
      </c>
      <c r="DP93">
        <v>4</v>
      </c>
      <c r="DQ93">
        <v>4</v>
      </c>
      <c r="DR93">
        <v>4</v>
      </c>
      <c r="DS93">
        <v>4</v>
      </c>
      <c r="DT93">
        <v>4</v>
      </c>
      <c r="DU93">
        <v>2</v>
      </c>
      <c r="DV93">
        <v>2</v>
      </c>
      <c r="DW93">
        <v>2</v>
      </c>
      <c r="DX93">
        <v>4</v>
      </c>
      <c r="DY93">
        <v>4</v>
      </c>
      <c r="DZ93">
        <v>4</v>
      </c>
      <c r="EA93">
        <v>4</v>
      </c>
      <c r="EB93">
        <v>4</v>
      </c>
      <c r="EC93">
        <v>4</v>
      </c>
      <c r="ED93">
        <v>2</v>
      </c>
      <c r="EE93">
        <v>4</v>
      </c>
      <c r="EF93">
        <v>4</v>
      </c>
      <c r="EH93">
        <v>4</v>
      </c>
      <c r="EI93">
        <v>4</v>
      </c>
      <c r="EJ93">
        <v>4</v>
      </c>
      <c r="EM93">
        <v>4</v>
      </c>
      <c r="EN93">
        <v>4</v>
      </c>
      <c r="EO93">
        <v>4</v>
      </c>
      <c r="EP93">
        <v>4</v>
      </c>
      <c r="EQ93">
        <v>4</v>
      </c>
      <c r="ER93">
        <v>4</v>
      </c>
      <c r="ES93">
        <v>4</v>
      </c>
      <c r="ET93">
        <v>4</v>
      </c>
      <c r="EU93">
        <v>4</v>
      </c>
      <c r="EV93">
        <v>3</v>
      </c>
      <c r="EW93">
        <v>3</v>
      </c>
      <c r="EZ93">
        <v>1</v>
      </c>
      <c r="FA93">
        <v>1</v>
      </c>
      <c r="FB93">
        <v>2</v>
      </c>
      <c r="FC93">
        <v>3</v>
      </c>
      <c r="FD93">
        <v>3</v>
      </c>
      <c r="FE93">
        <v>2</v>
      </c>
      <c r="FF93">
        <v>2</v>
      </c>
      <c r="FK93">
        <v>2</v>
      </c>
      <c r="FL93">
        <v>2</v>
      </c>
      <c r="FM93">
        <v>1</v>
      </c>
      <c r="FN93">
        <v>5</v>
      </c>
      <c r="FO93">
        <v>2</v>
      </c>
      <c r="FP93">
        <v>2</v>
      </c>
      <c r="FQ93">
        <v>2</v>
      </c>
      <c r="FR93">
        <v>2</v>
      </c>
      <c r="FS93">
        <v>2</v>
      </c>
      <c r="FT93">
        <v>4</v>
      </c>
      <c r="FU93">
        <v>1</v>
      </c>
      <c r="FV93">
        <v>3</v>
      </c>
      <c r="FX93">
        <v>4</v>
      </c>
      <c r="FY93">
        <v>4</v>
      </c>
      <c r="FZ93">
        <v>4</v>
      </c>
      <c r="GA93">
        <v>6</v>
      </c>
      <c r="GB93">
        <v>4</v>
      </c>
      <c r="GC93">
        <v>4</v>
      </c>
      <c r="GD93">
        <v>6</v>
      </c>
      <c r="GH93">
        <v>2</v>
      </c>
      <c r="GI93">
        <v>1</v>
      </c>
      <c r="GK93">
        <v>2</v>
      </c>
      <c r="GN93">
        <v>4</v>
      </c>
      <c r="GO93">
        <v>4</v>
      </c>
      <c r="GP93">
        <v>4</v>
      </c>
      <c r="GQ93">
        <v>4</v>
      </c>
      <c r="GR93">
        <v>4</v>
      </c>
      <c r="GS93">
        <v>4</v>
      </c>
      <c r="GT93">
        <v>4</v>
      </c>
      <c r="GU93">
        <v>4</v>
      </c>
      <c r="GV93">
        <v>4</v>
      </c>
      <c r="GW93">
        <v>4</v>
      </c>
      <c r="GY93">
        <v>5</v>
      </c>
      <c r="HA93">
        <v>3</v>
      </c>
      <c r="HB93">
        <v>3</v>
      </c>
      <c r="HC93">
        <v>4</v>
      </c>
      <c r="HD93">
        <v>4</v>
      </c>
      <c r="HE93">
        <v>4</v>
      </c>
      <c r="HF93">
        <v>4</v>
      </c>
      <c r="HG93">
        <v>4</v>
      </c>
      <c r="HH93">
        <v>4</v>
      </c>
      <c r="HI93">
        <v>4</v>
      </c>
      <c r="HJ93">
        <v>4</v>
      </c>
      <c r="HK93">
        <v>4</v>
      </c>
      <c r="HL93">
        <v>4</v>
      </c>
      <c r="HM93">
        <v>4</v>
      </c>
      <c r="HN93">
        <v>4</v>
      </c>
      <c r="HO93">
        <v>3</v>
      </c>
      <c r="HP93">
        <v>3</v>
      </c>
      <c r="HQ93">
        <v>3</v>
      </c>
      <c r="HR93">
        <v>3</v>
      </c>
      <c r="HS93">
        <v>3</v>
      </c>
      <c r="HT93">
        <v>3</v>
      </c>
      <c r="HU93">
        <v>3</v>
      </c>
      <c r="HV93">
        <v>3</v>
      </c>
      <c r="HW93">
        <v>3</v>
      </c>
      <c r="HX93">
        <v>4</v>
      </c>
      <c r="HY93">
        <v>4</v>
      </c>
      <c r="HZ93">
        <v>3</v>
      </c>
      <c r="IA93">
        <v>3</v>
      </c>
      <c r="IB93">
        <v>4</v>
      </c>
      <c r="IC93">
        <v>4</v>
      </c>
      <c r="ID93">
        <v>3</v>
      </c>
      <c r="IE93">
        <v>3</v>
      </c>
      <c r="IF93">
        <v>4</v>
      </c>
      <c r="IG93">
        <v>4</v>
      </c>
      <c r="IH93">
        <v>3</v>
      </c>
      <c r="II93">
        <v>3</v>
      </c>
    </row>
    <row r="94" spans="1:245" outlineLevel="1" x14ac:dyDescent="0.2">
      <c r="A94" t="str">
        <f t="shared" si="2"/>
        <v>Schauspielerei</v>
      </c>
      <c r="EZ94" t="s">
        <v>4569</v>
      </c>
      <c r="FA94" t="s">
        <v>4569</v>
      </c>
      <c r="GC94">
        <v>3</v>
      </c>
      <c r="IF94" t="s">
        <v>4569</v>
      </c>
      <c r="IG94" t="s">
        <v>4569</v>
      </c>
      <c r="IH94" t="s">
        <v>4569</v>
      </c>
      <c r="II94" t="s">
        <v>4569</v>
      </c>
    </row>
    <row r="95" spans="1:245" outlineLevel="1" x14ac:dyDescent="0.2">
      <c r="A95" t="str">
        <f t="shared" si="2"/>
        <v>Schriftl. Ausdruck</v>
      </c>
      <c r="CW95">
        <v>2</v>
      </c>
      <c r="DM95">
        <v>1</v>
      </c>
      <c r="DS95">
        <v>2</v>
      </c>
      <c r="DU95">
        <v>1</v>
      </c>
      <c r="DZ95">
        <v>2</v>
      </c>
      <c r="EA95">
        <v>2</v>
      </c>
      <c r="EB95">
        <v>2</v>
      </c>
      <c r="EJ95">
        <v>1</v>
      </c>
      <c r="EK95">
        <v>3</v>
      </c>
      <c r="EL95">
        <v>3</v>
      </c>
      <c r="EO95">
        <v>2</v>
      </c>
      <c r="EQ95">
        <v>2</v>
      </c>
      <c r="ET95">
        <v>3</v>
      </c>
      <c r="EZ95" t="s">
        <v>4569</v>
      </c>
      <c r="FA95" t="s">
        <v>4569</v>
      </c>
      <c r="FN95">
        <v>2</v>
      </c>
      <c r="FO95">
        <v>2</v>
      </c>
      <c r="FU95">
        <v>2</v>
      </c>
      <c r="GY95">
        <v>4</v>
      </c>
      <c r="HR95">
        <v>2</v>
      </c>
      <c r="HS95">
        <v>2</v>
      </c>
      <c r="HT95">
        <v>2</v>
      </c>
      <c r="HU95">
        <v>2</v>
      </c>
      <c r="HV95">
        <v>2</v>
      </c>
      <c r="HW95">
        <v>2</v>
      </c>
      <c r="HX95">
        <v>2</v>
      </c>
      <c r="HY95">
        <v>2</v>
      </c>
      <c r="HZ95">
        <v>2</v>
      </c>
      <c r="IA95">
        <v>2</v>
      </c>
      <c r="IF95" t="s">
        <v>4569</v>
      </c>
      <c r="IG95" t="s">
        <v>4569</v>
      </c>
      <c r="IH95" t="s">
        <v>4569</v>
      </c>
      <c r="II95" t="s">
        <v>4569</v>
      </c>
    </row>
    <row r="96" spans="1:245" outlineLevel="1" x14ac:dyDescent="0.2">
      <c r="A96" t="str">
        <f t="shared" si="2"/>
        <v>Sich Verkleiden</v>
      </c>
      <c r="F96">
        <v>2</v>
      </c>
      <c r="BB96">
        <v>4</v>
      </c>
      <c r="BC96">
        <v>2</v>
      </c>
      <c r="BD96">
        <v>3</v>
      </c>
      <c r="BE96">
        <v>2</v>
      </c>
      <c r="BF96">
        <v>4</v>
      </c>
      <c r="BG96">
        <v>4</v>
      </c>
      <c r="CW96">
        <v>3</v>
      </c>
      <c r="DN96">
        <v>1</v>
      </c>
      <c r="DO96">
        <v>1</v>
      </c>
      <c r="DP96">
        <v>2</v>
      </c>
      <c r="EZ96" t="s">
        <v>4569</v>
      </c>
      <c r="FA96" t="s">
        <v>4569</v>
      </c>
      <c r="FK96">
        <v>2</v>
      </c>
      <c r="FX96">
        <v>4</v>
      </c>
      <c r="FY96">
        <v>4</v>
      </c>
      <c r="FZ96">
        <v>5</v>
      </c>
      <c r="GA96">
        <v>4</v>
      </c>
      <c r="GB96">
        <v>4</v>
      </c>
      <c r="GC96">
        <v>5</v>
      </c>
      <c r="GD96">
        <v>4</v>
      </c>
      <c r="GF96">
        <v>4</v>
      </c>
      <c r="GG96">
        <v>4</v>
      </c>
      <c r="GH96">
        <v>4</v>
      </c>
      <c r="GI96">
        <v>4</v>
      </c>
      <c r="GJ96">
        <v>4</v>
      </c>
      <c r="GK96">
        <v>6</v>
      </c>
      <c r="GL96">
        <v>4</v>
      </c>
      <c r="GN96">
        <v>3</v>
      </c>
      <c r="GO96">
        <v>3</v>
      </c>
      <c r="GP96">
        <v>3</v>
      </c>
      <c r="GQ96">
        <v>3</v>
      </c>
      <c r="GR96">
        <v>3</v>
      </c>
      <c r="GS96">
        <v>3</v>
      </c>
      <c r="GT96">
        <v>3</v>
      </c>
      <c r="GU96">
        <v>3</v>
      </c>
      <c r="GV96">
        <v>3</v>
      </c>
      <c r="GW96">
        <v>3</v>
      </c>
      <c r="IF96" t="s">
        <v>4569</v>
      </c>
      <c r="IG96" t="s">
        <v>4569</v>
      </c>
      <c r="IH96" t="s">
        <v>4569</v>
      </c>
      <c r="II96" t="s">
        <v>4569</v>
      </c>
    </row>
    <row r="97" spans="1:245" outlineLevel="1" x14ac:dyDescent="0.2">
      <c r="A97" t="str">
        <f t="shared" si="2"/>
        <v>Überreden</v>
      </c>
      <c r="F97">
        <v>2</v>
      </c>
      <c r="P97">
        <v>2</v>
      </c>
      <c r="W97">
        <v>2</v>
      </c>
      <c r="AD97" t="s">
        <v>1719</v>
      </c>
      <c r="AE97" t="s">
        <v>666</v>
      </c>
      <c r="AF97" t="s">
        <v>666</v>
      </c>
      <c r="AG97" t="s">
        <v>666</v>
      </c>
      <c r="AH97" t="s">
        <v>666</v>
      </c>
      <c r="AI97" t="s">
        <v>666</v>
      </c>
      <c r="AJ97" t="s">
        <v>1719</v>
      </c>
      <c r="AK97" t="s">
        <v>666</v>
      </c>
      <c r="AL97" t="s">
        <v>666</v>
      </c>
      <c r="AM97" t="s">
        <v>666</v>
      </c>
      <c r="AN97" t="s">
        <v>666</v>
      </c>
      <c r="AO97" t="s">
        <v>666</v>
      </c>
      <c r="AP97">
        <v>2</v>
      </c>
      <c r="AQ97" t="s">
        <v>1719</v>
      </c>
      <c r="AR97" t="s">
        <v>666</v>
      </c>
      <c r="AS97" t="s">
        <v>1719</v>
      </c>
      <c r="AW97">
        <v>2</v>
      </c>
      <c r="AZ97">
        <v>3</v>
      </c>
      <c r="BA97">
        <v>3</v>
      </c>
      <c r="BB97">
        <v>5</v>
      </c>
      <c r="BC97">
        <v>3</v>
      </c>
      <c r="BD97">
        <v>4</v>
      </c>
      <c r="BE97">
        <v>4</v>
      </c>
      <c r="BF97">
        <v>4</v>
      </c>
      <c r="BG97">
        <v>3</v>
      </c>
      <c r="BP97">
        <v>3</v>
      </c>
      <c r="BQ97">
        <v>2</v>
      </c>
      <c r="BR97">
        <v>2</v>
      </c>
      <c r="BU97">
        <v>2</v>
      </c>
      <c r="CF97">
        <v>1</v>
      </c>
      <c r="CL97">
        <v>1</v>
      </c>
      <c r="CM97">
        <v>2</v>
      </c>
      <c r="CN97">
        <v>4</v>
      </c>
      <c r="CO97">
        <v>2</v>
      </c>
      <c r="CP97">
        <v>2</v>
      </c>
      <c r="CQ97">
        <v>2</v>
      </c>
      <c r="CR97">
        <v>2</v>
      </c>
      <c r="CS97">
        <v>2</v>
      </c>
      <c r="CT97">
        <v>2</v>
      </c>
      <c r="CU97">
        <v>2</v>
      </c>
      <c r="CW97">
        <v>2</v>
      </c>
      <c r="CX97">
        <v>2</v>
      </c>
      <c r="CY97">
        <v>2</v>
      </c>
      <c r="CZ97">
        <v>1</v>
      </c>
      <c r="DA97">
        <v>1</v>
      </c>
      <c r="DM97">
        <v>1</v>
      </c>
      <c r="DN97">
        <v>3</v>
      </c>
      <c r="DO97">
        <v>3</v>
      </c>
      <c r="DP97">
        <v>2</v>
      </c>
      <c r="DQ97">
        <v>4</v>
      </c>
      <c r="DR97">
        <v>1</v>
      </c>
      <c r="DS97">
        <v>2</v>
      </c>
      <c r="DU97">
        <v>3</v>
      </c>
      <c r="DV97">
        <v>3</v>
      </c>
      <c r="DW97">
        <v>2</v>
      </c>
      <c r="DX97">
        <v>2</v>
      </c>
      <c r="DY97">
        <v>1</v>
      </c>
      <c r="DZ97">
        <v>2</v>
      </c>
      <c r="EC97">
        <v>2</v>
      </c>
      <c r="ED97">
        <v>4</v>
      </c>
      <c r="EE97">
        <v>2</v>
      </c>
      <c r="EF97">
        <v>1</v>
      </c>
      <c r="EG97">
        <v>1</v>
      </c>
      <c r="EH97">
        <v>1</v>
      </c>
      <c r="EI97">
        <v>1</v>
      </c>
      <c r="EJ97">
        <v>2</v>
      </c>
      <c r="EM97">
        <v>2</v>
      </c>
      <c r="EN97">
        <v>2</v>
      </c>
      <c r="EO97">
        <v>5</v>
      </c>
      <c r="EP97">
        <v>2</v>
      </c>
      <c r="EQ97">
        <v>2</v>
      </c>
      <c r="ER97">
        <v>3</v>
      </c>
      <c r="ES97">
        <v>3</v>
      </c>
      <c r="ET97">
        <v>2</v>
      </c>
      <c r="EU97">
        <v>2</v>
      </c>
      <c r="EV97">
        <v>3</v>
      </c>
      <c r="EY97">
        <v>2</v>
      </c>
      <c r="EZ97" t="s">
        <v>4569</v>
      </c>
      <c r="FA97" t="s">
        <v>4569</v>
      </c>
      <c r="FB97">
        <v>2</v>
      </c>
      <c r="FC97">
        <v>3</v>
      </c>
      <c r="FE97">
        <v>2</v>
      </c>
      <c r="FG97">
        <v>2</v>
      </c>
      <c r="FH97">
        <v>2</v>
      </c>
      <c r="FI97">
        <v>2</v>
      </c>
      <c r="FJ97">
        <v>2</v>
      </c>
      <c r="FK97">
        <v>2</v>
      </c>
      <c r="FL97">
        <v>2</v>
      </c>
      <c r="FM97">
        <v>2</v>
      </c>
      <c r="FN97">
        <v>4</v>
      </c>
      <c r="FU97">
        <v>1</v>
      </c>
      <c r="FV97">
        <v>2</v>
      </c>
      <c r="FX97">
        <v>2</v>
      </c>
      <c r="FY97">
        <v>4</v>
      </c>
      <c r="FZ97">
        <v>5</v>
      </c>
      <c r="GA97">
        <v>6</v>
      </c>
      <c r="GB97">
        <v>6</v>
      </c>
      <c r="GC97">
        <v>3</v>
      </c>
      <c r="GD97">
        <v>6</v>
      </c>
      <c r="GF97">
        <v>5</v>
      </c>
      <c r="GG97">
        <v>6</v>
      </c>
      <c r="GH97">
        <v>5</v>
      </c>
      <c r="GI97">
        <v>5</v>
      </c>
      <c r="GJ97">
        <v>5</v>
      </c>
      <c r="GK97">
        <v>5</v>
      </c>
      <c r="GL97">
        <v>5</v>
      </c>
      <c r="GN97">
        <v>2</v>
      </c>
      <c r="GO97">
        <v>4</v>
      </c>
      <c r="GP97">
        <v>2</v>
      </c>
      <c r="GQ97">
        <v>2</v>
      </c>
      <c r="GR97">
        <v>4</v>
      </c>
      <c r="GS97">
        <v>2</v>
      </c>
      <c r="GT97">
        <v>2</v>
      </c>
      <c r="GU97">
        <v>2</v>
      </c>
      <c r="GV97">
        <v>4</v>
      </c>
      <c r="GW97">
        <v>2</v>
      </c>
      <c r="HA97">
        <v>2</v>
      </c>
      <c r="HB97">
        <v>2</v>
      </c>
      <c r="HC97">
        <v>2</v>
      </c>
      <c r="HD97">
        <v>2</v>
      </c>
      <c r="HE97">
        <v>2</v>
      </c>
      <c r="HF97">
        <v>2</v>
      </c>
      <c r="HG97">
        <v>2</v>
      </c>
      <c r="HH97">
        <v>2</v>
      </c>
      <c r="HI97">
        <v>2</v>
      </c>
      <c r="HJ97">
        <v>2</v>
      </c>
      <c r="HK97">
        <v>2</v>
      </c>
      <c r="HL97">
        <v>2</v>
      </c>
      <c r="HM97">
        <v>3</v>
      </c>
      <c r="HN97">
        <v>3</v>
      </c>
      <c r="HO97">
        <v>2</v>
      </c>
      <c r="HP97">
        <v>2</v>
      </c>
      <c r="HQ97">
        <v>3</v>
      </c>
      <c r="HR97">
        <v>2</v>
      </c>
      <c r="HS97">
        <v>2</v>
      </c>
      <c r="HT97">
        <v>2</v>
      </c>
      <c r="HU97">
        <v>2</v>
      </c>
      <c r="HV97">
        <v>2</v>
      </c>
      <c r="HW97">
        <v>2</v>
      </c>
      <c r="HX97">
        <v>2</v>
      </c>
      <c r="HY97">
        <v>2</v>
      </c>
      <c r="HZ97">
        <v>2</v>
      </c>
      <c r="IA97">
        <v>2</v>
      </c>
      <c r="IB97">
        <v>1</v>
      </c>
      <c r="IC97">
        <v>1</v>
      </c>
      <c r="ID97">
        <v>3</v>
      </c>
      <c r="IE97">
        <v>2</v>
      </c>
      <c r="IF97">
        <v>2</v>
      </c>
      <c r="IG97">
        <v>2</v>
      </c>
      <c r="IH97">
        <v>2</v>
      </c>
      <c r="II97">
        <v>2</v>
      </c>
    </row>
    <row r="98" spans="1:245" outlineLevel="1" x14ac:dyDescent="0.2">
      <c r="A98" t="str">
        <f t="shared" si="2"/>
        <v>Überzeugen</v>
      </c>
      <c r="G98">
        <v>2</v>
      </c>
      <c r="W98" t="s">
        <v>1721</v>
      </c>
      <c r="AJ98" t="s">
        <v>1721</v>
      </c>
      <c r="AP98" t="s">
        <v>1721</v>
      </c>
      <c r="AQ98" t="s">
        <v>1721</v>
      </c>
      <c r="AW98">
        <v>3</v>
      </c>
      <c r="BD98">
        <v>2</v>
      </c>
      <c r="BE98">
        <v>4</v>
      </c>
      <c r="BG98">
        <v>2</v>
      </c>
      <c r="BP98" t="s">
        <v>4569</v>
      </c>
      <c r="BQ98" t="s">
        <v>4569</v>
      </c>
      <c r="BR98" t="s">
        <v>4569</v>
      </c>
      <c r="BS98" t="s">
        <v>4569</v>
      </c>
      <c r="BT98" t="s">
        <v>4569</v>
      </c>
      <c r="BU98" t="s">
        <v>4569</v>
      </c>
      <c r="BV98" t="s">
        <v>4569</v>
      </c>
      <c r="BW98" t="s">
        <v>4569</v>
      </c>
      <c r="BX98" t="s">
        <v>4569</v>
      </c>
      <c r="BY98" t="s">
        <v>4569</v>
      </c>
      <c r="BZ98" t="s">
        <v>4569</v>
      </c>
      <c r="CA98" t="s">
        <v>4569</v>
      </c>
      <c r="CM98">
        <v>3</v>
      </c>
      <c r="CN98">
        <v>2</v>
      </c>
      <c r="CQ98">
        <v>3</v>
      </c>
      <c r="CW98">
        <v>1</v>
      </c>
      <c r="CZ98">
        <v>1</v>
      </c>
      <c r="DM98">
        <v>6</v>
      </c>
      <c r="DN98">
        <v>3</v>
      </c>
      <c r="DO98">
        <v>3</v>
      </c>
      <c r="DP98">
        <v>2</v>
      </c>
      <c r="DQ98">
        <v>2</v>
      </c>
      <c r="DR98">
        <v>1</v>
      </c>
      <c r="DS98">
        <v>2</v>
      </c>
      <c r="DT98">
        <v>2</v>
      </c>
      <c r="DX98">
        <v>2</v>
      </c>
      <c r="DY98">
        <v>3</v>
      </c>
      <c r="DZ98">
        <v>2</v>
      </c>
      <c r="EB98">
        <v>3</v>
      </c>
      <c r="EC98">
        <v>2</v>
      </c>
      <c r="EE98">
        <v>2</v>
      </c>
      <c r="EF98">
        <v>1</v>
      </c>
      <c r="EJ98">
        <v>4</v>
      </c>
      <c r="EM98">
        <v>1</v>
      </c>
      <c r="EN98">
        <v>1</v>
      </c>
      <c r="EO98">
        <v>2</v>
      </c>
      <c r="EQ98">
        <v>3</v>
      </c>
      <c r="ES98">
        <v>3</v>
      </c>
      <c r="ET98">
        <v>4</v>
      </c>
      <c r="EU98">
        <v>2</v>
      </c>
      <c r="EZ98" t="s">
        <v>4569</v>
      </c>
      <c r="FA98" t="s">
        <v>4569</v>
      </c>
      <c r="FC98">
        <v>4</v>
      </c>
      <c r="FG98">
        <v>2</v>
      </c>
      <c r="FH98">
        <v>2</v>
      </c>
      <c r="FI98">
        <v>2</v>
      </c>
      <c r="FJ98">
        <v>2</v>
      </c>
      <c r="FT98">
        <v>2</v>
      </c>
      <c r="FX98">
        <v>1</v>
      </c>
      <c r="FY98">
        <v>1</v>
      </c>
      <c r="FZ98">
        <v>1</v>
      </c>
      <c r="GA98">
        <v>4</v>
      </c>
      <c r="GB98">
        <v>2</v>
      </c>
      <c r="GC98">
        <v>3</v>
      </c>
      <c r="GD98">
        <v>1</v>
      </c>
      <c r="GP98">
        <v>2</v>
      </c>
      <c r="GT98">
        <v>2</v>
      </c>
      <c r="GY98">
        <v>2</v>
      </c>
      <c r="HR98">
        <v>2</v>
      </c>
      <c r="HS98">
        <v>2</v>
      </c>
      <c r="HT98">
        <v>2</v>
      </c>
      <c r="HU98">
        <v>2</v>
      </c>
      <c r="HV98">
        <v>2</v>
      </c>
      <c r="HW98">
        <v>2</v>
      </c>
      <c r="HX98">
        <v>2</v>
      </c>
      <c r="HY98">
        <v>2</v>
      </c>
      <c r="HZ98">
        <v>2</v>
      </c>
      <c r="IA98">
        <v>2</v>
      </c>
      <c r="IB98">
        <v>1</v>
      </c>
      <c r="IC98">
        <v>1</v>
      </c>
      <c r="ID98">
        <v>1</v>
      </c>
      <c r="IF98" t="s">
        <v>4569</v>
      </c>
      <c r="IG98" t="s">
        <v>4569</v>
      </c>
      <c r="IH98" t="s">
        <v>4569</v>
      </c>
      <c r="II98" t="s">
        <v>4569</v>
      </c>
      <c r="IK98">
        <v>1</v>
      </c>
    </row>
    <row r="99" spans="1:245" ht="12.75" customHeight="1" outlineLevel="1" x14ac:dyDescent="0.2">
      <c r="A99" t="str">
        <f>INDEX(TL_NAT,ROW()-98)</f>
        <v>Fährtensuchen</v>
      </c>
      <c r="B99" t="s">
        <v>3997</v>
      </c>
      <c r="E99">
        <v>2</v>
      </c>
      <c r="H99">
        <v>2</v>
      </c>
      <c r="I99">
        <v>2</v>
      </c>
      <c r="J99">
        <v>2</v>
      </c>
      <c r="K99">
        <v>2</v>
      </c>
      <c r="L99">
        <v>2</v>
      </c>
      <c r="M99">
        <v>2</v>
      </c>
      <c r="N99">
        <v>2</v>
      </c>
      <c r="O99" t="s">
        <v>3997</v>
      </c>
      <c r="P99">
        <v>2</v>
      </c>
      <c r="R99">
        <v>3</v>
      </c>
      <c r="S99">
        <v>3</v>
      </c>
      <c r="T99">
        <v>3</v>
      </c>
      <c r="U99">
        <v>3</v>
      </c>
      <c r="V99">
        <v>3</v>
      </c>
      <c r="X99">
        <v>5</v>
      </c>
      <c r="Y99">
        <v>5</v>
      </c>
      <c r="Z99">
        <v>5</v>
      </c>
      <c r="AA99">
        <v>5</v>
      </c>
      <c r="AB99">
        <v>5</v>
      </c>
      <c r="AD99">
        <v>2</v>
      </c>
      <c r="AF99">
        <v>3</v>
      </c>
      <c r="AG99">
        <v>3</v>
      </c>
      <c r="AH99">
        <v>3</v>
      </c>
      <c r="AI99">
        <v>3</v>
      </c>
      <c r="AK99">
        <v>5</v>
      </c>
      <c r="AL99">
        <v>5</v>
      </c>
      <c r="AM99">
        <v>5</v>
      </c>
      <c r="AN99">
        <v>5</v>
      </c>
      <c r="AT99" t="s">
        <v>3997</v>
      </c>
      <c r="AU99">
        <v>1</v>
      </c>
      <c r="AV99">
        <v>1</v>
      </c>
      <c r="AW99">
        <v>1</v>
      </c>
      <c r="AY99" t="s">
        <v>3997</v>
      </c>
      <c r="BC99">
        <v>2</v>
      </c>
      <c r="BH99" t="s">
        <v>3997</v>
      </c>
      <c r="BK99" t="s">
        <v>3997</v>
      </c>
      <c r="BL99">
        <v>3</v>
      </c>
      <c r="BM99">
        <v>3</v>
      </c>
      <c r="BN99">
        <v>6</v>
      </c>
      <c r="BO99">
        <v>3</v>
      </c>
      <c r="BP99">
        <v>2</v>
      </c>
      <c r="BQ99">
        <v>3</v>
      </c>
      <c r="BR99">
        <v>2</v>
      </c>
      <c r="BS99">
        <v>3</v>
      </c>
      <c r="BT99">
        <v>6</v>
      </c>
      <c r="BU99">
        <v>3</v>
      </c>
      <c r="BV99">
        <v>3</v>
      </c>
      <c r="BW99">
        <v>3</v>
      </c>
      <c r="BX99">
        <v>6</v>
      </c>
      <c r="BY99">
        <v>3</v>
      </c>
      <c r="BZ99">
        <v>3</v>
      </c>
      <c r="CA99">
        <v>3</v>
      </c>
      <c r="CC99">
        <v>3</v>
      </c>
      <c r="CD99">
        <v>3</v>
      </c>
      <c r="CE99">
        <v>5</v>
      </c>
      <c r="CF99">
        <v>1</v>
      </c>
      <c r="CG99">
        <v>3</v>
      </c>
      <c r="CH99">
        <v>3</v>
      </c>
      <c r="CI99">
        <v>3</v>
      </c>
      <c r="CJ99">
        <v>5</v>
      </c>
      <c r="CK99">
        <v>3</v>
      </c>
      <c r="CL99">
        <v>6</v>
      </c>
      <c r="CV99" t="s">
        <v>3997</v>
      </c>
      <c r="DT99">
        <v>2</v>
      </c>
      <c r="EG99">
        <v>1</v>
      </c>
      <c r="ER99">
        <v>1</v>
      </c>
      <c r="EV99">
        <v>1</v>
      </c>
      <c r="EX99" t="s">
        <v>3997</v>
      </c>
      <c r="EZ99">
        <v>3</v>
      </c>
      <c r="FA99">
        <v>3</v>
      </c>
      <c r="FT99">
        <v>3</v>
      </c>
      <c r="FW99" t="s">
        <v>3997</v>
      </c>
      <c r="GE99" t="s">
        <v>3997</v>
      </c>
      <c r="GM99" t="s">
        <v>3997</v>
      </c>
      <c r="GX99" t="s">
        <v>3997</v>
      </c>
      <c r="IF99">
        <v>2</v>
      </c>
      <c r="IG99">
        <v>2</v>
      </c>
      <c r="IH99" t="s">
        <v>4569</v>
      </c>
      <c r="II99" t="s">
        <v>4569</v>
      </c>
      <c r="IJ99" t="s">
        <v>3997</v>
      </c>
    </row>
    <row r="100" spans="1:245" outlineLevel="1" x14ac:dyDescent="0.2">
      <c r="A100" t="str">
        <f t="shared" ref="A100:A106" si="3">INDEX(TL_NAT,ROW()-98)</f>
        <v>Fallenstellen</v>
      </c>
      <c r="H100">
        <v>1</v>
      </c>
      <c r="I100">
        <v>1</v>
      </c>
      <c r="J100">
        <v>1</v>
      </c>
      <c r="K100">
        <v>1</v>
      </c>
      <c r="L100">
        <v>1</v>
      </c>
      <c r="M100">
        <v>1</v>
      </c>
      <c r="N100">
        <v>1</v>
      </c>
      <c r="BA100">
        <v>2</v>
      </c>
      <c r="BN100">
        <v>2</v>
      </c>
      <c r="BP100">
        <v>2</v>
      </c>
      <c r="BR100">
        <v>2</v>
      </c>
      <c r="BT100">
        <v>7</v>
      </c>
      <c r="BX100">
        <v>2</v>
      </c>
      <c r="CC100">
        <v>1</v>
      </c>
      <c r="CD100">
        <v>1</v>
      </c>
      <c r="CE100">
        <v>1</v>
      </c>
      <c r="CG100">
        <v>1</v>
      </c>
      <c r="CH100">
        <v>1</v>
      </c>
      <c r="CI100">
        <v>1</v>
      </c>
      <c r="CJ100">
        <v>2</v>
      </c>
      <c r="CK100">
        <v>3</v>
      </c>
      <c r="CL100">
        <v>1</v>
      </c>
      <c r="CN100">
        <v>1</v>
      </c>
      <c r="ER100">
        <v>1</v>
      </c>
      <c r="EV100">
        <v>1</v>
      </c>
      <c r="EZ100" t="s">
        <v>4569</v>
      </c>
      <c r="FA100" t="s">
        <v>4569</v>
      </c>
      <c r="FT100">
        <v>3</v>
      </c>
      <c r="IF100">
        <v>5</v>
      </c>
      <c r="IG100">
        <v>5</v>
      </c>
      <c r="IH100" t="s">
        <v>4569</v>
      </c>
      <c r="II100" t="s">
        <v>4569</v>
      </c>
    </row>
    <row r="101" spans="1:245" outlineLevel="1" x14ac:dyDescent="0.2">
      <c r="A101" t="str">
        <f t="shared" si="3"/>
        <v>Fesseln/Entfesseln</v>
      </c>
      <c r="X101">
        <v>3</v>
      </c>
      <c r="Y101">
        <v>3</v>
      </c>
      <c r="Z101">
        <v>3</v>
      </c>
      <c r="AA101">
        <v>3</v>
      </c>
      <c r="AB101">
        <v>3</v>
      </c>
      <c r="AK101">
        <v>3</v>
      </c>
      <c r="AL101">
        <v>3</v>
      </c>
      <c r="AM101">
        <v>3</v>
      </c>
      <c r="AN101">
        <v>3</v>
      </c>
      <c r="BC101">
        <v>2</v>
      </c>
      <c r="BF101">
        <v>4</v>
      </c>
      <c r="BM101">
        <v>2</v>
      </c>
      <c r="BN101">
        <v>3</v>
      </c>
      <c r="BP101">
        <v>1</v>
      </c>
      <c r="BQ101">
        <v>2</v>
      </c>
      <c r="BR101">
        <v>1</v>
      </c>
      <c r="BT101">
        <v>3</v>
      </c>
      <c r="BU101">
        <v>2</v>
      </c>
      <c r="BW101">
        <v>2</v>
      </c>
      <c r="BX101">
        <v>3</v>
      </c>
      <c r="BZ101">
        <v>2</v>
      </c>
      <c r="CA101">
        <v>2</v>
      </c>
      <c r="CF101">
        <v>3</v>
      </c>
      <c r="CQ101">
        <v>5</v>
      </c>
      <c r="DL101">
        <v>4</v>
      </c>
      <c r="EF101">
        <v>2</v>
      </c>
      <c r="EH101">
        <v>2</v>
      </c>
      <c r="EI101">
        <v>2</v>
      </c>
      <c r="EJ101">
        <v>2</v>
      </c>
      <c r="EQ101">
        <v>2</v>
      </c>
      <c r="EZ101">
        <v>1</v>
      </c>
      <c r="FA101">
        <v>1</v>
      </c>
      <c r="FE101">
        <v>3</v>
      </c>
      <c r="FK101">
        <v>2</v>
      </c>
      <c r="FV101">
        <v>2</v>
      </c>
      <c r="GF101">
        <v>2</v>
      </c>
      <c r="GG101">
        <v>2</v>
      </c>
      <c r="GH101">
        <v>2</v>
      </c>
      <c r="GI101">
        <v>2</v>
      </c>
      <c r="GJ101">
        <v>2</v>
      </c>
      <c r="GK101">
        <v>2</v>
      </c>
      <c r="GL101">
        <v>5</v>
      </c>
      <c r="IB101">
        <v>2</v>
      </c>
      <c r="IC101">
        <v>2</v>
      </c>
      <c r="IF101">
        <v>1</v>
      </c>
      <c r="IG101">
        <v>1</v>
      </c>
      <c r="IH101" t="s">
        <v>4569</v>
      </c>
      <c r="II101" t="s">
        <v>4569</v>
      </c>
    </row>
    <row r="102" spans="1:245" outlineLevel="1" x14ac:dyDescent="0.2">
      <c r="A102" t="str">
        <f t="shared" si="3"/>
        <v>Fischen/Angeln</v>
      </c>
      <c r="BC102">
        <v>2</v>
      </c>
      <c r="BM102">
        <v>1</v>
      </c>
      <c r="BN102">
        <v>2</v>
      </c>
      <c r="BQ102">
        <v>1</v>
      </c>
      <c r="BR102">
        <v>1</v>
      </c>
      <c r="BT102">
        <v>2</v>
      </c>
      <c r="BU102">
        <v>1</v>
      </c>
      <c r="BW102">
        <v>1</v>
      </c>
      <c r="BX102">
        <v>2</v>
      </c>
      <c r="BZ102">
        <v>1</v>
      </c>
      <c r="CA102">
        <v>1</v>
      </c>
      <c r="CC102">
        <v>1</v>
      </c>
      <c r="CD102">
        <v>3</v>
      </c>
      <c r="CE102">
        <v>4</v>
      </c>
      <c r="CF102">
        <v>5</v>
      </c>
      <c r="CG102">
        <v>1</v>
      </c>
      <c r="CH102">
        <v>1</v>
      </c>
      <c r="CI102">
        <v>1</v>
      </c>
      <c r="CJ102">
        <v>1</v>
      </c>
      <c r="CL102">
        <v>1</v>
      </c>
      <c r="DT102">
        <v>2</v>
      </c>
      <c r="ER102">
        <v>1</v>
      </c>
      <c r="EZ102" t="s">
        <v>4569</v>
      </c>
      <c r="FA102" t="s">
        <v>4569</v>
      </c>
      <c r="FT102">
        <v>2</v>
      </c>
      <c r="FU102">
        <v>2</v>
      </c>
      <c r="IF102" t="s">
        <v>4569</v>
      </c>
      <c r="IG102" t="s">
        <v>4569</v>
      </c>
      <c r="IH102" t="s">
        <v>4569</v>
      </c>
      <c r="II102" t="s">
        <v>4569</v>
      </c>
    </row>
    <row r="103" spans="1:245" outlineLevel="1" x14ac:dyDescent="0.2">
      <c r="A103" t="str">
        <f t="shared" si="3"/>
        <v>Orientierung</v>
      </c>
      <c r="C103">
        <v>2</v>
      </c>
      <c r="D103">
        <v>2</v>
      </c>
      <c r="E103">
        <v>2</v>
      </c>
      <c r="F103">
        <v>2</v>
      </c>
      <c r="G103">
        <v>2</v>
      </c>
      <c r="H103">
        <v>2</v>
      </c>
      <c r="I103">
        <v>2</v>
      </c>
      <c r="J103">
        <v>2</v>
      </c>
      <c r="K103">
        <v>2</v>
      </c>
      <c r="L103">
        <v>2</v>
      </c>
      <c r="M103">
        <v>2</v>
      </c>
      <c r="N103">
        <v>2</v>
      </c>
      <c r="R103">
        <v>2</v>
      </c>
      <c r="S103">
        <v>2</v>
      </c>
      <c r="T103">
        <v>2</v>
      </c>
      <c r="U103">
        <v>2</v>
      </c>
      <c r="V103">
        <v>2</v>
      </c>
      <c r="X103">
        <v>4</v>
      </c>
      <c r="Y103">
        <v>4</v>
      </c>
      <c r="Z103">
        <v>4</v>
      </c>
      <c r="AA103">
        <v>4</v>
      </c>
      <c r="AB103">
        <v>4</v>
      </c>
      <c r="AF103">
        <v>2</v>
      </c>
      <c r="AG103">
        <v>2</v>
      </c>
      <c r="AH103">
        <v>2</v>
      </c>
      <c r="AI103">
        <v>2</v>
      </c>
      <c r="AK103">
        <v>4</v>
      </c>
      <c r="AL103">
        <v>4</v>
      </c>
      <c r="AM103">
        <v>4</v>
      </c>
      <c r="AN103">
        <v>4</v>
      </c>
      <c r="AU103">
        <v>2</v>
      </c>
      <c r="AV103">
        <v>2</v>
      </c>
      <c r="AW103">
        <v>2</v>
      </c>
      <c r="AX103">
        <v>2</v>
      </c>
      <c r="AZ103">
        <v>3</v>
      </c>
      <c r="BA103">
        <v>3</v>
      </c>
      <c r="BC103">
        <v>5</v>
      </c>
      <c r="BE103">
        <v>3</v>
      </c>
      <c r="BF103">
        <v>3</v>
      </c>
      <c r="BG103">
        <v>3</v>
      </c>
      <c r="BL103">
        <v>2</v>
      </c>
      <c r="BM103">
        <v>1</v>
      </c>
      <c r="BN103">
        <v>3</v>
      </c>
      <c r="BO103">
        <v>2</v>
      </c>
      <c r="BP103">
        <v>2</v>
      </c>
      <c r="BQ103">
        <v>1</v>
      </c>
      <c r="BR103">
        <v>2</v>
      </c>
      <c r="BS103">
        <v>2</v>
      </c>
      <c r="BT103">
        <v>3</v>
      </c>
      <c r="BU103">
        <v>1</v>
      </c>
      <c r="BV103">
        <v>2</v>
      </c>
      <c r="BW103">
        <v>1</v>
      </c>
      <c r="BX103">
        <v>3</v>
      </c>
      <c r="BY103">
        <v>2</v>
      </c>
      <c r="BZ103">
        <v>1</v>
      </c>
      <c r="CA103">
        <v>1</v>
      </c>
      <c r="CB103">
        <v>1</v>
      </c>
      <c r="CC103">
        <v>2</v>
      </c>
      <c r="CD103">
        <v>3</v>
      </c>
      <c r="CE103">
        <v>2</v>
      </c>
      <c r="CF103">
        <v>3</v>
      </c>
      <c r="CG103">
        <v>4</v>
      </c>
      <c r="CH103">
        <v>5</v>
      </c>
      <c r="CI103">
        <v>6</v>
      </c>
      <c r="CJ103">
        <v>2</v>
      </c>
      <c r="CK103">
        <v>3</v>
      </c>
      <c r="CL103">
        <v>3</v>
      </c>
      <c r="CM103">
        <v>2</v>
      </c>
      <c r="CN103">
        <v>1</v>
      </c>
      <c r="CQ103">
        <v>2</v>
      </c>
      <c r="CT103">
        <v>2</v>
      </c>
      <c r="CU103">
        <v>2</v>
      </c>
      <c r="CX103">
        <v>3</v>
      </c>
      <c r="CY103">
        <v>4</v>
      </c>
      <c r="CZ103">
        <v>2</v>
      </c>
      <c r="DB103">
        <v>1</v>
      </c>
      <c r="DD103">
        <v>3</v>
      </c>
      <c r="DE103">
        <v>3</v>
      </c>
      <c r="DR103">
        <v>2</v>
      </c>
      <c r="DT103">
        <v>2</v>
      </c>
      <c r="DW103">
        <v>2</v>
      </c>
      <c r="EA103">
        <v>2</v>
      </c>
      <c r="ED103">
        <v>2</v>
      </c>
      <c r="EE103">
        <v>2</v>
      </c>
      <c r="EG103">
        <v>2</v>
      </c>
      <c r="EH103">
        <v>3</v>
      </c>
      <c r="EI103">
        <v>3</v>
      </c>
      <c r="EO103">
        <v>2</v>
      </c>
      <c r="EP103">
        <v>2</v>
      </c>
      <c r="ER103">
        <v>2</v>
      </c>
      <c r="ES103">
        <v>2</v>
      </c>
      <c r="EV103">
        <v>2</v>
      </c>
      <c r="EY103">
        <v>2</v>
      </c>
      <c r="EZ103" t="s">
        <v>4569</v>
      </c>
      <c r="FA103" t="s">
        <v>4569</v>
      </c>
      <c r="FB103">
        <v>2</v>
      </c>
      <c r="FG103">
        <v>2</v>
      </c>
      <c r="FH103">
        <v>2</v>
      </c>
      <c r="FI103">
        <v>2</v>
      </c>
      <c r="FJ103">
        <v>2</v>
      </c>
      <c r="FN103">
        <v>4</v>
      </c>
      <c r="FP103">
        <v>1</v>
      </c>
      <c r="FQ103">
        <v>1</v>
      </c>
      <c r="FR103">
        <v>1</v>
      </c>
      <c r="FS103">
        <v>1</v>
      </c>
      <c r="FT103">
        <v>3</v>
      </c>
      <c r="FV103">
        <v>2</v>
      </c>
      <c r="GY103">
        <v>1</v>
      </c>
      <c r="HZ103">
        <v>2</v>
      </c>
      <c r="IA103">
        <v>2</v>
      </c>
      <c r="IF103" t="s">
        <v>4569</v>
      </c>
      <c r="IG103" t="s">
        <v>4569</v>
      </c>
      <c r="IH103" t="s">
        <v>4569</v>
      </c>
      <c r="II103" t="s">
        <v>4569</v>
      </c>
    </row>
    <row r="104" spans="1:245" outlineLevel="1" x14ac:dyDescent="0.2">
      <c r="A104" t="str">
        <f t="shared" si="3"/>
        <v>Seefischerei</v>
      </c>
      <c r="EZ104" t="s">
        <v>4569</v>
      </c>
      <c r="FA104" t="s">
        <v>4569</v>
      </c>
      <c r="IF104" t="s">
        <v>4569</v>
      </c>
      <c r="IG104" t="s">
        <v>4569</v>
      </c>
      <c r="IH104" t="s">
        <v>4569</v>
      </c>
      <c r="II104" t="s">
        <v>4569</v>
      </c>
    </row>
    <row r="105" spans="1:245" outlineLevel="1" x14ac:dyDescent="0.2">
      <c r="A105" t="str">
        <f t="shared" si="3"/>
        <v>Wettervorhersage</v>
      </c>
      <c r="D105">
        <v>3</v>
      </c>
      <c r="E105">
        <v>3</v>
      </c>
      <c r="H105">
        <v>3</v>
      </c>
      <c r="I105">
        <v>3</v>
      </c>
      <c r="J105">
        <v>3</v>
      </c>
      <c r="K105">
        <v>3</v>
      </c>
      <c r="L105">
        <v>3</v>
      </c>
      <c r="M105">
        <v>3</v>
      </c>
      <c r="N105">
        <v>3</v>
      </c>
      <c r="X105">
        <v>3</v>
      </c>
      <c r="Y105">
        <v>3</v>
      </c>
      <c r="Z105">
        <v>3</v>
      </c>
      <c r="AA105">
        <v>3</v>
      </c>
      <c r="AB105">
        <v>3</v>
      </c>
      <c r="AK105">
        <v>3</v>
      </c>
      <c r="AL105">
        <v>3</v>
      </c>
      <c r="AM105">
        <v>3</v>
      </c>
      <c r="AN105">
        <v>3</v>
      </c>
      <c r="AU105">
        <v>3</v>
      </c>
      <c r="AV105">
        <v>3</v>
      </c>
      <c r="AW105">
        <v>3</v>
      </c>
      <c r="AZ105">
        <v>3</v>
      </c>
      <c r="BA105">
        <v>3</v>
      </c>
      <c r="BC105">
        <v>3</v>
      </c>
      <c r="BE105">
        <v>3</v>
      </c>
      <c r="BM105">
        <v>3</v>
      </c>
      <c r="BN105">
        <v>3</v>
      </c>
      <c r="BQ105">
        <v>3</v>
      </c>
      <c r="BR105">
        <v>1</v>
      </c>
      <c r="BT105">
        <v>3</v>
      </c>
      <c r="BU105">
        <v>3</v>
      </c>
      <c r="BW105">
        <v>3</v>
      </c>
      <c r="BX105">
        <v>3</v>
      </c>
      <c r="BZ105">
        <v>3</v>
      </c>
      <c r="CA105">
        <v>3</v>
      </c>
      <c r="CB105">
        <v>2</v>
      </c>
      <c r="CC105">
        <v>2</v>
      </c>
      <c r="CD105">
        <v>2</v>
      </c>
      <c r="CE105">
        <v>2</v>
      </c>
      <c r="CF105">
        <v>2</v>
      </c>
      <c r="CG105">
        <v>3</v>
      </c>
      <c r="CH105">
        <v>4</v>
      </c>
      <c r="CI105">
        <v>2</v>
      </c>
      <c r="CJ105">
        <v>1</v>
      </c>
      <c r="CK105">
        <v>2</v>
      </c>
      <c r="CL105">
        <v>2</v>
      </c>
      <c r="CM105">
        <v>5</v>
      </c>
      <c r="CT105">
        <v>5</v>
      </c>
      <c r="CU105">
        <v>5</v>
      </c>
      <c r="DD105">
        <v>3</v>
      </c>
      <c r="DE105">
        <v>3</v>
      </c>
      <c r="DF105">
        <v>1</v>
      </c>
      <c r="DG105">
        <v>1</v>
      </c>
      <c r="DH105">
        <v>1</v>
      </c>
      <c r="DI105">
        <v>5</v>
      </c>
      <c r="DJ105">
        <v>1</v>
      </c>
      <c r="DK105">
        <v>1</v>
      </c>
      <c r="DT105">
        <v>2</v>
      </c>
      <c r="DW105">
        <v>2</v>
      </c>
      <c r="EG105">
        <v>1</v>
      </c>
      <c r="EH105">
        <v>4</v>
      </c>
      <c r="EI105">
        <v>4</v>
      </c>
      <c r="ES105">
        <v>2</v>
      </c>
      <c r="EZ105" t="s">
        <v>4569</v>
      </c>
      <c r="FA105" t="s">
        <v>4569</v>
      </c>
      <c r="FT105">
        <v>3</v>
      </c>
      <c r="FU105">
        <v>1</v>
      </c>
      <c r="FV105">
        <v>3</v>
      </c>
      <c r="GY105">
        <v>3</v>
      </c>
      <c r="HZ105">
        <v>1</v>
      </c>
      <c r="IA105">
        <v>1</v>
      </c>
      <c r="IF105" t="s">
        <v>4569</v>
      </c>
      <c r="IG105" t="s">
        <v>4569</v>
      </c>
      <c r="IH105" t="s">
        <v>4569</v>
      </c>
      <c r="II105" t="s">
        <v>4569</v>
      </c>
    </row>
    <row r="106" spans="1:245" outlineLevel="1" x14ac:dyDescent="0.2">
      <c r="A106" t="str">
        <f t="shared" si="3"/>
        <v>Wildnisleben</v>
      </c>
      <c r="D106">
        <v>3</v>
      </c>
      <c r="E106">
        <v>3</v>
      </c>
      <c r="H106">
        <v>3</v>
      </c>
      <c r="I106">
        <v>3</v>
      </c>
      <c r="J106">
        <v>3</v>
      </c>
      <c r="K106">
        <v>3</v>
      </c>
      <c r="L106">
        <v>3</v>
      </c>
      <c r="M106">
        <v>3</v>
      </c>
      <c r="N106">
        <v>3</v>
      </c>
      <c r="P106">
        <v>3</v>
      </c>
      <c r="R106">
        <v>2</v>
      </c>
      <c r="S106">
        <v>2</v>
      </c>
      <c r="T106">
        <v>2</v>
      </c>
      <c r="U106">
        <v>2</v>
      </c>
      <c r="V106">
        <v>2</v>
      </c>
      <c r="X106">
        <v>3</v>
      </c>
      <c r="Y106">
        <v>3</v>
      </c>
      <c r="Z106">
        <v>3</v>
      </c>
      <c r="AA106">
        <v>3</v>
      </c>
      <c r="AB106">
        <v>3</v>
      </c>
      <c r="AD106">
        <v>3</v>
      </c>
      <c r="AF106">
        <v>2</v>
      </c>
      <c r="AG106">
        <v>2</v>
      </c>
      <c r="AH106">
        <v>2</v>
      </c>
      <c r="AI106">
        <v>2</v>
      </c>
      <c r="AK106">
        <v>3</v>
      </c>
      <c r="AL106">
        <v>3</v>
      </c>
      <c r="AM106">
        <v>3</v>
      </c>
      <c r="AN106">
        <v>3</v>
      </c>
      <c r="AU106">
        <v>3</v>
      </c>
      <c r="AV106">
        <v>3</v>
      </c>
      <c r="AW106">
        <v>3</v>
      </c>
      <c r="AX106">
        <v>3</v>
      </c>
      <c r="AZ106">
        <v>3</v>
      </c>
      <c r="BA106">
        <v>3</v>
      </c>
      <c r="BC106">
        <v>3</v>
      </c>
      <c r="BF106">
        <v>3</v>
      </c>
      <c r="BG106">
        <v>2</v>
      </c>
      <c r="BL106">
        <v>1</v>
      </c>
      <c r="BM106">
        <v>4</v>
      </c>
      <c r="BN106">
        <v>6</v>
      </c>
      <c r="BO106">
        <v>1</v>
      </c>
      <c r="BP106">
        <v>3</v>
      </c>
      <c r="BQ106">
        <v>4</v>
      </c>
      <c r="BR106">
        <v>4</v>
      </c>
      <c r="BS106">
        <v>1</v>
      </c>
      <c r="BT106">
        <v>6</v>
      </c>
      <c r="BU106">
        <v>4</v>
      </c>
      <c r="BV106">
        <v>1</v>
      </c>
      <c r="BW106">
        <v>4</v>
      </c>
      <c r="BX106">
        <v>6</v>
      </c>
      <c r="BY106">
        <v>1</v>
      </c>
      <c r="BZ106">
        <v>4</v>
      </c>
      <c r="CA106">
        <v>4</v>
      </c>
      <c r="CB106">
        <v>2</v>
      </c>
      <c r="CC106">
        <v>4</v>
      </c>
      <c r="CD106">
        <v>5</v>
      </c>
      <c r="CE106">
        <v>4</v>
      </c>
      <c r="CF106">
        <v>3</v>
      </c>
      <c r="CG106">
        <v>4</v>
      </c>
      <c r="CH106">
        <v>3</v>
      </c>
      <c r="CI106">
        <v>3</v>
      </c>
      <c r="CJ106">
        <v>4</v>
      </c>
      <c r="CK106">
        <v>4</v>
      </c>
      <c r="CL106">
        <v>4</v>
      </c>
      <c r="CM106">
        <v>3</v>
      </c>
      <c r="CN106">
        <v>2</v>
      </c>
      <c r="CQ106">
        <v>2</v>
      </c>
      <c r="CT106">
        <v>1</v>
      </c>
      <c r="CU106">
        <v>1</v>
      </c>
      <c r="CY106">
        <v>3</v>
      </c>
      <c r="CZ106">
        <v>1</v>
      </c>
      <c r="DB106">
        <v>1</v>
      </c>
      <c r="DD106">
        <v>3</v>
      </c>
      <c r="DE106">
        <v>3</v>
      </c>
      <c r="DF106">
        <v>1</v>
      </c>
      <c r="DG106">
        <v>1</v>
      </c>
      <c r="DH106">
        <v>1</v>
      </c>
      <c r="DI106">
        <v>1</v>
      </c>
      <c r="DJ106">
        <v>1</v>
      </c>
      <c r="DK106">
        <v>1</v>
      </c>
      <c r="DR106">
        <v>1</v>
      </c>
      <c r="DT106">
        <v>3</v>
      </c>
      <c r="EA106">
        <v>2</v>
      </c>
      <c r="ED106">
        <v>2</v>
      </c>
      <c r="EE106">
        <v>1</v>
      </c>
      <c r="EF106">
        <v>1</v>
      </c>
      <c r="EG106">
        <v>2</v>
      </c>
      <c r="EK106">
        <v>-1</v>
      </c>
      <c r="EL106">
        <v>-1</v>
      </c>
      <c r="ER106">
        <v>1</v>
      </c>
      <c r="ES106">
        <v>2</v>
      </c>
      <c r="EV106">
        <v>3</v>
      </c>
      <c r="EW106">
        <v>2</v>
      </c>
      <c r="EZ106" t="s">
        <v>4569</v>
      </c>
      <c r="FA106" t="s">
        <v>4569</v>
      </c>
      <c r="FL106">
        <v>1</v>
      </c>
      <c r="FT106">
        <v>3</v>
      </c>
      <c r="FU106">
        <v>2</v>
      </c>
      <c r="GF106">
        <v>1</v>
      </c>
      <c r="GG106">
        <v>1</v>
      </c>
      <c r="GH106">
        <v>1</v>
      </c>
      <c r="GI106">
        <v>1</v>
      </c>
      <c r="GJ106">
        <v>3</v>
      </c>
      <c r="GK106">
        <v>1</v>
      </c>
      <c r="GL106">
        <v>1</v>
      </c>
      <c r="IB106">
        <v>1</v>
      </c>
      <c r="IC106">
        <v>1</v>
      </c>
      <c r="IF106" t="s">
        <v>4569</v>
      </c>
      <c r="IG106" t="s">
        <v>4569</v>
      </c>
      <c r="IH106" t="s">
        <v>4569</v>
      </c>
      <c r="II106" t="s">
        <v>4569</v>
      </c>
    </row>
    <row r="107" spans="1:245" ht="12.75" customHeight="1" outlineLevel="1" x14ac:dyDescent="0.2">
      <c r="A107" t="str">
        <f>INDEX(TL_WIS,ROW()-106)</f>
        <v>Anatomie</v>
      </c>
      <c r="B107" t="s">
        <v>3321</v>
      </c>
      <c r="O107" t="s">
        <v>3321</v>
      </c>
      <c r="AT107" t="s">
        <v>3321</v>
      </c>
      <c r="AY107" t="s">
        <v>3321</v>
      </c>
      <c r="BH107" t="s">
        <v>3321</v>
      </c>
      <c r="BK107" t="s">
        <v>3321</v>
      </c>
      <c r="CN107">
        <v>2</v>
      </c>
      <c r="CV107" t="s">
        <v>3321</v>
      </c>
      <c r="CY107">
        <v>2</v>
      </c>
      <c r="DB107">
        <v>1</v>
      </c>
      <c r="DC107">
        <v>2</v>
      </c>
      <c r="DL107">
        <v>5</v>
      </c>
      <c r="EA107">
        <v>3</v>
      </c>
      <c r="EF107">
        <v>3</v>
      </c>
      <c r="EQ107">
        <v>2</v>
      </c>
      <c r="ET107">
        <v>4</v>
      </c>
      <c r="EV107">
        <v>1</v>
      </c>
      <c r="EX107" t="s">
        <v>3321</v>
      </c>
      <c r="EZ107" t="s">
        <v>4569</v>
      </c>
      <c r="FA107" t="s">
        <v>4569</v>
      </c>
      <c r="FB107">
        <v>3</v>
      </c>
      <c r="FD107">
        <v>4</v>
      </c>
      <c r="FE107">
        <v>6</v>
      </c>
      <c r="FG107">
        <v>3</v>
      </c>
      <c r="FH107">
        <v>3</v>
      </c>
      <c r="FI107">
        <v>3</v>
      </c>
      <c r="FJ107">
        <v>3</v>
      </c>
      <c r="FK107">
        <v>2</v>
      </c>
      <c r="FL107">
        <v>3</v>
      </c>
      <c r="FW107" t="s">
        <v>3321</v>
      </c>
      <c r="GE107" t="s">
        <v>3321</v>
      </c>
      <c r="GM107" t="s">
        <v>3321</v>
      </c>
      <c r="GX107" t="s">
        <v>3321</v>
      </c>
      <c r="HM107">
        <v>2</v>
      </c>
      <c r="HN107">
        <v>2</v>
      </c>
      <c r="HO107">
        <v>1</v>
      </c>
      <c r="HP107">
        <v>1</v>
      </c>
      <c r="IB107">
        <v>3</v>
      </c>
      <c r="IC107">
        <v>3</v>
      </c>
      <c r="IF107" t="s">
        <v>4569</v>
      </c>
      <c r="IG107" t="s">
        <v>4569</v>
      </c>
      <c r="IH107" t="s">
        <v>4569</v>
      </c>
      <c r="II107" t="s">
        <v>4569</v>
      </c>
      <c r="IJ107" t="s">
        <v>3321</v>
      </c>
    </row>
    <row r="108" spans="1:245" outlineLevel="1" x14ac:dyDescent="0.2">
      <c r="A108" t="str">
        <f t="shared" ref="A108:A130" si="4">INDEX(TL_WIS,ROW()-106)</f>
        <v>Baukunst</v>
      </c>
      <c r="EZ108" t="s">
        <v>4569</v>
      </c>
      <c r="FA108" t="s">
        <v>4569</v>
      </c>
      <c r="FB108">
        <v>3</v>
      </c>
      <c r="FG108">
        <v>2</v>
      </c>
      <c r="FH108">
        <v>2</v>
      </c>
      <c r="FI108">
        <v>2</v>
      </c>
      <c r="FJ108">
        <v>2</v>
      </c>
      <c r="IF108" t="s">
        <v>4569</v>
      </c>
      <c r="IG108" t="s">
        <v>4569</v>
      </c>
      <c r="IH108" t="s">
        <v>4569</v>
      </c>
      <c r="II108" t="s">
        <v>4569</v>
      </c>
    </row>
    <row r="109" spans="1:245" outlineLevel="1" x14ac:dyDescent="0.2">
      <c r="A109" t="str">
        <f t="shared" si="4"/>
        <v>Brett-/Kartenspiel</v>
      </c>
      <c r="CW109">
        <v>1</v>
      </c>
      <c r="DA109">
        <v>2</v>
      </c>
      <c r="DF109">
        <v>2</v>
      </c>
      <c r="DG109">
        <v>2</v>
      </c>
      <c r="DH109">
        <v>2</v>
      </c>
      <c r="DI109">
        <v>2</v>
      </c>
      <c r="DJ109">
        <v>2</v>
      </c>
      <c r="DK109">
        <v>2</v>
      </c>
      <c r="DN109">
        <v>2</v>
      </c>
      <c r="DO109">
        <v>2</v>
      </c>
      <c r="DU109">
        <v>2</v>
      </c>
      <c r="DX109">
        <v>2</v>
      </c>
      <c r="EC109">
        <v>2</v>
      </c>
      <c r="ED109">
        <v>2</v>
      </c>
      <c r="EM109">
        <v>3</v>
      </c>
      <c r="EN109">
        <v>3</v>
      </c>
      <c r="EU109">
        <v>2</v>
      </c>
      <c r="EY109">
        <v>3</v>
      </c>
      <c r="EZ109" t="s">
        <v>4569</v>
      </c>
      <c r="FA109" t="s">
        <v>4569</v>
      </c>
      <c r="FL109">
        <v>2</v>
      </c>
      <c r="GP109">
        <v>2</v>
      </c>
      <c r="GQ109">
        <v>4</v>
      </c>
      <c r="GT109">
        <v>2</v>
      </c>
      <c r="GU109">
        <v>4</v>
      </c>
      <c r="HT109">
        <v>2</v>
      </c>
      <c r="HU109">
        <v>2</v>
      </c>
      <c r="HV109">
        <v>1</v>
      </c>
      <c r="HW109">
        <v>1</v>
      </c>
      <c r="IF109" t="s">
        <v>4569</v>
      </c>
      <c r="IG109" t="s">
        <v>4569</v>
      </c>
      <c r="IH109">
        <v>2</v>
      </c>
      <c r="II109">
        <v>2</v>
      </c>
    </row>
    <row r="110" spans="1:245" outlineLevel="1" x14ac:dyDescent="0.2">
      <c r="A110" t="str">
        <f t="shared" si="4"/>
        <v>Geographie</v>
      </c>
      <c r="AD110" t="s">
        <v>666</v>
      </c>
      <c r="AE110" t="s">
        <v>666</v>
      </c>
      <c r="AF110" t="s">
        <v>666</v>
      </c>
      <c r="AG110" t="s">
        <v>666</v>
      </c>
      <c r="AH110" t="s">
        <v>666</v>
      </c>
      <c r="AI110" t="s">
        <v>666</v>
      </c>
      <c r="AJ110" t="s">
        <v>666</v>
      </c>
      <c r="AK110" t="s">
        <v>666</v>
      </c>
      <c r="AL110" t="s">
        <v>666</v>
      </c>
      <c r="AM110" t="s">
        <v>666</v>
      </c>
      <c r="AN110" t="s">
        <v>666</v>
      </c>
      <c r="AO110" t="s">
        <v>666</v>
      </c>
      <c r="AQ110" t="s">
        <v>666</v>
      </c>
      <c r="AS110" t="s">
        <v>666</v>
      </c>
      <c r="BD110">
        <v>3</v>
      </c>
      <c r="BE110">
        <v>1</v>
      </c>
      <c r="BF110">
        <v>3</v>
      </c>
      <c r="BP110">
        <v>2</v>
      </c>
      <c r="BR110">
        <v>1</v>
      </c>
      <c r="CW110">
        <v>1</v>
      </c>
      <c r="CX110">
        <v>4</v>
      </c>
      <c r="CY110">
        <v>1</v>
      </c>
      <c r="CZ110">
        <v>3</v>
      </c>
      <c r="DA110">
        <v>2</v>
      </c>
      <c r="DB110">
        <v>1</v>
      </c>
      <c r="DM110">
        <v>2</v>
      </c>
      <c r="DQ110">
        <v>4</v>
      </c>
      <c r="DR110">
        <v>3</v>
      </c>
      <c r="DS110">
        <v>1</v>
      </c>
      <c r="DT110">
        <v>3</v>
      </c>
      <c r="DU110">
        <v>1</v>
      </c>
      <c r="DX110">
        <v>1</v>
      </c>
      <c r="DY110">
        <v>2</v>
      </c>
      <c r="EA110">
        <v>3</v>
      </c>
      <c r="EG110">
        <v>1</v>
      </c>
      <c r="EH110">
        <v>2</v>
      </c>
      <c r="EI110">
        <v>2</v>
      </c>
      <c r="EM110">
        <v>2</v>
      </c>
      <c r="EN110">
        <v>2</v>
      </c>
      <c r="EO110">
        <v>3</v>
      </c>
      <c r="EP110">
        <v>3</v>
      </c>
      <c r="EQ110">
        <v>1</v>
      </c>
      <c r="ER110">
        <v>2</v>
      </c>
      <c r="ES110">
        <v>3</v>
      </c>
      <c r="EU110">
        <v>2</v>
      </c>
      <c r="EZ110" t="s">
        <v>4569</v>
      </c>
      <c r="FA110" t="s">
        <v>4569</v>
      </c>
      <c r="FD110">
        <v>2</v>
      </c>
      <c r="FF110">
        <v>2</v>
      </c>
      <c r="FG110">
        <v>3</v>
      </c>
      <c r="FH110">
        <v>3</v>
      </c>
      <c r="FI110">
        <v>3</v>
      </c>
      <c r="FJ110">
        <v>3</v>
      </c>
      <c r="FP110">
        <v>1</v>
      </c>
      <c r="FQ110">
        <v>1</v>
      </c>
      <c r="FR110">
        <v>1</v>
      </c>
      <c r="FS110">
        <v>1</v>
      </c>
      <c r="FT110">
        <v>1</v>
      </c>
      <c r="FU110">
        <v>1</v>
      </c>
      <c r="FV110">
        <v>4</v>
      </c>
      <c r="FX110">
        <v>1</v>
      </c>
      <c r="FY110">
        <v>1</v>
      </c>
      <c r="FZ110">
        <v>3</v>
      </c>
      <c r="GA110">
        <v>2</v>
      </c>
      <c r="GB110">
        <v>2</v>
      </c>
      <c r="GC110">
        <v>1</v>
      </c>
      <c r="GD110">
        <v>1</v>
      </c>
      <c r="GJ110">
        <v>2</v>
      </c>
      <c r="GY110">
        <v>2</v>
      </c>
      <c r="ID110">
        <v>1</v>
      </c>
      <c r="IF110" t="s">
        <v>4569</v>
      </c>
      <c r="IG110" t="s">
        <v>4569</v>
      </c>
      <c r="IH110" t="s">
        <v>4569</v>
      </c>
      <c r="II110" t="s">
        <v>4569</v>
      </c>
    </row>
    <row r="111" spans="1:245" outlineLevel="1" x14ac:dyDescent="0.2">
      <c r="A111" t="str">
        <f t="shared" si="4"/>
        <v>Geschichtswissen</v>
      </c>
      <c r="W111" t="s">
        <v>666</v>
      </c>
      <c r="AC111">
        <v>2</v>
      </c>
      <c r="AJ111" t="s">
        <v>666</v>
      </c>
      <c r="AO111">
        <v>2</v>
      </c>
      <c r="AP111" t="s">
        <v>666</v>
      </c>
      <c r="AQ111" t="s">
        <v>666</v>
      </c>
      <c r="BD111">
        <v>3</v>
      </c>
      <c r="BE111">
        <v>2</v>
      </c>
      <c r="BG111">
        <v>2</v>
      </c>
      <c r="BI111">
        <v>2</v>
      </c>
      <c r="BJ111">
        <v>2</v>
      </c>
      <c r="CM111">
        <v>2</v>
      </c>
      <c r="CQ111">
        <v>2</v>
      </c>
      <c r="CW111">
        <v>2</v>
      </c>
      <c r="CX111">
        <v>2</v>
      </c>
      <c r="CY111">
        <v>2</v>
      </c>
      <c r="CZ111">
        <v>4</v>
      </c>
      <c r="DA111">
        <v>3</v>
      </c>
      <c r="DB111">
        <v>3</v>
      </c>
      <c r="DC111">
        <v>4</v>
      </c>
      <c r="DD111">
        <v>2</v>
      </c>
      <c r="DE111">
        <v>2</v>
      </c>
      <c r="DF111">
        <v>5</v>
      </c>
      <c r="DG111">
        <v>5</v>
      </c>
      <c r="DH111">
        <v>5</v>
      </c>
      <c r="DI111">
        <v>5</v>
      </c>
      <c r="DJ111">
        <v>5</v>
      </c>
      <c r="DK111">
        <v>5</v>
      </c>
      <c r="DM111">
        <v>3</v>
      </c>
      <c r="DN111">
        <v>4</v>
      </c>
      <c r="DO111">
        <v>4</v>
      </c>
      <c r="DP111">
        <v>2</v>
      </c>
      <c r="DQ111">
        <v>3</v>
      </c>
      <c r="DR111">
        <v>4</v>
      </c>
      <c r="DS111">
        <v>4</v>
      </c>
      <c r="DT111">
        <v>2</v>
      </c>
      <c r="DU111">
        <v>2</v>
      </c>
      <c r="DV111">
        <v>3</v>
      </c>
      <c r="DW111">
        <v>3</v>
      </c>
      <c r="DX111">
        <v>3</v>
      </c>
      <c r="DY111">
        <v>4</v>
      </c>
      <c r="DZ111">
        <v>3</v>
      </c>
      <c r="EA111">
        <v>2</v>
      </c>
      <c r="EB111">
        <v>4</v>
      </c>
      <c r="EC111">
        <v>4</v>
      </c>
      <c r="ED111">
        <v>2</v>
      </c>
      <c r="EE111">
        <v>3</v>
      </c>
      <c r="EF111">
        <v>3</v>
      </c>
      <c r="EG111">
        <v>4</v>
      </c>
      <c r="EH111">
        <v>3</v>
      </c>
      <c r="EI111">
        <v>3</v>
      </c>
      <c r="EJ111">
        <v>3</v>
      </c>
      <c r="EK111">
        <v>4</v>
      </c>
      <c r="EL111">
        <v>4</v>
      </c>
      <c r="EM111">
        <v>4</v>
      </c>
      <c r="EN111">
        <v>4</v>
      </c>
      <c r="EO111">
        <v>3</v>
      </c>
      <c r="EP111">
        <v>3</v>
      </c>
      <c r="EQ111">
        <v>3</v>
      </c>
      <c r="ER111">
        <v>2</v>
      </c>
      <c r="ES111">
        <v>3</v>
      </c>
      <c r="ET111">
        <v>4</v>
      </c>
      <c r="EU111">
        <v>3</v>
      </c>
      <c r="EV111">
        <v>3</v>
      </c>
      <c r="EW111">
        <v>3</v>
      </c>
      <c r="EY111">
        <v>2</v>
      </c>
      <c r="EZ111">
        <v>4</v>
      </c>
      <c r="FA111">
        <v>4</v>
      </c>
      <c r="FB111">
        <v>6</v>
      </c>
      <c r="FC111">
        <v>4</v>
      </c>
      <c r="FD111">
        <v>3</v>
      </c>
      <c r="FE111">
        <v>5</v>
      </c>
      <c r="FF111">
        <v>2</v>
      </c>
      <c r="FG111">
        <v>3</v>
      </c>
      <c r="FH111">
        <v>3</v>
      </c>
      <c r="FI111">
        <v>3</v>
      </c>
      <c r="FJ111">
        <v>3</v>
      </c>
      <c r="FK111">
        <v>3</v>
      </c>
      <c r="FL111">
        <v>5</v>
      </c>
      <c r="FM111">
        <v>3</v>
      </c>
      <c r="FN111">
        <v>6</v>
      </c>
      <c r="FO111">
        <v>7</v>
      </c>
      <c r="FP111">
        <v>3</v>
      </c>
      <c r="FQ111">
        <v>3</v>
      </c>
      <c r="FR111">
        <v>3</v>
      </c>
      <c r="FS111">
        <v>3</v>
      </c>
      <c r="FU111">
        <v>1</v>
      </c>
      <c r="FV111">
        <v>2</v>
      </c>
      <c r="FY111">
        <v>2</v>
      </c>
      <c r="GA111">
        <v>2</v>
      </c>
      <c r="GP111">
        <v>2</v>
      </c>
      <c r="GT111">
        <v>2</v>
      </c>
      <c r="GY111">
        <v>3</v>
      </c>
      <c r="HA111">
        <v>1</v>
      </c>
      <c r="HB111">
        <v>1</v>
      </c>
      <c r="HC111">
        <v>2</v>
      </c>
      <c r="HD111">
        <v>2</v>
      </c>
      <c r="HE111">
        <v>2</v>
      </c>
      <c r="HF111">
        <v>2</v>
      </c>
      <c r="HG111">
        <v>2</v>
      </c>
      <c r="HH111">
        <v>2</v>
      </c>
      <c r="HI111">
        <v>2</v>
      </c>
      <c r="HJ111">
        <v>2</v>
      </c>
      <c r="HK111">
        <v>2</v>
      </c>
      <c r="HL111">
        <v>2</v>
      </c>
      <c r="HM111">
        <v>1</v>
      </c>
      <c r="HN111">
        <v>1</v>
      </c>
      <c r="HO111">
        <v>1</v>
      </c>
      <c r="HP111">
        <v>1</v>
      </c>
      <c r="HQ111">
        <v>3</v>
      </c>
      <c r="HR111">
        <v>3</v>
      </c>
      <c r="HS111">
        <v>3</v>
      </c>
      <c r="HT111">
        <v>3</v>
      </c>
      <c r="HU111">
        <v>3</v>
      </c>
      <c r="HV111">
        <v>3</v>
      </c>
      <c r="HW111">
        <v>3</v>
      </c>
      <c r="HX111">
        <v>3</v>
      </c>
      <c r="HY111">
        <v>3</v>
      </c>
      <c r="HZ111">
        <v>3</v>
      </c>
      <c r="IA111">
        <v>3</v>
      </c>
      <c r="IB111">
        <v>2</v>
      </c>
      <c r="IC111">
        <v>2</v>
      </c>
      <c r="ID111">
        <v>2</v>
      </c>
      <c r="IE111">
        <v>1</v>
      </c>
      <c r="IF111">
        <v>1</v>
      </c>
      <c r="IG111">
        <v>1</v>
      </c>
      <c r="IH111">
        <v>1</v>
      </c>
      <c r="II111">
        <v>1</v>
      </c>
      <c r="IK111">
        <v>1</v>
      </c>
    </row>
    <row r="112" spans="1:245" outlineLevel="1" x14ac:dyDescent="0.2">
      <c r="A112" t="str">
        <f t="shared" si="4"/>
        <v>Gesteinskunde</v>
      </c>
      <c r="C112">
        <v>3</v>
      </c>
      <c r="D112">
        <v>3</v>
      </c>
      <c r="E112">
        <v>3</v>
      </c>
      <c r="F112">
        <v>3</v>
      </c>
      <c r="G112">
        <v>3</v>
      </c>
      <c r="H112">
        <v>3</v>
      </c>
      <c r="I112">
        <v>3</v>
      </c>
      <c r="J112">
        <v>3</v>
      </c>
      <c r="K112">
        <v>3</v>
      </c>
      <c r="L112">
        <v>3</v>
      </c>
      <c r="M112">
        <v>3</v>
      </c>
      <c r="N112">
        <v>3</v>
      </c>
      <c r="BI112">
        <v>5</v>
      </c>
      <c r="BJ112">
        <v>5</v>
      </c>
      <c r="CM112">
        <v>2</v>
      </c>
      <c r="DJ112">
        <v>5</v>
      </c>
      <c r="EY112">
        <v>1</v>
      </c>
      <c r="EZ112" t="s">
        <v>4569</v>
      </c>
      <c r="FA112" t="s">
        <v>4569</v>
      </c>
      <c r="FM112">
        <v>2</v>
      </c>
      <c r="HA112">
        <v>2</v>
      </c>
      <c r="HB112">
        <v>2</v>
      </c>
      <c r="HC112">
        <v>3</v>
      </c>
      <c r="HD112">
        <v>3</v>
      </c>
      <c r="HE112">
        <v>4</v>
      </c>
      <c r="HF112">
        <v>4</v>
      </c>
      <c r="HG112">
        <v>3</v>
      </c>
      <c r="HH112">
        <v>3</v>
      </c>
      <c r="HI112">
        <v>3</v>
      </c>
      <c r="HJ112">
        <v>3</v>
      </c>
      <c r="HK112">
        <v>3</v>
      </c>
      <c r="HL112">
        <v>3</v>
      </c>
      <c r="HM112">
        <v>2</v>
      </c>
      <c r="HN112">
        <v>2</v>
      </c>
      <c r="HO112">
        <v>2</v>
      </c>
      <c r="HP112">
        <v>2</v>
      </c>
      <c r="HQ112">
        <v>2</v>
      </c>
      <c r="HR112">
        <v>1</v>
      </c>
      <c r="HS112">
        <v>1</v>
      </c>
      <c r="HT112">
        <v>2</v>
      </c>
      <c r="HU112">
        <v>2</v>
      </c>
      <c r="HV112">
        <v>2</v>
      </c>
      <c r="HW112">
        <v>2</v>
      </c>
      <c r="HX112">
        <v>1</v>
      </c>
      <c r="HY112">
        <v>1</v>
      </c>
      <c r="HZ112">
        <v>1</v>
      </c>
      <c r="IA112">
        <v>1</v>
      </c>
      <c r="IB112">
        <v>1</v>
      </c>
      <c r="IC112">
        <v>1</v>
      </c>
      <c r="ID112">
        <v>4</v>
      </c>
      <c r="IE112">
        <v>4</v>
      </c>
      <c r="IF112">
        <v>2</v>
      </c>
      <c r="IG112">
        <v>2</v>
      </c>
      <c r="IH112">
        <v>2</v>
      </c>
      <c r="II112">
        <v>2</v>
      </c>
    </row>
    <row r="113" spans="1:245" outlineLevel="1" x14ac:dyDescent="0.2">
      <c r="A113" t="str">
        <f t="shared" si="4"/>
        <v>Götter/Kulte</v>
      </c>
      <c r="C113">
        <v>1</v>
      </c>
      <c r="D113">
        <v>1</v>
      </c>
      <c r="E113">
        <v>1</v>
      </c>
      <c r="F113">
        <v>1</v>
      </c>
      <c r="G113">
        <v>3</v>
      </c>
      <c r="H113">
        <v>1</v>
      </c>
      <c r="I113">
        <v>1</v>
      </c>
      <c r="J113">
        <v>1</v>
      </c>
      <c r="K113">
        <v>1</v>
      </c>
      <c r="L113">
        <v>1</v>
      </c>
      <c r="M113">
        <v>1</v>
      </c>
      <c r="N113">
        <v>1</v>
      </c>
      <c r="AD113">
        <v>2</v>
      </c>
      <c r="AE113">
        <v>2</v>
      </c>
      <c r="AF113">
        <v>2</v>
      </c>
      <c r="AG113">
        <v>2</v>
      </c>
      <c r="AH113">
        <v>2</v>
      </c>
      <c r="AI113">
        <v>2</v>
      </c>
      <c r="AJ113">
        <v>2</v>
      </c>
      <c r="AK113">
        <v>2</v>
      </c>
      <c r="AL113">
        <v>2</v>
      </c>
      <c r="AM113">
        <v>2</v>
      </c>
      <c r="AN113">
        <v>2</v>
      </c>
      <c r="AO113">
        <v>2</v>
      </c>
      <c r="AQ113">
        <v>2</v>
      </c>
      <c r="AS113">
        <v>2</v>
      </c>
      <c r="AU113">
        <v>4</v>
      </c>
      <c r="AV113">
        <v>4</v>
      </c>
      <c r="AW113">
        <v>4</v>
      </c>
      <c r="AX113">
        <v>4</v>
      </c>
      <c r="AZ113">
        <v>2</v>
      </c>
      <c r="BA113">
        <v>2</v>
      </c>
      <c r="BB113">
        <v>2</v>
      </c>
      <c r="BC113">
        <v>2</v>
      </c>
      <c r="BD113">
        <v>2</v>
      </c>
      <c r="BE113">
        <v>3</v>
      </c>
      <c r="BF113">
        <v>2</v>
      </c>
      <c r="BG113">
        <v>2</v>
      </c>
      <c r="BI113">
        <v>2</v>
      </c>
      <c r="BJ113">
        <v>2</v>
      </c>
      <c r="CB113">
        <v>5</v>
      </c>
      <c r="CM113">
        <v>2</v>
      </c>
      <c r="CO113">
        <v>1</v>
      </c>
      <c r="CP113">
        <v>1</v>
      </c>
      <c r="CQ113">
        <v>2</v>
      </c>
      <c r="CR113">
        <v>1</v>
      </c>
      <c r="CS113">
        <v>1</v>
      </c>
      <c r="CT113">
        <v>1</v>
      </c>
      <c r="CU113">
        <v>1</v>
      </c>
      <c r="CW113">
        <v>3</v>
      </c>
      <c r="CX113">
        <v>3</v>
      </c>
      <c r="CY113">
        <v>2</v>
      </c>
      <c r="CZ113">
        <v>5</v>
      </c>
      <c r="DA113">
        <v>3</v>
      </c>
      <c r="DB113">
        <v>3</v>
      </c>
      <c r="DC113">
        <v>3</v>
      </c>
      <c r="DD113">
        <v>3</v>
      </c>
      <c r="DE113">
        <v>3</v>
      </c>
      <c r="DF113">
        <v>2</v>
      </c>
      <c r="DG113">
        <v>2</v>
      </c>
      <c r="DH113">
        <v>2</v>
      </c>
      <c r="DI113">
        <v>2</v>
      </c>
      <c r="DJ113">
        <v>2</v>
      </c>
      <c r="DK113">
        <v>2</v>
      </c>
      <c r="DL113">
        <v>2</v>
      </c>
      <c r="DM113">
        <v>2</v>
      </c>
      <c r="DN113">
        <v>2</v>
      </c>
      <c r="DO113">
        <v>2</v>
      </c>
      <c r="DP113">
        <v>2</v>
      </c>
      <c r="DQ113">
        <v>3</v>
      </c>
      <c r="DR113">
        <v>5</v>
      </c>
      <c r="DS113">
        <v>6</v>
      </c>
      <c r="DT113">
        <v>1</v>
      </c>
      <c r="DU113">
        <v>2</v>
      </c>
      <c r="DV113">
        <v>3</v>
      </c>
      <c r="DW113">
        <v>3</v>
      </c>
      <c r="DX113">
        <v>4</v>
      </c>
      <c r="DY113">
        <v>4</v>
      </c>
      <c r="DZ113">
        <v>4</v>
      </c>
      <c r="EA113">
        <v>4</v>
      </c>
      <c r="EB113">
        <v>3</v>
      </c>
      <c r="EC113">
        <v>5</v>
      </c>
      <c r="ED113">
        <v>1</v>
      </c>
      <c r="EE113">
        <v>4</v>
      </c>
      <c r="EF113">
        <v>4</v>
      </c>
      <c r="EG113">
        <v>4</v>
      </c>
      <c r="EH113">
        <v>3</v>
      </c>
      <c r="EI113">
        <v>3</v>
      </c>
      <c r="EJ113">
        <v>4</v>
      </c>
      <c r="EK113">
        <v>4</v>
      </c>
      <c r="EL113">
        <v>4</v>
      </c>
      <c r="EM113">
        <v>2</v>
      </c>
      <c r="EN113">
        <v>2</v>
      </c>
      <c r="EO113">
        <v>3</v>
      </c>
      <c r="EP113">
        <v>3</v>
      </c>
      <c r="EQ113">
        <v>4</v>
      </c>
      <c r="ER113">
        <v>4</v>
      </c>
      <c r="ES113">
        <v>3</v>
      </c>
      <c r="ET113">
        <v>4</v>
      </c>
      <c r="EU113">
        <v>2</v>
      </c>
      <c r="EV113">
        <v>3</v>
      </c>
      <c r="EW113">
        <v>4</v>
      </c>
      <c r="EY113">
        <v>2</v>
      </c>
      <c r="EZ113">
        <v>3</v>
      </c>
      <c r="FA113">
        <v>3</v>
      </c>
      <c r="FB113">
        <v>4</v>
      </c>
      <c r="FC113">
        <v>6</v>
      </c>
      <c r="FD113">
        <v>2</v>
      </c>
      <c r="FE113">
        <v>3</v>
      </c>
      <c r="FF113">
        <v>2</v>
      </c>
      <c r="FG113">
        <v>1</v>
      </c>
      <c r="FH113">
        <v>1</v>
      </c>
      <c r="FI113">
        <v>1</v>
      </c>
      <c r="FJ113">
        <v>1</v>
      </c>
      <c r="FK113">
        <v>3</v>
      </c>
      <c r="FL113">
        <v>3</v>
      </c>
      <c r="FM113">
        <v>2</v>
      </c>
      <c r="FN113">
        <v>4</v>
      </c>
      <c r="FO113">
        <v>3</v>
      </c>
      <c r="FT113">
        <v>1</v>
      </c>
      <c r="FU113">
        <v>3</v>
      </c>
      <c r="FV113">
        <v>2</v>
      </c>
      <c r="FX113">
        <v>3</v>
      </c>
      <c r="FY113">
        <v>5</v>
      </c>
      <c r="FZ113">
        <v>3</v>
      </c>
      <c r="GA113">
        <v>3</v>
      </c>
      <c r="GB113">
        <v>3</v>
      </c>
      <c r="GC113">
        <v>5</v>
      </c>
      <c r="GD113">
        <v>3</v>
      </c>
      <c r="GY113">
        <v>4</v>
      </c>
      <c r="HA113">
        <v>1</v>
      </c>
      <c r="HB113">
        <v>1</v>
      </c>
      <c r="HC113">
        <v>2</v>
      </c>
      <c r="HD113">
        <v>2</v>
      </c>
      <c r="HE113">
        <v>2</v>
      </c>
      <c r="HF113">
        <v>2</v>
      </c>
      <c r="HG113">
        <v>3</v>
      </c>
      <c r="HH113">
        <v>3</v>
      </c>
      <c r="HI113">
        <v>2</v>
      </c>
      <c r="HJ113">
        <v>2</v>
      </c>
      <c r="HK113">
        <v>2</v>
      </c>
      <c r="HL113">
        <v>2</v>
      </c>
      <c r="HM113">
        <v>1</v>
      </c>
      <c r="HN113">
        <v>1</v>
      </c>
      <c r="HO113">
        <v>1</v>
      </c>
      <c r="HP113">
        <v>1</v>
      </c>
      <c r="HQ113">
        <v>3</v>
      </c>
      <c r="HR113">
        <v>3</v>
      </c>
      <c r="HS113">
        <v>3</v>
      </c>
      <c r="HT113">
        <v>3</v>
      </c>
      <c r="HU113">
        <v>3</v>
      </c>
      <c r="HV113">
        <v>3</v>
      </c>
      <c r="HW113">
        <v>3</v>
      </c>
      <c r="HX113">
        <v>3</v>
      </c>
      <c r="HY113">
        <v>3</v>
      </c>
      <c r="HZ113">
        <v>4</v>
      </c>
      <c r="IA113">
        <v>4</v>
      </c>
      <c r="IB113">
        <v>3</v>
      </c>
      <c r="IC113">
        <v>3</v>
      </c>
      <c r="ID113">
        <v>2</v>
      </c>
      <c r="IE113">
        <v>1</v>
      </c>
      <c r="IF113">
        <v>1</v>
      </c>
      <c r="IG113">
        <v>1</v>
      </c>
      <c r="IH113">
        <v>1</v>
      </c>
      <c r="II113">
        <v>1</v>
      </c>
      <c r="IK113">
        <v>1</v>
      </c>
    </row>
    <row r="114" spans="1:245" outlineLevel="1" x14ac:dyDescent="0.2">
      <c r="A114" t="str">
        <f t="shared" si="4"/>
        <v>Heraldik</v>
      </c>
      <c r="G114">
        <v>2</v>
      </c>
      <c r="BP114">
        <v>1</v>
      </c>
      <c r="CN114">
        <v>1</v>
      </c>
      <c r="CY114">
        <v>2</v>
      </c>
      <c r="CZ114">
        <v>2</v>
      </c>
      <c r="DB114">
        <v>1</v>
      </c>
      <c r="DR114">
        <v>2</v>
      </c>
      <c r="DS114">
        <v>2</v>
      </c>
      <c r="DX114">
        <v>2</v>
      </c>
      <c r="EB114">
        <v>1</v>
      </c>
      <c r="EE114">
        <v>1</v>
      </c>
      <c r="EQ114">
        <v>2</v>
      </c>
      <c r="ET114">
        <v>1</v>
      </c>
      <c r="EZ114" t="s">
        <v>4569</v>
      </c>
      <c r="FA114" t="s">
        <v>4569</v>
      </c>
      <c r="FG114">
        <v>2</v>
      </c>
      <c r="FH114">
        <v>2</v>
      </c>
      <c r="FI114">
        <v>2</v>
      </c>
      <c r="FJ114">
        <v>2</v>
      </c>
      <c r="FY114">
        <v>2</v>
      </c>
      <c r="GS114">
        <v>2</v>
      </c>
      <c r="GW114">
        <v>2</v>
      </c>
      <c r="IF114" t="s">
        <v>4569</v>
      </c>
      <c r="IG114" t="s">
        <v>4569</v>
      </c>
      <c r="IH114" t="s">
        <v>4569</v>
      </c>
      <c r="II114" t="s">
        <v>4569</v>
      </c>
    </row>
    <row r="115" spans="1:245" outlineLevel="1" x14ac:dyDescent="0.2">
      <c r="A115" t="str">
        <f t="shared" si="4"/>
        <v>Hüttenkunde</v>
      </c>
      <c r="EZ115" t="s">
        <v>4569</v>
      </c>
      <c r="FA115" t="s">
        <v>4569</v>
      </c>
      <c r="HA115">
        <v>1</v>
      </c>
      <c r="HB115">
        <v>1</v>
      </c>
      <c r="HC115">
        <v>1</v>
      </c>
      <c r="HD115">
        <v>1</v>
      </c>
      <c r="HE115">
        <v>1</v>
      </c>
      <c r="HF115">
        <v>1</v>
      </c>
      <c r="HG115">
        <v>1</v>
      </c>
      <c r="HH115">
        <v>1</v>
      </c>
      <c r="HI115">
        <v>1</v>
      </c>
      <c r="HJ115">
        <v>1</v>
      </c>
      <c r="HK115">
        <v>1</v>
      </c>
      <c r="HL115">
        <v>1</v>
      </c>
      <c r="HM115">
        <v>1</v>
      </c>
      <c r="HN115">
        <v>1</v>
      </c>
      <c r="HO115">
        <v>1</v>
      </c>
      <c r="HP115">
        <v>1</v>
      </c>
      <c r="HQ115">
        <v>1</v>
      </c>
      <c r="HR115">
        <v>1</v>
      </c>
      <c r="HS115">
        <v>1</v>
      </c>
      <c r="HT115">
        <v>1</v>
      </c>
      <c r="HU115">
        <v>1</v>
      </c>
      <c r="HV115">
        <v>1</v>
      </c>
      <c r="HW115">
        <v>1</v>
      </c>
      <c r="HX115">
        <v>1</v>
      </c>
      <c r="HY115">
        <v>1</v>
      </c>
      <c r="HZ115">
        <v>1</v>
      </c>
      <c r="IA115">
        <v>1</v>
      </c>
      <c r="ID115">
        <v>3</v>
      </c>
      <c r="IE115">
        <v>4</v>
      </c>
      <c r="IH115">
        <v>1</v>
      </c>
      <c r="II115">
        <v>1</v>
      </c>
    </row>
    <row r="116" spans="1:245" outlineLevel="1" x14ac:dyDescent="0.2">
      <c r="A116" t="str">
        <f t="shared" si="4"/>
        <v>Kriegskunst</v>
      </c>
      <c r="R116" t="s">
        <v>666</v>
      </c>
      <c r="S116" t="s">
        <v>666</v>
      </c>
      <c r="T116" t="s">
        <v>666</v>
      </c>
      <c r="U116" t="s">
        <v>666</v>
      </c>
      <c r="V116" t="s">
        <v>666</v>
      </c>
      <c r="AF116" t="s">
        <v>666</v>
      </c>
      <c r="AG116" t="s">
        <v>666</v>
      </c>
      <c r="AH116" t="s">
        <v>666</v>
      </c>
      <c r="AI116" t="s">
        <v>666</v>
      </c>
      <c r="AR116" t="s">
        <v>666</v>
      </c>
      <c r="AS116" t="s">
        <v>666</v>
      </c>
      <c r="BP116">
        <v>1</v>
      </c>
      <c r="CB116">
        <v>2</v>
      </c>
      <c r="CX116">
        <v>3</v>
      </c>
      <c r="CY116">
        <v>4</v>
      </c>
      <c r="CZ116">
        <v>4</v>
      </c>
      <c r="DB116">
        <v>2</v>
      </c>
      <c r="DR116">
        <v>4</v>
      </c>
      <c r="DZ116">
        <v>1</v>
      </c>
      <c r="EP116">
        <v>2</v>
      </c>
      <c r="EZ116" t="s">
        <v>4569</v>
      </c>
      <c r="FA116">
        <v>1</v>
      </c>
      <c r="FG116">
        <v>5</v>
      </c>
      <c r="FH116">
        <v>5</v>
      </c>
      <c r="FI116">
        <v>5</v>
      </c>
      <c r="FJ116">
        <v>5</v>
      </c>
      <c r="IF116" t="s">
        <v>4569</v>
      </c>
      <c r="IG116" t="s">
        <v>4569</v>
      </c>
      <c r="IH116" t="s">
        <v>4569</v>
      </c>
      <c r="II116" t="s">
        <v>4569</v>
      </c>
    </row>
    <row r="117" spans="1:245" outlineLevel="1" x14ac:dyDescent="0.2">
      <c r="A117" t="str">
        <f t="shared" si="4"/>
        <v>Kryptographie</v>
      </c>
      <c r="DS117">
        <v>2</v>
      </c>
      <c r="EQ117">
        <v>4</v>
      </c>
      <c r="EZ117" t="s">
        <v>4569</v>
      </c>
      <c r="FA117" t="s">
        <v>4569</v>
      </c>
      <c r="FB117">
        <v>2</v>
      </c>
      <c r="FG117">
        <v>2</v>
      </c>
      <c r="FH117">
        <v>2</v>
      </c>
      <c r="FI117">
        <v>2</v>
      </c>
      <c r="FJ117">
        <v>2</v>
      </c>
      <c r="HT117">
        <v>3</v>
      </c>
      <c r="HU117">
        <v>3</v>
      </c>
      <c r="HV117">
        <v>3</v>
      </c>
      <c r="HW117">
        <v>3</v>
      </c>
      <c r="IF117" t="s">
        <v>4569</v>
      </c>
      <c r="IG117" t="s">
        <v>4569</v>
      </c>
      <c r="IH117" t="s">
        <v>4569</v>
      </c>
      <c r="II117" t="s">
        <v>4569</v>
      </c>
      <c r="IK117">
        <v>1</v>
      </c>
    </row>
    <row r="118" spans="1:245" outlineLevel="1" x14ac:dyDescent="0.2">
      <c r="A118" t="str">
        <f t="shared" si="4"/>
        <v>Magiekunde</v>
      </c>
      <c r="C118">
        <v>4</v>
      </c>
      <c r="D118">
        <v>4</v>
      </c>
      <c r="E118">
        <v>4</v>
      </c>
      <c r="F118">
        <v>4</v>
      </c>
      <c r="G118">
        <v>4</v>
      </c>
      <c r="H118">
        <v>4</v>
      </c>
      <c r="I118">
        <v>4</v>
      </c>
      <c r="J118">
        <v>4</v>
      </c>
      <c r="K118">
        <v>4</v>
      </c>
      <c r="L118">
        <v>4</v>
      </c>
      <c r="M118">
        <v>4</v>
      </c>
      <c r="N118">
        <v>4</v>
      </c>
      <c r="P118">
        <v>2</v>
      </c>
      <c r="R118">
        <v>2</v>
      </c>
      <c r="S118">
        <v>2</v>
      </c>
      <c r="T118">
        <v>2</v>
      </c>
      <c r="U118">
        <v>2</v>
      </c>
      <c r="V118">
        <v>2</v>
      </c>
      <c r="W118" t="s">
        <v>1721</v>
      </c>
      <c r="AC118" t="s">
        <v>1721</v>
      </c>
      <c r="AD118">
        <v>2</v>
      </c>
      <c r="AF118">
        <v>2</v>
      </c>
      <c r="AG118">
        <v>2</v>
      </c>
      <c r="AH118">
        <v>2</v>
      </c>
      <c r="AI118">
        <v>2</v>
      </c>
      <c r="AJ118" t="s">
        <v>1721</v>
      </c>
      <c r="AO118" t="s">
        <v>1721</v>
      </c>
      <c r="AP118" t="s">
        <v>1721</v>
      </c>
      <c r="AQ118" t="s">
        <v>1721</v>
      </c>
      <c r="AR118" t="s">
        <v>1721</v>
      </c>
      <c r="AS118" t="s">
        <v>1721</v>
      </c>
      <c r="AU118">
        <v>4</v>
      </c>
      <c r="AV118">
        <v>4</v>
      </c>
      <c r="AW118">
        <v>4</v>
      </c>
      <c r="AX118">
        <v>4</v>
      </c>
      <c r="AZ118">
        <v>3</v>
      </c>
      <c r="BA118">
        <v>3</v>
      </c>
      <c r="BB118">
        <v>3</v>
      </c>
      <c r="BC118">
        <v>3</v>
      </c>
      <c r="BD118">
        <v>6</v>
      </c>
      <c r="BE118">
        <v>4</v>
      </c>
      <c r="BF118">
        <v>3</v>
      </c>
      <c r="BG118">
        <v>4</v>
      </c>
      <c r="BI118">
        <v>5</v>
      </c>
      <c r="BJ118">
        <v>5</v>
      </c>
      <c r="CB118">
        <v>2</v>
      </c>
      <c r="CT118">
        <v>3</v>
      </c>
      <c r="CU118">
        <v>5</v>
      </c>
      <c r="CW118">
        <v>5</v>
      </c>
      <c r="CX118">
        <v>5</v>
      </c>
      <c r="CY118">
        <v>3</v>
      </c>
      <c r="CZ118">
        <v>4</v>
      </c>
      <c r="DA118">
        <v>5</v>
      </c>
      <c r="DB118">
        <v>5</v>
      </c>
      <c r="DC118">
        <v>7</v>
      </c>
      <c r="DD118">
        <v>5</v>
      </c>
      <c r="DE118">
        <v>5</v>
      </c>
      <c r="DF118">
        <v>6</v>
      </c>
      <c r="DG118">
        <v>6</v>
      </c>
      <c r="DH118">
        <v>6</v>
      </c>
      <c r="DI118">
        <v>6</v>
      </c>
      <c r="DJ118">
        <v>6</v>
      </c>
      <c r="DK118">
        <v>6</v>
      </c>
      <c r="DL118">
        <v>4</v>
      </c>
      <c r="DM118">
        <v>6</v>
      </c>
      <c r="DN118">
        <v>6</v>
      </c>
      <c r="DO118">
        <v>6</v>
      </c>
      <c r="DP118">
        <v>5</v>
      </c>
      <c r="DQ118">
        <v>6</v>
      </c>
      <c r="DR118">
        <v>4</v>
      </c>
      <c r="DS118">
        <v>6</v>
      </c>
      <c r="DT118">
        <v>4</v>
      </c>
      <c r="DU118">
        <v>6</v>
      </c>
      <c r="DV118">
        <v>6</v>
      </c>
      <c r="DW118">
        <v>6</v>
      </c>
      <c r="DX118">
        <v>5</v>
      </c>
      <c r="DY118">
        <v>6</v>
      </c>
      <c r="DZ118">
        <v>4</v>
      </c>
      <c r="EA118">
        <v>6</v>
      </c>
      <c r="EB118">
        <v>5</v>
      </c>
      <c r="EC118">
        <v>6</v>
      </c>
      <c r="ED118">
        <v>5</v>
      </c>
      <c r="EE118">
        <v>4</v>
      </c>
      <c r="EF118">
        <v>4</v>
      </c>
      <c r="EG118">
        <v>5</v>
      </c>
      <c r="EH118">
        <v>4</v>
      </c>
      <c r="EI118">
        <v>4</v>
      </c>
      <c r="EJ118">
        <v>6</v>
      </c>
      <c r="EK118">
        <v>8</v>
      </c>
      <c r="EL118">
        <v>8</v>
      </c>
      <c r="EM118">
        <v>6</v>
      </c>
      <c r="EN118">
        <v>6</v>
      </c>
      <c r="EO118">
        <v>5</v>
      </c>
      <c r="EP118">
        <v>4</v>
      </c>
      <c r="EQ118">
        <v>5</v>
      </c>
      <c r="ER118">
        <v>4</v>
      </c>
      <c r="ES118">
        <v>4</v>
      </c>
      <c r="ET118">
        <v>4</v>
      </c>
      <c r="EU118">
        <v>4</v>
      </c>
      <c r="EV118">
        <v>5</v>
      </c>
      <c r="EW118">
        <v>5</v>
      </c>
      <c r="EY118">
        <v>4</v>
      </c>
      <c r="EZ118">
        <v>5</v>
      </c>
      <c r="FA118">
        <v>4</v>
      </c>
      <c r="FB118">
        <v>5</v>
      </c>
      <c r="FC118">
        <v>4</v>
      </c>
      <c r="FD118">
        <v>5</v>
      </c>
      <c r="FE118">
        <v>4</v>
      </c>
      <c r="FF118">
        <v>3</v>
      </c>
      <c r="FG118">
        <v>4</v>
      </c>
      <c r="FH118">
        <v>4</v>
      </c>
      <c r="FI118">
        <v>4</v>
      </c>
      <c r="FJ118">
        <v>4</v>
      </c>
      <c r="FK118">
        <v>4</v>
      </c>
      <c r="FL118">
        <v>4</v>
      </c>
      <c r="FM118">
        <v>4</v>
      </c>
      <c r="FN118">
        <v>4</v>
      </c>
      <c r="FO118">
        <v>4</v>
      </c>
      <c r="FP118">
        <v>5</v>
      </c>
      <c r="FQ118">
        <v>5</v>
      </c>
      <c r="FR118">
        <v>5</v>
      </c>
      <c r="FS118">
        <v>5</v>
      </c>
      <c r="FT118">
        <v>3</v>
      </c>
      <c r="FU118">
        <v>5</v>
      </c>
      <c r="FV118">
        <v>3</v>
      </c>
      <c r="FX118">
        <v>1</v>
      </c>
      <c r="FY118">
        <v>2</v>
      </c>
      <c r="FZ118">
        <v>1</v>
      </c>
      <c r="GA118">
        <v>1</v>
      </c>
      <c r="GB118">
        <v>1</v>
      </c>
      <c r="GC118">
        <v>3</v>
      </c>
      <c r="GD118">
        <v>1</v>
      </c>
      <c r="GY118">
        <v>3</v>
      </c>
      <c r="HA118">
        <v>2</v>
      </c>
      <c r="HB118">
        <v>2</v>
      </c>
      <c r="HC118">
        <v>3</v>
      </c>
      <c r="HD118">
        <v>3</v>
      </c>
      <c r="HE118">
        <v>3</v>
      </c>
      <c r="HF118">
        <v>3</v>
      </c>
      <c r="HG118">
        <v>3</v>
      </c>
      <c r="HH118">
        <v>3</v>
      </c>
      <c r="HI118">
        <v>3</v>
      </c>
      <c r="HJ118">
        <v>3</v>
      </c>
      <c r="HK118">
        <v>3</v>
      </c>
      <c r="HL118">
        <v>3</v>
      </c>
      <c r="HM118">
        <v>4</v>
      </c>
      <c r="HN118">
        <v>4</v>
      </c>
      <c r="HO118">
        <v>2</v>
      </c>
      <c r="HP118">
        <v>2</v>
      </c>
      <c r="HQ118">
        <v>4</v>
      </c>
      <c r="HR118">
        <v>2</v>
      </c>
      <c r="HS118">
        <v>2</v>
      </c>
      <c r="HT118">
        <v>2</v>
      </c>
      <c r="HU118">
        <v>2</v>
      </c>
      <c r="HV118">
        <v>2</v>
      </c>
      <c r="HW118">
        <v>2</v>
      </c>
      <c r="HX118">
        <v>2</v>
      </c>
      <c r="HY118">
        <v>2</v>
      </c>
      <c r="HZ118">
        <v>2</v>
      </c>
      <c r="IA118">
        <v>2</v>
      </c>
      <c r="IB118">
        <v>2</v>
      </c>
      <c r="IC118">
        <v>2</v>
      </c>
      <c r="ID118">
        <v>4</v>
      </c>
      <c r="IE118">
        <v>2</v>
      </c>
      <c r="IF118">
        <v>2</v>
      </c>
      <c r="IG118">
        <v>2</v>
      </c>
      <c r="IH118">
        <v>2</v>
      </c>
      <c r="II118">
        <v>2</v>
      </c>
      <c r="IK118">
        <v>1</v>
      </c>
    </row>
    <row r="119" spans="1:245" outlineLevel="1" x14ac:dyDescent="0.2">
      <c r="A119" t="str">
        <f t="shared" si="4"/>
        <v>Mechanik</v>
      </c>
      <c r="CQ119">
        <v>3</v>
      </c>
      <c r="CZ119">
        <v>2</v>
      </c>
      <c r="DR119">
        <v>2</v>
      </c>
      <c r="DV119">
        <v>3</v>
      </c>
      <c r="DW119">
        <v>4</v>
      </c>
      <c r="EQ119">
        <v>1</v>
      </c>
      <c r="EW119">
        <v>1</v>
      </c>
      <c r="EY119">
        <v>3</v>
      </c>
      <c r="EZ119" t="s">
        <v>4569</v>
      </c>
      <c r="FA119" t="s">
        <v>4569</v>
      </c>
      <c r="FM119">
        <v>1</v>
      </c>
      <c r="FP119">
        <v>4</v>
      </c>
      <c r="FQ119">
        <v>4</v>
      </c>
      <c r="FR119">
        <v>4</v>
      </c>
      <c r="FS119">
        <v>4</v>
      </c>
      <c r="HA119">
        <v>1</v>
      </c>
      <c r="HB119">
        <v>1</v>
      </c>
      <c r="HC119">
        <v>1</v>
      </c>
      <c r="HD119">
        <v>1</v>
      </c>
      <c r="HE119">
        <v>1</v>
      </c>
      <c r="HF119">
        <v>1</v>
      </c>
      <c r="HG119">
        <v>1</v>
      </c>
      <c r="HH119">
        <v>1</v>
      </c>
      <c r="HI119">
        <v>1</v>
      </c>
      <c r="HJ119">
        <v>1</v>
      </c>
      <c r="HK119">
        <v>1</v>
      </c>
      <c r="HL119">
        <v>1</v>
      </c>
      <c r="HM119">
        <v>1</v>
      </c>
      <c r="HN119">
        <v>1</v>
      </c>
      <c r="HO119">
        <v>1</v>
      </c>
      <c r="HP119">
        <v>1</v>
      </c>
      <c r="HQ119">
        <v>1</v>
      </c>
      <c r="HR119">
        <v>4</v>
      </c>
      <c r="HS119">
        <v>4</v>
      </c>
      <c r="HT119">
        <v>6</v>
      </c>
      <c r="HU119">
        <v>6</v>
      </c>
      <c r="HV119">
        <v>6</v>
      </c>
      <c r="HW119">
        <v>6</v>
      </c>
      <c r="HX119">
        <v>4</v>
      </c>
      <c r="HY119">
        <v>4</v>
      </c>
      <c r="HZ119">
        <v>4</v>
      </c>
      <c r="IA119">
        <v>4</v>
      </c>
      <c r="IB119">
        <v>1</v>
      </c>
      <c r="IC119">
        <v>1</v>
      </c>
      <c r="ID119">
        <v>2</v>
      </c>
      <c r="IE119">
        <v>2</v>
      </c>
      <c r="IF119">
        <v>2</v>
      </c>
      <c r="IG119">
        <v>2</v>
      </c>
      <c r="IH119">
        <v>1</v>
      </c>
      <c r="II119">
        <v>1</v>
      </c>
    </row>
    <row r="120" spans="1:245" outlineLevel="1" x14ac:dyDescent="0.2">
      <c r="A120" t="str">
        <f t="shared" si="4"/>
        <v>Pflanzenkunde</v>
      </c>
      <c r="C120">
        <v>5</v>
      </c>
      <c r="D120">
        <v>6</v>
      </c>
      <c r="E120">
        <v>5</v>
      </c>
      <c r="F120">
        <v>5</v>
      </c>
      <c r="G120">
        <v>5</v>
      </c>
      <c r="H120">
        <v>5</v>
      </c>
      <c r="I120">
        <v>5</v>
      </c>
      <c r="J120">
        <v>5</v>
      </c>
      <c r="K120">
        <v>5</v>
      </c>
      <c r="L120">
        <v>5</v>
      </c>
      <c r="M120">
        <v>5</v>
      </c>
      <c r="N120">
        <v>5</v>
      </c>
      <c r="P120" t="s">
        <v>1719</v>
      </c>
      <c r="Y120" t="s">
        <v>1721</v>
      </c>
      <c r="Z120" t="s">
        <v>1721</v>
      </c>
      <c r="AA120" t="s">
        <v>1721</v>
      </c>
      <c r="AC120">
        <v>2</v>
      </c>
      <c r="AD120" t="s">
        <v>1719</v>
      </c>
      <c r="AK120" t="s">
        <v>1721</v>
      </c>
      <c r="AL120" t="s">
        <v>1721</v>
      </c>
      <c r="AM120" t="s">
        <v>1721</v>
      </c>
      <c r="AO120">
        <v>2</v>
      </c>
      <c r="AR120">
        <v>2</v>
      </c>
      <c r="AS120">
        <v>2</v>
      </c>
      <c r="AU120">
        <v>4</v>
      </c>
      <c r="AV120">
        <v>6</v>
      </c>
      <c r="AW120">
        <v>4</v>
      </c>
      <c r="AX120">
        <v>2</v>
      </c>
      <c r="AZ120">
        <v>3</v>
      </c>
      <c r="BA120">
        <v>5</v>
      </c>
      <c r="BB120">
        <v>3</v>
      </c>
      <c r="BC120">
        <v>5</v>
      </c>
      <c r="BD120">
        <v>4</v>
      </c>
      <c r="BE120">
        <v>3</v>
      </c>
      <c r="BF120">
        <v>3</v>
      </c>
      <c r="BG120">
        <v>4</v>
      </c>
      <c r="BL120">
        <v>3</v>
      </c>
      <c r="BM120">
        <v>6</v>
      </c>
      <c r="BN120">
        <v>5</v>
      </c>
      <c r="BO120">
        <v>3</v>
      </c>
      <c r="BP120">
        <v>3</v>
      </c>
      <c r="BQ120">
        <v>6</v>
      </c>
      <c r="BR120">
        <v>4</v>
      </c>
      <c r="BS120">
        <v>3</v>
      </c>
      <c r="BT120">
        <v>5</v>
      </c>
      <c r="BU120">
        <v>6</v>
      </c>
      <c r="BV120">
        <v>3</v>
      </c>
      <c r="BW120">
        <v>6</v>
      </c>
      <c r="BX120">
        <v>5</v>
      </c>
      <c r="BY120">
        <v>3</v>
      </c>
      <c r="BZ120">
        <v>6</v>
      </c>
      <c r="CA120">
        <v>6</v>
      </c>
      <c r="CB120">
        <v>2</v>
      </c>
      <c r="CC120">
        <v>2</v>
      </c>
      <c r="CD120">
        <v>3</v>
      </c>
      <c r="CE120">
        <v>1</v>
      </c>
      <c r="CF120">
        <v>1</v>
      </c>
      <c r="CG120">
        <v>3</v>
      </c>
      <c r="CH120">
        <v>2</v>
      </c>
      <c r="CI120">
        <v>2</v>
      </c>
      <c r="CJ120">
        <v>4</v>
      </c>
      <c r="CK120">
        <v>1</v>
      </c>
      <c r="CL120">
        <v>1</v>
      </c>
      <c r="CM120">
        <v>5</v>
      </c>
      <c r="CQ120">
        <v>7</v>
      </c>
      <c r="CW120">
        <v>4</v>
      </c>
      <c r="CX120">
        <v>2</v>
      </c>
      <c r="CY120">
        <v>3</v>
      </c>
      <c r="CZ120">
        <v>2</v>
      </c>
      <c r="DA120">
        <v>1</v>
      </c>
      <c r="DC120">
        <v>2</v>
      </c>
      <c r="DD120">
        <v>6</v>
      </c>
      <c r="DE120">
        <v>6</v>
      </c>
      <c r="DF120">
        <v>2</v>
      </c>
      <c r="DG120">
        <v>4</v>
      </c>
      <c r="DH120">
        <v>2</v>
      </c>
      <c r="DI120">
        <v>2</v>
      </c>
      <c r="DJ120">
        <v>2</v>
      </c>
      <c r="DK120">
        <v>2</v>
      </c>
      <c r="DL120">
        <v>3</v>
      </c>
      <c r="DM120">
        <v>1</v>
      </c>
      <c r="DN120">
        <v>1</v>
      </c>
      <c r="DO120">
        <v>1</v>
      </c>
      <c r="DP120">
        <v>1</v>
      </c>
      <c r="DQ120">
        <v>3</v>
      </c>
      <c r="DR120">
        <v>2</v>
      </c>
      <c r="DS120">
        <v>1</v>
      </c>
      <c r="DT120">
        <v>4</v>
      </c>
      <c r="DV120">
        <v>4</v>
      </c>
      <c r="DW120">
        <v>2</v>
      </c>
      <c r="DX120">
        <v>1</v>
      </c>
      <c r="DY120">
        <v>1</v>
      </c>
      <c r="DZ120">
        <v>3</v>
      </c>
      <c r="EA120">
        <v>5</v>
      </c>
      <c r="EB120">
        <v>1</v>
      </c>
      <c r="EC120">
        <v>1</v>
      </c>
      <c r="ED120">
        <v>5</v>
      </c>
      <c r="EE120">
        <v>2</v>
      </c>
      <c r="EF120">
        <v>5</v>
      </c>
      <c r="EG120">
        <v>4</v>
      </c>
      <c r="EH120">
        <v>1</v>
      </c>
      <c r="EI120">
        <v>1</v>
      </c>
      <c r="EJ120">
        <v>2</v>
      </c>
      <c r="EK120">
        <v>4</v>
      </c>
      <c r="EL120">
        <v>4</v>
      </c>
      <c r="EM120">
        <v>1</v>
      </c>
      <c r="EN120">
        <v>1</v>
      </c>
      <c r="EO120">
        <v>1</v>
      </c>
      <c r="EP120">
        <v>1</v>
      </c>
      <c r="EQ120">
        <v>3</v>
      </c>
      <c r="ER120">
        <v>4</v>
      </c>
      <c r="ES120">
        <v>3</v>
      </c>
      <c r="ET120">
        <v>5</v>
      </c>
      <c r="EU120">
        <v>2</v>
      </c>
      <c r="EV120">
        <v>4</v>
      </c>
      <c r="EW120">
        <v>2</v>
      </c>
      <c r="EY120">
        <v>3</v>
      </c>
      <c r="EZ120">
        <v>1</v>
      </c>
      <c r="FA120">
        <v>1</v>
      </c>
      <c r="FB120">
        <v>2</v>
      </c>
      <c r="FC120">
        <v>2</v>
      </c>
      <c r="FD120">
        <v>2</v>
      </c>
      <c r="FE120">
        <v>4</v>
      </c>
      <c r="FF120">
        <v>4</v>
      </c>
      <c r="FK120">
        <v>3</v>
      </c>
      <c r="FL120">
        <v>5</v>
      </c>
      <c r="FM120">
        <v>1</v>
      </c>
      <c r="FN120">
        <v>2</v>
      </c>
      <c r="FO120">
        <v>1</v>
      </c>
      <c r="FP120">
        <v>4</v>
      </c>
      <c r="FQ120">
        <v>4</v>
      </c>
      <c r="FR120">
        <v>4</v>
      </c>
      <c r="FS120">
        <v>4</v>
      </c>
      <c r="FT120">
        <v>4</v>
      </c>
      <c r="FV120">
        <v>1</v>
      </c>
      <c r="GB120">
        <v>3</v>
      </c>
      <c r="GY120">
        <v>3</v>
      </c>
      <c r="HA120">
        <v>4</v>
      </c>
      <c r="HB120">
        <v>4</v>
      </c>
      <c r="HC120">
        <v>5</v>
      </c>
      <c r="HD120">
        <v>5</v>
      </c>
      <c r="HE120">
        <v>5</v>
      </c>
      <c r="HF120">
        <v>5</v>
      </c>
      <c r="HG120">
        <v>5</v>
      </c>
      <c r="HH120">
        <v>5</v>
      </c>
      <c r="HI120">
        <v>6</v>
      </c>
      <c r="HJ120">
        <v>6</v>
      </c>
      <c r="HK120">
        <v>5</v>
      </c>
      <c r="HL120">
        <v>5</v>
      </c>
      <c r="HM120">
        <v>6</v>
      </c>
      <c r="HN120">
        <v>6</v>
      </c>
      <c r="HO120">
        <v>4</v>
      </c>
      <c r="HP120">
        <v>4</v>
      </c>
      <c r="HQ120">
        <v>5</v>
      </c>
      <c r="HR120">
        <v>4</v>
      </c>
      <c r="HS120">
        <v>4</v>
      </c>
      <c r="HT120">
        <v>4</v>
      </c>
      <c r="HU120">
        <v>4</v>
      </c>
      <c r="HV120">
        <v>4</v>
      </c>
      <c r="HW120">
        <v>4</v>
      </c>
      <c r="HX120">
        <v>4</v>
      </c>
      <c r="HY120">
        <v>4</v>
      </c>
      <c r="HZ120">
        <v>4</v>
      </c>
      <c r="IA120">
        <v>4</v>
      </c>
      <c r="IB120">
        <v>6</v>
      </c>
      <c r="IC120">
        <v>6</v>
      </c>
      <c r="ID120">
        <v>4</v>
      </c>
      <c r="IE120">
        <v>2</v>
      </c>
      <c r="IF120">
        <v>4</v>
      </c>
      <c r="IG120">
        <v>4</v>
      </c>
      <c r="IH120">
        <v>4</v>
      </c>
      <c r="II120">
        <v>4</v>
      </c>
    </row>
    <row r="121" spans="1:245" outlineLevel="1" x14ac:dyDescent="0.2">
      <c r="A121" t="str">
        <f t="shared" si="4"/>
        <v>Philosophie</v>
      </c>
      <c r="D121">
        <v>2</v>
      </c>
      <c r="H121">
        <v>2</v>
      </c>
      <c r="I121">
        <v>2</v>
      </c>
      <c r="J121">
        <v>2</v>
      </c>
      <c r="K121">
        <v>2</v>
      </c>
      <c r="L121">
        <v>2</v>
      </c>
      <c r="M121">
        <v>2</v>
      </c>
      <c r="N121">
        <v>2</v>
      </c>
      <c r="BI121">
        <v>2</v>
      </c>
      <c r="BJ121">
        <v>2</v>
      </c>
      <c r="CB121">
        <v>2</v>
      </c>
      <c r="CN121">
        <v>5</v>
      </c>
      <c r="CW121">
        <v>2</v>
      </c>
      <c r="DA121">
        <v>2</v>
      </c>
      <c r="DC121">
        <v>3</v>
      </c>
      <c r="DD121">
        <v>2</v>
      </c>
      <c r="DE121">
        <v>2</v>
      </c>
      <c r="DN121">
        <v>3</v>
      </c>
      <c r="DO121">
        <v>3</v>
      </c>
      <c r="DQ121">
        <v>6</v>
      </c>
      <c r="DT121">
        <v>2</v>
      </c>
      <c r="DU121">
        <v>2</v>
      </c>
      <c r="DV121">
        <v>2</v>
      </c>
      <c r="DW121">
        <v>2</v>
      </c>
      <c r="ED121">
        <v>3</v>
      </c>
      <c r="EK121">
        <v>3</v>
      </c>
      <c r="EL121">
        <v>3</v>
      </c>
      <c r="ER121">
        <v>4</v>
      </c>
      <c r="ES121">
        <v>4</v>
      </c>
      <c r="ET121">
        <v>2</v>
      </c>
      <c r="EV121">
        <v>2</v>
      </c>
      <c r="EZ121">
        <v>2</v>
      </c>
      <c r="FA121" t="s">
        <v>4569</v>
      </c>
      <c r="FC121">
        <v>7</v>
      </c>
      <c r="FO121">
        <v>3</v>
      </c>
      <c r="FT121">
        <v>2</v>
      </c>
      <c r="FU121">
        <v>2</v>
      </c>
      <c r="GH121">
        <v>2</v>
      </c>
      <c r="HA121">
        <v>2</v>
      </c>
      <c r="HB121">
        <v>2</v>
      </c>
      <c r="HC121">
        <v>3</v>
      </c>
      <c r="HD121">
        <v>3</v>
      </c>
      <c r="HE121">
        <v>3</v>
      </c>
      <c r="HF121">
        <v>3</v>
      </c>
      <c r="HG121">
        <v>4</v>
      </c>
      <c r="HH121">
        <v>4</v>
      </c>
      <c r="HI121">
        <v>3</v>
      </c>
      <c r="HJ121">
        <v>3</v>
      </c>
      <c r="HK121">
        <v>3</v>
      </c>
      <c r="HL121">
        <v>3</v>
      </c>
      <c r="HM121">
        <v>3</v>
      </c>
      <c r="HN121">
        <v>3</v>
      </c>
      <c r="HO121">
        <v>3</v>
      </c>
      <c r="HP121">
        <v>3</v>
      </c>
      <c r="HQ121">
        <v>2</v>
      </c>
      <c r="HR121">
        <v>2</v>
      </c>
      <c r="HS121">
        <v>2</v>
      </c>
      <c r="HT121">
        <v>2</v>
      </c>
      <c r="HU121">
        <v>2</v>
      </c>
      <c r="HV121">
        <v>2</v>
      </c>
      <c r="HW121">
        <v>2</v>
      </c>
      <c r="HX121">
        <v>2</v>
      </c>
      <c r="HY121">
        <v>2</v>
      </c>
      <c r="HZ121">
        <v>2</v>
      </c>
      <c r="IA121">
        <v>2</v>
      </c>
      <c r="IB121">
        <v>2</v>
      </c>
      <c r="IC121">
        <v>2</v>
      </c>
      <c r="ID121">
        <v>3</v>
      </c>
      <c r="IE121">
        <v>2</v>
      </c>
      <c r="IH121">
        <v>2</v>
      </c>
      <c r="II121">
        <v>2</v>
      </c>
    </row>
    <row r="122" spans="1:245" outlineLevel="1" x14ac:dyDescent="0.2">
      <c r="A122" t="str">
        <f t="shared" si="4"/>
        <v>Rechnen</v>
      </c>
      <c r="C122">
        <v>2</v>
      </c>
      <c r="D122">
        <v>2</v>
      </c>
      <c r="E122">
        <v>2</v>
      </c>
      <c r="F122">
        <v>2</v>
      </c>
      <c r="G122">
        <v>2</v>
      </c>
      <c r="H122">
        <v>2</v>
      </c>
      <c r="I122">
        <v>2</v>
      </c>
      <c r="J122">
        <v>2</v>
      </c>
      <c r="K122">
        <v>2</v>
      </c>
      <c r="L122">
        <v>2</v>
      </c>
      <c r="M122">
        <v>2</v>
      </c>
      <c r="N122">
        <v>2</v>
      </c>
      <c r="AD122">
        <v>2</v>
      </c>
      <c r="AE122">
        <v>2</v>
      </c>
      <c r="AF122">
        <v>2</v>
      </c>
      <c r="AG122">
        <v>2</v>
      </c>
      <c r="AH122">
        <v>2</v>
      </c>
      <c r="AI122">
        <v>2</v>
      </c>
      <c r="AJ122">
        <v>2</v>
      </c>
      <c r="AK122">
        <v>2</v>
      </c>
      <c r="AL122">
        <v>2</v>
      </c>
      <c r="AM122">
        <v>2</v>
      </c>
      <c r="AN122">
        <v>2</v>
      </c>
      <c r="AO122">
        <v>2</v>
      </c>
      <c r="AQ122">
        <v>2</v>
      </c>
      <c r="AS122">
        <v>2</v>
      </c>
      <c r="AZ122">
        <v>2</v>
      </c>
      <c r="BA122">
        <v>2</v>
      </c>
      <c r="BB122">
        <v>2</v>
      </c>
      <c r="BC122">
        <v>2</v>
      </c>
      <c r="BD122">
        <v>4</v>
      </c>
      <c r="BE122">
        <v>4</v>
      </c>
      <c r="BF122">
        <v>2</v>
      </c>
      <c r="BG122">
        <v>4</v>
      </c>
      <c r="BI122">
        <v>3</v>
      </c>
      <c r="BJ122">
        <v>3</v>
      </c>
      <c r="BM122">
        <v>1</v>
      </c>
      <c r="BQ122">
        <v>1</v>
      </c>
      <c r="BU122">
        <v>1</v>
      </c>
      <c r="BW122">
        <v>1</v>
      </c>
      <c r="BZ122">
        <v>1</v>
      </c>
      <c r="CA122">
        <v>1</v>
      </c>
      <c r="CB122">
        <v>3</v>
      </c>
      <c r="CO122">
        <v>3</v>
      </c>
      <c r="CP122">
        <v>3</v>
      </c>
      <c r="CQ122">
        <v>3</v>
      </c>
      <c r="CR122">
        <v>3</v>
      </c>
      <c r="CS122">
        <v>3</v>
      </c>
      <c r="CT122">
        <v>1</v>
      </c>
      <c r="CU122">
        <v>1</v>
      </c>
      <c r="CW122">
        <v>4</v>
      </c>
      <c r="CX122">
        <v>5</v>
      </c>
      <c r="CY122">
        <v>4</v>
      </c>
      <c r="CZ122">
        <v>6</v>
      </c>
      <c r="DA122">
        <v>5</v>
      </c>
      <c r="DB122">
        <v>5</v>
      </c>
      <c r="DC122">
        <v>5</v>
      </c>
      <c r="DD122">
        <v>4</v>
      </c>
      <c r="DE122">
        <v>4</v>
      </c>
      <c r="DF122">
        <v>4</v>
      </c>
      <c r="DG122">
        <v>4</v>
      </c>
      <c r="DH122">
        <v>4</v>
      </c>
      <c r="DI122">
        <v>4</v>
      </c>
      <c r="DJ122">
        <v>4</v>
      </c>
      <c r="DK122">
        <v>4</v>
      </c>
      <c r="DL122">
        <v>4</v>
      </c>
      <c r="DM122">
        <v>4</v>
      </c>
      <c r="DN122">
        <v>6</v>
      </c>
      <c r="DO122">
        <v>6</v>
      </c>
      <c r="DP122">
        <v>4</v>
      </c>
      <c r="DQ122">
        <v>4</v>
      </c>
      <c r="DR122">
        <v>6</v>
      </c>
      <c r="DS122">
        <v>6</v>
      </c>
      <c r="DT122">
        <v>3</v>
      </c>
      <c r="DU122">
        <v>6</v>
      </c>
      <c r="DV122">
        <v>6</v>
      </c>
      <c r="DW122">
        <v>6</v>
      </c>
      <c r="DX122">
        <v>4</v>
      </c>
      <c r="DY122">
        <v>5</v>
      </c>
      <c r="DZ122">
        <v>4</v>
      </c>
      <c r="EA122">
        <v>4</v>
      </c>
      <c r="EB122">
        <v>4</v>
      </c>
      <c r="EC122">
        <v>4</v>
      </c>
      <c r="ED122">
        <v>5</v>
      </c>
      <c r="EE122">
        <v>6</v>
      </c>
      <c r="EF122">
        <v>4</v>
      </c>
      <c r="EG122">
        <v>5</v>
      </c>
      <c r="EH122">
        <v>4</v>
      </c>
      <c r="EI122">
        <v>4</v>
      </c>
      <c r="EJ122">
        <v>4</v>
      </c>
      <c r="EK122">
        <v>6</v>
      </c>
      <c r="EL122">
        <v>6</v>
      </c>
      <c r="EM122">
        <v>5</v>
      </c>
      <c r="EN122">
        <v>5</v>
      </c>
      <c r="EO122">
        <v>6</v>
      </c>
      <c r="EP122">
        <v>6</v>
      </c>
      <c r="EQ122">
        <v>6</v>
      </c>
      <c r="ER122">
        <v>6</v>
      </c>
      <c r="ES122">
        <v>4</v>
      </c>
      <c r="ET122">
        <v>4</v>
      </c>
      <c r="EU122">
        <v>4</v>
      </c>
      <c r="EV122">
        <v>4</v>
      </c>
      <c r="EW122">
        <v>4</v>
      </c>
      <c r="EY122">
        <v>4</v>
      </c>
      <c r="EZ122">
        <v>4</v>
      </c>
      <c r="FA122">
        <v>4</v>
      </c>
      <c r="FB122">
        <v>6</v>
      </c>
      <c r="FC122">
        <v>4</v>
      </c>
      <c r="FD122">
        <v>5</v>
      </c>
      <c r="FE122">
        <v>4</v>
      </c>
      <c r="FF122">
        <v>4</v>
      </c>
      <c r="FG122">
        <v>6</v>
      </c>
      <c r="FH122">
        <v>6</v>
      </c>
      <c r="FI122">
        <v>6</v>
      </c>
      <c r="FJ122">
        <v>6</v>
      </c>
      <c r="FK122">
        <v>4</v>
      </c>
      <c r="FL122">
        <v>4</v>
      </c>
      <c r="FM122">
        <v>5</v>
      </c>
      <c r="FN122">
        <v>6</v>
      </c>
      <c r="FO122">
        <v>4</v>
      </c>
      <c r="FP122">
        <v>4</v>
      </c>
      <c r="FQ122">
        <v>4</v>
      </c>
      <c r="FR122">
        <v>4</v>
      </c>
      <c r="FS122">
        <v>4</v>
      </c>
      <c r="FT122">
        <v>4</v>
      </c>
      <c r="FU122">
        <v>4</v>
      </c>
      <c r="FV122">
        <v>4</v>
      </c>
      <c r="FX122">
        <v>2</v>
      </c>
      <c r="FY122">
        <v>3</v>
      </c>
      <c r="FZ122">
        <v>2</v>
      </c>
      <c r="GA122">
        <v>2</v>
      </c>
      <c r="GB122">
        <v>2</v>
      </c>
      <c r="GC122">
        <v>3</v>
      </c>
      <c r="GD122">
        <v>3</v>
      </c>
      <c r="GY122">
        <v>4</v>
      </c>
      <c r="HA122">
        <v>5</v>
      </c>
      <c r="HB122">
        <v>5</v>
      </c>
      <c r="HC122">
        <v>5</v>
      </c>
      <c r="HD122">
        <v>5</v>
      </c>
      <c r="HE122">
        <v>5</v>
      </c>
      <c r="HF122">
        <v>5</v>
      </c>
      <c r="HG122">
        <v>5</v>
      </c>
      <c r="HH122">
        <v>5</v>
      </c>
      <c r="HI122">
        <v>5</v>
      </c>
      <c r="HJ122">
        <v>5</v>
      </c>
      <c r="HK122">
        <v>5</v>
      </c>
      <c r="HL122">
        <v>5</v>
      </c>
      <c r="HM122">
        <v>5</v>
      </c>
      <c r="HN122">
        <v>5</v>
      </c>
      <c r="HO122">
        <v>5</v>
      </c>
      <c r="HP122">
        <v>5</v>
      </c>
      <c r="HQ122">
        <v>6</v>
      </c>
      <c r="HR122">
        <v>6</v>
      </c>
      <c r="HS122">
        <v>6</v>
      </c>
      <c r="HT122">
        <v>8</v>
      </c>
      <c r="HU122">
        <v>8</v>
      </c>
      <c r="HV122">
        <v>8</v>
      </c>
      <c r="HW122">
        <v>8</v>
      </c>
      <c r="HX122">
        <v>6</v>
      </c>
      <c r="HY122">
        <v>6</v>
      </c>
      <c r="HZ122">
        <v>7</v>
      </c>
      <c r="IA122">
        <v>7</v>
      </c>
      <c r="IB122">
        <v>5</v>
      </c>
      <c r="IC122">
        <v>5</v>
      </c>
      <c r="ID122">
        <v>5</v>
      </c>
      <c r="IE122">
        <v>5</v>
      </c>
      <c r="IF122">
        <v>5</v>
      </c>
      <c r="IG122">
        <v>5</v>
      </c>
      <c r="IH122">
        <v>5</v>
      </c>
      <c r="II122">
        <v>5</v>
      </c>
    </row>
    <row r="123" spans="1:245" outlineLevel="1" x14ac:dyDescent="0.2">
      <c r="A123" t="str">
        <f t="shared" si="4"/>
        <v>Rechtskunde</v>
      </c>
      <c r="F123">
        <v>1</v>
      </c>
      <c r="G123">
        <v>2</v>
      </c>
      <c r="AR123">
        <v>3</v>
      </c>
      <c r="AS123">
        <v>3</v>
      </c>
      <c r="AX123">
        <v>3</v>
      </c>
      <c r="BB123">
        <v>1</v>
      </c>
      <c r="CB123">
        <v>2</v>
      </c>
      <c r="CN123">
        <v>2</v>
      </c>
      <c r="CO123">
        <v>1</v>
      </c>
      <c r="CP123">
        <v>1</v>
      </c>
      <c r="CQ123">
        <v>1</v>
      </c>
      <c r="CR123">
        <v>1</v>
      </c>
      <c r="CS123">
        <v>1</v>
      </c>
      <c r="CT123">
        <v>1</v>
      </c>
      <c r="CU123">
        <v>1</v>
      </c>
      <c r="CW123">
        <v>4</v>
      </c>
      <c r="CX123">
        <v>3</v>
      </c>
      <c r="CY123">
        <v>2</v>
      </c>
      <c r="CZ123">
        <v>6</v>
      </c>
      <c r="DA123">
        <v>2</v>
      </c>
      <c r="DB123">
        <v>3</v>
      </c>
      <c r="DC123">
        <v>2</v>
      </c>
      <c r="DD123">
        <v>2</v>
      </c>
      <c r="DE123">
        <v>2</v>
      </c>
      <c r="DF123">
        <v>2</v>
      </c>
      <c r="DG123">
        <v>2</v>
      </c>
      <c r="DH123">
        <v>2</v>
      </c>
      <c r="DI123">
        <v>2</v>
      </c>
      <c r="DJ123">
        <v>2</v>
      </c>
      <c r="DK123">
        <v>2</v>
      </c>
      <c r="DL123">
        <v>4</v>
      </c>
      <c r="DM123">
        <v>4</v>
      </c>
      <c r="DN123">
        <v>2</v>
      </c>
      <c r="DO123">
        <v>2</v>
      </c>
      <c r="DP123">
        <v>3</v>
      </c>
      <c r="DQ123">
        <v>2</v>
      </c>
      <c r="DR123">
        <v>6</v>
      </c>
      <c r="DS123">
        <v>6</v>
      </c>
      <c r="DT123">
        <v>1</v>
      </c>
      <c r="DU123">
        <v>2</v>
      </c>
      <c r="DV123">
        <v>2</v>
      </c>
      <c r="DW123">
        <v>2</v>
      </c>
      <c r="DX123">
        <v>4</v>
      </c>
      <c r="DY123">
        <v>2</v>
      </c>
      <c r="DZ123">
        <v>2</v>
      </c>
      <c r="EA123">
        <v>2</v>
      </c>
      <c r="EB123">
        <v>3</v>
      </c>
      <c r="EC123">
        <v>4</v>
      </c>
      <c r="ED123">
        <v>2</v>
      </c>
      <c r="EE123">
        <v>3</v>
      </c>
      <c r="EF123">
        <v>3</v>
      </c>
      <c r="EG123">
        <v>4</v>
      </c>
      <c r="EH123">
        <v>2</v>
      </c>
      <c r="EI123">
        <v>2</v>
      </c>
      <c r="EJ123">
        <v>3</v>
      </c>
      <c r="EK123">
        <v>3</v>
      </c>
      <c r="EL123">
        <v>3</v>
      </c>
      <c r="EM123">
        <v>3</v>
      </c>
      <c r="EN123">
        <v>3</v>
      </c>
      <c r="EO123">
        <v>4</v>
      </c>
      <c r="EP123">
        <v>3</v>
      </c>
      <c r="EQ123">
        <v>6</v>
      </c>
      <c r="ER123">
        <v>2</v>
      </c>
      <c r="ES123">
        <v>1</v>
      </c>
      <c r="ET123">
        <v>4</v>
      </c>
      <c r="EU123">
        <v>2</v>
      </c>
      <c r="EV123">
        <v>3</v>
      </c>
      <c r="EW123">
        <v>3</v>
      </c>
      <c r="EY123">
        <v>2</v>
      </c>
      <c r="EZ123">
        <v>4</v>
      </c>
      <c r="FA123">
        <v>4</v>
      </c>
      <c r="FB123">
        <v>2</v>
      </c>
      <c r="FC123">
        <v>2</v>
      </c>
      <c r="FD123">
        <v>2</v>
      </c>
      <c r="FE123">
        <v>2</v>
      </c>
      <c r="FF123">
        <v>2</v>
      </c>
      <c r="FG123">
        <v>2</v>
      </c>
      <c r="FH123">
        <v>2</v>
      </c>
      <c r="FI123">
        <v>2</v>
      </c>
      <c r="FJ123">
        <v>2</v>
      </c>
      <c r="FK123">
        <v>3</v>
      </c>
      <c r="FL123">
        <v>2</v>
      </c>
      <c r="FM123">
        <v>2</v>
      </c>
      <c r="FN123">
        <v>2</v>
      </c>
      <c r="FO123">
        <v>2</v>
      </c>
      <c r="FP123">
        <v>2</v>
      </c>
      <c r="FQ123">
        <v>2</v>
      </c>
      <c r="FR123">
        <v>2</v>
      </c>
      <c r="FS123">
        <v>2</v>
      </c>
      <c r="FU123">
        <v>1</v>
      </c>
      <c r="FV123">
        <v>2</v>
      </c>
      <c r="FX123">
        <v>1</v>
      </c>
      <c r="FY123">
        <v>1</v>
      </c>
      <c r="FZ123">
        <v>1</v>
      </c>
      <c r="GA123">
        <v>1</v>
      </c>
      <c r="GB123">
        <v>1</v>
      </c>
      <c r="GC123">
        <v>2</v>
      </c>
      <c r="GD123">
        <v>1</v>
      </c>
      <c r="GY123">
        <v>4</v>
      </c>
      <c r="HA123">
        <v>3</v>
      </c>
      <c r="HB123">
        <v>3</v>
      </c>
      <c r="HC123">
        <v>4</v>
      </c>
      <c r="HD123">
        <v>4</v>
      </c>
      <c r="HE123">
        <v>4</v>
      </c>
      <c r="HF123">
        <v>4</v>
      </c>
      <c r="HG123">
        <v>4</v>
      </c>
      <c r="HH123">
        <v>4</v>
      </c>
      <c r="HI123">
        <v>4</v>
      </c>
      <c r="HJ123">
        <v>4</v>
      </c>
      <c r="HK123">
        <v>4</v>
      </c>
      <c r="HL123">
        <v>4</v>
      </c>
      <c r="HM123">
        <v>3</v>
      </c>
      <c r="HN123">
        <v>3</v>
      </c>
      <c r="HO123">
        <v>3</v>
      </c>
      <c r="HP123">
        <v>3</v>
      </c>
      <c r="HQ123">
        <v>3</v>
      </c>
      <c r="HR123">
        <v>4</v>
      </c>
      <c r="HS123">
        <v>4</v>
      </c>
      <c r="HT123">
        <v>4</v>
      </c>
      <c r="HU123">
        <v>4</v>
      </c>
      <c r="HV123">
        <v>4</v>
      </c>
      <c r="HW123">
        <v>4</v>
      </c>
      <c r="HX123">
        <v>4</v>
      </c>
      <c r="HY123">
        <v>4</v>
      </c>
      <c r="HZ123">
        <v>4</v>
      </c>
      <c r="IA123">
        <v>4</v>
      </c>
      <c r="IB123">
        <v>3</v>
      </c>
      <c r="IC123">
        <v>3</v>
      </c>
      <c r="ID123">
        <v>3</v>
      </c>
      <c r="IE123">
        <v>3</v>
      </c>
      <c r="IF123">
        <v>3</v>
      </c>
      <c r="IG123">
        <v>3</v>
      </c>
      <c r="IH123">
        <v>3</v>
      </c>
      <c r="II123">
        <v>3</v>
      </c>
    </row>
    <row r="124" spans="1:245" outlineLevel="1" x14ac:dyDescent="0.2">
      <c r="A124" t="str">
        <f t="shared" si="4"/>
        <v>Sagen/Legenden</v>
      </c>
      <c r="C124">
        <v>2</v>
      </c>
      <c r="D124">
        <v>2</v>
      </c>
      <c r="E124">
        <v>5</v>
      </c>
      <c r="F124">
        <v>2</v>
      </c>
      <c r="G124">
        <v>4</v>
      </c>
      <c r="H124">
        <v>4</v>
      </c>
      <c r="I124">
        <v>4</v>
      </c>
      <c r="J124">
        <v>4</v>
      </c>
      <c r="K124">
        <v>4</v>
      </c>
      <c r="L124">
        <v>4</v>
      </c>
      <c r="M124">
        <v>4</v>
      </c>
      <c r="N124">
        <v>4</v>
      </c>
      <c r="W124" t="s">
        <v>2674</v>
      </c>
      <c r="AC124">
        <v>3</v>
      </c>
      <c r="AD124">
        <v>1</v>
      </c>
      <c r="AE124">
        <v>1</v>
      </c>
      <c r="AF124">
        <v>1</v>
      </c>
      <c r="AG124">
        <v>1</v>
      </c>
      <c r="AH124">
        <v>1</v>
      </c>
      <c r="AI124">
        <v>1</v>
      </c>
      <c r="AJ124" t="s">
        <v>6514</v>
      </c>
      <c r="AK124">
        <v>1</v>
      </c>
      <c r="AL124">
        <v>1</v>
      </c>
      <c r="AM124">
        <v>1</v>
      </c>
      <c r="AN124">
        <v>1</v>
      </c>
      <c r="AO124">
        <v>4</v>
      </c>
      <c r="AP124" t="s">
        <v>2674</v>
      </c>
      <c r="AQ124" t="s">
        <v>6514</v>
      </c>
      <c r="AR124">
        <v>3</v>
      </c>
      <c r="AS124">
        <v>4</v>
      </c>
      <c r="AU124">
        <v>5</v>
      </c>
      <c r="AV124">
        <v>5</v>
      </c>
      <c r="AW124">
        <v>5</v>
      </c>
      <c r="AX124">
        <v>5</v>
      </c>
      <c r="AZ124">
        <v>2</v>
      </c>
      <c r="BA124">
        <v>4</v>
      </c>
      <c r="BB124">
        <v>2</v>
      </c>
      <c r="BC124">
        <v>2</v>
      </c>
      <c r="BD124">
        <v>2</v>
      </c>
      <c r="BE124">
        <v>4</v>
      </c>
      <c r="BF124">
        <v>4</v>
      </c>
      <c r="BG124">
        <v>2</v>
      </c>
      <c r="CB124">
        <v>3</v>
      </c>
      <c r="CM124">
        <v>4</v>
      </c>
      <c r="CO124">
        <v>1</v>
      </c>
      <c r="CP124">
        <v>1</v>
      </c>
      <c r="CQ124">
        <v>1</v>
      </c>
      <c r="CR124">
        <v>1</v>
      </c>
      <c r="CS124">
        <v>1</v>
      </c>
      <c r="CT124">
        <v>3</v>
      </c>
      <c r="CU124">
        <v>3</v>
      </c>
      <c r="CW124">
        <v>3</v>
      </c>
      <c r="CX124">
        <v>3</v>
      </c>
      <c r="CY124">
        <v>3</v>
      </c>
      <c r="CZ124">
        <v>4</v>
      </c>
      <c r="DA124">
        <v>5</v>
      </c>
      <c r="DB124">
        <v>4</v>
      </c>
      <c r="DC124">
        <v>3</v>
      </c>
      <c r="DD124">
        <v>3</v>
      </c>
      <c r="DE124">
        <v>3</v>
      </c>
      <c r="DF124">
        <v>3</v>
      </c>
      <c r="DG124">
        <v>3</v>
      </c>
      <c r="DH124">
        <v>3</v>
      </c>
      <c r="DI124">
        <v>3</v>
      </c>
      <c r="DJ124">
        <v>3</v>
      </c>
      <c r="DK124">
        <v>3</v>
      </c>
      <c r="DL124">
        <v>2</v>
      </c>
      <c r="DM124">
        <v>2</v>
      </c>
      <c r="DN124">
        <v>4</v>
      </c>
      <c r="DO124">
        <v>4</v>
      </c>
      <c r="DP124">
        <v>2</v>
      </c>
      <c r="DQ124">
        <v>4</v>
      </c>
      <c r="DR124">
        <v>4</v>
      </c>
      <c r="DS124">
        <v>4</v>
      </c>
      <c r="DT124">
        <v>4</v>
      </c>
      <c r="DU124">
        <v>3</v>
      </c>
      <c r="DV124">
        <v>2</v>
      </c>
      <c r="DW124">
        <v>2</v>
      </c>
      <c r="DX124">
        <v>2</v>
      </c>
      <c r="DY124">
        <v>2</v>
      </c>
      <c r="DZ124">
        <v>2</v>
      </c>
      <c r="EA124">
        <v>2</v>
      </c>
      <c r="EB124">
        <v>2</v>
      </c>
      <c r="EC124">
        <v>4</v>
      </c>
      <c r="ED124">
        <v>2</v>
      </c>
      <c r="EE124">
        <v>3</v>
      </c>
      <c r="EF124">
        <v>2</v>
      </c>
      <c r="EG124">
        <v>5</v>
      </c>
      <c r="EH124">
        <v>4</v>
      </c>
      <c r="EI124">
        <v>4</v>
      </c>
      <c r="EJ124">
        <v>3</v>
      </c>
      <c r="EK124">
        <v>2</v>
      </c>
      <c r="EL124">
        <v>2</v>
      </c>
      <c r="EM124">
        <v>4</v>
      </c>
      <c r="EN124">
        <v>4</v>
      </c>
      <c r="EO124">
        <v>3</v>
      </c>
      <c r="EP124">
        <v>3</v>
      </c>
      <c r="EQ124">
        <v>2</v>
      </c>
      <c r="ER124">
        <v>2</v>
      </c>
      <c r="ES124">
        <v>3</v>
      </c>
      <c r="ET124">
        <v>2</v>
      </c>
      <c r="EU124">
        <v>4</v>
      </c>
      <c r="EV124">
        <v>3</v>
      </c>
      <c r="EW124">
        <v>4</v>
      </c>
      <c r="EY124">
        <v>2</v>
      </c>
      <c r="EZ124">
        <v>2</v>
      </c>
      <c r="FA124">
        <v>2</v>
      </c>
      <c r="FB124">
        <v>5</v>
      </c>
      <c r="FC124">
        <v>4</v>
      </c>
      <c r="FD124">
        <v>3</v>
      </c>
      <c r="FE124">
        <v>2</v>
      </c>
      <c r="FF124">
        <v>2</v>
      </c>
      <c r="FK124">
        <v>3</v>
      </c>
      <c r="FL124">
        <v>4</v>
      </c>
      <c r="FM124">
        <v>2</v>
      </c>
      <c r="FN124">
        <v>5</v>
      </c>
      <c r="FO124">
        <v>5</v>
      </c>
      <c r="FT124">
        <v>3</v>
      </c>
      <c r="FU124">
        <v>4</v>
      </c>
      <c r="FV124">
        <v>2</v>
      </c>
      <c r="FX124">
        <v>2</v>
      </c>
      <c r="FY124">
        <v>4</v>
      </c>
      <c r="FZ124">
        <v>4</v>
      </c>
      <c r="GA124">
        <v>2</v>
      </c>
      <c r="GB124">
        <v>2</v>
      </c>
      <c r="GC124">
        <v>4</v>
      </c>
      <c r="GD124">
        <v>2</v>
      </c>
      <c r="GF124">
        <v>3</v>
      </c>
      <c r="GG124">
        <v>3</v>
      </c>
      <c r="GH124">
        <v>3</v>
      </c>
      <c r="GI124">
        <v>3</v>
      </c>
      <c r="GJ124">
        <v>3</v>
      </c>
      <c r="GK124">
        <v>3</v>
      </c>
      <c r="GL124">
        <v>3</v>
      </c>
      <c r="GN124">
        <v>4</v>
      </c>
      <c r="GO124">
        <v>4</v>
      </c>
      <c r="GP124">
        <v>4</v>
      </c>
      <c r="GQ124">
        <v>4</v>
      </c>
      <c r="GR124">
        <v>4</v>
      </c>
      <c r="GS124">
        <v>4</v>
      </c>
      <c r="GT124">
        <v>4</v>
      </c>
      <c r="GU124">
        <v>4</v>
      </c>
      <c r="GV124">
        <v>4</v>
      </c>
      <c r="GW124">
        <v>4</v>
      </c>
      <c r="GY124">
        <v>5</v>
      </c>
      <c r="HA124">
        <v>1</v>
      </c>
      <c r="HB124">
        <v>1</v>
      </c>
      <c r="HC124">
        <v>1</v>
      </c>
      <c r="HD124">
        <v>1</v>
      </c>
      <c r="HE124">
        <v>1</v>
      </c>
      <c r="HF124">
        <v>1</v>
      </c>
      <c r="HG124">
        <v>1</v>
      </c>
      <c r="HH124">
        <v>1</v>
      </c>
      <c r="HI124">
        <v>1</v>
      </c>
      <c r="HJ124">
        <v>1</v>
      </c>
      <c r="HK124">
        <v>1</v>
      </c>
      <c r="HL124">
        <v>1</v>
      </c>
      <c r="HM124">
        <v>1</v>
      </c>
      <c r="HN124">
        <v>1</v>
      </c>
      <c r="HO124">
        <v>2</v>
      </c>
      <c r="HP124">
        <v>2</v>
      </c>
      <c r="HQ124">
        <v>2</v>
      </c>
      <c r="HR124">
        <v>2</v>
      </c>
      <c r="HS124">
        <v>2</v>
      </c>
      <c r="HT124">
        <v>2</v>
      </c>
      <c r="HU124">
        <v>2</v>
      </c>
      <c r="HV124">
        <v>2</v>
      </c>
      <c r="HW124">
        <v>2</v>
      </c>
      <c r="HX124">
        <v>2</v>
      </c>
      <c r="HY124">
        <v>2</v>
      </c>
      <c r="HZ124">
        <v>3</v>
      </c>
      <c r="IA124">
        <v>3</v>
      </c>
      <c r="IB124">
        <v>2</v>
      </c>
      <c r="IC124">
        <v>2</v>
      </c>
      <c r="ID124">
        <v>3</v>
      </c>
      <c r="IE124">
        <v>1</v>
      </c>
      <c r="IF124">
        <v>1</v>
      </c>
      <c r="IG124">
        <v>1</v>
      </c>
      <c r="IH124">
        <v>1</v>
      </c>
      <c r="II124">
        <v>1</v>
      </c>
      <c r="IK124">
        <v>1</v>
      </c>
    </row>
    <row r="125" spans="1:245" outlineLevel="1" x14ac:dyDescent="0.2">
      <c r="A125" t="str">
        <f t="shared" si="4"/>
        <v>Schätzen</v>
      </c>
      <c r="BB125">
        <v>2</v>
      </c>
      <c r="BP125">
        <v>3</v>
      </c>
      <c r="BQ125">
        <v>3</v>
      </c>
      <c r="BR125">
        <v>2</v>
      </c>
      <c r="BU125">
        <v>3</v>
      </c>
      <c r="CO125">
        <v>2</v>
      </c>
      <c r="CP125">
        <v>3</v>
      </c>
      <c r="CQ125">
        <v>1</v>
      </c>
      <c r="CR125">
        <v>2</v>
      </c>
      <c r="CS125">
        <v>2</v>
      </c>
      <c r="DU125">
        <v>2</v>
      </c>
      <c r="DV125">
        <v>2</v>
      </c>
      <c r="DW125">
        <v>1</v>
      </c>
      <c r="EG125">
        <v>2</v>
      </c>
      <c r="EO125">
        <v>4</v>
      </c>
      <c r="EP125">
        <v>2</v>
      </c>
      <c r="EZ125" t="s">
        <v>4569</v>
      </c>
      <c r="FA125" t="s">
        <v>4569</v>
      </c>
      <c r="FD125">
        <v>2</v>
      </c>
      <c r="FF125">
        <v>1</v>
      </c>
      <c r="FM125">
        <v>2</v>
      </c>
      <c r="GD125">
        <v>4</v>
      </c>
      <c r="GN125">
        <v>2</v>
      </c>
      <c r="GO125">
        <v>2</v>
      </c>
      <c r="GP125">
        <v>2</v>
      </c>
      <c r="GQ125">
        <v>2</v>
      </c>
      <c r="GR125">
        <v>2</v>
      </c>
      <c r="GS125">
        <v>2</v>
      </c>
      <c r="GT125">
        <v>2</v>
      </c>
      <c r="GU125">
        <v>2</v>
      </c>
      <c r="GV125">
        <v>2</v>
      </c>
      <c r="GW125">
        <v>2</v>
      </c>
      <c r="HA125">
        <v>3</v>
      </c>
      <c r="HB125">
        <v>3</v>
      </c>
      <c r="HC125">
        <v>3</v>
      </c>
      <c r="HD125">
        <v>3</v>
      </c>
      <c r="HE125">
        <v>3</v>
      </c>
      <c r="HF125">
        <v>3</v>
      </c>
      <c r="HG125">
        <v>3</v>
      </c>
      <c r="HH125">
        <v>3</v>
      </c>
      <c r="HI125">
        <v>3</v>
      </c>
      <c r="HJ125">
        <v>3</v>
      </c>
      <c r="HK125">
        <v>3</v>
      </c>
      <c r="HL125">
        <v>3</v>
      </c>
      <c r="HM125">
        <v>3</v>
      </c>
      <c r="HN125">
        <v>3</v>
      </c>
      <c r="HO125">
        <v>3</v>
      </c>
      <c r="HP125">
        <v>3</v>
      </c>
      <c r="HQ125">
        <v>3</v>
      </c>
      <c r="HR125">
        <v>3</v>
      </c>
      <c r="HS125">
        <v>3</v>
      </c>
      <c r="HT125">
        <v>3</v>
      </c>
      <c r="HU125">
        <v>3</v>
      </c>
      <c r="HV125">
        <v>3</v>
      </c>
      <c r="HW125">
        <v>3</v>
      </c>
      <c r="HX125">
        <v>3</v>
      </c>
      <c r="HY125">
        <v>3</v>
      </c>
      <c r="HZ125">
        <v>3</v>
      </c>
      <c r="IA125">
        <v>3</v>
      </c>
      <c r="IB125">
        <v>3</v>
      </c>
      <c r="IC125">
        <v>3</v>
      </c>
      <c r="ID125">
        <v>3</v>
      </c>
      <c r="IE125">
        <v>3</v>
      </c>
      <c r="IF125">
        <v>3</v>
      </c>
      <c r="IG125">
        <v>3</v>
      </c>
      <c r="IH125">
        <v>3</v>
      </c>
      <c r="II125">
        <v>3</v>
      </c>
    </row>
    <row r="126" spans="1:245" outlineLevel="1" x14ac:dyDescent="0.2">
      <c r="A126" t="str">
        <f t="shared" si="4"/>
        <v>Schiffbau</v>
      </c>
      <c r="EZ126" t="s">
        <v>4569</v>
      </c>
      <c r="FA126" t="s">
        <v>4569</v>
      </c>
      <c r="IF126" t="s">
        <v>4569</v>
      </c>
      <c r="IG126" t="s">
        <v>4569</v>
      </c>
      <c r="IH126" t="s">
        <v>4569</v>
      </c>
      <c r="II126" t="s">
        <v>4569</v>
      </c>
    </row>
    <row r="127" spans="1:245" outlineLevel="1" x14ac:dyDescent="0.2">
      <c r="A127" t="str">
        <f t="shared" si="4"/>
        <v>Sprachenkunde</v>
      </c>
      <c r="DS127">
        <v>4</v>
      </c>
      <c r="DY127">
        <v>3</v>
      </c>
      <c r="EF127">
        <v>2</v>
      </c>
      <c r="EQ127">
        <v>4</v>
      </c>
      <c r="EZ127" t="s">
        <v>4569</v>
      </c>
      <c r="FA127" t="s">
        <v>4569</v>
      </c>
      <c r="FB127">
        <v>4</v>
      </c>
      <c r="FG127">
        <v>4</v>
      </c>
      <c r="FH127">
        <v>4</v>
      </c>
      <c r="FI127">
        <v>4</v>
      </c>
      <c r="FJ127">
        <v>4</v>
      </c>
      <c r="IB127">
        <v>2</v>
      </c>
      <c r="IC127">
        <v>2</v>
      </c>
      <c r="IF127" t="s">
        <v>4569</v>
      </c>
      <c r="IG127" t="s">
        <v>4569</v>
      </c>
      <c r="IH127" t="s">
        <v>4569</v>
      </c>
      <c r="II127" t="s">
        <v>4569</v>
      </c>
    </row>
    <row r="128" spans="1:245" outlineLevel="1" x14ac:dyDescent="0.2">
      <c r="A128" t="str">
        <f t="shared" si="4"/>
        <v>Staatskunst</v>
      </c>
      <c r="CZ128">
        <v>2</v>
      </c>
      <c r="DR128">
        <v>2</v>
      </c>
      <c r="DS128">
        <v>4</v>
      </c>
      <c r="DX128">
        <v>3</v>
      </c>
      <c r="DY128">
        <v>1</v>
      </c>
      <c r="EO128">
        <v>2</v>
      </c>
      <c r="EQ128">
        <v>2</v>
      </c>
      <c r="ET128">
        <v>1</v>
      </c>
      <c r="EZ128">
        <v>2</v>
      </c>
      <c r="FA128">
        <v>2</v>
      </c>
      <c r="FG128">
        <v>2</v>
      </c>
      <c r="FH128">
        <v>2</v>
      </c>
      <c r="FI128">
        <v>2</v>
      </c>
      <c r="FJ128">
        <v>2</v>
      </c>
      <c r="IF128" t="s">
        <v>4569</v>
      </c>
      <c r="IG128" t="s">
        <v>4569</v>
      </c>
      <c r="IH128" t="s">
        <v>4569</v>
      </c>
      <c r="II128" t="s">
        <v>4569</v>
      </c>
    </row>
    <row r="129" spans="1:245" outlineLevel="1" x14ac:dyDescent="0.2">
      <c r="A129" t="str">
        <f t="shared" si="4"/>
        <v>Sternkunde</v>
      </c>
      <c r="C129">
        <v>3</v>
      </c>
      <c r="D129">
        <v>3</v>
      </c>
      <c r="E129">
        <v>3</v>
      </c>
      <c r="F129">
        <v>3</v>
      </c>
      <c r="G129">
        <v>3</v>
      </c>
      <c r="H129">
        <v>3</v>
      </c>
      <c r="I129">
        <v>3</v>
      </c>
      <c r="J129">
        <v>3</v>
      </c>
      <c r="K129">
        <v>3</v>
      </c>
      <c r="L129">
        <v>3</v>
      </c>
      <c r="M129">
        <v>3</v>
      </c>
      <c r="N129">
        <v>3</v>
      </c>
      <c r="W129">
        <v>3</v>
      </c>
      <c r="X129">
        <v>1</v>
      </c>
      <c r="Y129">
        <v>1</v>
      </c>
      <c r="Z129">
        <v>1</v>
      </c>
      <c r="AA129">
        <v>1</v>
      </c>
      <c r="AB129">
        <v>3</v>
      </c>
      <c r="AC129" t="s">
        <v>1721</v>
      </c>
      <c r="AJ129">
        <v>3</v>
      </c>
      <c r="AK129">
        <v>1</v>
      </c>
      <c r="AL129">
        <v>1</v>
      </c>
      <c r="AM129">
        <v>1</v>
      </c>
      <c r="AN129">
        <v>3</v>
      </c>
      <c r="AO129" t="s">
        <v>1721</v>
      </c>
      <c r="AU129">
        <v>3</v>
      </c>
      <c r="AV129">
        <v>3</v>
      </c>
      <c r="AW129">
        <v>3</v>
      </c>
      <c r="AZ129">
        <v>2</v>
      </c>
      <c r="BA129">
        <v>2</v>
      </c>
      <c r="BB129">
        <v>2</v>
      </c>
      <c r="BC129">
        <v>2</v>
      </c>
      <c r="BD129">
        <v>4</v>
      </c>
      <c r="BE129">
        <v>5</v>
      </c>
      <c r="BF129">
        <v>2</v>
      </c>
      <c r="BG129">
        <v>4</v>
      </c>
      <c r="BI129">
        <v>4</v>
      </c>
      <c r="BJ129">
        <v>4</v>
      </c>
      <c r="CM129">
        <v>4</v>
      </c>
      <c r="CW129">
        <v>2</v>
      </c>
      <c r="CX129">
        <v>4</v>
      </c>
      <c r="CY129">
        <v>2</v>
      </c>
      <c r="CZ129">
        <v>2</v>
      </c>
      <c r="DA129">
        <v>3</v>
      </c>
      <c r="DB129">
        <v>2</v>
      </c>
      <c r="DC129">
        <v>6</v>
      </c>
      <c r="DD129">
        <v>3</v>
      </c>
      <c r="DE129">
        <v>3</v>
      </c>
      <c r="DF129">
        <v>3</v>
      </c>
      <c r="DG129">
        <v>3</v>
      </c>
      <c r="DH129">
        <v>3</v>
      </c>
      <c r="DI129">
        <v>3</v>
      </c>
      <c r="DJ129">
        <v>3</v>
      </c>
      <c r="DK129">
        <v>3</v>
      </c>
      <c r="DM129">
        <v>2</v>
      </c>
      <c r="DN129">
        <v>4</v>
      </c>
      <c r="DO129">
        <v>4</v>
      </c>
      <c r="DP129">
        <v>2</v>
      </c>
      <c r="DQ129">
        <v>3</v>
      </c>
      <c r="DR129">
        <v>2</v>
      </c>
      <c r="DS129">
        <v>2</v>
      </c>
      <c r="DT129">
        <v>2</v>
      </c>
      <c r="DU129">
        <v>4</v>
      </c>
      <c r="DV129">
        <v>5</v>
      </c>
      <c r="DW129">
        <v>5</v>
      </c>
      <c r="DX129">
        <v>2</v>
      </c>
      <c r="DY129">
        <v>2</v>
      </c>
      <c r="DZ129">
        <v>2</v>
      </c>
      <c r="EA129">
        <v>2</v>
      </c>
      <c r="EB129">
        <v>2</v>
      </c>
      <c r="EC129">
        <v>5</v>
      </c>
      <c r="ED129">
        <v>3</v>
      </c>
      <c r="EE129">
        <v>2</v>
      </c>
      <c r="EF129">
        <v>2</v>
      </c>
      <c r="EG129">
        <v>3</v>
      </c>
      <c r="EH129">
        <v>5</v>
      </c>
      <c r="EI129">
        <v>5</v>
      </c>
      <c r="EJ129">
        <v>2</v>
      </c>
      <c r="EK129">
        <v>4</v>
      </c>
      <c r="EL129">
        <v>4</v>
      </c>
      <c r="EM129">
        <v>6</v>
      </c>
      <c r="EN129">
        <v>6</v>
      </c>
      <c r="EO129">
        <v>2</v>
      </c>
      <c r="EP129">
        <v>2</v>
      </c>
      <c r="EQ129">
        <v>2</v>
      </c>
      <c r="ER129">
        <v>2</v>
      </c>
      <c r="ES129">
        <v>3</v>
      </c>
      <c r="ET129">
        <v>1</v>
      </c>
      <c r="EU129">
        <v>3</v>
      </c>
      <c r="EV129">
        <v>1</v>
      </c>
      <c r="EW129">
        <v>2</v>
      </c>
      <c r="EY129">
        <v>2</v>
      </c>
      <c r="EZ129">
        <v>5</v>
      </c>
      <c r="FA129">
        <v>3</v>
      </c>
      <c r="FB129">
        <v>3</v>
      </c>
      <c r="FC129">
        <v>4</v>
      </c>
      <c r="FD129">
        <v>4</v>
      </c>
      <c r="FE129">
        <v>2</v>
      </c>
      <c r="FF129">
        <v>1</v>
      </c>
      <c r="FG129">
        <v>1</v>
      </c>
      <c r="FH129">
        <v>1</v>
      </c>
      <c r="FI129">
        <v>1</v>
      </c>
      <c r="FJ129">
        <v>1</v>
      </c>
      <c r="FK129">
        <v>3</v>
      </c>
      <c r="FL129">
        <v>4</v>
      </c>
      <c r="FM129">
        <v>4</v>
      </c>
      <c r="FN129">
        <v>5</v>
      </c>
      <c r="FO129">
        <v>2</v>
      </c>
      <c r="FP129">
        <v>3</v>
      </c>
      <c r="FQ129">
        <v>3</v>
      </c>
      <c r="FR129">
        <v>3</v>
      </c>
      <c r="FS129">
        <v>3</v>
      </c>
      <c r="FT129">
        <v>2</v>
      </c>
      <c r="FU129">
        <v>2</v>
      </c>
      <c r="FV129">
        <v>2</v>
      </c>
      <c r="GY129">
        <v>3</v>
      </c>
      <c r="HA129">
        <v>3</v>
      </c>
      <c r="HB129">
        <v>3</v>
      </c>
      <c r="HC129">
        <v>3</v>
      </c>
      <c r="HD129">
        <v>3</v>
      </c>
      <c r="HE129">
        <v>3</v>
      </c>
      <c r="HF129">
        <v>3</v>
      </c>
      <c r="HG129">
        <v>3</v>
      </c>
      <c r="HH129">
        <v>3</v>
      </c>
      <c r="HI129">
        <v>3</v>
      </c>
      <c r="HJ129">
        <v>3</v>
      </c>
      <c r="HK129">
        <v>3</v>
      </c>
      <c r="HL129">
        <v>3</v>
      </c>
      <c r="HM129">
        <v>3</v>
      </c>
      <c r="HN129">
        <v>3</v>
      </c>
      <c r="HO129">
        <v>3</v>
      </c>
      <c r="HP129">
        <v>3</v>
      </c>
      <c r="HQ129">
        <v>5</v>
      </c>
      <c r="HR129">
        <v>3</v>
      </c>
      <c r="HS129">
        <v>3</v>
      </c>
      <c r="HT129">
        <v>3</v>
      </c>
      <c r="HU129">
        <v>3</v>
      </c>
      <c r="HV129">
        <v>3</v>
      </c>
      <c r="HW129">
        <v>3</v>
      </c>
      <c r="HX129">
        <v>3</v>
      </c>
      <c r="HY129">
        <v>3</v>
      </c>
      <c r="HZ129">
        <v>7</v>
      </c>
      <c r="IA129">
        <v>7</v>
      </c>
      <c r="IB129">
        <v>2</v>
      </c>
      <c r="IC129">
        <v>2</v>
      </c>
      <c r="ID129">
        <v>3</v>
      </c>
      <c r="IE129">
        <v>1</v>
      </c>
      <c r="IF129">
        <v>1</v>
      </c>
      <c r="IG129">
        <v>1</v>
      </c>
      <c r="IH129">
        <v>3</v>
      </c>
      <c r="II129">
        <v>3</v>
      </c>
      <c r="IK129">
        <v>1</v>
      </c>
    </row>
    <row r="130" spans="1:245" outlineLevel="1" x14ac:dyDescent="0.2">
      <c r="A130" t="str">
        <f t="shared" si="4"/>
        <v>Tierkunde</v>
      </c>
      <c r="C130">
        <v>3</v>
      </c>
      <c r="D130">
        <v>4</v>
      </c>
      <c r="E130">
        <v>3</v>
      </c>
      <c r="F130">
        <v>3</v>
      </c>
      <c r="G130">
        <v>3</v>
      </c>
      <c r="H130">
        <v>4</v>
      </c>
      <c r="I130">
        <v>4</v>
      </c>
      <c r="J130">
        <v>4</v>
      </c>
      <c r="K130">
        <v>4</v>
      </c>
      <c r="L130">
        <v>4</v>
      </c>
      <c r="M130">
        <v>4</v>
      </c>
      <c r="N130">
        <v>4</v>
      </c>
      <c r="P130" t="s">
        <v>1719</v>
      </c>
      <c r="X130" t="s">
        <v>1720</v>
      </c>
      <c r="Y130" t="s">
        <v>1720</v>
      </c>
      <c r="Z130" t="s">
        <v>1720</v>
      </c>
      <c r="AA130" t="s">
        <v>1720</v>
      </c>
      <c r="AB130" t="s">
        <v>1720</v>
      </c>
      <c r="AC130">
        <v>2</v>
      </c>
      <c r="AD130" t="s">
        <v>1719</v>
      </c>
      <c r="AK130" t="s">
        <v>1720</v>
      </c>
      <c r="AL130" t="s">
        <v>1720</v>
      </c>
      <c r="AM130" t="s">
        <v>1720</v>
      </c>
      <c r="AN130" t="s">
        <v>1720</v>
      </c>
      <c r="AO130">
        <v>2</v>
      </c>
      <c r="AR130">
        <v>2</v>
      </c>
      <c r="AS130">
        <v>2</v>
      </c>
      <c r="AU130">
        <v>4</v>
      </c>
      <c r="AV130">
        <v>6</v>
      </c>
      <c r="AW130">
        <v>4</v>
      </c>
      <c r="AX130">
        <v>2</v>
      </c>
      <c r="AZ130">
        <v>3</v>
      </c>
      <c r="BA130">
        <v>5</v>
      </c>
      <c r="BB130">
        <v>3</v>
      </c>
      <c r="BC130">
        <v>4</v>
      </c>
      <c r="BD130">
        <v>4</v>
      </c>
      <c r="BE130">
        <v>3</v>
      </c>
      <c r="BF130">
        <v>4</v>
      </c>
      <c r="BG130">
        <v>3</v>
      </c>
      <c r="BL130">
        <v>4</v>
      </c>
      <c r="BM130">
        <v>6</v>
      </c>
      <c r="BN130">
        <v>6</v>
      </c>
      <c r="BO130">
        <v>4</v>
      </c>
      <c r="BP130">
        <v>2</v>
      </c>
      <c r="BQ130">
        <v>6</v>
      </c>
      <c r="BR130">
        <v>3</v>
      </c>
      <c r="BS130">
        <v>4</v>
      </c>
      <c r="BT130">
        <v>6</v>
      </c>
      <c r="BU130">
        <v>6</v>
      </c>
      <c r="BV130">
        <v>4</v>
      </c>
      <c r="BW130">
        <v>6</v>
      </c>
      <c r="BX130">
        <v>6</v>
      </c>
      <c r="BY130">
        <v>4</v>
      </c>
      <c r="BZ130">
        <v>6</v>
      </c>
      <c r="CA130">
        <v>6</v>
      </c>
      <c r="CB130">
        <v>1</v>
      </c>
      <c r="CC130">
        <v>2</v>
      </c>
      <c r="CD130">
        <v>2</v>
      </c>
      <c r="CE130">
        <v>4</v>
      </c>
      <c r="CF130">
        <v>3</v>
      </c>
      <c r="CG130">
        <v>2</v>
      </c>
      <c r="CH130">
        <v>2</v>
      </c>
      <c r="CI130">
        <v>3</v>
      </c>
      <c r="CJ130">
        <v>2</v>
      </c>
      <c r="CK130">
        <v>3</v>
      </c>
      <c r="CL130">
        <v>3</v>
      </c>
      <c r="CM130">
        <v>3</v>
      </c>
      <c r="CN130">
        <v>2</v>
      </c>
      <c r="CW130">
        <v>3</v>
      </c>
      <c r="CX130">
        <v>2</v>
      </c>
      <c r="CY130">
        <v>3</v>
      </c>
      <c r="CZ130">
        <v>1</v>
      </c>
      <c r="DA130">
        <v>2</v>
      </c>
      <c r="DB130">
        <v>2</v>
      </c>
      <c r="DC130">
        <v>2</v>
      </c>
      <c r="DD130">
        <v>5</v>
      </c>
      <c r="DE130">
        <v>5</v>
      </c>
      <c r="DF130">
        <v>1</v>
      </c>
      <c r="DG130">
        <v>1</v>
      </c>
      <c r="DH130">
        <v>1</v>
      </c>
      <c r="DI130">
        <v>1</v>
      </c>
      <c r="DJ130">
        <v>1</v>
      </c>
      <c r="DK130">
        <v>1</v>
      </c>
      <c r="DL130">
        <v>2</v>
      </c>
      <c r="DM130">
        <v>2</v>
      </c>
      <c r="DN130">
        <v>2</v>
      </c>
      <c r="DO130">
        <v>2</v>
      </c>
      <c r="DP130">
        <v>2</v>
      </c>
      <c r="DQ130">
        <v>2</v>
      </c>
      <c r="DR130">
        <v>1</v>
      </c>
      <c r="DS130">
        <v>1</v>
      </c>
      <c r="DT130">
        <v>4</v>
      </c>
      <c r="DU130">
        <v>2</v>
      </c>
      <c r="DV130">
        <v>2</v>
      </c>
      <c r="DW130">
        <v>2</v>
      </c>
      <c r="DX130">
        <v>2</v>
      </c>
      <c r="DY130">
        <v>2</v>
      </c>
      <c r="DZ130">
        <v>3</v>
      </c>
      <c r="EA130">
        <v>5</v>
      </c>
      <c r="EB130">
        <v>2</v>
      </c>
      <c r="EC130">
        <v>2</v>
      </c>
      <c r="ED130">
        <v>3</v>
      </c>
      <c r="EE130">
        <v>3</v>
      </c>
      <c r="EF130">
        <v>1</v>
      </c>
      <c r="EG130">
        <v>3</v>
      </c>
      <c r="EH130">
        <v>1</v>
      </c>
      <c r="EI130">
        <v>1</v>
      </c>
      <c r="EJ130">
        <v>2</v>
      </c>
      <c r="EK130">
        <v>4</v>
      </c>
      <c r="EL130">
        <v>4</v>
      </c>
      <c r="EM130">
        <v>2</v>
      </c>
      <c r="EN130">
        <v>2</v>
      </c>
      <c r="EO130">
        <v>2</v>
      </c>
      <c r="EP130">
        <v>2</v>
      </c>
      <c r="EQ130">
        <v>2</v>
      </c>
      <c r="ER130">
        <v>4</v>
      </c>
      <c r="ES130">
        <v>2</v>
      </c>
      <c r="EU130">
        <v>2</v>
      </c>
      <c r="EV130">
        <v>4</v>
      </c>
      <c r="EW130">
        <v>3</v>
      </c>
      <c r="EY130">
        <v>2</v>
      </c>
      <c r="EZ130">
        <v>2</v>
      </c>
      <c r="FA130">
        <v>2</v>
      </c>
      <c r="FB130">
        <v>2</v>
      </c>
      <c r="FC130">
        <v>2</v>
      </c>
      <c r="FD130">
        <v>2</v>
      </c>
      <c r="FE130">
        <v>2</v>
      </c>
      <c r="FF130">
        <v>3</v>
      </c>
      <c r="FK130">
        <v>3</v>
      </c>
      <c r="FL130">
        <v>6</v>
      </c>
      <c r="FO130">
        <v>2</v>
      </c>
      <c r="FP130">
        <v>3</v>
      </c>
      <c r="FQ130">
        <v>3</v>
      </c>
      <c r="FR130">
        <v>3</v>
      </c>
      <c r="FS130">
        <v>3</v>
      </c>
      <c r="FT130">
        <v>4</v>
      </c>
      <c r="FU130">
        <v>2</v>
      </c>
      <c r="FV130">
        <v>2</v>
      </c>
      <c r="GY130">
        <v>2</v>
      </c>
      <c r="HA130">
        <v>2</v>
      </c>
      <c r="HB130">
        <v>2</v>
      </c>
      <c r="HC130">
        <v>3</v>
      </c>
      <c r="HD130">
        <v>3</v>
      </c>
      <c r="HE130">
        <v>3</v>
      </c>
      <c r="HF130">
        <v>3</v>
      </c>
      <c r="HG130">
        <v>3</v>
      </c>
      <c r="HH130">
        <v>3</v>
      </c>
      <c r="HI130">
        <v>3</v>
      </c>
      <c r="HJ130">
        <v>3</v>
      </c>
      <c r="HK130">
        <v>3</v>
      </c>
      <c r="HL130">
        <v>3</v>
      </c>
      <c r="HM130">
        <v>3</v>
      </c>
      <c r="HN130">
        <v>3</v>
      </c>
      <c r="HO130">
        <v>2</v>
      </c>
      <c r="HP130">
        <v>2</v>
      </c>
      <c r="HQ130">
        <v>2</v>
      </c>
      <c r="HR130">
        <v>1</v>
      </c>
      <c r="HS130">
        <v>1</v>
      </c>
      <c r="HT130">
        <v>1</v>
      </c>
      <c r="HU130">
        <v>1</v>
      </c>
      <c r="HV130">
        <v>1</v>
      </c>
      <c r="HW130">
        <v>1</v>
      </c>
      <c r="HX130">
        <v>1</v>
      </c>
      <c r="HY130">
        <v>1</v>
      </c>
      <c r="HZ130">
        <v>1</v>
      </c>
      <c r="IA130">
        <v>1</v>
      </c>
      <c r="IB130">
        <v>2</v>
      </c>
      <c r="IC130">
        <v>2</v>
      </c>
      <c r="ID130">
        <v>2</v>
      </c>
      <c r="IE130">
        <v>2</v>
      </c>
      <c r="IF130">
        <v>3</v>
      </c>
      <c r="IG130">
        <v>3</v>
      </c>
      <c r="IH130">
        <v>2</v>
      </c>
      <c r="II130">
        <v>2</v>
      </c>
    </row>
    <row r="131" spans="1:245" ht="12.75" customHeight="1" outlineLevel="1" x14ac:dyDescent="0.2">
      <c r="A131" t="str">
        <f>INDEX(TL_HWK,ROW()-130)</f>
        <v>Abrichten</v>
      </c>
      <c r="B131" t="s">
        <v>3309</v>
      </c>
      <c r="O131" t="s">
        <v>3309</v>
      </c>
      <c r="AT131" t="s">
        <v>3309</v>
      </c>
      <c r="AV131">
        <v>2</v>
      </c>
      <c r="AY131" t="s">
        <v>3309</v>
      </c>
      <c r="AZ131">
        <v>3</v>
      </c>
      <c r="BA131">
        <v>3</v>
      </c>
      <c r="BB131">
        <v>3</v>
      </c>
      <c r="BC131">
        <v>3</v>
      </c>
      <c r="BD131">
        <v>3</v>
      </c>
      <c r="BE131">
        <v>2</v>
      </c>
      <c r="BF131">
        <v>3</v>
      </c>
      <c r="BG131">
        <v>3</v>
      </c>
      <c r="BH131" t="s">
        <v>3309</v>
      </c>
      <c r="BK131" t="s">
        <v>3309</v>
      </c>
      <c r="BM131">
        <v>1</v>
      </c>
      <c r="BQ131">
        <v>1</v>
      </c>
      <c r="BU131">
        <v>1</v>
      </c>
      <c r="BW131">
        <v>5</v>
      </c>
      <c r="BZ131">
        <v>1</v>
      </c>
      <c r="CA131">
        <v>5</v>
      </c>
      <c r="CC131">
        <v>2</v>
      </c>
      <c r="CD131">
        <v>2</v>
      </c>
      <c r="CF131">
        <v>1</v>
      </c>
      <c r="CG131">
        <v>1</v>
      </c>
      <c r="CH131">
        <v>3</v>
      </c>
      <c r="CI131">
        <v>2</v>
      </c>
      <c r="CJ131">
        <v>1</v>
      </c>
      <c r="CK131">
        <v>1</v>
      </c>
      <c r="CL131">
        <v>3</v>
      </c>
      <c r="CV131" t="s">
        <v>3309</v>
      </c>
      <c r="EX131" t="s">
        <v>3309</v>
      </c>
      <c r="EZ131" t="s">
        <v>4569</v>
      </c>
      <c r="FA131" t="s">
        <v>4569</v>
      </c>
      <c r="FL131">
        <v>3</v>
      </c>
      <c r="FW131" t="s">
        <v>3309</v>
      </c>
      <c r="GE131" t="s">
        <v>3309</v>
      </c>
      <c r="GM131" t="s">
        <v>3309</v>
      </c>
      <c r="GX131" t="s">
        <v>3309</v>
      </c>
      <c r="GY131">
        <v>3</v>
      </c>
      <c r="IF131" t="s">
        <v>4569</v>
      </c>
      <c r="IG131" t="s">
        <v>4569</v>
      </c>
      <c r="IH131" t="s">
        <v>4569</v>
      </c>
      <c r="II131" t="s">
        <v>4569</v>
      </c>
      <c r="IJ131" t="s">
        <v>3309</v>
      </c>
    </row>
    <row r="132" spans="1:245" outlineLevel="1" x14ac:dyDescent="0.2">
      <c r="A132" t="str">
        <f t="shared" ref="A132:A181" si="5">INDEX(TL_HWK,ROW()-130)</f>
        <v>Ackerbau</v>
      </c>
      <c r="G132">
        <v>1</v>
      </c>
      <c r="BA132">
        <v>3</v>
      </c>
      <c r="DG132">
        <v>3</v>
      </c>
      <c r="EG132">
        <v>2</v>
      </c>
      <c r="EZ132" t="s">
        <v>4569</v>
      </c>
      <c r="FA132" t="s">
        <v>4569</v>
      </c>
      <c r="IF132" t="s">
        <v>4569</v>
      </c>
      <c r="IG132" t="s">
        <v>4569</v>
      </c>
      <c r="IH132" t="s">
        <v>4569</v>
      </c>
      <c r="II132" t="s">
        <v>4569</v>
      </c>
    </row>
    <row r="133" spans="1:245" outlineLevel="1" x14ac:dyDescent="0.2">
      <c r="A133" t="str">
        <f t="shared" si="5"/>
        <v>Alchimie</v>
      </c>
      <c r="CN133">
        <v>2</v>
      </c>
      <c r="CU133">
        <v>5</v>
      </c>
      <c r="CW133">
        <v>5</v>
      </c>
      <c r="CX133">
        <v>5</v>
      </c>
      <c r="CY133">
        <v>2</v>
      </c>
      <c r="CZ133">
        <v>4</v>
      </c>
      <c r="DA133">
        <v>2</v>
      </c>
      <c r="DB133">
        <v>2</v>
      </c>
      <c r="DC133">
        <v>5</v>
      </c>
      <c r="DD133">
        <v>3</v>
      </c>
      <c r="DE133">
        <v>3</v>
      </c>
      <c r="DF133">
        <v>4</v>
      </c>
      <c r="DG133">
        <v>4</v>
      </c>
      <c r="DH133">
        <v>4</v>
      </c>
      <c r="DI133">
        <v>4</v>
      </c>
      <c r="DJ133">
        <v>4</v>
      </c>
      <c r="DK133">
        <v>4</v>
      </c>
      <c r="DL133">
        <v>6</v>
      </c>
      <c r="DM133">
        <v>4</v>
      </c>
      <c r="DN133">
        <v>3</v>
      </c>
      <c r="DO133">
        <v>3</v>
      </c>
      <c r="DP133">
        <v>2</v>
      </c>
      <c r="DQ133">
        <v>2</v>
      </c>
      <c r="DR133">
        <v>4</v>
      </c>
      <c r="DS133">
        <v>4</v>
      </c>
      <c r="DU133">
        <v>2</v>
      </c>
      <c r="DV133">
        <v>7</v>
      </c>
      <c r="DW133">
        <v>4</v>
      </c>
      <c r="DX133">
        <v>2</v>
      </c>
      <c r="DY133">
        <v>2</v>
      </c>
      <c r="DZ133">
        <v>2</v>
      </c>
      <c r="EA133">
        <v>5</v>
      </c>
      <c r="EB133">
        <v>2</v>
      </c>
      <c r="EC133">
        <v>4</v>
      </c>
      <c r="ED133">
        <v>6</v>
      </c>
      <c r="EE133">
        <v>2</v>
      </c>
      <c r="EF133">
        <v>5</v>
      </c>
      <c r="EG133">
        <v>2</v>
      </c>
      <c r="EH133">
        <v>2</v>
      </c>
      <c r="EI133">
        <v>2</v>
      </c>
      <c r="EJ133">
        <v>2</v>
      </c>
      <c r="EK133">
        <v>6</v>
      </c>
      <c r="EL133">
        <v>6</v>
      </c>
      <c r="EM133">
        <v>4</v>
      </c>
      <c r="EN133">
        <v>4</v>
      </c>
      <c r="EO133">
        <v>2</v>
      </c>
      <c r="EP133">
        <v>2</v>
      </c>
      <c r="EQ133">
        <v>4</v>
      </c>
      <c r="ER133">
        <v>2</v>
      </c>
      <c r="ES133">
        <v>4</v>
      </c>
      <c r="ET133">
        <v>5</v>
      </c>
      <c r="EV133">
        <v>2</v>
      </c>
      <c r="EW133">
        <v>3</v>
      </c>
      <c r="EY133">
        <v>2</v>
      </c>
      <c r="EZ133">
        <v>2</v>
      </c>
      <c r="FA133">
        <v>2</v>
      </c>
      <c r="FB133">
        <v>3</v>
      </c>
      <c r="FC133">
        <v>2</v>
      </c>
      <c r="FD133">
        <v>4</v>
      </c>
      <c r="FE133">
        <v>2</v>
      </c>
      <c r="FF133">
        <v>2</v>
      </c>
      <c r="FK133">
        <v>2</v>
      </c>
      <c r="FL133">
        <v>3</v>
      </c>
      <c r="FM133">
        <v>4</v>
      </c>
      <c r="FN133">
        <v>2</v>
      </c>
      <c r="FO133">
        <v>7</v>
      </c>
      <c r="FP133">
        <v>6</v>
      </c>
      <c r="FQ133">
        <v>6</v>
      </c>
      <c r="FR133">
        <v>6</v>
      </c>
      <c r="FS133">
        <v>6</v>
      </c>
      <c r="FY133">
        <v>3</v>
      </c>
      <c r="FZ133">
        <v>2</v>
      </c>
      <c r="GB133">
        <v>4</v>
      </c>
      <c r="GC133">
        <v>3</v>
      </c>
      <c r="HA133">
        <v>7</v>
      </c>
      <c r="HB133">
        <v>7</v>
      </c>
      <c r="HC133">
        <v>8</v>
      </c>
      <c r="HD133">
        <v>8</v>
      </c>
      <c r="HE133">
        <v>8</v>
      </c>
      <c r="HF133">
        <v>8</v>
      </c>
      <c r="HG133">
        <v>8</v>
      </c>
      <c r="HH133">
        <v>8</v>
      </c>
      <c r="HI133">
        <v>8</v>
      </c>
      <c r="HJ133">
        <v>8</v>
      </c>
      <c r="HK133">
        <v>8</v>
      </c>
      <c r="HL133">
        <v>8</v>
      </c>
      <c r="HM133">
        <v>7</v>
      </c>
      <c r="HN133">
        <v>7</v>
      </c>
      <c r="HO133">
        <v>7</v>
      </c>
      <c r="HP133">
        <v>7</v>
      </c>
      <c r="HQ133">
        <v>8</v>
      </c>
      <c r="HR133">
        <v>7</v>
      </c>
      <c r="HS133">
        <v>7</v>
      </c>
      <c r="HT133">
        <v>7</v>
      </c>
      <c r="HU133">
        <v>7</v>
      </c>
      <c r="HV133">
        <v>7</v>
      </c>
      <c r="HW133">
        <v>7</v>
      </c>
      <c r="HX133">
        <v>7</v>
      </c>
      <c r="HY133">
        <v>7</v>
      </c>
      <c r="HZ133">
        <v>7</v>
      </c>
      <c r="IA133">
        <v>7</v>
      </c>
      <c r="IB133">
        <v>7</v>
      </c>
      <c r="IC133">
        <v>7</v>
      </c>
      <c r="ID133">
        <v>8</v>
      </c>
      <c r="IE133">
        <v>7</v>
      </c>
      <c r="IF133">
        <v>7</v>
      </c>
      <c r="IG133">
        <v>7</v>
      </c>
      <c r="IH133">
        <v>7</v>
      </c>
      <c r="II133">
        <v>7</v>
      </c>
      <c r="IK133">
        <v>1</v>
      </c>
    </row>
    <row r="134" spans="1:245" outlineLevel="1" x14ac:dyDescent="0.2">
      <c r="A134" t="str">
        <f t="shared" si="5"/>
        <v>Bergbau</v>
      </c>
      <c r="EZ134" t="s">
        <v>4569</v>
      </c>
      <c r="FA134" t="s">
        <v>4569</v>
      </c>
      <c r="IF134" t="s">
        <v>4569</v>
      </c>
      <c r="IG134" t="s">
        <v>4569</v>
      </c>
      <c r="IH134" t="s">
        <v>4569</v>
      </c>
      <c r="II134" t="s">
        <v>4569</v>
      </c>
    </row>
    <row r="135" spans="1:245" outlineLevel="1" x14ac:dyDescent="0.2">
      <c r="A135" t="str">
        <f t="shared" si="5"/>
        <v>Bogenbau</v>
      </c>
      <c r="X135">
        <v>3</v>
      </c>
      <c r="Y135">
        <v>3</v>
      </c>
      <c r="Z135">
        <v>3</v>
      </c>
      <c r="AA135">
        <v>3</v>
      </c>
      <c r="AB135">
        <v>3</v>
      </c>
      <c r="AK135">
        <v>3</v>
      </c>
      <c r="AL135">
        <v>3</v>
      </c>
      <c r="AM135">
        <v>3</v>
      </c>
      <c r="AN135">
        <v>3</v>
      </c>
      <c r="EZ135" t="s">
        <v>4569</v>
      </c>
      <c r="FA135" t="s">
        <v>4569</v>
      </c>
      <c r="IF135" t="s">
        <v>4569</v>
      </c>
      <c r="IG135" t="s">
        <v>4569</v>
      </c>
      <c r="IH135" t="s">
        <v>4569</v>
      </c>
      <c r="II135" t="s">
        <v>4569</v>
      </c>
    </row>
    <row r="136" spans="1:245" outlineLevel="1" x14ac:dyDescent="0.2">
      <c r="A136" t="str">
        <f t="shared" si="5"/>
        <v>Boote Fahren</v>
      </c>
      <c r="V136">
        <v>2</v>
      </c>
      <c r="Y136">
        <v>2</v>
      </c>
      <c r="AB136" t="s">
        <v>666</v>
      </c>
      <c r="AI136">
        <v>2</v>
      </c>
      <c r="AK136">
        <v>2</v>
      </c>
      <c r="AN136" t="s">
        <v>666</v>
      </c>
      <c r="CF136">
        <v>2</v>
      </c>
      <c r="CQ136">
        <v>4</v>
      </c>
      <c r="CT136">
        <v>4</v>
      </c>
      <c r="CU136">
        <v>4</v>
      </c>
      <c r="CX136">
        <v>2</v>
      </c>
      <c r="EG136">
        <v>1</v>
      </c>
      <c r="EH136">
        <v>2</v>
      </c>
      <c r="EI136">
        <v>2</v>
      </c>
      <c r="ES136">
        <v>1</v>
      </c>
      <c r="EZ136" t="s">
        <v>4569</v>
      </c>
      <c r="FA136" t="s">
        <v>4569</v>
      </c>
      <c r="FU136">
        <v>3</v>
      </c>
      <c r="FV136">
        <v>2</v>
      </c>
      <c r="GL136">
        <v>2</v>
      </c>
      <c r="IF136" t="s">
        <v>4569</v>
      </c>
      <c r="IG136" t="s">
        <v>4569</v>
      </c>
      <c r="IH136" t="s">
        <v>4569</v>
      </c>
      <c r="II136" t="s">
        <v>4569</v>
      </c>
    </row>
    <row r="137" spans="1:245" outlineLevel="1" x14ac:dyDescent="0.2">
      <c r="A137" t="str">
        <f t="shared" si="5"/>
        <v>Brauer</v>
      </c>
      <c r="EZ137" t="s">
        <v>4569</v>
      </c>
      <c r="FA137" t="s">
        <v>4569</v>
      </c>
      <c r="IF137" t="s">
        <v>4569</v>
      </c>
      <c r="IG137" t="s">
        <v>4569</v>
      </c>
      <c r="IH137" t="s">
        <v>4569</v>
      </c>
      <c r="II137" t="s">
        <v>4569</v>
      </c>
    </row>
    <row r="138" spans="1:245" outlineLevel="1" x14ac:dyDescent="0.2">
      <c r="A138" t="str">
        <f t="shared" si="5"/>
        <v>Drucker</v>
      </c>
      <c r="EZ138" t="s">
        <v>4569</v>
      </c>
      <c r="FA138" t="s">
        <v>4569</v>
      </c>
      <c r="HK138">
        <v>1</v>
      </c>
      <c r="HL138">
        <v>1</v>
      </c>
      <c r="IF138" t="s">
        <v>4569</v>
      </c>
      <c r="IG138" t="s">
        <v>4569</v>
      </c>
      <c r="IH138" t="s">
        <v>4569</v>
      </c>
      <c r="II138" t="s">
        <v>4569</v>
      </c>
    </row>
    <row r="139" spans="1:245" outlineLevel="1" x14ac:dyDescent="0.2">
      <c r="A139" t="str">
        <f t="shared" si="5"/>
        <v>Eissegler Fahren</v>
      </c>
      <c r="EZ139" t="s">
        <v>4569</v>
      </c>
      <c r="FA139" t="s">
        <v>4569</v>
      </c>
      <c r="IF139" t="s">
        <v>4569</v>
      </c>
      <c r="IG139" t="s">
        <v>4569</v>
      </c>
      <c r="IH139" t="s">
        <v>4569</v>
      </c>
      <c r="II139" t="s">
        <v>4569</v>
      </c>
    </row>
    <row r="140" spans="1:245" outlineLevel="1" x14ac:dyDescent="0.2">
      <c r="A140" t="str">
        <f t="shared" si="5"/>
        <v>Fahrzeug Lenken</v>
      </c>
      <c r="BF140">
        <v>2</v>
      </c>
      <c r="BP140">
        <v>1</v>
      </c>
      <c r="EZ140" t="s">
        <v>4569</v>
      </c>
      <c r="FA140" t="s">
        <v>4569</v>
      </c>
      <c r="FZ140">
        <v>4</v>
      </c>
      <c r="GA140">
        <v>2</v>
      </c>
      <c r="GB140">
        <v>2</v>
      </c>
      <c r="GO140">
        <v>2</v>
      </c>
      <c r="IF140" t="s">
        <v>4569</v>
      </c>
      <c r="IG140" t="s">
        <v>4569</v>
      </c>
      <c r="IH140" t="s">
        <v>4569</v>
      </c>
      <c r="II140" t="s">
        <v>4569</v>
      </c>
    </row>
    <row r="141" spans="1:245" outlineLevel="1" x14ac:dyDescent="0.2">
      <c r="A141" t="str">
        <f t="shared" si="5"/>
        <v>Falschspiel</v>
      </c>
      <c r="EZ141" t="s">
        <v>4569</v>
      </c>
      <c r="FA141" t="s">
        <v>4569</v>
      </c>
      <c r="GD141">
        <v>4</v>
      </c>
      <c r="IF141" t="s">
        <v>4569</v>
      </c>
      <c r="IG141" t="s">
        <v>4569</v>
      </c>
      <c r="IH141" t="s">
        <v>4569</v>
      </c>
      <c r="II141" t="s">
        <v>4569</v>
      </c>
    </row>
    <row r="142" spans="1:245" outlineLevel="1" x14ac:dyDescent="0.2">
      <c r="A142" t="str">
        <f t="shared" si="5"/>
        <v>Feinmechanik</v>
      </c>
      <c r="EZ142" t="s">
        <v>4569</v>
      </c>
      <c r="FA142" t="s">
        <v>4569</v>
      </c>
      <c r="IF142" t="s">
        <v>4569</v>
      </c>
      <c r="IG142" t="s">
        <v>4569</v>
      </c>
      <c r="IH142" t="s">
        <v>4569</v>
      </c>
      <c r="II142" t="s">
        <v>4569</v>
      </c>
    </row>
    <row r="143" spans="1:245" outlineLevel="1" x14ac:dyDescent="0.2">
      <c r="A143" t="str">
        <f t="shared" si="5"/>
        <v>Feuersteinbearbeitung</v>
      </c>
      <c r="C143">
        <v>5</v>
      </c>
      <c r="D143">
        <v>5</v>
      </c>
      <c r="E143">
        <v>5</v>
      </c>
      <c r="F143">
        <v>5</v>
      </c>
      <c r="G143">
        <v>5</v>
      </c>
      <c r="H143">
        <v>5</v>
      </c>
      <c r="I143">
        <v>5</v>
      </c>
      <c r="J143">
        <v>5</v>
      </c>
      <c r="K143">
        <v>5</v>
      </c>
      <c r="L143">
        <v>5</v>
      </c>
      <c r="M143">
        <v>5</v>
      </c>
      <c r="N143">
        <v>5</v>
      </c>
      <c r="AU143">
        <v>2</v>
      </c>
      <c r="AV143">
        <v>2</v>
      </c>
      <c r="AW143">
        <v>2</v>
      </c>
      <c r="AX143">
        <v>2</v>
      </c>
      <c r="BX143">
        <v>2</v>
      </c>
      <c r="CC143">
        <v>2</v>
      </c>
      <c r="CD143">
        <v>2</v>
      </c>
      <c r="CE143">
        <v>2</v>
      </c>
      <c r="CF143">
        <v>2</v>
      </c>
      <c r="CG143">
        <v>2</v>
      </c>
      <c r="CH143">
        <v>3</v>
      </c>
      <c r="CI143">
        <v>2</v>
      </c>
      <c r="CJ143">
        <v>3</v>
      </c>
      <c r="CK143">
        <v>2</v>
      </c>
      <c r="CL143">
        <v>2</v>
      </c>
      <c r="DJ143">
        <v>3</v>
      </c>
      <c r="EZ143" t="s">
        <v>4569</v>
      </c>
      <c r="FA143" t="s">
        <v>4569</v>
      </c>
      <c r="IF143" t="s">
        <v>4569</v>
      </c>
      <c r="IG143" t="s">
        <v>4569</v>
      </c>
      <c r="IH143" t="s">
        <v>4569</v>
      </c>
      <c r="II143" t="s">
        <v>4569</v>
      </c>
    </row>
    <row r="144" spans="1:245" outlineLevel="1" x14ac:dyDescent="0.2">
      <c r="A144" t="str">
        <f t="shared" si="5"/>
        <v>Fleischer</v>
      </c>
      <c r="CN144">
        <v>1</v>
      </c>
      <c r="EZ144" t="s">
        <v>4569</v>
      </c>
      <c r="FA144" t="s">
        <v>4569</v>
      </c>
      <c r="IF144" t="s">
        <v>4569</v>
      </c>
      <c r="IG144" t="s">
        <v>4569</v>
      </c>
      <c r="IH144" t="s">
        <v>4569</v>
      </c>
      <c r="II144" t="s">
        <v>4569</v>
      </c>
    </row>
    <row r="145" spans="1:243" outlineLevel="1" x14ac:dyDescent="0.2">
      <c r="A145" t="str">
        <f t="shared" si="5"/>
        <v>Gerber/Kürschner</v>
      </c>
      <c r="CC145">
        <v>2</v>
      </c>
      <c r="CD145">
        <v>2</v>
      </c>
      <c r="CE145">
        <v>2</v>
      </c>
      <c r="CF145">
        <v>2</v>
      </c>
      <c r="CG145">
        <v>2</v>
      </c>
      <c r="CH145">
        <v>3</v>
      </c>
      <c r="CI145">
        <v>2</v>
      </c>
      <c r="CJ145">
        <v>3</v>
      </c>
      <c r="CK145">
        <v>4</v>
      </c>
      <c r="CL145">
        <v>2</v>
      </c>
      <c r="EZ145" t="s">
        <v>4569</v>
      </c>
      <c r="FA145" t="s">
        <v>4569</v>
      </c>
      <c r="IF145" t="s">
        <v>4569</v>
      </c>
      <c r="IG145" t="s">
        <v>4569</v>
      </c>
      <c r="IH145" t="s">
        <v>4569</v>
      </c>
      <c r="II145" t="s">
        <v>4569</v>
      </c>
    </row>
    <row r="146" spans="1:243" outlineLevel="1" x14ac:dyDescent="0.2">
      <c r="A146" t="str">
        <f t="shared" si="5"/>
        <v>Glaskunst</v>
      </c>
      <c r="EZ146" t="s">
        <v>4569</v>
      </c>
      <c r="FA146" t="s">
        <v>4569</v>
      </c>
      <c r="FM146">
        <v>6</v>
      </c>
      <c r="HR146">
        <v>1</v>
      </c>
      <c r="HS146">
        <v>1</v>
      </c>
      <c r="HT146">
        <v>1</v>
      </c>
      <c r="HU146">
        <v>1</v>
      </c>
      <c r="HV146">
        <v>1</v>
      </c>
      <c r="HW146">
        <v>1</v>
      </c>
      <c r="HX146">
        <v>1</v>
      </c>
      <c r="HY146">
        <v>1</v>
      </c>
      <c r="HZ146">
        <v>1</v>
      </c>
      <c r="IA146">
        <v>1</v>
      </c>
      <c r="IF146" t="s">
        <v>4569</v>
      </c>
      <c r="IG146" t="s">
        <v>4569</v>
      </c>
      <c r="IH146" t="s">
        <v>4569</v>
      </c>
      <c r="II146" t="s">
        <v>4569</v>
      </c>
    </row>
    <row r="147" spans="1:243" outlineLevel="1" x14ac:dyDescent="0.2">
      <c r="A147" t="str">
        <f t="shared" si="5"/>
        <v>Grobschmied</v>
      </c>
      <c r="EZ147" t="s">
        <v>4569</v>
      </c>
      <c r="FA147" t="s">
        <v>4569</v>
      </c>
      <c r="IF147" t="s">
        <v>4569</v>
      </c>
      <c r="IG147" t="s">
        <v>4569</v>
      </c>
      <c r="IH147" t="s">
        <v>4569</v>
      </c>
      <c r="II147" t="s">
        <v>4569</v>
      </c>
    </row>
    <row r="148" spans="1:243" outlineLevel="1" x14ac:dyDescent="0.2">
      <c r="A148" t="str">
        <f t="shared" si="5"/>
        <v>Handel</v>
      </c>
      <c r="EO148">
        <v>3</v>
      </c>
      <c r="EP148">
        <v>1</v>
      </c>
      <c r="EZ148" t="s">
        <v>4569</v>
      </c>
      <c r="FA148" t="s">
        <v>4569</v>
      </c>
      <c r="FG148">
        <v>4</v>
      </c>
      <c r="FH148">
        <v>4</v>
      </c>
      <c r="FI148">
        <v>4</v>
      </c>
      <c r="FJ148">
        <v>4</v>
      </c>
      <c r="FO148">
        <v>3</v>
      </c>
      <c r="HC148">
        <v>1</v>
      </c>
      <c r="HD148">
        <v>1</v>
      </c>
      <c r="HE148">
        <v>2</v>
      </c>
      <c r="HF148">
        <v>2</v>
      </c>
      <c r="HG148">
        <v>1</v>
      </c>
      <c r="HH148">
        <v>1</v>
      </c>
      <c r="HI148">
        <v>2</v>
      </c>
      <c r="HJ148">
        <v>2</v>
      </c>
      <c r="HK148">
        <v>1</v>
      </c>
      <c r="HL148">
        <v>1</v>
      </c>
      <c r="IF148" t="s">
        <v>4569</v>
      </c>
      <c r="IG148" t="s">
        <v>4569</v>
      </c>
      <c r="IH148" t="s">
        <v>4569</v>
      </c>
      <c r="II148" t="s">
        <v>4569</v>
      </c>
    </row>
    <row r="149" spans="1:243" outlineLevel="1" x14ac:dyDescent="0.2">
      <c r="A149" t="str">
        <f t="shared" si="5"/>
        <v>Hauswirtschaft</v>
      </c>
      <c r="EG149">
        <v>3</v>
      </c>
      <c r="EY149">
        <v>2</v>
      </c>
      <c r="EZ149" t="s">
        <v>4569</v>
      </c>
      <c r="FA149" t="s">
        <v>4569</v>
      </c>
      <c r="FF149">
        <v>5</v>
      </c>
      <c r="IF149" t="s">
        <v>4569</v>
      </c>
      <c r="IG149" t="s">
        <v>4569</v>
      </c>
      <c r="IH149" t="s">
        <v>4569</v>
      </c>
      <c r="II149" t="s">
        <v>4569</v>
      </c>
    </row>
    <row r="150" spans="1:243" outlineLevel="1" x14ac:dyDescent="0.2">
      <c r="A150" t="str">
        <f t="shared" si="5"/>
        <v>Heilkunde Gift</v>
      </c>
      <c r="D150">
        <v>2</v>
      </c>
      <c r="H150">
        <v>2</v>
      </c>
      <c r="I150">
        <v>2</v>
      </c>
      <c r="J150">
        <v>2</v>
      </c>
      <c r="K150">
        <v>2</v>
      </c>
      <c r="L150">
        <v>2</v>
      </c>
      <c r="M150">
        <v>2</v>
      </c>
      <c r="N150">
        <v>2</v>
      </c>
      <c r="P150">
        <v>4</v>
      </c>
      <c r="AD150">
        <v>4</v>
      </c>
      <c r="AU150">
        <v>2</v>
      </c>
      <c r="AV150">
        <v>4</v>
      </c>
      <c r="AW150">
        <v>2</v>
      </c>
      <c r="AX150">
        <v>2</v>
      </c>
      <c r="BA150">
        <v>3</v>
      </c>
      <c r="BG150">
        <v>6</v>
      </c>
      <c r="BL150">
        <v>2</v>
      </c>
      <c r="BM150">
        <v>1</v>
      </c>
      <c r="BN150">
        <v>3</v>
      </c>
      <c r="BO150">
        <v>2</v>
      </c>
      <c r="BQ150">
        <v>1</v>
      </c>
      <c r="BS150">
        <v>2</v>
      </c>
      <c r="BT150">
        <v>3</v>
      </c>
      <c r="BU150">
        <v>1</v>
      </c>
      <c r="BV150">
        <v>2</v>
      </c>
      <c r="BW150">
        <v>1</v>
      </c>
      <c r="BX150">
        <v>3</v>
      </c>
      <c r="BY150">
        <v>2</v>
      </c>
      <c r="BZ150">
        <v>1</v>
      </c>
      <c r="CA150">
        <v>1</v>
      </c>
      <c r="CB150">
        <v>2</v>
      </c>
      <c r="CN150">
        <v>2</v>
      </c>
      <c r="CZ150">
        <v>2</v>
      </c>
      <c r="DD150">
        <v>3</v>
      </c>
      <c r="DE150">
        <v>3</v>
      </c>
      <c r="DG150">
        <v>2</v>
      </c>
      <c r="DL150">
        <v>5</v>
      </c>
      <c r="DN150">
        <v>1</v>
      </c>
      <c r="DO150">
        <v>1</v>
      </c>
      <c r="DP150">
        <v>3</v>
      </c>
      <c r="DR150">
        <v>2</v>
      </c>
      <c r="DS150">
        <v>4</v>
      </c>
      <c r="DX150">
        <v>2</v>
      </c>
      <c r="EA150">
        <v>3</v>
      </c>
      <c r="ED150">
        <v>2</v>
      </c>
      <c r="EE150">
        <v>2</v>
      </c>
      <c r="EF150">
        <v>5</v>
      </c>
      <c r="EQ150">
        <v>3</v>
      </c>
      <c r="ER150">
        <v>2</v>
      </c>
      <c r="ET150">
        <v>6</v>
      </c>
      <c r="EV150">
        <v>2</v>
      </c>
      <c r="EZ150" t="s">
        <v>4569</v>
      </c>
      <c r="FA150" t="s">
        <v>4569</v>
      </c>
      <c r="FE150">
        <v>4</v>
      </c>
      <c r="FF150">
        <v>3</v>
      </c>
      <c r="FK150">
        <v>2</v>
      </c>
      <c r="GB150">
        <v>2</v>
      </c>
      <c r="GY150">
        <v>2</v>
      </c>
      <c r="HA150">
        <v>3</v>
      </c>
      <c r="HB150">
        <v>3</v>
      </c>
      <c r="HC150">
        <v>3</v>
      </c>
      <c r="HD150">
        <v>3</v>
      </c>
      <c r="HE150">
        <v>4</v>
      </c>
      <c r="HF150">
        <v>4</v>
      </c>
      <c r="HG150">
        <v>4</v>
      </c>
      <c r="HH150">
        <v>4</v>
      </c>
      <c r="HI150">
        <v>3</v>
      </c>
      <c r="HJ150">
        <v>3</v>
      </c>
      <c r="HK150">
        <v>4</v>
      </c>
      <c r="HL150">
        <v>4</v>
      </c>
      <c r="HM150">
        <v>6</v>
      </c>
      <c r="HN150">
        <v>6</v>
      </c>
      <c r="HO150">
        <v>4</v>
      </c>
      <c r="HP150">
        <v>4</v>
      </c>
      <c r="HQ150">
        <v>3</v>
      </c>
      <c r="HR150">
        <v>3</v>
      </c>
      <c r="HS150">
        <v>3</v>
      </c>
      <c r="HT150">
        <v>3</v>
      </c>
      <c r="HU150">
        <v>3</v>
      </c>
      <c r="HV150">
        <v>3</v>
      </c>
      <c r="HW150">
        <v>3</v>
      </c>
      <c r="HX150">
        <v>3</v>
      </c>
      <c r="HY150">
        <v>3</v>
      </c>
      <c r="HZ150">
        <v>3</v>
      </c>
      <c r="IA150">
        <v>3</v>
      </c>
      <c r="IB150">
        <v>6</v>
      </c>
      <c r="IC150">
        <v>6</v>
      </c>
      <c r="ID150">
        <v>2</v>
      </c>
      <c r="IE150">
        <v>3</v>
      </c>
      <c r="IF150">
        <v>4</v>
      </c>
      <c r="IG150">
        <v>4</v>
      </c>
      <c r="IH150">
        <v>3</v>
      </c>
      <c r="II150">
        <v>3</v>
      </c>
    </row>
    <row r="151" spans="1:243" outlineLevel="1" x14ac:dyDescent="0.2">
      <c r="A151" t="str">
        <f t="shared" si="5"/>
        <v>Heilkunde Krankheiten</v>
      </c>
      <c r="C151">
        <v>3</v>
      </c>
      <c r="D151">
        <v>3</v>
      </c>
      <c r="E151">
        <v>3</v>
      </c>
      <c r="F151">
        <v>3</v>
      </c>
      <c r="G151">
        <v>3</v>
      </c>
      <c r="H151">
        <v>3</v>
      </c>
      <c r="I151">
        <v>3</v>
      </c>
      <c r="J151">
        <v>3</v>
      </c>
      <c r="K151">
        <v>3</v>
      </c>
      <c r="L151">
        <v>3</v>
      </c>
      <c r="M151">
        <v>3</v>
      </c>
      <c r="N151">
        <v>3</v>
      </c>
      <c r="P151">
        <v>4</v>
      </c>
      <c r="AD151">
        <v>4</v>
      </c>
      <c r="AU151">
        <v>2</v>
      </c>
      <c r="AV151">
        <v>4</v>
      </c>
      <c r="AW151">
        <v>2</v>
      </c>
      <c r="AX151">
        <v>2</v>
      </c>
      <c r="BA151">
        <v>5</v>
      </c>
      <c r="BF151">
        <v>2</v>
      </c>
      <c r="BG151">
        <v>3</v>
      </c>
      <c r="BN151">
        <v>2</v>
      </c>
      <c r="BT151">
        <v>2</v>
      </c>
      <c r="BX151">
        <v>2</v>
      </c>
      <c r="CB151">
        <v>1</v>
      </c>
      <c r="CN151">
        <v>6</v>
      </c>
      <c r="CY151">
        <v>1</v>
      </c>
      <c r="DD151">
        <v>4</v>
      </c>
      <c r="DE151">
        <v>4</v>
      </c>
      <c r="DG151">
        <v>2</v>
      </c>
      <c r="DL151">
        <v>2</v>
      </c>
      <c r="DZ151">
        <v>3</v>
      </c>
      <c r="EA151">
        <v>3</v>
      </c>
      <c r="EF151">
        <v>6</v>
      </c>
      <c r="EH151">
        <v>2</v>
      </c>
      <c r="EI151">
        <v>2</v>
      </c>
      <c r="ES151">
        <v>2</v>
      </c>
      <c r="ET151">
        <v>6</v>
      </c>
      <c r="EZ151" t="s">
        <v>4569</v>
      </c>
      <c r="FA151" t="s">
        <v>4569</v>
      </c>
      <c r="FB151">
        <v>3</v>
      </c>
      <c r="FE151">
        <v>3</v>
      </c>
      <c r="FV151">
        <v>3</v>
      </c>
      <c r="GB151">
        <v>2</v>
      </c>
      <c r="GY151">
        <v>2</v>
      </c>
      <c r="HO151">
        <v>1</v>
      </c>
      <c r="HP151">
        <v>1</v>
      </c>
      <c r="IB151">
        <v>4</v>
      </c>
      <c r="IC151">
        <v>4</v>
      </c>
      <c r="IF151">
        <v>1</v>
      </c>
      <c r="IG151">
        <v>1</v>
      </c>
      <c r="IH151" t="s">
        <v>4569</v>
      </c>
      <c r="II151" t="s">
        <v>4569</v>
      </c>
    </row>
    <row r="152" spans="1:243" outlineLevel="1" x14ac:dyDescent="0.2">
      <c r="A152" t="str">
        <f t="shared" si="5"/>
        <v>Heilkunde Seele</v>
      </c>
      <c r="AU152">
        <v>5</v>
      </c>
      <c r="AV152">
        <v>5</v>
      </c>
      <c r="AW152">
        <v>5</v>
      </c>
      <c r="AX152">
        <v>5</v>
      </c>
      <c r="BA152">
        <v>3</v>
      </c>
      <c r="CM152">
        <v>4</v>
      </c>
      <c r="CN152">
        <v>2</v>
      </c>
      <c r="DD152">
        <v>2</v>
      </c>
      <c r="DE152">
        <v>2</v>
      </c>
      <c r="DL152">
        <v>4</v>
      </c>
      <c r="DM152">
        <v>2</v>
      </c>
      <c r="DN152">
        <v>3</v>
      </c>
      <c r="DO152">
        <v>3</v>
      </c>
      <c r="DZ152">
        <v>4</v>
      </c>
      <c r="EE152">
        <v>2</v>
      </c>
      <c r="EF152">
        <v>3</v>
      </c>
      <c r="EJ152">
        <v>4</v>
      </c>
      <c r="ET152">
        <v>5</v>
      </c>
      <c r="EZ152" t="s">
        <v>4569</v>
      </c>
      <c r="FA152" t="s">
        <v>4569</v>
      </c>
      <c r="FB152">
        <v>3</v>
      </c>
      <c r="FC152">
        <v>2</v>
      </c>
      <c r="FD152">
        <v>3</v>
      </c>
      <c r="FE152">
        <v>5</v>
      </c>
      <c r="FK152">
        <v>2</v>
      </c>
      <c r="FN152">
        <v>3</v>
      </c>
      <c r="GH152">
        <v>1</v>
      </c>
      <c r="GY152">
        <v>4</v>
      </c>
      <c r="IB152">
        <v>3</v>
      </c>
      <c r="IC152">
        <v>3</v>
      </c>
      <c r="IF152" t="s">
        <v>4569</v>
      </c>
      <c r="IG152" t="s">
        <v>4569</v>
      </c>
      <c r="IH152" t="s">
        <v>4569</v>
      </c>
      <c r="II152" t="s">
        <v>4569</v>
      </c>
    </row>
    <row r="153" spans="1:243" outlineLevel="1" x14ac:dyDescent="0.2">
      <c r="A153" t="str">
        <f t="shared" si="5"/>
        <v>Heilkunde Wunden</v>
      </c>
      <c r="C153">
        <v>2</v>
      </c>
      <c r="D153">
        <v>2</v>
      </c>
      <c r="E153">
        <v>2</v>
      </c>
      <c r="F153">
        <v>2</v>
      </c>
      <c r="G153">
        <v>2</v>
      </c>
      <c r="H153">
        <v>2</v>
      </c>
      <c r="I153">
        <v>2</v>
      </c>
      <c r="J153">
        <v>2</v>
      </c>
      <c r="K153">
        <v>2</v>
      </c>
      <c r="L153">
        <v>2</v>
      </c>
      <c r="M153">
        <v>2</v>
      </c>
      <c r="N153">
        <v>2</v>
      </c>
      <c r="P153">
        <v>5</v>
      </c>
      <c r="R153" t="s">
        <v>666</v>
      </c>
      <c r="S153" t="s">
        <v>666</v>
      </c>
      <c r="T153" t="s">
        <v>666</v>
      </c>
      <c r="U153" t="s">
        <v>666</v>
      </c>
      <c r="V153" t="s">
        <v>666</v>
      </c>
      <c r="X153">
        <v>1</v>
      </c>
      <c r="Y153">
        <v>1</v>
      </c>
      <c r="Z153">
        <v>1</v>
      </c>
      <c r="AA153">
        <v>1</v>
      </c>
      <c r="AB153">
        <v>1</v>
      </c>
      <c r="AD153">
        <v>5</v>
      </c>
      <c r="AF153" t="s">
        <v>666</v>
      </c>
      <c r="AG153" t="s">
        <v>666</v>
      </c>
      <c r="AH153" t="s">
        <v>666</v>
      </c>
      <c r="AI153" t="s">
        <v>666</v>
      </c>
      <c r="AK153">
        <v>1</v>
      </c>
      <c r="AL153">
        <v>1</v>
      </c>
      <c r="AM153">
        <v>1</v>
      </c>
      <c r="AN153">
        <v>1</v>
      </c>
      <c r="AU153">
        <v>2</v>
      </c>
      <c r="AV153">
        <v>5</v>
      </c>
      <c r="AW153">
        <v>2</v>
      </c>
      <c r="AX153">
        <v>2</v>
      </c>
      <c r="BA153">
        <v>5</v>
      </c>
      <c r="BC153">
        <v>3</v>
      </c>
      <c r="BF153">
        <v>1</v>
      </c>
      <c r="BL153">
        <v>3</v>
      </c>
      <c r="BM153">
        <v>1</v>
      </c>
      <c r="BN153">
        <v>2</v>
      </c>
      <c r="BO153">
        <v>3</v>
      </c>
      <c r="BP153">
        <v>2</v>
      </c>
      <c r="BQ153">
        <v>1</v>
      </c>
      <c r="BR153">
        <v>2</v>
      </c>
      <c r="BS153">
        <v>3</v>
      </c>
      <c r="BT153">
        <v>2</v>
      </c>
      <c r="BU153">
        <v>1</v>
      </c>
      <c r="BV153">
        <v>3</v>
      </c>
      <c r="BW153">
        <v>1</v>
      </c>
      <c r="BX153">
        <v>2</v>
      </c>
      <c r="BY153">
        <v>3</v>
      </c>
      <c r="BZ153">
        <v>1</v>
      </c>
      <c r="CA153">
        <v>1</v>
      </c>
      <c r="CB153">
        <v>3</v>
      </c>
      <c r="CC153">
        <v>3</v>
      </c>
      <c r="CD153">
        <v>4</v>
      </c>
      <c r="CE153">
        <v>2</v>
      </c>
      <c r="CF153">
        <v>4</v>
      </c>
      <c r="CG153">
        <v>3</v>
      </c>
      <c r="CH153">
        <v>3</v>
      </c>
      <c r="CI153">
        <v>3</v>
      </c>
      <c r="CJ153">
        <v>3</v>
      </c>
      <c r="CK153">
        <v>3</v>
      </c>
      <c r="CL153">
        <v>3</v>
      </c>
      <c r="CM153">
        <v>2</v>
      </c>
      <c r="CN153">
        <v>6</v>
      </c>
      <c r="CO153">
        <v>1</v>
      </c>
      <c r="CP153">
        <v>1</v>
      </c>
      <c r="CQ153">
        <v>2</v>
      </c>
      <c r="CR153">
        <v>1</v>
      </c>
      <c r="CS153">
        <v>1</v>
      </c>
      <c r="CT153">
        <v>1</v>
      </c>
      <c r="CU153">
        <v>1</v>
      </c>
      <c r="CW153">
        <v>1</v>
      </c>
      <c r="CY153">
        <v>4</v>
      </c>
      <c r="CZ153">
        <v>4</v>
      </c>
      <c r="DB153">
        <v>4</v>
      </c>
      <c r="DD153">
        <v>4</v>
      </c>
      <c r="DE153">
        <v>4</v>
      </c>
      <c r="DG153">
        <v>2</v>
      </c>
      <c r="DL153">
        <v>6</v>
      </c>
      <c r="DP153">
        <v>3</v>
      </c>
      <c r="DQ153">
        <v>3</v>
      </c>
      <c r="DR153">
        <v>4</v>
      </c>
      <c r="DS153">
        <v>4</v>
      </c>
      <c r="DT153">
        <v>2</v>
      </c>
      <c r="DX153">
        <v>2</v>
      </c>
      <c r="DZ153">
        <v>4</v>
      </c>
      <c r="EA153">
        <v>4</v>
      </c>
      <c r="EE153">
        <v>2</v>
      </c>
      <c r="EF153">
        <v>5</v>
      </c>
      <c r="EG153">
        <v>2</v>
      </c>
      <c r="EH153">
        <v>2</v>
      </c>
      <c r="EI153">
        <v>2</v>
      </c>
      <c r="EQ153">
        <v>3</v>
      </c>
      <c r="ES153">
        <v>2</v>
      </c>
      <c r="ET153">
        <v>6</v>
      </c>
      <c r="EV153">
        <v>2</v>
      </c>
      <c r="EW153">
        <v>2</v>
      </c>
      <c r="EZ153" t="s">
        <v>4569</v>
      </c>
      <c r="FA153" t="s">
        <v>4569</v>
      </c>
      <c r="FB153">
        <v>2</v>
      </c>
      <c r="FC153">
        <v>2</v>
      </c>
      <c r="FD153">
        <v>3</v>
      </c>
      <c r="FE153">
        <v>6</v>
      </c>
      <c r="FF153">
        <v>1</v>
      </c>
      <c r="FG153">
        <v>2</v>
      </c>
      <c r="FH153">
        <v>2</v>
      </c>
      <c r="FI153">
        <v>2</v>
      </c>
      <c r="FJ153">
        <v>2</v>
      </c>
      <c r="FK153">
        <v>2</v>
      </c>
      <c r="FL153">
        <v>3</v>
      </c>
      <c r="FM153">
        <v>1</v>
      </c>
      <c r="FN153">
        <v>2</v>
      </c>
      <c r="FT153">
        <v>2</v>
      </c>
      <c r="FU153">
        <v>2</v>
      </c>
      <c r="FV153">
        <v>2</v>
      </c>
      <c r="GB153">
        <v>2</v>
      </c>
      <c r="GF153">
        <v>1</v>
      </c>
      <c r="GG153">
        <v>1</v>
      </c>
      <c r="GH153">
        <v>1</v>
      </c>
      <c r="GI153">
        <v>1</v>
      </c>
      <c r="GJ153">
        <v>1</v>
      </c>
      <c r="GK153">
        <v>1</v>
      </c>
      <c r="GL153">
        <v>1</v>
      </c>
      <c r="GY153">
        <v>2</v>
      </c>
      <c r="HA153">
        <v>1</v>
      </c>
      <c r="HB153">
        <v>1</v>
      </c>
      <c r="HC153">
        <v>1</v>
      </c>
      <c r="HD153">
        <v>1</v>
      </c>
      <c r="HE153">
        <v>1</v>
      </c>
      <c r="HF153">
        <v>1</v>
      </c>
      <c r="HG153">
        <v>1</v>
      </c>
      <c r="HH153">
        <v>1</v>
      </c>
      <c r="HI153">
        <v>1</v>
      </c>
      <c r="HJ153">
        <v>1</v>
      </c>
      <c r="HK153">
        <v>1</v>
      </c>
      <c r="HL153">
        <v>1</v>
      </c>
      <c r="HM153">
        <v>1</v>
      </c>
      <c r="HN153">
        <v>1</v>
      </c>
      <c r="HO153">
        <v>2</v>
      </c>
      <c r="HP153">
        <v>2</v>
      </c>
      <c r="HQ153">
        <v>1</v>
      </c>
      <c r="HR153">
        <v>1</v>
      </c>
      <c r="HS153">
        <v>1</v>
      </c>
      <c r="HT153">
        <v>1</v>
      </c>
      <c r="HU153">
        <v>1</v>
      </c>
      <c r="HV153">
        <v>1</v>
      </c>
      <c r="HW153">
        <v>1</v>
      </c>
      <c r="HX153">
        <v>1</v>
      </c>
      <c r="HY153">
        <v>1</v>
      </c>
      <c r="HZ153">
        <v>1</v>
      </c>
      <c r="IA153">
        <v>1</v>
      </c>
      <c r="IB153">
        <v>4</v>
      </c>
      <c r="IC153">
        <v>4</v>
      </c>
      <c r="ID153">
        <v>2</v>
      </c>
      <c r="IE153">
        <v>1</v>
      </c>
      <c r="IF153">
        <v>1</v>
      </c>
      <c r="IG153">
        <v>1</v>
      </c>
      <c r="IH153">
        <v>1</v>
      </c>
      <c r="II153">
        <v>1</v>
      </c>
    </row>
    <row r="154" spans="1:243" outlineLevel="1" x14ac:dyDescent="0.2">
      <c r="A154" t="str">
        <f t="shared" si="5"/>
        <v>Holzbearbeitung</v>
      </c>
      <c r="C154">
        <v>3</v>
      </c>
      <c r="D154">
        <v>3</v>
      </c>
      <c r="E154">
        <v>3</v>
      </c>
      <c r="F154">
        <v>3</v>
      </c>
      <c r="G154">
        <v>3</v>
      </c>
      <c r="H154">
        <v>3</v>
      </c>
      <c r="I154">
        <v>3</v>
      </c>
      <c r="J154">
        <v>3</v>
      </c>
      <c r="K154">
        <v>3</v>
      </c>
      <c r="L154">
        <v>3</v>
      </c>
      <c r="M154">
        <v>3</v>
      </c>
      <c r="N154">
        <v>3</v>
      </c>
      <c r="AU154">
        <v>2</v>
      </c>
      <c r="AV154">
        <v>2</v>
      </c>
      <c r="AW154">
        <v>2</v>
      </c>
      <c r="AX154">
        <v>2</v>
      </c>
      <c r="BA154">
        <v>2</v>
      </c>
      <c r="BC154">
        <v>3</v>
      </c>
      <c r="BF154">
        <v>1</v>
      </c>
      <c r="BM154">
        <v>2</v>
      </c>
      <c r="BN154">
        <v>4</v>
      </c>
      <c r="BP154">
        <v>4</v>
      </c>
      <c r="BQ154">
        <v>2</v>
      </c>
      <c r="BR154">
        <v>4</v>
      </c>
      <c r="BT154">
        <v>4</v>
      </c>
      <c r="BU154">
        <v>2</v>
      </c>
      <c r="BW154">
        <v>2</v>
      </c>
      <c r="BX154">
        <v>4</v>
      </c>
      <c r="BZ154">
        <v>2</v>
      </c>
      <c r="CA154">
        <v>2</v>
      </c>
      <c r="CB154">
        <v>1</v>
      </c>
      <c r="CC154">
        <v>2</v>
      </c>
      <c r="CD154">
        <v>1</v>
      </c>
      <c r="CE154">
        <v>2</v>
      </c>
      <c r="CF154">
        <v>2</v>
      </c>
      <c r="CG154">
        <v>2</v>
      </c>
      <c r="CH154">
        <v>2</v>
      </c>
      <c r="CI154">
        <v>2</v>
      </c>
      <c r="CJ154">
        <v>2</v>
      </c>
      <c r="CK154">
        <v>2</v>
      </c>
      <c r="CL154">
        <v>2</v>
      </c>
      <c r="CM154">
        <v>3</v>
      </c>
      <c r="CN154">
        <v>1</v>
      </c>
      <c r="CO154">
        <v>3</v>
      </c>
      <c r="CP154">
        <v>3</v>
      </c>
      <c r="CQ154">
        <v>7</v>
      </c>
      <c r="CR154">
        <v>3</v>
      </c>
      <c r="CS154">
        <v>3</v>
      </c>
      <c r="CT154">
        <v>1</v>
      </c>
      <c r="CU154">
        <v>1</v>
      </c>
      <c r="CY154">
        <v>2</v>
      </c>
      <c r="DT154">
        <v>2</v>
      </c>
      <c r="DV154">
        <v>2</v>
      </c>
      <c r="DW154">
        <v>4</v>
      </c>
      <c r="DZ154">
        <v>3</v>
      </c>
      <c r="EE154">
        <v>1</v>
      </c>
      <c r="EG154">
        <v>2</v>
      </c>
      <c r="EH154">
        <v>2</v>
      </c>
      <c r="EI154">
        <v>4</v>
      </c>
      <c r="ES154">
        <v>2</v>
      </c>
      <c r="EZ154" t="s">
        <v>4569</v>
      </c>
      <c r="FA154" t="s">
        <v>4569</v>
      </c>
      <c r="FM154">
        <v>1</v>
      </c>
      <c r="FT154">
        <v>4</v>
      </c>
      <c r="FU154">
        <v>3</v>
      </c>
      <c r="FV154">
        <v>2</v>
      </c>
      <c r="FZ154">
        <v>2</v>
      </c>
      <c r="GA154">
        <v>2</v>
      </c>
      <c r="GB154">
        <v>2</v>
      </c>
      <c r="IF154">
        <v>1</v>
      </c>
      <c r="IG154">
        <v>1</v>
      </c>
      <c r="IH154" t="s">
        <v>4569</v>
      </c>
      <c r="II154" t="s">
        <v>4569</v>
      </c>
    </row>
    <row r="155" spans="1:243" outlineLevel="1" x14ac:dyDescent="0.2">
      <c r="A155" t="str">
        <f t="shared" si="5"/>
        <v>Hundeschlitten Fahren</v>
      </c>
      <c r="EZ155" t="s">
        <v>4569</v>
      </c>
      <c r="FA155" t="s">
        <v>4569</v>
      </c>
      <c r="IF155" t="s">
        <v>4569</v>
      </c>
      <c r="IG155" t="s">
        <v>4569</v>
      </c>
      <c r="IH155" t="s">
        <v>4569</v>
      </c>
      <c r="II155" t="s">
        <v>4569</v>
      </c>
    </row>
    <row r="156" spans="1:243" outlineLevel="1" x14ac:dyDescent="0.2">
      <c r="A156" t="str">
        <f t="shared" si="5"/>
        <v>Instrumentenbauer</v>
      </c>
      <c r="EZ156" t="s">
        <v>4569</v>
      </c>
      <c r="FA156" t="s">
        <v>4569</v>
      </c>
      <c r="IF156" t="s">
        <v>4569</v>
      </c>
      <c r="IG156" t="s">
        <v>4569</v>
      </c>
      <c r="IH156" t="s">
        <v>4569</v>
      </c>
      <c r="II156" t="s">
        <v>4569</v>
      </c>
    </row>
    <row r="157" spans="1:243" outlineLevel="1" x14ac:dyDescent="0.2">
      <c r="A157" t="str">
        <f t="shared" si="5"/>
        <v>Kapellmeister</v>
      </c>
      <c r="EZ157" t="s">
        <v>4569</v>
      </c>
      <c r="FA157" t="s">
        <v>4569</v>
      </c>
      <c r="IF157" t="s">
        <v>4569</v>
      </c>
      <c r="IG157" t="s">
        <v>4569</v>
      </c>
      <c r="IH157" t="s">
        <v>4569</v>
      </c>
      <c r="II157" t="s">
        <v>4569</v>
      </c>
    </row>
    <row r="158" spans="1:243" outlineLevel="1" x14ac:dyDescent="0.2">
      <c r="A158" t="str">
        <f t="shared" si="5"/>
        <v>Kartographie</v>
      </c>
      <c r="EZ158" t="s">
        <v>4569</v>
      </c>
      <c r="FA158" t="s">
        <v>4569</v>
      </c>
      <c r="FG158">
        <v>2</v>
      </c>
      <c r="FH158">
        <v>2</v>
      </c>
      <c r="FI158">
        <v>2</v>
      </c>
      <c r="FJ158">
        <v>2</v>
      </c>
      <c r="HZ158">
        <v>3</v>
      </c>
      <c r="IA158">
        <v>3</v>
      </c>
      <c r="IF158" t="s">
        <v>4569</v>
      </c>
      <c r="IG158" t="s">
        <v>4569</v>
      </c>
      <c r="IH158" t="s">
        <v>4569</v>
      </c>
      <c r="II158" t="s">
        <v>4569</v>
      </c>
    </row>
    <row r="159" spans="1:243" outlineLevel="1" x14ac:dyDescent="0.2">
      <c r="A159" t="str">
        <f t="shared" si="5"/>
        <v>Kochen</v>
      </c>
      <c r="C159">
        <v>2</v>
      </c>
      <c r="D159">
        <v>3</v>
      </c>
      <c r="E159">
        <v>2</v>
      </c>
      <c r="F159">
        <v>2</v>
      </c>
      <c r="G159">
        <v>2</v>
      </c>
      <c r="H159">
        <v>2</v>
      </c>
      <c r="I159">
        <v>2</v>
      </c>
      <c r="J159">
        <v>2</v>
      </c>
      <c r="K159">
        <v>2</v>
      </c>
      <c r="L159">
        <v>2</v>
      </c>
      <c r="M159">
        <v>2</v>
      </c>
      <c r="N159">
        <v>2</v>
      </c>
      <c r="P159">
        <v>3</v>
      </c>
      <c r="AD159">
        <v>3</v>
      </c>
      <c r="AU159">
        <v>2</v>
      </c>
      <c r="AV159">
        <v>2</v>
      </c>
      <c r="AW159">
        <v>2</v>
      </c>
      <c r="AX159">
        <v>2</v>
      </c>
      <c r="AZ159">
        <v>3</v>
      </c>
      <c r="BA159">
        <v>7</v>
      </c>
      <c r="BB159">
        <v>3</v>
      </c>
      <c r="BC159">
        <v>3</v>
      </c>
      <c r="BD159">
        <v>3</v>
      </c>
      <c r="BE159">
        <v>2</v>
      </c>
      <c r="BF159">
        <v>3</v>
      </c>
      <c r="BG159">
        <v>7</v>
      </c>
      <c r="BN159">
        <v>1</v>
      </c>
      <c r="BP159" t="s">
        <v>4569</v>
      </c>
      <c r="BR159" t="s">
        <v>4569</v>
      </c>
      <c r="BT159">
        <v>1</v>
      </c>
      <c r="BX159">
        <v>1</v>
      </c>
      <c r="CM159">
        <v>4</v>
      </c>
      <c r="CN159">
        <v>5</v>
      </c>
      <c r="CU159">
        <v>1</v>
      </c>
      <c r="CY159">
        <v>2</v>
      </c>
      <c r="DD159">
        <v>2</v>
      </c>
      <c r="DE159">
        <v>2</v>
      </c>
      <c r="DG159">
        <v>2</v>
      </c>
      <c r="DM159">
        <v>2</v>
      </c>
      <c r="DT159">
        <v>2</v>
      </c>
      <c r="DV159">
        <v>3</v>
      </c>
      <c r="DW159">
        <v>3</v>
      </c>
      <c r="EA159">
        <v>2</v>
      </c>
      <c r="EE159">
        <v>1</v>
      </c>
      <c r="EZ159" t="s">
        <v>4569</v>
      </c>
      <c r="FA159" t="s">
        <v>4569</v>
      </c>
      <c r="FF159">
        <v>7</v>
      </c>
      <c r="FT159">
        <v>3</v>
      </c>
      <c r="FU159">
        <v>2</v>
      </c>
      <c r="FV159">
        <v>4</v>
      </c>
      <c r="GB159">
        <v>5</v>
      </c>
      <c r="GY159">
        <v>2</v>
      </c>
      <c r="HA159">
        <v>4</v>
      </c>
      <c r="HB159">
        <v>4</v>
      </c>
      <c r="HC159">
        <v>4</v>
      </c>
      <c r="HD159">
        <v>4</v>
      </c>
      <c r="HE159">
        <v>4</v>
      </c>
      <c r="HF159">
        <v>4</v>
      </c>
      <c r="HG159">
        <v>4</v>
      </c>
      <c r="HH159">
        <v>4</v>
      </c>
      <c r="HI159">
        <v>4</v>
      </c>
      <c r="HJ159">
        <v>4</v>
      </c>
      <c r="HK159">
        <v>4</v>
      </c>
      <c r="HL159">
        <v>4</v>
      </c>
      <c r="HM159">
        <v>4</v>
      </c>
      <c r="HN159">
        <v>4</v>
      </c>
      <c r="HO159">
        <v>4</v>
      </c>
      <c r="HP159">
        <v>4</v>
      </c>
      <c r="HQ159">
        <v>4</v>
      </c>
      <c r="HR159">
        <v>4</v>
      </c>
      <c r="HS159">
        <v>4</v>
      </c>
      <c r="HT159">
        <v>4</v>
      </c>
      <c r="HU159">
        <v>4</v>
      </c>
      <c r="HV159">
        <v>4</v>
      </c>
      <c r="HW159">
        <v>4</v>
      </c>
      <c r="HX159">
        <v>4</v>
      </c>
      <c r="HY159">
        <v>4</v>
      </c>
      <c r="HZ159">
        <v>4</v>
      </c>
      <c r="IA159">
        <v>4</v>
      </c>
      <c r="IB159">
        <v>4</v>
      </c>
      <c r="IC159">
        <v>4</v>
      </c>
      <c r="ID159">
        <v>3</v>
      </c>
      <c r="IE159">
        <v>4</v>
      </c>
      <c r="IF159">
        <v>4</v>
      </c>
      <c r="IG159">
        <v>4</v>
      </c>
      <c r="IH159">
        <v>4</v>
      </c>
      <c r="II159">
        <v>4</v>
      </c>
    </row>
    <row r="160" spans="1:243" outlineLevel="1" x14ac:dyDescent="0.2">
      <c r="A160" t="str">
        <f t="shared" si="5"/>
        <v>Kristallzüchter</v>
      </c>
      <c r="BI160">
        <v>4</v>
      </c>
      <c r="BJ160">
        <v>4</v>
      </c>
      <c r="BN160" t="s">
        <v>4569</v>
      </c>
      <c r="BP160" t="s">
        <v>4569</v>
      </c>
      <c r="BR160" t="s">
        <v>4569</v>
      </c>
      <c r="BT160" t="s">
        <v>4569</v>
      </c>
      <c r="BX160" t="s">
        <v>4569</v>
      </c>
      <c r="EZ160" t="s">
        <v>4569</v>
      </c>
      <c r="FA160" t="s">
        <v>4569</v>
      </c>
      <c r="IE160">
        <v>3</v>
      </c>
      <c r="IF160" t="s">
        <v>4569</v>
      </c>
      <c r="IG160" t="s">
        <v>4569</v>
      </c>
      <c r="IH160" t="s">
        <v>4569</v>
      </c>
      <c r="II160" t="s">
        <v>4569</v>
      </c>
    </row>
    <row r="161" spans="1:243" outlineLevel="1" x14ac:dyDescent="0.2">
      <c r="A161" t="str">
        <f t="shared" si="5"/>
        <v>Lederarbeiten</v>
      </c>
      <c r="C161">
        <v>1</v>
      </c>
      <c r="D161">
        <v>1</v>
      </c>
      <c r="E161">
        <v>1</v>
      </c>
      <c r="F161">
        <v>1</v>
      </c>
      <c r="G161">
        <v>1</v>
      </c>
      <c r="H161">
        <v>1</v>
      </c>
      <c r="I161">
        <v>1</v>
      </c>
      <c r="J161">
        <v>1</v>
      </c>
      <c r="K161">
        <v>1</v>
      </c>
      <c r="L161">
        <v>1</v>
      </c>
      <c r="M161">
        <v>1</v>
      </c>
      <c r="N161">
        <v>1</v>
      </c>
      <c r="AU161">
        <v>1</v>
      </c>
      <c r="AV161">
        <v>1</v>
      </c>
      <c r="AW161">
        <v>1</v>
      </c>
      <c r="AX161">
        <v>1</v>
      </c>
      <c r="BA161">
        <v>3</v>
      </c>
      <c r="BC161">
        <v>3</v>
      </c>
      <c r="BF161">
        <v>2</v>
      </c>
      <c r="BN161">
        <v>2</v>
      </c>
      <c r="BP161">
        <v>2</v>
      </c>
      <c r="BR161">
        <v>2</v>
      </c>
      <c r="BT161">
        <v>2</v>
      </c>
      <c r="BX161">
        <v>2</v>
      </c>
      <c r="CB161">
        <v>1</v>
      </c>
      <c r="CC161">
        <v>2</v>
      </c>
      <c r="CD161">
        <v>2</v>
      </c>
      <c r="CE161">
        <v>2</v>
      </c>
      <c r="CF161">
        <v>2</v>
      </c>
      <c r="CG161">
        <v>2</v>
      </c>
      <c r="CH161">
        <v>2</v>
      </c>
      <c r="CI161">
        <v>2</v>
      </c>
      <c r="CJ161">
        <v>3</v>
      </c>
      <c r="CK161">
        <v>3</v>
      </c>
      <c r="CL161">
        <v>2</v>
      </c>
      <c r="CN161">
        <v>1</v>
      </c>
      <c r="CO161">
        <v>1</v>
      </c>
      <c r="CP161">
        <v>1</v>
      </c>
      <c r="CR161">
        <v>1</v>
      </c>
      <c r="CS161">
        <v>1</v>
      </c>
      <c r="CT161">
        <v>1</v>
      </c>
      <c r="CU161">
        <v>1</v>
      </c>
      <c r="CY161">
        <v>2</v>
      </c>
      <c r="CZ161">
        <v>2</v>
      </c>
      <c r="DR161">
        <v>2</v>
      </c>
      <c r="DZ161">
        <v>2</v>
      </c>
      <c r="EE161">
        <v>2</v>
      </c>
      <c r="EH161">
        <v>2</v>
      </c>
      <c r="EI161">
        <v>2</v>
      </c>
      <c r="ES161">
        <v>2</v>
      </c>
      <c r="EZ161" t="s">
        <v>4569</v>
      </c>
      <c r="FA161" t="s">
        <v>4569</v>
      </c>
      <c r="FP161" t="s">
        <v>4569</v>
      </c>
      <c r="FQ161" t="s">
        <v>4569</v>
      </c>
      <c r="FR161" t="s">
        <v>4569</v>
      </c>
      <c r="FS161" t="s">
        <v>4569</v>
      </c>
      <c r="FZ161">
        <v>2</v>
      </c>
      <c r="GA161">
        <v>2</v>
      </c>
      <c r="GB161">
        <v>2</v>
      </c>
      <c r="IF161" t="s">
        <v>4569</v>
      </c>
      <c r="IG161" t="s">
        <v>4569</v>
      </c>
      <c r="IH161" t="s">
        <v>4569</v>
      </c>
      <c r="II161" t="s">
        <v>4569</v>
      </c>
    </row>
    <row r="162" spans="1:243" outlineLevel="1" x14ac:dyDescent="0.2">
      <c r="A162" t="str">
        <f t="shared" si="5"/>
        <v>Malen/Zeichnen</v>
      </c>
      <c r="Q162">
        <v>5</v>
      </c>
      <c r="W162">
        <v>4</v>
      </c>
      <c r="AC162">
        <v>3</v>
      </c>
      <c r="AE162">
        <v>5</v>
      </c>
      <c r="AJ162">
        <v>4</v>
      </c>
      <c r="AO162">
        <v>3</v>
      </c>
      <c r="AP162">
        <v>4</v>
      </c>
      <c r="AQ162">
        <v>4</v>
      </c>
      <c r="AR162">
        <v>3</v>
      </c>
      <c r="AS162">
        <v>3</v>
      </c>
      <c r="BD162">
        <v>4</v>
      </c>
      <c r="BE162">
        <v>3</v>
      </c>
      <c r="BG162">
        <v>3</v>
      </c>
      <c r="BI162">
        <v>5</v>
      </c>
      <c r="BJ162">
        <v>5</v>
      </c>
      <c r="BN162" t="s">
        <v>4569</v>
      </c>
      <c r="BP162" t="s">
        <v>4569</v>
      </c>
      <c r="BR162" t="s">
        <v>4569</v>
      </c>
      <c r="BT162" t="s">
        <v>4569</v>
      </c>
      <c r="BX162" t="s">
        <v>4569</v>
      </c>
      <c r="CB162">
        <v>1</v>
      </c>
      <c r="CM162">
        <v>1</v>
      </c>
      <c r="CO162">
        <v>1</v>
      </c>
      <c r="CP162">
        <v>3</v>
      </c>
      <c r="CQ162">
        <v>4</v>
      </c>
      <c r="CR162">
        <v>1</v>
      </c>
      <c r="CS162">
        <v>1</v>
      </c>
      <c r="CT162">
        <v>2</v>
      </c>
      <c r="CU162">
        <v>2</v>
      </c>
      <c r="CW162">
        <v>4</v>
      </c>
      <c r="CX162">
        <v>4</v>
      </c>
      <c r="CY162">
        <v>4</v>
      </c>
      <c r="CZ162">
        <v>4</v>
      </c>
      <c r="DA162">
        <v>4</v>
      </c>
      <c r="DB162">
        <v>4</v>
      </c>
      <c r="DC162">
        <v>7</v>
      </c>
      <c r="DD162">
        <v>4</v>
      </c>
      <c r="DE162">
        <v>4</v>
      </c>
      <c r="DF162">
        <v>3</v>
      </c>
      <c r="DG162">
        <v>3</v>
      </c>
      <c r="DH162">
        <v>3</v>
      </c>
      <c r="DI162">
        <v>3</v>
      </c>
      <c r="DJ162">
        <v>3</v>
      </c>
      <c r="DK162">
        <v>3</v>
      </c>
      <c r="DL162">
        <v>4</v>
      </c>
      <c r="DM162">
        <v>2</v>
      </c>
      <c r="DN162">
        <v>4</v>
      </c>
      <c r="DO162">
        <v>4</v>
      </c>
      <c r="DP162">
        <v>4</v>
      </c>
      <c r="DQ162">
        <v>5</v>
      </c>
      <c r="DR162">
        <v>4</v>
      </c>
      <c r="DS162">
        <v>4</v>
      </c>
      <c r="DT162">
        <v>4</v>
      </c>
      <c r="DU162">
        <v>5</v>
      </c>
      <c r="DV162">
        <v>5</v>
      </c>
      <c r="DW162">
        <v>7</v>
      </c>
      <c r="DX162">
        <v>4</v>
      </c>
      <c r="DY162">
        <v>4</v>
      </c>
      <c r="DZ162">
        <v>4</v>
      </c>
      <c r="EA162">
        <v>5</v>
      </c>
      <c r="EB162">
        <v>4</v>
      </c>
      <c r="EC162">
        <v>4</v>
      </c>
      <c r="ED162">
        <v>4</v>
      </c>
      <c r="EE162">
        <v>4</v>
      </c>
      <c r="EF162">
        <v>4</v>
      </c>
      <c r="EG162">
        <v>4</v>
      </c>
      <c r="EH162">
        <v>4</v>
      </c>
      <c r="EI162">
        <v>4</v>
      </c>
      <c r="EJ162">
        <v>5</v>
      </c>
      <c r="EK162">
        <v>4</v>
      </c>
      <c r="EL162">
        <v>4</v>
      </c>
      <c r="EM162">
        <v>7</v>
      </c>
      <c r="EN162">
        <v>7</v>
      </c>
      <c r="EO162">
        <v>4</v>
      </c>
      <c r="EP162">
        <v>4</v>
      </c>
      <c r="EQ162">
        <v>4</v>
      </c>
      <c r="ER162">
        <v>4</v>
      </c>
      <c r="ES162">
        <v>4</v>
      </c>
      <c r="ET162">
        <v>6</v>
      </c>
      <c r="EU162">
        <v>4</v>
      </c>
      <c r="EV162">
        <v>4</v>
      </c>
      <c r="EW162">
        <v>4</v>
      </c>
      <c r="EY162">
        <v>4</v>
      </c>
      <c r="EZ162">
        <v>4</v>
      </c>
      <c r="FA162">
        <v>4</v>
      </c>
      <c r="FB162">
        <v>5</v>
      </c>
      <c r="FC162">
        <v>4</v>
      </c>
      <c r="FD162">
        <v>4</v>
      </c>
      <c r="FE162">
        <v>4</v>
      </c>
      <c r="FF162">
        <v>3</v>
      </c>
      <c r="FG162">
        <v>5</v>
      </c>
      <c r="FH162">
        <v>5</v>
      </c>
      <c r="FI162">
        <v>5</v>
      </c>
      <c r="FJ162">
        <v>5</v>
      </c>
      <c r="FK162">
        <v>4</v>
      </c>
      <c r="FL162">
        <v>4</v>
      </c>
      <c r="FM162">
        <v>5</v>
      </c>
      <c r="FN162">
        <v>4</v>
      </c>
      <c r="FO162">
        <v>5</v>
      </c>
      <c r="FP162">
        <v>5</v>
      </c>
      <c r="FQ162">
        <v>5</v>
      </c>
      <c r="FR162">
        <v>5</v>
      </c>
      <c r="FS162">
        <v>5</v>
      </c>
      <c r="FT162">
        <v>4</v>
      </c>
      <c r="FU162">
        <v>2</v>
      </c>
      <c r="FV162">
        <v>4</v>
      </c>
      <c r="FY162">
        <v>4</v>
      </c>
      <c r="FZ162">
        <v>4</v>
      </c>
      <c r="GB162">
        <v>4</v>
      </c>
      <c r="GC162">
        <v>4</v>
      </c>
      <c r="GG162">
        <v>4</v>
      </c>
      <c r="GY162">
        <v>3</v>
      </c>
      <c r="HA162">
        <v>4</v>
      </c>
      <c r="HB162">
        <v>4</v>
      </c>
      <c r="HC162">
        <v>4</v>
      </c>
      <c r="HD162">
        <v>4</v>
      </c>
      <c r="HE162">
        <v>4</v>
      </c>
      <c r="HF162">
        <v>4</v>
      </c>
      <c r="HG162">
        <v>4</v>
      </c>
      <c r="HH162">
        <v>4</v>
      </c>
      <c r="HI162">
        <v>4</v>
      </c>
      <c r="HJ162">
        <v>4</v>
      </c>
      <c r="HK162">
        <v>4</v>
      </c>
      <c r="HL162">
        <v>4</v>
      </c>
      <c r="HM162">
        <v>4</v>
      </c>
      <c r="HN162">
        <v>4</v>
      </c>
      <c r="HO162">
        <v>4</v>
      </c>
      <c r="HP162">
        <v>4</v>
      </c>
      <c r="HQ162">
        <v>4</v>
      </c>
      <c r="HR162">
        <v>5</v>
      </c>
      <c r="HS162">
        <v>5</v>
      </c>
      <c r="HT162">
        <v>6</v>
      </c>
      <c r="HU162">
        <v>6</v>
      </c>
      <c r="HV162">
        <v>7</v>
      </c>
      <c r="HW162">
        <v>7</v>
      </c>
      <c r="HX162">
        <v>5</v>
      </c>
      <c r="HY162">
        <v>5</v>
      </c>
      <c r="HZ162">
        <v>5</v>
      </c>
      <c r="IA162">
        <v>5</v>
      </c>
      <c r="IB162">
        <v>4</v>
      </c>
      <c r="IC162">
        <v>4</v>
      </c>
      <c r="ID162">
        <v>4</v>
      </c>
      <c r="IE162">
        <v>4</v>
      </c>
      <c r="IF162">
        <v>4</v>
      </c>
      <c r="IG162">
        <v>4</v>
      </c>
      <c r="IH162">
        <v>4</v>
      </c>
      <c r="II162">
        <v>4</v>
      </c>
    </row>
    <row r="163" spans="1:243" outlineLevel="1" x14ac:dyDescent="0.2">
      <c r="A163" t="str">
        <f t="shared" si="5"/>
        <v>Maurer</v>
      </c>
      <c r="EZ163" t="s">
        <v>4569</v>
      </c>
      <c r="FA163" t="s">
        <v>4569</v>
      </c>
      <c r="IF163" t="s">
        <v>4569</v>
      </c>
      <c r="IG163" t="s">
        <v>4569</v>
      </c>
      <c r="IH163" t="s">
        <v>4569</v>
      </c>
      <c r="II163" t="s">
        <v>4569</v>
      </c>
    </row>
    <row r="164" spans="1:243" outlineLevel="1" x14ac:dyDescent="0.2">
      <c r="A164" t="str">
        <f t="shared" si="5"/>
        <v>Metallguss</v>
      </c>
      <c r="EZ164" t="s">
        <v>4569</v>
      </c>
      <c r="FA164" t="s">
        <v>4569</v>
      </c>
      <c r="ID164">
        <v>1</v>
      </c>
      <c r="IE164">
        <v>3</v>
      </c>
      <c r="IF164" t="s">
        <v>4569</v>
      </c>
      <c r="IG164" t="s">
        <v>4569</v>
      </c>
      <c r="IH164" t="s">
        <v>4569</v>
      </c>
      <c r="II164" t="s">
        <v>4569</v>
      </c>
    </row>
    <row r="165" spans="1:243" outlineLevel="1" x14ac:dyDescent="0.2">
      <c r="A165" t="str">
        <f t="shared" si="5"/>
        <v>Musizieren</v>
      </c>
      <c r="P165">
        <v>3</v>
      </c>
      <c r="W165">
        <v>5</v>
      </c>
      <c r="AC165">
        <v>4</v>
      </c>
      <c r="AD165">
        <v>3</v>
      </c>
      <c r="AJ165">
        <v>5</v>
      </c>
      <c r="AO165">
        <v>4</v>
      </c>
      <c r="AP165">
        <v>5</v>
      </c>
      <c r="AQ165">
        <v>5</v>
      </c>
      <c r="AR165">
        <v>4</v>
      </c>
      <c r="AS165">
        <v>4</v>
      </c>
      <c r="CB165">
        <v>7</v>
      </c>
      <c r="DD165">
        <v>2</v>
      </c>
      <c r="DE165">
        <v>2</v>
      </c>
      <c r="DT165">
        <v>2</v>
      </c>
      <c r="EB165">
        <v>1</v>
      </c>
      <c r="EZ165" t="s">
        <v>4569</v>
      </c>
      <c r="FA165" t="s">
        <v>4569</v>
      </c>
      <c r="FT165">
        <v>3</v>
      </c>
      <c r="GF165">
        <v>3</v>
      </c>
      <c r="GG165">
        <v>3</v>
      </c>
      <c r="GH165">
        <v>3</v>
      </c>
      <c r="GI165">
        <v>3</v>
      </c>
      <c r="GJ165">
        <v>3</v>
      </c>
      <c r="GK165">
        <v>3</v>
      </c>
      <c r="GL165">
        <v>3</v>
      </c>
      <c r="GN165">
        <v>4</v>
      </c>
      <c r="GO165">
        <v>4</v>
      </c>
      <c r="GP165">
        <v>4</v>
      </c>
      <c r="GQ165">
        <v>4</v>
      </c>
      <c r="GR165">
        <v>4</v>
      </c>
      <c r="GS165">
        <v>4</v>
      </c>
      <c r="GT165">
        <v>4</v>
      </c>
      <c r="GU165">
        <v>4</v>
      </c>
      <c r="GV165">
        <v>4</v>
      </c>
      <c r="GW165">
        <v>4</v>
      </c>
      <c r="GY165">
        <v>4</v>
      </c>
      <c r="HX165">
        <v>3</v>
      </c>
      <c r="HY165">
        <v>3</v>
      </c>
      <c r="IF165" t="s">
        <v>4569</v>
      </c>
      <c r="IG165" t="s">
        <v>4569</v>
      </c>
      <c r="IH165" t="s">
        <v>4569</v>
      </c>
      <c r="II165" t="s">
        <v>4569</v>
      </c>
    </row>
    <row r="166" spans="1:243" outlineLevel="1" x14ac:dyDescent="0.2">
      <c r="A166" t="str">
        <f t="shared" si="5"/>
        <v>Schlösser Knacken</v>
      </c>
      <c r="BP166">
        <v>1</v>
      </c>
      <c r="EZ166">
        <v>1</v>
      </c>
      <c r="FA166">
        <v>1</v>
      </c>
      <c r="GD166">
        <v>1</v>
      </c>
      <c r="IF166" t="s">
        <v>4569</v>
      </c>
      <c r="IG166" t="s">
        <v>4569</v>
      </c>
      <c r="IH166" t="s">
        <v>4569</v>
      </c>
      <c r="II166" t="s">
        <v>4569</v>
      </c>
    </row>
    <row r="167" spans="1:243" outlineLevel="1" x14ac:dyDescent="0.2">
      <c r="A167" t="str">
        <f t="shared" si="5"/>
        <v>Schnaps Brennen</v>
      </c>
      <c r="CN167">
        <v>1</v>
      </c>
      <c r="EZ167" t="s">
        <v>4569</v>
      </c>
      <c r="FA167" t="s">
        <v>4569</v>
      </c>
      <c r="HI167">
        <v>1</v>
      </c>
      <c r="HJ167">
        <v>1</v>
      </c>
      <c r="IF167" t="s">
        <v>4569</v>
      </c>
      <c r="IG167" t="s">
        <v>4569</v>
      </c>
      <c r="IH167" t="s">
        <v>4569</v>
      </c>
      <c r="II167" t="s">
        <v>4569</v>
      </c>
    </row>
    <row r="168" spans="1:243" outlineLevel="1" x14ac:dyDescent="0.2">
      <c r="A168" t="str">
        <f t="shared" si="5"/>
        <v>Schneidern</v>
      </c>
      <c r="C168">
        <v>1</v>
      </c>
      <c r="D168">
        <v>1</v>
      </c>
      <c r="E168">
        <v>1</v>
      </c>
      <c r="F168">
        <v>1</v>
      </c>
      <c r="G168">
        <v>1</v>
      </c>
      <c r="H168">
        <v>1</v>
      </c>
      <c r="I168">
        <v>1</v>
      </c>
      <c r="J168">
        <v>1</v>
      </c>
      <c r="K168">
        <v>1</v>
      </c>
      <c r="L168">
        <v>1</v>
      </c>
      <c r="M168">
        <v>1</v>
      </c>
      <c r="N168">
        <v>1</v>
      </c>
      <c r="AZ168">
        <v>3</v>
      </c>
      <c r="BA168">
        <v>3</v>
      </c>
      <c r="BB168">
        <v>3</v>
      </c>
      <c r="BC168">
        <v>2</v>
      </c>
      <c r="BD168">
        <v>2</v>
      </c>
      <c r="BE168">
        <v>2</v>
      </c>
      <c r="BF168">
        <v>3</v>
      </c>
      <c r="BG168">
        <v>2</v>
      </c>
      <c r="BN168">
        <v>2</v>
      </c>
      <c r="BP168">
        <v>1</v>
      </c>
      <c r="BR168">
        <v>1</v>
      </c>
      <c r="BT168">
        <v>2</v>
      </c>
      <c r="BX168">
        <v>2</v>
      </c>
      <c r="CB168">
        <v>1</v>
      </c>
      <c r="CN168">
        <v>1</v>
      </c>
      <c r="CY168">
        <v>1</v>
      </c>
      <c r="DZ168">
        <v>2</v>
      </c>
      <c r="EE168">
        <v>1</v>
      </c>
      <c r="EH168">
        <v>2</v>
      </c>
      <c r="EI168">
        <v>2</v>
      </c>
      <c r="ES168">
        <v>1</v>
      </c>
      <c r="EZ168" t="s">
        <v>4569</v>
      </c>
      <c r="FA168" t="s">
        <v>4569</v>
      </c>
      <c r="FU168">
        <v>2</v>
      </c>
      <c r="FZ168">
        <v>4</v>
      </c>
      <c r="GA168">
        <v>3</v>
      </c>
      <c r="GB168">
        <v>3</v>
      </c>
      <c r="GF168">
        <v>1</v>
      </c>
      <c r="GG168">
        <v>1</v>
      </c>
      <c r="GH168">
        <v>1</v>
      </c>
      <c r="GI168">
        <v>1</v>
      </c>
      <c r="GJ168">
        <v>1</v>
      </c>
      <c r="GK168">
        <v>1</v>
      </c>
      <c r="GL168">
        <v>1</v>
      </c>
      <c r="GN168">
        <v>2</v>
      </c>
      <c r="GO168">
        <v>2</v>
      </c>
      <c r="GP168">
        <v>2</v>
      </c>
      <c r="GQ168">
        <v>2</v>
      </c>
      <c r="GR168">
        <v>2</v>
      </c>
      <c r="GS168">
        <v>2</v>
      </c>
      <c r="GT168">
        <v>2</v>
      </c>
      <c r="GU168">
        <v>2</v>
      </c>
      <c r="GV168">
        <v>2</v>
      </c>
      <c r="GW168">
        <v>2</v>
      </c>
      <c r="IF168" t="s">
        <v>4569</v>
      </c>
      <c r="IG168" t="s">
        <v>4569</v>
      </c>
      <c r="IH168" t="s">
        <v>4569</v>
      </c>
      <c r="II168" t="s">
        <v>4569</v>
      </c>
    </row>
    <row r="169" spans="1:243" outlineLevel="1" x14ac:dyDescent="0.2">
      <c r="A169" t="str">
        <f t="shared" si="5"/>
        <v>Seefahrt</v>
      </c>
      <c r="CQ169">
        <v>4</v>
      </c>
      <c r="CT169">
        <v>4</v>
      </c>
      <c r="CU169">
        <v>4</v>
      </c>
      <c r="CX169">
        <v>4</v>
      </c>
      <c r="DW169">
        <v>3</v>
      </c>
      <c r="EZ169" t="s">
        <v>4569</v>
      </c>
      <c r="FA169" t="s">
        <v>4569</v>
      </c>
      <c r="FG169">
        <v>2</v>
      </c>
      <c r="FH169">
        <v>2</v>
      </c>
      <c r="FI169">
        <v>2</v>
      </c>
      <c r="FJ169">
        <v>2</v>
      </c>
      <c r="FV169">
        <v>3</v>
      </c>
      <c r="GL169">
        <v>2</v>
      </c>
      <c r="IF169" t="s">
        <v>4569</v>
      </c>
      <c r="IG169" t="s">
        <v>4569</v>
      </c>
      <c r="IH169" t="s">
        <v>4569</v>
      </c>
      <c r="II169" t="s">
        <v>4569</v>
      </c>
    </row>
    <row r="170" spans="1:243" outlineLevel="1" x14ac:dyDescent="0.2">
      <c r="A170" t="str">
        <f t="shared" si="5"/>
        <v>Seiler</v>
      </c>
      <c r="EZ170" t="s">
        <v>4569</v>
      </c>
      <c r="FA170" t="s">
        <v>4569</v>
      </c>
      <c r="IF170" t="s">
        <v>4569</v>
      </c>
      <c r="IG170" t="s">
        <v>4569</v>
      </c>
      <c r="IH170" t="s">
        <v>4569</v>
      </c>
      <c r="II170" t="s">
        <v>4569</v>
      </c>
    </row>
    <row r="171" spans="1:243" outlineLevel="1" x14ac:dyDescent="0.2">
      <c r="A171" t="str">
        <f t="shared" si="5"/>
        <v>Steinmetz</v>
      </c>
      <c r="EZ171" t="s">
        <v>4569</v>
      </c>
      <c r="FA171" t="s">
        <v>4569</v>
      </c>
      <c r="IF171" t="s">
        <v>4569</v>
      </c>
      <c r="IG171" t="s">
        <v>4569</v>
      </c>
      <c r="IH171" t="s">
        <v>4569</v>
      </c>
      <c r="II171" t="s">
        <v>4569</v>
      </c>
    </row>
    <row r="172" spans="1:243" outlineLevel="1" x14ac:dyDescent="0.2">
      <c r="A172" t="str">
        <f t="shared" si="5"/>
        <v>Steinschneider/Juwelier</v>
      </c>
      <c r="BI172">
        <v>6</v>
      </c>
      <c r="BJ172">
        <v>6</v>
      </c>
      <c r="EZ172" t="s">
        <v>4569</v>
      </c>
      <c r="FA172" t="s">
        <v>4569</v>
      </c>
      <c r="FM172">
        <v>2</v>
      </c>
      <c r="IF172" t="s">
        <v>4569</v>
      </c>
      <c r="IG172" t="s">
        <v>4569</v>
      </c>
      <c r="IH172" t="s">
        <v>4569</v>
      </c>
      <c r="II172" t="s">
        <v>4569</v>
      </c>
    </row>
    <row r="173" spans="1:243" outlineLevel="1" x14ac:dyDescent="0.2">
      <c r="A173" t="str">
        <f t="shared" si="5"/>
        <v>Stellmacher</v>
      </c>
      <c r="EZ173" t="s">
        <v>4569</v>
      </c>
      <c r="FA173" t="s">
        <v>4569</v>
      </c>
      <c r="IF173" t="s">
        <v>4569</v>
      </c>
      <c r="IG173" t="s">
        <v>4569</v>
      </c>
      <c r="IH173" t="s">
        <v>4569</v>
      </c>
      <c r="II173" t="s">
        <v>4569</v>
      </c>
    </row>
    <row r="174" spans="1:243" outlineLevel="1" x14ac:dyDescent="0.2">
      <c r="A174" t="str">
        <f t="shared" si="5"/>
        <v>Steuermann</v>
      </c>
      <c r="CT174">
        <v>1</v>
      </c>
      <c r="CU174">
        <v>1</v>
      </c>
      <c r="EZ174" t="s">
        <v>4569</v>
      </c>
      <c r="FA174" t="s">
        <v>4569</v>
      </c>
      <c r="IF174" t="s">
        <v>4569</v>
      </c>
      <c r="IG174" t="s">
        <v>4569</v>
      </c>
      <c r="IH174" t="s">
        <v>4569</v>
      </c>
      <c r="II174" t="s">
        <v>4569</v>
      </c>
    </row>
    <row r="175" spans="1:243" outlineLevel="1" x14ac:dyDescent="0.2">
      <c r="A175" t="str">
        <f t="shared" si="5"/>
        <v>Stoffe Färben</v>
      </c>
      <c r="EZ175" t="s">
        <v>4569</v>
      </c>
      <c r="FA175" t="s">
        <v>4569</v>
      </c>
      <c r="HA175">
        <v>2</v>
      </c>
      <c r="HB175">
        <v>2</v>
      </c>
      <c r="HC175">
        <v>2</v>
      </c>
      <c r="HD175">
        <v>2</v>
      </c>
      <c r="HE175">
        <v>2</v>
      </c>
      <c r="HF175">
        <v>2</v>
      </c>
      <c r="HG175">
        <v>2</v>
      </c>
      <c r="HH175">
        <v>2</v>
      </c>
      <c r="HI175">
        <v>2</v>
      </c>
      <c r="HJ175">
        <v>2</v>
      </c>
      <c r="HK175">
        <v>2</v>
      </c>
      <c r="HL175">
        <v>2</v>
      </c>
      <c r="HM175">
        <v>2</v>
      </c>
      <c r="HN175">
        <v>2</v>
      </c>
      <c r="HO175">
        <v>2</v>
      </c>
      <c r="HP175">
        <v>2</v>
      </c>
      <c r="HQ175">
        <v>2</v>
      </c>
      <c r="HR175">
        <v>2</v>
      </c>
      <c r="HS175">
        <v>2</v>
      </c>
      <c r="HT175">
        <v>2</v>
      </c>
      <c r="HU175">
        <v>2</v>
      </c>
      <c r="HV175">
        <v>2</v>
      </c>
      <c r="HW175">
        <v>2</v>
      </c>
      <c r="HX175">
        <v>2</v>
      </c>
      <c r="HY175">
        <v>2</v>
      </c>
      <c r="HZ175">
        <v>2</v>
      </c>
      <c r="IA175">
        <v>2</v>
      </c>
      <c r="IB175">
        <v>2</v>
      </c>
      <c r="IC175">
        <v>2</v>
      </c>
      <c r="ID175">
        <v>2</v>
      </c>
      <c r="IE175">
        <v>2</v>
      </c>
      <c r="IF175">
        <v>2</v>
      </c>
      <c r="IG175">
        <v>2</v>
      </c>
      <c r="IH175">
        <v>2</v>
      </c>
      <c r="II175">
        <v>2</v>
      </c>
    </row>
    <row r="176" spans="1:243" outlineLevel="1" x14ac:dyDescent="0.2">
      <c r="A176" t="str">
        <f t="shared" si="5"/>
        <v>Tätowieren</v>
      </c>
      <c r="EZ176" t="s">
        <v>4569</v>
      </c>
      <c r="FA176" t="s">
        <v>4569</v>
      </c>
      <c r="IF176" t="s">
        <v>4569</v>
      </c>
      <c r="IG176" t="s">
        <v>4569</v>
      </c>
      <c r="IH176" t="s">
        <v>4569</v>
      </c>
      <c r="II176" t="s">
        <v>4569</v>
      </c>
    </row>
    <row r="177" spans="1:245" outlineLevel="1" x14ac:dyDescent="0.2">
      <c r="A177" t="str">
        <f t="shared" si="5"/>
        <v>Töpfern</v>
      </c>
      <c r="EZ177" t="s">
        <v>4569</v>
      </c>
      <c r="FA177" t="s">
        <v>4569</v>
      </c>
      <c r="IF177" t="s">
        <v>4569</v>
      </c>
      <c r="IG177" t="s">
        <v>4569</v>
      </c>
      <c r="IH177" t="s">
        <v>4569</v>
      </c>
      <c r="II177" t="s">
        <v>4569</v>
      </c>
    </row>
    <row r="178" spans="1:245" outlineLevel="1" x14ac:dyDescent="0.2">
      <c r="A178" t="str">
        <f t="shared" si="5"/>
        <v>Viehzucht</v>
      </c>
      <c r="G178">
        <v>1</v>
      </c>
      <c r="BA178">
        <v>1</v>
      </c>
      <c r="BM178">
        <v>4</v>
      </c>
      <c r="BQ178">
        <v>4</v>
      </c>
      <c r="BU178">
        <v>4</v>
      </c>
      <c r="BW178">
        <v>4</v>
      </c>
      <c r="BZ178">
        <v>4</v>
      </c>
      <c r="CA178">
        <v>4</v>
      </c>
      <c r="EZ178" t="s">
        <v>4569</v>
      </c>
      <c r="FA178" t="s">
        <v>4569</v>
      </c>
      <c r="FL178">
        <v>2</v>
      </c>
      <c r="FU178">
        <v>2</v>
      </c>
      <c r="IF178" t="s">
        <v>4569</v>
      </c>
      <c r="IG178" t="s">
        <v>4569</v>
      </c>
      <c r="IH178" t="s">
        <v>4569</v>
      </c>
      <c r="II178" t="s">
        <v>4569</v>
      </c>
    </row>
    <row r="179" spans="1:245" outlineLevel="1" x14ac:dyDescent="0.2">
      <c r="A179" t="str">
        <f t="shared" si="5"/>
        <v>Webkunst</v>
      </c>
      <c r="EZ179" t="s">
        <v>4569</v>
      </c>
      <c r="FA179" t="s">
        <v>4569</v>
      </c>
      <c r="IF179" t="s">
        <v>4569</v>
      </c>
      <c r="IG179" t="s">
        <v>4569</v>
      </c>
      <c r="IH179" t="s">
        <v>4569</v>
      </c>
      <c r="II179" t="s">
        <v>4569</v>
      </c>
    </row>
    <row r="180" spans="1:245" outlineLevel="1" x14ac:dyDescent="0.2">
      <c r="A180" t="str">
        <f t="shared" si="5"/>
        <v>Winzer</v>
      </c>
      <c r="EY180">
        <v>3</v>
      </c>
      <c r="EZ180" t="s">
        <v>4569</v>
      </c>
      <c r="FA180" t="s">
        <v>4569</v>
      </c>
      <c r="IF180" t="s">
        <v>4569</v>
      </c>
      <c r="IG180" t="s">
        <v>4569</v>
      </c>
      <c r="IH180" t="s">
        <v>4569</v>
      </c>
      <c r="II180" t="s">
        <v>4569</v>
      </c>
    </row>
    <row r="181" spans="1:245" outlineLevel="1" x14ac:dyDescent="0.2">
      <c r="A181" t="str">
        <f t="shared" si="5"/>
        <v>Zimmermann</v>
      </c>
      <c r="CQ181">
        <v>7</v>
      </c>
      <c r="EZ181" t="s">
        <v>4569</v>
      </c>
      <c r="FA181" t="s">
        <v>4569</v>
      </c>
      <c r="IF181" t="s">
        <v>4569</v>
      </c>
      <c r="IG181" t="s">
        <v>4569</v>
      </c>
      <c r="IH181" t="s">
        <v>4569</v>
      </c>
      <c r="II181" t="s">
        <v>4569</v>
      </c>
    </row>
    <row r="182" spans="1:245" ht="12.75" customHeight="1" outlineLevel="1" x14ac:dyDescent="0.2">
      <c r="A182" t="str">
        <f t="shared" ref="A182:A227" si="6">INDEX(SPRACHEN,ROW()-IDX_S+1)</f>
        <v>Alaani ('Norbardisch')</v>
      </c>
      <c r="B182" t="s">
        <v>1642</v>
      </c>
      <c r="O182" t="s">
        <v>1642</v>
      </c>
      <c r="AT182" t="s">
        <v>1642</v>
      </c>
      <c r="AY182" t="s">
        <v>1642</v>
      </c>
      <c r="BH182" t="s">
        <v>1642</v>
      </c>
      <c r="BK182" t="s">
        <v>1642</v>
      </c>
      <c r="CV182" t="s">
        <v>1642</v>
      </c>
      <c r="DT182">
        <v>3</v>
      </c>
      <c r="EE182">
        <v>4</v>
      </c>
      <c r="EF182">
        <v>6</v>
      </c>
      <c r="EX182" t="s">
        <v>1642</v>
      </c>
      <c r="EZ182" t="s">
        <v>4569</v>
      </c>
      <c r="FA182" t="s">
        <v>4569</v>
      </c>
      <c r="FW182" t="s">
        <v>1642</v>
      </c>
      <c r="GE182" t="s">
        <v>1642</v>
      </c>
      <c r="GM182" t="s">
        <v>1642</v>
      </c>
      <c r="GX182" t="s">
        <v>1642</v>
      </c>
      <c r="IB182">
        <v>6</v>
      </c>
      <c r="IC182">
        <v>6</v>
      </c>
      <c r="IJ182" t="s">
        <v>1642</v>
      </c>
    </row>
    <row r="183" spans="1:245" outlineLevel="1" x14ac:dyDescent="0.2">
      <c r="A183" t="str">
        <f t="shared" si="6"/>
        <v>Alberned (Dialekt)</v>
      </c>
      <c r="EZ183" t="s">
        <v>4569</v>
      </c>
      <c r="FA183" t="s">
        <v>4569</v>
      </c>
      <c r="IF183" t="s">
        <v>4569</v>
      </c>
      <c r="IG183" t="s">
        <v>4569</v>
      </c>
      <c r="IH183" t="s">
        <v>4569</v>
      </c>
      <c r="II183" t="s">
        <v>4569</v>
      </c>
    </row>
    <row r="184" spans="1:245" ht="12.75" customHeight="1" outlineLevel="1" x14ac:dyDescent="0.2">
      <c r="A184" t="str">
        <f t="shared" si="6"/>
        <v>Andergastisch (Dialekt)</v>
      </c>
      <c r="EZ184" t="s">
        <v>4569</v>
      </c>
      <c r="FA184" t="s">
        <v>4569</v>
      </c>
      <c r="IF184" t="s">
        <v>4569</v>
      </c>
      <c r="IG184" t="s">
        <v>4569</v>
      </c>
      <c r="IH184" t="s">
        <v>4569</v>
      </c>
      <c r="II184" t="s">
        <v>4569</v>
      </c>
    </row>
    <row r="185" spans="1:245" outlineLevel="1" x14ac:dyDescent="0.2">
      <c r="A185" t="str">
        <f t="shared" si="6"/>
        <v>Angram</v>
      </c>
      <c r="AU185">
        <v>7</v>
      </c>
      <c r="AV185">
        <v>7</v>
      </c>
      <c r="AW185">
        <v>7</v>
      </c>
      <c r="AX185">
        <v>7</v>
      </c>
      <c r="EZ185" t="s">
        <v>4569</v>
      </c>
      <c r="FA185" t="s">
        <v>4569</v>
      </c>
      <c r="IE185">
        <v>8</v>
      </c>
      <c r="IF185" t="s">
        <v>4569</v>
      </c>
      <c r="IG185" t="s">
        <v>4569</v>
      </c>
      <c r="IH185" t="s">
        <v>4569</v>
      </c>
      <c r="II185" t="s">
        <v>4569</v>
      </c>
    </row>
    <row r="186" spans="1:245" ht="12.75" customHeight="1" outlineLevel="1" x14ac:dyDescent="0.2">
      <c r="A186" t="str">
        <f t="shared" si="6"/>
        <v>Asdharia</v>
      </c>
      <c r="W186">
        <v>8</v>
      </c>
      <c r="AC186">
        <v>8</v>
      </c>
      <c r="AJ186">
        <v>8</v>
      </c>
      <c r="AO186">
        <v>8</v>
      </c>
      <c r="AP186">
        <v>8</v>
      </c>
      <c r="AQ186">
        <v>8</v>
      </c>
      <c r="EZ186" t="s">
        <v>4569</v>
      </c>
      <c r="FA186" t="s">
        <v>4569</v>
      </c>
      <c r="FT186">
        <v>4</v>
      </c>
      <c r="IF186" t="s">
        <v>4569</v>
      </c>
      <c r="IG186" t="s">
        <v>4569</v>
      </c>
      <c r="IH186" t="s">
        <v>4569</v>
      </c>
      <c r="II186" t="s">
        <v>4569</v>
      </c>
    </row>
    <row r="187" spans="1:245" outlineLevel="1" x14ac:dyDescent="0.2">
      <c r="A187" t="str">
        <f t="shared" si="6"/>
        <v>Atak (inkl.  Schrift)</v>
      </c>
      <c r="EZ187" t="s">
        <v>4569</v>
      </c>
      <c r="FA187" t="s">
        <v>4569</v>
      </c>
      <c r="GD187">
        <v>4</v>
      </c>
      <c r="IF187" t="s">
        <v>4569</v>
      </c>
      <c r="IG187" t="s">
        <v>4569</v>
      </c>
      <c r="IH187" t="s">
        <v>4569</v>
      </c>
      <c r="II187" t="s">
        <v>4569</v>
      </c>
    </row>
    <row r="188" spans="1:245" ht="12.75" customHeight="1" outlineLevel="1" x14ac:dyDescent="0.2">
      <c r="A188" t="str">
        <f t="shared" si="6"/>
        <v>Aureliani ('Altgüldenländisch')</v>
      </c>
      <c r="DB188">
        <v>4</v>
      </c>
      <c r="DX188">
        <v>4</v>
      </c>
      <c r="DY188">
        <v>4</v>
      </c>
      <c r="EB188">
        <v>4</v>
      </c>
      <c r="EG188">
        <v>6</v>
      </c>
      <c r="EK188">
        <v>4</v>
      </c>
      <c r="EL188">
        <v>4</v>
      </c>
      <c r="EZ188" t="s">
        <v>4569</v>
      </c>
      <c r="FA188" t="s">
        <v>4569</v>
      </c>
      <c r="FF188">
        <v>3</v>
      </c>
      <c r="FO188">
        <v>5</v>
      </c>
      <c r="FU188">
        <v>3</v>
      </c>
      <c r="HR188">
        <v>4</v>
      </c>
      <c r="HS188">
        <v>4</v>
      </c>
      <c r="HT188">
        <v>4</v>
      </c>
      <c r="HU188">
        <v>4</v>
      </c>
      <c r="HV188">
        <v>4</v>
      </c>
      <c r="HW188">
        <v>4</v>
      </c>
      <c r="HX188">
        <v>4</v>
      </c>
      <c r="HY188">
        <v>4</v>
      </c>
      <c r="HZ188">
        <v>4</v>
      </c>
      <c r="IA188">
        <v>4</v>
      </c>
      <c r="IF188" t="s">
        <v>4569</v>
      </c>
      <c r="IG188" t="s">
        <v>4569</v>
      </c>
      <c r="IH188" t="s">
        <v>4569</v>
      </c>
      <c r="II188" t="s">
        <v>4569</v>
      </c>
      <c r="IK188">
        <v>1</v>
      </c>
    </row>
    <row r="189" spans="1:245" outlineLevel="1" x14ac:dyDescent="0.2">
      <c r="A189" t="str">
        <f t="shared" si="6"/>
        <v>Bornländisch  (Dialekt)</v>
      </c>
      <c r="EZ189" t="s">
        <v>4569</v>
      </c>
      <c r="FA189" t="s">
        <v>4569</v>
      </c>
      <c r="IF189" t="s">
        <v>4569</v>
      </c>
      <c r="IG189" t="s">
        <v>4569</v>
      </c>
      <c r="IH189" t="s">
        <v>4569</v>
      </c>
      <c r="II189" t="s">
        <v>4569</v>
      </c>
    </row>
    <row r="190" spans="1:245" ht="12.75" customHeight="1" outlineLevel="1" x14ac:dyDescent="0.2">
      <c r="A190" t="str">
        <f t="shared" si="6"/>
        <v>Bosparano</v>
      </c>
      <c r="CW190">
        <v>5</v>
      </c>
      <c r="CX190">
        <v>5</v>
      </c>
      <c r="CY190">
        <v>6</v>
      </c>
      <c r="CZ190" t="s">
        <v>4484</v>
      </c>
      <c r="DA190">
        <v>8</v>
      </c>
      <c r="DB190">
        <v>6</v>
      </c>
      <c r="DC190">
        <v>6</v>
      </c>
      <c r="DD190">
        <v>5</v>
      </c>
      <c r="DE190">
        <v>5</v>
      </c>
      <c r="DF190">
        <v>4</v>
      </c>
      <c r="DG190">
        <v>4</v>
      </c>
      <c r="DH190">
        <v>4</v>
      </c>
      <c r="DI190">
        <v>4</v>
      </c>
      <c r="DJ190">
        <v>4</v>
      </c>
      <c r="DK190">
        <v>4</v>
      </c>
      <c r="DL190">
        <v>4</v>
      </c>
      <c r="DM190" t="s">
        <v>4484</v>
      </c>
      <c r="DN190">
        <v>6</v>
      </c>
      <c r="DO190">
        <v>6</v>
      </c>
      <c r="DP190">
        <v>4</v>
      </c>
      <c r="DQ190">
        <v>5</v>
      </c>
      <c r="DR190" t="s">
        <v>4484</v>
      </c>
      <c r="DS190">
        <v>4</v>
      </c>
      <c r="DT190">
        <v>3</v>
      </c>
      <c r="DU190">
        <v>5</v>
      </c>
      <c r="DV190">
        <v>4</v>
      </c>
      <c r="DW190">
        <v>4</v>
      </c>
      <c r="DX190">
        <v>6</v>
      </c>
      <c r="DY190" t="s">
        <v>4484</v>
      </c>
      <c r="DZ190">
        <v>6</v>
      </c>
      <c r="EA190">
        <v>8</v>
      </c>
      <c r="EB190" t="s">
        <v>4484</v>
      </c>
      <c r="ED190">
        <v>5</v>
      </c>
      <c r="EE190">
        <v>6</v>
      </c>
      <c r="EF190" t="s">
        <v>4484</v>
      </c>
      <c r="EG190">
        <v>6</v>
      </c>
      <c r="EH190">
        <v>4</v>
      </c>
      <c r="EI190">
        <v>4</v>
      </c>
      <c r="EJ190">
        <v>6</v>
      </c>
      <c r="EK190" t="s">
        <v>4484</v>
      </c>
      <c r="EL190" t="s">
        <v>4484</v>
      </c>
      <c r="EO190">
        <v>6</v>
      </c>
      <c r="EP190">
        <v>6</v>
      </c>
      <c r="EQ190">
        <v>8</v>
      </c>
      <c r="ES190" t="s">
        <v>4484</v>
      </c>
      <c r="ET190" t="s">
        <v>4484</v>
      </c>
      <c r="EV190">
        <v>5</v>
      </c>
      <c r="EW190">
        <v>7</v>
      </c>
      <c r="EZ190" t="s">
        <v>4484</v>
      </c>
      <c r="FA190" t="s">
        <v>4484</v>
      </c>
      <c r="FC190">
        <v>6</v>
      </c>
      <c r="FD190">
        <v>6</v>
      </c>
      <c r="FF190">
        <v>5</v>
      </c>
      <c r="FG190">
        <v>5</v>
      </c>
      <c r="FH190">
        <v>5</v>
      </c>
      <c r="FI190">
        <v>5</v>
      </c>
      <c r="FJ190">
        <v>5</v>
      </c>
      <c r="FO190">
        <v>6</v>
      </c>
      <c r="FP190">
        <v>5</v>
      </c>
      <c r="FQ190">
        <v>5</v>
      </c>
      <c r="FR190">
        <v>5</v>
      </c>
      <c r="FS190">
        <v>5</v>
      </c>
      <c r="FU190">
        <v>3</v>
      </c>
      <c r="GA190">
        <v>2</v>
      </c>
      <c r="HO190">
        <v>6</v>
      </c>
      <c r="HP190">
        <v>6</v>
      </c>
      <c r="HQ190">
        <v>4</v>
      </c>
      <c r="HR190">
        <v>8</v>
      </c>
      <c r="HS190">
        <v>8</v>
      </c>
      <c r="HT190">
        <v>8</v>
      </c>
      <c r="HU190">
        <v>8</v>
      </c>
      <c r="HV190">
        <v>8</v>
      </c>
      <c r="HW190">
        <v>8</v>
      </c>
      <c r="HX190">
        <v>8</v>
      </c>
      <c r="HY190">
        <v>8</v>
      </c>
      <c r="HZ190">
        <v>8</v>
      </c>
      <c r="IA190">
        <v>8</v>
      </c>
      <c r="IB190" t="s">
        <v>4484</v>
      </c>
      <c r="IC190" t="s">
        <v>4484</v>
      </c>
      <c r="ID190">
        <v>5</v>
      </c>
      <c r="IF190" t="s">
        <v>4569</v>
      </c>
      <c r="IG190" t="s">
        <v>4569</v>
      </c>
      <c r="IH190" t="s">
        <v>4569</v>
      </c>
      <c r="II190" t="s">
        <v>4569</v>
      </c>
      <c r="IK190">
        <v>1</v>
      </c>
    </row>
    <row r="191" spans="1:245" outlineLevel="1" x14ac:dyDescent="0.2">
      <c r="A191" t="str">
        <f t="shared" si="6"/>
        <v>Brabaci  (Dialekt)</v>
      </c>
      <c r="CW191" t="s">
        <v>4484</v>
      </c>
      <c r="CX191" t="s">
        <v>4484</v>
      </c>
      <c r="DC191" t="s">
        <v>4484</v>
      </c>
      <c r="ED191" t="s">
        <v>4484</v>
      </c>
      <c r="EZ191" t="s">
        <v>4569</v>
      </c>
      <c r="FA191" t="s">
        <v>4569</v>
      </c>
      <c r="FV191" t="s">
        <v>4484</v>
      </c>
      <c r="HO191" t="s">
        <v>4484</v>
      </c>
      <c r="HP191" t="s">
        <v>4484</v>
      </c>
      <c r="IF191" t="s">
        <v>4569</v>
      </c>
      <c r="IG191" t="s">
        <v>4569</v>
      </c>
      <c r="IH191" t="s">
        <v>4569</v>
      </c>
      <c r="II191" t="s">
        <v>4569</v>
      </c>
    </row>
    <row r="192" spans="1:245" ht="12.75" customHeight="1" outlineLevel="1" x14ac:dyDescent="0.2">
      <c r="A192" t="str">
        <f t="shared" si="6"/>
        <v>Charypto  (Dialekt)</v>
      </c>
      <c r="EZ192" t="s">
        <v>4569</v>
      </c>
      <c r="FA192" t="s">
        <v>4569</v>
      </c>
      <c r="IF192" t="s">
        <v>4569</v>
      </c>
      <c r="IG192" t="s">
        <v>4569</v>
      </c>
      <c r="IH192" t="s">
        <v>4569</v>
      </c>
      <c r="II192" t="s">
        <v>4569</v>
      </c>
    </row>
    <row r="193" spans="1:245" outlineLevel="1" x14ac:dyDescent="0.2">
      <c r="A193" t="str">
        <f t="shared" si="6"/>
        <v>Drachisch</v>
      </c>
      <c r="EZ193" t="s">
        <v>4569</v>
      </c>
      <c r="FA193" t="s">
        <v>4569</v>
      </c>
      <c r="IF193" t="s">
        <v>4569</v>
      </c>
      <c r="IG193" t="s">
        <v>4569</v>
      </c>
      <c r="IH193" t="s">
        <v>4569</v>
      </c>
      <c r="II193" t="s">
        <v>4569</v>
      </c>
    </row>
    <row r="194" spans="1:245" ht="12.75" customHeight="1" outlineLevel="1" x14ac:dyDescent="0.2">
      <c r="A194" t="str">
        <f t="shared" si="6"/>
        <v>Ferkina</v>
      </c>
      <c r="H194">
        <v>4</v>
      </c>
      <c r="I194">
        <v>4</v>
      </c>
      <c r="J194">
        <v>4</v>
      </c>
      <c r="K194">
        <v>4</v>
      </c>
      <c r="L194">
        <v>4</v>
      </c>
      <c r="M194">
        <v>4</v>
      </c>
      <c r="N194">
        <v>4</v>
      </c>
      <c r="DF194">
        <v>2</v>
      </c>
      <c r="DG194">
        <v>2</v>
      </c>
      <c r="DH194">
        <v>2</v>
      </c>
      <c r="DI194">
        <v>2</v>
      </c>
      <c r="DJ194">
        <v>2</v>
      </c>
      <c r="DK194">
        <v>2</v>
      </c>
      <c r="EZ194" t="s">
        <v>4569</v>
      </c>
      <c r="FA194" t="s">
        <v>4569</v>
      </c>
      <c r="IF194" t="s">
        <v>4569</v>
      </c>
      <c r="IG194" t="s">
        <v>4569</v>
      </c>
      <c r="IH194" t="s">
        <v>4569</v>
      </c>
      <c r="II194" t="s">
        <v>4569</v>
      </c>
    </row>
    <row r="195" spans="1:245" outlineLevel="1" x14ac:dyDescent="0.2">
      <c r="A195" t="str">
        <f t="shared" si="6"/>
        <v>Fjarningsch</v>
      </c>
      <c r="EZ195" t="s">
        <v>4569</v>
      </c>
      <c r="FA195" t="s">
        <v>4569</v>
      </c>
      <c r="IF195" t="s">
        <v>4569</v>
      </c>
      <c r="IG195" t="s">
        <v>4569</v>
      </c>
      <c r="IH195" t="s">
        <v>4569</v>
      </c>
      <c r="II195" t="s">
        <v>4569</v>
      </c>
    </row>
    <row r="196" spans="1:245" ht="12.75" customHeight="1" outlineLevel="1" x14ac:dyDescent="0.2">
      <c r="A196" t="str">
        <f t="shared" si="6"/>
        <v>Füchsisch (inkl. 'Schrift')</v>
      </c>
      <c r="EZ196">
        <v>4</v>
      </c>
      <c r="FA196">
        <v>4</v>
      </c>
      <c r="IF196" t="s">
        <v>4569</v>
      </c>
      <c r="IG196" t="s">
        <v>4569</v>
      </c>
      <c r="IH196" t="s">
        <v>4569</v>
      </c>
      <c r="II196" t="s">
        <v>4569</v>
      </c>
    </row>
    <row r="197" spans="1:245" outlineLevel="1" x14ac:dyDescent="0.2">
      <c r="A197" t="str">
        <f t="shared" si="6"/>
        <v>Garethi</v>
      </c>
      <c r="CY197" t="s">
        <v>4484</v>
      </c>
      <c r="DD197" t="s">
        <v>4484</v>
      </c>
      <c r="DE197" t="s">
        <v>4484</v>
      </c>
      <c r="DF197">
        <v>2</v>
      </c>
      <c r="DG197">
        <v>2</v>
      </c>
      <c r="DH197">
        <v>2</v>
      </c>
      <c r="DI197">
        <v>2</v>
      </c>
      <c r="DJ197">
        <v>2</v>
      </c>
      <c r="DK197">
        <v>2</v>
      </c>
      <c r="DL197">
        <v>4</v>
      </c>
      <c r="DQ197" t="s">
        <v>4484</v>
      </c>
      <c r="DV197">
        <v>4</v>
      </c>
      <c r="DW197">
        <v>4</v>
      </c>
      <c r="DZ197" t="s">
        <v>4484</v>
      </c>
      <c r="EA197" t="s">
        <v>4484</v>
      </c>
      <c r="EE197" t="s">
        <v>4484</v>
      </c>
      <c r="EG197" t="s">
        <v>4484</v>
      </c>
      <c r="EJ197" t="s">
        <v>4484</v>
      </c>
      <c r="EO197" t="s">
        <v>4484</v>
      </c>
      <c r="EP197" t="s">
        <v>4484</v>
      </c>
      <c r="EQ197" t="s">
        <v>4484</v>
      </c>
      <c r="ER197">
        <v>4</v>
      </c>
      <c r="EV197">
        <v>4</v>
      </c>
      <c r="EW197" t="s">
        <v>4484</v>
      </c>
      <c r="EZ197" t="s">
        <v>4569</v>
      </c>
      <c r="FA197" t="s">
        <v>4569</v>
      </c>
      <c r="FD197" t="s">
        <v>4484</v>
      </c>
      <c r="FE197">
        <v>2</v>
      </c>
      <c r="FG197" t="s">
        <v>4484</v>
      </c>
      <c r="FH197" t="s">
        <v>4484</v>
      </c>
      <c r="FI197" t="s">
        <v>4484</v>
      </c>
      <c r="FJ197" t="s">
        <v>4484</v>
      </c>
      <c r="FL197">
        <v>4</v>
      </c>
      <c r="FM197">
        <v>1</v>
      </c>
      <c r="FU197">
        <v>2</v>
      </c>
      <c r="HQ197">
        <v>4</v>
      </c>
      <c r="ID197" t="s">
        <v>4484</v>
      </c>
      <c r="IF197" t="s">
        <v>4569</v>
      </c>
      <c r="IG197" t="s">
        <v>4569</v>
      </c>
      <c r="IH197" t="s">
        <v>4569</v>
      </c>
      <c r="II197" t="s">
        <v>4569</v>
      </c>
    </row>
    <row r="198" spans="1:245" ht="12.75" customHeight="1" outlineLevel="1" x14ac:dyDescent="0.2">
      <c r="A198" t="str">
        <f t="shared" si="6"/>
        <v>Gatamo  (Dialekt)</v>
      </c>
      <c r="EZ198" t="s">
        <v>4569</v>
      </c>
      <c r="FA198" t="s">
        <v>4569</v>
      </c>
      <c r="IF198" t="s">
        <v>4569</v>
      </c>
      <c r="IG198" t="s">
        <v>4569</v>
      </c>
      <c r="IH198" t="s">
        <v>4569</v>
      </c>
      <c r="II198" t="s">
        <v>4569</v>
      </c>
    </row>
    <row r="199" spans="1:245" outlineLevel="1" x14ac:dyDescent="0.2">
      <c r="A199" t="str">
        <f t="shared" si="6"/>
        <v>Gjalskisch</v>
      </c>
      <c r="EZ199" t="s">
        <v>4569</v>
      </c>
      <c r="FA199" t="s">
        <v>4569</v>
      </c>
      <c r="IF199" t="s">
        <v>4569</v>
      </c>
      <c r="IG199" t="s">
        <v>4569</v>
      </c>
      <c r="IH199" t="s">
        <v>4569</v>
      </c>
      <c r="II199" t="s">
        <v>4569</v>
      </c>
    </row>
    <row r="200" spans="1:245" ht="12.75" customHeight="1" outlineLevel="1" x14ac:dyDescent="0.2">
      <c r="A200" t="str">
        <f t="shared" si="6"/>
        <v>Goblinisch</v>
      </c>
      <c r="EZ200" t="s">
        <v>4569</v>
      </c>
      <c r="FA200" t="s">
        <v>4569</v>
      </c>
      <c r="IF200" t="s">
        <v>4569</v>
      </c>
      <c r="IG200" t="s">
        <v>4569</v>
      </c>
      <c r="IH200" t="s">
        <v>4569</v>
      </c>
      <c r="II200" t="s">
        <v>4569</v>
      </c>
    </row>
    <row r="201" spans="1:245" outlineLevel="1" x14ac:dyDescent="0.2">
      <c r="A201" t="str">
        <f t="shared" si="6"/>
        <v>Grolmisch</v>
      </c>
      <c r="EZ201" t="s">
        <v>4569</v>
      </c>
      <c r="FA201" t="s">
        <v>4569</v>
      </c>
      <c r="IF201" t="s">
        <v>4569</v>
      </c>
      <c r="IG201" t="s">
        <v>4569</v>
      </c>
      <c r="IH201" t="s">
        <v>4569</v>
      </c>
      <c r="II201" t="s">
        <v>4569</v>
      </c>
    </row>
    <row r="202" spans="1:245" ht="12.75" customHeight="1" outlineLevel="1" x14ac:dyDescent="0.2">
      <c r="A202" t="str">
        <f t="shared" si="6"/>
        <v>Hjaldingsch ('Saga-Thorwalsch')</v>
      </c>
      <c r="CM202">
        <v>6</v>
      </c>
      <c r="CO202">
        <v>7</v>
      </c>
      <c r="CP202">
        <v>13</v>
      </c>
      <c r="CQ202">
        <v>13</v>
      </c>
      <c r="CR202">
        <v>7</v>
      </c>
      <c r="CS202">
        <v>7</v>
      </c>
      <c r="EH202">
        <v>8</v>
      </c>
      <c r="EI202">
        <v>10</v>
      </c>
      <c r="EZ202" t="s">
        <v>4569</v>
      </c>
      <c r="FA202" t="s">
        <v>4569</v>
      </c>
      <c r="IF202" t="s">
        <v>4569</v>
      </c>
      <c r="IG202" t="s">
        <v>4569</v>
      </c>
      <c r="IH202" t="s">
        <v>4569</v>
      </c>
      <c r="II202" t="s">
        <v>4569</v>
      </c>
    </row>
    <row r="203" spans="1:245" outlineLevel="1" x14ac:dyDescent="0.2">
      <c r="A203" t="str">
        <f t="shared" si="6"/>
        <v>Horathi  (Dialekt)</v>
      </c>
      <c r="DA203" t="s">
        <v>4484</v>
      </c>
      <c r="DB203" t="s">
        <v>4484</v>
      </c>
      <c r="DU203" t="s">
        <v>4484</v>
      </c>
      <c r="DX203" t="s">
        <v>4484</v>
      </c>
      <c r="EB203">
        <v>2</v>
      </c>
      <c r="EZ203" t="s">
        <v>4569</v>
      </c>
      <c r="FA203" t="s">
        <v>4569</v>
      </c>
      <c r="FF203" t="s">
        <v>4484</v>
      </c>
      <c r="HR203" t="s">
        <v>4484</v>
      </c>
      <c r="HS203" t="s">
        <v>4484</v>
      </c>
      <c r="HT203" t="s">
        <v>4484</v>
      </c>
      <c r="HU203" t="s">
        <v>4484</v>
      </c>
      <c r="HV203" t="s">
        <v>4484</v>
      </c>
      <c r="HW203" t="s">
        <v>4484</v>
      </c>
      <c r="HX203" t="s">
        <v>4484</v>
      </c>
      <c r="HY203" t="s">
        <v>4484</v>
      </c>
      <c r="HZ203" t="s">
        <v>4484</v>
      </c>
      <c r="IA203" t="s">
        <v>4484</v>
      </c>
      <c r="IF203" t="s">
        <v>4569</v>
      </c>
      <c r="IG203" t="s">
        <v>4569</v>
      </c>
      <c r="IH203" t="s">
        <v>4569</v>
      </c>
      <c r="II203" t="s">
        <v>4569</v>
      </c>
    </row>
    <row r="204" spans="1:245" ht="12.75" customHeight="1" outlineLevel="1" x14ac:dyDescent="0.2">
      <c r="A204" t="str">
        <f t="shared" si="6"/>
        <v>Isdira</v>
      </c>
      <c r="W204">
        <v>4</v>
      </c>
      <c r="AC204">
        <v>2</v>
      </c>
      <c r="AJ204">
        <v>4</v>
      </c>
      <c r="AO204">
        <v>2</v>
      </c>
      <c r="AP204">
        <v>4</v>
      </c>
      <c r="AQ204">
        <v>4</v>
      </c>
      <c r="AR204">
        <v>2</v>
      </c>
      <c r="AS204">
        <v>2</v>
      </c>
      <c r="AX204">
        <v>4</v>
      </c>
      <c r="DA204">
        <v>4</v>
      </c>
      <c r="DD204">
        <v>8</v>
      </c>
      <c r="DE204">
        <v>8</v>
      </c>
      <c r="DT204" t="s">
        <v>4484</v>
      </c>
      <c r="DY204">
        <v>2</v>
      </c>
      <c r="EA204">
        <v>4</v>
      </c>
      <c r="EH204">
        <v>4</v>
      </c>
      <c r="EI204">
        <v>4</v>
      </c>
      <c r="EK204">
        <v>5</v>
      </c>
      <c r="EL204">
        <v>5</v>
      </c>
      <c r="EZ204" t="s">
        <v>4569</v>
      </c>
      <c r="FA204" t="s">
        <v>4569</v>
      </c>
      <c r="FF204">
        <v>2</v>
      </c>
      <c r="IF204" t="s">
        <v>4569</v>
      </c>
      <c r="IG204" t="s">
        <v>4569</v>
      </c>
      <c r="IH204" t="s">
        <v>4569</v>
      </c>
      <c r="II204" t="s">
        <v>4569</v>
      </c>
      <c r="IK204">
        <v>1</v>
      </c>
    </row>
    <row r="205" spans="1:245" outlineLevel="1" x14ac:dyDescent="0.2">
      <c r="A205" t="str">
        <f t="shared" si="6"/>
        <v>Koboldisch</v>
      </c>
      <c r="EZ205" t="s">
        <v>4569</v>
      </c>
      <c r="FA205" t="s">
        <v>4569</v>
      </c>
      <c r="GF205" t="s">
        <v>339</v>
      </c>
      <c r="GG205" t="s">
        <v>339</v>
      </c>
      <c r="GH205" t="s">
        <v>339</v>
      </c>
      <c r="GI205" t="s">
        <v>339</v>
      </c>
      <c r="GJ205" t="s">
        <v>339</v>
      </c>
      <c r="GK205" t="s">
        <v>339</v>
      </c>
      <c r="GL205" t="s">
        <v>339</v>
      </c>
      <c r="IF205" t="s">
        <v>4569</v>
      </c>
      <c r="IG205" t="s">
        <v>4569</v>
      </c>
      <c r="IH205" t="s">
        <v>4569</v>
      </c>
      <c r="II205" t="s">
        <v>4569</v>
      </c>
    </row>
    <row r="206" spans="1:245" ht="12.75" customHeight="1" outlineLevel="1" x14ac:dyDescent="0.2">
      <c r="A206" t="str">
        <f t="shared" si="6"/>
        <v>Mahrisch</v>
      </c>
      <c r="EZ206" t="s">
        <v>4569</v>
      </c>
      <c r="FA206" t="s">
        <v>4569</v>
      </c>
      <c r="IF206" t="s">
        <v>4569</v>
      </c>
      <c r="IG206" t="s">
        <v>4569</v>
      </c>
      <c r="IH206" t="s">
        <v>4569</v>
      </c>
      <c r="II206" t="s">
        <v>4569</v>
      </c>
    </row>
    <row r="207" spans="1:245" outlineLevel="1" x14ac:dyDescent="0.2">
      <c r="A207" t="str">
        <f t="shared" si="6"/>
        <v>Maraskani  (Dialekt)</v>
      </c>
      <c r="EZ207" t="s">
        <v>4569</v>
      </c>
      <c r="FA207" t="s">
        <v>4569</v>
      </c>
      <c r="IF207" t="s">
        <v>4569</v>
      </c>
      <c r="IG207" t="s">
        <v>4569</v>
      </c>
      <c r="IH207" t="s">
        <v>4569</v>
      </c>
      <c r="II207" t="s">
        <v>4569</v>
      </c>
    </row>
    <row r="208" spans="1:245" ht="12.75" customHeight="1" outlineLevel="1" x14ac:dyDescent="0.2">
      <c r="A208" t="str">
        <f t="shared" si="6"/>
        <v>Mohisch</v>
      </c>
      <c r="CW208">
        <v>5</v>
      </c>
      <c r="CX208">
        <v>3</v>
      </c>
      <c r="EZ208" t="s">
        <v>4569</v>
      </c>
      <c r="FA208" t="s">
        <v>4569</v>
      </c>
      <c r="HO208">
        <v>4</v>
      </c>
      <c r="HP208">
        <v>4</v>
      </c>
      <c r="IF208" t="s">
        <v>4569</v>
      </c>
      <c r="IG208" t="s">
        <v>4569</v>
      </c>
      <c r="IH208" t="s">
        <v>4569</v>
      </c>
      <c r="II208" t="s">
        <v>4569</v>
      </c>
    </row>
    <row r="209" spans="1:245" outlineLevel="1" x14ac:dyDescent="0.2">
      <c r="A209" t="str">
        <f t="shared" si="6"/>
        <v>Molochisch</v>
      </c>
      <c r="EZ209" t="s">
        <v>4569</v>
      </c>
      <c r="FA209" t="s">
        <v>4569</v>
      </c>
      <c r="IF209" t="s">
        <v>4569</v>
      </c>
      <c r="IG209" t="s">
        <v>4569</v>
      </c>
      <c r="IH209" t="s">
        <v>4569</v>
      </c>
      <c r="II209" t="s">
        <v>4569</v>
      </c>
    </row>
    <row r="210" spans="1:245" ht="12.75" customHeight="1" outlineLevel="1" x14ac:dyDescent="0.2">
      <c r="A210" t="str">
        <f t="shared" si="6"/>
        <v>Neckergesang</v>
      </c>
      <c r="EZ210" t="s">
        <v>4569</v>
      </c>
      <c r="FA210" t="s">
        <v>4569</v>
      </c>
      <c r="IF210" t="s">
        <v>4569</v>
      </c>
      <c r="IG210" t="s">
        <v>4569</v>
      </c>
      <c r="IH210" t="s">
        <v>4569</v>
      </c>
      <c r="II210" t="s">
        <v>4569</v>
      </c>
    </row>
    <row r="211" spans="1:245" outlineLevel="1" x14ac:dyDescent="0.2">
      <c r="A211" t="str">
        <f t="shared" si="6"/>
        <v>Nujuka ('Nivesisch')</v>
      </c>
      <c r="DQ211">
        <v>3</v>
      </c>
      <c r="DT211">
        <v>3</v>
      </c>
      <c r="EZ211" t="s">
        <v>4569</v>
      </c>
      <c r="FA211" t="s">
        <v>4569</v>
      </c>
      <c r="ID211">
        <v>3</v>
      </c>
      <c r="IF211" t="s">
        <v>4569</v>
      </c>
      <c r="IG211" t="s">
        <v>4569</v>
      </c>
      <c r="IH211" t="s">
        <v>4569</v>
      </c>
      <c r="II211" t="s">
        <v>4569</v>
      </c>
    </row>
    <row r="212" spans="1:245" ht="12.75" customHeight="1" outlineLevel="1" x14ac:dyDescent="0.2">
      <c r="A212" t="str">
        <f t="shared" si="6"/>
        <v>Oloarkh</v>
      </c>
      <c r="EZ212" t="s">
        <v>4569</v>
      </c>
      <c r="FA212" t="s">
        <v>4569</v>
      </c>
      <c r="IF212" t="s">
        <v>4569</v>
      </c>
      <c r="IG212" t="s">
        <v>4569</v>
      </c>
      <c r="IH212" t="s">
        <v>4569</v>
      </c>
      <c r="II212" t="s">
        <v>4569</v>
      </c>
    </row>
    <row r="213" spans="1:245" outlineLevel="1" x14ac:dyDescent="0.2">
      <c r="A213" t="str">
        <f t="shared" si="6"/>
        <v>Ologhaijan ('Hochorkisch')</v>
      </c>
      <c r="EA213">
        <v>2</v>
      </c>
      <c r="EZ213" t="s">
        <v>4569</v>
      </c>
      <c r="FA213" t="s">
        <v>4569</v>
      </c>
      <c r="IF213" t="s">
        <v>4569</v>
      </c>
      <c r="IG213" t="s">
        <v>4569</v>
      </c>
      <c r="IH213" t="s">
        <v>4569</v>
      </c>
      <c r="II213" t="s">
        <v>4569</v>
      </c>
    </row>
    <row r="214" spans="1:245" ht="12.75" customHeight="1" outlineLevel="1" x14ac:dyDescent="0.2">
      <c r="A214" t="str">
        <f t="shared" si="6"/>
        <v>Rabensprache</v>
      </c>
      <c r="EZ214" t="s">
        <v>4569</v>
      </c>
      <c r="FA214" t="s">
        <v>4569</v>
      </c>
      <c r="IF214" t="s">
        <v>4569</v>
      </c>
      <c r="IG214" t="s">
        <v>4569</v>
      </c>
      <c r="IH214" t="s">
        <v>4569</v>
      </c>
      <c r="II214" t="s">
        <v>4569</v>
      </c>
    </row>
    <row r="215" spans="1:245" outlineLevel="1" x14ac:dyDescent="0.2">
      <c r="A215" t="str">
        <f t="shared" si="6"/>
        <v>Rissoal</v>
      </c>
      <c r="EZ215" t="s">
        <v>4569</v>
      </c>
      <c r="FA215" t="s">
        <v>4569</v>
      </c>
      <c r="IF215" t="s">
        <v>4569</v>
      </c>
      <c r="IG215" t="s">
        <v>4569</v>
      </c>
      <c r="IH215" t="s">
        <v>4569</v>
      </c>
      <c r="II215" t="s">
        <v>4569</v>
      </c>
    </row>
    <row r="216" spans="1:245" ht="12.75" customHeight="1" outlineLevel="1" x14ac:dyDescent="0.2">
      <c r="A216" t="str">
        <f t="shared" si="6"/>
        <v>Rogolan</v>
      </c>
      <c r="DM216">
        <v>6</v>
      </c>
      <c r="EZ216" t="s">
        <v>4569</v>
      </c>
      <c r="FA216" t="s">
        <v>4569</v>
      </c>
      <c r="IE216">
        <v>2</v>
      </c>
      <c r="IF216" t="s">
        <v>4569</v>
      </c>
      <c r="IG216" t="s">
        <v>4569</v>
      </c>
      <c r="IH216" t="s">
        <v>4569</v>
      </c>
      <c r="II216" t="s">
        <v>4569</v>
      </c>
    </row>
    <row r="217" spans="1:245" outlineLevel="1" x14ac:dyDescent="0.2">
      <c r="A217" t="str">
        <f t="shared" si="6"/>
        <v>Rssahh</v>
      </c>
      <c r="ED217">
        <v>3</v>
      </c>
      <c r="EZ217" t="s">
        <v>4569</v>
      </c>
      <c r="FA217" t="s">
        <v>4569</v>
      </c>
      <c r="IF217" t="s">
        <v>4569</v>
      </c>
      <c r="IG217" t="s">
        <v>4569</v>
      </c>
      <c r="IH217" t="s">
        <v>4569</v>
      </c>
      <c r="II217" t="s">
        <v>4569</v>
      </c>
    </row>
    <row r="218" spans="1:245" ht="12.75" customHeight="1" outlineLevel="1" x14ac:dyDescent="0.2">
      <c r="A218" t="str">
        <f t="shared" si="6"/>
        <v>Ruuz ('Ur-Maraskanisch' )</v>
      </c>
      <c r="ER218">
        <v>6</v>
      </c>
      <c r="EZ218" t="s">
        <v>4569</v>
      </c>
      <c r="FA218" t="s">
        <v>4569</v>
      </c>
      <c r="IF218" t="s">
        <v>4569</v>
      </c>
      <c r="IG218" t="s">
        <v>4569</v>
      </c>
      <c r="IH218" t="s">
        <v>4569</v>
      </c>
      <c r="II218" t="s">
        <v>4569</v>
      </c>
    </row>
    <row r="219" spans="1:245" outlineLevel="1" x14ac:dyDescent="0.2">
      <c r="A219" t="str">
        <f t="shared" si="6"/>
        <v>Thorwalsch</v>
      </c>
      <c r="EA219">
        <v>3</v>
      </c>
      <c r="EH219" t="s">
        <v>4484</v>
      </c>
      <c r="EI219" t="s">
        <v>4484</v>
      </c>
      <c r="EZ219" t="s">
        <v>4569</v>
      </c>
      <c r="FA219" t="s">
        <v>4569</v>
      </c>
      <c r="FV219">
        <v>3</v>
      </c>
      <c r="IF219" t="s">
        <v>4569</v>
      </c>
      <c r="IG219" t="s">
        <v>4569</v>
      </c>
      <c r="IH219" t="s">
        <v>4569</v>
      </c>
      <c r="II219" t="s">
        <v>4569</v>
      </c>
    </row>
    <row r="220" spans="1:245" ht="12.75" customHeight="1" outlineLevel="1" x14ac:dyDescent="0.2">
      <c r="A220" t="str">
        <f t="shared" si="6"/>
        <v>Trollisch</v>
      </c>
      <c r="EZ220" t="s">
        <v>4569</v>
      </c>
      <c r="FA220" t="s">
        <v>4569</v>
      </c>
      <c r="IF220" t="s">
        <v>4569</v>
      </c>
      <c r="IG220" t="s">
        <v>4569</v>
      </c>
      <c r="IH220" t="s">
        <v>4569</v>
      </c>
      <c r="II220" t="s">
        <v>4569</v>
      </c>
    </row>
    <row r="221" spans="1:245" outlineLevel="1" x14ac:dyDescent="0.2">
      <c r="A221" t="str">
        <f t="shared" si="6"/>
        <v>Tulamidya</v>
      </c>
      <c r="H221" t="s">
        <v>4484</v>
      </c>
      <c r="I221" t="s">
        <v>4484</v>
      </c>
      <c r="J221" t="s">
        <v>4484</v>
      </c>
      <c r="K221" t="s">
        <v>4484</v>
      </c>
      <c r="L221" t="s">
        <v>4484</v>
      </c>
      <c r="M221" t="s">
        <v>4484</v>
      </c>
      <c r="N221" t="s">
        <v>4484</v>
      </c>
      <c r="CW221">
        <v>5</v>
      </c>
      <c r="CX221">
        <v>4</v>
      </c>
      <c r="CZ221">
        <v>6</v>
      </c>
      <c r="DA221" t="s">
        <v>4484</v>
      </c>
      <c r="DF221" t="s">
        <v>4484</v>
      </c>
      <c r="DG221" t="s">
        <v>4484</v>
      </c>
      <c r="DH221" t="s">
        <v>4484</v>
      </c>
      <c r="DI221" t="s">
        <v>4484</v>
      </c>
      <c r="DJ221" t="s">
        <v>4484</v>
      </c>
      <c r="DK221" t="s">
        <v>4484</v>
      </c>
      <c r="DL221" t="s">
        <v>4484</v>
      </c>
      <c r="DN221" t="s">
        <v>4484</v>
      </c>
      <c r="DO221" t="s">
        <v>4484</v>
      </c>
      <c r="DP221" t="s">
        <v>4484</v>
      </c>
      <c r="DQ221">
        <v>4</v>
      </c>
      <c r="DR221">
        <v>6</v>
      </c>
      <c r="DS221" t="s">
        <v>4484</v>
      </c>
      <c r="DU221">
        <v>6</v>
      </c>
      <c r="DV221" t="s">
        <v>4484</v>
      </c>
      <c r="DW221" t="s">
        <v>4484</v>
      </c>
      <c r="DX221">
        <v>6</v>
      </c>
      <c r="DY221">
        <v>4</v>
      </c>
      <c r="EB221">
        <v>3</v>
      </c>
      <c r="EC221" t="s">
        <v>4484</v>
      </c>
      <c r="EE221">
        <v>4</v>
      </c>
      <c r="EK221">
        <v>6</v>
      </c>
      <c r="EL221">
        <v>6</v>
      </c>
      <c r="EM221" t="s">
        <v>4484</v>
      </c>
      <c r="EN221" t="s">
        <v>4484</v>
      </c>
      <c r="EQ221">
        <v>8</v>
      </c>
      <c r="ER221">
        <v>4</v>
      </c>
      <c r="ET221">
        <v>4</v>
      </c>
      <c r="EV221">
        <v>4</v>
      </c>
      <c r="EW221">
        <v>4</v>
      </c>
      <c r="EY221">
        <v>2</v>
      </c>
      <c r="EZ221" t="s">
        <v>4569</v>
      </c>
      <c r="FA221" t="s">
        <v>4569</v>
      </c>
      <c r="FB221" t="s">
        <v>4484</v>
      </c>
      <c r="FC221" t="s">
        <v>4484</v>
      </c>
      <c r="FD221">
        <v>3</v>
      </c>
      <c r="FE221" t="s">
        <v>4484</v>
      </c>
      <c r="FV221">
        <v>4</v>
      </c>
      <c r="HO221">
        <v>5</v>
      </c>
      <c r="HP221">
        <v>5</v>
      </c>
      <c r="HQ221" t="s">
        <v>4484</v>
      </c>
      <c r="ID221">
        <v>4</v>
      </c>
      <c r="IF221" t="s">
        <v>4569</v>
      </c>
      <c r="IG221" t="s">
        <v>4569</v>
      </c>
      <c r="IH221" t="s">
        <v>4569</v>
      </c>
      <c r="II221" t="s">
        <v>4569</v>
      </c>
    </row>
    <row r="222" spans="1:245" ht="12.75" customHeight="1" outlineLevel="1" x14ac:dyDescent="0.2">
      <c r="A222" t="str">
        <f t="shared" si="6"/>
        <v>Ur-Tulamidya</v>
      </c>
      <c r="H222">
        <v>3</v>
      </c>
      <c r="I222">
        <v>3</v>
      </c>
      <c r="J222">
        <v>3</v>
      </c>
      <c r="K222">
        <v>3</v>
      </c>
      <c r="L222">
        <v>3</v>
      </c>
      <c r="M222">
        <v>3</v>
      </c>
      <c r="N222">
        <v>3</v>
      </c>
      <c r="CB222">
        <v>6</v>
      </c>
      <c r="CW222">
        <v>3</v>
      </c>
      <c r="CX222">
        <v>4</v>
      </c>
      <c r="DC222">
        <v>4</v>
      </c>
      <c r="DF222">
        <v>4</v>
      </c>
      <c r="DG222">
        <v>4</v>
      </c>
      <c r="DH222">
        <v>4</v>
      </c>
      <c r="DI222">
        <v>4</v>
      </c>
      <c r="DJ222">
        <v>4</v>
      </c>
      <c r="DK222">
        <v>4</v>
      </c>
      <c r="DL222">
        <v>6</v>
      </c>
      <c r="DN222">
        <v>7</v>
      </c>
      <c r="DO222">
        <v>7</v>
      </c>
      <c r="DP222">
        <v>4</v>
      </c>
      <c r="DQ222">
        <v>4</v>
      </c>
      <c r="DS222">
        <v>6</v>
      </c>
      <c r="DU222">
        <v>2</v>
      </c>
      <c r="DV222">
        <v>6</v>
      </c>
      <c r="DW222">
        <v>6</v>
      </c>
      <c r="DZ222">
        <v>4</v>
      </c>
      <c r="EA222">
        <v>5</v>
      </c>
      <c r="EC222">
        <v>5</v>
      </c>
      <c r="ED222">
        <v>3</v>
      </c>
      <c r="EK222">
        <v>5</v>
      </c>
      <c r="EL222">
        <v>5</v>
      </c>
      <c r="EM222">
        <v>6</v>
      </c>
      <c r="EN222">
        <v>6</v>
      </c>
      <c r="ER222">
        <v>3</v>
      </c>
      <c r="EW222">
        <v>3</v>
      </c>
      <c r="EY222">
        <v>5</v>
      </c>
      <c r="EZ222" t="s">
        <v>4569</v>
      </c>
      <c r="FA222" t="s">
        <v>4569</v>
      </c>
      <c r="FB222">
        <v>8</v>
      </c>
      <c r="FC222">
        <v>8</v>
      </c>
      <c r="FE222">
        <v>7</v>
      </c>
      <c r="FK222">
        <v>7</v>
      </c>
      <c r="FL222">
        <v>6</v>
      </c>
      <c r="FN222">
        <v>7</v>
      </c>
      <c r="GA222">
        <v>2</v>
      </c>
      <c r="HQ222">
        <v>6</v>
      </c>
      <c r="IF222" t="s">
        <v>4569</v>
      </c>
      <c r="IG222" t="s">
        <v>4569</v>
      </c>
      <c r="IH222" t="s">
        <v>4569</v>
      </c>
      <c r="II222" t="s">
        <v>4569</v>
      </c>
      <c r="IK222">
        <v>1</v>
      </c>
    </row>
    <row r="223" spans="1:245" outlineLevel="1" x14ac:dyDescent="0.2">
      <c r="A223" t="str">
        <f t="shared" si="6"/>
        <v>Zelemja</v>
      </c>
      <c r="EZ223" t="s">
        <v>4569</v>
      </c>
      <c r="FA223" t="s">
        <v>4569</v>
      </c>
      <c r="FP223">
        <v>3</v>
      </c>
      <c r="FQ223">
        <v>3</v>
      </c>
      <c r="FR223">
        <v>3</v>
      </c>
      <c r="FS223">
        <v>3</v>
      </c>
      <c r="IF223" t="s">
        <v>4569</v>
      </c>
      <c r="IG223" t="s">
        <v>4569</v>
      </c>
      <c r="IH223" t="s">
        <v>4569</v>
      </c>
      <c r="II223" t="s">
        <v>4569</v>
      </c>
    </row>
    <row r="224" spans="1:245" ht="12.75" customHeight="1" outlineLevel="1" x14ac:dyDescent="0.2">
      <c r="A224" t="str">
        <f t="shared" si="6"/>
        <v>Zhayad</v>
      </c>
      <c r="DC224">
        <v>8</v>
      </c>
      <c r="DN224">
        <v>4</v>
      </c>
      <c r="DO224">
        <v>4</v>
      </c>
      <c r="DV224">
        <v>4</v>
      </c>
      <c r="DZ224">
        <v>5</v>
      </c>
      <c r="ED224">
        <v>5</v>
      </c>
      <c r="EJ224">
        <v>4</v>
      </c>
      <c r="EK224">
        <v>5</v>
      </c>
      <c r="EL224">
        <v>5</v>
      </c>
      <c r="EM224">
        <v>5</v>
      </c>
      <c r="EN224">
        <v>5</v>
      </c>
      <c r="EY224">
        <v>8</v>
      </c>
      <c r="EZ224">
        <v>5</v>
      </c>
      <c r="FA224" t="s">
        <v>4569</v>
      </c>
      <c r="FB224">
        <v>4</v>
      </c>
      <c r="FC224">
        <v>4</v>
      </c>
      <c r="FD224">
        <v>6</v>
      </c>
      <c r="FE224">
        <v>4</v>
      </c>
      <c r="FG224">
        <v>3</v>
      </c>
      <c r="FH224">
        <v>3</v>
      </c>
      <c r="FI224">
        <v>3</v>
      </c>
      <c r="FJ224">
        <v>3</v>
      </c>
      <c r="FK224">
        <v>3</v>
      </c>
      <c r="FL224">
        <v>4</v>
      </c>
      <c r="IF224" t="s">
        <v>4569</v>
      </c>
      <c r="IG224" t="s">
        <v>4569</v>
      </c>
      <c r="IH224" t="s">
        <v>4569</v>
      </c>
      <c r="II224" t="s">
        <v>4569</v>
      </c>
      <c r="IK224">
        <v>1</v>
      </c>
    </row>
    <row r="225" spans="1:245" outlineLevel="1" x14ac:dyDescent="0.2">
      <c r="A225" t="str">
        <f t="shared" si="6"/>
        <v>Zhulchammaqra ('Trollzackisch')</v>
      </c>
      <c r="EZ225" t="s">
        <v>4569</v>
      </c>
      <c r="FA225" t="s">
        <v>4569</v>
      </c>
      <c r="IF225" t="s">
        <v>4569</v>
      </c>
      <c r="IG225" t="s">
        <v>4569</v>
      </c>
      <c r="IH225" t="s">
        <v>4569</v>
      </c>
      <c r="II225" t="s">
        <v>4569</v>
      </c>
    </row>
    <row r="226" spans="1:245" ht="12.75" customHeight="1" outlineLevel="1" x14ac:dyDescent="0.2">
      <c r="A226" t="str">
        <f t="shared" si="6"/>
        <v>Z'Lit</v>
      </c>
      <c r="EZ226" t="s">
        <v>4569</v>
      </c>
      <c r="FA226" t="s">
        <v>4569</v>
      </c>
      <c r="IF226" t="s">
        <v>4569</v>
      </c>
      <c r="IG226" t="s">
        <v>4569</v>
      </c>
      <c r="IH226" t="s">
        <v>4569</v>
      </c>
      <c r="II226" t="s">
        <v>4569</v>
      </c>
    </row>
    <row r="227" spans="1:245" outlineLevel="1" x14ac:dyDescent="0.2">
      <c r="A227" t="str">
        <f t="shared" si="6"/>
        <v>Zyklopäisch</v>
      </c>
      <c r="EZ227" t="s">
        <v>4569</v>
      </c>
      <c r="FA227" t="s">
        <v>4569</v>
      </c>
      <c r="FU227" t="s">
        <v>4484</v>
      </c>
      <c r="IF227" t="s">
        <v>4569</v>
      </c>
      <c r="IG227" t="s">
        <v>4569</v>
      </c>
      <c r="IH227" t="s">
        <v>4569</v>
      </c>
      <c r="II227" t="s">
        <v>4569</v>
      </c>
    </row>
    <row r="228" spans="1:245" ht="21.75" customHeight="1" outlineLevel="1" x14ac:dyDescent="0.2">
      <c r="A228" t="str">
        <f t="shared" ref="A228:A249" si="7">INDEX(SCHRIFTEN,ROW()-ROW($B$228)+1)</f>
        <v>Altes Alaani</v>
      </c>
      <c r="B228" t="s">
        <v>578</v>
      </c>
      <c r="O228" t="s">
        <v>1642</v>
      </c>
      <c r="AT228" t="s">
        <v>1642</v>
      </c>
      <c r="AY228" t="s">
        <v>1642</v>
      </c>
      <c r="BH228" t="s">
        <v>1642</v>
      </c>
      <c r="BK228" t="s">
        <v>1642</v>
      </c>
      <c r="CV228" t="s">
        <v>1642</v>
      </c>
      <c r="EX228" t="s">
        <v>1642</v>
      </c>
      <c r="EZ228" t="s">
        <v>4569</v>
      </c>
      <c r="FA228" t="s">
        <v>4569</v>
      </c>
      <c r="FW228" t="s">
        <v>1642</v>
      </c>
      <c r="GE228" t="s">
        <v>1642</v>
      </c>
      <c r="GM228" t="s">
        <v>1642</v>
      </c>
      <c r="GX228" t="s">
        <v>1642</v>
      </c>
      <c r="GY228">
        <v>8</v>
      </c>
      <c r="IF228" t="s">
        <v>4569</v>
      </c>
      <c r="IG228" t="s">
        <v>4569</v>
      </c>
      <c r="IH228" t="s">
        <v>4569</v>
      </c>
      <c r="II228" t="s">
        <v>4569</v>
      </c>
      <c r="IJ228" t="s">
        <v>1642</v>
      </c>
    </row>
    <row r="229" spans="1:245" outlineLevel="1" x14ac:dyDescent="0.2">
      <c r="A229" t="str">
        <f t="shared" si="7"/>
        <v>Amulashtra (mod./hist.)</v>
      </c>
      <c r="EZ229" t="s">
        <v>4569</v>
      </c>
      <c r="FA229" t="s">
        <v>4569</v>
      </c>
      <c r="IF229" t="s">
        <v>4569</v>
      </c>
      <c r="IG229" t="s">
        <v>4569</v>
      </c>
      <c r="IH229" t="s">
        <v>4569</v>
      </c>
      <c r="II229" t="s">
        <v>4569</v>
      </c>
    </row>
    <row r="230" spans="1:245" outlineLevel="1" x14ac:dyDescent="0.2">
      <c r="A230" t="str">
        <f t="shared" si="7"/>
        <v>Angram</v>
      </c>
      <c r="AU230">
        <v>4</v>
      </c>
      <c r="AV230">
        <v>4</v>
      </c>
      <c r="AW230">
        <v>4</v>
      </c>
      <c r="AX230">
        <v>4</v>
      </c>
      <c r="EZ230" t="s">
        <v>4569</v>
      </c>
      <c r="FA230" t="s">
        <v>4569</v>
      </c>
      <c r="IE230">
        <v>6</v>
      </c>
      <c r="IF230" t="s">
        <v>4569</v>
      </c>
      <c r="IG230" t="s">
        <v>4569</v>
      </c>
      <c r="IH230" t="s">
        <v>4569</v>
      </c>
      <c r="II230" t="s">
        <v>4569</v>
      </c>
    </row>
    <row r="231" spans="1:245" outlineLevel="1" x14ac:dyDescent="0.2">
      <c r="A231" t="str">
        <f t="shared" si="7"/>
        <v>Arkanil ('Rohalsschrift')</v>
      </c>
      <c r="EZ231" t="s">
        <v>4569</v>
      </c>
      <c r="FA231" t="s">
        <v>4569</v>
      </c>
      <c r="IF231" t="s">
        <v>4569</v>
      </c>
      <c r="IG231" t="s">
        <v>4569</v>
      </c>
      <c r="IH231" t="s">
        <v>4569</v>
      </c>
      <c r="II231" t="s">
        <v>4569</v>
      </c>
      <c r="IK231">
        <v>1</v>
      </c>
    </row>
    <row r="232" spans="1:245" outlineLevel="1" x14ac:dyDescent="0.2">
      <c r="A232" t="str">
        <f t="shared" si="7"/>
        <v>Chrmk ('Zelemja')</v>
      </c>
      <c r="BI232">
        <v>5</v>
      </c>
      <c r="BJ232">
        <v>5</v>
      </c>
      <c r="ED232">
        <v>3</v>
      </c>
      <c r="EZ232" t="s">
        <v>4569</v>
      </c>
      <c r="FA232" t="s">
        <v>4569</v>
      </c>
      <c r="FB232">
        <v>6</v>
      </c>
      <c r="FC232">
        <v>5</v>
      </c>
      <c r="IF232" t="s">
        <v>4569</v>
      </c>
      <c r="IG232" t="s">
        <v>4569</v>
      </c>
      <c r="IH232" t="s">
        <v>4569</v>
      </c>
      <c r="II232" t="s">
        <v>4569</v>
      </c>
    </row>
    <row r="233" spans="1:245" outlineLevel="1" x14ac:dyDescent="0.2">
      <c r="A233" t="str">
        <f t="shared" si="7"/>
        <v>Chuchas ('Protozelemja')</v>
      </c>
      <c r="EZ233" t="s">
        <v>4569</v>
      </c>
      <c r="FA233" t="s">
        <v>4569</v>
      </c>
      <c r="IF233" t="s">
        <v>4569</v>
      </c>
      <c r="IG233" t="s">
        <v>4569</v>
      </c>
      <c r="IH233" t="s">
        <v>4569</v>
      </c>
      <c r="II233" t="s">
        <v>4569</v>
      </c>
    </row>
    <row r="234" spans="1:245" outlineLevel="1" x14ac:dyDescent="0.2">
      <c r="A234" t="str">
        <f t="shared" si="7"/>
        <v>Drakhard-Zinken</v>
      </c>
      <c r="EZ234" t="s">
        <v>4569</v>
      </c>
      <c r="FA234" t="s">
        <v>4569</v>
      </c>
      <c r="IF234" t="s">
        <v>4569</v>
      </c>
      <c r="IG234" t="s">
        <v>4569</v>
      </c>
      <c r="IH234" t="s">
        <v>4569</v>
      </c>
      <c r="II234" t="s">
        <v>4569</v>
      </c>
    </row>
    <row r="235" spans="1:245" outlineLevel="1" x14ac:dyDescent="0.2">
      <c r="A235" t="str">
        <f t="shared" si="7"/>
        <v>Drakned-Glyphen</v>
      </c>
      <c r="EZ235" t="s">
        <v>4569</v>
      </c>
      <c r="FA235" t="s">
        <v>4569</v>
      </c>
      <c r="IF235" t="s">
        <v>4569</v>
      </c>
      <c r="IG235" t="s">
        <v>4569</v>
      </c>
      <c r="IH235" t="s">
        <v>4569</v>
      </c>
      <c r="II235" t="s">
        <v>4569</v>
      </c>
    </row>
    <row r="236" spans="1:245" outlineLevel="1" x14ac:dyDescent="0.2">
      <c r="A236" t="str">
        <f t="shared" si="7"/>
        <v>Gimaril</v>
      </c>
      <c r="EZ236" t="s">
        <v>4569</v>
      </c>
      <c r="FA236" t="s">
        <v>4569</v>
      </c>
      <c r="IF236" t="s">
        <v>4569</v>
      </c>
      <c r="IG236" t="s">
        <v>4569</v>
      </c>
      <c r="IH236" t="s">
        <v>4569</v>
      </c>
      <c r="II236" t="s">
        <v>4569</v>
      </c>
    </row>
    <row r="237" spans="1:245" outlineLevel="1" x14ac:dyDescent="0.2">
      <c r="A237" t="str">
        <f t="shared" si="7"/>
        <v>Gjalskisch</v>
      </c>
      <c r="EZ237" t="s">
        <v>4569</v>
      </c>
      <c r="FA237" t="s">
        <v>4569</v>
      </c>
      <c r="IF237" t="s">
        <v>4569</v>
      </c>
      <c r="IG237" t="s">
        <v>4569</v>
      </c>
      <c r="IH237" t="s">
        <v>4569</v>
      </c>
      <c r="II237" t="s">
        <v>4569</v>
      </c>
    </row>
    <row r="238" spans="1:245" outlineLevel="1" x14ac:dyDescent="0.2">
      <c r="A238" t="str">
        <f t="shared" si="7"/>
        <v>Hjaldingsche Runen</v>
      </c>
      <c r="CM238">
        <v>6</v>
      </c>
      <c r="CO238">
        <v>7</v>
      </c>
      <c r="CP238">
        <v>13</v>
      </c>
      <c r="CQ238">
        <v>13</v>
      </c>
      <c r="CR238">
        <v>7</v>
      </c>
      <c r="CS238">
        <v>7</v>
      </c>
      <c r="EH238">
        <v>8</v>
      </c>
      <c r="EI238">
        <v>10</v>
      </c>
      <c r="EZ238" t="s">
        <v>4569</v>
      </c>
      <c r="FA238" t="s">
        <v>4569</v>
      </c>
      <c r="IF238" t="s">
        <v>4569</v>
      </c>
      <c r="IG238" t="s">
        <v>4569</v>
      </c>
      <c r="IH238" t="s">
        <v>4569</v>
      </c>
      <c r="II238" t="s">
        <v>4569</v>
      </c>
    </row>
    <row r="239" spans="1:245" outlineLevel="1" x14ac:dyDescent="0.2">
      <c r="A239" t="str">
        <f t="shared" si="7"/>
        <v>Imperiale Zeichen ('Altgüldenländisch')</v>
      </c>
      <c r="DB239">
        <v>4</v>
      </c>
      <c r="DX239">
        <v>4</v>
      </c>
      <c r="DY239">
        <v>4</v>
      </c>
      <c r="EB239">
        <v>6</v>
      </c>
      <c r="EG239">
        <v>6</v>
      </c>
      <c r="EK239">
        <v>4</v>
      </c>
      <c r="EL239">
        <v>4</v>
      </c>
      <c r="EZ239" t="s">
        <v>4569</v>
      </c>
      <c r="FA239" t="s">
        <v>4569</v>
      </c>
      <c r="FD239">
        <v>6</v>
      </c>
      <c r="FF239">
        <v>3</v>
      </c>
      <c r="FO239">
        <v>4</v>
      </c>
      <c r="FU239">
        <v>3</v>
      </c>
      <c r="HR239">
        <v>6</v>
      </c>
      <c r="HS239">
        <v>6</v>
      </c>
      <c r="HT239">
        <v>6</v>
      </c>
      <c r="HU239">
        <v>6</v>
      </c>
      <c r="HV239">
        <v>6</v>
      </c>
      <c r="HW239">
        <v>6</v>
      </c>
      <c r="HX239">
        <v>6</v>
      </c>
      <c r="HY239">
        <v>6</v>
      </c>
      <c r="HZ239">
        <v>6</v>
      </c>
      <c r="IA239">
        <v>6</v>
      </c>
      <c r="IF239" t="s">
        <v>4569</v>
      </c>
      <c r="IG239" t="s">
        <v>4569</v>
      </c>
      <c r="IH239" t="s">
        <v>4569</v>
      </c>
      <c r="II239" t="s">
        <v>4569</v>
      </c>
      <c r="IK239">
        <v>1</v>
      </c>
    </row>
    <row r="240" spans="1:245" outlineLevel="1" x14ac:dyDescent="0.2">
      <c r="A240" t="str">
        <f t="shared" si="7"/>
        <v>Isdira / Asdharia</v>
      </c>
      <c r="Q240">
        <v>8</v>
      </c>
      <c r="W240">
        <v>9</v>
      </c>
      <c r="AC240">
        <v>6</v>
      </c>
      <c r="AE240">
        <v>8</v>
      </c>
      <c r="AJ240">
        <v>9</v>
      </c>
      <c r="AO240">
        <v>6</v>
      </c>
      <c r="AP240">
        <v>9</v>
      </c>
      <c r="AQ240">
        <v>9</v>
      </c>
      <c r="AR240">
        <v>6</v>
      </c>
      <c r="AS240">
        <v>6</v>
      </c>
      <c r="DD240">
        <v>4</v>
      </c>
      <c r="DE240">
        <v>4</v>
      </c>
      <c r="DT240">
        <v>5</v>
      </c>
      <c r="DY240">
        <v>4</v>
      </c>
      <c r="EA240">
        <v>1</v>
      </c>
      <c r="EH240">
        <v>4</v>
      </c>
      <c r="EI240">
        <v>4</v>
      </c>
      <c r="EZ240" t="s">
        <v>4569</v>
      </c>
      <c r="FA240" t="s">
        <v>4569</v>
      </c>
      <c r="FT240">
        <v>4</v>
      </c>
      <c r="IF240" t="s">
        <v>4569</v>
      </c>
      <c r="IG240" t="s">
        <v>4569</v>
      </c>
      <c r="IH240" t="s">
        <v>4569</v>
      </c>
      <c r="II240" t="s">
        <v>4569</v>
      </c>
    </row>
    <row r="241" spans="1:245" outlineLevel="1" x14ac:dyDescent="0.2">
      <c r="A241" t="str">
        <f t="shared" si="7"/>
        <v>Kusliker Zeichen</v>
      </c>
      <c r="CT241">
        <v>6</v>
      </c>
      <c r="CU241">
        <v>6</v>
      </c>
      <c r="CW241">
        <v>8</v>
      </c>
      <c r="CX241">
        <v>7</v>
      </c>
      <c r="CY241">
        <v>8</v>
      </c>
      <c r="CZ241">
        <v>5</v>
      </c>
      <c r="DA241">
        <v>8</v>
      </c>
      <c r="DB241">
        <v>8</v>
      </c>
      <c r="DC241">
        <v>8</v>
      </c>
      <c r="DD241">
        <v>8</v>
      </c>
      <c r="DE241">
        <v>8</v>
      </c>
      <c r="DF241">
        <v>5</v>
      </c>
      <c r="DG241">
        <v>5</v>
      </c>
      <c r="DH241">
        <v>5</v>
      </c>
      <c r="DI241">
        <v>5</v>
      </c>
      <c r="DJ241">
        <v>5</v>
      </c>
      <c r="DK241">
        <v>5</v>
      </c>
      <c r="DL241">
        <v>6</v>
      </c>
      <c r="DM241">
        <v>8</v>
      </c>
      <c r="DN241">
        <v>8</v>
      </c>
      <c r="DO241">
        <v>8</v>
      </c>
      <c r="DP241">
        <v>6</v>
      </c>
      <c r="DQ241">
        <v>8</v>
      </c>
      <c r="DR241">
        <v>5</v>
      </c>
      <c r="DS241">
        <v>6</v>
      </c>
      <c r="DT241">
        <v>6</v>
      </c>
      <c r="DU241">
        <v>7</v>
      </c>
      <c r="DV241">
        <v>6</v>
      </c>
      <c r="DW241">
        <v>6</v>
      </c>
      <c r="DX241">
        <v>8</v>
      </c>
      <c r="DY241">
        <v>8</v>
      </c>
      <c r="DZ241">
        <v>8</v>
      </c>
      <c r="EA241">
        <v>8</v>
      </c>
      <c r="EB241">
        <v>9</v>
      </c>
      <c r="ED241">
        <v>8</v>
      </c>
      <c r="EE241">
        <v>7</v>
      </c>
      <c r="EF241">
        <v>7</v>
      </c>
      <c r="EG241">
        <v>8</v>
      </c>
      <c r="EH241">
        <v>8</v>
      </c>
      <c r="EI241">
        <v>8</v>
      </c>
      <c r="EJ241">
        <v>8</v>
      </c>
      <c r="EK241">
        <v>8</v>
      </c>
      <c r="EL241">
        <v>8</v>
      </c>
      <c r="EO241">
        <v>8</v>
      </c>
      <c r="EP241">
        <v>8</v>
      </c>
      <c r="EQ241">
        <v>7</v>
      </c>
      <c r="ER241">
        <v>7</v>
      </c>
      <c r="ES241">
        <v>6</v>
      </c>
      <c r="ET241">
        <v>7</v>
      </c>
      <c r="EU241">
        <v>8</v>
      </c>
      <c r="EV241">
        <v>7</v>
      </c>
      <c r="EW241">
        <v>8</v>
      </c>
      <c r="EY241">
        <v>5</v>
      </c>
      <c r="EZ241">
        <v>6</v>
      </c>
      <c r="FA241">
        <v>6</v>
      </c>
      <c r="FC241">
        <v>6</v>
      </c>
      <c r="FD241">
        <v>6</v>
      </c>
      <c r="FE241">
        <v>2</v>
      </c>
      <c r="FF241">
        <v>6</v>
      </c>
      <c r="FG241">
        <v>8</v>
      </c>
      <c r="FH241">
        <v>8</v>
      </c>
      <c r="FI241">
        <v>8</v>
      </c>
      <c r="FJ241">
        <v>8</v>
      </c>
      <c r="FL241">
        <v>4</v>
      </c>
      <c r="FM241">
        <v>6</v>
      </c>
      <c r="FO241">
        <v>8</v>
      </c>
      <c r="FP241">
        <v>8</v>
      </c>
      <c r="FQ241">
        <v>8</v>
      </c>
      <c r="FR241">
        <v>8</v>
      </c>
      <c r="FS241">
        <v>8</v>
      </c>
      <c r="FT241">
        <v>4</v>
      </c>
      <c r="FU241">
        <v>6</v>
      </c>
      <c r="FV241">
        <v>5</v>
      </c>
      <c r="GS241">
        <v>3</v>
      </c>
      <c r="GW241">
        <v>3</v>
      </c>
      <c r="HO241">
        <v>7</v>
      </c>
      <c r="HP241">
        <v>7</v>
      </c>
      <c r="HQ241">
        <v>6</v>
      </c>
      <c r="HR241">
        <v>9</v>
      </c>
      <c r="HS241">
        <v>9</v>
      </c>
      <c r="HT241">
        <v>9</v>
      </c>
      <c r="HU241">
        <v>9</v>
      </c>
      <c r="HV241">
        <v>9</v>
      </c>
      <c r="HW241">
        <v>9</v>
      </c>
      <c r="HX241">
        <v>9</v>
      </c>
      <c r="HY241">
        <v>9</v>
      </c>
      <c r="HZ241">
        <v>9</v>
      </c>
      <c r="IA241">
        <v>9</v>
      </c>
      <c r="IB241">
        <v>7</v>
      </c>
      <c r="IC241">
        <v>7</v>
      </c>
      <c r="ID241">
        <v>8</v>
      </c>
      <c r="IF241" t="s">
        <v>4569</v>
      </c>
      <c r="IG241" t="s">
        <v>4569</v>
      </c>
      <c r="IH241" t="s">
        <v>4569</v>
      </c>
      <c r="II241" t="s">
        <v>4569</v>
      </c>
    </row>
    <row r="242" spans="1:245" outlineLevel="1" x14ac:dyDescent="0.2">
      <c r="A242" t="str">
        <f t="shared" si="7"/>
        <v>Mahrische Glyphen</v>
      </c>
      <c r="EZ242" t="s">
        <v>4569</v>
      </c>
      <c r="FA242" t="s">
        <v>4569</v>
      </c>
      <c r="IF242" t="s">
        <v>4569</v>
      </c>
      <c r="IG242" t="s">
        <v>4569</v>
      </c>
      <c r="IH242" t="s">
        <v>4569</v>
      </c>
      <c r="II242" t="s">
        <v>4569</v>
      </c>
    </row>
    <row r="243" spans="1:245" outlineLevel="1" x14ac:dyDescent="0.2">
      <c r="A243" t="str">
        <f t="shared" si="7"/>
        <v>Nanduria</v>
      </c>
      <c r="DD243">
        <v>2</v>
      </c>
      <c r="DE243">
        <v>2</v>
      </c>
      <c r="DM243">
        <v>4</v>
      </c>
      <c r="DS243">
        <v>6</v>
      </c>
      <c r="DU243">
        <v>3</v>
      </c>
      <c r="DX243">
        <v>4</v>
      </c>
      <c r="DY243">
        <v>4</v>
      </c>
      <c r="EA243">
        <v>3</v>
      </c>
      <c r="EB243">
        <v>4</v>
      </c>
      <c r="EE243">
        <v>6</v>
      </c>
      <c r="EJ243">
        <v>4</v>
      </c>
      <c r="EK243">
        <v>4</v>
      </c>
      <c r="EL243">
        <v>4</v>
      </c>
      <c r="ET243">
        <v>5</v>
      </c>
      <c r="EZ243" t="s">
        <v>4569</v>
      </c>
      <c r="FA243" t="s">
        <v>4569</v>
      </c>
      <c r="FC243">
        <v>5</v>
      </c>
      <c r="FM243">
        <v>5</v>
      </c>
      <c r="FU243">
        <v>2</v>
      </c>
      <c r="HA243">
        <v>5</v>
      </c>
      <c r="HB243">
        <v>5</v>
      </c>
      <c r="HC243">
        <v>5</v>
      </c>
      <c r="HD243">
        <v>5</v>
      </c>
      <c r="HE243">
        <v>5</v>
      </c>
      <c r="HF243">
        <v>5</v>
      </c>
      <c r="HG243">
        <v>5</v>
      </c>
      <c r="HH243">
        <v>5</v>
      </c>
      <c r="HI243">
        <v>5</v>
      </c>
      <c r="HJ243">
        <v>5</v>
      </c>
      <c r="HK243">
        <v>5</v>
      </c>
      <c r="HL243">
        <v>5</v>
      </c>
      <c r="HM243">
        <v>5</v>
      </c>
      <c r="HN243">
        <v>5</v>
      </c>
      <c r="HQ243">
        <v>7</v>
      </c>
      <c r="HR243">
        <v>6</v>
      </c>
      <c r="HS243">
        <v>6</v>
      </c>
      <c r="HT243">
        <v>6</v>
      </c>
      <c r="HU243">
        <v>6</v>
      </c>
      <c r="HV243">
        <v>6</v>
      </c>
      <c r="HW243">
        <v>6</v>
      </c>
      <c r="HX243">
        <v>6</v>
      </c>
      <c r="HY243">
        <v>6</v>
      </c>
      <c r="HZ243">
        <v>6</v>
      </c>
      <c r="IA243">
        <v>6</v>
      </c>
      <c r="ID243">
        <v>5</v>
      </c>
      <c r="IK243">
        <v>1</v>
      </c>
    </row>
    <row r="244" spans="1:245" outlineLevel="1" x14ac:dyDescent="0.2">
      <c r="A244" t="str">
        <f t="shared" si="7"/>
        <v>Rogolan</v>
      </c>
      <c r="DM244">
        <v>4</v>
      </c>
      <c r="EZ244" t="s">
        <v>4569</v>
      </c>
      <c r="FA244" t="s">
        <v>4569</v>
      </c>
      <c r="IE244">
        <v>6</v>
      </c>
      <c r="IF244" t="s">
        <v>4569</v>
      </c>
      <c r="IG244" t="s">
        <v>4569</v>
      </c>
      <c r="IH244" t="s">
        <v>4569</v>
      </c>
      <c r="II244" t="s">
        <v>4569</v>
      </c>
    </row>
    <row r="245" spans="1:245" outlineLevel="1" x14ac:dyDescent="0.2">
      <c r="A245" t="str">
        <f t="shared" si="7"/>
        <v>Trollische Raumbilderschrift</v>
      </c>
      <c r="EZ245" t="s">
        <v>4569</v>
      </c>
      <c r="FA245" t="s">
        <v>4569</v>
      </c>
      <c r="IF245" t="s">
        <v>4569</v>
      </c>
      <c r="IG245" t="s">
        <v>4569</v>
      </c>
      <c r="IH245" t="s">
        <v>4569</v>
      </c>
      <c r="II245" t="s">
        <v>4569</v>
      </c>
    </row>
    <row r="246" spans="1:245" outlineLevel="1" x14ac:dyDescent="0.2">
      <c r="A246" t="str">
        <f t="shared" si="7"/>
        <v>Tulamidya</v>
      </c>
      <c r="CW246">
        <v>4</v>
      </c>
      <c r="CX246">
        <v>4</v>
      </c>
      <c r="DA246">
        <v>4</v>
      </c>
      <c r="DC246">
        <v>6</v>
      </c>
      <c r="DF246">
        <v>8</v>
      </c>
      <c r="DG246">
        <v>8</v>
      </c>
      <c r="DH246">
        <v>8</v>
      </c>
      <c r="DI246">
        <v>8</v>
      </c>
      <c r="DJ246">
        <v>8</v>
      </c>
      <c r="DK246">
        <v>8</v>
      </c>
      <c r="DL246">
        <v>8</v>
      </c>
      <c r="DN246">
        <v>8</v>
      </c>
      <c r="DO246">
        <v>8</v>
      </c>
      <c r="DP246">
        <v>8</v>
      </c>
      <c r="DQ246">
        <v>5</v>
      </c>
      <c r="DU246">
        <v>6</v>
      </c>
      <c r="DV246">
        <v>8</v>
      </c>
      <c r="DW246">
        <v>8</v>
      </c>
      <c r="DX246">
        <v>4</v>
      </c>
      <c r="DY246">
        <v>3</v>
      </c>
      <c r="DZ246">
        <v>6</v>
      </c>
      <c r="EA246">
        <v>6</v>
      </c>
      <c r="EB246">
        <v>3</v>
      </c>
      <c r="EC246">
        <v>6</v>
      </c>
      <c r="ED246">
        <v>4</v>
      </c>
      <c r="EE246">
        <v>2</v>
      </c>
      <c r="EK246">
        <v>5</v>
      </c>
      <c r="EL246">
        <v>5</v>
      </c>
      <c r="EM246">
        <v>8</v>
      </c>
      <c r="EN246">
        <v>8</v>
      </c>
      <c r="EQ246">
        <v>4</v>
      </c>
      <c r="ER246">
        <v>6</v>
      </c>
      <c r="EU246">
        <v>8</v>
      </c>
      <c r="EV246">
        <v>4</v>
      </c>
      <c r="EW246">
        <v>4</v>
      </c>
      <c r="EY246">
        <v>8</v>
      </c>
      <c r="EZ246">
        <v>4</v>
      </c>
      <c r="FA246">
        <v>4</v>
      </c>
      <c r="FB246">
        <v>8</v>
      </c>
      <c r="FC246">
        <v>8</v>
      </c>
      <c r="FE246">
        <v>7</v>
      </c>
      <c r="FK246">
        <v>7</v>
      </c>
      <c r="FL246">
        <v>8</v>
      </c>
      <c r="FN246">
        <v>8</v>
      </c>
      <c r="GP246">
        <v>5</v>
      </c>
      <c r="GS246">
        <v>3</v>
      </c>
      <c r="GT246">
        <v>5</v>
      </c>
      <c r="GW246">
        <v>3</v>
      </c>
      <c r="HO246">
        <v>4</v>
      </c>
      <c r="HP246">
        <v>4</v>
      </c>
      <c r="HQ246">
        <v>8</v>
      </c>
      <c r="ID246">
        <v>4</v>
      </c>
      <c r="IF246" t="s">
        <v>4569</v>
      </c>
      <c r="IG246" t="s">
        <v>4569</v>
      </c>
      <c r="IH246" t="s">
        <v>4569</v>
      </c>
      <c r="II246" t="s">
        <v>4569</v>
      </c>
    </row>
    <row r="247" spans="1:245" outlineLevel="1" x14ac:dyDescent="0.2">
      <c r="A247" t="str">
        <f t="shared" si="7"/>
        <v>Unauer Glyphen</v>
      </c>
      <c r="CB247">
        <v>6</v>
      </c>
      <c r="EC247">
        <v>8</v>
      </c>
      <c r="EZ247" t="s">
        <v>4569</v>
      </c>
      <c r="FA247" t="s">
        <v>4569</v>
      </c>
      <c r="IF247" t="s">
        <v>4569</v>
      </c>
      <c r="IG247" t="s">
        <v>4569</v>
      </c>
      <c r="IH247">
        <v>5</v>
      </c>
      <c r="II247">
        <v>5</v>
      </c>
    </row>
    <row r="248" spans="1:245" outlineLevel="1" x14ac:dyDescent="0.2">
      <c r="A248" t="str">
        <f t="shared" si="7"/>
        <v>Ur-Tulamidya</v>
      </c>
      <c r="CB248">
        <v>6</v>
      </c>
      <c r="DF248">
        <v>6</v>
      </c>
      <c r="DG248">
        <v>6</v>
      </c>
      <c r="DH248">
        <v>6</v>
      </c>
      <c r="DI248">
        <v>6</v>
      </c>
      <c r="DJ248">
        <v>6</v>
      </c>
      <c r="DK248">
        <v>6</v>
      </c>
      <c r="DN248">
        <v>6</v>
      </c>
      <c r="DO248">
        <v>6</v>
      </c>
      <c r="DS248">
        <v>6</v>
      </c>
      <c r="DU248">
        <v>2</v>
      </c>
      <c r="DV248">
        <v>5</v>
      </c>
      <c r="DW248">
        <v>5</v>
      </c>
      <c r="EC248">
        <v>4</v>
      </c>
      <c r="EK248">
        <v>5</v>
      </c>
      <c r="EL248">
        <v>5</v>
      </c>
      <c r="EM248">
        <v>6</v>
      </c>
      <c r="EN248">
        <v>6</v>
      </c>
      <c r="ER248">
        <v>6</v>
      </c>
      <c r="EY248">
        <v>5</v>
      </c>
      <c r="EZ248" t="s">
        <v>4569</v>
      </c>
      <c r="FA248" t="s">
        <v>4569</v>
      </c>
      <c r="FB248">
        <v>8</v>
      </c>
      <c r="FC248">
        <v>8</v>
      </c>
      <c r="FE248">
        <v>7</v>
      </c>
      <c r="FK248">
        <v>5</v>
      </c>
      <c r="FL248">
        <v>4</v>
      </c>
      <c r="FN248">
        <v>7</v>
      </c>
      <c r="HQ248">
        <v>5</v>
      </c>
      <c r="IF248" t="s">
        <v>4569</v>
      </c>
      <c r="IG248" t="s">
        <v>4569</v>
      </c>
      <c r="IH248">
        <v>5</v>
      </c>
      <c r="II248">
        <v>5</v>
      </c>
      <c r="IK248">
        <v>1</v>
      </c>
    </row>
    <row r="249" spans="1:245" outlineLevel="1" x14ac:dyDescent="0.2">
      <c r="A249" t="str">
        <f t="shared" si="7"/>
        <v>Zhayad</v>
      </c>
      <c r="DC249">
        <v>7</v>
      </c>
      <c r="DN249">
        <v>4</v>
      </c>
      <c r="DO249">
        <v>4</v>
      </c>
      <c r="DZ249">
        <v>5</v>
      </c>
      <c r="ED249">
        <v>5</v>
      </c>
      <c r="EJ249">
        <v>4</v>
      </c>
      <c r="EK249">
        <v>5</v>
      </c>
      <c r="EL249">
        <v>5</v>
      </c>
      <c r="EM249">
        <v>5</v>
      </c>
      <c r="EN249">
        <v>5</v>
      </c>
      <c r="EY249">
        <v>8</v>
      </c>
      <c r="EZ249" t="s">
        <v>4569</v>
      </c>
      <c r="FA249" t="s">
        <v>4569</v>
      </c>
      <c r="FB249">
        <v>4</v>
      </c>
      <c r="FC249">
        <v>4</v>
      </c>
      <c r="FD249">
        <v>6</v>
      </c>
      <c r="FE249">
        <v>4</v>
      </c>
      <c r="FG249">
        <v>6</v>
      </c>
      <c r="FH249">
        <v>6</v>
      </c>
      <c r="FI249">
        <v>6</v>
      </c>
      <c r="FJ249">
        <v>6</v>
      </c>
      <c r="FK249">
        <v>3</v>
      </c>
      <c r="FL249">
        <v>3</v>
      </c>
      <c r="FP249">
        <v>7</v>
      </c>
      <c r="FQ249">
        <v>7</v>
      </c>
      <c r="FR249">
        <v>7</v>
      </c>
      <c r="FS249">
        <v>7</v>
      </c>
      <c r="IF249" t="s">
        <v>4569</v>
      </c>
      <c r="IG249" t="s">
        <v>4569</v>
      </c>
      <c r="IH249" t="s">
        <v>4569</v>
      </c>
      <c r="II249" t="s">
        <v>4569</v>
      </c>
      <c r="IK249">
        <v>1</v>
      </c>
    </row>
    <row r="250" spans="1:245" x14ac:dyDescent="0.2">
      <c r="A250" t="s">
        <v>1319</v>
      </c>
      <c r="CD250" t="s">
        <v>3112</v>
      </c>
      <c r="CJ250" t="s">
        <v>3112</v>
      </c>
      <c r="CK250" t="s">
        <v>3112</v>
      </c>
      <c r="CL250" t="s">
        <v>3112</v>
      </c>
      <c r="EZ250" t="s">
        <v>4569</v>
      </c>
      <c r="FA250" t="s">
        <v>4569</v>
      </c>
      <c r="FP250" t="s">
        <v>4569</v>
      </c>
      <c r="FQ250" t="s">
        <v>4569</v>
      </c>
      <c r="FR250" t="s">
        <v>4569</v>
      </c>
      <c r="FS250" t="s">
        <v>4569</v>
      </c>
    </row>
    <row r="251" spans="1:245" x14ac:dyDescent="0.2">
      <c r="EZ251" t="s">
        <v>4569</v>
      </c>
      <c r="FA251" t="s">
        <v>4569</v>
      </c>
      <c r="FP251" t="s">
        <v>4569</v>
      </c>
      <c r="FQ251" t="s">
        <v>4569</v>
      </c>
      <c r="FR251" t="s">
        <v>4569</v>
      </c>
      <c r="FS251" t="s">
        <v>4569</v>
      </c>
    </row>
    <row r="252" spans="1:245" x14ac:dyDescent="0.2">
      <c r="EZ252" t="s">
        <v>4569</v>
      </c>
      <c r="FA252" t="s">
        <v>4569</v>
      </c>
      <c r="FP252" t="s">
        <v>4569</v>
      </c>
      <c r="FQ252" t="s">
        <v>4569</v>
      </c>
      <c r="FR252" t="s">
        <v>4569</v>
      </c>
      <c r="FS252" t="s">
        <v>4569</v>
      </c>
    </row>
    <row r="253" spans="1:245" x14ac:dyDescent="0.2">
      <c r="A253" t="s">
        <v>3592</v>
      </c>
      <c r="R253" t="s">
        <v>3249</v>
      </c>
      <c r="S253" t="s">
        <v>3249</v>
      </c>
      <c r="T253" t="s">
        <v>3249</v>
      </c>
      <c r="U253" t="s">
        <v>3249</v>
      </c>
      <c r="V253" t="s">
        <v>3249</v>
      </c>
      <c r="AF253" t="s">
        <v>3249</v>
      </c>
      <c r="AG253" t="s">
        <v>3249</v>
      </c>
      <c r="AH253" t="s">
        <v>3249</v>
      </c>
      <c r="AI253" t="s">
        <v>3249</v>
      </c>
      <c r="BL253" t="s">
        <v>5051</v>
      </c>
      <c r="BO253" t="s">
        <v>5051</v>
      </c>
      <c r="BS253" t="s">
        <v>5051</v>
      </c>
      <c r="BV253" t="s">
        <v>5051</v>
      </c>
      <c r="BY253" t="s">
        <v>5051</v>
      </c>
      <c r="CD253" t="s">
        <v>5051</v>
      </c>
      <c r="CE253" t="s">
        <v>1393</v>
      </c>
      <c r="CF253" t="s">
        <v>3249</v>
      </c>
      <c r="CG253" t="s">
        <v>3249</v>
      </c>
      <c r="CH253" t="s">
        <v>3249</v>
      </c>
      <c r="CI253" t="s">
        <v>3254</v>
      </c>
      <c r="CJ253" t="s">
        <v>2211</v>
      </c>
      <c r="CK253" t="s">
        <v>3254</v>
      </c>
      <c r="CL253" t="s">
        <v>3249</v>
      </c>
      <c r="CY253" t="s">
        <v>3254</v>
      </c>
      <c r="CZ253" t="s">
        <v>3252</v>
      </c>
      <c r="DR253" t="s">
        <v>3252</v>
      </c>
      <c r="EP253" t="s">
        <v>3254</v>
      </c>
      <c r="EZ253" t="s">
        <v>4569</v>
      </c>
      <c r="FA253" t="s">
        <v>2211</v>
      </c>
      <c r="FP253" t="s">
        <v>4569</v>
      </c>
      <c r="FQ253" t="s">
        <v>4569</v>
      </c>
      <c r="FR253" t="s">
        <v>4569</v>
      </c>
      <c r="FS253" t="s">
        <v>4569</v>
      </c>
      <c r="GN253" t="s">
        <v>3254</v>
      </c>
      <c r="GO253" t="s">
        <v>3254</v>
      </c>
      <c r="GP253" t="s">
        <v>3254</v>
      </c>
      <c r="GQ253" t="s">
        <v>3254</v>
      </c>
      <c r="GR253" t="s">
        <v>3254</v>
      </c>
      <c r="GS253" t="s">
        <v>3254</v>
      </c>
      <c r="GT253" t="s">
        <v>3254</v>
      </c>
      <c r="GU253" t="s">
        <v>3254</v>
      </c>
      <c r="GV253" t="s">
        <v>3254</v>
      </c>
      <c r="GW253" t="s">
        <v>3254</v>
      </c>
    </row>
    <row r="254" spans="1:245" x14ac:dyDescent="0.2">
      <c r="T254" t="s">
        <v>3251</v>
      </c>
      <c r="AG254" t="s">
        <v>3251</v>
      </c>
      <c r="CE254" t="s">
        <v>1061</v>
      </c>
      <c r="CF254" t="s">
        <v>91</v>
      </c>
      <c r="CG254" t="s">
        <v>3254</v>
      </c>
      <c r="CH254" t="s">
        <v>3254</v>
      </c>
      <c r="CY254" t="s">
        <v>3249</v>
      </c>
      <c r="EZ254" t="s">
        <v>4569</v>
      </c>
      <c r="FA254" t="s">
        <v>5012</v>
      </c>
      <c r="FP254" t="s">
        <v>4569</v>
      </c>
      <c r="FQ254" t="s">
        <v>4569</v>
      </c>
      <c r="FR254" t="s">
        <v>4569</v>
      </c>
      <c r="FS254" t="s">
        <v>4569</v>
      </c>
      <c r="GN254" t="s">
        <v>3249</v>
      </c>
      <c r="GO254" t="s">
        <v>3249</v>
      </c>
      <c r="GP254" t="s">
        <v>3249</v>
      </c>
      <c r="GQ254" t="s">
        <v>3249</v>
      </c>
      <c r="GR254" t="s">
        <v>3249</v>
      </c>
      <c r="GS254" t="s">
        <v>3249</v>
      </c>
      <c r="GT254" t="s">
        <v>3249</v>
      </c>
      <c r="GU254" t="s">
        <v>3249</v>
      </c>
      <c r="GV254" t="s">
        <v>3249</v>
      </c>
      <c r="GW254" t="s">
        <v>3249</v>
      </c>
    </row>
    <row r="255" spans="1:245" x14ac:dyDescent="0.2">
      <c r="CE255" t="s">
        <v>3254</v>
      </c>
      <c r="EZ255" t="s">
        <v>4569</v>
      </c>
      <c r="FA255" t="s">
        <v>4569</v>
      </c>
      <c r="FP255" t="s">
        <v>4569</v>
      </c>
      <c r="FQ255" t="s">
        <v>4569</v>
      </c>
      <c r="FR255" t="s">
        <v>4569</v>
      </c>
      <c r="FS255" t="s">
        <v>4569</v>
      </c>
    </row>
    <row r="256" spans="1:245" x14ac:dyDescent="0.2">
      <c r="EZ256" t="s">
        <v>4569</v>
      </c>
      <c r="FA256" t="s">
        <v>4569</v>
      </c>
      <c r="FP256" t="s">
        <v>4569</v>
      </c>
      <c r="FQ256" t="s">
        <v>4569</v>
      </c>
      <c r="FR256" t="s">
        <v>4569</v>
      </c>
      <c r="FS256" t="s">
        <v>4569</v>
      </c>
    </row>
    <row r="257" spans="1:245" x14ac:dyDescent="0.2">
      <c r="EZ257" t="s">
        <v>4569</v>
      </c>
      <c r="FA257" t="s">
        <v>4569</v>
      </c>
      <c r="FP257" t="s">
        <v>4569</v>
      </c>
      <c r="FQ257" t="s">
        <v>4569</v>
      </c>
      <c r="FR257" t="s">
        <v>4569</v>
      </c>
      <c r="FS257" t="s">
        <v>4569</v>
      </c>
    </row>
    <row r="258" spans="1:245" x14ac:dyDescent="0.2">
      <c r="EZ258" t="s">
        <v>4569</v>
      </c>
      <c r="FA258" t="s">
        <v>4569</v>
      </c>
      <c r="FP258" t="s">
        <v>4569</v>
      </c>
      <c r="FQ258" t="s">
        <v>4569</v>
      </c>
      <c r="FR258" t="s">
        <v>4569</v>
      </c>
      <c r="FS258" t="s">
        <v>4569</v>
      </c>
    </row>
    <row r="259" spans="1:245" x14ac:dyDescent="0.2">
      <c r="EZ259" t="s">
        <v>4569</v>
      </c>
      <c r="FA259" t="s">
        <v>4569</v>
      </c>
      <c r="FP259" t="s">
        <v>4569</v>
      </c>
      <c r="FQ259" t="s">
        <v>4569</v>
      </c>
      <c r="FR259" t="s">
        <v>4569</v>
      </c>
      <c r="FS259" t="s">
        <v>4569</v>
      </c>
    </row>
    <row r="260" spans="1:245" x14ac:dyDescent="0.2">
      <c r="EZ260" t="s">
        <v>4569</v>
      </c>
      <c r="FA260" t="s">
        <v>4569</v>
      </c>
      <c r="FP260" t="s">
        <v>4569</v>
      </c>
      <c r="FQ260" t="s">
        <v>4569</v>
      </c>
      <c r="FR260" t="s">
        <v>4569</v>
      </c>
      <c r="FS260" t="s">
        <v>4569</v>
      </c>
    </row>
    <row r="261" spans="1:245" x14ac:dyDescent="0.2">
      <c r="EZ261" t="s">
        <v>4569</v>
      </c>
      <c r="FA261" t="s">
        <v>4569</v>
      </c>
      <c r="FP261" t="s">
        <v>4569</v>
      </c>
      <c r="FQ261" t="s">
        <v>4569</v>
      </c>
      <c r="FR261" t="s">
        <v>4569</v>
      </c>
      <c r="FS261" t="s">
        <v>4569</v>
      </c>
    </row>
    <row r="262" spans="1:245" x14ac:dyDescent="0.2">
      <c r="EZ262" t="s">
        <v>4569</v>
      </c>
      <c r="FA262" t="s">
        <v>4569</v>
      </c>
      <c r="FP262" t="s">
        <v>4569</v>
      </c>
      <c r="FQ262" t="s">
        <v>4569</v>
      </c>
      <c r="FR262" t="s">
        <v>4569</v>
      </c>
      <c r="FS262" t="s">
        <v>4569</v>
      </c>
    </row>
    <row r="263" spans="1:245" x14ac:dyDescent="0.2">
      <c r="A263" t="s">
        <v>3630</v>
      </c>
      <c r="R263" t="s">
        <v>1366</v>
      </c>
      <c r="S263" t="s">
        <v>1366</v>
      </c>
      <c r="T263" t="s">
        <v>1366</v>
      </c>
      <c r="U263" t="s">
        <v>1366</v>
      </c>
      <c r="V263" t="s">
        <v>1366</v>
      </c>
      <c r="AF263" t="s">
        <v>1366</v>
      </c>
      <c r="AG263" t="s">
        <v>1366</v>
      </c>
      <c r="AH263" t="s">
        <v>1366</v>
      </c>
      <c r="AI263" t="s">
        <v>1366</v>
      </c>
      <c r="BN263" t="s">
        <v>1366</v>
      </c>
      <c r="BX263" t="s">
        <v>1366</v>
      </c>
      <c r="EZ263" t="s">
        <v>4569</v>
      </c>
      <c r="FA263" t="s">
        <v>4569</v>
      </c>
      <c r="FP263" t="s">
        <v>4569</v>
      </c>
      <c r="FQ263" t="s">
        <v>4569</v>
      </c>
      <c r="FR263" t="s">
        <v>4569</v>
      </c>
      <c r="FS263" t="s">
        <v>4569</v>
      </c>
    </row>
    <row r="264" spans="1:245" x14ac:dyDescent="0.2">
      <c r="EZ264" t="s">
        <v>4569</v>
      </c>
      <c r="FA264" t="s">
        <v>4569</v>
      </c>
      <c r="FP264" t="s">
        <v>4569</v>
      </c>
      <c r="FQ264" t="s">
        <v>4569</v>
      </c>
      <c r="FR264" t="s">
        <v>4569</v>
      </c>
      <c r="FS264" t="s">
        <v>4569</v>
      </c>
    </row>
    <row r="265" spans="1:245" x14ac:dyDescent="0.2">
      <c r="EZ265" t="s">
        <v>4569</v>
      </c>
      <c r="FA265" t="s">
        <v>4569</v>
      </c>
      <c r="FP265" t="s">
        <v>4569</v>
      </c>
      <c r="FQ265" t="s">
        <v>4569</v>
      </c>
      <c r="FR265" t="s">
        <v>4569</v>
      </c>
      <c r="FS265" t="s">
        <v>4569</v>
      </c>
    </row>
    <row r="266" spans="1:245" x14ac:dyDescent="0.2">
      <c r="A266" t="s">
        <v>3798</v>
      </c>
      <c r="Q266" t="s">
        <v>1490</v>
      </c>
      <c r="AE266" t="s">
        <v>1490</v>
      </c>
      <c r="BM266" t="s">
        <v>2141</v>
      </c>
      <c r="BP266" t="s">
        <v>2141</v>
      </c>
      <c r="BQ266" t="s">
        <v>2141</v>
      </c>
      <c r="BR266" t="s">
        <v>2141</v>
      </c>
      <c r="BU266" t="s">
        <v>2141</v>
      </c>
      <c r="BW266" t="s">
        <v>2141</v>
      </c>
      <c r="BZ266" t="s">
        <v>2141</v>
      </c>
      <c r="CA266" t="s">
        <v>2141</v>
      </c>
      <c r="CD266" t="s">
        <v>343</v>
      </c>
      <c r="CE266" t="s">
        <v>2064</v>
      </c>
      <c r="CF266" t="s">
        <v>2064</v>
      </c>
      <c r="CG266" t="s">
        <v>343</v>
      </c>
      <c r="CK266" t="s">
        <v>1712</v>
      </c>
      <c r="CN266" t="s">
        <v>1490</v>
      </c>
      <c r="CO266" t="s">
        <v>1490</v>
      </c>
      <c r="CP266" t="s">
        <v>1490</v>
      </c>
      <c r="CQ266" t="s">
        <v>2488</v>
      </c>
      <c r="CR266" t="s">
        <v>1490</v>
      </c>
      <c r="CS266" t="s">
        <v>1490</v>
      </c>
      <c r="CY266" t="s">
        <v>1712</v>
      </c>
      <c r="DW266" t="s">
        <v>3676</v>
      </c>
      <c r="EB266" t="s">
        <v>2488</v>
      </c>
      <c r="EZ266" t="s">
        <v>4569</v>
      </c>
      <c r="FA266" t="s">
        <v>4569</v>
      </c>
      <c r="FP266" t="s">
        <v>4569</v>
      </c>
      <c r="FQ266" t="s">
        <v>4569</v>
      </c>
      <c r="FR266" t="s">
        <v>4569</v>
      </c>
      <c r="FS266" t="s">
        <v>4569</v>
      </c>
      <c r="FT266" t="s">
        <v>6109</v>
      </c>
      <c r="FV266" t="s">
        <v>2800</v>
      </c>
      <c r="GJ266" t="s">
        <v>2488</v>
      </c>
      <c r="GN266" t="s">
        <v>3676</v>
      </c>
      <c r="GO266" t="s">
        <v>3676</v>
      </c>
      <c r="GP266" t="s">
        <v>3676</v>
      </c>
      <c r="GQ266" t="s">
        <v>3676</v>
      </c>
      <c r="GR266" t="s">
        <v>3676</v>
      </c>
      <c r="GS266" t="s">
        <v>3676</v>
      </c>
      <c r="GT266" t="s">
        <v>3676</v>
      </c>
      <c r="GU266" t="s">
        <v>3676</v>
      </c>
      <c r="GV266" t="s">
        <v>3676</v>
      </c>
      <c r="GW266" t="s">
        <v>3676</v>
      </c>
      <c r="HC266" t="s">
        <v>2488</v>
      </c>
      <c r="HD266" t="s">
        <v>2488</v>
      </c>
      <c r="HE266" t="s">
        <v>2488</v>
      </c>
      <c r="HF266" t="s">
        <v>2488</v>
      </c>
      <c r="HG266" t="s">
        <v>2488</v>
      </c>
      <c r="HH266" t="s">
        <v>2488</v>
      </c>
      <c r="HI266" t="s">
        <v>2488</v>
      </c>
      <c r="HJ266" t="s">
        <v>2488</v>
      </c>
      <c r="HK266" t="s">
        <v>2488</v>
      </c>
      <c r="HL266" t="s">
        <v>2488</v>
      </c>
      <c r="HM266" t="s">
        <v>2488</v>
      </c>
      <c r="HN266" t="s">
        <v>2488</v>
      </c>
      <c r="HO266" t="s">
        <v>2488</v>
      </c>
      <c r="HP266" t="s">
        <v>2488</v>
      </c>
      <c r="HQ266" t="s">
        <v>2488</v>
      </c>
      <c r="HR266" t="s">
        <v>2488</v>
      </c>
      <c r="HS266" t="s">
        <v>2488</v>
      </c>
      <c r="HT266" t="s">
        <v>2488</v>
      </c>
      <c r="HU266" t="s">
        <v>2488</v>
      </c>
      <c r="HV266" t="s">
        <v>2488</v>
      </c>
      <c r="HW266" t="s">
        <v>2488</v>
      </c>
      <c r="HX266" t="s">
        <v>2488</v>
      </c>
      <c r="HY266" t="s">
        <v>2488</v>
      </c>
      <c r="HZ266" t="s">
        <v>2488</v>
      </c>
      <c r="IA266" t="s">
        <v>2488</v>
      </c>
      <c r="IB266" t="s">
        <v>2488</v>
      </c>
      <c r="IC266" t="s">
        <v>2488</v>
      </c>
      <c r="ID266" t="s">
        <v>2488</v>
      </c>
    </row>
    <row r="267" spans="1:245" x14ac:dyDescent="0.2">
      <c r="CO267" t="s">
        <v>6611</v>
      </c>
      <c r="CP267" t="s">
        <v>6611</v>
      </c>
      <c r="CR267" t="s">
        <v>6611</v>
      </c>
      <c r="CS267" t="s">
        <v>6611</v>
      </c>
      <c r="EZ267" t="s">
        <v>4569</v>
      </c>
      <c r="FA267" t="s">
        <v>4569</v>
      </c>
      <c r="FP267" t="s">
        <v>4569</v>
      </c>
      <c r="FQ267" t="s">
        <v>4569</v>
      </c>
      <c r="FR267" t="s">
        <v>4569</v>
      </c>
      <c r="FS267" t="s">
        <v>4569</v>
      </c>
    </row>
    <row r="268" spans="1:245" x14ac:dyDescent="0.2">
      <c r="EZ268" t="s">
        <v>4569</v>
      </c>
      <c r="FA268" t="s">
        <v>4569</v>
      </c>
      <c r="FP268" t="s">
        <v>4569</v>
      </c>
      <c r="FQ268" t="s">
        <v>4569</v>
      </c>
      <c r="FR268" t="s">
        <v>4569</v>
      </c>
      <c r="FS268" t="s">
        <v>4569</v>
      </c>
    </row>
    <row r="269" spans="1:245" x14ac:dyDescent="0.2">
      <c r="EZ269" t="s">
        <v>4569</v>
      </c>
      <c r="FA269" t="s">
        <v>4569</v>
      </c>
      <c r="FP269" t="s">
        <v>4569</v>
      </c>
      <c r="FQ269" t="s">
        <v>4569</v>
      </c>
      <c r="FR269" t="s">
        <v>4569</v>
      </c>
      <c r="FS269" t="s">
        <v>4569</v>
      </c>
    </row>
    <row r="270" spans="1:245" x14ac:dyDescent="0.2">
      <c r="EZ270" t="s">
        <v>4569</v>
      </c>
      <c r="FA270" t="s">
        <v>4569</v>
      </c>
      <c r="FP270" t="s">
        <v>4569</v>
      </c>
      <c r="FQ270" t="s">
        <v>4569</v>
      </c>
      <c r="FR270" t="s">
        <v>4569</v>
      </c>
      <c r="FS270" t="s">
        <v>4569</v>
      </c>
    </row>
    <row r="271" spans="1:245" x14ac:dyDescent="0.2">
      <c r="A271" t="s">
        <v>320</v>
      </c>
      <c r="C271" t="s">
        <v>2988</v>
      </c>
      <c r="D271" t="s">
        <v>2988</v>
      </c>
      <c r="E271" t="s">
        <v>2988</v>
      </c>
      <c r="F271" t="s">
        <v>2988</v>
      </c>
      <c r="G271" t="s">
        <v>2988</v>
      </c>
      <c r="H271" t="s">
        <v>2988</v>
      </c>
      <c r="I271" t="s">
        <v>2988</v>
      </c>
      <c r="J271" t="s">
        <v>2988</v>
      </c>
      <c r="K271" t="s">
        <v>2988</v>
      </c>
      <c r="L271" t="s">
        <v>2988</v>
      </c>
      <c r="M271" t="s">
        <v>2988</v>
      </c>
      <c r="N271" t="s">
        <v>2988</v>
      </c>
      <c r="AU271" t="s">
        <v>319</v>
      </c>
      <c r="AV271" t="s">
        <v>319</v>
      </c>
      <c r="AW271" t="s">
        <v>319</v>
      </c>
      <c r="AZ271" t="s">
        <v>319</v>
      </c>
      <c r="BA271" t="s">
        <v>319</v>
      </c>
      <c r="BB271" t="s">
        <v>319</v>
      </c>
      <c r="BC271" t="s">
        <v>319</v>
      </c>
      <c r="BD271" t="s">
        <v>319</v>
      </c>
      <c r="BE271" t="s">
        <v>319</v>
      </c>
      <c r="BF271" t="s">
        <v>319</v>
      </c>
      <c r="BG271" t="s">
        <v>319</v>
      </c>
      <c r="BI271" t="s">
        <v>319</v>
      </c>
      <c r="BJ271" t="s">
        <v>319</v>
      </c>
      <c r="BL271" t="s">
        <v>591</v>
      </c>
      <c r="BM271" t="s">
        <v>591</v>
      </c>
      <c r="BN271" t="s">
        <v>591</v>
      </c>
      <c r="BO271" t="s">
        <v>591</v>
      </c>
      <c r="BP271" t="s">
        <v>591</v>
      </c>
      <c r="BQ271" t="s">
        <v>591</v>
      </c>
      <c r="BR271" t="s">
        <v>591</v>
      </c>
      <c r="BS271" t="s">
        <v>591</v>
      </c>
      <c r="BT271" t="s">
        <v>591</v>
      </c>
      <c r="BU271" t="s">
        <v>591</v>
      </c>
      <c r="BV271" t="s">
        <v>591</v>
      </c>
      <c r="BW271" t="s">
        <v>591</v>
      </c>
      <c r="BX271" t="s">
        <v>591</v>
      </c>
      <c r="BY271" t="s">
        <v>591</v>
      </c>
      <c r="BZ271" t="s">
        <v>591</v>
      </c>
      <c r="CA271" t="s">
        <v>591</v>
      </c>
      <c r="CO271" t="s">
        <v>2601</v>
      </c>
      <c r="CP271" t="s">
        <v>2601</v>
      </c>
      <c r="CQ271" t="s">
        <v>2601</v>
      </c>
      <c r="CR271" t="s">
        <v>2601</v>
      </c>
      <c r="CS271" t="s">
        <v>2601</v>
      </c>
      <c r="CU271" t="s">
        <v>876</v>
      </c>
      <c r="CW271" t="s">
        <v>2199</v>
      </c>
      <c r="CX271" t="s">
        <v>2199</v>
      </c>
      <c r="CY271" t="s">
        <v>2199</v>
      </c>
      <c r="CZ271" t="s">
        <v>2199</v>
      </c>
      <c r="DA271" t="s">
        <v>2199</v>
      </c>
      <c r="DB271" t="s">
        <v>2199</v>
      </c>
      <c r="DD271" t="s">
        <v>2199</v>
      </c>
      <c r="DE271" t="s">
        <v>2199</v>
      </c>
      <c r="DF271" t="s">
        <v>2199</v>
      </c>
      <c r="DG271" t="s">
        <v>2199</v>
      </c>
      <c r="DH271" t="s">
        <v>2199</v>
      </c>
      <c r="DI271" t="s">
        <v>2199</v>
      </c>
      <c r="DJ271" t="s">
        <v>2199</v>
      </c>
      <c r="DK271" t="s">
        <v>2199</v>
      </c>
      <c r="DL271" t="s">
        <v>2199</v>
      </c>
      <c r="DM271" t="s">
        <v>2199</v>
      </c>
      <c r="DN271" t="s">
        <v>2199</v>
      </c>
      <c r="DO271" t="s">
        <v>2199</v>
      </c>
      <c r="DP271" t="s">
        <v>2199</v>
      </c>
      <c r="DQ271" t="s">
        <v>2199</v>
      </c>
      <c r="DR271" t="s">
        <v>2199</v>
      </c>
      <c r="DS271" t="s">
        <v>2199</v>
      </c>
      <c r="DT271" t="s">
        <v>2199</v>
      </c>
      <c r="DU271" t="s">
        <v>2199</v>
      </c>
      <c r="DV271" t="s">
        <v>2199</v>
      </c>
      <c r="DW271" t="s">
        <v>2199</v>
      </c>
      <c r="DX271" t="s">
        <v>2199</v>
      </c>
      <c r="DY271" t="s">
        <v>2199</v>
      </c>
      <c r="DZ271" t="s">
        <v>2199</v>
      </c>
      <c r="EA271" t="s">
        <v>2199</v>
      </c>
      <c r="EB271" t="s">
        <v>2199</v>
      </c>
      <c r="EC271" t="s">
        <v>2199</v>
      </c>
      <c r="ED271" t="s">
        <v>2199</v>
      </c>
      <c r="EE271" t="s">
        <v>2199</v>
      </c>
      <c r="EF271" t="s">
        <v>2199</v>
      </c>
      <c r="EG271" t="s">
        <v>2199</v>
      </c>
      <c r="EH271" t="s">
        <v>2199</v>
      </c>
      <c r="EI271" t="s">
        <v>2199</v>
      </c>
      <c r="EJ271" t="s">
        <v>2199</v>
      </c>
      <c r="EK271" t="s">
        <v>2199</v>
      </c>
      <c r="EL271" t="s">
        <v>2199</v>
      </c>
      <c r="EM271" t="s">
        <v>2199</v>
      </c>
      <c r="EN271" t="s">
        <v>2199</v>
      </c>
      <c r="EO271" t="s">
        <v>2199</v>
      </c>
      <c r="EP271" t="s">
        <v>2199</v>
      </c>
      <c r="EQ271" t="s">
        <v>2199</v>
      </c>
      <c r="ER271" t="s">
        <v>2199</v>
      </c>
      <c r="ES271" t="s">
        <v>2199</v>
      </c>
      <c r="ET271" t="s">
        <v>2199</v>
      </c>
      <c r="EU271" t="s">
        <v>2199</v>
      </c>
      <c r="EV271" t="s">
        <v>2199</v>
      </c>
      <c r="EW271" t="s">
        <v>2199</v>
      </c>
      <c r="EZ271" t="s">
        <v>319</v>
      </c>
      <c r="FA271" t="s">
        <v>319</v>
      </c>
      <c r="FB271" t="s">
        <v>319</v>
      </c>
      <c r="FC271" t="s">
        <v>319</v>
      </c>
      <c r="FD271" t="s">
        <v>591</v>
      </c>
      <c r="FE271" t="s">
        <v>319</v>
      </c>
      <c r="FF271" t="s">
        <v>319</v>
      </c>
      <c r="FG271" t="s">
        <v>592</v>
      </c>
      <c r="FH271" t="s">
        <v>592</v>
      </c>
      <c r="FI271" t="s">
        <v>592</v>
      </c>
      <c r="FJ271" t="s">
        <v>592</v>
      </c>
      <c r="FK271" t="s">
        <v>319</v>
      </c>
      <c r="FL271" t="s">
        <v>319</v>
      </c>
      <c r="FM271" t="s">
        <v>319</v>
      </c>
      <c r="FN271" t="s">
        <v>319</v>
      </c>
      <c r="FO271" t="s">
        <v>319</v>
      </c>
      <c r="FP271" t="s">
        <v>591</v>
      </c>
      <c r="FQ271" t="s">
        <v>591</v>
      </c>
      <c r="FR271" t="s">
        <v>591</v>
      </c>
      <c r="FS271" t="s">
        <v>591</v>
      </c>
      <c r="FU271" t="s">
        <v>319</v>
      </c>
      <c r="FV271" t="s">
        <v>319</v>
      </c>
      <c r="FX271" t="s">
        <v>4303</v>
      </c>
      <c r="FY271" t="s">
        <v>4303</v>
      </c>
      <c r="FZ271" t="s">
        <v>4303</v>
      </c>
      <c r="GA271" t="s">
        <v>4303</v>
      </c>
      <c r="GB271" t="s">
        <v>4303</v>
      </c>
      <c r="GC271" t="s">
        <v>4303</v>
      </c>
      <c r="GD271" t="s">
        <v>4303</v>
      </c>
      <c r="IK271" t="s">
        <v>592</v>
      </c>
    </row>
    <row r="272" spans="1:245" x14ac:dyDescent="0.2">
      <c r="C272" t="s">
        <v>319</v>
      </c>
      <c r="D272" t="s">
        <v>319</v>
      </c>
      <c r="E272" t="s">
        <v>319</v>
      </c>
      <c r="F272" t="s">
        <v>319</v>
      </c>
      <c r="G272" t="s">
        <v>319</v>
      </c>
      <c r="H272" t="s">
        <v>319</v>
      </c>
      <c r="I272" t="s">
        <v>319</v>
      </c>
      <c r="J272" t="s">
        <v>319</v>
      </c>
      <c r="K272" t="s">
        <v>319</v>
      </c>
      <c r="L272" t="s">
        <v>319</v>
      </c>
      <c r="M272" t="s">
        <v>319</v>
      </c>
      <c r="N272" t="s">
        <v>319</v>
      </c>
      <c r="AZ272" t="s">
        <v>29</v>
      </c>
      <c r="BA272" t="s">
        <v>29</v>
      </c>
      <c r="BB272" t="s">
        <v>29</v>
      </c>
      <c r="BC272" t="s">
        <v>29</v>
      </c>
      <c r="BD272" t="s">
        <v>29</v>
      </c>
      <c r="BE272" t="s">
        <v>29</v>
      </c>
      <c r="BF272" t="s">
        <v>29</v>
      </c>
      <c r="BG272" t="s">
        <v>29</v>
      </c>
      <c r="BI272" t="s">
        <v>2939</v>
      </c>
      <c r="BJ272" t="s">
        <v>2939</v>
      </c>
      <c r="CW272" t="s">
        <v>319</v>
      </c>
      <c r="CX272" t="s">
        <v>319</v>
      </c>
      <c r="CY272" t="s">
        <v>319</v>
      </c>
      <c r="CZ272" t="s">
        <v>319</v>
      </c>
      <c r="DA272" t="s">
        <v>319</v>
      </c>
      <c r="DB272" t="s">
        <v>319</v>
      </c>
      <c r="DD272" t="s">
        <v>319</v>
      </c>
      <c r="DE272" t="s">
        <v>319</v>
      </c>
      <c r="DG272" t="s">
        <v>319</v>
      </c>
      <c r="DH272" t="s">
        <v>319</v>
      </c>
      <c r="DI272" t="s">
        <v>319</v>
      </c>
      <c r="DJ272" t="s">
        <v>319</v>
      </c>
      <c r="DK272" t="s">
        <v>319</v>
      </c>
      <c r="DL272" t="s">
        <v>319</v>
      </c>
      <c r="DM272" t="s">
        <v>319</v>
      </c>
      <c r="DN272" t="s">
        <v>319</v>
      </c>
      <c r="DO272" t="s">
        <v>319</v>
      </c>
      <c r="DP272" t="s">
        <v>319</v>
      </c>
      <c r="DQ272" t="s">
        <v>319</v>
      </c>
      <c r="DR272" t="s">
        <v>319</v>
      </c>
      <c r="DS272" t="s">
        <v>319</v>
      </c>
      <c r="DT272" t="s">
        <v>319</v>
      </c>
      <c r="DU272" t="s">
        <v>319</v>
      </c>
      <c r="DV272" t="s">
        <v>319</v>
      </c>
      <c r="DW272" t="s">
        <v>319</v>
      </c>
      <c r="DX272" t="s">
        <v>319</v>
      </c>
      <c r="DY272" t="s">
        <v>319</v>
      </c>
      <c r="DZ272" t="s">
        <v>319</v>
      </c>
      <c r="EA272" t="s">
        <v>319</v>
      </c>
      <c r="EB272" t="s">
        <v>319</v>
      </c>
      <c r="EC272" t="s">
        <v>319</v>
      </c>
      <c r="ED272" t="s">
        <v>319</v>
      </c>
      <c r="EE272" t="s">
        <v>319</v>
      </c>
      <c r="EF272" t="s">
        <v>319</v>
      </c>
      <c r="EG272" t="s">
        <v>319</v>
      </c>
      <c r="EH272" t="s">
        <v>319</v>
      </c>
      <c r="EI272" t="s">
        <v>319</v>
      </c>
      <c r="EJ272" t="s">
        <v>319</v>
      </c>
      <c r="EK272" t="s">
        <v>319</v>
      </c>
      <c r="EL272" t="s">
        <v>319</v>
      </c>
      <c r="EM272" t="s">
        <v>319</v>
      </c>
      <c r="EN272" t="s">
        <v>319</v>
      </c>
      <c r="EO272" t="s">
        <v>319</v>
      </c>
      <c r="EP272" t="s">
        <v>319</v>
      </c>
      <c r="EQ272" t="s">
        <v>319</v>
      </c>
      <c r="ER272" t="s">
        <v>319</v>
      </c>
      <c r="ES272" t="s">
        <v>319</v>
      </c>
      <c r="ET272" t="s">
        <v>319</v>
      </c>
      <c r="EU272" t="s">
        <v>319</v>
      </c>
      <c r="EV272" t="s">
        <v>319</v>
      </c>
      <c r="EW272" t="s">
        <v>319</v>
      </c>
      <c r="EY272" t="s">
        <v>319</v>
      </c>
      <c r="EZ272" t="s">
        <v>2199</v>
      </c>
      <c r="FA272" t="s">
        <v>4569</v>
      </c>
      <c r="FB272" t="s">
        <v>28</v>
      </c>
      <c r="FD272" t="s">
        <v>319</v>
      </c>
      <c r="FE272" t="s">
        <v>28</v>
      </c>
      <c r="FF272" t="s">
        <v>2066</v>
      </c>
      <c r="FG272" t="s">
        <v>319</v>
      </c>
      <c r="FH272" t="s">
        <v>319</v>
      </c>
      <c r="FI272" t="s">
        <v>319</v>
      </c>
      <c r="FJ272" t="s">
        <v>319</v>
      </c>
      <c r="FL272" t="s">
        <v>1556</v>
      </c>
      <c r="FO272" t="s">
        <v>4303</v>
      </c>
      <c r="FP272" t="s">
        <v>319</v>
      </c>
      <c r="FQ272" t="s">
        <v>319</v>
      </c>
      <c r="FR272" t="s">
        <v>319</v>
      </c>
      <c r="FS272" t="s">
        <v>319</v>
      </c>
      <c r="FT272" t="s">
        <v>319</v>
      </c>
      <c r="IK272" t="s">
        <v>2933</v>
      </c>
    </row>
    <row r="273" spans="1:245" x14ac:dyDescent="0.2">
      <c r="C273" t="s">
        <v>28</v>
      </c>
      <c r="D273" t="s">
        <v>28</v>
      </c>
      <c r="E273" t="s">
        <v>28</v>
      </c>
      <c r="F273" t="s">
        <v>28</v>
      </c>
      <c r="G273" t="s">
        <v>28</v>
      </c>
      <c r="H273" t="s">
        <v>28</v>
      </c>
      <c r="I273" t="s">
        <v>28</v>
      </c>
      <c r="J273" t="s">
        <v>28</v>
      </c>
      <c r="K273" t="s">
        <v>28</v>
      </c>
      <c r="L273" t="s">
        <v>28</v>
      </c>
      <c r="M273" t="s">
        <v>28</v>
      </c>
      <c r="N273" t="s">
        <v>28</v>
      </c>
      <c r="BC273" t="s">
        <v>589</v>
      </c>
      <c r="BE273" t="s">
        <v>27</v>
      </c>
      <c r="CW273" t="s">
        <v>28</v>
      </c>
      <c r="CX273" t="s">
        <v>28</v>
      </c>
      <c r="DB273" t="s">
        <v>28</v>
      </c>
      <c r="DC273" t="s">
        <v>28</v>
      </c>
      <c r="DL273" t="s">
        <v>591</v>
      </c>
      <c r="DM273" t="s">
        <v>878</v>
      </c>
      <c r="DN273" t="s">
        <v>592</v>
      </c>
      <c r="DO273" t="s">
        <v>592</v>
      </c>
      <c r="DP273" t="s">
        <v>589</v>
      </c>
      <c r="DU273" t="s">
        <v>3799</v>
      </c>
      <c r="DV273" t="s">
        <v>597</v>
      </c>
      <c r="DW273" t="s">
        <v>597</v>
      </c>
      <c r="DZ273" t="s">
        <v>592</v>
      </c>
      <c r="ED273" t="s">
        <v>28</v>
      </c>
      <c r="EH273" t="s">
        <v>876</v>
      </c>
      <c r="EI273" t="s">
        <v>876</v>
      </c>
      <c r="EK273" t="s">
        <v>28</v>
      </c>
      <c r="EL273" t="s">
        <v>2935</v>
      </c>
      <c r="EM273" t="s">
        <v>597</v>
      </c>
      <c r="EN273" t="s">
        <v>597</v>
      </c>
      <c r="EO273" t="s">
        <v>28</v>
      </c>
      <c r="EP273" t="s">
        <v>28</v>
      </c>
      <c r="ER273" t="s">
        <v>2066</v>
      </c>
      <c r="EY273" t="s">
        <v>6276</v>
      </c>
      <c r="EZ273" t="s">
        <v>4303</v>
      </c>
      <c r="FA273" t="s">
        <v>4569</v>
      </c>
      <c r="FG273" t="s">
        <v>28</v>
      </c>
      <c r="FH273" t="s">
        <v>28</v>
      </c>
      <c r="FI273" t="s">
        <v>28</v>
      </c>
      <c r="FJ273" t="s">
        <v>28</v>
      </c>
      <c r="FP273" t="s">
        <v>6276</v>
      </c>
      <c r="FQ273" t="s">
        <v>6276</v>
      </c>
      <c r="FR273" t="s">
        <v>6276</v>
      </c>
      <c r="FS273" t="s">
        <v>6276</v>
      </c>
    </row>
    <row r="274" spans="1:245" x14ac:dyDescent="0.2">
      <c r="E274" t="s">
        <v>591</v>
      </c>
      <c r="CX274" t="s">
        <v>876</v>
      </c>
      <c r="DC274" t="s">
        <v>6276</v>
      </c>
      <c r="DL274" t="s">
        <v>2933</v>
      </c>
      <c r="DM274" t="s">
        <v>4303</v>
      </c>
      <c r="DN274" t="s">
        <v>28</v>
      </c>
      <c r="DO274" t="s">
        <v>28</v>
      </c>
      <c r="DW274" t="s">
        <v>1556</v>
      </c>
      <c r="DZ274" t="s">
        <v>2066</v>
      </c>
      <c r="EI274" t="s">
        <v>2599</v>
      </c>
      <c r="EM274" t="s">
        <v>1556</v>
      </c>
      <c r="EN274" t="s">
        <v>1556</v>
      </c>
      <c r="EP274" t="s">
        <v>2933</v>
      </c>
      <c r="EZ274" t="s">
        <v>4569</v>
      </c>
      <c r="FA274" t="s">
        <v>4569</v>
      </c>
      <c r="FP274" t="s">
        <v>4569</v>
      </c>
      <c r="FQ274" t="s">
        <v>4569</v>
      </c>
      <c r="FR274" t="s">
        <v>4569</v>
      </c>
      <c r="FS274" t="s">
        <v>4569</v>
      </c>
    </row>
    <row r="275" spans="1:245" x14ac:dyDescent="0.2">
      <c r="DC275" t="s">
        <v>1556</v>
      </c>
      <c r="DL275" t="s">
        <v>28</v>
      </c>
      <c r="EI275" t="s">
        <v>2601</v>
      </c>
      <c r="EM275" t="s">
        <v>6276</v>
      </c>
      <c r="EZ275" t="s">
        <v>4569</v>
      </c>
      <c r="FA275" t="s">
        <v>4569</v>
      </c>
      <c r="FP275" t="s">
        <v>4569</v>
      </c>
      <c r="FQ275" t="s">
        <v>4569</v>
      </c>
      <c r="FR275" t="s">
        <v>4569</v>
      </c>
      <c r="FS275" t="s">
        <v>4569</v>
      </c>
    </row>
    <row r="276" spans="1:245" x14ac:dyDescent="0.2">
      <c r="EZ276" t="s">
        <v>4569</v>
      </c>
      <c r="FA276" t="s">
        <v>4569</v>
      </c>
      <c r="FP276" t="s">
        <v>4569</v>
      </c>
      <c r="FQ276" t="s">
        <v>4569</v>
      </c>
      <c r="FR276" t="s">
        <v>4569</v>
      </c>
      <c r="FS276" t="s">
        <v>4569</v>
      </c>
    </row>
    <row r="277" spans="1:245" x14ac:dyDescent="0.2">
      <c r="EZ277" t="s">
        <v>4569</v>
      </c>
      <c r="FA277" t="s">
        <v>4569</v>
      </c>
      <c r="FP277" t="s">
        <v>4569</v>
      </c>
      <c r="FQ277" t="s">
        <v>4569</v>
      </c>
      <c r="FR277" t="s">
        <v>4569</v>
      </c>
      <c r="FS277" t="s">
        <v>4569</v>
      </c>
    </row>
    <row r="278" spans="1:245" x14ac:dyDescent="0.2">
      <c r="A278" t="s">
        <v>782</v>
      </c>
      <c r="I278" t="s">
        <v>2996</v>
      </c>
      <c r="J278" t="s">
        <v>4338</v>
      </c>
      <c r="K278" t="s">
        <v>1632</v>
      </c>
      <c r="L278" t="s">
        <v>1633</v>
      </c>
      <c r="M278" t="s">
        <v>1634</v>
      </c>
      <c r="N278" t="s">
        <v>4339</v>
      </c>
      <c r="AX278" t="s">
        <v>4340</v>
      </c>
      <c r="BA278" t="s">
        <v>4341</v>
      </c>
      <c r="BF278" t="s">
        <v>2940</v>
      </c>
      <c r="BI278" t="s">
        <v>1615</v>
      </c>
      <c r="BJ278" t="s">
        <v>1615</v>
      </c>
      <c r="CU278" t="s">
        <v>1633</v>
      </c>
      <c r="CW278" t="s">
        <v>4342</v>
      </c>
      <c r="CX278" t="s">
        <v>4348</v>
      </c>
      <c r="CY278" t="s">
        <v>4348</v>
      </c>
      <c r="CZ278" t="s">
        <v>4348</v>
      </c>
      <c r="DA278" t="s">
        <v>2942</v>
      </c>
      <c r="DB278" t="s">
        <v>4348</v>
      </c>
      <c r="DD278" t="s">
        <v>4351</v>
      </c>
      <c r="DE278" t="s">
        <v>4341</v>
      </c>
      <c r="DF278" t="s">
        <v>2996</v>
      </c>
      <c r="DG278" t="s">
        <v>4338</v>
      </c>
      <c r="DH278" t="s">
        <v>1632</v>
      </c>
      <c r="DI278" t="s">
        <v>1633</v>
      </c>
      <c r="DJ278" t="s">
        <v>1634</v>
      </c>
      <c r="DK278" t="s">
        <v>4339</v>
      </c>
      <c r="DL278" t="s">
        <v>4341</v>
      </c>
      <c r="DM278" t="s">
        <v>2940</v>
      </c>
      <c r="DN278" t="s">
        <v>4343</v>
      </c>
      <c r="DO278" t="s">
        <v>4343</v>
      </c>
      <c r="DP278" t="s">
        <v>1166</v>
      </c>
      <c r="DR278" t="s">
        <v>4348</v>
      </c>
      <c r="DS278" t="s">
        <v>1166</v>
      </c>
      <c r="DT278" t="s">
        <v>1543</v>
      </c>
      <c r="DU278" t="s">
        <v>2793</v>
      </c>
      <c r="DV278" t="s">
        <v>1615</v>
      </c>
      <c r="DW278" t="s">
        <v>1615</v>
      </c>
      <c r="DX278" t="s">
        <v>1166</v>
      </c>
      <c r="DY278" t="s">
        <v>1543</v>
      </c>
      <c r="DZ278" t="s">
        <v>2940</v>
      </c>
      <c r="EB278" t="s">
        <v>4342</v>
      </c>
      <c r="ED278" t="s">
        <v>4350</v>
      </c>
      <c r="EE278" t="s">
        <v>2940</v>
      </c>
      <c r="EF278" t="s">
        <v>4341</v>
      </c>
      <c r="EG278" t="s">
        <v>4350</v>
      </c>
      <c r="EH278" t="s">
        <v>1633</v>
      </c>
      <c r="EI278" t="s">
        <v>1633</v>
      </c>
      <c r="EJ278" t="s">
        <v>1166</v>
      </c>
      <c r="EK278" t="s">
        <v>4346</v>
      </c>
      <c r="EL278" t="s">
        <v>4346</v>
      </c>
      <c r="EO278" t="s">
        <v>4342</v>
      </c>
      <c r="EP278" t="s">
        <v>4348</v>
      </c>
      <c r="EQ278" t="s">
        <v>4342</v>
      </c>
      <c r="ES278" t="s">
        <v>4342</v>
      </c>
      <c r="ET278" t="s">
        <v>4341</v>
      </c>
      <c r="EU278" t="s">
        <v>2793</v>
      </c>
      <c r="EV278" t="s">
        <v>1543</v>
      </c>
      <c r="EW278" t="s">
        <v>1166</v>
      </c>
      <c r="EY278" t="s">
        <v>1630</v>
      </c>
      <c r="EZ278" t="s">
        <v>1630</v>
      </c>
      <c r="FA278" t="s">
        <v>1630</v>
      </c>
      <c r="FE278" t="s">
        <v>4341</v>
      </c>
      <c r="FF278" t="s">
        <v>1615</v>
      </c>
      <c r="FL278" t="s">
        <v>1647</v>
      </c>
      <c r="FM278" t="s">
        <v>1615</v>
      </c>
      <c r="FO278" t="s">
        <v>1615</v>
      </c>
      <c r="FP278" t="s">
        <v>1629</v>
      </c>
      <c r="FQ278" t="s">
        <v>1629</v>
      </c>
      <c r="FR278" t="s">
        <v>1629</v>
      </c>
      <c r="FS278" t="s">
        <v>1629</v>
      </c>
      <c r="FT278" t="s">
        <v>4351</v>
      </c>
      <c r="FU278" t="s">
        <v>4346</v>
      </c>
      <c r="FV278" t="s">
        <v>4350</v>
      </c>
      <c r="FX278" t="s">
        <v>2793</v>
      </c>
      <c r="FY278" t="s">
        <v>2793</v>
      </c>
      <c r="FZ278" t="s">
        <v>2793</v>
      </c>
      <c r="GA278" t="s">
        <v>2793</v>
      </c>
      <c r="GB278" t="s">
        <v>2793</v>
      </c>
      <c r="GC278" t="s">
        <v>2793</v>
      </c>
      <c r="GD278" t="s">
        <v>2793</v>
      </c>
      <c r="IK278" t="s">
        <v>4346</v>
      </c>
    </row>
    <row r="279" spans="1:245" x14ac:dyDescent="0.2">
      <c r="DL279" t="s">
        <v>2940</v>
      </c>
      <c r="DM279" t="s">
        <v>4343</v>
      </c>
      <c r="DY279" t="s">
        <v>1647</v>
      </c>
      <c r="DZ279" t="s">
        <v>4343</v>
      </c>
      <c r="EH279" t="s">
        <v>4350</v>
      </c>
      <c r="EI279" t="s">
        <v>4350</v>
      </c>
      <c r="EJ279" t="s">
        <v>4340</v>
      </c>
      <c r="EL279" t="s">
        <v>4342</v>
      </c>
      <c r="EV279" t="s">
        <v>1647</v>
      </c>
      <c r="EZ279" t="s">
        <v>4569</v>
      </c>
      <c r="FA279" t="s">
        <v>4569</v>
      </c>
      <c r="FP279" t="s">
        <v>4569</v>
      </c>
      <c r="FQ279" t="s">
        <v>4569</v>
      </c>
      <c r="FR279" t="s">
        <v>4569</v>
      </c>
      <c r="FS279" t="s">
        <v>4569</v>
      </c>
    </row>
    <row r="280" spans="1:245" x14ac:dyDescent="0.2">
      <c r="A280" t="s">
        <v>2755</v>
      </c>
      <c r="C280" t="s">
        <v>1250</v>
      </c>
      <c r="D280" t="s">
        <v>1250</v>
      </c>
      <c r="E280" t="s">
        <v>1250</v>
      </c>
      <c r="F280" t="s">
        <v>1250</v>
      </c>
      <c r="G280" t="s">
        <v>1250</v>
      </c>
      <c r="H280" t="s">
        <v>1250</v>
      </c>
      <c r="I280" t="s">
        <v>1250</v>
      </c>
      <c r="J280" t="s">
        <v>1250</v>
      </c>
      <c r="K280" t="s">
        <v>1250</v>
      </c>
      <c r="L280" t="s">
        <v>1250</v>
      </c>
      <c r="M280" t="s">
        <v>1250</v>
      </c>
      <c r="N280" t="s">
        <v>1250</v>
      </c>
      <c r="P280" t="s">
        <v>3281</v>
      </c>
      <c r="Q280" t="s">
        <v>3281</v>
      </c>
      <c r="R280" t="s">
        <v>3281</v>
      </c>
      <c r="S280" t="s">
        <v>3281</v>
      </c>
      <c r="T280" t="s">
        <v>3281</v>
      </c>
      <c r="U280" t="s">
        <v>3281</v>
      </c>
      <c r="V280" t="s">
        <v>3281</v>
      </c>
      <c r="W280" t="s">
        <v>3281</v>
      </c>
      <c r="X280" t="s">
        <v>3281</v>
      </c>
      <c r="Y280" t="s">
        <v>3281</v>
      </c>
      <c r="Z280" t="s">
        <v>3281</v>
      </c>
      <c r="AA280" t="s">
        <v>3281</v>
      </c>
      <c r="AB280" t="s">
        <v>3281</v>
      </c>
      <c r="AC280" t="s">
        <v>3281</v>
      </c>
      <c r="AD280" t="s">
        <v>3281</v>
      </c>
      <c r="AE280" t="s">
        <v>3281</v>
      </c>
      <c r="AF280" t="s">
        <v>3281</v>
      </c>
      <c r="AG280" t="s">
        <v>3281</v>
      </c>
      <c r="AH280" t="s">
        <v>3281</v>
      </c>
      <c r="AI280" t="s">
        <v>3281</v>
      </c>
      <c r="AJ280" t="s">
        <v>3281</v>
      </c>
      <c r="AK280" t="s">
        <v>3281</v>
      </c>
      <c r="AL280" t="s">
        <v>3281</v>
      </c>
      <c r="AM280" t="s">
        <v>3281</v>
      </c>
      <c r="AN280" t="s">
        <v>3281</v>
      </c>
      <c r="AO280" t="s">
        <v>3281</v>
      </c>
      <c r="AP280" t="s">
        <v>3281</v>
      </c>
      <c r="AQ280" t="s">
        <v>3281</v>
      </c>
      <c r="AR280" t="s">
        <v>3281</v>
      </c>
      <c r="AS280" t="s">
        <v>3281</v>
      </c>
      <c r="AU280" t="s">
        <v>3282</v>
      </c>
      <c r="AV280" t="s">
        <v>3282</v>
      </c>
      <c r="AW280" t="s">
        <v>3282</v>
      </c>
      <c r="AX280" t="s">
        <v>3282</v>
      </c>
      <c r="AZ280" t="s">
        <v>3283</v>
      </c>
      <c r="BA280" t="s">
        <v>3283</v>
      </c>
      <c r="BB280" t="s">
        <v>3283</v>
      </c>
      <c r="BC280" t="s">
        <v>3283</v>
      </c>
      <c r="BD280" t="s">
        <v>3283</v>
      </c>
      <c r="BE280" t="s">
        <v>3283</v>
      </c>
      <c r="BF280" t="s">
        <v>3283</v>
      </c>
      <c r="BG280" t="s">
        <v>3283</v>
      </c>
      <c r="BI280" t="s">
        <v>3279</v>
      </c>
      <c r="BJ280" t="s">
        <v>3279</v>
      </c>
      <c r="CU280" t="s">
        <v>1248</v>
      </c>
      <c r="CW280" t="s">
        <v>1248</v>
      </c>
      <c r="CX280" t="s">
        <v>1248</v>
      </c>
      <c r="CY280" t="s">
        <v>1248</v>
      </c>
      <c r="CZ280" t="s">
        <v>1248</v>
      </c>
      <c r="DA280" t="s">
        <v>1248</v>
      </c>
      <c r="DB280" t="s">
        <v>1248</v>
      </c>
      <c r="DC280" t="s">
        <v>1248</v>
      </c>
      <c r="DD280" t="s">
        <v>1248</v>
      </c>
      <c r="DE280" t="s">
        <v>1248</v>
      </c>
      <c r="DF280" t="s">
        <v>1248</v>
      </c>
      <c r="DG280" t="s">
        <v>1248</v>
      </c>
      <c r="DH280" t="s">
        <v>1248</v>
      </c>
      <c r="DI280" t="s">
        <v>1248</v>
      </c>
      <c r="DJ280" t="s">
        <v>1248</v>
      </c>
      <c r="DK280" t="s">
        <v>1248</v>
      </c>
      <c r="DL280" t="s">
        <v>1248</v>
      </c>
      <c r="DM280" t="s">
        <v>1248</v>
      </c>
      <c r="DN280" t="s">
        <v>1248</v>
      </c>
      <c r="DO280" t="s">
        <v>1248</v>
      </c>
      <c r="DP280" t="s">
        <v>1248</v>
      </c>
      <c r="DQ280" t="s">
        <v>1248</v>
      </c>
      <c r="DR280" t="s">
        <v>1248</v>
      </c>
      <c r="DS280" t="s">
        <v>1248</v>
      </c>
      <c r="DT280" t="s">
        <v>1248</v>
      </c>
      <c r="DU280" t="s">
        <v>1248</v>
      </c>
      <c r="DV280" t="s">
        <v>1248</v>
      </c>
      <c r="DW280" t="s">
        <v>1248</v>
      </c>
      <c r="DX280" t="s">
        <v>1248</v>
      </c>
      <c r="DY280" t="s">
        <v>1248</v>
      </c>
      <c r="DZ280" t="s">
        <v>1248</v>
      </c>
      <c r="EA280" t="s">
        <v>1248</v>
      </c>
      <c r="EB280" t="s">
        <v>1248</v>
      </c>
      <c r="EC280" t="s">
        <v>1248</v>
      </c>
      <c r="ED280" t="s">
        <v>1248</v>
      </c>
      <c r="EE280" t="s">
        <v>1248</v>
      </c>
      <c r="EF280" t="s">
        <v>1248</v>
      </c>
      <c r="EG280" t="s">
        <v>1248</v>
      </c>
      <c r="EH280" t="s">
        <v>1248</v>
      </c>
      <c r="EI280" t="s">
        <v>1248</v>
      </c>
      <c r="EJ280" t="s">
        <v>1248</v>
      </c>
      <c r="EK280" t="s">
        <v>1248</v>
      </c>
      <c r="EL280" t="s">
        <v>1248</v>
      </c>
      <c r="EM280" t="s">
        <v>1248</v>
      </c>
      <c r="EN280" t="s">
        <v>1248</v>
      </c>
      <c r="EO280" t="s">
        <v>1248</v>
      </c>
      <c r="EP280" t="s">
        <v>1248</v>
      </c>
      <c r="EQ280" t="s">
        <v>1248</v>
      </c>
      <c r="ER280" t="s">
        <v>1248</v>
      </c>
      <c r="ES280" t="s">
        <v>1248</v>
      </c>
      <c r="ET280" t="s">
        <v>1248</v>
      </c>
      <c r="EU280" t="s">
        <v>1248</v>
      </c>
      <c r="EV280" t="s">
        <v>1248</v>
      </c>
      <c r="EW280" t="s">
        <v>1248</v>
      </c>
      <c r="EY280" t="s">
        <v>1248</v>
      </c>
      <c r="EZ280" t="s">
        <v>1248</v>
      </c>
      <c r="FA280" t="s">
        <v>1248</v>
      </c>
      <c r="FB280" t="s">
        <v>1248</v>
      </c>
      <c r="FC280" t="s">
        <v>1248</v>
      </c>
      <c r="FD280" t="s">
        <v>1248</v>
      </c>
      <c r="FE280" t="s">
        <v>1248</v>
      </c>
      <c r="FF280" t="s">
        <v>1248</v>
      </c>
      <c r="FG280" t="s">
        <v>1248</v>
      </c>
      <c r="FH280" t="s">
        <v>1248</v>
      </c>
      <c r="FI280" t="s">
        <v>1248</v>
      </c>
      <c r="FJ280" t="s">
        <v>1248</v>
      </c>
      <c r="FK280" t="s">
        <v>1248</v>
      </c>
      <c r="FL280" t="s">
        <v>1248</v>
      </c>
      <c r="FM280" t="s">
        <v>1248</v>
      </c>
      <c r="FN280" t="s">
        <v>1248</v>
      </c>
      <c r="FO280" t="s">
        <v>1248</v>
      </c>
      <c r="FP280" t="s">
        <v>1248</v>
      </c>
      <c r="FQ280" t="s">
        <v>1248</v>
      </c>
      <c r="FR280" t="s">
        <v>1248</v>
      </c>
      <c r="FS280" t="s">
        <v>1248</v>
      </c>
      <c r="FT280" t="s">
        <v>1248</v>
      </c>
      <c r="FU280" t="s">
        <v>1248</v>
      </c>
      <c r="FV280" t="s">
        <v>1248</v>
      </c>
      <c r="FX280" t="s">
        <v>3284</v>
      </c>
      <c r="FY280" t="s">
        <v>3284</v>
      </c>
      <c r="FZ280" t="s">
        <v>3284</v>
      </c>
      <c r="GA280" t="s">
        <v>3284</v>
      </c>
      <c r="GB280" t="s">
        <v>3284</v>
      </c>
      <c r="GC280" t="s">
        <v>3284</v>
      </c>
      <c r="GD280" t="s">
        <v>3284</v>
      </c>
      <c r="GF280" t="s">
        <v>1731</v>
      </c>
      <c r="GG280" t="s">
        <v>1731</v>
      </c>
      <c r="GH280" t="s">
        <v>1731</v>
      </c>
      <c r="GI280" t="s">
        <v>1731</v>
      </c>
      <c r="GJ280" t="s">
        <v>1731</v>
      </c>
      <c r="GK280" t="s">
        <v>1731</v>
      </c>
      <c r="GL280" t="s">
        <v>1731</v>
      </c>
      <c r="HB280" t="s">
        <v>1248</v>
      </c>
      <c r="HD280" t="s">
        <v>1248</v>
      </c>
      <c r="HF280" t="s">
        <v>1248</v>
      </c>
      <c r="HH280" t="s">
        <v>1248</v>
      </c>
      <c r="HJ280" t="s">
        <v>1248</v>
      </c>
      <c r="HL280" t="s">
        <v>1248</v>
      </c>
      <c r="HN280" t="s">
        <v>1248</v>
      </c>
      <c r="HP280" t="s">
        <v>1248</v>
      </c>
      <c r="HQ280" t="s">
        <v>1248</v>
      </c>
      <c r="HS280" t="s">
        <v>1248</v>
      </c>
      <c r="HU280" t="s">
        <v>1248</v>
      </c>
      <c r="HW280" t="s">
        <v>1248</v>
      </c>
      <c r="HY280" t="s">
        <v>1248</v>
      </c>
      <c r="IA280" t="s">
        <v>1248</v>
      </c>
      <c r="IC280" t="s">
        <v>1248</v>
      </c>
      <c r="ID280" t="s">
        <v>1248</v>
      </c>
      <c r="IG280" t="s">
        <v>1248</v>
      </c>
      <c r="II280" t="s">
        <v>1248</v>
      </c>
      <c r="IK280" t="s">
        <v>1248</v>
      </c>
    </row>
    <row r="281" spans="1:245" x14ac:dyDescent="0.2">
      <c r="EZ281" t="s">
        <v>4569</v>
      </c>
      <c r="FA281" t="s">
        <v>4569</v>
      </c>
      <c r="FP281" t="s">
        <v>4569</v>
      </c>
      <c r="FQ281" t="s">
        <v>4569</v>
      </c>
      <c r="FR281" t="s">
        <v>4569</v>
      </c>
      <c r="FS281" t="s">
        <v>4569</v>
      </c>
    </row>
    <row r="282" spans="1:245" x14ac:dyDescent="0.2">
      <c r="A282" t="s">
        <v>2768</v>
      </c>
      <c r="CB282" t="s">
        <v>90</v>
      </c>
      <c r="CH282" t="s">
        <v>3112</v>
      </c>
      <c r="EZ282" t="s">
        <v>4569</v>
      </c>
      <c r="FA282" t="s">
        <v>4569</v>
      </c>
      <c r="FP282" t="s">
        <v>4569</v>
      </c>
      <c r="FQ282" t="s">
        <v>4569</v>
      </c>
      <c r="FR282" t="s">
        <v>4569</v>
      </c>
      <c r="FS282" t="s">
        <v>4569</v>
      </c>
    </row>
    <row r="283" spans="1:245" x14ac:dyDescent="0.2">
      <c r="EZ283" t="s">
        <v>4569</v>
      </c>
      <c r="FA283" t="s">
        <v>4569</v>
      </c>
      <c r="FP283" t="s">
        <v>4569</v>
      </c>
      <c r="FQ283" t="s">
        <v>4569</v>
      </c>
      <c r="FR283" t="s">
        <v>4569</v>
      </c>
      <c r="FS283" t="s">
        <v>4569</v>
      </c>
    </row>
    <row r="284" spans="1:245" x14ac:dyDescent="0.2">
      <c r="EZ284" t="s">
        <v>4569</v>
      </c>
      <c r="FA284" t="s">
        <v>4569</v>
      </c>
      <c r="FP284" t="s">
        <v>4569</v>
      </c>
      <c r="FQ284" t="s">
        <v>4569</v>
      </c>
      <c r="FR284" t="s">
        <v>4569</v>
      </c>
      <c r="FS284" t="s">
        <v>4569</v>
      </c>
    </row>
    <row r="285" spans="1:245" x14ac:dyDescent="0.2">
      <c r="A285" t="s">
        <v>3257</v>
      </c>
      <c r="R285" t="s">
        <v>91</v>
      </c>
      <c r="S285" t="s">
        <v>91</v>
      </c>
      <c r="T285" t="s">
        <v>91</v>
      </c>
      <c r="U285" t="s">
        <v>91</v>
      </c>
      <c r="V285" t="s">
        <v>91</v>
      </c>
      <c r="X285" t="s">
        <v>3249</v>
      </c>
      <c r="Y285" t="s">
        <v>3249</v>
      </c>
      <c r="Z285" t="s">
        <v>3249</v>
      </c>
      <c r="AA285" t="s">
        <v>3249</v>
      </c>
      <c r="AB285" t="s">
        <v>3249</v>
      </c>
      <c r="AF285" t="s">
        <v>91</v>
      </c>
      <c r="AG285" t="s">
        <v>91</v>
      </c>
      <c r="AH285" t="s">
        <v>91</v>
      </c>
      <c r="AI285" t="s">
        <v>91</v>
      </c>
      <c r="AK285" t="s">
        <v>3249</v>
      </c>
      <c r="AL285" t="s">
        <v>3249</v>
      </c>
      <c r="AM285" t="s">
        <v>3249</v>
      </c>
      <c r="AN285" t="s">
        <v>3249</v>
      </c>
      <c r="AR285" t="s">
        <v>3249</v>
      </c>
      <c r="BL285" t="s">
        <v>1367</v>
      </c>
      <c r="BO285" t="s">
        <v>1367</v>
      </c>
      <c r="BS285" t="s">
        <v>1367</v>
      </c>
      <c r="BV285" t="s">
        <v>1367</v>
      </c>
      <c r="BY285" t="s">
        <v>1367</v>
      </c>
      <c r="CB285" t="s">
        <v>3254</v>
      </c>
      <c r="CD285" t="s">
        <v>3250</v>
      </c>
      <c r="CE285" t="s">
        <v>3249</v>
      </c>
      <c r="CF285" t="s">
        <v>1393</v>
      </c>
      <c r="CG285" t="s">
        <v>91</v>
      </c>
      <c r="CH285" t="s">
        <v>5052</v>
      </c>
      <c r="CI285" t="s">
        <v>3249</v>
      </c>
      <c r="CJ285" t="s">
        <v>1395</v>
      </c>
      <c r="CK285" t="s">
        <v>1395</v>
      </c>
      <c r="CL285" t="s">
        <v>3254</v>
      </c>
      <c r="CT285" t="s">
        <v>3249</v>
      </c>
      <c r="CU285" t="s">
        <v>3249</v>
      </c>
      <c r="CY285" t="s">
        <v>2039</v>
      </c>
      <c r="EZ285" t="s">
        <v>4569</v>
      </c>
      <c r="FA285" t="s">
        <v>4569</v>
      </c>
      <c r="FP285" t="s">
        <v>4569</v>
      </c>
      <c r="FQ285" t="s">
        <v>4569</v>
      </c>
      <c r="FR285" t="s">
        <v>4569</v>
      </c>
      <c r="FS285" t="s">
        <v>4569</v>
      </c>
      <c r="FT285" t="s">
        <v>3254</v>
      </c>
      <c r="GN285" t="s">
        <v>91</v>
      </c>
      <c r="GO285" t="s">
        <v>91</v>
      </c>
      <c r="GP285" t="s">
        <v>91</v>
      </c>
      <c r="GQ285" t="s">
        <v>91</v>
      </c>
      <c r="GR285" t="s">
        <v>91</v>
      </c>
      <c r="GS285" t="s">
        <v>91</v>
      </c>
      <c r="GT285" t="s">
        <v>91</v>
      </c>
      <c r="GU285" t="s">
        <v>91</v>
      </c>
      <c r="GV285" t="s">
        <v>91</v>
      </c>
      <c r="GW285" t="s">
        <v>91</v>
      </c>
      <c r="HA285" t="s">
        <v>3249</v>
      </c>
      <c r="HB285" t="s">
        <v>3249</v>
      </c>
      <c r="HC285" t="s">
        <v>3249</v>
      </c>
      <c r="HD285" t="s">
        <v>3249</v>
      </c>
      <c r="HE285" t="s">
        <v>3249</v>
      </c>
      <c r="HF285" t="s">
        <v>3249</v>
      </c>
      <c r="HG285" t="s">
        <v>3249</v>
      </c>
      <c r="HH285" t="s">
        <v>3249</v>
      </c>
      <c r="HI285" t="s">
        <v>3249</v>
      </c>
      <c r="HJ285" t="s">
        <v>3249</v>
      </c>
      <c r="HK285" t="s">
        <v>3249</v>
      </c>
      <c r="HL285" t="s">
        <v>3249</v>
      </c>
      <c r="HM285" t="s">
        <v>3249</v>
      </c>
      <c r="HN285" t="s">
        <v>3249</v>
      </c>
      <c r="HO285" t="s">
        <v>3249</v>
      </c>
      <c r="HP285" t="s">
        <v>3249</v>
      </c>
      <c r="HQ285" t="s">
        <v>3249</v>
      </c>
      <c r="HR285" t="s">
        <v>3249</v>
      </c>
      <c r="HS285" t="s">
        <v>3249</v>
      </c>
      <c r="HT285" t="s">
        <v>3249</v>
      </c>
      <c r="HU285" t="s">
        <v>3249</v>
      </c>
      <c r="HV285" t="s">
        <v>3249</v>
      </c>
      <c r="HW285" t="s">
        <v>3249</v>
      </c>
      <c r="HX285" t="s">
        <v>3249</v>
      </c>
      <c r="HY285" t="s">
        <v>3249</v>
      </c>
      <c r="HZ285" t="s">
        <v>3249</v>
      </c>
      <c r="IA285" t="s">
        <v>3249</v>
      </c>
      <c r="IB285" t="s">
        <v>3249</v>
      </c>
      <c r="IC285" t="s">
        <v>3249</v>
      </c>
      <c r="ID285" t="s">
        <v>3249</v>
      </c>
      <c r="IE285" t="s">
        <v>3249</v>
      </c>
      <c r="IF285" t="s">
        <v>3249</v>
      </c>
      <c r="IG285" t="s">
        <v>3249</v>
      </c>
      <c r="IH285" t="s">
        <v>3249</v>
      </c>
      <c r="II285" t="s">
        <v>3249</v>
      </c>
    </row>
    <row r="286" spans="1:245" x14ac:dyDescent="0.2">
      <c r="R286" t="s">
        <v>2211</v>
      </c>
      <c r="S286" t="s">
        <v>2211</v>
      </c>
      <c r="T286" t="s">
        <v>2211</v>
      </c>
      <c r="U286" t="s">
        <v>2211</v>
      </c>
      <c r="V286" t="s">
        <v>2211</v>
      </c>
      <c r="X286" t="s">
        <v>91</v>
      </c>
      <c r="Y286" t="s">
        <v>91</v>
      </c>
      <c r="Z286" t="s">
        <v>91</v>
      </c>
      <c r="AA286" t="s">
        <v>91</v>
      </c>
      <c r="AB286" t="s">
        <v>91</v>
      </c>
      <c r="AF286" t="s">
        <v>2211</v>
      </c>
      <c r="AG286" t="s">
        <v>2211</v>
      </c>
      <c r="AH286" t="s">
        <v>2211</v>
      </c>
      <c r="AI286" t="s">
        <v>2211</v>
      </c>
      <c r="AK286" t="s">
        <v>91</v>
      </c>
      <c r="AL286" t="s">
        <v>91</v>
      </c>
      <c r="AM286" t="s">
        <v>91</v>
      </c>
      <c r="AN286" t="s">
        <v>91</v>
      </c>
      <c r="AR286" t="s">
        <v>2211</v>
      </c>
      <c r="BL286" t="s">
        <v>4999</v>
      </c>
      <c r="BO286" t="s">
        <v>4999</v>
      </c>
      <c r="BS286" t="s">
        <v>4999</v>
      </c>
      <c r="BV286" t="s">
        <v>4999</v>
      </c>
      <c r="BY286" t="s">
        <v>4999</v>
      </c>
      <c r="CB286" t="s">
        <v>3251</v>
      </c>
      <c r="CD286" t="s">
        <v>4999</v>
      </c>
      <c r="CE286" t="s">
        <v>5052</v>
      </c>
      <c r="CF286" t="s">
        <v>3457</v>
      </c>
      <c r="CG286" t="s">
        <v>4999</v>
      </c>
      <c r="CH286" t="s">
        <v>2211</v>
      </c>
      <c r="CI286" t="s">
        <v>5052</v>
      </c>
      <c r="CK286" t="s">
        <v>4274</v>
      </c>
      <c r="CZ286" t="s">
        <v>3254</v>
      </c>
      <c r="DR286" t="s">
        <v>3254</v>
      </c>
      <c r="EZ286" t="s">
        <v>4569</v>
      </c>
      <c r="FA286" t="s">
        <v>4569</v>
      </c>
      <c r="FP286" t="s">
        <v>4569</v>
      </c>
      <c r="FQ286" t="s">
        <v>4569</v>
      </c>
      <c r="FR286" t="s">
        <v>4569</v>
      </c>
      <c r="FS286" t="s">
        <v>4569</v>
      </c>
      <c r="GN286" t="s">
        <v>92</v>
      </c>
      <c r="GO286" t="s">
        <v>92</v>
      </c>
      <c r="GP286" t="s">
        <v>92</v>
      </c>
      <c r="GQ286" t="s">
        <v>92</v>
      </c>
      <c r="GR286" t="s">
        <v>92</v>
      </c>
      <c r="GS286" t="s">
        <v>92</v>
      </c>
      <c r="GT286" t="s">
        <v>92</v>
      </c>
      <c r="GU286" t="s">
        <v>92</v>
      </c>
      <c r="GV286" t="s">
        <v>92</v>
      </c>
      <c r="GW286" t="s">
        <v>92</v>
      </c>
    </row>
    <row r="287" spans="1:245" x14ac:dyDescent="0.2">
      <c r="R287" t="s">
        <v>5052</v>
      </c>
      <c r="S287" t="s">
        <v>5052</v>
      </c>
      <c r="T287" t="s">
        <v>5052</v>
      </c>
      <c r="U287" t="s">
        <v>5052</v>
      </c>
      <c r="V287" t="s">
        <v>5052</v>
      </c>
      <c r="AF287" t="s">
        <v>5052</v>
      </c>
      <c r="AG287" t="s">
        <v>5052</v>
      </c>
      <c r="AH287" t="s">
        <v>5052</v>
      </c>
      <c r="AI287" t="s">
        <v>5052</v>
      </c>
      <c r="AR287" t="s">
        <v>5012</v>
      </c>
      <c r="BL287" t="s">
        <v>4274</v>
      </c>
      <c r="BO287" t="s">
        <v>4274</v>
      </c>
      <c r="BS287" t="s">
        <v>4274</v>
      </c>
      <c r="BV287" t="s">
        <v>4274</v>
      </c>
      <c r="BY287" t="s">
        <v>4274</v>
      </c>
      <c r="CI287" t="s">
        <v>1061</v>
      </c>
      <c r="CK287" t="s">
        <v>5051</v>
      </c>
      <c r="EZ287" t="s">
        <v>4569</v>
      </c>
      <c r="FA287" t="s">
        <v>4569</v>
      </c>
      <c r="FP287" t="s">
        <v>4569</v>
      </c>
      <c r="FQ287" t="s">
        <v>4569</v>
      </c>
      <c r="FR287" t="s">
        <v>4569</v>
      </c>
      <c r="FS287" t="s">
        <v>4569</v>
      </c>
      <c r="GS287" t="s">
        <v>5052</v>
      </c>
      <c r="GW287" t="s">
        <v>5052</v>
      </c>
    </row>
    <row r="288" spans="1:245" x14ac:dyDescent="0.2">
      <c r="EZ288" t="s">
        <v>4569</v>
      </c>
      <c r="FA288" t="s">
        <v>4569</v>
      </c>
      <c r="FP288" t="s">
        <v>4569</v>
      </c>
      <c r="FQ288" t="s">
        <v>4569</v>
      </c>
      <c r="FR288" t="s">
        <v>4569</v>
      </c>
      <c r="FS288" t="s">
        <v>4569</v>
      </c>
      <c r="GS288" t="s">
        <v>5050</v>
      </c>
      <c r="GW288" t="s">
        <v>5050</v>
      </c>
    </row>
    <row r="289" spans="1:243" x14ac:dyDescent="0.2">
      <c r="EZ289" t="s">
        <v>4569</v>
      </c>
      <c r="FA289" t="s">
        <v>4569</v>
      </c>
      <c r="FP289" t="s">
        <v>4569</v>
      </c>
      <c r="FQ289" t="s">
        <v>4569</v>
      </c>
      <c r="FR289" t="s">
        <v>4569</v>
      </c>
      <c r="FS289" t="s">
        <v>4569</v>
      </c>
    </row>
    <row r="290" spans="1:243" x14ac:dyDescent="0.2">
      <c r="EZ290" t="s">
        <v>4569</v>
      </c>
      <c r="FA290" t="s">
        <v>4569</v>
      </c>
      <c r="FP290" t="s">
        <v>4569</v>
      </c>
      <c r="FQ290" t="s">
        <v>4569</v>
      </c>
      <c r="FR290" t="s">
        <v>4569</v>
      </c>
      <c r="FS290" t="s">
        <v>4569</v>
      </c>
    </row>
    <row r="291" spans="1:243" x14ac:dyDescent="0.2">
      <c r="EZ291" t="s">
        <v>4569</v>
      </c>
      <c r="FA291" t="s">
        <v>4569</v>
      </c>
      <c r="FP291" t="s">
        <v>4569</v>
      </c>
      <c r="FQ291" t="s">
        <v>4569</v>
      </c>
      <c r="FR291" t="s">
        <v>4569</v>
      </c>
      <c r="FS291" t="s">
        <v>4569</v>
      </c>
    </row>
    <row r="292" spans="1:243" x14ac:dyDescent="0.2">
      <c r="EZ292" t="s">
        <v>4569</v>
      </c>
      <c r="FA292" t="s">
        <v>4569</v>
      </c>
      <c r="FP292" t="s">
        <v>4569</v>
      </c>
      <c r="FQ292" t="s">
        <v>4569</v>
      </c>
      <c r="FR292" t="s">
        <v>4569</v>
      </c>
      <c r="FS292" t="s">
        <v>4569</v>
      </c>
    </row>
    <row r="293" spans="1:243" x14ac:dyDescent="0.2">
      <c r="EZ293" t="s">
        <v>4569</v>
      </c>
      <c r="FA293" t="s">
        <v>4569</v>
      </c>
      <c r="FP293" t="s">
        <v>4569</v>
      </c>
      <c r="FQ293" t="s">
        <v>4569</v>
      </c>
      <c r="FR293" t="s">
        <v>4569</v>
      </c>
      <c r="FS293" t="s">
        <v>4569</v>
      </c>
    </row>
    <row r="294" spans="1:243" x14ac:dyDescent="0.2">
      <c r="EZ294" t="s">
        <v>4569</v>
      </c>
      <c r="FA294" t="s">
        <v>4569</v>
      </c>
      <c r="FP294" t="s">
        <v>4569</v>
      </c>
      <c r="FQ294" t="s">
        <v>4569</v>
      </c>
      <c r="FR294" t="s">
        <v>4569</v>
      </c>
      <c r="FS294" t="s">
        <v>4569</v>
      </c>
    </row>
    <row r="295" spans="1:243" x14ac:dyDescent="0.2">
      <c r="EZ295" t="s">
        <v>4569</v>
      </c>
      <c r="FA295" t="s">
        <v>4569</v>
      </c>
      <c r="FP295" t="s">
        <v>4569</v>
      </c>
      <c r="FQ295" t="s">
        <v>4569</v>
      </c>
      <c r="FR295" t="s">
        <v>4569</v>
      </c>
      <c r="FS295" t="s">
        <v>4569</v>
      </c>
    </row>
    <row r="296" spans="1:243" x14ac:dyDescent="0.2">
      <c r="EZ296" t="s">
        <v>4569</v>
      </c>
      <c r="FA296" t="s">
        <v>4569</v>
      </c>
      <c r="FP296" t="s">
        <v>4569</v>
      </c>
      <c r="FQ296" t="s">
        <v>4569</v>
      </c>
      <c r="FR296" t="s">
        <v>4569</v>
      </c>
      <c r="FS296" t="s">
        <v>4569</v>
      </c>
    </row>
    <row r="297" spans="1:243" x14ac:dyDescent="0.2">
      <c r="EZ297" t="s">
        <v>4569</v>
      </c>
      <c r="FA297" t="s">
        <v>4569</v>
      </c>
      <c r="FP297" t="s">
        <v>4569</v>
      </c>
      <c r="FQ297" t="s">
        <v>4569</v>
      </c>
      <c r="FR297" t="s">
        <v>4569</v>
      </c>
      <c r="FS297" t="s">
        <v>4569</v>
      </c>
    </row>
    <row r="298" spans="1:243" x14ac:dyDescent="0.2">
      <c r="EZ298" t="s">
        <v>4569</v>
      </c>
      <c r="FA298" t="s">
        <v>4569</v>
      </c>
      <c r="FP298" t="s">
        <v>4569</v>
      </c>
      <c r="FQ298" t="s">
        <v>4569</v>
      </c>
      <c r="FR298" t="s">
        <v>4569</v>
      </c>
      <c r="FS298" t="s">
        <v>4569</v>
      </c>
    </row>
    <row r="299" spans="1:243" x14ac:dyDescent="0.2">
      <c r="A299" t="s">
        <v>3258</v>
      </c>
      <c r="R299" t="s">
        <v>3162</v>
      </c>
      <c r="S299" t="s">
        <v>3162</v>
      </c>
      <c r="T299" t="s">
        <v>3162</v>
      </c>
      <c r="U299" t="s">
        <v>3162</v>
      </c>
      <c r="V299" t="s">
        <v>3162</v>
      </c>
      <c r="AF299" t="s">
        <v>3162</v>
      </c>
      <c r="AG299" t="s">
        <v>3162</v>
      </c>
      <c r="AH299" t="s">
        <v>3162</v>
      </c>
      <c r="AI299" t="s">
        <v>3162</v>
      </c>
      <c r="EZ299" t="s">
        <v>4569</v>
      </c>
      <c r="FA299" t="s">
        <v>4569</v>
      </c>
      <c r="FP299" t="s">
        <v>4569</v>
      </c>
      <c r="FQ299" t="s">
        <v>4569</v>
      </c>
      <c r="FR299" t="s">
        <v>4569</v>
      </c>
      <c r="FS299" t="s">
        <v>4569</v>
      </c>
    </row>
    <row r="300" spans="1:243" x14ac:dyDescent="0.2">
      <c r="EZ300" t="s">
        <v>4569</v>
      </c>
      <c r="FA300" t="s">
        <v>4569</v>
      </c>
      <c r="FP300" t="s">
        <v>4569</v>
      </c>
      <c r="FQ300" t="s">
        <v>4569</v>
      </c>
      <c r="FR300" t="s">
        <v>4569</v>
      </c>
      <c r="FS300" t="s">
        <v>4569</v>
      </c>
    </row>
    <row r="301" spans="1:243" x14ac:dyDescent="0.2">
      <c r="EZ301" t="s">
        <v>4569</v>
      </c>
      <c r="FA301" t="s">
        <v>4569</v>
      </c>
      <c r="FP301" t="s">
        <v>4569</v>
      </c>
      <c r="FQ301" t="s">
        <v>4569</v>
      </c>
      <c r="FR301" t="s">
        <v>4569</v>
      </c>
      <c r="FS301" t="s">
        <v>4569</v>
      </c>
    </row>
    <row r="302" spans="1:243" x14ac:dyDescent="0.2">
      <c r="EZ302" t="s">
        <v>4569</v>
      </c>
      <c r="FA302" t="s">
        <v>4569</v>
      </c>
      <c r="FP302" t="s">
        <v>4569</v>
      </c>
      <c r="FQ302" t="s">
        <v>4569</v>
      </c>
      <c r="FR302" t="s">
        <v>4569</v>
      </c>
      <c r="FS302" t="s">
        <v>4569</v>
      </c>
    </row>
    <row r="303" spans="1:243" x14ac:dyDescent="0.2">
      <c r="A303" t="s">
        <v>3807</v>
      </c>
      <c r="G303" t="s">
        <v>1712</v>
      </c>
      <c r="BN303" t="s">
        <v>6121</v>
      </c>
      <c r="BT303" t="s">
        <v>6121</v>
      </c>
      <c r="BX303" t="s">
        <v>6121</v>
      </c>
      <c r="CB303" t="s">
        <v>343</v>
      </c>
      <c r="CD303" t="s">
        <v>2065</v>
      </c>
      <c r="CQ303" t="s">
        <v>2800</v>
      </c>
      <c r="CT303" t="s">
        <v>1490</v>
      </c>
      <c r="CU303" t="s">
        <v>2488</v>
      </c>
      <c r="DY303" t="s">
        <v>2488</v>
      </c>
      <c r="EZ303" t="s">
        <v>4569</v>
      </c>
      <c r="FA303" t="s">
        <v>4569</v>
      </c>
      <c r="FF303" t="s">
        <v>1490</v>
      </c>
      <c r="FP303" t="s">
        <v>4569</v>
      </c>
      <c r="FQ303" t="s">
        <v>4569</v>
      </c>
      <c r="FR303" t="s">
        <v>4569</v>
      </c>
      <c r="FS303" t="s">
        <v>4569</v>
      </c>
      <c r="FT303" t="s">
        <v>6469</v>
      </c>
      <c r="FX303" t="s">
        <v>2488</v>
      </c>
      <c r="FY303" t="s">
        <v>2488</v>
      </c>
      <c r="FZ303" t="s">
        <v>2488</v>
      </c>
      <c r="GA303" t="s">
        <v>2488</v>
      </c>
      <c r="GB303" t="s">
        <v>2488</v>
      </c>
      <c r="GC303" t="s">
        <v>2488</v>
      </c>
      <c r="GD303" t="s">
        <v>2488</v>
      </c>
      <c r="GG303" t="s">
        <v>1490</v>
      </c>
      <c r="HA303" t="s">
        <v>2488</v>
      </c>
      <c r="HB303" t="s">
        <v>2488</v>
      </c>
      <c r="HC303" t="s">
        <v>1490</v>
      </c>
      <c r="HD303" t="s">
        <v>1490</v>
      </c>
      <c r="HE303" t="s">
        <v>1490</v>
      </c>
      <c r="HF303" t="s">
        <v>1490</v>
      </c>
      <c r="HG303" t="s">
        <v>1490</v>
      </c>
      <c r="HH303" t="s">
        <v>1490</v>
      </c>
      <c r="HI303" t="s">
        <v>1490</v>
      </c>
      <c r="HJ303" t="s">
        <v>1490</v>
      </c>
      <c r="HK303" t="s">
        <v>1490</v>
      </c>
      <c r="HL303" t="s">
        <v>1490</v>
      </c>
      <c r="HM303" t="s">
        <v>1490</v>
      </c>
      <c r="HN303" t="s">
        <v>1490</v>
      </c>
      <c r="HO303" t="s">
        <v>1490</v>
      </c>
      <c r="HP303" t="s">
        <v>1490</v>
      </c>
      <c r="HQ303" t="s">
        <v>1490</v>
      </c>
      <c r="HR303" t="s">
        <v>1490</v>
      </c>
      <c r="HS303" t="s">
        <v>1490</v>
      </c>
      <c r="HT303" t="s">
        <v>1490</v>
      </c>
      <c r="HU303" t="s">
        <v>1490</v>
      </c>
      <c r="HV303" t="s">
        <v>1490</v>
      </c>
      <c r="HW303" t="s">
        <v>1490</v>
      </c>
      <c r="HX303" t="s">
        <v>1490</v>
      </c>
      <c r="HY303" t="s">
        <v>1490</v>
      </c>
      <c r="HZ303" t="s">
        <v>1490</v>
      </c>
      <c r="IA303" t="s">
        <v>1490</v>
      </c>
      <c r="IB303" t="s">
        <v>1490</v>
      </c>
      <c r="IC303" t="s">
        <v>1490</v>
      </c>
      <c r="ID303" t="s">
        <v>1490</v>
      </c>
      <c r="IE303" t="s">
        <v>2488</v>
      </c>
      <c r="IF303" t="s">
        <v>2488</v>
      </c>
      <c r="IG303" t="s">
        <v>2488</v>
      </c>
      <c r="IH303" t="s">
        <v>2488</v>
      </c>
      <c r="II303" t="s">
        <v>2488</v>
      </c>
    </row>
    <row r="304" spans="1:243" x14ac:dyDescent="0.2">
      <c r="CQ304" t="s">
        <v>1490</v>
      </c>
      <c r="CT304" t="s">
        <v>2488</v>
      </c>
      <c r="EZ304" t="s">
        <v>4569</v>
      </c>
      <c r="FA304" t="s">
        <v>4569</v>
      </c>
      <c r="FP304" t="s">
        <v>4569</v>
      </c>
      <c r="FQ304" t="s">
        <v>4569</v>
      </c>
      <c r="FR304" t="s">
        <v>4569</v>
      </c>
      <c r="FS304" t="s">
        <v>4569</v>
      </c>
      <c r="HA304" t="s">
        <v>1490</v>
      </c>
      <c r="HB304" t="s">
        <v>1490</v>
      </c>
      <c r="IE304" t="s">
        <v>1490</v>
      </c>
      <c r="IF304" t="s">
        <v>1490</v>
      </c>
      <c r="IG304" t="s">
        <v>1490</v>
      </c>
      <c r="IH304" t="s">
        <v>1490</v>
      </c>
      <c r="II304" t="s">
        <v>1490</v>
      </c>
    </row>
    <row r="305" spans="1:243" x14ac:dyDescent="0.2">
      <c r="EZ305" t="s">
        <v>4569</v>
      </c>
      <c r="FA305" t="s">
        <v>4569</v>
      </c>
      <c r="FP305" t="s">
        <v>4569</v>
      </c>
      <c r="FQ305" t="s">
        <v>4569</v>
      </c>
      <c r="FR305" t="s">
        <v>4569</v>
      </c>
      <c r="FS305" t="s">
        <v>4569</v>
      </c>
    </row>
    <row r="306" spans="1:243" x14ac:dyDescent="0.2">
      <c r="EZ306" t="s">
        <v>4569</v>
      </c>
      <c r="FA306" t="s">
        <v>4569</v>
      </c>
      <c r="FP306" t="s">
        <v>4569</v>
      </c>
      <c r="FQ306" t="s">
        <v>4569</v>
      </c>
      <c r="FR306" t="s">
        <v>4569</v>
      </c>
      <c r="FS306" t="s">
        <v>4569</v>
      </c>
    </row>
    <row r="307" spans="1:243" x14ac:dyDescent="0.2">
      <c r="EZ307" t="s">
        <v>4569</v>
      </c>
      <c r="FA307" t="s">
        <v>4569</v>
      </c>
      <c r="FP307" t="s">
        <v>4569</v>
      </c>
      <c r="FQ307" t="s">
        <v>4569</v>
      </c>
      <c r="FR307" t="s">
        <v>4569</v>
      </c>
      <c r="FS307" t="s">
        <v>4569</v>
      </c>
    </row>
    <row r="308" spans="1:243" x14ac:dyDescent="0.2">
      <c r="A308" t="s">
        <v>2767</v>
      </c>
      <c r="P308" t="s">
        <v>592</v>
      </c>
      <c r="AC308" t="s">
        <v>592</v>
      </c>
      <c r="AD308" t="s">
        <v>592</v>
      </c>
      <c r="AO308" t="s">
        <v>592</v>
      </c>
      <c r="AR308" t="s">
        <v>592</v>
      </c>
      <c r="AS308" t="s">
        <v>592</v>
      </c>
      <c r="AZ308" t="s">
        <v>589</v>
      </c>
      <c r="BA308" t="s">
        <v>589</v>
      </c>
      <c r="BB308" t="s">
        <v>589</v>
      </c>
      <c r="BD308" t="s">
        <v>589</v>
      </c>
      <c r="BE308" t="s">
        <v>589</v>
      </c>
      <c r="BF308" t="s">
        <v>589</v>
      </c>
      <c r="BG308" t="s">
        <v>589</v>
      </c>
      <c r="BI308" t="s">
        <v>4743</v>
      </c>
      <c r="BJ308" t="s">
        <v>4743</v>
      </c>
      <c r="CB308" t="s">
        <v>592</v>
      </c>
      <c r="CT308" t="s">
        <v>2599</v>
      </c>
      <c r="CU308" t="s">
        <v>2599</v>
      </c>
      <c r="CW308" t="s">
        <v>4303</v>
      </c>
      <c r="CX308" t="s">
        <v>4303</v>
      </c>
      <c r="CY308" t="s">
        <v>4303</v>
      </c>
      <c r="CZ308" t="s">
        <v>4303</v>
      </c>
      <c r="DA308" t="s">
        <v>4303</v>
      </c>
      <c r="DB308" t="s">
        <v>592</v>
      </c>
      <c r="DC308" t="s">
        <v>2933</v>
      </c>
      <c r="DD308" t="s">
        <v>4303</v>
      </c>
      <c r="DE308" t="s">
        <v>4303</v>
      </c>
      <c r="DF308" t="s">
        <v>4303</v>
      </c>
      <c r="DG308" t="s">
        <v>4303</v>
      </c>
      <c r="DH308" t="s">
        <v>4303</v>
      </c>
      <c r="DI308" t="s">
        <v>4303</v>
      </c>
      <c r="DJ308" t="s">
        <v>4303</v>
      </c>
      <c r="DK308" t="s">
        <v>4303</v>
      </c>
      <c r="DL308" t="s">
        <v>4303</v>
      </c>
      <c r="DM308" t="s">
        <v>2933</v>
      </c>
      <c r="DN308" t="s">
        <v>2188</v>
      </c>
      <c r="DO308" t="s">
        <v>2188</v>
      </c>
      <c r="DP308" t="s">
        <v>4303</v>
      </c>
      <c r="DQ308" t="s">
        <v>4303</v>
      </c>
      <c r="DR308" t="s">
        <v>4303</v>
      </c>
      <c r="DS308" t="s">
        <v>592</v>
      </c>
      <c r="DU308" t="s">
        <v>4303</v>
      </c>
      <c r="DV308" t="s">
        <v>4303</v>
      </c>
      <c r="DW308" t="s">
        <v>4303</v>
      </c>
      <c r="DX308" t="s">
        <v>592</v>
      </c>
      <c r="DY308" t="s">
        <v>2933</v>
      </c>
      <c r="DZ308" t="s">
        <v>877</v>
      </c>
      <c r="EA308" t="s">
        <v>2066</v>
      </c>
      <c r="EB308" t="s">
        <v>592</v>
      </c>
      <c r="EC308" t="s">
        <v>4303</v>
      </c>
      <c r="ED308" t="s">
        <v>4303</v>
      </c>
      <c r="EE308" t="s">
        <v>4303</v>
      </c>
      <c r="EF308" t="s">
        <v>4303</v>
      </c>
      <c r="EG308" t="s">
        <v>4303</v>
      </c>
      <c r="EH308" t="s">
        <v>591</v>
      </c>
      <c r="EI308" t="s">
        <v>591</v>
      </c>
      <c r="EJ308" t="s">
        <v>4303</v>
      </c>
      <c r="EK308" t="s">
        <v>592</v>
      </c>
      <c r="EL308" t="s">
        <v>1399</v>
      </c>
      <c r="EM308" t="s">
        <v>4303</v>
      </c>
      <c r="EN308" t="s">
        <v>4303</v>
      </c>
      <c r="EO308" t="s">
        <v>4303</v>
      </c>
      <c r="EP308" t="s">
        <v>4303</v>
      </c>
      <c r="EQ308" t="s">
        <v>4303</v>
      </c>
      <c r="ER308" t="s">
        <v>4303</v>
      </c>
      <c r="ES308" t="s">
        <v>592</v>
      </c>
      <c r="ET308" t="s">
        <v>4303</v>
      </c>
      <c r="EU308" t="s">
        <v>4303</v>
      </c>
      <c r="EV308" t="s">
        <v>4303</v>
      </c>
      <c r="EW308" t="s">
        <v>4303</v>
      </c>
      <c r="EY308" t="s">
        <v>2199</v>
      </c>
      <c r="EZ308" t="s">
        <v>2600</v>
      </c>
      <c r="FA308" t="s">
        <v>2199</v>
      </c>
      <c r="FB308" t="s">
        <v>2199</v>
      </c>
      <c r="FC308" t="s">
        <v>2199</v>
      </c>
      <c r="FD308" t="s">
        <v>2199</v>
      </c>
      <c r="FE308" t="s">
        <v>2199</v>
      </c>
      <c r="FF308" t="s">
        <v>2199</v>
      </c>
      <c r="FG308" t="s">
        <v>2199</v>
      </c>
      <c r="FH308" t="s">
        <v>2199</v>
      </c>
      <c r="FI308" t="s">
        <v>2199</v>
      </c>
      <c r="FJ308" t="s">
        <v>2199</v>
      </c>
      <c r="FK308" t="s">
        <v>2199</v>
      </c>
      <c r="FL308" t="s">
        <v>2199</v>
      </c>
      <c r="FM308" t="s">
        <v>2199</v>
      </c>
      <c r="FN308" t="s">
        <v>2199</v>
      </c>
      <c r="FO308" t="s">
        <v>2199</v>
      </c>
      <c r="FP308" t="s">
        <v>4672</v>
      </c>
      <c r="FQ308" t="s">
        <v>4672</v>
      </c>
      <c r="FR308" t="s">
        <v>4672</v>
      </c>
      <c r="FS308" t="s">
        <v>4672</v>
      </c>
      <c r="FT308" t="s">
        <v>2199</v>
      </c>
      <c r="FU308" t="s">
        <v>2199</v>
      </c>
      <c r="FV308" t="s">
        <v>2199</v>
      </c>
      <c r="FX308" t="s">
        <v>2600</v>
      </c>
      <c r="FY308" t="s">
        <v>2600</v>
      </c>
      <c r="FZ308" t="s">
        <v>2600</v>
      </c>
      <c r="GA308" t="s">
        <v>2600</v>
      </c>
      <c r="GB308" t="s">
        <v>2600</v>
      </c>
      <c r="GC308" t="s">
        <v>2600</v>
      </c>
      <c r="GD308" t="s">
        <v>2600</v>
      </c>
      <c r="GF308" t="s">
        <v>878</v>
      </c>
      <c r="GG308" t="s">
        <v>878</v>
      </c>
      <c r="GH308" t="s">
        <v>878</v>
      </c>
      <c r="GI308" t="s">
        <v>878</v>
      </c>
      <c r="GJ308" t="s">
        <v>878</v>
      </c>
      <c r="GK308" t="s">
        <v>878</v>
      </c>
      <c r="GL308" t="s">
        <v>878</v>
      </c>
      <c r="GY308" t="s">
        <v>27</v>
      </c>
      <c r="HB308" t="s">
        <v>2939</v>
      </c>
      <c r="HD308" t="s">
        <v>2939</v>
      </c>
      <c r="HF308" t="s">
        <v>2939</v>
      </c>
      <c r="HH308" t="s">
        <v>2939</v>
      </c>
      <c r="HJ308" t="s">
        <v>2939</v>
      </c>
      <c r="HL308" t="s">
        <v>2939</v>
      </c>
      <c r="HN308" t="s">
        <v>2939</v>
      </c>
      <c r="HP308" t="s">
        <v>2939</v>
      </c>
      <c r="HQ308" t="s">
        <v>2939</v>
      </c>
      <c r="HS308" t="s">
        <v>2939</v>
      </c>
      <c r="HU308" t="s">
        <v>2939</v>
      </c>
      <c r="HW308" t="s">
        <v>2939</v>
      </c>
      <c r="HY308" t="s">
        <v>2939</v>
      </c>
      <c r="IA308" t="s">
        <v>2939</v>
      </c>
      <c r="IC308" t="s">
        <v>2939</v>
      </c>
      <c r="ID308" t="s">
        <v>2939</v>
      </c>
      <c r="IG308" t="s">
        <v>2939</v>
      </c>
      <c r="II308" t="s">
        <v>2939</v>
      </c>
    </row>
    <row r="309" spans="1:243" x14ac:dyDescent="0.2">
      <c r="AC309" t="s">
        <v>2935</v>
      </c>
      <c r="AO309" t="s">
        <v>2935</v>
      </c>
      <c r="AR309" t="s">
        <v>2935</v>
      </c>
      <c r="AS309" t="s">
        <v>2935</v>
      </c>
      <c r="BI309" t="s">
        <v>1399</v>
      </c>
      <c r="BJ309" t="s">
        <v>1399</v>
      </c>
      <c r="CB309" t="s">
        <v>597</v>
      </c>
      <c r="CT309" t="s">
        <v>4303</v>
      </c>
      <c r="CU309" t="s">
        <v>4303</v>
      </c>
      <c r="CW309" t="s">
        <v>2600</v>
      </c>
      <c r="CX309" t="s">
        <v>2600</v>
      </c>
      <c r="CZ309" t="s">
        <v>2600</v>
      </c>
      <c r="DA309" t="s">
        <v>2600</v>
      </c>
      <c r="DB309" t="s">
        <v>2933</v>
      </c>
      <c r="DC309" t="s">
        <v>4303</v>
      </c>
      <c r="DD309" t="s">
        <v>2600</v>
      </c>
      <c r="DE309" t="s">
        <v>2600</v>
      </c>
      <c r="DL309" t="s">
        <v>2600</v>
      </c>
      <c r="DM309" t="s">
        <v>2597</v>
      </c>
      <c r="DN309" t="s">
        <v>4303</v>
      </c>
      <c r="DO309" t="s">
        <v>4303</v>
      </c>
      <c r="DP309" t="s">
        <v>2600</v>
      </c>
      <c r="DQ309" t="s">
        <v>2600</v>
      </c>
      <c r="DR309" t="s">
        <v>2600</v>
      </c>
      <c r="DS309" t="s">
        <v>4303</v>
      </c>
      <c r="DT309" t="s">
        <v>4303</v>
      </c>
      <c r="DU309" t="s">
        <v>2600</v>
      </c>
      <c r="DV309" t="s">
        <v>2939</v>
      </c>
      <c r="DW309" t="s">
        <v>2939</v>
      </c>
      <c r="DX309" t="s">
        <v>4303</v>
      </c>
      <c r="DY309" t="s">
        <v>4303</v>
      </c>
      <c r="DZ309" t="s">
        <v>4303</v>
      </c>
      <c r="EA309" t="s">
        <v>4303</v>
      </c>
      <c r="EB309" t="s">
        <v>4303</v>
      </c>
      <c r="EC309" t="s">
        <v>2600</v>
      </c>
      <c r="ED309" t="s">
        <v>2600</v>
      </c>
      <c r="EE309" t="s">
        <v>2600</v>
      </c>
      <c r="EF309" t="s">
        <v>2600</v>
      </c>
      <c r="EG309" t="s">
        <v>2600</v>
      </c>
      <c r="EH309" t="s">
        <v>2599</v>
      </c>
      <c r="EI309" t="s">
        <v>2599</v>
      </c>
      <c r="EJ309" t="s">
        <v>2600</v>
      </c>
      <c r="EK309" t="s">
        <v>2935</v>
      </c>
      <c r="EL309" t="s">
        <v>4303</v>
      </c>
      <c r="EM309" t="s">
        <v>2600</v>
      </c>
      <c r="EN309" t="s">
        <v>2600</v>
      </c>
      <c r="EO309" t="s">
        <v>2600</v>
      </c>
      <c r="EP309" t="s">
        <v>2600</v>
      </c>
      <c r="EQ309" t="s">
        <v>2600</v>
      </c>
      <c r="ER309" t="s">
        <v>2600</v>
      </c>
      <c r="ES309" t="s">
        <v>2933</v>
      </c>
      <c r="ET309" t="s">
        <v>2600</v>
      </c>
      <c r="EU309" t="s">
        <v>2600</v>
      </c>
      <c r="EV309" t="s">
        <v>2600</v>
      </c>
      <c r="EW309" t="s">
        <v>2600</v>
      </c>
      <c r="EY309" t="s">
        <v>4303</v>
      </c>
      <c r="EZ309" t="s">
        <v>2066</v>
      </c>
      <c r="FA309" t="s">
        <v>4303</v>
      </c>
      <c r="FB309" t="s">
        <v>591</v>
      </c>
      <c r="FC309" t="s">
        <v>4303</v>
      </c>
      <c r="FD309" t="s">
        <v>1853</v>
      </c>
      <c r="FE309" t="s">
        <v>591</v>
      </c>
      <c r="FF309" t="s">
        <v>2598</v>
      </c>
      <c r="FG309" t="s">
        <v>2188</v>
      </c>
      <c r="FH309" t="s">
        <v>2188</v>
      </c>
      <c r="FI309" t="s">
        <v>2188</v>
      </c>
      <c r="FJ309" t="s">
        <v>2188</v>
      </c>
      <c r="FK309" t="s">
        <v>4303</v>
      </c>
      <c r="FL309" t="s">
        <v>591</v>
      </c>
      <c r="FM309" t="s">
        <v>4303</v>
      </c>
      <c r="FN309" t="s">
        <v>4303</v>
      </c>
      <c r="FO309" t="s">
        <v>2935</v>
      </c>
      <c r="FP309" t="s">
        <v>4673</v>
      </c>
      <c r="FQ309" t="s">
        <v>4673</v>
      </c>
      <c r="FR309" t="s">
        <v>4673</v>
      </c>
      <c r="FS309" t="s">
        <v>4673</v>
      </c>
      <c r="FT309" t="s">
        <v>4303</v>
      </c>
      <c r="FU309" t="s">
        <v>2935</v>
      </c>
      <c r="FV309" t="s">
        <v>4303</v>
      </c>
      <c r="GF309" t="s">
        <v>2933</v>
      </c>
      <c r="GG309" t="s">
        <v>2933</v>
      </c>
      <c r="GH309" t="s">
        <v>2933</v>
      </c>
      <c r="GI309" t="s">
        <v>2933</v>
      </c>
      <c r="GJ309" t="s">
        <v>2933</v>
      </c>
      <c r="GK309" t="s">
        <v>2933</v>
      </c>
      <c r="GL309" t="s">
        <v>2933</v>
      </c>
      <c r="GY309" t="s">
        <v>6244</v>
      </c>
      <c r="HB309" t="s">
        <v>4303</v>
      </c>
      <c r="HD309" t="s">
        <v>4303</v>
      </c>
      <c r="HF309" t="s">
        <v>4303</v>
      </c>
      <c r="HH309" t="s">
        <v>4303</v>
      </c>
      <c r="HJ309" t="s">
        <v>4303</v>
      </c>
      <c r="HL309" t="s">
        <v>4303</v>
      </c>
      <c r="HN309" t="s">
        <v>4303</v>
      </c>
      <c r="HP309" t="s">
        <v>4303</v>
      </c>
      <c r="HQ309" t="s">
        <v>4303</v>
      </c>
      <c r="HS309" t="s">
        <v>4303</v>
      </c>
      <c r="HU309" t="s">
        <v>4303</v>
      </c>
      <c r="HW309" t="s">
        <v>4303</v>
      </c>
      <c r="HY309" t="s">
        <v>4303</v>
      </c>
      <c r="IA309" t="s">
        <v>4303</v>
      </c>
      <c r="IC309" t="s">
        <v>4303</v>
      </c>
      <c r="ID309" t="s">
        <v>4303</v>
      </c>
      <c r="IG309" t="s">
        <v>4303</v>
      </c>
      <c r="II309" t="s">
        <v>4303</v>
      </c>
    </row>
    <row r="310" spans="1:243" x14ac:dyDescent="0.2">
      <c r="AC310" t="s">
        <v>3799</v>
      </c>
      <c r="AO310" t="s">
        <v>3799</v>
      </c>
      <c r="AR310" t="s">
        <v>3799</v>
      </c>
      <c r="AS310" t="s">
        <v>3799</v>
      </c>
      <c r="BI310" t="s">
        <v>4303</v>
      </c>
      <c r="BJ310" t="s">
        <v>4303</v>
      </c>
      <c r="CU310" t="s">
        <v>2600</v>
      </c>
      <c r="DB310" t="s">
        <v>4303</v>
      </c>
      <c r="DC310" t="s">
        <v>2600</v>
      </c>
      <c r="DM310" t="s">
        <v>2600</v>
      </c>
      <c r="DN310" t="s">
        <v>2600</v>
      </c>
      <c r="DO310" t="s">
        <v>2600</v>
      </c>
      <c r="DS310" t="s">
        <v>2600</v>
      </c>
      <c r="DT310" t="s">
        <v>2600</v>
      </c>
      <c r="DV310" t="s">
        <v>1556</v>
      </c>
      <c r="DX310" t="s">
        <v>2600</v>
      </c>
      <c r="DY310" t="s">
        <v>2600</v>
      </c>
      <c r="DZ310" t="s">
        <v>2600</v>
      </c>
      <c r="EA310" t="s">
        <v>2600</v>
      </c>
      <c r="EB310" t="s">
        <v>2600</v>
      </c>
      <c r="EC310" t="s">
        <v>2933</v>
      </c>
      <c r="EE310" t="s">
        <v>592</v>
      </c>
      <c r="EH310" t="s">
        <v>4303</v>
      </c>
      <c r="EI310" t="s">
        <v>4303</v>
      </c>
      <c r="EJ310" t="s">
        <v>592</v>
      </c>
      <c r="EK310" t="s">
        <v>1399</v>
      </c>
      <c r="EL310" t="s">
        <v>2600</v>
      </c>
      <c r="EM310" t="s">
        <v>28</v>
      </c>
      <c r="EN310" t="s">
        <v>2189</v>
      </c>
      <c r="EO310" t="s">
        <v>2933</v>
      </c>
      <c r="EP310" t="s">
        <v>2066</v>
      </c>
      <c r="EQ310" t="s">
        <v>592</v>
      </c>
      <c r="ER310" t="s">
        <v>592</v>
      </c>
      <c r="ES310" t="s">
        <v>4303</v>
      </c>
      <c r="EW310" t="s">
        <v>592</v>
      </c>
      <c r="EY310" t="s">
        <v>28</v>
      </c>
      <c r="EZ310" t="s">
        <v>4569</v>
      </c>
      <c r="FA310" t="s">
        <v>4569</v>
      </c>
      <c r="FB310" t="s">
        <v>4303</v>
      </c>
      <c r="FD310" t="s">
        <v>4303</v>
      </c>
      <c r="FE310" t="s">
        <v>4303</v>
      </c>
      <c r="FG310" t="s">
        <v>2933</v>
      </c>
      <c r="FH310" t="s">
        <v>2933</v>
      </c>
      <c r="FI310" t="s">
        <v>2933</v>
      </c>
      <c r="FJ310" t="s">
        <v>2933</v>
      </c>
      <c r="FL310" t="s">
        <v>4303</v>
      </c>
      <c r="FM310" t="s">
        <v>1556</v>
      </c>
      <c r="FO310" t="s">
        <v>2600</v>
      </c>
      <c r="FP310" t="s">
        <v>4675</v>
      </c>
      <c r="FQ310" t="s">
        <v>4675</v>
      </c>
      <c r="FR310" t="s">
        <v>4675</v>
      </c>
      <c r="FS310" t="s">
        <v>4675</v>
      </c>
      <c r="FT310" t="s">
        <v>2600</v>
      </c>
      <c r="FU310" t="s">
        <v>4303</v>
      </c>
      <c r="GF310" t="s">
        <v>2066</v>
      </c>
      <c r="GG310" t="s">
        <v>2066</v>
      </c>
      <c r="GH310" t="s">
        <v>2066</v>
      </c>
      <c r="GI310" t="s">
        <v>2066</v>
      </c>
      <c r="GJ310" t="s">
        <v>2066</v>
      </c>
      <c r="GK310" t="s">
        <v>2066</v>
      </c>
      <c r="GL310" t="s">
        <v>2066</v>
      </c>
      <c r="GY310" t="s">
        <v>1556</v>
      </c>
      <c r="HD310" t="s">
        <v>28</v>
      </c>
      <c r="HF310" t="s">
        <v>28</v>
      </c>
      <c r="HH310" t="s">
        <v>28</v>
      </c>
      <c r="HJ310" t="s">
        <v>28</v>
      </c>
      <c r="HL310" t="s">
        <v>28</v>
      </c>
      <c r="HQ310" t="s">
        <v>1556</v>
      </c>
    </row>
    <row r="311" spans="1:243" x14ac:dyDescent="0.2">
      <c r="BI311" t="s">
        <v>596</v>
      </c>
      <c r="BJ311" t="s">
        <v>596</v>
      </c>
      <c r="DB311" t="s">
        <v>2600</v>
      </c>
      <c r="DC311" t="s">
        <v>4675</v>
      </c>
      <c r="DX311" t="s">
        <v>30</v>
      </c>
      <c r="DZ311" t="s">
        <v>597</v>
      </c>
      <c r="EC311" t="s">
        <v>28</v>
      </c>
      <c r="EH311" t="s">
        <v>2600</v>
      </c>
      <c r="EI311" t="s">
        <v>2600</v>
      </c>
      <c r="EJ311" t="s">
        <v>2188</v>
      </c>
      <c r="EK311" t="s">
        <v>4303</v>
      </c>
      <c r="EL311" t="s">
        <v>595</v>
      </c>
      <c r="EM311" t="s">
        <v>4675</v>
      </c>
      <c r="EN311" t="s">
        <v>28</v>
      </c>
      <c r="EQ311" t="s">
        <v>2933</v>
      </c>
      <c r="ES311" t="s">
        <v>2600</v>
      </c>
      <c r="EY311" t="s">
        <v>1556</v>
      </c>
      <c r="EZ311" t="s">
        <v>4569</v>
      </c>
      <c r="FA311" t="s">
        <v>4569</v>
      </c>
      <c r="FD311" t="s">
        <v>8860</v>
      </c>
      <c r="FF311" t="s">
        <v>4303</v>
      </c>
      <c r="FG311" t="s">
        <v>2066</v>
      </c>
      <c r="FH311" t="s">
        <v>2066</v>
      </c>
      <c r="FI311" t="s">
        <v>2066</v>
      </c>
      <c r="FJ311" t="s">
        <v>2066</v>
      </c>
      <c r="FO311" t="s">
        <v>1556</v>
      </c>
      <c r="FP311" t="s">
        <v>4303</v>
      </c>
      <c r="FQ311" t="s">
        <v>4303</v>
      </c>
      <c r="FR311" t="s">
        <v>4303</v>
      </c>
      <c r="FS311" t="s">
        <v>4303</v>
      </c>
    </row>
    <row r="312" spans="1:243" x14ac:dyDescent="0.2">
      <c r="DX312" t="s">
        <v>2066</v>
      </c>
      <c r="EH312" t="s">
        <v>2601</v>
      </c>
      <c r="EI312" t="s">
        <v>2601</v>
      </c>
      <c r="EJ312" t="s">
        <v>28</v>
      </c>
      <c r="EK312" t="s">
        <v>2600</v>
      </c>
      <c r="EQ312" t="s">
        <v>595</v>
      </c>
      <c r="EZ312" t="s">
        <v>4569</v>
      </c>
      <c r="FA312" t="s">
        <v>4569</v>
      </c>
      <c r="FG312" t="s">
        <v>4585</v>
      </c>
      <c r="FH312" t="s">
        <v>4585</v>
      </c>
      <c r="FI312" t="s">
        <v>4585</v>
      </c>
      <c r="FJ312" t="s">
        <v>4585</v>
      </c>
      <c r="FP312" t="s">
        <v>2600</v>
      </c>
      <c r="FQ312" t="s">
        <v>2600</v>
      </c>
      <c r="FR312" t="s">
        <v>2600</v>
      </c>
      <c r="FS312" t="s">
        <v>2600</v>
      </c>
    </row>
    <row r="313" spans="1:243" x14ac:dyDescent="0.2">
      <c r="EH313" t="s">
        <v>28</v>
      </c>
      <c r="EI313" t="s">
        <v>28</v>
      </c>
      <c r="EZ313" t="s">
        <v>4569</v>
      </c>
      <c r="FA313" t="s">
        <v>4569</v>
      </c>
      <c r="FP313" t="s">
        <v>4569</v>
      </c>
      <c r="FQ313" t="s">
        <v>4569</v>
      </c>
      <c r="FR313" t="s">
        <v>4569</v>
      </c>
      <c r="FS313" t="s">
        <v>4569</v>
      </c>
    </row>
    <row r="314" spans="1:243" x14ac:dyDescent="0.2">
      <c r="EH314" t="s">
        <v>2933</v>
      </c>
      <c r="EI314" t="s">
        <v>2933</v>
      </c>
      <c r="EZ314" t="s">
        <v>4569</v>
      </c>
      <c r="FA314" t="s">
        <v>4569</v>
      </c>
      <c r="FP314" t="s">
        <v>4569</v>
      </c>
      <c r="FQ314" t="s">
        <v>4569</v>
      </c>
      <c r="FR314" t="s">
        <v>4569</v>
      </c>
      <c r="FS314" t="s">
        <v>4569</v>
      </c>
    </row>
    <row r="315" spans="1:243" x14ac:dyDescent="0.2">
      <c r="EZ315" t="s">
        <v>4569</v>
      </c>
      <c r="FA315" t="s">
        <v>4569</v>
      </c>
      <c r="FP315" t="s">
        <v>4569</v>
      </c>
      <c r="FQ315" t="s">
        <v>4569</v>
      </c>
      <c r="FR315" t="s">
        <v>4569</v>
      </c>
      <c r="FS315" t="s">
        <v>4569</v>
      </c>
    </row>
    <row r="316" spans="1:243" x14ac:dyDescent="0.2">
      <c r="A316" t="s">
        <v>2766</v>
      </c>
      <c r="AV316" t="s">
        <v>4341</v>
      </c>
      <c r="AW316" t="s">
        <v>4343</v>
      </c>
      <c r="BA316" t="s">
        <v>1647</v>
      </c>
      <c r="BF316" t="s">
        <v>1543</v>
      </c>
      <c r="CW316" t="s">
        <v>4348</v>
      </c>
      <c r="CX316" t="s">
        <v>4342</v>
      </c>
      <c r="CY316" t="s">
        <v>2940</v>
      </c>
      <c r="CZ316" t="s">
        <v>1543</v>
      </c>
      <c r="DD316" t="s">
        <v>4341</v>
      </c>
      <c r="DE316" t="s">
        <v>4351</v>
      </c>
      <c r="DF316" t="s">
        <v>4348</v>
      </c>
      <c r="DG316" t="s">
        <v>1631</v>
      </c>
      <c r="DH316" t="s">
        <v>1631</v>
      </c>
      <c r="DI316" t="s">
        <v>1631</v>
      </c>
      <c r="DJ316" t="s">
        <v>1631</v>
      </c>
      <c r="DK316" t="s">
        <v>1631</v>
      </c>
      <c r="DM316" t="s">
        <v>4342</v>
      </c>
      <c r="DN316" t="s">
        <v>2940</v>
      </c>
      <c r="DO316" t="s">
        <v>2940</v>
      </c>
      <c r="DR316" t="s">
        <v>1543</v>
      </c>
      <c r="DS316" t="s">
        <v>4346</v>
      </c>
      <c r="DT316" t="s">
        <v>2942</v>
      </c>
      <c r="DU316" t="s">
        <v>4340</v>
      </c>
      <c r="DV316" t="s">
        <v>2942</v>
      </c>
      <c r="EB316" t="s">
        <v>1166</v>
      </c>
      <c r="EC316" t="s">
        <v>1615</v>
      </c>
      <c r="ED316" t="s">
        <v>1615</v>
      </c>
      <c r="EE316" t="s">
        <v>4343</v>
      </c>
      <c r="EF316" t="s">
        <v>1166</v>
      </c>
      <c r="EJ316" t="s">
        <v>4342</v>
      </c>
      <c r="EM316" t="s">
        <v>1629</v>
      </c>
      <c r="EN316" t="s">
        <v>4347</v>
      </c>
      <c r="EQ316" t="s">
        <v>1166</v>
      </c>
      <c r="ES316" t="s">
        <v>4346</v>
      </c>
      <c r="ET316" t="s">
        <v>4342</v>
      </c>
      <c r="EZ316" t="s">
        <v>2940</v>
      </c>
      <c r="FA316" t="s">
        <v>2940</v>
      </c>
      <c r="FF316" t="s">
        <v>4339</v>
      </c>
      <c r="FL316" t="s">
        <v>963</v>
      </c>
      <c r="FP316" t="s">
        <v>4352</v>
      </c>
      <c r="FQ316" t="s">
        <v>4352</v>
      </c>
      <c r="FR316" t="s">
        <v>4352</v>
      </c>
      <c r="FS316" t="s">
        <v>4352</v>
      </c>
      <c r="GF316" t="s">
        <v>2940</v>
      </c>
      <c r="GG316" t="s">
        <v>2940</v>
      </c>
      <c r="GH316" t="s">
        <v>2940</v>
      </c>
      <c r="GI316" t="s">
        <v>2940</v>
      </c>
      <c r="GJ316" t="s">
        <v>2940</v>
      </c>
      <c r="GK316" t="s">
        <v>2940</v>
      </c>
      <c r="GL316" t="s">
        <v>2940</v>
      </c>
    </row>
    <row r="317" spans="1:243" x14ac:dyDescent="0.2">
      <c r="DF317" t="s">
        <v>1631</v>
      </c>
      <c r="EZ317" t="s">
        <v>4569</v>
      </c>
      <c r="FA317" t="s">
        <v>4569</v>
      </c>
      <c r="FP317" t="s">
        <v>4569</v>
      </c>
      <c r="FQ317" t="s">
        <v>4569</v>
      </c>
      <c r="FR317" t="s">
        <v>4569</v>
      </c>
      <c r="FS317" t="s">
        <v>4569</v>
      </c>
      <c r="GF317" t="s">
        <v>2793</v>
      </c>
      <c r="GG317" t="s">
        <v>2793</v>
      </c>
      <c r="GH317" t="s">
        <v>2793</v>
      </c>
      <c r="GI317" t="s">
        <v>2793</v>
      </c>
      <c r="GJ317" t="s">
        <v>2793</v>
      </c>
      <c r="GK317" t="s">
        <v>2793</v>
      </c>
      <c r="GL317" t="s">
        <v>2793</v>
      </c>
    </row>
    <row r="318" spans="1:243" x14ac:dyDescent="0.2">
      <c r="EZ318" t="s">
        <v>4569</v>
      </c>
      <c r="FA318" t="s">
        <v>4569</v>
      </c>
      <c r="FP318" t="s">
        <v>4569</v>
      </c>
      <c r="FQ318" t="s">
        <v>4569</v>
      </c>
      <c r="FR318" t="s">
        <v>4569</v>
      </c>
      <c r="FS318" t="s">
        <v>4569</v>
      </c>
      <c r="GF318" t="s">
        <v>2942</v>
      </c>
      <c r="GG318" t="s">
        <v>2942</v>
      </c>
      <c r="GH318" t="s">
        <v>2942</v>
      </c>
      <c r="GI318" t="s">
        <v>2942</v>
      </c>
      <c r="GJ318" t="s">
        <v>2942</v>
      </c>
      <c r="GK318" t="s">
        <v>2942</v>
      </c>
      <c r="GL318" t="s">
        <v>2942</v>
      </c>
    </row>
    <row r="319" spans="1:243" x14ac:dyDescent="0.2">
      <c r="A319" t="s">
        <v>2513</v>
      </c>
      <c r="H319" t="s">
        <v>1248</v>
      </c>
      <c r="I319" t="s">
        <v>1248</v>
      </c>
      <c r="J319" t="s">
        <v>1248</v>
      </c>
      <c r="K319" t="s">
        <v>1248</v>
      </c>
      <c r="L319" t="s">
        <v>1248</v>
      </c>
      <c r="M319" t="s">
        <v>1248</v>
      </c>
      <c r="N319" t="s">
        <v>1248</v>
      </c>
      <c r="DD319" t="s">
        <v>3281</v>
      </c>
      <c r="DE319" t="s">
        <v>3281</v>
      </c>
      <c r="DF319" t="s">
        <v>1250</v>
      </c>
      <c r="DG319" t="s">
        <v>1250</v>
      </c>
      <c r="DH319" t="s">
        <v>1250</v>
      </c>
      <c r="DI319" t="s">
        <v>1250</v>
      </c>
      <c r="DJ319" t="s">
        <v>1250</v>
      </c>
      <c r="DK319" t="s">
        <v>1250</v>
      </c>
      <c r="DT319" t="s">
        <v>3281</v>
      </c>
      <c r="EZ319" t="s">
        <v>4569</v>
      </c>
      <c r="FA319" t="s">
        <v>4569</v>
      </c>
      <c r="FP319" t="s">
        <v>4569</v>
      </c>
      <c r="FQ319" t="s">
        <v>4569</v>
      </c>
      <c r="FR319" t="s">
        <v>4569</v>
      </c>
      <c r="FS319" t="s">
        <v>4569</v>
      </c>
      <c r="FT319" t="s">
        <v>3281</v>
      </c>
    </row>
    <row r="320" spans="1:243" x14ac:dyDescent="0.2">
      <c r="EZ320" t="s">
        <v>4569</v>
      </c>
      <c r="FA320" t="s">
        <v>4569</v>
      </c>
      <c r="FP320" t="s">
        <v>4569</v>
      </c>
      <c r="FQ320" t="s">
        <v>4569</v>
      </c>
      <c r="FR320" t="s">
        <v>4569</v>
      </c>
      <c r="FS320" t="s">
        <v>4569</v>
      </c>
    </row>
    <row r="321" spans="1:246" x14ac:dyDescent="0.2">
      <c r="A321" t="s">
        <v>1713</v>
      </c>
      <c r="Q321" t="s">
        <v>3230</v>
      </c>
      <c r="AE321" t="s">
        <v>3230</v>
      </c>
      <c r="BA321" t="s">
        <v>1359</v>
      </c>
      <c r="BG321" t="s">
        <v>1359</v>
      </c>
      <c r="BI321" t="s">
        <v>6174</v>
      </c>
      <c r="BJ321" t="s">
        <v>6174</v>
      </c>
      <c r="CB321" t="s">
        <v>4522</v>
      </c>
      <c r="CO321" t="s">
        <v>9193</v>
      </c>
      <c r="CP321" t="s">
        <v>9281</v>
      </c>
      <c r="CQ321" t="s">
        <v>9190</v>
      </c>
      <c r="CR321" t="s">
        <v>5880</v>
      </c>
      <c r="CS321" t="s">
        <v>9280</v>
      </c>
      <c r="DC321" t="s">
        <v>1774</v>
      </c>
      <c r="DF321" t="s">
        <v>1775</v>
      </c>
      <c r="DG321" t="s">
        <v>1775</v>
      </c>
      <c r="DH321" t="s">
        <v>1775</v>
      </c>
      <c r="DI321" t="s">
        <v>1775</v>
      </c>
      <c r="DJ321" t="s">
        <v>1775</v>
      </c>
      <c r="DK321" t="s">
        <v>1775</v>
      </c>
      <c r="EM321" t="s">
        <v>1774</v>
      </c>
      <c r="EN321" t="s">
        <v>1775</v>
      </c>
      <c r="EZ321" t="s">
        <v>8841</v>
      </c>
      <c r="FA321" t="s">
        <v>4569</v>
      </c>
      <c r="FC321" t="s">
        <v>8872</v>
      </c>
      <c r="FF321" t="s">
        <v>8873</v>
      </c>
      <c r="FN321" t="s">
        <v>8895</v>
      </c>
      <c r="FP321" t="s">
        <v>4569</v>
      </c>
      <c r="FQ321" t="s">
        <v>4569</v>
      </c>
      <c r="FR321" t="s">
        <v>4569</v>
      </c>
      <c r="FS321" t="s">
        <v>4569</v>
      </c>
      <c r="GF321" t="s">
        <v>8776</v>
      </c>
      <c r="GG321" t="s">
        <v>8776</v>
      </c>
      <c r="GH321" t="s">
        <v>8776</v>
      </c>
      <c r="GI321" t="s">
        <v>8776</v>
      </c>
      <c r="GJ321" t="s">
        <v>8776</v>
      </c>
      <c r="GK321" t="s">
        <v>8776</v>
      </c>
      <c r="GL321" t="s">
        <v>8776</v>
      </c>
      <c r="HA321" t="s">
        <v>8230</v>
      </c>
      <c r="HB321" t="s">
        <v>8230</v>
      </c>
      <c r="HC321" t="s">
        <v>8230</v>
      </c>
      <c r="HD321" t="s">
        <v>8230</v>
      </c>
      <c r="HE321" t="s">
        <v>8230</v>
      </c>
      <c r="HF321" t="s">
        <v>8230</v>
      </c>
      <c r="HG321" t="s">
        <v>8230</v>
      </c>
      <c r="HH321" t="s">
        <v>8230</v>
      </c>
      <c r="HI321" t="s">
        <v>8230</v>
      </c>
      <c r="HJ321" t="s">
        <v>8230</v>
      </c>
      <c r="HK321" t="s">
        <v>8230</v>
      </c>
      <c r="HL321" t="s">
        <v>8230</v>
      </c>
      <c r="HM321" t="s">
        <v>8230</v>
      </c>
      <c r="HN321" t="s">
        <v>8230</v>
      </c>
      <c r="HO321" t="s">
        <v>8230</v>
      </c>
      <c r="HP321" t="s">
        <v>8230</v>
      </c>
      <c r="HQ321" t="s">
        <v>8231</v>
      </c>
      <c r="HR321" t="s">
        <v>8230</v>
      </c>
      <c r="HS321" t="s">
        <v>8230</v>
      </c>
      <c r="HT321" t="s">
        <v>8232</v>
      </c>
      <c r="HU321" t="s">
        <v>8232</v>
      </c>
      <c r="HV321" t="s">
        <v>8233</v>
      </c>
      <c r="HW321" t="s">
        <v>8233</v>
      </c>
      <c r="HX321" t="s">
        <v>8230</v>
      </c>
      <c r="HY321" t="s">
        <v>8230</v>
      </c>
      <c r="HZ321" t="s">
        <v>8230</v>
      </c>
      <c r="IA321" t="s">
        <v>8230</v>
      </c>
      <c r="IB321" t="s">
        <v>8230</v>
      </c>
      <c r="IC321" t="s">
        <v>8230</v>
      </c>
      <c r="ID321" t="s">
        <v>8230</v>
      </c>
      <c r="IE321" t="s">
        <v>8230</v>
      </c>
      <c r="IF321" t="s">
        <v>8230</v>
      </c>
      <c r="IG321" t="s">
        <v>8230</v>
      </c>
      <c r="IH321" t="s">
        <v>8230</v>
      </c>
      <c r="II321" t="s">
        <v>8230</v>
      </c>
    </row>
    <row r="322" spans="1:246" x14ac:dyDescent="0.2">
      <c r="A322" t="s">
        <v>3906</v>
      </c>
      <c r="CO322" t="s">
        <v>3215</v>
      </c>
      <c r="CR322" t="s">
        <v>3215</v>
      </c>
      <c r="CS322" t="s">
        <v>3215</v>
      </c>
      <c r="EZ322" t="s">
        <v>4569</v>
      </c>
      <c r="FA322" t="s">
        <v>4569</v>
      </c>
      <c r="FP322" t="s">
        <v>4569</v>
      </c>
      <c r="FQ322" t="s">
        <v>4569</v>
      </c>
      <c r="FR322" t="s">
        <v>4569</v>
      </c>
      <c r="FS322" t="s">
        <v>4569</v>
      </c>
      <c r="GF322" t="s">
        <v>3215</v>
      </c>
      <c r="GG322" t="s">
        <v>3215</v>
      </c>
      <c r="GH322" t="s">
        <v>3215</v>
      </c>
      <c r="GI322" t="s">
        <v>3215</v>
      </c>
      <c r="GJ322" t="s">
        <v>3215</v>
      </c>
      <c r="GK322" t="s">
        <v>3215</v>
      </c>
      <c r="GL322" t="s">
        <v>3215</v>
      </c>
    </row>
    <row r="323" spans="1:246" x14ac:dyDescent="0.2">
      <c r="A323" t="s">
        <v>3907</v>
      </c>
      <c r="C323" t="s">
        <v>3215</v>
      </c>
      <c r="D323" t="s">
        <v>3215</v>
      </c>
      <c r="E323" t="s">
        <v>3215</v>
      </c>
      <c r="F323" t="s">
        <v>3215</v>
      </c>
      <c r="G323" t="s">
        <v>3215</v>
      </c>
      <c r="H323" t="s">
        <v>3215</v>
      </c>
      <c r="I323" t="s">
        <v>3215</v>
      </c>
      <c r="J323" t="s">
        <v>3215</v>
      </c>
      <c r="K323" t="s">
        <v>3215</v>
      </c>
      <c r="L323" t="s">
        <v>3215</v>
      </c>
      <c r="M323" t="s">
        <v>3215</v>
      </c>
      <c r="N323" t="s">
        <v>3215</v>
      </c>
      <c r="O323" t="str">
        <f>IF(O$2&gt;=15,"x","")</f>
        <v/>
      </c>
      <c r="AT323" t="str">
        <f>IF(AT$2&gt;=15,"x","")</f>
        <v/>
      </c>
      <c r="AU323" t="s">
        <v>3215</v>
      </c>
      <c r="AV323" t="s">
        <v>3215</v>
      </c>
      <c r="AW323" t="s">
        <v>3215</v>
      </c>
      <c r="AX323" t="s">
        <v>3215</v>
      </c>
      <c r="AY323" t="str">
        <f>IF(AY$2&gt;=15,"x","")</f>
        <v/>
      </c>
      <c r="AZ323" t="s">
        <v>3215</v>
      </c>
      <c r="BA323" t="s">
        <v>3215</v>
      </c>
      <c r="BB323" t="s">
        <v>3215</v>
      </c>
      <c r="BC323" t="s">
        <v>3215</v>
      </c>
      <c r="BD323" t="s">
        <v>3215</v>
      </c>
      <c r="BE323" t="s">
        <v>3215</v>
      </c>
      <c r="BF323" t="s">
        <v>3215</v>
      </c>
      <c r="BG323" t="s">
        <v>3215</v>
      </c>
      <c r="BH323" t="str">
        <f>IF(BH$2&gt;=15,"x","")</f>
        <v/>
      </c>
      <c r="BK323" t="str">
        <f>IF(BK$2&gt;=15,"x","")</f>
        <v/>
      </c>
      <c r="CB323" t="s">
        <v>3215</v>
      </c>
      <c r="CV323" t="str">
        <f>IF(CV$2&gt;=15,"x","")</f>
        <v/>
      </c>
      <c r="EX323" t="str">
        <f>IF(EX$2&gt;=15,"x","")</f>
        <v/>
      </c>
      <c r="EZ323" t="s">
        <v>4569</v>
      </c>
      <c r="FA323" t="s">
        <v>4569</v>
      </c>
      <c r="FP323" t="s">
        <v>4569</v>
      </c>
      <c r="FQ323" t="s">
        <v>4569</v>
      </c>
      <c r="FR323" t="s">
        <v>4569</v>
      </c>
      <c r="FS323" t="s">
        <v>4569</v>
      </c>
      <c r="FW323" t="str">
        <f>IF(FW$2&gt;=15,"x","")</f>
        <v/>
      </c>
      <c r="FX323" t="s">
        <v>3215</v>
      </c>
      <c r="FY323" t="s">
        <v>3215</v>
      </c>
      <c r="FZ323" t="s">
        <v>3215</v>
      </c>
      <c r="GA323" t="s">
        <v>3215</v>
      </c>
      <c r="GB323" t="s">
        <v>3215</v>
      </c>
      <c r="GC323" t="s">
        <v>3215</v>
      </c>
      <c r="GD323" t="s">
        <v>3215</v>
      </c>
      <c r="GE323" t="str">
        <f>IF(GE$2&gt;=15,"x","")</f>
        <v/>
      </c>
      <c r="GM323" t="str">
        <f>IF(GM$2&gt;=15,"x","")</f>
        <v/>
      </c>
      <c r="GX323" t="str">
        <f>IF(GX$2&gt;=15,"x","")</f>
        <v/>
      </c>
      <c r="GY323" t="s">
        <v>3215</v>
      </c>
      <c r="HA323" t="s">
        <v>3215</v>
      </c>
      <c r="HB323" t="s">
        <v>3215</v>
      </c>
      <c r="HC323" t="s">
        <v>3215</v>
      </c>
      <c r="HD323" t="s">
        <v>3215</v>
      </c>
      <c r="HE323" t="s">
        <v>3215</v>
      </c>
      <c r="HF323" t="s">
        <v>3215</v>
      </c>
      <c r="HG323" t="s">
        <v>3215</v>
      </c>
      <c r="HH323" t="s">
        <v>3215</v>
      </c>
      <c r="HI323" t="s">
        <v>3215</v>
      </c>
      <c r="HJ323" t="s">
        <v>3215</v>
      </c>
      <c r="HK323" t="s">
        <v>3215</v>
      </c>
      <c r="HL323" t="s">
        <v>3215</v>
      </c>
      <c r="HM323" t="s">
        <v>3215</v>
      </c>
      <c r="HN323" t="s">
        <v>3215</v>
      </c>
      <c r="HO323" t="s">
        <v>3215</v>
      </c>
      <c r="HP323" t="s">
        <v>3215</v>
      </c>
      <c r="HQ323" t="s">
        <v>3215</v>
      </c>
      <c r="HR323" t="s">
        <v>3215</v>
      </c>
      <c r="HS323" t="s">
        <v>3215</v>
      </c>
      <c r="HT323" t="s">
        <v>3215</v>
      </c>
      <c r="HU323" t="s">
        <v>3215</v>
      </c>
      <c r="HV323" t="s">
        <v>3215</v>
      </c>
      <c r="HW323" t="s">
        <v>3215</v>
      </c>
      <c r="HX323" t="s">
        <v>3215</v>
      </c>
      <c r="HY323" t="s">
        <v>3215</v>
      </c>
      <c r="HZ323" t="s">
        <v>3215</v>
      </c>
      <c r="IA323" t="s">
        <v>3215</v>
      </c>
      <c r="IB323" t="s">
        <v>3215</v>
      </c>
      <c r="IC323" t="s">
        <v>3215</v>
      </c>
      <c r="ID323" t="s">
        <v>3215</v>
      </c>
      <c r="IE323" t="s">
        <v>3215</v>
      </c>
      <c r="IF323" t="s">
        <v>3215</v>
      </c>
      <c r="IG323" t="s">
        <v>3215</v>
      </c>
      <c r="IH323" t="s">
        <v>3215</v>
      </c>
      <c r="II323" t="s">
        <v>3215</v>
      </c>
      <c r="IJ323" t="str">
        <f>IF(IJ$2&gt;=15,"x","")</f>
        <v/>
      </c>
      <c r="IL323">
        <f>ROW()</f>
        <v>323</v>
      </c>
    </row>
    <row r="324" spans="1:246" outlineLevel="1" x14ac:dyDescent="0.2">
      <c r="A324" t="str">
        <f>INDEX(ZAUBER,$IL324)</f>
        <v>Abvenenum reine Speise</v>
      </c>
      <c r="B324" t="s">
        <v>1433</v>
      </c>
      <c r="C324" t="s">
        <v>1321</v>
      </c>
      <c r="D324">
        <v>2</v>
      </c>
      <c r="E324" t="s">
        <v>1321</v>
      </c>
      <c r="F324" t="s">
        <v>1321</v>
      </c>
      <c r="G324" t="s">
        <v>1321</v>
      </c>
      <c r="H324" t="s">
        <v>1321</v>
      </c>
      <c r="I324" t="s">
        <v>1321</v>
      </c>
      <c r="J324" t="s">
        <v>1321</v>
      </c>
      <c r="K324" t="s">
        <v>1321</v>
      </c>
      <c r="L324" t="s">
        <v>1321</v>
      </c>
      <c r="M324" t="s">
        <v>1321</v>
      </c>
      <c r="N324" t="s">
        <v>1321</v>
      </c>
      <c r="O324" t="s">
        <v>1433</v>
      </c>
      <c r="P324" t="s">
        <v>1321</v>
      </c>
      <c r="Q324" t="s">
        <v>1321</v>
      </c>
      <c r="R324" t="s">
        <v>1321</v>
      </c>
      <c r="S324" t="s">
        <v>1321</v>
      </c>
      <c r="T324" t="s">
        <v>1321</v>
      </c>
      <c r="U324" t="s">
        <v>1321</v>
      </c>
      <c r="V324" t="s">
        <v>1321</v>
      </c>
      <c r="W324" t="s">
        <v>1321</v>
      </c>
      <c r="X324" t="s">
        <v>1321</v>
      </c>
      <c r="Y324" t="s">
        <v>1321</v>
      </c>
      <c r="Z324" t="s">
        <v>1321</v>
      </c>
      <c r="AA324" t="s">
        <v>1321</v>
      </c>
      <c r="AB324" t="s">
        <v>1321</v>
      </c>
      <c r="AC324" t="s">
        <v>1321</v>
      </c>
      <c r="AD324" t="s">
        <v>1321</v>
      </c>
      <c r="AE324" t="s">
        <v>1321</v>
      </c>
      <c r="AF324" t="s">
        <v>1321</v>
      </c>
      <c r="AG324" t="s">
        <v>1321</v>
      </c>
      <c r="AH324" t="s">
        <v>1321</v>
      </c>
      <c r="AI324" t="s">
        <v>1321</v>
      </c>
      <c r="AJ324" t="s">
        <v>1321</v>
      </c>
      <c r="AK324" t="s">
        <v>1321</v>
      </c>
      <c r="AL324" t="s">
        <v>1321</v>
      </c>
      <c r="AM324" t="s">
        <v>1321</v>
      </c>
      <c r="AN324" t="s">
        <v>1321</v>
      </c>
      <c r="AO324" t="s">
        <v>1321</v>
      </c>
      <c r="AP324" t="s">
        <v>1321</v>
      </c>
      <c r="AQ324" t="s">
        <v>1321</v>
      </c>
      <c r="AR324" t="s">
        <v>1321</v>
      </c>
      <c r="AS324" t="s">
        <v>1321</v>
      </c>
      <c r="AT324" t="s">
        <v>1433</v>
      </c>
      <c r="AU324" t="s">
        <v>1321</v>
      </c>
      <c r="AV324">
        <v>3</v>
      </c>
      <c r="AW324" t="s">
        <v>1321</v>
      </c>
      <c r="AX324" t="s">
        <v>1321</v>
      </c>
      <c r="AY324" t="s">
        <v>1433</v>
      </c>
      <c r="AZ324" t="s">
        <v>1321</v>
      </c>
      <c r="BA324">
        <v>3</v>
      </c>
      <c r="BB324" t="s">
        <v>1321</v>
      </c>
      <c r="BC324" t="s">
        <v>1321</v>
      </c>
      <c r="BD324" t="s">
        <v>1321</v>
      </c>
      <c r="BE324" t="s">
        <v>1321</v>
      </c>
      <c r="BF324" t="s">
        <v>1321</v>
      </c>
      <c r="BG324">
        <v>3</v>
      </c>
      <c r="BH324" t="s">
        <v>1433</v>
      </c>
      <c r="BI324" t="s">
        <v>1321</v>
      </c>
      <c r="BJ324" t="s">
        <v>1321</v>
      </c>
      <c r="BK324" t="s">
        <v>1433</v>
      </c>
      <c r="CV324" t="s">
        <v>1433</v>
      </c>
      <c r="CW324" t="s">
        <v>2516</v>
      </c>
      <c r="CX324">
        <v>4</v>
      </c>
      <c r="CY324" t="s">
        <v>1321</v>
      </c>
      <c r="CZ324" t="s">
        <v>1321</v>
      </c>
      <c r="DA324" t="s">
        <v>1321</v>
      </c>
      <c r="DB324" t="s">
        <v>1321</v>
      </c>
      <c r="DC324" t="s">
        <v>1321</v>
      </c>
      <c r="DD324" t="s">
        <v>1321</v>
      </c>
      <c r="DE324" t="s">
        <v>2515</v>
      </c>
      <c r="DF324" t="s">
        <v>1321</v>
      </c>
      <c r="DG324" t="s">
        <v>1321</v>
      </c>
      <c r="DH324" t="s">
        <v>1321</v>
      </c>
      <c r="DI324" t="s">
        <v>1321</v>
      </c>
      <c r="DJ324" t="s">
        <v>1321</v>
      </c>
      <c r="DK324" t="s">
        <v>1321</v>
      </c>
      <c r="DL324">
        <v>2</v>
      </c>
      <c r="DM324" t="s">
        <v>1321</v>
      </c>
      <c r="DN324" t="s">
        <v>1321</v>
      </c>
      <c r="DO324" t="s">
        <v>1321</v>
      </c>
      <c r="DP324">
        <v>5</v>
      </c>
      <c r="DQ324">
        <v>3</v>
      </c>
      <c r="DR324" t="s">
        <v>1321</v>
      </c>
      <c r="DS324" t="s">
        <v>1321</v>
      </c>
      <c r="DT324">
        <v>3</v>
      </c>
      <c r="DU324" t="s">
        <v>1321</v>
      </c>
      <c r="DV324" t="s">
        <v>2516</v>
      </c>
      <c r="DW324">
        <v>2</v>
      </c>
      <c r="DX324" t="s">
        <v>1321</v>
      </c>
      <c r="DY324" t="s">
        <v>1321</v>
      </c>
      <c r="DZ324" t="s">
        <v>1321</v>
      </c>
      <c r="EA324" t="s">
        <v>1321</v>
      </c>
      <c r="EB324" t="s">
        <v>1321</v>
      </c>
      <c r="EC324" t="s">
        <v>1321</v>
      </c>
      <c r="ED324" t="s">
        <v>2514</v>
      </c>
      <c r="EE324" t="s">
        <v>1321</v>
      </c>
      <c r="EF324">
        <v>4</v>
      </c>
      <c r="EG324" t="s">
        <v>1321</v>
      </c>
      <c r="EH324" t="s">
        <v>1321</v>
      </c>
      <c r="EI324" t="s">
        <v>1321</v>
      </c>
      <c r="EJ324" t="s">
        <v>1321</v>
      </c>
      <c r="EK324" t="s">
        <v>1321</v>
      </c>
      <c r="EL324" t="s">
        <v>1321</v>
      </c>
      <c r="EM324" t="s">
        <v>1321</v>
      </c>
      <c r="EN324" t="s">
        <v>1321</v>
      </c>
      <c r="EO324" t="s">
        <v>1321</v>
      </c>
      <c r="EP324" t="s">
        <v>1321</v>
      </c>
      <c r="EQ324" t="s">
        <v>1321</v>
      </c>
      <c r="ER324" t="s">
        <v>1321</v>
      </c>
      <c r="ES324" t="s">
        <v>1321</v>
      </c>
      <c r="ET324">
        <v>5</v>
      </c>
      <c r="EU324" t="s">
        <v>1321</v>
      </c>
      <c r="EV324">
        <v>3</v>
      </c>
      <c r="EW324" t="s">
        <v>1321</v>
      </c>
      <c r="EX324" t="s">
        <v>1433</v>
      </c>
      <c r="EY324" t="s">
        <v>2516</v>
      </c>
      <c r="EZ324" t="s">
        <v>1321</v>
      </c>
      <c r="FA324" t="s">
        <v>1321</v>
      </c>
      <c r="FB324" t="s">
        <v>1321</v>
      </c>
      <c r="FC324" t="s">
        <v>1321</v>
      </c>
      <c r="FD324" t="s">
        <v>1321</v>
      </c>
      <c r="FE324" t="s">
        <v>1321</v>
      </c>
      <c r="FF324" t="s">
        <v>2514</v>
      </c>
      <c r="FG324" t="s">
        <v>1321</v>
      </c>
      <c r="FH324" t="s">
        <v>1321</v>
      </c>
      <c r="FI324" t="s">
        <v>1321</v>
      </c>
      <c r="FJ324" t="s">
        <v>1321</v>
      </c>
      <c r="FK324" t="s">
        <v>1321</v>
      </c>
      <c r="FL324" t="s">
        <v>1321</v>
      </c>
      <c r="FM324" t="s">
        <v>1321</v>
      </c>
      <c r="FN324" t="s">
        <v>1321</v>
      </c>
      <c r="FO324" t="s">
        <v>1321</v>
      </c>
      <c r="FP324" t="s">
        <v>1321</v>
      </c>
      <c r="FQ324" t="s">
        <v>1321</v>
      </c>
      <c r="FR324" t="s">
        <v>1321</v>
      </c>
      <c r="FS324" t="s">
        <v>1321</v>
      </c>
      <c r="FT324" t="s">
        <v>1321</v>
      </c>
      <c r="FU324" t="s">
        <v>1321</v>
      </c>
      <c r="FV324" t="s">
        <v>2516</v>
      </c>
      <c r="FW324" t="s">
        <v>1433</v>
      </c>
      <c r="GE324" t="s">
        <v>1433</v>
      </c>
      <c r="GF324" t="s">
        <v>1321</v>
      </c>
      <c r="GG324" t="s">
        <v>1321</v>
      </c>
      <c r="GH324" t="s">
        <v>1321</v>
      </c>
      <c r="GI324" t="s">
        <v>1321</v>
      </c>
      <c r="GJ324" t="s">
        <v>1321</v>
      </c>
      <c r="GK324" t="s">
        <v>1321</v>
      </c>
      <c r="GL324" t="s">
        <v>1321</v>
      </c>
      <c r="GM324" t="s">
        <v>1433</v>
      </c>
      <c r="GX324" t="s">
        <v>1433</v>
      </c>
      <c r="HB324" t="s">
        <v>1321</v>
      </c>
      <c r="HD324" t="s">
        <v>1321</v>
      </c>
      <c r="HF324" t="s">
        <v>1321</v>
      </c>
      <c r="HH324" t="s">
        <v>1321</v>
      </c>
      <c r="HJ324" t="s">
        <v>1321</v>
      </c>
      <c r="HL324" t="s">
        <v>1321</v>
      </c>
      <c r="HN324" t="s">
        <v>1321</v>
      </c>
      <c r="HP324" t="s">
        <v>1321</v>
      </c>
      <c r="HQ324" t="s">
        <v>1321</v>
      </c>
      <c r="HS324" t="s">
        <v>1321</v>
      </c>
      <c r="HU324" t="s">
        <v>1321</v>
      </c>
      <c r="HW324" t="s">
        <v>1321</v>
      </c>
      <c r="HY324" t="s">
        <v>1321</v>
      </c>
      <c r="IA324" t="s">
        <v>1321</v>
      </c>
      <c r="IC324" t="s">
        <v>1321</v>
      </c>
      <c r="ID324" t="s">
        <v>1321</v>
      </c>
      <c r="IG324" t="s">
        <v>1321</v>
      </c>
      <c r="II324" t="s">
        <v>1321</v>
      </c>
      <c r="IJ324" t="s">
        <v>1433</v>
      </c>
      <c r="IL324">
        <f>ROW()-$IL$323</f>
        <v>1</v>
      </c>
    </row>
    <row r="325" spans="1:246" outlineLevel="1" x14ac:dyDescent="0.2">
      <c r="A325" t="str">
        <f t="shared" ref="A325:A394" si="8">INDEX(ZAUBER,$IL325)</f>
        <v>Accuratum Zaubernadel</v>
      </c>
      <c r="CW325" t="s">
        <v>1321</v>
      </c>
      <c r="CX325" t="s">
        <v>1321</v>
      </c>
      <c r="CY325" t="s">
        <v>1321</v>
      </c>
      <c r="CZ325" t="s">
        <v>1321</v>
      </c>
      <c r="DB325" t="s">
        <v>1321</v>
      </c>
      <c r="DC325" t="s">
        <v>1321</v>
      </c>
      <c r="DF325" t="s">
        <v>1321</v>
      </c>
      <c r="DG325" t="s">
        <v>1321</v>
      </c>
      <c r="DH325" t="s">
        <v>1321</v>
      </c>
      <c r="DI325" t="s">
        <v>1321</v>
      </c>
      <c r="DJ325" t="s">
        <v>1321</v>
      </c>
      <c r="DK325" t="s">
        <v>1321</v>
      </c>
      <c r="DM325" t="s">
        <v>1321</v>
      </c>
      <c r="DN325" t="s">
        <v>1321</v>
      </c>
      <c r="DO325" t="s">
        <v>1321</v>
      </c>
      <c r="DP325" t="s">
        <v>1321</v>
      </c>
      <c r="DQ325">
        <v>3</v>
      </c>
      <c r="DR325" t="s">
        <v>1321</v>
      </c>
      <c r="DS325" t="s">
        <v>1321</v>
      </c>
      <c r="DV325" t="s">
        <v>1321</v>
      </c>
      <c r="DW325" t="s">
        <v>1321</v>
      </c>
      <c r="EA325" t="s">
        <v>1321</v>
      </c>
      <c r="EC325" t="s">
        <v>1321</v>
      </c>
      <c r="ED325" t="s">
        <v>1321</v>
      </c>
      <c r="EF325" t="s">
        <v>1321</v>
      </c>
      <c r="EG325" t="s">
        <v>1321</v>
      </c>
      <c r="EJ325" t="s">
        <v>1321</v>
      </c>
      <c r="EK325" t="s">
        <v>1321</v>
      </c>
      <c r="EL325" t="s">
        <v>1321</v>
      </c>
      <c r="EM325" t="s">
        <v>1321</v>
      </c>
      <c r="EN325" t="s">
        <v>1321</v>
      </c>
      <c r="EO325">
        <v>2</v>
      </c>
      <c r="EP325">
        <v>2</v>
      </c>
      <c r="EQ325" t="s">
        <v>1321</v>
      </c>
      <c r="ES325" t="s">
        <v>1321</v>
      </c>
      <c r="ET325" t="s">
        <v>1321</v>
      </c>
      <c r="EU325" t="s">
        <v>1321</v>
      </c>
      <c r="EV325" t="s">
        <v>1321</v>
      </c>
      <c r="EZ325" t="s">
        <v>4569</v>
      </c>
      <c r="FA325" t="s">
        <v>4569</v>
      </c>
      <c r="FB325" t="s">
        <v>1321</v>
      </c>
      <c r="FC325" t="s">
        <v>1321</v>
      </c>
      <c r="FG325" t="s">
        <v>1321</v>
      </c>
      <c r="FH325" t="s">
        <v>1321</v>
      </c>
      <c r="FI325" t="s">
        <v>1321</v>
      </c>
      <c r="FJ325" t="s">
        <v>1321</v>
      </c>
      <c r="FK325" t="s">
        <v>1321</v>
      </c>
      <c r="FM325" t="s">
        <v>4569</v>
      </c>
      <c r="FN325" t="s">
        <v>1321</v>
      </c>
      <c r="FP325" t="s">
        <v>1321</v>
      </c>
      <c r="FQ325" t="s">
        <v>1321</v>
      </c>
      <c r="FR325" t="s">
        <v>1321</v>
      </c>
      <c r="FS325" t="s">
        <v>1321</v>
      </c>
      <c r="FX325" t="s">
        <v>1321</v>
      </c>
      <c r="FY325">
        <v>4</v>
      </c>
      <c r="FZ325" t="s">
        <v>1321</v>
      </c>
      <c r="GA325" t="s">
        <v>1321</v>
      </c>
      <c r="GB325">
        <v>3</v>
      </c>
      <c r="GC325" t="s">
        <v>2516</v>
      </c>
      <c r="GD325" t="s">
        <v>1321</v>
      </c>
      <c r="IL325">
        <f t="shared" ref="IL325:IL394" si="9">ROW()-$IL$323</f>
        <v>2</v>
      </c>
    </row>
    <row r="326" spans="1:246" outlineLevel="1" x14ac:dyDescent="0.2">
      <c r="A326" t="str">
        <f t="shared" si="8"/>
        <v>Adamantium Erzstruktur</v>
      </c>
      <c r="M326">
        <v>2</v>
      </c>
      <c r="BI326" t="s">
        <v>1321</v>
      </c>
      <c r="BJ326" t="s">
        <v>1321</v>
      </c>
      <c r="CW326" t="s">
        <v>1321</v>
      </c>
      <c r="CX326" t="s">
        <v>1321</v>
      </c>
      <c r="CY326" t="s">
        <v>1321</v>
      </c>
      <c r="CZ326">
        <v>2</v>
      </c>
      <c r="DA326" t="s">
        <v>1321</v>
      </c>
      <c r="DB326" t="s">
        <v>1321</v>
      </c>
      <c r="DF326" t="s">
        <v>1321</v>
      </c>
      <c r="DG326" t="s">
        <v>1321</v>
      </c>
      <c r="DH326" t="s">
        <v>1321</v>
      </c>
      <c r="DI326" t="s">
        <v>1321</v>
      </c>
      <c r="DJ326" t="s">
        <v>2514</v>
      </c>
      <c r="DK326" t="s">
        <v>1321</v>
      </c>
      <c r="DL326" t="s">
        <v>1321</v>
      </c>
      <c r="DM326" t="s">
        <v>1321</v>
      </c>
      <c r="DN326" t="s">
        <v>1321</v>
      </c>
      <c r="DO326" t="s">
        <v>1321</v>
      </c>
      <c r="DP326" t="s">
        <v>1321</v>
      </c>
      <c r="DQ326" t="s">
        <v>2515</v>
      </c>
      <c r="DR326">
        <v>2</v>
      </c>
      <c r="DS326" t="s">
        <v>1321</v>
      </c>
      <c r="DT326" t="s">
        <v>1321</v>
      </c>
      <c r="DU326" t="s">
        <v>1321</v>
      </c>
      <c r="DV326">
        <v>4</v>
      </c>
      <c r="DW326">
        <v>4</v>
      </c>
      <c r="DY326" t="s">
        <v>1321</v>
      </c>
      <c r="DZ326" t="s">
        <v>1321</v>
      </c>
      <c r="EA326" t="s">
        <v>1321</v>
      </c>
      <c r="EB326" t="s">
        <v>1321</v>
      </c>
      <c r="EC326" t="s">
        <v>2515</v>
      </c>
      <c r="ED326">
        <v>4</v>
      </c>
      <c r="EE326" t="s">
        <v>1321</v>
      </c>
      <c r="EF326" t="s">
        <v>1321</v>
      </c>
      <c r="EG326">
        <v>3</v>
      </c>
      <c r="EH326" t="s">
        <v>1321</v>
      </c>
      <c r="EI326" t="s">
        <v>1321</v>
      </c>
      <c r="EJ326" t="s">
        <v>1321</v>
      </c>
      <c r="EK326" t="s">
        <v>1321</v>
      </c>
      <c r="EL326" t="s">
        <v>1321</v>
      </c>
      <c r="EM326" t="s">
        <v>1321</v>
      </c>
      <c r="EN326">
        <v>2</v>
      </c>
      <c r="EO326" t="s">
        <v>1321</v>
      </c>
      <c r="EP326" t="s">
        <v>1321</v>
      </c>
      <c r="EQ326" t="s">
        <v>1321</v>
      </c>
      <c r="ER326" t="s">
        <v>1321</v>
      </c>
      <c r="ES326" t="s">
        <v>1321</v>
      </c>
      <c r="ET326" t="s">
        <v>1321</v>
      </c>
      <c r="EU326" t="s">
        <v>1321</v>
      </c>
      <c r="EW326" t="s">
        <v>1321</v>
      </c>
      <c r="EY326" t="s">
        <v>1321</v>
      </c>
      <c r="EZ326" t="s">
        <v>1321</v>
      </c>
      <c r="FA326" t="s">
        <v>1321</v>
      </c>
      <c r="FB326" t="s">
        <v>1321</v>
      </c>
      <c r="FC326" t="s">
        <v>1321</v>
      </c>
      <c r="FD326" t="s">
        <v>1321</v>
      </c>
      <c r="FE326" t="s">
        <v>1321</v>
      </c>
      <c r="FF326" t="s">
        <v>1321</v>
      </c>
      <c r="FG326" t="s">
        <v>1321</v>
      </c>
      <c r="FH326" t="s">
        <v>1321</v>
      </c>
      <c r="FI326" t="s">
        <v>1321</v>
      </c>
      <c r="FJ326" t="s">
        <v>1321</v>
      </c>
      <c r="FK326" t="s">
        <v>1321</v>
      </c>
      <c r="FL326" t="s">
        <v>1321</v>
      </c>
      <c r="FM326" t="s">
        <v>2515</v>
      </c>
      <c r="FN326" t="s">
        <v>1321</v>
      </c>
      <c r="FO326" t="s">
        <v>1321</v>
      </c>
      <c r="FP326" t="s">
        <v>2516</v>
      </c>
      <c r="FQ326" t="s">
        <v>1321</v>
      </c>
      <c r="FR326" t="s">
        <v>1321</v>
      </c>
      <c r="FS326" t="s">
        <v>1321</v>
      </c>
      <c r="FT326" t="s">
        <v>1321</v>
      </c>
      <c r="FV326">
        <v>3</v>
      </c>
      <c r="IL326">
        <f t="shared" si="9"/>
        <v>3</v>
      </c>
    </row>
    <row r="327" spans="1:246" outlineLevel="1" x14ac:dyDescent="0.2">
      <c r="A327" t="str">
        <f t="shared" si="8"/>
        <v>Adlerauge Luchsenohr</v>
      </c>
      <c r="P327" t="s">
        <v>1321</v>
      </c>
      <c r="Q327" t="s">
        <v>1321</v>
      </c>
      <c r="R327" t="s">
        <v>1321</v>
      </c>
      <c r="S327" t="s">
        <v>1321</v>
      </c>
      <c r="T327" t="s">
        <v>1321</v>
      </c>
      <c r="U327" t="s">
        <v>1321</v>
      </c>
      <c r="V327" t="s">
        <v>1321</v>
      </c>
      <c r="W327" t="s">
        <v>1321</v>
      </c>
      <c r="X327" t="s">
        <v>1321</v>
      </c>
      <c r="Y327" t="s">
        <v>1321</v>
      </c>
      <c r="Z327" t="s">
        <v>1321</v>
      </c>
      <c r="AA327" t="s">
        <v>1321</v>
      </c>
      <c r="AB327" t="s">
        <v>1321</v>
      </c>
      <c r="AC327" t="s">
        <v>1321</v>
      </c>
      <c r="AD327" t="s">
        <v>1321</v>
      </c>
      <c r="AE327" t="s">
        <v>1321</v>
      </c>
      <c r="AF327" t="s">
        <v>1321</v>
      </c>
      <c r="AG327" t="s">
        <v>1321</v>
      </c>
      <c r="AH327" t="s">
        <v>1321</v>
      </c>
      <c r="AI327" t="s">
        <v>1321</v>
      </c>
      <c r="AJ327" t="s">
        <v>1321</v>
      </c>
      <c r="AK327" t="s">
        <v>1321</v>
      </c>
      <c r="AL327" t="s">
        <v>1321</v>
      </c>
      <c r="AM327" t="s">
        <v>1321</v>
      </c>
      <c r="AN327" t="s">
        <v>1321</v>
      </c>
      <c r="AO327" t="s">
        <v>1321</v>
      </c>
      <c r="AP327" t="s">
        <v>1321</v>
      </c>
      <c r="AQ327" t="s">
        <v>1321</v>
      </c>
      <c r="AR327" t="s">
        <v>1321</v>
      </c>
      <c r="AS327" t="s">
        <v>1321</v>
      </c>
      <c r="BC327">
        <v>3</v>
      </c>
      <c r="BD327" t="s">
        <v>1321</v>
      </c>
      <c r="BE327" t="s">
        <v>1321</v>
      </c>
      <c r="CB327" t="s">
        <v>1321</v>
      </c>
      <c r="CE327" t="s">
        <v>1321</v>
      </c>
      <c r="CF327" t="s">
        <v>1321</v>
      </c>
      <c r="CG327" t="s">
        <v>1321</v>
      </c>
      <c r="CH327" t="s">
        <v>1321</v>
      </c>
      <c r="CI327" t="s">
        <v>1321</v>
      </c>
      <c r="CJ327" t="s">
        <v>1321</v>
      </c>
      <c r="CK327" t="s">
        <v>1321</v>
      </c>
      <c r="CL327" t="s">
        <v>1321</v>
      </c>
      <c r="CZ327" t="s">
        <v>2516</v>
      </c>
      <c r="DA327" t="s">
        <v>1321</v>
      </c>
      <c r="DD327" t="s">
        <v>1321</v>
      </c>
      <c r="DE327" t="s">
        <v>1321</v>
      </c>
      <c r="DR327" t="s">
        <v>2516</v>
      </c>
      <c r="DT327" t="s">
        <v>1321</v>
      </c>
      <c r="DW327">
        <v>4</v>
      </c>
      <c r="DX327" t="s">
        <v>1321</v>
      </c>
      <c r="DY327">
        <v>2</v>
      </c>
      <c r="EA327">
        <v>3</v>
      </c>
      <c r="EB327" t="s">
        <v>2515</v>
      </c>
      <c r="EE327" t="s">
        <v>1321</v>
      </c>
      <c r="EF327" t="s">
        <v>1321</v>
      </c>
      <c r="EH327">
        <v>3</v>
      </c>
      <c r="EI327">
        <v>3</v>
      </c>
      <c r="EK327" t="s">
        <v>1321</v>
      </c>
      <c r="EL327">
        <v>2</v>
      </c>
      <c r="EO327">
        <v>4</v>
      </c>
      <c r="EQ327">
        <v>3</v>
      </c>
      <c r="ER327">
        <v>3</v>
      </c>
      <c r="ES327" t="s">
        <v>2516</v>
      </c>
      <c r="EZ327" t="s">
        <v>1321</v>
      </c>
      <c r="FA327" t="s">
        <v>1321</v>
      </c>
      <c r="FF327">
        <v>2</v>
      </c>
      <c r="FG327">
        <v>3</v>
      </c>
      <c r="FH327">
        <v>3</v>
      </c>
      <c r="FI327">
        <v>3</v>
      </c>
      <c r="FJ327">
        <v>3</v>
      </c>
      <c r="FM327" t="s">
        <v>4569</v>
      </c>
      <c r="FP327" t="s">
        <v>4569</v>
      </c>
      <c r="FQ327" t="s">
        <v>4569</v>
      </c>
      <c r="FR327" t="s">
        <v>4569</v>
      </c>
      <c r="FS327" t="s">
        <v>4569</v>
      </c>
      <c r="FT327" t="s">
        <v>1321</v>
      </c>
      <c r="HB327" t="s">
        <v>1321</v>
      </c>
      <c r="HD327" t="s">
        <v>1321</v>
      </c>
      <c r="HF327" t="s">
        <v>1321</v>
      </c>
      <c r="HH327" t="s">
        <v>1321</v>
      </c>
      <c r="HJ327" t="s">
        <v>1321</v>
      </c>
      <c r="HL327" t="s">
        <v>1321</v>
      </c>
      <c r="HN327" t="s">
        <v>1321</v>
      </c>
      <c r="HP327" t="s">
        <v>1321</v>
      </c>
      <c r="HQ327" t="s">
        <v>1321</v>
      </c>
      <c r="HS327" t="s">
        <v>1321</v>
      </c>
      <c r="HU327" t="s">
        <v>1321</v>
      </c>
      <c r="HW327" t="s">
        <v>1321</v>
      </c>
      <c r="HY327" t="s">
        <v>1321</v>
      </c>
      <c r="IA327" t="s">
        <v>1321</v>
      </c>
      <c r="IC327" t="s">
        <v>1321</v>
      </c>
      <c r="ID327" t="s">
        <v>1321</v>
      </c>
      <c r="IG327" t="s">
        <v>1321</v>
      </c>
      <c r="II327" t="s">
        <v>1321</v>
      </c>
      <c r="IL327">
        <f t="shared" si="9"/>
        <v>4</v>
      </c>
    </row>
    <row r="328" spans="1:246" outlineLevel="1" x14ac:dyDescent="0.2">
      <c r="A328" t="str">
        <f t="shared" si="8"/>
        <v>Adlerschwinge (V1: Text1 eingeben)</v>
      </c>
      <c r="P328" t="s">
        <v>1321</v>
      </c>
      <c r="Q328" t="s">
        <v>1321</v>
      </c>
      <c r="R328" t="s">
        <v>1321</v>
      </c>
      <c r="S328" t="s">
        <v>1321</v>
      </c>
      <c r="T328" t="s">
        <v>1321</v>
      </c>
      <c r="U328" t="s">
        <v>1321</v>
      </c>
      <c r="V328" t="s">
        <v>1321</v>
      </c>
      <c r="W328" t="s">
        <v>1321</v>
      </c>
      <c r="X328" t="s">
        <v>1321</v>
      </c>
      <c r="Y328" t="s">
        <v>1321</v>
      </c>
      <c r="Z328" t="s">
        <v>1321</v>
      </c>
      <c r="AA328" t="s">
        <v>1321</v>
      </c>
      <c r="AB328" t="s">
        <v>1321</v>
      </c>
      <c r="AC328" t="s">
        <v>1321</v>
      </c>
      <c r="AD328" t="s">
        <v>1321</v>
      </c>
      <c r="AE328" t="s">
        <v>1321</v>
      </c>
      <c r="AF328" t="s">
        <v>1321</v>
      </c>
      <c r="AG328" t="s">
        <v>1321</v>
      </c>
      <c r="AH328" t="s">
        <v>1321</v>
      </c>
      <c r="AI328" t="s">
        <v>1321</v>
      </c>
      <c r="AJ328" t="s">
        <v>1321</v>
      </c>
      <c r="AK328" t="s">
        <v>1321</v>
      </c>
      <c r="AL328" t="s">
        <v>1321</v>
      </c>
      <c r="AM328" t="s">
        <v>1321</v>
      </c>
      <c r="AN328" t="s">
        <v>1321</v>
      </c>
      <c r="AO328" t="s">
        <v>1321</v>
      </c>
      <c r="AP328" t="s">
        <v>1321</v>
      </c>
      <c r="AQ328" t="s">
        <v>1321</v>
      </c>
      <c r="AR328" t="s">
        <v>1321</v>
      </c>
      <c r="AS328" t="s">
        <v>1321</v>
      </c>
      <c r="DT328" t="s">
        <v>1321</v>
      </c>
      <c r="DY328" t="s">
        <v>2516</v>
      </c>
      <c r="EA328" t="s">
        <v>2515</v>
      </c>
      <c r="EK328" t="s">
        <v>1321</v>
      </c>
      <c r="EL328" t="s">
        <v>1321</v>
      </c>
      <c r="ER328" t="s">
        <v>2516</v>
      </c>
      <c r="EV328" t="s">
        <v>2515</v>
      </c>
      <c r="EZ328" t="s">
        <v>4569</v>
      </c>
      <c r="FA328" t="s">
        <v>4569</v>
      </c>
      <c r="FG328">
        <v>6</v>
      </c>
      <c r="FH328">
        <v>4</v>
      </c>
      <c r="FI328">
        <v>7</v>
      </c>
      <c r="FJ328">
        <v>4</v>
      </c>
      <c r="FL328" t="s">
        <v>2516</v>
      </c>
      <c r="FM328" t="s">
        <v>4569</v>
      </c>
      <c r="FP328" t="s">
        <v>4569</v>
      </c>
      <c r="FQ328" t="s">
        <v>4569</v>
      </c>
      <c r="FR328" t="s">
        <v>4569</v>
      </c>
      <c r="FS328" t="s">
        <v>4569</v>
      </c>
      <c r="FT328" t="s">
        <v>1321</v>
      </c>
      <c r="IL328">
        <f t="shared" si="9"/>
        <v>5</v>
      </c>
    </row>
    <row r="329" spans="1:246" outlineLevel="1" x14ac:dyDescent="0.2">
      <c r="A329" t="str">
        <f t="shared" si="8"/>
        <v>Adlerschwinge (V2: Text2 eingeben)</v>
      </c>
      <c r="P329" t="s">
        <v>1321</v>
      </c>
      <c r="Q329" t="s">
        <v>1321</v>
      </c>
      <c r="R329" t="s">
        <v>1321</v>
      </c>
      <c r="S329" t="s">
        <v>1321</v>
      </c>
      <c r="T329" t="s">
        <v>1321</v>
      </c>
      <c r="U329" t="s">
        <v>1321</v>
      </c>
      <c r="V329" t="s">
        <v>1321</v>
      </c>
      <c r="W329" t="s">
        <v>1321</v>
      </c>
      <c r="X329" t="s">
        <v>1321</v>
      </c>
      <c r="Y329" t="s">
        <v>1321</v>
      </c>
      <c r="Z329" t="s">
        <v>1321</v>
      </c>
      <c r="AA329" t="s">
        <v>1321</v>
      </c>
      <c r="AB329" t="s">
        <v>1321</v>
      </c>
      <c r="AC329" t="s">
        <v>1321</v>
      </c>
      <c r="AD329" t="s">
        <v>1321</v>
      </c>
      <c r="AE329" t="s">
        <v>1321</v>
      </c>
      <c r="AF329" t="s">
        <v>1321</v>
      </c>
      <c r="AG329" t="s">
        <v>1321</v>
      </c>
      <c r="AH329" t="s">
        <v>1321</v>
      </c>
      <c r="AI329" t="s">
        <v>1321</v>
      </c>
      <c r="AJ329" t="s">
        <v>1321</v>
      </c>
      <c r="AK329" t="s">
        <v>1321</v>
      </c>
      <c r="AL329" t="s">
        <v>1321</v>
      </c>
      <c r="AM329" t="s">
        <v>1321</v>
      </c>
      <c r="AN329" t="s">
        <v>1321</v>
      </c>
      <c r="AO329" t="s">
        <v>1321</v>
      </c>
      <c r="AP329" t="s">
        <v>1321</v>
      </c>
      <c r="AQ329" t="s">
        <v>1321</v>
      </c>
      <c r="AR329" t="s">
        <v>1321</v>
      </c>
      <c r="AS329" t="s">
        <v>1321</v>
      </c>
      <c r="DT329" t="s">
        <v>1321</v>
      </c>
      <c r="DY329" t="s">
        <v>1321</v>
      </c>
      <c r="EA329" t="s">
        <v>1321</v>
      </c>
      <c r="EK329" t="s">
        <v>1321</v>
      </c>
      <c r="EL329" t="s">
        <v>1321</v>
      </c>
      <c r="ER329" t="s">
        <v>1321</v>
      </c>
      <c r="EV329">
        <v>3</v>
      </c>
      <c r="EZ329" t="s">
        <v>4569</v>
      </c>
      <c r="FA329" t="s">
        <v>4569</v>
      </c>
      <c r="FM329" t="s">
        <v>4569</v>
      </c>
      <c r="FP329" t="s">
        <v>4569</v>
      </c>
      <c r="FQ329" t="s">
        <v>4569</v>
      </c>
      <c r="FR329" t="s">
        <v>4569</v>
      </c>
      <c r="FS329" t="s">
        <v>4569</v>
      </c>
      <c r="FT329" t="s">
        <v>1321</v>
      </c>
      <c r="IL329">
        <f t="shared" si="9"/>
        <v>6</v>
      </c>
    </row>
    <row r="330" spans="1:246" outlineLevel="1" x14ac:dyDescent="0.2">
      <c r="A330" t="str">
        <f t="shared" si="8"/>
        <v>Adlerschwinge (V3: Text3 eingeben)</v>
      </c>
      <c r="P330" t="s">
        <v>1321</v>
      </c>
      <c r="Q330" t="s">
        <v>1321</v>
      </c>
      <c r="R330" t="s">
        <v>1321</v>
      </c>
      <c r="S330" t="s">
        <v>1321</v>
      </c>
      <c r="T330" t="s">
        <v>1321</v>
      </c>
      <c r="U330" t="s">
        <v>1321</v>
      </c>
      <c r="V330" t="s">
        <v>1321</v>
      </c>
      <c r="W330" t="s">
        <v>1321</v>
      </c>
      <c r="X330" t="s">
        <v>1321</v>
      </c>
      <c r="Y330" t="s">
        <v>1321</v>
      </c>
      <c r="Z330" t="s">
        <v>1321</v>
      </c>
      <c r="AA330" t="s">
        <v>1321</v>
      </c>
      <c r="AB330" t="s">
        <v>1321</v>
      </c>
      <c r="AC330" t="s">
        <v>1321</v>
      </c>
      <c r="AD330" t="s">
        <v>1321</v>
      </c>
      <c r="AE330" t="s">
        <v>1321</v>
      </c>
      <c r="AF330" t="s">
        <v>1321</v>
      </c>
      <c r="AG330" t="s">
        <v>1321</v>
      </c>
      <c r="AH330" t="s">
        <v>1321</v>
      </c>
      <c r="AI330" t="s">
        <v>1321</v>
      </c>
      <c r="AJ330" t="s">
        <v>1321</v>
      </c>
      <c r="AK330" t="s">
        <v>1321</v>
      </c>
      <c r="AL330" t="s">
        <v>1321</v>
      </c>
      <c r="AM330" t="s">
        <v>1321</v>
      </c>
      <c r="AN330" t="s">
        <v>1321</v>
      </c>
      <c r="AO330" t="s">
        <v>1321</v>
      </c>
      <c r="AP330" t="s">
        <v>1321</v>
      </c>
      <c r="AQ330" t="s">
        <v>1321</v>
      </c>
      <c r="AR330" t="s">
        <v>1321</v>
      </c>
      <c r="AS330" t="s">
        <v>1321</v>
      </c>
      <c r="DT330" t="s">
        <v>1321</v>
      </c>
      <c r="DY330" t="s">
        <v>1321</v>
      </c>
      <c r="EA330" t="s">
        <v>1321</v>
      </c>
      <c r="EK330" t="s">
        <v>1321</v>
      </c>
      <c r="EL330" t="s">
        <v>1321</v>
      </c>
      <c r="ER330" t="s">
        <v>1321</v>
      </c>
      <c r="EV330">
        <v>3</v>
      </c>
      <c r="EZ330" t="s">
        <v>4569</v>
      </c>
      <c r="FA330" t="s">
        <v>4569</v>
      </c>
      <c r="FM330" t="s">
        <v>4569</v>
      </c>
      <c r="FP330" t="s">
        <v>4569</v>
      </c>
      <c r="FQ330" t="s">
        <v>4569</v>
      </c>
      <c r="FR330" t="s">
        <v>4569</v>
      </c>
      <c r="FS330" t="s">
        <v>4569</v>
      </c>
      <c r="FT330" t="s">
        <v>1321</v>
      </c>
      <c r="IL330">
        <f t="shared" si="9"/>
        <v>7</v>
      </c>
    </row>
    <row r="331" spans="1:246" outlineLevel="1" x14ac:dyDescent="0.2">
      <c r="A331" t="str">
        <f t="shared" si="8"/>
        <v>Aeolitus Windgebraus</v>
      </c>
      <c r="C331" t="s">
        <v>1321</v>
      </c>
      <c r="D331" t="s">
        <v>1321</v>
      </c>
      <c r="E331" t="s">
        <v>1321</v>
      </c>
      <c r="F331" t="s">
        <v>1321</v>
      </c>
      <c r="G331" t="s">
        <v>1321</v>
      </c>
      <c r="H331" t="s">
        <v>1321</v>
      </c>
      <c r="I331" t="s">
        <v>1321</v>
      </c>
      <c r="J331" t="s">
        <v>1321</v>
      </c>
      <c r="K331" t="s">
        <v>1321</v>
      </c>
      <c r="L331" t="s">
        <v>1321</v>
      </c>
      <c r="M331" t="s">
        <v>1321</v>
      </c>
      <c r="N331" t="s">
        <v>1321</v>
      </c>
      <c r="P331" t="s">
        <v>1321</v>
      </c>
      <c r="Q331" t="s">
        <v>1321</v>
      </c>
      <c r="R331" t="s">
        <v>1321</v>
      </c>
      <c r="S331" t="s">
        <v>1321</v>
      </c>
      <c r="T331" t="s">
        <v>1321</v>
      </c>
      <c r="U331" t="s">
        <v>1321</v>
      </c>
      <c r="V331" t="s">
        <v>1321</v>
      </c>
      <c r="W331" t="s">
        <v>1321</v>
      </c>
      <c r="X331" t="s">
        <v>1321</v>
      </c>
      <c r="Y331" t="s">
        <v>1321</v>
      </c>
      <c r="Z331" t="s">
        <v>1321</v>
      </c>
      <c r="AA331" t="s">
        <v>1321</v>
      </c>
      <c r="AB331" t="s">
        <v>1321</v>
      </c>
      <c r="AC331" t="s">
        <v>1321</v>
      </c>
      <c r="AD331" t="s">
        <v>1321</v>
      </c>
      <c r="AE331" t="s">
        <v>1321</v>
      </c>
      <c r="AF331" t="s">
        <v>1321</v>
      </c>
      <c r="AG331" t="s">
        <v>1321</v>
      </c>
      <c r="AH331" t="s">
        <v>1321</v>
      </c>
      <c r="AI331" t="s">
        <v>1321</v>
      </c>
      <c r="AJ331" t="s">
        <v>1321</v>
      </c>
      <c r="AK331" t="s">
        <v>1321</v>
      </c>
      <c r="AL331" t="s">
        <v>1321</v>
      </c>
      <c r="AM331" t="s">
        <v>1321</v>
      </c>
      <c r="AN331" t="s">
        <v>1321</v>
      </c>
      <c r="AO331" t="s">
        <v>1321</v>
      </c>
      <c r="AP331" t="s">
        <v>1321</v>
      </c>
      <c r="AQ331" t="s">
        <v>1321</v>
      </c>
      <c r="AR331" t="s">
        <v>1321</v>
      </c>
      <c r="AS331" t="s">
        <v>1321</v>
      </c>
      <c r="AU331" t="s">
        <v>1321</v>
      </c>
      <c r="AV331" t="s">
        <v>1321</v>
      </c>
      <c r="AW331" t="s">
        <v>1321</v>
      </c>
      <c r="AX331" t="s">
        <v>1321</v>
      </c>
      <c r="BI331" t="s">
        <v>1321</v>
      </c>
      <c r="BJ331">
        <v>4</v>
      </c>
      <c r="CU331" t="s">
        <v>577</v>
      </c>
      <c r="CW331" t="s">
        <v>1321</v>
      </c>
      <c r="CX331" t="s">
        <v>1321</v>
      </c>
      <c r="CY331" t="s">
        <v>1321</v>
      </c>
      <c r="CZ331" t="s">
        <v>1321</v>
      </c>
      <c r="DA331" t="s">
        <v>1321</v>
      </c>
      <c r="DB331" t="s">
        <v>1321</v>
      </c>
      <c r="DD331" t="s">
        <v>1321</v>
      </c>
      <c r="DE331" t="s">
        <v>1321</v>
      </c>
      <c r="DF331" t="s">
        <v>1321</v>
      </c>
      <c r="DG331" t="s">
        <v>1321</v>
      </c>
      <c r="DH331" t="s">
        <v>1321</v>
      </c>
      <c r="DI331" t="s">
        <v>2514</v>
      </c>
      <c r="DJ331" t="s">
        <v>1321</v>
      </c>
      <c r="DK331" t="s">
        <v>1321</v>
      </c>
      <c r="DL331" t="s">
        <v>1321</v>
      </c>
      <c r="DM331" t="s">
        <v>1321</v>
      </c>
      <c r="DN331" t="s">
        <v>1321</v>
      </c>
      <c r="DO331" t="s">
        <v>1321</v>
      </c>
      <c r="DP331" t="s">
        <v>1321</v>
      </c>
      <c r="DQ331" t="s">
        <v>2514</v>
      </c>
      <c r="DR331" t="s">
        <v>1321</v>
      </c>
      <c r="DS331" t="s">
        <v>1321</v>
      </c>
      <c r="DT331" t="s">
        <v>1321</v>
      </c>
      <c r="DU331">
        <v>4</v>
      </c>
      <c r="DV331" t="s">
        <v>1321</v>
      </c>
      <c r="DW331" t="s">
        <v>1321</v>
      </c>
      <c r="DY331" t="s">
        <v>1321</v>
      </c>
      <c r="DZ331" t="s">
        <v>1321</v>
      </c>
      <c r="EA331" t="s">
        <v>1321</v>
      </c>
      <c r="EB331" t="s">
        <v>1321</v>
      </c>
      <c r="EC331">
        <v>4</v>
      </c>
      <c r="ED331" t="s">
        <v>1321</v>
      </c>
      <c r="EE331" t="s">
        <v>1321</v>
      </c>
      <c r="EF331" t="s">
        <v>1321</v>
      </c>
      <c r="EG331" t="s">
        <v>1321</v>
      </c>
      <c r="EH331">
        <v>3</v>
      </c>
      <c r="EI331">
        <v>3</v>
      </c>
      <c r="EJ331" t="s">
        <v>1321</v>
      </c>
      <c r="EK331" t="s">
        <v>1321</v>
      </c>
      <c r="EL331" t="s">
        <v>1321</v>
      </c>
      <c r="EM331" t="s">
        <v>1321</v>
      </c>
      <c r="EN331">
        <v>2</v>
      </c>
      <c r="EO331" t="s">
        <v>1321</v>
      </c>
      <c r="EP331" t="s">
        <v>1321</v>
      </c>
      <c r="EQ331" t="s">
        <v>1321</v>
      </c>
      <c r="ER331" t="s">
        <v>1321</v>
      </c>
      <c r="ES331" t="s">
        <v>1321</v>
      </c>
      <c r="ET331" t="s">
        <v>1321</v>
      </c>
      <c r="EU331" t="s">
        <v>1321</v>
      </c>
      <c r="EV331" t="s">
        <v>1321</v>
      </c>
      <c r="EW331" t="s">
        <v>1321</v>
      </c>
      <c r="EY331" t="s">
        <v>1321</v>
      </c>
      <c r="EZ331" t="s">
        <v>1321</v>
      </c>
      <c r="FA331" t="s">
        <v>1321</v>
      </c>
      <c r="FB331" t="s">
        <v>1321</v>
      </c>
      <c r="FC331" t="s">
        <v>1321</v>
      </c>
      <c r="FD331" t="s">
        <v>1321</v>
      </c>
      <c r="FE331" t="s">
        <v>1321</v>
      </c>
      <c r="FF331" t="s">
        <v>2516</v>
      </c>
      <c r="FG331" t="s">
        <v>1321</v>
      </c>
      <c r="FH331" t="s">
        <v>1321</v>
      </c>
      <c r="FI331" t="s">
        <v>1321</v>
      </c>
      <c r="FJ331" t="s">
        <v>1321</v>
      </c>
      <c r="FK331" t="s">
        <v>1321</v>
      </c>
      <c r="FL331" t="s">
        <v>1321</v>
      </c>
      <c r="FM331" t="s">
        <v>1321</v>
      </c>
      <c r="FN331" t="s">
        <v>1321</v>
      </c>
      <c r="FO331" t="s">
        <v>1321</v>
      </c>
      <c r="FP331" t="s">
        <v>1321</v>
      </c>
      <c r="FQ331" t="s">
        <v>1321</v>
      </c>
      <c r="FR331" t="s">
        <v>1321</v>
      </c>
      <c r="FS331" t="s">
        <v>2515</v>
      </c>
      <c r="FT331" t="s">
        <v>1321</v>
      </c>
      <c r="FV331" t="s">
        <v>1321</v>
      </c>
      <c r="GA331">
        <v>4</v>
      </c>
      <c r="GG331" t="s">
        <v>1321</v>
      </c>
      <c r="IL331">
        <f t="shared" si="9"/>
        <v>8</v>
      </c>
    </row>
    <row r="332" spans="1:246" outlineLevel="1" x14ac:dyDescent="0.2">
      <c r="A332" t="str">
        <f t="shared" si="8"/>
        <v>Aerofugo Vakuum</v>
      </c>
      <c r="DF332" t="s">
        <v>1321</v>
      </c>
      <c r="DG332" t="s">
        <v>1321</v>
      </c>
      <c r="DH332" t="s">
        <v>1321</v>
      </c>
      <c r="DI332">
        <v>2</v>
      </c>
      <c r="DJ332" t="s">
        <v>1321</v>
      </c>
      <c r="DK332" t="s">
        <v>1321</v>
      </c>
      <c r="EZ332" t="s">
        <v>4569</v>
      </c>
      <c r="FA332" t="s">
        <v>4569</v>
      </c>
      <c r="FM332" t="s">
        <v>4569</v>
      </c>
      <c r="FP332" t="s">
        <v>4569</v>
      </c>
      <c r="FQ332" t="s">
        <v>4569</v>
      </c>
      <c r="FR332" t="s">
        <v>4569</v>
      </c>
      <c r="FS332" t="s">
        <v>2515</v>
      </c>
      <c r="IL332">
        <f t="shared" si="9"/>
        <v>9</v>
      </c>
    </row>
    <row r="333" spans="1:246" outlineLevel="1" x14ac:dyDescent="0.2">
      <c r="A333" t="str">
        <f t="shared" si="8"/>
        <v>Aerogelo Atemqual</v>
      </c>
      <c r="DF333" t="s">
        <v>1321</v>
      </c>
      <c r="DG333" t="s">
        <v>1321</v>
      </c>
      <c r="DH333" t="s">
        <v>1321</v>
      </c>
      <c r="DI333">
        <v>1</v>
      </c>
      <c r="DJ333" t="s">
        <v>1321</v>
      </c>
      <c r="DK333" t="s">
        <v>1321</v>
      </c>
      <c r="DV333" t="s">
        <v>1321</v>
      </c>
      <c r="DW333" t="s">
        <v>1321</v>
      </c>
      <c r="EZ333" t="s">
        <v>4569</v>
      </c>
      <c r="FA333" t="s">
        <v>4569</v>
      </c>
      <c r="FM333" t="s">
        <v>4569</v>
      </c>
      <c r="FP333" t="s">
        <v>4569</v>
      </c>
      <c r="FQ333" t="s">
        <v>4569</v>
      </c>
      <c r="FR333" t="s">
        <v>4569</v>
      </c>
      <c r="FS333">
        <v>2</v>
      </c>
      <c r="IL333">
        <f t="shared" si="9"/>
        <v>10</v>
      </c>
    </row>
    <row r="334" spans="1:246" outlineLevel="1" x14ac:dyDescent="0.2">
      <c r="A334" t="str">
        <f t="shared" si="8"/>
        <v>Aeropulvis sanfter Fall</v>
      </c>
      <c r="IL334">
        <f t="shared" si="9"/>
        <v>11</v>
      </c>
    </row>
    <row r="335" spans="1:246" outlineLevel="1" x14ac:dyDescent="0.2">
      <c r="A335" t="str">
        <f t="shared" si="8"/>
        <v>Agrimothbann</v>
      </c>
      <c r="EZ335" t="s">
        <v>4569</v>
      </c>
      <c r="FA335" t="s">
        <v>4569</v>
      </c>
      <c r="FM335" t="s">
        <v>4569</v>
      </c>
      <c r="FP335" t="s">
        <v>4569</v>
      </c>
      <c r="FQ335" t="s">
        <v>4569</v>
      </c>
      <c r="FR335" t="s">
        <v>4569</v>
      </c>
      <c r="FS335" t="s">
        <v>4569</v>
      </c>
      <c r="IL335">
        <f t="shared" si="9"/>
        <v>12</v>
      </c>
    </row>
    <row r="336" spans="1:246" outlineLevel="1" x14ac:dyDescent="0.2">
      <c r="A336" t="str">
        <f t="shared" si="8"/>
        <v>Alpgestalt</v>
      </c>
      <c r="EZ336" t="s">
        <v>4569</v>
      </c>
      <c r="FA336" t="s">
        <v>4569</v>
      </c>
      <c r="FD336" t="s">
        <v>1321</v>
      </c>
      <c r="FM336" t="s">
        <v>4569</v>
      </c>
      <c r="FP336" t="s">
        <v>4569</v>
      </c>
      <c r="FQ336" t="s">
        <v>4569</v>
      </c>
      <c r="FR336" t="s">
        <v>4569</v>
      </c>
      <c r="FS336" t="s">
        <v>4569</v>
      </c>
      <c r="IL336">
        <f t="shared" si="9"/>
        <v>13</v>
      </c>
    </row>
    <row r="337" spans="1:246" outlineLevel="1" x14ac:dyDescent="0.2">
      <c r="A337" t="str">
        <f t="shared" si="8"/>
        <v>Amazerothbann</v>
      </c>
      <c r="EZ337" t="s">
        <v>4569</v>
      </c>
      <c r="FA337" t="s">
        <v>4569</v>
      </c>
      <c r="FM337" t="s">
        <v>4569</v>
      </c>
      <c r="FP337" t="s">
        <v>4569</v>
      </c>
      <c r="FQ337" t="s">
        <v>4569</v>
      </c>
      <c r="FR337" t="s">
        <v>4569</v>
      </c>
      <c r="FS337" t="s">
        <v>4569</v>
      </c>
      <c r="IL337">
        <f t="shared" si="9"/>
        <v>14</v>
      </c>
    </row>
    <row r="338" spans="1:246" outlineLevel="1" x14ac:dyDescent="0.2">
      <c r="A338" t="str">
        <f t="shared" si="8"/>
        <v>Analys Arcanstructur</v>
      </c>
      <c r="BI338" t="s">
        <v>1321</v>
      </c>
      <c r="BJ338">
        <v>4</v>
      </c>
      <c r="CW338" t="s">
        <v>1321</v>
      </c>
      <c r="CX338" t="s">
        <v>1321</v>
      </c>
      <c r="CY338" t="s">
        <v>1321</v>
      </c>
      <c r="CZ338" t="s">
        <v>1321</v>
      </c>
      <c r="DA338">
        <v>2</v>
      </c>
      <c r="DB338" t="s">
        <v>1321</v>
      </c>
      <c r="DC338">
        <v>3</v>
      </c>
      <c r="DD338" t="s">
        <v>1321</v>
      </c>
      <c r="DE338" t="s">
        <v>1321</v>
      </c>
      <c r="DF338">
        <v>3</v>
      </c>
      <c r="DG338">
        <v>3</v>
      </c>
      <c r="DH338">
        <v>3</v>
      </c>
      <c r="DI338">
        <v>3</v>
      </c>
      <c r="DJ338">
        <v>3</v>
      </c>
      <c r="DK338">
        <v>3</v>
      </c>
      <c r="DL338" t="s">
        <v>1321</v>
      </c>
      <c r="DM338">
        <v>4</v>
      </c>
      <c r="DN338">
        <v>2</v>
      </c>
      <c r="DO338">
        <v>2</v>
      </c>
      <c r="DP338" t="s">
        <v>1321</v>
      </c>
      <c r="DQ338">
        <v>3</v>
      </c>
      <c r="DR338" t="s">
        <v>1321</v>
      </c>
      <c r="DS338">
        <v>3</v>
      </c>
      <c r="DT338" t="s">
        <v>1321</v>
      </c>
      <c r="DU338">
        <v>3</v>
      </c>
      <c r="DV338">
        <v>5</v>
      </c>
      <c r="DW338">
        <v>3</v>
      </c>
      <c r="DX338" t="s">
        <v>1321</v>
      </c>
      <c r="DY338" t="s">
        <v>1321</v>
      </c>
      <c r="DZ338">
        <v>3</v>
      </c>
      <c r="EA338" t="s">
        <v>1321</v>
      </c>
      <c r="EB338" t="s">
        <v>2515</v>
      </c>
      <c r="EC338" t="s">
        <v>1321</v>
      </c>
      <c r="ED338" t="s">
        <v>1321</v>
      </c>
      <c r="EE338" t="s">
        <v>1321</v>
      </c>
      <c r="EF338">
        <v>2</v>
      </c>
      <c r="EG338">
        <v>2</v>
      </c>
      <c r="EH338" t="s">
        <v>1321</v>
      </c>
      <c r="EI338" t="s">
        <v>1321</v>
      </c>
      <c r="EJ338">
        <v>3</v>
      </c>
      <c r="EK338" t="s">
        <v>2515</v>
      </c>
      <c r="EL338" t="s">
        <v>2514</v>
      </c>
      <c r="EM338" t="s">
        <v>1321</v>
      </c>
      <c r="EN338" t="s">
        <v>1321</v>
      </c>
      <c r="EO338" t="s">
        <v>2515</v>
      </c>
      <c r="EP338">
        <v>2</v>
      </c>
      <c r="EQ338" t="s">
        <v>2515</v>
      </c>
      <c r="ER338" t="s">
        <v>1321</v>
      </c>
      <c r="ES338" t="s">
        <v>2515</v>
      </c>
      <c r="ET338" t="s">
        <v>1321</v>
      </c>
      <c r="EU338" t="s">
        <v>1321</v>
      </c>
      <c r="EV338" t="s">
        <v>1321</v>
      </c>
      <c r="EW338" t="s">
        <v>1321</v>
      </c>
      <c r="EY338">
        <v>1</v>
      </c>
      <c r="EZ338">
        <v>3</v>
      </c>
      <c r="FA338" t="s">
        <v>1321</v>
      </c>
      <c r="FB338" t="s">
        <v>1321</v>
      </c>
      <c r="FC338" t="s">
        <v>1321</v>
      </c>
      <c r="FD338" t="s">
        <v>1321</v>
      </c>
      <c r="FE338">
        <v>4</v>
      </c>
      <c r="FF338">
        <v>2</v>
      </c>
      <c r="FG338">
        <v>3</v>
      </c>
      <c r="FH338">
        <v>3</v>
      </c>
      <c r="FI338">
        <v>3</v>
      </c>
      <c r="FJ338">
        <v>3</v>
      </c>
      <c r="FK338" t="s">
        <v>1321</v>
      </c>
      <c r="FL338">
        <v>4</v>
      </c>
      <c r="FM338">
        <v>3</v>
      </c>
      <c r="FN338" t="s">
        <v>1321</v>
      </c>
      <c r="FO338" t="s">
        <v>2515</v>
      </c>
      <c r="FP338">
        <v>3</v>
      </c>
      <c r="FQ338">
        <v>3</v>
      </c>
      <c r="FR338">
        <v>3</v>
      </c>
      <c r="FS338">
        <v>3</v>
      </c>
      <c r="FT338" t="s">
        <v>1321</v>
      </c>
      <c r="FU338" t="s">
        <v>2515</v>
      </c>
      <c r="FV338" t="s">
        <v>1321</v>
      </c>
      <c r="HB338" t="s">
        <v>1321</v>
      </c>
      <c r="HD338" t="s">
        <v>1321</v>
      </c>
      <c r="HF338" t="s">
        <v>1321</v>
      </c>
      <c r="HH338" t="s">
        <v>1321</v>
      </c>
      <c r="HJ338" t="s">
        <v>1321</v>
      </c>
      <c r="HL338" t="s">
        <v>1321</v>
      </c>
      <c r="HN338" t="s">
        <v>1321</v>
      </c>
      <c r="HP338" t="s">
        <v>1321</v>
      </c>
      <c r="HQ338" t="s">
        <v>1321</v>
      </c>
      <c r="HS338" t="s">
        <v>1321</v>
      </c>
      <c r="HU338" t="s">
        <v>1321</v>
      </c>
      <c r="HW338" t="s">
        <v>1321</v>
      </c>
      <c r="HY338" t="s">
        <v>1321</v>
      </c>
      <c r="IA338" t="s">
        <v>1321</v>
      </c>
      <c r="IC338" t="s">
        <v>1321</v>
      </c>
      <c r="ID338" t="s">
        <v>1321</v>
      </c>
      <c r="IG338" t="s">
        <v>1321</v>
      </c>
      <c r="II338" t="s">
        <v>1321</v>
      </c>
      <c r="IK338" t="s">
        <v>7191</v>
      </c>
      <c r="IL338">
        <f t="shared" si="9"/>
        <v>15</v>
      </c>
    </row>
    <row r="339" spans="1:246" outlineLevel="1" x14ac:dyDescent="0.2">
      <c r="A339" t="str">
        <f t="shared" si="8"/>
        <v>Ängste lindern</v>
      </c>
      <c r="C339" t="s">
        <v>1321</v>
      </c>
      <c r="D339" t="s">
        <v>1321</v>
      </c>
      <c r="E339" t="s">
        <v>1321</v>
      </c>
      <c r="F339" t="s">
        <v>1321</v>
      </c>
      <c r="G339">
        <v>1</v>
      </c>
      <c r="H339" t="s">
        <v>1321</v>
      </c>
      <c r="I339" t="s">
        <v>1321</v>
      </c>
      <c r="J339" t="s">
        <v>1321</v>
      </c>
      <c r="K339" t="s">
        <v>1321</v>
      </c>
      <c r="L339" t="s">
        <v>1321</v>
      </c>
      <c r="M339" t="s">
        <v>1321</v>
      </c>
      <c r="N339" t="s">
        <v>1321</v>
      </c>
      <c r="AU339" t="s">
        <v>1321</v>
      </c>
      <c r="AV339">
        <v>3</v>
      </c>
      <c r="AW339" t="s">
        <v>1321</v>
      </c>
      <c r="AX339" t="s">
        <v>1321</v>
      </c>
      <c r="AZ339" t="s">
        <v>1321</v>
      </c>
      <c r="BA339" t="s">
        <v>2516</v>
      </c>
      <c r="BB339" t="s">
        <v>1321</v>
      </c>
      <c r="BC339" t="s">
        <v>1321</v>
      </c>
      <c r="BD339">
        <v>2</v>
      </c>
      <c r="BE339" t="s">
        <v>1321</v>
      </c>
      <c r="BF339">
        <v>5</v>
      </c>
      <c r="BG339">
        <v>2</v>
      </c>
      <c r="CB339" t="s">
        <v>1321</v>
      </c>
      <c r="CW339" t="s">
        <v>1321</v>
      </c>
      <c r="CX339" t="s">
        <v>1321</v>
      </c>
      <c r="CY339" t="s">
        <v>1321</v>
      </c>
      <c r="DC339" t="s">
        <v>1321</v>
      </c>
      <c r="DE339" t="s">
        <v>2516</v>
      </c>
      <c r="DF339" t="s">
        <v>1321</v>
      </c>
      <c r="DG339" t="s">
        <v>1321</v>
      </c>
      <c r="DH339" t="s">
        <v>1321</v>
      </c>
      <c r="DI339" t="s">
        <v>1321</v>
      </c>
      <c r="DJ339" t="s">
        <v>1321</v>
      </c>
      <c r="DK339" t="s">
        <v>1321</v>
      </c>
      <c r="DL339" t="s">
        <v>2515</v>
      </c>
      <c r="DM339" t="s">
        <v>1321</v>
      </c>
      <c r="DN339" t="s">
        <v>1321</v>
      </c>
      <c r="DO339" t="s">
        <v>1321</v>
      </c>
      <c r="DP339" t="s">
        <v>1321</v>
      </c>
      <c r="DQ339" t="s">
        <v>1321</v>
      </c>
      <c r="DS339" t="s">
        <v>1321</v>
      </c>
      <c r="DV339" t="s">
        <v>1321</v>
      </c>
      <c r="DW339" t="s">
        <v>1321</v>
      </c>
      <c r="DX339" t="s">
        <v>1321</v>
      </c>
      <c r="EA339" t="s">
        <v>1321</v>
      </c>
      <c r="EC339" t="s">
        <v>1321</v>
      </c>
      <c r="EF339" t="s">
        <v>2515</v>
      </c>
      <c r="EG339" t="s">
        <v>1321</v>
      </c>
      <c r="EJ339">
        <v>4</v>
      </c>
      <c r="EK339" t="s">
        <v>1321</v>
      </c>
      <c r="EL339" t="s">
        <v>1321</v>
      </c>
      <c r="EM339" t="s">
        <v>1321</v>
      </c>
      <c r="EN339" t="s">
        <v>1321</v>
      </c>
      <c r="EO339" t="s">
        <v>1321</v>
      </c>
      <c r="EP339" t="s">
        <v>1321</v>
      </c>
      <c r="EQ339" t="s">
        <v>1321</v>
      </c>
      <c r="ES339" t="s">
        <v>1321</v>
      </c>
      <c r="ET339" t="s">
        <v>2514</v>
      </c>
      <c r="EU339" t="s">
        <v>1321</v>
      </c>
      <c r="EV339" t="s">
        <v>1321</v>
      </c>
      <c r="EZ339" t="s">
        <v>4569</v>
      </c>
      <c r="FA339" t="s">
        <v>4569</v>
      </c>
      <c r="FB339" t="s">
        <v>1321</v>
      </c>
      <c r="FC339" t="s">
        <v>1321</v>
      </c>
      <c r="FE339" t="s">
        <v>2515</v>
      </c>
      <c r="FG339" t="s">
        <v>1321</v>
      </c>
      <c r="FH339" t="s">
        <v>1321</v>
      </c>
      <c r="FI339" t="s">
        <v>1321</v>
      </c>
      <c r="FJ339" t="s">
        <v>1321</v>
      </c>
      <c r="FK339" t="s">
        <v>1321</v>
      </c>
      <c r="FM339" t="s">
        <v>4569</v>
      </c>
      <c r="FN339" t="s">
        <v>1321</v>
      </c>
      <c r="FP339" t="s">
        <v>1321</v>
      </c>
      <c r="FQ339" t="s">
        <v>1321</v>
      </c>
      <c r="FR339" t="s">
        <v>1321</v>
      </c>
      <c r="FS339" t="s">
        <v>1321</v>
      </c>
      <c r="FV339">
        <v>4</v>
      </c>
      <c r="IL339">
        <f t="shared" si="9"/>
        <v>16</v>
      </c>
    </row>
    <row r="340" spans="1:246" outlineLevel="1" x14ac:dyDescent="0.2">
      <c r="A340" t="str">
        <f t="shared" si="8"/>
        <v>Animatio stummer Diener</v>
      </c>
      <c r="DA340" t="s">
        <v>2515</v>
      </c>
      <c r="DV340" t="s">
        <v>2516</v>
      </c>
      <c r="DW340" t="s">
        <v>2514</v>
      </c>
      <c r="EK340" t="s">
        <v>1321</v>
      </c>
      <c r="EL340" t="s">
        <v>1321</v>
      </c>
      <c r="EZ340" t="s">
        <v>4569</v>
      </c>
      <c r="FA340" t="s">
        <v>4569</v>
      </c>
      <c r="FF340">
        <v>3</v>
      </c>
      <c r="FM340" t="s">
        <v>4569</v>
      </c>
      <c r="FP340" t="s">
        <v>4569</v>
      </c>
      <c r="FQ340" t="s">
        <v>4569</v>
      </c>
      <c r="FR340" t="s">
        <v>4569</v>
      </c>
      <c r="FS340" t="s">
        <v>4569</v>
      </c>
      <c r="IL340">
        <f t="shared" si="9"/>
        <v>17</v>
      </c>
    </row>
    <row r="341" spans="1:246" outlineLevel="1" x14ac:dyDescent="0.2">
      <c r="A341" t="str">
        <f t="shared" si="8"/>
        <v>Applicatus Zauberspeicher</v>
      </c>
      <c r="BI341" t="s">
        <v>1321</v>
      </c>
      <c r="BJ341" t="s">
        <v>2516</v>
      </c>
      <c r="CW341" t="s">
        <v>1321</v>
      </c>
      <c r="CX341" t="s">
        <v>1321</v>
      </c>
      <c r="DV341" t="s">
        <v>2515</v>
      </c>
      <c r="DW341" t="s">
        <v>2514</v>
      </c>
      <c r="EC341" t="s">
        <v>2515</v>
      </c>
      <c r="EK341" t="s">
        <v>1321</v>
      </c>
      <c r="EL341" t="s">
        <v>2515</v>
      </c>
      <c r="EM341">
        <v>3</v>
      </c>
      <c r="EN341">
        <v>3</v>
      </c>
      <c r="ER341" t="s">
        <v>1321</v>
      </c>
      <c r="EZ341" t="s">
        <v>4569</v>
      </c>
      <c r="FA341" t="s">
        <v>4569</v>
      </c>
      <c r="FM341" t="s">
        <v>4569</v>
      </c>
      <c r="FO341" t="s">
        <v>4901</v>
      </c>
      <c r="FP341" t="s">
        <v>4569</v>
      </c>
      <c r="FQ341" t="s">
        <v>4569</v>
      </c>
      <c r="FR341" t="s">
        <v>4569</v>
      </c>
      <c r="FS341" t="s">
        <v>4569</v>
      </c>
      <c r="FU341">
        <v>3</v>
      </c>
      <c r="FV341" t="s">
        <v>1321</v>
      </c>
      <c r="GB341" t="s">
        <v>2515</v>
      </c>
      <c r="GC341" t="s">
        <v>2516</v>
      </c>
      <c r="GD341">
        <v>4</v>
      </c>
      <c r="HB341" t="s">
        <v>1321</v>
      </c>
      <c r="HD341" t="s">
        <v>1321</v>
      </c>
      <c r="HF341" t="s">
        <v>1321</v>
      </c>
      <c r="HH341" t="s">
        <v>1321</v>
      </c>
      <c r="HJ341" t="s">
        <v>1321</v>
      </c>
      <c r="HL341" t="s">
        <v>1321</v>
      </c>
      <c r="HN341" t="s">
        <v>1321</v>
      </c>
      <c r="HP341" t="s">
        <v>1321</v>
      </c>
      <c r="HQ341" t="s">
        <v>1321</v>
      </c>
      <c r="HS341" t="s">
        <v>1321</v>
      </c>
      <c r="HU341" t="s">
        <v>1321</v>
      </c>
      <c r="HW341" t="s">
        <v>1321</v>
      </c>
      <c r="HY341" t="s">
        <v>1321</v>
      </c>
      <c r="IA341" t="s">
        <v>1321</v>
      </c>
      <c r="IC341" t="s">
        <v>1321</v>
      </c>
      <c r="ID341" t="s">
        <v>1321</v>
      </c>
      <c r="IG341" t="s">
        <v>1321</v>
      </c>
      <c r="II341" t="s">
        <v>1321</v>
      </c>
      <c r="IL341">
        <f t="shared" si="9"/>
        <v>18</v>
      </c>
    </row>
    <row r="342" spans="1:246" outlineLevel="1" x14ac:dyDescent="0.2">
      <c r="A342" t="str">
        <f t="shared" si="8"/>
        <v>Aquafaxius</v>
      </c>
      <c r="K342" t="s">
        <v>1321</v>
      </c>
      <c r="DF342" t="s">
        <v>1321</v>
      </c>
      <c r="DG342" t="s">
        <v>1321</v>
      </c>
      <c r="DH342" t="s">
        <v>2516</v>
      </c>
      <c r="DI342" t="s">
        <v>1321</v>
      </c>
      <c r="DJ342" t="s">
        <v>1321</v>
      </c>
      <c r="DK342" t="s">
        <v>1321</v>
      </c>
      <c r="EZ342" t="s">
        <v>4569</v>
      </c>
      <c r="FA342" t="s">
        <v>4569</v>
      </c>
      <c r="FG342" t="s">
        <v>1321</v>
      </c>
      <c r="FH342" t="s">
        <v>1321</v>
      </c>
      <c r="FI342" t="s">
        <v>1321</v>
      </c>
      <c r="FJ342" t="s">
        <v>1321</v>
      </c>
      <c r="FM342" t="s">
        <v>4569</v>
      </c>
      <c r="FP342" t="s">
        <v>4569</v>
      </c>
      <c r="FQ342" t="s">
        <v>4569</v>
      </c>
      <c r="FR342" t="s">
        <v>4569</v>
      </c>
      <c r="FS342" t="s">
        <v>4569</v>
      </c>
      <c r="IL342">
        <f t="shared" si="9"/>
        <v>19</v>
      </c>
    </row>
    <row r="343" spans="1:246" outlineLevel="1" x14ac:dyDescent="0.2">
      <c r="A343" t="str">
        <f t="shared" si="8"/>
        <v>Aquaqueris Wasserfluch</v>
      </c>
      <c r="IL343">
        <f t="shared" si="9"/>
        <v>20</v>
      </c>
    </row>
    <row r="344" spans="1:246" outlineLevel="1" x14ac:dyDescent="0.2">
      <c r="A344" t="str">
        <f t="shared" si="8"/>
        <v>Aquasphaero</v>
      </c>
      <c r="EZ344" t="s">
        <v>4569</v>
      </c>
      <c r="FA344" t="s">
        <v>4569</v>
      </c>
      <c r="FM344" t="s">
        <v>4569</v>
      </c>
      <c r="FP344" t="s">
        <v>4569</v>
      </c>
      <c r="FQ344" t="s">
        <v>4569</v>
      </c>
      <c r="FR344" t="s">
        <v>4569</v>
      </c>
      <c r="FS344" t="s">
        <v>4569</v>
      </c>
      <c r="IL344">
        <f t="shared" si="9"/>
        <v>21</v>
      </c>
    </row>
    <row r="345" spans="1:246" outlineLevel="1" x14ac:dyDescent="0.2">
      <c r="A345" t="str">
        <f t="shared" si="8"/>
        <v>Arachnea Krabbeltier</v>
      </c>
      <c r="EZ345" t="s">
        <v>4569</v>
      </c>
      <c r="FA345" t="s">
        <v>4569</v>
      </c>
      <c r="FM345" t="s">
        <v>4569</v>
      </c>
      <c r="FP345" t="s">
        <v>4569</v>
      </c>
      <c r="FQ345" t="s">
        <v>4569</v>
      </c>
      <c r="FR345" t="s">
        <v>4569</v>
      </c>
      <c r="FS345" t="s">
        <v>4569</v>
      </c>
      <c r="IL345">
        <f t="shared" si="9"/>
        <v>22</v>
      </c>
    </row>
    <row r="346" spans="1:246" outlineLevel="1" x14ac:dyDescent="0.2">
      <c r="A346" t="str">
        <f t="shared" si="8"/>
        <v>Arcanovi Artefakt</v>
      </c>
      <c r="BI346" t="s">
        <v>1321</v>
      </c>
      <c r="BJ346" t="s">
        <v>2516</v>
      </c>
      <c r="CW346" t="s">
        <v>1321</v>
      </c>
      <c r="CX346" t="s">
        <v>1321</v>
      </c>
      <c r="CY346" t="s">
        <v>1321</v>
      </c>
      <c r="CZ346" t="s">
        <v>1321</v>
      </c>
      <c r="DB346" t="s">
        <v>1321</v>
      </c>
      <c r="DC346" t="s">
        <v>1321</v>
      </c>
      <c r="DF346" t="s">
        <v>1321</v>
      </c>
      <c r="DG346" t="s">
        <v>1321</v>
      </c>
      <c r="DH346" t="s">
        <v>1321</v>
      </c>
      <c r="DI346" t="s">
        <v>1321</v>
      </c>
      <c r="DJ346" t="s">
        <v>1321</v>
      </c>
      <c r="DK346" t="s">
        <v>1321</v>
      </c>
      <c r="DM346" t="s">
        <v>1321</v>
      </c>
      <c r="DN346" t="s">
        <v>1321</v>
      </c>
      <c r="DO346" t="s">
        <v>1321</v>
      </c>
      <c r="DP346" t="s">
        <v>1321</v>
      </c>
      <c r="DQ346" t="s">
        <v>1321</v>
      </c>
      <c r="DR346" t="s">
        <v>1321</v>
      </c>
      <c r="DS346" t="s">
        <v>1321</v>
      </c>
      <c r="DV346" t="s">
        <v>2514</v>
      </c>
      <c r="DW346" t="s">
        <v>2516</v>
      </c>
      <c r="EA346" t="s">
        <v>1321</v>
      </c>
      <c r="EC346" t="s">
        <v>2516</v>
      </c>
      <c r="ED346" t="s">
        <v>2516</v>
      </c>
      <c r="EF346" t="s">
        <v>1321</v>
      </c>
      <c r="EG346" t="s">
        <v>1321</v>
      </c>
      <c r="EJ346" t="s">
        <v>1321</v>
      </c>
      <c r="EK346">
        <v>4</v>
      </c>
      <c r="EL346" t="s">
        <v>2515</v>
      </c>
      <c r="EM346" t="s">
        <v>1321</v>
      </c>
      <c r="EN346" t="s">
        <v>1321</v>
      </c>
      <c r="EO346" t="s">
        <v>1321</v>
      </c>
      <c r="EP346" t="s">
        <v>1321</v>
      </c>
      <c r="EQ346" t="s">
        <v>1321</v>
      </c>
      <c r="ES346" t="s">
        <v>1321</v>
      </c>
      <c r="ET346" t="s">
        <v>1321</v>
      </c>
      <c r="EU346" t="s">
        <v>1321</v>
      </c>
      <c r="EV346" t="s">
        <v>1321</v>
      </c>
      <c r="EY346" t="s">
        <v>1321</v>
      </c>
      <c r="EZ346" t="s">
        <v>4569</v>
      </c>
      <c r="FA346" t="s">
        <v>4569</v>
      </c>
      <c r="FB346" t="s">
        <v>1321</v>
      </c>
      <c r="FC346" t="s">
        <v>1321</v>
      </c>
      <c r="FG346" t="s">
        <v>1321</v>
      </c>
      <c r="FH346" t="s">
        <v>1321</v>
      </c>
      <c r="FI346" t="s">
        <v>1321</v>
      </c>
      <c r="FJ346" t="s">
        <v>1321</v>
      </c>
      <c r="FK346" t="s">
        <v>1321</v>
      </c>
      <c r="FM346" t="s">
        <v>1321</v>
      </c>
      <c r="FN346" t="s">
        <v>1321</v>
      </c>
      <c r="FO346" t="s">
        <v>2516</v>
      </c>
      <c r="FP346">
        <v>3</v>
      </c>
      <c r="FQ346">
        <v>3</v>
      </c>
      <c r="FR346">
        <v>3</v>
      </c>
      <c r="FS346">
        <v>3</v>
      </c>
      <c r="HB346" t="s">
        <v>1321</v>
      </c>
      <c r="HD346" t="s">
        <v>1321</v>
      </c>
      <c r="HF346" t="s">
        <v>1321</v>
      </c>
      <c r="HH346" t="s">
        <v>1321</v>
      </c>
      <c r="HJ346" t="s">
        <v>1321</v>
      </c>
      <c r="HL346" t="s">
        <v>1321</v>
      </c>
      <c r="HN346" t="s">
        <v>1321</v>
      </c>
      <c r="HP346" t="s">
        <v>1321</v>
      </c>
      <c r="HQ346" t="s">
        <v>1321</v>
      </c>
      <c r="HS346" t="s">
        <v>1321</v>
      </c>
      <c r="HU346" t="s">
        <v>1321</v>
      </c>
      <c r="HW346" t="s">
        <v>1321</v>
      </c>
      <c r="HY346" t="s">
        <v>1321</v>
      </c>
      <c r="IA346" t="s">
        <v>1321</v>
      </c>
      <c r="IC346" t="s">
        <v>1321</v>
      </c>
      <c r="ID346" t="s">
        <v>1321</v>
      </c>
      <c r="IG346" t="s">
        <v>1321</v>
      </c>
      <c r="II346" t="s">
        <v>1321</v>
      </c>
      <c r="IK346" t="s">
        <v>7191</v>
      </c>
      <c r="IL346">
        <f t="shared" si="9"/>
        <v>23</v>
      </c>
    </row>
    <row r="347" spans="1:246" outlineLevel="1" x14ac:dyDescent="0.2">
      <c r="A347" t="str">
        <f t="shared" si="8"/>
        <v>Archofaxius</v>
      </c>
      <c r="M347" t="s">
        <v>1321</v>
      </c>
      <c r="DF347" t="s">
        <v>1321</v>
      </c>
      <c r="DG347" t="s">
        <v>1321</v>
      </c>
      <c r="DH347" t="s">
        <v>1321</v>
      </c>
      <c r="DI347" t="s">
        <v>1321</v>
      </c>
      <c r="DJ347" t="s">
        <v>2515</v>
      </c>
      <c r="DK347" t="s">
        <v>1321</v>
      </c>
      <c r="EZ347" t="s">
        <v>4569</v>
      </c>
      <c r="FA347" t="s">
        <v>4569</v>
      </c>
      <c r="FM347" t="s">
        <v>4569</v>
      </c>
      <c r="FP347" t="s">
        <v>4569</v>
      </c>
      <c r="FQ347" t="s">
        <v>4569</v>
      </c>
      <c r="FR347" t="s">
        <v>4569</v>
      </c>
      <c r="FS347" t="s">
        <v>4569</v>
      </c>
      <c r="IL347">
        <f t="shared" si="9"/>
        <v>24</v>
      </c>
    </row>
    <row r="348" spans="1:246" outlineLevel="1" x14ac:dyDescent="0.2">
      <c r="A348" t="str">
        <f t="shared" si="8"/>
        <v>Archosphaero</v>
      </c>
      <c r="EZ348" t="s">
        <v>4569</v>
      </c>
      <c r="FA348" t="s">
        <v>4569</v>
      </c>
      <c r="FM348" t="s">
        <v>4569</v>
      </c>
      <c r="FP348" t="s">
        <v>4569</v>
      </c>
      <c r="FQ348" t="s">
        <v>4569</v>
      </c>
      <c r="FR348" t="s">
        <v>4569</v>
      </c>
      <c r="FS348" t="s">
        <v>4569</v>
      </c>
      <c r="IL348">
        <f t="shared" si="9"/>
        <v>25</v>
      </c>
    </row>
    <row r="349" spans="1:246" outlineLevel="1" x14ac:dyDescent="0.2">
      <c r="A349" t="str">
        <f t="shared" si="8"/>
        <v>Armatrutz</v>
      </c>
      <c r="P349" t="s">
        <v>1321</v>
      </c>
      <c r="Q349" t="s">
        <v>1321</v>
      </c>
      <c r="R349" t="s">
        <v>1321</v>
      </c>
      <c r="S349" t="s">
        <v>1321</v>
      </c>
      <c r="T349" t="s">
        <v>1321</v>
      </c>
      <c r="U349" t="s">
        <v>1321</v>
      </c>
      <c r="V349" t="s">
        <v>1321</v>
      </c>
      <c r="W349" t="s">
        <v>1321</v>
      </c>
      <c r="X349" t="s">
        <v>1321</v>
      </c>
      <c r="Y349" t="s">
        <v>1321</v>
      </c>
      <c r="Z349" t="s">
        <v>1321</v>
      </c>
      <c r="AA349" t="s">
        <v>1321</v>
      </c>
      <c r="AB349" t="s">
        <v>1321</v>
      </c>
      <c r="AC349" t="s">
        <v>1321</v>
      </c>
      <c r="AD349" t="s">
        <v>1321</v>
      </c>
      <c r="AE349" t="s">
        <v>1321</v>
      </c>
      <c r="AF349" t="s">
        <v>1321</v>
      </c>
      <c r="AG349" t="s">
        <v>1321</v>
      </c>
      <c r="AH349" t="s">
        <v>1321</v>
      </c>
      <c r="AI349" t="s">
        <v>1321</v>
      </c>
      <c r="AJ349" t="s">
        <v>1321</v>
      </c>
      <c r="AK349" t="s">
        <v>1321</v>
      </c>
      <c r="AL349" t="s">
        <v>1321</v>
      </c>
      <c r="AM349" t="s">
        <v>1321</v>
      </c>
      <c r="AN349" t="s">
        <v>1321</v>
      </c>
      <c r="AO349" t="s">
        <v>1321</v>
      </c>
      <c r="AP349" t="s">
        <v>1321</v>
      </c>
      <c r="AQ349" t="s">
        <v>1321</v>
      </c>
      <c r="AR349" t="s">
        <v>1321</v>
      </c>
      <c r="AS349" t="s">
        <v>1321</v>
      </c>
      <c r="BC349">
        <v>2</v>
      </c>
      <c r="CB349" t="s">
        <v>1321</v>
      </c>
      <c r="CD349" t="s">
        <v>1321</v>
      </c>
      <c r="CK349" t="s">
        <v>1321</v>
      </c>
      <c r="CW349" t="s">
        <v>1321</v>
      </c>
      <c r="CX349" t="s">
        <v>2516</v>
      </c>
      <c r="CY349" t="s">
        <v>2515</v>
      </c>
      <c r="CZ349" t="s">
        <v>2514</v>
      </c>
      <c r="DA349" t="s">
        <v>1321</v>
      </c>
      <c r="DB349" t="s">
        <v>2515</v>
      </c>
      <c r="DD349" t="s">
        <v>1321</v>
      </c>
      <c r="DE349" t="s">
        <v>1321</v>
      </c>
      <c r="DF349">
        <v>3</v>
      </c>
      <c r="DG349" t="s">
        <v>1321</v>
      </c>
      <c r="DH349" t="s">
        <v>1321</v>
      </c>
      <c r="DI349" t="s">
        <v>1321</v>
      </c>
      <c r="DJ349">
        <v>4</v>
      </c>
      <c r="DK349" t="s">
        <v>1321</v>
      </c>
      <c r="DL349" t="s">
        <v>1321</v>
      </c>
      <c r="DM349" t="s">
        <v>1321</v>
      </c>
      <c r="DN349" t="s">
        <v>1321</v>
      </c>
      <c r="DO349" t="s">
        <v>1321</v>
      </c>
      <c r="DP349" t="s">
        <v>1321</v>
      </c>
      <c r="DQ349" t="s">
        <v>1321</v>
      </c>
      <c r="DR349" t="s">
        <v>2514</v>
      </c>
      <c r="DS349" t="s">
        <v>2516</v>
      </c>
      <c r="DT349" t="s">
        <v>1321</v>
      </c>
      <c r="DU349" t="s">
        <v>1321</v>
      </c>
      <c r="DV349" t="s">
        <v>1321</v>
      </c>
      <c r="DW349" t="s">
        <v>1321</v>
      </c>
      <c r="DX349">
        <v>2</v>
      </c>
      <c r="DY349">
        <v>3</v>
      </c>
      <c r="DZ349">
        <v>4</v>
      </c>
      <c r="EA349" t="s">
        <v>2515</v>
      </c>
      <c r="EB349" t="s">
        <v>1321</v>
      </c>
      <c r="EC349" t="s">
        <v>1321</v>
      </c>
      <c r="ED349" t="s">
        <v>1321</v>
      </c>
      <c r="EE349">
        <v>2</v>
      </c>
      <c r="EF349" t="s">
        <v>1321</v>
      </c>
      <c r="EG349">
        <v>3</v>
      </c>
      <c r="EH349">
        <v>2</v>
      </c>
      <c r="EI349">
        <v>2</v>
      </c>
      <c r="EJ349" t="s">
        <v>1321</v>
      </c>
      <c r="EK349" t="s">
        <v>1321</v>
      </c>
      <c r="EL349" t="s">
        <v>1321</v>
      </c>
      <c r="EM349" t="s">
        <v>1321</v>
      </c>
      <c r="EN349" t="s">
        <v>1321</v>
      </c>
      <c r="EO349" t="s">
        <v>1321</v>
      </c>
      <c r="EP349">
        <v>4</v>
      </c>
      <c r="EQ349" t="s">
        <v>1321</v>
      </c>
      <c r="ER349" t="s">
        <v>1321</v>
      </c>
      <c r="ES349" t="s">
        <v>1321</v>
      </c>
      <c r="ET349" t="s">
        <v>1321</v>
      </c>
      <c r="EU349" t="s">
        <v>1321</v>
      </c>
      <c r="EV349">
        <v>5</v>
      </c>
      <c r="EW349" t="s">
        <v>1321</v>
      </c>
      <c r="EY349" t="s">
        <v>1321</v>
      </c>
      <c r="EZ349" t="s">
        <v>1321</v>
      </c>
      <c r="FA349">
        <v>4</v>
      </c>
      <c r="FB349" t="s">
        <v>1321</v>
      </c>
      <c r="FC349" t="s">
        <v>1321</v>
      </c>
      <c r="FD349" t="s">
        <v>1321</v>
      </c>
      <c r="FE349" t="s">
        <v>1321</v>
      </c>
      <c r="FF349" t="s">
        <v>1321</v>
      </c>
      <c r="FG349" t="s">
        <v>1321</v>
      </c>
      <c r="FH349" t="s">
        <v>4901</v>
      </c>
      <c r="FI349" t="s">
        <v>2516</v>
      </c>
      <c r="FJ349">
        <v>3</v>
      </c>
      <c r="FK349" t="s">
        <v>1321</v>
      </c>
      <c r="FL349">
        <v>3</v>
      </c>
      <c r="FM349" t="s">
        <v>1321</v>
      </c>
      <c r="FN349" t="s">
        <v>1321</v>
      </c>
      <c r="FO349" t="s">
        <v>1321</v>
      </c>
      <c r="FP349">
        <v>3</v>
      </c>
      <c r="FQ349" t="s">
        <v>1321</v>
      </c>
      <c r="FR349" t="s">
        <v>1321</v>
      </c>
      <c r="FS349" t="s">
        <v>1321</v>
      </c>
      <c r="FT349" t="s">
        <v>1321</v>
      </c>
      <c r="FU349" t="s">
        <v>1321</v>
      </c>
      <c r="FV349">
        <v>4</v>
      </c>
      <c r="HB349" t="s">
        <v>1321</v>
      </c>
      <c r="HD349" t="s">
        <v>1321</v>
      </c>
      <c r="HF349" t="s">
        <v>1321</v>
      </c>
      <c r="HH349" t="s">
        <v>1321</v>
      </c>
      <c r="HJ349" t="s">
        <v>1321</v>
      </c>
      <c r="HL349" t="s">
        <v>1321</v>
      </c>
      <c r="HN349" t="s">
        <v>1321</v>
      </c>
      <c r="HP349" t="s">
        <v>1321</v>
      </c>
      <c r="HQ349" t="s">
        <v>1321</v>
      </c>
      <c r="HS349" t="s">
        <v>1321</v>
      </c>
      <c r="HU349" t="s">
        <v>1321</v>
      </c>
      <c r="HW349" t="s">
        <v>1321</v>
      </c>
      <c r="HY349" t="s">
        <v>1321</v>
      </c>
      <c r="IA349" t="s">
        <v>1321</v>
      </c>
      <c r="IC349" t="s">
        <v>1321</v>
      </c>
      <c r="ID349" t="s">
        <v>1321</v>
      </c>
      <c r="IG349" t="s">
        <v>1321</v>
      </c>
      <c r="II349" t="s">
        <v>1321</v>
      </c>
      <c r="IL349">
        <f t="shared" si="9"/>
        <v>26</v>
      </c>
    </row>
    <row r="350" spans="1:246" outlineLevel="1" x14ac:dyDescent="0.2">
      <c r="A350" t="str">
        <f t="shared" si="8"/>
        <v>Atemnot</v>
      </c>
      <c r="C350" t="s">
        <v>1321</v>
      </c>
      <c r="D350">
        <v>2</v>
      </c>
      <c r="E350" t="s">
        <v>1321</v>
      </c>
      <c r="F350" t="s">
        <v>1321</v>
      </c>
      <c r="G350">
        <v>2</v>
      </c>
      <c r="H350" t="s">
        <v>1321</v>
      </c>
      <c r="I350" t="s">
        <v>1321</v>
      </c>
      <c r="J350" t="s">
        <v>1321</v>
      </c>
      <c r="K350" t="s">
        <v>1321</v>
      </c>
      <c r="L350" t="s">
        <v>1321</v>
      </c>
      <c r="M350" t="s">
        <v>1321</v>
      </c>
      <c r="N350" t="s">
        <v>1321</v>
      </c>
      <c r="EZ350" t="s">
        <v>4569</v>
      </c>
      <c r="FA350" t="s">
        <v>4569</v>
      </c>
      <c r="FM350" t="s">
        <v>4569</v>
      </c>
      <c r="FP350" t="s">
        <v>4569</v>
      </c>
      <c r="FQ350" t="s">
        <v>4569</v>
      </c>
      <c r="FR350" t="s">
        <v>4569</v>
      </c>
      <c r="FS350" t="s">
        <v>4569</v>
      </c>
      <c r="IL350">
        <f t="shared" si="9"/>
        <v>27</v>
      </c>
    </row>
    <row r="351" spans="1:246" outlineLevel="1" x14ac:dyDescent="0.2">
      <c r="A351" t="str">
        <f t="shared" si="8"/>
        <v>Attributo</v>
      </c>
      <c r="C351" t="s">
        <v>1321</v>
      </c>
      <c r="D351" t="s">
        <v>1321</v>
      </c>
      <c r="E351" t="s">
        <v>1321</v>
      </c>
      <c r="F351">
        <v>2</v>
      </c>
      <c r="G351" t="s">
        <v>1321</v>
      </c>
      <c r="H351" t="s">
        <v>1321</v>
      </c>
      <c r="I351" t="s">
        <v>1321</v>
      </c>
      <c r="J351" t="s">
        <v>1321</v>
      </c>
      <c r="K351" t="s">
        <v>1321</v>
      </c>
      <c r="L351" t="s">
        <v>1321</v>
      </c>
      <c r="M351" t="s">
        <v>1321</v>
      </c>
      <c r="N351" t="s">
        <v>1321</v>
      </c>
      <c r="P351" t="s">
        <v>1321</v>
      </c>
      <c r="Q351" t="s">
        <v>1321</v>
      </c>
      <c r="R351" t="s">
        <v>1321</v>
      </c>
      <c r="S351" t="s">
        <v>1321</v>
      </c>
      <c r="T351" t="s">
        <v>1321</v>
      </c>
      <c r="U351" t="s">
        <v>1321</v>
      </c>
      <c r="V351" t="s">
        <v>1321</v>
      </c>
      <c r="W351" t="s">
        <v>1321</v>
      </c>
      <c r="X351" t="s">
        <v>1321</v>
      </c>
      <c r="Y351" t="s">
        <v>1321</v>
      </c>
      <c r="Z351" t="s">
        <v>1321</v>
      </c>
      <c r="AA351" t="s">
        <v>1321</v>
      </c>
      <c r="AB351" t="s">
        <v>1321</v>
      </c>
      <c r="AC351" t="s">
        <v>1321</v>
      </c>
      <c r="AD351" t="s">
        <v>1321</v>
      </c>
      <c r="AE351" t="s">
        <v>1321</v>
      </c>
      <c r="AF351" t="s">
        <v>1321</v>
      </c>
      <c r="AG351" t="s">
        <v>1321</v>
      </c>
      <c r="AH351" t="s">
        <v>1321</v>
      </c>
      <c r="AI351" t="s">
        <v>1321</v>
      </c>
      <c r="AJ351" t="s">
        <v>1321</v>
      </c>
      <c r="AK351" t="s">
        <v>1321</v>
      </c>
      <c r="AL351" t="s">
        <v>1321</v>
      </c>
      <c r="AM351" t="s">
        <v>1321</v>
      </c>
      <c r="AN351" t="s">
        <v>1321</v>
      </c>
      <c r="AO351" t="s">
        <v>1321</v>
      </c>
      <c r="AP351" t="s">
        <v>1321</v>
      </c>
      <c r="AQ351" t="s">
        <v>1321</v>
      </c>
      <c r="AR351" t="s">
        <v>1321</v>
      </c>
      <c r="AS351" t="s">
        <v>1321</v>
      </c>
      <c r="AU351" t="s">
        <v>1321</v>
      </c>
      <c r="AV351">
        <v>3</v>
      </c>
      <c r="AW351" t="s">
        <v>1321</v>
      </c>
      <c r="AX351" t="s">
        <v>1321</v>
      </c>
      <c r="AZ351" t="s">
        <v>1321</v>
      </c>
      <c r="BA351">
        <v>2</v>
      </c>
      <c r="BB351" t="s">
        <v>1321</v>
      </c>
      <c r="BC351" t="s">
        <v>1321</v>
      </c>
      <c r="BD351" t="s">
        <v>1321</v>
      </c>
      <c r="BE351" t="s">
        <v>1321</v>
      </c>
      <c r="BF351">
        <v>3</v>
      </c>
      <c r="BG351" t="s">
        <v>1321</v>
      </c>
      <c r="CB351" t="s">
        <v>1321</v>
      </c>
      <c r="CD351" t="s">
        <v>1321</v>
      </c>
      <c r="CE351" t="s">
        <v>1321</v>
      </c>
      <c r="CF351" t="s">
        <v>1321</v>
      </c>
      <c r="CG351" t="s">
        <v>1321</v>
      </c>
      <c r="CH351" t="s">
        <v>1321</v>
      </c>
      <c r="CI351" t="s">
        <v>1321</v>
      </c>
      <c r="CJ351" t="s">
        <v>1321</v>
      </c>
      <c r="CK351" t="s">
        <v>1321</v>
      </c>
      <c r="CL351" t="s">
        <v>1321</v>
      </c>
      <c r="CW351">
        <v>4</v>
      </c>
      <c r="CX351">
        <v>3</v>
      </c>
      <c r="CY351">
        <v>4</v>
      </c>
      <c r="CZ351" t="s">
        <v>2516</v>
      </c>
      <c r="DA351">
        <v>3</v>
      </c>
      <c r="DB351">
        <v>3</v>
      </c>
      <c r="DC351">
        <v>2</v>
      </c>
      <c r="DD351" t="s">
        <v>1321</v>
      </c>
      <c r="DE351" t="s">
        <v>2514</v>
      </c>
      <c r="DF351">
        <v>3</v>
      </c>
      <c r="DG351">
        <v>3</v>
      </c>
      <c r="DH351">
        <v>3</v>
      </c>
      <c r="DI351">
        <v>3</v>
      </c>
      <c r="DJ351">
        <v>3</v>
      </c>
      <c r="DK351">
        <v>3</v>
      </c>
      <c r="DL351" t="s">
        <v>1321</v>
      </c>
      <c r="DM351">
        <v>4</v>
      </c>
      <c r="DN351">
        <v>2</v>
      </c>
      <c r="DO351">
        <v>2</v>
      </c>
      <c r="DP351" t="s">
        <v>1321</v>
      </c>
      <c r="DQ351" t="s">
        <v>1321</v>
      </c>
      <c r="DR351" t="s">
        <v>2516</v>
      </c>
      <c r="DS351">
        <v>3</v>
      </c>
      <c r="DT351" t="s">
        <v>2515</v>
      </c>
      <c r="DU351">
        <v>3</v>
      </c>
      <c r="DV351">
        <v>4</v>
      </c>
      <c r="DW351">
        <v>4</v>
      </c>
      <c r="DX351" t="s">
        <v>1321</v>
      </c>
      <c r="DY351" t="s">
        <v>2514</v>
      </c>
      <c r="DZ351">
        <v>2</v>
      </c>
      <c r="EA351" t="s">
        <v>2514</v>
      </c>
      <c r="EB351">
        <v>3</v>
      </c>
      <c r="EC351">
        <v>4</v>
      </c>
      <c r="ED351">
        <v>3</v>
      </c>
      <c r="EE351">
        <v>4</v>
      </c>
      <c r="EF351">
        <v>4</v>
      </c>
      <c r="EG351">
        <v>4</v>
      </c>
      <c r="EH351">
        <v>2</v>
      </c>
      <c r="EI351">
        <v>2</v>
      </c>
      <c r="EJ351">
        <v>2</v>
      </c>
      <c r="EK351">
        <v>2</v>
      </c>
      <c r="EL351">
        <v>3</v>
      </c>
      <c r="EM351">
        <v>2</v>
      </c>
      <c r="EN351">
        <v>2</v>
      </c>
      <c r="EO351" t="s">
        <v>2515</v>
      </c>
      <c r="EP351" t="s">
        <v>2515</v>
      </c>
      <c r="EQ351">
        <v>3</v>
      </c>
      <c r="ER351">
        <v>4</v>
      </c>
      <c r="ES351">
        <v>2</v>
      </c>
      <c r="ET351">
        <v>5</v>
      </c>
      <c r="EU351">
        <v>4</v>
      </c>
      <c r="EV351" t="s">
        <v>2514</v>
      </c>
      <c r="EW351">
        <v>4</v>
      </c>
      <c r="EY351">
        <v>2</v>
      </c>
      <c r="EZ351" t="s">
        <v>1321</v>
      </c>
      <c r="FA351" t="s">
        <v>1321</v>
      </c>
      <c r="FB351" t="s">
        <v>1321</v>
      </c>
      <c r="FC351" t="s">
        <v>1321</v>
      </c>
      <c r="FD351" t="s">
        <v>1321</v>
      </c>
      <c r="FE351" t="s">
        <v>1321</v>
      </c>
      <c r="FF351" t="s">
        <v>1321</v>
      </c>
      <c r="FG351" t="s">
        <v>2514</v>
      </c>
      <c r="FH351" t="s">
        <v>2514</v>
      </c>
      <c r="FI351" t="s">
        <v>2514</v>
      </c>
      <c r="FJ351" t="s">
        <v>2514</v>
      </c>
      <c r="FK351" t="s">
        <v>1321</v>
      </c>
      <c r="FL351" t="s">
        <v>1321</v>
      </c>
      <c r="FM351" t="s">
        <v>1321</v>
      </c>
      <c r="FN351" t="s">
        <v>1321</v>
      </c>
      <c r="FO351">
        <v>4</v>
      </c>
      <c r="FP351" t="s">
        <v>1321</v>
      </c>
      <c r="FQ351" t="s">
        <v>1321</v>
      </c>
      <c r="FR351" t="s">
        <v>1321</v>
      </c>
      <c r="FS351" t="s">
        <v>1321</v>
      </c>
      <c r="FT351" t="s">
        <v>1321</v>
      </c>
      <c r="FV351" t="s">
        <v>2516</v>
      </c>
      <c r="FY351">
        <v>4</v>
      </c>
      <c r="FZ351" t="s">
        <v>2515</v>
      </c>
      <c r="GA351" t="s">
        <v>2515</v>
      </c>
      <c r="GB351">
        <v>4</v>
      </c>
      <c r="GC351">
        <v>3</v>
      </c>
      <c r="GD351" t="s">
        <v>2515</v>
      </c>
      <c r="GI351" t="s">
        <v>1321</v>
      </c>
      <c r="GL351" t="s">
        <v>1321</v>
      </c>
      <c r="HB351" t="s">
        <v>1321</v>
      </c>
      <c r="HD351" t="s">
        <v>1321</v>
      </c>
      <c r="HF351" t="s">
        <v>1321</v>
      </c>
      <c r="HH351" t="s">
        <v>1321</v>
      </c>
      <c r="HJ351" t="s">
        <v>1321</v>
      </c>
      <c r="HL351" t="s">
        <v>1321</v>
      </c>
      <c r="HN351" t="s">
        <v>1321</v>
      </c>
      <c r="HP351" t="s">
        <v>1321</v>
      </c>
      <c r="HQ351" t="s">
        <v>1321</v>
      </c>
      <c r="HS351" t="s">
        <v>1321</v>
      </c>
      <c r="HU351" t="s">
        <v>1321</v>
      </c>
      <c r="HW351" t="s">
        <v>1321</v>
      </c>
      <c r="HY351" t="s">
        <v>1321</v>
      </c>
      <c r="IA351" t="s">
        <v>1321</v>
      </c>
      <c r="IC351" t="s">
        <v>1321</v>
      </c>
      <c r="ID351" t="s">
        <v>1321</v>
      </c>
      <c r="IG351" t="s">
        <v>1321</v>
      </c>
      <c r="II351" t="s">
        <v>1321</v>
      </c>
      <c r="IL351">
        <f t="shared" si="9"/>
        <v>28</v>
      </c>
    </row>
    <row r="352" spans="1:246" outlineLevel="1" x14ac:dyDescent="0.2">
      <c r="A352" t="str">
        <f t="shared" si="8"/>
        <v>Aufgeblasen abgehoben</v>
      </c>
      <c r="EZ352" t="s">
        <v>4569</v>
      </c>
      <c r="FA352" t="s">
        <v>4569</v>
      </c>
      <c r="FM352" t="s">
        <v>4569</v>
      </c>
      <c r="FP352" t="s">
        <v>4569</v>
      </c>
      <c r="FQ352" t="s">
        <v>4569</v>
      </c>
      <c r="FR352" t="s">
        <v>4569</v>
      </c>
      <c r="FS352" t="s">
        <v>4569</v>
      </c>
      <c r="GF352" t="s">
        <v>1321</v>
      </c>
      <c r="GG352" t="s">
        <v>1321</v>
      </c>
      <c r="GH352">
        <v>3</v>
      </c>
      <c r="GI352" t="s">
        <v>1321</v>
      </c>
      <c r="GJ352" t="s">
        <v>1321</v>
      </c>
      <c r="GK352" t="s">
        <v>1321</v>
      </c>
      <c r="GL352" t="s">
        <v>1321</v>
      </c>
      <c r="IL352">
        <f t="shared" si="9"/>
        <v>29</v>
      </c>
    </row>
    <row r="353" spans="1:246" outlineLevel="1" x14ac:dyDescent="0.2">
      <c r="A353" t="str">
        <f t="shared" si="8"/>
        <v>Auge des Limbus</v>
      </c>
      <c r="EZ353" t="s">
        <v>4569</v>
      </c>
      <c r="FA353" t="s">
        <v>4569</v>
      </c>
      <c r="FM353" t="s">
        <v>4569</v>
      </c>
      <c r="FP353" t="s">
        <v>4569</v>
      </c>
      <c r="FQ353" t="s">
        <v>4569</v>
      </c>
      <c r="FR353" t="s">
        <v>4569</v>
      </c>
      <c r="FS353" t="s">
        <v>4569</v>
      </c>
      <c r="IK353">
        <v>1</v>
      </c>
      <c r="IL353">
        <f t="shared" si="9"/>
        <v>30</v>
      </c>
    </row>
    <row r="354" spans="1:246" outlineLevel="1" x14ac:dyDescent="0.2">
      <c r="A354" t="str">
        <f t="shared" si="8"/>
        <v>Aureolus Güldenglanz</v>
      </c>
      <c r="CW354">
        <v>5</v>
      </c>
      <c r="CX354" t="s">
        <v>1321</v>
      </c>
      <c r="CY354" t="s">
        <v>1321</v>
      </c>
      <c r="CZ354" t="s">
        <v>1321</v>
      </c>
      <c r="DB354" t="s">
        <v>1321</v>
      </c>
      <c r="DM354" t="s">
        <v>1321</v>
      </c>
      <c r="DN354" t="s">
        <v>1321</v>
      </c>
      <c r="DO354" t="s">
        <v>1321</v>
      </c>
      <c r="DP354" t="s">
        <v>1321</v>
      </c>
      <c r="DQ354" t="s">
        <v>1321</v>
      </c>
      <c r="DR354" t="s">
        <v>1321</v>
      </c>
      <c r="DS354" t="s">
        <v>1321</v>
      </c>
      <c r="DU354">
        <v>4</v>
      </c>
      <c r="DV354" t="s">
        <v>1321</v>
      </c>
      <c r="DW354" t="s">
        <v>1321</v>
      </c>
      <c r="DX354" t="s">
        <v>1321</v>
      </c>
      <c r="EA354" t="s">
        <v>1321</v>
      </c>
      <c r="EC354" t="s">
        <v>1321</v>
      </c>
      <c r="ED354" t="s">
        <v>1321</v>
      </c>
      <c r="EF354" t="s">
        <v>1321</v>
      </c>
      <c r="EG354" t="s">
        <v>1321</v>
      </c>
      <c r="EJ354" t="s">
        <v>1321</v>
      </c>
      <c r="EK354" t="s">
        <v>1321</v>
      </c>
      <c r="EL354" t="s">
        <v>1321</v>
      </c>
      <c r="EM354" t="s">
        <v>1321</v>
      </c>
      <c r="EN354" t="s">
        <v>1321</v>
      </c>
      <c r="EO354" t="s">
        <v>1321</v>
      </c>
      <c r="EP354" t="s">
        <v>1321</v>
      </c>
      <c r="EQ354" t="s">
        <v>1321</v>
      </c>
      <c r="ES354" t="s">
        <v>1321</v>
      </c>
      <c r="ET354" t="s">
        <v>1321</v>
      </c>
      <c r="EU354">
        <v>7</v>
      </c>
      <c r="EV354" t="s">
        <v>1321</v>
      </c>
      <c r="EZ354" t="s">
        <v>4569</v>
      </c>
      <c r="FA354" t="s">
        <v>4569</v>
      </c>
      <c r="FB354" t="s">
        <v>1321</v>
      </c>
      <c r="FC354" t="s">
        <v>1321</v>
      </c>
      <c r="FG354" t="s">
        <v>1321</v>
      </c>
      <c r="FH354" t="s">
        <v>1321</v>
      </c>
      <c r="FI354" t="s">
        <v>1321</v>
      </c>
      <c r="FJ354" t="s">
        <v>1321</v>
      </c>
      <c r="FK354" t="s">
        <v>1321</v>
      </c>
      <c r="FM354">
        <v>6</v>
      </c>
      <c r="FN354" t="s">
        <v>1321</v>
      </c>
      <c r="FP354" t="s">
        <v>4569</v>
      </c>
      <c r="FQ354" t="s">
        <v>4569</v>
      </c>
      <c r="FR354" t="s">
        <v>4569</v>
      </c>
      <c r="FS354" t="s">
        <v>4569</v>
      </c>
      <c r="FX354" t="s">
        <v>1321</v>
      </c>
      <c r="FY354">
        <v>7</v>
      </c>
      <c r="FZ354">
        <v>4</v>
      </c>
      <c r="GA354">
        <v>5</v>
      </c>
      <c r="GB354">
        <v>4</v>
      </c>
      <c r="GC354">
        <v>5</v>
      </c>
      <c r="GD354">
        <v>4</v>
      </c>
      <c r="IL354">
        <f t="shared" si="9"/>
        <v>31</v>
      </c>
    </row>
    <row r="355" spans="1:246" outlineLevel="1" x14ac:dyDescent="0.2">
      <c r="A355" t="str">
        <f t="shared" si="8"/>
        <v>Auris Nasus Oculus</v>
      </c>
      <c r="CW355" t="s">
        <v>1321</v>
      </c>
      <c r="CX355">
        <v>4</v>
      </c>
      <c r="CY355" t="s">
        <v>1321</v>
      </c>
      <c r="CZ355" t="s">
        <v>1321</v>
      </c>
      <c r="DA355" t="s">
        <v>1321</v>
      </c>
      <c r="DB355" t="s">
        <v>1321</v>
      </c>
      <c r="DL355" t="s">
        <v>1321</v>
      </c>
      <c r="DM355" t="s">
        <v>1321</v>
      </c>
      <c r="DN355" t="s">
        <v>1321</v>
      </c>
      <c r="DO355" t="s">
        <v>1321</v>
      </c>
      <c r="DP355" t="s">
        <v>1321</v>
      </c>
      <c r="DQ355" t="s">
        <v>1321</v>
      </c>
      <c r="DR355" t="s">
        <v>1321</v>
      </c>
      <c r="DS355" t="s">
        <v>1321</v>
      </c>
      <c r="DT355" t="s">
        <v>1321</v>
      </c>
      <c r="DU355" t="s">
        <v>2514</v>
      </c>
      <c r="DV355" t="s">
        <v>1321</v>
      </c>
      <c r="DW355" t="s">
        <v>1321</v>
      </c>
      <c r="DX355" t="s">
        <v>1321</v>
      </c>
      <c r="DY355" t="s">
        <v>1321</v>
      </c>
      <c r="DZ355" t="s">
        <v>1321</v>
      </c>
      <c r="EA355" t="s">
        <v>1321</v>
      </c>
      <c r="EB355">
        <v>2</v>
      </c>
      <c r="EC355" t="s">
        <v>1321</v>
      </c>
      <c r="ED355" t="s">
        <v>1321</v>
      </c>
      <c r="EE355" t="s">
        <v>1321</v>
      </c>
      <c r="EF355" t="s">
        <v>1321</v>
      </c>
      <c r="EG355" t="s">
        <v>1321</v>
      </c>
      <c r="EH355" t="s">
        <v>1321</v>
      </c>
      <c r="EI355" t="s">
        <v>1321</v>
      </c>
      <c r="EJ355" t="s">
        <v>1321</v>
      </c>
      <c r="EK355" t="s">
        <v>1321</v>
      </c>
      <c r="EL355" t="s">
        <v>1321</v>
      </c>
      <c r="EM355" t="s">
        <v>1321</v>
      </c>
      <c r="EN355" t="s">
        <v>1321</v>
      </c>
      <c r="EO355" t="s">
        <v>1321</v>
      </c>
      <c r="EP355" t="s">
        <v>1321</v>
      </c>
      <c r="EQ355" t="s">
        <v>1321</v>
      </c>
      <c r="ER355" t="s">
        <v>1321</v>
      </c>
      <c r="ES355" t="s">
        <v>1321</v>
      </c>
      <c r="ET355" t="s">
        <v>1321</v>
      </c>
      <c r="EU355" t="s">
        <v>2514</v>
      </c>
      <c r="EV355" t="s">
        <v>1321</v>
      </c>
      <c r="EW355" t="s">
        <v>1321</v>
      </c>
      <c r="EY355" t="s">
        <v>1321</v>
      </c>
      <c r="EZ355" t="s">
        <v>1321</v>
      </c>
      <c r="FA355" t="s">
        <v>1321</v>
      </c>
      <c r="FB355" t="s">
        <v>1321</v>
      </c>
      <c r="FC355" t="s">
        <v>1321</v>
      </c>
      <c r="FD355" t="s">
        <v>1321</v>
      </c>
      <c r="FE355" t="s">
        <v>1321</v>
      </c>
      <c r="FG355" t="s">
        <v>1321</v>
      </c>
      <c r="FH355" t="s">
        <v>1321</v>
      </c>
      <c r="FI355" t="s">
        <v>1321</v>
      </c>
      <c r="FJ355" t="s">
        <v>1321</v>
      </c>
      <c r="FK355" t="s">
        <v>1321</v>
      </c>
      <c r="FL355" t="s">
        <v>1321</v>
      </c>
      <c r="FM355">
        <v>4</v>
      </c>
      <c r="FN355" t="s">
        <v>1321</v>
      </c>
      <c r="FO355" t="s">
        <v>1321</v>
      </c>
      <c r="FP355" t="s">
        <v>1321</v>
      </c>
      <c r="FQ355" t="s">
        <v>1321</v>
      </c>
      <c r="FR355" t="s">
        <v>1321</v>
      </c>
      <c r="FS355" t="s">
        <v>1321</v>
      </c>
      <c r="FT355" t="s">
        <v>1321</v>
      </c>
      <c r="FX355" t="s">
        <v>1321</v>
      </c>
      <c r="FY355" t="s">
        <v>2514</v>
      </c>
      <c r="FZ355" t="s">
        <v>2514</v>
      </c>
      <c r="GA355" t="s">
        <v>2515</v>
      </c>
      <c r="GB355" t="s">
        <v>2514</v>
      </c>
      <c r="GC355" t="s">
        <v>2514</v>
      </c>
      <c r="GD355" t="s">
        <v>1321</v>
      </c>
      <c r="IL355">
        <f t="shared" si="9"/>
        <v>32</v>
      </c>
    </row>
    <row r="356" spans="1:246" outlineLevel="1" x14ac:dyDescent="0.2">
      <c r="A356" t="str">
        <f t="shared" si="8"/>
        <v>Axxeleratus Blitzgeschwind</v>
      </c>
      <c r="P356" t="s">
        <v>1321</v>
      </c>
      <c r="Q356" t="s">
        <v>1321</v>
      </c>
      <c r="R356" t="s">
        <v>1321</v>
      </c>
      <c r="S356" t="s">
        <v>1321</v>
      </c>
      <c r="T356" t="s">
        <v>1321</v>
      </c>
      <c r="U356" t="s">
        <v>1321</v>
      </c>
      <c r="V356" t="s">
        <v>1321</v>
      </c>
      <c r="W356" t="s">
        <v>1321</v>
      </c>
      <c r="X356" t="s">
        <v>1321</v>
      </c>
      <c r="Y356" t="s">
        <v>1321</v>
      </c>
      <c r="Z356" t="s">
        <v>1321</v>
      </c>
      <c r="AA356" t="s">
        <v>1321</v>
      </c>
      <c r="AB356" t="s">
        <v>1321</v>
      </c>
      <c r="AC356" t="s">
        <v>1321</v>
      </c>
      <c r="AD356" t="s">
        <v>1321</v>
      </c>
      <c r="AE356" t="s">
        <v>1321</v>
      </c>
      <c r="AF356" t="s">
        <v>1321</v>
      </c>
      <c r="AG356" t="s">
        <v>1321</v>
      </c>
      <c r="AH356" t="s">
        <v>1321</v>
      </c>
      <c r="AI356" t="s">
        <v>1321</v>
      </c>
      <c r="AJ356" t="s">
        <v>1321</v>
      </c>
      <c r="AK356" t="s">
        <v>1321</v>
      </c>
      <c r="AL356" t="s">
        <v>1321</v>
      </c>
      <c r="AM356" t="s">
        <v>1321</v>
      </c>
      <c r="AN356" t="s">
        <v>1321</v>
      </c>
      <c r="AO356" t="s">
        <v>1321</v>
      </c>
      <c r="AP356" t="s">
        <v>1321</v>
      </c>
      <c r="AQ356" t="s">
        <v>1321</v>
      </c>
      <c r="AR356" t="s">
        <v>1321</v>
      </c>
      <c r="AS356" t="s">
        <v>1321</v>
      </c>
      <c r="BI356" t="s">
        <v>1321</v>
      </c>
      <c r="BJ356">
        <v>2</v>
      </c>
      <c r="CB356" t="s">
        <v>1321</v>
      </c>
      <c r="CF356" t="s">
        <v>1321</v>
      </c>
      <c r="CG356" t="s">
        <v>1321</v>
      </c>
      <c r="CH356" t="s">
        <v>1321</v>
      </c>
      <c r="CI356" t="s">
        <v>1321</v>
      </c>
      <c r="CJ356" t="s">
        <v>1321</v>
      </c>
      <c r="CL356" t="s">
        <v>1321</v>
      </c>
      <c r="DA356" t="s">
        <v>2515</v>
      </c>
      <c r="DT356" t="s">
        <v>2514</v>
      </c>
      <c r="DZ356">
        <v>2</v>
      </c>
      <c r="EA356">
        <v>2</v>
      </c>
      <c r="EK356" t="s">
        <v>1321</v>
      </c>
      <c r="EL356" t="s">
        <v>1321</v>
      </c>
      <c r="ER356" t="s">
        <v>2516</v>
      </c>
      <c r="EV356">
        <v>3</v>
      </c>
      <c r="EZ356" t="s">
        <v>4569</v>
      </c>
      <c r="FA356" t="s">
        <v>4569</v>
      </c>
      <c r="FG356">
        <v>3</v>
      </c>
      <c r="FH356">
        <v>3</v>
      </c>
      <c r="FI356">
        <v>3</v>
      </c>
      <c r="FJ356">
        <v>3</v>
      </c>
      <c r="FM356" t="s">
        <v>4569</v>
      </c>
      <c r="FP356" t="s">
        <v>4569</v>
      </c>
      <c r="FQ356" t="s">
        <v>4569</v>
      </c>
      <c r="FR356" t="s">
        <v>4569</v>
      </c>
      <c r="FS356" t="s">
        <v>4569</v>
      </c>
      <c r="FT356" t="s">
        <v>1321</v>
      </c>
      <c r="GF356" t="s">
        <v>1321</v>
      </c>
      <c r="GG356" t="s">
        <v>1321</v>
      </c>
      <c r="GH356" t="s">
        <v>1321</v>
      </c>
      <c r="GI356" t="s">
        <v>1321</v>
      </c>
      <c r="GJ356" t="s">
        <v>1321</v>
      </c>
      <c r="GK356" t="s">
        <v>1321</v>
      </c>
      <c r="GL356">
        <v>2</v>
      </c>
      <c r="IL356">
        <f t="shared" si="9"/>
        <v>33</v>
      </c>
    </row>
    <row r="357" spans="1:246" outlineLevel="1" x14ac:dyDescent="0.2">
      <c r="A357" t="str">
        <f t="shared" si="8"/>
        <v>Balsam Salabunde</v>
      </c>
      <c r="B357" t="s">
        <v>1321</v>
      </c>
      <c r="C357" t="s">
        <v>1321</v>
      </c>
      <c r="D357" t="s">
        <v>1321</v>
      </c>
      <c r="E357" t="s">
        <v>1321</v>
      </c>
      <c r="F357" t="s">
        <v>1321</v>
      </c>
      <c r="G357" t="s">
        <v>1321</v>
      </c>
      <c r="H357" t="s">
        <v>1321</v>
      </c>
      <c r="I357" t="s">
        <v>1321</v>
      </c>
      <c r="J357" t="s">
        <v>1321</v>
      </c>
      <c r="K357" t="s">
        <v>1321</v>
      </c>
      <c r="L357" t="s">
        <v>1321</v>
      </c>
      <c r="M357" t="s">
        <v>1321</v>
      </c>
      <c r="N357" t="s">
        <v>1321</v>
      </c>
      <c r="O357" t="s">
        <v>1321</v>
      </c>
      <c r="P357" t="s">
        <v>1321</v>
      </c>
      <c r="Q357" t="s">
        <v>1321</v>
      </c>
      <c r="R357" t="s">
        <v>1321</v>
      </c>
      <c r="S357" t="s">
        <v>1321</v>
      </c>
      <c r="T357" t="s">
        <v>1321</v>
      </c>
      <c r="U357" t="s">
        <v>1321</v>
      </c>
      <c r="V357" t="s">
        <v>1321</v>
      </c>
      <c r="W357" t="s">
        <v>1321</v>
      </c>
      <c r="X357" t="s">
        <v>1321</v>
      </c>
      <c r="Y357" t="s">
        <v>1321</v>
      </c>
      <c r="Z357" t="s">
        <v>1321</v>
      </c>
      <c r="AA357" t="s">
        <v>1321</v>
      </c>
      <c r="AB357" t="s">
        <v>1321</v>
      </c>
      <c r="AC357" t="s">
        <v>1321</v>
      </c>
      <c r="AD357" t="s">
        <v>1321</v>
      </c>
      <c r="AE357" t="s">
        <v>1321</v>
      </c>
      <c r="AF357" t="s">
        <v>1321</v>
      </c>
      <c r="AG357" t="s">
        <v>1321</v>
      </c>
      <c r="AH357" t="s">
        <v>1321</v>
      </c>
      <c r="AI357" t="s">
        <v>1321</v>
      </c>
      <c r="AJ357" t="s">
        <v>1321</v>
      </c>
      <c r="AK357" t="s">
        <v>1321</v>
      </c>
      <c r="AL357" t="s">
        <v>1321</v>
      </c>
      <c r="AM357" t="s">
        <v>1321</v>
      </c>
      <c r="AN357" t="s">
        <v>1321</v>
      </c>
      <c r="AO357" t="s">
        <v>1321</v>
      </c>
      <c r="AP357" t="s">
        <v>1321</v>
      </c>
      <c r="AQ357" t="s">
        <v>1321</v>
      </c>
      <c r="AR357" t="s">
        <v>1321</v>
      </c>
      <c r="AS357" t="s">
        <v>1321</v>
      </c>
      <c r="AT357" t="s">
        <v>1321</v>
      </c>
      <c r="AU357" t="s">
        <v>1321</v>
      </c>
      <c r="AV357" t="s">
        <v>1321</v>
      </c>
      <c r="AW357" t="s">
        <v>1321</v>
      </c>
      <c r="AX357" t="s">
        <v>1321</v>
      </c>
      <c r="AY357" t="s">
        <v>1321</v>
      </c>
      <c r="BH357" t="s">
        <v>1321</v>
      </c>
      <c r="BI357" t="s">
        <v>1321</v>
      </c>
      <c r="BJ357" t="s">
        <v>1321</v>
      </c>
      <c r="BK357" t="s">
        <v>1321</v>
      </c>
      <c r="CB357" t="s">
        <v>1321</v>
      </c>
      <c r="CK357" t="s">
        <v>1321</v>
      </c>
      <c r="CV357" t="s">
        <v>1321</v>
      </c>
      <c r="CW357" t="s">
        <v>2515</v>
      </c>
      <c r="CX357">
        <v>4</v>
      </c>
      <c r="CY357" t="s">
        <v>2516</v>
      </c>
      <c r="CZ357">
        <v>4</v>
      </c>
      <c r="DA357">
        <v>3</v>
      </c>
      <c r="DB357" t="s">
        <v>2515</v>
      </c>
      <c r="DC357" t="s">
        <v>1321</v>
      </c>
      <c r="DD357">
        <v>3</v>
      </c>
      <c r="DE357" t="s">
        <v>2514</v>
      </c>
      <c r="DF357">
        <v>5</v>
      </c>
      <c r="DG357">
        <v>6</v>
      </c>
      <c r="DH357">
        <v>4</v>
      </c>
      <c r="DI357">
        <v>4</v>
      </c>
      <c r="DJ357">
        <v>4</v>
      </c>
      <c r="DK357">
        <v>4</v>
      </c>
      <c r="DL357" t="s">
        <v>2514</v>
      </c>
      <c r="DM357">
        <v>2</v>
      </c>
      <c r="DN357" t="s">
        <v>1321</v>
      </c>
      <c r="DO357" t="s">
        <v>1321</v>
      </c>
      <c r="DP357">
        <v>3</v>
      </c>
      <c r="DQ357">
        <v>4</v>
      </c>
      <c r="DR357">
        <v>4</v>
      </c>
      <c r="DS357">
        <v>4</v>
      </c>
      <c r="DT357" t="s">
        <v>2515</v>
      </c>
      <c r="DU357">
        <v>2</v>
      </c>
      <c r="DV357">
        <v>2</v>
      </c>
      <c r="DW357">
        <v>2</v>
      </c>
      <c r="DX357">
        <v>2</v>
      </c>
      <c r="DY357">
        <v>3</v>
      </c>
      <c r="DZ357">
        <v>3</v>
      </c>
      <c r="EA357">
        <v>2</v>
      </c>
      <c r="EB357">
        <v>3</v>
      </c>
      <c r="EC357">
        <v>4</v>
      </c>
      <c r="ED357">
        <v>2</v>
      </c>
      <c r="EE357">
        <v>4</v>
      </c>
      <c r="EF357" t="s">
        <v>2514</v>
      </c>
      <c r="EG357">
        <v>2</v>
      </c>
      <c r="EH357">
        <v>2</v>
      </c>
      <c r="EI357">
        <v>2</v>
      </c>
      <c r="EJ357" t="s">
        <v>1321</v>
      </c>
      <c r="EK357">
        <v>3</v>
      </c>
      <c r="EL357">
        <v>3</v>
      </c>
      <c r="EM357">
        <v>2</v>
      </c>
      <c r="EN357">
        <v>2</v>
      </c>
      <c r="EO357">
        <v>3</v>
      </c>
      <c r="EP357" t="s">
        <v>2514</v>
      </c>
      <c r="EQ357">
        <v>3</v>
      </c>
      <c r="ER357">
        <v>2</v>
      </c>
      <c r="ES357">
        <v>3</v>
      </c>
      <c r="ET357" t="s">
        <v>2514</v>
      </c>
      <c r="EU357">
        <v>4</v>
      </c>
      <c r="EV357">
        <v>3</v>
      </c>
      <c r="EW357">
        <v>2</v>
      </c>
      <c r="EX357" t="s">
        <v>1321</v>
      </c>
      <c r="EY357">
        <v>1</v>
      </c>
      <c r="EZ357">
        <v>2</v>
      </c>
      <c r="FA357">
        <v>2</v>
      </c>
      <c r="FB357" t="s">
        <v>1321</v>
      </c>
      <c r="FC357" t="s">
        <v>1321</v>
      </c>
      <c r="FD357" t="s">
        <v>1321</v>
      </c>
      <c r="FE357" t="s">
        <v>2514</v>
      </c>
      <c r="FF357">
        <v>2</v>
      </c>
      <c r="FG357" t="s">
        <v>1321</v>
      </c>
      <c r="FH357">
        <v>3</v>
      </c>
      <c r="FI357" t="s">
        <v>1321</v>
      </c>
      <c r="FJ357" t="s">
        <v>1321</v>
      </c>
      <c r="FK357" t="s">
        <v>1321</v>
      </c>
      <c r="FL357" t="s">
        <v>4901</v>
      </c>
      <c r="FM357">
        <v>3</v>
      </c>
      <c r="FN357" t="s">
        <v>1321</v>
      </c>
      <c r="FO357" t="s">
        <v>1321</v>
      </c>
      <c r="FP357" t="s">
        <v>1321</v>
      </c>
      <c r="FQ357" t="s">
        <v>1321</v>
      </c>
      <c r="FR357">
        <v>4</v>
      </c>
      <c r="FS357" t="s">
        <v>1321</v>
      </c>
      <c r="FT357">
        <v>3</v>
      </c>
      <c r="FU357" t="s">
        <v>1321</v>
      </c>
      <c r="FV357">
        <v>4</v>
      </c>
      <c r="FW357" t="s">
        <v>1321</v>
      </c>
      <c r="GE357" t="s">
        <v>1321</v>
      </c>
      <c r="GM357" t="s">
        <v>1321</v>
      </c>
      <c r="GX357" t="s">
        <v>1321</v>
      </c>
      <c r="HB357" t="s">
        <v>1321</v>
      </c>
      <c r="HD357" t="s">
        <v>1321</v>
      </c>
      <c r="HF357" t="s">
        <v>1321</v>
      </c>
      <c r="HH357" t="s">
        <v>1321</v>
      </c>
      <c r="HJ357" t="s">
        <v>1321</v>
      </c>
      <c r="HL357" t="s">
        <v>1321</v>
      </c>
      <c r="HN357" t="s">
        <v>1321</v>
      </c>
      <c r="HP357" t="s">
        <v>1321</v>
      </c>
      <c r="HQ357" t="s">
        <v>1321</v>
      </c>
      <c r="HS357" t="s">
        <v>1321</v>
      </c>
      <c r="HU357" t="s">
        <v>1321</v>
      </c>
      <c r="HW357" t="s">
        <v>1321</v>
      </c>
      <c r="HY357" t="s">
        <v>1321</v>
      </c>
      <c r="IA357" t="s">
        <v>1321</v>
      </c>
      <c r="IC357" t="s">
        <v>1321</v>
      </c>
      <c r="ID357" t="s">
        <v>1321</v>
      </c>
      <c r="IG357" t="s">
        <v>1321</v>
      </c>
      <c r="II357" t="s">
        <v>1321</v>
      </c>
      <c r="IJ357" t="s">
        <v>1321</v>
      </c>
      <c r="IL357">
        <f t="shared" si="9"/>
        <v>34</v>
      </c>
    </row>
    <row r="358" spans="1:246" outlineLevel="1" x14ac:dyDescent="0.2">
      <c r="A358" t="str">
        <f t="shared" si="8"/>
        <v>Band und Fessel</v>
      </c>
      <c r="E358">
        <v>2</v>
      </c>
      <c r="P358" t="s">
        <v>1321</v>
      </c>
      <c r="Q358" t="s">
        <v>1321</v>
      </c>
      <c r="R358" t="s">
        <v>1321</v>
      </c>
      <c r="S358" t="s">
        <v>1321</v>
      </c>
      <c r="T358" t="s">
        <v>1321</v>
      </c>
      <c r="U358" t="s">
        <v>1321</v>
      </c>
      <c r="V358" t="s">
        <v>1321</v>
      </c>
      <c r="W358" t="s">
        <v>1321</v>
      </c>
      <c r="X358" t="s">
        <v>1321</v>
      </c>
      <c r="Y358" t="s">
        <v>1321</v>
      </c>
      <c r="Z358" t="s">
        <v>1321</v>
      </c>
      <c r="AA358" t="s">
        <v>1321</v>
      </c>
      <c r="AB358" t="s">
        <v>1321</v>
      </c>
      <c r="AC358" t="s">
        <v>1321</v>
      </c>
      <c r="AD358" t="s">
        <v>1321</v>
      </c>
      <c r="AE358" t="s">
        <v>1321</v>
      </c>
      <c r="AF358" t="s">
        <v>1321</v>
      </c>
      <c r="AG358" t="s">
        <v>1321</v>
      </c>
      <c r="AH358" t="s">
        <v>1321</v>
      </c>
      <c r="AI358" t="s">
        <v>1321</v>
      </c>
      <c r="AJ358" t="s">
        <v>1321</v>
      </c>
      <c r="AK358" t="s">
        <v>1321</v>
      </c>
      <c r="AL358" t="s">
        <v>1321</v>
      </c>
      <c r="AM358" t="s">
        <v>1321</v>
      </c>
      <c r="AN358" t="s">
        <v>1321</v>
      </c>
      <c r="AO358" t="s">
        <v>1321</v>
      </c>
      <c r="AP358" t="s">
        <v>1321</v>
      </c>
      <c r="AQ358" t="s">
        <v>1321</v>
      </c>
      <c r="AR358" t="s">
        <v>1321</v>
      </c>
      <c r="AS358" t="s">
        <v>1321</v>
      </c>
      <c r="AZ358" t="s">
        <v>1321</v>
      </c>
      <c r="BA358" t="s">
        <v>1321</v>
      </c>
      <c r="BB358" t="s">
        <v>1321</v>
      </c>
      <c r="BC358" t="s">
        <v>1321</v>
      </c>
      <c r="BD358" t="s">
        <v>1321</v>
      </c>
      <c r="BE358" t="s">
        <v>1321</v>
      </c>
      <c r="BF358" t="s">
        <v>1321</v>
      </c>
      <c r="BG358" t="s">
        <v>1321</v>
      </c>
      <c r="DL358">
        <v>4</v>
      </c>
      <c r="DM358" t="s">
        <v>2515</v>
      </c>
      <c r="DN358">
        <v>3</v>
      </c>
      <c r="DO358">
        <v>2</v>
      </c>
      <c r="DT358" t="s">
        <v>1321</v>
      </c>
      <c r="DZ358" t="s">
        <v>2516</v>
      </c>
      <c r="EK358" t="s">
        <v>1321</v>
      </c>
      <c r="EL358">
        <v>4</v>
      </c>
      <c r="EZ358" t="s">
        <v>4569</v>
      </c>
      <c r="FA358" t="s">
        <v>4569</v>
      </c>
      <c r="FM358" t="s">
        <v>4569</v>
      </c>
      <c r="FO358">
        <v>2</v>
      </c>
      <c r="FP358" t="s">
        <v>4569</v>
      </c>
      <c r="FQ358" t="s">
        <v>4569</v>
      </c>
      <c r="FR358" t="s">
        <v>4569</v>
      </c>
      <c r="FS358" t="s">
        <v>4569</v>
      </c>
      <c r="FT358" t="s">
        <v>1321</v>
      </c>
      <c r="IL358">
        <f t="shared" si="9"/>
        <v>35</v>
      </c>
    </row>
    <row r="359" spans="1:246" outlineLevel="1" x14ac:dyDescent="0.2">
      <c r="A359" t="str">
        <f t="shared" si="8"/>
        <v>Bannbaladin</v>
      </c>
      <c r="P359" t="s">
        <v>1321</v>
      </c>
      <c r="Q359" t="s">
        <v>1321</v>
      </c>
      <c r="R359" t="s">
        <v>1321</v>
      </c>
      <c r="S359" t="s">
        <v>1321</v>
      </c>
      <c r="T359" t="s">
        <v>1321</v>
      </c>
      <c r="U359" t="s">
        <v>1321</v>
      </c>
      <c r="V359" t="s">
        <v>1321</v>
      </c>
      <c r="W359" t="s">
        <v>1321</v>
      </c>
      <c r="X359" t="s">
        <v>1321</v>
      </c>
      <c r="Y359" t="s">
        <v>1321</v>
      </c>
      <c r="Z359" t="s">
        <v>1321</v>
      </c>
      <c r="AA359" t="s">
        <v>1321</v>
      </c>
      <c r="AB359" t="s">
        <v>1321</v>
      </c>
      <c r="AC359" t="s">
        <v>1321</v>
      </c>
      <c r="AD359" t="s">
        <v>1321</v>
      </c>
      <c r="AE359" t="s">
        <v>1321</v>
      </c>
      <c r="AF359" t="s">
        <v>1321</v>
      </c>
      <c r="AG359" t="s">
        <v>1321</v>
      </c>
      <c r="AH359" t="s">
        <v>1321</v>
      </c>
      <c r="AI359" t="s">
        <v>1321</v>
      </c>
      <c r="AJ359" t="s">
        <v>1321</v>
      </c>
      <c r="AK359" t="s">
        <v>1321</v>
      </c>
      <c r="AL359" t="s">
        <v>1321</v>
      </c>
      <c r="AM359" t="s">
        <v>1321</v>
      </c>
      <c r="AN359" t="s">
        <v>1321</v>
      </c>
      <c r="AO359" t="s">
        <v>1321</v>
      </c>
      <c r="AP359" t="s">
        <v>1321</v>
      </c>
      <c r="AQ359" t="s">
        <v>1321</v>
      </c>
      <c r="AR359" t="s">
        <v>1321</v>
      </c>
      <c r="AS359" t="s">
        <v>1321</v>
      </c>
      <c r="BB359">
        <v>3</v>
      </c>
      <c r="BF359" t="s">
        <v>1321</v>
      </c>
      <c r="CW359">
        <v>3</v>
      </c>
      <c r="CX359" t="s">
        <v>1321</v>
      </c>
      <c r="CY359">
        <v>2</v>
      </c>
      <c r="DA359">
        <v>2</v>
      </c>
      <c r="DB359" t="s">
        <v>1321</v>
      </c>
      <c r="DC359" t="s">
        <v>1321</v>
      </c>
      <c r="DD359" t="s">
        <v>1321</v>
      </c>
      <c r="DE359" t="s">
        <v>1321</v>
      </c>
      <c r="DF359" t="s">
        <v>1321</v>
      </c>
      <c r="DG359" t="s">
        <v>1321</v>
      </c>
      <c r="DH359" t="s">
        <v>1321</v>
      </c>
      <c r="DI359" t="s">
        <v>1321</v>
      </c>
      <c r="DJ359" t="s">
        <v>1321</v>
      </c>
      <c r="DK359" t="s">
        <v>1321</v>
      </c>
      <c r="DL359">
        <v>2</v>
      </c>
      <c r="DM359" t="s">
        <v>2514</v>
      </c>
      <c r="DN359" t="s">
        <v>2514</v>
      </c>
      <c r="DO359">
        <v>4</v>
      </c>
      <c r="DP359" t="s">
        <v>1321</v>
      </c>
      <c r="DQ359" t="s">
        <v>1321</v>
      </c>
      <c r="DT359" t="s">
        <v>1321</v>
      </c>
      <c r="DU359" t="s">
        <v>1321</v>
      </c>
      <c r="DV359" t="s">
        <v>1321</v>
      </c>
      <c r="DW359" t="s">
        <v>1321</v>
      </c>
      <c r="DX359" t="s">
        <v>1321</v>
      </c>
      <c r="DY359" t="s">
        <v>1321</v>
      </c>
      <c r="DZ359" t="s">
        <v>2515</v>
      </c>
      <c r="EA359">
        <v>2</v>
      </c>
      <c r="EB359" t="s">
        <v>1321</v>
      </c>
      <c r="EC359" t="s">
        <v>1321</v>
      </c>
      <c r="ED359" t="s">
        <v>1321</v>
      </c>
      <c r="EE359" t="s">
        <v>2514</v>
      </c>
      <c r="EF359">
        <v>3</v>
      </c>
      <c r="EG359" t="s">
        <v>1321</v>
      </c>
      <c r="EH359" t="s">
        <v>1321</v>
      </c>
      <c r="EI359" t="s">
        <v>1321</v>
      </c>
      <c r="EJ359">
        <v>3</v>
      </c>
      <c r="EK359" t="s">
        <v>1321</v>
      </c>
      <c r="EL359" t="s">
        <v>1321</v>
      </c>
      <c r="EM359">
        <v>2</v>
      </c>
      <c r="EN359" t="s">
        <v>1321</v>
      </c>
      <c r="EO359" t="s">
        <v>1321</v>
      </c>
      <c r="EP359" t="s">
        <v>1321</v>
      </c>
      <c r="ER359" t="s">
        <v>1321</v>
      </c>
      <c r="ES359" t="s">
        <v>1321</v>
      </c>
      <c r="ET359">
        <v>3</v>
      </c>
      <c r="EU359" t="s">
        <v>1321</v>
      </c>
      <c r="EV359" t="s">
        <v>1321</v>
      </c>
      <c r="EW359" t="s">
        <v>1321</v>
      </c>
      <c r="EY359" t="s">
        <v>1321</v>
      </c>
      <c r="EZ359" t="s">
        <v>1321</v>
      </c>
      <c r="FA359" t="s">
        <v>1321</v>
      </c>
      <c r="FB359" t="s">
        <v>1321</v>
      </c>
      <c r="FC359" t="s">
        <v>1321</v>
      </c>
      <c r="FD359" t="s">
        <v>1321</v>
      </c>
      <c r="FE359">
        <v>4</v>
      </c>
      <c r="FF359" t="s">
        <v>1321</v>
      </c>
      <c r="FG359" t="s">
        <v>1321</v>
      </c>
      <c r="FH359" t="s">
        <v>1321</v>
      </c>
      <c r="FI359" t="s">
        <v>1321</v>
      </c>
      <c r="FJ359" t="s">
        <v>1321</v>
      </c>
      <c r="FK359" t="s">
        <v>1321</v>
      </c>
      <c r="FM359" t="s">
        <v>1321</v>
      </c>
      <c r="FN359" t="s">
        <v>1321</v>
      </c>
      <c r="FO359" t="s">
        <v>1321</v>
      </c>
      <c r="FP359" t="s">
        <v>1321</v>
      </c>
      <c r="FQ359" t="s">
        <v>1321</v>
      </c>
      <c r="FR359" t="s">
        <v>1321</v>
      </c>
      <c r="FS359" t="s">
        <v>1321</v>
      </c>
      <c r="FT359" t="s">
        <v>1321</v>
      </c>
      <c r="FU359" t="s">
        <v>1321</v>
      </c>
      <c r="FV359" t="s">
        <v>1321</v>
      </c>
      <c r="GB359" t="s">
        <v>2515</v>
      </c>
      <c r="IL359">
        <f t="shared" si="9"/>
        <v>36</v>
      </c>
    </row>
    <row r="360" spans="1:246" outlineLevel="1" x14ac:dyDescent="0.2">
      <c r="A360" t="str">
        <f t="shared" si="8"/>
        <v>Bärenruhe Winterschlaf</v>
      </c>
      <c r="P360" t="s">
        <v>1321</v>
      </c>
      <c r="Q360" t="s">
        <v>1321</v>
      </c>
      <c r="R360" t="s">
        <v>1321</v>
      </c>
      <c r="S360" t="s">
        <v>1321</v>
      </c>
      <c r="T360" t="s">
        <v>1321</v>
      </c>
      <c r="U360" t="s">
        <v>1321</v>
      </c>
      <c r="V360" t="s">
        <v>1321</v>
      </c>
      <c r="W360" t="s">
        <v>1321</v>
      </c>
      <c r="X360" t="s">
        <v>1321</v>
      </c>
      <c r="Y360" t="s">
        <v>1321</v>
      </c>
      <c r="Z360" t="s">
        <v>1321</v>
      </c>
      <c r="AA360" t="s">
        <v>1321</v>
      </c>
      <c r="AB360" t="s">
        <v>1321</v>
      </c>
      <c r="AC360" t="s">
        <v>1321</v>
      </c>
      <c r="AD360" t="s">
        <v>1321</v>
      </c>
      <c r="AE360" t="s">
        <v>1321</v>
      </c>
      <c r="AF360" t="s">
        <v>1321</v>
      </c>
      <c r="AG360" t="s">
        <v>1321</v>
      </c>
      <c r="AH360" t="s">
        <v>1321</v>
      </c>
      <c r="AI360" t="s">
        <v>1321</v>
      </c>
      <c r="AJ360" t="s">
        <v>1321</v>
      </c>
      <c r="AK360" t="s">
        <v>1321</v>
      </c>
      <c r="AL360" t="s">
        <v>1321</v>
      </c>
      <c r="AM360" t="s">
        <v>1321</v>
      </c>
      <c r="AN360" t="s">
        <v>1321</v>
      </c>
      <c r="AO360" t="s">
        <v>1321</v>
      </c>
      <c r="AP360" t="s">
        <v>1321</v>
      </c>
      <c r="AQ360" t="s">
        <v>1321</v>
      </c>
      <c r="AR360" t="s">
        <v>1321</v>
      </c>
      <c r="AS360" t="s">
        <v>1321</v>
      </c>
      <c r="CB360" t="s">
        <v>1321</v>
      </c>
      <c r="CD360" t="s">
        <v>1321</v>
      </c>
      <c r="CE360" t="s">
        <v>1321</v>
      </c>
      <c r="CK360" t="s">
        <v>1321</v>
      </c>
      <c r="DD360" t="s">
        <v>1321</v>
      </c>
      <c r="DE360" t="s">
        <v>1321</v>
      </c>
      <c r="EH360" t="s">
        <v>1321</v>
      </c>
      <c r="EI360" t="s">
        <v>1321</v>
      </c>
      <c r="EZ360" t="s">
        <v>4569</v>
      </c>
      <c r="FA360" t="s">
        <v>4569</v>
      </c>
      <c r="FM360" t="s">
        <v>4569</v>
      </c>
      <c r="FP360" t="s">
        <v>4569</v>
      </c>
      <c r="FQ360" t="s">
        <v>4569</v>
      </c>
      <c r="FR360" t="s">
        <v>4569</v>
      </c>
      <c r="FS360" t="s">
        <v>4569</v>
      </c>
      <c r="FT360" t="s">
        <v>1321</v>
      </c>
      <c r="IL360">
        <f t="shared" si="9"/>
        <v>37</v>
      </c>
    </row>
    <row r="361" spans="1:246" outlineLevel="1" x14ac:dyDescent="0.2">
      <c r="A361" t="str">
        <f t="shared" si="8"/>
        <v>Beherrschung brechen</v>
      </c>
      <c r="C361" t="s">
        <v>1321</v>
      </c>
      <c r="D361" t="s">
        <v>1321</v>
      </c>
      <c r="E361" t="s">
        <v>1321</v>
      </c>
      <c r="F361" t="s">
        <v>1321</v>
      </c>
      <c r="G361" t="s">
        <v>2516</v>
      </c>
      <c r="H361" t="s">
        <v>1321</v>
      </c>
      <c r="I361" t="s">
        <v>1321</v>
      </c>
      <c r="J361" t="s">
        <v>1321</v>
      </c>
      <c r="K361" t="s">
        <v>1321</v>
      </c>
      <c r="L361" t="s">
        <v>1321</v>
      </c>
      <c r="M361" t="s">
        <v>1321</v>
      </c>
      <c r="N361" t="s">
        <v>1321</v>
      </c>
      <c r="P361" t="s">
        <v>1321</v>
      </c>
      <c r="Q361" t="s">
        <v>1321</v>
      </c>
      <c r="R361" t="s">
        <v>1321</v>
      </c>
      <c r="S361" t="s">
        <v>1321</v>
      </c>
      <c r="T361" t="s">
        <v>1321</v>
      </c>
      <c r="U361" t="s">
        <v>1321</v>
      </c>
      <c r="V361" t="s">
        <v>1321</v>
      </c>
      <c r="W361" t="s">
        <v>1321</v>
      </c>
      <c r="X361" t="s">
        <v>1321</v>
      </c>
      <c r="Y361" t="s">
        <v>1321</v>
      </c>
      <c r="Z361" t="s">
        <v>1321</v>
      </c>
      <c r="AA361" t="s">
        <v>1321</v>
      </c>
      <c r="AB361" t="s">
        <v>1321</v>
      </c>
      <c r="AC361" t="s">
        <v>1321</v>
      </c>
      <c r="AD361" t="s">
        <v>1321</v>
      </c>
      <c r="AE361" t="s">
        <v>1321</v>
      </c>
      <c r="AF361" t="s">
        <v>1321</v>
      </c>
      <c r="AG361" t="s">
        <v>1321</v>
      </c>
      <c r="AH361" t="s">
        <v>1321</v>
      </c>
      <c r="AI361" t="s">
        <v>1321</v>
      </c>
      <c r="AJ361" t="s">
        <v>1321</v>
      </c>
      <c r="AK361" t="s">
        <v>1321</v>
      </c>
      <c r="AL361" t="s">
        <v>1321</v>
      </c>
      <c r="AM361" t="s">
        <v>1321</v>
      </c>
      <c r="AN361" t="s">
        <v>1321</v>
      </c>
      <c r="AO361" t="s">
        <v>1321</v>
      </c>
      <c r="AP361" t="s">
        <v>1321</v>
      </c>
      <c r="AQ361" t="s">
        <v>1321</v>
      </c>
      <c r="AR361" t="s">
        <v>1321</v>
      </c>
      <c r="AS361" t="s">
        <v>1321</v>
      </c>
      <c r="AU361" t="s">
        <v>1321</v>
      </c>
      <c r="AV361">
        <v>4</v>
      </c>
      <c r="AW361">
        <v>4</v>
      </c>
      <c r="AX361" t="s">
        <v>1321</v>
      </c>
      <c r="AZ361" t="s">
        <v>1321</v>
      </c>
      <c r="BA361">
        <v>3</v>
      </c>
      <c r="BB361" t="s">
        <v>1321</v>
      </c>
      <c r="BC361" t="s">
        <v>1321</v>
      </c>
      <c r="BD361" t="s">
        <v>1321</v>
      </c>
      <c r="BE361" t="s">
        <v>1321</v>
      </c>
      <c r="BF361" t="s">
        <v>1321</v>
      </c>
      <c r="BG361" t="s">
        <v>1321</v>
      </c>
      <c r="BI361" t="s">
        <v>1321</v>
      </c>
      <c r="BJ361" t="s">
        <v>1321</v>
      </c>
      <c r="CW361" t="s">
        <v>1321</v>
      </c>
      <c r="CX361" t="s">
        <v>1321</v>
      </c>
      <c r="CY361" t="s">
        <v>1321</v>
      </c>
      <c r="CZ361" t="s">
        <v>1321</v>
      </c>
      <c r="DA361" t="s">
        <v>1321</v>
      </c>
      <c r="DB361" t="s">
        <v>1321</v>
      </c>
      <c r="DC361" t="s">
        <v>1321</v>
      </c>
      <c r="DD361" t="s">
        <v>1321</v>
      </c>
      <c r="DE361" t="s">
        <v>1321</v>
      </c>
      <c r="DF361" t="s">
        <v>1321</v>
      </c>
      <c r="DG361" t="s">
        <v>1321</v>
      </c>
      <c r="DH361" t="s">
        <v>1321</v>
      </c>
      <c r="DI361" t="s">
        <v>1321</v>
      </c>
      <c r="DJ361" t="s">
        <v>1321</v>
      </c>
      <c r="DK361" t="s">
        <v>1321</v>
      </c>
      <c r="DL361" t="s">
        <v>1321</v>
      </c>
      <c r="DM361" t="s">
        <v>2515</v>
      </c>
      <c r="DN361" t="s">
        <v>2516</v>
      </c>
      <c r="DO361" t="s">
        <v>2516</v>
      </c>
      <c r="DP361" t="s">
        <v>2515</v>
      </c>
      <c r="DQ361" t="s">
        <v>1321</v>
      </c>
      <c r="DR361" t="s">
        <v>1321</v>
      </c>
      <c r="DS361">
        <v>2</v>
      </c>
      <c r="DT361" t="s">
        <v>1321</v>
      </c>
      <c r="DU361" t="s">
        <v>1321</v>
      </c>
      <c r="DV361" t="s">
        <v>1321</v>
      </c>
      <c r="DW361" t="s">
        <v>1321</v>
      </c>
      <c r="DX361" t="s">
        <v>2516</v>
      </c>
      <c r="DY361" t="s">
        <v>1321</v>
      </c>
      <c r="DZ361" t="s">
        <v>2516</v>
      </c>
      <c r="EA361" t="s">
        <v>1321</v>
      </c>
      <c r="EC361" t="s">
        <v>1321</v>
      </c>
      <c r="ED361" t="s">
        <v>1321</v>
      </c>
      <c r="EE361" t="s">
        <v>2516</v>
      </c>
      <c r="EF361">
        <v>3</v>
      </c>
      <c r="EG361" t="s">
        <v>1321</v>
      </c>
      <c r="EH361" t="s">
        <v>1321</v>
      </c>
      <c r="EI361" t="s">
        <v>1321</v>
      </c>
      <c r="EJ361" t="s">
        <v>2514</v>
      </c>
      <c r="EK361" t="s">
        <v>1321</v>
      </c>
      <c r="EL361" t="s">
        <v>1321</v>
      </c>
      <c r="EM361" t="s">
        <v>1321</v>
      </c>
      <c r="EN361" t="s">
        <v>1321</v>
      </c>
      <c r="EO361" t="s">
        <v>1321</v>
      </c>
      <c r="EP361" t="s">
        <v>1321</v>
      </c>
      <c r="EQ361">
        <v>3</v>
      </c>
      <c r="ER361" t="s">
        <v>4901</v>
      </c>
      <c r="ES361" t="s">
        <v>1321</v>
      </c>
      <c r="ET361">
        <v>3</v>
      </c>
      <c r="EU361" t="s">
        <v>1321</v>
      </c>
      <c r="EV361">
        <v>3</v>
      </c>
      <c r="EW361" t="s">
        <v>2515</v>
      </c>
      <c r="EY361" t="s">
        <v>1321</v>
      </c>
      <c r="EZ361" t="s">
        <v>1321</v>
      </c>
      <c r="FA361" t="s">
        <v>1321</v>
      </c>
      <c r="FB361" t="s">
        <v>1321</v>
      </c>
      <c r="FC361" t="s">
        <v>1321</v>
      </c>
      <c r="FD361" t="s">
        <v>1321</v>
      </c>
      <c r="FE361" t="s">
        <v>1321</v>
      </c>
      <c r="FF361" t="s">
        <v>1321</v>
      </c>
      <c r="FG361" t="s">
        <v>1321</v>
      </c>
      <c r="FH361" t="s">
        <v>1321</v>
      </c>
      <c r="FI361" t="s">
        <v>1321</v>
      </c>
      <c r="FJ361" t="s">
        <v>1321</v>
      </c>
      <c r="FK361" t="s">
        <v>1321</v>
      </c>
      <c r="FM361" t="s">
        <v>1321</v>
      </c>
      <c r="FN361" t="s">
        <v>1321</v>
      </c>
      <c r="FO361" t="s">
        <v>1321</v>
      </c>
      <c r="FP361" t="s">
        <v>1321</v>
      </c>
      <c r="FQ361" t="s">
        <v>1321</v>
      </c>
      <c r="FR361" t="s">
        <v>1321</v>
      </c>
      <c r="FS361" t="s">
        <v>1321</v>
      </c>
      <c r="FT361" t="s">
        <v>1321</v>
      </c>
      <c r="FU361">
        <v>2</v>
      </c>
      <c r="FV361" t="s">
        <v>1321</v>
      </c>
      <c r="IL361">
        <f t="shared" si="9"/>
        <v>38</v>
      </c>
    </row>
    <row r="362" spans="1:246" outlineLevel="1" x14ac:dyDescent="0.2">
      <c r="A362" t="str">
        <f t="shared" si="8"/>
        <v>Belhalharbann</v>
      </c>
      <c r="EZ362" t="s">
        <v>4569</v>
      </c>
      <c r="FA362" t="s">
        <v>4569</v>
      </c>
      <c r="FM362" t="s">
        <v>4569</v>
      </c>
      <c r="FP362" t="s">
        <v>4569</v>
      </c>
      <c r="FQ362" t="s">
        <v>4569</v>
      </c>
      <c r="FR362" t="s">
        <v>4569</v>
      </c>
      <c r="FS362" t="s">
        <v>4569</v>
      </c>
      <c r="IL362">
        <f t="shared" si="9"/>
        <v>39</v>
      </c>
    </row>
    <row r="363" spans="1:246" outlineLevel="1" x14ac:dyDescent="0.2">
      <c r="A363" t="str">
        <f t="shared" si="8"/>
        <v>Belkelelbann</v>
      </c>
      <c r="EZ363" t="s">
        <v>4569</v>
      </c>
      <c r="FA363" t="s">
        <v>4569</v>
      </c>
      <c r="FM363" t="s">
        <v>4569</v>
      </c>
      <c r="FP363" t="s">
        <v>4569</v>
      </c>
      <c r="FQ363" t="s">
        <v>4569</v>
      </c>
      <c r="FR363" t="s">
        <v>4569</v>
      </c>
      <c r="FS363" t="s">
        <v>4569</v>
      </c>
      <c r="IL363">
        <f t="shared" si="9"/>
        <v>40</v>
      </c>
    </row>
    <row r="364" spans="1:246" outlineLevel="1" x14ac:dyDescent="0.2">
      <c r="A364" t="str">
        <f t="shared" si="8"/>
        <v>Beschwörung vereiteln</v>
      </c>
      <c r="DC364" t="s">
        <v>1321</v>
      </c>
      <c r="EJ364" t="s">
        <v>1321</v>
      </c>
      <c r="EK364" t="s">
        <v>1321</v>
      </c>
      <c r="EL364" t="s">
        <v>1321</v>
      </c>
      <c r="EY364">
        <v>4</v>
      </c>
      <c r="EZ364" t="s">
        <v>4569</v>
      </c>
      <c r="FA364" t="s">
        <v>4569</v>
      </c>
      <c r="FM364" t="s">
        <v>4569</v>
      </c>
      <c r="FP364">
        <v>2</v>
      </c>
      <c r="FQ364">
        <v>2</v>
      </c>
      <c r="FR364">
        <v>2</v>
      </c>
      <c r="FS364">
        <v>2</v>
      </c>
      <c r="FU364">
        <v>2</v>
      </c>
      <c r="IL364">
        <f t="shared" si="9"/>
        <v>41</v>
      </c>
    </row>
    <row r="365" spans="1:246" outlineLevel="1" x14ac:dyDescent="0.2">
      <c r="A365" t="str">
        <f t="shared" si="8"/>
        <v>Bewegung stören</v>
      </c>
      <c r="P365" t="s">
        <v>1321</v>
      </c>
      <c r="Q365" t="s">
        <v>1321</v>
      </c>
      <c r="R365" t="s">
        <v>1321</v>
      </c>
      <c r="S365" t="s">
        <v>1321</v>
      </c>
      <c r="T365" t="s">
        <v>1321</v>
      </c>
      <c r="U365" t="s">
        <v>1321</v>
      </c>
      <c r="V365" t="s">
        <v>1321</v>
      </c>
      <c r="W365" t="s">
        <v>1321</v>
      </c>
      <c r="X365" t="s">
        <v>1321</v>
      </c>
      <c r="Y365" t="s">
        <v>1321</v>
      </c>
      <c r="Z365" t="s">
        <v>1321</v>
      </c>
      <c r="AA365" t="s">
        <v>1321</v>
      </c>
      <c r="AB365" t="s">
        <v>1321</v>
      </c>
      <c r="AC365" t="s">
        <v>1321</v>
      </c>
      <c r="AD365" t="s">
        <v>1321</v>
      </c>
      <c r="AE365" t="s">
        <v>1321</v>
      </c>
      <c r="AF365" t="s">
        <v>1321</v>
      </c>
      <c r="AG365" t="s">
        <v>1321</v>
      </c>
      <c r="AH365" t="s">
        <v>1321</v>
      </c>
      <c r="AI365" t="s">
        <v>1321</v>
      </c>
      <c r="AJ365" t="s">
        <v>1321</v>
      </c>
      <c r="AK365" t="s">
        <v>1321</v>
      </c>
      <c r="AL365" t="s">
        <v>1321</v>
      </c>
      <c r="AM365" t="s">
        <v>1321</v>
      </c>
      <c r="AN365" t="s">
        <v>1321</v>
      </c>
      <c r="AO365" t="s">
        <v>1321</v>
      </c>
      <c r="AP365" t="s">
        <v>1321</v>
      </c>
      <c r="AQ365" t="s">
        <v>1321</v>
      </c>
      <c r="AR365" t="s">
        <v>1321</v>
      </c>
      <c r="AS365" t="s">
        <v>1321</v>
      </c>
      <c r="BD365" t="s">
        <v>1321</v>
      </c>
      <c r="CW365" t="s">
        <v>1321</v>
      </c>
      <c r="CX365" t="s">
        <v>1321</v>
      </c>
      <c r="CY365" t="s">
        <v>1321</v>
      </c>
      <c r="CZ365" t="s">
        <v>1321</v>
      </c>
      <c r="DA365">
        <v>3</v>
      </c>
      <c r="DB365" t="s">
        <v>1321</v>
      </c>
      <c r="DC365" t="s">
        <v>1321</v>
      </c>
      <c r="DD365" t="s">
        <v>1321</v>
      </c>
      <c r="DE365" t="s">
        <v>1321</v>
      </c>
      <c r="DL365" t="s">
        <v>1321</v>
      </c>
      <c r="DM365" t="s">
        <v>1321</v>
      </c>
      <c r="DN365" t="s">
        <v>1321</v>
      </c>
      <c r="DO365" t="s">
        <v>1321</v>
      </c>
      <c r="DP365" t="s">
        <v>2516</v>
      </c>
      <c r="DQ365" t="s">
        <v>1321</v>
      </c>
      <c r="DR365" t="s">
        <v>1321</v>
      </c>
      <c r="DS365">
        <v>2</v>
      </c>
      <c r="DT365" t="s">
        <v>1321</v>
      </c>
      <c r="DU365" t="s">
        <v>1321</v>
      </c>
      <c r="DV365" t="s">
        <v>1321</v>
      </c>
      <c r="DW365" t="s">
        <v>1321</v>
      </c>
      <c r="DX365" t="s">
        <v>4901</v>
      </c>
      <c r="DY365" t="s">
        <v>1321</v>
      </c>
      <c r="DZ365" t="s">
        <v>1321</v>
      </c>
      <c r="EA365" t="s">
        <v>1321</v>
      </c>
      <c r="EB365" t="s">
        <v>1321</v>
      </c>
      <c r="EC365" t="s">
        <v>1321</v>
      </c>
      <c r="ED365" t="s">
        <v>1321</v>
      </c>
      <c r="EE365" t="s">
        <v>1321</v>
      </c>
      <c r="EF365" t="s">
        <v>1321</v>
      </c>
      <c r="EG365" t="s">
        <v>1321</v>
      </c>
      <c r="EH365" t="s">
        <v>1321</v>
      </c>
      <c r="EI365" t="s">
        <v>1321</v>
      </c>
      <c r="EJ365" t="s">
        <v>1321</v>
      </c>
      <c r="EK365" t="s">
        <v>1321</v>
      </c>
      <c r="EL365" t="s">
        <v>1321</v>
      </c>
      <c r="EM365" t="s">
        <v>1321</v>
      </c>
      <c r="EN365" t="s">
        <v>1321</v>
      </c>
      <c r="EO365" t="s">
        <v>1321</v>
      </c>
      <c r="EP365" t="s">
        <v>1321</v>
      </c>
      <c r="EQ365" t="s">
        <v>1321</v>
      </c>
      <c r="ER365" t="s">
        <v>1321</v>
      </c>
      <c r="ES365" t="s">
        <v>1321</v>
      </c>
      <c r="ET365" t="s">
        <v>1321</v>
      </c>
      <c r="EU365" t="s">
        <v>1321</v>
      </c>
      <c r="EV365" t="s">
        <v>1321</v>
      </c>
      <c r="EW365" t="s">
        <v>1321</v>
      </c>
      <c r="EY365" t="s">
        <v>1321</v>
      </c>
      <c r="EZ365" t="s">
        <v>1321</v>
      </c>
      <c r="FA365" t="s">
        <v>1321</v>
      </c>
      <c r="FB365" t="s">
        <v>1321</v>
      </c>
      <c r="FC365" t="s">
        <v>1321</v>
      </c>
      <c r="FD365" t="s">
        <v>1321</v>
      </c>
      <c r="FE365" t="s">
        <v>1321</v>
      </c>
      <c r="FG365" t="s">
        <v>1321</v>
      </c>
      <c r="FH365" t="s">
        <v>1321</v>
      </c>
      <c r="FI365" t="s">
        <v>1321</v>
      </c>
      <c r="FJ365" t="s">
        <v>1321</v>
      </c>
      <c r="FK365" t="s">
        <v>1321</v>
      </c>
      <c r="FL365" t="s">
        <v>1321</v>
      </c>
      <c r="FM365" t="s">
        <v>1321</v>
      </c>
      <c r="FN365" t="s">
        <v>1321</v>
      </c>
      <c r="FO365" t="s">
        <v>1321</v>
      </c>
      <c r="FP365" t="s">
        <v>1321</v>
      </c>
      <c r="FQ365" t="s">
        <v>1321</v>
      </c>
      <c r="FR365" t="s">
        <v>1321</v>
      </c>
      <c r="FS365" t="s">
        <v>1321</v>
      </c>
      <c r="FT365" t="s">
        <v>1321</v>
      </c>
      <c r="GF365" t="s">
        <v>1321</v>
      </c>
      <c r="GG365" t="s">
        <v>1321</v>
      </c>
      <c r="GH365" t="s">
        <v>1321</v>
      </c>
      <c r="GI365" t="s">
        <v>1321</v>
      </c>
      <c r="GJ365" t="s">
        <v>1321</v>
      </c>
      <c r="GK365" t="s">
        <v>1321</v>
      </c>
      <c r="GL365" t="s">
        <v>1321</v>
      </c>
      <c r="IL365">
        <f t="shared" si="9"/>
        <v>42</v>
      </c>
    </row>
    <row r="366" spans="1:246" outlineLevel="1" x14ac:dyDescent="0.2">
      <c r="A366" t="str">
        <f t="shared" si="8"/>
        <v>Blakharaz-Bann</v>
      </c>
      <c r="EZ366" t="s">
        <v>4569</v>
      </c>
      <c r="FA366" t="s">
        <v>4569</v>
      </c>
      <c r="FM366" t="s">
        <v>4569</v>
      </c>
      <c r="FP366" t="s">
        <v>4569</v>
      </c>
      <c r="FQ366" t="s">
        <v>4569</v>
      </c>
      <c r="FR366" t="s">
        <v>4569</v>
      </c>
      <c r="FS366" t="s">
        <v>4569</v>
      </c>
      <c r="IL366">
        <f t="shared" si="9"/>
        <v>43</v>
      </c>
    </row>
    <row r="367" spans="1:246" outlineLevel="1" x14ac:dyDescent="0.2">
      <c r="A367" t="str">
        <f t="shared" si="8"/>
        <v>Blendwerk</v>
      </c>
      <c r="DU367" t="s">
        <v>1321</v>
      </c>
      <c r="EU367" t="s">
        <v>1321</v>
      </c>
      <c r="EZ367" t="s">
        <v>4569</v>
      </c>
      <c r="FA367" t="s">
        <v>4569</v>
      </c>
      <c r="FM367" t="s">
        <v>4569</v>
      </c>
      <c r="FP367" t="s">
        <v>4569</v>
      </c>
      <c r="FQ367" t="s">
        <v>4569</v>
      </c>
      <c r="FR367" t="s">
        <v>4569</v>
      </c>
      <c r="FS367" t="s">
        <v>4569</v>
      </c>
      <c r="GA367">
        <v>4</v>
      </c>
      <c r="GC367">
        <v>4</v>
      </c>
      <c r="GF367" t="s">
        <v>2514</v>
      </c>
      <c r="GG367" t="s">
        <v>2514</v>
      </c>
      <c r="GH367" t="s">
        <v>2514</v>
      </c>
      <c r="GI367" t="s">
        <v>2514</v>
      </c>
      <c r="GJ367" t="s">
        <v>2514</v>
      </c>
      <c r="GK367" t="s">
        <v>2514</v>
      </c>
      <c r="GL367" t="s">
        <v>2514</v>
      </c>
      <c r="IL367">
        <f t="shared" si="9"/>
        <v>44</v>
      </c>
    </row>
    <row r="368" spans="1:246" outlineLevel="1" x14ac:dyDescent="0.2">
      <c r="A368" t="str">
        <f t="shared" si="8"/>
        <v>Blick aufs Wesen</v>
      </c>
      <c r="C368" t="s">
        <v>1321</v>
      </c>
      <c r="D368" t="s">
        <v>1321</v>
      </c>
      <c r="E368" t="s">
        <v>1321</v>
      </c>
      <c r="F368" t="s">
        <v>1321</v>
      </c>
      <c r="G368" t="s">
        <v>1321</v>
      </c>
      <c r="H368" t="s">
        <v>1321</v>
      </c>
      <c r="I368" t="s">
        <v>1321</v>
      </c>
      <c r="J368" t="s">
        <v>1321</v>
      </c>
      <c r="K368" t="s">
        <v>1321</v>
      </c>
      <c r="L368" t="s">
        <v>1321</v>
      </c>
      <c r="M368" t="s">
        <v>1321</v>
      </c>
      <c r="N368" t="s">
        <v>1321</v>
      </c>
      <c r="P368" t="s">
        <v>1321</v>
      </c>
      <c r="Q368" t="s">
        <v>1321</v>
      </c>
      <c r="R368" t="s">
        <v>1321</v>
      </c>
      <c r="S368" t="s">
        <v>1321</v>
      </c>
      <c r="T368" t="s">
        <v>1321</v>
      </c>
      <c r="U368" t="s">
        <v>1321</v>
      </c>
      <c r="V368" t="s">
        <v>1321</v>
      </c>
      <c r="W368" t="s">
        <v>1321</v>
      </c>
      <c r="X368" t="s">
        <v>1321</v>
      </c>
      <c r="Y368" t="s">
        <v>1321</v>
      </c>
      <c r="Z368" t="s">
        <v>1321</v>
      </c>
      <c r="AA368" t="s">
        <v>1321</v>
      </c>
      <c r="AB368" t="s">
        <v>1321</v>
      </c>
      <c r="AC368" t="s">
        <v>1321</v>
      </c>
      <c r="AD368" t="s">
        <v>1321</v>
      </c>
      <c r="AE368" t="s">
        <v>1321</v>
      </c>
      <c r="AF368" t="s">
        <v>1321</v>
      </c>
      <c r="AG368" t="s">
        <v>1321</v>
      </c>
      <c r="AH368" t="s">
        <v>1321</v>
      </c>
      <c r="AI368" t="s">
        <v>1321</v>
      </c>
      <c r="AJ368" t="s">
        <v>1321</v>
      </c>
      <c r="AK368" t="s">
        <v>1321</v>
      </c>
      <c r="AL368" t="s">
        <v>1321</v>
      </c>
      <c r="AM368" t="s">
        <v>1321</v>
      </c>
      <c r="AN368" t="s">
        <v>1321</v>
      </c>
      <c r="AO368" t="s">
        <v>1321</v>
      </c>
      <c r="AP368" t="s">
        <v>1321</v>
      </c>
      <c r="AQ368" t="s">
        <v>1321</v>
      </c>
      <c r="AR368" t="s">
        <v>1321</v>
      </c>
      <c r="AS368" t="s">
        <v>1321</v>
      </c>
      <c r="AU368" t="s">
        <v>1321</v>
      </c>
      <c r="AV368" t="s">
        <v>1321</v>
      </c>
      <c r="AW368" t="s">
        <v>1321</v>
      </c>
      <c r="AX368" t="s">
        <v>1321</v>
      </c>
      <c r="AZ368" t="s">
        <v>1321</v>
      </c>
      <c r="BA368" t="s">
        <v>1321</v>
      </c>
      <c r="BB368" t="s">
        <v>1321</v>
      </c>
      <c r="BC368" t="s">
        <v>1321</v>
      </c>
      <c r="BD368">
        <v>3</v>
      </c>
      <c r="BE368" t="s">
        <v>2515</v>
      </c>
      <c r="BF368">
        <v>4</v>
      </c>
      <c r="BG368" t="s">
        <v>1321</v>
      </c>
      <c r="BI368" t="s">
        <v>1321</v>
      </c>
      <c r="BJ368" t="s">
        <v>1321</v>
      </c>
      <c r="CB368" t="s">
        <v>1321</v>
      </c>
      <c r="CD368" t="s">
        <v>1321</v>
      </c>
      <c r="CE368" t="s">
        <v>1321</v>
      </c>
      <c r="CF368" t="s">
        <v>1321</v>
      </c>
      <c r="CG368" t="s">
        <v>1321</v>
      </c>
      <c r="CH368" t="s">
        <v>1321</v>
      </c>
      <c r="CI368" t="s">
        <v>1321</v>
      </c>
      <c r="CK368" t="s">
        <v>1321</v>
      </c>
      <c r="CL368" t="s">
        <v>1321</v>
      </c>
      <c r="CW368" t="s">
        <v>2516</v>
      </c>
      <c r="CX368" t="s">
        <v>1321</v>
      </c>
      <c r="CY368" t="s">
        <v>1321</v>
      </c>
      <c r="CZ368" t="s">
        <v>1321</v>
      </c>
      <c r="DA368" t="s">
        <v>1321</v>
      </c>
      <c r="DB368" t="s">
        <v>1321</v>
      </c>
      <c r="DC368" t="s">
        <v>1321</v>
      </c>
      <c r="DD368" t="s">
        <v>2516</v>
      </c>
      <c r="DE368" t="s">
        <v>1321</v>
      </c>
      <c r="DF368" t="s">
        <v>1321</v>
      </c>
      <c r="DG368" t="s">
        <v>1321</v>
      </c>
      <c r="DH368" t="s">
        <v>1321</v>
      </c>
      <c r="DI368" t="s">
        <v>1321</v>
      </c>
      <c r="DJ368" t="s">
        <v>1321</v>
      </c>
      <c r="DK368" t="s">
        <v>1321</v>
      </c>
      <c r="DL368" t="s">
        <v>2515</v>
      </c>
      <c r="DM368" t="s">
        <v>1321</v>
      </c>
      <c r="DN368" t="s">
        <v>1321</v>
      </c>
      <c r="DO368" t="s">
        <v>1321</v>
      </c>
      <c r="DP368" t="s">
        <v>1321</v>
      </c>
      <c r="DQ368" t="s">
        <v>1321</v>
      </c>
      <c r="DR368" t="s">
        <v>1321</v>
      </c>
      <c r="DS368" t="s">
        <v>1321</v>
      </c>
      <c r="DT368" t="s">
        <v>1321</v>
      </c>
      <c r="DU368" t="s">
        <v>1321</v>
      </c>
      <c r="DV368" t="s">
        <v>1321</v>
      </c>
      <c r="DW368" t="s">
        <v>1321</v>
      </c>
      <c r="DX368">
        <v>2</v>
      </c>
      <c r="DY368" t="s">
        <v>1321</v>
      </c>
      <c r="DZ368" t="s">
        <v>1321</v>
      </c>
      <c r="EA368" t="s">
        <v>1321</v>
      </c>
      <c r="EB368" t="s">
        <v>2515</v>
      </c>
      <c r="EC368" t="s">
        <v>1321</v>
      </c>
      <c r="ED368" t="s">
        <v>1321</v>
      </c>
      <c r="EE368" t="s">
        <v>1321</v>
      </c>
      <c r="EF368" t="s">
        <v>2516</v>
      </c>
      <c r="EG368" t="s">
        <v>1321</v>
      </c>
      <c r="EH368" t="s">
        <v>1321</v>
      </c>
      <c r="EI368" t="s">
        <v>1321</v>
      </c>
      <c r="EJ368" t="s">
        <v>1321</v>
      </c>
      <c r="EK368" t="s">
        <v>1321</v>
      </c>
      <c r="EL368" t="s">
        <v>1321</v>
      </c>
      <c r="EM368" t="s">
        <v>1321</v>
      </c>
      <c r="EN368" t="s">
        <v>1321</v>
      </c>
      <c r="EO368" t="s">
        <v>2514</v>
      </c>
      <c r="EP368" t="s">
        <v>1321</v>
      </c>
      <c r="EQ368" t="s">
        <v>2514</v>
      </c>
      <c r="ER368" t="s">
        <v>1321</v>
      </c>
      <c r="ES368">
        <v>3</v>
      </c>
      <c r="ET368" t="s">
        <v>2515</v>
      </c>
      <c r="EU368" t="s">
        <v>1321</v>
      </c>
      <c r="EV368" t="s">
        <v>1321</v>
      </c>
      <c r="EW368" t="s">
        <v>1321</v>
      </c>
      <c r="EY368" t="s">
        <v>1321</v>
      </c>
      <c r="EZ368" t="s">
        <v>1321</v>
      </c>
      <c r="FA368" t="s">
        <v>1321</v>
      </c>
      <c r="FB368" t="s">
        <v>1321</v>
      </c>
      <c r="FC368" t="s">
        <v>1321</v>
      </c>
      <c r="FD368" t="s">
        <v>1321</v>
      </c>
      <c r="FE368">
        <v>4</v>
      </c>
      <c r="FG368" t="s">
        <v>1321</v>
      </c>
      <c r="FH368" t="s">
        <v>1321</v>
      </c>
      <c r="FI368" t="s">
        <v>1321</v>
      </c>
      <c r="FJ368" t="s">
        <v>1321</v>
      </c>
      <c r="FK368" t="s">
        <v>1321</v>
      </c>
      <c r="FL368" t="s">
        <v>2516</v>
      </c>
      <c r="FM368" t="s">
        <v>1321</v>
      </c>
      <c r="FN368" t="s">
        <v>1321</v>
      </c>
      <c r="FO368" t="s">
        <v>1321</v>
      </c>
      <c r="FP368" t="s">
        <v>1321</v>
      </c>
      <c r="FQ368" t="s">
        <v>1321</v>
      </c>
      <c r="FR368" t="s">
        <v>1321</v>
      </c>
      <c r="FS368" t="s">
        <v>1321</v>
      </c>
      <c r="FT368" t="s">
        <v>1321</v>
      </c>
      <c r="HB368" t="s">
        <v>1321</v>
      </c>
      <c r="HD368" t="s">
        <v>1321</v>
      </c>
      <c r="HF368" t="s">
        <v>1321</v>
      </c>
      <c r="HH368" t="s">
        <v>1321</v>
      </c>
      <c r="HJ368" t="s">
        <v>1321</v>
      </c>
      <c r="HL368" t="s">
        <v>1321</v>
      </c>
      <c r="HN368" t="s">
        <v>1321</v>
      </c>
      <c r="HP368" t="s">
        <v>1321</v>
      </c>
      <c r="HQ368" t="s">
        <v>1321</v>
      </c>
      <c r="HS368" t="s">
        <v>1321</v>
      </c>
      <c r="HU368" t="s">
        <v>1321</v>
      </c>
      <c r="HW368" t="s">
        <v>1321</v>
      </c>
      <c r="HY368" t="s">
        <v>1321</v>
      </c>
      <c r="IA368" t="s">
        <v>1321</v>
      </c>
      <c r="IC368" t="s">
        <v>1321</v>
      </c>
      <c r="ID368" t="s">
        <v>1321</v>
      </c>
      <c r="IG368" t="s">
        <v>1321</v>
      </c>
      <c r="II368" t="s">
        <v>1321</v>
      </c>
      <c r="IK368">
        <v>1</v>
      </c>
      <c r="IL368">
        <f t="shared" si="9"/>
        <v>45</v>
      </c>
    </row>
    <row r="369" spans="1:246" outlineLevel="1" x14ac:dyDescent="0.2">
      <c r="A369" t="str">
        <f t="shared" si="8"/>
        <v>Blick durch fremde Augen</v>
      </c>
      <c r="E369" t="s">
        <v>2516</v>
      </c>
      <c r="F369">
        <v>2</v>
      </c>
      <c r="ES369">
        <v>2</v>
      </c>
      <c r="EZ369" t="s">
        <v>4569</v>
      </c>
      <c r="FA369" t="s">
        <v>4569</v>
      </c>
      <c r="FM369" t="s">
        <v>4569</v>
      </c>
      <c r="FP369" t="s">
        <v>4569</v>
      </c>
      <c r="FQ369" t="s">
        <v>4569</v>
      </c>
      <c r="FR369" t="s">
        <v>4569</v>
      </c>
      <c r="FS369" t="s">
        <v>4569</v>
      </c>
      <c r="IL369">
        <f t="shared" si="9"/>
        <v>46</v>
      </c>
    </row>
    <row r="370" spans="1:246" outlineLevel="1" x14ac:dyDescent="0.2">
      <c r="A370" t="str">
        <f t="shared" si="8"/>
        <v>Blick in die Gedanken</v>
      </c>
      <c r="C370" t="s">
        <v>1321</v>
      </c>
      <c r="D370" t="s">
        <v>1321</v>
      </c>
      <c r="E370" t="s">
        <v>1321</v>
      </c>
      <c r="F370" t="s">
        <v>1321</v>
      </c>
      <c r="G370" t="s">
        <v>1321</v>
      </c>
      <c r="H370" t="s">
        <v>1321</v>
      </c>
      <c r="I370" t="s">
        <v>1321</v>
      </c>
      <c r="J370" t="s">
        <v>1321</v>
      </c>
      <c r="K370" t="s">
        <v>1321</v>
      </c>
      <c r="L370" t="s">
        <v>1321</v>
      </c>
      <c r="M370" t="s">
        <v>1321</v>
      </c>
      <c r="N370" t="s">
        <v>1321</v>
      </c>
      <c r="P370" t="s">
        <v>1321</v>
      </c>
      <c r="Q370" t="s">
        <v>1321</v>
      </c>
      <c r="R370" t="s">
        <v>1321</v>
      </c>
      <c r="S370" t="s">
        <v>1321</v>
      </c>
      <c r="T370" t="s">
        <v>1321</v>
      </c>
      <c r="U370" t="s">
        <v>1321</v>
      </c>
      <c r="V370" t="s">
        <v>1321</v>
      </c>
      <c r="W370" t="s">
        <v>1321</v>
      </c>
      <c r="X370" t="s">
        <v>1321</v>
      </c>
      <c r="Y370" t="s">
        <v>1321</v>
      </c>
      <c r="Z370" t="s">
        <v>1321</v>
      </c>
      <c r="AA370" t="s">
        <v>1321</v>
      </c>
      <c r="AB370" t="s">
        <v>1321</v>
      </c>
      <c r="AC370" t="s">
        <v>1321</v>
      </c>
      <c r="AD370" t="s">
        <v>1321</v>
      </c>
      <c r="AE370" t="s">
        <v>1321</v>
      </c>
      <c r="AF370" t="s">
        <v>1321</v>
      </c>
      <c r="AG370" t="s">
        <v>1321</v>
      </c>
      <c r="AH370" t="s">
        <v>1321</v>
      </c>
      <c r="AI370" t="s">
        <v>1321</v>
      </c>
      <c r="AJ370" t="s">
        <v>1321</v>
      </c>
      <c r="AK370" t="s">
        <v>1321</v>
      </c>
      <c r="AL370" t="s">
        <v>1321</v>
      </c>
      <c r="AM370" t="s">
        <v>1321</v>
      </c>
      <c r="AN370" t="s">
        <v>1321</v>
      </c>
      <c r="AO370" t="s">
        <v>1321</v>
      </c>
      <c r="AP370" t="s">
        <v>1321</v>
      </c>
      <c r="AQ370" t="s">
        <v>1321</v>
      </c>
      <c r="AR370" t="s">
        <v>1321</v>
      </c>
      <c r="AS370" t="s">
        <v>1321</v>
      </c>
      <c r="AW370">
        <v>4</v>
      </c>
      <c r="AZ370" t="s">
        <v>1321</v>
      </c>
      <c r="BA370" t="s">
        <v>1321</v>
      </c>
      <c r="BB370">
        <v>2</v>
      </c>
      <c r="BC370" t="s">
        <v>1321</v>
      </c>
      <c r="BD370">
        <v>3</v>
      </c>
      <c r="BE370" t="s">
        <v>2516</v>
      </c>
      <c r="BF370" t="s">
        <v>1321</v>
      </c>
      <c r="BG370">
        <v>3</v>
      </c>
      <c r="BI370" t="s">
        <v>1321</v>
      </c>
      <c r="BJ370" t="s">
        <v>4901</v>
      </c>
      <c r="CB370" t="s">
        <v>1321</v>
      </c>
      <c r="CW370" t="s">
        <v>2515</v>
      </c>
      <c r="CX370" t="s">
        <v>1321</v>
      </c>
      <c r="CY370" t="s">
        <v>1321</v>
      </c>
      <c r="CZ370" t="s">
        <v>1321</v>
      </c>
      <c r="DA370" t="s">
        <v>1321</v>
      </c>
      <c r="DB370" t="s">
        <v>1321</v>
      </c>
      <c r="DC370" t="s">
        <v>1321</v>
      </c>
      <c r="DD370" t="s">
        <v>2516</v>
      </c>
      <c r="DE370" t="s">
        <v>1321</v>
      </c>
      <c r="DF370" t="s">
        <v>1321</v>
      </c>
      <c r="DG370" t="s">
        <v>1321</v>
      </c>
      <c r="DH370" t="s">
        <v>1321</v>
      </c>
      <c r="DI370" t="s">
        <v>1321</v>
      </c>
      <c r="DJ370" t="s">
        <v>1321</v>
      </c>
      <c r="DK370" t="s">
        <v>1321</v>
      </c>
      <c r="DL370">
        <v>3</v>
      </c>
      <c r="DM370">
        <v>4</v>
      </c>
      <c r="DN370">
        <v>2</v>
      </c>
      <c r="DO370">
        <v>2</v>
      </c>
      <c r="DP370" t="s">
        <v>1321</v>
      </c>
      <c r="DQ370" t="s">
        <v>1321</v>
      </c>
      <c r="DR370" t="s">
        <v>1321</v>
      </c>
      <c r="DS370" t="s">
        <v>1321</v>
      </c>
      <c r="DT370" t="s">
        <v>1321</v>
      </c>
      <c r="DU370" t="s">
        <v>1321</v>
      </c>
      <c r="DV370" t="s">
        <v>1321</v>
      </c>
      <c r="DW370" t="s">
        <v>1321</v>
      </c>
      <c r="DX370" t="s">
        <v>1321</v>
      </c>
      <c r="DY370" t="s">
        <v>1321</v>
      </c>
      <c r="DZ370" t="s">
        <v>1321</v>
      </c>
      <c r="EA370" t="s">
        <v>1321</v>
      </c>
      <c r="EB370">
        <v>5</v>
      </c>
      <c r="EC370" t="s">
        <v>1321</v>
      </c>
      <c r="ED370" t="s">
        <v>1321</v>
      </c>
      <c r="EE370">
        <v>4</v>
      </c>
      <c r="EF370">
        <v>3</v>
      </c>
      <c r="EG370" t="s">
        <v>1321</v>
      </c>
      <c r="EH370" t="s">
        <v>1321</v>
      </c>
      <c r="EI370" t="s">
        <v>1321</v>
      </c>
      <c r="EJ370" t="s">
        <v>1321</v>
      </c>
      <c r="EK370" t="s">
        <v>1321</v>
      </c>
      <c r="EL370" t="s">
        <v>1321</v>
      </c>
      <c r="EM370" t="s">
        <v>1321</v>
      </c>
      <c r="EN370" t="s">
        <v>1321</v>
      </c>
      <c r="EO370" t="s">
        <v>2516</v>
      </c>
      <c r="EP370" t="s">
        <v>1321</v>
      </c>
      <c r="EQ370" t="s">
        <v>2514</v>
      </c>
      <c r="ER370" t="s">
        <v>1321</v>
      </c>
      <c r="ES370">
        <v>3</v>
      </c>
      <c r="ET370">
        <v>2</v>
      </c>
      <c r="EU370" t="s">
        <v>1321</v>
      </c>
      <c r="EV370" t="s">
        <v>1321</v>
      </c>
      <c r="EW370" t="s">
        <v>1321</v>
      </c>
      <c r="EY370" t="s">
        <v>1321</v>
      </c>
      <c r="EZ370" t="s">
        <v>1321</v>
      </c>
      <c r="FA370" t="s">
        <v>577</v>
      </c>
      <c r="FB370" t="s">
        <v>1321</v>
      </c>
      <c r="FC370" t="s">
        <v>1321</v>
      </c>
      <c r="FD370" t="s">
        <v>1321</v>
      </c>
      <c r="FE370" t="s">
        <v>1321</v>
      </c>
      <c r="FG370">
        <v>2</v>
      </c>
      <c r="FH370">
        <v>2</v>
      </c>
      <c r="FI370">
        <v>2</v>
      </c>
      <c r="FJ370">
        <v>2</v>
      </c>
      <c r="FK370" t="s">
        <v>1321</v>
      </c>
      <c r="FL370" t="s">
        <v>1321</v>
      </c>
      <c r="FM370" t="s">
        <v>1321</v>
      </c>
      <c r="FN370" t="s">
        <v>1321</v>
      </c>
      <c r="FO370" t="s">
        <v>1321</v>
      </c>
      <c r="FP370" t="s">
        <v>1321</v>
      </c>
      <c r="FQ370" t="s">
        <v>1321</v>
      </c>
      <c r="FR370" t="s">
        <v>1321</v>
      </c>
      <c r="FS370" t="s">
        <v>1321</v>
      </c>
      <c r="FT370" t="s">
        <v>2516</v>
      </c>
      <c r="HB370" t="s">
        <v>1321</v>
      </c>
      <c r="HD370" t="s">
        <v>1321</v>
      </c>
      <c r="HF370" t="s">
        <v>1321</v>
      </c>
      <c r="HH370" t="s">
        <v>1321</v>
      </c>
      <c r="HJ370" t="s">
        <v>1321</v>
      </c>
      <c r="HL370" t="s">
        <v>1321</v>
      </c>
      <c r="HN370" t="s">
        <v>1321</v>
      </c>
      <c r="HP370" t="s">
        <v>1321</v>
      </c>
      <c r="HQ370" t="s">
        <v>1321</v>
      </c>
      <c r="HS370" t="s">
        <v>1321</v>
      </c>
      <c r="HU370" t="s">
        <v>1321</v>
      </c>
      <c r="HW370" t="s">
        <v>1321</v>
      </c>
      <c r="HY370" t="s">
        <v>1321</v>
      </c>
      <c r="IA370" t="s">
        <v>1321</v>
      </c>
      <c r="IC370" t="s">
        <v>1321</v>
      </c>
      <c r="ID370" t="s">
        <v>1321</v>
      </c>
      <c r="IG370" t="s">
        <v>1321</v>
      </c>
      <c r="II370" t="s">
        <v>1321</v>
      </c>
      <c r="IL370">
        <f t="shared" si="9"/>
        <v>47</v>
      </c>
    </row>
    <row r="371" spans="1:246" outlineLevel="1" x14ac:dyDescent="0.2">
      <c r="A371" t="str">
        <f t="shared" si="8"/>
        <v>Blick in die Vergangenheit</v>
      </c>
      <c r="E371" t="s">
        <v>2514</v>
      </c>
      <c r="H371" t="s">
        <v>2514</v>
      </c>
      <c r="I371" t="s">
        <v>2514</v>
      </c>
      <c r="J371" t="s">
        <v>2514</v>
      </c>
      <c r="K371" t="s">
        <v>2514</v>
      </c>
      <c r="L371" t="s">
        <v>2514</v>
      </c>
      <c r="M371" t="s">
        <v>2514</v>
      </c>
      <c r="N371" t="s">
        <v>2514</v>
      </c>
      <c r="AW371" t="s">
        <v>1321</v>
      </c>
      <c r="DF371" t="s">
        <v>1321</v>
      </c>
      <c r="DG371" t="s">
        <v>1321</v>
      </c>
      <c r="DH371" t="s">
        <v>1321</v>
      </c>
      <c r="DI371" t="s">
        <v>1321</v>
      </c>
      <c r="DJ371" t="s">
        <v>1321</v>
      </c>
      <c r="DK371" t="s">
        <v>1321</v>
      </c>
      <c r="EZ371" t="s">
        <v>4569</v>
      </c>
      <c r="FA371" t="s">
        <v>4569</v>
      </c>
      <c r="FM371" t="s">
        <v>4569</v>
      </c>
      <c r="FP371" t="s">
        <v>4569</v>
      </c>
      <c r="FQ371" t="s">
        <v>4569</v>
      </c>
      <c r="FR371" t="s">
        <v>4569</v>
      </c>
      <c r="FS371" t="s">
        <v>4569</v>
      </c>
      <c r="IL371">
        <f t="shared" si="9"/>
        <v>48</v>
      </c>
    </row>
    <row r="372" spans="1:246" outlineLevel="1" x14ac:dyDescent="0.2">
      <c r="A372" t="str">
        <f t="shared" si="8"/>
        <v>Blitz dich find</v>
      </c>
      <c r="C372" t="s">
        <v>1321</v>
      </c>
      <c r="D372" t="s">
        <v>1321</v>
      </c>
      <c r="E372" t="s">
        <v>1321</v>
      </c>
      <c r="F372" t="s">
        <v>1321</v>
      </c>
      <c r="G372" t="s">
        <v>1321</v>
      </c>
      <c r="H372" t="s">
        <v>1321</v>
      </c>
      <c r="I372" t="s">
        <v>1321</v>
      </c>
      <c r="J372" t="s">
        <v>1321</v>
      </c>
      <c r="K372" t="s">
        <v>1321</v>
      </c>
      <c r="L372" t="s">
        <v>1321</v>
      </c>
      <c r="M372" t="s">
        <v>1321</v>
      </c>
      <c r="N372" t="s">
        <v>1321</v>
      </c>
      <c r="P372" t="s">
        <v>1321</v>
      </c>
      <c r="Q372" t="s">
        <v>1321</v>
      </c>
      <c r="R372" t="s">
        <v>1321</v>
      </c>
      <c r="S372" t="s">
        <v>1321</v>
      </c>
      <c r="T372" t="s">
        <v>1321</v>
      </c>
      <c r="U372" t="s">
        <v>1321</v>
      </c>
      <c r="V372" t="s">
        <v>1321</v>
      </c>
      <c r="W372" t="s">
        <v>1321</v>
      </c>
      <c r="X372" t="s">
        <v>1321</v>
      </c>
      <c r="Y372" t="s">
        <v>1321</v>
      </c>
      <c r="Z372" t="s">
        <v>1321</v>
      </c>
      <c r="AA372" t="s">
        <v>1321</v>
      </c>
      <c r="AB372" t="s">
        <v>1321</v>
      </c>
      <c r="AC372" t="s">
        <v>1321</v>
      </c>
      <c r="AD372" t="s">
        <v>1321</v>
      </c>
      <c r="AE372" t="s">
        <v>1321</v>
      </c>
      <c r="AF372" t="s">
        <v>1321</v>
      </c>
      <c r="AG372" t="s">
        <v>1321</v>
      </c>
      <c r="AH372" t="s">
        <v>1321</v>
      </c>
      <c r="AI372" t="s">
        <v>1321</v>
      </c>
      <c r="AJ372" t="s">
        <v>1321</v>
      </c>
      <c r="AK372" t="s">
        <v>1321</v>
      </c>
      <c r="AL372" t="s">
        <v>1321</v>
      </c>
      <c r="AM372" t="s">
        <v>1321</v>
      </c>
      <c r="AN372" t="s">
        <v>1321</v>
      </c>
      <c r="AO372" t="s">
        <v>1321</v>
      </c>
      <c r="AP372" t="s">
        <v>1321</v>
      </c>
      <c r="AQ372" t="s">
        <v>1321</v>
      </c>
      <c r="AR372" t="s">
        <v>1321</v>
      </c>
      <c r="AS372" t="s">
        <v>1321</v>
      </c>
      <c r="AU372" t="s">
        <v>1321</v>
      </c>
      <c r="AV372" t="s">
        <v>1321</v>
      </c>
      <c r="AW372" t="s">
        <v>1321</v>
      </c>
      <c r="AX372" t="s">
        <v>1321</v>
      </c>
      <c r="AZ372" t="s">
        <v>1321</v>
      </c>
      <c r="BA372" t="s">
        <v>1321</v>
      </c>
      <c r="BB372" t="s">
        <v>1321</v>
      </c>
      <c r="BC372" t="s">
        <v>1321</v>
      </c>
      <c r="BD372" t="s">
        <v>1321</v>
      </c>
      <c r="BE372" t="s">
        <v>1321</v>
      </c>
      <c r="BF372" t="s">
        <v>1321</v>
      </c>
      <c r="BG372" t="s">
        <v>1321</v>
      </c>
      <c r="BI372" t="s">
        <v>1321</v>
      </c>
      <c r="BJ372" t="s">
        <v>1321</v>
      </c>
      <c r="CB372" t="s">
        <v>1321</v>
      </c>
      <c r="CW372">
        <v>4</v>
      </c>
      <c r="CX372" t="s">
        <v>1321</v>
      </c>
      <c r="CY372" t="s">
        <v>2514</v>
      </c>
      <c r="CZ372" t="s">
        <v>2514</v>
      </c>
      <c r="DA372">
        <v>3</v>
      </c>
      <c r="DB372">
        <v>4</v>
      </c>
      <c r="DC372" t="s">
        <v>1321</v>
      </c>
      <c r="DD372" t="s">
        <v>1321</v>
      </c>
      <c r="DE372" t="s">
        <v>1321</v>
      </c>
      <c r="DF372">
        <v>3</v>
      </c>
      <c r="DG372" t="s">
        <v>1321</v>
      </c>
      <c r="DH372" t="s">
        <v>1321</v>
      </c>
      <c r="DI372" t="s">
        <v>1321</v>
      </c>
      <c r="DJ372" t="s">
        <v>1321</v>
      </c>
      <c r="DK372" t="s">
        <v>1321</v>
      </c>
      <c r="DL372" t="s">
        <v>1321</v>
      </c>
      <c r="DM372" t="s">
        <v>1321</v>
      </c>
      <c r="DN372" t="s">
        <v>1321</v>
      </c>
      <c r="DO372" t="s">
        <v>1321</v>
      </c>
      <c r="DP372" t="s">
        <v>1321</v>
      </c>
      <c r="DQ372" t="s">
        <v>1321</v>
      </c>
      <c r="DR372" t="s">
        <v>2514</v>
      </c>
      <c r="DS372" t="s">
        <v>2514</v>
      </c>
      <c r="DT372" t="s">
        <v>1321</v>
      </c>
      <c r="DU372">
        <v>3</v>
      </c>
      <c r="DV372" t="s">
        <v>1321</v>
      </c>
      <c r="DW372" t="s">
        <v>1321</v>
      </c>
      <c r="DX372" t="s">
        <v>1321</v>
      </c>
      <c r="DY372">
        <v>2</v>
      </c>
      <c r="DZ372" t="s">
        <v>1321</v>
      </c>
      <c r="EA372">
        <v>2</v>
      </c>
      <c r="EB372">
        <v>3</v>
      </c>
      <c r="EC372">
        <v>4</v>
      </c>
      <c r="ED372" t="s">
        <v>1321</v>
      </c>
      <c r="EE372">
        <v>4</v>
      </c>
      <c r="EF372">
        <v>4</v>
      </c>
      <c r="EG372">
        <v>3</v>
      </c>
      <c r="EH372" t="s">
        <v>1321</v>
      </c>
      <c r="EI372" t="s">
        <v>1321</v>
      </c>
      <c r="EJ372" t="s">
        <v>1321</v>
      </c>
      <c r="EK372" t="s">
        <v>1321</v>
      </c>
      <c r="EL372" t="s">
        <v>1321</v>
      </c>
      <c r="EM372">
        <v>4</v>
      </c>
      <c r="EN372">
        <v>4</v>
      </c>
      <c r="EO372">
        <v>4</v>
      </c>
      <c r="EP372" t="s">
        <v>2514</v>
      </c>
      <c r="EQ372">
        <v>2</v>
      </c>
      <c r="ER372">
        <v>4</v>
      </c>
      <c r="ES372">
        <v>3</v>
      </c>
      <c r="ET372">
        <v>2</v>
      </c>
      <c r="EU372" t="s">
        <v>1321</v>
      </c>
      <c r="EV372">
        <v>3</v>
      </c>
      <c r="EW372" t="s">
        <v>1321</v>
      </c>
      <c r="EY372">
        <v>2</v>
      </c>
      <c r="EZ372">
        <v>4</v>
      </c>
      <c r="FA372">
        <v>4</v>
      </c>
      <c r="FB372" t="s">
        <v>1321</v>
      </c>
      <c r="FC372" t="s">
        <v>1321</v>
      </c>
      <c r="FD372" t="s">
        <v>1321</v>
      </c>
      <c r="FE372" t="s">
        <v>1321</v>
      </c>
      <c r="FF372" t="s">
        <v>1321</v>
      </c>
      <c r="FG372" t="s">
        <v>1321</v>
      </c>
      <c r="FH372" t="s">
        <v>1321</v>
      </c>
      <c r="FI372" t="s">
        <v>1321</v>
      </c>
      <c r="FJ372" t="s">
        <v>1321</v>
      </c>
      <c r="FK372" t="s">
        <v>1321</v>
      </c>
      <c r="FM372">
        <v>3</v>
      </c>
      <c r="FN372" t="s">
        <v>1321</v>
      </c>
      <c r="FO372" t="s">
        <v>1321</v>
      </c>
      <c r="FP372" t="s">
        <v>1321</v>
      </c>
      <c r="FQ372" t="s">
        <v>1321</v>
      </c>
      <c r="FR372" t="s">
        <v>1321</v>
      </c>
      <c r="FS372" t="s">
        <v>1321</v>
      </c>
      <c r="FT372" t="s">
        <v>1321</v>
      </c>
      <c r="FU372" t="s">
        <v>1321</v>
      </c>
      <c r="FV372" t="s">
        <v>1321</v>
      </c>
      <c r="FX372" t="s">
        <v>1321</v>
      </c>
      <c r="FY372" t="s">
        <v>1321</v>
      </c>
      <c r="FZ372" t="s">
        <v>1321</v>
      </c>
      <c r="GA372" t="s">
        <v>1321</v>
      </c>
      <c r="GB372" t="s">
        <v>1321</v>
      </c>
      <c r="GC372" t="s">
        <v>1321</v>
      </c>
      <c r="GD372" t="s">
        <v>1321</v>
      </c>
      <c r="GF372" t="s">
        <v>1321</v>
      </c>
      <c r="GG372" t="s">
        <v>1321</v>
      </c>
      <c r="GH372" t="s">
        <v>1321</v>
      </c>
      <c r="GI372" t="s">
        <v>1321</v>
      </c>
      <c r="GJ372" t="s">
        <v>1321</v>
      </c>
      <c r="GK372" t="s">
        <v>1321</v>
      </c>
      <c r="GL372" t="s">
        <v>1321</v>
      </c>
      <c r="HB372" t="s">
        <v>1321</v>
      </c>
      <c r="HD372" t="s">
        <v>1321</v>
      </c>
      <c r="HF372" t="s">
        <v>1321</v>
      </c>
      <c r="HH372" t="s">
        <v>1321</v>
      </c>
      <c r="HJ372" t="s">
        <v>1321</v>
      </c>
      <c r="HL372" t="s">
        <v>1321</v>
      </c>
      <c r="HN372" t="s">
        <v>1321</v>
      </c>
      <c r="HP372" t="s">
        <v>1321</v>
      </c>
      <c r="HQ372" t="s">
        <v>1321</v>
      </c>
      <c r="HS372" t="s">
        <v>1321</v>
      </c>
      <c r="HU372" t="s">
        <v>1321</v>
      </c>
      <c r="HW372" t="s">
        <v>1321</v>
      </c>
      <c r="HY372" t="s">
        <v>1321</v>
      </c>
      <c r="IA372" t="s">
        <v>1321</v>
      </c>
      <c r="IC372" t="s">
        <v>1321</v>
      </c>
      <c r="ID372" t="s">
        <v>1321</v>
      </c>
      <c r="IG372" t="s">
        <v>1321</v>
      </c>
      <c r="II372" t="s">
        <v>1321</v>
      </c>
      <c r="IL372">
        <f t="shared" si="9"/>
        <v>49</v>
      </c>
    </row>
    <row r="373" spans="1:246" outlineLevel="1" x14ac:dyDescent="0.2">
      <c r="A373" t="str">
        <f t="shared" si="8"/>
        <v>Böser Blick</v>
      </c>
      <c r="C373" t="s">
        <v>1321</v>
      </c>
      <c r="D373">
        <v>3</v>
      </c>
      <c r="E373" t="s">
        <v>4901</v>
      </c>
      <c r="F373" t="s">
        <v>2514</v>
      </c>
      <c r="G373" t="s">
        <v>1321</v>
      </c>
      <c r="H373" t="s">
        <v>1321</v>
      </c>
      <c r="I373" t="s">
        <v>1321</v>
      </c>
      <c r="J373" t="s">
        <v>1321</v>
      </c>
      <c r="K373" t="s">
        <v>1321</v>
      </c>
      <c r="L373" t="s">
        <v>1321</v>
      </c>
      <c r="M373" t="s">
        <v>1321</v>
      </c>
      <c r="N373" t="s">
        <v>1321</v>
      </c>
      <c r="AU373" t="s">
        <v>1321</v>
      </c>
      <c r="AV373" t="s">
        <v>1321</v>
      </c>
      <c r="AW373" t="s">
        <v>2516</v>
      </c>
      <c r="AX373" t="s">
        <v>1321</v>
      </c>
      <c r="BI373" t="s">
        <v>1321</v>
      </c>
      <c r="BJ373" t="s">
        <v>1321</v>
      </c>
      <c r="CB373" t="s">
        <v>1321</v>
      </c>
      <c r="CD373" t="s">
        <v>1321</v>
      </c>
      <c r="CE373" t="s">
        <v>1321</v>
      </c>
      <c r="CH373" t="s">
        <v>1321</v>
      </c>
      <c r="CI373" t="s">
        <v>1321</v>
      </c>
      <c r="CJ373" t="s">
        <v>1321</v>
      </c>
      <c r="CL373" t="s">
        <v>1321</v>
      </c>
      <c r="DF373" t="s">
        <v>1321</v>
      </c>
      <c r="DG373" t="s">
        <v>1321</v>
      </c>
      <c r="DH373" t="s">
        <v>1321</v>
      </c>
      <c r="DI373" t="s">
        <v>1321</v>
      </c>
      <c r="DJ373" t="s">
        <v>1321</v>
      </c>
      <c r="DK373" t="s">
        <v>1321</v>
      </c>
      <c r="DZ373" t="s">
        <v>1321</v>
      </c>
      <c r="EH373" t="s">
        <v>1321</v>
      </c>
      <c r="EI373" t="s">
        <v>1321</v>
      </c>
      <c r="EZ373" t="s">
        <v>4569</v>
      </c>
      <c r="FA373" t="s">
        <v>4569</v>
      </c>
      <c r="FM373" t="s">
        <v>4569</v>
      </c>
      <c r="FP373" t="s">
        <v>4569</v>
      </c>
      <c r="FQ373" t="s">
        <v>4569</v>
      </c>
      <c r="FR373" t="s">
        <v>4569</v>
      </c>
      <c r="FS373" t="s">
        <v>4569</v>
      </c>
      <c r="IL373">
        <f t="shared" si="9"/>
        <v>50</v>
      </c>
    </row>
    <row r="374" spans="1:246" outlineLevel="1" x14ac:dyDescent="0.2">
      <c r="A374" t="str">
        <f t="shared" si="8"/>
        <v>Brenne toter Stoff !</v>
      </c>
      <c r="CW374" t="s">
        <v>1321</v>
      </c>
      <c r="CX374" t="s">
        <v>1321</v>
      </c>
      <c r="DV374" t="s">
        <v>1321</v>
      </c>
      <c r="DW374" t="s">
        <v>1321</v>
      </c>
      <c r="ED374" t="s">
        <v>2515</v>
      </c>
      <c r="EH374" t="s">
        <v>1321</v>
      </c>
      <c r="EI374" t="s">
        <v>1321</v>
      </c>
      <c r="EJ374" t="s">
        <v>1321</v>
      </c>
      <c r="EK374" t="s">
        <v>1321</v>
      </c>
      <c r="EL374" t="s">
        <v>1321</v>
      </c>
      <c r="EZ374" t="s">
        <v>1321</v>
      </c>
      <c r="FA374" t="s">
        <v>1321</v>
      </c>
      <c r="FG374" t="s">
        <v>1321</v>
      </c>
      <c r="FH374" t="s">
        <v>1321</v>
      </c>
      <c r="FI374" t="s">
        <v>1321</v>
      </c>
      <c r="FJ374" t="s">
        <v>1321</v>
      </c>
      <c r="FM374" t="s">
        <v>4569</v>
      </c>
      <c r="FP374" t="s">
        <v>4569</v>
      </c>
      <c r="FQ374" t="s">
        <v>2515</v>
      </c>
      <c r="FR374" t="s">
        <v>4569</v>
      </c>
      <c r="FS374" t="s">
        <v>4569</v>
      </c>
      <c r="IL374">
        <f t="shared" si="9"/>
        <v>51</v>
      </c>
    </row>
    <row r="375" spans="1:246" outlineLevel="1" x14ac:dyDescent="0.2">
      <c r="A375" t="str">
        <f t="shared" si="8"/>
        <v>Caldofrigo heiss und kalt</v>
      </c>
      <c r="B375" t="s">
        <v>1956</v>
      </c>
      <c r="I375" t="s">
        <v>2515</v>
      </c>
      <c r="N375" t="s">
        <v>2515</v>
      </c>
      <c r="O375" t="s">
        <v>1956</v>
      </c>
      <c r="AT375" t="s">
        <v>1956</v>
      </c>
      <c r="AX375" t="s">
        <v>1321</v>
      </c>
      <c r="AY375" t="s">
        <v>1956</v>
      </c>
      <c r="BH375" t="s">
        <v>1956</v>
      </c>
      <c r="BI375" t="s">
        <v>1321</v>
      </c>
      <c r="BJ375" t="s">
        <v>4901</v>
      </c>
      <c r="BK375" t="s">
        <v>1956</v>
      </c>
      <c r="CV375" t="s">
        <v>1956</v>
      </c>
      <c r="CY375" t="s">
        <v>1321</v>
      </c>
      <c r="CZ375" t="s">
        <v>1321</v>
      </c>
      <c r="DB375" t="s">
        <v>1321</v>
      </c>
      <c r="DF375" t="s">
        <v>2514</v>
      </c>
      <c r="DG375" t="s">
        <v>1321</v>
      </c>
      <c r="DH375" t="s">
        <v>1321</v>
      </c>
      <c r="DI375" t="s">
        <v>1321</v>
      </c>
      <c r="DJ375" t="s">
        <v>1321</v>
      </c>
      <c r="DK375" t="s">
        <v>2514</v>
      </c>
      <c r="DM375" t="s">
        <v>1321</v>
      </c>
      <c r="DN375" t="s">
        <v>1321</v>
      </c>
      <c r="DO375" t="s">
        <v>1321</v>
      </c>
      <c r="DP375" t="s">
        <v>1321</v>
      </c>
      <c r="DQ375" t="s">
        <v>2515</v>
      </c>
      <c r="DR375" t="s">
        <v>1321</v>
      </c>
      <c r="DS375" t="s">
        <v>1321</v>
      </c>
      <c r="DV375" t="s">
        <v>1321</v>
      </c>
      <c r="DW375" t="s">
        <v>1321</v>
      </c>
      <c r="EA375" t="s">
        <v>1321</v>
      </c>
      <c r="EC375" t="s">
        <v>2516</v>
      </c>
      <c r="ED375" t="s">
        <v>1321</v>
      </c>
      <c r="EF375" t="s">
        <v>1321</v>
      </c>
      <c r="EG375" t="s">
        <v>2516</v>
      </c>
      <c r="EH375" t="s">
        <v>1321</v>
      </c>
      <c r="EI375" t="s">
        <v>1321</v>
      </c>
      <c r="EJ375" t="s">
        <v>1321</v>
      </c>
      <c r="EK375" t="s">
        <v>1321</v>
      </c>
      <c r="EL375" t="s">
        <v>1321</v>
      </c>
      <c r="EM375" t="s">
        <v>1321</v>
      </c>
      <c r="EN375">
        <v>2</v>
      </c>
      <c r="EO375" t="s">
        <v>1321</v>
      </c>
      <c r="EP375" t="s">
        <v>1321</v>
      </c>
      <c r="EQ375" t="s">
        <v>1321</v>
      </c>
      <c r="ES375" t="s">
        <v>1321</v>
      </c>
      <c r="ET375" t="s">
        <v>1321</v>
      </c>
      <c r="EU375" t="s">
        <v>1321</v>
      </c>
      <c r="EX375" t="s">
        <v>1956</v>
      </c>
      <c r="EZ375" t="s">
        <v>4569</v>
      </c>
      <c r="FA375" t="s">
        <v>4569</v>
      </c>
      <c r="FB375" t="s">
        <v>1321</v>
      </c>
      <c r="FC375" t="s">
        <v>1321</v>
      </c>
      <c r="FF375" t="s">
        <v>2515</v>
      </c>
      <c r="FG375" t="s">
        <v>1321</v>
      </c>
      <c r="FH375" t="s">
        <v>1321</v>
      </c>
      <c r="FI375" t="s">
        <v>1321</v>
      </c>
      <c r="FJ375" t="s">
        <v>1321</v>
      </c>
      <c r="FK375" t="s">
        <v>1321</v>
      </c>
      <c r="FM375">
        <v>5</v>
      </c>
      <c r="FN375" t="s">
        <v>1321</v>
      </c>
      <c r="FP375" t="s">
        <v>4569</v>
      </c>
      <c r="FQ375">
        <v>4</v>
      </c>
      <c r="FR375" t="s">
        <v>4569</v>
      </c>
      <c r="FS375" t="s">
        <v>4569</v>
      </c>
      <c r="FW375" t="s">
        <v>1956</v>
      </c>
      <c r="GE375" t="s">
        <v>1956</v>
      </c>
      <c r="GM375" t="s">
        <v>1956</v>
      </c>
      <c r="GX375" t="s">
        <v>1956</v>
      </c>
      <c r="IJ375" t="s">
        <v>1956</v>
      </c>
      <c r="IL375">
        <f t="shared" si="9"/>
        <v>52</v>
      </c>
    </row>
    <row r="376" spans="1:246" outlineLevel="1" x14ac:dyDescent="0.2">
      <c r="A376" t="str">
        <f t="shared" si="8"/>
        <v>Chamaelioni</v>
      </c>
      <c r="P376" t="s">
        <v>1321</v>
      </c>
      <c r="Q376" t="s">
        <v>1321</v>
      </c>
      <c r="R376" t="s">
        <v>1321</v>
      </c>
      <c r="S376" t="s">
        <v>1321</v>
      </c>
      <c r="T376" t="s">
        <v>1321</v>
      </c>
      <c r="U376" t="s">
        <v>1321</v>
      </c>
      <c r="V376" t="s">
        <v>1321</v>
      </c>
      <c r="W376" t="s">
        <v>1321</v>
      </c>
      <c r="X376" t="s">
        <v>1321</v>
      </c>
      <c r="Y376" t="s">
        <v>1321</v>
      </c>
      <c r="Z376" t="s">
        <v>1321</v>
      </c>
      <c r="AA376" t="s">
        <v>1321</v>
      </c>
      <c r="AB376" t="s">
        <v>1321</v>
      </c>
      <c r="AC376" t="s">
        <v>1321</v>
      </c>
      <c r="AD376" t="s">
        <v>1321</v>
      </c>
      <c r="AE376" t="s">
        <v>1321</v>
      </c>
      <c r="AF376" t="s">
        <v>1321</v>
      </c>
      <c r="AG376" t="s">
        <v>1321</v>
      </c>
      <c r="AH376" t="s">
        <v>1321</v>
      </c>
      <c r="AI376" t="s">
        <v>1321</v>
      </c>
      <c r="AJ376" t="s">
        <v>1321</v>
      </c>
      <c r="AK376" t="s">
        <v>1321</v>
      </c>
      <c r="AL376" t="s">
        <v>1321</v>
      </c>
      <c r="AM376" t="s">
        <v>1321</v>
      </c>
      <c r="AN376" t="s">
        <v>1321</v>
      </c>
      <c r="AO376" t="s">
        <v>1321</v>
      </c>
      <c r="AP376" t="s">
        <v>1321</v>
      </c>
      <c r="AQ376" t="s">
        <v>1321</v>
      </c>
      <c r="AR376" t="s">
        <v>1321</v>
      </c>
      <c r="AS376" t="s">
        <v>1321</v>
      </c>
      <c r="CB376" t="s">
        <v>1321</v>
      </c>
      <c r="CE376" t="s">
        <v>1321</v>
      </c>
      <c r="CF376" t="s">
        <v>1321</v>
      </c>
      <c r="CG376" t="s">
        <v>1321</v>
      </c>
      <c r="CH376" t="s">
        <v>1321</v>
      </c>
      <c r="CI376" t="s">
        <v>1321</v>
      </c>
      <c r="CJ376" t="s">
        <v>1321</v>
      </c>
      <c r="CL376" t="s">
        <v>1321</v>
      </c>
      <c r="DT376" t="s">
        <v>1321</v>
      </c>
      <c r="EU376" t="s">
        <v>1321</v>
      </c>
      <c r="EZ376" t="s">
        <v>4569</v>
      </c>
      <c r="FA376" t="s">
        <v>4569</v>
      </c>
      <c r="FM376" t="s">
        <v>4569</v>
      </c>
      <c r="FP376" t="s">
        <v>4569</v>
      </c>
      <c r="FQ376" t="s">
        <v>4569</v>
      </c>
      <c r="FR376" t="s">
        <v>4569</v>
      </c>
      <c r="FS376" t="s">
        <v>4569</v>
      </c>
      <c r="FT376" t="s">
        <v>1321</v>
      </c>
      <c r="IL376">
        <f t="shared" si="9"/>
        <v>53</v>
      </c>
    </row>
    <row r="377" spans="1:246" outlineLevel="1" x14ac:dyDescent="0.2">
      <c r="A377" t="str">
        <f t="shared" si="8"/>
        <v>Chimaeroform Hybridgestalt</v>
      </c>
      <c r="DL377">
        <v>3</v>
      </c>
      <c r="EZ377" t="s">
        <v>4569</v>
      </c>
      <c r="FA377" t="s">
        <v>4569</v>
      </c>
      <c r="FL377" t="s">
        <v>2516</v>
      </c>
      <c r="FM377" t="s">
        <v>4569</v>
      </c>
      <c r="FP377" t="s">
        <v>4569</v>
      </c>
      <c r="FQ377" t="s">
        <v>4569</v>
      </c>
      <c r="FR377" t="s">
        <v>2515</v>
      </c>
      <c r="FS377" t="s">
        <v>4569</v>
      </c>
      <c r="IL377">
        <f t="shared" si="9"/>
        <v>54</v>
      </c>
    </row>
    <row r="378" spans="1:246" outlineLevel="1" x14ac:dyDescent="0.2">
      <c r="A378" t="str">
        <f t="shared" si="8"/>
        <v>Chronoklassis Urfossil</v>
      </c>
      <c r="EZ378" t="s">
        <v>4569</v>
      </c>
      <c r="FA378" t="s">
        <v>4569</v>
      </c>
      <c r="FM378" t="s">
        <v>4569</v>
      </c>
      <c r="FP378" t="s">
        <v>4569</v>
      </c>
      <c r="FQ378" t="s">
        <v>4569</v>
      </c>
      <c r="FR378" t="s">
        <v>4569</v>
      </c>
      <c r="FS378" t="s">
        <v>4569</v>
      </c>
      <c r="IL378">
        <f t="shared" si="9"/>
        <v>55</v>
      </c>
    </row>
    <row r="379" spans="1:246" outlineLevel="1" x14ac:dyDescent="0.2">
      <c r="A379" t="str">
        <f t="shared" si="8"/>
        <v>Chrononautus Zeitenfahrt</v>
      </c>
      <c r="EZ379" t="s">
        <v>4569</v>
      </c>
      <c r="FA379" t="s">
        <v>4569</v>
      </c>
      <c r="FM379" t="s">
        <v>4569</v>
      </c>
      <c r="FP379" t="s">
        <v>4569</v>
      </c>
      <c r="FQ379" t="s">
        <v>4569</v>
      </c>
      <c r="FR379" t="s">
        <v>4569</v>
      </c>
      <c r="FS379" t="s">
        <v>4569</v>
      </c>
      <c r="IL379">
        <f t="shared" si="9"/>
        <v>56</v>
      </c>
    </row>
    <row r="380" spans="1:246" outlineLevel="1" x14ac:dyDescent="0.2">
      <c r="A380" t="str">
        <f t="shared" si="8"/>
        <v>Claudibus Clavistibor</v>
      </c>
      <c r="AZ380" t="s">
        <v>1321</v>
      </c>
      <c r="BA380" t="s">
        <v>1321</v>
      </c>
      <c r="BB380" t="s">
        <v>1321</v>
      </c>
      <c r="BC380" t="s">
        <v>1321</v>
      </c>
      <c r="BD380" t="s">
        <v>1321</v>
      </c>
      <c r="BE380" t="s">
        <v>1321</v>
      </c>
      <c r="BF380" t="s">
        <v>1321</v>
      </c>
      <c r="BG380" t="s">
        <v>1321</v>
      </c>
      <c r="CW380" t="s">
        <v>1321</v>
      </c>
      <c r="CX380" t="s">
        <v>1321</v>
      </c>
      <c r="CY380" t="s">
        <v>1321</v>
      </c>
      <c r="CZ380" t="s">
        <v>1321</v>
      </c>
      <c r="DA380" t="s">
        <v>1321</v>
      </c>
      <c r="DB380" t="s">
        <v>1321</v>
      </c>
      <c r="DC380" t="s">
        <v>1321</v>
      </c>
      <c r="DD380" t="s">
        <v>1321</v>
      </c>
      <c r="DE380" t="s">
        <v>1321</v>
      </c>
      <c r="DF380" t="s">
        <v>1321</v>
      </c>
      <c r="DG380" t="s">
        <v>1321</v>
      </c>
      <c r="DH380">
        <v>2</v>
      </c>
      <c r="DI380" t="s">
        <v>1321</v>
      </c>
      <c r="DJ380" t="s">
        <v>1321</v>
      </c>
      <c r="DK380" t="s">
        <v>1321</v>
      </c>
      <c r="DL380" t="s">
        <v>1321</v>
      </c>
      <c r="DM380" t="s">
        <v>1321</v>
      </c>
      <c r="DN380" t="s">
        <v>1321</v>
      </c>
      <c r="DO380" t="s">
        <v>1321</v>
      </c>
      <c r="DP380" t="s">
        <v>1321</v>
      </c>
      <c r="DQ380">
        <v>3</v>
      </c>
      <c r="DR380" t="s">
        <v>1321</v>
      </c>
      <c r="DS380" t="s">
        <v>1321</v>
      </c>
      <c r="DT380">
        <v>2</v>
      </c>
      <c r="DU380" t="s">
        <v>1321</v>
      </c>
      <c r="DV380" t="s">
        <v>1321</v>
      </c>
      <c r="DW380" t="s">
        <v>1321</v>
      </c>
      <c r="DX380">
        <v>2</v>
      </c>
      <c r="DY380" t="s">
        <v>1321</v>
      </c>
      <c r="DZ380" t="s">
        <v>1321</v>
      </c>
      <c r="EA380" t="s">
        <v>1321</v>
      </c>
      <c r="EB380" t="s">
        <v>1321</v>
      </c>
      <c r="EC380">
        <v>4</v>
      </c>
      <c r="ED380" t="s">
        <v>1321</v>
      </c>
      <c r="EE380" t="s">
        <v>1321</v>
      </c>
      <c r="EF380" t="s">
        <v>1321</v>
      </c>
      <c r="EG380">
        <v>3</v>
      </c>
      <c r="EH380" t="s">
        <v>1321</v>
      </c>
      <c r="EI380" t="s">
        <v>1321</v>
      </c>
      <c r="EJ380" t="s">
        <v>1321</v>
      </c>
      <c r="EK380" t="s">
        <v>1321</v>
      </c>
      <c r="EL380" t="s">
        <v>1321</v>
      </c>
      <c r="EM380" t="s">
        <v>1321</v>
      </c>
      <c r="EN380" t="s">
        <v>1321</v>
      </c>
      <c r="EO380" t="s">
        <v>1321</v>
      </c>
      <c r="EP380" t="s">
        <v>1321</v>
      </c>
      <c r="EQ380" t="s">
        <v>1321</v>
      </c>
      <c r="ER380" t="s">
        <v>1321</v>
      </c>
      <c r="ES380" t="s">
        <v>1321</v>
      </c>
      <c r="ET380" t="s">
        <v>1321</v>
      </c>
      <c r="EU380" t="s">
        <v>1321</v>
      </c>
      <c r="EV380" t="s">
        <v>1321</v>
      </c>
      <c r="EW380" t="s">
        <v>1321</v>
      </c>
      <c r="EY380" t="s">
        <v>1321</v>
      </c>
      <c r="EZ380" t="s">
        <v>1321</v>
      </c>
      <c r="FA380" t="s">
        <v>1321</v>
      </c>
      <c r="FB380" t="s">
        <v>1321</v>
      </c>
      <c r="FC380" t="s">
        <v>1321</v>
      </c>
      <c r="FD380" t="s">
        <v>1321</v>
      </c>
      <c r="FE380" t="s">
        <v>1321</v>
      </c>
      <c r="FF380">
        <v>3</v>
      </c>
      <c r="FG380" t="s">
        <v>1321</v>
      </c>
      <c r="FH380" t="s">
        <v>1321</v>
      </c>
      <c r="FI380" t="s">
        <v>1321</v>
      </c>
      <c r="FJ380" t="s">
        <v>1321</v>
      </c>
      <c r="FK380" t="s">
        <v>1321</v>
      </c>
      <c r="FL380" t="s">
        <v>1321</v>
      </c>
      <c r="FM380" t="s">
        <v>1321</v>
      </c>
      <c r="FN380" t="s">
        <v>1321</v>
      </c>
      <c r="FO380" t="s">
        <v>1321</v>
      </c>
      <c r="FP380" t="s">
        <v>1321</v>
      </c>
      <c r="FQ380" t="s">
        <v>1321</v>
      </c>
      <c r="FR380" t="s">
        <v>1321</v>
      </c>
      <c r="FS380" t="s">
        <v>1321</v>
      </c>
      <c r="FT380" t="s">
        <v>1321</v>
      </c>
      <c r="FU380" t="s">
        <v>1321</v>
      </c>
      <c r="FV380">
        <v>4</v>
      </c>
      <c r="FX380" t="s">
        <v>1321</v>
      </c>
      <c r="FY380" t="s">
        <v>1321</v>
      </c>
      <c r="FZ380" t="s">
        <v>1321</v>
      </c>
      <c r="GA380" t="s">
        <v>1321</v>
      </c>
      <c r="GB380" t="s">
        <v>1321</v>
      </c>
      <c r="GC380" t="s">
        <v>1321</v>
      </c>
      <c r="GD380">
        <v>3</v>
      </c>
      <c r="IL380">
        <f t="shared" si="9"/>
        <v>57</v>
      </c>
    </row>
    <row r="381" spans="1:246" outlineLevel="1" x14ac:dyDescent="0.2">
      <c r="A381" t="str">
        <f t="shared" si="8"/>
        <v>Corpofesso Gliederschmerz</v>
      </c>
      <c r="CW381" t="s">
        <v>1321</v>
      </c>
      <c r="CX381" t="s">
        <v>1321</v>
      </c>
      <c r="CY381" t="s">
        <v>1321</v>
      </c>
      <c r="CZ381" t="s">
        <v>1321</v>
      </c>
      <c r="DB381" t="s">
        <v>2515</v>
      </c>
      <c r="DC381" t="s">
        <v>1321</v>
      </c>
      <c r="DD381">
        <v>2</v>
      </c>
      <c r="DE381">
        <v>2</v>
      </c>
      <c r="DF381" t="s">
        <v>1321</v>
      </c>
      <c r="DG381" t="s">
        <v>1321</v>
      </c>
      <c r="DH381" t="s">
        <v>1321</v>
      </c>
      <c r="DI381" t="s">
        <v>1321</v>
      </c>
      <c r="DJ381" t="s">
        <v>1321</v>
      </c>
      <c r="DK381" t="s">
        <v>1321</v>
      </c>
      <c r="DL381" t="s">
        <v>2516</v>
      </c>
      <c r="DM381" t="s">
        <v>1321</v>
      </c>
      <c r="DN381" t="s">
        <v>1321</v>
      </c>
      <c r="DO381" t="s">
        <v>1321</v>
      </c>
      <c r="DP381" t="s">
        <v>1321</v>
      </c>
      <c r="DQ381" t="s">
        <v>1321</v>
      </c>
      <c r="DR381" t="s">
        <v>1321</v>
      </c>
      <c r="DS381" t="s">
        <v>1321</v>
      </c>
      <c r="DT381">
        <v>3</v>
      </c>
      <c r="DV381" t="s">
        <v>1321</v>
      </c>
      <c r="DW381" t="s">
        <v>1321</v>
      </c>
      <c r="DX381">
        <v>4</v>
      </c>
      <c r="DY381">
        <v>4</v>
      </c>
      <c r="EA381">
        <v>3</v>
      </c>
      <c r="EC381" t="s">
        <v>1321</v>
      </c>
      <c r="ED381" t="s">
        <v>1321</v>
      </c>
      <c r="EF381" t="s">
        <v>1321</v>
      </c>
      <c r="EG381" t="s">
        <v>1321</v>
      </c>
      <c r="EJ381" t="s">
        <v>1321</v>
      </c>
      <c r="EK381" t="s">
        <v>1321</v>
      </c>
      <c r="EL381" t="s">
        <v>1321</v>
      </c>
      <c r="EM381" t="s">
        <v>1321</v>
      </c>
      <c r="EN381" t="s">
        <v>1321</v>
      </c>
      <c r="EO381" t="s">
        <v>1321</v>
      </c>
      <c r="EP381" t="s">
        <v>1321</v>
      </c>
      <c r="EQ381" t="s">
        <v>1321</v>
      </c>
      <c r="ER381">
        <v>2</v>
      </c>
      <c r="ES381" t="s">
        <v>1321</v>
      </c>
      <c r="ET381" t="s">
        <v>1321</v>
      </c>
      <c r="EU381" t="s">
        <v>1321</v>
      </c>
      <c r="EV381">
        <v>4</v>
      </c>
      <c r="EZ381" t="s">
        <v>4569</v>
      </c>
      <c r="FA381" t="s">
        <v>4569</v>
      </c>
      <c r="FB381" t="s">
        <v>1321</v>
      </c>
      <c r="FC381" t="s">
        <v>1321</v>
      </c>
      <c r="FE381">
        <v>4</v>
      </c>
      <c r="FG381" t="s">
        <v>1321</v>
      </c>
      <c r="FH381" t="s">
        <v>1321</v>
      </c>
      <c r="FI381" t="s">
        <v>1321</v>
      </c>
      <c r="FJ381" t="s">
        <v>1321</v>
      </c>
      <c r="FK381" t="s">
        <v>1321</v>
      </c>
      <c r="FL381">
        <v>4</v>
      </c>
      <c r="FM381" t="s">
        <v>4569</v>
      </c>
      <c r="FN381" t="s">
        <v>1321</v>
      </c>
      <c r="FP381" t="s">
        <v>1321</v>
      </c>
      <c r="FQ381" t="s">
        <v>1321</v>
      </c>
      <c r="FR381" t="s">
        <v>1321</v>
      </c>
      <c r="FS381" t="s">
        <v>1321</v>
      </c>
      <c r="FT381" t="s">
        <v>1321</v>
      </c>
      <c r="FV381" t="s">
        <v>2515</v>
      </c>
      <c r="IL381">
        <f t="shared" si="9"/>
        <v>58</v>
      </c>
    </row>
    <row r="382" spans="1:246" outlineLevel="1" x14ac:dyDescent="0.2">
      <c r="A382" t="str">
        <f t="shared" si="8"/>
        <v>Corpofrigo Kälteschock</v>
      </c>
      <c r="N382" t="s">
        <v>1321</v>
      </c>
      <c r="BI382" t="s">
        <v>1321</v>
      </c>
      <c r="BJ382">
        <v>2</v>
      </c>
      <c r="CW382" t="s">
        <v>1321</v>
      </c>
      <c r="CX382" t="s">
        <v>1321</v>
      </c>
      <c r="CY382" t="s">
        <v>1321</v>
      </c>
      <c r="CZ382" t="s">
        <v>2516</v>
      </c>
      <c r="DB382">
        <v>4</v>
      </c>
      <c r="DF382" t="s">
        <v>1321</v>
      </c>
      <c r="DG382" t="s">
        <v>1321</v>
      </c>
      <c r="DH382" t="s">
        <v>1321</v>
      </c>
      <c r="DI382" t="s">
        <v>1321</v>
      </c>
      <c r="DJ382" t="s">
        <v>1321</v>
      </c>
      <c r="DK382" t="s">
        <v>2515</v>
      </c>
      <c r="DM382" t="s">
        <v>1321</v>
      </c>
      <c r="DN382" t="s">
        <v>1321</v>
      </c>
      <c r="DO382" t="s">
        <v>1321</v>
      </c>
      <c r="DP382" t="s">
        <v>1321</v>
      </c>
      <c r="DQ382" t="s">
        <v>1321</v>
      </c>
      <c r="DR382" t="s">
        <v>2516</v>
      </c>
      <c r="DS382" t="s">
        <v>1321</v>
      </c>
      <c r="DV382" t="s">
        <v>1321</v>
      </c>
      <c r="DW382" t="s">
        <v>1321</v>
      </c>
      <c r="DX382" t="s">
        <v>1321</v>
      </c>
      <c r="DY382">
        <v>3</v>
      </c>
      <c r="EA382" t="s">
        <v>1321</v>
      </c>
      <c r="EC382" t="s">
        <v>1321</v>
      </c>
      <c r="ED382" t="s">
        <v>1321</v>
      </c>
      <c r="EF382" t="s">
        <v>1321</v>
      </c>
      <c r="EG382" t="s">
        <v>1321</v>
      </c>
      <c r="EH382" t="s">
        <v>1321</v>
      </c>
      <c r="EI382" t="s">
        <v>1321</v>
      </c>
      <c r="EJ382" t="s">
        <v>1321</v>
      </c>
      <c r="EK382" t="s">
        <v>1321</v>
      </c>
      <c r="EL382" t="s">
        <v>1321</v>
      </c>
      <c r="EM382" t="s">
        <v>1321</v>
      </c>
      <c r="EN382" t="s">
        <v>1321</v>
      </c>
      <c r="EO382" t="s">
        <v>1321</v>
      </c>
      <c r="EP382" t="s">
        <v>1321</v>
      </c>
      <c r="EQ382" t="s">
        <v>1321</v>
      </c>
      <c r="ER382" t="s">
        <v>1321</v>
      </c>
      <c r="ES382" t="s">
        <v>1321</v>
      </c>
      <c r="ET382" t="s">
        <v>1321</v>
      </c>
      <c r="EU382" t="s">
        <v>1321</v>
      </c>
      <c r="EZ382" t="s">
        <v>4569</v>
      </c>
      <c r="FA382" t="s">
        <v>4569</v>
      </c>
      <c r="FB382" t="s">
        <v>1321</v>
      </c>
      <c r="FC382" t="s">
        <v>1321</v>
      </c>
      <c r="FF382">
        <v>2</v>
      </c>
      <c r="FG382" t="s">
        <v>1321</v>
      </c>
      <c r="FH382" t="s">
        <v>1321</v>
      </c>
      <c r="FI382" t="s">
        <v>1321</v>
      </c>
      <c r="FJ382" t="s">
        <v>1321</v>
      </c>
      <c r="FK382" t="s">
        <v>1321</v>
      </c>
      <c r="FM382" t="s">
        <v>4569</v>
      </c>
      <c r="FN382" t="s">
        <v>1321</v>
      </c>
      <c r="FP382" t="s">
        <v>4569</v>
      </c>
      <c r="FQ382" t="s">
        <v>4569</v>
      </c>
      <c r="FR382" t="s">
        <v>4569</v>
      </c>
      <c r="FS382" t="s">
        <v>4569</v>
      </c>
      <c r="IL382">
        <f t="shared" si="9"/>
        <v>59</v>
      </c>
    </row>
    <row r="383" spans="1:246" outlineLevel="1" x14ac:dyDescent="0.2">
      <c r="A383" t="str">
        <f t="shared" si="8"/>
        <v>Cryptographo Zauberschrift</v>
      </c>
      <c r="CW383">
        <v>4</v>
      </c>
      <c r="CX383" t="s">
        <v>1321</v>
      </c>
      <c r="CY383" t="s">
        <v>1321</v>
      </c>
      <c r="CZ383" t="s">
        <v>1321</v>
      </c>
      <c r="DA383" t="s">
        <v>1321</v>
      </c>
      <c r="DB383" t="s">
        <v>1321</v>
      </c>
      <c r="DC383" t="s">
        <v>1321</v>
      </c>
      <c r="DD383" t="s">
        <v>1321</v>
      </c>
      <c r="DE383" t="s">
        <v>1321</v>
      </c>
      <c r="DF383" t="s">
        <v>1321</v>
      </c>
      <c r="DG383" t="s">
        <v>1321</v>
      </c>
      <c r="DH383" t="s">
        <v>1321</v>
      </c>
      <c r="DI383" t="s">
        <v>1321</v>
      </c>
      <c r="DJ383" t="s">
        <v>1321</v>
      </c>
      <c r="DK383" t="s">
        <v>1321</v>
      </c>
      <c r="DL383" t="s">
        <v>1321</v>
      </c>
      <c r="DM383">
        <v>3</v>
      </c>
      <c r="DN383" t="s">
        <v>1321</v>
      </c>
      <c r="DO383" t="s">
        <v>1321</v>
      </c>
      <c r="DP383">
        <v>3</v>
      </c>
      <c r="DQ383" t="s">
        <v>1321</v>
      </c>
      <c r="DR383" t="s">
        <v>1321</v>
      </c>
      <c r="DS383" t="s">
        <v>1321</v>
      </c>
      <c r="DT383" t="s">
        <v>1321</v>
      </c>
      <c r="DU383">
        <v>2</v>
      </c>
      <c r="DV383" t="s">
        <v>1321</v>
      </c>
      <c r="DW383" t="s">
        <v>1321</v>
      </c>
      <c r="DX383">
        <v>3</v>
      </c>
      <c r="DY383">
        <v>3</v>
      </c>
      <c r="DZ383" t="s">
        <v>1321</v>
      </c>
      <c r="EA383" t="s">
        <v>1321</v>
      </c>
      <c r="EB383" t="s">
        <v>1321</v>
      </c>
      <c r="EC383" t="s">
        <v>1321</v>
      </c>
      <c r="ED383" t="s">
        <v>1321</v>
      </c>
      <c r="EE383" t="s">
        <v>1321</v>
      </c>
      <c r="EF383" t="s">
        <v>1321</v>
      </c>
      <c r="EG383" t="s">
        <v>1321</v>
      </c>
      <c r="EH383" t="s">
        <v>1321</v>
      </c>
      <c r="EI383" t="s">
        <v>1321</v>
      </c>
      <c r="EJ383" t="s">
        <v>1321</v>
      </c>
      <c r="EK383" t="s">
        <v>1321</v>
      </c>
      <c r="EL383" t="s">
        <v>1321</v>
      </c>
      <c r="EM383" t="s">
        <v>1321</v>
      </c>
      <c r="EN383" t="s">
        <v>1321</v>
      </c>
      <c r="EO383" t="s">
        <v>1321</v>
      </c>
      <c r="EP383" t="s">
        <v>1321</v>
      </c>
      <c r="EQ383" t="s">
        <v>2516</v>
      </c>
      <c r="ER383" t="s">
        <v>1321</v>
      </c>
      <c r="ES383">
        <v>2</v>
      </c>
      <c r="ET383" t="s">
        <v>1321</v>
      </c>
      <c r="EU383" t="s">
        <v>1321</v>
      </c>
      <c r="EV383" t="s">
        <v>1321</v>
      </c>
      <c r="EW383" t="s">
        <v>1321</v>
      </c>
      <c r="EY383" t="s">
        <v>1321</v>
      </c>
      <c r="EZ383" t="s">
        <v>1321</v>
      </c>
      <c r="FA383" t="s">
        <v>1321</v>
      </c>
      <c r="FB383" t="s">
        <v>1321</v>
      </c>
      <c r="FC383" t="s">
        <v>1321</v>
      </c>
      <c r="FD383" t="s">
        <v>1321</v>
      </c>
      <c r="FE383" t="s">
        <v>1321</v>
      </c>
      <c r="FF383" t="s">
        <v>1321</v>
      </c>
      <c r="FG383" t="s">
        <v>577</v>
      </c>
      <c r="FH383" t="s">
        <v>1321</v>
      </c>
      <c r="FI383" t="s">
        <v>1321</v>
      </c>
      <c r="FJ383" t="s">
        <v>1321</v>
      </c>
      <c r="FK383" t="s">
        <v>1321</v>
      </c>
      <c r="FL383" t="s">
        <v>1321</v>
      </c>
      <c r="FM383" t="s">
        <v>1321</v>
      </c>
      <c r="FN383" t="s">
        <v>1321</v>
      </c>
      <c r="FO383" t="s">
        <v>1321</v>
      </c>
      <c r="FP383" t="s">
        <v>1321</v>
      </c>
      <c r="FQ383" t="s">
        <v>1321</v>
      </c>
      <c r="FR383" t="s">
        <v>1321</v>
      </c>
      <c r="FS383" t="s">
        <v>1321</v>
      </c>
      <c r="FT383" t="s">
        <v>1321</v>
      </c>
      <c r="FU383" t="s">
        <v>1321</v>
      </c>
      <c r="FV383" t="s">
        <v>1321</v>
      </c>
      <c r="IK383">
        <v>1</v>
      </c>
      <c r="IL383">
        <f t="shared" si="9"/>
        <v>60</v>
      </c>
    </row>
    <row r="384" spans="1:246" outlineLevel="1" x14ac:dyDescent="0.2">
      <c r="A384" t="str">
        <f t="shared" si="8"/>
        <v>Custodosigil Diebesbann</v>
      </c>
      <c r="BI384" t="s">
        <v>1321</v>
      </c>
      <c r="BJ384" t="s">
        <v>1321</v>
      </c>
      <c r="CW384">
        <v>3</v>
      </c>
      <c r="CX384">
        <v>3</v>
      </c>
      <c r="CY384" t="s">
        <v>1321</v>
      </c>
      <c r="CZ384" t="s">
        <v>1321</v>
      </c>
      <c r="DA384" t="s">
        <v>1321</v>
      </c>
      <c r="DB384" t="s">
        <v>1321</v>
      </c>
      <c r="DD384" t="s">
        <v>1321</v>
      </c>
      <c r="DE384" t="s">
        <v>1321</v>
      </c>
      <c r="DF384" t="s">
        <v>1321</v>
      </c>
      <c r="DG384" t="s">
        <v>1321</v>
      </c>
      <c r="DH384" t="s">
        <v>1321</v>
      </c>
      <c r="DI384" t="s">
        <v>1321</v>
      </c>
      <c r="DJ384" t="s">
        <v>1321</v>
      </c>
      <c r="DK384" t="s">
        <v>1321</v>
      </c>
      <c r="DL384" t="s">
        <v>1321</v>
      </c>
      <c r="DM384" t="s">
        <v>1321</v>
      </c>
      <c r="DN384" t="s">
        <v>1321</v>
      </c>
      <c r="DO384" t="s">
        <v>1321</v>
      </c>
      <c r="DP384">
        <v>3</v>
      </c>
      <c r="DQ384" t="s">
        <v>1321</v>
      </c>
      <c r="DR384" t="s">
        <v>1321</v>
      </c>
      <c r="DS384" t="s">
        <v>1321</v>
      </c>
      <c r="DT384" t="s">
        <v>1321</v>
      </c>
      <c r="DU384" t="s">
        <v>1321</v>
      </c>
      <c r="DV384">
        <v>4</v>
      </c>
      <c r="DW384" t="s">
        <v>1321</v>
      </c>
      <c r="DX384" t="s">
        <v>1321</v>
      </c>
      <c r="DY384">
        <v>3</v>
      </c>
      <c r="DZ384" t="s">
        <v>1321</v>
      </c>
      <c r="EA384" t="s">
        <v>1321</v>
      </c>
      <c r="EB384" t="s">
        <v>1321</v>
      </c>
      <c r="EC384">
        <v>4</v>
      </c>
      <c r="ED384">
        <v>4</v>
      </c>
      <c r="EE384" t="s">
        <v>1321</v>
      </c>
      <c r="EF384" t="s">
        <v>1321</v>
      </c>
      <c r="EG384" t="s">
        <v>1321</v>
      </c>
      <c r="EH384" t="s">
        <v>1321</v>
      </c>
      <c r="EI384" t="s">
        <v>1321</v>
      </c>
      <c r="EJ384" t="s">
        <v>1321</v>
      </c>
      <c r="EK384">
        <v>2</v>
      </c>
      <c r="EL384">
        <v>2</v>
      </c>
      <c r="EM384" t="s">
        <v>1321</v>
      </c>
      <c r="EN384" t="s">
        <v>1321</v>
      </c>
      <c r="EO384" t="s">
        <v>2516</v>
      </c>
      <c r="EP384">
        <v>2</v>
      </c>
      <c r="EQ384">
        <v>3</v>
      </c>
      <c r="ER384" t="s">
        <v>1321</v>
      </c>
      <c r="ES384" t="s">
        <v>1321</v>
      </c>
      <c r="ET384" t="s">
        <v>1321</v>
      </c>
      <c r="EU384" t="s">
        <v>1321</v>
      </c>
      <c r="EV384" t="s">
        <v>1321</v>
      </c>
      <c r="EW384" t="s">
        <v>1321</v>
      </c>
      <c r="EY384" t="s">
        <v>1321</v>
      </c>
      <c r="EZ384" t="s">
        <v>1321</v>
      </c>
      <c r="FA384" t="s">
        <v>1321</v>
      </c>
      <c r="FB384" t="s">
        <v>1321</v>
      </c>
      <c r="FC384" t="s">
        <v>1321</v>
      </c>
      <c r="FD384" t="s">
        <v>1321</v>
      </c>
      <c r="FE384" t="s">
        <v>1321</v>
      </c>
      <c r="FF384" t="s">
        <v>1321</v>
      </c>
      <c r="FG384">
        <v>2</v>
      </c>
      <c r="FH384" t="s">
        <v>1321</v>
      </c>
      <c r="FI384" t="s">
        <v>1321</v>
      </c>
      <c r="FJ384" t="s">
        <v>1321</v>
      </c>
      <c r="FK384" t="s">
        <v>1321</v>
      </c>
      <c r="FL384" t="s">
        <v>1321</v>
      </c>
      <c r="FM384" t="s">
        <v>1321</v>
      </c>
      <c r="FN384" t="s">
        <v>1321</v>
      </c>
      <c r="FO384" t="s">
        <v>1321</v>
      </c>
      <c r="FP384" t="s">
        <v>1321</v>
      </c>
      <c r="FQ384" t="s">
        <v>4901</v>
      </c>
      <c r="FR384" t="s">
        <v>1321</v>
      </c>
      <c r="FS384" t="s">
        <v>1321</v>
      </c>
      <c r="FT384" t="s">
        <v>1321</v>
      </c>
      <c r="FU384" t="s">
        <v>1321</v>
      </c>
      <c r="FV384" t="s">
        <v>1321</v>
      </c>
      <c r="IL384">
        <f t="shared" si="9"/>
        <v>61</v>
      </c>
    </row>
    <row r="385" spans="1:246" outlineLevel="1" x14ac:dyDescent="0.2">
      <c r="A385" t="str">
        <f t="shared" si="8"/>
        <v>Dämonenbann</v>
      </c>
      <c r="B385" t="s">
        <v>1955</v>
      </c>
      <c r="O385" t="s">
        <v>1955</v>
      </c>
      <c r="AT385" t="s">
        <v>1955</v>
      </c>
      <c r="AY385" t="s">
        <v>1955</v>
      </c>
      <c r="BH385" t="s">
        <v>1955</v>
      </c>
      <c r="BK385" t="s">
        <v>1955</v>
      </c>
      <c r="CV385" t="s">
        <v>1955</v>
      </c>
      <c r="DS385" t="s">
        <v>1321</v>
      </c>
      <c r="EJ385" t="s">
        <v>1321</v>
      </c>
      <c r="EK385" t="s">
        <v>1321</v>
      </c>
      <c r="EL385" t="s">
        <v>1321</v>
      </c>
      <c r="EX385" t="s">
        <v>1955</v>
      </c>
      <c r="EZ385" t="s">
        <v>4569</v>
      </c>
      <c r="FA385" t="s">
        <v>4569</v>
      </c>
      <c r="FM385" t="s">
        <v>4569</v>
      </c>
      <c r="FP385" t="s">
        <v>4569</v>
      </c>
      <c r="FQ385" t="s">
        <v>4569</v>
      </c>
      <c r="FR385" t="s">
        <v>4569</v>
      </c>
      <c r="FS385" t="s">
        <v>4569</v>
      </c>
      <c r="FW385" t="s">
        <v>1955</v>
      </c>
      <c r="GE385" t="s">
        <v>1955</v>
      </c>
      <c r="GM385" t="s">
        <v>1955</v>
      </c>
      <c r="GX385" t="s">
        <v>1955</v>
      </c>
      <c r="IJ385" t="s">
        <v>1955</v>
      </c>
      <c r="IL385">
        <f t="shared" si="9"/>
        <v>62</v>
      </c>
    </row>
    <row r="386" spans="1:246" outlineLevel="1" x14ac:dyDescent="0.2">
      <c r="A386" t="str">
        <f t="shared" si="8"/>
        <v>Deliciosi Gaumenschmaus</v>
      </c>
      <c r="CW386" t="s">
        <v>1321</v>
      </c>
      <c r="CX386" t="s">
        <v>1321</v>
      </c>
      <c r="CY386" t="s">
        <v>1321</v>
      </c>
      <c r="DB386" t="s">
        <v>1321</v>
      </c>
      <c r="DM386" t="s">
        <v>1321</v>
      </c>
      <c r="DN386" t="s">
        <v>1321</v>
      </c>
      <c r="DO386" t="s">
        <v>1321</v>
      </c>
      <c r="DP386" t="s">
        <v>1321</v>
      </c>
      <c r="DQ386" t="s">
        <v>1321</v>
      </c>
      <c r="DS386" t="s">
        <v>1321</v>
      </c>
      <c r="DV386" t="s">
        <v>1321</v>
      </c>
      <c r="DW386" t="s">
        <v>1321</v>
      </c>
      <c r="DX386" t="s">
        <v>1321</v>
      </c>
      <c r="EA386" t="s">
        <v>1321</v>
      </c>
      <c r="EC386" t="s">
        <v>1321</v>
      </c>
      <c r="ED386" t="s">
        <v>1321</v>
      </c>
      <c r="EF386" t="s">
        <v>1321</v>
      </c>
      <c r="EG386" t="s">
        <v>1321</v>
      </c>
      <c r="EJ386" t="s">
        <v>1321</v>
      </c>
      <c r="EK386" t="s">
        <v>1321</v>
      </c>
      <c r="EL386" t="s">
        <v>1321</v>
      </c>
      <c r="EM386" t="s">
        <v>1321</v>
      </c>
      <c r="EN386" t="s">
        <v>1321</v>
      </c>
      <c r="EO386" t="s">
        <v>1321</v>
      </c>
      <c r="EP386" t="s">
        <v>1321</v>
      </c>
      <c r="EQ386" t="s">
        <v>1321</v>
      </c>
      <c r="ES386" t="s">
        <v>1321</v>
      </c>
      <c r="ET386" t="s">
        <v>1321</v>
      </c>
      <c r="EU386" t="s">
        <v>1321</v>
      </c>
      <c r="EV386" t="s">
        <v>1321</v>
      </c>
      <c r="EZ386" t="s">
        <v>4569</v>
      </c>
      <c r="FA386" t="s">
        <v>4569</v>
      </c>
      <c r="FB386" t="s">
        <v>1321</v>
      </c>
      <c r="FC386" t="s">
        <v>1321</v>
      </c>
      <c r="FF386" t="s">
        <v>2514</v>
      </c>
      <c r="FG386" t="s">
        <v>1321</v>
      </c>
      <c r="FH386" t="s">
        <v>1321</v>
      </c>
      <c r="FI386" t="s">
        <v>1321</v>
      </c>
      <c r="FJ386" t="s">
        <v>1321</v>
      </c>
      <c r="FK386" t="s">
        <v>1321</v>
      </c>
      <c r="FM386" t="s">
        <v>4569</v>
      </c>
      <c r="FN386" t="s">
        <v>1321</v>
      </c>
      <c r="FP386" t="s">
        <v>4569</v>
      </c>
      <c r="FQ386" t="s">
        <v>4569</v>
      </c>
      <c r="FR386" t="s">
        <v>4569</v>
      </c>
      <c r="FS386" t="s">
        <v>4569</v>
      </c>
      <c r="GB386">
        <v>3</v>
      </c>
      <c r="GK386">
        <v>2</v>
      </c>
      <c r="IL386">
        <f t="shared" si="9"/>
        <v>63</v>
      </c>
    </row>
    <row r="387" spans="1:246" outlineLevel="1" x14ac:dyDescent="0.2">
      <c r="A387" t="str">
        <f t="shared" si="8"/>
        <v>Desintegratus Pulverstaub</v>
      </c>
      <c r="CW387" t="s">
        <v>1321</v>
      </c>
      <c r="CX387">
        <v>2</v>
      </c>
      <c r="CZ387" t="s">
        <v>1321</v>
      </c>
      <c r="DB387" t="s">
        <v>2516</v>
      </c>
      <c r="DP387" t="s">
        <v>1321</v>
      </c>
      <c r="DR387" t="s">
        <v>1321</v>
      </c>
      <c r="DV387" t="s">
        <v>1321</v>
      </c>
      <c r="DW387" t="s">
        <v>1321</v>
      </c>
      <c r="ED387" t="s">
        <v>2515</v>
      </c>
      <c r="EK387" t="s">
        <v>1321</v>
      </c>
      <c r="EL387" t="s">
        <v>1321</v>
      </c>
      <c r="EZ387" t="s">
        <v>4569</v>
      </c>
      <c r="FA387" t="s">
        <v>4569</v>
      </c>
      <c r="FG387" t="s">
        <v>1321</v>
      </c>
      <c r="FH387" t="s">
        <v>1321</v>
      </c>
      <c r="FI387" t="s">
        <v>1321</v>
      </c>
      <c r="FJ387" t="s">
        <v>1321</v>
      </c>
      <c r="FM387" t="s">
        <v>1321</v>
      </c>
      <c r="FO387" t="s">
        <v>577</v>
      </c>
      <c r="FP387" t="s">
        <v>4569</v>
      </c>
      <c r="FQ387" t="s">
        <v>4569</v>
      </c>
      <c r="FR387" t="s">
        <v>4569</v>
      </c>
      <c r="FS387" t="s">
        <v>4569</v>
      </c>
      <c r="IL387">
        <f t="shared" si="9"/>
        <v>64</v>
      </c>
    </row>
    <row r="388" spans="1:246" outlineLevel="1" x14ac:dyDescent="0.2">
      <c r="A388" t="str">
        <f t="shared" si="8"/>
        <v>Destructibo Arcanitas</v>
      </c>
      <c r="DV388" t="s">
        <v>4901</v>
      </c>
      <c r="DW388" t="s">
        <v>4901</v>
      </c>
      <c r="DX388" t="s">
        <v>2516</v>
      </c>
      <c r="EJ388">
        <v>1</v>
      </c>
      <c r="EK388" t="s">
        <v>1321</v>
      </c>
      <c r="EL388" t="s">
        <v>2515</v>
      </c>
      <c r="EW388" t="s">
        <v>2516</v>
      </c>
      <c r="EZ388" t="s">
        <v>4569</v>
      </c>
      <c r="FA388" t="s">
        <v>4569</v>
      </c>
      <c r="FM388" t="s">
        <v>4569</v>
      </c>
      <c r="FO388">
        <v>2</v>
      </c>
      <c r="FP388" t="s">
        <v>4569</v>
      </c>
      <c r="FQ388" t="s">
        <v>4569</v>
      </c>
      <c r="FR388" t="s">
        <v>4569</v>
      </c>
      <c r="FS388" t="s">
        <v>4569</v>
      </c>
      <c r="IK388" t="s">
        <v>7191</v>
      </c>
      <c r="IL388">
        <f t="shared" si="9"/>
        <v>65</v>
      </c>
    </row>
    <row r="389" spans="1:246" outlineLevel="1" x14ac:dyDescent="0.2">
      <c r="A389" t="str">
        <f t="shared" si="8"/>
        <v>Dichter und Denker</v>
      </c>
      <c r="EZ389" t="s">
        <v>4569</v>
      </c>
      <c r="FA389" t="s">
        <v>4569</v>
      </c>
      <c r="FM389" t="s">
        <v>4569</v>
      </c>
      <c r="FP389" t="s">
        <v>4569</v>
      </c>
      <c r="FQ389" t="s">
        <v>4569</v>
      </c>
      <c r="FR389" t="s">
        <v>4569</v>
      </c>
      <c r="FS389" t="s">
        <v>4569</v>
      </c>
      <c r="GH389" t="s">
        <v>1321</v>
      </c>
      <c r="GK389">
        <v>3</v>
      </c>
      <c r="IL389">
        <f t="shared" si="9"/>
        <v>66</v>
      </c>
    </row>
    <row r="390" spans="1:246" outlineLevel="1" x14ac:dyDescent="0.2">
      <c r="A390" t="str">
        <f t="shared" si="8"/>
        <v>Dschinnenruf</v>
      </c>
      <c r="H390" t="s">
        <v>1321</v>
      </c>
      <c r="I390" t="s">
        <v>1321</v>
      </c>
      <c r="J390" t="s">
        <v>1321</v>
      </c>
      <c r="K390" t="s">
        <v>1321</v>
      </c>
      <c r="L390" t="s">
        <v>1321</v>
      </c>
      <c r="M390" t="s">
        <v>1321</v>
      </c>
      <c r="N390" t="s">
        <v>1321</v>
      </c>
      <c r="AW390" t="s">
        <v>1321</v>
      </c>
      <c r="CW390" t="s">
        <v>1321</v>
      </c>
      <c r="CX390" t="s">
        <v>1321</v>
      </c>
      <c r="CY390" t="s">
        <v>1321</v>
      </c>
      <c r="CZ390" t="s">
        <v>1321</v>
      </c>
      <c r="DF390" t="s">
        <v>513</v>
      </c>
      <c r="DG390" t="s">
        <v>513</v>
      </c>
      <c r="DH390" t="s">
        <v>513</v>
      </c>
      <c r="DI390" t="s">
        <v>513</v>
      </c>
      <c r="DJ390" t="s">
        <v>513</v>
      </c>
      <c r="DK390" t="s">
        <v>513</v>
      </c>
      <c r="DM390" t="s">
        <v>1321</v>
      </c>
      <c r="DN390" t="s">
        <v>1321</v>
      </c>
      <c r="DO390" t="s">
        <v>1321</v>
      </c>
      <c r="DP390" t="s">
        <v>1321</v>
      </c>
      <c r="DQ390" t="s">
        <v>1321</v>
      </c>
      <c r="DR390" t="s">
        <v>1321</v>
      </c>
      <c r="DS390" t="s">
        <v>1321</v>
      </c>
      <c r="DV390">
        <v>1</v>
      </c>
      <c r="DW390" t="s">
        <v>2516</v>
      </c>
      <c r="DX390" t="s">
        <v>1321</v>
      </c>
      <c r="EA390" t="s">
        <v>1321</v>
      </c>
      <c r="EC390" t="s">
        <v>2515</v>
      </c>
      <c r="ED390" t="s">
        <v>1321</v>
      </c>
      <c r="EF390" t="s">
        <v>1321</v>
      </c>
      <c r="EG390" t="s">
        <v>1321</v>
      </c>
      <c r="EJ390" t="s">
        <v>1321</v>
      </c>
      <c r="EK390" t="s">
        <v>2515</v>
      </c>
      <c r="EL390">
        <v>2</v>
      </c>
      <c r="EM390" t="s">
        <v>1321</v>
      </c>
      <c r="EN390" t="s">
        <v>2514</v>
      </c>
      <c r="EO390" t="s">
        <v>1321</v>
      </c>
      <c r="EP390" t="s">
        <v>1321</v>
      </c>
      <c r="ES390" t="s">
        <v>1321</v>
      </c>
      <c r="EU390" t="s">
        <v>1321</v>
      </c>
      <c r="EZ390" t="s">
        <v>4569</v>
      </c>
      <c r="FA390" t="s">
        <v>4569</v>
      </c>
      <c r="FB390" t="s">
        <v>1321</v>
      </c>
      <c r="FC390" t="s">
        <v>1321</v>
      </c>
      <c r="FG390" t="s">
        <v>1321</v>
      </c>
      <c r="FH390" t="s">
        <v>1321</v>
      </c>
      <c r="FI390" t="s">
        <v>1321</v>
      </c>
      <c r="FJ390" t="s">
        <v>1321</v>
      </c>
      <c r="FK390" t="s">
        <v>1321</v>
      </c>
      <c r="FM390" t="s">
        <v>4569</v>
      </c>
      <c r="FN390" t="s">
        <v>1321</v>
      </c>
      <c r="FP390" t="s">
        <v>4569</v>
      </c>
      <c r="FQ390" t="s">
        <v>4569</v>
      </c>
      <c r="FR390" t="s">
        <v>4569</v>
      </c>
      <c r="FS390" t="s">
        <v>4569</v>
      </c>
      <c r="IL390">
        <f t="shared" si="9"/>
        <v>67</v>
      </c>
    </row>
    <row r="391" spans="1:246" outlineLevel="1" x14ac:dyDescent="0.2">
      <c r="A391" t="str">
        <f t="shared" si="8"/>
        <v>Dunkelheit</v>
      </c>
      <c r="C391" t="s">
        <v>1321</v>
      </c>
      <c r="D391" t="s">
        <v>4901</v>
      </c>
      <c r="E391" t="s">
        <v>1321</v>
      </c>
      <c r="F391" t="s">
        <v>1321</v>
      </c>
      <c r="G391" t="s">
        <v>1321</v>
      </c>
      <c r="H391" t="s">
        <v>1321</v>
      </c>
      <c r="I391" t="s">
        <v>1321</v>
      </c>
      <c r="J391" t="s">
        <v>1321</v>
      </c>
      <c r="K391" t="s">
        <v>1321</v>
      </c>
      <c r="L391" t="s">
        <v>1321</v>
      </c>
      <c r="M391" t="s">
        <v>1321</v>
      </c>
      <c r="N391" t="s">
        <v>2515</v>
      </c>
      <c r="AU391" t="s">
        <v>1321</v>
      </c>
      <c r="AV391" t="s">
        <v>1321</v>
      </c>
      <c r="AW391">
        <v>3</v>
      </c>
      <c r="AX391">
        <v>1</v>
      </c>
      <c r="BC391" t="s">
        <v>1321</v>
      </c>
      <c r="BG391" t="s">
        <v>1321</v>
      </c>
      <c r="CW391" t="s">
        <v>1321</v>
      </c>
      <c r="CX391" t="s">
        <v>1321</v>
      </c>
      <c r="CY391" t="s">
        <v>1321</v>
      </c>
      <c r="CZ391" t="s">
        <v>1321</v>
      </c>
      <c r="DB391" t="s">
        <v>1321</v>
      </c>
      <c r="DC391" t="s">
        <v>1321</v>
      </c>
      <c r="DF391" t="s">
        <v>1321</v>
      </c>
      <c r="DG391" t="s">
        <v>1321</v>
      </c>
      <c r="DH391" t="s">
        <v>1321</v>
      </c>
      <c r="DI391" t="s">
        <v>1321</v>
      </c>
      <c r="DJ391" t="s">
        <v>1321</v>
      </c>
      <c r="DK391">
        <v>5</v>
      </c>
      <c r="DM391" t="s">
        <v>1321</v>
      </c>
      <c r="DN391" t="s">
        <v>1321</v>
      </c>
      <c r="DO391" t="s">
        <v>1321</v>
      </c>
      <c r="DP391" t="s">
        <v>1321</v>
      </c>
      <c r="DQ391">
        <v>3</v>
      </c>
      <c r="DR391" t="s">
        <v>1321</v>
      </c>
      <c r="DS391" t="s">
        <v>1321</v>
      </c>
      <c r="DV391" t="s">
        <v>1321</v>
      </c>
      <c r="DW391" t="s">
        <v>1321</v>
      </c>
      <c r="EA391" t="s">
        <v>1321</v>
      </c>
      <c r="EC391" t="s">
        <v>1321</v>
      </c>
      <c r="ED391">
        <v>4</v>
      </c>
      <c r="EF391" t="s">
        <v>1321</v>
      </c>
      <c r="EG391" t="s">
        <v>2514</v>
      </c>
      <c r="EH391" t="s">
        <v>1321</v>
      </c>
      <c r="EI391" t="s">
        <v>1321</v>
      </c>
      <c r="EJ391" t="s">
        <v>1321</v>
      </c>
      <c r="EK391" t="s">
        <v>1321</v>
      </c>
      <c r="EL391" t="s">
        <v>1321</v>
      </c>
      <c r="EM391" t="s">
        <v>1321</v>
      </c>
      <c r="EN391" t="s">
        <v>1321</v>
      </c>
      <c r="EO391" t="s">
        <v>1321</v>
      </c>
      <c r="EP391" t="s">
        <v>1321</v>
      </c>
      <c r="EQ391" t="s">
        <v>1321</v>
      </c>
      <c r="ES391" t="s">
        <v>1321</v>
      </c>
      <c r="ET391" t="s">
        <v>1321</v>
      </c>
      <c r="EU391">
        <v>5</v>
      </c>
      <c r="EV391" t="s">
        <v>1321</v>
      </c>
      <c r="EZ391" t="s">
        <v>2515</v>
      </c>
      <c r="FA391" t="s">
        <v>2515</v>
      </c>
      <c r="FB391" t="s">
        <v>1321</v>
      </c>
      <c r="FC391" t="s">
        <v>1321</v>
      </c>
      <c r="FG391" t="s">
        <v>1321</v>
      </c>
      <c r="FH391" t="s">
        <v>1321</v>
      </c>
      <c r="FI391" t="s">
        <v>1321</v>
      </c>
      <c r="FJ391" t="s">
        <v>1321</v>
      </c>
      <c r="FK391" t="s">
        <v>1321</v>
      </c>
      <c r="FM391" t="s">
        <v>2516</v>
      </c>
      <c r="FN391" t="s">
        <v>1321</v>
      </c>
      <c r="FP391" t="s">
        <v>1321</v>
      </c>
      <c r="FQ391" t="s">
        <v>1321</v>
      </c>
      <c r="FR391" t="s">
        <v>1321</v>
      </c>
      <c r="FS391" t="s">
        <v>1321</v>
      </c>
      <c r="GF391" t="s">
        <v>1321</v>
      </c>
      <c r="GG391" t="s">
        <v>1321</v>
      </c>
      <c r="GH391" t="s">
        <v>1321</v>
      </c>
      <c r="GI391" t="s">
        <v>1321</v>
      </c>
      <c r="GJ391" t="s">
        <v>1321</v>
      </c>
      <c r="GK391" t="s">
        <v>1321</v>
      </c>
      <c r="GL391" t="s">
        <v>1321</v>
      </c>
      <c r="IL391">
        <f t="shared" si="9"/>
        <v>68</v>
      </c>
    </row>
    <row r="392" spans="1:246" outlineLevel="1" x14ac:dyDescent="0.2">
      <c r="A392" t="str">
        <f t="shared" si="8"/>
        <v>Duplicatus Doppelbild</v>
      </c>
      <c r="CW392" t="s">
        <v>1321</v>
      </c>
      <c r="CX392" t="s">
        <v>1321</v>
      </c>
      <c r="CY392">
        <v>3</v>
      </c>
      <c r="CZ392" t="s">
        <v>1321</v>
      </c>
      <c r="DA392" t="s">
        <v>1321</v>
      </c>
      <c r="DB392" t="s">
        <v>1321</v>
      </c>
      <c r="DF392" t="s">
        <v>1321</v>
      </c>
      <c r="DG392" t="s">
        <v>1321</v>
      </c>
      <c r="DH392" t="s">
        <v>1321</v>
      </c>
      <c r="DI392" t="s">
        <v>1321</v>
      </c>
      <c r="DJ392" t="s">
        <v>1321</v>
      </c>
      <c r="DK392" t="s">
        <v>1321</v>
      </c>
      <c r="DL392" t="s">
        <v>1321</v>
      </c>
      <c r="DM392" t="s">
        <v>1321</v>
      </c>
      <c r="DN392" t="s">
        <v>1321</v>
      </c>
      <c r="DO392" t="s">
        <v>1321</v>
      </c>
      <c r="DP392" t="s">
        <v>1321</v>
      </c>
      <c r="DQ392" t="s">
        <v>1321</v>
      </c>
      <c r="DR392" t="s">
        <v>1321</v>
      </c>
      <c r="DS392">
        <v>3</v>
      </c>
      <c r="DT392" t="s">
        <v>1321</v>
      </c>
      <c r="DU392" t="s">
        <v>2516</v>
      </c>
      <c r="DV392" t="s">
        <v>1321</v>
      </c>
      <c r="DW392" t="s">
        <v>1321</v>
      </c>
      <c r="DX392" t="s">
        <v>1321</v>
      </c>
      <c r="DY392" t="s">
        <v>1321</v>
      </c>
      <c r="DZ392" t="s">
        <v>1321</v>
      </c>
      <c r="EA392" t="s">
        <v>1321</v>
      </c>
      <c r="EB392" t="s">
        <v>1321</v>
      </c>
      <c r="EC392" t="s">
        <v>1321</v>
      </c>
      <c r="ED392" t="s">
        <v>1321</v>
      </c>
      <c r="EE392">
        <v>2</v>
      </c>
      <c r="EF392">
        <v>3</v>
      </c>
      <c r="EG392" t="s">
        <v>1321</v>
      </c>
      <c r="EH392" t="s">
        <v>1321</v>
      </c>
      <c r="EI392" t="s">
        <v>1321</v>
      </c>
      <c r="EJ392" t="s">
        <v>1321</v>
      </c>
      <c r="EK392" t="s">
        <v>1321</v>
      </c>
      <c r="EL392" t="s">
        <v>1321</v>
      </c>
      <c r="EM392" t="s">
        <v>1321</v>
      </c>
      <c r="EN392" t="s">
        <v>1321</v>
      </c>
      <c r="EO392" t="s">
        <v>1321</v>
      </c>
      <c r="EP392">
        <v>4</v>
      </c>
      <c r="EQ392" t="s">
        <v>1321</v>
      </c>
      <c r="ER392" t="s">
        <v>1321</v>
      </c>
      <c r="ES392" t="s">
        <v>1321</v>
      </c>
      <c r="ET392">
        <v>3</v>
      </c>
      <c r="EU392" t="s">
        <v>2514</v>
      </c>
      <c r="EV392" t="s">
        <v>1321</v>
      </c>
      <c r="EW392" t="s">
        <v>1321</v>
      </c>
      <c r="EY392" t="s">
        <v>1321</v>
      </c>
      <c r="EZ392" t="s">
        <v>1321</v>
      </c>
      <c r="FA392" t="s">
        <v>1321</v>
      </c>
      <c r="FB392" t="s">
        <v>1321</v>
      </c>
      <c r="FC392" t="s">
        <v>1321</v>
      </c>
      <c r="FD392" t="s">
        <v>1321</v>
      </c>
      <c r="FE392" t="s">
        <v>1321</v>
      </c>
      <c r="FF392" t="s">
        <v>1321</v>
      </c>
      <c r="FG392" t="s">
        <v>1321</v>
      </c>
      <c r="FH392" t="s">
        <v>1321</v>
      </c>
      <c r="FI392" t="s">
        <v>1321</v>
      </c>
      <c r="FJ392" t="s">
        <v>1321</v>
      </c>
      <c r="FK392" t="s">
        <v>1321</v>
      </c>
      <c r="FL392" t="s">
        <v>1321</v>
      </c>
      <c r="FM392" t="s">
        <v>1321</v>
      </c>
      <c r="FN392" t="s">
        <v>1321</v>
      </c>
      <c r="FO392" t="s">
        <v>1321</v>
      </c>
      <c r="FP392" t="s">
        <v>1321</v>
      </c>
      <c r="FQ392" t="s">
        <v>1321</v>
      </c>
      <c r="FR392" t="s">
        <v>1321</v>
      </c>
      <c r="FS392" t="s">
        <v>1321</v>
      </c>
      <c r="FT392" t="s">
        <v>1321</v>
      </c>
      <c r="FU392" t="s">
        <v>1321</v>
      </c>
      <c r="FV392" t="s">
        <v>1321</v>
      </c>
      <c r="FX392" t="s">
        <v>1321</v>
      </c>
      <c r="FY392" t="s">
        <v>1321</v>
      </c>
      <c r="FZ392">
        <v>4</v>
      </c>
      <c r="GA392" t="s">
        <v>1321</v>
      </c>
      <c r="GB392" t="s">
        <v>1321</v>
      </c>
      <c r="GC392" t="s">
        <v>1321</v>
      </c>
      <c r="GD392" t="s">
        <v>1321</v>
      </c>
      <c r="IL392">
        <f t="shared" si="9"/>
        <v>69</v>
      </c>
    </row>
    <row r="393" spans="1:246" outlineLevel="1" x14ac:dyDescent="0.2">
      <c r="A393" t="str">
        <f t="shared" si="8"/>
        <v>Durch Marmorstein und Eisenwand</v>
      </c>
      <c r="EZ393" t="s">
        <v>4569</v>
      </c>
      <c r="FA393" t="s">
        <v>4569</v>
      </c>
      <c r="FM393" t="s">
        <v>4569</v>
      </c>
      <c r="FP393" t="s">
        <v>4569</v>
      </c>
      <c r="FQ393" t="s">
        <v>4569</v>
      </c>
      <c r="FR393" t="s">
        <v>4569</v>
      </c>
      <c r="FS393" t="s">
        <v>4569</v>
      </c>
      <c r="IL393">
        <f t="shared" si="9"/>
        <v>70</v>
      </c>
    </row>
    <row r="394" spans="1:246" outlineLevel="1" x14ac:dyDescent="0.2">
      <c r="A394" t="str">
        <f t="shared" si="8"/>
        <v>Ecliptifactus Schattenkraft</v>
      </c>
      <c r="B394" t="s">
        <v>1828</v>
      </c>
      <c r="O394" t="s">
        <v>1828</v>
      </c>
      <c r="AT394" t="s">
        <v>1828</v>
      </c>
      <c r="AY394" t="s">
        <v>1828</v>
      </c>
      <c r="BH394" t="s">
        <v>1828</v>
      </c>
      <c r="BK394" t="s">
        <v>1828</v>
      </c>
      <c r="CV394" t="s">
        <v>1828</v>
      </c>
      <c r="CW394" t="s">
        <v>1321</v>
      </c>
      <c r="CX394" t="s">
        <v>1321</v>
      </c>
      <c r="DC394" t="s">
        <v>1321</v>
      </c>
      <c r="DN394" t="s">
        <v>1321</v>
      </c>
      <c r="DO394" t="s">
        <v>1321</v>
      </c>
      <c r="DP394" t="s">
        <v>1321</v>
      </c>
      <c r="ED394" t="s">
        <v>1321</v>
      </c>
      <c r="EV394" t="s">
        <v>1321</v>
      </c>
      <c r="EX394" t="s">
        <v>1828</v>
      </c>
      <c r="EY394" t="s">
        <v>1321</v>
      </c>
      <c r="EZ394" t="s">
        <v>2514</v>
      </c>
      <c r="FA394" t="s">
        <v>2514</v>
      </c>
      <c r="FM394" t="s">
        <v>4569</v>
      </c>
      <c r="FP394" t="s">
        <v>4569</v>
      </c>
      <c r="FQ394" t="s">
        <v>4569</v>
      </c>
      <c r="FR394" t="s">
        <v>4569</v>
      </c>
      <c r="FS394" t="s">
        <v>4569</v>
      </c>
      <c r="FW394" t="s">
        <v>1828</v>
      </c>
      <c r="GE394" t="s">
        <v>1828</v>
      </c>
      <c r="GM394" t="s">
        <v>1828</v>
      </c>
      <c r="GX394" t="s">
        <v>1828</v>
      </c>
      <c r="IJ394" t="s">
        <v>1828</v>
      </c>
      <c r="IL394">
        <f t="shared" si="9"/>
        <v>71</v>
      </c>
    </row>
    <row r="395" spans="1:246" outlineLevel="1" x14ac:dyDescent="0.2">
      <c r="A395" t="str">
        <f t="shared" ref="A395:A462" si="10">INDEX(ZAUBER,$IL395)</f>
        <v>Eigenschaften wiederherst.</v>
      </c>
      <c r="C395" t="s">
        <v>1321</v>
      </c>
      <c r="D395" t="s">
        <v>1321</v>
      </c>
      <c r="E395" t="s">
        <v>1321</v>
      </c>
      <c r="F395" t="s">
        <v>1321</v>
      </c>
      <c r="G395" t="s">
        <v>1321</v>
      </c>
      <c r="H395" t="s">
        <v>1321</v>
      </c>
      <c r="I395" t="s">
        <v>1321</v>
      </c>
      <c r="J395" t="s">
        <v>1321</v>
      </c>
      <c r="K395" t="s">
        <v>1321</v>
      </c>
      <c r="L395" t="s">
        <v>1321</v>
      </c>
      <c r="M395" t="s">
        <v>1321</v>
      </c>
      <c r="N395" t="s">
        <v>1321</v>
      </c>
      <c r="P395" t="s">
        <v>1321</v>
      </c>
      <c r="Q395" t="s">
        <v>1321</v>
      </c>
      <c r="R395" t="s">
        <v>1321</v>
      </c>
      <c r="S395" t="s">
        <v>1321</v>
      </c>
      <c r="T395" t="s">
        <v>1321</v>
      </c>
      <c r="U395" t="s">
        <v>1321</v>
      </c>
      <c r="V395" t="s">
        <v>1321</v>
      </c>
      <c r="W395" t="s">
        <v>1321</v>
      </c>
      <c r="X395" t="s">
        <v>1321</v>
      </c>
      <c r="Y395" t="s">
        <v>1321</v>
      </c>
      <c r="Z395" t="s">
        <v>1321</v>
      </c>
      <c r="AA395" t="s">
        <v>1321</v>
      </c>
      <c r="AB395" t="s">
        <v>1321</v>
      </c>
      <c r="AC395" t="s">
        <v>1321</v>
      </c>
      <c r="AD395" t="s">
        <v>1321</v>
      </c>
      <c r="AE395" t="s">
        <v>1321</v>
      </c>
      <c r="AF395" t="s">
        <v>1321</v>
      </c>
      <c r="AG395" t="s">
        <v>1321</v>
      </c>
      <c r="AH395" t="s">
        <v>1321</v>
      </c>
      <c r="AI395" t="s">
        <v>1321</v>
      </c>
      <c r="AJ395" t="s">
        <v>1321</v>
      </c>
      <c r="AK395" t="s">
        <v>1321</v>
      </c>
      <c r="AL395" t="s">
        <v>1321</v>
      </c>
      <c r="AM395" t="s">
        <v>1321</v>
      </c>
      <c r="AN395" t="s">
        <v>1321</v>
      </c>
      <c r="AO395" t="s">
        <v>1321</v>
      </c>
      <c r="AP395" t="s">
        <v>1321</v>
      </c>
      <c r="AQ395" t="s">
        <v>1321</v>
      </c>
      <c r="AR395" t="s">
        <v>1321</v>
      </c>
      <c r="AS395" t="s">
        <v>1321</v>
      </c>
      <c r="AU395" t="s">
        <v>1321</v>
      </c>
      <c r="AV395" t="s">
        <v>1321</v>
      </c>
      <c r="AW395" t="s">
        <v>1321</v>
      </c>
      <c r="AX395" t="s">
        <v>1321</v>
      </c>
      <c r="AZ395" t="s">
        <v>1321</v>
      </c>
      <c r="BA395" t="s">
        <v>4901</v>
      </c>
      <c r="BB395">
        <v>2</v>
      </c>
      <c r="BC395" t="s">
        <v>1321</v>
      </c>
      <c r="BD395" t="s">
        <v>2516</v>
      </c>
      <c r="BE395" t="s">
        <v>1321</v>
      </c>
      <c r="BF395" t="s">
        <v>1321</v>
      </c>
      <c r="BG395" t="s">
        <v>1321</v>
      </c>
      <c r="BI395" t="s">
        <v>1321</v>
      </c>
      <c r="BJ395" t="s">
        <v>1321</v>
      </c>
      <c r="CW395" t="s">
        <v>1321</v>
      </c>
      <c r="CX395" t="s">
        <v>1321</v>
      </c>
      <c r="CY395" t="s">
        <v>1321</v>
      </c>
      <c r="CZ395" t="s">
        <v>1321</v>
      </c>
      <c r="DA395" t="s">
        <v>1321</v>
      </c>
      <c r="DB395" t="s">
        <v>1321</v>
      </c>
      <c r="DC395" t="s">
        <v>1321</v>
      </c>
      <c r="DD395" t="s">
        <v>1321</v>
      </c>
      <c r="DE395" t="s">
        <v>2516</v>
      </c>
      <c r="DL395" t="s">
        <v>1321</v>
      </c>
      <c r="DM395" t="s">
        <v>1321</v>
      </c>
      <c r="DN395" t="s">
        <v>1321</v>
      </c>
      <c r="DO395" t="s">
        <v>1321</v>
      </c>
      <c r="DP395" t="s">
        <v>2515</v>
      </c>
      <c r="DQ395" t="s">
        <v>1321</v>
      </c>
      <c r="DR395" t="s">
        <v>1321</v>
      </c>
      <c r="DS395">
        <v>2</v>
      </c>
      <c r="DT395" t="s">
        <v>2515</v>
      </c>
      <c r="DU395" t="s">
        <v>1321</v>
      </c>
      <c r="DV395" t="s">
        <v>1321</v>
      </c>
      <c r="DW395" t="s">
        <v>1321</v>
      </c>
      <c r="DX395" t="s">
        <v>1321</v>
      </c>
      <c r="DY395">
        <v>4</v>
      </c>
      <c r="DZ395" t="s">
        <v>1321</v>
      </c>
      <c r="EA395">
        <v>3</v>
      </c>
      <c r="EB395" t="s">
        <v>1321</v>
      </c>
      <c r="EC395" t="s">
        <v>1321</v>
      </c>
      <c r="ED395" t="s">
        <v>1321</v>
      </c>
      <c r="EE395" t="s">
        <v>1321</v>
      </c>
      <c r="EF395" t="s">
        <v>1321</v>
      </c>
      <c r="EG395" t="s">
        <v>1321</v>
      </c>
      <c r="EH395" t="s">
        <v>1321</v>
      </c>
      <c r="EI395" t="s">
        <v>1321</v>
      </c>
      <c r="EJ395" t="s">
        <v>1321</v>
      </c>
      <c r="EK395" t="s">
        <v>1321</v>
      </c>
      <c r="EL395" t="s">
        <v>1321</v>
      </c>
      <c r="EM395" t="s">
        <v>1321</v>
      </c>
      <c r="EN395" t="s">
        <v>1321</v>
      </c>
      <c r="EO395" t="s">
        <v>1321</v>
      </c>
      <c r="EP395" t="s">
        <v>1321</v>
      </c>
      <c r="EQ395" t="s">
        <v>1321</v>
      </c>
      <c r="ER395">
        <v>3</v>
      </c>
      <c r="ES395" t="s">
        <v>1321</v>
      </c>
      <c r="ET395" t="s">
        <v>1321</v>
      </c>
      <c r="EU395" t="s">
        <v>1321</v>
      </c>
      <c r="EV395" t="s">
        <v>2516</v>
      </c>
      <c r="EW395" t="s">
        <v>2516</v>
      </c>
      <c r="EY395" t="s">
        <v>1321</v>
      </c>
      <c r="EZ395" t="s">
        <v>1321</v>
      </c>
      <c r="FA395" t="s">
        <v>1321</v>
      </c>
      <c r="FB395" t="s">
        <v>1321</v>
      </c>
      <c r="FC395" t="s">
        <v>1321</v>
      </c>
      <c r="FD395" t="s">
        <v>1321</v>
      </c>
      <c r="FE395" t="s">
        <v>1321</v>
      </c>
      <c r="FG395" t="s">
        <v>1321</v>
      </c>
      <c r="FH395" t="s">
        <v>1321</v>
      </c>
      <c r="FI395" t="s">
        <v>1321</v>
      </c>
      <c r="FJ395" t="s">
        <v>1321</v>
      </c>
      <c r="FK395" t="s">
        <v>1321</v>
      </c>
      <c r="FL395" t="s">
        <v>1321</v>
      </c>
      <c r="FM395" t="s">
        <v>1321</v>
      </c>
      <c r="FN395" t="s">
        <v>1321</v>
      </c>
      <c r="FO395" t="s">
        <v>1321</v>
      </c>
      <c r="FP395" t="s">
        <v>1321</v>
      </c>
      <c r="FQ395" t="s">
        <v>1321</v>
      </c>
      <c r="FR395" t="s">
        <v>1321</v>
      </c>
      <c r="FS395" t="s">
        <v>1321</v>
      </c>
      <c r="FT395" t="s">
        <v>1321</v>
      </c>
      <c r="FV395" t="s">
        <v>1321</v>
      </c>
      <c r="IL395">
        <f t="shared" ref="IL395:IL462" si="11">ROW()-$IL$323</f>
        <v>72</v>
      </c>
    </row>
    <row r="396" spans="1:246" outlineLevel="1" x14ac:dyDescent="0.2">
      <c r="A396" t="str">
        <f t="shared" si="10"/>
        <v>Eigne Ängste quälen dich!</v>
      </c>
      <c r="CW396" t="s">
        <v>1321</v>
      </c>
      <c r="CX396" t="s">
        <v>1321</v>
      </c>
      <c r="DL396" t="s">
        <v>2514</v>
      </c>
      <c r="ED396" t="s">
        <v>1321</v>
      </c>
      <c r="EJ396" t="s">
        <v>1321</v>
      </c>
      <c r="EK396" t="s">
        <v>1321</v>
      </c>
      <c r="EL396" t="s">
        <v>1321</v>
      </c>
      <c r="EZ396" t="s">
        <v>4569</v>
      </c>
      <c r="FA396" t="s">
        <v>4569</v>
      </c>
      <c r="FE396" t="s">
        <v>2514</v>
      </c>
      <c r="FG396" t="s">
        <v>1321</v>
      </c>
      <c r="FH396" t="s">
        <v>1321</v>
      </c>
      <c r="FI396" t="s">
        <v>1321</v>
      </c>
      <c r="FJ396" t="s">
        <v>1321</v>
      </c>
      <c r="FM396" t="s">
        <v>4569</v>
      </c>
      <c r="FP396" t="s">
        <v>4569</v>
      </c>
      <c r="FQ396" t="s">
        <v>4569</v>
      </c>
      <c r="FR396" t="s">
        <v>4569</v>
      </c>
      <c r="FS396" t="s">
        <v>4569</v>
      </c>
      <c r="IL396">
        <f t="shared" si="11"/>
        <v>73</v>
      </c>
    </row>
    <row r="397" spans="1:246" outlineLevel="1" x14ac:dyDescent="0.2">
      <c r="A397" t="str">
        <f t="shared" si="10"/>
        <v>Einfluss bannen</v>
      </c>
      <c r="C397" t="s">
        <v>1321</v>
      </c>
      <c r="D397" t="s">
        <v>1321</v>
      </c>
      <c r="E397" t="s">
        <v>1321</v>
      </c>
      <c r="F397" t="s">
        <v>1321</v>
      </c>
      <c r="G397" t="s">
        <v>2516</v>
      </c>
      <c r="H397" t="s">
        <v>1321</v>
      </c>
      <c r="I397" t="s">
        <v>1321</v>
      </c>
      <c r="J397" t="s">
        <v>1321</v>
      </c>
      <c r="K397" t="s">
        <v>1321</v>
      </c>
      <c r="L397" t="s">
        <v>1321</v>
      </c>
      <c r="M397" t="s">
        <v>1321</v>
      </c>
      <c r="N397" t="s">
        <v>1321</v>
      </c>
      <c r="P397" t="s">
        <v>1321</v>
      </c>
      <c r="Q397" t="s">
        <v>1321</v>
      </c>
      <c r="R397" t="s">
        <v>1321</v>
      </c>
      <c r="S397" t="s">
        <v>1321</v>
      </c>
      <c r="T397" t="s">
        <v>1321</v>
      </c>
      <c r="U397" t="s">
        <v>1321</v>
      </c>
      <c r="V397" t="s">
        <v>1321</v>
      </c>
      <c r="W397" t="s">
        <v>1321</v>
      </c>
      <c r="X397" t="s">
        <v>1321</v>
      </c>
      <c r="Y397" t="s">
        <v>1321</v>
      </c>
      <c r="Z397" t="s">
        <v>1321</v>
      </c>
      <c r="AA397" t="s">
        <v>1321</v>
      </c>
      <c r="AB397" t="s">
        <v>1321</v>
      </c>
      <c r="AC397" t="s">
        <v>1321</v>
      </c>
      <c r="AD397" t="s">
        <v>1321</v>
      </c>
      <c r="AE397" t="s">
        <v>1321</v>
      </c>
      <c r="AF397" t="s">
        <v>1321</v>
      </c>
      <c r="AG397" t="s">
        <v>1321</v>
      </c>
      <c r="AH397" t="s">
        <v>1321</v>
      </c>
      <c r="AI397" t="s">
        <v>1321</v>
      </c>
      <c r="AJ397" t="s">
        <v>1321</v>
      </c>
      <c r="AK397" t="s">
        <v>1321</v>
      </c>
      <c r="AL397" t="s">
        <v>1321</v>
      </c>
      <c r="AM397" t="s">
        <v>1321</v>
      </c>
      <c r="AN397" t="s">
        <v>1321</v>
      </c>
      <c r="AO397" t="s">
        <v>1321</v>
      </c>
      <c r="AP397" t="s">
        <v>1321</v>
      </c>
      <c r="AQ397" t="s">
        <v>1321</v>
      </c>
      <c r="AR397" t="s">
        <v>1321</v>
      </c>
      <c r="AS397" t="s">
        <v>1321</v>
      </c>
      <c r="AU397" t="s">
        <v>1321</v>
      </c>
      <c r="AV397">
        <v>3</v>
      </c>
      <c r="AW397" t="s">
        <v>1321</v>
      </c>
      <c r="AX397" t="s">
        <v>1321</v>
      </c>
      <c r="AZ397" t="s">
        <v>1321</v>
      </c>
      <c r="BA397">
        <v>3</v>
      </c>
      <c r="BB397">
        <v>3</v>
      </c>
      <c r="BC397" t="s">
        <v>1321</v>
      </c>
      <c r="BD397" t="s">
        <v>2514</v>
      </c>
      <c r="BE397" t="s">
        <v>1321</v>
      </c>
      <c r="BF397">
        <v>3</v>
      </c>
      <c r="BG397" t="s">
        <v>577</v>
      </c>
      <c r="BI397" t="s">
        <v>1321</v>
      </c>
      <c r="BJ397" t="s">
        <v>1321</v>
      </c>
      <c r="CW397" t="s">
        <v>1321</v>
      </c>
      <c r="CX397" t="s">
        <v>1321</v>
      </c>
      <c r="CY397" t="s">
        <v>1321</v>
      </c>
      <c r="DC397" t="s">
        <v>1321</v>
      </c>
      <c r="DM397">
        <v>5</v>
      </c>
      <c r="DN397" t="s">
        <v>1321</v>
      </c>
      <c r="DO397" t="s">
        <v>1321</v>
      </c>
      <c r="DP397" t="s">
        <v>1321</v>
      </c>
      <c r="DQ397" t="s">
        <v>1321</v>
      </c>
      <c r="DS397" t="s">
        <v>1321</v>
      </c>
      <c r="DT397" t="s">
        <v>1321</v>
      </c>
      <c r="DV397" t="s">
        <v>1321</v>
      </c>
      <c r="DW397" t="s">
        <v>1321</v>
      </c>
      <c r="DX397" t="s">
        <v>1321</v>
      </c>
      <c r="DZ397">
        <v>5</v>
      </c>
      <c r="EA397" t="s">
        <v>1321</v>
      </c>
      <c r="EC397" t="s">
        <v>1321</v>
      </c>
      <c r="ED397" t="s">
        <v>1321</v>
      </c>
      <c r="EE397">
        <v>5</v>
      </c>
      <c r="EF397">
        <v>2</v>
      </c>
      <c r="EG397" t="s">
        <v>1321</v>
      </c>
      <c r="EJ397" t="s">
        <v>2515</v>
      </c>
      <c r="EK397" t="s">
        <v>1321</v>
      </c>
      <c r="EL397" t="s">
        <v>1321</v>
      </c>
      <c r="EM397" t="s">
        <v>1321</v>
      </c>
      <c r="EN397" t="s">
        <v>1321</v>
      </c>
      <c r="EO397" t="s">
        <v>1321</v>
      </c>
      <c r="EP397" t="s">
        <v>1321</v>
      </c>
      <c r="EQ397" t="s">
        <v>1321</v>
      </c>
      <c r="ER397">
        <v>2</v>
      </c>
      <c r="ES397" t="s">
        <v>1321</v>
      </c>
      <c r="ET397">
        <v>3</v>
      </c>
      <c r="EU397" t="s">
        <v>1321</v>
      </c>
      <c r="EV397" t="s">
        <v>1321</v>
      </c>
      <c r="EW397">
        <v>5</v>
      </c>
      <c r="EZ397" t="s">
        <v>4569</v>
      </c>
      <c r="FA397" t="s">
        <v>4569</v>
      </c>
      <c r="FB397" t="s">
        <v>1321</v>
      </c>
      <c r="FC397" t="s">
        <v>1321</v>
      </c>
      <c r="FG397" t="s">
        <v>1321</v>
      </c>
      <c r="FH397" t="s">
        <v>1321</v>
      </c>
      <c r="FI397" t="s">
        <v>1321</v>
      </c>
      <c r="FJ397" t="s">
        <v>1321</v>
      </c>
      <c r="FK397" t="s">
        <v>1321</v>
      </c>
      <c r="FM397" t="s">
        <v>4569</v>
      </c>
      <c r="FN397" t="s">
        <v>1321</v>
      </c>
      <c r="FP397" t="s">
        <v>4569</v>
      </c>
      <c r="FQ397" t="s">
        <v>4569</v>
      </c>
      <c r="FR397" t="s">
        <v>4569</v>
      </c>
      <c r="FS397" t="s">
        <v>4569</v>
      </c>
      <c r="GF397" t="s">
        <v>1321</v>
      </c>
      <c r="GG397" t="s">
        <v>1321</v>
      </c>
      <c r="GH397" t="s">
        <v>1321</v>
      </c>
      <c r="GI397" t="s">
        <v>1321</v>
      </c>
      <c r="GJ397" t="s">
        <v>1321</v>
      </c>
      <c r="GK397" t="s">
        <v>1321</v>
      </c>
      <c r="GL397" t="s">
        <v>1321</v>
      </c>
      <c r="IK397">
        <v>1</v>
      </c>
      <c r="IL397">
        <f t="shared" si="11"/>
        <v>74</v>
      </c>
    </row>
    <row r="398" spans="1:246" outlineLevel="1" x14ac:dyDescent="0.2">
      <c r="A398" t="str">
        <f t="shared" si="10"/>
        <v>Eins mit der Natur</v>
      </c>
      <c r="C398" t="s">
        <v>1321</v>
      </c>
      <c r="D398" t="s">
        <v>2514</v>
      </c>
      <c r="E398" t="s">
        <v>1321</v>
      </c>
      <c r="F398" t="s">
        <v>1321</v>
      </c>
      <c r="G398" t="s">
        <v>1321</v>
      </c>
      <c r="H398" t="s">
        <v>2514</v>
      </c>
      <c r="I398" t="s">
        <v>2514</v>
      </c>
      <c r="J398" t="s">
        <v>2514</v>
      </c>
      <c r="K398" t="s">
        <v>2514</v>
      </c>
      <c r="L398" t="s">
        <v>2514</v>
      </c>
      <c r="M398" t="s">
        <v>2514</v>
      </c>
      <c r="N398" t="s">
        <v>2514</v>
      </c>
      <c r="AU398" t="s">
        <v>1321</v>
      </c>
      <c r="AV398" t="s">
        <v>2516</v>
      </c>
      <c r="AW398" t="s">
        <v>1321</v>
      </c>
      <c r="AX398" t="s">
        <v>1321</v>
      </c>
      <c r="BA398" t="s">
        <v>1321</v>
      </c>
      <c r="CD398" t="s">
        <v>1321</v>
      </c>
      <c r="CE398" t="s">
        <v>1321</v>
      </c>
      <c r="CF398" t="s">
        <v>1321</v>
      </c>
      <c r="CG398" t="s">
        <v>1321</v>
      </c>
      <c r="CH398" t="s">
        <v>1321</v>
      </c>
      <c r="CI398" t="s">
        <v>1321</v>
      </c>
      <c r="CJ398" t="s">
        <v>1321</v>
      </c>
      <c r="CK398" t="s">
        <v>1321</v>
      </c>
      <c r="CL398" t="s">
        <v>1321</v>
      </c>
      <c r="DF398" t="s">
        <v>1321</v>
      </c>
      <c r="DG398">
        <v>3</v>
      </c>
      <c r="DH398" t="s">
        <v>1321</v>
      </c>
      <c r="DI398" t="s">
        <v>1321</v>
      </c>
      <c r="DJ398" t="s">
        <v>1321</v>
      </c>
      <c r="DK398" t="s">
        <v>1321</v>
      </c>
      <c r="EH398" t="s">
        <v>1321</v>
      </c>
      <c r="EI398" t="s">
        <v>1321</v>
      </c>
      <c r="EZ398" t="s">
        <v>4569</v>
      </c>
      <c r="FA398" t="s">
        <v>4569</v>
      </c>
      <c r="FM398" t="s">
        <v>4569</v>
      </c>
      <c r="FP398" t="s">
        <v>4569</v>
      </c>
      <c r="FQ398" t="s">
        <v>4569</v>
      </c>
      <c r="FR398" t="s">
        <v>4569</v>
      </c>
      <c r="FS398" t="s">
        <v>4569</v>
      </c>
      <c r="IL398">
        <f t="shared" si="11"/>
        <v>75</v>
      </c>
    </row>
    <row r="399" spans="1:246" outlineLevel="1" x14ac:dyDescent="0.2">
      <c r="A399" t="str">
        <f t="shared" si="10"/>
        <v>Eisbann</v>
      </c>
      <c r="EZ399" t="s">
        <v>4569</v>
      </c>
      <c r="FA399" t="s">
        <v>4569</v>
      </c>
      <c r="FM399" t="s">
        <v>4569</v>
      </c>
      <c r="FP399" t="s">
        <v>4569</v>
      </c>
      <c r="FQ399" t="s">
        <v>4569</v>
      </c>
      <c r="FR399" t="s">
        <v>4569</v>
      </c>
      <c r="FS399" t="s">
        <v>4569</v>
      </c>
      <c r="IL399">
        <f t="shared" si="11"/>
        <v>76</v>
      </c>
    </row>
    <row r="400" spans="1:246" outlineLevel="1" x14ac:dyDescent="0.2">
      <c r="A400" t="str">
        <f t="shared" si="10"/>
        <v>Eisenrost und Patina</v>
      </c>
      <c r="C400" t="s">
        <v>1321</v>
      </c>
      <c r="D400" t="s">
        <v>1321</v>
      </c>
      <c r="E400" t="s">
        <v>1321</v>
      </c>
      <c r="F400">
        <v>2</v>
      </c>
      <c r="G400" t="s">
        <v>1321</v>
      </c>
      <c r="H400" t="s">
        <v>1321</v>
      </c>
      <c r="I400" t="s">
        <v>1321</v>
      </c>
      <c r="J400" t="s">
        <v>1321</v>
      </c>
      <c r="K400" t="s">
        <v>1321</v>
      </c>
      <c r="L400" t="s">
        <v>1321</v>
      </c>
      <c r="M400">
        <v>3</v>
      </c>
      <c r="N400" t="s">
        <v>1321</v>
      </c>
      <c r="BI400" t="s">
        <v>1321</v>
      </c>
      <c r="BJ400" t="s">
        <v>1321</v>
      </c>
      <c r="CW400" t="s">
        <v>1321</v>
      </c>
      <c r="CX400" t="s">
        <v>1321</v>
      </c>
      <c r="CY400" t="s">
        <v>2515</v>
      </c>
      <c r="CZ400" t="s">
        <v>1321</v>
      </c>
      <c r="DA400" t="s">
        <v>1321</v>
      </c>
      <c r="DB400">
        <v>2</v>
      </c>
      <c r="DC400" t="s">
        <v>1321</v>
      </c>
      <c r="DD400" t="s">
        <v>1321</v>
      </c>
      <c r="DE400" t="s">
        <v>1321</v>
      </c>
      <c r="DF400" t="s">
        <v>1321</v>
      </c>
      <c r="DG400" t="s">
        <v>1321</v>
      </c>
      <c r="DH400" t="s">
        <v>1321</v>
      </c>
      <c r="DI400" t="s">
        <v>1321</v>
      </c>
      <c r="DJ400" t="s">
        <v>1321</v>
      </c>
      <c r="DK400" t="s">
        <v>1321</v>
      </c>
      <c r="DL400" t="s">
        <v>1321</v>
      </c>
      <c r="DM400" t="s">
        <v>1321</v>
      </c>
      <c r="DN400" t="s">
        <v>1321</v>
      </c>
      <c r="DO400" t="s">
        <v>1321</v>
      </c>
      <c r="DP400" t="s">
        <v>1321</v>
      </c>
      <c r="DQ400" t="s">
        <v>1321</v>
      </c>
      <c r="DR400" t="s">
        <v>1321</v>
      </c>
      <c r="DS400" t="s">
        <v>1321</v>
      </c>
      <c r="DT400" t="s">
        <v>1321</v>
      </c>
      <c r="DU400" t="s">
        <v>1321</v>
      </c>
      <c r="DV400" t="s">
        <v>1321</v>
      </c>
      <c r="DW400" t="s">
        <v>1321</v>
      </c>
      <c r="DX400" t="s">
        <v>1321</v>
      </c>
      <c r="DY400" t="s">
        <v>1321</v>
      </c>
      <c r="DZ400" t="s">
        <v>1321</v>
      </c>
      <c r="EA400" t="s">
        <v>1321</v>
      </c>
      <c r="EB400" t="s">
        <v>1321</v>
      </c>
      <c r="EC400" t="s">
        <v>1321</v>
      </c>
      <c r="ED400">
        <v>4</v>
      </c>
      <c r="EE400" t="s">
        <v>1321</v>
      </c>
      <c r="EF400" t="s">
        <v>1321</v>
      </c>
      <c r="EG400" t="s">
        <v>1321</v>
      </c>
      <c r="EH400" t="s">
        <v>1321</v>
      </c>
      <c r="EI400" t="s">
        <v>1321</v>
      </c>
      <c r="EJ400" t="s">
        <v>1321</v>
      </c>
      <c r="EK400" t="s">
        <v>1321</v>
      </c>
      <c r="EL400" t="s">
        <v>1321</v>
      </c>
      <c r="EM400" t="s">
        <v>1321</v>
      </c>
      <c r="EN400" t="s">
        <v>1321</v>
      </c>
      <c r="EO400" t="s">
        <v>1321</v>
      </c>
      <c r="EP400" t="s">
        <v>1321</v>
      </c>
      <c r="EQ400" t="s">
        <v>1321</v>
      </c>
      <c r="ER400" t="s">
        <v>1321</v>
      </c>
      <c r="ES400" t="s">
        <v>1321</v>
      </c>
      <c r="ET400" t="s">
        <v>1321</v>
      </c>
      <c r="EU400" t="s">
        <v>1321</v>
      </c>
      <c r="EV400" t="s">
        <v>1321</v>
      </c>
      <c r="EW400" t="s">
        <v>1321</v>
      </c>
      <c r="EY400" t="s">
        <v>1321</v>
      </c>
      <c r="EZ400" t="s">
        <v>1321</v>
      </c>
      <c r="FA400" t="s">
        <v>1321</v>
      </c>
      <c r="FB400" t="s">
        <v>1321</v>
      </c>
      <c r="FC400" t="s">
        <v>1321</v>
      </c>
      <c r="FD400" t="s">
        <v>1321</v>
      </c>
      <c r="FE400" t="s">
        <v>1321</v>
      </c>
      <c r="FF400" t="s">
        <v>1321</v>
      </c>
      <c r="FG400" t="s">
        <v>1321</v>
      </c>
      <c r="FH400" t="s">
        <v>1321</v>
      </c>
      <c r="FI400" t="s">
        <v>1321</v>
      </c>
      <c r="FJ400" t="s">
        <v>1321</v>
      </c>
      <c r="FK400" t="s">
        <v>1321</v>
      </c>
      <c r="FL400" t="s">
        <v>1321</v>
      </c>
      <c r="FM400" t="s">
        <v>1321</v>
      </c>
      <c r="FO400" t="s">
        <v>1321</v>
      </c>
      <c r="FP400" t="s">
        <v>4901</v>
      </c>
      <c r="FQ400" t="s">
        <v>1321</v>
      </c>
      <c r="FR400" t="s">
        <v>1321</v>
      </c>
      <c r="FS400" t="s">
        <v>1321</v>
      </c>
      <c r="FT400" t="s">
        <v>1321</v>
      </c>
      <c r="FU400" t="s">
        <v>1321</v>
      </c>
      <c r="FV400" t="s">
        <v>1321</v>
      </c>
      <c r="GF400" t="s">
        <v>1321</v>
      </c>
      <c r="GG400" t="s">
        <v>1321</v>
      </c>
      <c r="GH400" t="s">
        <v>1321</v>
      </c>
      <c r="GI400" t="s">
        <v>1321</v>
      </c>
      <c r="GJ400" t="s">
        <v>1321</v>
      </c>
      <c r="GK400" t="s">
        <v>1321</v>
      </c>
      <c r="GL400" t="s">
        <v>1321</v>
      </c>
      <c r="IL400">
        <f t="shared" si="11"/>
        <v>77</v>
      </c>
    </row>
    <row r="401" spans="1:246" outlineLevel="1" x14ac:dyDescent="0.2">
      <c r="A401" t="str">
        <f t="shared" si="10"/>
        <v>Eiseskälte Kämpferherz</v>
      </c>
      <c r="CB401" t="s">
        <v>1321</v>
      </c>
      <c r="CD401" t="s">
        <v>1321</v>
      </c>
      <c r="CE401" t="s">
        <v>1321</v>
      </c>
      <c r="CG401" t="s">
        <v>1321</v>
      </c>
      <c r="CH401" t="s">
        <v>1321</v>
      </c>
      <c r="CI401" t="s">
        <v>1321</v>
      </c>
      <c r="CJ401" t="s">
        <v>1321</v>
      </c>
      <c r="CK401" t="s">
        <v>1321</v>
      </c>
      <c r="CL401" t="s">
        <v>1321</v>
      </c>
      <c r="EZ401" t="s">
        <v>4569</v>
      </c>
      <c r="FA401" t="s">
        <v>4569</v>
      </c>
      <c r="FM401" t="s">
        <v>4569</v>
      </c>
      <c r="FP401" t="s">
        <v>4569</v>
      </c>
      <c r="FQ401" t="s">
        <v>4569</v>
      </c>
      <c r="FR401" t="s">
        <v>4569</v>
      </c>
      <c r="FS401" t="s">
        <v>4569</v>
      </c>
      <c r="IL401">
        <f t="shared" si="11"/>
        <v>78</v>
      </c>
    </row>
    <row r="402" spans="1:246" outlineLevel="1" x14ac:dyDescent="0.2">
      <c r="A402" t="str">
        <f t="shared" si="10"/>
        <v>Eiswirbel</v>
      </c>
      <c r="EZ402" t="s">
        <v>4569</v>
      </c>
      <c r="FA402" t="s">
        <v>4569</v>
      </c>
      <c r="FM402" t="s">
        <v>4569</v>
      </c>
      <c r="FP402" t="s">
        <v>4569</v>
      </c>
      <c r="FQ402" t="s">
        <v>4569</v>
      </c>
      <c r="FR402" t="s">
        <v>4569</v>
      </c>
      <c r="FS402" t="s">
        <v>4569</v>
      </c>
      <c r="IL402">
        <f t="shared" si="11"/>
        <v>79</v>
      </c>
    </row>
    <row r="403" spans="1:246" outlineLevel="1" x14ac:dyDescent="0.2">
      <c r="A403" t="str">
        <f t="shared" si="10"/>
        <v>Elementarbann</v>
      </c>
      <c r="EH403" t="s">
        <v>4901</v>
      </c>
      <c r="EI403" t="s">
        <v>4901</v>
      </c>
      <c r="EY403">
        <v>3</v>
      </c>
      <c r="EZ403" t="s">
        <v>4569</v>
      </c>
      <c r="FA403" t="s">
        <v>4569</v>
      </c>
      <c r="FM403" t="s">
        <v>4569</v>
      </c>
      <c r="FP403" t="s">
        <v>4569</v>
      </c>
      <c r="FQ403" t="s">
        <v>4569</v>
      </c>
      <c r="FR403" t="s">
        <v>4569</v>
      </c>
      <c r="FS403" t="s">
        <v>4569</v>
      </c>
      <c r="IL403">
        <f t="shared" si="11"/>
        <v>80</v>
      </c>
    </row>
    <row r="404" spans="1:246" outlineLevel="1" x14ac:dyDescent="0.2">
      <c r="A404" t="str">
        <f t="shared" si="10"/>
        <v>Elementarer Diener</v>
      </c>
      <c r="C404" t="s">
        <v>1321</v>
      </c>
      <c r="D404" t="s">
        <v>577</v>
      </c>
      <c r="E404" t="s">
        <v>1321</v>
      </c>
      <c r="F404" t="s">
        <v>1321</v>
      </c>
      <c r="G404" t="s">
        <v>1321</v>
      </c>
      <c r="H404" t="s">
        <v>4901</v>
      </c>
      <c r="I404" t="s">
        <v>4901</v>
      </c>
      <c r="J404" t="s">
        <v>4901</v>
      </c>
      <c r="K404" t="s">
        <v>4901</v>
      </c>
      <c r="L404" t="s">
        <v>4901</v>
      </c>
      <c r="M404" t="s">
        <v>4901</v>
      </c>
      <c r="N404" t="s">
        <v>4901</v>
      </c>
      <c r="AU404" t="s">
        <v>1321</v>
      </c>
      <c r="AV404" t="s">
        <v>2516</v>
      </c>
      <c r="AW404" t="s">
        <v>2515</v>
      </c>
      <c r="AX404" t="s">
        <v>2516</v>
      </c>
      <c r="BI404" t="s">
        <v>1321</v>
      </c>
      <c r="BJ404" t="s">
        <v>2516</v>
      </c>
      <c r="CU404" t="s">
        <v>4901</v>
      </c>
      <c r="CW404" t="s">
        <v>1321</v>
      </c>
      <c r="CX404" t="s">
        <v>1321</v>
      </c>
      <c r="CY404" t="s">
        <v>1321</v>
      </c>
      <c r="CZ404" t="s">
        <v>1321</v>
      </c>
      <c r="DF404" t="s">
        <v>2516</v>
      </c>
      <c r="DG404" t="s">
        <v>2516</v>
      </c>
      <c r="DH404" t="s">
        <v>2516</v>
      </c>
      <c r="DI404" t="s">
        <v>2516</v>
      </c>
      <c r="DJ404" t="s">
        <v>2516</v>
      </c>
      <c r="DK404" t="s">
        <v>2516</v>
      </c>
      <c r="DM404" t="s">
        <v>1321</v>
      </c>
      <c r="DN404" t="s">
        <v>1321</v>
      </c>
      <c r="DO404" t="s">
        <v>1321</v>
      </c>
      <c r="DP404" t="s">
        <v>1321</v>
      </c>
      <c r="DQ404" t="s">
        <v>1321</v>
      </c>
      <c r="DR404" t="s">
        <v>1321</v>
      </c>
      <c r="DS404" t="s">
        <v>1321</v>
      </c>
      <c r="DV404" t="s">
        <v>1321</v>
      </c>
      <c r="DW404" t="s">
        <v>1321</v>
      </c>
      <c r="DX404" t="s">
        <v>1321</v>
      </c>
      <c r="EA404" t="s">
        <v>1321</v>
      </c>
      <c r="EC404">
        <v>4</v>
      </c>
      <c r="ED404" t="s">
        <v>1321</v>
      </c>
      <c r="EF404" t="s">
        <v>1321</v>
      </c>
      <c r="EG404" t="s">
        <v>1321</v>
      </c>
      <c r="EH404" t="s">
        <v>2516</v>
      </c>
      <c r="EI404" t="s">
        <v>2516</v>
      </c>
      <c r="EJ404" t="s">
        <v>1321</v>
      </c>
      <c r="EK404">
        <v>4</v>
      </c>
      <c r="EL404" t="s">
        <v>1321</v>
      </c>
      <c r="EM404" t="s">
        <v>1321</v>
      </c>
      <c r="EN404" t="s">
        <v>2515</v>
      </c>
      <c r="EO404" t="s">
        <v>1321</v>
      </c>
      <c r="EP404" t="s">
        <v>1321</v>
      </c>
      <c r="ES404" t="s">
        <v>1321</v>
      </c>
      <c r="EU404" t="s">
        <v>1321</v>
      </c>
      <c r="EZ404" t="s">
        <v>4569</v>
      </c>
      <c r="FA404" t="s">
        <v>4569</v>
      </c>
      <c r="FB404" t="s">
        <v>1321</v>
      </c>
      <c r="FC404" t="s">
        <v>1321</v>
      </c>
      <c r="FG404" t="s">
        <v>1321</v>
      </c>
      <c r="FH404" t="s">
        <v>1321</v>
      </c>
      <c r="FI404" t="s">
        <v>1321</v>
      </c>
      <c r="FJ404" t="s">
        <v>1321</v>
      </c>
      <c r="FK404" t="s">
        <v>1321</v>
      </c>
      <c r="FM404" t="s">
        <v>4569</v>
      </c>
      <c r="FN404" t="s">
        <v>1321</v>
      </c>
      <c r="FP404" t="s">
        <v>4569</v>
      </c>
      <c r="FQ404" t="s">
        <v>4569</v>
      </c>
      <c r="FR404" t="s">
        <v>4569</v>
      </c>
      <c r="FS404" t="s">
        <v>4569</v>
      </c>
      <c r="IL404">
        <f t="shared" si="11"/>
        <v>81</v>
      </c>
    </row>
    <row r="405" spans="1:246" outlineLevel="1" x14ac:dyDescent="0.2">
      <c r="A405" t="str">
        <f t="shared" si="10"/>
        <v>Elementarer Wirbel</v>
      </c>
      <c r="EZ405" t="s">
        <v>4569</v>
      </c>
      <c r="FA405" t="s">
        <v>4569</v>
      </c>
      <c r="FM405" t="s">
        <v>4569</v>
      </c>
      <c r="FP405" t="s">
        <v>4569</v>
      </c>
      <c r="FQ405" t="s">
        <v>4569</v>
      </c>
      <c r="FR405" t="s">
        <v>4569</v>
      </c>
      <c r="FS405" t="s">
        <v>4569</v>
      </c>
      <c r="IL405">
        <f t="shared" si="11"/>
        <v>82</v>
      </c>
    </row>
    <row r="406" spans="1:246" outlineLevel="1" x14ac:dyDescent="0.2">
      <c r="A406" t="str">
        <f t="shared" si="10"/>
        <v>Elfenstimme Flötenton</v>
      </c>
      <c r="W406" t="s">
        <v>1321</v>
      </c>
      <c r="AJ406" t="s">
        <v>1321</v>
      </c>
      <c r="AP406" t="s">
        <v>1321</v>
      </c>
      <c r="AQ406" t="s">
        <v>1321</v>
      </c>
      <c r="EZ406" t="s">
        <v>4569</v>
      </c>
      <c r="FA406" t="s">
        <v>4569</v>
      </c>
      <c r="FM406" t="s">
        <v>4569</v>
      </c>
      <c r="FP406" t="s">
        <v>4569</v>
      </c>
      <c r="FQ406" t="s">
        <v>4569</v>
      </c>
      <c r="FR406" t="s">
        <v>4569</v>
      </c>
      <c r="FS406" t="s">
        <v>4569</v>
      </c>
      <c r="IL406">
        <f t="shared" si="11"/>
        <v>83</v>
      </c>
    </row>
    <row r="407" spans="1:246" outlineLevel="1" x14ac:dyDescent="0.2">
      <c r="A407" t="str">
        <f t="shared" si="10"/>
        <v>Erinnerung verlasse dich!</v>
      </c>
      <c r="DL407" t="s">
        <v>1321</v>
      </c>
      <c r="DN407" t="s">
        <v>1321</v>
      </c>
      <c r="DO407" t="s">
        <v>1321</v>
      </c>
      <c r="DZ407" t="s">
        <v>1321</v>
      </c>
      <c r="EJ407">
        <v>2</v>
      </c>
      <c r="EK407" t="s">
        <v>1321</v>
      </c>
      <c r="EL407" t="s">
        <v>1321</v>
      </c>
      <c r="EZ407" t="s">
        <v>4569</v>
      </c>
      <c r="FA407" t="s">
        <v>4569</v>
      </c>
      <c r="FG407" t="s">
        <v>1321</v>
      </c>
      <c r="FH407" t="s">
        <v>1321</v>
      </c>
      <c r="FI407" t="s">
        <v>1321</v>
      </c>
      <c r="FJ407" t="s">
        <v>1321</v>
      </c>
      <c r="FM407" t="s">
        <v>4569</v>
      </c>
      <c r="FP407" t="s">
        <v>4569</v>
      </c>
      <c r="FQ407" t="s">
        <v>4569</v>
      </c>
      <c r="FR407" t="s">
        <v>4569</v>
      </c>
      <c r="FS407" t="s">
        <v>4569</v>
      </c>
      <c r="IL407">
        <f t="shared" si="11"/>
        <v>84</v>
      </c>
    </row>
    <row r="408" spans="1:246" outlineLevel="1" x14ac:dyDescent="0.2">
      <c r="A408" t="str">
        <f t="shared" si="10"/>
        <v>Erzbann</v>
      </c>
      <c r="EZ408" t="s">
        <v>4569</v>
      </c>
      <c r="FA408" t="s">
        <v>4569</v>
      </c>
      <c r="FM408" t="s">
        <v>4569</v>
      </c>
      <c r="FP408" t="s">
        <v>4569</v>
      </c>
      <c r="FQ408" t="s">
        <v>4569</v>
      </c>
      <c r="FR408" t="s">
        <v>4569</v>
      </c>
      <c r="FS408" t="s">
        <v>4569</v>
      </c>
      <c r="IL408">
        <f t="shared" si="11"/>
        <v>85</v>
      </c>
    </row>
    <row r="409" spans="1:246" outlineLevel="1" x14ac:dyDescent="0.2">
      <c r="A409" t="str">
        <f t="shared" si="10"/>
        <v>Exposami Lebenskraft</v>
      </c>
      <c r="C409" t="s">
        <v>1321</v>
      </c>
      <c r="D409" t="s">
        <v>1321</v>
      </c>
      <c r="E409" t="s">
        <v>1321</v>
      </c>
      <c r="F409" t="s">
        <v>1321</v>
      </c>
      <c r="G409" t="s">
        <v>1321</v>
      </c>
      <c r="H409" t="s">
        <v>1321</v>
      </c>
      <c r="I409" t="s">
        <v>1321</v>
      </c>
      <c r="J409" t="s">
        <v>1321</v>
      </c>
      <c r="K409" t="s">
        <v>1321</v>
      </c>
      <c r="L409" t="s">
        <v>1321</v>
      </c>
      <c r="M409" t="s">
        <v>1321</v>
      </c>
      <c r="N409" t="s">
        <v>1321</v>
      </c>
      <c r="P409" t="s">
        <v>1321</v>
      </c>
      <c r="Q409" t="s">
        <v>1321</v>
      </c>
      <c r="R409" t="s">
        <v>1321</v>
      </c>
      <c r="S409" t="s">
        <v>1321</v>
      </c>
      <c r="T409" t="s">
        <v>1321</v>
      </c>
      <c r="U409" t="s">
        <v>1321</v>
      </c>
      <c r="V409" t="s">
        <v>1321</v>
      </c>
      <c r="W409" t="s">
        <v>1321</v>
      </c>
      <c r="X409" t="s">
        <v>1321</v>
      </c>
      <c r="Y409" t="s">
        <v>1321</v>
      </c>
      <c r="Z409" t="s">
        <v>1321</v>
      </c>
      <c r="AA409" t="s">
        <v>1321</v>
      </c>
      <c r="AB409" t="s">
        <v>1321</v>
      </c>
      <c r="AC409" t="s">
        <v>1321</v>
      </c>
      <c r="AD409" t="s">
        <v>1321</v>
      </c>
      <c r="AE409" t="s">
        <v>1321</v>
      </c>
      <c r="AF409" t="s">
        <v>1321</v>
      </c>
      <c r="AG409" t="s">
        <v>1321</v>
      </c>
      <c r="AH409" t="s">
        <v>1321</v>
      </c>
      <c r="AI409" t="s">
        <v>1321</v>
      </c>
      <c r="AJ409" t="s">
        <v>1321</v>
      </c>
      <c r="AK409" t="s">
        <v>1321</v>
      </c>
      <c r="AL409" t="s">
        <v>1321</v>
      </c>
      <c r="AM409" t="s">
        <v>1321</v>
      </c>
      <c r="AN409" t="s">
        <v>1321</v>
      </c>
      <c r="AO409" t="s">
        <v>1321</v>
      </c>
      <c r="AP409" t="s">
        <v>1321</v>
      </c>
      <c r="AQ409" t="s">
        <v>1321</v>
      </c>
      <c r="AR409" t="s">
        <v>1321</v>
      </c>
      <c r="AS409" t="s">
        <v>1321</v>
      </c>
      <c r="AU409" t="s">
        <v>1321</v>
      </c>
      <c r="AV409" t="s">
        <v>1321</v>
      </c>
      <c r="AW409">
        <v>4</v>
      </c>
      <c r="AX409" t="s">
        <v>1321</v>
      </c>
      <c r="BC409" t="s">
        <v>1321</v>
      </c>
      <c r="BD409" t="s">
        <v>1321</v>
      </c>
      <c r="BE409" t="s">
        <v>1321</v>
      </c>
      <c r="BI409" t="s">
        <v>1321</v>
      </c>
      <c r="BJ409" t="s">
        <v>1321</v>
      </c>
      <c r="CB409" t="s">
        <v>1321</v>
      </c>
      <c r="CD409" t="s">
        <v>1321</v>
      </c>
      <c r="CE409" t="s">
        <v>1321</v>
      </c>
      <c r="CF409" t="s">
        <v>1321</v>
      </c>
      <c r="CG409" t="s">
        <v>1321</v>
      </c>
      <c r="CH409" t="s">
        <v>1321</v>
      </c>
      <c r="CI409" t="s">
        <v>1321</v>
      </c>
      <c r="CJ409" t="s">
        <v>1321</v>
      </c>
      <c r="CK409" t="s">
        <v>1321</v>
      </c>
      <c r="CL409" t="s">
        <v>1321</v>
      </c>
      <c r="DA409" t="s">
        <v>1321</v>
      </c>
      <c r="DD409">
        <v>2</v>
      </c>
      <c r="DE409">
        <v>2</v>
      </c>
      <c r="DG409">
        <v>4</v>
      </c>
      <c r="DT409">
        <v>3</v>
      </c>
      <c r="EB409">
        <v>3</v>
      </c>
      <c r="EG409">
        <v>3</v>
      </c>
      <c r="EK409" t="s">
        <v>1321</v>
      </c>
      <c r="EL409" t="s">
        <v>1321</v>
      </c>
      <c r="ES409" t="s">
        <v>2516</v>
      </c>
      <c r="EZ409">
        <v>1</v>
      </c>
      <c r="FA409">
        <v>1</v>
      </c>
      <c r="FG409" t="s">
        <v>1321</v>
      </c>
      <c r="FH409" t="s">
        <v>1321</v>
      </c>
      <c r="FI409" t="s">
        <v>1321</v>
      </c>
      <c r="FJ409" t="s">
        <v>1321</v>
      </c>
      <c r="FM409" t="s">
        <v>4569</v>
      </c>
      <c r="FP409" t="s">
        <v>4569</v>
      </c>
      <c r="FQ409" t="s">
        <v>4569</v>
      </c>
      <c r="FR409" t="s">
        <v>4569</v>
      </c>
      <c r="FS409" t="s">
        <v>4569</v>
      </c>
      <c r="FT409" t="s">
        <v>1321</v>
      </c>
      <c r="HB409" t="s">
        <v>1321</v>
      </c>
      <c r="HD409" t="s">
        <v>1321</v>
      </c>
      <c r="HF409" t="s">
        <v>1321</v>
      </c>
      <c r="HH409" t="s">
        <v>1321</v>
      </c>
      <c r="HJ409" t="s">
        <v>1321</v>
      </c>
      <c r="HL409" t="s">
        <v>1321</v>
      </c>
      <c r="HN409" t="s">
        <v>1321</v>
      </c>
      <c r="HP409" t="s">
        <v>1321</v>
      </c>
      <c r="HQ409" t="s">
        <v>1321</v>
      </c>
      <c r="HS409" t="s">
        <v>1321</v>
      </c>
      <c r="HU409" t="s">
        <v>1321</v>
      </c>
      <c r="HW409" t="s">
        <v>1321</v>
      </c>
      <c r="HY409" t="s">
        <v>1321</v>
      </c>
      <c r="IA409" t="s">
        <v>1321</v>
      </c>
      <c r="IC409" t="s">
        <v>1321</v>
      </c>
      <c r="ID409" t="s">
        <v>1321</v>
      </c>
      <c r="IG409" t="s">
        <v>1321</v>
      </c>
      <c r="II409" t="s">
        <v>1321</v>
      </c>
      <c r="IL409">
        <f t="shared" si="11"/>
        <v>86</v>
      </c>
    </row>
    <row r="410" spans="1:246" outlineLevel="1" x14ac:dyDescent="0.2">
      <c r="A410" t="str">
        <f t="shared" si="10"/>
        <v>Falkenauge Meisterschuss</v>
      </c>
      <c r="B410" t="s">
        <v>3916</v>
      </c>
      <c r="O410" t="s">
        <v>3916</v>
      </c>
      <c r="P410" t="s">
        <v>1321</v>
      </c>
      <c r="Q410" t="s">
        <v>1321</v>
      </c>
      <c r="R410" t="s">
        <v>1321</v>
      </c>
      <c r="S410" t="s">
        <v>1321</v>
      </c>
      <c r="T410" t="s">
        <v>1321</v>
      </c>
      <c r="U410" t="s">
        <v>1321</v>
      </c>
      <c r="V410" t="s">
        <v>1321</v>
      </c>
      <c r="W410" t="s">
        <v>1321</v>
      </c>
      <c r="X410" t="s">
        <v>1321</v>
      </c>
      <c r="Y410" t="s">
        <v>1321</v>
      </c>
      <c r="Z410" t="s">
        <v>1321</v>
      </c>
      <c r="AA410" t="s">
        <v>1321</v>
      </c>
      <c r="AB410" t="s">
        <v>1321</v>
      </c>
      <c r="AC410" t="s">
        <v>1321</v>
      </c>
      <c r="AD410" t="s">
        <v>1321</v>
      </c>
      <c r="AE410" t="s">
        <v>1321</v>
      </c>
      <c r="AF410" t="s">
        <v>1321</v>
      </c>
      <c r="AG410" t="s">
        <v>1321</v>
      </c>
      <c r="AH410" t="s">
        <v>1321</v>
      </c>
      <c r="AI410" t="s">
        <v>1321</v>
      </c>
      <c r="AJ410" t="s">
        <v>1321</v>
      </c>
      <c r="AK410" t="s">
        <v>1321</v>
      </c>
      <c r="AL410" t="s">
        <v>1321</v>
      </c>
      <c r="AM410" t="s">
        <v>1321</v>
      </c>
      <c r="AN410" t="s">
        <v>1321</v>
      </c>
      <c r="AO410" t="s">
        <v>1321</v>
      </c>
      <c r="AP410" t="s">
        <v>1321</v>
      </c>
      <c r="AQ410" t="s">
        <v>1321</v>
      </c>
      <c r="AR410" t="s">
        <v>1321</v>
      </c>
      <c r="AS410" t="s">
        <v>1321</v>
      </c>
      <c r="AT410" t="s">
        <v>3916</v>
      </c>
      <c r="AY410" t="s">
        <v>3916</v>
      </c>
      <c r="BH410" t="s">
        <v>3916</v>
      </c>
      <c r="BK410" t="s">
        <v>3916</v>
      </c>
      <c r="CB410" t="s">
        <v>1321</v>
      </c>
      <c r="CE410" t="s">
        <v>1321</v>
      </c>
      <c r="CG410" t="s">
        <v>1321</v>
      </c>
      <c r="CJ410" t="s">
        <v>1321</v>
      </c>
      <c r="CV410" t="s">
        <v>3916</v>
      </c>
      <c r="CY410">
        <v>2</v>
      </c>
      <c r="DA410" t="s">
        <v>1321</v>
      </c>
      <c r="DT410">
        <v>3</v>
      </c>
      <c r="EA410" t="s">
        <v>1321</v>
      </c>
      <c r="EX410" t="s">
        <v>3916</v>
      </c>
      <c r="EZ410" t="s">
        <v>4569</v>
      </c>
      <c r="FA410" t="s">
        <v>4569</v>
      </c>
      <c r="FM410" t="s">
        <v>4569</v>
      </c>
      <c r="FP410" t="s">
        <v>4569</v>
      </c>
      <c r="FQ410" t="s">
        <v>4569</v>
      </c>
      <c r="FR410" t="s">
        <v>4569</v>
      </c>
      <c r="FS410" t="s">
        <v>4569</v>
      </c>
      <c r="FT410" t="s">
        <v>1321</v>
      </c>
      <c r="FW410" t="s">
        <v>3916</v>
      </c>
      <c r="GE410" t="s">
        <v>3916</v>
      </c>
      <c r="GM410" t="s">
        <v>3916</v>
      </c>
      <c r="GX410" t="s">
        <v>3916</v>
      </c>
      <c r="IJ410" t="s">
        <v>3916</v>
      </c>
      <c r="IL410">
        <f t="shared" si="11"/>
        <v>87</v>
      </c>
    </row>
    <row r="411" spans="1:246" outlineLevel="1" x14ac:dyDescent="0.2">
      <c r="A411" t="str">
        <f t="shared" si="10"/>
        <v>Favilludo Funkentanz</v>
      </c>
      <c r="CW411" t="s">
        <v>1321</v>
      </c>
      <c r="CX411" t="s">
        <v>1321</v>
      </c>
      <c r="CY411" t="s">
        <v>1321</v>
      </c>
      <c r="CZ411" t="s">
        <v>1321</v>
      </c>
      <c r="DA411" t="s">
        <v>1321</v>
      </c>
      <c r="DB411" t="s">
        <v>1321</v>
      </c>
      <c r="DL411" t="s">
        <v>1321</v>
      </c>
      <c r="DM411" t="s">
        <v>1321</v>
      </c>
      <c r="DN411" t="s">
        <v>1321</v>
      </c>
      <c r="DO411" t="s">
        <v>1321</v>
      </c>
      <c r="DP411" t="s">
        <v>1321</v>
      </c>
      <c r="DQ411" t="s">
        <v>1321</v>
      </c>
      <c r="DR411" t="s">
        <v>1321</v>
      </c>
      <c r="DS411" t="s">
        <v>1321</v>
      </c>
      <c r="DT411" t="s">
        <v>1321</v>
      </c>
      <c r="DU411">
        <v>5</v>
      </c>
      <c r="DV411" t="s">
        <v>1321</v>
      </c>
      <c r="DW411" t="s">
        <v>1321</v>
      </c>
      <c r="DX411" t="s">
        <v>1321</v>
      </c>
      <c r="DY411" t="s">
        <v>1321</v>
      </c>
      <c r="DZ411" t="s">
        <v>1321</v>
      </c>
      <c r="EA411" t="s">
        <v>1321</v>
      </c>
      <c r="EB411" t="s">
        <v>1321</v>
      </c>
      <c r="EC411" t="s">
        <v>1321</v>
      </c>
      <c r="ED411" t="s">
        <v>1321</v>
      </c>
      <c r="EE411" t="s">
        <v>1321</v>
      </c>
      <c r="EF411" t="s">
        <v>1321</v>
      </c>
      <c r="EG411" t="s">
        <v>1321</v>
      </c>
      <c r="EH411" t="s">
        <v>1321</v>
      </c>
      <c r="EI411" t="s">
        <v>1321</v>
      </c>
      <c r="EJ411" t="s">
        <v>1321</v>
      </c>
      <c r="EK411" t="s">
        <v>1321</v>
      </c>
      <c r="EL411" t="s">
        <v>1321</v>
      </c>
      <c r="EM411" t="s">
        <v>1321</v>
      </c>
      <c r="EN411" t="s">
        <v>1321</v>
      </c>
      <c r="EO411" t="s">
        <v>1321</v>
      </c>
      <c r="EP411" t="s">
        <v>1321</v>
      </c>
      <c r="EQ411" t="s">
        <v>1321</v>
      </c>
      <c r="ER411" t="s">
        <v>1321</v>
      </c>
      <c r="ES411" t="s">
        <v>1321</v>
      </c>
      <c r="ET411" t="s">
        <v>1321</v>
      </c>
      <c r="EU411">
        <v>7</v>
      </c>
      <c r="EV411" t="s">
        <v>1321</v>
      </c>
      <c r="EW411" t="s">
        <v>1321</v>
      </c>
      <c r="EY411" t="s">
        <v>1321</v>
      </c>
      <c r="EZ411">
        <v>4</v>
      </c>
      <c r="FA411" t="s">
        <v>1321</v>
      </c>
      <c r="FB411" t="s">
        <v>1321</v>
      </c>
      <c r="FC411" t="s">
        <v>1321</v>
      </c>
      <c r="FD411" t="s">
        <v>1321</v>
      </c>
      <c r="FE411" t="s">
        <v>1321</v>
      </c>
      <c r="FG411" t="s">
        <v>1321</v>
      </c>
      <c r="FH411" t="s">
        <v>1321</v>
      </c>
      <c r="FI411" t="s">
        <v>1321</v>
      </c>
      <c r="FJ411" t="s">
        <v>1321</v>
      </c>
      <c r="FK411" t="s">
        <v>1321</v>
      </c>
      <c r="FL411" t="s">
        <v>1321</v>
      </c>
      <c r="FM411" t="s">
        <v>1321</v>
      </c>
      <c r="FN411" t="s">
        <v>1321</v>
      </c>
      <c r="FO411" t="s">
        <v>1321</v>
      </c>
      <c r="FP411" t="s">
        <v>1321</v>
      </c>
      <c r="FQ411" t="s">
        <v>1321</v>
      </c>
      <c r="FR411" t="s">
        <v>1321</v>
      </c>
      <c r="FS411" t="s">
        <v>1321</v>
      </c>
      <c r="FT411" t="s">
        <v>1321</v>
      </c>
      <c r="FX411" t="s">
        <v>1321</v>
      </c>
      <c r="FY411">
        <v>6</v>
      </c>
      <c r="FZ411">
        <v>4</v>
      </c>
      <c r="GA411">
        <v>5</v>
      </c>
      <c r="GB411">
        <v>3</v>
      </c>
      <c r="GC411">
        <v>5</v>
      </c>
      <c r="GD411" t="s">
        <v>1321</v>
      </c>
      <c r="IL411">
        <f t="shared" si="11"/>
        <v>88</v>
      </c>
    </row>
    <row r="412" spans="1:246" outlineLevel="1" x14ac:dyDescent="0.2">
      <c r="A412" t="str">
        <f t="shared" si="10"/>
        <v>Fesselranken</v>
      </c>
      <c r="IL412">
        <f t="shared" si="11"/>
        <v>89</v>
      </c>
    </row>
    <row r="413" spans="1:246" outlineLevel="1" x14ac:dyDescent="0.2">
      <c r="A413" t="str">
        <f t="shared" si="10"/>
        <v>Feuerbann (I) (=Elementarbann)</v>
      </c>
      <c r="EZ413" t="s">
        <v>4569</v>
      </c>
      <c r="FA413" t="s">
        <v>4569</v>
      </c>
      <c r="FM413" t="s">
        <v>4569</v>
      </c>
      <c r="FP413" t="s">
        <v>4569</v>
      </c>
      <c r="FQ413" t="s">
        <v>4569</v>
      </c>
      <c r="FR413" t="s">
        <v>4569</v>
      </c>
      <c r="FS413" t="s">
        <v>4569</v>
      </c>
      <c r="IL413">
        <f t="shared" si="11"/>
        <v>90</v>
      </c>
    </row>
    <row r="414" spans="1:246" outlineLevel="1" x14ac:dyDescent="0.2">
      <c r="A414" t="str">
        <f t="shared" si="10"/>
        <v>Feuerbann (II) (=Leib d. Feuers)</v>
      </c>
      <c r="AZ414" t="s">
        <v>1321</v>
      </c>
      <c r="BA414" t="s">
        <v>1321</v>
      </c>
      <c r="BB414" t="s">
        <v>1321</v>
      </c>
      <c r="BC414" t="s">
        <v>1321</v>
      </c>
      <c r="BD414" t="s">
        <v>1321</v>
      </c>
      <c r="BE414" t="s">
        <v>1321</v>
      </c>
      <c r="BF414" t="s">
        <v>1321</v>
      </c>
      <c r="BG414" t="s">
        <v>1321</v>
      </c>
      <c r="EZ414" t="s">
        <v>4569</v>
      </c>
      <c r="FA414" t="s">
        <v>4569</v>
      </c>
      <c r="FM414" t="s">
        <v>4569</v>
      </c>
      <c r="FP414" t="s">
        <v>4569</v>
      </c>
      <c r="FQ414" t="s">
        <v>4569</v>
      </c>
      <c r="FR414" t="s">
        <v>4569</v>
      </c>
      <c r="FS414" t="s">
        <v>4569</v>
      </c>
      <c r="IL414">
        <f t="shared" si="11"/>
        <v>91</v>
      </c>
    </row>
    <row r="415" spans="1:246" outlineLevel="1" x14ac:dyDescent="0.2">
      <c r="A415" t="str">
        <f t="shared" si="10"/>
        <v>Feuermähne Flammenhuf</v>
      </c>
      <c r="IL415">
        <f t="shared" si="11"/>
        <v>92</v>
      </c>
    </row>
    <row r="416" spans="1:246" outlineLevel="1" x14ac:dyDescent="0.2">
      <c r="A416" t="str">
        <f t="shared" si="10"/>
        <v>Feuersturm</v>
      </c>
      <c r="EZ416" t="s">
        <v>4569</v>
      </c>
      <c r="FA416" t="s">
        <v>4569</v>
      </c>
      <c r="FM416" t="s">
        <v>4569</v>
      </c>
      <c r="FP416" t="s">
        <v>4569</v>
      </c>
      <c r="FQ416" t="s">
        <v>4569</v>
      </c>
      <c r="FR416" t="s">
        <v>4569</v>
      </c>
      <c r="FS416" t="s">
        <v>4569</v>
      </c>
      <c r="IL416">
        <f t="shared" si="11"/>
        <v>93</v>
      </c>
    </row>
    <row r="417" spans="1:246" outlineLevel="1" x14ac:dyDescent="0.2">
      <c r="A417" t="str">
        <f t="shared" si="10"/>
        <v>Firnlauf</v>
      </c>
      <c r="X417" t="s">
        <v>1321</v>
      </c>
      <c r="AB417" t="s">
        <v>1321</v>
      </c>
      <c r="AN417" t="s">
        <v>1321</v>
      </c>
      <c r="CD417" t="s">
        <v>1321</v>
      </c>
      <c r="CG417" t="s">
        <v>1321</v>
      </c>
      <c r="CH417" t="s">
        <v>1321</v>
      </c>
      <c r="CI417" t="s">
        <v>1321</v>
      </c>
      <c r="CK417" t="s">
        <v>1321</v>
      </c>
      <c r="CL417" t="s">
        <v>1321</v>
      </c>
      <c r="DA417">
        <v>3</v>
      </c>
      <c r="DF417" t="s">
        <v>1321</v>
      </c>
      <c r="DG417" t="s">
        <v>1321</v>
      </c>
      <c r="DH417" t="s">
        <v>1321</v>
      </c>
      <c r="DI417" t="s">
        <v>1321</v>
      </c>
      <c r="DJ417" t="s">
        <v>1321</v>
      </c>
      <c r="DK417">
        <v>4</v>
      </c>
      <c r="DT417" t="s">
        <v>1321</v>
      </c>
      <c r="EA417" t="s">
        <v>1321</v>
      </c>
      <c r="EH417" t="s">
        <v>1321</v>
      </c>
      <c r="EI417" t="s">
        <v>1321</v>
      </c>
      <c r="EZ417" t="s">
        <v>4569</v>
      </c>
      <c r="FA417" t="s">
        <v>4569</v>
      </c>
      <c r="FM417" t="s">
        <v>4569</v>
      </c>
      <c r="FP417" t="s">
        <v>4569</v>
      </c>
      <c r="FQ417" t="s">
        <v>4569</v>
      </c>
      <c r="FR417" t="s">
        <v>4569</v>
      </c>
      <c r="FS417" t="s">
        <v>4569</v>
      </c>
      <c r="IL417">
        <f t="shared" si="11"/>
        <v>94</v>
      </c>
    </row>
    <row r="418" spans="1:246" outlineLevel="1" x14ac:dyDescent="0.2">
      <c r="A418" t="str">
        <f t="shared" si="10"/>
        <v>Fledermausruf</v>
      </c>
      <c r="EZ418" t="s">
        <v>4569</v>
      </c>
      <c r="FA418" t="s">
        <v>4569</v>
      </c>
      <c r="FM418" t="s">
        <v>4569</v>
      </c>
      <c r="FP418" t="s">
        <v>4569</v>
      </c>
      <c r="FQ418" t="s">
        <v>4569</v>
      </c>
      <c r="FR418" t="s">
        <v>4569</v>
      </c>
      <c r="FS418" t="s">
        <v>4569</v>
      </c>
      <c r="IL418">
        <f t="shared" si="11"/>
        <v>95</v>
      </c>
    </row>
    <row r="419" spans="1:246" outlineLevel="1" x14ac:dyDescent="0.2">
      <c r="A419" t="str">
        <f t="shared" si="10"/>
        <v>Flim Flam Funkel</v>
      </c>
      <c r="C419" t="s">
        <v>1321</v>
      </c>
      <c r="D419" t="s">
        <v>1321</v>
      </c>
      <c r="E419" t="s">
        <v>1321</v>
      </c>
      <c r="F419" t="s">
        <v>1321</v>
      </c>
      <c r="G419" t="s">
        <v>1321</v>
      </c>
      <c r="H419" t="s">
        <v>1321</v>
      </c>
      <c r="I419" t="s">
        <v>1321</v>
      </c>
      <c r="J419" t="s">
        <v>1321</v>
      </c>
      <c r="K419" t="s">
        <v>1321</v>
      </c>
      <c r="L419" t="s">
        <v>1321</v>
      </c>
      <c r="M419" t="s">
        <v>1321</v>
      </c>
      <c r="N419" t="s">
        <v>1321</v>
      </c>
      <c r="P419" t="s">
        <v>1321</v>
      </c>
      <c r="Q419" t="s">
        <v>1321</v>
      </c>
      <c r="R419" t="s">
        <v>1321</v>
      </c>
      <c r="S419" t="s">
        <v>1321</v>
      </c>
      <c r="T419" t="s">
        <v>1321</v>
      </c>
      <c r="U419" t="s">
        <v>1321</v>
      </c>
      <c r="V419" t="s">
        <v>1321</v>
      </c>
      <c r="W419" t="s">
        <v>1321</v>
      </c>
      <c r="X419" t="s">
        <v>1321</v>
      </c>
      <c r="Y419" t="s">
        <v>1321</v>
      </c>
      <c r="Z419" t="s">
        <v>1321</v>
      </c>
      <c r="AA419" t="s">
        <v>1321</v>
      </c>
      <c r="AB419" t="s">
        <v>1321</v>
      </c>
      <c r="AC419" t="s">
        <v>1321</v>
      </c>
      <c r="AD419" t="s">
        <v>1321</v>
      </c>
      <c r="AE419" t="s">
        <v>1321</v>
      </c>
      <c r="AF419" t="s">
        <v>1321</v>
      </c>
      <c r="AG419" t="s">
        <v>1321</v>
      </c>
      <c r="AH419" t="s">
        <v>1321</v>
      </c>
      <c r="AI419" t="s">
        <v>1321</v>
      </c>
      <c r="AJ419" t="s">
        <v>1321</v>
      </c>
      <c r="AK419" t="s">
        <v>1321</v>
      </c>
      <c r="AL419" t="s">
        <v>1321</v>
      </c>
      <c r="AM419" t="s">
        <v>1321</v>
      </c>
      <c r="AN419" t="s">
        <v>1321</v>
      </c>
      <c r="AO419" t="s">
        <v>1321</v>
      </c>
      <c r="AP419" t="s">
        <v>1321</v>
      </c>
      <c r="AQ419" t="s">
        <v>1321</v>
      </c>
      <c r="AR419" t="s">
        <v>1321</v>
      </c>
      <c r="AS419" t="s">
        <v>1321</v>
      </c>
      <c r="AU419" t="s">
        <v>1321</v>
      </c>
      <c r="AV419" t="s">
        <v>1321</v>
      </c>
      <c r="AW419" t="s">
        <v>1321</v>
      </c>
      <c r="AX419" t="s">
        <v>1321</v>
      </c>
      <c r="AZ419" t="s">
        <v>1321</v>
      </c>
      <c r="BA419" t="s">
        <v>1321</v>
      </c>
      <c r="BB419" t="s">
        <v>1321</v>
      </c>
      <c r="BC419" t="s">
        <v>1321</v>
      </c>
      <c r="BD419" t="s">
        <v>1321</v>
      </c>
      <c r="BE419" t="s">
        <v>1321</v>
      </c>
      <c r="BF419" t="s">
        <v>1321</v>
      </c>
      <c r="BG419" t="s">
        <v>1321</v>
      </c>
      <c r="BI419" t="s">
        <v>1321</v>
      </c>
      <c r="BJ419">
        <v>4</v>
      </c>
      <c r="CB419" t="s">
        <v>1321</v>
      </c>
      <c r="CW419">
        <v>4</v>
      </c>
      <c r="CX419">
        <v>5</v>
      </c>
      <c r="CY419">
        <v>4</v>
      </c>
      <c r="CZ419">
        <v>3</v>
      </c>
      <c r="DA419">
        <v>2</v>
      </c>
      <c r="DB419" t="s">
        <v>1321</v>
      </c>
      <c r="DC419">
        <v>3</v>
      </c>
      <c r="DD419">
        <v>3</v>
      </c>
      <c r="DE419">
        <v>3</v>
      </c>
      <c r="DF419">
        <v>5</v>
      </c>
      <c r="DG419">
        <v>5</v>
      </c>
      <c r="DH419">
        <v>5</v>
      </c>
      <c r="DI419">
        <v>5</v>
      </c>
      <c r="DJ419">
        <v>5</v>
      </c>
      <c r="DK419">
        <v>5</v>
      </c>
      <c r="DL419" t="s">
        <v>1321</v>
      </c>
      <c r="DM419">
        <v>4</v>
      </c>
      <c r="DN419" t="s">
        <v>1321</v>
      </c>
      <c r="DO419" t="s">
        <v>1321</v>
      </c>
      <c r="DP419" t="s">
        <v>1321</v>
      </c>
      <c r="DQ419">
        <v>6</v>
      </c>
      <c r="DR419">
        <v>3</v>
      </c>
      <c r="DS419">
        <v>3</v>
      </c>
      <c r="DT419">
        <v>4</v>
      </c>
      <c r="DU419">
        <v>3</v>
      </c>
      <c r="DV419">
        <v>2</v>
      </c>
      <c r="DW419">
        <v>5</v>
      </c>
      <c r="DX419">
        <v>3</v>
      </c>
      <c r="DY419">
        <v>3</v>
      </c>
      <c r="DZ419" t="s">
        <v>1321</v>
      </c>
      <c r="EA419" t="s">
        <v>1321</v>
      </c>
      <c r="EB419">
        <v>3</v>
      </c>
      <c r="EC419">
        <v>4</v>
      </c>
      <c r="ED419">
        <v>4</v>
      </c>
      <c r="EE419">
        <v>4</v>
      </c>
      <c r="EF419">
        <v>4</v>
      </c>
      <c r="EG419">
        <v>7</v>
      </c>
      <c r="EH419">
        <v>4</v>
      </c>
      <c r="EI419">
        <v>4</v>
      </c>
      <c r="EJ419">
        <v>3</v>
      </c>
      <c r="EK419">
        <v>4</v>
      </c>
      <c r="EL419">
        <v>3</v>
      </c>
      <c r="EM419">
        <v>3</v>
      </c>
      <c r="EN419">
        <v>3</v>
      </c>
      <c r="EO419">
        <v>4</v>
      </c>
      <c r="EP419">
        <v>4</v>
      </c>
      <c r="EQ419" t="s">
        <v>1321</v>
      </c>
      <c r="ER419" t="s">
        <v>1321</v>
      </c>
      <c r="ES419">
        <v>2</v>
      </c>
      <c r="ET419">
        <v>4</v>
      </c>
      <c r="EU419">
        <v>4</v>
      </c>
      <c r="EV419">
        <v>4</v>
      </c>
      <c r="EW419">
        <v>3</v>
      </c>
      <c r="EY419">
        <v>5</v>
      </c>
      <c r="EZ419">
        <v>3</v>
      </c>
      <c r="FA419">
        <v>3</v>
      </c>
      <c r="FB419" t="s">
        <v>1321</v>
      </c>
      <c r="FC419" t="s">
        <v>1321</v>
      </c>
      <c r="FD419" t="s">
        <v>1321</v>
      </c>
      <c r="FE419">
        <v>2</v>
      </c>
      <c r="FF419">
        <v>2</v>
      </c>
      <c r="FG419" t="s">
        <v>1321</v>
      </c>
      <c r="FH419" t="s">
        <v>1321</v>
      </c>
      <c r="FI419" t="s">
        <v>1321</v>
      </c>
      <c r="FJ419" t="s">
        <v>1321</v>
      </c>
      <c r="FK419" t="s">
        <v>1321</v>
      </c>
      <c r="FL419" t="s">
        <v>1321</v>
      </c>
      <c r="FM419" t="s">
        <v>2514</v>
      </c>
      <c r="FN419" t="s">
        <v>1321</v>
      </c>
      <c r="FO419" t="s">
        <v>1321</v>
      </c>
      <c r="FP419" t="s">
        <v>1321</v>
      </c>
      <c r="FQ419" t="s">
        <v>1321</v>
      </c>
      <c r="FR419" t="s">
        <v>1321</v>
      </c>
      <c r="FS419" t="s">
        <v>1321</v>
      </c>
      <c r="FT419">
        <v>5</v>
      </c>
      <c r="FU419">
        <v>3</v>
      </c>
      <c r="FV419">
        <v>4</v>
      </c>
      <c r="FX419" t="s">
        <v>1321</v>
      </c>
      <c r="FY419">
        <v>4</v>
      </c>
      <c r="FZ419">
        <v>4</v>
      </c>
      <c r="GA419" t="s">
        <v>1321</v>
      </c>
      <c r="GB419" t="s">
        <v>1321</v>
      </c>
      <c r="GC419">
        <v>4</v>
      </c>
      <c r="GD419" t="s">
        <v>1321</v>
      </c>
      <c r="GF419" t="s">
        <v>1321</v>
      </c>
      <c r="GG419" t="s">
        <v>1321</v>
      </c>
      <c r="GH419" t="s">
        <v>1321</v>
      </c>
      <c r="GI419" t="s">
        <v>1321</v>
      </c>
      <c r="GJ419" t="s">
        <v>1321</v>
      </c>
      <c r="GK419" t="s">
        <v>1321</v>
      </c>
      <c r="GL419" t="s">
        <v>1321</v>
      </c>
      <c r="HB419" t="s">
        <v>1321</v>
      </c>
      <c r="HD419" t="s">
        <v>1321</v>
      </c>
      <c r="HF419" t="s">
        <v>1321</v>
      </c>
      <c r="HH419" t="s">
        <v>1321</v>
      </c>
      <c r="HJ419" t="s">
        <v>1321</v>
      </c>
      <c r="HL419" t="s">
        <v>1321</v>
      </c>
      <c r="HN419" t="s">
        <v>1321</v>
      </c>
      <c r="HP419" t="s">
        <v>1321</v>
      </c>
      <c r="HQ419" t="s">
        <v>1321</v>
      </c>
      <c r="HS419" t="s">
        <v>1321</v>
      </c>
      <c r="HU419" t="s">
        <v>1321</v>
      </c>
      <c r="HW419" t="s">
        <v>1321</v>
      </c>
      <c r="HY419" t="s">
        <v>1321</v>
      </c>
      <c r="IA419" t="s">
        <v>1321</v>
      </c>
      <c r="IC419" t="s">
        <v>1321</v>
      </c>
      <c r="ID419" t="s">
        <v>1321</v>
      </c>
      <c r="IG419" t="s">
        <v>1321</v>
      </c>
      <c r="II419" t="s">
        <v>1321</v>
      </c>
      <c r="IL419">
        <f t="shared" si="11"/>
        <v>96</v>
      </c>
    </row>
    <row r="420" spans="1:246" outlineLevel="1" x14ac:dyDescent="0.2">
      <c r="A420" t="str">
        <f t="shared" si="10"/>
        <v>Fluch der Pestilenz</v>
      </c>
      <c r="C420" t="s">
        <v>1321</v>
      </c>
      <c r="D420" t="s">
        <v>1321</v>
      </c>
      <c r="E420" t="s">
        <v>4901</v>
      </c>
      <c r="F420" t="s">
        <v>1321</v>
      </c>
      <c r="G420" t="s">
        <v>1321</v>
      </c>
      <c r="BG420" t="s">
        <v>1321</v>
      </c>
      <c r="EZ420" t="s">
        <v>4569</v>
      </c>
      <c r="FA420" t="s">
        <v>4569</v>
      </c>
      <c r="FM420" t="s">
        <v>4569</v>
      </c>
      <c r="FP420" t="s">
        <v>4569</v>
      </c>
      <c r="FQ420" t="s">
        <v>4569</v>
      </c>
      <c r="FR420" t="s">
        <v>4569</v>
      </c>
      <c r="FS420" t="s">
        <v>4569</v>
      </c>
      <c r="IL420">
        <f t="shared" si="11"/>
        <v>97</v>
      </c>
    </row>
    <row r="421" spans="1:246" outlineLevel="1" x14ac:dyDescent="0.2">
      <c r="A421" t="str">
        <f t="shared" si="10"/>
        <v>Foramen Foraminor</v>
      </c>
      <c r="CW421">
        <v>4</v>
      </c>
      <c r="CX421" t="s">
        <v>1321</v>
      </c>
      <c r="CY421" t="s">
        <v>1321</v>
      </c>
      <c r="CZ421" t="s">
        <v>1321</v>
      </c>
      <c r="DA421" t="s">
        <v>2515</v>
      </c>
      <c r="DB421" t="s">
        <v>1321</v>
      </c>
      <c r="DC421" t="s">
        <v>1321</v>
      </c>
      <c r="DD421" t="s">
        <v>1321</v>
      </c>
      <c r="DE421" t="s">
        <v>1321</v>
      </c>
      <c r="DF421" t="s">
        <v>1321</v>
      </c>
      <c r="DG421" t="s">
        <v>1321</v>
      </c>
      <c r="DH421">
        <v>3</v>
      </c>
      <c r="DI421">
        <v>1</v>
      </c>
      <c r="DJ421" t="s">
        <v>1321</v>
      </c>
      <c r="DK421" t="s">
        <v>1321</v>
      </c>
      <c r="DL421" t="s">
        <v>1321</v>
      </c>
      <c r="DM421" t="s">
        <v>1321</v>
      </c>
      <c r="DN421" t="s">
        <v>1321</v>
      </c>
      <c r="DO421" t="s">
        <v>1321</v>
      </c>
      <c r="DP421" t="s">
        <v>1321</v>
      </c>
      <c r="DQ421" t="s">
        <v>1321</v>
      </c>
      <c r="DR421" t="s">
        <v>1321</v>
      </c>
      <c r="DS421" t="s">
        <v>1321</v>
      </c>
      <c r="DT421">
        <v>5</v>
      </c>
      <c r="DU421" t="s">
        <v>1321</v>
      </c>
      <c r="DV421" t="s">
        <v>2516</v>
      </c>
      <c r="DW421" t="s">
        <v>1321</v>
      </c>
      <c r="DX421" t="s">
        <v>1321</v>
      </c>
      <c r="DY421" t="s">
        <v>1321</v>
      </c>
      <c r="DZ421" t="s">
        <v>1321</v>
      </c>
      <c r="EA421" t="s">
        <v>1321</v>
      </c>
      <c r="EB421">
        <v>3</v>
      </c>
      <c r="EC421" t="s">
        <v>1321</v>
      </c>
      <c r="ED421" t="s">
        <v>1321</v>
      </c>
      <c r="EE421" t="s">
        <v>1321</v>
      </c>
      <c r="EF421" t="s">
        <v>1321</v>
      </c>
      <c r="EG421" t="s">
        <v>1321</v>
      </c>
      <c r="EH421" t="s">
        <v>1321</v>
      </c>
      <c r="EI421" t="s">
        <v>1321</v>
      </c>
      <c r="EJ421" t="s">
        <v>1321</v>
      </c>
      <c r="EK421" t="s">
        <v>1321</v>
      </c>
      <c r="EL421" t="s">
        <v>1321</v>
      </c>
      <c r="EM421" t="s">
        <v>1321</v>
      </c>
      <c r="EN421" t="s">
        <v>1321</v>
      </c>
      <c r="EO421">
        <v>2</v>
      </c>
      <c r="EP421" t="s">
        <v>1321</v>
      </c>
      <c r="EQ421">
        <v>3</v>
      </c>
      <c r="ER421" t="s">
        <v>1321</v>
      </c>
      <c r="ES421" t="s">
        <v>1321</v>
      </c>
      <c r="ET421" t="s">
        <v>1321</v>
      </c>
      <c r="EU421">
        <v>4</v>
      </c>
      <c r="EV421" t="s">
        <v>1321</v>
      </c>
      <c r="EW421" t="s">
        <v>1321</v>
      </c>
      <c r="EY421" t="s">
        <v>1321</v>
      </c>
      <c r="EZ421">
        <v>2</v>
      </c>
      <c r="FA421">
        <v>2</v>
      </c>
      <c r="FB421" t="s">
        <v>1321</v>
      </c>
      <c r="FC421" t="s">
        <v>1321</v>
      </c>
      <c r="FD421" t="s">
        <v>1321</v>
      </c>
      <c r="FE421" t="s">
        <v>1321</v>
      </c>
      <c r="FF421" t="s">
        <v>1321</v>
      </c>
      <c r="FG421" t="s">
        <v>1321</v>
      </c>
      <c r="FH421" t="s">
        <v>1321</v>
      </c>
      <c r="FI421" t="s">
        <v>1321</v>
      </c>
      <c r="FJ421" t="s">
        <v>1321</v>
      </c>
      <c r="FK421" t="s">
        <v>1321</v>
      </c>
      <c r="FL421" t="s">
        <v>1321</v>
      </c>
      <c r="FM421" t="s">
        <v>1321</v>
      </c>
      <c r="FN421" t="s">
        <v>1321</v>
      </c>
      <c r="FO421" t="s">
        <v>1321</v>
      </c>
      <c r="FP421" t="s">
        <v>1321</v>
      </c>
      <c r="FQ421" t="s">
        <v>1321</v>
      </c>
      <c r="FR421" t="s">
        <v>1321</v>
      </c>
      <c r="FS421" t="s">
        <v>1321</v>
      </c>
      <c r="FT421" t="s">
        <v>1321</v>
      </c>
      <c r="FU421" t="s">
        <v>1321</v>
      </c>
      <c r="FV421" t="s">
        <v>1321</v>
      </c>
      <c r="FX421" t="s">
        <v>1321</v>
      </c>
      <c r="FY421" t="s">
        <v>1321</v>
      </c>
      <c r="FZ421" t="s">
        <v>1321</v>
      </c>
      <c r="GA421" t="s">
        <v>1321</v>
      </c>
      <c r="GB421" t="s">
        <v>1321</v>
      </c>
      <c r="GC421" t="s">
        <v>1321</v>
      </c>
      <c r="GD421">
        <v>4</v>
      </c>
      <c r="GF421" t="s">
        <v>1321</v>
      </c>
      <c r="GG421" t="s">
        <v>1321</v>
      </c>
      <c r="GH421" t="s">
        <v>1321</v>
      </c>
      <c r="GI421" t="s">
        <v>1321</v>
      </c>
      <c r="GJ421">
        <v>3</v>
      </c>
      <c r="GK421" t="s">
        <v>1321</v>
      </c>
      <c r="GL421" t="s">
        <v>1321</v>
      </c>
      <c r="HB421" t="s">
        <v>1321</v>
      </c>
      <c r="HD421" t="s">
        <v>1321</v>
      </c>
      <c r="HF421" t="s">
        <v>1321</v>
      </c>
      <c r="HH421" t="s">
        <v>1321</v>
      </c>
      <c r="HJ421" t="s">
        <v>1321</v>
      </c>
      <c r="HL421" t="s">
        <v>1321</v>
      </c>
      <c r="HN421" t="s">
        <v>1321</v>
      </c>
      <c r="HP421" t="s">
        <v>1321</v>
      </c>
      <c r="HQ421" t="s">
        <v>1321</v>
      </c>
      <c r="HS421" t="s">
        <v>1321</v>
      </c>
      <c r="HU421" t="s">
        <v>1321</v>
      </c>
      <c r="HW421" t="s">
        <v>1321</v>
      </c>
      <c r="HY421" t="s">
        <v>1321</v>
      </c>
      <c r="IA421" t="s">
        <v>1321</v>
      </c>
      <c r="IC421" t="s">
        <v>1321</v>
      </c>
      <c r="ID421" t="s">
        <v>1321</v>
      </c>
      <c r="IG421" t="s">
        <v>1321</v>
      </c>
      <c r="II421" t="s">
        <v>1321</v>
      </c>
      <c r="IL421">
        <f t="shared" si="11"/>
        <v>98</v>
      </c>
    </row>
    <row r="422" spans="1:246" outlineLevel="1" x14ac:dyDescent="0.2">
      <c r="A422" t="str">
        <f t="shared" si="10"/>
        <v>Fortifex arkane Wand</v>
      </c>
      <c r="CW422" t="s">
        <v>1321</v>
      </c>
      <c r="CX422" t="s">
        <v>2515</v>
      </c>
      <c r="CY422" t="s">
        <v>1321</v>
      </c>
      <c r="CZ422">
        <v>4</v>
      </c>
      <c r="DB422" t="s">
        <v>1321</v>
      </c>
      <c r="DF422" t="s">
        <v>1321</v>
      </c>
      <c r="DG422" t="s">
        <v>1321</v>
      </c>
      <c r="DH422" t="s">
        <v>1321</v>
      </c>
      <c r="DI422" t="s">
        <v>1321</v>
      </c>
      <c r="DJ422" t="s">
        <v>1321</v>
      </c>
      <c r="DK422" t="s">
        <v>1321</v>
      </c>
      <c r="DM422" t="s">
        <v>1321</v>
      </c>
      <c r="DN422" t="s">
        <v>1321</v>
      </c>
      <c r="DO422" t="s">
        <v>1321</v>
      </c>
      <c r="DP422" t="s">
        <v>1321</v>
      </c>
      <c r="DQ422" t="s">
        <v>1321</v>
      </c>
      <c r="DR422">
        <v>4</v>
      </c>
      <c r="DS422" t="s">
        <v>1321</v>
      </c>
      <c r="DV422" t="s">
        <v>1321</v>
      </c>
      <c r="DW422">
        <v>5</v>
      </c>
      <c r="EA422" t="s">
        <v>1321</v>
      </c>
      <c r="EC422" t="s">
        <v>1321</v>
      </c>
      <c r="ED422" t="s">
        <v>1321</v>
      </c>
      <c r="EF422" t="s">
        <v>1321</v>
      </c>
      <c r="EG422">
        <v>2</v>
      </c>
      <c r="EH422">
        <v>2</v>
      </c>
      <c r="EI422">
        <v>2</v>
      </c>
      <c r="EJ422" t="s">
        <v>1321</v>
      </c>
      <c r="EK422" t="s">
        <v>1321</v>
      </c>
      <c r="EL422" t="s">
        <v>1321</v>
      </c>
      <c r="EM422" t="s">
        <v>1321</v>
      </c>
      <c r="EN422" t="s">
        <v>1321</v>
      </c>
      <c r="EO422" t="s">
        <v>1321</v>
      </c>
      <c r="EP422">
        <v>3</v>
      </c>
      <c r="EQ422" t="s">
        <v>1321</v>
      </c>
      <c r="ES422" t="s">
        <v>1321</v>
      </c>
      <c r="ET422" t="s">
        <v>1321</v>
      </c>
      <c r="EU422" t="s">
        <v>1321</v>
      </c>
      <c r="EV422" t="s">
        <v>1321</v>
      </c>
      <c r="EZ422" t="s">
        <v>4569</v>
      </c>
      <c r="FA422" t="s">
        <v>4569</v>
      </c>
      <c r="FB422" t="s">
        <v>1321</v>
      </c>
      <c r="FC422" t="s">
        <v>1321</v>
      </c>
      <c r="FG422" t="s">
        <v>1321</v>
      </c>
      <c r="FH422" t="s">
        <v>1321</v>
      </c>
      <c r="FI422" t="s">
        <v>1321</v>
      </c>
      <c r="FJ422">
        <v>3</v>
      </c>
      <c r="FK422" t="s">
        <v>1321</v>
      </c>
      <c r="FM422" t="s">
        <v>4569</v>
      </c>
      <c r="FN422" t="s">
        <v>1321</v>
      </c>
      <c r="FP422">
        <v>2</v>
      </c>
      <c r="FQ422" t="s">
        <v>4569</v>
      </c>
      <c r="FR422" t="s">
        <v>4569</v>
      </c>
      <c r="FS422" t="s">
        <v>4569</v>
      </c>
      <c r="FU422">
        <v>2</v>
      </c>
      <c r="FV422" t="s">
        <v>2515</v>
      </c>
      <c r="IL422">
        <f t="shared" si="11"/>
        <v>99</v>
      </c>
    </row>
    <row r="423" spans="1:246" outlineLevel="1" x14ac:dyDescent="0.2">
      <c r="A423" t="str">
        <f t="shared" si="10"/>
        <v>Frigifaxius</v>
      </c>
      <c r="N423" t="s">
        <v>1321</v>
      </c>
      <c r="DF423" t="s">
        <v>1321</v>
      </c>
      <c r="DG423" t="s">
        <v>1321</v>
      </c>
      <c r="DH423" t="s">
        <v>1321</v>
      </c>
      <c r="DI423" t="s">
        <v>1321</v>
      </c>
      <c r="DJ423" t="s">
        <v>1321</v>
      </c>
      <c r="DK423" t="s">
        <v>2515</v>
      </c>
      <c r="EZ423" t="s">
        <v>4569</v>
      </c>
      <c r="FA423" t="s">
        <v>4569</v>
      </c>
      <c r="FM423" t="s">
        <v>4569</v>
      </c>
      <c r="FP423" t="s">
        <v>4569</v>
      </c>
      <c r="FQ423" t="s">
        <v>4569</v>
      </c>
      <c r="FR423" t="s">
        <v>4569</v>
      </c>
      <c r="FS423" t="s">
        <v>4569</v>
      </c>
      <c r="IL423">
        <f t="shared" si="11"/>
        <v>100</v>
      </c>
    </row>
    <row r="424" spans="1:246" outlineLevel="1" x14ac:dyDescent="0.2">
      <c r="A424" t="str">
        <f t="shared" si="10"/>
        <v>Frigosphaero</v>
      </c>
      <c r="DF424" t="s">
        <v>1321</v>
      </c>
      <c r="DG424" t="s">
        <v>1321</v>
      </c>
      <c r="DH424" t="s">
        <v>1321</v>
      </c>
      <c r="DI424" t="s">
        <v>1321</v>
      </c>
      <c r="DJ424" t="s">
        <v>1321</v>
      </c>
      <c r="DK424">
        <v>4</v>
      </c>
      <c r="EZ424" t="s">
        <v>4569</v>
      </c>
      <c r="FA424" t="s">
        <v>4569</v>
      </c>
      <c r="FM424" t="s">
        <v>4569</v>
      </c>
      <c r="FP424" t="s">
        <v>4569</v>
      </c>
      <c r="FQ424" t="s">
        <v>4569</v>
      </c>
      <c r="FR424" t="s">
        <v>4569</v>
      </c>
      <c r="FS424" t="s">
        <v>4569</v>
      </c>
      <c r="IL424">
        <f t="shared" si="11"/>
        <v>101</v>
      </c>
    </row>
    <row r="425" spans="1:246" outlineLevel="1" x14ac:dyDescent="0.2">
      <c r="A425" t="str">
        <f t="shared" si="10"/>
        <v>Fulminictus Donnerkeil</v>
      </c>
      <c r="P425" t="s">
        <v>1321</v>
      </c>
      <c r="Q425" t="s">
        <v>1321</v>
      </c>
      <c r="R425" t="s">
        <v>1321</v>
      </c>
      <c r="S425" t="s">
        <v>1321</v>
      </c>
      <c r="T425" t="s">
        <v>1321</v>
      </c>
      <c r="U425" t="s">
        <v>1321</v>
      </c>
      <c r="V425" t="s">
        <v>1321</v>
      </c>
      <c r="W425" t="s">
        <v>1321</v>
      </c>
      <c r="X425" t="s">
        <v>1321</v>
      </c>
      <c r="Y425" t="s">
        <v>1321</v>
      </c>
      <c r="Z425" t="s">
        <v>1321</v>
      </c>
      <c r="AA425" t="s">
        <v>1321</v>
      </c>
      <c r="AB425" t="s">
        <v>1321</v>
      </c>
      <c r="AC425" t="s">
        <v>1321</v>
      </c>
      <c r="AD425" t="s">
        <v>1321</v>
      </c>
      <c r="AE425" t="s">
        <v>1321</v>
      </c>
      <c r="AF425" t="s">
        <v>1321</v>
      </c>
      <c r="AG425" t="s">
        <v>1321</v>
      </c>
      <c r="AH425" t="s">
        <v>1321</v>
      </c>
      <c r="AI425" t="s">
        <v>1321</v>
      </c>
      <c r="AJ425" t="s">
        <v>1321</v>
      </c>
      <c r="AK425" t="s">
        <v>1321</v>
      </c>
      <c r="AL425" t="s">
        <v>1321</v>
      </c>
      <c r="AM425" t="s">
        <v>1321</v>
      </c>
      <c r="AN425" t="s">
        <v>1321</v>
      </c>
      <c r="AO425" t="s">
        <v>1321</v>
      </c>
      <c r="AP425" t="s">
        <v>1321</v>
      </c>
      <c r="AQ425" t="s">
        <v>1321</v>
      </c>
      <c r="AR425" t="s">
        <v>1321</v>
      </c>
      <c r="AS425" t="s">
        <v>1321</v>
      </c>
      <c r="CW425" t="s">
        <v>2515</v>
      </c>
      <c r="CX425" t="s">
        <v>1321</v>
      </c>
      <c r="CY425" t="s">
        <v>2515</v>
      </c>
      <c r="CZ425" t="s">
        <v>2514</v>
      </c>
      <c r="DB425" t="s">
        <v>2515</v>
      </c>
      <c r="DC425" t="s">
        <v>1321</v>
      </c>
      <c r="DD425">
        <v>2</v>
      </c>
      <c r="DE425">
        <v>2</v>
      </c>
      <c r="DF425">
        <v>3</v>
      </c>
      <c r="DG425" t="s">
        <v>1321</v>
      </c>
      <c r="DH425" t="s">
        <v>1321</v>
      </c>
      <c r="DI425" t="s">
        <v>1321</v>
      </c>
      <c r="DJ425" t="s">
        <v>1321</v>
      </c>
      <c r="DK425" t="s">
        <v>1321</v>
      </c>
      <c r="DL425" t="s">
        <v>1321</v>
      </c>
      <c r="DM425" t="s">
        <v>1321</v>
      </c>
      <c r="DN425">
        <v>3</v>
      </c>
      <c r="DO425">
        <v>2</v>
      </c>
      <c r="DP425" t="s">
        <v>1321</v>
      </c>
      <c r="DQ425" t="s">
        <v>1321</v>
      </c>
      <c r="DR425" t="s">
        <v>2514</v>
      </c>
      <c r="DS425">
        <v>4</v>
      </c>
      <c r="DT425" t="s">
        <v>1321</v>
      </c>
      <c r="DU425" t="s">
        <v>1321</v>
      </c>
      <c r="DV425" t="s">
        <v>1321</v>
      </c>
      <c r="DW425" t="s">
        <v>1321</v>
      </c>
      <c r="DX425" t="s">
        <v>1321</v>
      </c>
      <c r="DY425" t="s">
        <v>1321</v>
      </c>
      <c r="DZ425" t="s">
        <v>1321</v>
      </c>
      <c r="EA425">
        <v>2</v>
      </c>
      <c r="EB425" t="s">
        <v>1321</v>
      </c>
      <c r="EC425" t="s">
        <v>1321</v>
      </c>
      <c r="ED425" t="s">
        <v>1321</v>
      </c>
      <c r="EE425" t="s">
        <v>1321</v>
      </c>
      <c r="EG425" t="s">
        <v>1321</v>
      </c>
      <c r="EH425" t="s">
        <v>1321</v>
      </c>
      <c r="EI425" t="s">
        <v>1321</v>
      </c>
      <c r="EJ425" t="s">
        <v>1321</v>
      </c>
      <c r="EK425">
        <v>3</v>
      </c>
      <c r="EL425" t="s">
        <v>1321</v>
      </c>
      <c r="EM425">
        <v>2</v>
      </c>
      <c r="EN425" t="s">
        <v>1321</v>
      </c>
      <c r="EO425">
        <v>3</v>
      </c>
      <c r="EP425" t="s">
        <v>2514</v>
      </c>
      <c r="EQ425" t="s">
        <v>1321</v>
      </c>
      <c r="ER425" t="s">
        <v>1321</v>
      </c>
      <c r="ES425" t="s">
        <v>1321</v>
      </c>
      <c r="ET425" t="s">
        <v>1321</v>
      </c>
      <c r="EU425">
        <v>3</v>
      </c>
      <c r="EV425" t="s">
        <v>1321</v>
      </c>
      <c r="EW425" t="s">
        <v>1321</v>
      </c>
      <c r="EY425">
        <v>3</v>
      </c>
      <c r="EZ425" t="s">
        <v>1321</v>
      </c>
      <c r="FA425" t="s">
        <v>1321</v>
      </c>
      <c r="FB425" t="s">
        <v>1321</v>
      </c>
      <c r="FC425" t="s">
        <v>1321</v>
      </c>
      <c r="FD425" t="s">
        <v>1321</v>
      </c>
      <c r="FE425" t="s">
        <v>1321</v>
      </c>
      <c r="FG425" t="s">
        <v>1321</v>
      </c>
      <c r="FH425" t="s">
        <v>1321</v>
      </c>
      <c r="FI425" t="s">
        <v>1321</v>
      </c>
      <c r="FJ425" t="s">
        <v>1321</v>
      </c>
      <c r="FK425" t="s">
        <v>1321</v>
      </c>
      <c r="FL425" t="s">
        <v>1321</v>
      </c>
      <c r="FM425" t="s">
        <v>1321</v>
      </c>
      <c r="FN425" t="s">
        <v>1321</v>
      </c>
      <c r="FO425" t="s">
        <v>1321</v>
      </c>
      <c r="FP425" t="s">
        <v>4569</v>
      </c>
      <c r="FQ425" t="s">
        <v>4569</v>
      </c>
      <c r="FR425" t="s">
        <v>4569</v>
      </c>
      <c r="FS425" t="s">
        <v>4569</v>
      </c>
      <c r="FT425" t="s">
        <v>1321</v>
      </c>
      <c r="IL425">
        <f t="shared" si="11"/>
        <v>102</v>
      </c>
    </row>
    <row r="426" spans="1:246" outlineLevel="1" x14ac:dyDescent="0.2">
      <c r="A426" t="str">
        <f t="shared" si="10"/>
        <v>Gardianum Zauberschild</v>
      </c>
      <c r="B426" t="s">
        <v>4116</v>
      </c>
      <c r="O426" t="s">
        <v>4116</v>
      </c>
      <c r="AT426" t="s">
        <v>4116</v>
      </c>
      <c r="AY426" t="s">
        <v>4116</v>
      </c>
      <c r="BH426" t="s">
        <v>4116</v>
      </c>
      <c r="BK426" t="s">
        <v>4116</v>
      </c>
      <c r="CV426" t="s">
        <v>4116</v>
      </c>
      <c r="CW426" t="s">
        <v>2516</v>
      </c>
      <c r="CX426">
        <v>3</v>
      </c>
      <c r="CY426">
        <v>4</v>
      </c>
      <c r="CZ426">
        <v>5</v>
      </c>
      <c r="DA426" t="s">
        <v>1321</v>
      </c>
      <c r="DB426">
        <v>5</v>
      </c>
      <c r="DC426">
        <v>4</v>
      </c>
      <c r="DD426" t="s">
        <v>1321</v>
      </c>
      <c r="DE426" t="s">
        <v>1321</v>
      </c>
      <c r="DF426">
        <v>4</v>
      </c>
      <c r="DG426">
        <v>1</v>
      </c>
      <c r="DH426">
        <v>1</v>
      </c>
      <c r="DI426">
        <v>1</v>
      </c>
      <c r="DJ426">
        <v>1</v>
      </c>
      <c r="DK426">
        <v>1</v>
      </c>
      <c r="DL426" t="s">
        <v>1321</v>
      </c>
      <c r="DM426">
        <v>4</v>
      </c>
      <c r="DN426" t="s">
        <v>1321</v>
      </c>
      <c r="DO426" t="s">
        <v>1321</v>
      </c>
      <c r="DP426" t="s">
        <v>2514</v>
      </c>
      <c r="DQ426" t="s">
        <v>1321</v>
      </c>
      <c r="DR426">
        <v>5</v>
      </c>
      <c r="DS426" t="s">
        <v>2515</v>
      </c>
      <c r="DT426" t="s">
        <v>1321</v>
      </c>
      <c r="DU426" t="s">
        <v>1321</v>
      </c>
      <c r="DV426" t="s">
        <v>1321</v>
      </c>
      <c r="DW426" t="s">
        <v>1321</v>
      </c>
      <c r="DX426" t="s">
        <v>2514</v>
      </c>
      <c r="DY426">
        <v>2</v>
      </c>
      <c r="DZ426">
        <v>4</v>
      </c>
      <c r="EA426">
        <v>2</v>
      </c>
      <c r="EB426" t="s">
        <v>1321</v>
      </c>
      <c r="EC426" t="s">
        <v>1321</v>
      </c>
      <c r="ED426" t="s">
        <v>1321</v>
      </c>
      <c r="EE426">
        <v>2</v>
      </c>
      <c r="EF426" t="s">
        <v>1321</v>
      </c>
      <c r="EG426" t="s">
        <v>1321</v>
      </c>
      <c r="EH426" t="s">
        <v>1321</v>
      </c>
      <c r="EI426" t="s">
        <v>1321</v>
      </c>
      <c r="EJ426">
        <v>3</v>
      </c>
      <c r="EK426">
        <v>5</v>
      </c>
      <c r="EL426">
        <v>3</v>
      </c>
      <c r="EM426">
        <v>2</v>
      </c>
      <c r="EN426">
        <v>2</v>
      </c>
      <c r="EO426">
        <v>2</v>
      </c>
      <c r="EP426" t="s">
        <v>2514</v>
      </c>
      <c r="EQ426">
        <v>2</v>
      </c>
      <c r="ER426" t="s">
        <v>1321</v>
      </c>
      <c r="ES426">
        <v>2</v>
      </c>
      <c r="ET426" t="s">
        <v>1321</v>
      </c>
      <c r="EU426">
        <v>3</v>
      </c>
      <c r="EV426" t="s">
        <v>1321</v>
      </c>
      <c r="EW426" t="s">
        <v>2516</v>
      </c>
      <c r="EX426" t="s">
        <v>4116</v>
      </c>
      <c r="EY426" t="s">
        <v>4901</v>
      </c>
      <c r="EZ426" t="s">
        <v>1321</v>
      </c>
      <c r="FA426" t="s">
        <v>1321</v>
      </c>
      <c r="FB426" t="s">
        <v>1321</v>
      </c>
      <c r="FC426" t="s">
        <v>1321</v>
      </c>
      <c r="FD426" t="s">
        <v>1321</v>
      </c>
      <c r="FE426">
        <v>4</v>
      </c>
      <c r="FF426" t="s">
        <v>1321</v>
      </c>
      <c r="FG426">
        <v>2</v>
      </c>
      <c r="FH426">
        <v>2</v>
      </c>
      <c r="FI426">
        <v>2</v>
      </c>
      <c r="FJ426">
        <v>2</v>
      </c>
      <c r="FK426" t="s">
        <v>1321</v>
      </c>
      <c r="FL426" t="s">
        <v>1321</v>
      </c>
      <c r="FM426" t="s">
        <v>1321</v>
      </c>
      <c r="FN426" t="s">
        <v>1321</v>
      </c>
      <c r="FO426">
        <v>2</v>
      </c>
      <c r="FP426">
        <v>4</v>
      </c>
      <c r="FQ426">
        <v>4</v>
      </c>
      <c r="FR426">
        <v>4</v>
      </c>
      <c r="FS426">
        <v>4</v>
      </c>
      <c r="FT426" t="s">
        <v>1321</v>
      </c>
      <c r="FU426">
        <v>2</v>
      </c>
      <c r="FV426" t="s">
        <v>1321</v>
      </c>
      <c r="FW426" t="s">
        <v>4116</v>
      </c>
      <c r="GE426" t="s">
        <v>4116</v>
      </c>
      <c r="GM426" t="s">
        <v>4116</v>
      </c>
      <c r="GX426" t="s">
        <v>4116</v>
      </c>
      <c r="IJ426" t="s">
        <v>4116</v>
      </c>
      <c r="IK426">
        <v>1</v>
      </c>
      <c r="IL426">
        <f t="shared" si="11"/>
        <v>103</v>
      </c>
    </row>
    <row r="427" spans="1:246" outlineLevel="1" x14ac:dyDescent="0.2">
      <c r="A427" t="str">
        <f t="shared" si="10"/>
        <v>Gedankenbilder Elfenruf</v>
      </c>
      <c r="P427" t="s">
        <v>1321</v>
      </c>
      <c r="Q427" t="s">
        <v>1321</v>
      </c>
      <c r="R427" t="s">
        <v>1321</v>
      </c>
      <c r="S427" t="s">
        <v>1321</v>
      </c>
      <c r="T427" t="s">
        <v>1321</v>
      </c>
      <c r="U427" t="s">
        <v>1321</v>
      </c>
      <c r="V427" t="s">
        <v>1321</v>
      </c>
      <c r="W427" t="s">
        <v>1321</v>
      </c>
      <c r="X427" t="s">
        <v>1321</v>
      </c>
      <c r="Y427" t="s">
        <v>1321</v>
      </c>
      <c r="Z427" t="s">
        <v>1321</v>
      </c>
      <c r="AA427" t="s">
        <v>1321</v>
      </c>
      <c r="AB427" t="s">
        <v>1321</v>
      </c>
      <c r="AC427" t="s">
        <v>1321</v>
      </c>
      <c r="AD427" t="s">
        <v>1321</v>
      </c>
      <c r="AE427" t="s">
        <v>1321</v>
      </c>
      <c r="AF427" t="s">
        <v>1321</v>
      </c>
      <c r="AG427" t="s">
        <v>1321</v>
      </c>
      <c r="AH427" t="s">
        <v>1321</v>
      </c>
      <c r="AI427" t="s">
        <v>1321</v>
      </c>
      <c r="AJ427" t="s">
        <v>1321</v>
      </c>
      <c r="AK427" t="s">
        <v>1321</v>
      </c>
      <c r="AL427" t="s">
        <v>1321</v>
      </c>
      <c r="AM427" t="s">
        <v>1321</v>
      </c>
      <c r="AN427" t="s">
        <v>1321</v>
      </c>
      <c r="AO427" t="s">
        <v>1321</v>
      </c>
      <c r="AP427" t="s">
        <v>1321</v>
      </c>
      <c r="AQ427" t="s">
        <v>1321</v>
      </c>
      <c r="AR427" t="s">
        <v>1321</v>
      </c>
      <c r="AS427" t="s">
        <v>1321</v>
      </c>
      <c r="CB427" t="s">
        <v>1321</v>
      </c>
      <c r="CF427" t="s">
        <v>1321</v>
      </c>
      <c r="DA427" t="s">
        <v>2515</v>
      </c>
      <c r="DD427" t="s">
        <v>2515</v>
      </c>
      <c r="DE427" t="s">
        <v>1321</v>
      </c>
      <c r="DT427" t="s">
        <v>1321</v>
      </c>
      <c r="EE427">
        <v>2</v>
      </c>
      <c r="EH427" t="s">
        <v>1321</v>
      </c>
      <c r="EI427" t="s">
        <v>1321</v>
      </c>
      <c r="EK427" t="s">
        <v>1321</v>
      </c>
      <c r="EL427" t="s">
        <v>1321</v>
      </c>
      <c r="ES427" t="s">
        <v>1321</v>
      </c>
      <c r="EZ427" t="s">
        <v>4569</v>
      </c>
      <c r="FA427" t="s">
        <v>4569</v>
      </c>
      <c r="FH427" t="s">
        <v>4901</v>
      </c>
      <c r="FM427" t="s">
        <v>4569</v>
      </c>
      <c r="FP427" t="s">
        <v>4569</v>
      </c>
      <c r="FQ427" t="s">
        <v>4569</v>
      </c>
      <c r="FR427" t="s">
        <v>4569</v>
      </c>
      <c r="FS427" t="s">
        <v>4569</v>
      </c>
      <c r="FT427" t="s">
        <v>2514</v>
      </c>
      <c r="IL427">
        <f t="shared" si="11"/>
        <v>104</v>
      </c>
    </row>
    <row r="428" spans="1:246" outlineLevel="1" x14ac:dyDescent="0.2">
      <c r="A428" t="str">
        <f t="shared" si="10"/>
        <v>Gefäß der Jahre</v>
      </c>
      <c r="EZ428" t="s">
        <v>4569</v>
      </c>
      <c r="FA428" t="s">
        <v>4569</v>
      </c>
      <c r="FM428" t="s">
        <v>4569</v>
      </c>
      <c r="FP428" t="s">
        <v>4569</v>
      </c>
      <c r="FQ428" t="s">
        <v>4569</v>
      </c>
      <c r="FR428" t="s">
        <v>4569</v>
      </c>
      <c r="FS428" t="s">
        <v>4569</v>
      </c>
      <c r="IL428">
        <f t="shared" si="11"/>
        <v>105</v>
      </c>
    </row>
    <row r="429" spans="1:246" outlineLevel="1" x14ac:dyDescent="0.2">
      <c r="A429" t="str">
        <f t="shared" si="10"/>
        <v>Gefunden</v>
      </c>
      <c r="BA429" t="s">
        <v>1321</v>
      </c>
      <c r="BB429" t="s">
        <v>1321</v>
      </c>
      <c r="BC429" t="s">
        <v>1321</v>
      </c>
      <c r="BD429" t="s">
        <v>1321</v>
      </c>
      <c r="BE429" t="s">
        <v>1321</v>
      </c>
      <c r="BF429" t="s">
        <v>1321</v>
      </c>
      <c r="CB429" t="s">
        <v>1321</v>
      </c>
      <c r="CD429" t="s">
        <v>1321</v>
      </c>
      <c r="CG429" t="s">
        <v>1321</v>
      </c>
      <c r="CH429" t="s">
        <v>1321</v>
      </c>
      <c r="CI429" t="s">
        <v>1321</v>
      </c>
      <c r="CJ429" t="s">
        <v>1321</v>
      </c>
      <c r="CK429" t="s">
        <v>1321</v>
      </c>
      <c r="CL429" t="s">
        <v>1321</v>
      </c>
      <c r="EO429" t="s">
        <v>1321</v>
      </c>
      <c r="EP429" t="s">
        <v>1321</v>
      </c>
      <c r="ES429">
        <v>2</v>
      </c>
      <c r="EZ429" t="s">
        <v>4569</v>
      </c>
      <c r="FA429" t="s">
        <v>4569</v>
      </c>
      <c r="FM429" t="s">
        <v>4569</v>
      </c>
      <c r="FP429" t="s">
        <v>4569</v>
      </c>
      <c r="FQ429" t="s">
        <v>4569</v>
      </c>
      <c r="FR429" t="s">
        <v>4569</v>
      </c>
      <c r="FS429" t="s">
        <v>4569</v>
      </c>
      <c r="GA429" t="s">
        <v>2516</v>
      </c>
      <c r="GF429" t="s">
        <v>1321</v>
      </c>
      <c r="GG429" t="s">
        <v>1321</v>
      </c>
      <c r="GH429" t="s">
        <v>1321</v>
      </c>
      <c r="GI429" t="s">
        <v>1321</v>
      </c>
      <c r="GJ429" t="s">
        <v>1321</v>
      </c>
      <c r="GK429" t="s">
        <v>1321</v>
      </c>
      <c r="GL429" t="s">
        <v>1321</v>
      </c>
      <c r="HB429" t="s">
        <v>1321</v>
      </c>
      <c r="HD429" t="s">
        <v>1321</v>
      </c>
      <c r="HF429" t="s">
        <v>1321</v>
      </c>
      <c r="HH429" t="s">
        <v>1321</v>
      </c>
      <c r="HJ429" t="s">
        <v>1321</v>
      </c>
      <c r="HL429" t="s">
        <v>1321</v>
      </c>
      <c r="HN429" t="s">
        <v>1321</v>
      </c>
      <c r="HP429" t="s">
        <v>1321</v>
      </c>
      <c r="HQ429" t="s">
        <v>1321</v>
      </c>
      <c r="HS429" t="s">
        <v>1321</v>
      </c>
      <c r="HU429" t="s">
        <v>1321</v>
      </c>
      <c r="HW429" t="s">
        <v>1321</v>
      </c>
      <c r="HY429" t="s">
        <v>1321</v>
      </c>
      <c r="IA429" t="s">
        <v>1321</v>
      </c>
      <c r="IC429" t="s">
        <v>1321</v>
      </c>
      <c r="ID429" t="s">
        <v>1321</v>
      </c>
      <c r="IG429" t="s">
        <v>1321</v>
      </c>
      <c r="II429" t="s">
        <v>1321</v>
      </c>
      <c r="IL429">
        <f t="shared" si="11"/>
        <v>106</v>
      </c>
    </row>
    <row r="430" spans="1:246" outlineLevel="1" x14ac:dyDescent="0.2">
      <c r="A430" t="str">
        <f t="shared" si="10"/>
        <v>Geister beschwören</v>
      </c>
      <c r="EZ430" t="s">
        <v>4569</v>
      </c>
      <c r="FA430" t="s">
        <v>4569</v>
      </c>
      <c r="FM430" t="s">
        <v>4569</v>
      </c>
      <c r="FP430" t="s">
        <v>4569</v>
      </c>
      <c r="FQ430" t="s">
        <v>4569</v>
      </c>
      <c r="FR430" t="s">
        <v>4569</v>
      </c>
      <c r="FS430" t="s">
        <v>4569</v>
      </c>
      <c r="IL430">
        <f t="shared" si="11"/>
        <v>107</v>
      </c>
    </row>
    <row r="431" spans="1:246" outlineLevel="1" x14ac:dyDescent="0.2">
      <c r="A431" t="str">
        <f t="shared" si="10"/>
        <v>Geisterbann</v>
      </c>
      <c r="C431" t="s">
        <v>1321</v>
      </c>
      <c r="D431" t="s">
        <v>1321</v>
      </c>
      <c r="E431">
        <v>1</v>
      </c>
      <c r="F431" t="s">
        <v>1321</v>
      </c>
      <c r="G431" t="s">
        <v>4901</v>
      </c>
      <c r="H431" t="s">
        <v>1321</v>
      </c>
      <c r="I431" t="s">
        <v>1321</v>
      </c>
      <c r="J431" t="s">
        <v>1321</v>
      </c>
      <c r="K431" t="s">
        <v>1321</v>
      </c>
      <c r="L431" t="s">
        <v>1321</v>
      </c>
      <c r="M431" t="s">
        <v>1321</v>
      </c>
      <c r="N431" t="s">
        <v>1321</v>
      </c>
      <c r="AU431" t="s">
        <v>1321</v>
      </c>
      <c r="AV431">
        <v>4</v>
      </c>
      <c r="AW431">
        <v>3</v>
      </c>
      <c r="AX431" t="s">
        <v>2515</v>
      </c>
      <c r="AZ431" t="s">
        <v>1321</v>
      </c>
      <c r="BA431" t="s">
        <v>1321</v>
      </c>
      <c r="BB431" t="s">
        <v>1321</v>
      </c>
      <c r="BC431" t="s">
        <v>1321</v>
      </c>
      <c r="BD431" t="s">
        <v>1321</v>
      </c>
      <c r="BE431" t="s">
        <v>1321</v>
      </c>
      <c r="BF431" t="s">
        <v>1321</v>
      </c>
      <c r="BG431" t="s">
        <v>2516</v>
      </c>
      <c r="CY431" t="s">
        <v>1321</v>
      </c>
      <c r="CZ431" t="s">
        <v>1321</v>
      </c>
      <c r="DA431" t="s">
        <v>1321</v>
      </c>
      <c r="DB431" t="s">
        <v>1321</v>
      </c>
      <c r="DC431" t="s">
        <v>4901</v>
      </c>
      <c r="DD431" t="s">
        <v>1321</v>
      </c>
      <c r="DE431" t="s">
        <v>1321</v>
      </c>
      <c r="DL431" t="s">
        <v>1321</v>
      </c>
      <c r="DM431" t="s">
        <v>1321</v>
      </c>
      <c r="DN431" t="s">
        <v>1321</v>
      </c>
      <c r="DO431" t="s">
        <v>1321</v>
      </c>
      <c r="DP431" t="s">
        <v>1321</v>
      </c>
      <c r="DQ431" t="s">
        <v>1321</v>
      </c>
      <c r="DR431" t="s">
        <v>1321</v>
      </c>
      <c r="DS431" t="s">
        <v>1321</v>
      </c>
      <c r="DT431" t="s">
        <v>1321</v>
      </c>
      <c r="DU431">
        <v>4</v>
      </c>
      <c r="DV431" t="s">
        <v>1321</v>
      </c>
      <c r="DW431" t="s">
        <v>1321</v>
      </c>
      <c r="DX431" t="s">
        <v>1321</v>
      </c>
      <c r="DY431" t="s">
        <v>1321</v>
      </c>
      <c r="DZ431" t="s">
        <v>1321</v>
      </c>
      <c r="EA431" t="s">
        <v>1321</v>
      </c>
      <c r="EB431" t="s">
        <v>1321</v>
      </c>
      <c r="EC431" t="s">
        <v>1321</v>
      </c>
      <c r="EE431" t="s">
        <v>1321</v>
      </c>
      <c r="EF431">
        <v>3</v>
      </c>
      <c r="EG431">
        <v>3</v>
      </c>
      <c r="EH431" t="s">
        <v>1321</v>
      </c>
      <c r="EI431" t="s">
        <v>1321</v>
      </c>
      <c r="EJ431" t="s">
        <v>2514</v>
      </c>
      <c r="EK431">
        <v>3</v>
      </c>
      <c r="EL431" t="s">
        <v>1321</v>
      </c>
      <c r="EM431" t="s">
        <v>4901</v>
      </c>
      <c r="EN431" t="s">
        <v>2515</v>
      </c>
      <c r="EO431" t="s">
        <v>1321</v>
      </c>
      <c r="EP431" t="s">
        <v>1321</v>
      </c>
      <c r="EQ431" t="s">
        <v>1321</v>
      </c>
      <c r="ER431" t="s">
        <v>1321</v>
      </c>
      <c r="ES431" t="s">
        <v>1321</v>
      </c>
      <c r="ET431" t="s">
        <v>2516</v>
      </c>
      <c r="EU431" t="s">
        <v>1321</v>
      </c>
      <c r="EW431" t="s">
        <v>2516</v>
      </c>
      <c r="EY431" t="s">
        <v>1321</v>
      </c>
      <c r="EZ431" t="s">
        <v>1321</v>
      </c>
      <c r="FA431" t="s">
        <v>1321</v>
      </c>
      <c r="FB431" t="s">
        <v>1321</v>
      </c>
      <c r="FC431" t="s">
        <v>1321</v>
      </c>
      <c r="FD431" t="s">
        <v>1321</v>
      </c>
      <c r="FE431" t="s">
        <v>1321</v>
      </c>
      <c r="FG431" t="s">
        <v>1321</v>
      </c>
      <c r="FH431" t="s">
        <v>1321</v>
      </c>
      <c r="FI431" t="s">
        <v>1321</v>
      </c>
      <c r="FJ431" t="s">
        <v>1321</v>
      </c>
      <c r="FK431" t="s">
        <v>1321</v>
      </c>
      <c r="FL431" t="s">
        <v>1321</v>
      </c>
      <c r="FM431" t="s">
        <v>1321</v>
      </c>
      <c r="FN431" t="s">
        <v>1321</v>
      </c>
      <c r="FO431" t="s">
        <v>1321</v>
      </c>
      <c r="FP431" t="s">
        <v>1321</v>
      </c>
      <c r="FQ431" t="s">
        <v>1321</v>
      </c>
      <c r="FR431" t="s">
        <v>1321</v>
      </c>
      <c r="FS431" t="s">
        <v>1321</v>
      </c>
      <c r="FT431" t="s">
        <v>1321</v>
      </c>
      <c r="IK431">
        <v>1</v>
      </c>
      <c r="IL431">
        <f t="shared" si="11"/>
        <v>108</v>
      </c>
    </row>
    <row r="432" spans="1:246" outlineLevel="1" x14ac:dyDescent="0.2">
      <c r="A432" t="str">
        <f t="shared" si="10"/>
        <v>Geisterruf</v>
      </c>
      <c r="C432" t="s">
        <v>1321</v>
      </c>
      <c r="D432" t="s">
        <v>1321</v>
      </c>
      <c r="E432" t="s">
        <v>4901</v>
      </c>
      <c r="F432" t="s">
        <v>1321</v>
      </c>
      <c r="G432" t="s">
        <v>4901</v>
      </c>
      <c r="H432">
        <v>3</v>
      </c>
      <c r="I432">
        <v>3</v>
      </c>
      <c r="J432">
        <v>3</v>
      </c>
      <c r="K432">
        <v>3</v>
      </c>
      <c r="L432">
        <v>3</v>
      </c>
      <c r="M432">
        <v>3</v>
      </c>
      <c r="N432">
        <v>3</v>
      </c>
      <c r="AW432">
        <v>3</v>
      </c>
      <c r="AX432" t="s">
        <v>2516</v>
      </c>
      <c r="BC432" t="s">
        <v>1321</v>
      </c>
      <c r="BD432" t="s">
        <v>1321</v>
      </c>
      <c r="BE432" t="s">
        <v>1321</v>
      </c>
      <c r="BG432" t="s">
        <v>2515</v>
      </c>
      <c r="DA432" t="s">
        <v>1321</v>
      </c>
      <c r="DC432" t="s">
        <v>2515</v>
      </c>
      <c r="DF432" t="s">
        <v>1321</v>
      </c>
      <c r="DG432" t="s">
        <v>1321</v>
      </c>
      <c r="DH432" t="s">
        <v>1321</v>
      </c>
      <c r="DI432" t="s">
        <v>1321</v>
      </c>
      <c r="DJ432" t="s">
        <v>1321</v>
      </c>
      <c r="DK432" t="s">
        <v>1321</v>
      </c>
      <c r="DU432" t="s">
        <v>2515</v>
      </c>
      <c r="EJ432">
        <v>2</v>
      </c>
      <c r="EK432" t="s">
        <v>2516</v>
      </c>
      <c r="EL432" t="s">
        <v>1321</v>
      </c>
      <c r="EM432" t="s">
        <v>2515</v>
      </c>
      <c r="EN432">
        <v>3</v>
      </c>
      <c r="EZ432" t="s">
        <v>4569</v>
      </c>
      <c r="FA432" t="s">
        <v>4569</v>
      </c>
      <c r="FM432" t="s">
        <v>4569</v>
      </c>
      <c r="FP432" t="s">
        <v>4569</v>
      </c>
      <c r="FQ432" t="s">
        <v>4569</v>
      </c>
      <c r="FR432" t="s">
        <v>4569</v>
      </c>
      <c r="FS432" t="s">
        <v>4569</v>
      </c>
      <c r="FU432">
        <v>3</v>
      </c>
      <c r="IL432">
        <f t="shared" si="11"/>
        <v>109</v>
      </c>
    </row>
    <row r="433" spans="1:246" outlineLevel="1" x14ac:dyDescent="0.2">
      <c r="A433" t="str">
        <f t="shared" si="10"/>
        <v>Glacoflumen Fluss aus Eis</v>
      </c>
      <c r="IL433">
        <f t="shared" si="11"/>
        <v>110</v>
      </c>
    </row>
    <row r="434" spans="1:246" outlineLevel="1" x14ac:dyDescent="0.2">
      <c r="A434" t="str">
        <f t="shared" si="10"/>
        <v>Gletscherwand</v>
      </c>
      <c r="N434" t="s">
        <v>2514</v>
      </c>
      <c r="AW434" t="s">
        <v>1321</v>
      </c>
      <c r="DF434" t="s">
        <v>1321</v>
      </c>
      <c r="DG434" t="s">
        <v>1321</v>
      </c>
      <c r="DH434" t="s">
        <v>1321</v>
      </c>
      <c r="DI434" t="s">
        <v>1321</v>
      </c>
      <c r="DJ434" t="s">
        <v>1321</v>
      </c>
      <c r="DK434" t="s">
        <v>2514</v>
      </c>
      <c r="EH434" t="s">
        <v>1321</v>
      </c>
      <c r="EI434" t="s">
        <v>1321</v>
      </c>
      <c r="EK434" t="s">
        <v>1321</v>
      </c>
      <c r="EL434" t="s">
        <v>1321</v>
      </c>
      <c r="EN434" t="s">
        <v>1321</v>
      </c>
      <c r="EZ434" t="s">
        <v>4569</v>
      </c>
      <c r="FA434" t="s">
        <v>4569</v>
      </c>
      <c r="FM434" t="s">
        <v>4569</v>
      </c>
      <c r="FP434" t="s">
        <v>4569</v>
      </c>
      <c r="FQ434" t="s">
        <v>4569</v>
      </c>
      <c r="FR434" t="s">
        <v>4569</v>
      </c>
      <c r="FS434" t="s">
        <v>4569</v>
      </c>
      <c r="IL434">
        <f t="shared" si="11"/>
        <v>111</v>
      </c>
    </row>
    <row r="435" spans="1:246" outlineLevel="1" x14ac:dyDescent="0.2">
      <c r="A435" t="str">
        <f t="shared" si="10"/>
        <v>Granit und Marmor</v>
      </c>
      <c r="M435" t="s">
        <v>1321</v>
      </c>
      <c r="DF435" t="s">
        <v>1321</v>
      </c>
      <c r="DG435" t="s">
        <v>1321</v>
      </c>
      <c r="DH435" t="s">
        <v>1321</v>
      </c>
      <c r="DI435" t="s">
        <v>1321</v>
      </c>
      <c r="DJ435" t="s">
        <v>2515</v>
      </c>
      <c r="DK435" t="s">
        <v>1321</v>
      </c>
      <c r="ER435" t="s">
        <v>1321</v>
      </c>
      <c r="EZ435" t="s">
        <v>4569</v>
      </c>
      <c r="FA435" t="s">
        <v>4569</v>
      </c>
      <c r="FM435" t="s">
        <v>4569</v>
      </c>
      <c r="FP435" t="s">
        <v>2516</v>
      </c>
      <c r="FQ435" t="s">
        <v>4569</v>
      </c>
      <c r="FR435" t="s">
        <v>4569</v>
      </c>
      <c r="FS435" t="s">
        <v>4569</v>
      </c>
      <c r="IL435">
        <f t="shared" si="11"/>
        <v>112</v>
      </c>
    </row>
    <row r="436" spans="1:246" outlineLevel="1" x14ac:dyDescent="0.2">
      <c r="A436" t="str">
        <f t="shared" si="10"/>
        <v>Große Gier</v>
      </c>
      <c r="AZ436" t="s">
        <v>1321</v>
      </c>
      <c r="BA436" t="s">
        <v>1321</v>
      </c>
      <c r="BB436" t="s">
        <v>2516</v>
      </c>
      <c r="BC436">
        <v>4</v>
      </c>
      <c r="BD436">
        <v>2</v>
      </c>
      <c r="BE436" t="s">
        <v>1321</v>
      </c>
      <c r="BF436" t="s">
        <v>2516</v>
      </c>
      <c r="BG436" t="s">
        <v>2516</v>
      </c>
      <c r="EZ436" t="s">
        <v>4569</v>
      </c>
      <c r="FA436" t="s">
        <v>4569</v>
      </c>
      <c r="FM436" t="s">
        <v>4569</v>
      </c>
      <c r="FP436" t="s">
        <v>4569</v>
      </c>
      <c r="FQ436" t="s">
        <v>4569</v>
      </c>
      <c r="FR436" t="s">
        <v>4569</v>
      </c>
      <c r="FS436" t="s">
        <v>4569</v>
      </c>
      <c r="IL436">
        <f t="shared" si="11"/>
        <v>113</v>
      </c>
    </row>
    <row r="437" spans="1:246" outlineLevel="1" x14ac:dyDescent="0.2">
      <c r="A437" t="str">
        <f t="shared" si="10"/>
        <v>Große Verwirrung</v>
      </c>
      <c r="C437" t="s">
        <v>1321</v>
      </c>
      <c r="D437">
        <v>2</v>
      </c>
      <c r="E437" t="s">
        <v>1321</v>
      </c>
      <c r="F437" t="s">
        <v>2516</v>
      </c>
      <c r="G437" t="s">
        <v>1321</v>
      </c>
      <c r="H437">
        <v>2</v>
      </c>
      <c r="I437">
        <v>2</v>
      </c>
      <c r="J437">
        <v>2</v>
      </c>
      <c r="K437">
        <v>2</v>
      </c>
      <c r="L437">
        <v>2</v>
      </c>
      <c r="M437">
        <v>2</v>
      </c>
      <c r="N437">
        <v>2</v>
      </c>
      <c r="AU437" t="s">
        <v>1321</v>
      </c>
      <c r="AV437" t="s">
        <v>2514</v>
      </c>
      <c r="AW437" t="s">
        <v>1321</v>
      </c>
      <c r="AX437" t="s">
        <v>1321</v>
      </c>
      <c r="CB437" t="s">
        <v>1321</v>
      </c>
      <c r="CD437" t="s">
        <v>1321</v>
      </c>
      <c r="CG437" t="s">
        <v>1321</v>
      </c>
      <c r="CH437" t="s">
        <v>1321</v>
      </c>
      <c r="CI437" t="s">
        <v>1321</v>
      </c>
      <c r="CJ437" t="s">
        <v>1321</v>
      </c>
      <c r="CK437" t="s">
        <v>1321</v>
      </c>
      <c r="CL437" t="s">
        <v>1321</v>
      </c>
      <c r="EZ437" t="s">
        <v>4569</v>
      </c>
      <c r="FA437" t="s">
        <v>4569</v>
      </c>
      <c r="FM437" t="s">
        <v>4569</v>
      </c>
      <c r="FP437" t="s">
        <v>4569</v>
      </c>
      <c r="FQ437" t="s">
        <v>4569</v>
      </c>
      <c r="FR437" t="s">
        <v>4569</v>
      </c>
      <c r="FS437" t="s">
        <v>4569</v>
      </c>
      <c r="IL437">
        <f t="shared" si="11"/>
        <v>114</v>
      </c>
    </row>
    <row r="438" spans="1:246" outlineLevel="1" x14ac:dyDescent="0.2">
      <c r="A438" t="str">
        <f t="shared" si="10"/>
        <v>Halluzination</v>
      </c>
      <c r="B438" t="s">
        <v>4001</v>
      </c>
      <c r="C438" t="s">
        <v>1321</v>
      </c>
      <c r="D438" t="s">
        <v>1321</v>
      </c>
      <c r="E438" t="s">
        <v>1321</v>
      </c>
      <c r="F438" t="s">
        <v>2515</v>
      </c>
      <c r="G438" t="s">
        <v>1321</v>
      </c>
      <c r="H438" t="s">
        <v>1321</v>
      </c>
      <c r="I438" t="s">
        <v>1321</v>
      </c>
      <c r="J438" t="s">
        <v>1321</v>
      </c>
      <c r="K438" t="s">
        <v>1321</v>
      </c>
      <c r="L438" t="s">
        <v>1321</v>
      </c>
      <c r="M438" t="s">
        <v>1321</v>
      </c>
      <c r="N438" t="s">
        <v>1321</v>
      </c>
      <c r="O438" t="s">
        <v>4001</v>
      </c>
      <c r="AT438" t="s">
        <v>4001</v>
      </c>
      <c r="AU438" t="s">
        <v>1321</v>
      </c>
      <c r="AV438" t="s">
        <v>1321</v>
      </c>
      <c r="AW438" t="s">
        <v>2514</v>
      </c>
      <c r="AX438" t="s">
        <v>1321</v>
      </c>
      <c r="AY438" t="s">
        <v>4001</v>
      </c>
      <c r="BH438" t="s">
        <v>4001</v>
      </c>
      <c r="BK438" t="s">
        <v>4001</v>
      </c>
      <c r="CV438" t="s">
        <v>4001</v>
      </c>
      <c r="DF438" t="s">
        <v>1321</v>
      </c>
      <c r="DG438" t="s">
        <v>1321</v>
      </c>
      <c r="DH438" t="s">
        <v>1321</v>
      </c>
      <c r="DI438" t="s">
        <v>1321</v>
      </c>
      <c r="DJ438" t="s">
        <v>1321</v>
      </c>
      <c r="DK438" t="s">
        <v>1321</v>
      </c>
      <c r="DN438">
        <v>2</v>
      </c>
      <c r="DO438">
        <v>2</v>
      </c>
      <c r="EX438" t="s">
        <v>4001</v>
      </c>
      <c r="EZ438" t="s">
        <v>4569</v>
      </c>
      <c r="FA438" t="s">
        <v>4569</v>
      </c>
      <c r="FM438" t="s">
        <v>4569</v>
      </c>
      <c r="FP438" t="s">
        <v>4569</v>
      </c>
      <c r="FQ438" t="s">
        <v>4569</v>
      </c>
      <c r="FR438" t="s">
        <v>4569</v>
      </c>
      <c r="FS438" t="s">
        <v>4569</v>
      </c>
      <c r="FW438" t="s">
        <v>4001</v>
      </c>
      <c r="GE438" t="s">
        <v>4001</v>
      </c>
      <c r="GM438" t="s">
        <v>4001</v>
      </c>
      <c r="GX438" t="s">
        <v>4001</v>
      </c>
      <c r="IJ438" t="s">
        <v>4001</v>
      </c>
      <c r="IL438">
        <f t="shared" si="11"/>
        <v>115</v>
      </c>
    </row>
    <row r="439" spans="1:246" outlineLevel="1" x14ac:dyDescent="0.2">
      <c r="A439" t="str">
        <f t="shared" si="10"/>
        <v>Harmlose Gestalt</v>
      </c>
      <c r="F439">
        <v>4</v>
      </c>
      <c r="AZ439" t="s">
        <v>1321</v>
      </c>
      <c r="BA439">
        <v>3</v>
      </c>
      <c r="BB439">
        <v>3</v>
      </c>
      <c r="BC439" t="s">
        <v>2514</v>
      </c>
      <c r="BD439">
        <v>2</v>
      </c>
      <c r="BE439">
        <v>4</v>
      </c>
      <c r="BF439" t="s">
        <v>2516</v>
      </c>
      <c r="BG439">
        <v>2</v>
      </c>
      <c r="CK439" t="s">
        <v>1321</v>
      </c>
      <c r="DU439">
        <v>2</v>
      </c>
      <c r="EK439" t="s">
        <v>1321</v>
      </c>
      <c r="EL439" t="s">
        <v>1321</v>
      </c>
      <c r="EU439" t="s">
        <v>1321</v>
      </c>
      <c r="EZ439" t="s">
        <v>4569</v>
      </c>
      <c r="FA439" t="s">
        <v>4569</v>
      </c>
      <c r="FM439" t="s">
        <v>4569</v>
      </c>
      <c r="FP439" t="s">
        <v>4569</v>
      </c>
      <c r="FQ439" t="s">
        <v>4569</v>
      </c>
      <c r="FR439" t="s">
        <v>4569</v>
      </c>
      <c r="FS439" t="s">
        <v>4569</v>
      </c>
      <c r="GD439" t="s">
        <v>2515</v>
      </c>
      <c r="GJ439">
        <v>3</v>
      </c>
      <c r="IL439">
        <f t="shared" si="11"/>
        <v>116</v>
      </c>
    </row>
    <row r="440" spans="1:246" outlineLevel="1" x14ac:dyDescent="0.2">
      <c r="A440" t="str">
        <f t="shared" si="10"/>
        <v>Hartes schmelze!</v>
      </c>
      <c r="BI440" t="s">
        <v>1321</v>
      </c>
      <c r="BJ440">
        <v>3</v>
      </c>
      <c r="CW440" t="s">
        <v>1321</v>
      </c>
      <c r="CX440">
        <v>3</v>
      </c>
      <c r="DC440" t="s">
        <v>1321</v>
      </c>
      <c r="DL440" t="s">
        <v>1321</v>
      </c>
      <c r="DQ440">
        <v>3</v>
      </c>
      <c r="DV440" t="s">
        <v>1321</v>
      </c>
      <c r="DW440" t="s">
        <v>1321</v>
      </c>
      <c r="ED440" t="s">
        <v>2515</v>
      </c>
      <c r="EH440" t="s">
        <v>1321</v>
      </c>
      <c r="EI440" t="s">
        <v>1321</v>
      </c>
      <c r="EK440" t="s">
        <v>1321</v>
      </c>
      <c r="EL440" t="s">
        <v>1321</v>
      </c>
      <c r="EY440" t="s">
        <v>1321</v>
      </c>
      <c r="EZ440" t="s">
        <v>4569</v>
      </c>
      <c r="FA440" t="s">
        <v>4569</v>
      </c>
      <c r="FG440" t="s">
        <v>1321</v>
      </c>
      <c r="FH440" t="s">
        <v>1321</v>
      </c>
      <c r="FI440" t="s">
        <v>4901</v>
      </c>
      <c r="FJ440" t="s">
        <v>1321</v>
      </c>
      <c r="FM440" t="s">
        <v>2514</v>
      </c>
      <c r="FP440" t="s">
        <v>4569</v>
      </c>
      <c r="FQ440" t="s">
        <v>4569</v>
      </c>
      <c r="FR440" t="s">
        <v>4569</v>
      </c>
      <c r="FS440" t="s">
        <v>4569</v>
      </c>
      <c r="FV440">
        <v>4</v>
      </c>
      <c r="IL440">
        <f t="shared" si="11"/>
        <v>117</v>
      </c>
    </row>
    <row r="441" spans="1:246" outlineLevel="1" x14ac:dyDescent="0.2">
      <c r="A441" t="str">
        <f t="shared" si="10"/>
        <v>Haselbusch und Ginsterkraut</v>
      </c>
      <c r="P441" t="s">
        <v>1321</v>
      </c>
      <c r="Q441" t="s">
        <v>1321</v>
      </c>
      <c r="R441" t="s">
        <v>1321</v>
      </c>
      <c r="S441" t="s">
        <v>1321</v>
      </c>
      <c r="T441" t="s">
        <v>1321</v>
      </c>
      <c r="U441" t="s">
        <v>1321</v>
      </c>
      <c r="V441" t="s">
        <v>1321</v>
      </c>
      <c r="W441" t="s">
        <v>1321</v>
      </c>
      <c r="X441" t="s">
        <v>1321</v>
      </c>
      <c r="Y441" t="s">
        <v>1321</v>
      </c>
      <c r="Z441" t="s">
        <v>1321</v>
      </c>
      <c r="AA441" t="s">
        <v>1321</v>
      </c>
      <c r="AB441" t="s">
        <v>1321</v>
      </c>
      <c r="AC441" t="s">
        <v>1321</v>
      </c>
      <c r="AD441" t="s">
        <v>1321</v>
      </c>
      <c r="AE441" t="s">
        <v>1321</v>
      </c>
      <c r="AF441" t="s">
        <v>1321</v>
      </c>
      <c r="AG441" t="s">
        <v>1321</v>
      </c>
      <c r="AH441" t="s">
        <v>1321</v>
      </c>
      <c r="AI441" t="s">
        <v>1321</v>
      </c>
      <c r="AJ441" t="s">
        <v>1321</v>
      </c>
      <c r="AK441" t="s">
        <v>1321</v>
      </c>
      <c r="AL441" t="s">
        <v>1321</v>
      </c>
      <c r="AM441" t="s">
        <v>1321</v>
      </c>
      <c r="AN441" t="s">
        <v>1321</v>
      </c>
      <c r="AO441" t="s">
        <v>1321</v>
      </c>
      <c r="AP441" t="s">
        <v>1321</v>
      </c>
      <c r="AQ441" t="s">
        <v>1321</v>
      </c>
      <c r="AR441" t="s">
        <v>1321</v>
      </c>
      <c r="AS441" t="s">
        <v>1321</v>
      </c>
      <c r="DT441" t="s">
        <v>1321</v>
      </c>
      <c r="EA441" t="s">
        <v>1321</v>
      </c>
      <c r="EV441" t="s">
        <v>1321</v>
      </c>
      <c r="EZ441" t="s">
        <v>4569</v>
      </c>
      <c r="FA441" t="s">
        <v>4569</v>
      </c>
      <c r="FM441" t="s">
        <v>4569</v>
      </c>
      <c r="FP441" t="s">
        <v>4569</v>
      </c>
      <c r="FQ441" t="s">
        <v>4569</v>
      </c>
      <c r="FR441" t="s">
        <v>4569</v>
      </c>
      <c r="FS441" t="s">
        <v>4569</v>
      </c>
      <c r="FT441" t="s">
        <v>1321</v>
      </c>
      <c r="IL441">
        <f t="shared" si="11"/>
        <v>118</v>
      </c>
    </row>
    <row r="442" spans="1:246" outlineLevel="1" x14ac:dyDescent="0.2">
      <c r="A442" t="str">
        <f t="shared" si="10"/>
        <v>Heilkraft bannen</v>
      </c>
      <c r="DL442" t="s">
        <v>1321</v>
      </c>
      <c r="EZ442" t="s">
        <v>4569</v>
      </c>
      <c r="FA442" t="s">
        <v>4569</v>
      </c>
      <c r="FM442" t="s">
        <v>4569</v>
      </c>
      <c r="FP442" t="s">
        <v>4569</v>
      </c>
      <c r="FQ442" t="s">
        <v>4569</v>
      </c>
      <c r="FR442" t="s">
        <v>4569</v>
      </c>
      <c r="FS442" t="s">
        <v>4569</v>
      </c>
      <c r="IL442">
        <f t="shared" si="11"/>
        <v>119</v>
      </c>
    </row>
    <row r="443" spans="1:246" outlineLevel="1" x14ac:dyDescent="0.2">
      <c r="A443" t="str">
        <f t="shared" si="10"/>
        <v>Hellsicht trüben</v>
      </c>
      <c r="C443" t="s">
        <v>1321</v>
      </c>
      <c r="D443" t="s">
        <v>1321</v>
      </c>
      <c r="E443" t="s">
        <v>1321</v>
      </c>
      <c r="F443" t="s">
        <v>2514</v>
      </c>
      <c r="G443" t="s">
        <v>1321</v>
      </c>
      <c r="H443" t="s">
        <v>1321</v>
      </c>
      <c r="I443" t="s">
        <v>1321</v>
      </c>
      <c r="J443" t="s">
        <v>1321</v>
      </c>
      <c r="K443" t="s">
        <v>1321</v>
      </c>
      <c r="L443" t="s">
        <v>1321</v>
      </c>
      <c r="M443" t="s">
        <v>1321</v>
      </c>
      <c r="N443" t="s">
        <v>1321</v>
      </c>
      <c r="P443" t="s">
        <v>1321</v>
      </c>
      <c r="Q443" t="s">
        <v>1321</v>
      </c>
      <c r="R443" t="s">
        <v>1321</v>
      </c>
      <c r="S443" t="s">
        <v>1321</v>
      </c>
      <c r="T443" t="s">
        <v>1321</v>
      </c>
      <c r="U443" t="s">
        <v>1321</v>
      </c>
      <c r="V443" t="s">
        <v>1321</v>
      </c>
      <c r="W443" t="s">
        <v>1321</v>
      </c>
      <c r="X443" t="s">
        <v>1321</v>
      </c>
      <c r="Y443" t="s">
        <v>1321</v>
      </c>
      <c r="Z443" t="s">
        <v>1321</v>
      </c>
      <c r="AA443" t="s">
        <v>1321</v>
      </c>
      <c r="AB443" t="s">
        <v>1321</v>
      </c>
      <c r="AC443" t="s">
        <v>1321</v>
      </c>
      <c r="AD443" t="s">
        <v>1321</v>
      </c>
      <c r="AE443" t="s">
        <v>1321</v>
      </c>
      <c r="AF443" t="s">
        <v>1321</v>
      </c>
      <c r="AG443" t="s">
        <v>1321</v>
      </c>
      <c r="AH443" t="s">
        <v>1321</v>
      </c>
      <c r="AI443" t="s">
        <v>1321</v>
      </c>
      <c r="AJ443" t="s">
        <v>1321</v>
      </c>
      <c r="AK443" t="s">
        <v>1321</v>
      </c>
      <c r="AL443" t="s">
        <v>1321</v>
      </c>
      <c r="AM443" t="s">
        <v>1321</v>
      </c>
      <c r="AN443" t="s">
        <v>1321</v>
      </c>
      <c r="AO443" t="s">
        <v>1321</v>
      </c>
      <c r="AP443" t="s">
        <v>1321</v>
      </c>
      <c r="AQ443" t="s">
        <v>1321</v>
      </c>
      <c r="AR443" t="s">
        <v>1321</v>
      </c>
      <c r="AS443" t="s">
        <v>1321</v>
      </c>
      <c r="AU443" t="s">
        <v>1321</v>
      </c>
      <c r="AV443" t="s">
        <v>1321</v>
      </c>
      <c r="AW443" t="s">
        <v>1321</v>
      </c>
      <c r="AX443" t="s">
        <v>1321</v>
      </c>
      <c r="AZ443" t="s">
        <v>1321</v>
      </c>
      <c r="BA443" t="s">
        <v>1321</v>
      </c>
      <c r="BB443" t="s">
        <v>1321</v>
      </c>
      <c r="BC443" t="s">
        <v>1321</v>
      </c>
      <c r="BD443" t="s">
        <v>1321</v>
      </c>
      <c r="BE443">
        <v>3</v>
      </c>
      <c r="BF443" t="s">
        <v>1321</v>
      </c>
      <c r="BG443">
        <v>3</v>
      </c>
      <c r="BI443" t="s">
        <v>1321</v>
      </c>
      <c r="BJ443" t="s">
        <v>1321</v>
      </c>
      <c r="CW443" t="s">
        <v>1321</v>
      </c>
      <c r="CX443" t="s">
        <v>1321</v>
      </c>
      <c r="CY443" t="s">
        <v>1321</v>
      </c>
      <c r="CZ443" t="s">
        <v>1321</v>
      </c>
      <c r="DA443" t="s">
        <v>1321</v>
      </c>
      <c r="DB443" t="s">
        <v>1321</v>
      </c>
      <c r="DC443" t="s">
        <v>1321</v>
      </c>
      <c r="DD443" t="s">
        <v>1321</v>
      </c>
      <c r="DE443" t="s">
        <v>1321</v>
      </c>
      <c r="DL443" t="s">
        <v>1321</v>
      </c>
      <c r="DM443" t="s">
        <v>1321</v>
      </c>
      <c r="DN443" t="s">
        <v>1321</v>
      </c>
      <c r="DO443" t="s">
        <v>1321</v>
      </c>
      <c r="DP443" t="s">
        <v>2516</v>
      </c>
      <c r="DQ443" t="s">
        <v>1321</v>
      </c>
      <c r="DR443" t="s">
        <v>1321</v>
      </c>
      <c r="DS443" t="s">
        <v>1321</v>
      </c>
      <c r="DT443" t="s">
        <v>1321</v>
      </c>
      <c r="DU443" t="s">
        <v>1321</v>
      </c>
      <c r="DV443" t="s">
        <v>1321</v>
      </c>
      <c r="DW443" t="s">
        <v>1321</v>
      </c>
      <c r="DX443" t="s">
        <v>2516</v>
      </c>
      <c r="DY443" t="s">
        <v>1321</v>
      </c>
      <c r="DZ443" t="s">
        <v>1321</v>
      </c>
      <c r="EA443" t="s">
        <v>1321</v>
      </c>
      <c r="EB443" t="s">
        <v>2516</v>
      </c>
      <c r="EC443" t="s">
        <v>1321</v>
      </c>
      <c r="ED443" t="s">
        <v>1321</v>
      </c>
      <c r="EE443" t="s">
        <v>1321</v>
      </c>
      <c r="EF443" t="s">
        <v>1321</v>
      </c>
      <c r="EG443" t="s">
        <v>1321</v>
      </c>
      <c r="EH443" t="s">
        <v>1321</v>
      </c>
      <c r="EI443" t="s">
        <v>1321</v>
      </c>
      <c r="EJ443" t="s">
        <v>1321</v>
      </c>
      <c r="EK443" t="s">
        <v>1321</v>
      </c>
      <c r="EL443">
        <v>3</v>
      </c>
      <c r="EM443" t="s">
        <v>1321</v>
      </c>
      <c r="EN443" t="s">
        <v>1321</v>
      </c>
      <c r="EO443">
        <v>4</v>
      </c>
      <c r="EP443" t="s">
        <v>1321</v>
      </c>
      <c r="EQ443">
        <v>2</v>
      </c>
      <c r="ER443" t="s">
        <v>1321</v>
      </c>
      <c r="ES443" t="s">
        <v>1321</v>
      </c>
      <c r="ET443" t="s">
        <v>1321</v>
      </c>
      <c r="EU443" t="s">
        <v>1321</v>
      </c>
      <c r="EV443" t="s">
        <v>1321</v>
      </c>
      <c r="EW443">
        <v>4</v>
      </c>
      <c r="EY443" t="s">
        <v>1321</v>
      </c>
      <c r="EZ443" t="s">
        <v>1321</v>
      </c>
      <c r="FA443" t="s">
        <v>1321</v>
      </c>
      <c r="FB443" t="s">
        <v>1321</v>
      </c>
      <c r="FC443" t="s">
        <v>1321</v>
      </c>
      <c r="FD443" t="s">
        <v>1321</v>
      </c>
      <c r="FE443" t="s">
        <v>1321</v>
      </c>
      <c r="FG443" t="s">
        <v>1321</v>
      </c>
      <c r="FH443" t="s">
        <v>1321</v>
      </c>
      <c r="FI443" t="s">
        <v>1321</v>
      </c>
      <c r="FJ443" t="s">
        <v>1321</v>
      </c>
      <c r="FK443" t="s">
        <v>1321</v>
      </c>
      <c r="FL443" t="s">
        <v>1321</v>
      </c>
      <c r="FM443" t="s">
        <v>1321</v>
      </c>
      <c r="FN443" t="s">
        <v>1321</v>
      </c>
      <c r="FO443" t="s">
        <v>1321</v>
      </c>
      <c r="FP443" t="s">
        <v>1321</v>
      </c>
      <c r="FQ443" t="s">
        <v>1321</v>
      </c>
      <c r="FR443" t="s">
        <v>1321</v>
      </c>
      <c r="FS443" t="s">
        <v>1321</v>
      </c>
      <c r="FT443" t="s">
        <v>1321</v>
      </c>
      <c r="GD443">
        <v>4</v>
      </c>
      <c r="GF443" t="s">
        <v>1321</v>
      </c>
      <c r="GG443" t="s">
        <v>1321</v>
      </c>
      <c r="GH443" t="s">
        <v>1321</v>
      </c>
      <c r="GI443" t="s">
        <v>1321</v>
      </c>
      <c r="GJ443" t="s">
        <v>1321</v>
      </c>
      <c r="GK443" t="s">
        <v>1321</v>
      </c>
      <c r="GL443" t="s">
        <v>1321</v>
      </c>
      <c r="IL443">
        <f t="shared" si="11"/>
        <v>120</v>
      </c>
    </row>
    <row r="444" spans="1:246" outlineLevel="1" x14ac:dyDescent="0.2">
      <c r="A444" t="str">
        <f t="shared" si="10"/>
        <v>Herbeirufung vereiteln</v>
      </c>
      <c r="DF444" t="s">
        <v>1321</v>
      </c>
      <c r="DG444" t="s">
        <v>1321</v>
      </c>
      <c r="DH444" t="s">
        <v>1321</v>
      </c>
      <c r="DI444" t="s">
        <v>1321</v>
      </c>
      <c r="DJ444" t="s">
        <v>1321</v>
      </c>
      <c r="DK444" t="s">
        <v>1321</v>
      </c>
      <c r="DP444" t="s">
        <v>1321</v>
      </c>
      <c r="DQ444" t="s">
        <v>1321</v>
      </c>
      <c r="DS444" t="s">
        <v>1321</v>
      </c>
      <c r="DX444" t="s">
        <v>1321</v>
      </c>
      <c r="EC444" t="s">
        <v>1321</v>
      </c>
      <c r="EH444" t="s">
        <v>1321</v>
      </c>
      <c r="EI444" t="s">
        <v>1321</v>
      </c>
      <c r="EJ444" t="s">
        <v>1321</v>
      </c>
      <c r="EK444" t="s">
        <v>1321</v>
      </c>
      <c r="EL444" t="s">
        <v>1321</v>
      </c>
      <c r="EM444" t="s">
        <v>1321</v>
      </c>
      <c r="EN444" t="s">
        <v>1321</v>
      </c>
      <c r="EQ444" t="s">
        <v>1321</v>
      </c>
      <c r="ER444" t="s">
        <v>1321</v>
      </c>
      <c r="EZ444" t="s">
        <v>4569</v>
      </c>
      <c r="FA444" t="s">
        <v>4569</v>
      </c>
      <c r="FM444" t="s">
        <v>4569</v>
      </c>
      <c r="FP444" t="s">
        <v>4569</v>
      </c>
      <c r="FQ444" t="s">
        <v>4569</v>
      </c>
      <c r="FR444" t="s">
        <v>4569</v>
      </c>
      <c r="FS444" t="s">
        <v>4569</v>
      </c>
      <c r="IL444">
        <f t="shared" si="11"/>
        <v>121</v>
      </c>
    </row>
    <row r="445" spans="1:246" outlineLevel="1" x14ac:dyDescent="0.2">
      <c r="A445" t="str">
        <f t="shared" si="10"/>
        <v>Herr über das Tierreich</v>
      </c>
      <c r="C445" t="s">
        <v>1321</v>
      </c>
      <c r="D445" t="s">
        <v>2515</v>
      </c>
      <c r="E445" t="s">
        <v>1321</v>
      </c>
      <c r="F445" t="s">
        <v>1321</v>
      </c>
      <c r="G445">
        <v>2</v>
      </c>
      <c r="H445">
        <v>3</v>
      </c>
      <c r="I445">
        <v>3</v>
      </c>
      <c r="J445">
        <v>3</v>
      </c>
      <c r="K445">
        <v>3</v>
      </c>
      <c r="L445">
        <v>3</v>
      </c>
      <c r="M445">
        <v>3</v>
      </c>
      <c r="N445">
        <v>3</v>
      </c>
      <c r="AU445" t="s">
        <v>1321</v>
      </c>
      <c r="AV445" t="s">
        <v>1321</v>
      </c>
      <c r="AW445" t="s">
        <v>2516</v>
      </c>
      <c r="AX445" t="s">
        <v>1321</v>
      </c>
      <c r="CD445" t="s">
        <v>1321</v>
      </c>
      <c r="CH445" t="s">
        <v>1321</v>
      </c>
      <c r="CI445" t="s">
        <v>1321</v>
      </c>
      <c r="CJ445" t="s">
        <v>1321</v>
      </c>
      <c r="CL445" t="s">
        <v>1321</v>
      </c>
      <c r="DA445" t="s">
        <v>1321</v>
      </c>
      <c r="DF445" t="s">
        <v>1321</v>
      </c>
      <c r="DG445" t="s">
        <v>1321</v>
      </c>
      <c r="DH445" t="s">
        <v>1321</v>
      </c>
      <c r="DI445" t="s">
        <v>1321</v>
      </c>
      <c r="DJ445" t="s">
        <v>1321</v>
      </c>
      <c r="DK445" t="s">
        <v>1321</v>
      </c>
      <c r="EZ445" t="s">
        <v>4569</v>
      </c>
      <c r="FA445" t="s">
        <v>4569</v>
      </c>
      <c r="FL445" t="s">
        <v>1321</v>
      </c>
      <c r="FM445" t="s">
        <v>4569</v>
      </c>
      <c r="FP445" t="s">
        <v>4569</v>
      </c>
      <c r="FQ445" t="s">
        <v>4569</v>
      </c>
      <c r="FR445">
        <v>4</v>
      </c>
      <c r="FS445" t="s">
        <v>4569</v>
      </c>
      <c r="IL445">
        <f t="shared" si="11"/>
        <v>122</v>
      </c>
    </row>
    <row r="446" spans="1:246" outlineLevel="1" x14ac:dyDescent="0.2">
      <c r="A446" t="str">
        <f t="shared" si="10"/>
        <v>Herzschlag ruhe</v>
      </c>
      <c r="EZ446" t="s">
        <v>4569</v>
      </c>
      <c r="FA446" t="s">
        <v>4569</v>
      </c>
      <c r="FM446" t="s">
        <v>4569</v>
      </c>
      <c r="FP446" t="s">
        <v>4569</v>
      </c>
      <c r="FQ446" t="s">
        <v>4569</v>
      </c>
      <c r="FR446" t="s">
        <v>4569</v>
      </c>
      <c r="FS446" t="s">
        <v>4569</v>
      </c>
      <c r="IL446">
        <f t="shared" si="11"/>
        <v>123</v>
      </c>
    </row>
    <row r="447" spans="1:246" outlineLevel="1" x14ac:dyDescent="0.2">
      <c r="A447" t="str">
        <f t="shared" si="10"/>
        <v>Hexenblick</v>
      </c>
      <c r="AZ447" t="s">
        <v>1321</v>
      </c>
      <c r="BA447" t="s">
        <v>2514</v>
      </c>
      <c r="BB447">
        <v>2</v>
      </c>
      <c r="BC447">
        <v>2</v>
      </c>
      <c r="BD447">
        <v>2</v>
      </c>
      <c r="BE447">
        <v>3</v>
      </c>
      <c r="BF447">
        <v>2</v>
      </c>
      <c r="BG447">
        <v>2</v>
      </c>
      <c r="EZ447" t="s">
        <v>4569</v>
      </c>
      <c r="FA447" t="s">
        <v>4569</v>
      </c>
      <c r="FM447" t="s">
        <v>4569</v>
      </c>
      <c r="FP447" t="s">
        <v>4569</v>
      </c>
      <c r="FQ447" t="s">
        <v>4569</v>
      </c>
      <c r="FR447" t="s">
        <v>4569</v>
      </c>
      <c r="FS447" t="s">
        <v>4569</v>
      </c>
      <c r="IL447">
        <f t="shared" si="11"/>
        <v>124</v>
      </c>
    </row>
    <row r="448" spans="1:246" outlineLevel="1" x14ac:dyDescent="0.2">
      <c r="A448" t="str">
        <f t="shared" si="10"/>
        <v>Hexengalle</v>
      </c>
      <c r="BG448" t="s">
        <v>1321</v>
      </c>
      <c r="CE448" t="s">
        <v>1321</v>
      </c>
      <c r="EZ448" t="s">
        <v>4569</v>
      </c>
      <c r="FA448" t="s">
        <v>4569</v>
      </c>
      <c r="FM448" t="s">
        <v>4569</v>
      </c>
      <c r="FP448" t="s">
        <v>4569</v>
      </c>
      <c r="FQ448" t="s">
        <v>4569</v>
      </c>
      <c r="FR448" t="s">
        <v>4569</v>
      </c>
      <c r="FS448" t="s">
        <v>4569</v>
      </c>
      <c r="IL448">
        <f t="shared" si="11"/>
        <v>125</v>
      </c>
    </row>
    <row r="449" spans="1:246" outlineLevel="1" x14ac:dyDescent="0.2">
      <c r="A449" t="str">
        <f t="shared" si="10"/>
        <v>Hexenholz</v>
      </c>
      <c r="AZ449" t="s">
        <v>1321</v>
      </c>
      <c r="BA449" t="s">
        <v>2516</v>
      </c>
      <c r="BB449" t="s">
        <v>1321</v>
      </c>
      <c r="BC449" t="s">
        <v>2516</v>
      </c>
      <c r="BD449" t="s">
        <v>1321</v>
      </c>
      <c r="BE449" t="s">
        <v>1321</v>
      </c>
      <c r="BF449">
        <v>3</v>
      </c>
      <c r="BG449" t="s">
        <v>1321</v>
      </c>
      <c r="EZ449" t="s">
        <v>4569</v>
      </c>
      <c r="FA449" t="s">
        <v>4569</v>
      </c>
      <c r="FM449" t="s">
        <v>4569</v>
      </c>
      <c r="FP449" t="s">
        <v>4569</v>
      </c>
      <c r="FQ449" t="s">
        <v>4569</v>
      </c>
      <c r="FR449" t="s">
        <v>4569</v>
      </c>
      <c r="FS449" t="s">
        <v>4569</v>
      </c>
      <c r="IL449">
        <f t="shared" si="11"/>
        <v>126</v>
      </c>
    </row>
    <row r="450" spans="1:246" outlineLevel="1" x14ac:dyDescent="0.2">
      <c r="A450" t="str">
        <f t="shared" si="10"/>
        <v>Hexenknoten</v>
      </c>
      <c r="AZ450" t="s">
        <v>1321</v>
      </c>
      <c r="BA450">
        <v>2</v>
      </c>
      <c r="BB450">
        <v>3</v>
      </c>
      <c r="BC450" t="s">
        <v>2516</v>
      </c>
      <c r="BD450">
        <v>2</v>
      </c>
      <c r="BE450" t="s">
        <v>1321</v>
      </c>
      <c r="BF450" t="s">
        <v>2516</v>
      </c>
      <c r="BG450">
        <v>3</v>
      </c>
      <c r="EZ450" t="s">
        <v>4569</v>
      </c>
      <c r="FA450" t="s">
        <v>4569</v>
      </c>
      <c r="FM450" t="s">
        <v>4569</v>
      </c>
      <c r="FP450" t="s">
        <v>4569</v>
      </c>
      <c r="FQ450" t="s">
        <v>4569</v>
      </c>
      <c r="FR450" t="s">
        <v>4569</v>
      </c>
      <c r="FS450" t="s">
        <v>4569</v>
      </c>
      <c r="IL450">
        <f t="shared" si="11"/>
        <v>127</v>
      </c>
    </row>
    <row r="451" spans="1:246" outlineLevel="1" x14ac:dyDescent="0.2">
      <c r="A451" t="str">
        <f t="shared" si="10"/>
        <v>Hexenkrallen</v>
      </c>
      <c r="BB451" t="s">
        <v>577</v>
      </c>
      <c r="BC451" t="s">
        <v>577</v>
      </c>
      <c r="BE451" t="s">
        <v>1321</v>
      </c>
      <c r="CK451" t="s">
        <v>1321</v>
      </c>
      <c r="EZ451" t="s">
        <v>4569</v>
      </c>
      <c r="FA451" t="s">
        <v>4569</v>
      </c>
      <c r="FM451" t="s">
        <v>4569</v>
      </c>
      <c r="FP451" t="s">
        <v>4569</v>
      </c>
      <c r="FQ451" t="s">
        <v>4569</v>
      </c>
      <c r="FR451" t="s">
        <v>4569</v>
      </c>
      <c r="FS451" t="s">
        <v>4569</v>
      </c>
      <c r="IL451">
        <f t="shared" si="11"/>
        <v>128</v>
      </c>
    </row>
    <row r="452" spans="1:246" outlineLevel="1" x14ac:dyDescent="0.2">
      <c r="A452" t="str">
        <f t="shared" si="10"/>
        <v>Hexenspeichel</v>
      </c>
      <c r="AV452" t="s">
        <v>2516</v>
      </c>
      <c r="AX452" t="s">
        <v>1321</v>
      </c>
      <c r="AZ452" t="s">
        <v>1321</v>
      </c>
      <c r="BA452" t="s">
        <v>2514</v>
      </c>
      <c r="BB452">
        <v>2</v>
      </c>
      <c r="BC452" t="s">
        <v>1321</v>
      </c>
      <c r="BD452">
        <v>2</v>
      </c>
      <c r="BE452" t="s">
        <v>1321</v>
      </c>
      <c r="BF452" t="s">
        <v>1321</v>
      </c>
      <c r="BG452" t="s">
        <v>1321</v>
      </c>
      <c r="CF452" t="s">
        <v>1321</v>
      </c>
      <c r="EF452" t="s">
        <v>1321</v>
      </c>
      <c r="EZ452" t="s">
        <v>4569</v>
      </c>
      <c r="FA452" t="s">
        <v>4569</v>
      </c>
      <c r="FM452" t="s">
        <v>4569</v>
      </c>
      <c r="FP452" t="s">
        <v>4569</v>
      </c>
      <c r="FQ452" t="s">
        <v>4569</v>
      </c>
      <c r="FR452" t="s">
        <v>4569</v>
      </c>
      <c r="FS452" t="s">
        <v>4569</v>
      </c>
      <c r="HB452" t="s">
        <v>1321</v>
      </c>
      <c r="HD452" t="s">
        <v>1321</v>
      </c>
      <c r="HF452" t="s">
        <v>1321</v>
      </c>
      <c r="HH452" t="s">
        <v>1321</v>
      </c>
      <c r="HJ452" t="s">
        <v>1321</v>
      </c>
      <c r="HL452" t="s">
        <v>1321</v>
      </c>
      <c r="HN452" t="s">
        <v>1321</v>
      </c>
      <c r="HP452" t="s">
        <v>1321</v>
      </c>
      <c r="HQ452" t="s">
        <v>1321</v>
      </c>
      <c r="HS452" t="s">
        <v>1321</v>
      </c>
      <c r="HU452" t="s">
        <v>1321</v>
      </c>
      <c r="HW452" t="s">
        <v>1321</v>
      </c>
      <c r="HY452" t="s">
        <v>1321</v>
      </c>
      <c r="IA452" t="s">
        <v>1321</v>
      </c>
      <c r="IC452" t="s">
        <v>1321</v>
      </c>
      <c r="ID452" t="s">
        <v>1321</v>
      </c>
      <c r="IG452" t="s">
        <v>1321</v>
      </c>
      <c r="II452" t="s">
        <v>1321</v>
      </c>
      <c r="IL452">
        <f t="shared" si="11"/>
        <v>129</v>
      </c>
    </row>
    <row r="453" spans="1:246" outlineLevel="1" x14ac:dyDescent="0.2">
      <c r="A453" t="str">
        <f t="shared" si="10"/>
        <v>Hilfreiche Tatze-rettende Schwinge</v>
      </c>
      <c r="P453" t="s">
        <v>1321</v>
      </c>
      <c r="Q453" t="s">
        <v>1321</v>
      </c>
      <c r="R453" t="s">
        <v>1321</v>
      </c>
      <c r="S453" t="s">
        <v>1321</v>
      </c>
      <c r="T453" t="s">
        <v>1321</v>
      </c>
      <c r="U453" t="s">
        <v>1321</v>
      </c>
      <c r="V453" t="s">
        <v>1321</v>
      </c>
      <c r="W453" t="s">
        <v>1321</v>
      </c>
      <c r="X453" t="s">
        <v>1321</v>
      </c>
      <c r="Y453" t="s">
        <v>1321</v>
      </c>
      <c r="Z453" t="s">
        <v>1321</v>
      </c>
      <c r="AA453" t="s">
        <v>1321</v>
      </c>
      <c r="AB453" t="s">
        <v>1321</v>
      </c>
      <c r="AC453" t="s">
        <v>1321</v>
      </c>
      <c r="AD453" t="s">
        <v>1321</v>
      </c>
      <c r="AE453" t="s">
        <v>1321</v>
      </c>
      <c r="AF453" t="s">
        <v>1321</v>
      </c>
      <c r="AG453" t="s">
        <v>1321</v>
      </c>
      <c r="AH453" t="s">
        <v>1321</v>
      </c>
      <c r="AI453" t="s">
        <v>1321</v>
      </c>
      <c r="AJ453" t="s">
        <v>1321</v>
      </c>
      <c r="AK453" t="s">
        <v>1321</v>
      </c>
      <c r="AL453" t="s">
        <v>1321</v>
      </c>
      <c r="AM453" t="s">
        <v>1321</v>
      </c>
      <c r="AN453" t="s">
        <v>1321</v>
      </c>
      <c r="AO453" t="s">
        <v>1321</v>
      </c>
      <c r="AP453" t="s">
        <v>1321</v>
      </c>
      <c r="AQ453" t="s">
        <v>1321</v>
      </c>
      <c r="AR453" t="s">
        <v>1321</v>
      </c>
      <c r="AS453" t="s">
        <v>1321</v>
      </c>
      <c r="AV453" t="s">
        <v>1321</v>
      </c>
      <c r="EZ453" t="s">
        <v>4569</v>
      </c>
      <c r="FA453" t="s">
        <v>4569</v>
      </c>
      <c r="FM453" t="s">
        <v>4569</v>
      </c>
      <c r="FP453" t="s">
        <v>4569</v>
      </c>
      <c r="FQ453" t="s">
        <v>4569</v>
      </c>
      <c r="FR453" t="s">
        <v>4569</v>
      </c>
      <c r="FS453" t="s">
        <v>4569</v>
      </c>
      <c r="IL453">
        <f t="shared" si="11"/>
        <v>130</v>
      </c>
    </row>
    <row r="454" spans="1:246" outlineLevel="1" x14ac:dyDescent="0.2">
      <c r="A454" t="str">
        <f t="shared" si="10"/>
        <v>Höllenpein zerreisse dich!</v>
      </c>
      <c r="CB454" t="s">
        <v>1321</v>
      </c>
      <c r="CD454" t="s">
        <v>1321</v>
      </c>
      <c r="CE454" t="s">
        <v>1321</v>
      </c>
      <c r="CF454" t="s">
        <v>1321</v>
      </c>
      <c r="CG454" t="s">
        <v>1321</v>
      </c>
      <c r="CH454" t="s">
        <v>1321</v>
      </c>
      <c r="CJ454" t="s">
        <v>1321</v>
      </c>
      <c r="CL454" t="s">
        <v>1321</v>
      </c>
      <c r="CY454" t="s">
        <v>1321</v>
      </c>
      <c r="DB454" t="s">
        <v>1321</v>
      </c>
      <c r="DN454" t="s">
        <v>1321</v>
      </c>
      <c r="DO454" t="s">
        <v>1321</v>
      </c>
      <c r="DZ454" t="s">
        <v>1321</v>
      </c>
      <c r="EJ454" t="s">
        <v>1321</v>
      </c>
      <c r="EZ454" t="s">
        <v>4569</v>
      </c>
      <c r="FA454" t="s">
        <v>4569</v>
      </c>
      <c r="FG454" t="s">
        <v>1321</v>
      </c>
      <c r="FH454" t="s">
        <v>1321</v>
      </c>
      <c r="FI454" t="s">
        <v>1321</v>
      </c>
      <c r="FJ454" t="s">
        <v>1321</v>
      </c>
      <c r="FM454" t="s">
        <v>4569</v>
      </c>
      <c r="FP454" t="s">
        <v>4569</v>
      </c>
      <c r="FQ454" t="s">
        <v>4569</v>
      </c>
      <c r="FR454" t="s">
        <v>4569</v>
      </c>
      <c r="FS454" t="s">
        <v>4569</v>
      </c>
      <c r="IL454">
        <f t="shared" si="11"/>
        <v>131</v>
      </c>
    </row>
    <row r="455" spans="1:246" outlineLevel="1" x14ac:dyDescent="0.2">
      <c r="A455" t="str">
        <f t="shared" si="10"/>
        <v>Holterdipolter</v>
      </c>
      <c r="EZ455" t="s">
        <v>4569</v>
      </c>
      <c r="FA455" t="s">
        <v>4569</v>
      </c>
      <c r="FM455" t="s">
        <v>4569</v>
      </c>
      <c r="FP455" t="s">
        <v>4569</v>
      </c>
      <c r="FQ455" t="s">
        <v>4569</v>
      </c>
      <c r="FR455" t="s">
        <v>4569</v>
      </c>
      <c r="FS455" t="s">
        <v>4569</v>
      </c>
      <c r="IL455">
        <f t="shared" si="11"/>
        <v>132</v>
      </c>
    </row>
    <row r="456" spans="1:246" outlineLevel="1" x14ac:dyDescent="0.2">
      <c r="A456" t="str">
        <f t="shared" si="10"/>
        <v>Hornissenruf</v>
      </c>
      <c r="EZ456" t="s">
        <v>4569</v>
      </c>
      <c r="FA456" t="s">
        <v>4569</v>
      </c>
      <c r="FM456" t="s">
        <v>4569</v>
      </c>
      <c r="FP456" t="s">
        <v>4569</v>
      </c>
      <c r="FQ456" t="s">
        <v>4569</v>
      </c>
      <c r="FR456" t="s">
        <v>4569</v>
      </c>
      <c r="FS456" t="s">
        <v>4569</v>
      </c>
      <c r="IL456">
        <f t="shared" si="11"/>
        <v>133</v>
      </c>
    </row>
    <row r="457" spans="1:246" outlineLevel="1" x14ac:dyDescent="0.2">
      <c r="A457" t="str">
        <f t="shared" si="10"/>
        <v>Horriphobus Schreckgestalt</v>
      </c>
      <c r="CB457" t="s">
        <v>1321</v>
      </c>
      <c r="CD457" t="s">
        <v>1321</v>
      </c>
      <c r="CH457" t="s">
        <v>1321</v>
      </c>
      <c r="CI457" t="s">
        <v>1321</v>
      </c>
      <c r="CJ457" t="s">
        <v>1321</v>
      </c>
      <c r="CK457" t="s">
        <v>1321</v>
      </c>
      <c r="CL457" t="s">
        <v>1321</v>
      </c>
      <c r="CW457" t="s">
        <v>1321</v>
      </c>
      <c r="CX457" t="s">
        <v>2514</v>
      </c>
      <c r="CY457">
        <v>4</v>
      </c>
      <c r="DA457" t="s">
        <v>1321</v>
      </c>
      <c r="DB457">
        <v>4</v>
      </c>
      <c r="DC457">
        <v>4</v>
      </c>
      <c r="DD457" t="s">
        <v>1321</v>
      </c>
      <c r="DE457" t="s">
        <v>1321</v>
      </c>
      <c r="DF457" t="s">
        <v>1321</v>
      </c>
      <c r="DG457" t="s">
        <v>1321</v>
      </c>
      <c r="DH457" t="s">
        <v>1321</v>
      </c>
      <c r="DI457" t="s">
        <v>1321</v>
      </c>
      <c r="DJ457" t="s">
        <v>1321</v>
      </c>
      <c r="DK457" t="s">
        <v>1321</v>
      </c>
      <c r="DL457">
        <v>3</v>
      </c>
      <c r="DM457" t="s">
        <v>2515</v>
      </c>
      <c r="DN457" t="s">
        <v>2514</v>
      </c>
      <c r="DO457" t="s">
        <v>2515</v>
      </c>
      <c r="DP457" t="s">
        <v>1321</v>
      </c>
      <c r="DQ457" t="s">
        <v>1321</v>
      </c>
      <c r="DT457" t="s">
        <v>1321</v>
      </c>
      <c r="DU457" t="s">
        <v>1321</v>
      </c>
      <c r="DV457" t="s">
        <v>1321</v>
      </c>
      <c r="DW457" t="s">
        <v>1321</v>
      </c>
      <c r="DX457" t="s">
        <v>1321</v>
      </c>
      <c r="DY457" t="s">
        <v>1321</v>
      </c>
      <c r="DZ457" t="s">
        <v>2514</v>
      </c>
      <c r="EA457" t="s">
        <v>1321</v>
      </c>
      <c r="EB457" t="s">
        <v>1321</v>
      </c>
      <c r="EC457" t="s">
        <v>1321</v>
      </c>
      <c r="ED457" t="s">
        <v>1321</v>
      </c>
      <c r="EE457" t="s">
        <v>2515</v>
      </c>
      <c r="EG457" t="s">
        <v>1321</v>
      </c>
      <c r="EH457" t="s">
        <v>1321</v>
      </c>
      <c r="EI457" t="s">
        <v>1321</v>
      </c>
      <c r="EJ457" t="s">
        <v>1321</v>
      </c>
      <c r="EK457" t="s">
        <v>1321</v>
      </c>
      <c r="EL457" t="s">
        <v>1321</v>
      </c>
      <c r="EM457" t="s">
        <v>1321</v>
      </c>
      <c r="EN457" t="s">
        <v>1321</v>
      </c>
      <c r="EO457" t="s">
        <v>1321</v>
      </c>
      <c r="EP457" t="s">
        <v>2515</v>
      </c>
      <c r="ER457" t="s">
        <v>1321</v>
      </c>
      <c r="ES457" t="s">
        <v>1321</v>
      </c>
      <c r="ET457" t="s">
        <v>1321</v>
      </c>
      <c r="EU457" t="s">
        <v>1321</v>
      </c>
      <c r="EV457" t="s">
        <v>1321</v>
      </c>
      <c r="EW457">
        <v>3</v>
      </c>
      <c r="EY457" t="s">
        <v>1321</v>
      </c>
      <c r="EZ457" t="s">
        <v>1321</v>
      </c>
      <c r="FA457" t="s">
        <v>1321</v>
      </c>
      <c r="FB457" t="s">
        <v>1321</v>
      </c>
      <c r="FC457" t="s">
        <v>1321</v>
      </c>
      <c r="FD457" t="s">
        <v>1321</v>
      </c>
      <c r="FE457">
        <v>3</v>
      </c>
      <c r="FF457" t="s">
        <v>1321</v>
      </c>
      <c r="FG457" t="s">
        <v>1321</v>
      </c>
      <c r="FH457" t="s">
        <v>1321</v>
      </c>
      <c r="FI457" t="s">
        <v>1321</v>
      </c>
      <c r="FJ457" t="s">
        <v>1321</v>
      </c>
      <c r="FK457" t="s">
        <v>1321</v>
      </c>
      <c r="FM457" t="s">
        <v>1321</v>
      </c>
      <c r="FN457" t="s">
        <v>1321</v>
      </c>
      <c r="FO457" t="s">
        <v>1321</v>
      </c>
      <c r="FP457" t="s">
        <v>1321</v>
      </c>
      <c r="FQ457" t="s">
        <v>1321</v>
      </c>
      <c r="FR457" t="s">
        <v>1321</v>
      </c>
      <c r="FS457" t="s">
        <v>1321</v>
      </c>
      <c r="FT457" t="s">
        <v>1321</v>
      </c>
      <c r="FU457" t="s">
        <v>1321</v>
      </c>
      <c r="FV457" t="s">
        <v>1321</v>
      </c>
      <c r="IL457">
        <f t="shared" si="11"/>
        <v>134</v>
      </c>
    </row>
    <row r="458" spans="1:246" outlineLevel="1" x14ac:dyDescent="0.2">
      <c r="A458" t="str">
        <f t="shared" si="10"/>
        <v>Humofaxius</v>
      </c>
      <c r="J458" t="s">
        <v>1321</v>
      </c>
      <c r="DF458" t="s">
        <v>1321</v>
      </c>
      <c r="DG458" t="s">
        <v>2515</v>
      </c>
      <c r="DH458" t="s">
        <v>1321</v>
      </c>
      <c r="DI458" t="s">
        <v>1321</v>
      </c>
      <c r="DJ458" t="s">
        <v>1321</v>
      </c>
      <c r="DK458" t="s">
        <v>1321</v>
      </c>
      <c r="EZ458" t="s">
        <v>4569</v>
      </c>
      <c r="FA458" t="s">
        <v>4569</v>
      </c>
      <c r="FM458" t="s">
        <v>4569</v>
      </c>
      <c r="FP458" t="s">
        <v>4569</v>
      </c>
      <c r="FQ458" t="s">
        <v>4569</v>
      </c>
      <c r="FR458" t="s">
        <v>4901</v>
      </c>
      <c r="FS458" t="s">
        <v>4569</v>
      </c>
      <c r="IL458">
        <f t="shared" si="11"/>
        <v>135</v>
      </c>
    </row>
    <row r="459" spans="1:246" outlineLevel="1" x14ac:dyDescent="0.2">
      <c r="A459" t="str">
        <f t="shared" si="10"/>
        <v>Humosphaero</v>
      </c>
      <c r="EZ459" t="s">
        <v>4569</v>
      </c>
      <c r="FA459" t="s">
        <v>4569</v>
      </c>
      <c r="FM459" t="s">
        <v>4569</v>
      </c>
      <c r="FP459" t="s">
        <v>4569</v>
      </c>
      <c r="FQ459" t="s">
        <v>4569</v>
      </c>
      <c r="FR459" t="s">
        <v>4569</v>
      </c>
      <c r="FS459" t="s">
        <v>4569</v>
      </c>
      <c r="IL459">
        <f t="shared" si="11"/>
        <v>136</v>
      </c>
    </row>
    <row r="460" spans="1:246" outlineLevel="1" x14ac:dyDescent="0.2">
      <c r="A460" t="str">
        <f t="shared" si="10"/>
        <v>Humusbann</v>
      </c>
      <c r="EZ460" t="s">
        <v>4569</v>
      </c>
      <c r="FA460" t="s">
        <v>4569</v>
      </c>
      <c r="FM460" t="s">
        <v>4569</v>
      </c>
      <c r="FP460" t="s">
        <v>4569</v>
      </c>
      <c r="FQ460" t="s">
        <v>4569</v>
      </c>
      <c r="FR460" t="s">
        <v>4569</v>
      </c>
      <c r="FS460" t="s">
        <v>4569</v>
      </c>
      <c r="IL460">
        <f t="shared" si="11"/>
        <v>137</v>
      </c>
    </row>
    <row r="461" spans="1:246" outlineLevel="1" x14ac:dyDescent="0.2">
      <c r="A461" t="str">
        <f t="shared" si="10"/>
        <v>Ignifaxius Flammenstrahl</v>
      </c>
      <c r="B461" t="s">
        <v>4483</v>
      </c>
      <c r="I461" t="s">
        <v>2516</v>
      </c>
      <c r="O461" t="s">
        <v>4483</v>
      </c>
      <c r="AT461" t="s">
        <v>4483</v>
      </c>
      <c r="AY461" t="s">
        <v>4483</v>
      </c>
      <c r="BH461" t="s">
        <v>4483</v>
      </c>
      <c r="BK461" t="s">
        <v>4483</v>
      </c>
      <c r="CV461" t="s">
        <v>4483</v>
      </c>
      <c r="CW461" t="s">
        <v>1321</v>
      </c>
      <c r="CX461" t="s">
        <v>2515</v>
      </c>
      <c r="CY461" t="s">
        <v>2515</v>
      </c>
      <c r="CZ461" t="s">
        <v>2514</v>
      </c>
      <c r="DB461" t="s">
        <v>2514</v>
      </c>
      <c r="DC461" t="s">
        <v>1321</v>
      </c>
      <c r="DF461" t="s">
        <v>2514</v>
      </c>
      <c r="DG461" t="s">
        <v>1321</v>
      </c>
      <c r="DH461" t="s">
        <v>1321</v>
      </c>
      <c r="DI461" t="s">
        <v>1321</v>
      </c>
      <c r="DJ461" t="s">
        <v>1321</v>
      </c>
      <c r="DK461" t="s">
        <v>1321</v>
      </c>
      <c r="DL461" t="s">
        <v>1321</v>
      </c>
      <c r="DM461">
        <v>4</v>
      </c>
      <c r="DN461" t="s">
        <v>1321</v>
      </c>
      <c r="DO461" t="s">
        <v>1321</v>
      </c>
      <c r="DP461" t="s">
        <v>1321</v>
      </c>
      <c r="DQ461" t="s">
        <v>1321</v>
      </c>
      <c r="DR461" t="s">
        <v>2514</v>
      </c>
      <c r="DS461">
        <v>4</v>
      </c>
      <c r="DT461" t="s">
        <v>1321</v>
      </c>
      <c r="DU461" t="s">
        <v>1321</v>
      </c>
      <c r="DV461" t="s">
        <v>1321</v>
      </c>
      <c r="DW461">
        <v>2</v>
      </c>
      <c r="DX461">
        <v>4</v>
      </c>
      <c r="DY461" t="s">
        <v>1321</v>
      </c>
      <c r="DZ461">
        <v>4</v>
      </c>
      <c r="EA461" t="s">
        <v>1321</v>
      </c>
      <c r="EB461" t="s">
        <v>1321</v>
      </c>
      <c r="EC461" t="s">
        <v>1321</v>
      </c>
      <c r="ED461" t="s">
        <v>1321</v>
      </c>
      <c r="EE461" t="s">
        <v>1321</v>
      </c>
      <c r="EG461" t="s">
        <v>1321</v>
      </c>
      <c r="EH461">
        <v>3</v>
      </c>
      <c r="EI461">
        <v>3</v>
      </c>
      <c r="EJ461" t="s">
        <v>1321</v>
      </c>
      <c r="EK461" t="s">
        <v>1321</v>
      </c>
      <c r="EL461" t="s">
        <v>1321</v>
      </c>
      <c r="EM461" t="s">
        <v>1321</v>
      </c>
      <c r="EN461" t="s">
        <v>1321</v>
      </c>
      <c r="EO461" t="s">
        <v>1321</v>
      </c>
      <c r="EP461" t="s">
        <v>2515</v>
      </c>
      <c r="EQ461" t="s">
        <v>1321</v>
      </c>
      <c r="ER461" t="s">
        <v>1321</v>
      </c>
      <c r="ES461" t="s">
        <v>1321</v>
      </c>
      <c r="ET461" t="s">
        <v>1321</v>
      </c>
      <c r="EU461" t="s">
        <v>1321</v>
      </c>
      <c r="EV461" t="s">
        <v>1321</v>
      </c>
      <c r="EW461">
        <v>3</v>
      </c>
      <c r="EX461" t="s">
        <v>4483</v>
      </c>
      <c r="EY461" t="s">
        <v>1321</v>
      </c>
      <c r="EZ461" t="s">
        <v>1321</v>
      </c>
      <c r="FA461" t="s">
        <v>1321</v>
      </c>
      <c r="FB461" t="s">
        <v>1321</v>
      </c>
      <c r="FC461" t="s">
        <v>1321</v>
      </c>
      <c r="FD461" t="s">
        <v>1321</v>
      </c>
      <c r="FE461" t="s">
        <v>1321</v>
      </c>
      <c r="FG461" t="s">
        <v>1321</v>
      </c>
      <c r="FH461" t="s">
        <v>1321</v>
      </c>
      <c r="FI461">
        <v>3</v>
      </c>
      <c r="FJ461">
        <v>3</v>
      </c>
      <c r="FK461" t="s">
        <v>1321</v>
      </c>
      <c r="FL461" t="s">
        <v>1321</v>
      </c>
      <c r="FM461">
        <v>2</v>
      </c>
      <c r="FN461" t="s">
        <v>1321</v>
      </c>
      <c r="FO461" t="s">
        <v>1321</v>
      </c>
      <c r="FP461" t="s">
        <v>1321</v>
      </c>
      <c r="FQ461" t="s">
        <v>2516</v>
      </c>
      <c r="FR461" t="s">
        <v>1321</v>
      </c>
      <c r="FS461" t="s">
        <v>1321</v>
      </c>
      <c r="FT461" t="s">
        <v>1321</v>
      </c>
      <c r="FU461">
        <v>2</v>
      </c>
      <c r="FV461">
        <v>3</v>
      </c>
      <c r="FW461" t="s">
        <v>4483</v>
      </c>
      <c r="GE461" t="s">
        <v>4483</v>
      </c>
      <c r="GM461" t="s">
        <v>4483</v>
      </c>
      <c r="GX461" t="s">
        <v>4483</v>
      </c>
      <c r="IJ461" t="s">
        <v>4483</v>
      </c>
      <c r="IL461">
        <f t="shared" si="11"/>
        <v>138</v>
      </c>
    </row>
    <row r="462" spans="1:246" outlineLevel="1" x14ac:dyDescent="0.2">
      <c r="A462" t="str">
        <f t="shared" si="10"/>
        <v>Ignifugo Feuerbann</v>
      </c>
      <c r="IL462">
        <f t="shared" si="11"/>
        <v>139</v>
      </c>
    </row>
    <row r="463" spans="1:246" outlineLevel="1" x14ac:dyDescent="0.2">
      <c r="A463" t="str">
        <f>INDEX(ZAUBER,$IL463)</f>
        <v>Ignimorpho Feuerform</v>
      </c>
      <c r="IL463">
        <f>ROW()-$IL$323</f>
        <v>140</v>
      </c>
    </row>
    <row r="464" spans="1:246" outlineLevel="1" x14ac:dyDescent="0.2">
      <c r="A464" t="str">
        <f>INDEX(ZAUBER,$IL464)</f>
        <v>Igniplano Flächenbrand</v>
      </c>
      <c r="IL464">
        <f>ROW()-$IL$323</f>
        <v>141</v>
      </c>
    </row>
    <row r="465" spans="1:246" outlineLevel="1" x14ac:dyDescent="0.2">
      <c r="A465" t="str">
        <f t="shared" ref="A465:A530" si="12">INDEX(ZAUBER,$IL465)</f>
        <v>Ignisphaero Feuerball</v>
      </c>
      <c r="I465" t="s">
        <v>1321</v>
      </c>
      <c r="CW465" t="s">
        <v>1321</v>
      </c>
      <c r="CX465" t="s">
        <v>2516</v>
      </c>
      <c r="CY465">
        <v>2</v>
      </c>
      <c r="CZ465">
        <v>3</v>
      </c>
      <c r="DB465">
        <v>3</v>
      </c>
      <c r="DF465" t="s">
        <v>2515</v>
      </c>
      <c r="DG465" t="s">
        <v>1321</v>
      </c>
      <c r="DH465" t="s">
        <v>1321</v>
      </c>
      <c r="DI465" t="s">
        <v>1321</v>
      </c>
      <c r="DJ465" t="s">
        <v>1321</v>
      </c>
      <c r="DK465" t="s">
        <v>1321</v>
      </c>
      <c r="DR465">
        <v>3</v>
      </c>
      <c r="DW465" t="s">
        <v>1321</v>
      </c>
      <c r="EH465" t="s">
        <v>1321</v>
      </c>
      <c r="EI465" t="s">
        <v>1321</v>
      </c>
      <c r="EK465" t="s">
        <v>1321</v>
      </c>
      <c r="EL465" t="s">
        <v>1321</v>
      </c>
      <c r="EP465">
        <v>3</v>
      </c>
      <c r="EZ465" t="s">
        <v>4569</v>
      </c>
      <c r="FA465" t="s">
        <v>4569</v>
      </c>
      <c r="FG465" t="s">
        <v>1321</v>
      </c>
      <c r="FH465" t="s">
        <v>1321</v>
      </c>
      <c r="FI465" t="s">
        <v>1321</v>
      </c>
      <c r="FJ465" t="s">
        <v>1321</v>
      </c>
      <c r="FM465" t="s">
        <v>4569</v>
      </c>
      <c r="FP465" t="s">
        <v>4569</v>
      </c>
      <c r="FQ465">
        <v>3</v>
      </c>
      <c r="FR465" t="s">
        <v>4569</v>
      </c>
      <c r="FS465" t="s">
        <v>4569</v>
      </c>
      <c r="IL465">
        <f t="shared" ref="IL465:IL530" si="13">ROW()-$IL$323</f>
        <v>142</v>
      </c>
    </row>
    <row r="466" spans="1:246" outlineLevel="1" x14ac:dyDescent="0.2">
      <c r="A466" t="str">
        <f t="shared" si="12"/>
        <v>Ignorantia Ungesehn</v>
      </c>
      <c r="CF466" t="s">
        <v>1321</v>
      </c>
      <c r="DN466" t="s">
        <v>1321</v>
      </c>
      <c r="DO466" t="s">
        <v>1321</v>
      </c>
      <c r="DP466">
        <v>3</v>
      </c>
      <c r="DS466" t="s">
        <v>4901</v>
      </c>
      <c r="DU466" t="s">
        <v>2516</v>
      </c>
      <c r="EK466" t="s">
        <v>1321</v>
      </c>
      <c r="EL466" t="s">
        <v>1321</v>
      </c>
      <c r="EQ466" t="s">
        <v>1321</v>
      </c>
      <c r="EU466" t="s">
        <v>1321</v>
      </c>
      <c r="EZ466" t="s">
        <v>4901</v>
      </c>
      <c r="FA466" t="s">
        <v>4901</v>
      </c>
      <c r="FM466" t="s">
        <v>4569</v>
      </c>
      <c r="FP466" t="s">
        <v>4569</v>
      </c>
      <c r="FQ466" t="s">
        <v>4569</v>
      </c>
      <c r="FR466" t="s">
        <v>4569</v>
      </c>
      <c r="FS466" t="s">
        <v>4569</v>
      </c>
      <c r="FY466" t="s">
        <v>2515</v>
      </c>
      <c r="GD466" t="s">
        <v>1321</v>
      </c>
      <c r="IL466">
        <f t="shared" si="13"/>
        <v>143</v>
      </c>
    </row>
    <row r="467" spans="1:246" outlineLevel="1" x14ac:dyDescent="0.2">
      <c r="A467" t="str">
        <f t="shared" si="12"/>
        <v>Illusion auflösen</v>
      </c>
      <c r="BD467" t="s">
        <v>1321</v>
      </c>
      <c r="BE467" t="s">
        <v>1321</v>
      </c>
      <c r="CW467" t="s">
        <v>1321</v>
      </c>
      <c r="CX467" t="s">
        <v>1321</v>
      </c>
      <c r="CY467" t="s">
        <v>1321</v>
      </c>
      <c r="CZ467" t="s">
        <v>1321</v>
      </c>
      <c r="DA467" t="s">
        <v>1321</v>
      </c>
      <c r="DB467" t="s">
        <v>1321</v>
      </c>
      <c r="DL467" t="s">
        <v>1321</v>
      </c>
      <c r="DM467" t="s">
        <v>1321</v>
      </c>
      <c r="DN467" t="s">
        <v>1321</v>
      </c>
      <c r="DO467" t="s">
        <v>1321</v>
      </c>
      <c r="DP467" t="s">
        <v>1321</v>
      </c>
      <c r="DQ467" t="s">
        <v>1321</v>
      </c>
      <c r="DR467" t="s">
        <v>1321</v>
      </c>
      <c r="DS467" t="s">
        <v>2516</v>
      </c>
      <c r="DT467" t="s">
        <v>1321</v>
      </c>
      <c r="DU467" t="s">
        <v>2516</v>
      </c>
      <c r="DV467" t="s">
        <v>1321</v>
      </c>
      <c r="DW467" t="s">
        <v>1321</v>
      </c>
      <c r="DX467" t="s">
        <v>2516</v>
      </c>
      <c r="DY467" t="s">
        <v>1321</v>
      </c>
      <c r="DZ467" t="s">
        <v>1321</v>
      </c>
      <c r="EA467" t="s">
        <v>1321</v>
      </c>
      <c r="EB467" t="s">
        <v>2516</v>
      </c>
      <c r="EC467" t="s">
        <v>1321</v>
      </c>
      <c r="ED467" t="s">
        <v>1321</v>
      </c>
      <c r="EE467" t="s">
        <v>1321</v>
      </c>
      <c r="EF467" t="s">
        <v>1321</v>
      </c>
      <c r="EG467" t="s">
        <v>1321</v>
      </c>
      <c r="EH467" t="s">
        <v>1321</v>
      </c>
      <c r="EI467" t="s">
        <v>1321</v>
      </c>
      <c r="EJ467" t="s">
        <v>2515</v>
      </c>
      <c r="EK467" t="s">
        <v>1321</v>
      </c>
      <c r="EL467">
        <v>3</v>
      </c>
      <c r="EM467" t="s">
        <v>1321</v>
      </c>
      <c r="EN467" t="s">
        <v>1321</v>
      </c>
      <c r="EO467" t="s">
        <v>1321</v>
      </c>
      <c r="EP467" t="s">
        <v>1321</v>
      </c>
      <c r="EQ467" t="s">
        <v>1321</v>
      </c>
      <c r="ER467" t="s">
        <v>1321</v>
      </c>
      <c r="ES467" t="s">
        <v>1321</v>
      </c>
      <c r="ET467" t="s">
        <v>1321</v>
      </c>
      <c r="EU467" t="s">
        <v>2515</v>
      </c>
      <c r="EV467" t="s">
        <v>1321</v>
      </c>
      <c r="EW467" t="s">
        <v>2514</v>
      </c>
      <c r="EY467" t="s">
        <v>1321</v>
      </c>
      <c r="EZ467" t="s">
        <v>1321</v>
      </c>
      <c r="FA467" t="s">
        <v>1321</v>
      </c>
      <c r="FB467" t="s">
        <v>1321</v>
      </c>
      <c r="FC467" t="s">
        <v>1321</v>
      </c>
      <c r="FD467" t="s">
        <v>1321</v>
      </c>
      <c r="FE467" t="s">
        <v>1321</v>
      </c>
      <c r="FG467" t="s">
        <v>1321</v>
      </c>
      <c r="FH467" t="s">
        <v>1321</v>
      </c>
      <c r="FI467" t="s">
        <v>1321</v>
      </c>
      <c r="FJ467" t="s">
        <v>1321</v>
      </c>
      <c r="FK467" t="s">
        <v>1321</v>
      </c>
      <c r="FL467" t="s">
        <v>1321</v>
      </c>
      <c r="FM467">
        <v>4</v>
      </c>
      <c r="FN467" t="s">
        <v>1321</v>
      </c>
      <c r="FO467" t="s">
        <v>1321</v>
      </c>
      <c r="FP467" t="s">
        <v>4569</v>
      </c>
      <c r="FQ467" t="s">
        <v>4569</v>
      </c>
      <c r="FR467" t="s">
        <v>4569</v>
      </c>
      <c r="FS467" t="s">
        <v>4569</v>
      </c>
      <c r="FT467" t="s">
        <v>1321</v>
      </c>
      <c r="FX467" t="s">
        <v>1321</v>
      </c>
      <c r="FY467" t="s">
        <v>1321</v>
      </c>
      <c r="FZ467" t="s">
        <v>1321</v>
      </c>
      <c r="GA467" t="s">
        <v>1321</v>
      </c>
      <c r="GB467" t="s">
        <v>1321</v>
      </c>
      <c r="GC467" t="s">
        <v>1321</v>
      </c>
      <c r="GD467" t="s">
        <v>1321</v>
      </c>
      <c r="IL467">
        <f t="shared" si="13"/>
        <v>144</v>
      </c>
    </row>
    <row r="468" spans="1:246" outlineLevel="1" x14ac:dyDescent="0.2">
      <c r="A468" t="str">
        <f t="shared" si="12"/>
        <v>Immortalis Lebenszeit</v>
      </c>
      <c r="EZ468" t="s">
        <v>4569</v>
      </c>
      <c r="FA468" t="s">
        <v>4569</v>
      </c>
      <c r="FM468" t="s">
        <v>4569</v>
      </c>
      <c r="FP468" t="s">
        <v>4569</v>
      </c>
      <c r="FQ468" t="s">
        <v>4569</v>
      </c>
      <c r="FR468" t="s">
        <v>4569</v>
      </c>
      <c r="FS468" t="s">
        <v>4569</v>
      </c>
      <c r="IL468">
        <f t="shared" si="13"/>
        <v>145</v>
      </c>
    </row>
    <row r="469" spans="1:246" outlineLevel="1" x14ac:dyDescent="0.2">
      <c r="A469" t="str">
        <f t="shared" si="12"/>
        <v>Imperavi Handlungszwang</v>
      </c>
      <c r="CW469" t="s">
        <v>1321</v>
      </c>
      <c r="CX469" t="s">
        <v>1321</v>
      </c>
      <c r="DC469" t="s">
        <v>1321</v>
      </c>
      <c r="DM469">
        <v>5</v>
      </c>
      <c r="DN469">
        <v>4</v>
      </c>
      <c r="DO469" t="s">
        <v>2514</v>
      </c>
      <c r="DP469" t="s">
        <v>1321</v>
      </c>
      <c r="DQ469" t="s">
        <v>1321</v>
      </c>
      <c r="DV469" t="s">
        <v>1321</v>
      </c>
      <c r="DW469" t="s">
        <v>1321</v>
      </c>
      <c r="DX469" t="s">
        <v>1321</v>
      </c>
      <c r="DZ469">
        <v>3</v>
      </c>
      <c r="EA469" t="s">
        <v>1321</v>
      </c>
      <c r="EC469" t="s">
        <v>1321</v>
      </c>
      <c r="ED469" t="s">
        <v>1321</v>
      </c>
      <c r="EE469" t="s">
        <v>2515</v>
      </c>
      <c r="EJ469" t="s">
        <v>1321</v>
      </c>
      <c r="EK469" t="s">
        <v>1321</v>
      </c>
      <c r="EL469" t="s">
        <v>1321</v>
      </c>
      <c r="EM469" t="s">
        <v>1321</v>
      </c>
      <c r="EN469" t="s">
        <v>1321</v>
      </c>
      <c r="EO469" t="s">
        <v>1321</v>
      </c>
      <c r="EP469" t="s">
        <v>1321</v>
      </c>
      <c r="ES469" t="s">
        <v>1321</v>
      </c>
      <c r="EU469" t="s">
        <v>1321</v>
      </c>
      <c r="EV469" t="s">
        <v>1321</v>
      </c>
      <c r="EZ469" t="s">
        <v>4569</v>
      </c>
      <c r="FA469" t="s">
        <v>4569</v>
      </c>
      <c r="FB469" t="s">
        <v>1321</v>
      </c>
      <c r="FC469" t="s">
        <v>1321</v>
      </c>
      <c r="FG469">
        <v>4</v>
      </c>
      <c r="FH469">
        <v>4</v>
      </c>
      <c r="FI469">
        <v>4</v>
      </c>
      <c r="FJ469">
        <v>4</v>
      </c>
      <c r="FK469" t="s">
        <v>1321</v>
      </c>
      <c r="FM469" t="s">
        <v>4569</v>
      </c>
      <c r="FN469" t="s">
        <v>1321</v>
      </c>
      <c r="FP469" t="s">
        <v>1321</v>
      </c>
      <c r="FQ469" t="s">
        <v>1321</v>
      </c>
      <c r="FR469" t="s">
        <v>1321</v>
      </c>
      <c r="FS469" t="s">
        <v>1321</v>
      </c>
      <c r="IL469">
        <f t="shared" si="13"/>
        <v>146</v>
      </c>
    </row>
    <row r="470" spans="1:246" outlineLevel="1" x14ac:dyDescent="0.2">
      <c r="A470" t="str">
        <f t="shared" si="12"/>
        <v>Impersona Maskenbild</v>
      </c>
      <c r="CW470" t="s">
        <v>1321</v>
      </c>
      <c r="CX470" t="s">
        <v>1321</v>
      </c>
      <c r="CY470" t="s">
        <v>1321</v>
      </c>
      <c r="DB470" t="s">
        <v>1321</v>
      </c>
      <c r="DM470" t="s">
        <v>1321</v>
      </c>
      <c r="DN470" t="s">
        <v>1321</v>
      </c>
      <c r="DO470" t="s">
        <v>1321</v>
      </c>
      <c r="DP470" t="s">
        <v>1321</v>
      </c>
      <c r="DQ470" t="s">
        <v>1321</v>
      </c>
      <c r="DS470" t="s">
        <v>1321</v>
      </c>
      <c r="DU470" t="s">
        <v>1321</v>
      </c>
      <c r="DV470" t="s">
        <v>1321</v>
      </c>
      <c r="DW470" t="s">
        <v>1321</v>
      </c>
      <c r="DX470" t="s">
        <v>1321</v>
      </c>
      <c r="EA470" t="s">
        <v>1321</v>
      </c>
      <c r="EB470">
        <v>2</v>
      </c>
      <c r="EC470" t="s">
        <v>1321</v>
      </c>
      <c r="ED470" t="s">
        <v>1321</v>
      </c>
      <c r="EF470" t="s">
        <v>1321</v>
      </c>
      <c r="EG470" t="s">
        <v>1321</v>
      </c>
      <c r="EJ470" t="s">
        <v>1321</v>
      </c>
      <c r="EK470" t="s">
        <v>1321</v>
      </c>
      <c r="EL470" t="s">
        <v>1321</v>
      </c>
      <c r="EM470" t="s">
        <v>1321</v>
      </c>
      <c r="EN470" t="s">
        <v>1321</v>
      </c>
      <c r="EO470">
        <v>2</v>
      </c>
      <c r="EP470">
        <v>2</v>
      </c>
      <c r="EQ470" t="s">
        <v>1321</v>
      </c>
      <c r="ES470" t="s">
        <v>1321</v>
      </c>
      <c r="ET470" t="s">
        <v>1321</v>
      </c>
      <c r="EU470" t="s">
        <v>2515</v>
      </c>
      <c r="EV470" t="s">
        <v>1321</v>
      </c>
      <c r="EZ470" t="s">
        <v>4569</v>
      </c>
      <c r="FA470" t="s">
        <v>4569</v>
      </c>
      <c r="FK470" t="s">
        <v>1321</v>
      </c>
      <c r="FM470" t="s">
        <v>4569</v>
      </c>
      <c r="FN470" t="s">
        <v>1321</v>
      </c>
      <c r="FP470" t="s">
        <v>4569</v>
      </c>
      <c r="FQ470" t="s">
        <v>4569</v>
      </c>
      <c r="FR470" t="s">
        <v>4569</v>
      </c>
      <c r="FS470" t="s">
        <v>4569</v>
      </c>
      <c r="GC470" t="s">
        <v>1321</v>
      </c>
      <c r="GD470" t="s">
        <v>1321</v>
      </c>
      <c r="IL470">
        <f t="shared" si="13"/>
        <v>147</v>
      </c>
    </row>
    <row r="471" spans="1:246" outlineLevel="1" x14ac:dyDescent="0.2">
      <c r="A471" t="str">
        <f t="shared" si="12"/>
        <v>Infinitum immerdar</v>
      </c>
      <c r="EZ471" t="s">
        <v>4569</v>
      </c>
      <c r="FA471" t="s">
        <v>4569</v>
      </c>
      <c r="FM471" t="s">
        <v>4569</v>
      </c>
      <c r="FP471" t="s">
        <v>4569</v>
      </c>
      <c r="FQ471" t="s">
        <v>4569</v>
      </c>
      <c r="FR471" t="s">
        <v>4569</v>
      </c>
      <c r="FS471" t="s">
        <v>4569</v>
      </c>
      <c r="IL471">
        <f t="shared" si="13"/>
        <v>148</v>
      </c>
    </row>
    <row r="472" spans="1:246" outlineLevel="1" x14ac:dyDescent="0.2">
      <c r="A472" t="str">
        <f t="shared" si="12"/>
        <v>Invercano Spiegeltrick</v>
      </c>
      <c r="CZ472">
        <v>2</v>
      </c>
      <c r="DP472" t="s">
        <v>1321</v>
      </c>
      <c r="DR472">
        <v>2</v>
      </c>
      <c r="DS472" t="s">
        <v>1321</v>
      </c>
      <c r="DX472">
        <v>3</v>
      </c>
      <c r="EJ472" t="s">
        <v>1321</v>
      </c>
      <c r="EK472" t="s">
        <v>1321</v>
      </c>
      <c r="EL472" t="s">
        <v>1321</v>
      </c>
      <c r="EQ472" t="s">
        <v>1321</v>
      </c>
      <c r="ER472" t="s">
        <v>1321</v>
      </c>
      <c r="EW472">
        <v>4</v>
      </c>
      <c r="EZ472" t="s">
        <v>4569</v>
      </c>
      <c r="FA472" t="s">
        <v>4569</v>
      </c>
      <c r="FD472" t="s">
        <v>1321</v>
      </c>
      <c r="FG472" t="s">
        <v>1321</v>
      </c>
      <c r="FH472" t="s">
        <v>1321</v>
      </c>
      <c r="FI472" t="s">
        <v>1321</v>
      </c>
      <c r="FJ472" t="s">
        <v>1321</v>
      </c>
      <c r="FM472" t="s">
        <v>4569</v>
      </c>
      <c r="FP472" t="s">
        <v>4569</v>
      </c>
      <c r="FQ472" t="s">
        <v>4569</v>
      </c>
      <c r="FR472" t="s">
        <v>4569</v>
      </c>
      <c r="FS472" t="s">
        <v>4569</v>
      </c>
      <c r="FU472" t="s">
        <v>4901</v>
      </c>
      <c r="IK472" t="s">
        <v>7191</v>
      </c>
      <c r="IL472">
        <f t="shared" si="13"/>
        <v>149</v>
      </c>
    </row>
    <row r="473" spans="1:246" outlineLevel="1" x14ac:dyDescent="0.2">
      <c r="A473" t="str">
        <f t="shared" si="12"/>
        <v>Invocatio maior</v>
      </c>
      <c r="BD473" t="s">
        <v>1321</v>
      </c>
      <c r="CW473" t="s">
        <v>1321</v>
      </c>
      <c r="CX473" t="s">
        <v>1321</v>
      </c>
      <c r="CY473" t="s">
        <v>1321</v>
      </c>
      <c r="DA473" t="s">
        <v>1321</v>
      </c>
      <c r="DC473" t="s">
        <v>2515</v>
      </c>
      <c r="DD473" t="s">
        <v>1321</v>
      </c>
      <c r="DE473" t="s">
        <v>1321</v>
      </c>
      <c r="DL473" t="s">
        <v>1321</v>
      </c>
      <c r="DN473" t="s">
        <v>1321</v>
      </c>
      <c r="DO473" t="s">
        <v>1321</v>
      </c>
      <c r="DP473" t="s">
        <v>1321</v>
      </c>
      <c r="DQ473" t="s">
        <v>1321</v>
      </c>
      <c r="DT473" t="s">
        <v>1321</v>
      </c>
      <c r="DU473" t="s">
        <v>1321</v>
      </c>
      <c r="DV473" t="s">
        <v>1321</v>
      </c>
      <c r="DW473" t="s">
        <v>1321</v>
      </c>
      <c r="DZ473" t="s">
        <v>1321</v>
      </c>
      <c r="EA473" t="s">
        <v>1321</v>
      </c>
      <c r="EC473" t="s">
        <v>1321</v>
      </c>
      <c r="ED473" t="s">
        <v>1321</v>
      </c>
      <c r="EE473" t="s">
        <v>1321</v>
      </c>
      <c r="EF473" t="s">
        <v>1321</v>
      </c>
      <c r="EH473" t="s">
        <v>1321</v>
      </c>
      <c r="EI473" t="s">
        <v>1321</v>
      </c>
      <c r="EJ473" t="s">
        <v>1321</v>
      </c>
      <c r="EK473">
        <v>4</v>
      </c>
      <c r="EL473" t="s">
        <v>1321</v>
      </c>
      <c r="EM473" t="s">
        <v>2514</v>
      </c>
      <c r="EN473" t="s">
        <v>1321</v>
      </c>
      <c r="EY473" t="s">
        <v>2514</v>
      </c>
      <c r="EZ473" t="s">
        <v>1321</v>
      </c>
      <c r="FA473" t="s">
        <v>1321</v>
      </c>
      <c r="FB473" t="s">
        <v>1321</v>
      </c>
      <c r="FC473" t="s">
        <v>1321</v>
      </c>
      <c r="FD473" t="s">
        <v>1321</v>
      </c>
      <c r="FE473">
        <v>3</v>
      </c>
      <c r="FG473">
        <v>2</v>
      </c>
      <c r="FH473">
        <v>2</v>
      </c>
      <c r="FI473">
        <v>2</v>
      </c>
      <c r="FJ473">
        <v>2</v>
      </c>
      <c r="FK473" t="s">
        <v>1321</v>
      </c>
      <c r="FN473" t="s">
        <v>1321</v>
      </c>
      <c r="FO473" t="s">
        <v>1321</v>
      </c>
      <c r="FP473" t="s">
        <v>2514</v>
      </c>
      <c r="FQ473" t="s">
        <v>2514</v>
      </c>
      <c r="FR473" t="s">
        <v>2514</v>
      </c>
      <c r="FS473" t="s">
        <v>2514</v>
      </c>
      <c r="IL473">
        <f t="shared" si="13"/>
        <v>150</v>
      </c>
    </row>
    <row r="474" spans="1:246" outlineLevel="1" x14ac:dyDescent="0.2">
      <c r="A474" t="str">
        <f t="shared" si="12"/>
        <v>Invocatio minor</v>
      </c>
      <c r="AZ474" t="s">
        <v>1321</v>
      </c>
      <c r="BA474" t="s">
        <v>1321</v>
      </c>
      <c r="BB474" t="s">
        <v>1321</v>
      </c>
      <c r="BC474" t="s">
        <v>1321</v>
      </c>
      <c r="BD474" t="s">
        <v>1321</v>
      </c>
      <c r="BE474" t="s">
        <v>1321</v>
      </c>
      <c r="BF474" t="s">
        <v>1321</v>
      </c>
      <c r="BG474" t="s">
        <v>1321</v>
      </c>
      <c r="BI474" t="s">
        <v>1321</v>
      </c>
      <c r="BJ474" t="s">
        <v>1321</v>
      </c>
      <c r="CW474" t="s">
        <v>1321</v>
      </c>
      <c r="CX474" t="s">
        <v>2515</v>
      </c>
      <c r="CY474" t="s">
        <v>1321</v>
      </c>
      <c r="DA474" t="s">
        <v>1321</v>
      </c>
      <c r="DC474" t="s">
        <v>2514</v>
      </c>
      <c r="DD474" t="s">
        <v>1321</v>
      </c>
      <c r="DE474" t="s">
        <v>1321</v>
      </c>
      <c r="DL474" t="s">
        <v>1321</v>
      </c>
      <c r="DN474" t="s">
        <v>1321</v>
      </c>
      <c r="DO474" t="s">
        <v>1321</v>
      </c>
      <c r="DP474" t="s">
        <v>1321</v>
      </c>
      <c r="DQ474" t="s">
        <v>1321</v>
      </c>
      <c r="DT474" t="s">
        <v>1321</v>
      </c>
      <c r="DU474" t="s">
        <v>1321</v>
      </c>
      <c r="DV474" t="s">
        <v>1321</v>
      </c>
      <c r="DW474" t="s">
        <v>1321</v>
      </c>
      <c r="DZ474" t="s">
        <v>1321</v>
      </c>
      <c r="EA474" t="s">
        <v>1321</v>
      </c>
      <c r="EC474" t="s">
        <v>1321</v>
      </c>
      <c r="ED474" t="s">
        <v>1321</v>
      </c>
      <c r="EE474" t="s">
        <v>1321</v>
      </c>
      <c r="EF474" t="s">
        <v>1321</v>
      </c>
      <c r="EH474" t="s">
        <v>1321</v>
      </c>
      <c r="EI474" t="s">
        <v>1321</v>
      </c>
      <c r="EJ474" t="s">
        <v>1321</v>
      </c>
      <c r="EK474" t="s">
        <v>2514</v>
      </c>
      <c r="EL474">
        <v>4</v>
      </c>
      <c r="EM474" t="s">
        <v>2514</v>
      </c>
      <c r="EN474" t="s">
        <v>1321</v>
      </c>
      <c r="EY474" t="s">
        <v>2514</v>
      </c>
      <c r="EZ474" t="s">
        <v>1321</v>
      </c>
      <c r="FA474" t="s">
        <v>1321</v>
      </c>
      <c r="FB474" t="s">
        <v>1321</v>
      </c>
      <c r="FC474" t="s">
        <v>1321</v>
      </c>
      <c r="FD474" t="s">
        <v>1321</v>
      </c>
      <c r="FE474" t="s">
        <v>2516</v>
      </c>
      <c r="FG474">
        <v>4</v>
      </c>
      <c r="FH474">
        <v>4</v>
      </c>
      <c r="FI474">
        <v>4</v>
      </c>
      <c r="FJ474">
        <v>4</v>
      </c>
      <c r="FK474" t="s">
        <v>1321</v>
      </c>
      <c r="FN474" t="s">
        <v>1321</v>
      </c>
      <c r="FO474" t="s">
        <v>1321</v>
      </c>
      <c r="FP474" t="s">
        <v>2515</v>
      </c>
      <c r="FQ474" t="s">
        <v>2515</v>
      </c>
      <c r="FR474" t="s">
        <v>2515</v>
      </c>
      <c r="FS474" t="s">
        <v>2515</v>
      </c>
      <c r="IL474">
        <f t="shared" si="13"/>
        <v>151</v>
      </c>
    </row>
    <row r="475" spans="1:246" outlineLevel="1" x14ac:dyDescent="0.2">
      <c r="A475" t="str">
        <f t="shared" si="12"/>
        <v>Iribaars Hand</v>
      </c>
      <c r="EZ475" t="s">
        <v>4569</v>
      </c>
      <c r="FA475" t="s">
        <v>4569</v>
      </c>
      <c r="FM475" t="s">
        <v>4569</v>
      </c>
      <c r="FP475" t="s">
        <v>4569</v>
      </c>
      <c r="FQ475" t="s">
        <v>4569</v>
      </c>
      <c r="FR475" t="s">
        <v>4569</v>
      </c>
      <c r="FS475" t="s">
        <v>4569</v>
      </c>
      <c r="IL475">
        <f t="shared" si="13"/>
        <v>152</v>
      </c>
    </row>
    <row r="476" spans="1:246" outlineLevel="1" x14ac:dyDescent="0.2">
      <c r="A476" t="str">
        <f t="shared" si="12"/>
        <v>Juckreiz dämlicher!</v>
      </c>
      <c r="B476" t="s">
        <v>4176</v>
      </c>
      <c r="O476" t="s">
        <v>4176</v>
      </c>
      <c r="AT476" t="s">
        <v>4176</v>
      </c>
      <c r="AY476" t="s">
        <v>4176</v>
      </c>
      <c r="BH476" t="s">
        <v>4176</v>
      </c>
      <c r="BK476" t="s">
        <v>4176</v>
      </c>
      <c r="CV476" t="s">
        <v>4176</v>
      </c>
      <c r="EX476" t="s">
        <v>4176</v>
      </c>
      <c r="EZ476" t="s">
        <v>4569</v>
      </c>
      <c r="FA476" t="s">
        <v>4569</v>
      </c>
      <c r="FM476" t="s">
        <v>4569</v>
      </c>
      <c r="FP476" t="s">
        <v>4569</v>
      </c>
      <c r="FQ476" t="s">
        <v>4569</v>
      </c>
      <c r="FR476" t="s">
        <v>4569</v>
      </c>
      <c r="FS476" t="s">
        <v>4569</v>
      </c>
      <c r="FW476" t="s">
        <v>4176</v>
      </c>
      <c r="GE476" t="s">
        <v>4176</v>
      </c>
      <c r="GM476" t="s">
        <v>4176</v>
      </c>
      <c r="GX476" t="s">
        <v>4176</v>
      </c>
      <c r="IJ476" t="s">
        <v>4176</v>
      </c>
      <c r="IL476">
        <f t="shared" si="13"/>
        <v>153</v>
      </c>
    </row>
    <row r="477" spans="1:246" outlineLevel="1" x14ac:dyDescent="0.2">
      <c r="A477" t="str">
        <f t="shared" si="12"/>
        <v>Karnifilo Raserei</v>
      </c>
      <c r="CB477" t="s">
        <v>1321</v>
      </c>
      <c r="CD477" t="s">
        <v>1321</v>
      </c>
      <c r="CG477" t="s">
        <v>1321</v>
      </c>
      <c r="CH477" t="s">
        <v>1321</v>
      </c>
      <c r="CJ477" t="s">
        <v>1321</v>
      </c>
      <c r="CK477" t="s">
        <v>1321</v>
      </c>
      <c r="CL477" t="s">
        <v>1321</v>
      </c>
      <c r="CW477" t="s">
        <v>1321</v>
      </c>
      <c r="CX477" t="s">
        <v>1321</v>
      </c>
      <c r="CY477" t="s">
        <v>1321</v>
      </c>
      <c r="DC477" t="s">
        <v>1321</v>
      </c>
      <c r="DF477" t="s">
        <v>1321</v>
      </c>
      <c r="DG477" t="s">
        <v>1321</v>
      </c>
      <c r="DH477" t="s">
        <v>1321</v>
      </c>
      <c r="DI477" t="s">
        <v>1321</v>
      </c>
      <c r="DJ477" t="s">
        <v>1321</v>
      </c>
      <c r="DK477" t="s">
        <v>1321</v>
      </c>
      <c r="DL477" t="s">
        <v>1321</v>
      </c>
      <c r="DN477" t="s">
        <v>1321</v>
      </c>
      <c r="DO477" t="s">
        <v>1321</v>
      </c>
      <c r="DP477" t="s">
        <v>1321</v>
      </c>
      <c r="DQ477" t="s">
        <v>1321</v>
      </c>
      <c r="DV477" t="s">
        <v>1321</v>
      </c>
      <c r="DW477" t="s">
        <v>1321</v>
      </c>
      <c r="DZ477">
        <v>4</v>
      </c>
      <c r="EA477" t="s">
        <v>1321</v>
      </c>
      <c r="EC477" t="s">
        <v>1321</v>
      </c>
      <c r="ED477" t="s">
        <v>1321</v>
      </c>
      <c r="EF477" t="s">
        <v>1321</v>
      </c>
      <c r="EJ477" t="s">
        <v>1321</v>
      </c>
      <c r="EK477" t="s">
        <v>1321</v>
      </c>
      <c r="EL477" t="s">
        <v>1321</v>
      </c>
      <c r="EM477" t="s">
        <v>1321</v>
      </c>
      <c r="EN477" t="s">
        <v>1321</v>
      </c>
      <c r="EO477" t="s">
        <v>1321</v>
      </c>
      <c r="EP477" t="s">
        <v>1321</v>
      </c>
      <c r="ER477" t="s">
        <v>1321</v>
      </c>
      <c r="ES477" t="s">
        <v>1321</v>
      </c>
      <c r="EU477" t="s">
        <v>1321</v>
      </c>
      <c r="EZ477" t="s">
        <v>4569</v>
      </c>
      <c r="FA477" t="s">
        <v>4569</v>
      </c>
      <c r="FB477" t="s">
        <v>1321</v>
      </c>
      <c r="FC477" t="s">
        <v>1321</v>
      </c>
      <c r="FG477" t="s">
        <v>1321</v>
      </c>
      <c r="FH477">
        <v>4</v>
      </c>
      <c r="FI477" t="s">
        <v>1321</v>
      </c>
      <c r="FJ477" t="s">
        <v>1321</v>
      </c>
      <c r="FK477" t="s">
        <v>1321</v>
      </c>
      <c r="FM477" t="s">
        <v>4569</v>
      </c>
      <c r="FN477" t="s">
        <v>1321</v>
      </c>
      <c r="FP477" t="s">
        <v>1321</v>
      </c>
      <c r="FQ477">
        <v>3</v>
      </c>
      <c r="FR477" t="s">
        <v>1321</v>
      </c>
      <c r="FS477" t="s">
        <v>1321</v>
      </c>
      <c r="IL477">
        <f t="shared" si="13"/>
        <v>154</v>
      </c>
    </row>
    <row r="478" spans="1:246" outlineLevel="1" x14ac:dyDescent="0.2">
      <c r="A478" t="str">
        <f t="shared" si="12"/>
        <v>Katzenaugen</v>
      </c>
      <c r="AZ478" t="s">
        <v>1321</v>
      </c>
      <c r="BA478" t="s">
        <v>1321</v>
      </c>
      <c r="BB478" t="s">
        <v>2516</v>
      </c>
      <c r="BC478">
        <v>3</v>
      </c>
      <c r="BD478" t="s">
        <v>1321</v>
      </c>
      <c r="BE478">
        <v>2</v>
      </c>
      <c r="BF478" t="s">
        <v>1321</v>
      </c>
      <c r="BG478" t="s">
        <v>1321</v>
      </c>
      <c r="CB478" t="s">
        <v>1321</v>
      </c>
      <c r="CE478" t="s">
        <v>1321</v>
      </c>
      <c r="CF478" t="s">
        <v>1321</v>
      </c>
      <c r="CG478" t="s">
        <v>1321</v>
      </c>
      <c r="CH478" t="s">
        <v>1321</v>
      </c>
      <c r="CI478" t="s">
        <v>1321</v>
      </c>
      <c r="CK478" t="s">
        <v>1321</v>
      </c>
      <c r="CL478" t="s">
        <v>1321</v>
      </c>
      <c r="EZ478" t="s">
        <v>4569</v>
      </c>
      <c r="FA478" t="s">
        <v>4569</v>
      </c>
      <c r="FM478" t="s">
        <v>4569</v>
      </c>
      <c r="FP478" t="s">
        <v>4569</v>
      </c>
      <c r="FQ478" t="s">
        <v>4569</v>
      </c>
      <c r="FR478" t="s">
        <v>4569</v>
      </c>
      <c r="FS478" t="s">
        <v>4569</v>
      </c>
      <c r="IL478">
        <f t="shared" si="13"/>
        <v>155</v>
      </c>
    </row>
    <row r="479" spans="1:246" outlineLevel="1" x14ac:dyDescent="0.2">
      <c r="A479" t="str">
        <f t="shared" si="12"/>
        <v>Klarum Purum</v>
      </c>
      <c r="G479">
        <v>2</v>
      </c>
      <c r="J479" t="s">
        <v>1321</v>
      </c>
      <c r="P479" t="s">
        <v>1321</v>
      </c>
      <c r="AD479" t="s">
        <v>1321</v>
      </c>
      <c r="AV479" t="s">
        <v>1321</v>
      </c>
      <c r="BA479">
        <v>3</v>
      </c>
      <c r="BG479">
        <v>2</v>
      </c>
      <c r="CB479" t="s">
        <v>1321</v>
      </c>
      <c r="CW479" t="s">
        <v>2514</v>
      </c>
      <c r="CX479" t="s">
        <v>1321</v>
      </c>
      <c r="CY479">
        <v>3</v>
      </c>
      <c r="CZ479" t="s">
        <v>1321</v>
      </c>
      <c r="DA479" t="s">
        <v>1321</v>
      </c>
      <c r="DB479" t="s">
        <v>1321</v>
      </c>
      <c r="DC479" t="s">
        <v>1321</v>
      </c>
      <c r="DD479">
        <v>2</v>
      </c>
      <c r="DE479" t="s">
        <v>2515</v>
      </c>
      <c r="DF479" t="s">
        <v>1321</v>
      </c>
      <c r="DG479" t="s">
        <v>2515</v>
      </c>
      <c r="DH479" t="s">
        <v>1321</v>
      </c>
      <c r="DI479" t="s">
        <v>1321</v>
      </c>
      <c r="DJ479" t="s">
        <v>1321</v>
      </c>
      <c r="DK479" t="s">
        <v>1321</v>
      </c>
      <c r="DL479">
        <v>5</v>
      </c>
      <c r="DM479" t="s">
        <v>1321</v>
      </c>
      <c r="DN479">
        <v>2</v>
      </c>
      <c r="DO479">
        <v>2</v>
      </c>
      <c r="DP479">
        <v>4</v>
      </c>
      <c r="DQ479" t="s">
        <v>1321</v>
      </c>
      <c r="DR479" t="s">
        <v>1321</v>
      </c>
      <c r="DS479" t="s">
        <v>1321</v>
      </c>
      <c r="DT479">
        <v>2</v>
      </c>
      <c r="DU479" t="s">
        <v>1321</v>
      </c>
      <c r="DV479" t="s">
        <v>1321</v>
      </c>
      <c r="DW479" t="s">
        <v>1321</v>
      </c>
      <c r="DX479">
        <v>4</v>
      </c>
      <c r="DY479">
        <v>2</v>
      </c>
      <c r="DZ479" t="s">
        <v>1321</v>
      </c>
      <c r="EA479">
        <v>2</v>
      </c>
      <c r="EB479" t="s">
        <v>1321</v>
      </c>
      <c r="EC479" t="s">
        <v>2515</v>
      </c>
      <c r="ED479" t="s">
        <v>1321</v>
      </c>
      <c r="EE479" t="s">
        <v>1321</v>
      </c>
      <c r="EF479" t="s">
        <v>2514</v>
      </c>
      <c r="EG479" t="s">
        <v>1321</v>
      </c>
      <c r="EH479" t="s">
        <v>1321</v>
      </c>
      <c r="EI479" t="s">
        <v>1321</v>
      </c>
      <c r="EJ479" t="s">
        <v>1321</v>
      </c>
      <c r="EK479" t="s">
        <v>1321</v>
      </c>
      <c r="EL479" t="s">
        <v>1321</v>
      </c>
      <c r="EM479" t="s">
        <v>1321</v>
      </c>
      <c r="EN479" t="s">
        <v>1321</v>
      </c>
      <c r="EO479" t="s">
        <v>1321</v>
      </c>
      <c r="EP479" t="s">
        <v>1321</v>
      </c>
      <c r="EQ479" t="s">
        <v>1321</v>
      </c>
      <c r="ER479">
        <v>2</v>
      </c>
      <c r="ES479" t="s">
        <v>1321</v>
      </c>
      <c r="ET479" t="s">
        <v>2515</v>
      </c>
      <c r="EU479" t="s">
        <v>1321</v>
      </c>
      <c r="EV479">
        <v>3</v>
      </c>
      <c r="EW479" t="s">
        <v>1321</v>
      </c>
      <c r="EY479" t="s">
        <v>2514</v>
      </c>
      <c r="EZ479" t="s">
        <v>1321</v>
      </c>
      <c r="FA479" t="s">
        <v>1321</v>
      </c>
      <c r="FB479" t="s">
        <v>1321</v>
      </c>
      <c r="FC479" t="s">
        <v>1321</v>
      </c>
      <c r="FD479" t="s">
        <v>1321</v>
      </c>
      <c r="FE479">
        <v>4</v>
      </c>
      <c r="FF479" t="s">
        <v>2516</v>
      </c>
      <c r="FG479" t="s">
        <v>1321</v>
      </c>
      <c r="FH479" t="s">
        <v>1321</v>
      </c>
      <c r="FI479" t="s">
        <v>1321</v>
      </c>
      <c r="FJ479" t="s">
        <v>1321</v>
      </c>
      <c r="FK479" t="s">
        <v>1321</v>
      </c>
      <c r="FL479">
        <v>2</v>
      </c>
      <c r="FM479" t="s">
        <v>1321</v>
      </c>
      <c r="FO479" t="s">
        <v>1321</v>
      </c>
      <c r="FP479" t="s">
        <v>1321</v>
      </c>
      <c r="FQ479" t="s">
        <v>1321</v>
      </c>
      <c r="FR479" t="s">
        <v>2516</v>
      </c>
      <c r="FS479" t="s">
        <v>1321</v>
      </c>
      <c r="FT479" t="s">
        <v>1321</v>
      </c>
      <c r="FU479" t="s">
        <v>1321</v>
      </c>
      <c r="FV479">
        <v>4</v>
      </c>
      <c r="HB479" t="s">
        <v>1321</v>
      </c>
      <c r="HD479" t="s">
        <v>1321</v>
      </c>
      <c r="HF479" t="s">
        <v>1321</v>
      </c>
      <c r="HH479" t="s">
        <v>1321</v>
      </c>
      <c r="HJ479" t="s">
        <v>1321</v>
      </c>
      <c r="HL479" t="s">
        <v>1321</v>
      </c>
      <c r="HN479" t="s">
        <v>1321</v>
      </c>
      <c r="HP479" t="s">
        <v>1321</v>
      </c>
      <c r="HQ479" t="s">
        <v>1321</v>
      </c>
      <c r="HS479" t="s">
        <v>1321</v>
      </c>
      <c r="HU479" t="s">
        <v>1321</v>
      </c>
      <c r="HW479" t="s">
        <v>1321</v>
      </c>
      <c r="HY479" t="s">
        <v>1321</v>
      </c>
      <c r="IA479" t="s">
        <v>1321</v>
      </c>
      <c r="IC479" t="s">
        <v>1321</v>
      </c>
      <c r="ID479" t="s">
        <v>1321</v>
      </c>
      <c r="IG479" t="s">
        <v>1321</v>
      </c>
      <c r="II479" t="s">
        <v>1321</v>
      </c>
      <c r="IL479">
        <f t="shared" si="13"/>
        <v>156</v>
      </c>
    </row>
    <row r="480" spans="1:246" outlineLevel="1" x14ac:dyDescent="0.2">
      <c r="A480" t="str">
        <f t="shared" si="12"/>
        <v>Klickeradomms</v>
      </c>
      <c r="EZ480" t="s">
        <v>4569</v>
      </c>
      <c r="FA480" t="s">
        <v>4569</v>
      </c>
      <c r="FM480" t="s">
        <v>4569</v>
      </c>
      <c r="FP480" t="s">
        <v>4569</v>
      </c>
      <c r="FQ480" t="s">
        <v>4569</v>
      </c>
      <c r="FR480" t="s">
        <v>4569</v>
      </c>
      <c r="FS480" t="s">
        <v>4569</v>
      </c>
      <c r="GF480">
        <v>5</v>
      </c>
      <c r="GG480">
        <v>5</v>
      </c>
      <c r="GH480">
        <v>5</v>
      </c>
      <c r="GI480">
        <v>5</v>
      </c>
      <c r="GJ480">
        <v>5</v>
      </c>
      <c r="GK480">
        <v>5</v>
      </c>
      <c r="GL480">
        <v>5</v>
      </c>
      <c r="HB480" t="s">
        <v>1321</v>
      </c>
      <c r="HD480" t="s">
        <v>1321</v>
      </c>
      <c r="HF480" t="s">
        <v>1321</v>
      </c>
      <c r="HH480" t="s">
        <v>1321</v>
      </c>
      <c r="HJ480" t="s">
        <v>1321</v>
      </c>
      <c r="HL480" t="s">
        <v>1321</v>
      </c>
      <c r="HN480" t="s">
        <v>1321</v>
      </c>
      <c r="HP480" t="s">
        <v>1321</v>
      </c>
      <c r="HQ480" t="s">
        <v>1321</v>
      </c>
      <c r="HS480" t="s">
        <v>1321</v>
      </c>
      <c r="HU480" t="s">
        <v>1321</v>
      </c>
      <c r="HW480" t="s">
        <v>1321</v>
      </c>
      <c r="HY480" t="s">
        <v>1321</v>
      </c>
      <c r="IA480" t="s">
        <v>1321</v>
      </c>
      <c r="IC480" t="s">
        <v>1321</v>
      </c>
      <c r="ID480" t="s">
        <v>1321</v>
      </c>
      <c r="IG480" t="s">
        <v>1321</v>
      </c>
      <c r="II480" t="s">
        <v>1321</v>
      </c>
      <c r="IL480">
        <f t="shared" si="13"/>
        <v>157</v>
      </c>
    </row>
    <row r="481" spans="1:246" outlineLevel="1" x14ac:dyDescent="0.2">
      <c r="A481" t="str">
        <f t="shared" si="12"/>
        <v>Koboldgeschenk</v>
      </c>
      <c r="EZ481" t="s">
        <v>4569</v>
      </c>
      <c r="FA481" t="s">
        <v>4569</v>
      </c>
      <c r="FM481" t="s">
        <v>4569</v>
      </c>
      <c r="FP481" t="s">
        <v>4569</v>
      </c>
      <c r="FQ481" t="s">
        <v>4569</v>
      </c>
      <c r="FR481" t="s">
        <v>4569</v>
      </c>
      <c r="FS481" t="s">
        <v>4569</v>
      </c>
      <c r="GF481" t="s">
        <v>2515</v>
      </c>
      <c r="GG481" t="s">
        <v>2515</v>
      </c>
      <c r="GH481" t="s">
        <v>2515</v>
      </c>
      <c r="GI481" t="s">
        <v>2515</v>
      </c>
      <c r="GJ481" t="s">
        <v>2515</v>
      </c>
      <c r="GK481" t="s">
        <v>2515</v>
      </c>
      <c r="GL481" t="s">
        <v>2515</v>
      </c>
      <c r="IL481">
        <f t="shared" si="13"/>
        <v>158</v>
      </c>
    </row>
    <row r="482" spans="1:246" outlineLevel="1" x14ac:dyDescent="0.2">
      <c r="A482" t="str">
        <f t="shared" si="12"/>
        <v>Koboldovision</v>
      </c>
      <c r="EZ482" t="s">
        <v>4569</v>
      </c>
      <c r="FA482" t="s">
        <v>4569</v>
      </c>
      <c r="FM482" t="s">
        <v>4569</v>
      </c>
      <c r="FP482" t="s">
        <v>4569</v>
      </c>
      <c r="FQ482" t="s">
        <v>4569</v>
      </c>
      <c r="FR482" t="s">
        <v>4569</v>
      </c>
      <c r="FS482" t="s">
        <v>4569</v>
      </c>
      <c r="GF482" t="s">
        <v>1321</v>
      </c>
      <c r="GG482" t="s">
        <v>1321</v>
      </c>
      <c r="GH482" t="s">
        <v>1321</v>
      </c>
      <c r="GI482" t="s">
        <v>1321</v>
      </c>
      <c r="GJ482" t="s">
        <v>1321</v>
      </c>
      <c r="GK482" t="s">
        <v>1321</v>
      </c>
      <c r="GL482" t="s">
        <v>1321</v>
      </c>
      <c r="IL482">
        <f t="shared" si="13"/>
        <v>159</v>
      </c>
    </row>
    <row r="483" spans="1:246" outlineLevel="1" x14ac:dyDescent="0.2">
      <c r="A483" t="str">
        <f t="shared" si="12"/>
        <v>Komm Kobold komm</v>
      </c>
      <c r="EZ483" t="s">
        <v>4569</v>
      </c>
      <c r="FA483" t="s">
        <v>4569</v>
      </c>
      <c r="FM483" t="s">
        <v>4569</v>
      </c>
      <c r="FP483" t="s">
        <v>4569</v>
      </c>
      <c r="FQ483" t="s">
        <v>4569</v>
      </c>
      <c r="FR483" t="s">
        <v>4569</v>
      </c>
      <c r="FS483" t="s">
        <v>4569</v>
      </c>
      <c r="GF483" t="s">
        <v>2514</v>
      </c>
      <c r="GG483" t="s">
        <v>2514</v>
      </c>
      <c r="GH483" t="s">
        <v>2514</v>
      </c>
      <c r="GI483" t="s">
        <v>2514</v>
      </c>
      <c r="GJ483" t="s">
        <v>2514</v>
      </c>
      <c r="GK483" t="s">
        <v>2514</v>
      </c>
      <c r="GL483" t="s">
        <v>2514</v>
      </c>
      <c r="IL483">
        <f t="shared" si="13"/>
        <v>160</v>
      </c>
    </row>
    <row r="484" spans="1:246" outlineLevel="1" x14ac:dyDescent="0.2">
      <c r="A484" t="str">
        <f t="shared" si="12"/>
        <v>Körperlose Reise</v>
      </c>
      <c r="E484">
        <v>2</v>
      </c>
      <c r="DA484">
        <v>2</v>
      </c>
      <c r="ES484" t="s">
        <v>1321</v>
      </c>
      <c r="EZ484" t="s">
        <v>4569</v>
      </c>
      <c r="FA484" t="s">
        <v>4569</v>
      </c>
      <c r="FM484" t="s">
        <v>4569</v>
      </c>
      <c r="FP484" t="s">
        <v>4569</v>
      </c>
      <c r="FQ484" t="s">
        <v>4569</v>
      </c>
      <c r="FR484" t="s">
        <v>4569</v>
      </c>
      <c r="FS484" t="s">
        <v>4569</v>
      </c>
      <c r="IL484">
        <f t="shared" si="13"/>
        <v>161</v>
      </c>
    </row>
    <row r="485" spans="1:246" outlineLevel="1" x14ac:dyDescent="0.2">
      <c r="A485" t="str">
        <f t="shared" si="12"/>
        <v>Krabbelnder Schrecken</v>
      </c>
      <c r="BD485" t="s">
        <v>1321</v>
      </c>
      <c r="BG485" t="s">
        <v>4901</v>
      </c>
      <c r="EZ485" t="s">
        <v>4569</v>
      </c>
      <c r="FA485" t="s">
        <v>4569</v>
      </c>
      <c r="FM485" t="s">
        <v>4569</v>
      </c>
      <c r="FP485" t="s">
        <v>4569</v>
      </c>
      <c r="FQ485" t="s">
        <v>4569</v>
      </c>
      <c r="FR485" t="s">
        <v>4569</v>
      </c>
      <c r="FS485" t="s">
        <v>4569</v>
      </c>
      <c r="IL485">
        <f t="shared" si="13"/>
        <v>162</v>
      </c>
    </row>
    <row r="486" spans="1:246" outlineLevel="1" x14ac:dyDescent="0.2">
      <c r="A486" t="str">
        <f t="shared" si="12"/>
        <v>Kraft des Erzes</v>
      </c>
      <c r="M486" t="s">
        <v>2516</v>
      </c>
      <c r="AU486" t="s">
        <v>1321</v>
      </c>
      <c r="AV486" t="s">
        <v>1321</v>
      </c>
      <c r="AW486" t="s">
        <v>1321</v>
      </c>
      <c r="AX486" t="s">
        <v>1321</v>
      </c>
      <c r="DF486" t="s">
        <v>1321</v>
      </c>
      <c r="DG486" t="s">
        <v>1321</v>
      </c>
      <c r="DH486" t="s">
        <v>1321</v>
      </c>
      <c r="DI486" t="s">
        <v>1321</v>
      </c>
      <c r="DJ486">
        <v>2</v>
      </c>
      <c r="DK486" t="s">
        <v>1321</v>
      </c>
      <c r="EZ486" t="s">
        <v>4569</v>
      </c>
      <c r="FA486" t="s">
        <v>4569</v>
      </c>
      <c r="FM486" t="s">
        <v>4569</v>
      </c>
      <c r="FP486" t="s">
        <v>4569</v>
      </c>
      <c r="FQ486" t="s">
        <v>4569</v>
      </c>
      <c r="FR486" t="s">
        <v>4569</v>
      </c>
      <c r="FS486" t="s">
        <v>4569</v>
      </c>
      <c r="IL486">
        <f t="shared" si="13"/>
        <v>163</v>
      </c>
    </row>
    <row r="487" spans="1:246" outlineLevel="1" x14ac:dyDescent="0.2">
      <c r="A487" t="str">
        <f t="shared" si="12"/>
        <v>Kraft des Humus</v>
      </c>
      <c r="IL487">
        <f t="shared" si="13"/>
        <v>164</v>
      </c>
    </row>
    <row r="488" spans="1:246" outlineLevel="1" x14ac:dyDescent="0.2">
      <c r="A488" t="str">
        <f t="shared" si="12"/>
        <v>Krähenruf</v>
      </c>
      <c r="AZ488" t="s">
        <v>1321</v>
      </c>
      <c r="BA488">
        <v>2</v>
      </c>
      <c r="BB488">
        <v>3</v>
      </c>
      <c r="BC488">
        <v>3</v>
      </c>
      <c r="BD488" t="s">
        <v>2514</v>
      </c>
      <c r="BE488" t="s">
        <v>2514</v>
      </c>
      <c r="BF488">
        <v>3</v>
      </c>
      <c r="BG488" t="s">
        <v>1321</v>
      </c>
      <c r="EZ488" t="s">
        <v>4569</v>
      </c>
      <c r="FA488" t="s">
        <v>4569</v>
      </c>
      <c r="FM488" t="s">
        <v>4569</v>
      </c>
      <c r="FP488" t="s">
        <v>4569</v>
      </c>
      <c r="FQ488" t="s">
        <v>4569</v>
      </c>
      <c r="FR488" t="s">
        <v>4569</v>
      </c>
      <c r="FS488" t="s">
        <v>4569</v>
      </c>
      <c r="IL488">
        <f t="shared" si="13"/>
        <v>165</v>
      </c>
    </row>
    <row r="489" spans="1:246" outlineLevel="1" x14ac:dyDescent="0.2">
      <c r="A489" t="str">
        <f t="shared" si="12"/>
        <v>Krötensprung</v>
      </c>
      <c r="X489" t="s">
        <v>1321</v>
      </c>
      <c r="Y489" t="s">
        <v>1321</v>
      </c>
      <c r="Z489" t="s">
        <v>1321</v>
      </c>
      <c r="AA489" t="s">
        <v>1321</v>
      </c>
      <c r="AB489" t="s">
        <v>1321</v>
      </c>
      <c r="AK489" t="s">
        <v>1321</v>
      </c>
      <c r="AL489" t="s">
        <v>1321</v>
      </c>
      <c r="AM489" t="s">
        <v>1321</v>
      </c>
      <c r="AN489" t="s">
        <v>1321</v>
      </c>
      <c r="AZ489" t="s">
        <v>1321</v>
      </c>
      <c r="BA489">
        <v>3</v>
      </c>
      <c r="BB489" t="s">
        <v>1321</v>
      </c>
      <c r="BC489">
        <v>3</v>
      </c>
      <c r="BD489" t="s">
        <v>1321</v>
      </c>
      <c r="BE489" t="s">
        <v>1321</v>
      </c>
      <c r="BF489" t="s">
        <v>4901</v>
      </c>
      <c r="BG489" t="s">
        <v>1321</v>
      </c>
      <c r="CB489" t="s">
        <v>1321</v>
      </c>
      <c r="CE489" t="s">
        <v>1321</v>
      </c>
      <c r="CG489" t="s">
        <v>1321</v>
      </c>
      <c r="CH489" t="s">
        <v>1321</v>
      </c>
      <c r="CI489" t="s">
        <v>1321</v>
      </c>
      <c r="CL489" t="s">
        <v>1321</v>
      </c>
      <c r="EZ489" t="s">
        <v>4569</v>
      </c>
      <c r="FA489" t="s">
        <v>4569</v>
      </c>
      <c r="FM489" t="s">
        <v>4569</v>
      </c>
      <c r="FP489" t="s">
        <v>4569</v>
      </c>
      <c r="FQ489" t="s">
        <v>4569</v>
      </c>
      <c r="FR489" t="s">
        <v>4569</v>
      </c>
      <c r="FS489" t="s">
        <v>4569</v>
      </c>
      <c r="IL489">
        <f t="shared" si="13"/>
        <v>166</v>
      </c>
    </row>
    <row r="490" spans="1:246" outlineLevel="1" x14ac:dyDescent="0.2">
      <c r="A490" t="str">
        <f t="shared" si="12"/>
        <v>Kulminatio Kugelblitz</v>
      </c>
      <c r="EZ490" t="s">
        <v>4569</v>
      </c>
      <c r="FA490" t="s">
        <v>4569</v>
      </c>
      <c r="FJ490" t="s">
        <v>4901</v>
      </c>
      <c r="FM490" t="s">
        <v>4569</v>
      </c>
      <c r="FP490" t="s">
        <v>4569</v>
      </c>
      <c r="FQ490" t="s">
        <v>4569</v>
      </c>
      <c r="FR490" t="s">
        <v>4569</v>
      </c>
      <c r="FS490" t="s">
        <v>4569</v>
      </c>
      <c r="IL490">
        <f t="shared" si="13"/>
        <v>167</v>
      </c>
    </row>
    <row r="491" spans="1:246" outlineLevel="1" x14ac:dyDescent="0.2">
      <c r="A491" t="str">
        <f t="shared" si="12"/>
        <v>Kusch!</v>
      </c>
      <c r="CB491" t="s">
        <v>1321</v>
      </c>
      <c r="CD491" t="s">
        <v>1321</v>
      </c>
      <c r="CF491" t="s">
        <v>1321</v>
      </c>
      <c r="CG491" t="s">
        <v>1321</v>
      </c>
      <c r="CH491" t="s">
        <v>1321</v>
      </c>
      <c r="CI491" t="s">
        <v>1321</v>
      </c>
      <c r="CJ491" t="s">
        <v>1321</v>
      </c>
      <c r="CK491" t="s">
        <v>1321</v>
      </c>
      <c r="CL491" t="s">
        <v>1321</v>
      </c>
      <c r="EZ491" t="s">
        <v>4569</v>
      </c>
      <c r="FA491" t="s">
        <v>4569</v>
      </c>
      <c r="FM491" t="s">
        <v>4569</v>
      </c>
      <c r="FP491" t="s">
        <v>4569</v>
      </c>
      <c r="FQ491" t="s">
        <v>4569</v>
      </c>
      <c r="FR491" t="s">
        <v>4569</v>
      </c>
      <c r="FS491" t="s">
        <v>4569</v>
      </c>
      <c r="GF491" t="s">
        <v>1321</v>
      </c>
      <c r="GG491" t="s">
        <v>1321</v>
      </c>
      <c r="GH491" t="s">
        <v>1321</v>
      </c>
      <c r="GI491" t="s">
        <v>1321</v>
      </c>
      <c r="GJ491" t="s">
        <v>1321</v>
      </c>
      <c r="GK491" t="s">
        <v>1321</v>
      </c>
      <c r="GL491" t="s">
        <v>1321</v>
      </c>
      <c r="IL491">
        <f t="shared" si="13"/>
        <v>168</v>
      </c>
    </row>
    <row r="492" spans="1:246" outlineLevel="1" x14ac:dyDescent="0.2">
      <c r="A492" t="str">
        <f t="shared" si="12"/>
        <v>Lach dich gesund!</v>
      </c>
      <c r="B492" t="s">
        <v>4175</v>
      </c>
      <c r="O492" t="s">
        <v>4175</v>
      </c>
      <c r="AT492" t="s">
        <v>4175</v>
      </c>
      <c r="AY492" t="s">
        <v>4175</v>
      </c>
      <c r="BH492" t="s">
        <v>4175</v>
      </c>
      <c r="BK492" t="s">
        <v>4175</v>
      </c>
      <c r="CV492" t="s">
        <v>4175</v>
      </c>
      <c r="EX492" t="s">
        <v>4175</v>
      </c>
      <c r="EZ492" t="s">
        <v>4569</v>
      </c>
      <c r="FA492" t="s">
        <v>4569</v>
      </c>
      <c r="FM492" t="s">
        <v>4569</v>
      </c>
      <c r="FP492" t="s">
        <v>4569</v>
      </c>
      <c r="FQ492" t="s">
        <v>4569</v>
      </c>
      <c r="FR492" t="s">
        <v>4569</v>
      </c>
      <c r="FS492" t="s">
        <v>4569</v>
      </c>
      <c r="FW492" t="s">
        <v>4175</v>
      </c>
      <c r="GE492" t="s">
        <v>4175</v>
      </c>
      <c r="GF492" t="s">
        <v>1321</v>
      </c>
      <c r="GG492" t="s">
        <v>1321</v>
      </c>
      <c r="GH492" t="s">
        <v>1321</v>
      </c>
      <c r="GI492" t="s">
        <v>1321</v>
      </c>
      <c r="GJ492" t="s">
        <v>1321</v>
      </c>
      <c r="GK492" t="s">
        <v>1321</v>
      </c>
      <c r="GL492" t="s">
        <v>1321</v>
      </c>
      <c r="GM492" t="s">
        <v>4175</v>
      </c>
      <c r="GX492" t="s">
        <v>4175</v>
      </c>
      <c r="IJ492" t="s">
        <v>4175</v>
      </c>
      <c r="IL492">
        <f t="shared" si="13"/>
        <v>169</v>
      </c>
    </row>
    <row r="493" spans="1:246" outlineLevel="1" x14ac:dyDescent="0.2">
      <c r="A493" t="str">
        <f t="shared" si="12"/>
        <v>Lachkrampf</v>
      </c>
      <c r="CF493" t="s">
        <v>1321</v>
      </c>
      <c r="EZ493" t="s">
        <v>4569</v>
      </c>
      <c r="FA493" t="s">
        <v>4569</v>
      </c>
      <c r="FM493" t="s">
        <v>4569</v>
      </c>
      <c r="FP493" t="s">
        <v>4569</v>
      </c>
      <c r="FQ493" t="s">
        <v>4569</v>
      </c>
      <c r="FR493" t="s">
        <v>4569</v>
      </c>
      <c r="FS493" t="s">
        <v>4569</v>
      </c>
      <c r="GF493" t="s">
        <v>2515</v>
      </c>
      <c r="GG493" t="s">
        <v>2515</v>
      </c>
      <c r="GH493" t="s">
        <v>2515</v>
      </c>
      <c r="GI493" t="s">
        <v>2515</v>
      </c>
      <c r="GJ493" t="s">
        <v>2515</v>
      </c>
      <c r="GK493" t="s">
        <v>2515</v>
      </c>
      <c r="GL493" t="s">
        <v>2515</v>
      </c>
      <c r="IL493">
        <f t="shared" si="13"/>
        <v>170</v>
      </c>
    </row>
    <row r="494" spans="1:246" outlineLevel="1" x14ac:dyDescent="0.2">
      <c r="A494" t="str">
        <f t="shared" si="12"/>
        <v>Langer Lulatsch</v>
      </c>
      <c r="EZ494" t="s">
        <v>4569</v>
      </c>
      <c r="FA494" t="s">
        <v>4569</v>
      </c>
      <c r="FM494" t="s">
        <v>4569</v>
      </c>
      <c r="FP494" t="s">
        <v>4569</v>
      </c>
      <c r="FQ494" t="s">
        <v>4569</v>
      </c>
      <c r="FR494" t="s">
        <v>4569</v>
      </c>
      <c r="FS494" t="s">
        <v>4569</v>
      </c>
      <c r="GF494" t="s">
        <v>1321</v>
      </c>
      <c r="GG494" t="s">
        <v>1321</v>
      </c>
      <c r="GH494" t="s">
        <v>1321</v>
      </c>
      <c r="GI494" t="s">
        <v>1321</v>
      </c>
      <c r="GJ494" t="s">
        <v>1321</v>
      </c>
      <c r="GK494" t="s">
        <v>1321</v>
      </c>
      <c r="GL494" t="s">
        <v>1321</v>
      </c>
      <c r="IL494">
        <f t="shared" si="13"/>
        <v>171</v>
      </c>
    </row>
    <row r="495" spans="1:246" outlineLevel="1" x14ac:dyDescent="0.2">
      <c r="A495" t="str">
        <f t="shared" si="12"/>
        <v>Last des Alters</v>
      </c>
      <c r="EZ495" t="s">
        <v>4569</v>
      </c>
      <c r="FA495" t="s">
        <v>4569</v>
      </c>
      <c r="FM495" t="s">
        <v>4569</v>
      </c>
      <c r="FP495" t="s">
        <v>4569</v>
      </c>
      <c r="FQ495" t="s">
        <v>4569</v>
      </c>
      <c r="FR495" t="s">
        <v>4569</v>
      </c>
      <c r="FS495" t="s">
        <v>4569</v>
      </c>
      <c r="IL495">
        <f t="shared" si="13"/>
        <v>172</v>
      </c>
    </row>
    <row r="496" spans="1:246" outlineLevel="1" x14ac:dyDescent="0.2">
      <c r="A496" t="str">
        <f t="shared" si="12"/>
        <v>Leib der Erde</v>
      </c>
      <c r="J496">
        <v>4</v>
      </c>
      <c r="X496" t="s">
        <v>1321</v>
      </c>
      <c r="Y496" t="s">
        <v>1321</v>
      </c>
      <c r="Z496" t="s">
        <v>1321</v>
      </c>
      <c r="AA496" t="s">
        <v>1321</v>
      </c>
      <c r="AB496" t="s">
        <v>1321</v>
      </c>
      <c r="AK496" t="s">
        <v>1321</v>
      </c>
      <c r="AL496" t="s">
        <v>1321</v>
      </c>
      <c r="AM496" t="s">
        <v>1321</v>
      </c>
      <c r="AN496" t="s">
        <v>1321</v>
      </c>
      <c r="CD496" t="s">
        <v>1321</v>
      </c>
      <c r="CH496" t="s">
        <v>1321</v>
      </c>
      <c r="CJ496" t="s">
        <v>1321</v>
      </c>
      <c r="CL496" t="s">
        <v>1321</v>
      </c>
      <c r="EZ496" t="s">
        <v>4569</v>
      </c>
      <c r="FA496" t="s">
        <v>4569</v>
      </c>
      <c r="FM496" t="s">
        <v>4569</v>
      </c>
      <c r="FP496" t="s">
        <v>4569</v>
      </c>
      <c r="FQ496" t="s">
        <v>4569</v>
      </c>
      <c r="FR496" t="s">
        <v>4569</v>
      </c>
      <c r="FS496" t="s">
        <v>4569</v>
      </c>
      <c r="IL496">
        <f t="shared" si="13"/>
        <v>173</v>
      </c>
    </row>
    <row r="497" spans="1:246" outlineLevel="1" x14ac:dyDescent="0.2">
      <c r="A497" t="str">
        <f t="shared" si="12"/>
        <v>Leib der Wogen</v>
      </c>
      <c r="CE497" t="s">
        <v>1321</v>
      </c>
      <c r="CF497" t="s">
        <v>1321</v>
      </c>
      <c r="EZ497" t="s">
        <v>4569</v>
      </c>
      <c r="FA497" t="s">
        <v>4569</v>
      </c>
      <c r="FM497" t="s">
        <v>4569</v>
      </c>
      <c r="FP497" t="s">
        <v>4569</v>
      </c>
      <c r="FQ497" t="s">
        <v>4569</v>
      </c>
      <c r="FR497" t="s">
        <v>4569</v>
      </c>
      <c r="FS497" t="s">
        <v>4569</v>
      </c>
      <c r="IL497">
        <f t="shared" si="13"/>
        <v>174</v>
      </c>
    </row>
    <row r="498" spans="1:246" outlineLevel="1" x14ac:dyDescent="0.2">
      <c r="A498" t="str">
        <f t="shared" si="12"/>
        <v>Leib des Eises</v>
      </c>
      <c r="R498" t="s">
        <v>1321</v>
      </c>
      <c r="V498" t="s">
        <v>1321</v>
      </c>
      <c r="X498" t="s">
        <v>1321</v>
      </c>
      <c r="AB498" t="s">
        <v>1321</v>
      </c>
      <c r="AI498" t="s">
        <v>1321</v>
      </c>
      <c r="AN498" t="s">
        <v>1321</v>
      </c>
      <c r="EZ498" t="s">
        <v>4569</v>
      </c>
      <c r="FA498" t="s">
        <v>4569</v>
      </c>
      <c r="FM498" t="s">
        <v>4569</v>
      </c>
      <c r="FP498" t="s">
        <v>4569</v>
      </c>
      <c r="FQ498" t="s">
        <v>4569</v>
      </c>
      <c r="FR498" t="s">
        <v>4569</v>
      </c>
      <c r="FS498" t="s">
        <v>4569</v>
      </c>
      <c r="IL498">
        <f t="shared" si="13"/>
        <v>175</v>
      </c>
    </row>
    <row r="499" spans="1:246" outlineLevel="1" x14ac:dyDescent="0.2">
      <c r="A499" t="str">
        <f t="shared" si="12"/>
        <v>Leib des Erzes</v>
      </c>
      <c r="M499" t="s">
        <v>4901</v>
      </c>
      <c r="EZ499" t="s">
        <v>4569</v>
      </c>
      <c r="FA499" t="s">
        <v>4569</v>
      </c>
      <c r="FM499" t="s">
        <v>4569</v>
      </c>
      <c r="FP499" t="s">
        <v>4569</v>
      </c>
      <c r="FQ499" t="s">
        <v>4569</v>
      </c>
      <c r="FR499" t="s">
        <v>4569</v>
      </c>
      <c r="FS499" t="s">
        <v>4569</v>
      </c>
      <c r="GJ499" t="s">
        <v>1321</v>
      </c>
      <c r="IL499">
        <f t="shared" si="13"/>
        <v>176</v>
      </c>
    </row>
    <row r="500" spans="1:246" outlineLevel="1" x14ac:dyDescent="0.2">
      <c r="A500" t="str">
        <f t="shared" si="12"/>
        <v>Leib des Feuers</v>
      </c>
      <c r="BD500" t="s">
        <v>1321</v>
      </c>
      <c r="BF500" t="s">
        <v>1321</v>
      </c>
      <c r="DF500">
        <v>2</v>
      </c>
      <c r="DG500" t="s">
        <v>1321</v>
      </c>
      <c r="DH500" t="s">
        <v>1321</v>
      </c>
      <c r="DI500" t="s">
        <v>1321</v>
      </c>
      <c r="DJ500" t="s">
        <v>1321</v>
      </c>
      <c r="DK500" t="s">
        <v>1321</v>
      </c>
      <c r="EZ500" t="s">
        <v>4569</v>
      </c>
      <c r="FA500" t="s">
        <v>4569</v>
      </c>
      <c r="FM500" t="s">
        <v>4569</v>
      </c>
      <c r="FP500" t="s">
        <v>4569</v>
      </c>
      <c r="FQ500" t="s">
        <v>2516</v>
      </c>
      <c r="FR500" t="s">
        <v>4569</v>
      </c>
      <c r="FS500" t="s">
        <v>4569</v>
      </c>
      <c r="IL500">
        <f t="shared" si="13"/>
        <v>177</v>
      </c>
    </row>
    <row r="501" spans="1:246" outlineLevel="1" x14ac:dyDescent="0.2">
      <c r="A501" t="str">
        <f t="shared" si="12"/>
        <v>Leib des Windes</v>
      </c>
      <c r="L501">
        <v>2</v>
      </c>
      <c r="CI501" t="s">
        <v>1321</v>
      </c>
      <c r="DA501">
        <v>2</v>
      </c>
      <c r="DQ501">
        <v>2</v>
      </c>
      <c r="EH501" t="s">
        <v>1321</v>
      </c>
      <c r="EI501" t="s">
        <v>1321</v>
      </c>
      <c r="EZ501" t="s">
        <v>4569</v>
      </c>
      <c r="FA501" t="s">
        <v>4569</v>
      </c>
      <c r="FM501" t="s">
        <v>4569</v>
      </c>
      <c r="FP501" t="s">
        <v>4569</v>
      </c>
      <c r="FQ501" t="s">
        <v>4569</v>
      </c>
      <c r="FR501" t="s">
        <v>4569</v>
      </c>
      <c r="FS501" t="s">
        <v>4569</v>
      </c>
      <c r="IL501">
        <f t="shared" si="13"/>
        <v>178</v>
      </c>
    </row>
    <row r="502" spans="1:246" outlineLevel="1" x14ac:dyDescent="0.2">
      <c r="A502" t="str">
        <f t="shared" si="12"/>
        <v>Leidensbote</v>
      </c>
      <c r="EZ502" t="s">
        <v>4569</v>
      </c>
      <c r="FA502" t="s">
        <v>4569</v>
      </c>
      <c r="FM502" t="s">
        <v>4569</v>
      </c>
      <c r="FP502" t="s">
        <v>4569</v>
      </c>
      <c r="FQ502" t="s">
        <v>4569</v>
      </c>
      <c r="FR502" t="s">
        <v>4569</v>
      </c>
      <c r="FS502" t="s">
        <v>4569</v>
      </c>
      <c r="IL502">
        <f t="shared" si="13"/>
        <v>179</v>
      </c>
    </row>
    <row r="503" spans="1:246" outlineLevel="1" x14ac:dyDescent="0.2">
      <c r="A503" t="str">
        <f t="shared" si="12"/>
        <v>Leidensbund</v>
      </c>
      <c r="EZ503" t="s">
        <v>4569</v>
      </c>
      <c r="FA503" t="s">
        <v>4569</v>
      </c>
      <c r="FE503" t="s">
        <v>2516</v>
      </c>
      <c r="FM503" t="s">
        <v>4569</v>
      </c>
      <c r="FP503" t="s">
        <v>4569</v>
      </c>
      <c r="FQ503" t="s">
        <v>4569</v>
      </c>
      <c r="FR503" t="s">
        <v>4569</v>
      </c>
      <c r="FS503" t="s">
        <v>4569</v>
      </c>
      <c r="IL503">
        <f t="shared" si="13"/>
        <v>180</v>
      </c>
    </row>
    <row r="504" spans="1:246" outlineLevel="1" x14ac:dyDescent="0.2">
      <c r="A504" t="str">
        <f t="shared" si="12"/>
        <v>Levthans Feuer</v>
      </c>
      <c r="AZ504" t="s">
        <v>1321</v>
      </c>
      <c r="BA504" t="s">
        <v>1321</v>
      </c>
      <c r="BB504" t="s">
        <v>2514</v>
      </c>
      <c r="BC504" t="s">
        <v>1321</v>
      </c>
      <c r="BD504" t="s">
        <v>1321</v>
      </c>
      <c r="BE504" t="s">
        <v>1321</v>
      </c>
      <c r="BF504" t="s">
        <v>1321</v>
      </c>
      <c r="BG504" t="s">
        <v>1321</v>
      </c>
      <c r="EZ504" t="s">
        <v>4569</v>
      </c>
      <c r="FA504" t="s">
        <v>4569</v>
      </c>
      <c r="FM504" t="s">
        <v>4569</v>
      </c>
      <c r="FP504" t="s">
        <v>4569</v>
      </c>
      <c r="FQ504" t="s">
        <v>4569</v>
      </c>
      <c r="FR504" t="s">
        <v>4569</v>
      </c>
      <c r="FS504" t="s">
        <v>4569</v>
      </c>
      <c r="IL504">
        <f t="shared" si="13"/>
        <v>181</v>
      </c>
    </row>
    <row r="505" spans="1:246" outlineLevel="1" x14ac:dyDescent="0.2">
      <c r="A505" t="str">
        <f t="shared" si="12"/>
        <v>Limbus versiegeln</v>
      </c>
      <c r="EZ505" t="s">
        <v>4569</v>
      </c>
      <c r="FA505" t="s">
        <v>4569</v>
      </c>
      <c r="FM505" t="s">
        <v>4569</v>
      </c>
      <c r="FP505" t="s">
        <v>4569</v>
      </c>
      <c r="FQ505" t="s">
        <v>4569</v>
      </c>
      <c r="FR505" t="s">
        <v>4569</v>
      </c>
      <c r="FS505" t="s">
        <v>4569</v>
      </c>
      <c r="IL505">
        <f t="shared" si="13"/>
        <v>182</v>
      </c>
    </row>
    <row r="506" spans="1:246" outlineLevel="1" x14ac:dyDescent="0.2">
      <c r="A506" t="str">
        <f t="shared" si="12"/>
        <v>Lockruf und Feenfüße</v>
      </c>
      <c r="EZ506" t="s">
        <v>4569</v>
      </c>
      <c r="FA506" t="s">
        <v>4569</v>
      </c>
      <c r="FM506" t="s">
        <v>4569</v>
      </c>
      <c r="FP506" t="s">
        <v>4569</v>
      </c>
      <c r="FQ506" t="s">
        <v>4569</v>
      </c>
      <c r="FR506" t="s">
        <v>4569</v>
      </c>
      <c r="FS506" t="s">
        <v>4569</v>
      </c>
      <c r="GF506" t="s">
        <v>1321</v>
      </c>
      <c r="GG506">
        <v>3</v>
      </c>
      <c r="GH506" t="s">
        <v>1321</v>
      </c>
      <c r="GI506" t="s">
        <v>1321</v>
      </c>
      <c r="GJ506" t="s">
        <v>1321</v>
      </c>
      <c r="GK506" t="s">
        <v>1321</v>
      </c>
      <c r="GL506">
        <v>2</v>
      </c>
      <c r="IL506">
        <f t="shared" si="13"/>
        <v>183</v>
      </c>
    </row>
    <row r="507" spans="1:246" outlineLevel="1" x14ac:dyDescent="0.2">
      <c r="A507" t="str">
        <f t="shared" si="12"/>
        <v>Lolgramothbann</v>
      </c>
      <c r="EZ507" t="s">
        <v>4569</v>
      </c>
      <c r="FA507" t="s">
        <v>4569</v>
      </c>
      <c r="FM507" t="s">
        <v>4569</v>
      </c>
      <c r="FP507" t="s">
        <v>4569</v>
      </c>
      <c r="FQ507" t="s">
        <v>4569</v>
      </c>
      <c r="FR507" t="s">
        <v>4569</v>
      </c>
      <c r="FS507" t="s">
        <v>4569</v>
      </c>
      <c r="IL507">
        <f t="shared" si="13"/>
        <v>184</v>
      </c>
    </row>
    <row r="508" spans="1:246" outlineLevel="1" x14ac:dyDescent="0.2">
      <c r="A508" t="str">
        <f t="shared" si="12"/>
        <v>Luftbann</v>
      </c>
      <c r="EZ508" t="s">
        <v>4569</v>
      </c>
      <c r="FA508" t="s">
        <v>4569</v>
      </c>
      <c r="FM508" t="s">
        <v>4569</v>
      </c>
      <c r="FP508" t="s">
        <v>4569</v>
      </c>
      <c r="FQ508" t="s">
        <v>4569</v>
      </c>
      <c r="FR508" t="s">
        <v>4569</v>
      </c>
      <c r="FS508" t="s">
        <v>4569</v>
      </c>
      <c r="IL508">
        <f t="shared" si="13"/>
        <v>185</v>
      </c>
    </row>
    <row r="509" spans="1:246" outlineLevel="1" x14ac:dyDescent="0.2">
      <c r="A509" t="str">
        <f t="shared" si="12"/>
        <v>Lunge des Leviatan</v>
      </c>
      <c r="BI509" t="s">
        <v>1321</v>
      </c>
      <c r="BJ509">
        <v>3</v>
      </c>
      <c r="CB509" t="s">
        <v>1321</v>
      </c>
      <c r="CD509" t="s">
        <v>1321</v>
      </c>
      <c r="CE509" t="s">
        <v>1321</v>
      </c>
      <c r="CF509" t="s">
        <v>1321</v>
      </c>
      <c r="CG509" t="s">
        <v>1321</v>
      </c>
      <c r="CH509" t="s">
        <v>1321</v>
      </c>
      <c r="CI509" t="s">
        <v>1321</v>
      </c>
      <c r="CL509" t="s">
        <v>1321</v>
      </c>
      <c r="CW509" t="s">
        <v>1321</v>
      </c>
      <c r="CX509" t="s">
        <v>1321</v>
      </c>
      <c r="EZ509" t="s">
        <v>4569</v>
      </c>
      <c r="FA509" t="s">
        <v>4569</v>
      </c>
      <c r="FM509" t="s">
        <v>4569</v>
      </c>
      <c r="FP509" t="s">
        <v>4569</v>
      </c>
      <c r="FQ509" t="s">
        <v>4569</v>
      </c>
      <c r="FR509" t="s">
        <v>4569</v>
      </c>
      <c r="FS509" t="s">
        <v>4569</v>
      </c>
      <c r="IL509">
        <f t="shared" si="13"/>
        <v>186</v>
      </c>
    </row>
    <row r="510" spans="1:246" outlineLevel="1" x14ac:dyDescent="0.2">
      <c r="A510" t="str">
        <f t="shared" si="12"/>
        <v>Madas Spiegel</v>
      </c>
      <c r="B510" t="s">
        <v>339</v>
      </c>
      <c r="O510" t="s">
        <v>339</v>
      </c>
      <c r="AT510" t="s">
        <v>339</v>
      </c>
      <c r="AY510" t="s">
        <v>339</v>
      </c>
      <c r="BD510" t="s">
        <v>1321</v>
      </c>
      <c r="BE510" t="s">
        <v>2516</v>
      </c>
      <c r="BH510" t="s">
        <v>339</v>
      </c>
      <c r="BK510" t="s">
        <v>339</v>
      </c>
      <c r="CV510" t="s">
        <v>339</v>
      </c>
      <c r="EX510" t="s">
        <v>339</v>
      </c>
      <c r="EZ510" t="s">
        <v>4569</v>
      </c>
      <c r="FA510" t="s">
        <v>4569</v>
      </c>
      <c r="FM510" t="s">
        <v>4569</v>
      </c>
      <c r="FP510" t="s">
        <v>4569</v>
      </c>
      <c r="FQ510" t="s">
        <v>4569</v>
      </c>
      <c r="FR510" t="s">
        <v>4569</v>
      </c>
      <c r="FS510" t="s">
        <v>4569</v>
      </c>
      <c r="FW510" t="s">
        <v>339</v>
      </c>
      <c r="GE510" t="s">
        <v>339</v>
      </c>
      <c r="GM510" t="s">
        <v>339</v>
      </c>
      <c r="GX510" t="s">
        <v>339</v>
      </c>
      <c r="IJ510" t="s">
        <v>339</v>
      </c>
      <c r="IL510">
        <f t="shared" si="13"/>
        <v>187</v>
      </c>
    </row>
    <row r="511" spans="1:246" outlineLevel="1" x14ac:dyDescent="0.2">
      <c r="A511" t="str">
        <f t="shared" si="12"/>
        <v>Magischer Raub</v>
      </c>
      <c r="C511" t="s">
        <v>1321</v>
      </c>
      <c r="D511" t="s">
        <v>1321</v>
      </c>
      <c r="E511" t="s">
        <v>1321</v>
      </c>
      <c r="F511" t="s">
        <v>4901</v>
      </c>
      <c r="G511" t="s">
        <v>1321</v>
      </c>
      <c r="H511" t="s">
        <v>1321</v>
      </c>
      <c r="I511" t="s">
        <v>1321</v>
      </c>
      <c r="J511" t="s">
        <v>1321</v>
      </c>
      <c r="K511" t="s">
        <v>1321</v>
      </c>
      <c r="L511" t="s">
        <v>1321</v>
      </c>
      <c r="M511" t="s">
        <v>1321</v>
      </c>
      <c r="N511" t="s">
        <v>1321</v>
      </c>
      <c r="AU511" t="s">
        <v>1321</v>
      </c>
      <c r="AV511" t="s">
        <v>1321</v>
      </c>
      <c r="AW511" t="s">
        <v>1321</v>
      </c>
      <c r="AX511" t="s">
        <v>1321</v>
      </c>
      <c r="DA511" t="s">
        <v>1321</v>
      </c>
      <c r="DC511">
        <v>2</v>
      </c>
      <c r="DF511" t="s">
        <v>1321</v>
      </c>
      <c r="DG511" t="s">
        <v>1321</v>
      </c>
      <c r="DH511" t="s">
        <v>1321</v>
      </c>
      <c r="DI511" t="s">
        <v>1321</v>
      </c>
      <c r="DJ511" t="s">
        <v>1321</v>
      </c>
      <c r="DK511" t="s">
        <v>1321</v>
      </c>
      <c r="DN511" t="s">
        <v>4901</v>
      </c>
      <c r="DO511" t="s">
        <v>1321</v>
      </c>
      <c r="EK511" t="s">
        <v>1321</v>
      </c>
      <c r="EL511" t="s">
        <v>1321</v>
      </c>
      <c r="ES511" t="s">
        <v>1321</v>
      </c>
      <c r="EZ511" t="s">
        <v>4569</v>
      </c>
      <c r="FA511" t="s">
        <v>4569</v>
      </c>
      <c r="FM511" t="s">
        <v>4569</v>
      </c>
      <c r="FP511" t="s">
        <v>4569</v>
      </c>
      <c r="FQ511" t="s">
        <v>4569</v>
      </c>
      <c r="FR511" t="s">
        <v>4569</v>
      </c>
      <c r="FS511" t="s">
        <v>4569</v>
      </c>
      <c r="IL511">
        <f t="shared" si="13"/>
        <v>188</v>
      </c>
    </row>
    <row r="512" spans="1:246" outlineLevel="1" x14ac:dyDescent="0.2">
      <c r="A512" t="str">
        <f t="shared" si="12"/>
        <v>Mahlstrom</v>
      </c>
      <c r="K512" t="s">
        <v>2516</v>
      </c>
      <c r="DF512" t="s">
        <v>1321</v>
      </c>
      <c r="DG512" t="s">
        <v>1321</v>
      </c>
      <c r="DH512">
        <v>2</v>
      </c>
      <c r="DI512" t="s">
        <v>1321</v>
      </c>
      <c r="DJ512" t="s">
        <v>1321</v>
      </c>
      <c r="DK512" t="s">
        <v>1321</v>
      </c>
      <c r="DW512" t="s">
        <v>1321</v>
      </c>
      <c r="EH512" t="s">
        <v>1321</v>
      </c>
      <c r="EI512" t="s">
        <v>1321</v>
      </c>
      <c r="EZ512" t="s">
        <v>4569</v>
      </c>
      <c r="FA512" t="s">
        <v>4569</v>
      </c>
      <c r="FM512" t="s">
        <v>4569</v>
      </c>
      <c r="FP512" t="s">
        <v>4569</v>
      </c>
      <c r="FQ512" t="s">
        <v>4569</v>
      </c>
      <c r="FR512" t="s">
        <v>4569</v>
      </c>
      <c r="FS512" t="s">
        <v>4569</v>
      </c>
      <c r="IL512">
        <f t="shared" si="13"/>
        <v>189</v>
      </c>
    </row>
    <row r="513" spans="1:246" outlineLevel="1" x14ac:dyDescent="0.2">
      <c r="A513" t="str">
        <f t="shared" si="12"/>
        <v>Malmkreis</v>
      </c>
      <c r="EZ513" t="s">
        <v>4569</v>
      </c>
      <c r="FA513" t="s">
        <v>4569</v>
      </c>
      <c r="FM513" t="s">
        <v>4569</v>
      </c>
      <c r="FP513" t="s">
        <v>4569</v>
      </c>
      <c r="FQ513" t="s">
        <v>4569</v>
      </c>
      <c r="FR513" t="s">
        <v>4569</v>
      </c>
      <c r="FS513" t="s">
        <v>4569</v>
      </c>
      <c r="IL513">
        <f t="shared" si="13"/>
        <v>190</v>
      </c>
    </row>
    <row r="514" spans="1:246" outlineLevel="1" x14ac:dyDescent="0.2">
      <c r="A514" t="str">
        <f t="shared" si="12"/>
        <v>Manifesto Element</v>
      </c>
      <c r="C514" t="s">
        <v>1321</v>
      </c>
      <c r="D514">
        <v>4</v>
      </c>
      <c r="E514" t="s">
        <v>1321</v>
      </c>
      <c r="F514" t="s">
        <v>1321</v>
      </c>
      <c r="G514" t="s">
        <v>1321</v>
      </c>
      <c r="H514">
        <v>5</v>
      </c>
      <c r="I514">
        <v>5</v>
      </c>
      <c r="J514">
        <v>5</v>
      </c>
      <c r="K514">
        <v>5</v>
      </c>
      <c r="L514">
        <v>5</v>
      </c>
      <c r="M514">
        <v>5</v>
      </c>
      <c r="N514">
        <v>5</v>
      </c>
      <c r="AU514" t="s">
        <v>1321</v>
      </c>
      <c r="AV514">
        <v>3</v>
      </c>
      <c r="AW514">
        <v>3</v>
      </c>
      <c r="AX514">
        <v>5</v>
      </c>
      <c r="BF514" t="s">
        <v>1321</v>
      </c>
      <c r="BI514" t="s">
        <v>1321</v>
      </c>
      <c r="BJ514" t="s">
        <v>1321</v>
      </c>
      <c r="CW514" t="s">
        <v>1321</v>
      </c>
      <c r="CX514" t="s">
        <v>1321</v>
      </c>
      <c r="CY514" t="s">
        <v>1321</v>
      </c>
      <c r="CZ514" t="s">
        <v>1321</v>
      </c>
      <c r="DA514">
        <v>3</v>
      </c>
      <c r="DB514" t="s">
        <v>1321</v>
      </c>
      <c r="DF514" t="s">
        <v>2514</v>
      </c>
      <c r="DG514" t="s">
        <v>2514</v>
      </c>
      <c r="DH514" t="s">
        <v>2514</v>
      </c>
      <c r="DI514" t="s">
        <v>2514</v>
      </c>
      <c r="DJ514" t="s">
        <v>2514</v>
      </c>
      <c r="DK514" t="s">
        <v>2514</v>
      </c>
      <c r="DL514" t="s">
        <v>1321</v>
      </c>
      <c r="DM514" t="s">
        <v>1321</v>
      </c>
      <c r="DN514" t="s">
        <v>1321</v>
      </c>
      <c r="DO514" t="s">
        <v>1321</v>
      </c>
      <c r="DP514" t="s">
        <v>1321</v>
      </c>
      <c r="DQ514">
        <v>4</v>
      </c>
      <c r="DR514" t="s">
        <v>1321</v>
      </c>
      <c r="DS514" t="s">
        <v>1321</v>
      </c>
      <c r="DT514" t="s">
        <v>1321</v>
      </c>
      <c r="DU514">
        <v>5</v>
      </c>
      <c r="DV514">
        <v>2</v>
      </c>
      <c r="DW514">
        <v>4</v>
      </c>
      <c r="DX514" t="s">
        <v>1321</v>
      </c>
      <c r="DY514" t="s">
        <v>1321</v>
      </c>
      <c r="DZ514" t="s">
        <v>1321</v>
      </c>
      <c r="EA514" t="s">
        <v>1321</v>
      </c>
      <c r="EB514" t="s">
        <v>1321</v>
      </c>
      <c r="EC514">
        <v>4</v>
      </c>
      <c r="ED514" t="s">
        <v>1321</v>
      </c>
      <c r="EE514" t="s">
        <v>1321</v>
      </c>
      <c r="EF514" t="s">
        <v>1321</v>
      </c>
      <c r="EG514" t="s">
        <v>1321</v>
      </c>
      <c r="EH514">
        <v>4</v>
      </c>
      <c r="EI514">
        <v>4</v>
      </c>
      <c r="EJ514" t="s">
        <v>1321</v>
      </c>
      <c r="EK514">
        <v>3</v>
      </c>
      <c r="EL514" t="s">
        <v>1321</v>
      </c>
      <c r="EM514" t="s">
        <v>1321</v>
      </c>
      <c r="EN514">
        <v>5</v>
      </c>
      <c r="EO514">
        <v>4</v>
      </c>
      <c r="EP514">
        <v>4</v>
      </c>
      <c r="EQ514" t="s">
        <v>1321</v>
      </c>
      <c r="ER514" t="s">
        <v>1321</v>
      </c>
      <c r="ES514" t="s">
        <v>1321</v>
      </c>
      <c r="ET514" t="s">
        <v>1321</v>
      </c>
      <c r="EU514">
        <v>5</v>
      </c>
      <c r="EV514" t="s">
        <v>1321</v>
      </c>
      <c r="EW514" t="s">
        <v>1321</v>
      </c>
      <c r="EY514">
        <v>3</v>
      </c>
      <c r="EZ514" t="s">
        <v>1321</v>
      </c>
      <c r="FA514" t="s">
        <v>1321</v>
      </c>
      <c r="FB514" t="s">
        <v>1321</v>
      </c>
      <c r="FC514" t="s">
        <v>1321</v>
      </c>
      <c r="FD514" t="s">
        <v>1321</v>
      </c>
      <c r="FE514" t="s">
        <v>1321</v>
      </c>
      <c r="FF514">
        <v>5</v>
      </c>
      <c r="FG514" t="s">
        <v>1321</v>
      </c>
      <c r="FH514" t="s">
        <v>1321</v>
      </c>
      <c r="FI514" t="s">
        <v>1321</v>
      </c>
      <c r="FJ514" t="s">
        <v>1321</v>
      </c>
      <c r="FK514" t="s">
        <v>1321</v>
      </c>
      <c r="FL514" t="s">
        <v>1321</v>
      </c>
      <c r="FM514" t="s">
        <v>1321</v>
      </c>
      <c r="FN514" t="s">
        <v>1321</v>
      </c>
      <c r="FO514" t="s">
        <v>1321</v>
      </c>
      <c r="FP514" t="s">
        <v>1321</v>
      </c>
      <c r="FQ514" t="s">
        <v>1321</v>
      </c>
      <c r="FR514" t="s">
        <v>1321</v>
      </c>
      <c r="FS514" t="s">
        <v>1321</v>
      </c>
      <c r="FT514" t="s">
        <v>1321</v>
      </c>
      <c r="HB514" t="s">
        <v>1321</v>
      </c>
      <c r="HD514" t="s">
        <v>1321</v>
      </c>
      <c r="HF514" t="s">
        <v>1321</v>
      </c>
      <c r="HH514" t="s">
        <v>1321</v>
      </c>
      <c r="HJ514" t="s">
        <v>1321</v>
      </c>
      <c r="HL514" t="s">
        <v>1321</v>
      </c>
      <c r="HN514" t="s">
        <v>1321</v>
      </c>
      <c r="HP514" t="s">
        <v>1321</v>
      </c>
      <c r="HQ514" t="s">
        <v>1321</v>
      </c>
      <c r="HS514" t="s">
        <v>1321</v>
      </c>
      <c r="HU514" t="s">
        <v>1321</v>
      </c>
      <c r="HW514" t="s">
        <v>1321</v>
      </c>
      <c r="HY514" t="s">
        <v>1321</v>
      </c>
      <c r="IA514" t="s">
        <v>1321</v>
      </c>
      <c r="IC514" t="s">
        <v>1321</v>
      </c>
      <c r="ID514" t="s">
        <v>1321</v>
      </c>
      <c r="IG514" t="s">
        <v>1321</v>
      </c>
      <c r="II514" t="s">
        <v>1321</v>
      </c>
      <c r="IL514">
        <f t="shared" si="13"/>
        <v>191</v>
      </c>
    </row>
    <row r="515" spans="1:246" outlineLevel="1" x14ac:dyDescent="0.2">
      <c r="A515" t="str">
        <f t="shared" si="12"/>
        <v>Meister der Elemente</v>
      </c>
      <c r="C515" t="s">
        <v>1321</v>
      </c>
      <c r="D515" t="s">
        <v>1321</v>
      </c>
      <c r="E515" t="s">
        <v>1321</v>
      </c>
      <c r="F515" t="s">
        <v>1321</v>
      </c>
      <c r="G515">
        <v>2</v>
      </c>
      <c r="H515" t="s">
        <v>1321</v>
      </c>
      <c r="I515" t="s">
        <v>1321</v>
      </c>
      <c r="J515" t="s">
        <v>1321</v>
      </c>
      <c r="K515" t="s">
        <v>1321</v>
      </c>
      <c r="L515" t="s">
        <v>1321</v>
      </c>
      <c r="M515" t="s">
        <v>1321</v>
      </c>
      <c r="N515" t="s">
        <v>1321</v>
      </c>
      <c r="AU515" t="s">
        <v>1321</v>
      </c>
      <c r="AV515">
        <v>2</v>
      </c>
      <c r="AW515" t="s">
        <v>2514</v>
      </c>
      <c r="AX515" t="s">
        <v>1321</v>
      </c>
      <c r="DF515">
        <v>2</v>
      </c>
      <c r="DG515">
        <v>2</v>
      </c>
      <c r="DH515">
        <v>2</v>
      </c>
      <c r="DI515">
        <v>2</v>
      </c>
      <c r="DJ515">
        <v>2</v>
      </c>
      <c r="DK515">
        <v>2</v>
      </c>
      <c r="DW515" t="s">
        <v>1321</v>
      </c>
      <c r="EH515" t="s">
        <v>1321</v>
      </c>
      <c r="EI515" t="s">
        <v>1321</v>
      </c>
      <c r="EK515" t="s">
        <v>1321</v>
      </c>
      <c r="EL515" t="s">
        <v>1321</v>
      </c>
      <c r="EM515" t="s">
        <v>1321</v>
      </c>
      <c r="EN515">
        <v>1</v>
      </c>
      <c r="EZ515" t="s">
        <v>4569</v>
      </c>
      <c r="FA515" t="s">
        <v>4569</v>
      </c>
      <c r="FM515" t="s">
        <v>4569</v>
      </c>
      <c r="FP515" t="s">
        <v>4569</v>
      </c>
      <c r="FQ515" t="s">
        <v>4569</v>
      </c>
      <c r="FR515" t="s">
        <v>4569</v>
      </c>
      <c r="FS515" t="s">
        <v>4569</v>
      </c>
      <c r="IL515">
        <f t="shared" si="13"/>
        <v>192</v>
      </c>
    </row>
    <row r="516" spans="1:246" outlineLevel="1" x14ac:dyDescent="0.2">
      <c r="A516" t="str">
        <f t="shared" si="12"/>
        <v>Meister minderer Geister</v>
      </c>
      <c r="AU516" t="s">
        <v>1321</v>
      </c>
      <c r="AV516" t="s">
        <v>1321</v>
      </c>
      <c r="AW516" t="s">
        <v>1321</v>
      </c>
      <c r="AX516">
        <v>5</v>
      </c>
      <c r="EZ516" t="s">
        <v>4569</v>
      </c>
      <c r="FA516" t="s">
        <v>4569</v>
      </c>
      <c r="FM516" t="s">
        <v>4569</v>
      </c>
      <c r="FP516" t="s">
        <v>4569</v>
      </c>
      <c r="FQ516" t="s">
        <v>4569</v>
      </c>
      <c r="FR516" t="s">
        <v>4569</v>
      </c>
      <c r="FS516" t="s">
        <v>4569</v>
      </c>
      <c r="GF516">
        <v>5</v>
      </c>
      <c r="GG516">
        <v>5</v>
      </c>
      <c r="GH516">
        <v>5</v>
      </c>
      <c r="GI516">
        <v>5</v>
      </c>
      <c r="GJ516">
        <v>5</v>
      </c>
      <c r="GK516">
        <v>5</v>
      </c>
      <c r="GL516">
        <v>5</v>
      </c>
      <c r="IL516">
        <f t="shared" si="13"/>
        <v>193</v>
      </c>
    </row>
    <row r="517" spans="1:246" outlineLevel="1" x14ac:dyDescent="0.2">
      <c r="A517" t="str">
        <f t="shared" si="12"/>
        <v>Memorabia Falsifir</v>
      </c>
      <c r="DL517" t="s">
        <v>1321</v>
      </c>
      <c r="DN517">
        <v>2</v>
      </c>
      <c r="DO517" t="s">
        <v>2515</v>
      </c>
      <c r="EJ517">
        <v>2</v>
      </c>
      <c r="EK517" t="s">
        <v>1321</v>
      </c>
      <c r="EL517" t="s">
        <v>1321</v>
      </c>
      <c r="EQ517" t="s">
        <v>1321</v>
      </c>
      <c r="EZ517" t="s">
        <v>4569</v>
      </c>
      <c r="FA517" t="s">
        <v>4569</v>
      </c>
      <c r="FG517">
        <v>3</v>
      </c>
      <c r="FM517" t="s">
        <v>4569</v>
      </c>
      <c r="FP517" t="s">
        <v>4569</v>
      </c>
      <c r="FQ517" t="s">
        <v>4569</v>
      </c>
      <c r="FR517" t="s">
        <v>4569</v>
      </c>
      <c r="FS517" t="s">
        <v>4569</v>
      </c>
      <c r="IL517">
        <f t="shared" si="13"/>
        <v>194</v>
      </c>
    </row>
    <row r="518" spans="1:246" outlineLevel="1" x14ac:dyDescent="0.2">
      <c r="A518" t="str">
        <f t="shared" si="12"/>
        <v>Memorans Gedächtniskraft</v>
      </c>
      <c r="E518">
        <v>3</v>
      </c>
      <c r="G518">
        <v>3</v>
      </c>
      <c r="CB518" t="s">
        <v>1321</v>
      </c>
      <c r="CW518" t="s">
        <v>1321</v>
      </c>
      <c r="CX518" t="s">
        <v>1321</v>
      </c>
      <c r="CY518" t="s">
        <v>1321</v>
      </c>
      <c r="CZ518" t="s">
        <v>1321</v>
      </c>
      <c r="DB518" t="s">
        <v>1321</v>
      </c>
      <c r="DC518" t="s">
        <v>1321</v>
      </c>
      <c r="DF518" t="s">
        <v>1321</v>
      </c>
      <c r="DG518" t="s">
        <v>1321</v>
      </c>
      <c r="DH518" t="s">
        <v>1321</v>
      </c>
      <c r="DI518" t="s">
        <v>1321</v>
      </c>
      <c r="DJ518" t="s">
        <v>1321</v>
      </c>
      <c r="DK518" t="s">
        <v>1321</v>
      </c>
      <c r="DM518" t="s">
        <v>1321</v>
      </c>
      <c r="DN518" t="s">
        <v>1321</v>
      </c>
      <c r="DO518" t="s">
        <v>1321</v>
      </c>
      <c r="DP518" t="s">
        <v>1321</v>
      </c>
      <c r="DQ518" t="s">
        <v>1321</v>
      </c>
      <c r="DR518" t="s">
        <v>1321</v>
      </c>
      <c r="DS518" t="s">
        <v>1321</v>
      </c>
      <c r="DV518" t="s">
        <v>1321</v>
      </c>
      <c r="DW518" t="s">
        <v>1321</v>
      </c>
      <c r="DX518" t="s">
        <v>1321</v>
      </c>
      <c r="DY518" t="s">
        <v>4901</v>
      </c>
      <c r="EA518" t="s">
        <v>1321</v>
      </c>
      <c r="EC518" t="s">
        <v>1321</v>
      </c>
      <c r="ED518" t="s">
        <v>1321</v>
      </c>
      <c r="EF518">
        <v>2</v>
      </c>
      <c r="EG518" t="s">
        <v>1321</v>
      </c>
      <c r="EJ518" t="s">
        <v>1321</v>
      </c>
      <c r="EK518">
        <v>2</v>
      </c>
      <c r="EL518">
        <v>4</v>
      </c>
      <c r="EM518" t="s">
        <v>1321</v>
      </c>
      <c r="EN518" t="s">
        <v>1321</v>
      </c>
      <c r="EO518" t="s">
        <v>2516</v>
      </c>
      <c r="EP518" t="s">
        <v>1321</v>
      </c>
      <c r="EQ518">
        <v>3</v>
      </c>
      <c r="ER518" t="s">
        <v>1321</v>
      </c>
      <c r="ES518">
        <v>4</v>
      </c>
      <c r="ET518">
        <v>2</v>
      </c>
      <c r="EU518" t="s">
        <v>1321</v>
      </c>
      <c r="EV518" t="s">
        <v>1321</v>
      </c>
      <c r="EZ518" t="s">
        <v>4569</v>
      </c>
      <c r="FA518" t="s">
        <v>4569</v>
      </c>
      <c r="FB518" t="s">
        <v>1321</v>
      </c>
      <c r="FC518" t="s">
        <v>1321</v>
      </c>
      <c r="FG518" t="s">
        <v>2516</v>
      </c>
      <c r="FH518" t="s">
        <v>2516</v>
      </c>
      <c r="FI518" t="s">
        <v>2516</v>
      </c>
      <c r="FJ518" t="s">
        <v>2516</v>
      </c>
      <c r="FK518" t="s">
        <v>1321</v>
      </c>
      <c r="FM518" t="s">
        <v>4569</v>
      </c>
      <c r="FN518" t="s">
        <v>1321</v>
      </c>
      <c r="FO518">
        <v>3</v>
      </c>
      <c r="FP518" t="s">
        <v>1321</v>
      </c>
      <c r="FQ518" t="s">
        <v>1321</v>
      </c>
      <c r="FR518" t="s">
        <v>1321</v>
      </c>
      <c r="FS518" t="s">
        <v>1321</v>
      </c>
      <c r="FT518" t="s">
        <v>1321</v>
      </c>
      <c r="FV518">
        <v>4</v>
      </c>
      <c r="HB518" t="s">
        <v>1321</v>
      </c>
      <c r="HD518" t="s">
        <v>1321</v>
      </c>
      <c r="HF518" t="s">
        <v>1321</v>
      </c>
      <c r="HH518" t="s">
        <v>1321</v>
      </c>
      <c r="HJ518" t="s">
        <v>1321</v>
      </c>
      <c r="HL518" t="s">
        <v>1321</v>
      </c>
      <c r="HN518" t="s">
        <v>1321</v>
      </c>
      <c r="HP518" t="s">
        <v>1321</v>
      </c>
      <c r="HQ518" t="s">
        <v>1321</v>
      </c>
      <c r="HS518" t="s">
        <v>1321</v>
      </c>
      <c r="HU518" t="s">
        <v>1321</v>
      </c>
      <c r="HW518" t="s">
        <v>1321</v>
      </c>
      <c r="HY518" t="s">
        <v>1321</v>
      </c>
      <c r="IA518" t="s">
        <v>1321</v>
      </c>
      <c r="IC518" t="s">
        <v>1321</v>
      </c>
      <c r="ID518" t="s">
        <v>1321</v>
      </c>
      <c r="IG518" t="s">
        <v>1321</v>
      </c>
      <c r="II518" t="s">
        <v>1321</v>
      </c>
      <c r="IK518">
        <v>1</v>
      </c>
      <c r="IL518">
        <f t="shared" si="13"/>
        <v>195</v>
      </c>
    </row>
    <row r="519" spans="1:246" outlineLevel="1" x14ac:dyDescent="0.2">
      <c r="A519" t="str">
        <f t="shared" si="12"/>
        <v>Menetekel Flammenschrift</v>
      </c>
      <c r="CW519" t="s">
        <v>1321</v>
      </c>
      <c r="CX519" t="s">
        <v>1321</v>
      </c>
      <c r="CY519" t="s">
        <v>1321</v>
      </c>
      <c r="CZ519" t="s">
        <v>1321</v>
      </c>
      <c r="DA519" t="s">
        <v>1321</v>
      </c>
      <c r="DB519" t="s">
        <v>1321</v>
      </c>
      <c r="DL519" t="s">
        <v>1321</v>
      </c>
      <c r="DM519" t="s">
        <v>1321</v>
      </c>
      <c r="DN519" t="s">
        <v>1321</v>
      </c>
      <c r="DO519" t="s">
        <v>1321</v>
      </c>
      <c r="DP519" t="s">
        <v>1321</v>
      </c>
      <c r="DQ519" t="s">
        <v>1321</v>
      </c>
      <c r="DR519" t="s">
        <v>1321</v>
      </c>
      <c r="DS519" t="s">
        <v>1321</v>
      </c>
      <c r="DT519" t="s">
        <v>1321</v>
      </c>
      <c r="DU519" t="s">
        <v>2516</v>
      </c>
      <c r="DV519" t="s">
        <v>1321</v>
      </c>
      <c r="DW519" t="s">
        <v>1321</v>
      </c>
      <c r="DX519" t="s">
        <v>1321</v>
      </c>
      <c r="DY519" t="s">
        <v>1321</v>
      </c>
      <c r="DZ519" t="s">
        <v>1321</v>
      </c>
      <c r="EA519" t="s">
        <v>1321</v>
      </c>
      <c r="EB519" t="s">
        <v>1321</v>
      </c>
      <c r="EC519" t="s">
        <v>1321</v>
      </c>
      <c r="ED519" t="s">
        <v>1321</v>
      </c>
      <c r="EE519" t="s">
        <v>1321</v>
      </c>
      <c r="EF519" t="s">
        <v>1321</v>
      </c>
      <c r="EG519" t="s">
        <v>1321</v>
      </c>
      <c r="EH519" t="s">
        <v>1321</v>
      </c>
      <c r="EI519" t="s">
        <v>1321</v>
      </c>
      <c r="EJ519" t="s">
        <v>1321</v>
      </c>
      <c r="EK519" t="s">
        <v>1321</v>
      </c>
      <c r="EL519" t="s">
        <v>1321</v>
      </c>
      <c r="EM519" t="s">
        <v>1321</v>
      </c>
      <c r="EN519" t="s">
        <v>1321</v>
      </c>
      <c r="EO519" t="s">
        <v>1321</v>
      </c>
      <c r="EP519" t="s">
        <v>1321</v>
      </c>
      <c r="EQ519" t="s">
        <v>1321</v>
      </c>
      <c r="ER519" t="s">
        <v>1321</v>
      </c>
      <c r="ES519" t="s">
        <v>1321</v>
      </c>
      <c r="ET519" t="s">
        <v>1321</v>
      </c>
      <c r="EU519">
        <v>6</v>
      </c>
      <c r="EV519" t="s">
        <v>1321</v>
      </c>
      <c r="EW519" t="s">
        <v>1321</v>
      </c>
      <c r="EY519" t="s">
        <v>1321</v>
      </c>
      <c r="EZ519" t="s">
        <v>1321</v>
      </c>
      <c r="FA519" t="s">
        <v>1321</v>
      </c>
      <c r="FB519" t="s">
        <v>1321</v>
      </c>
      <c r="FC519" t="s">
        <v>1321</v>
      </c>
      <c r="FD519" t="s">
        <v>1321</v>
      </c>
      <c r="FE519" t="s">
        <v>1321</v>
      </c>
      <c r="FG519" t="s">
        <v>1321</v>
      </c>
      <c r="FH519" t="s">
        <v>1321</v>
      </c>
      <c r="FI519" t="s">
        <v>1321</v>
      </c>
      <c r="FJ519" t="s">
        <v>1321</v>
      </c>
      <c r="FK519" t="s">
        <v>1321</v>
      </c>
      <c r="FL519" t="s">
        <v>1321</v>
      </c>
      <c r="FM519" t="s">
        <v>1321</v>
      </c>
      <c r="FN519" t="s">
        <v>1321</v>
      </c>
      <c r="FO519" t="s">
        <v>1321</v>
      </c>
      <c r="FP519" t="s">
        <v>1321</v>
      </c>
      <c r="FQ519" t="s">
        <v>1321</v>
      </c>
      <c r="FR519" t="s">
        <v>1321</v>
      </c>
      <c r="FS519" t="s">
        <v>1321</v>
      </c>
      <c r="FT519" t="s">
        <v>1321</v>
      </c>
      <c r="FZ519" t="s">
        <v>2516</v>
      </c>
      <c r="GA519">
        <v>4</v>
      </c>
      <c r="GC519">
        <v>4</v>
      </c>
      <c r="IL519">
        <f t="shared" si="13"/>
        <v>196</v>
      </c>
    </row>
    <row r="520" spans="1:246" outlineLevel="1" x14ac:dyDescent="0.2">
      <c r="A520" t="str">
        <f t="shared" si="12"/>
        <v>Metamagie neutralisieren</v>
      </c>
      <c r="EZ520" t="s">
        <v>4569</v>
      </c>
      <c r="FA520" t="s">
        <v>4569</v>
      </c>
      <c r="FM520" t="s">
        <v>4569</v>
      </c>
      <c r="FP520" t="s">
        <v>4569</v>
      </c>
      <c r="FQ520" t="s">
        <v>4569</v>
      </c>
      <c r="FR520" t="s">
        <v>4569</v>
      </c>
      <c r="FS520" t="s">
        <v>4569</v>
      </c>
      <c r="IL520">
        <f t="shared" si="13"/>
        <v>197</v>
      </c>
    </row>
    <row r="521" spans="1:246" outlineLevel="1" x14ac:dyDescent="0.2">
      <c r="A521" t="str">
        <f t="shared" si="12"/>
        <v>Metamorpho Felsenform</v>
      </c>
      <c r="EZ521" t="s">
        <v>4569</v>
      </c>
      <c r="FA521" t="s">
        <v>4569</v>
      </c>
      <c r="FM521" t="s">
        <v>4569</v>
      </c>
      <c r="FP521" t="s">
        <v>4569</v>
      </c>
      <c r="FQ521" t="s">
        <v>4569</v>
      </c>
      <c r="FR521" t="s">
        <v>4569</v>
      </c>
      <c r="FS521" t="s">
        <v>4569</v>
      </c>
      <c r="IL521">
        <f t="shared" si="13"/>
        <v>198</v>
      </c>
    </row>
    <row r="522" spans="1:246" outlineLevel="1" x14ac:dyDescent="0.2">
      <c r="A522" t="str">
        <f t="shared" si="12"/>
        <v>Metamorpho Gletscherform</v>
      </c>
      <c r="Q522" t="s">
        <v>1321</v>
      </c>
      <c r="AE522" t="s">
        <v>1321</v>
      </c>
      <c r="DF522" t="s">
        <v>1321</v>
      </c>
      <c r="DG522" t="s">
        <v>1321</v>
      </c>
      <c r="DH522" t="s">
        <v>1321</v>
      </c>
      <c r="DI522" t="s">
        <v>1321</v>
      </c>
      <c r="DJ522" t="s">
        <v>1321</v>
      </c>
      <c r="DK522">
        <v>4</v>
      </c>
      <c r="DQ522">
        <v>4</v>
      </c>
      <c r="DT522" t="s">
        <v>1321</v>
      </c>
      <c r="EH522" t="s">
        <v>1321</v>
      </c>
      <c r="EI522" t="s">
        <v>1321</v>
      </c>
      <c r="EZ522" t="s">
        <v>4569</v>
      </c>
      <c r="FA522" t="s">
        <v>4569</v>
      </c>
      <c r="FF522">
        <v>5</v>
      </c>
      <c r="FM522" t="s">
        <v>4569</v>
      </c>
      <c r="FP522" t="s">
        <v>4569</v>
      </c>
      <c r="FQ522" t="s">
        <v>4569</v>
      </c>
      <c r="FR522" t="s">
        <v>4569</v>
      </c>
      <c r="FS522" t="s">
        <v>4569</v>
      </c>
      <c r="IL522">
        <f t="shared" si="13"/>
        <v>199</v>
      </c>
    </row>
    <row r="523" spans="1:246" outlineLevel="1" x14ac:dyDescent="0.2">
      <c r="A523" t="str">
        <f t="shared" si="12"/>
        <v>Motoricus</v>
      </c>
      <c r="P523" t="s">
        <v>1321</v>
      </c>
      <c r="Q523" t="s">
        <v>1321</v>
      </c>
      <c r="R523" t="s">
        <v>1321</v>
      </c>
      <c r="S523" t="s">
        <v>1321</v>
      </c>
      <c r="T523" t="s">
        <v>1321</v>
      </c>
      <c r="U523" t="s">
        <v>1321</v>
      </c>
      <c r="V523" t="s">
        <v>1321</v>
      </c>
      <c r="W523" t="s">
        <v>1321</v>
      </c>
      <c r="X523" t="s">
        <v>1321</v>
      </c>
      <c r="Y523" t="s">
        <v>1321</v>
      </c>
      <c r="Z523" t="s">
        <v>1321</v>
      </c>
      <c r="AA523" t="s">
        <v>1321</v>
      </c>
      <c r="AB523" t="s">
        <v>1321</v>
      </c>
      <c r="AC523" t="s">
        <v>1321</v>
      </c>
      <c r="AD523" t="s">
        <v>1321</v>
      </c>
      <c r="AE523" t="s">
        <v>1321</v>
      </c>
      <c r="AF523" t="s">
        <v>1321</v>
      </c>
      <c r="AG523" t="s">
        <v>1321</v>
      </c>
      <c r="AH523" t="s">
        <v>1321</v>
      </c>
      <c r="AI523" t="s">
        <v>1321</v>
      </c>
      <c r="AJ523" t="s">
        <v>1321</v>
      </c>
      <c r="AK523" t="s">
        <v>1321</v>
      </c>
      <c r="AL523" t="s">
        <v>1321</v>
      </c>
      <c r="AM523" t="s">
        <v>1321</v>
      </c>
      <c r="AN523" t="s">
        <v>1321</v>
      </c>
      <c r="AO523" t="s">
        <v>1321</v>
      </c>
      <c r="AP523" t="s">
        <v>1321</v>
      </c>
      <c r="AQ523" t="s">
        <v>1321</v>
      </c>
      <c r="AR523" t="s">
        <v>1321</v>
      </c>
      <c r="AS523" t="s">
        <v>1321</v>
      </c>
      <c r="AZ523" t="s">
        <v>1321</v>
      </c>
      <c r="BA523" t="s">
        <v>1321</v>
      </c>
      <c r="BB523" t="s">
        <v>1321</v>
      </c>
      <c r="BC523" t="s">
        <v>1321</v>
      </c>
      <c r="BD523" t="s">
        <v>1321</v>
      </c>
      <c r="BE523" t="s">
        <v>1321</v>
      </c>
      <c r="BF523" t="s">
        <v>1321</v>
      </c>
      <c r="BG523" t="s">
        <v>1321</v>
      </c>
      <c r="BI523" t="s">
        <v>1321</v>
      </c>
      <c r="BJ523" t="s">
        <v>1321</v>
      </c>
      <c r="CB523" t="s">
        <v>1321</v>
      </c>
      <c r="CW523" t="s">
        <v>1321</v>
      </c>
      <c r="CX523">
        <v>2</v>
      </c>
      <c r="CY523">
        <v>1</v>
      </c>
      <c r="CZ523" t="s">
        <v>1321</v>
      </c>
      <c r="DA523" t="s">
        <v>2514</v>
      </c>
      <c r="DB523" t="s">
        <v>1321</v>
      </c>
      <c r="DC523" t="s">
        <v>1321</v>
      </c>
      <c r="DD523" t="s">
        <v>1321</v>
      </c>
      <c r="DE523" t="s">
        <v>1321</v>
      </c>
      <c r="DF523" t="s">
        <v>1321</v>
      </c>
      <c r="DG523" t="s">
        <v>1321</v>
      </c>
      <c r="DH523" t="s">
        <v>1321</v>
      </c>
      <c r="DI523">
        <v>3</v>
      </c>
      <c r="DJ523" t="s">
        <v>1321</v>
      </c>
      <c r="DK523" t="s">
        <v>1321</v>
      </c>
      <c r="DL523" t="s">
        <v>1321</v>
      </c>
      <c r="DM523" t="s">
        <v>1321</v>
      </c>
      <c r="DN523" t="s">
        <v>1321</v>
      </c>
      <c r="DO523" t="s">
        <v>1321</v>
      </c>
      <c r="DP523" t="s">
        <v>1321</v>
      </c>
      <c r="DQ523" t="s">
        <v>1321</v>
      </c>
      <c r="DR523" t="s">
        <v>1321</v>
      </c>
      <c r="DS523" t="s">
        <v>1321</v>
      </c>
      <c r="DT523" t="s">
        <v>2516</v>
      </c>
      <c r="DU523" t="s">
        <v>1321</v>
      </c>
      <c r="DV523" t="s">
        <v>2515</v>
      </c>
      <c r="DW523" t="s">
        <v>2515</v>
      </c>
      <c r="DX523" t="s">
        <v>1321</v>
      </c>
      <c r="DY523" t="s">
        <v>1321</v>
      </c>
      <c r="DZ523" t="s">
        <v>1321</v>
      </c>
      <c r="EA523" t="s">
        <v>1321</v>
      </c>
      <c r="EB523" t="s">
        <v>1321</v>
      </c>
      <c r="EC523" t="s">
        <v>1321</v>
      </c>
      <c r="ED523" t="s">
        <v>1321</v>
      </c>
      <c r="EE523" t="s">
        <v>1321</v>
      </c>
      <c r="EF523" t="s">
        <v>1321</v>
      </c>
      <c r="EG523" t="s">
        <v>1321</v>
      </c>
      <c r="EH523" t="s">
        <v>1321</v>
      </c>
      <c r="EI523" t="s">
        <v>1321</v>
      </c>
      <c r="EJ523" t="s">
        <v>1321</v>
      </c>
      <c r="EK523">
        <v>2</v>
      </c>
      <c r="EL523">
        <v>2</v>
      </c>
      <c r="EM523" t="s">
        <v>1321</v>
      </c>
      <c r="EN523" t="s">
        <v>1321</v>
      </c>
      <c r="EO523" t="s">
        <v>1321</v>
      </c>
      <c r="EP523" t="s">
        <v>1321</v>
      </c>
      <c r="EQ523" t="s">
        <v>1321</v>
      </c>
      <c r="ER523" t="s">
        <v>1321</v>
      </c>
      <c r="ES523" t="s">
        <v>1321</v>
      </c>
      <c r="ET523" t="s">
        <v>1321</v>
      </c>
      <c r="EU523">
        <v>3</v>
      </c>
      <c r="EV523" t="s">
        <v>1321</v>
      </c>
      <c r="EW523" t="s">
        <v>1321</v>
      </c>
      <c r="EY523" t="s">
        <v>1321</v>
      </c>
      <c r="EZ523" t="s">
        <v>1321</v>
      </c>
      <c r="FA523" t="s">
        <v>1321</v>
      </c>
      <c r="FB523" t="s">
        <v>1321</v>
      </c>
      <c r="FC523" t="s">
        <v>1321</v>
      </c>
      <c r="FD523" t="s">
        <v>1321</v>
      </c>
      <c r="FE523" t="s">
        <v>1321</v>
      </c>
      <c r="FF523" t="s">
        <v>2516</v>
      </c>
      <c r="FG523" t="s">
        <v>1321</v>
      </c>
      <c r="FH523" t="s">
        <v>1321</v>
      </c>
      <c r="FI523" t="s">
        <v>1321</v>
      </c>
      <c r="FJ523" t="s">
        <v>1321</v>
      </c>
      <c r="FK523" t="s">
        <v>1321</v>
      </c>
      <c r="FL523" t="s">
        <v>1321</v>
      </c>
      <c r="FM523">
        <v>4</v>
      </c>
      <c r="FN523" t="s">
        <v>1321</v>
      </c>
      <c r="FO523" t="s">
        <v>1321</v>
      </c>
      <c r="FP523" t="s">
        <v>1321</v>
      </c>
      <c r="FQ523" t="s">
        <v>1321</v>
      </c>
      <c r="FR523" t="s">
        <v>1321</v>
      </c>
      <c r="FS523">
        <v>3</v>
      </c>
      <c r="FT523" t="s">
        <v>1321</v>
      </c>
      <c r="FU523">
        <v>2</v>
      </c>
      <c r="FV523">
        <v>4</v>
      </c>
      <c r="FX523" t="s">
        <v>1321</v>
      </c>
      <c r="FY523" t="s">
        <v>2516</v>
      </c>
      <c r="FZ523" t="s">
        <v>2516</v>
      </c>
      <c r="GA523">
        <v>4</v>
      </c>
      <c r="GB523">
        <v>4</v>
      </c>
      <c r="GC523" t="s">
        <v>2514</v>
      </c>
      <c r="GD523" t="s">
        <v>1321</v>
      </c>
      <c r="GF523" t="s">
        <v>1321</v>
      </c>
      <c r="GG523">
        <v>2</v>
      </c>
      <c r="GH523" t="s">
        <v>1321</v>
      </c>
      <c r="GI523" t="s">
        <v>1321</v>
      </c>
      <c r="GJ523" t="s">
        <v>1321</v>
      </c>
      <c r="GK523" t="s">
        <v>1321</v>
      </c>
      <c r="GL523" t="s">
        <v>1321</v>
      </c>
      <c r="HB523" t="s">
        <v>1321</v>
      </c>
      <c r="HD523" t="s">
        <v>1321</v>
      </c>
      <c r="HF523" t="s">
        <v>1321</v>
      </c>
      <c r="HH523" t="s">
        <v>1321</v>
      </c>
      <c r="HJ523" t="s">
        <v>1321</v>
      </c>
      <c r="HL523" t="s">
        <v>1321</v>
      </c>
      <c r="HN523" t="s">
        <v>1321</v>
      </c>
      <c r="HP523" t="s">
        <v>1321</v>
      </c>
      <c r="HQ523" t="s">
        <v>1321</v>
      </c>
      <c r="HS523" t="s">
        <v>1321</v>
      </c>
      <c r="HU523" t="s">
        <v>1321</v>
      </c>
      <c r="HW523" t="s">
        <v>1321</v>
      </c>
      <c r="HY523" t="s">
        <v>1321</v>
      </c>
      <c r="IA523" t="s">
        <v>1321</v>
      </c>
      <c r="IC523" t="s">
        <v>1321</v>
      </c>
      <c r="ID523" t="s">
        <v>1321</v>
      </c>
      <c r="IG523" t="s">
        <v>1321</v>
      </c>
      <c r="II523" t="s">
        <v>1321</v>
      </c>
      <c r="IL523">
        <f t="shared" si="13"/>
        <v>200</v>
      </c>
    </row>
    <row r="524" spans="1:246" outlineLevel="1" x14ac:dyDescent="0.2">
      <c r="A524" t="str">
        <f t="shared" si="12"/>
        <v>Movimento Dauerlauf</v>
      </c>
      <c r="P524" t="s">
        <v>1321</v>
      </c>
      <c r="Q524" t="s">
        <v>1321</v>
      </c>
      <c r="R524" t="s">
        <v>1321</v>
      </c>
      <c r="S524" t="s">
        <v>1321</v>
      </c>
      <c r="T524" t="s">
        <v>1321</v>
      </c>
      <c r="U524" t="s">
        <v>1321</v>
      </c>
      <c r="V524" t="s">
        <v>1321</v>
      </c>
      <c r="W524" t="s">
        <v>1321</v>
      </c>
      <c r="X524" t="s">
        <v>1321</v>
      </c>
      <c r="Y524" t="s">
        <v>1321</v>
      </c>
      <c r="Z524" t="s">
        <v>1321</v>
      </c>
      <c r="AA524" t="s">
        <v>1321</v>
      </c>
      <c r="AB524" t="s">
        <v>1321</v>
      </c>
      <c r="AC524" t="s">
        <v>1321</v>
      </c>
      <c r="AD524" t="s">
        <v>1321</v>
      </c>
      <c r="AE524" t="s">
        <v>1321</v>
      </c>
      <c r="AF524" t="s">
        <v>1321</v>
      </c>
      <c r="AG524" t="s">
        <v>1321</v>
      </c>
      <c r="AH524" t="s">
        <v>1321</v>
      </c>
      <c r="AI524" t="s">
        <v>1321</v>
      </c>
      <c r="AJ524" t="s">
        <v>1321</v>
      </c>
      <c r="AK524" t="s">
        <v>1321</v>
      </c>
      <c r="AL524" t="s">
        <v>1321</v>
      </c>
      <c r="AM524" t="s">
        <v>1321</v>
      </c>
      <c r="AN524" t="s">
        <v>1321</v>
      </c>
      <c r="AO524" t="s">
        <v>1321</v>
      </c>
      <c r="AP524" t="s">
        <v>1321</v>
      </c>
      <c r="AQ524" t="s">
        <v>1321</v>
      </c>
      <c r="AR524" t="s">
        <v>1321</v>
      </c>
      <c r="AS524" t="s">
        <v>1321</v>
      </c>
      <c r="BC524" t="s">
        <v>1321</v>
      </c>
      <c r="CB524" t="s">
        <v>1321</v>
      </c>
      <c r="CD524" t="s">
        <v>1321</v>
      </c>
      <c r="CF524" t="s">
        <v>1321</v>
      </c>
      <c r="CG524" t="s">
        <v>1321</v>
      </c>
      <c r="CH524" t="s">
        <v>1321</v>
      </c>
      <c r="CI524" t="s">
        <v>1321</v>
      </c>
      <c r="CK524" t="s">
        <v>1321</v>
      </c>
      <c r="CL524" t="s">
        <v>1321</v>
      </c>
      <c r="DA524">
        <v>5</v>
      </c>
      <c r="DT524">
        <v>4</v>
      </c>
      <c r="EA524" t="s">
        <v>1321</v>
      </c>
      <c r="EE524" t="s">
        <v>1321</v>
      </c>
      <c r="EH524" t="s">
        <v>1321</v>
      </c>
      <c r="EI524" t="s">
        <v>1321</v>
      </c>
      <c r="EZ524" t="s">
        <v>4569</v>
      </c>
      <c r="FA524" t="s">
        <v>4569</v>
      </c>
      <c r="FM524" t="s">
        <v>4569</v>
      </c>
      <c r="FP524" t="s">
        <v>4569</v>
      </c>
      <c r="FQ524" t="s">
        <v>4569</v>
      </c>
      <c r="FR524" t="s">
        <v>4569</v>
      </c>
      <c r="FS524" t="s">
        <v>4569</v>
      </c>
      <c r="FT524">
        <v>2</v>
      </c>
      <c r="IL524">
        <f t="shared" si="13"/>
        <v>201</v>
      </c>
    </row>
    <row r="525" spans="1:246" outlineLevel="1" x14ac:dyDescent="0.2">
      <c r="A525" t="str">
        <f t="shared" si="12"/>
        <v>Murks und Patz!</v>
      </c>
      <c r="EZ525" t="s">
        <v>4569</v>
      </c>
      <c r="FA525" t="s">
        <v>4569</v>
      </c>
      <c r="FM525" t="s">
        <v>4569</v>
      </c>
      <c r="FP525" t="s">
        <v>4569</v>
      </c>
      <c r="FQ525" t="s">
        <v>4569</v>
      </c>
      <c r="FR525" t="s">
        <v>4569</v>
      </c>
      <c r="FS525" t="s">
        <v>4569</v>
      </c>
      <c r="GH525" t="s">
        <v>1321</v>
      </c>
      <c r="IL525">
        <f t="shared" si="13"/>
        <v>202</v>
      </c>
    </row>
    <row r="526" spans="1:246" outlineLevel="1" x14ac:dyDescent="0.2">
      <c r="A526" t="str">
        <f t="shared" si="12"/>
        <v>Nackedei</v>
      </c>
      <c r="B526" t="s">
        <v>899</v>
      </c>
      <c r="O526" t="s">
        <v>899</v>
      </c>
      <c r="AT526" t="s">
        <v>899</v>
      </c>
      <c r="AY526" t="s">
        <v>899</v>
      </c>
      <c r="BH526" t="s">
        <v>899</v>
      </c>
      <c r="BK526" t="s">
        <v>899</v>
      </c>
      <c r="CV526" t="s">
        <v>899</v>
      </c>
      <c r="EX526" t="s">
        <v>899</v>
      </c>
      <c r="EZ526" t="s">
        <v>4569</v>
      </c>
      <c r="FA526" t="s">
        <v>4569</v>
      </c>
      <c r="FM526" t="s">
        <v>4569</v>
      </c>
      <c r="FP526" t="s">
        <v>4569</v>
      </c>
      <c r="FQ526" t="s">
        <v>4569</v>
      </c>
      <c r="FR526" t="s">
        <v>4569</v>
      </c>
      <c r="FS526" t="s">
        <v>4569</v>
      </c>
      <c r="FW526" t="s">
        <v>899</v>
      </c>
      <c r="GE526" t="s">
        <v>899</v>
      </c>
      <c r="GF526" t="s">
        <v>1321</v>
      </c>
      <c r="GG526" t="s">
        <v>1321</v>
      </c>
      <c r="GH526" t="s">
        <v>1321</v>
      </c>
      <c r="GI526" t="s">
        <v>1321</v>
      </c>
      <c r="GJ526" t="s">
        <v>1321</v>
      </c>
      <c r="GK526" t="s">
        <v>1321</v>
      </c>
      <c r="GL526" t="s">
        <v>1321</v>
      </c>
      <c r="GM526" t="s">
        <v>899</v>
      </c>
      <c r="GX526" t="s">
        <v>899</v>
      </c>
      <c r="IJ526" t="s">
        <v>899</v>
      </c>
      <c r="IL526">
        <f t="shared" si="13"/>
        <v>203</v>
      </c>
    </row>
    <row r="527" spans="1:246" outlineLevel="1" x14ac:dyDescent="0.2">
      <c r="A527" t="str">
        <f t="shared" si="12"/>
        <v>Nebelleib</v>
      </c>
      <c r="F527" t="s">
        <v>2516</v>
      </c>
      <c r="K527" t="s">
        <v>2514</v>
      </c>
      <c r="EZ527" t="s">
        <v>4569</v>
      </c>
      <c r="FA527" t="s">
        <v>4569</v>
      </c>
      <c r="FM527" t="s">
        <v>4569</v>
      </c>
      <c r="FP527" t="s">
        <v>4569</v>
      </c>
      <c r="FQ527" t="s">
        <v>4569</v>
      </c>
      <c r="FR527" t="s">
        <v>4569</v>
      </c>
      <c r="FS527" t="s">
        <v>4569</v>
      </c>
      <c r="IL527">
        <f t="shared" si="13"/>
        <v>204</v>
      </c>
    </row>
    <row r="528" spans="1:246" outlineLevel="1" x14ac:dyDescent="0.2">
      <c r="A528" t="str">
        <f t="shared" si="12"/>
        <v>Nebelwand und Morgendunst</v>
      </c>
      <c r="K528">
        <v>3</v>
      </c>
      <c r="P528" t="s">
        <v>1321</v>
      </c>
      <c r="Q528" t="s">
        <v>1321</v>
      </c>
      <c r="R528" t="s">
        <v>1321</v>
      </c>
      <c r="S528" t="s">
        <v>1321</v>
      </c>
      <c r="T528" t="s">
        <v>1321</v>
      </c>
      <c r="U528" t="s">
        <v>1321</v>
      </c>
      <c r="V528" t="s">
        <v>1321</v>
      </c>
      <c r="W528" t="s">
        <v>1321</v>
      </c>
      <c r="X528" t="s">
        <v>1321</v>
      </c>
      <c r="Y528" t="s">
        <v>1321</v>
      </c>
      <c r="Z528" t="s">
        <v>1321</v>
      </c>
      <c r="AA528" t="s">
        <v>1321</v>
      </c>
      <c r="AB528" t="s">
        <v>1321</v>
      </c>
      <c r="AC528" t="s">
        <v>1321</v>
      </c>
      <c r="AD528" t="s">
        <v>1321</v>
      </c>
      <c r="AE528" t="s">
        <v>1321</v>
      </c>
      <c r="AF528" t="s">
        <v>1321</v>
      </c>
      <c r="AG528" t="s">
        <v>1321</v>
      </c>
      <c r="AH528" t="s">
        <v>1321</v>
      </c>
      <c r="AI528" t="s">
        <v>1321</v>
      </c>
      <c r="AJ528" t="s">
        <v>1321</v>
      </c>
      <c r="AK528" t="s">
        <v>1321</v>
      </c>
      <c r="AL528" t="s">
        <v>1321</v>
      </c>
      <c r="AM528" t="s">
        <v>1321</v>
      </c>
      <c r="AN528" t="s">
        <v>1321</v>
      </c>
      <c r="AO528" t="s">
        <v>1321</v>
      </c>
      <c r="AP528" t="s">
        <v>1321</v>
      </c>
      <c r="AQ528" t="s">
        <v>1321</v>
      </c>
      <c r="AR528" t="s">
        <v>1321</v>
      </c>
      <c r="AS528" t="s">
        <v>1321</v>
      </c>
      <c r="AV528" t="s">
        <v>1321</v>
      </c>
      <c r="BI528" t="s">
        <v>1321</v>
      </c>
      <c r="BJ528" t="s">
        <v>1321</v>
      </c>
      <c r="CU528" t="s">
        <v>4901</v>
      </c>
      <c r="DA528" t="s">
        <v>1321</v>
      </c>
      <c r="DD528" t="s">
        <v>1321</v>
      </c>
      <c r="DE528" t="s">
        <v>1321</v>
      </c>
      <c r="DF528" t="s">
        <v>1321</v>
      </c>
      <c r="DG528" t="s">
        <v>1321</v>
      </c>
      <c r="DH528" t="s">
        <v>2515</v>
      </c>
      <c r="DI528">
        <v>2</v>
      </c>
      <c r="DJ528" t="s">
        <v>1321</v>
      </c>
      <c r="DK528" t="s">
        <v>1321</v>
      </c>
      <c r="DQ528" t="s">
        <v>2516</v>
      </c>
      <c r="DT528" t="s">
        <v>1321</v>
      </c>
      <c r="DW528" t="s">
        <v>1321</v>
      </c>
      <c r="EG528" t="s">
        <v>2514</v>
      </c>
      <c r="EH528" t="s">
        <v>2516</v>
      </c>
      <c r="EI528" t="s">
        <v>2516</v>
      </c>
      <c r="EM528" t="s">
        <v>1321</v>
      </c>
      <c r="EN528" t="s">
        <v>1321</v>
      </c>
      <c r="EZ528" t="s">
        <v>4569</v>
      </c>
      <c r="FA528" t="s">
        <v>4569</v>
      </c>
      <c r="FM528" t="s">
        <v>1321</v>
      </c>
      <c r="FP528" t="s">
        <v>4569</v>
      </c>
      <c r="FQ528" t="s">
        <v>4569</v>
      </c>
      <c r="FR528" t="s">
        <v>4569</v>
      </c>
      <c r="FS528" t="s">
        <v>4569</v>
      </c>
      <c r="FT528" t="s">
        <v>1321</v>
      </c>
      <c r="IL528">
        <f t="shared" si="13"/>
        <v>205</v>
      </c>
    </row>
    <row r="529" spans="1:246" outlineLevel="1" x14ac:dyDescent="0.2">
      <c r="A529" t="str">
        <f t="shared" si="12"/>
        <v>Nekropathia Seelenreise</v>
      </c>
      <c r="CY529" t="s">
        <v>1321</v>
      </c>
      <c r="DC529" t="s">
        <v>2514</v>
      </c>
      <c r="EJ529" t="s">
        <v>1321</v>
      </c>
      <c r="EM529" t="s">
        <v>2516</v>
      </c>
      <c r="EZ529" t="s">
        <v>4569</v>
      </c>
      <c r="FA529" t="s">
        <v>4569</v>
      </c>
      <c r="FM529" t="s">
        <v>4569</v>
      </c>
      <c r="FP529" t="s">
        <v>4569</v>
      </c>
      <c r="FQ529" t="s">
        <v>4569</v>
      </c>
      <c r="FR529" t="s">
        <v>4569</v>
      </c>
      <c r="FS529" t="s">
        <v>4569</v>
      </c>
      <c r="IL529">
        <f t="shared" si="13"/>
        <v>206</v>
      </c>
    </row>
    <row r="530" spans="1:246" outlineLevel="1" x14ac:dyDescent="0.2">
      <c r="A530" t="str">
        <f t="shared" si="12"/>
        <v>Niederhöllen Eisgestalt</v>
      </c>
      <c r="EZ530" t="s">
        <v>4569</v>
      </c>
      <c r="FA530" t="s">
        <v>4569</v>
      </c>
      <c r="FM530" t="s">
        <v>4569</v>
      </c>
      <c r="FP530" t="s">
        <v>4569</v>
      </c>
      <c r="FQ530" t="s">
        <v>4569</v>
      </c>
      <c r="FR530" t="s">
        <v>4569</v>
      </c>
      <c r="FS530" t="s">
        <v>4569</v>
      </c>
      <c r="IL530">
        <f t="shared" si="13"/>
        <v>207</v>
      </c>
    </row>
    <row r="531" spans="1:246" outlineLevel="1" x14ac:dyDescent="0.2">
      <c r="A531" t="str">
        <f t="shared" ref="A531:A594" si="14">INDEX(ZAUBER,$IL531)</f>
        <v>Nihilgravo Schwerelos</v>
      </c>
      <c r="CW531" t="s">
        <v>1321</v>
      </c>
      <c r="CX531" t="s">
        <v>1321</v>
      </c>
      <c r="DF531" t="s">
        <v>1321</v>
      </c>
      <c r="DG531" t="s">
        <v>1321</v>
      </c>
      <c r="DH531" t="s">
        <v>1321</v>
      </c>
      <c r="DI531">
        <v>2</v>
      </c>
      <c r="DJ531" t="s">
        <v>1321</v>
      </c>
      <c r="DK531" t="s">
        <v>1321</v>
      </c>
      <c r="DQ531" t="s">
        <v>2516</v>
      </c>
      <c r="DV531" t="s">
        <v>1321</v>
      </c>
      <c r="DW531" t="s">
        <v>1321</v>
      </c>
      <c r="DY531" t="s">
        <v>1321</v>
      </c>
      <c r="ED531" t="s">
        <v>1321</v>
      </c>
      <c r="EG531" t="s">
        <v>2515</v>
      </c>
      <c r="EH531" t="s">
        <v>1321</v>
      </c>
      <c r="EI531" t="s">
        <v>1321</v>
      </c>
      <c r="EK531" t="s">
        <v>1321</v>
      </c>
      <c r="EL531" t="s">
        <v>1321</v>
      </c>
      <c r="EZ531" t="s">
        <v>4569</v>
      </c>
      <c r="FA531" t="s">
        <v>4569</v>
      </c>
      <c r="FF531">
        <v>2</v>
      </c>
      <c r="FM531" t="s">
        <v>1321</v>
      </c>
      <c r="FP531" t="s">
        <v>4569</v>
      </c>
      <c r="FQ531" t="s">
        <v>4569</v>
      </c>
      <c r="FR531" t="s">
        <v>4569</v>
      </c>
      <c r="FS531" t="s">
        <v>2516</v>
      </c>
      <c r="IL531">
        <f t="shared" ref="IL531:IL594" si="15">ROW()-$IL$323</f>
        <v>208</v>
      </c>
    </row>
    <row r="532" spans="1:246" outlineLevel="1" x14ac:dyDescent="0.2">
      <c r="A532" t="str">
        <f t="shared" si="14"/>
        <v>Nuntiovolo Botenvogel</v>
      </c>
      <c r="BD532" t="s">
        <v>4901</v>
      </c>
      <c r="DC532" t="s">
        <v>1321</v>
      </c>
      <c r="EK532" t="s">
        <v>1321</v>
      </c>
      <c r="EL532" t="s">
        <v>1321</v>
      </c>
      <c r="EZ532">
        <v>3</v>
      </c>
      <c r="FA532" t="s">
        <v>4569</v>
      </c>
      <c r="FM532" t="s">
        <v>4569</v>
      </c>
      <c r="FP532" t="s">
        <v>4569</v>
      </c>
      <c r="FQ532" t="s">
        <v>4569</v>
      </c>
      <c r="FR532" t="s">
        <v>4569</v>
      </c>
      <c r="FS532" t="s">
        <v>4901</v>
      </c>
      <c r="IL532">
        <f t="shared" si="15"/>
        <v>209</v>
      </c>
    </row>
    <row r="533" spans="1:246" outlineLevel="1" x14ac:dyDescent="0.2">
      <c r="A533" t="str">
        <f t="shared" si="14"/>
        <v>Objecto Obscuro</v>
      </c>
      <c r="B533" t="s">
        <v>4174</v>
      </c>
      <c r="O533" t="s">
        <v>4174</v>
      </c>
      <c r="AT533" t="s">
        <v>4174</v>
      </c>
      <c r="AY533" t="s">
        <v>4174</v>
      </c>
      <c r="BH533" t="s">
        <v>4174</v>
      </c>
      <c r="BK533" t="s">
        <v>4174</v>
      </c>
      <c r="CV533" t="s">
        <v>4174</v>
      </c>
      <c r="CW533" t="s">
        <v>1321</v>
      </c>
      <c r="CX533" t="s">
        <v>1321</v>
      </c>
      <c r="CZ533" t="s">
        <v>1321</v>
      </c>
      <c r="DA533" t="s">
        <v>1321</v>
      </c>
      <c r="DB533" t="s">
        <v>1321</v>
      </c>
      <c r="DR533" t="s">
        <v>1321</v>
      </c>
      <c r="DT533" t="s">
        <v>1321</v>
      </c>
      <c r="DV533" t="s">
        <v>1321</v>
      </c>
      <c r="DW533" t="s">
        <v>1321</v>
      </c>
      <c r="DY533" t="s">
        <v>1321</v>
      </c>
      <c r="EA533" t="s">
        <v>1321</v>
      </c>
      <c r="ED533" t="s">
        <v>1321</v>
      </c>
      <c r="EK533" t="s">
        <v>1321</v>
      </c>
      <c r="EL533" t="s">
        <v>1321</v>
      </c>
      <c r="ER533" t="s">
        <v>1321</v>
      </c>
      <c r="EX533" t="s">
        <v>4174</v>
      </c>
      <c r="EZ533" t="s">
        <v>4569</v>
      </c>
      <c r="FA533" t="s">
        <v>4569</v>
      </c>
      <c r="FM533" t="s">
        <v>2516</v>
      </c>
      <c r="FP533" t="s">
        <v>4569</v>
      </c>
      <c r="FQ533" t="s">
        <v>4569</v>
      </c>
      <c r="FR533" t="s">
        <v>4569</v>
      </c>
      <c r="FS533" t="s">
        <v>4569</v>
      </c>
      <c r="FW533" t="s">
        <v>4174</v>
      </c>
      <c r="GE533" t="s">
        <v>4174</v>
      </c>
      <c r="GM533" t="s">
        <v>4174</v>
      </c>
      <c r="GX533" t="s">
        <v>4174</v>
      </c>
      <c r="IJ533" t="s">
        <v>4174</v>
      </c>
      <c r="IL533">
        <f t="shared" si="15"/>
        <v>210</v>
      </c>
    </row>
    <row r="534" spans="1:246" outlineLevel="1" x14ac:dyDescent="0.2">
      <c r="A534" t="str">
        <f t="shared" si="14"/>
        <v>Objectofixo</v>
      </c>
      <c r="BI534" t="s">
        <v>1321</v>
      </c>
      <c r="BJ534">
        <v>3</v>
      </c>
      <c r="CW534" t="s">
        <v>1321</v>
      </c>
      <c r="CX534" t="s">
        <v>1321</v>
      </c>
      <c r="CY534" t="s">
        <v>1321</v>
      </c>
      <c r="CZ534" t="s">
        <v>1321</v>
      </c>
      <c r="DB534" t="s">
        <v>1321</v>
      </c>
      <c r="DC534" t="s">
        <v>1321</v>
      </c>
      <c r="DF534" t="s">
        <v>1321</v>
      </c>
      <c r="DG534" t="s">
        <v>1321</v>
      </c>
      <c r="DH534" t="s">
        <v>1321</v>
      </c>
      <c r="DI534" t="s">
        <v>1321</v>
      </c>
      <c r="DJ534">
        <v>4</v>
      </c>
      <c r="DK534" t="s">
        <v>1321</v>
      </c>
      <c r="DM534" t="s">
        <v>1321</v>
      </c>
      <c r="DN534" t="s">
        <v>1321</v>
      </c>
      <c r="DO534" t="s">
        <v>1321</v>
      </c>
      <c r="DP534" t="s">
        <v>1321</v>
      </c>
      <c r="DQ534" t="s">
        <v>2516</v>
      </c>
      <c r="DR534" t="s">
        <v>1321</v>
      </c>
      <c r="DS534" t="s">
        <v>1321</v>
      </c>
      <c r="DV534">
        <v>4</v>
      </c>
      <c r="DW534" t="s">
        <v>1321</v>
      </c>
      <c r="EA534" t="s">
        <v>1321</v>
      </c>
      <c r="EC534" t="s">
        <v>1321</v>
      </c>
      <c r="ED534" t="s">
        <v>2516</v>
      </c>
      <c r="EF534" t="s">
        <v>1321</v>
      </c>
      <c r="EG534" t="s">
        <v>2516</v>
      </c>
      <c r="EJ534" t="s">
        <v>1321</v>
      </c>
      <c r="EK534" t="s">
        <v>1321</v>
      </c>
      <c r="EL534" t="s">
        <v>1321</v>
      </c>
      <c r="EM534" t="s">
        <v>1321</v>
      </c>
      <c r="EN534" t="s">
        <v>1321</v>
      </c>
      <c r="EO534" t="s">
        <v>1321</v>
      </c>
      <c r="EP534" t="s">
        <v>1321</v>
      </c>
      <c r="EQ534" t="s">
        <v>1321</v>
      </c>
      <c r="ES534" t="s">
        <v>1321</v>
      </c>
      <c r="ET534" t="s">
        <v>1321</v>
      </c>
      <c r="EU534" t="s">
        <v>1321</v>
      </c>
      <c r="EV534" t="s">
        <v>1321</v>
      </c>
      <c r="EZ534" t="s">
        <v>4569</v>
      </c>
      <c r="FA534" t="s">
        <v>4569</v>
      </c>
      <c r="FB534" t="s">
        <v>1321</v>
      </c>
      <c r="FC534" t="s">
        <v>1321</v>
      </c>
      <c r="FF534" t="s">
        <v>1321</v>
      </c>
      <c r="FG534" t="s">
        <v>1321</v>
      </c>
      <c r="FH534" t="s">
        <v>1321</v>
      </c>
      <c r="FI534" t="s">
        <v>1321</v>
      </c>
      <c r="FJ534" t="s">
        <v>1321</v>
      </c>
      <c r="FK534" t="s">
        <v>1321</v>
      </c>
      <c r="FM534" t="s">
        <v>2516</v>
      </c>
      <c r="FN534" t="s">
        <v>1321</v>
      </c>
      <c r="FP534" t="s">
        <v>1321</v>
      </c>
      <c r="FQ534" t="s">
        <v>1321</v>
      </c>
      <c r="FR534" t="s">
        <v>1321</v>
      </c>
      <c r="FS534" t="s">
        <v>1321</v>
      </c>
      <c r="FV534">
        <v>3</v>
      </c>
      <c r="IL534">
        <f t="shared" si="15"/>
        <v>211</v>
      </c>
    </row>
    <row r="535" spans="1:246" outlineLevel="1" x14ac:dyDescent="0.2">
      <c r="A535" t="str">
        <f t="shared" si="14"/>
        <v>Objectovoco</v>
      </c>
      <c r="C535" t="s">
        <v>1321</v>
      </c>
      <c r="D535" t="s">
        <v>1321</v>
      </c>
      <c r="E535" t="s">
        <v>1321</v>
      </c>
      <c r="F535">
        <v>1</v>
      </c>
      <c r="G535" t="s">
        <v>1321</v>
      </c>
      <c r="H535" t="s">
        <v>1321</v>
      </c>
      <c r="I535" t="s">
        <v>1321</v>
      </c>
      <c r="J535" t="s">
        <v>1321</v>
      </c>
      <c r="K535" t="s">
        <v>1321</v>
      </c>
      <c r="L535" t="s">
        <v>1321</v>
      </c>
      <c r="M535" t="s">
        <v>1321</v>
      </c>
      <c r="N535" t="s">
        <v>1321</v>
      </c>
      <c r="P535" t="s">
        <v>1321</v>
      </c>
      <c r="Q535" t="s">
        <v>1321</v>
      </c>
      <c r="R535" t="s">
        <v>1321</v>
      </c>
      <c r="S535" t="s">
        <v>1321</v>
      </c>
      <c r="T535" t="s">
        <v>1321</v>
      </c>
      <c r="U535" t="s">
        <v>1321</v>
      </c>
      <c r="V535" t="s">
        <v>1321</v>
      </c>
      <c r="W535" t="s">
        <v>1321</v>
      </c>
      <c r="X535" t="s">
        <v>1321</v>
      </c>
      <c r="Y535" t="s">
        <v>1321</v>
      </c>
      <c r="Z535" t="s">
        <v>1321</v>
      </c>
      <c r="AA535" t="s">
        <v>1321</v>
      </c>
      <c r="AB535" t="s">
        <v>1321</v>
      </c>
      <c r="AC535" t="s">
        <v>1321</v>
      </c>
      <c r="AD535" t="s">
        <v>1321</v>
      </c>
      <c r="AE535" t="s">
        <v>1321</v>
      </c>
      <c r="AF535" t="s">
        <v>1321</v>
      </c>
      <c r="AG535" t="s">
        <v>1321</v>
      </c>
      <c r="AH535" t="s">
        <v>1321</v>
      </c>
      <c r="AI535" t="s">
        <v>1321</v>
      </c>
      <c r="AJ535" t="s">
        <v>1321</v>
      </c>
      <c r="AK535" t="s">
        <v>1321</v>
      </c>
      <c r="AL535" t="s">
        <v>1321</v>
      </c>
      <c r="AM535" t="s">
        <v>1321</v>
      </c>
      <c r="AN535" t="s">
        <v>1321</v>
      </c>
      <c r="AO535" t="s">
        <v>1321</v>
      </c>
      <c r="AP535" t="s">
        <v>1321</v>
      </c>
      <c r="AQ535" t="s">
        <v>1321</v>
      </c>
      <c r="AR535" t="s">
        <v>1321</v>
      </c>
      <c r="AS535" t="s">
        <v>1321</v>
      </c>
      <c r="AX535">
        <v>3</v>
      </c>
      <c r="CW535" t="s">
        <v>1321</v>
      </c>
      <c r="CX535" t="s">
        <v>1321</v>
      </c>
      <c r="CY535" t="s">
        <v>1321</v>
      </c>
      <c r="CZ535" t="s">
        <v>1321</v>
      </c>
      <c r="DA535" t="s">
        <v>1321</v>
      </c>
      <c r="DB535" t="s">
        <v>1321</v>
      </c>
      <c r="DC535" t="s">
        <v>1321</v>
      </c>
      <c r="DD535">
        <v>3</v>
      </c>
      <c r="DE535" t="s">
        <v>1321</v>
      </c>
      <c r="DF535" t="s">
        <v>1321</v>
      </c>
      <c r="DG535" t="s">
        <v>1321</v>
      </c>
      <c r="DH535" t="s">
        <v>1321</v>
      </c>
      <c r="DI535" t="s">
        <v>1321</v>
      </c>
      <c r="DJ535" t="s">
        <v>1321</v>
      </c>
      <c r="DK535" t="s">
        <v>1321</v>
      </c>
      <c r="DL535" t="s">
        <v>1321</v>
      </c>
      <c r="DM535" t="s">
        <v>1321</v>
      </c>
      <c r="DN535" t="s">
        <v>1321</v>
      </c>
      <c r="DO535" t="s">
        <v>1321</v>
      </c>
      <c r="DP535" t="s">
        <v>1321</v>
      </c>
      <c r="DQ535" t="s">
        <v>1321</v>
      </c>
      <c r="DR535" t="s">
        <v>1321</v>
      </c>
      <c r="DS535" t="s">
        <v>1321</v>
      </c>
      <c r="DT535" t="s">
        <v>1321</v>
      </c>
      <c r="DU535" t="s">
        <v>1321</v>
      </c>
      <c r="DV535" t="s">
        <v>1321</v>
      </c>
      <c r="DW535" t="s">
        <v>1321</v>
      </c>
      <c r="DX535" t="s">
        <v>1321</v>
      </c>
      <c r="DY535" t="s">
        <v>1321</v>
      </c>
      <c r="DZ535" t="s">
        <v>1321</v>
      </c>
      <c r="EA535" t="s">
        <v>1321</v>
      </c>
      <c r="EB535" t="s">
        <v>1321</v>
      </c>
      <c r="EC535" t="s">
        <v>1321</v>
      </c>
      <c r="ED535">
        <v>3</v>
      </c>
      <c r="EE535" t="s">
        <v>1321</v>
      </c>
      <c r="EF535" t="s">
        <v>1321</v>
      </c>
      <c r="EG535" t="s">
        <v>1321</v>
      </c>
      <c r="EH535" t="s">
        <v>1321</v>
      </c>
      <c r="EI535" t="s">
        <v>1321</v>
      </c>
      <c r="EJ535" t="s">
        <v>1321</v>
      </c>
      <c r="EK535" t="s">
        <v>1321</v>
      </c>
      <c r="EL535">
        <v>4</v>
      </c>
      <c r="EM535" t="s">
        <v>1321</v>
      </c>
      <c r="EN535" t="s">
        <v>1321</v>
      </c>
      <c r="EO535" t="s">
        <v>1321</v>
      </c>
      <c r="EP535" t="s">
        <v>1321</v>
      </c>
      <c r="EQ535" t="s">
        <v>2516</v>
      </c>
      <c r="ER535" t="s">
        <v>1321</v>
      </c>
      <c r="ES535">
        <v>3</v>
      </c>
      <c r="ET535" t="s">
        <v>1321</v>
      </c>
      <c r="EU535" t="s">
        <v>1321</v>
      </c>
      <c r="EV535" t="s">
        <v>1321</v>
      </c>
      <c r="EW535" t="s">
        <v>1321</v>
      </c>
      <c r="EY535" t="s">
        <v>1321</v>
      </c>
      <c r="EZ535" t="s">
        <v>1321</v>
      </c>
      <c r="FA535" t="s">
        <v>1321</v>
      </c>
      <c r="FK535" t="s">
        <v>1321</v>
      </c>
      <c r="FL535" t="s">
        <v>1321</v>
      </c>
      <c r="FM535" t="s">
        <v>1321</v>
      </c>
      <c r="FN535" t="s">
        <v>1321</v>
      </c>
      <c r="FO535" t="s">
        <v>1321</v>
      </c>
      <c r="FP535" t="s">
        <v>1321</v>
      </c>
      <c r="FQ535" t="s">
        <v>1321</v>
      </c>
      <c r="FR535" t="s">
        <v>1321</v>
      </c>
      <c r="FS535" t="s">
        <v>1321</v>
      </c>
      <c r="FT535" t="s">
        <v>1321</v>
      </c>
      <c r="IL535">
        <f t="shared" si="15"/>
        <v>212</v>
      </c>
    </row>
    <row r="536" spans="1:246" outlineLevel="1" x14ac:dyDescent="0.2">
      <c r="A536" t="str">
        <f t="shared" si="14"/>
        <v>Objekt entzaubern</v>
      </c>
      <c r="BD536" t="s">
        <v>1321</v>
      </c>
      <c r="BI536" t="s">
        <v>1321</v>
      </c>
      <c r="BJ536" t="s">
        <v>1321</v>
      </c>
      <c r="CW536" t="s">
        <v>1321</v>
      </c>
      <c r="CX536" t="s">
        <v>1321</v>
      </c>
      <c r="CY536" t="s">
        <v>1321</v>
      </c>
      <c r="CZ536" t="s">
        <v>1321</v>
      </c>
      <c r="DA536" t="s">
        <v>1321</v>
      </c>
      <c r="DB536" t="s">
        <v>1321</v>
      </c>
      <c r="DC536" t="s">
        <v>1321</v>
      </c>
      <c r="DD536" t="s">
        <v>1321</v>
      </c>
      <c r="DE536" t="s">
        <v>1321</v>
      </c>
      <c r="DF536" t="s">
        <v>1321</v>
      </c>
      <c r="DG536" t="s">
        <v>1321</v>
      </c>
      <c r="DH536" t="s">
        <v>1321</v>
      </c>
      <c r="DI536" t="s">
        <v>1321</v>
      </c>
      <c r="DJ536" t="s">
        <v>1321</v>
      </c>
      <c r="DK536" t="s">
        <v>1321</v>
      </c>
      <c r="DL536" t="s">
        <v>1321</v>
      </c>
      <c r="DM536" t="s">
        <v>1321</v>
      </c>
      <c r="DN536" t="s">
        <v>1321</v>
      </c>
      <c r="DO536" t="s">
        <v>1321</v>
      </c>
      <c r="DP536" t="s">
        <v>1321</v>
      </c>
      <c r="DQ536">
        <v>2</v>
      </c>
      <c r="DR536" t="s">
        <v>1321</v>
      </c>
      <c r="DS536" t="s">
        <v>1321</v>
      </c>
      <c r="DT536" t="s">
        <v>1321</v>
      </c>
      <c r="DU536" t="s">
        <v>1321</v>
      </c>
      <c r="DV536" t="s">
        <v>1321</v>
      </c>
      <c r="DW536" t="s">
        <v>1321</v>
      </c>
      <c r="DX536" t="s">
        <v>1321</v>
      </c>
      <c r="DY536" t="s">
        <v>1321</v>
      </c>
      <c r="DZ536" t="s">
        <v>1321</v>
      </c>
      <c r="EA536" t="s">
        <v>1321</v>
      </c>
      <c r="EB536" t="s">
        <v>1321</v>
      </c>
      <c r="EC536">
        <v>4</v>
      </c>
      <c r="ED536" t="s">
        <v>1321</v>
      </c>
      <c r="EE536" t="s">
        <v>1321</v>
      </c>
      <c r="EF536" t="s">
        <v>1321</v>
      </c>
      <c r="EG536">
        <v>3</v>
      </c>
      <c r="EH536" t="s">
        <v>1321</v>
      </c>
      <c r="EI536" t="s">
        <v>1321</v>
      </c>
      <c r="EJ536" t="s">
        <v>1321</v>
      </c>
      <c r="EK536" t="s">
        <v>1321</v>
      </c>
      <c r="EL536">
        <v>5</v>
      </c>
      <c r="EM536" t="s">
        <v>1321</v>
      </c>
      <c r="EN536" t="s">
        <v>1321</v>
      </c>
      <c r="EO536" t="s">
        <v>1321</v>
      </c>
      <c r="EP536" t="s">
        <v>1321</v>
      </c>
      <c r="EQ536" t="s">
        <v>1321</v>
      </c>
      <c r="ER536" t="s">
        <v>1321</v>
      </c>
      <c r="ES536" t="s">
        <v>1321</v>
      </c>
      <c r="ET536" t="s">
        <v>1321</v>
      </c>
      <c r="EU536" t="s">
        <v>1321</v>
      </c>
      <c r="EV536" t="s">
        <v>1321</v>
      </c>
      <c r="EW536" t="s">
        <v>1321</v>
      </c>
      <c r="EY536" t="s">
        <v>1321</v>
      </c>
      <c r="EZ536" t="s">
        <v>1321</v>
      </c>
      <c r="FA536" t="s">
        <v>1321</v>
      </c>
      <c r="FB536" t="s">
        <v>1321</v>
      </c>
      <c r="FC536" t="s">
        <v>1321</v>
      </c>
      <c r="FD536" t="s">
        <v>1321</v>
      </c>
      <c r="FE536" t="s">
        <v>1321</v>
      </c>
      <c r="FG536" t="s">
        <v>1321</v>
      </c>
      <c r="FH536" t="s">
        <v>1321</v>
      </c>
      <c r="FI536" t="s">
        <v>1321</v>
      </c>
      <c r="FJ536" t="s">
        <v>1321</v>
      </c>
      <c r="FK536" t="s">
        <v>1321</v>
      </c>
      <c r="FL536" t="s">
        <v>1321</v>
      </c>
      <c r="FM536">
        <v>4</v>
      </c>
      <c r="FN536" t="s">
        <v>1321</v>
      </c>
      <c r="FO536" t="s">
        <v>4901</v>
      </c>
      <c r="FP536" t="s">
        <v>1321</v>
      </c>
      <c r="FQ536" t="s">
        <v>1321</v>
      </c>
      <c r="FR536" t="s">
        <v>1321</v>
      </c>
      <c r="FS536" t="s">
        <v>1321</v>
      </c>
      <c r="FT536" t="s">
        <v>1321</v>
      </c>
      <c r="IK536">
        <v>1</v>
      </c>
      <c r="IL536">
        <f t="shared" si="15"/>
        <v>213</v>
      </c>
    </row>
    <row r="537" spans="1:246" outlineLevel="1" x14ac:dyDescent="0.2">
      <c r="A537" t="str">
        <f t="shared" si="14"/>
        <v>Oculus Astralis</v>
      </c>
      <c r="DS537" t="s">
        <v>1321</v>
      </c>
      <c r="DW537" t="s">
        <v>1321</v>
      </c>
      <c r="EK537">
        <v>4</v>
      </c>
      <c r="EL537" t="s">
        <v>2514</v>
      </c>
      <c r="ES537" t="s">
        <v>2516</v>
      </c>
      <c r="EZ537" t="s">
        <v>4569</v>
      </c>
      <c r="FA537" t="s">
        <v>4569</v>
      </c>
      <c r="FM537" t="s">
        <v>4569</v>
      </c>
      <c r="FP537" t="s">
        <v>4569</v>
      </c>
      <c r="FQ537" t="s">
        <v>4569</v>
      </c>
      <c r="FR537" t="s">
        <v>4569</v>
      </c>
      <c r="FS537" t="s">
        <v>4569</v>
      </c>
      <c r="FU537" t="s">
        <v>2516</v>
      </c>
      <c r="IK537" t="s">
        <v>7191</v>
      </c>
      <c r="IL537">
        <f t="shared" si="15"/>
        <v>214</v>
      </c>
    </row>
    <row r="538" spans="1:246" outlineLevel="1" x14ac:dyDescent="0.2">
      <c r="A538" t="str">
        <f t="shared" si="14"/>
        <v>Odem Arcanum</v>
      </c>
      <c r="C538" t="s">
        <v>1321</v>
      </c>
      <c r="D538">
        <v>2</v>
      </c>
      <c r="E538">
        <v>5</v>
      </c>
      <c r="F538">
        <v>4</v>
      </c>
      <c r="G538">
        <v>3</v>
      </c>
      <c r="H538">
        <v>5</v>
      </c>
      <c r="I538">
        <v>5</v>
      </c>
      <c r="J538">
        <v>5</v>
      </c>
      <c r="K538">
        <v>5</v>
      </c>
      <c r="L538">
        <v>5</v>
      </c>
      <c r="M538">
        <v>5</v>
      </c>
      <c r="N538">
        <v>5</v>
      </c>
      <c r="P538" t="s">
        <v>1321</v>
      </c>
      <c r="Q538" t="s">
        <v>1321</v>
      </c>
      <c r="R538" t="s">
        <v>1321</v>
      </c>
      <c r="S538" t="s">
        <v>1321</v>
      </c>
      <c r="T538" t="s">
        <v>1321</v>
      </c>
      <c r="U538" t="s">
        <v>1321</v>
      </c>
      <c r="V538" t="s">
        <v>1321</v>
      </c>
      <c r="W538" t="s">
        <v>1321</v>
      </c>
      <c r="X538" t="s">
        <v>1321</v>
      </c>
      <c r="Y538" t="s">
        <v>1321</v>
      </c>
      <c r="Z538" t="s">
        <v>1321</v>
      </c>
      <c r="AA538" t="s">
        <v>1321</v>
      </c>
      <c r="AB538" t="s">
        <v>1321</v>
      </c>
      <c r="AC538" t="s">
        <v>1321</v>
      </c>
      <c r="AD538" t="s">
        <v>1321</v>
      </c>
      <c r="AE538" t="s">
        <v>1321</v>
      </c>
      <c r="AF538" t="s">
        <v>1321</v>
      </c>
      <c r="AG538" t="s">
        <v>1321</v>
      </c>
      <c r="AH538" t="s">
        <v>1321</v>
      </c>
      <c r="AI538" t="s">
        <v>1321</v>
      </c>
      <c r="AJ538" t="s">
        <v>1321</v>
      </c>
      <c r="AK538" t="s">
        <v>1321</v>
      </c>
      <c r="AL538" t="s">
        <v>1321</v>
      </c>
      <c r="AM538" t="s">
        <v>1321</v>
      </c>
      <c r="AN538" t="s">
        <v>1321</v>
      </c>
      <c r="AO538" t="s">
        <v>1321</v>
      </c>
      <c r="AP538" t="s">
        <v>1321</v>
      </c>
      <c r="AQ538" t="s">
        <v>1321</v>
      </c>
      <c r="AR538" t="s">
        <v>1321</v>
      </c>
      <c r="AS538" t="s">
        <v>1321</v>
      </c>
      <c r="AU538" t="s">
        <v>1321</v>
      </c>
      <c r="AV538">
        <v>3</v>
      </c>
      <c r="AW538">
        <v>4</v>
      </c>
      <c r="AX538">
        <v>5</v>
      </c>
      <c r="AZ538" t="s">
        <v>1321</v>
      </c>
      <c r="BA538" t="s">
        <v>1321</v>
      </c>
      <c r="BB538" t="s">
        <v>1321</v>
      </c>
      <c r="BC538" t="s">
        <v>1321</v>
      </c>
      <c r="BD538">
        <v>3</v>
      </c>
      <c r="BE538">
        <v>5</v>
      </c>
      <c r="BF538" t="s">
        <v>1321</v>
      </c>
      <c r="BG538" t="s">
        <v>1321</v>
      </c>
      <c r="BI538" t="s">
        <v>1321</v>
      </c>
      <c r="BJ538">
        <v>5</v>
      </c>
      <c r="CB538" t="s">
        <v>1321</v>
      </c>
      <c r="CW538">
        <v>6</v>
      </c>
      <c r="CX538">
        <v>4</v>
      </c>
      <c r="CY538">
        <v>6</v>
      </c>
      <c r="CZ538">
        <v>2</v>
      </c>
      <c r="DA538">
        <v>5</v>
      </c>
      <c r="DB538">
        <v>5</v>
      </c>
      <c r="DC538">
        <v>5</v>
      </c>
      <c r="DD538">
        <v>3</v>
      </c>
      <c r="DE538">
        <v>3</v>
      </c>
      <c r="DF538">
        <v>4</v>
      </c>
      <c r="DG538">
        <v>4</v>
      </c>
      <c r="DH538">
        <v>4</v>
      </c>
      <c r="DI538">
        <v>4</v>
      </c>
      <c r="DJ538">
        <v>4</v>
      </c>
      <c r="DK538">
        <v>4</v>
      </c>
      <c r="DL538">
        <v>4</v>
      </c>
      <c r="DM538">
        <v>5</v>
      </c>
      <c r="DN538">
        <v>4</v>
      </c>
      <c r="DO538">
        <v>4</v>
      </c>
      <c r="DP538">
        <v>5</v>
      </c>
      <c r="DQ538">
        <v>5</v>
      </c>
      <c r="DR538">
        <v>2</v>
      </c>
      <c r="DS538">
        <v>5</v>
      </c>
      <c r="DT538">
        <v>3</v>
      </c>
      <c r="DU538">
        <v>4</v>
      </c>
      <c r="DV538">
        <v>5</v>
      </c>
      <c r="DW538">
        <v>5</v>
      </c>
      <c r="DX538">
        <v>5</v>
      </c>
      <c r="DY538">
        <v>5</v>
      </c>
      <c r="DZ538">
        <v>2</v>
      </c>
      <c r="EA538">
        <v>4</v>
      </c>
      <c r="EB538">
        <v>7</v>
      </c>
      <c r="EC538">
        <v>4</v>
      </c>
      <c r="ED538">
        <v>4</v>
      </c>
      <c r="EE538">
        <v>4</v>
      </c>
      <c r="EF538">
        <v>4</v>
      </c>
      <c r="EG538">
        <v>5</v>
      </c>
      <c r="EH538">
        <v>4</v>
      </c>
      <c r="EI538">
        <v>4</v>
      </c>
      <c r="EJ538">
        <v>4</v>
      </c>
      <c r="EK538">
        <v>5</v>
      </c>
      <c r="EL538">
        <v>6</v>
      </c>
      <c r="EM538">
        <v>4</v>
      </c>
      <c r="EN538">
        <v>4</v>
      </c>
      <c r="EO538">
        <v>5</v>
      </c>
      <c r="EP538">
        <v>5</v>
      </c>
      <c r="EQ538">
        <v>6</v>
      </c>
      <c r="ER538">
        <v>5</v>
      </c>
      <c r="ES538">
        <v>5</v>
      </c>
      <c r="ET538">
        <v>4</v>
      </c>
      <c r="EU538">
        <v>5</v>
      </c>
      <c r="EV538">
        <v>4</v>
      </c>
      <c r="EW538">
        <v>5</v>
      </c>
      <c r="EY538">
        <v>5</v>
      </c>
      <c r="EZ538">
        <v>4</v>
      </c>
      <c r="FA538" t="s">
        <v>1321</v>
      </c>
      <c r="FB538" t="s">
        <v>1321</v>
      </c>
      <c r="FC538" t="s">
        <v>1321</v>
      </c>
      <c r="FD538" t="s">
        <v>1321</v>
      </c>
      <c r="FE538">
        <v>3</v>
      </c>
      <c r="FF538">
        <v>3</v>
      </c>
      <c r="FG538" t="s">
        <v>1321</v>
      </c>
      <c r="FH538" t="s">
        <v>1321</v>
      </c>
      <c r="FI538" t="s">
        <v>1321</v>
      </c>
      <c r="FJ538" t="s">
        <v>1321</v>
      </c>
      <c r="FK538" t="s">
        <v>1321</v>
      </c>
      <c r="FL538" t="s">
        <v>1321</v>
      </c>
      <c r="FM538">
        <v>5</v>
      </c>
      <c r="FN538" t="s">
        <v>1321</v>
      </c>
      <c r="FO538" t="s">
        <v>1321</v>
      </c>
      <c r="FP538">
        <v>3</v>
      </c>
      <c r="FQ538">
        <v>3</v>
      </c>
      <c r="FR538">
        <v>3</v>
      </c>
      <c r="FS538">
        <v>3</v>
      </c>
      <c r="FT538" t="s">
        <v>1321</v>
      </c>
      <c r="FU538" t="s">
        <v>2514</v>
      </c>
      <c r="FV538">
        <v>3</v>
      </c>
      <c r="FX538" t="s">
        <v>1321</v>
      </c>
      <c r="FY538" t="s">
        <v>1321</v>
      </c>
      <c r="FZ538" t="s">
        <v>1321</v>
      </c>
      <c r="GA538">
        <v>5</v>
      </c>
      <c r="GB538" t="s">
        <v>1321</v>
      </c>
      <c r="GC538" t="s">
        <v>1321</v>
      </c>
      <c r="GD538" t="s">
        <v>1321</v>
      </c>
      <c r="GF538" t="s">
        <v>1321</v>
      </c>
      <c r="GG538" t="s">
        <v>1321</v>
      </c>
      <c r="GH538" t="s">
        <v>1321</v>
      </c>
      <c r="GI538" t="s">
        <v>1321</v>
      </c>
      <c r="GJ538" t="s">
        <v>1321</v>
      </c>
      <c r="GK538" t="s">
        <v>1321</v>
      </c>
      <c r="GL538" t="s">
        <v>1321</v>
      </c>
      <c r="HB538" t="s">
        <v>1321</v>
      </c>
      <c r="HD538" t="s">
        <v>1321</v>
      </c>
      <c r="HF538" t="s">
        <v>1321</v>
      </c>
      <c r="HH538" t="s">
        <v>1321</v>
      </c>
      <c r="HJ538" t="s">
        <v>1321</v>
      </c>
      <c r="HL538" t="s">
        <v>1321</v>
      </c>
      <c r="HN538" t="s">
        <v>1321</v>
      </c>
      <c r="HP538" t="s">
        <v>1321</v>
      </c>
      <c r="HQ538" t="s">
        <v>1321</v>
      </c>
      <c r="HS538" t="s">
        <v>1321</v>
      </c>
      <c r="HU538" t="s">
        <v>1321</v>
      </c>
      <c r="HW538" t="s">
        <v>1321</v>
      </c>
      <c r="HY538" t="s">
        <v>1321</v>
      </c>
      <c r="IA538" t="s">
        <v>1321</v>
      </c>
      <c r="IC538" t="s">
        <v>1321</v>
      </c>
      <c r="ID538" t="s">
        <v>1321</v>
      </c>
      <c r="IG538" t="s">
        <v>1321</v>
      </c>
      <c r="II538" t="s">
        <v>1321</v>
      </c>
      <c r="IK538">
        <v>1</v>
      </c>
      <c r="IL538">
        <f t="shared" si="15"/>
        <v>215</v>
      </c>
    </row>
    <row r="539" spans="1:246" outlineLevel="1" x14ac:dyDescent="0.2">
      <c r="A539" t="str">
        <f t="shared" si="14"/>
        <v>Orcanofaxius</v>
      </c>
      <c r="L539" t="s">
        <v>1321</v>
      </c>
      <c r="DF539" t="s">
        <v>1321</v>
      </c>
      <c r="DG539" t="s">
        <v>1321</v>
      </c>
      <c r="DH539" t="s">
        <v>1321</v>
      </c>
      <c r="DI539" t="s">
        <v>2516</v>
      </c>
      <c r="DJ539" t="s">
        <v>1321</v>
      </c>
      <c r="DK539" t="s">
        <v>1321</v>
      </c>
      <c r="EZ539" t="s">
        <v>4569</v>
      </c>
      <c r="FA539" t="s">
        <v>4569</v>
      </c>
      <c r="FM539" t="s">
        <v>4569</v>
      </c>
      <c r="FP539" t="s">
        <v>4569</v>
      </c>
      <c r="FQ539" t="s">
        <v>4569</v>
      </c>
      <c r="FR539" t="s">
        <v>4569</v>
      </c>
      <c r="FS539">
        <v>3</v>
      </c>
      <c r="IL539">
        <f t="shared" si="15"/>
        <v>216</v>
      </c>
    </row>
    <row r="540" spans="1:246" outlineLevel="1" x14ac:dyDescent="0.2">
      <c r="A540" t="str">
        <f t="shared" si="14"/>
        <v>Orcanosphaero</v>
      </c>
      <c r="DF540" t="s">
        <v>1321</v>
      </c>
      <c r="DG540" t="s">
        <v>1321</v>
      </c>
      <c r="DH540" t="s">
        <v>1321</v>
      </c>
      <c r="DI540">
        <v>2</v>
      </c>
      <c r="DJ540" t="s">
        <v>1321</v>
      </c>
      <c r="DK540" t="s">
        <v>1321</v>
      </c>
      <c r="EZ540" t="s">
        <v>4569</v>
      </c>
      <c r="FA540" t="s">
        <v>4569</v>
      </c>
      <c r="FM540" t="s">
        <v>4569</v>
      </c>
      <c r="FP540" t="s">
        <v>4569</v>
      </c>
      <c r="FQ540" t="s">
        <v>4569</v>
      </c>
      <c r="FR540" t="s">
        <v>4569</v>
      </c>
      <c r="FS540" t="s">
        <v>4569</v>
      </c>
      <c r="IL540">
        <f t="shared" si="15"/>
        <v>217</v>
      </c>
    </row>
    <row r="541" spans="1:246" outlineLevel="1" x14ac:dyDescent="0.2">
      <c r="A541" t="str">
        <f t="shared" si="14"/>
        <v>Orkanwand</v>
      </c>
      <c r="L541" t="s">
        <v>4901</v>
      </c>
      <c r="AU541" t="s">
        <v>1321</v>
      </c>
      <c r="AV541" t="s">
        <v>1321</v>
      </c>
      <c r="AW541" t="s">
        <v>1321</v>
      </c>
      <c r="AX541" t="s">
        <v>1321</v>
      </c>
      <c r="DF541" t="s">
        <v>1321</v>
      </c>
      <c r="DG541" t="s">
        <v>1321</v>
      </c>
      <c r="DH541" t="s">
        <v>1321</v>
      </c>
      <c r="DI541" t="s">
        <v>2514</v>
      </c>
      <c r="DJ541" t="s">
        <v>1321</v>
      </c>
      <c r="DK541" t="s">
        <v>1321</v>
      </c>
      <c r="EH541" t="s">
        <v>1321</v>
      </c>
      <c r="EI541" t="s">
        <v>1321</v>
      </c>
      <c r="EK541" t="s">
        <v>1321</v>
      </c>
      <c r="EL541" t="s">
        <v>1321</v>
      </c>
      <c r="EN541" t="s">
        <v>1321</v>
      </c>
      <c r="EZ541" t="s">
        <v>4569</v>
      </c>
      <c r="FA541" t="s">
        <v>4569</v>
      </c>
      <c r="FM541" t="s">
        <v>4569</v>
      </c>
      <c r="FP541" t="s">
        <v>4569</v>
      </c>
      <c r="FQ541" t="s">
        <v>4569</v>
      </c>
      <c r="FR541" t="s">
        <v>4569</v>
      </c>
      <c r="FS541" t="s">
        <v>4569</v>
      </c>
      <c r="IL541">
        <f t="shared" si="15"/>
        <v>218</v>
      </c>
    </row>
    <row r="542" spans="1:246" outlineLevel="1" x14ac:dyDescent="0.2">
      <c r="A542" t="str">
        <f t="shared" si="14"/>
        <v>Pandaemonium</v>
      </c>
      <c r="B542" t="s">
        <v>1320</v>
      </c>
      <c r="O542" t="s">
        <v>1320</v>
      </c>
      <c r="AT542" t="s">
        <v>1320</v>
      </c>
      <c r="AY542" t="s">
        <v>1320</v>
      </c>
      <c r="BD542" t="s">
        <v>1321</v>
      </c>
      <c r="BH542" t="s">
        <v>1320</v>
      </c>
      <c r="BK542" t="s">
        <v>1320</v>
      </c>
      <c r="CV542" t="s">
        <v>1320</v>
      </c>
      <c r="DC542" t="s">
        <v>1321</v>
      </c>
      <c r="EM542">
        <v>3</v>
      </c>
      <c r="EN542" t="s">
        <v>1321</v>
      </c>
      <c r="EX542" t="s">
        <v>1320</v>
      </c>
      <c r="EZ542" t="s">
        <v>577</v>
      </c>
      <c r="FA542" t="s">
        <v>4569</v>
      </c>
      <c r="FG542" t="s">
        <v>1321</v>
      </c>
      <c r="FH542" t="s">
        <v>1321</v>
      </c>
      <c r="FI542" t="s">
        <v>1321</v>
      </c>
      <c r="FJ542" t="s">
        <v>1321</v>
      </c>
      <c r="FM542" t="s">
        <v>4569</v>
      </c>
      <c r="FP542">
        <v>4</v>
      </c>
      <c r="FQ542">
        <v>4</v>
      </c>
      <c r="FR542">
        <v>4</v>
      </c>
      <c r="FS542">
        <v>4</v>
      </c>
      <c r="FW542" t="s">
        <v>1320</v>
      </c>
      <c r="GE542" t="s">
        <v>1320</v>
      </c>
      <c r="GM542" t="s">
        <v>1320</v>
      </c>
      <c r="GX542" t="s">
        <v>1320</v>
      </c>
      <c r="IJ542" t="s">
        <v>1320</v>
      </c>
      <c r="IL542">
        <f t="shared" si="15"/>
        <v>219</v>
      </c>
    </row>
    <row r="543" spans="1:246" outlineLevel="1" x14ac:dyDescent="0.2">
      <c r="A543" t="str">
        <f t="shared" si="14"/>
        <v>Panik überkomme euch</v>
      </c>
      <c r="EZ543" t="s">
        <v>4569</v>
      </c>
      <c r="FA543" t="s">
        <v>4569</v>
      </c>
      <c r="FD543" t="s">
        <v>1321</v>
      </c>
      <c r="FI543" t="s">
        <v>4901</v>
      </c>
      <c r="FM543" t="s">
        <v>4569</v>
      </c>
      <c r="FP543" t="s">
        <v>4569</v>
      </c>
      <c r="FQ543" t="s">
        <v>4569</v>
      </c>
      <c r="FR543" t="s">
        <v>4569</v>
      </c>
      <c r="FS543" t="s">
        <v>4569</v>
      </c>
      <c r="IL543">
        <f t="shared" si="15"/>
        <v>220</v>
      </c>
    </row>
    <row r="544" spans="1:246" outlineLevel="1" x14ac:dyDescent="0.2">
      <c r="A544" t="str">
        <f t="shared" si="14"/>
        <v>Papperlapapp</v>
      </c>
      <c r="EZ544" t="s">
        <v>4569</v>
      </c>
      <c r="FA544" t="s">
        <v>4569</v>
      </c>
      <c r="FM544" t="s">
        <v>4569</v>
      </c>
      <c r="FP544" t="s">
        <v>4569</v>
      </c>
      <c r="FQ544" t="s">
        <v>4569</v>
      </c>
      <c r="FR544" t="s">
        <v>4569</v>
      </c>
      <c r="FS544" t="s">
        <v>4569</v>
      </c>
      <c r="IL544">
        <f t="shared" si="15"/>
        <v>221</v>
      </c>
    </row>
    <row r="545" spans="1:246" outlineLevel="1" x14ac:dyDescent="0.2">
      <c r="A545" t="str">
        <f t="shared" si="14"/>
        <v>Paralysis starr wie Stein</v>
      </c>
      <c r="CW545" t="s">
        <v>1321</v>
      </c>
      <c r="CX545" t="s">
        <v>1321</v>
      </c>
      <c r="CY545">
        <v>2</v>
      </c>
      <c r="CZ545">
        <v>3</v>
      </c>
      <c r="DA545" t="s">
        <v>1321</v>
      </c>
      <c r="DB545">
        <v>4</v>
      </c>
      <c r="DF545" t="s">
        <v>1321</v>
      </c>
      <c r="DG545" t="s">
        <v>1321</v>
      </c>
      <c r="DH545" t="s">
        <v>1321</v>
      </c>
      <c r="DI545" t="s">
        <v>1321</v>
      </c>
      <c r="DJ545">
        <v>4</v>
      </c>
      <c r="DK545" t="s">
        <v>1321</v>
      </c>
      <c r="DL545" t="s">
        <v>1321</v>
      </c>
      <c r="DM545" t="s">
        <v>1321</v>
      </c>
      <c r="DN545" t="s">
        <v>2515</v>
      </c>
      <c r="DO545">
        <v>4</v>
      </c>
      <c r="DP545" t="s">
        <v>1321</v>
      </c>
      <c r="DQ545" t="s">
        <v>1321</v>
      </c>
      <c r="DR545">
        <v>3</v>
      </c>
      <c r="DS545">
        <v>3</v>
      </c>
      <c r="DT545" t="s">
        <v>1321</v>
      </c>
      <c r="DU545" t="s">
        <v>1321</v>
      </c>
      <c r="DV545">
        <v>3</v>
      </c>
      <c r="DW545" t="s">
        <v>1321</v>
      </c>
      <c r="DX545" t="s">
        <v>1321</v>
      </c>
      <c r="DY545">
        <v>4</v>
      </c>
      <c r="DZ545" t="s">
        <v>1321</v>
      </c>
      <c r="EA545" t="s">
        <v>2514</v>
      </c>
      <c r="EB545" t="s">
        <v>1321</v>
      </c>
      <c r="EC545" t="s">
        <v>1321</v>
      </c>
      <c r="ED545" t="s">
        <v>1321</v>
      </c>
      <c r="EE545" t="s">
        <v>1321</v>
      </c>
      <c r="EF545">
        <v>3</v>
      </c>
      <c r="EG545" t="s">
        <v>1321</v>
      </c>
      <c r="EH545" t="s">
        <v>1321</v>
      </c>
      <c r="EI545" t="s">
        <v>1321</v>
      </c>
      <c r="EJ545">
        <v>2</v>
      </c>
      <c r="EK545" t="s">
        <v>1321</v>
      </c>
      <c r="EL545" t="s">
        <v>1321</v>
      </c>
      <c r="EM545" t="s">
        <v>1321</v>
      </c>
      <c r="EN545" t="s">
        <v>1321</v>
      </c>
      <c r="EO545" t="s">
        <v>1321</v>
      </c>
      <c r="EP545" t="s">
        <v>1321</v>
      </c>
      <c r="EQ545" t="s">
        <v>1321</v>
      </c>
      <c r="ER545" t="s">
        <v>2514</v>
      </c>
      <c r="ES545" t="s">
        <v>1321</v>
      </c>
      <c r="ET545">
        <v>2</v>
      </c>
      <c r="EU545" t="s">
        <v>1321</v>
      </c>
      <c r="EV545" t="s">
        <v>2516</v>
      </c>
      <c r="EW545" t="s">
        <v>1321</v>
      </c>
      <c r="EY545" t="s">
        <v>1321</v>
      </c>
      <c r="EZ545" t="s">
        <v>1321</v>
      </c>
      <c r="FA545" t="s">
        <v>1321</v>
      </c>
      <c r="FB545" t="s">
        <v>1321</v>
      </c>
      <c r="FC545" t="s">
        <v>1321</v>
      </c>
      <c r="FD545" t="s">
        <v>1321</v>
      </c>
      <c r="FE545" t="s">
        <v>1321</v>
      </c>
      <c r="FF545" t="s">
        <v>1321</v>
      </c>
      <c r="FG545" t="s">
        <v>1321</v>
      </c>
      <c r="FH545" t="s">
        <v>1321</v>
      </c>
      <c r="FI545" t="s">
        <v>1321</v>
      </c>
      <c r="FJ545" t="s">
        <v>1321</v>
      </c>
      <c r="FK545" t="s">
        <v>1321</v>
      </c>
      <c r="FL545" t="s">
        <v>2516</v>
      </c>
      <c r="FM545" t="s">
        <v>1321</v>
      </c>
      <c r="FN545" t="s">
        <v>1321</v>
      </c>
      <c r="FO545" t="s">
        <v>1321</v>
      </c>
      <c r="FP545" t="s">
        <v>1321</v>
      </c>
      <c r="FQ545" t="s">
        <v>1321</v>
      </c>
      <c r="FR545" t="s">
        <v>1321</v>
      </c>
      <c r="FS545" t="s">
        <v>1321</v>
      </c>
      <c r="FT545" t="s">
        <v>1321</v>
      </c>
      <c r="FU545" t="s">
        <v>1321</v>
      </c>
      <c r="FV545" t="s">
        <v>1321</v>
      </c>
      <c r="IL545">
        <f t="shared" si="15"/>
        <v>222</v>
      </c>
    </row>
    <row r="546" spans="1:246" outlineLevel="1" x14ac:dyDescent="0.2">
      <c r="A546" t="str">
        <f t="shared" si="14"/>
        <v>Pectetondo Zauberhaar</v>
      </c>
      <c r="BB546" t="s">
        <v>1321</v>
      </c>
      <c r="BF546" t="s">
        <v>1321</v>
      </c>
      <c r="CF546" t="s">
        <v>1321</v>
      </c>
      <c r="CK546" t="s">
        <v>1321</v>
      </c>
      <c r="CW546" t="s">
        <v>1321</v>
      </c>
      <c r="CX546" t="s">
        <v>1321</v>
      </c>
      <c r="CY546" t="s">
        <v>1321</v>
      </c>
      <c r="CZ546" t="s">
        <v>1321</v>
      </c>
      <c r="DA546" t="s">
        <v>1321</v>
      </c>
      <c r="DB546" t="s">
        <v>1321</v>
      </c>
      <c r="DC546" t="s">
        <v>1321</v>
      </c>
      <c r="DD546" t="s">
        <v>1321</v>
      </c>
      <c r="DE546" t="s">
        <v>1321</v>
      </c>
      <c r="DF546" t="s">
        <v>1321</v>
      </c>
      <c r="DG546" t="s">
        <v>1321</v>
      </c>
      <c r="DH546" t="s">
        <v>1321</v>
      </c>
      <c r="DI546" t="s">
        <v>1321</v>
      </c>
      <c r="DJ546" t="s">
        <v>1321</v>
      </c>
      <c r="DK546" t="s">
        <v>1321</v>
      </c>
      <c r="DL546" t="s">
        <v>1321</v>
      </c>
      <c r="DM546" t="s">
        <v>1321</v>
      </c>
      <c r="DN546" t="s">
        <v>1321</v>
      </c>
      <c r="DO546" t="s">
        <v>1321</v>
      </c>
      <c r="DP546" t="s">
        <v>1321</v>
      </c>
      <c r="DQ546" t="s">
        <v>1321</v>
      </c>
      <c r="DR546" t="s">
        <v>1321</v>
      </c>
      <c r="DS546">
        <v>2</v>
      </c>
      <c r="DT546" t="s">
        <v>1321</v>
      </c>
      <c r="DU546" t="s">
        <v>1321</v>
      </c>
      <c r="DV546" t="s">
        <v>1321</v>
      </c>
      <c r="DW546" t="s">
        <v>1321</v>
      </c>
      <c r="DX546" t="s">
        <v>1321</v>
      </c>
      <c r="DY546" t="s">
        <v>1321</v>
      </c>
      <c r="DZ546" t="s">
        <v>1321</v>
      </c>
      <c r="EA546" t="s">
        <v>1321</v>
      </c>
      <c r="EB546" t="s">
        <v>1321</v>
      </c>
      <c r="EC546" t="s">
        <v>1321</v>
      </c>
      <c r="ED546" t="s">
        <v>1321</v>
      </c>
      <c r="EE546" t="s">
        <v>1321</v>
      </c>
      <c r="EF546" t="s">
        <v>1321</v>
      </c>
      <c r="EG546" t="s">
        <v>1321</v>
      </c>
      <c r="EH546" t="s">
        <v>1321</v>
      </c>
      <c r="EI546" t="s">
        <v>1321</v>
      </c>
      <c r="EJ546" t="s">
        <v>1321</v>
      </c>
      <c r="EK546" t="s">
        <v>1321</v>
      </c>
      <c r="EL546" t="s">
        <v>1321</v>
      </c>
      <c r="EM546" t="s">
        <v>1321</v>
      </c>
      <c r="EN546" t="s">
        <v>1321</v>
      </c>
      <c r="EO546" t="s">
        <v>1321</v>
      </c>
      <c r="EP546" t="s">
        <v>1321</v>
      </c>
      <c r="EQ546" t="s">
        <v>1321</v>
      </c>
      <c r="ER546" t="s">
        <v>1321</v>
      </c>
      <c r="ES546" t="s">
        <v>1321</v>
      </c>
      <c r="ET546" t="s">
        <v>1321</v>
      </c>
      <c r="EU546" t="s">
        <v>1321</v>
      </c>
      <c r="EV546" t="s">
        <v>1321</v>
      </c>
      <c r="EW546" t="s">
        <v>1321</v>
      </c>
      <c r="EY546" t="s">
        <v>1321</v>
      </c>
      <c r="EZ546" t="s">
        <v>1321</v>
      </c>
      <c r="FA546" t="s">
        <v>1321</v>
      </c>
      <c r="FK546" t="s">
        <v>1321</v>
      </c>
      <c r="FL546">
        <v>2</v>
      </c>
      <c r="FM546" t="s">
        <v>1321</v>
      </c>
      <c r="FN546" t="s">
        <v>1321</v>
      </c>
      <c r="FO546" t="s">
        <v>1321</v>
      </c>
      <c r="FP546" t="s">
        <v>1321</v>
      </c>
      <c r="FQ546" t="s">
        <v>1321</v>
      </c>
      <c r="FR546" t="s">
        <v>1321</v>
      </c>
      <c r="FS546" t="s">
        <v>1321</v>
      </c>
      <c r="FT546" t="s">
        <v>1321</v>
      </c>
      <c r="FX546" t="s">
        <v>1321</v>
      </c>
      <c r="FY546" t="s">
        <v>1321</v>
      </c>
      <c r="FZ546">
        <v>2</v>
      </c>
      <c r="GA546" t="s">
        <v>1321</v>
      </c>
      <c r="GB546" t="s">
        <v>1321</v>
      </c>
      <c r="GC546" t="s">
        <v>1321</v>
      </c>
      <c r="GD546">
        <v>4</v>
      </c>
      <c r="IL546">
        <f t="shared" si="15"/>
        <v>223</v>
      </c>
    </row>
    <row r="547" spans="1:246" outlineLevel="1" x14ac:dyDescent="0.2">
      <c r="A547" t="str">
        <f t="shared" si="14"/>
        <v>Penetrizzel Tiefenblick</v>
      </c>
      <c r="P547" t="s">
        <v>1321</v>
      </c>
      <c r="Q547" t="s">
        <v>1321</v>
      </c>
      <c r="R547" t="s">
        <v>1321</v>
      </c>
      <c r="S547" t="s">
        <v>1321</v>
      </c>
      <c r="T547" t="s">
        <v>1321</v>
      </c>
      <c r="U547" t="s">
        <v>1321</v>
      </c>
      <c r="V547" t="s">
        <v>1321</v>
      </c>
      <c r="W547" t="s">
        <v>1321</v>
      </c>
      <c r="X547" t="s">
        <v>1321</v>
      </c>
      <c r="Y547" t="s">
        <v>1321</v>
      </c>
      <c r="Z547" t="s">
        <v>1321</v>
      </c>
      <c r="AA547" t="s">
        <v>1321</v>
      </c>
      <c r="AB547" t="s">
        <v>1321</v>
      </c>
      <c r="AC547" t="s">
        <v>1321</v>
      </c>
      <c r="AD547" t="s">
        <v>1321</v>
      </c>
      <c r="AE547" t="s">
        <v>1321</v>
      </c>
      <c r="AF547" t="s">
        <v>1321</v>
      </c>
      <c r="AG547" t="s">
        <v>1321</v>
      </c>
      <c r="AH547" t="s">
        <v>1321</v>
      </c>
      <c r="AI547" t="s">
        <v>1321</v>
      </c>
      <c r="AJ547" t="s">
        <v>1321</v>
      </c>
      <c r="AK547" t="s">
        <v>1321</v>
      </c>
      <c r="AL547" t="s">
        <v>1321</v>
      </c>
      <c r="AM547" t="s">
        <v>1321</v>
      </c>
      <c r="AN547" t="s">
        <v>1321</v>
      </c>
      <c r="AO547" t="s">
        <v>1321</v>
      </c>
      <c r="AP547" t="s">
        <v>1321</v>
      </c>
      <c r="AQ547" t="s">
        <v>1321</v>
      </c>
      <c r="AR547" t="s">
        <v>1321</v>
      </c>
      <c r="AS547" t="s">
        <v>1321</v>
      </c>
      <c r="CF547" t="s">
        <v>1321</v>
      </c>
      <c r="CW547">
        <v>3</v>
      </c>
      <c r="CX547" t="s">
        <v>1321</v>
      </c>
      <c r="CY547" t="s">
        <v>1321</v>
      </c>
      <c r="CZ547" t="s">
        <v>1321</v>
      </c>
      <c r="DA547" t="s">
        <v>1321</v>
      </c>
      <c r="DB547" t="s">
        <v>1321</v>
      </c>
      <c r="DC547" t="s">
        <v>1321</v>
      </c>
      <c r="DD547">
        <v>2</v>
      </c>
      <c r="DE547">
        <v>2</v>
      </c>
      <c r="DF547" t="s">
        <v>1321</v>
      </c>
      <c r="DG547" t="s">
        <v>1321</v>
      </c>
      <c r="DH547" t="s">
        <v>1321</v>
      </c>
      <c r="DI547" t="s">
        <v>1321</v>
      </c>
      <c r="DJ547" t="s">
        <v>1321</v>
      </c>
      <c r="DK547" t="s">
        <v>1321</v>
      </c>
      <c r="DL547" t="s">
        <v>1321</v>
      </c>
      <c r="DM547" t="s">
        <v>1321</v>
      </c>
      <c r="DN547" t="s">
        <v>1321</v>
      </c>
      <c r="DO547" t="s">
        <v>1321</v>
      </c>
      <c r="DP547" t="s">
        <v>1321</v>
      </c>
      <c r="DQ547" t="s">
        <v>1321</v>
      </c>
      <c r="DR547" t="s">
        <v>1321</v>
      </c>
      <c r="DS547" t="s">
        <v>1321</v>
      </c>
      <c r="DT547">
        <v>1</v>
      </c>
      <c r="DU547">
        <v>2</v>
      </c>
      <c r="DV547">
        <v>3</v>
      </c>
      <c r="DW547" t="s">
        <v>1321</v>
      </c>
      <c r="DX547" t="s">
        <v>1321</v>
      </c>
      <c r="DY547" t="s">
        <v>1321</v>
      </c>
      <c r="DZ547" t="s">
        <v>1321</v>
      </c>
      <c r="EA547" t="s">
        <v>1321</v>
      </c>
      <c r="EB547" t="s">
        <v>2515</v>
      </c>
      <c r="EC547" t="s">
        <v>1321</v>
      </c>
      <c r="ED547" t="s">
        <v>1321</v>
      </c>
      <c r="EE547" t="s">
        <v>1321</v>
      </c>
      <c r="EF547" t="s">
        <v>1321</v>
      </c>
      <c r="EG547" t="s">
        <v>1321</v>
      </c>
      <c r="EH547" t="s">
        <v>1321</v>
      </c>
      <c r="EI547" t="s">
        <v>1321</v>
      </c>
      <c r="EJ547" t="s">
        <v>1321</v>
      </c>
      <c r="EK547" t="s">
        <v>1321</v>
      </c>
      <c r="EL547">
        <v>5</v>
      </c>
      <c r="EM547" t="s">
        <v>1321</v>
      </c>
      <c r="EN547" t="s">
        <v>1321</v>
      </c>
      <c r="EO547">
        <v>2</v>
      </c>
      <c r="EP547" t="s">
        <v>1321</v>
      </c>
      <c r="EQ547" t="s">
        <v>2516</v>
      </c>
      <c r="ER547" t="s">
        <v>1321</v>
      </c>
      <c r="ES547" t="s">
        <v>4901</v>
      </c>
      <c r="ET547" t="s">
        <v>1321</v>
      </c>
      <c r="EU547" t="s">
        <v>1321</v>
      </c>
      <c r="EV547" t="s">
        <v>1321</v>
      </c>
      <c r="EW547" t="s">
        <v>1321</v>
      </c>
      <c r="EY547" t="s">
        <v>1321</v>
      </c>
      <c r="EZ547">
        <v>2</v>
      </c>
      <c r="FA547">
        <v>2</v>
      </c>
      <c r="FB547" t="s">
        <v>1321</v>
      </c>
      <c r="FC547" t="s">
        <v>1321</v>
      </c>
      <c r="FD547" t="s">
        <v>1321</v>
      </c>
      <c r="FE547" t="s">
        <v>1321</v>
      </c>
      <c r="FG547" t="s">
        <v>1321</v>
      </c>
      <c r="FH547" t="s">
        <v>1321</v>
      </c>
      <c r="FI547" t="s">
        <v>1321</v>
      </c>
      <c r="FJ547" t="s">
        <v>1321</v>
      </c>
      <c r="FK547" t="s">
        <v>1321</v>
      </c>
      <c r="FL547" t="s">
        <v>1321</v>
      </c>
      <c r="FM547">
        <v>3</v>
      </c>
      <c r="FN547" t="s">
        <v>1321</v>
      </c>
      <c r="FO547" t="s">
        <v>1321</v>
      </c>
      <c r="FP547" t="s">
        <v>1321</v>
      </c>
      <c r="FQ547" t="s">
        <v>1321</v>
      </c>
      <c r="FR547" t="s">
        <v>1321</v>
      </c>
      <c r="FS547" t="s">
        <v>1321</v>
      </c>
      <c r="FT547" t="s">
        <v>1321</v>
      </c>
      <c r="GD547" t="s">
        <v>2514</v>
      </c>
      <c r="GF547" t="s">
        <v>1321</v>
      </c>
      <c r="GG547" t="s">
        <v>1321</v>
      </c>
      <c r="GH547" t="s">
        <v>1321</v>
      </c>
      <c r="GI547" t="s">
        <v>1321</v>
      </c>
      <c r="GJ547" t="s">
        <v>1321</v>
      </c>
      <c r="GK547" t="s">
        <v>1321</v>
      </c>
      <c r="GL547" t="s">
        <v>1321</v>
      </c>
      <c r="IL547">
        <f t="shared" si="15"/>
        <v>224</v>
      </c>
    </row>
    <row r="548" spans="1:246" outlineLevel="1" x14ac:dyDescent="0.2">
      <c r="A548" t="str">
        <f t="shared" si="14"/>
        <v>Pentagramma Sphärenbann</v>
      </c>
      <c r="BD548" t="s">
        <v>2515</v>
      </c>
      <c r="CW548" t="s">
        <v>1321</v>
      </c>
      <c r="CX548" t="s">
        <v>1321</v>
      </c>
      <c r="CY548" t="s">
        <v>1321</v>
      </c>
      <c r="CZ548" t="s">
        <v>1321</v>
      </c>
      <c r="DA548" t="s">
        <v>1321</v>
      </c>
      <c r="DB548">
        <v>2</v>
      </c>
      <c r="DC548" t="s">
        <v>1321</v>
      </c>
      <c r="DD548" t="s">
        <v>1321</v>
      </c>
      <c r="DE548" t="s">
        <v>1321</v>
      </c>
      <c r="DL548" t="s">
        <v>1321</v>
      </c>
      <c r="DM548" t="s">
        <v>1321</v>
      </c>
      <c r="DN548">
        <v>4</v>
      </c>
      <c r="DO548">
        <v>2</v>
      </c>
      <c r="DP548" t="s">
        <v>4901</v>
      </c>
      <c r="DQ548" t="s">
        <v>1321</v>
      </c>
      <c r="DR548" t="s">
        <v>1321</v>
      </c>
      <c r="DT548" t="s">
        <v>1321</v>
      </c>
      <c r="DU548" t="s">
        <v>1321</v>
      </c>
      <c r="DV548" t="s">
        <v>1321</v>
      </c>
      <c r="DW548" t="s">
        <v>1321</v>
      </c>
      <c r="DX548">
        <v>3</v>
      </c>
      <c r="DZ548" t="s">
        <v>1321</v>
      </c>
      <c r="EA548" t="s">
        <v>1321</v>
      </c>
      <c r="EB548" t="s">
        <v>1321</v>
      </c>
      <c r="EC548" t="s">
        <v>2516</v>
      </c>
      <c r="EE548" t="s">
        <v>1321</v>
      </c>
      <c r="EF548" t="s">
        <v>1321</v>
      </c>
      <c r="EG548" t="s">
        <v>1321</v>
      </c>
      <c r="EH548" t="s">
        <v>1321</v>
      </c>
      <c r="EI548" t="s">
        <v>1321</v>
      </c>
      <c r="EJ548" t="s">
        <v>2515</v>
      </c>
      <c r="EK548" t="s">
        <v>2515</v>
      </c>
      <c r="EL548">
        <v>3</v>
      </c>
      <c r="EM548" t="s">
        <v>2515</v>
      </c>
      <c r="EN548" t="s">
        <v>2515</v>
      </c>
      <c r="EQ548" t="s">
        <v>1321</v>
      </c>
      <c r="ER548" t="s">
        <v>2516</v>
      </c>
      <c r="EW548">
        <v>4</v>
      </c>
      <c r="EY548" t="s">
        <v>4901</v>
      </c>
      <c r="EZ548" t="s">
        <v>1321</v>
      </c>
      <c r="FA548" t="s">
        <v>1321</v>
      </c>
      <c r="FB548" t="s">
        <v>1321</v>
      </c>
      <c r="FC548" t="s">
        <v>1321</v>
      </c>
      <c r="FD548" t="s">
        <v>1321</v>
      </c>
      <c r="FE548">
        <v>2</v>
      </c>
      <c r="FG548" t="s">
        <v>1321</v>
      </c>
      <c r="FH548" t="s">
        <v>1321</v>
      </c>
      <c r="FI548" t="s">
        <v>1321</v>
      </c>
      <c r="FJ548" t="s">
        <v>4901</v>
      </c>
      <c r="FK548" t="s">
        <v>1321</v>
      </c>
      <c r="FM548" t="s">
        <v>1321</v>
      </c>
      <c r="FN548" t="s">
        <v>1321</v>
      </c>
      <c r="FO548" t="s">
        <v>1321</v>
      </c>
      <c r="FP548" t="s">
        <v>4901</v>
      </c>
      <c r="FQ548" t="s">
        <v>4901</v>
      </c>
      <c r="FR548" t="s">
        <v>4901</v>
      </c>
      <c r="FS548" t="s">
        <v>4901</v>
      </c>
      <c r="FT548" t="s">
        <v>1321</v>
      </c>
      <c r="FU548">
        <v>3</v>
      </c>
      <c r="IL548">
        <f t="shared" si="15"/>
        <v>225</v>
      </c>
    </row>
    <row r="549" spans="1:246" outlineLevel="1" x14ac:dyDescent="0.2">
      <c r="A549" t="str">
        <f t="shared" si="14"/>
        <v>Pestilenz erspüren</v>
      </c>
      <c r="C549" t="s">
        <v>1321</v>
      </c>
      <c r="D549" t="s">
        <v>1321</v>
      </c>
      <c r="E549">
        <v>1</v>
      </c>
      <c r="F549" t="s">
        <v>1321</v>
      </c>
      <c r="G549" t="s">
        <v>4901</v>
      </c>
      <c r="H549" t="s">
        <v>1321</v>
      </c>
      <c r="I549" t="s">
        <v>1321</v>
      </c>
      <c r="J549" t="s">
        <v>1321</v>
      </c>
      <c r="K549" t="s">
        <v>1321</v>
      </c>
      <c r="L549" t="s">
        <v>1321</v>
      </c>
      <c r="M549" t="s">
        <v>1321</v>
      </c>
      <c r="N549" t="s">
        <v>1321</v>
      </c>
      <c r="AZ549" t="s">
        <v>1321</v>
      </c>
      <c r="BA549">
        <v>3</v>
      </c>
      <c r="BB549" t="s">
        <v>1321</v>
      </c>
      <c r="BC549" t="s">
        <v>1321</v>
      </c>
      <c r="BD549" t="s">
        <v>1321</v>
      </c>
      <c r="BE549" t="s">
        <v>1321</v>
      </c>
      <c r="BF549" t="s">
        <v>1321</v>
      </c>
      <c r="BG549" t="s">
        <v>1321</v>
      </c>
      <c r="CB549" t="s">
        <v>1321</v>
      </c>
      <c r="CD549" t="s">
        <v>1321</v>
      </c>
      <c r="CE549" t="s">
        <v>1321</v>
      </c>
      <c r="CG549" t="s">
        <v>1321</v>
      </c>
      <c r="CJ549" t="s">
        <v>1321</v>
      </c>
      <c r="EZ549" t="s">
        <v>4569</v>
      </c>
      <c r="FA549" t="s">
        <v>4569</v>
      </c>
      <c r="FM549" t="s">
        <v>4569</v>
      </c>
      <c r="FP549" t="s">
        <v>4569</v>
      </c>
      <c r="FQ549" t="s">
        <v>4569</v>
      </c>
      <c r="FR549" t="s">
        <v>4569</v>
      </c>
      <c r="FS549" t="s">
        <v>4569</v>
      </c>
      <c r="HB549" t="s">
        <v>1321</v>
      </c>
      <c r="HD549" t="s">
        <v>1321</v>
      </c>
      <c r="HF549" t="s">
        <v>1321</v>
      </c>
      <c r="HH549" t="s">
        <v>1321</v>
      </c>
      <c r="HJ549" t="s">
        <v>1321</v>
      </c>
      <c r="HL549" t="s">
        <v>1321</v>
      </c>
      <c r="HN549" t="s">
        <v>1321</v>
      </c>
      <c r="HP549" t="s">
        <v>1321</v>
      </c>
      <c r="HQ549" t="s">
        <v>1321</v>
      </c>
      <c r="HS549" t="s">
        <v>1321</v>
      </c>
      <c r="HU549" t="s">
        <v>1321</v>
      </c>
      <c r="HW549" t="s">
        <v>1321</v>
      </c>
      <c r="HY549" t="s">
        <v>1321</v>
      </c>
      <c r="IA549" t="s">
        <v>1321</v>
      </c>
      <c r="IC549" t="s">
        <v>1321</v>
      </c>
      <c r="ID549" t="s">
        <v>1321</v>
      </c>
      <c r="IG549" t="s">
        <v>1321</v>
      </c>
      <c r="II549" t="s">
        <v>1321</v>
      </c>
      <c r="IL549">
        <f t="shared" si="15"/>
        <v>226</v>
      </c>
    </row>
    <row r="550" spans="1:246" outlineLevel="1" x14ac:dyDescent="0.2">
      <c r="A550" t="str">
        <f t="shared" si="14"/>
        <v>Pfeil der Luft</v>
      </c>
      <c r="P550" t="s">
        <v>1321</v>
      </c>
      <c r="Q550" t="s">
        <v>1321</v>
      </c>
      <c r="R550" t="s">
        <v>1321</v>
      </c>
      <c r="S550" t="s">
        <v>1321</v>
      </c>
      <c r="T550" t="s">
        <v>1321</v>
      </c>
      <c r="U550" t="s">
        <v>1321</v>
      </c>
      <c r="V550" t="s">
        <v>1321</v>
      </c>
      <c r="W550" t="s">
        <v>1321</v>
      </c>
      <c r="X550" t="s">
        <v>1321</v>
      </c>
      <c r="Y550" t="s">
        <v>1321</v>
      </c>
      <c r="Z550" t="s">
        <v>1321</v>
      </c>
      <c r="AA550" t="s">
        <v>1321</v>
      </c>
      <c r="AB550" t="s">
        <v>1321</v>
      </c>
      <c r="AC550" t="s">
        <v>1321</v>
      </c>
      <c r="AD550" t="s">
        <v>1321</v>
      </c>
      <c r="AE550" t="s">
        <v>1321</v>
      </c>
      <c r="AF550" t="s">
        <v>1321</v>
      </c>
      <c r="AG550" t="s">
        <v>1321</v>
      </c>
      <c r="AH550" t="s">
        <v>1321</v>
      </c>
      <c r="AI550" t="s">
        <v>1321</v>
      </c>
      <c r="AJ550" t="s">
        <v>1321</v>
      </c>
      <c r="AK550" t="s">
        <v>1321</v>
      </c>
      <c r="AL550" t="s">
        <v>1321</v>
      </c>
      <c r="AM550" t="s">
        <v>1321</v>
      </c>
      <c r="AN550" t="s">
        <v>1321</v>
      </c>
      <c r="AO550" t="s">
        <v>1321</v>
      </c>
      <c r="AP550" t="s">
        <v>1321</v>
      </c>
      <c r="AQ550" t="s">
        <v>1321</v>
      </c>
      <c r="AR550" t="s">
        <v>1321</v>
      </c>
      <c r="AS550" t="s">
        <v>1321</v>
      </c>
      <c r="DT550" t="s">
        <v>1321</v>
      </c>
      <c r="DV550" t="s">
        <v>1321</v>
      </c>
      <c r="DW550" t="s">
        <v>1321</v>
      </c>
      <c r="EC550" t="s">
        <v>1321</v>
      </c>
      <c r="EH550" t="s">
        <v>1321</v>
      </c>
      <c r="EI550" t="s">
        <v>1321</v>
      </c>
      <c r="EM550" t="s">
        <v>1321</v>
      </c>
      <c r="EN550" t="s">
        <v>1321</v>
      </c>
      <c r="EZ550" t="s">
        <v>4569</v>
      </c>
      <c r="FA550" t="s">
        <v>4569</v>
      </c>
      <c r="FM550" t="s">
        <v>4569</v>
      </c>
      <c r="FP550" t="s">
        <v>4569</v>
      </c>
      <c r="FQ550" t="s">
        <v>4569</v>
      </c>
      <c r="FR550" t="s">
        <v>4569</v>
      </c>
      <c r="FS550" t="s">
        <v>4569</v>
      </c>
      <c r="IL550">
        <f t="shared" si="15"/>
        <v>227</v>
      </c>
    </row>
    <row r="551" spans="1:246" outlineLevel="1" x14ac:dyDescent="0.2">
      <c r="A551" t="str">
        <f t="shared" si="14"/>
        <v>Pfeil des Eises</v>
      </c>
      <c r="R551" t="s">
        <v>1321</v>
      </c>
      <c r="V551" t="s">
        <v>1321</v>
      </c>
      <c r="AI551" t="s">
        <v>1321</v>
      </c>
      <c r="EZ551" t="s">
        <v>4569</v>
      </c>
      <c r="FA551" t="s">
        <v>4569</v>
      </c>
      <c r="FM551" t="s">
        <v>4569</v>
      </c>
      <c r="FP551" t="s">
        <v>4569</v>
      </c>
      <c r="FQ551" t="s">
        <v>4569</v>
      </c>
      <c r="FR551" t="s">
        <v>4569</v>
      </c>
      <c r="FS551" t="s">
        <v>4569</v>
      </c>
      <c r="IL551">
        <f t="shared" si="15"/>
        <v>228</v>
      </c>
    </row>
    <row r="552" spans="1:246" outlineLevel="1" x14ac:dyDescent="0.2">
      <c r="A552" t="str">
        <f t="shared" si="14"/>
        <v>Pfeil des Erzes</v>
      </c>
      <c r="EC552" t="s">
        <v>1321</v>
      </c>
      <c r="EM552" t="s">
        <v>1321</v>
      </c>
      <c r="EN552" t="s">
        <v>1321</v>
      </c>
      <c r="EZ552" t="s">
        <v>4569</v>
      </c>
      <c r="FA552" t="s">
        <v>4569</v>
      </c>
      <c r="FM552" t="s">
        <v>4569</v>
      </c>
      <c r="FP552" t="s">
        <v>4569</v>
      </c>
      <c r="FQ552" t="s">
        <v>4569</v>
      </c>
      <c r="FR552" t="s">
        <v>4569</v>
      </c>
      <c r="FS552" t="s">
        <v>4569</v>
      </c>
      <c r="IL552">
        <f t="shared" si="15"/>
        <v>229</v>
      </c>
    </row>
    <row r="553" spans="1:246" outlineLevel="1" x14ac:dyDescent="0.2">
      <c r="A553" t="str">
        <f t="shared" si="14"/>
        <v>Pfeil des Feuers</v>
      </c>
      <c r="DF553">
        <v>3</v>
      </c>
      <c r="DG553" t="s">
        <v>1321</v>
      </c>
      <c r="DH553" t="s">
        <v>1321</v>
      </c>
      <c r="DI553" t="s">
        <v>1321</v>
      </c>
      <c r="DJ553" t="s">
        <v>1321</v>
      </c>
      <c r="DK553" t="s">
        <v>1321</v>
      </c>
      <c r="EZ553" t="s">
        <v>4569</v>
      </c>
      <c r="FA553" t="s">
        <v>4569</v>
      </c>
      <c r="FM553" t="s">
        <v>4569</v>
      </c>
      <c r="FP553" t="s">
        <v>4569</v>
      </c>
      <c r="FQ553" t="s">
        <v>4569</v>
      </c>
      <c r="FR553" t="s">
        <v>4569</v>
      </c>
      <c r="FS553" t="s">
        <v>4569</v>
      </c>
      <c r="IL553">
        <f t="shared" si="15"/>
        <v>230</v>
      </c>
    </row>
    <row r="554" spans="1:246" outlineLevel="1" x14ac:dyDescent="0.2">
      <c r="A554" t="str">
        <f t="shared" si="14"/>
        <v>Pfeil des Humus</v>
      </c>
      <c r="P554" t="s">
        <v>1321</v>
      </c>
      <c r="Q554" t="s">
        <v>1321</v>
      </c>
      <c r="R554" t="s">
        <v>1321</v>
      </c>
      <c r="S554" t="s">
        <v>1321</v>
      </c>
      <c r="T554" t="s">
        <v>1321</v>
      </c>
      <c r="U554" t="s">
        <v>1321</v>
      </c>
      <c r="V554" t="s">
        <v>1321</v>
      </c>
      <c r="W554" t="s">
        <v>1321</v>
      </c>
      <c r="X554" t="s">
        <v>1321</v>
      </c>
      <c r="Y554" t="s">
        <v>1321</v>
      </c>
      <c r="Z554" t="s">
        <v>1321</v>
      </c>
      <c r="AA554" t="s">
        <v>1321</v>
      </c>
      <c r="AB554" t="s">
        <v>1321</v>
      </c>
      <c r="AC554" t="s">
        <v>1321</v>
      </c>
      <c r="AD554" t="s">
        <v>1321</v>
      </c>
      <c r="AE554" t="s">
        <v>1321</v>
      </c>
      <c r="AF554" t="s">
        <v>1321</v>
      </c>
      <c r="AG554" t="s">
        <v>1321</v>
      </c>
      <c r="AH554" t="s">
        <v>1321</v>
      </c>
      <c r="AI554" t="s">
        <v>1321</v>
      </c>
      <c r="AJ554" t="s">
        <v>1321</v>
      </c>
      <c r="AK554" t="s">
        <v>1321</v>
      </c>
      <c r="AL554" t="s">
        <v>1321</v>
      </c>
      <c r="AM554" t="s">
        <v>1321</v>
      </c>
      <c r="AN554" t="s">
        <v>1321</v>
      </c>
      <c r="AO554" t="s">
        <v>1321</v>
      </c>
      <c r="AP554" t="s">
        <v>1321</v>
      </c>
      <c r="AQ554" t="s">
        <v>1321</v>
      </c>
      <c r="AR554" t="s">
        <v>1321</v>
      </c>
      <c r="AS554" t="s">
        <v>1321</v>
      </c>
      <c r="EZ554" t="s">
        <v>4569</v>
      </c>
      <c r="FA554" t="s">
        <v>4569</v>
      </c>
      <c r="FM554" t="s">
        <v>4569</v>
      </c>
      <c r="FP554" t="s">
        <v>4569</v>
      </c>
      <c r="FQ554" t="s">
        <v>4569</v>
      </c>
      <c r="FR554" t="s">
        <v>4569</v>
      </c>
      <c r="FS554" t="s">
        <v>4569</v>
      </c>
      <c r="IL554">
        <f t="shared" si="15"/>
        <v>231</v>
      </c>
    </row>
    <row r="555" spans="1:246" outlineLevel="1" x14ac:dyDescent="0.2">
      <c r="A555" t="str">
        <f t="shared" si="14"/>
        <v>Pfeil des Wassers</v>
      </c>
      <c r="EZ555" t="s">
        <v>4569</v>
      </c>
      <c r="FA555" t="s">
        <v>4569</v>
      </c>
      <c r="FM555" t="s">
        <v>4569</v>
      </c>
      <c r="FP555" t="s">
        <v>4569</v>
      </c>
      <c r="FQ555" t="s">
        <v>4569</v>
      </c>
      <c r="FR555" t="s">
        <v>4569</v>
      </c>
      <c r="FS555" t="s">
        <v>4569</v>
      </c>
      <c r="IL555">
        <f t="shared" si="15"/>
        <v>232</v>
      </c>
    </row>
    <row r="556" spans="1:246" outlineLevel="1" x14ac:dyDescent="0.2">
      <c r="A556" t="str">
        <f t="shared" si="14"/>
        <v>Planastrale Anderwelt</v>
      </c>
      <c r="ES556" t="s">
        <v>1321</v>
      </c>
      <c r="EZ556" t="s">
        <v>4569</v>
      </c>
      <c r="FA556" t="s">
        <v>4569</v>
      </c>
      <c r="FM556" t="s">
        <v>4569</v>
      </c>
      <c r="FP556" t="s">
        <v>4569</v>
      </c>
      <c r="FQ556" t="s">
        <v>4569</v>
      </c>
      <c r="FR556" t="s">
        <v>4569</v>
      </c>
      <c r="FS556" t="s">
        <v>4569</v>
      </c>
      <c r="IL556">
        <f t="shared" si="15"/>
        <v>233</v>
      </c>
    </row>
    <row r="557" spans="1:246" outlineLevel="1" x14ac:dyDescent="0.2">
      <c r="A557" t="str">
        <f t="shared" si="14"/>
        <v>Plumbumbarum schwerer Arm</v>
      </c>
      <c r="C557" t="s">
        <v>1321</v>
      </c>
      <c r="D557" t="s">
        <v>1321</v>
      </c>
      <c r="E557" t="s">
        <v>1321</v>
      </c>
      <c r="F557" t="s">
        <v>1321</v>
      </c>
      <c r="G557" t="s">
        <v>1321</v>
      </c>
      <c r="H557" t="s">
        <v>1321</v>
      </c>
      <c r="I557" t="s">
        <v>1321</v>
      </c>
      <c r="J557" t="s">
        <v>1321</v>
      </c>
      <c r="K557" t="s">
        <v>1321</v>
      </c>
      <c r="L557" t="s">
        <v>1321</v>
      </c>
      <c r="M557" t="s">
        <v>1321</v>
      </c>
      <c r="N557" t="s">
        <v>1321</v>
      </c>
      <c r="P557" t="s">
        <v>1321</v>
      </c>
      <c r="Q557" t="s">
        <v>1321</v>
      </c>
      <c r="R557" t="s">
        <v>1321</v>
      </c>
      <c r="S557" t="s">
        <v>1321</v>
      </c>
      <c r="T557" t="s">
        <v>1321</v>
      </c>
      <c r="U557" t="s">
        <v>1321</v>
      </c>
      <c r="V557" t="s">
        <v>1321</v>
      </c>
      <c r="W557" t="s">
        <v>1321</v>
      </c>
      <c r="X557" t="s">
        <v>1321</v>
      </c>
      <c r="Y557" t="s">
        <v>1321</v>
      </c>
      <c r="Z557" t="s">
        <v>1321</v>
      </c>
      <c r="AA557" t="s">
        <v>1321</v>
      </c>
      <c r="AB557" t="s">
        <v>1321</v>
      </c>
      <c r="AC557" t="s">
        <v>1321</v>
      </c>
      <c r="AD557" t="s">
        <v>1321</v>
      </c>
      <c r="AE557" t="s">
        <v>1321</v>
      </c>
      <c r="AF557" t="s">
        <v>1321</v>
      </c>
      <c r="AG557" t="s">
        <v>1321</v>
      </c>
      <c r="AH557" t="s">
        <v>1321</v>
      </c>
      <c r="AI557" t="s">
        <v>1321</v>
      </c>
      <c r="AJ557" t="s">
        <v>1321</v>
      </c>
      <c r="AK557" t="s">
        <v>1321</v>
      </c>
      <c r="AL557" t="s">
        <v>1321</v>
      </c>
      <c r="AM557" t="s">
        <v>1321</v>
      </c>
      <c r="AN557" t="s">
        <v>1321</v>
      </c>
      <c r="AO557" t="s">
        <v>1321</v>
      </c>
      <c r="AP557" t="s">
        <v>1321</v>
      </c>
      <c r="AQ557" t="s">
        <v>1321</v>
      </c>
      <c r="AR557" t="s">
        <v>1321</v>
      </c>
      <c r="AS557" t="s">
        <v>1321</v>
      </c>
      <c r="AU557" t="s">
        <v>1321</v>
      </c>
      <c r="AV557" t="s">
        <v>1321</v>
      </c>
      <c r="AW557" t="s">
        <v>1321</v>
      </c>
      <c r="AX557" t="s">
        <v>1321</v>
      </c>
      <c r="AZ557" t="s">
        <v>1321</v>
      </c>
      <c r="BA557" t="s">
        <v>1321</v>
      </c>
      <c r="BB557" t="s">
        <v>1321</v>
      </c>
      <c r="BC557" t="s">
        <v>1321</v>
      </c>
      <c r="BD557" t="s">
        <v>1321</v>
      </c>
      <c r="BE557" t="s">
        <v>1321</v>
      </c>
      <c r="BF557" t="s">
        <v>1321</v>
      </c>
      <c r="BG557" t="s">
        <v>1321</v>
      </c>
      <c r="BI557" t="s">
        <v>1321</v>
      </c>
      <c r="BJ557" t="s">
        <v>1321</v>
      </c>
      <c r="CW557" t="s">
        <v>1321</v>
      </c>
      <c r="CX557" t="s">
        <v>1321</v>
      </c>
      <c r="CY557" t="s">
        <v>2515</v>
      </c>
      <c r="CZ557">
        <v>5</v>
      </c>
      <c r="DA557" t="s">
        <v>1321</v>
      </c>
      <c r="DB557">
        <v>3</v>
      </c>
      <c r="DC557" t="s">
        <v>1321</v>
      </c>
      <c r="DD557" t="s">
        <v>1321</v>
      </c>
      <c r="DE557">
        <v>3</v>
      </c>
      <c r="DF557" t="s">
        <v>1321</v>
      </c>
      <c r="DG557" t="s">
        <v>1321</v>
      </c>
      <c r="DH557" t="s">
        <v>1321</v>
      </c>
      <c r="DI557" t="s">
        <v>1321</v>
      </c>
      <c r="DJ557">
        <v>4</v>
      </c>
      <c r="DK557" t="s">
        <v>1321</v>
      </c>
      <c r="DL557" t="s">
        <v>1321</v>
      </c>
      <c r="DM557" t="s">
        <v>1321</v>
      </c>
      <c r="DN557" t="s">
        <v>1321</v>
      </c>
      <c r="DO557" t="s">
        <v>1321</v>
      </c>
      <c r="DP557" t="s">
        <v>1321</v>
      </c>
      <c r="DQ557" t="s">
        <v>1321</v>
      </c>
      <c r="DR557">
        <v>5</v>
      </c>
      <c r="DT557" t="s">
        <v>1321</v>
      </c>
      <c r="DU557" t="s">
        <v>1321</v>
      </c>
      <c r="DV557" t="s">
        <v>1321</v>
      </c>
      <c r="DW557" t="s">
        <v>1321</v>
      </c>
      <c r="DX557" t="s">
        <v>1321</v>
      </c>
      <c r="DY557" t="s">
        <v>1321</v>
      </c>
      <c r="DZ557" t="s">
        <v>1321</v>
      </c>
      <c r="EA557" t="s">
        <v>1321</v>
      </c>
      <c r="EB557" t="s">
        <v>1321</v>
      </c>
      <c r="EC557" t="s">
        <v>1321</v>
      </c>
      <c r="ED557" t="s">
        <v>1321</v>
      </c>
      <c r="EE557" t="s">
        <v>1321</v>
      </c>
      <c r="EG557" t="s">
        <v>1321</v>
      </c>
      <c r="EH557" t="s">
        <v>1321</v>
      </c>
      <c r="EI557" t="s">
        <v>1321</v>
      </c>
      <c r="EJ557" t="s">
        <v>1321</v>
      </c>
      <c r="EK557" t="s">
        <v>1321</v>
      </c>
      <c r="EL557" t="s">
        <v>1321</v>
      </c>
      <c r="EM557" t="s">
        <v>1321</v>
      </c>
      <c r="EN557" t="s">
        <v>1321</v>
      </c>
      <c r="EO557" t="s">
        <v>1321</v>
      </c>
      <c r="EP557" t="s">
        <v>1321</v>
      </c>
      <c r="EQ557">
        <v>3</v>
      </c>
      <c r="ER557" t="s">
        <v>1321</v>
      </c>
      <c r="ES557" t="s">
        <v>1321</v>
      </c>
      <c r="ET557" t="s">
        <v>1321</v>
      </c>
      <c r="EU557" t="s">
        <v>1321</v>
      </c>
      <c r="EV557" t="s">
        <v>1321</v>
      </c>
      <c r="EW557" t="s">
        <v>1321</v>
      </c>
      <c r="EY557" t="s">
        <v>1321</v>
      </c>
      <c r="EZ557" t="s">
        <v>1321</v>
      </c>
      <c r="FA557" t="s">
        <v>1321</v>
      </c>
      <c r="FB557" t="s">
        <v>1321</v>
      </c>
      <c r="FC557" t="s">
        <v>1321</v>
      </c>
      <c r="FD557" t="s">
        <v>1321</v>
      </c>
      <c r="FE557" t="s">
        <v>1321</v>
      </c>
      <c r="FF557" t="s">
        <v>1321</v>
      </c>
      <c r="FG557" t="s">
        <v>1321</v>
      </c>
      <c r="FH557" t="s">
        <v>1321</v>
      </c>
      <c r="FI557" t="s">
        <v>1321</v>
      </c>
      <c r="FJ557" t="s">
        <v>1321</v>
      </c>
      <c r="FK557" t="s">
        <v>1321</v>
      </c>
      <c r="FM557" t="s">
        <v>1321</v>
      </c>
      <c r="FN557" t="s">
        <v>1321</v>
      </c>
      <c r="FO557" t="s">
        <v>1321</v>
      </c>
      <c r="FP557">
        <v>4</v>
      </c>
      <c r="FQ557" t="s">
        <v>1321</v>
      </c>
      <c r="FR557" t="s">
        <v>1321</v>
      </c>
      <c r="FS557" t="s">
        <v>1321</v>
      </c>
      <c r="FT557" t="s">
        <v>1321</v>
      </c>
      <c r="FU557" t="s">
        <v>1321</v>
      </c>
      <c r="FV557" t="s">
        <v>1321</v>
      </c>
      <c r="IL557">
        <f t="shared" si="15"/>
        <v>234</v>
      </c>
    </row>
    <row r="558" spans="1:246" outlineLevel="1" x14ac:dyDescent="0.2">
      <c r="A558" t="str">
        <f t="shared" si="14"/>
        <v>Projektimago Ebenbild</v>
      </c>
      <c r="DD558" t="s">
        <v>1321</v>
      </c>
      <c r="DE558" t="s">
        <v>1321</v>
      </c>
      <c r="DU558" t="s">
        <v>2516</v>
      </c>
      <c r="ES558" t="s">
        <v>1321</v>
      </c>
      <c r="EU558" t="s">
        <v>1321</v>
      </c>
      <c r="EZ558" t="s">
        <v>4569</v>
      </c>
      <c r="FA558" t="s">
        <v>4569</v>
      </c>
      <c r="FM558" t="s">
        <v>4569</v>
      </c>
      <c r="FP558" t="s">
        <v>4569</v>
      </c>
      <c r="FQ558" t="s">
        <v>4569</v>
      </c>
      <c r="FR558" t="s">
        <v>4569</v>
      </c>
      <c r="FS558" t="s">
        <v>4569</v>
      </c>
      <c r="GC558" t="s">
        <v>1321</v>
      </c>
      <c r="IL558">
        <f t="shared" si="15"/>
        <v>235</v>
      </c>
    </row>
    <row r="559" spans="1:246" outlineLevel="1" x14ac:dyDescent="0.2">
      <c r="A559" t="str">
        <f t="shared" si="14"/>
        <v>Protectionis Kontrabann</v>
      </c>
      <c r="EZ559" t="s">
        <v>4569</v>
      </c>
      <c r="FA559" t="s">
        <v>4569</v>
      </c>
      <c r="FM559" t="s">
        <v>4569</v>
      </c>
      <c r="FP559">
        <v>2</v>
      </c>
      <c r="FQ559">
        <v>2</v>
      </c>
      <c r="FR559">
        <v>2</v>
      </c>
      <c r="FS559">
        <v>2</v>
      </c>
      <c r="IK559">
        <v>1</v>
      </c>
      <c r="IL559">
        <f t="shared" si="15"/>
        <v>236</v>
      </c>
    </row>
    <row r="560" spans="1:246" outlineLevel="1" x14ac:dyDescent="0.2">
      <c r="A560" t="str">
        <f t="shared" si="14"/>
        <v>Psychostabilis</v>
      </c>
      <c r="C560" t="s">
        <v>1321</v>
      </c>
      <c r="D560" t="s">
        <v>1321</v>
      </c>
      <c r="E560" t="s">
        <v>1321</v>
      </c>
      <c r="F560" t="s">
        <v>1321</v>
      </c>
      <c r="G560" t="s">
        <v>1321</v>
      </c>
      <c r="H560" t="s">
        <v>1321</v>
      </c>
      <c r="I560" t="s">
        <v>1321</v>
      </c>
      <c r="J560" t="s">
        <v>1321</v>
      </c>
      <c r="K560" t="s">
        <v>1321</v>
      </c>
      <c r="L560" t="s">
        <v>1321</v>
      </c>
      <c r="M560" t="s">
        <v>1321</v>
      </c>
      <c r="N560" t="s">
        <v>1321</v>
      </c>
      <c r="AU560" t="s">
        <v>1321</v>
      </c>
      <c r="AV560" t="s">
        <v>1321</v>
      </c>
      <c r="AW560" t="s">
        <v>1321</v>
      </c>
      <c r="AX560" t="s">
        <v>1321</v>
      </c>
      <c r="AZ560" t="s">
        <v>1321</v>
      </c>
      <c r="BA560" t="s">
        <v>1321</v>
      </c>
      <c r="BB560" t="s">
        <v>1321</v>
      </c>
      <c r="BC560" t="s">
        <v>1321</v>
      </c>
      <c r="BD560" t="s">
        <v>1321</v>
      </c>
      <c r="BE560" t="s">
        <v>1321</v>
      </c>
      <c r="BF560" t="s">
        <v>1321</v>
      </c>
      <c r="BG560" t="s">
        <v>1321</v>
      </c>
      <c r="CB560" t="s">
        <v>1321</v>
      </c>
      <c r="CD560" t="s">
        <v>1321</v>
      </c>
      <c r="CE560" t="s">
        <v>1321</v>
      </c>
      <c r="CG560" t="s">
        <v>1321</v>
      </c>
      <c r="CJ560" t="s">
        <v>1321</v>
      </c>
      <c r="CW560">
        <v>3</v>
      </c>
      <c r="CX560" t="s">
        <v>1321</v>
      </c>
      <c r="CY560" t="s">
        <v>1321</v>
      </c>
      <c r="CZ560">
        <v>5</v>
      </c>
      <c r="DA560" t="s">
        <v>1321</v>
      </c>
      <c r="DB560">
        <v>4</v>
      </c>
      <c r="DC560" t="s">
        <v>1321</v>
      </c>
      <c r="DD560">
        <v>2</v>
      </c>
      <c r="DE560">
        <v>2</v>
      </c>
      <c r="DF560" t="s">
        <v>1321</v>
      </c>
      <c r="DG560" t="s">
        <v>1321</v>
      </c>
      <c r="DH560" t="s">
        <v>1321</v>
      </c>
      <c r="DI560" t="s">
        <v>1321</v>
      </c>
      <c r="DJ560" t="s">
        <v>1321</v>
      </c>
      <c r="DK560" t="s">
        <v>1321</v>
      </c>
      <c r="DL560">
        <v>4</v>
      </c>
      <c r="DM560">
        <v>3</v>
      </c>
      <c r="DN560" t="s">
        <v>1321</v>
      </c>
      <c r="DO560" t="s">
        <v>1321</v>
      </c>
      <c r="DP560" t="s">
        <v>1321</v>
      </c>
      <c r="DQ560" t="s">
        <v>1321</v>
      </c>
      <c r="DR560">
        <v>5</v>
      </c>
      <c r="DS560" t="s">
        <v>2514</v>
      </c>
      <c r="DT560" t="s">
        <v>1321</v>
      </c>
      <c r="DU560" t="s">
        <v>1321</v>
      </c>
      <c r="DV560">
        <v>2</v>
      </c>
      <c r="DW560">
        <v>2</v>
      </c>
      <c r="DX560">
        <v>3</v>
      </c>
      <c r="DY560" t="s">
        <v>2516</v>
      </c>
      <c r="DZ560">
        <v>5</v>
      </c>
      <c r="EA560">
        <v>3</v>
      </c>
      <c r="EB560" t="s">
        <v>1321</v>
      </c>
      <c r="EC560">
        <v>4</v>
      </c>
      <c r="ED560" t="s">
        <v>1321</v>
      </c>
      <c r="EE560">
        <v>4</v>
      </c>
      <c r="EF560" t="s">
        <v>2516</v>
      </c>
      <c r="EG560" t="s">
        <v>1321</v>
      </c>
      <c r="EH560" t="s">
        <v>1321</v>
      </c>
      <c r="EI560" t="s">
        <v>1321</v>
      </c>
      <c r="EJ560">
        <v>4</v>
      </c>
      <c r="EK560">
        <v>3</v>
      </c>
      <c r="EL560">
        <v>4</v>
      </c>
      <c r="EM560" t="s">
        <v>1321</v>
      </c>
      <c r="EN560" t="s">
        <v>1321</v>
      </c>
      <c r="EO560">
        <v>4</v>
      </c>
      <c r="EP560">
        <v>4</v>
      </c>
      <c r="EQ560" t="s">
        <v>1321</v>
      </c>
      <c r="ER560" t="s">
        <v>2516</v>
      </c>
      <c r="ES560" t="s">
        <v>1321</v>
      </c>
      <c r="ET560" t="s">
        <v>2516</v>
      </c>
      <c r="EU560" t="s">
        <v>1321</v>
      </c>
      <c r="EV560" t="s">
        <v>2516</v>
      </c>
      <c r="EW560" t="s">
        <v>2514</v>
      </c>
      <c r="EY560" t="s">
        <v>1321</v>
      </c>
      <c r="EZ560" t="s">
        <v>1321</v>
      </c>
      <c r="FA560" t="s">
        <v>1321</v>
      </c>
      <c r="FB560" t="s">
        <v>1321</v>
      </c>
      <c r="FC560" t="s">
        <v>1321</v>
      </c>
      <c r="FD560" t="s">
        <v>1321</v>
      </c>
      <c r="FE560" t="s">
        <v>1321</v>
      </c>
      <c r="FF560" t="s">
        <v>1321</v>
      </c>
      <c r="FG560" t="s">
        <v>2516</v>
      </c>
      <c r="FH560" t="s">
        <v>1321</v>
      </c>
      <c r="FI560" t="s">
        <v>1321</v>
      </c>
      <c r="FJ560" t="s">
        <v>1321</v>
      </c>
      <c r="FK560" t="s">
        <v>1321</v>
      </c>
      <c r="FL560" t="s">
        <v>1321</v>
      </c>
      <c r="FM560" t="s">
        <v>1321</v>
      </c>
      <c r="FN560" t="s">
        <v>1321</v>
      </c>
      <c r="FO560" t="s">
        <v>1321</v>
      </c>
      <c r="FP560" t="s">
        <v>1321</v>
      </c>
      <c r="FQ560" t="s">
        <v>1321</v>
      </c>
      <c r="FR560" t="s">
        <v>1321</v>
      </c>
      <c r="FS560" t="s">
        <v>1321</v>
      </c>
      <c r="FT560" t="s">
        <v>1321</v>
      </c>
      <c r="FU560">
        <v>2</v>
      </c>
      <c r="FV560" t="s">
        <v>1321</v>
      </c>
      <c r="HB560" t="s">
        <v>1321</v>
      </c>
      <c r="HD560" t="s">
        <v>1321</v>
      </c>
      <c r="HF560" t="s">
        <v>1321</v>
      </c>
      <c r="HH560" t="s">
        <v>1321</v>
      </c>
      <c r="HJ560" t="s">
        <v>1321</v>
      </c>
      <c r="HL560" t="s">
        <v>1321</v>
      </c>
      <c r="HN560" t="s">
        <v>1321</v>
      </c>
      <c r="HP560" t="s">
        <v>1321</v>
      </c>
      <c r="HQ560" t="s">
        <v>1321</v>
      </c>
      <c r="HS560" t="s">
        <v>1321</v>
      </c>
      <c r="HU560" t="s">
        <v>1321</v>
      </c>
      <c r="HW560" t="s">
        <v>1321</v>
      </c>
      <c r="HY560" t="s">
        <v>1321</v>
      </c>
      <c r="IA560" t="s">
        <v>1321</v>
      </c>
      <c r="IC560" t="s">
        <v>1321</v>
      </c>
      <c r="ID560" t="s">
        <v>1321</v>
      </c>
      <c r="IG560" t="s">
        <v>1321</v>
      </c>
      <c r="II560" t="s">
        <v>1321</v>
      </c>
      <c r="IK560">
        <v>1</v>
      </c>
      <c r="IL560">
        <f t="shared" si="15"/>
        <v>237</v>
      </c>
    </row>
    <row r="561" spans="1:246" outlineLevel="1" x14ac:dyDescent="0.2">
      <c r="A561" t="str">
        <f t="shared" si="14"/>
        <v>Radau</v>
      </c>
      <c r="B561" t="s">
        <v>3589</v>
      </c>
      <c r="O561" t="s">
        <v>3589</v>
      </c>
      <c r="AT561" t="s">
        <v>3589</v>
      </c>
      <c r="AY561" t="s">
        <v>3589</v>
      </c>
      <c r="AZ561" t="s">
        <v>1321</v>
      </c>
      <c r="BA561">
        <v>2</v>
      </c>
      <c r="BB561">
        <v>2</v>
      </c>
      <c r="BC561" t="s">
        <v>2516</v>
      </c>
      <c r="BD561">
        <v>2</v>
      </c>
      <c r="BE561" t="s">
        <v>1321</v>
      </c>
      <c r="BF561">
        <v>2</v>
      </c>
      <c r="BG561" t="s">
        <v>1321</v>
      </c>
      <c r="BH561" t="s">
        <v>3589</v>
      </c>
      <c r="BK561" t="s">
        <v>3589</v>
      </c>
      <c r="CV561" t="s">
        <v>3589</v>
      </c>
      <c r="EX561" t="s">
        <v>3589</v>
      </c>
      <c r="EZ561" t="s">
        <v>4569</v>
      </c>
      <c r="FA561" t="s">
        <v>4569</v>
      </c>
      <c r="FM561" t="s">
        <v>4569</v>
      </c>
      <c r="FP561" t="s">
        <v>4569</v>
      </c>
      <c r="FQ561" t="s">
        <v>4569</v>
      </c>
      <c r="FR561" t="s">
        <v>4569</v>
      </c>
      <c r="FS561" t="s">
        <v>4569</v>
      </c>
      <c r="FW561" t="s">
        <v>3589</v>
      </c>
      <c r="GE561" t="s">
        <v>3589</v>
      </c>
      <c r="GM561" t="s">
        <v>3589</v>
      </c>
      <c r="GX561" t="s">
        <v>3589</v>
      </c>
      <c r="IJ561" t="s">
        <v>3589</v>
      </c>
      <c r="IL561">
        <f t="shared" si="15"/>
        <v>238</v>
      </c>
    </row>
    <row r="562" spans="1:246" outlineLevel="1" x14ac:dyDescent="0.2">
      <c r="A562" t="str">
        <f t="shared" si="14"/>
        <v>Reflectimago Spiegelschein</v>
      </c>
      <c r="CW562" t="s">
        <v>1321</v>
      </c>
      <c r="CX562" t="s">
        <v>1321</v>
      </c>
      <c r="CY562" t="s">
        <v>1321</v>
      </c>
      <c r="CZ562" t="s">
        <v>1321</v>
      </c>
      <c r="DA562" t="s">
        <v>1321</v>
      </c>
      <c r="DB562" t="s">
        <v>1321</v>
      </c>
      <c r="DL562" t="s">
        <v>1321</v>
      </c>
      <c r="DM562" t="s">
        <v>1321</v>
      </c>
      <c r="DN562" t="s">
        <v>1321</v>
      </c>
      <c r="DO562" t="s">
        <v>1321</v>
      </c>
      <c r="DP562" t="s">
        <v>1321</v>
      </c>
      <c r="DQ562" t="s">
        <v>1321</v>
      </c>
      <c r="DR562" t="s">
        <v>1321</v>
      </c>
      <c r="DS562" t="s">
        <v>1321</v>
      </c>
      <c r="DT562" t="s">
        <v>1321</v>
      </c>
      <c r="DU562">
        <v>2</v>
      </c>
      <c r="DV562" t="s">
        <v>1321</v>
      </c>
      <c r="DW562" t="s">
        <v>1321</v>
      </c>
      <c r="DX562" t="s">
        <v>1321</v>
      </c>
      <c r="DY562" t="s">
        <v>1321</v>
      </c>
      <c r="DZ562" t="s">
        <v>1321</v>
      </c>
      <c r="EA562" t="s">
        <v>1321</v>
      </c>
      <c r="EB562" t="s">
        <v>1321</v>
      </c>
      <c r="EC562" t="s">
        <v>1321</v>
      </c>
      <c r="ED562" t="s">
        <v>1321</v>
      </c>
      <c r="EE562" t="s">
        <v>1321</v>
      </c>
      <c r="EF562" t="s">
        <v>1321</v>
      </c>
      <c r="EG562" t="s">
        <v>1321</v>
      </c>
      <c r="EH562" t="s">
        <v>1321</v>
      </c>
      <c r="EI562" t="s">
        <v>1321</v>
      </c>
      <c r="EJ562" t="s">
        <v>1321</v>
      </c>
      <c r="EK562" t="s">
        <v>1321</v>
      </c>
      <c r="EL562" t="s">
        <v>1321</v>
      </c>
      <c r="EM562" t="s">
        <v>1321</v>
      </c>
      <c r="EN562" t="s">
        <v>1321</v>
      </c>
      <c r="EO562" t="s">
        <v>1321</v>
      </c>
      <c r="EP562" t="s">
        <v>1321</v>
      </c>
      <c r="EQ562" t="s">
        <v>1321</v>
      </c>
      <c r="ER562" t="s">
        <v>1321</v>
      </c>
      <c r="ES562" t="s">
        <v>1321</v>
      </c>
      <c r="ET562" t="s">
        <v>1321</v>
      </c>
      <c r="EU562">
        <v>6</v>
      </c>
      <c r="EV562" t="s">
        <v>1321</v>
      </c>
      <c r="EW562" t="s">
        <v>1321</v>
      </c>
      <c r="EY562" t="s">
        <v>1321</v>
      </c>
      <c r="EZ562" t="s">
        <v>1321</v>
      </c>
      <c r="FA562" t="s">
        <v>1321</v>
      </c>
      <c r="FB562" t="s">
        <v>1321</v>
      </c>
      <c r="FC562" t="s">
        <v>1321</v>
      </c>
      <c r="FD562" t="s">
        <v>1321</v>
      </c>
      <c r="FE562" t="s">
        <v>1321</v>
      </c>
      <c r="FG562" t="s">
        <v>1321</v>
      </c>
      <c r="FH562" t="s">
        <v>1321</v>
      </c>
      <c r="FI562" t="s">
        <v>1321</v>
      </c>
      <c r="FJ562" t="s">
        <v>1321</v>
      </c>
      <c r="FK562" t="s">
        <v>1321</v>
      </c>
      <c r="FL562" t="s">
        <v>1321</v>
      </c>
      <c r="FM562" t="s">
        <v>2514</v>
      </c>
      <c r="FN562" t="s">
        <v>1321</v>
      </c>
      <c r="FO562" t="s">
        <v>1321</v>
      </c>
      <c r="FP562" t="s">
        <v>1321</v>
      </c>
      <c r="FQ562" t="s">
        <v>1321</v>
      </c>
      <c r="FR562" t="s">
        <v>1321</v>
      </c>
      <c r="FS562" t="s">
        <v>1321</v>
      </c>
      <c r="FT562" t="s">
        <v>1321</v>
      </c>
      <c r="FX562" t="s">
        <v>1321</v>
      </c>
      <c r="FY562" t="s">
        <v>1321</v>
      </c>
      <c r="FZ562" t="s">
        <v>1321</v>
      </c>
      <c r="GA562" t="s">
        <v>1321</v>
      </c>
      <c r="GB562" t="s">
        <v>1321</v>
      </c>
      <c r="GC562" t="s">
        <v>1321</v>
      </c>
      <c r="GD562" t="s">
        <v>1321</v>
      </c>
      <c r="IL562">
        <f t="shared" si="15"/>
        <v>239</v>
      </c>
    </row>
    <row r="563" spans="1:246" outlineLevel="1" x14ac:dyDescent="0.2">
      <c r="A563" t="str">
        <f t="shared" si="14"/>
        <v>Reptilea Natternnest</v>
      </c>
      <c r="BI563" t="s">
        <v>1321</v>
      </c>
      <c r="BJ563" t="s">
        <v>4901</v>
      </c>
      <c r="DC563" t="s">
        <v>1321</v>
      </c>
      <c r="EZ563" t="s">
        <v>4569</v>
      </c>
      <c r="FA563" t="s">
        <v>4569</v>
      </c>
      <c r="FM563" t="s">
        <v>4569</v>
      </c>
      <c r="FP563" t="s">
        <v>4569</v>
      </c>
      <c r="FQ563" t="s">
        <v>4569</v>
      </c>
      <c r="FR563" t="s">
        <v>4569</v>
      </c>
      <c r="FS563" t="s">
        <v>4569</v>
      </c>
      <c r="IL563">
        <f t="shared" si="15"/>
        <v>240</v>
      </c>
    </row>
    <row r="564" spans="1:246" outlineLevel="1" x14ac:dyDescent="0.2">
      <c r="A564" t="str">
        <f t="shared" si="14"/>
        <v>Respondami Wahrheitszwang</v>
      </c>
      <c r="C564" t="s">
        <v>1321</v>
      </c>
      <c r="D564" t="s">
        <v>1321</v>
      </c>
      <c r="E564" t="s">
        <v>1321</v>
      </c>
      <c r="F564">
        <v>3</v>
      </c>
      <c r="G564" t="s">
        <v>1321</v>
      </c>
      <c r="H564" t="s">
        <v>1321</v>
      </c>
      <c r="I564" t="s">
        <v>1321</v>
      </c>
      <c r="J564" t="s">
        <v>1321</v>
      </c>
      <c r="K564" t="s">
        <v>1321</v>
      </c>
      <c r="L564" t="s">
        <v>1321</v>
      </c>
      <c r="M564" t="s">
        <v>1321</v>
      </c>
      <c r="N564" t="s">
        <v>1321</v>
      </c>
      <c r="P564" t="s">
        <v>1321</v>
      </c>
      <c r="Q564" t="s">
        <v>1321</v>
      </c>
      <c r="R564" t="s">
        <v>1321</v>
      </c>
      <c r="S564" t="s">
        <v>1321</v>
      </c>
      <c r="T564" t="s">
        <v>1321</v>
      </c>
      <c r="U564" t="s">
        <v>1321</v>
      </c>
      <c r="V564" t="s">
        <v>1321</v>
      </c>
      <c r="W564" t="s">
        <v>1321</v>
      </c>
      <c r="X564" t="s">
        <v>1321</v>
      </c>
      <c r="Y564" t="s">
        <v>1321</v>
      </c>
      <c r="Z564" t="s">
        <v>1321</v>
      </c>
      <c r="AA564" t="s">
        <v>1321</v>
      </c>
      <c r="AB564" t="s">
        <v>1321</v>
      </c>
      <c r="AC564" t="s">
        <v>1321</v>
      </c>
      <c r="AD564" t="s">
        <v>1321</v>
      </c>
      <c r="AE564" t="s">
        <v>1321</v>
      </c>
      <c r="AF564" t="s">
        <v>1321</v>
      </c>
      <c r="AG564" t="s">
        <v>1321</v>
      </c>
      <c r="AH564" t="s">
        <v>1321</v>
      </c>
      <c r="AI564" t="s">
        <v>1321</v>
      </c>
      <c r="AJ564" t="s">
        <v>1321</v>
      </c>
      <c r="AK564" t="s">
        <v>1321</v>
      </c>
      <c r="AL564" t="s">
        <v>1321</v>
      </c>
      <c r="AM564" t="s">
        <v>1321</v>
      </c>
      <c r="AN564" t="s">
        <v>1321</v>
      </c>
      <c r="AO564" t="s">
        <v>1321</v>
      </c>
      <c r="AP564" t="s">
        <v>1321</v>
      </c>
      <c r="AQ564" t="s">
        <v>1321</v>
      </c>
      <c r="AR564" t="s">
        <v>1321</v>
      </c>
      <c r="AS564" t="s">
        <v>1321</v>
      </c>
      <c r="AU564" t="s">
        <v>1321</v>
      </c>
      <c r="AV564" t="s">
        <v>1321</v>
      </c>
      <c r="AW564" t="s">
        <v>1321</v>
      </c>
      <c r="AX564">
        <v>1</v>
      </c>
      <c r="AZ564" t="s">
        <v>1321</v>
      </c>
      <c r="BA564" t="s">
        <v>1321</v>
      </c>
      <c r="BB564" t="s">
        <v>1321</v>
      </c>
      <c r="BC564" t="s">
        <v>1321</v>
      </c>
      <c r="BD564" t="s">
        <v>1321</v>
      </c>
      <c r="BE564" t="s">
        <v>1321</v>
      </c>
      <c r="BF564" t="s">
        <v>1321</v>
      </c>
      <c r="BG564" t="s">
        <v>1321</v>
      </c>
      <c r="CW564" t="s">
        <v>1321</v>
      </c>
      <c r="CX564" t="s">
        <v>1321</v>
      </c>
      <c r="CZ564">
        <v>3</v>
      </c>
      <c r="DA564" t="s">
        <v>1321</v>
      </c>
      <c r="DB564" t="s">
        <v>1321</v>
      </c>
      <c r="DC564" t="s">
        <v>1321</v>
      </c>
      <c r="DD564" t="s">
        <v>1321</v>
      </c>
      <c r="DE564" t="s">
        <v>1321</v>
      </c>
      <c r="DF564" t="s">
        <v>1321</v>
      </c>
      <c r="DG564" t="s">
        <v>1321</v>
      </c>
      <c r="DH564" t="s">
        <v>1321</v>
      </c>
      <c r="DI564" t="s">
        <v>1321</v>
      </c>
      <c r="DJ564" t="s">
        <v>1321</v>
      </c>
      <c r="DK564" t="s">
        <v>1321</v>
      </c>
      <c r="DL564">
        <v>4</v>
      </c>
      <c r="DM564" t="s">
        <v>2515</v>
      </c>
      <c r="DN564" t="s">
        <v>2515</v>
      </c>
      <c r="DO564" t="s">
        <v>2516</v>
      </c>
      <c r="DP564">
        <v>2</v>
      </c>
      <c r="DQ564" t="s">
        <v>1321</v>
      </c>
      <c r="DR564">
        <v>3</v>
      </c>
      <c r="DT564" t="s">
        <v>1321</v>
      </c>
      <c r="DU564" t="s">
        <v>1321</v>
      </c>
      <c r="DV564" t="s">
        <v>1321</v>
      </c>
      <c r="DW564" t="s">
        <v>1321</v>
      </c>
      <c r="DX564" t="s">
        <v>1321</v>
      </c>
      <c r="DY564" t="s">
        <v>1321</v>
      </c>
      <c r="DZ564" t="s">
        <v>2516</v>
      </c>
      <c r="EA564" t="s">
        <v>1321</v>
      </c>
      <c r="EC564" t="s">
        <v>1321</v>
      </c>
      <c r="ED564" t="s">
        <v>1321</v>
      </c>
      <c r="EE564" t="s">
        <v>2516</v>
      </c>
      <c r="EG564" t="s">
        <v>1321</v>
      </c>
      <c r="EH564" t="s">
        <v>1321</v>
      </c>
      <c r="EI564" t="s">
        <v>1321</v>
      </c>
      <c r="EJ564" t="s">
        <v>1321</v>
      </c>
      <c r="EK564" t="s">
        <v>1321</v>
      </c>
      <c r="EL564" t="s">
        <v>1321</v>
      </c>
      <c r="EM564" t="s">
        <v>1321</v>
      </c>
      <c r="EN564" t="s">
        <v>1321</v>
      </c>
      <c r="EO564" t="s">
        <v>1321</v>
      </c>
      <c r="EP564" t="s">
        <v>1321</v>
      </c>
      <c r="EQ564">
        <v>4</v>
      </c>
      <c r="ER564" t="s">
        <v>1321</v>
      </c>
      <c r="ES564" t="s">
        <v>1321</v>
      </c>
      <c r="EU564" t="s">
        <v>1321</v>
      </c>
      <c r="EV564" t="s">
        <v>1321</v>
      </c>
      <c r="EW564">
        <v>3</v>
      </c>
      <c r="EY564" t="s">
        <v>1321</v>
      </c>
      <c r="EZ564" t="s">
        <v>1321</v>
      </c>
      <c r="FA564" t="s">
        <v>1321</v>
      </c>
      <c r="FB564" t="s">
        <v>1321</v>
      </c>
      <c r="FC564" t="s">
        <v>1321</v>
      </c>
      <c r="FD564" t="s">
        <v>1321</v>
      </c>
      <c r="FE564">
        <v>3</v>
      </c>
      <c r="FF564" t="s">
        <v>1321</v>
      </c>
      <c r="FG564" t="s">
        <v>2516</v>
      </c>
      <c r="FH564" t="s">
        <v>1321</v>
      </c>
      <c r="FI564" t="s">
        <v>1321</v>
      </c>
      <c r="FJ564" t="s">
        <v>1321</v>
      </c>
      <c r="FK564" t="s">
        <v>1321</v>
      </c>
      <c r="FM564" t="s">
        <v>1321</v>
      </c>
      <c r="FN564" t="s">
        <v>1321</v>
      </c>
      <c r="FO564" t="s">
        <v>1321</v>
      </c>
      <c r="FP564" t="s">
        <v>1321</v>
      </c>
      <c r="FQ564" t="s">
        <v>1321</v>
      </c>
      <c r="FR564" t="s">
        <v>1321</v>
      </c>
      <c r="FS564" t="s">
        <v>1321</v>
      </c>
      <c r="FT564" t="s">
        <v>1321</v>
      </c>
      <c r="FU564" t="s">
        <v>1321</v>
      </c>
      <c r="FV564" t="s">
        <v>1321</v>
      </c>
      <c r="IL564">
        <f t="shared" si="15"/>
        <v>241</v>
      </c>
    </row>
    <row r="565" spans="1:246" outlineLevel="1" x14ac:dyDescent="0.2">
      <c r="A565" t="str">
        <f t="shared" si="14"/>
        <v>Reversalis Revidum</v>
      </c>
      <c r="DC565" t="s">
        <v>1321</v>
      </c>
      <c r="DL565">
        <v>3</v>
      </c>
      <c r="DY565" t="s">
        <v>1321</v>
      </c>
      <c r="EA565" t="s">
        <v>1321</v>
      </c>
      <c r="EJ565" t="s">
        <v>4901</v>
      </c>
      <c r="EK565" t="s">
        <v>2515</v>
      </c>
      <c r="EL565" t="s">
        <v>2516</v>
      </c>
      <c r="EZ565" t="s">
        <v>4569</v>
      </c>
      <c r="FA565" t="s">
        <v>4569</v>
      </c>
      <c r="FE565">
        <v>3</v>
      </c>
      <c r="FM565">
        <v>2</v>
      </c>
      <c r="FO565" t="s">
        <v>577</v>
      </c>
      <c r="FP565" t="s">
        <v>4569</v>
      </c>
      <c r="FQ565" t="s">
        <v>4569</v>
      </c>
      <c r="FR565" t="s">
        <v>4569</v>
      </c>
      <c r="FS565" t="s">
        <v>4569</v>
      </c>
      <c r="FU565" t="s">
        <v>2516</v>
      </c>
      <c r="IK565" t="s">
        <v>7191</v>
      </c>
      <c r="IL565">
        <f t="shared" si="15"/>
        <v>242</v>
      </c>
    </row>
    <row r="566" spans="1:246" outlineLevel="1" x14ac:dyDescent="0.2">
      <c r="A566" t="str">
        <f t="shared" si="14"/>
        <v>Ruhe Körper - ruhe Geist</v>
      </c>
      <c r="G566" t="s">
        <v>1321</v>
      </c>
      <c r="J566" t="s">
        <v>1321</v>
      </c>
      <c r="P566" t="s">
        <v>1321</v>
      </c>
      <c r="Q566" t="s">
        <v>1321</v>
      </c>
      <c r="R566" t="s">
        <v>1321</v>
      </c>
      <c r="S566" t="s">
        <v>1321</v>
      </c>
      <c r="T566" t="s">
        <v>1321</v>
      </c>
      <c r="U566" t="s">
        <v>1321</v>
      </c>
      <c r="V566" t="s">
        <v>1321</v>
      </c>
      <c r="W566" t="s">
        <v>1321</v>
      </c>
      <c r="X566" t="s">
        <v>1321</v>
      </c>
      <c r="Y566" t="s">
        <v>1321</v>
      </c>
      <c r="Z566" t="s">
        <v>1321</v>
      </c>
      <c r="AA566" t="s">
        <v>1321</v>
      </c>
      <c r="AB566" t="s">
        <v>1321</v>
      </c>
      <c r="AC566" t="s">
        <v>1321</v>
      </c>
      <c r="AD566" t="s">
        <v>1321</v>
      </c>
      <c r="AE566" t="s">
        <v>1321</v>
      </c>
      <c r="AF566" t="s">
        <v>1321</v>
      </c>
      <c r="AG566" t="s">
        <v>1321</v>
      </c>
      <c r="AH566" t="s">
        <v>1321</v>
      </c>
      <c r="AI566" t="s">
        <v>1321</v>
      </c>
      <c r="AJ566" t="s">
        <v>1321</v>
      </c>
      <c r="AK566" t="s">
        <v>1321</v>
      </c>
      <c r="AL566" t="s">
        <v>1321</v>
      </c>
      <c r="AM566" t="s">
        <v>1321</v>
      </c>
      <c r="AN566" t="s">
        <v>1321</v>
      </c>
      <c r="AO566" t="s">
        <v>1321</v>
      </c>
      <c r="AP566" t="s">
        <v>1321</v>
      </c>
      <c r="AQ566" t="s">
        <v>1321</v>
      </c>
      <c r="AR566" t="s">
        <v>1321</v>
      </c>
      <c r="AS566" t="s">
        <v>1321</v>
      </c>
      <c r="BA566" t="s">
        <v>1321</v>
      </c>
      <c r="BI566" t="s">
        <v>1321</v>
      </c>
      <c r="BJ566" t="s">
        <v>1321</v>
      </c>
      <c r="CB566" t="s">
        <v>1321</v>
      </c>
      <c r="CD566" t="s">
        <v>1321</v>
      </c>
      <c r="CE566" t="s">
        <v>1321</v>
      </c>
      <c r="CG566" t="s">
        <v>1321</v>
      </c>
      <c r="CW566" t="s">
        <v>1321</v>
      </c>
      <c r="CX566" t="s">
        <v>1321</v>
      </c>
      <c r="CY566" t="s">
        <v>1321</v>
      </c>
      <c r="CZ566" t="s">
        <v>1321</v>
      </c>
      <c r="DB566" t="s">
        <v>1321</v>
      </c>
      <c r="DC566" t="s">
        <v>1321</v>
      </c>
      <c r="DD566">
        <v>3</v>
      </c>
      <c r="DE566" t="s">
        <v>2514</v>
      </c>
      <c r="DF566" t="s">
        <v>1321</v>
      </c>
      <c r="DG566" t="s">
        <v>2515</v>
      </c>
      <c r="DH566" t="s">
        <v>1321</v>
      </c>
      <c r="DI566" t="s">
        <v>1321</v>
      </c>
      <c r="DJ566" t="s">
        <v>1321</v>
      </c>
      <c r="DK566" t="s">
        <v>1321</v>
      </c>
      <c r="DL566" t="s">
        <v>2514</v>
      </c>
      <c r="DM566" t="s">
        <v>1321</v>
      </c>
      <c r="DN566" t="s">
        <v>1321</v>
      </c>
      <c r="DO566" t="s">
        <v>1321</v>
      </c>
      <c r="DP566" t="s">
        <v>1321</v>
      </c>
      <c r="DQ566" t="s">
        <v>1321</v>
      </c>
      <c r="DR566" t="s">
        <v>1321</v>
      </c>
      <c r="DS566" t="s">
        <v>1321</v>
      </c>
      <c r="DT566" t="s">
        <v>1321</v>
      </c>
      <c r="DV566" t="s">
        <v>1321</v>
      </c>
      <c r="DW566" t="s">
        <v>1321</v>
      </c>
      <c r="DX566" t="s">
        <v>1321</v>
      </c>
      <c r="EA566" t="s">
        <v>1321</v>
      </c>
      <c r="EC566" t="s">
        <v>1321</v>
      </c>
      <c r="EE566">
        <v>2</v>
      </c>
      <c r="EF566" t="s">
        <v>2514</v>
      </c>
      <c r="EG566" t="s">
        <v>1321</v>
      </c>
      <c r="EH566" t="s">
        <v>1321</v>
      </c>
      <c r="EI566" t="s">
        <v>1321</v>
      </c>
      <c r="EJ566" t="s">
        <v>1321</v>
      </c>
      <c r="EK566" t="s">
        <v>1321</v>
      </c>
      <c r="EL566" t="s">
        <v>1321</v>
      </c>
      <c r="EM566" t="s">
        <v>1321</v>
      </c>
      <c r="EN566" t="s">
        <v>1321</v>
      </c>
      <c r="EO566" t="s">
        <v>1321</v>
      </c>
      <c r="EP566" t="s">
        <v>1321</v>
      </c>
      <c r="EQ566" t="s">
        <v>1321</v>
      </c>
      <c r="ER566">
        <v>1</v>
      </c>
      <c r="ES566" t="s">
        <v>1321</v>
      </c>
      <c r="ET566" t="s">
        <v>2516</v>
      </c>
      <c r="EU566" t="s">
        <v>1321</v>
      </c>
      <c r="EV566" t="s">
        <v>1321</v>
      </c>
      <c r="EZ566" t="s">
        <v>4569</v>
      </c>
      <c r="FA566" t="s">
        <v>4569</v>
      </c>
      <c r="FB566" t="s">
        <v>1321</v>
      </c>
      <c r="FC566" t="s">
        <v>1321</v>
      </c>
      <c r="FE566" t="s">
        <v>2515</v>
      </c>
      <c r="FG566" t="s">
        <v>1321</v>
      </c>
      <c r="FH566" t="s">
        <v>1321</v>
      </c>
      <c r="FI566" t="s">
        <v>1321</v>
      </c>
      <c r="FJ566" t="s">
        <v>1321</v>
      </c>
      <c r="FK566" t="s">
        <v>1321</v>
      </c>
      <c r="FM566" t="s">
        <v>4569</v>
      </c>
      <c r="FN566" t="s">
        <v>1321</v>
      </c>
      <c r="FP566" t="s">
        <v>1321</v>
      </c>
      <c r="FQ566" t="s">
        <v>1321</v>
      </c>
      <c r="FR566" t="s">
        <v>1321</v>
      </c>
      <c r="FS566" t="s">
        <v>1321</v>
      </c>
      <c r="FT566" t="s">
        <v>1321</v>
      </c>
      <c r="HB566" t="s">
        <v>1321</v>
      </c>
      <c r="HD566" t="s">
        <v>1321</v>
      </c>
      <c r="HF566" t="s">
        <v>1321</v>
      </c>
      <c r="HH566" t="s">
        <v>1321</v>
      </c>
      <c r="HJ566" t="s">
        <v>1321</v>
      </c>
      <c r="HL566" t="s">
        <v>1321</v>
      </c>
      <c r="HN566" t="s">
        <v>1321</v>
      </c>
      <c r="HP566" t="s">
        <v>1321</v>
      </c>
      <c r="HQ566" t="s">
        <v>1321</v>
      </c>
      <c r="HS566" t="s">
        <v>1321</v>
      </c>
      <c r="HU566" t="s">
        <v>1321</v>
      </c>
      <c r="HW566" t="s">
        <v>1321</v>
      </c>
      <c r="HY566" t="s">
        <v>1321</v>
      </c>
      <c r="IA566" t="s">
        <v>1321</v>
      </c>
      <c r="IC566" t="s">
        <v>1321</v>
      </c>
      <c r="ID566" t="s">
        <v>1321</v>
      </c>
      <c r="IG566" t="s">
        <v>1321</v>
      </c>
      <c r="II566" t="s">
        <v>1321</v>
      </c>
      <c r="IL566">
        <f t="shared" si="15"/>
        <v>243</v>
      </c>
    </row>
    <row r="567" spans="1:246" outlineLevel="1" x14ac:dyDescent="0.2">
      <c r="A567" t="str">
        <f t="shared" si="14"/>
        <v>Saft Kraft Monstermacht</v>
      </c>
      <c r="B567" t="s">
        <v>1827</v>
      </c>
      <c r="O567" t="s">
        <v>1827</v>
      </c>
      <c r="AT567" t="s">
        <v>1827</v>
      </c>
      <c r="AY567" t="s">
        <v>1827</v>
      </c>
      <c r="BH567" t="s">
        <v>1827</v>
      </c>
      <c r="BK567" t="s">
        <v>1827</v>
      </c>
      <c r="CV567" t="s">
        <v>1827</v>
      </c>
      <c r="EX567" t="s">
        <v>1827</v>
      </c>
      <c r="EZ567" t="s">
        <v>4569</v>
      </c>
      <c r="FA567" t="s">
        <v>4569</v>
      </c>
      <c r="FM567" t="s">
        <v>4569</v>
      </c>
      <c r="FP567" t="s">
        <v>4569</v>
      </c>
      <c r="FQ567" t="s">
        <v>4569</v>
      </c>
      <c r="FR567" t="s">
        <v>4569</v>
      </c>
      <c r="FS567" t="s">
        <v>4569</v>
      </c>
      <c r="FW567" t="s">
        <v>1827</v>
      </c>
      <c r="GE567" t="s">
        <v>1827</v>
      </c>
      <c r="GM567" t="s">
        <v>1827</v>
      </c>
      <c r="GX567" t="s">
        <v>1827</v>
      </c>
      <c r="IJ567" t="s">
        <v>1827</v>
      </c>
      <c r="IL567">
        <f t="shared" si="15"/>
        <v>244</v>
      </c>
    </row>
    <row r="568" spans="1:246" outlineLevel="1" x14ac:dyDescent="0.2">
      <c r="A568" t="str">
        <f t="shared" si="14"/>
        <v>Salander Mutander</v>
      </c>
      <c r="CW568" t="s">
        <v>1321</v>
      </c>
      <c r="CX568" t="s">
        <v>1321</v>
      </c>
      <c r="CY568" t="s">
        <v>1321</v>
      </c>
      <c r="CZ568" t="s">
        <v>1321</v>
      </c>
      <c r="DA568" t="s">
        <v>1321</v>
      </c>
      <c r="DB568" t="s">
        <v>1321</v>
      </c>
      <c r="DC568" t="s">
        <v>1321</v>
      </c>
      <c r="DD568" t="s">
        <v>1321</v>
      </c>
      <c r="DE568" t="s">
        <v>1321</v>
      </c>
      <c r="DF568" t="s">
        <v>1321</v>
      </c>
      <c r="DG568" t="s">
        <v>1321</v>
      </c>
      <c r="DH568" t="s">
        <v>1321</v>
      </c>
      <c r="DI568" t="s">
        <v>1321</v>
      </c>
      <c r="DJ568" t="s">
        <v>1321</v>
      </c>
      <c r="DK568" t="s">
        <v>1321</v>
      </c>
      <c r="DL568" t="s">
        <v>1321</v>
      </c>
      <c r="DM568" t="s">
        <v>1321</v>
      </c>
      <c r="DN568" t="s">
        <v>1321</v>
      </c>
      <c r="DO568" t="s">
        <v>1321</v>
      </c>
      <c r="DP568" t="s">
        <v>1321</v>
      </c>
      <c r="DQ568" t="s">
        <v>1321</v>
      </c>
      <c r="DR568" t="s">
        <v>1321</v>
      </c>
      <c r="DS568" t="s">
        <v>1321</v>
      </c>
      <c r="DT568" t="s">
        <v>1321</v>
      </c>
      <c r="DU568" t="s">
        <v>1321</v>
      </c>
      <c r="DV568" t="s">
        <v>1321</v>
      </c>
      <c r="DW568" t="s">
        <v>1321</v>
      </c>
      <c r="DX568" t="s">
        <v>1321</v>
      </c>
      <c r="DY568" t="s">
        <v>2514</v>
      </c>
      <c r="DZ568" t="s">
        <v>1321</v>
      </c>
      <c r="EA568" t="s">
        <v>2516</v>
      </c>
      <c r="EB568" t="s">
        <v>1321</v>
      </c>
      <c r="EC568" t="s">
        <v>1321</v>
      </c>
      <c r="ED568" t="s">
        <v>1321</v>
      </c>
      <c r="EE568" t="s">
        <v>1321</v>
      </c>
      <c r="EF568" t="s">
        <v>1321</v>
      </c>
      <c r="EG568" t="s">
        <v>1321</v>
      </c>
      <c r="EH568" t="s">
        <v>1321</v>
      </c>
      <c r="EI568" t="s">
        <v>1321</v>
      </c>
      <c r="EJ568" t="s">
        <v>1321</v>
      </c>
      <c r="EK568" t="s">
        <v>1321</v>
      </c>
      <c r="EL568" t="s">
        <v>1321</v>
      </c>
      <c r="EM568" t="s">
        <v>1321</v>
      </c>
      <c r="EN568" t="s">
        <v>1321</v>
      </c>
      <c r="EO568" t="s">
        <v>1321</v>
      </c>
      <c r="EP568" t="s">
        <v>1321</v>
      </c>
      <c r="EQ568" t="s">
        <v>1321</v>
      </c>
      <c r="ER568">
        <v>4</v>
      </c>
      <c r="ES568" t="s">
        <v>1321</v>
      </c>
      <c r="ET568" t="s">
        <v>1321</v>
      </c>
      <c r="EU568" t="s">
        <v>1321</v>
      </c>
      <c r="EV568" t="s">
        <v>2515</v>
      </c>
      <c r="EW568" t="s">
        <v>1321</v>
      </c>
      <c r="EY568" t="s">
        <v>1321</v>
      </c>
      <c r="EZ568" t="s">
        <v>1321</v>
      </c>
      <c r="FA568" t="s">
        <v>1321</v>
      </c>
      <c r="FB568" t="s">
        <v>1321</v>
      </c>
      <c r="FC568" t="s">
        <v>1321</v>
      </c>
      <c r="FD568" t="s">
        <v>1321</v>
      </c>
      <c r="FE568" t="s">
        <v>1321</v>
      </c>
      <c r="FG568" t="s">
        <v>2516</v>
      </c>
      <c r="FH568" t="s">
        <v>2516</v>
      </c>
      <c r="FI568" t="s">
        <v>2516</v>
      </c>
      <c r="FJ568" t="s">
        <v>2516</v>
      </c>
      <c r="FK568" t="s">
        <v>1321</v>
      </c>
      <c r="FL568" t="s">
        <v>2514</v>
      </c>
      <c r="FN568" t="s">
        <v>1321</v>
      </c>
      <c r="FO568" t="s">
        <v>1321</v>
      </c>
      <c r="FP568" t="s">
        <v>1321</v>
      </c>
      <c r="FQ568" t="s">
        <v>1321</v>
      </c>
      <c r="FR568" t="s">
        <v>1321</v>
      </c>
      <c r="FS568" t="s">
        <v>1321</v>
      </c>
      <c r="FT568" t="s">
        <v>1321</v>
      </c>
      <c r="FV568" t="s">
        <v>1321</v>
      </c>
      <c r="IL568">
        <f t="shared" si="15"/>
        <v>245</v>
      </c>
    </row>
    <row r="569" spans="1:246" outlineLevel="1" x14ac:dyDescent="0.2">
      <c r="A569" t="str">
        <f t="shared" si="14"/>
        <v>Sanftmut</v>
      </c>
      <c r="C569" t="s">
        <v>1321</v>
      </c>
      <c r="D569" t="s">
        <v>1321</v>
      </c>
      <c r="E569" t="s">
        <v>1321</v>
      </c>
      <c r="F569" t="s">
        <v>1321</v>
      </c>
      <c r="G569" t="s">
        <v>1321</v>
      </c>
      <c r="H569" t="s">
        <v>1321</v>
      </c>
      <c r="I569" t="s">
        <v>1321</v>
      </c>
      <c r="J569" t="s">
        <v>1321</v>
      </c>
      <c r="K569" t="s">
        <v>1321</v>
      </c>
      <c r="L569" t="s">
        <v>1321</v>
      </c>
      <c r="M569" t="s">
        <v>1321</v>
      </c>
      <c r="N569" t="s">
        <v>1321</v>
      </c>
      <c r="P569" t="s">
        <v>1321</v>
      </c>
      <c r="Q569" t="s">
        <v>1321</v>
      </c>
      <c r="R569" t="s">
        <v>1321</v>
      </c>
      <c r="S569" t="s">
        <v>1321</v>
      </c>
      <c r="T569" t="s">
        <v>1321</v>
      </c>
      <c r="U569" t="s">
        <v>1321</v>
      </c>
      <c r="V569" t="s">
        <v>1321</v>
      </c>
      <c r="W569" t="s">
        <v>1321</v>
      </c>
      <c r="X569" t="s">
        <v>1321</v>
      </c>
      <c r="Y569" t="s">
        <v>1321</v>
      </c>
      <c r="Z569" t="s">
        <v>1321</v>
      </c>
      <c r="AA569" t="s">
        <v>1321</v>
      </c>
      <c r="AB569" t="s">
        <v>1321</v>
      </c>
      <c r="AC569" t="s">
        <v>1321</v>
      </c>
      <c r="AD569" t="s">
        <v>1321</v>
      </c>
      <c r="AE569" t="s">
        <v>1321</v>
      </c>
      <c r="AF569" t="s">
        <v>1321</v>
      </c>
      <c r="AG569" t="s">
        <v>1321</v>
      </c>
      <c r="AH569" t="s">
        <v>1321</v>
      </c>
      <c r="AI569" t="s">
        <v>1321</v>
      </c>
      <c r="AJ569" t="s">
        <v>1321</v>
      </c>
      <c r="AK569" t="s">
        <v>1321</v>
      </c>
      <c r="AL569" t="s">
        <v>1321</v>
      </c>
      <c r="AM569" t="s">
        <v>1321</v>
      </c>
      <c r="AN569" t="s">
        <v>1321</v>
      </c>
      <c r="AO569" t="s">
        <v>1321</v>
      </c>
      <c r="AP569" t="s">
        <v>1321</v>
      </c>
      <c r="AQ569" t="s">
        <v>1321</v>
      </c>
      <c r="AR569" t="s">
        <v>1321</v>
      </c>
      <c r="AS569" t="s">
        <v>1321</v>
      </c>
      <c r="AU569" t="s">
        <v>1321</v>
      </c>
      <c r="AV569" t="s">
        <v>2514</v>
      </c>
      <c r="AW569" t="s">
        <v>1321</v>
      </c>
      <c r="AX569" t="s">
        <v>1321</v>
      </c>
      <c r="AZ569" t="s">
        <v>1321</v>
      </c>
      <c r="BA569" t="s">
        <v>577</v>
      </c>
      <c r="BB569" t="s">
        <v>1321</v>
      </c>
      <c r="BC569" t="s">
        <v>1321</v>
      </c>
      <c r="BD569" t="s">
        <v>1321</v>
      </c>
      <c r="BE569" t="s">
        <v>1321</v>
      </c>
      <c r="BF569" t="s">
        <v>1321</v>
      </c>
      <c r="BG569" t="s">
        <v>1321</v>
      </c>
      <c r="CB569" t="s">
        <v>1321</v>
      </c>
      <c r="CD569" t="s">
        <v>1321</v>
      </c>
      <c r="CG569" t="s">
        <v>1321</v>
      </c>
      <c r="EZ569" t="s">
        <v>4569</v>
      </c>
      <c r="FA569" t="s">
        <v>4569</v>
      </c>
      <c r="FM569" t="s">
        <v>4569</v>
      </c>
      <c r="FP569" t="s">
        <v>4569</v>
      </c>
      <c r="FQ569" t="s">
        <v>4569</v>
      </c>
      <c r="FR569" t="s">
        <v>4569</v>
      </c>
      <c r="FS569" t="s">
        <v>4569</v>
      </c>
      <c r="IL569">
        <f t="shared" si="15"/>
        <v>246</v>
      </c>
    </row>
    <row r="570" spans="1:246" outlineLevel="1" x14ac:dyDescent="0.2">
      <c r="A570" t="str">
        <f t="shared" si="14"/>
        <v>Sapefacta Zauberschwamm</v>
      </c>
      <c r="CW570" t="s">
        <v>1321</v>
      </c>
      <c r="CX570" t="s">
        <v>1321</v>
      </c>
      <c r="CY570" t="s">
        <v>1321</v>
      </c>
      <c r="CZ570" t="s">
        <v>1321</v>
      </c>
      <c r="DA570" t="s">
        <v>1321</v>
      </c>
      <c r="DB570" t="s">
        <v>1321</v>
      </c>
      <c r="DF570" t="s">
        <v>1321</v>
      </c>
      <c r="DG570" t="s">
        <v>1321</v>
      </c>
      <c r="DH570" t="s">
        <v>1321</v>
      </c>
      <c r="DI570" t="s">
        <v>1321</v>
      </c>
      <c r="DJ570" t="s">
        <v>1321</v>
      </c>
      <c r="DK570" t="s">
        <v>1321</v>
      </c>
      <c r="DL570" t="s">
        <v>1321</v>
      </c>
      <c r="DM570" t="s">
        <v>1321</v>
      </c>
      <c r="DN570" t="s">
        <v>1321</v>
      </c>
      <c r="DO570" t="s">
        <v>1321</v>
      </c>
      <c r="DP570" t="s">
        <v>1321</v>
      </c>
      <c r="DQ570">
        <v>3</v>
      </c>
      <c r="DR570" t="s">
        <v>1321</v>
      </c>
      <c r="DS570">
        <v>2</v>
      </c>
      <c r="DT570" t="s">
        <v>1321</v>
      </c>
      <c r="DU570" t="s">
        <v>1321</v>
      </c>
      <c r="DV570" t="s">
        <v>1321</v>
      </c>
      <c r="DW570" t="s">
        <v>1321</v>
      </c>
      <c r="DX570" t="s">
        <v>1321</v>
      </c>
      <c r="DY570" t="s">
        <v>1321</v>
      </c>
      <c r="DZ570" t="s">
        <v>1321</v>
      </c>
      <c r="EA570" t="s">
        <v>1321</v>
      </c>
      <c r="EB570" t="s">
        <v>1321</v>
      </c>
      <c r="EC570" t="s">
        <v>1321</v>
      </c>
      <c r="ED570" t="s">
        <v>1321</v>
      </c>
      <c r="EE570" t="s">
        <v>1321</v>
      </c>
      <c r="EF570">
        <v>3</v>
      </c>
      <c r="EG570" t="s">
        <v>1321</v>
      </c>
      <c r="EH570" t="s">
        <v>1321</v>
      </c>
      <c r="EI570" t="s">
        <v>1321</v>
      </c>
      <c r="EJ570" t="s">
        <v>1321</v>
      </c>
      <c r="EK570" t="s">
        <v>1321</v>
      </c>
      <c r="EL570" t="s">
        <v>1321</v>
      </c>
      <c r="EM570" t="s">
        <v>1321</v>
      </c>
      <c r="EN570" t="s">
        <v>1321</v>
      </c>
      <c r="EO570">
        <v>2</v>
      </c>
      <c r="EP570">
        <v>2</v>
      </c>
      <c r="EQ570" t="s">
        <v>1321</v>
      </c>
      <c r="ER570" t="s">
        <v>1321</v>
      </c>
      <c r="ES570" t="s">
        <v>1321</v>
      </c>
      <c r="ET570">
        <v>3</v>
      </c>
      <c r="EU570" t="s">
        <v>1321</v>
      </c>
      <c r="EV570" t="s">
        <v>1321</v>
      </c>
      <c r="EW570" t="s">
        <v>1321</v>
      </c>
      <c r="EY570" t="s">
        <v>1321</v>
      </c>
      <c r="EZ570" t="s">
        <v>1321</v>
      </c>
      <c r="FA570" t="s">
        <v>1321</v>
      </c>
      <c r="FB570" t="s">
        <v>1321</v>
      </c>
      <c r="FC570" t="s">
        <v>1321</v>
      </c>
      <c r="FD570" t="s">
        <v>1321</v>
      </c>
      <c r="FE570" t="s">
        <v>1321</v>
      </c>
      <c r="FF570">
        <v>4</v>
      </c>
      <c r="FG570" t="s">
        <v>1321</v>
      </c>
      <c r="FH570" t="s">
        <v>1321</v>
      </c>
      <c r="FI570" t="s">
        <v>1321</v>
      </c>
      <c r="FJ570" t="s">
        <v>1321</v>
      </c>
      <c r="FK570" t="s">
        <v>1321</v>
      </c>
      <c r="FL570" t="s">
        <v>1321</v>
      </c>
      <c r="FM570" t="s">
        <v>1321</v>
      </c>
      <c r="FN570" t="s">
        <v>1321</v>
      </c>
      <c r="FO570" t="s">
        <v>1321</v>
      </c>
      <c r="FP570" t="s">
        <v>1321</v>
      </c>
      <c r="FQ570" t="s">
        <v>1321</v>
      </c>
      <c r="FR570" t="s">
        <v>1321</v>
      </c>
      <c r="FS570" t="s">
        <v>1321</v>
      </c>
      <c r="FT570" t="s">
        <v>1321</v>
      </c>
      <c r="FX570" t="s">
        <v>1321</v>
      </c>
      <c r="FY570">
        <v>4</v>
      </c>
      <c r="FZ570" t="s">
        <v>1321</v>
      </c>
      <c r="GA570" t="s">
        <v>1321</v>
      </c>
      <c r="GB570">
        <v>3</v>
      </c>
      <c r="GC570" t="s">
        <v>1321</v>
      </c>
      <c r="GD570" t="s">
        <v>1321</v>
      </c>
      <c r="IL570">
        <f t="shared" si="15"/>
        <v>247</v>
      </c>
    </row>
    <row r="571" spans="1:246" outlineLevel="1" x14ac:dyDescent="0.2">
      <c r="A571" t="str">
        <f t="shared" si="14"/>
        <v>Satuarias Herrlichkeit</v>
      </c>
      <c r="AZ571" t="s">
        <v>1321</v>
      </c>
      <c r="BA571" t="s">
        <v>1321</v>
      </c>
      <c r="BB571">
        <v>5</v>
      </c>
      <c r="BD571" t="s">
        <v>1321</v>
      </c>
      <c r="BE571" t="s">
        <v>1321</v>
      </c>
      <c r="BF571" t="s">
        <v>1321</v>
      </c>
      <c r="BG571" t="s">
        <v>1321</v>
      </c>
      <c r="CK571" t="s">
        <v>1321</v>
      </c>
      <c r="EZ571" t="s">
        <v>4569</v>
      </c>
      <c r="FA571" t="s">
        <v>4569</v>
      </c>
      <c r="FM571" t="s">
        <v>4569</v>
      </c>
      <c r="FP571" t="s">
        <v>4569</v>
      </c>
      <c r="FQ571" t="s">
        <v>4569</v>
      </c>
      <c r="FR571" t="s">
        <v>4569</v>
      </c>
      <c r="FS571" t="s">
        <v>4569</v>
      </c>
      <c r="IL571">
        <f t="shared" si="15"/>
        <v>248</v>
      </c>
    </row>
    <row r="572" spans="1:246" outlineLevel="1" x14ac:dyDescent="0.2">
      <c r="A572" t="str">
        <f t="shared" si="14"/>
        <v>Schabernack</v>
      </c>
      <c r="EZ572" t="s">
        <v>4569</v>
      </c>
      <c r="FA572" t="s">
        <v>4569</v>
      </c>
      <c r="FM572" t="s">
        <v>4569</v>
      </c>
      <c r="FP572" t="s">
        <v>4569</v>
      </c>
      <c r="FQ572" t="s">
        <v>4569</v>
      </c>
      <c r="FR572" t="s">
        <v>4569</v>
      </c>
      <c r="FS572" t="s">
        <v>4569</v>
      </c>
      <c r="GF572" t="s">
        <v>2515</v>
      </c>
      <c r="GG572" t="s">
        <v>2515</v>
      </c>
      <c r="GH572" t="s">
        <v>2515</v>
      </c>
      <c r="GI572" t="s">
        <v>2515</v>
      </c>
      <c r="GJ572" t="s">
        <v>2515</v>
      </c>
      <c r="GK572" t="s">
        <v>2515</v>
      </c>
      <c r="GL572" t="s">
        <v>2515</v>
      </c>
      <c r="IL572">
        <f t="shared" si="15"/>
        <v>249</v>
      </c>
    </row>
    <row r="573" spans="1:246" outlineLevel="1" x14ac:dyDescent="0.2">
      <c r="A573" t="str">
        <f t="shared" si="14"/>
        <v>Schadenszauber bannen</v>
      </c>
      <c r="CW573" t="s">
        <v>1321</v>
      </c>
      <c r="CX573" t="s">
        <v>1321</v>
      </c>
      <c r="CY573" t="s">
        <v>1321</v>
      </c>
      <c r="CZ573" t="s">
        <v>1321</v>
      </c>
      <c r="DB573">
        <v>2</v>
      </c>
      <c r="DP573" t="s">
        <v>1321</v>
      </c>
      <c r="DR573" t="s">
        <v>1321</v>
      </c>
      <c r="DS573" t="s">
        <v>1321</v>
      </c>
      <c r="DX573" t="s">
        <v>1321</v>
      </c>
      <c r="EJ573" t="s">
        <v>1321</v>
      </c>
      <c r="EK573" t="s">
        <v>1321</v>
      </c>
      <c r="EL573" t="s">
        <v>1321</v>
      </c>
      <c r="EO573" t="s">
        <v>1321</v>
      </c>
      <c r="EP573" t="s">
        <v>1321</v>
      </c>
      <c r="EQ573" t="s">
        <v>1321</v>
      </c>
      <c r="ER573" t="s">
        <v>1321</v>
      </c>
      <c r="EZ573" t="s">
        <v>4569</v>
      </c>
      <c r="FA573" t="s">
        <v>4569</v>
      </c>
      <c r="FM573" t="s">
        <v>4569</v>
      </c>
      <c r="FP573" t="s">
        <v>4569</v>
      </c>
      <c r="FQ573" t="s">
        <v>4569</v>
      </c>
      <c r="FR573" t="s">
        <v>4569</v>
      </c>
      <c r="FS573" t="s">
        <v>4569</v>
      </c>
      <c r="IL573">
        <f t="shared" si="15"/>
        <v>250</v>
      </c>
    </row>
    <row r="574" spans="1:246" outlineLevel="1" x14ac:dyDescent="0.2">
      <c r="A574" t="str">
        <f t="shared" si="14"/>
        <v>Schelmenkleister</v>
      </c>
      <c r="EZ574" t="s">
        <v>4569</v>
      </c>
      <c r="FA574" t="s">
        <v>4569</v>
      </c>
      <c r="FM574" t="s">
        <v>4569</v>
      </c>
      <c r="FP574" t="s">
        <v>4569</v>
      </c>
      <c r="FQ574" t="s">
        <v>4569</v>
      </c>
      <c r="FR574" t="s">
        <v>4569</v>
      </c>
      <c r="FS574" t="s">
        <v>4569</v>
      </c>
      <c r="GF574" t="s">
        <v>1321</v>
      </c>
      <c r="GG574" t="s">
        <v>1321</v>
      </c>
      <c r="GH574" t="s">
        <v>1321</v>
      </c>
      <c r="GI574" t="s">
        <v>1321</v>
      </c>
      <c r="GJ574">
        <v>3</v>
      </c>
      <c r="GK574" t="s">
        <v>1321</v>
      </c>
      <c r="GL574" t="s">
        <v>1321</v>
      </c>
      <c r="IL574">
        <f t="shared" si="15"/>
        <v>251</v>
      </c>
    </row>
    <row r="575" spans="1:246" outlineLevel="1" x14ac:dyDescent="0.2">
      <c r="A575" t="str">
        <f t="shared" si="14"/>
        <v>Schelmenlaune</v>
      </c>
      <c r="EZ575" t="s">
        <v>4569</v>
      </c>
      <c r="FA575" t="s">
        <v>4569</v>
      </c>
      <c r="FM575" t="s">
        <v>4569</v>
      </c>
      <c r="FP575" t="s">
        <v>4569</v>
      </c>
      <c r="FQ575" t="s">
        <v>4569</v>
      </c>
      <c r="FR575" t="s">
        <v>4569</v>
      </c>
      <c r="FS575" t="s">
        <v>4569</v>
      </c>
      <c r="GH575">
        <v>3</v>
      </c>
      <c r="GK575">
        <v>3</v>
      </c>
      <c r="GL575" t="s">
        <v>1321</v>
      </c>
      <c r="IL575">
        <f t="shared" si="15"/>
        <v>252</v>
      </c>
    </row>
    <row r="576" spans="1:246" outlineLevel="1" x14ac:dyDescent="0.2">
      <c r="A576" t="str">
        <f t="shared" si="14"/>
        <v>Schelmenmaske</v>
      </c>
      <c r="DU576" t="s">
        <v>1321</v>
      </c>
      <c r="EU576" t="s">
        <v>1321</v>
      </c>
      <c r="EZ576" t="s">
        <v>4569</v>
      </c>
      <c r="FA576" t="s">
        <v>4569</v>
      </c>
      <c r="FM576" t="s">
        <v>4569</v>
      </c>
      <c r="FP576" t="s">
        <v>4569</v>
      </c>
      <c r="FQ576" t="s">
        <v>4569</v>
      </c>
      <c r="FR576" t="s">
        <v>4569</v>
      </c>
      <c r="FS576" t="s">
        <v>4569</v>
      </c>
      <c r="GF576" t="s">
        <v>1321</v>
      </c>
      <c r="GG576" t="s">
        <v>1321</v>
      </c>
      <c r="GH576" t="s">
        <v>1321</v>
      </c>
      <c r="GI576">
        <v>2</v>
      </c>
      <c r="GJ576" t="s">
        <v>1321</v>
      </c>
      <c r="GK576" t="s">
        <v>1321</v>
      </c>
      <c r="GL576" t="s">
        <v>1321</v>
      </c>
      <c r="IL576">
        <f t="shared" si="15"/>
        <v>253</v>
      </c>
    </row>
    <row r="577" spans="1:246" outlineLevel="1" x14ac:dyDescent="0.2">
      <c r="A577" t="str">
        <f t="shared" si="14"/>
        <v>Schelmenrausch</v>
      </c>
      <c r="EZ577" t="s">
        <v>4569</v>
      </c>
      <c r="FA577" t="s">
        <v>4569</v>
      </c>
      <c r="FM577" t="s">
        <v>4569</v>
      </c>
      <c r="FP577" t="s">
        <v>4569</v>
      </c>
      <c r="FQ577" t="s">
        <v>4569</v>
      </c>
      <c r="FR577" t="s">
        <v>4569</v>
      </c>
      <c r="FS577" t="s">
        <v>4569</v>
      </c>
      <c r="GF577" t="s">
        <v>1321</v>
      </c>
      <c r="GG577" t="s">
        <v>1321</v>
      </c>
      <c r="GH577" t="s">
        <v>1321</v>
      </c>
      <c r="GI577" t="s">
        <v>1321</v>
      </c>
      <c r="GJ577" t="s">
        <v>1321</v>
      </c>
      <c r="GK577" t="s">
        <v>1321</v>
      </c>
      <c r="GL577" t="s">
        <v>1321</v>
      </c>
      <c r="IL577">
        <f t="shared" si="15"/>
        <v>254</v>
      </c>
    </row>
    <row r="578" spans="1:246" outlineLevel="1" x14ac:dyDescent="0.2">
      <c r="A578" t="str">
        <f t="shared" si="14"/>
        <v>Schlangenruf</v>
      </c>
      <c r="EZ578" t="s">
        <v>4569</v>
      </c>
      <c r="FA578" t="s">
        <v>4569</v>
      </c>
      <c r="FM578" t="s">
        <v>4569</v>
      </c>
      <c r="FP578" t="s">
        <v>4569</v>
      </c>
      <c r="FQ578" t="s">
        <v>4569</v>
      </c>
      <c r="FR578" t="s">
        <v>4569</v>
      </c>
      <c r="FS578" t="s">
        <v>4569</v>
      </c>
      <c r="IL578">
        <f t="shared" si="15"/>
        <v>255</v>
      </c>
    </row>
    <row r="579" spans="1:246" outlineLevel="1" x14ac:dyDescent="0.2">
      <c r="A579" t="str">
        <f t="shared" si="14"/>
        <v>Schleier der Unwissenheit</v>
      </c>
      <c r="AZ579" t="s">
        <v>1321</v>
      </c>
      <c r="BA579" t="s">
        <v>1321</v>
      </c>
      <c r="BB579" t="s">
        <v>2516</v>
      </c>
      <c r="BC579" t="s">
        <v>2514</v>
      </c>
      <c r="BD579" t="s">
        <v>2516</v>
      </c>
      <c r="BE579" t="s">
        <v>2516</v>
      </c>
      <c r="BF579" t="s">
        <v>577</v>
      </c>
      <c r="BG579">
        <v>3</v>
      </c>
      <c r="CW579" t="s">
        <v>1321</v>
      </c>
      <c r="CX579" t="s">
        <v>1321</v>
      </c>
      <c r="CY579" t="s">
        <v>1321</v>
      </c>
      <c r="DB579" t="s">
        <v>1321</v>
      </c>
      <c r="DC579" t="s">
        <v>1321</v>
      </c>
      <c r="DM579" t="s">
        <v>1321</v>
      </c>
      <c r="DN579">
        <v>2</v>
      </c>
      <c r="DO579">
        <v>2</v>
      </c>
      <c r="DP579">
        <v>4</v>
      </c>
      <c r="DQ579" t="s">
        <v>1321</v>
      </c>
      <c r="DS579" t="s">
        <v>1321</v>
      </c>
      <c r="DV579" t="s">
        <v>1321</v>
      </c>
      <c r="DW579" t="s">
        <v>1321</v>
      </c>
      <c r="DX579" t="s">
        <v>1321</v>
      </c>
      <c r="DZ579">
        <v>3</v>
      </c>
      <c r="EA579" t="s">
        <v>1321</v>
      </c>
      <c r="EC579" t="s">
        <v>1321</v>
      </c>
      <c r="ED579" t="s">
        <v>1321</v>
      </c>
      <c r="EF579" t="s">
        <v>1321</v>
      </c>
      <c r="EG579" t="s">
        <v>1321</v>
      </c>
      <c r="EJ579" t="s">
        <v>1321</v>
      </c>
      <c r="EK579" t="s">
        <v>1321</v>
      </c>
      <c r="EL579" t="s">
        <v>1321</v>
      </c>
      <c r="EM579" t="s">
        <v>1321</v>
      </c>
      <c r="EN579" t="s">
        <v>1321</v>
      </c>
      <c r="EO579" t="s">
        <v>1321</v>
      </c>
      <c r="EP579" t="s">
        <v>1321</v>
      </c>
      <c r="EQ579" t="s">
        <v>1321</v>
      </c>
      <c r="ER579">
        <v>2</v>
      </c>
      <c r="ES579" t="s">
        <v>1321</v>
      </c>
      <c r="ET579" t="s">
        <v>1321</v>
      </c>
      <c r="EU579" t="s">
        <v>1321</v>
      </c>
      <c r="EV579" t="s">
        <v>1321</v>
      </c>
      <c r="EZ579" t="s">
        <v>4569</v>
      </c>
      <c r="FA579" t="s">
        <v>4569</v>
      </c>
      <c r="FB579" t="s">
        <v>1321</v>
      </c>
      <c r="FC579" t="s">
        <v>1321</v>
      </c>
      <c r="FG579" t="s">
        <v>1321</v>
      </c>
      <c r="FH579" t="s">
        <v>1321</v>
      </c>
      <c r="FI579" t="s">
        <v>1321</v>
      </c>
      <c r="FJ579" t="s">
        <v>1321</v>
      </c>
      <c r="FK579" t="s">
        <v>1321</v>
      </c>
      <c r="FM579" t="s">
        <v>4569</v>
      </c>
      <c r="FN579" t="s">
        <v>1321</v>
      </c>
      <c r="FP579" t="s">
        <v>1321</v>
      </c>
      <c r="FQ579" t="s">
        <v>1321</v>
      </c>
      <c r="FR579" t="s">
        <v>1321</v>
      </c>
      <c r="FS579" t="s">
        <v>1321</v>
      </c>
      <c r="FU579" t="s">
        <v>4901</v>
      </c>
      <c r="IK579">
        <v>1</v>
      </c>
      <c r="IL579">
        <f t="shared" si="15"/>
        <v>256</v>
      </c>
    </row>
    <row r="580" spans="1:246" outlineLevel="1" x14ac:dyDescent="0.2">
      <c r="A580" t="str">
        <f t="shared" si="14"/>
        <v>Schwarz und Rot</v>
      </c>
      <c r="EA580" t="s">
        <v>1321</v>
      </c>
      <c r="ER580">
        <v>1</v>
      </c>
      <c r="EV580" t="s">
        <v>1321</v>
      </c>
      <c r="EY580" t="s">
        <v>1321</v>
      </c>
      <c r="EZ580" t="s">
        <v>4569</v>
      </c>
      <c r="FA580" t="s">
        <v>4569</v>
      </c>
      <c r="FG580" t="s">
        <v>1321</v>
      </c>
      <c r="FH580" t="s">
        <v>1321</v>
      </c>
      <c r="FI580" t="s">
        <v>1321</v>
      </c>
      <c r="FJ580" t="s">
        <v>1321</v>
      </c>
      <c r="FM580" t="s">
        <v>4569</v>
      </c>
      <c r="FP580" t="s">
        <v>4569</v>
      </c>
      <c r="FQ580" t="s">
        <v>4569</v>
      </c>
      <c r="FR580" t="s">
        <v>4569</v>
      </c>
      <c r="FS580" t="s">
        <v>4569</v>
      </c>
      <c r="IL580">
        <f t="shared" si="15"/>
        <v>257</v>
      </c>
    </row>
    <row r="581" spans="1:246" outlineLevel="1" x14ac:dyDescent="0.2">
      <c r="A581" t="str">
        <f t="shared" si="14"/>
        <v>Schwarzer Schrecken</v>
      </c>
      <c r="CW581" t="s">
        <v>1321</v>
      </c>
      <c r="CX581" t="s">
        <v>2516</v>
      </c>
      <c r="DL581" t="s">
        <v>1321</v>
      </c>
      <c r="DN581">
        <v>2</v>
      </c>
      <c r="DO581">
        <v>2</v>
      </c>
      <c r="EJ581" t="s">
        <v>1321</v>
      </c>
      <c r="EZ581" t="s">
        <v>2516</v>
      </c>
      <c r="FA581" t="s">
        <v>2516</v>
      </c>
      <c r="FG581" t="s">
        <v>1321</v>
      </c>
      <c r="FH581" t="s">
        <v>1321</v>
      </c>
      <c r="FI581" t="s">
        <v>1321</v>
      </c>
      <c r="FJ581" t="s">
        <v>1321</v>
      </c>
      <c r="FM581" t="s">
        <v>4569</v>
      </c>
      <c r="FP581" t="s">
        <v>4569</v>
      </c>
      <c r="FQ581" t="s">
        <v>4569</v>
      </c>
      <c r="FR581" t="s">
        <v>4569</v>
      </c>
      <c r="FS581" t="s">
        <v>4569</v>
      </c>
      <c r="IL581">
        <f t="shared" si="15"/>
        <v>258</v>
      </c>
    </row>
    <row r="582" spans="1:246" outlineLevel="1" x14ac:dyDescent="0.2">
      <c r="A582" t="str">
        <f t="shared" si="14"/>
        <v>Seelenfeuer lichterloh</v>
      </c>
      <c r="EZ582" t="s">
        <v>4569</v>
      </c>
      <c r="FA582" t="s">
        <v>4569</v>
      </c>
      <c r="FM582" t="s">
        <v>4569</v>
      </c>
      <c r="FP582" t="s">
        <v>4569</v>
      </c>
      <c r="FQ582" t="s">
        <v>4569</v>
      </c>
      <c r="FR582" t="s">
        <v>4569</v>
      </c>
      <c r="FS582" t="s">
        <v>4569</v>
      </c>
      <c r="IL582">
        <f t="shared" si="15"/>
        <v>259</v>
      </c>
    </row>
    <row r="583" spans="1:246" outlineLevel="1" x14ac:dyDescent="0.2">
      <c r="A583" t="str">
        <f t="shared" si="14"/>
        <v>Seelentier erkennen</v>
      </c>
      <c r="BA583" t="s">
        <v>1321</v>
      </c>
      <c r="BC583" t="s">
        <v>1321</v>
      </c>
      <c r="BD583" t="s">
        <v>1321</v>
      </c>
      <c r="BE583" t="s">
        <v>1321</v>
      </c>
      <c r="EZ583" t="s">
        <v>4569</v>
      </c>
      <c r="FA583" t="s">
        <v>4569</v>
      </c>
      <c r="FM583" t="s">
        <v>4569</v>
      </c>
      <c r="FP583" t="s">
        <v>4569</v>
      </c>
      <c r="FQ583" t="s">
        <v>4569</v>
      </c>
      <c r="FR583" t="s">
        <v>4569</v>
      </c>
      <c r="FS583" t="s">
        <v>4569</v>
      </c>
      <c r="IL583">
        <f t="shared" si="15"/>
        <v>260</v>
      </c>
    </row>
    <row r="584" spans="1:246" outlineLevel="1" x14ac:dyDescent="0.2">
      <c r="A584" t="str">
        <f t="shared" si="14"/>
        <v>Seelenwanderung</v>
      </c>
      <c r="EZ584" t="s">
        <v>4569</v>
      </c>
      <c r="FA584" t="s">
        <v>4569</v>
      </c>
      <c r="FM584" t="s">
        <v>4569</v>
      </c>
      <c r="FP584" t="s">
        <v>4569</v>
      </c>
      <c r="FQ584" t="s">
        <v>4569</v>
      </c>
      <c r="FR584" t="s">
        <v>4569</v>
      </c>
      <c r="FS584" t="s">
        <v>4569</v>
      </c>
      <c r="IL584">
        <f t="shared" si="15"/>
        <v>261</v>
      </c>
    </row>
    <row r="585" spans="1:246" outlineLevel="1" x14ac:dyDescent="0.2">
      <c r="A585" t="str">
        <f t="shared" si="14"/>
        <v>Seidenweich Schuppengleich</v>
      </c>
      <c r="EZ585" t="s">
        <v>4569</v>
      </c>
      <c r="FA585" t="s">
        <v>4569</v>
      </c>
      <c r="FM585" t="s">
        <v>4569</v>
      </c>
      <c r="FP585" t="s">
        <v>4569</v>
      </c>
      <c r="FQ585" t="s">
        <v>4569</v>
      </c>
      <c r="FR585" t="s">
        <v>4569</v>
      </c>
      <c r="FS585" t="s">
        <v>4569</v>
      </c>
      <c r="GF585" t="s">
        <v>1321</v>
      </c>
      <c r="GG585" t="s">
        <v>1321</v>
      </c>
      <c r="GH585" t="s">
        <v>1321</v>
      </c>
      <c r="GI585" t="s">
        <v>1321</v>
      </c>
      <c r="GJ585" t="s">
        <v>1321</v>
      </c>
      <c r="GK585" t="s">
        <v>1321</v>
      </c>
      <c r="GL585" t="s">
        <v>1321</v>
      </c>
      <c r="IL585">
        <f t="shared" si="15"/>
        <v>262</v>
      </c>
    </row>
    <row r="586" spans="1:246" outlineLevel="1" x14ac:dyDescent="0.2">
      <c r="A586" t="str">
        <f t="shared" si="14"/>
        <v>Seidenzunge Elfenwort</v>
      </c>
      <c r="W586" t="s">
        <v>1321</v>
      </c>
      <c r="AJ586" t="s">
        <v>1321</v>
      </c>
      <c r="AP586" t="s">
        <v>1321</v>
      </c>
      <c r="AQ586" t="s">
        <v>1321</v>
      </c>
      <c r="CF586" t="s">
        <v>1321</v>
      </c>
      <c r="CK586" t="s">
        <v>1321</v>
      </c>
      <c r="EZ586" t="s">
        <v>4569</v>
      </c>
      <c r="FA586" t="s">
        <v>4569</v>
      </c>
      <c r="FM586" t="s">
        <v>4569</v>
      </c>
      <c r="FP586" t="s">
        <v>4569</v>
      </c>
      <c r="FQ586" t="s">
        <v>4569</v>
      </c>
      <c r="FR586" t="s">
        <v>4569</v>
      </c>
      <c r="FS586" t="s">
        <v>4569</v>
      </c>
      <c r="GJ586" t="s">
        <v>1321</v>
      </c>
      <c r="GK586" t="s">
        <v>1321</v>
      </c>
      <c r="IL586">
        <f t="shared" si="15"/>
        <v>263</v>
      </c>
    </row>
    <row r="587" spans="1:246" outlineLevel="1" x14ac:dyDescent="0.2">
      <c r="A587" t="str">
        <f t="shared" si="14"/>
        <v>Sensattacco Meisterstreich</v>
      </c>
      <c r="CB587" t="s">
        <v>1321</v>
      </c>
      <c r="CD587" t="s">
        <v>1321</v>
      </c>
      <c r="CE587" t="s">
        <v>1321</v>
      </c>
      <c r="CF587" t="s">
        <v>1321</v>
      </c>
      <c r="CG587" t="s">
        <v>1321</v>
      </c>
      <c r="CH587" t="s">
        <v>1321</v>
      </c>
      <c r="CI587" t="s">
        <v>1321</v>
      </c>
      <c r="CJ587" t="s">
        <v>1321</v>
      </c>
      <c r="CK587" t="s">
        <v>1321</v>
      </c>
      <c r="CL587" t="s">
        <v>1321</v>
      </c>
      <c r="CW587" t="s">
        <v>1321</v>
      </c>
      <c r="CX587" t="s">
        <v>1321</v>
      </c>
      <c r="ES587" t="s">
        <v>1321</v>
      </c>
      <c r="EZ587" t="s">
        <v>4569</v>
      </c>
      <c r="FA587" t="s">
        <v>4901</v>
      </c>
      <c r="FM587" t="s">
        <v>4569</v>
      </c>
      <c r="FP587" t="s">
        <v>4569</v>
      </c>
      <c r="FQ587" t="s">
        <v>4569</v>
      </c>
      <c r="FR587" t="s">
        <v>4569</v>
      </c>
      <c r="FS587" t="s">
        <v>4569</v>
      </c>
      <c r="IL587">
        <f t="shared" si="15"/>
        <v>264</v>
      </c>
    </row>
    <row r="588" spans="1:246" outlineLevel="1" x14ac:dyDescent="0.2">
      <c r="A588" t="str">
        <f t="shared" si="14"/>
        <v>Sensibar Empathicus</v>
      </c>
      <c r="C588" t="s">
        <v>1321</v>
      </c>
      <c r="D588" t="s">
        <v>1321</v>
      </c>
      <c r="E588" t="s">
        <v>1321</v>
      </c>
      <c r="F588">
        <v>2</v>
      </c>
      <c r="G588" t="s">
        <v>1321</v>
      </c>
      <c r="H588" t="s">
        <v>1321</v>
      </c>
      <c r="I588" t="s">
        <v>1321</v>
      </c>
      <c r="J588" t="s">
        <v>1321</v>
      </c>
      <c r="K588" t="s">
        <v>1321</v>
      </c>
      <c r="L588" t="s">
        <v>1321</v>
      </c>
      <c r="M588" t="s">
        <v>1321</v>
      </c>
      <c r="N588" t="s">
        <v>1321</v>
      </c>
      <c r="P588" t="s">
        <v>1321</v>
      </c>
      <c r="Q588" t="s">
        <v>1321</v>
      </c>
      <c r="R588" t="s">
        <v>1321</v>
      </c>
      <c r="S588" t="s">
        <v>1321</v>
      </c>
      <c r="T588" t="s">
        <v>1321</v>
      </c>
      <c r="U588" t="s">
        <v>1321</v>
      </c>
      <c r="V588" t="s">
        <v>1321</v>
      </c>
      <c r="W588" t="s">
        <v>1321</v>
      </c>
      <c r="X588" t="s">
        <v>1321</v>
      </c>
      <c r="Y588" t="s">
        <v>1321</v>
      </c>
      <c r="Z588" t="s">
        <v>1321</v>
      </c>
      <c r="AA588" t="s">
        <v>1321</v>
      </c>
      <c r="AB588" t="s">
        <v>1321</v>
      </c>
      <c r="AC588" t="s">
        <v>1321</v>
      </c>
      <c r="AD588" t="s">
        <v>1321</v>
      </c>
      <c r="AE588" t="s">
        <v>1321</v>
      </c>
      <c r="AF588" t="s">
        <v>1321</v>
      </c>
      <c r="AG588" t="s">
        <v>1321</v>
      </c>
      <c r="AH588" t="s">
        <v>1321</v>
      </c>
      <c r="AI588" t="s">
        <v>1321</v>
      </c>
      <c r="AJ588" t="s">
        <v>1321</v>
      </c>
      <c r="AK588" t="s">
        <v>1321</v>
      </c>
      <c r="AL588" t="s">
        <v>1321</v>
      </c>
      <c r="AM588" t="s">
        <v>1321</v>
      </c>
      <c r="AN588" t="s">
        <v>1321</v>
      </c>
      <c r="AO588" t="s">
        <v>1321</v>
      </c>
      <c r="AP588" t="s">
        <v>1321</v>
      </c>
      <c r="AQ588" t="s">
        <v>1321</v>
      </c>
      <c r="AR588" t="s">
        <v>1321</v>
      </c>
      <c r="AS588" t="s">
        <v>1321</v>
      </c>
      <c r="AU588" t="s">
        <v>1321</v>
      </c>
      <c r="AV588" t="s">
        <v>1321</v>
      </c>
      <c r="AW588" t="s">
        <v>1321</v>
      </c>
      <c r="AX588" t="s">
        <v>1321</v>
      </c>
      <c r="AZ588" t="s">
        <v>1321</v>
      </c>
      <c r="BA588" t="s">
        <v>1321</v>
      </c>
      <c r="BB588" t="s">
        <v>1321</v>
      </c>
      <c r="BC588">
        <v>3</v>
      </c>
      <c r="BD588" t="s">
        <v>1321</v>
      </c>
      <c r="BE588" t="s">
        <v>4901</v>
      </c>
      <c r="BF588" t="s">
        <v>1321</v>
      </c>
      <c r="BG588">
        <v>4</v>
      </c>
      <c r="BI588" t="s">
        <v>1321</v>
      </c>
      <c r="BJ588" t="s">
        <v>1321</v>
      </c>
      <c r="CB588" t="s">
        <v>1321</v>
      </c>
      <c r="CD588" t="s">
        <v>1321</v>
      </c>
      <c r="CE588" t="s">
        <v>1321</v>
      </c>
      <c r="CF588" t="s">
        <v>1321</v>
      </c>
      <c r="CG588" t="s">
        <v>1321</v>
      </c>
      <c r="CH588" t="s">
        <v>1321</v>
      </c>
      <c r="CI588" t="s">
        <v>1321</v>
      </c>
      <c r="CJ588" t="s">
        <v>1321</v>
      </c>
      <c r="CK588" t="s">
        <v>1321</v>
      </c>
      <c r="CL588" t="s">
        <v>1321</v>
      </c>
      <c r="CW588">
        <v>5</v>
      </c>
      <c r="CX588" t="s">
        <v>1321</v>
      </c>
      <c r="CY588">
        <v>2</v>
      </c>
      <c r="CZ588" t="s">
        <v>1321</v>
      </c>
      <c r="DA588">
        <v>2</v>
      </c>
      <c r="DB588" t="s">
        <v>1321</v>
      </c>
      <c r="DC588" t="s">
        <v>1321</v>
      </c>
      <c r="DD588" t="s">
        <v>2514</v>
      </c>
      <c r="DE588">
        <v>2</v>
      </c>
      <c r="DF588" t="s">
        <v>1321</v>
      </c>
      <c r="DG588" t="s">
        <v>1321</v>
      </c>
      <c r="DH588" t="s">
        <v>1321</v>
      </c>
      <c r="DI588" t="s">
        <v>1321</v>
      </c>
      <c r="DJ588" t="s">
        <v>1321</v>
      </c>
      <c r="DK588" t="s">
        <v>1321</v>
      </c>
      <c r="DL588" t="s">
        <v>2516</v>
      </c>
      <c r="DM588" t="s">
        <v>2515</v>
      </c>
      <c r="DN588" t="s">
        <v>1321</v>
      </c>
      <c r="DO588" t="s">
        <v>2515</v>
      </c>
      <c r="DP588" t="s">
        <v>1321</v>
      </c>
      <c r="DQ588" t="s">
        <v>1321</v>
      </c>
      <c r="DR588" t="s">
        <v>1321</v>
      </c>
      <c r="DS588" t="s">
        <v>1321</v>
      </c>
      <c r="DT588">
        <v>2</v>
      </c>
      <c r="DU588" t="s">
        <v>1321</v>
      </c>
      <c r="DV588" t="s">
        <v>1321</v>
      </c>
      <c r="DW588" t="s">
        <v>1321</v>
      </c>
      <c r="DX588" t="s">
        <v>2515</v>
      </c>
      <c r="DY588" t="s">
        <v>1321</v>
      </c>
      <c r="DZ588" t="s">
        <v>2515</v>
      </c>
      <c r="EA588">
        <v>2</v>
      </c>
      <c r="EB588" t="s">
        <v>2514</v>
      </c>
      <c r="EC588" t="s">
        <v>1321</v>
      </c>
      <c r="ED588" t="s">
        <v>1321</v>
      </c>
      <c r="EE588" t="s">
        <v>2514</v>
      </c>
      <c r="EF588" t="s">
        <v>2515</v>
      </c>
      <c r="EG588" t="s">
        <v>1321</v>
      </c>
      <c r="EH588" t="s">
        <v>1321</v>
      </c>
      <c r="EI588" t="s">
        <v>1321</v>
      </c>
      <c r="EJ588" t="s">
        <v>1321</v>
      </c>
      <c r="EK588" t="s">
        <v>1321</v>
      </c>
      <c r="EL588" t="s">
        <v>1321</v>
      </c>
      <c r="EM588" t="s">
        <v>1321</v>
      </c>
      <c r="EN588" t="s">
        <v>1321</v>
      </c>
      <c r="EO588" t="s">
        <v>2515</v>
      </c>
      <c r="EP588" t="s">
        <v>1321</v>
      </c>
      <c r="EQ588" t="s">
        <v>2515</v>
      </c>
      <c r="ER588" t="s">
        <v>1321</v>
      </c>
      <c r="ES588" t="s">
        <v>2516</v>
      </c>
      <c r="ET588">
        <v>6</v>
      </c>
      <c r="EU588" t="s">
        <v>1321</v>
      </c>
      <c r="EV588" t="s">
        <v>1321</v>
      </c>
      <c r="EW588" t="s">
        <v>1321</v>
      </c>
      <c r="EY588" t="s">
        <v>1321</v>
      </c>
      <c r="EZ588" t="s">
        <v>1321</v>
      </c>
      <c r="FA588" t="s">
        <v>1321</v>
      </c>
      <c r="FB588" t="s">
        <v>1321</v>
      </c>
      <c r="FC588" t="s">
        <v>1321</v>
      </c>
      <c r="FD588" t="s">
        <v>1321</v>
      </c>
      <c r="FE588">
        <v>4</v>
      </c>
      <c r="FF588" t="s">
        <v>1321</v>
      </c>
      <c r="FG588" t="s">
        <v>1321</v>
      </c>
      <c r="FH588" t="s">
        <v>1321</v>
      </c>
      <c r="FI588" t="s">
        <v>1321</v>
      </c>
      <c r="FJ588" t="s">
        <v>1321</v>
      </c>
      <c r="FK588" t="s">
        <v>1321</v>
      </c>
      <c r="FL588" t="s">
        <v>1321</v>
      </c>
      <c r="FM588" t="s">
        <v>1321</v>
      </c>
      <c r="FN588" t="s">
        <v>1321</v>
      </c>
      <c r="FO588" t="s">
        <v>1321</v>
      </c>
      <c r="FP588" t="s">
        <v>1321</v>
      </c>
      <c r="FQ588" t="s">
        <v>1321</v>
      </c>
      <c r="FR588" t="s">
        <v>1321</v>
      </c>
      <c r="FS588" t="s">
        <v>1321</v>
      </c>
      <c r="FT588" t="s">
        <v>2515</v>
      </c>
      <c r="FU588" t="s">
        <v>1321</v>
      </c>
      <c r="FV588" t="s">
        <v>1321</v>
      </c>
      <c r="FX588" t="s">
        <v>1321</v>
      </c>
      <c r="FY588" t="s">
        <v>1321</v>
      </c>
      <c r="FZ588">
        <v>3</v>
      </c>
      <c r="GA588" t="s">
        <v>2514</v>
      </c>
      <c r="GB588" t="s">
        <v>2515</v>
      </c>
      <c r="GC588" t="s">
        <v>1321</v>
      </c>
      <c r="GD588" t="s">
        <v>2514</v>
      </c>
      <c r="GF588" t="s">
        <v>1321</v>
      </c>
      <c r="GG588" t="s">
        <v>1321</v>
      </c>
      <c r="GH588" t="s">
        <v>1321</v>
      </c>
      <c r="GI588" t="s">
        <v>1321</v>
      </c>
      <c r="GJ588" t="s">
        <v>1321</v>
      </c>
      <c r="GK588" t="s">
        <v>1321</v>
      </c>
      <c r="GL588" t="s">
        <v>1321</v>
      </c>
      <c r="HB588" t="s">
        <v>1321</v>
      </c>
      <c r="HD588" t="s">
        <v>1321</v>
      </c>
      <c r="HF588" t="s">
        <v>1321</v>
      </c>
      <c r="HH588" t="s">
        <v>1321</v>
      </c>
      <c r="HJ588" t="s">
        <v>1321</v>
      </c>
      <c r="HL588" t="s">
        <v>1321</v>
      </c>
      <c r="HN588" t="s">
        <v>1321</v>
      </c>
      <c r="HP588" t="s">
        <v>1321</v>
      </c>
      <c r="HQ588" t="s">
        <v>1321</v>
      </c>
      <c r="HS588" t="s">
        <v>1321</v>
      </c>
      <c r="HU588" t="s">
        <v>1321</v>
      </c>
      <c r="HW588" t="s">
        <v>1321</v>
      </c>
      <c r="HY588" t="s">
        <v>1321</v>
      </c>
      <c r="IA588" t="s">
        <v>1321</v>
      </c>
      <c r="IC588" t="s">
        <v>1321</v>
      </c>
      <c r="ID588" t="s">
        <v>1321</v>
      </c>
      <c r="IG588" t="s">
        <v>1321</v>
      </c>
      <c r="II588" t="s">
        <v>1321</v>
      </c>
      <c r="IL588">
        <f t="shared" si="15"/>
        <v>265</v>
      </c>
    </row>
    <row r="589" spans="1:246" outlineLevel="1" x14ac:dyDescent="0.2">
      <c r="A589" t="str">
        <f t="shared" si="14"/>
        <v>Serpentialis Schlangenleib</v>
      </c>
      <c r="BI589" t="s">
        <v>1321</v>
      </c>
      <c r="BJ589" t="s">
        <v>1321</v>
      </c>
      <c r="EZ589" t="s">
        <v>4901</v>
      </c>
      <c r="FA589" t="s">
        <v>4569</v>
      </c>
      <c r="FM589" t="s">
        <v>4569</v>
      </c>
      <c r="FP589" t="s">
        <v>4569</v>
      </c>
      <c r="FQ589" t="s">
        <v>4569</v>
      </c>
      <c r="FR589" t="s">
        <v>4569</v>
      </c>
      <c r="FS589" t="s">
        <v>4569</v>
      </c>
      <c r="IL589">
        <f t="shared" si="15"/>
        <v>266</v>
      </c>
    </row>
    <row r="590" spans="1:246" outlineLevel="1" x14ac:dyDescent="0.2">
      <c r="A590" t="str">
        <f t="shared" si="14"/>
        <v>Silentium Silentille</v>
      </c>
      <c r="P590" t="s">
        <v>1321</v>
      </c>
      <c r="Q590" t="s">
        <v>1321</v>
      </c>
      <c r="R590" t="s">
        <v>1321</v>
      </c>
      <c r="S590" t="s">
        <v>1321</v>
      </c>
      <c r="T590" t="s">
        <v>1321</v>
      </c>
      <c r="U590" t="s">
        <v>1321</v>
      </c>
      <c r="V590" t="s">
        <v>1321</v>
      </c>
      <c r="W590" t="s">
        <v>1321</v>
      </c>
      <c r="X590" t="s">
        <v>1321</v>
      </c>
      <c r="Y590" t="s">
        <v>1321</v>
      </c>
      <c r="Z590" t="s">
        <v>1321</v>
      </c>
      <c r="AA590" t="s">
        <v>1321</v>
      </c>
      <c r="AB590" t="s">
        <v>1321</v>
      </c>
      <c r="AC590" t="s">
        <v>1321</v>
      </c>
      <c r="AD590" t="s">
        <v>1321</v>
      </c>
      <c r="AE590" t="s">
        <v>1321</v>
      </c>
      <c r="AF590" t="s">
        <v>1321</v>
      </c>
      <c r="AG590" t="s">
        <v>1321</v>
      </c>
      <c r="AH590" t="s">
        <v>1321</v>
      </c>
      <c r="AI590" t="s">
        <v>1321</v>
      </c>
      <c r="AJ590" t="s">
        <v>1321</v>
      </c>
      <c r="AK590" t="s">
        <v>1321</v>
      </c>
      <c r="AL590" t="s">
        <v>1321</v>
      </c>
      <c r="AM590" t="s">
        <v>1321</v>
      </c>
      <c r="AN590" t="s">
        <v>1321</v>
      </c>
      <c r="AO590" t="s">
        <v>1321</v>
      </c>
      <c r="AP590" t="s">
        <v>1321</v>
      </c>
      <c r="AQ590" t="s">
        <v>1321</v>
      </c>
      <c r="AR590" t="s">
        <v>1321</v>
      </c>
      <c r="AS590" t="s">
        <v>1321</v>
      </c>
      <c r="AU590" t="s">
        <v>1321</v>
      </c>
      <c r="AV590" t="s">
        <v>1321</v>
      </c>
      <c r="AW590" t="s">
        <v>1321</v>
      </c>
      <c r="AX590" t="s">
        <v>1321</v>
      </c>
      <c r="BG590" t="s">
        <v>1321</v>
      </c>
      <c r="CU590" t="s">
        <v>4901</v>
      </c>
      <c r="CW590" t="s">
        <v>1321</v>
      </c>
      <c r="CX590" t="s">
        <v>1321</v>
      </c>
      <c r="CY590" t="s">
        <v>1321</v>
      </c>
      <c r="CZ590" t="s">
        <v>1321</v>
      </c>
      <c r="DA590" t="s">
        <v>1321</v>
      </c>
      <c r="DB590" t="s">
        <v>1321</v>
      </c>
      <c r="DC590" t="s">
        <v>1321</v>
      </c>
      <c r="DD590" t="s">
        <v>1321</v>
      </c>
      <c r="DE590" t="s">
        <v>1321</v>
      </c>
      <c r="DF590" t="s">
        <v>1321</v>
      </c>
      <c r="DG590" t="s">
        <v>1321</v>
      </c>
      <c r="DH590" t="s">
        <v>1321</v>
      </c>
      <c r="DI590" t="s">
        <v>1321</v>
      </c>
      <c r="DJ590" t="s">
        <v>1321</v>
      </c>
      <c r="DK590" t="s">
        <v>1321</v>
      </c>
      <c r="DL590" t="s">
        <v>1321</v>
      </c>
      <c r="DM590" t="s">
        <v>1321</v>
      </c>
      <c r="DN590" t="s">
        <v>1321</v>
      </c>
      <c r="DO590" t="s">
        <v>1321</v>
      </c>
      <c r="DP590" t="s">
        <v>1321</v>
      </c>
      <c r="DQ590" t="s">
        <v>2515</v>
      </c>
      <c r="DR590" t="s">
        <v>1321</v>
      </c>
      <c r="DS590">
        <v>2</v>
      </c>
      <c r="DT590" t="s">
        <v>1321</v>
      </c>
      <c r="DU590" t="s">
        <v>1321</v>
      </c>
      <c r="DV590" t="s">
        <v>1321</v>
      </c>
      <c r="DW590" t="s">
        <v>1321</v>
      </c>
      <c r="DY590" t="s">
        <v>1321</v>
      </c>
      <c r="DZ590" t="s">
        <v>1321</v>
      </c>
      <c r="EA590" t="s">
        <v>1321</v>
      </c>
      <c r="EB590" t="s">
        <v>1321</v>
      </c>
      <c r="EC590" t="s">
        <v>1321</v>
      </c>
      <c r="ED590">
        <v>4</v>
      </c>
      <c r="EE590" t="s">
        <v>1321</v>
      </c>
      <c r="EF590" t="s">
        <v>1321</v>
      </c>
      <c r="EG590" t="s">
        <v>2514</v>
      </c>
      <c r="EH590" t="s">
        <v>2516</v>
      </c>
      <c r="EI590" t="s">
        <v>2516</v>
      </c>
      <c r="EJ590" t="s">
        <v>1321</v>
      </c>
      <c r="EK590" t="s">
        <v>1321</v>
      </c>
      <c r="EL590" t="s">
        <v>1321</v>
      </c>
      <c r="EM590" t="s">
        <v>1321</v>
      </c>
      <c r="EN590" t="s">
        <v>1321</v>
      </c>
      <c r="EO590" t="s">
        <v>1321</v>
      </c>
      <c r="EP590" t="s">
        <v>1321</v>
      </c>
      <c r="EQ590" t="s">
        <v>1321</v>
      </c>
      <c r="ER590" t="s">
        <v>1321</v>
      </c>
      <c r="ES590" t="s">
        <v>1321</v>
      </c>
      <c r="ET590" t="s">
        <v>1321</v>
      </c>
      <c r="EU590" t="s">
        <v>1321</v>
      </c>
      <c r="EV590" t="s">
        <v>1321</v>
      </c>
      <c r="EW590" t="s">
        <v>1321</v>
      </c>
      <c r="EY590" t="s">
        <v>1321</v>
      </c>
      <c r="EZ590">
        <v>3</v>
      </c>
      <c r="FA590">
        <v>3</v>
      </c>
      <c r="FB590" t="s">
        <v>1321</v>
      </c>
      <c r="FC590" t="s">
        <v>1321</v>
      </c>
      <c r="FD590" t="s">
        <v>1321</v>
      </c>
      <c r="FE590" t="s">
        <v>1321</v>
      </c>
      <c r="FF590" t="s">
        <v>1321</v>
      </c>
      <c r="FG590" t="s">
        <v>1321</v>
      </c>
      <c r="FH590">
        <v>4</v>
      </c>
      <c r="FI590" t="s">
        <v>1321</v>
      </c>
      <c r="FJ590" t="s">
        <v>1321</v>
      </c>
      <c r="FK590" t="s">
        <v>1321</v>
      </c>
      <c r="FL590" t="s">
        <v>1321</v>
      </c>
      <c r="FM590" t="s">
        <v>1321</v>
      </c>
      <c r="FN590" t="s">
        <v>1321</v>
      </c>
      <c r="FO590" t="s">
        <v>1321</v>
      </c>
      <c r="FP590" t="s">
        <v>1321</v>
      </c>
      <c r="FQ590" t="s">
        <v>1321</v>
      </c>
      <c r="FR590" t="s">
        <v>1321</v>
      </c>
      <c r="FS590" t="s">
        <v>1321</v>
      </c>
      <c r="FT590" t="s">
        <v>1321</v>
      </c>
      <c r="FX590" t="s">
        <v>1321</v>
      </c>
      <c r="FY590">
        <v>4</v>
      </c>
      <c r="FZ590" t="s">
        <v>1321</v>
      </c>
      <c r="GA590" t="s">
        <v>1321</v>
      </c>
      <c r="GB590" t="s">
        <v>1321</v>
      </c>
      <c r="GC590">
        <v>2</v>
      </c>
      <c r="GD590" t="s">
        <v>1321</v>
      </c>
      <c r="GF590" t="s">
        <v>1321</v>
      </c>
      <c r="GG590" t="s">
        <v>1321</v>
      </c>
      <c r="GH590" t="s">
        <v>1321</v>
      </c>
      <c r="GI590" t="s">
        <v>1321</v>
      </c>
      <c r="GJ590" t="s">
        <v>1321</v>
      </c>
      <c r="GK590" t="s">
        <v>1321</v>
      </c>
      <c r="GL590" t="s">
        <v>1321</v>
      </c>
      <c r="IL590">
        <f t="shared" si="15"/>
        <v>267</v>
      </c>
    </row>
    <row r="591" spans="1:246" outlineLevel="1" x14ac:dyDescent="0.2">
      <c r="A591" t="str">
        <f t="shared" si="14"/>
        <v>Sinesigil unerkannt</v>
      </c>
      <c r="CW591" t="s">
        <v>1321</v>
      </c>
      <c r="CX591" t="s">
        <v>1321</v>
      </c>
      <c r="EZ591" t="s">
        <v>4569</v>
      </c>
      <c r="FA591" t="s">
        <v>4569</v>
      </c>
      <c r="FM591" t="s">
        <v>4569</v>
      </c>
      <c r="FP591" t="s">
        <v>4569</v>
      </c>
      <c r="FQ591" t="s">
        <v>4569</v>
      </c>
      <c r="FR591" t="s">
        <v>4569</v>
      </c>
      <c r="FS591" t="s">
        <v>4569</v>
      </c>
      <c r="IL591">
        <f t="shared" si="15"/>
        <v>268</v>
      </c>
    </row>
    <row r="592" spans="1:246" outlineLevel="1" x14ac:dyDescent="0.2">
      <c r="A592" t="str">
        <f t="shared" si="14"/>
        <v>Skelettarius Totenherr</v>
      </c>
      <c r="CY592" t="s">
        <v>1321</v>
      </c>
      <c r="DC592" t="s">
        <v>2515</v>
      </c>
      <c r="DN592" t="s">
        <v>1321</v>
      </c>
      <c r="DO592" t="s">
        <v>1321</v>
      </c>
      <c r="DP592" t="s">
        <v>1321</v>
      </c>
      <c r="DQ592" t="s">
        <v>1321</v>
      </c>
      <c r="DS592" t="s">
        <v>1321</v>
      </c>
      <c r="DV592" t="s">
        <v>1321</v>
      </c>
      <c r="DW592" t="s">
        <v>1321</v>
      </c>
      <c r="EA592" t="s">
        <v>1321</v>
      </c>
      <c r="EC592" t="s">
        <v>1321</v>
      </c>
      <c r="ED592" t="s">
        <v>1321</v>
      </c>
      <c r="EF592" t="s">
        <v>1321</v>
      </c>
      <c r="EJ592" t="s">
        <v>1321</v>
      </c>
      <c r="EK592" t="s">
        <v>1321</v>
      </c>
      <c r="EL592" t="s">
        <v>1321</v>
      </c>
      <c r="EM592" t="s">
        <v>2516</v>
      </c>
      <c r="EN592" t="s">
        <v>1321</v>
      </c>
      <c r="EZ592" t="s">
        <v>4569</v>
      </c>
      <c r="FA592" t="s">
        <v>4569</v>
      </c>
      <c r="FB592" t="s">
        <v>1321</v>
      </c>
      <c r="FC592" t="s">
        <v>1321</v>
      </c>
      <c r="FG592" t="s">
        <v>1321</v>
      </c>
      <c r="FH592" t="s">
        <v>1321</v>
      </c>
      <c r="FI592" t="s">
        <v>1321</v>
      </c>
      <c r="FJ592" t="s">
        <v>1321</v>
      </c>
      <c r="FK592" t="s">
        <v>1321</v>
      </c>
      <c r="FM592" t="s">
        <v>4569</v>
      </c>
      <c r="FN592" t="s">
        <v>1321</v>
      </c>
      <c r="FP592" t="s">
        <v>1321</v>
      </c>
      <c r="FQ592" t="s">
        <v>1321</v>
      </c>
      <c r="FR592" t="s">
        <v>1321</v>
      </c>
      <c r="FS592" t="s">
        <v>1321</v>
      </c>
      <c r="IL592">
        <f t="shared" si="15"/>
        <v>269</v>
      </c>
    </row>
    <row r="593" spans="1:246" outlineLevel="1" x14ac:dyDescent="0.2">
      <c r="A593" t="str">
        <f t="shared" si="14"/>
        <v>Solidirid Weg aus Licht</v>
      </c>
      <c r="P593" t="s">
        <v>1321</v>
      </c>
      <c r="Q593" t="s">
        <v>1321</v>
      </c>
      <c r="R593" t="s">
        <v>1321</v>
      </c>
      <c r="S593" t="s">
        <v>1321</v>
      </c>
      <c r="T593" t="s">
        <v>1321</v>
      </c>
      <c r="U593" t="s">
        <v>1321</v>
      </c>
      <c r="V593" t="s">
        <v>1321</v>
      </c>
      <c r="W593" t="s">
        <v>1321</v>
      </c>
      <c r="X593" t="s">
        <v>1321</v>
      </c>
      <c r="Y593" t="s">
        <v>1321</v>
      </c>
      <c r="Z593" t="s">
        <v>1321</v>
      </c>
      <c r="AA593" t="s">
        <v>1321</v>
      </c>
      <c r="AB593" t="s">
        <v>1321</v>
      </c>
      <c r="AC593" t="s">
        <v>1321</v>
      </c>
      <c r="AD593" t="s">
        <v>1321</v>
      </c>
      <c r="AE593" t="s">
        <v>1321</v>
      </c>
      <c r="AF593" t="s">
        <v>1321</v>
      </c>
      <c r="AG593" t="s">
        <v>1321</v>
      </c>
      <c r="AH593" t="s">
        <v>1321</v>
      </c>
      <c r="AI593" t="s">
        <v>1321</v>
      </c>
      <c r="AJ593" t="s">
        <v>1321</v>
      </c>
      <c r="AK593" t="s">
        <v>1321</v>
      </c>
      <c r="AL593" t="s">
        <v>1321</v>
      </c>
      <c r="AM593" t="s">
        <v>1321</v>
      </c>
      <c r="AN593" t="s">
        <v>1321</v>
      </c>
      <c r="AO593" t="s">
        <v>1321</v>
      </c>
      <c r="AP593" t="s">
        <v>1321</v>
      </c>
      <c r="AQ593" t="s">
        <v>1321</v>
      </c>
      <c r="AR593" t="s">
        <v>1321</v>
      </c>
      <c r="AS593" t="s">
        <v>1321</v>
      </c>
      <c r="CU593">
        <v>3</v>
      </c>
      <c r="DA593" t="s">
        <v>1321</v>
      </c>
      <c r="DT593" t="s">
        <v>577</v>
      </c>
      <c r="EH593" t="s">
        <v>2516</v>
      </c>
      <c r="EI593" t="s">
        <v>2516</v>
      </c>
      <c r="EZ593" t="s">
        <v>4569</v>
      </c>
      <c r="FA593" t="s">
        <v>4569</v>
      </c>
      <c r="FM593" t="s">
        <v>4569</v>
      </c>
      <c r="FP593" t="s">
        <v>4569</v>
      </c>
      <c r="FQ593" t="s">
        <v>4569</v>
      </c>
      <c r="FR593" t="s">
        <v>4569</v>
      </c>
      <c r="FS593" t="s">
        <v>4569</v>
      </c>
      <c r="IL593">
        <f t="shared" si="15"/>
        <v>270</v>
      </c>
    </row>
    <row r="594" spans="1:246" outlineLevel="1" x14ac:dyDescent="0.2">
      <c r="A594" t="str">
        <f t="shared" si="14"/>
        <v>Somnigravis tiefer Schlaf</v>
      </c>
      <c r="P594" t="s">
        <v>1321</v>
      </c>
      <c r="Q594" t="s">
        <v>1321</v>
      </c>
      <c r="R594" t="s">
        <v>1321</v>
      </c>
      <c r="S594" t="s">
        <v>1321</v>
      </c>
      <c r="T594" t="s">
        <v>1321</v>
      </c>
      <c r="U594" t="s">
        <v>1321</v>
      </c>
      <c r="V594" t="s">
        <v>1321</v>
      </c>
      <c r="W594" t="s">
        <v>1321</v>
      </c>
      <c r="X594" t="s">
        <v>1321</v>
      </c>
      <c r="Y594" t="s">
        <v>1321</v>
      </c>
      <c r="Z594" t="s">
        <v>1321</v>
      </c>
      <c r="AA594" t="s">
        <v>1321</v>
      </c>
      <c r="AB594" t="s">
        <v>1321</v>
      </c>
      <c r="AC594" t="s">
        <v>1321</v>
      </c>
      <c r="AD594" t="s">
        <v>1321</v>
      </c>
      <c r="AE594" t="s">
        <v>1321</v>
      </c>
      <c r="AF594" t="s">
        <v>1321</v>
      </c>
      <c r="AG594" t="s">
        <v>1321</v>
      </c>
      <c r="AH594" t="s">
        <v>1321</v>
      </c>
      <c r="AI594" t="s">
        <v>1321</v>
      </c>
      <c r="AJ594" t="s">
        <v>1321</v>
      </c>
      <c r="AK594" t="s">
        <v>1321</v>
      </c>
      <c r="AL594" t="s">
        <v>1321</v>
      </c>
      <c r="AM594" t="s">
        <v>1321</v>
      </c>
      <c r="AN594" t="s">
        <v>1321</v>
      </c>
      <c r="AO594" t="s">
        <v>1321</v>
      </c>
      <c r="AP594" t="s">
        <v>1321</v>
      </c>
      <c r="AQ594" t="s">
        <v>1321</v>
      </c>
      <c r="AR594" t="s">
        <v>1321</v>
      </c>
      <c r="AS594" t="s">
        <v>1321</v>
      </c>
      <c r="BB594" t="s">
        <v>1321</v>
      </c>
      <c r="BF594" t="s">
        <v>1321</v>
      </c>
      <c r="CW594" t="s">
        <v>1321</v>
      </c>
      <c r="CX594" t="s">
        <v>1321</v>
      </c>
      <c r="CY594" t="s">
        <v>1321</v>
      </c>
      <c r="DA594" t="s">
        <v>1321</v>
      </c>
      <c r="DB594" t="s">
        <v>1321</v>
      </c>
      <c r="DC594" t="s">
        <v>1321</v>
      </c>
      <c r="DD594" t="s">
        <v>1321</v>
      </c>
      <c r="DE594" t="s">
        <v>1321</v>
      </c>
      <c r="DF594" t="s">
        <v>1321</v>
      </c>
      <c r="DG594" t="s">
        <v>1321</v>
      </c>
      <c r="DH594" t="s">
        <v>1321</v>
      </c>
      <c r="DI594" t="s">
        <v>1321</v>
      </c>
      <c r="DJ594" t="s">
        <v>1321</v>
      </c>
      <c r="DK594" t="s">
        <v>1321</v>
      </c>
      <c r="DL594" t="s">
        <v>1321</v>
      </c>
      <c r="DM594" t="s">
        <v>2515</v>
      </c>
      <c r="DN594" t="s">
        <v>2514</v>
      </c>
      <c r="DO594">
        <v>2</v>
      </c>
      <c r="DP594" t="s">
        <v>1321</v>
      </c>
      <c r="DQ594" t="s">
        <v>1321</v>
      </c>
      <c r="DT594">
        <v>1</v>
      </c>
      <c r="DU594" t="s">
        <v>1321</v>
      </c>
      <c r="DV594" t="s">
        <v>1321</v>
      </c>
      <c r="DW594" t="s">
        <v>1321</v>
      </c>
      <c r="DX594" t="s">
        <v>1321</v>
      </c>
      <c r="DY594" t="s">
        <v>1321</v>
      </c>
      <c r="DZ594" t="s">
        <v>2515</v>
      </c>
      <c r="EA594" t="s">
        <v>1321</v>
      </c>
      <c r="EB594" t="s">
        <v>1321</v>
      </c>
      <c r="EC594" t="s">
        <v>1321</v>
      </c>
      <c r="ED594" t="s">
        <v>1321</v>
      </c>
      <c r="EE594" t="s">
        <v>2515</v>
      </c>
      <c r="EG594" t="s">
        <v>1321</v>
      </c>
      <c r="EH594" t="s">
        <v>1321</v>
      </c>
      <c r="EI594" t="s">
        <v>1321</v>
      </c>
      <c r="EJ594" t="s">
        <v>1321</v>
      </c>
      <c r="EK594" t="s">
        <v>1321</v>
      </c>
      <c r="EL594" t="s">
        <v>1321</v>
      </c>
      <c r="EM594" t="s">
        <v>1321</v>
      </c>
      <c r="EN594" t="s">
        <v>1321</v>
      </c>
      <c r="EO594" t="s">
        <v>1321</v>
      </c>
      <c r="EP594" t="s">
        <v>1321</v>
      </c>
      <c r="ER594" t="s">
        <v>1321</v>
      </c>
      <c r="ES594" t="s">
        <v>1321</v>
      </c>
      <c r="ET594" t="s">
        <v>1321</v>
      </c>
      <c r="EU594" t="s">
        <v>1321</v>
      </c>
      <c r="EV594" t="s">
        <v>1321</v>
      </c>
      <c r="EW594" t="s">
        <v>1321</v>
      </c>
      <c r="EY594" t="s">
        <v>1321</v>
      </c>
      <c r="EZ594">
        <v>3</v>
      </c>
      <c r="FA594">
        <v>3</v>
      </c>
      <c r="FB594" t="s">
        <v>1321</v>
      </c>
      <c r="FC594" t="s">
        <v>1321</v>
      </c>
      <c r="FD594" t="s">
        <v>1321</v>
      </c>
      <c r="FE594" t="s">
        <v>1321</v>
      </c>
      <c r="FF594" t="s">
        <v>1321</v>
      </c>
      <c r="FG594" t="s">
        <v>1321</v>
      </c>
      <c r="FH594" t="s">
        <v>1321</v>
      </c>
      <c r="FI594" t="s">
        <v>1321</v>
      </c>
      <c r="FJ594" t="s">
        <v>1321</v>
      </c>
      <c r="FK594" t="s">
        <v>1321</v>
      </c>
      <c r="FM594" t="s">
        <v>1321</v>
      </c>
      <c r="FO594" t="s">
        <v>1321</v>
      </c>
      <c r="FP594" t="s">
        <v>1321</v>
      </c>
      <c r="FQ594" t="s">
        <v>1321</v>
      </c>
      <c r="FR594" t="s">
        <v>1321</v>
      </c>
      <c r="FS594" t="s">
        <v>1321</v>
      </c>
      <c r="FT594" t="s">
        <v>1321</v>
      </c>
      <c r="IL594">
        <f t="shared" si="15"/>
        <v>271</v>
      </c>
    </row>
    <row r="595" spans="1:246" outlineLevel="1" x14ac:dyDescent="0.2">
      <c r="A595" t="str">
        <f t="shared" ref="A595:A626" si="16">INDEX(ZAUBER,$IL595)</f>
        <v>Spinnenlauf</v>
      </c>
      <c r="AZ595" t="s">
        <v>1321</v>
      </c>
      <c r="BA595" t="s">
        <v>1321</v>
      </c>
      <c r="BB595" t="s">
        <v>2516</v>
      </c>
      <c r="BC595" t="s">
        <v>2514</v>
      </c>
      <c r="BD595" t="s">
        <v>1321</v>
      </c>
      <c r="BE595" t="s">
        <v>1321</v>
      </c>
      <c r="BF595" t="s">
        <v>4901</v>
      </c>
      <c r="BG595" t="s">
        <v>2516</v>
      </c>
      <c r="CB595" t="s">
        <v>1321</v>
      </c>
      <c r="CE595" t="s">
        <v>1321</v>
      </c>
      <c r="CG595" t="s">
        <v>1321</v>
      </c>
      <c r="EZ595" t="s">
        <v>4569</v>
      </c>
      <c r="FA595" t="s">
        <v>4569</v>
      </c>
      <c r="FM595" t="s">
        <v>4569</v>
      </c>
      <c r="FP595" t="s">
        <v>4569</v>
      </c>
      <c r="FQ595" t="s">
        <v>4569</v>
      </c>
      <c r="FR595" t="s">
        <v>4569</v>
      </c>
      <c r="FS595" t="s">
        <v>4569</v>
      </c>
      <c r="IL595">
        <f t="shared" ref="IL595:IL661" si="17">ROW()-$IL$323</f>
        <v>272</v>
      </c>
    </row>
    <row r="596" spans="1:246" outlineLevel="1" x14ac:dyDescent="0.2">
      <c r="A596" t="str">
        <f t="shared" si="16"/>
        <v>Spinnenruf</v>
      </c>
      <c r="EZ596" t="s">
        <v>4569</v>
      </c>
      <c r="FA596" t="s">
        <v>4569</v>
      </c>
      <c r="FM596" t="s">
        <v>4569</v>
      </c>
      <c r="FP596" t="s">
        <v>4569</v>
      </c>
      <c r="FQ596" t="s">
        <v>4569</v>
      </c>
      <c r="FR596" t="s">
        <v>4569</v>
      </c>
      <c r="FS596" t="s">
        <v>4569</v>
      </c>
      <c r="IL596">
        <f t="shared" si="17"/>
        <v>273</v>
      </c>
    </row>
    <row r="597" spans="1:246" outlineLevel="1" x14ac:dyDescent="0.2">
      <c r="A597" t="str">
        <f t="shared" si="16"/>
        <v>Spurlos Trittlos</v>
      </c>
      <c r="P597" t="s">
        <v>1321</v>
      </c>
      <c r="Q597" t="s">
        <v>1321</v>
      </c>
      <c r="R597" t="s">
        <v>1321</v>
      </c>
      <c r="S597" t="s">
        <v>1321</v>
      </c>
      <c r="T597" t="s">
        <v>1321</v>
      </c>
      <c r="U597" t="s">
        <v>1321</v>
      </c>
      <c r="V597" t="s">
        <v>1321</v>
      </c>
      <c r="W597" t="s">
        <v>1321</v>
      </c>
      <c r="X597" t="s">
        <v>1321</v>
      </c>
      <c r="Y597" t="s">
        <v>1321</v>
      </c>
      <c r="Z597" t="s">
        <v>1321</v>
      </c>
      <c r="AA597" t="s">
        <v>1321</v>
      </c>
      <c r="AB597" t="s">
        <v>1321</v>
      </c>
      <c r="AC597" t="s">
        <v>1321</v>
      </c>
      <c r="AD597" t="s">
        <v>1321</v>
      </c>
      <c r="AE597" t="s">
        <v>1321</v>
      </c>
      <c r="AF597" t="s">
        <v>1321</v>
      </c>
      <c r="AG597" t="s">
        <v>1321</v>
      </c>
      <c r="AH597" t="s">
        <v>1321</v>
      </c>
      <c r="AI597" t="s">
        <v>1321</v>
      </c>
      <c r="AJ597" t="s">
        <v>1321</v>
      </c>
      <c r="AK597" t="s">
        <v>1321</v>
      </c>
      <c r="AL597" t="s">
        <v>1321</v>
      </c>
      <c r="AM597" t="s">
        <v>1321</v>
      </c>
      <c r="AN597" t="s">
        <v>1321</v>
      </c>
      <c r="AO597" t="s">
        <v>1321</v>
      </c>
      <c r="AP597" t="s">
        <v>1321</v>
      </c>
      <c r="AQ597" t="s">
        <v>1321</v>
      </c>
      <c r="AR597" t="s">
        <v>1321</v>
      </c>
      <c r="AS597" t="s">
        <v>1321</v>
      </c>
      <c r="BG597" t="s">
        <v>1321</v>
      </c>
      <c r="CB597" t="s">
        <v>1321</v>
      </c>
      <c r="CD597" t="s">
        <v>1321</v>
      </c>
      <c r="CE597" t="s">
        <v>1321</v>
      </c>
      <c r="CF597" t="s">
        <v>1321</v>
      </c>
      <c r="CG597" t="s">
        <v>1321</v>
      </c>
      <c r="CH597" t="s">
        <v>1321</v>
      </c>
      <c r="CI597" t="s">
        <v>1321</v>
      </c>
      <c r="CK597" t="s">
        <v>1321</v>
      </c>
      <c r="CL597" t="s">
        <v>1321</v>
      </c>
      <c r="DT597" t="s">
        <v>1321</v>
      </c>
      <c r="EZ597" t="s">
        <v>4569</v>
      </c>
      <c r="FA597" t="s">
        <v>4569</v>
      </c>
      <c r="FM597" t="s">
        <v>4569</v>
      </c>
      <c r="FP597" t="s">
        <v>4569</v>
      </c>
      <c r="FQ597" t="s">
        <v>4569</v>
      </c>
      <c r="FR597" t="s">
        <v>4569</v>
      </c>
      <c r="FS597" t="s">
        <v>4569</v>
      </c>
      <c r="IL597">
        <f t="shared" si="17"/>
        <v>274</v>
      </c>
    </row>
    <row r="598" spans="1:246" outlineLevel="1" x14ac:dyDescent="0.2">
      <c r="A598" t="str">
        <f t="shared" si="16"/>
        <v>Standfest Katzengleich</v>
      </c>
      <c r="CB598" t="s">
        <v>1321</v>
      </c>
      <c r="CD598" t="s">
        <v>1321</v>
      </c>
      <c r="CE598" t="s">
        <v>1321</v>
      </c>
      <c r="CF598" t="s">
        <v>1321</v>
      </c>
      <c r="CG598" t="s">
        <v>1321</v>
      </c>
      <c r="CH598" t="s">
        <v>1321</v>
      </c>
      <c r="CI598" t="s">
        <v>1321</v>
      </c>
      <c r="CJ598" t="s">
        <v>1321</v>
      </c>
      <c r="CK598" t="s">
        <v>1321</v>
      </c>
      <c r="CL598" t="s">
        <v>1321</v>
      </c>
      <c r="EZ598" t="s">
        <v>4569</v>
      </c>
      <c r="FA598" t="s">
        <v>4569</v>
      </c>
      <c r="FM598" t="s">
        <v>4569</v>
      </c>
      <c r="FP598" t="s">
        <v>4569</v>
      </c>
      <c r="FQ598" t="s">
        <v>4569</v>
      </c>
      <c r="FR598" t="s">
        <v>4569</v>
      </c>
      <c r="FS598" t="s">
        <v>4569</v>
      </c>
      <c r="IL598">
        <f t="shared" si="17"/>
        <v>275</v>
      </c>
    </row>
    <row r="599" spans="1:246" outlineLevel="1" x14ac:dyDescent="0.2">
      <c r="A599" t="str">
        <f t="shared" si="16"/>
        <v>Staub wandle!</v>
      </c>
      <c r="EM599" t="s">
        <v>1321</v>
      </c>
      <c r="EN599" t="s">
        <v>2516</v>
      </c>
      <c r="EZ599" t="s">
        <v>4569</v>
      </c>
      <c r="FA599" t="s">
        <v>4569</v>
      </c>
      <c r="FM599" t="s">
        <v>4569</v>
      </c>
      <c r="FP599" t="s">
        <v>4569</v>
      </c>
      <c r="FQ599" t="s">
        <v>4569</v>
      </c>
      <c r="FR599" t="s">
        <v>4569</v>
      </c>
      <c r="FS599" t="s">
        <v>4569</v>
      </c>
      <c r="IL599">
        <f t="shared" si="17"/>
        <v>276</v>
      </c>
    </row>
    <row r="600" spans="1:246" outlineLevel="1" x14ac:dyDescent="0.2">
      <c r="A600" t="str">
        <f t="shared" si="16"/>
        <v>Stein wandle!</v>
      </c>
      <c r="CW600" t="s">
        <v>1321</v>
      </c>
      <c r="CX600" t="s">
        <v>1321</v>
      </c>
      <c r="DC600" t="s">
        <v>1321</v>
      </c>
      <c r="ED600">
        <v>4</v>
      </c>
      <c r="EM600" t="s">
        <v>1321</v>
      </c>
      <c r="EN600" t="s">
        <v>1321</v>
      </c>
      <c r="EZ600" t="s">
        <v>4569</v>
      </c>
      <c r="FA600" t="s">
        <v>4569</v>
      </c>
      <c r="FJ600" t="s">
        <v>2516</v>
      </c>
      <c r="FM600" t="s">
        <v>4569</v>
      </c>
      <c r="FP600">
        <v>3</v>
      </c>
      <c r="FQ600">
        <v>3</v>
      </c>
      <c r="FR600">
        <v>3</v>
      </c>
      <c r="FS600">
        <v>3</v>
      </c>
      <c r="IL600">
        <f t="shared" si="17"/>
        <v>277</v>
      </c>
    </row>
    <row r="601" spans="1:246" outlineLevel="1" x14ac:dyDescent="0.2">
      <c r="A601" t="str">
        <f t="shared" si="16"/>
        <v>Steinmauer</v>
      </c>
      <c r="IL601">
        <f t="shared" si="17"/>
        <v>278</v>
      </c>
    </row>
    <row r="602" spans="1:246" outlineLevel="1" x14ac:dyDescent="0.2">
      <c r="A602" t="str">
        <f t="shared" si="16"/>
        <v>Stillstand</v>
      </c>
      <c r="EZ602" t="s">
        <v>4569</v>
      </c>
      <c r="FA602" t="s">
        <v>4569</v>
      </c>
      <c r="FM602" t="s">
        <v>4569</v>
      </c>
      <c r="FP602" t="s">
        <v>4569</v>
      </c>
      <c r="FQ602" t="s">
        <v>4569</v>
      </c>
      <c r="FR602" t="s">
        <v>4569</v>
      </c>
      <c r="FS602" t="s">
        <v>4569</v>
      </c>
      <c r="IL602">
        <f t="shared" si="17"/>
        <v>279</v>
      </c>
    </row>
    <row r="603" spans="1:246" outlineLevel="1" x14ac:dyDescent="0.2">
      <c r="A603" t="str">
        <f t="shared" si="16"/>
        <v>Stimme des Windes</v>
      </c>
      <c r="IL603">
        <f t="shared" si="17"/>
        <v>280</v>
      </c>
    </row>
    <row r="604" spans="1:246" outlineLevel="1" x14ac:dyDescent="0.2">
      <c r="A604" t="str">
        <f t="shared" si="16"/>
        <v>Sumpfstrudel</v>
      </c>
      <c r="EZ604" t="s">
        <v>4569</v>
      </c>
      <c r="FA604" t="s">
        <v>4569</v>
      </c>
      <c r="FM604" t="s">
        <v>4569</v>
      </c>
      <c r="FP604" t="s">
        <v>4569</v>
      </c>
      <c r="FQ604" t="s">
        <v>4569</v>
      </c>
      <c r="FR604" t="s">
        <v>4569</v>
      </c>
      <c r="FS604" t="s">
        <v>4569</v>
      </c>
      <c r="IL604">
        <f t="shared" si="17"/>
        <v>281</v>
      </c>
    </row>
    <row r="605" spans="1:246" outlineLevel="1" x14ac:dyDescent="0.2">
      <c r="A605" t="str">
        <f t="shared" si="16"/>
        <v>Sumus Elixiere</v>
      </c>
      <c r="C605" t="s">
        <v>1321</v>
      </c>
      <c r="D605">
        <v>1</v>
      </c>
      <c r="E605" t="s">
        <v>1321</v>
      </c>
      <c r="F605" t="s">
        <v>1321</v>
      </c>
      <c r="G605" t="s">
        <v>2515</v>
      </c>
      <c r="H605" t="s">
        <v>1321</v>
      </c>
      <c r="I605" t="s">
        <v>1321</v>
      </c>
      <c r="J605" t="s">
        <v>2516</v>
      </c>
      <c r="K605" t="s">
        <v>1321</v>
      </c>
      <c r="L605" t="s">
        <v>1321</v>
      </c>
      <c r="M605" t="s">
        <v>1321</v>
      </c>
      <c r="N605" t="s">
        <v>1321</v>
      </c>
      <c r="AU605" t="s">
        <v>1321</v>
      </c>
      <c r="AV605">
        <v>2</v>
      </c>
      <c r="AW605" t="s">
        <v>1321</v>
      </c>
      <c r="AX605" t="s">
        <v>1321</v>
      </c>
      <c r="BA605" t="s">
        <v>1321</v>
      </c>
      <c r="DF605" t="s">
        <v>1321</v>
      </c>
      <c r="DG605">
        <v>3</v>
      </c>
      <c r="DH605" t="s">
        <v>1321</v>
      </c>
      <c r="DI605" t="s">
        <v>1321</v>
      </c>
      <c r="DJ605" t="s">
        <v>1321</v>
      </c>
      <c r="DK605" t="s">
        <v>1321</v>
      </c>
      <c r="EZ605" t="s">
        <v>4569</v>
      </c>
      <c r="FA605" t="s">
        <v>4569</v>
      </c>
      <c r="FM605" t="s">
        <v>4569</v>
      </c>
      <c r="FP605" t="s">
        <v>4569</v>
      </c>
      <c r="FQ605" t="s">
        <v>4569</v>
      </c>
      <c r="FR605" t="s">
        <v>4569</v>
      </c>
      <c r="FS605" t="s">
        <v>4569</v>
      </c>
      <c r="HB605" t="s">
        <v>1321</v>
      </c>
      <c r="HD605" t="s">
        <v>1321</v>
      </c>
      <c r="HF605" t="s">
        <v>1321</v>
      </c>
      <c r="HH605" t="s">
        <v>1321</v>
      </c>
      <c r="HJ605" t="s">
        <v>1321</v>
      </c>
      <c r="HL605" t="s">
        <v>1321</v>
      </c>
      <c r="HN605" t="s">
        <v>1321</v>
      </c>
      <c r="HP605" t="s">
        <v>1321</v>
      </c>
      <c r="HQ605" t="s">
        <v>1321</v>
      </c>
      <c r="HS605" t="s">
        <v>1321</v>
      </c>
      <c r="HU605" t="s">
        <v>1321</v>
      </c>
      <c r="HW605" t="s">
        <v>1321</v>
      </c>
      <c r="HY605" t="s">
        <v>1321</v>
      </c>
      <c r="IA605" t="s">
        <v>1321</v>
      </c>
      <c r="IC605" t="s">
        <v>1321</v>
      </c>
      <c r="ID605" t="s">
        <v>1321</v>
      </c>
      <c r="IG605" t="s">
        <v>1321</v>
      </c>
      <c r="II605" t="s">
        <v>1321</v>
      </c>
      <c r="IL605">
        <f t="shared" si="17"/>
        <v>282</v>
      </c>
    </row>
    <row r="606" spans="1:246" outlineLevel="1" x14ac:dyDescent="0.2">
      <c r="A606" t="str">
        <f t="shared" si="16"/>
        <v>Tauschrausch</v>
      </c>
      <c r="B606" t="s">
        <v>4173</v>
      </c>
      <c r="O606" t="s">
        <v>4173</v>
      </c>
      <c r="AT606" t="s">
        <v>4173</v>
      </c>
      <c r="AY606" t="s">
        <v>4173</v>
      </c>
      <c r="BH606" t="s">
        <v>4173</v>
      </c>
      <c r="BK606" t="s">
        <v>4173</v>
      </c>
      <c r="CV606" t="s">
        <v>4173</v>
      </c>
      <c r="EX606" t="s">
        <v>4173</v>
      </c>
      <c r="EZ606" t="s">
        <v>4569</v>
      </c>
      <c r="FA606" t="s">
        <v>4569</v>
      </c>
      <c r="FM606" t="s">
        <v>4569</v>
      </c>
      <c r="FP606" t="s">
        <v>4569</v>
      </c>
      <c r="FQ606" t="s">
        <v>4569</v>
      </c>
      <c r="FR606" t="s">
        <v>4569</v>
      </c>
      <c r="FS606" t="s">
        <v>4569</v>
      </c>
      <c r="FW606" t="s">
        <v>4173</v>
      </c>
      <c r="GE606" t="s">
        <v>4173</v>
      </c>
      <c r="GG606" t="s">
        <v>1321</v>
      </c>
      <c r="GM606" t="s">
        <v>4173</v>
      </c>
      <c r="GX606" t="s">
        <v>4173</v>
      </c>
      <c r="IJ606" t="s">
        <v>4173</v>
      </c>
      <c r="IL606">
        <f t="shared" si="17"/>
        <v>283</v>
      </c>
    </row>
    <row r="607" spans="1:246" outlineLevel="1" x14ac:dyDescent="0.2">
      <c r="A607" t="str">
        <f t="shared" si="16"/>
        <v>Tempus Stasis</v>
      </c>
      <c r="EZ607" t="s">
        <v>4569</v>
      </c>
      <c r="FA607" t="s">
        <v>4569</v>
      </c>
      <c r="FM607" t="s">
        <v>4569</v>
      </c>
      <c r="FP607" t="s">
        <v>4569</v>
      </c>
      <c r="FQ607" t="s">
        <v>4569</v>
      </c>
      <c r="FR607" t="s">
        <v>4569</v>
      </c>
      <c r="FS607" t="s">
        <v>4569</v>
      </c>
      <c r="IL607">
        <f t="shared" si="17"/>
        <v>284</v>
      </c>
    </row>
    <row r="608" spans="1:246" outlineLevel="1" x14ac:dyDescent="0.2">
      <c r="A608" t="str">
        <f t="shared" si="16"/>
        <v>Targunitothbann</v>
      </c>
      <c r="EZ608" t="s">
        <v>4569</v>
      </c>
      <c r="FA608" t="s">
        <v>4569</v>
      </c>
      <c r="FM608" t="s">
        <v>4569</v>
      </c>
      <c r="FP608" t="s">
        <v>4569</v>
      </c>
      <c r="FQ608" t="s">
        <v>4569</v>
      </c>
      <c r="FR608" t="s">
        <v>4569</v>
      </c>
      <c r="FS608" t="s">
        <v>4569</v>
      </c>
      <c r="IL608">
        <f t="shared" si="17"/>
        <v>285</v>
      </c>
    </row>
    <row r="609" spans="1:246" outlineLevel="1" x14ac:dyDescent="0.2">
      <c r="A609" t="str">
        <f t="shared" si="16"/>
        <v>Tiere besprechen</v>
      </c>
      <c r="AZ609" t="s">
        <v>1321</v>
      </c>
      <c r="BA609" t="s">
        <v>2516</v>
      </c>
      <c r="BB609" t="s">
        <v>1321</v>
      </c>
      <c r="BC609">
        <v>2</v>
      </c>
      <c r="BD609">
        <v>2</v>
      </c>
      <c r="BE609" t="s">
        <v>1321</v>
      </c>
      <c r="BF609" t="s">
        <v>2516</v>
      </c>
      <c r="BG609" t="s">
        <v>1321</v>
      </c>
      <c r="CB609" t="s">
        <v>1321</v>
      </c>
      <c r="EZ609" t="s">
        <v>4569</v>
      </c>
      <c r="FA609" t="s">
        <v>4569</v>
      </c>
      <c r="FM609" t="s">
        <v>4569</v>
      </c>
      <c r="FP609" t="s">
        <v>4569</v>
      </c>
      <c r="FQ609" t="s">
        <v>4569</v>
      </c>
      <c r="FR609" t="s">
        <v>4569</v>
      </c>
      <c r="FS609" t="s">
        <v>4569</v>
      </c>
      <c r="IL609">
        <f t="shared" si="17"/>
        <v>286</v>
      </c>
    </row>
    <row r="610" spans="1:246" outlineLevel="1" x14ac:dyDescent="0.2">
      <c r="A610" t="str">
        <f t="shared" si="16"/>
        <v>Tiergedanken</v>
      </c>
      <c r="C610" t="s">
        <v>1321</v>
      </c>
      <c r="D610" t="s">
        <v>1321</v>
      </c>
      <c r="E610" t="s">
        <v>1321</v>
      </c>
      <c r="F610" t="s">
        <v>1321</v>
      </c>
      <c r="G610" t="s">
        <v>2514</v>
      </c>
      <c r="H610" t="s">
        <v>1321</v>
      </c>
      <c r="I610" t="s">
        <v>1321</v>
      </c>
      <c r="J610" t="s">
        <v>1321</v>
      </c>
      <c r="K610" t="s">
        <v>1321</v>
      </c>
      <c r="L610" t="s">
        <v>1321</v>
      </c>
      <c r="M610" t="s">
        <v>1321</v>
      </c>
      <c r="N610" t="s">
        <v>1321</v>
      </c>
      <c r="P610" t="s">
        <v>1321</v>
      </c>
      <c r="Q610" t="s">
        <v>1321</v>
      </c>
      <c r="R610" t="s">
        <v>1321</v>
      </c>
      <c r="S610" t="s">
        <v>1321</v>
      </c>
      <c r="T610" t="s">
        <v>1321</v>
      </c>
      <c r="U610" t="s">
        <v>1321</v>
      </c>
      <c r="V610" t="s">
        <v>1321</v>
      </c>
      <c r="W610" t="s">
        <v>1321</v>
      </c>
      <c r="X610" t="s">
        <v>1321</v>
      </c>
      <c r="Y610" t="s">
        <v>1321</v>
      </c>
      <c r="Z610" t="s">
        <v>1321</v>
      </c>
      <c r="AA610" t="s">
        <v>1321</v>
      </c>
      <c r="AB610" t="s">
        <v>1321</v>
      </c>
      <c r="AC610" t="s">
        <v>1321</v>
      </c>
      <c r="AD610" t="s">
        <v>1321</v>
      </c>
      <c r="AE610" t="s">
        <v>1321</v>
      </c>
      <c r="AF610" t="s">
        <v>1321</v>
      </c>
      <c r="AG610" t="s">
        <v>1321</v>
      </c>
      <c r="AH610" t="s">
        <v>1321</v>
      </c>
      <c r="AI610" t="s">
        <v>1321</v>
      </c>
      <c r="AJ610" t="s">
        <v>1321</v>
      </c>
      <c r="AK610" t="s">
        <v>1321</v>
      </c>
      <c r="AL610" t="s">
        <v>1321</v>
      </c>
      <c r="AM610" t="s">
        <v>1321</v>
      </c>
      <c r="AN610" t="s">
        <v>1321</v>
      </c>
      <c r="AO610" t="s">
        <v>1321</v>
      </c>
      <c r="AP610" t="s">
        <v>1321</v>
      </c>
      <c r="AQ610" t="s">
        <v>1321</v>
      </c>
      <c r="AR610" t="s">
        <v>1321</v>
      </c>
      <c r="AS610" t="s">
        <v>1321</v>
      </c>
      <c r="AU610" t="s">
        <v>1321</v>
      </c>
      <c r="AV610" t="s">
        <v>2515</v>
      </c>
      <c r="AW610" t="s">
        <v>1321</v>
      </c>
      <c r="AX610" t="s">
        <v>1321</v>
      </c>
      <c r="AZ610" t="s">
        <v>1321</v>
      </c>
      <c r="BA610" t="s">
        <v>1321</v>
      </c>
      <c r="BB610" t="s">
        <v>1321</v>
      </c>
      <c r="BC610">
        <v>3</v>
      </c>
      <c r="BD610" t="s">
        <v>1321</v>
      </c>
      <c r="BE610" t="s">
        <v>1321</v>
      </c>
      <c r="BF610" t="s">
        <v>1321</v>
      </c>
      <c r="BG610" t="s">
        <v>1321</v>
      </c>
      <c r="BI610" t="s">
        <v>1321</v>
      </c>
      <c r="BJ610" t="s">
        <v>1321</v>
      </c>
      <c r="DD610" t="s">
        <v>2515</v>
      </c>
      <c r="DE610">
        <v>2</v>
      </c>
      <c r="DT610" t="s">
        <v>1321</v>
      </c>
      <c r="EA610">
        <v>3</v>
      </c>
      <c r="EK610" t="s">
        <v>1321</v>
      </c>
      <c r="EL610" t="s">
        <v>1321</v>
      </c>
      <c r="EQ610" t="s">
        <v>1321</v>
      </c>
      <c r="ES610" t="s">
        <v>1321</v>
      </c>
      <c r="EZ610" t="s">
        <v>4569</v>
      </c>
      <c r="FA610" t="s">
        <v>4569</v>
      </c>
      <c r="FM610" t="s">
        <v>4569</v>
      </c>
      <c r="FP610" t="s">
        <v>4569</v>
      </c>
      <c r="FQ610" t="s">
        <v>4569</v>
      </c>
      <c r="FR610" t="s">
        <v>4569</v>
      </c>
      <c r="FS610" t="s">
        <v>4569</v>
      </c>
      <c r="FT610" t="s">
        <v>2516</v>
      </c>
      <c r="IL610">
        <f t="shared" si="17"/>
        <v>287</v>
      </c>
    </row>
    <row r="611" spans="1:246" outlineLevel="1" x14ac:dyDescent="0.2">
      <c r="A611" t="str">
        <f t="shared" si="16"/>
        <v>Tlalucs Odem Pestgestank</v>
      </c>
      <c r="DC611">
        <v>2</v>
      </c>
      <c r="EZ611" t="s">
        <v>4569</v>
      </c>
      <c r="FA611">
        <v>3</v>
      </c>
      <c r="FM611" t="s">
        <v>4569</v>
      </c>
      <c r="FP611" t="s">
        <v>4569</v>
      </c>
      <c r="FQ611" t="s">
        <v>4569</v>
      </c>
      <c r="FR611" t="s">
        <v>4569</v>
      </c>
      <c r="FS611" t="s">
        <v>4569</v>
      </c>
      <c r="IL611">
        <f t="shared" si="17"/>
        <v>288</v>
      </c>
    </row>
    <row r="612" spans="1:246" outlineLevel="1" x14ac:dyDescent="0.2">
      <c r="A612" t="str">
        <f t="shared" si="16"/>
        <v>Totes handle!</v>
      </c>
      <c r="CW612" t="s">
        <v>1321</v>
      </c>
      <c r="CX612" t="s">
        <v>1321</v>
      </c>
      <c r="DC612" t="s">
        <v>2516</v>
      </c>
      <c r="ED612" t="s">
        <v>1321</v>
      </c>
      <c r="EM612" t="s">
        <v>1321</v>
      </c>
      <c r="EZ612" t="s">
        <v>4569</v>
      </c>
      <c r="FA612" t="s">
        <v>4569</v>
      </c>
      <c r="FM612" t="s">
        <v>4569</v>
      </c>
      <c r="FP612" t="s">
        <v>4569</v>
      </c>
      <c r="FQ612" t="s">
        <v>4569</v>
      </c>
      <c r="FR612" t="s">
        <v>4569</v>
      </c>
      <c r="FS612" t="s">
        <v>4569</v>
      </c>
      <c r="IL612">
        <f t="shared" si="17"/>
        <v>289</v>
      </c>
    </row>
    <row r="613" spans="1:246" outlineLevel="1" x14ac:dyDescent="0.2">
      <c r="A613" t="str">
        <f t="shared" si="16"/>
        <v>Transformatio Formgestalt</v>
      </c>
      <c r="EZ613" t="s">
        <v>4569</v>
      </c>
      <c r="FA613" t="s">
        <v>4569</v>
      </c>
      <c r="FM613" t="s">
        <v>4569</v>
      </c>
      <c r="FP613" t="s">
        <v>4569</v>
      </c>
      <c r="FQ613" t="s">
        <v>4569</v>
      </c>
      <c r="FR613" t="s">
        <v>4569</v>
      </c>
      <c r="FS613" t="s">
        <v>4569</v>
      </c>
      <c r="IL613">
        <f t="shared" si="17"/>
        <v>290</v>
      </c>
    </row>
    <row r="614" spans="1:246" outlineLevel="1" x14ac:dyDescent="0.2">
      <c r="A614" t="str">
        <f t="shared" si="16"/>
        <v>Transmutare Körperform</v>
      </c>
      <c r="CW614" t="s">
        <v>1321</v>
      </c>
      <c r="CX614" t="s">
        <v>1321</v>
      </c>
      <c r="EA614" t="s">
        <v>1321</v>
      </c>
      <c r="ED614" t="s">
        <v>1321</v>
      </c>
      <c r="ET614" t="s">
        <v>1321</v>
      </c>
      <c r="EV614" t="s">
        <v>1321</v>
      </c>
      <c r="EZ614" t="s">
        <v>4569</v>
      </c>
      <c r="FA614" t="s">
        <v>4569</v>
      </c>
      <c r="FL614" t="s">
        <v>2515</v>
      </c>
      <c r="FM614" t="s">
        <v>4569</v>
      </c>
      <c r="FP614" t="s">
        <v>4569</v>
      </c>
      <c r="FQ614" t="s">
        <v>4569</v>
      </c>
      <c r="FR614" t="s">
        <v>4569</v>
      </c>
      <c r="FS614" t="s">
        <v>4569</v>
      </c>
      <c r="IL614">
        <f t="shared" si="17"/>
        <v>291</v>
      </c>
    </row>
    <row r="615" spans="1:246" outlineLevel="1" x14ac:dyDescent="0.2">
      <c r="A615" t="str">
        <f t="shared" si="16"/>
        <v>Transversalis Teleport</v>
      </c>
      <c r="DA615" t="s">
        <v>2514</v>
      </c>
      <c r="DT615" t="s">
        <v>4901</v>
      </c>
      <c r="EK615">
        <v>2</v>
      </c>
      <c r="EZ615" t="s">
        <v>4569</v>
      </c>
      <c r="FA615" t="s">
        <v>4569</v>
      </c>
      <c r="FI615">
        <v>3</v>
      </c>
      <c r="FM615" t="s">
        <v>4569</v>
      </c>
      <c r="FP615" t="s">
        <v>4569</v>
      </c>
      <c r="FQ615" t="s">
        <v>4569</v>
      </c>
      <c r="FR615" t="s">
        <v>4569</v>
      </c>
      <c r="FS615" t="s">
        <v>4569</v>
      </c>
      <c r="FU615">
        <v>2</v>
      </c>
      <c r="FV615" t="s">
        <v>1321</v>
      </c>
      <c r="IL615">
        <f t="shared" si="17"/>
        <v>292</v>
      </c>
    </row>
    <row r="616" spans="1:246" outlineLevel="1" x14ac:dyDescent="0.2">
      <c r="A616" t="str">
        <f t="shared" si="16"/>
        <v>Traumgestalt</v>
      </c>
      <c r="AZ616" t="s">
        <v>1321</v>
      </c>
      <c r="BA616" t="s">
        <v>1321</v>
      </c>
      <c r="BB616" t="s">
        <v>1321</v>
      </c>
      <c r="BC616" t="s">
        <v>1321</v>
      </c>
      <c r="BD616" t="s">
        <v>1321</v>
      </c>
      <c r="BE616" t="s">
        <v>2514</v>
      </c>
      <c r="BF616" t="s">
        <v>1321</v>
      </c>
      <c r="BG616" t="s">
        <v>1321</v>
      </c>
      <c r="DA616" t="s">
        <v>1321</v>
      </c>
      <c r="DD616" t="s">
        <v>1321</v>
      </c>
      <c r="DE616" t="s">
        <v>1321</v>
      </c>
      <c r="EJ616">
        <v>2</v>
      </c>
      <c r="ES616" t="s">
        <v>1321</v>
      </c>
      <c r="EZ616" t="s">
        <v>4569</v>
      </c>
      <c r="FA616" t="s">
        <v>4569</v>
      </c>
      <c r="FM616" t="s">
        <v>4569</v>
      </c>
      <c r="FP616" t="s">
        <v>4569</v>
      </c>
      <c r="FQ616" t="s">
        <v>4569</v>
      </c>
      <c r="FR616" t="s">
        <v>4569</v>
      </c>
      <c r="FS616" t="s">
        <v>4569</v>
      </c>
      <c r="FT616" t="s">
        <v>1321</v>
      </c>
      <c r="IL616">
        <f t="shared" si="17"/>
        <v>293</v>
      </c>
    </row>
    <row r="617" spans="1:246" outlineLevel="1" x14ac:dyDescent="0.2">
      <c r="A617" t="str">
        <f t="shared" si="16"/>
        <v>Unberührt von Satinav</v>
      </c>
      <c r="B617" t="s">
        <v>4172</v>
      </c>
      <c r="O617" t="s">
        <v>4172</v>
      </c>
      <c r="AT617" t="s">
        <v>4172</v>
      </c>
      <c r="AY617" t="s">
        <v>4172</v>
      </c>
      <c r="BH617" t="s">
        <v>4172</v>
      </c>
      <c r="BI617" t="s">
        <v>1321</v>
      </c>
      <c r="BJ617" t="s">
        <v>2516</v>
      </c>
      <c r="BK617" t="s">
        <v>4172</v>
      </c>
      <c r="CV617" t="s">
        <v>4172</v>
      </c>
      <c r="CW617" t="s">
        <v>1321</v>
      </c>
      <c r="CX617" t="s">
        <v>1321</v>
      </c>
      <c r="CY617" t="s">
        <v>1321</v>
      </c>
      <c r="CZ617" t="s">
        <v>1321</v>
      </c>
      <c r="DB617" t="s">
        <v>1321</v>
      </c>
      <c r="DC617" t="s">
        <v>1321</v>
      </c>
      <c r="DF617" t="s">
        <v>1321</v>
      </c>
      <c r="DG617" t="s">
        <v>1321</v>
      </c>
      <c r="DH617" t="s">
        <v>1321</v>
      </c>
      <c r="DI617" t="s">
        <v>1321</v>
      </c>
      <c r="DJ617" t="s">
        <v>1321</v>
      </c>
      <c r="DK617" t="s">
        <v>1321</v>
      </c>
      <c r="DM617" t="s">
        <v>1321</v>
      </c>
      <c r="DN617" t="s">
        <v>1321</v>
      </c>
      <c r="DO617" t="s">
        <v>1321</v>
      </c>
      <c r="DP617" t="s">
        <v>1321</v>
      </c>
      <c r="DQ617" t="s">
        <v>1321</v>
      </c>
      <c r="DR617" t="s">
        <v>1321</v>
      </c>
      <c r="DS617" t="s">
        <v>1321</v>
      </c>
      <c r="DV617" t="s">
        <v>1321</v>
      </c>
      <c r="DW617" t="s">
        <v>1321</v>
      </c>
      <c r="EA617" t="s">
        <v>1321</v>
      </c>
      <c r="EC617" t="s">
        <v>1321</v>
      </c>
      <c r="ED617" t="s">
        <v>1321</v>
      </c>
      <c r="EF617" t="s">
        <v>1321</v>
      </c>
      <c r="EG617" t="s">
        <v>1321</v>
      </c>
      <c r="EJ617" t="s">
        <v>1321</v>
      </c>
      <c r="EK617" t="s">
        <v>1321</v>
      </c>
      <c r="EL617" t="s">
        <v>1321</v>
      </c>
      <c r="EM617" t="s">
        <v>1321</v>
      </c>
      <c r="EN617" t="s">
        <v>1321</v>
      </c>
      <c r="EO617" t="s">
        <v>1321</v>
      </c>
      <c r="EP617" t="s">
        <v>1321</v>
      </c>
      <c r="EQ617" t="s">
        <v>1321</v>
      </c>
      <c r="ES617" t="s">
        <v>1321</v>
      </c>
      <c r="ET617" t="s">
        <v>1321</v>
      </c>
      <c r="EU617" t="s">
        <v>1321</v>
      </c>
      <c r="EV617" t="s">
        <v>1321</v>
      </c>
      <c r="EX617" t="s">
        <v>4172</v>
      </c>
      <c r="EZ617" t="s">
        <v>4569</v>
      </c>
      <c r="FA617" t="s">
        <v>4569</v>
      </c>
      <c r="FB617" t="s">
        <v>1321</v>
      </c>
      <c r="FC617" t="s">
        <v>1321</v>
      </c>
      <c r="FF617">
        <v>5</v>
      </c>
      <c r="FG617" t="s">
        <v>1321</v>
      </c>
      <c r="FH617" t="s">
        <v>1321</v>
      </c>
      <c r="FI617" t="s">
        <v>1321</v>
      </c>
      <c r="FJ617" t="s">
        <v>1321</v>
      </c>
      <c r="FK617" t="s">
        <v>1321</v>
      </c>
      <c r="FM617" t="s">
        <v>4569</v>
      </c>
      <c r="FN617" t="s">
        <v>1321</v>
      </c>
      <c r="FP617">
        <v>2</v>
      </c>
      <c r="FQ617">
        <v>2</v>
      </c>
      <c r="FR617">
        <v>2</v>
      </c>
      <c r="FS617">
        <v>2</v>
      </c>
      <c r="FW617" t="s">
        <v>4172</v>
      </c>
      <c r="GE617" t="s">
        <v>4172</v>
      </c>
      <c r="GM617" t="s">
        <v>4172</v>
      </c>
      <c r="GX617" t="s">
        <v>4172</v>
      </c>
      <c r="IJ617" t="s">
        <v>4172</v>
      </c>
      <c r="IL617">
        <f t="shared" si="17"/>
        <v>294</v>
      </c>
    </row>
    <row r="618" spans="1:246" outlineLevel="1" x14ac:dyDescent="0.2">
      <c r="A618" t="str">
        <f t="shared" si="16"/>
        <v>Unbraporta Schattentür</v>
      </c>
      <c r="EZ618" t="s">
        <v>2514</v>
      </c>
      <c r="FA618" t="s">
        <v>2514</v>
      </c>
      <c r="IL618">
        <f t="shared" si="17"/>
        <v>295</v>
      </c>
    </row>
    <row r="619" spans="1:246" outlineLevel="1" x14ac:dyDescent="0.2">
      <c r="A619" t="str">
        <f t="shared" si="16"/>
        <v>Unitatio Geistesbund</v>
      </c>
      <c r="C619" t="s">
        <v>1321</v>
      </c>
      <c r="D619" t="s">
        <v>1321</v>
      </c>
      <c r="E619" t="s">
        <v>1321</v>
      </c>
      <c r="F619" t="s">
        <v>1321</v>
      </c>
      <c r="G619" t="s">
        <v>1321</v>
      </c>
      <c r="H619" t="s">
        <v>1321</v>
      </c>
      <c r="I619" t="s">
        <v>1321</v>
      </c>
      <c r="J619" t="s">
        <v>1321</v>
      </c>
      <c r="K619" t="s">
        <v>1321</v>
      </c>
      <c r="L619" t="s">
        <v>1321</v>
      </c>
      <c r="M619" t="s">
        <v>1321</v>
      </c>
      <c r="N619" t="s">
        <v>1321</v>
      </c>
      <c r="P619" t="s">
        <v>1321</v>
      </c>
      <c r="Q619" t="s">
        <v>1321</v>
      </c>
      <c r="R619" t="s">
        <v>1321</v>
      </c>
      <c r="S619" t="s">
        <v>1321</v>
      </c>
      <c r="T619" t="s">
        <v>1321</v>
      </c>
      <c r="U619" t="s">
        <v>1321</v>
      </c>
      <c r="V619" t="s">
        <v>1321</v>
      </c>
      <c r="W619" t="s">
        <v>1321</v>
      </c>
      <c r="X619" t="s">
        <v>1321</v>
      </c>
      <c r="Y619" t="s">
        <v>1321</v>
      </c>
      <c r="Z619" t="s">
        <v>1321</v>
      </c>
      <c r="AA619" t="s">
        <v>1321</v>
      </c>
      <c r="AB619" t="s">
        <v>1321</v>
      </c>
      <c r="AC619" t="s">
        <v>1321</v>
      </c>
      <c r="AD619" t="s">
        <v>1321</v>
      </c>
      <c r="AE619" t="s">
        <v>1321</v>
      </c>
      <c r="AF619" t="s">
        <v>1321</v>
      </c>
      <c r="AG619" t="s">
        <v>1321</v>
      </c>
      <c r="AH619" t="s">
        <v>1321</v>
      </c>
      <c r="AI619" t="s">
        <v>1321</v>
      </c>
      <c r="AJ619" t="s">
        <v>1321</v>
      </c>
      <c r="AK619" t="s">
        <v>1321</v>
      </c>
      <c r="AL619" t="s">
        <v>1321</v>
      </c>
      <c r="AM619" t="s">
        <v>1321</v>
      </c>
      <c r="AN619" t="s">
        <v>1321</v>
      </c>
      <c r="AO619" t="s">
        <v>1321</v>
      </c>
      <c r="AP619" t="s">
        <v>1321</v>
      </c>
      <c r="AQ619" t="s">
        <v>1321</v>
      </c>
      <c r="AR619" t="s">
        <v>1321</v>
      </c>
      <c r="AS619" t="s">
        <v>1321</v>
      </c>
      <c r="AU619" t="s">
        <v>1321</v>
      </c>
      <c r="AV619" t="s">
        <v>1321</v>
      </c>
      <c r="AW619" t="s">
        <v>1321</v>
      </c>
      <c r="AX619" t="s">
        <v>1321</v>
      </c>
      <c r="AZ619" t="s">
        <v>1321</v>
      </c>
      <c r="BA619" t="s">
        <v>1321</v>
      </c>
      <c r="BB619" t="s">
        <v>1321</v>
      </c>
      <c r="BD619">
        <v>2</v>
      </c>
      <c r="BE619">
        <v>3</v>
      </c>
      <c r="BF619" t="s">
        <v>1321</v>
      </c>
      <c r="BG619" t="s">
        <v>1321</v>
      </c>
      <c r="BI619" t="s">
        <v>1321</v>
      </c>
      <c r="BJ619" t="s">
        <v>1321</v>
      </c>
      <c r="CB619" t="s">
        <v>1321</v>
      </c>
      <c r="CU619">
        <v>3</v>
      </c>
      <c r="CW619" t="s">
        <v>1321</v>
      </c>
      <c r="CX619" t="s">
        <v>1321</v>
      </c>
      <c r="CY619" t="s">
        <v>1321</v>
      </c>
      <c r="CZ619" t="s">
        <v>1321</v>
      </c>
      <c r="DA619" t="s">
        <v>2515</v>
      </c>
      <c r="DB619" t="s">
        <v>2516</v>
      </c>
      <c r="DC619">
        <v>4</v>
      </c>
      <c r="DD619" t="s">
        <v>2514</v>
      </c>
      <c r="DE619">
        <v>2</v>
      </c>
      <c r="DF619">
        <v>2</v>
      </c>
      <c r="DG619">
        <v>2</v>
      </c>
      <c r="DH619">
        <v>2</v>
      </c>
      <c r="DI619">
        <v>2</v>
      </c>
      <c r="DJ619">
        <v>2</v>
      </c>
      <c r="DK619">
        <v>2</v>
      </c>
      <c r="DL619" t="s">
        <v>1321</v>
      </c>
      <c r="DM619">
        <v>3</v>
      </c>
      <c r="DN619" t="s">
        <v>1321</v>
      </c>
      <c r="DO619" t="s">
        <v>1321</v>
      </c>
      <c r="DP619" t="s">
        <v>1321</v>
      </c>
      <c r="DQ619">
        <v>4</v>
      </c>
      <c r="DR619" t="s">
        <v>1321</v>
      </c>
      <c r="DS619" t="s">
        <v>1321</v>
      </c>
      <c r="DT619" t="s">
        <v>1321</v>
      </c>
      <c r="DU619" t="s">
        <v>1321</v>
      </c>
      <c r="DV619">
        <v>3</v>
      </c>
      <c r="DW619" t="s">
        <v>2514</v>
      </c>
      <c r="DX619" t="s">
        <v>1321</v>
      </c>
      <c r="DY619" t="s">
        <v>1321</v>
      </c>
      <c r="DZ619" t="s">
        <v>1321</v>
      </c>
      <c r="EA619" t="s">
        <v>1321</v>
      </c>
      <c r="EB619" t="s">
        <v>1321</v>
      </c>
      <c r="EC619">
        <v>2</v>
      </c>
      <c r="ED619" t="s">
        <v>1321</v>
      </c>
      <c r="EE619">
        <v>2</v>
      </c>
      <c r="EF619" t="s">
        <v>1321</v>
      </c>
      <c r="EG619" t="s">
        <v>1321</v>
      </c>
      <c r="EH619">
        <v>4</v>
      </c>
      <c r="EI619">
        <v>4</v>
      </c>
      <c r="EJ619" t="s">
        <v>1321</v>
      </c>
      <c r="EK619" t="s">
        <v>2516</v>
      </c>
      <c r="EL619" t="s">
        <v>2516</v>
      </c>
      <c r="EM619">
        <v>4</v>
      </c>
      <c r="EN619" t="s">
        <v>2516</v>
      </c>
      <c r="EO619">
        <v>3</v>
      </c>
      <c r="EP619">
        <v>3</v>
      </c>
      <c r="EQ619" t="s">
        <v>1321</v>
      </c>
      <c r="ER619" t="s">
        <v>1321</v>
      </c>
      <c r="ES619">
        <v>2</v>
      </c>
      <c r="ET619" t="s">
        <v>1321</v>
      </c>
      <c r="EU619">
        <v>4</v>
      </c>
      <c r="EV619" t="s">
        <v>1321</v>
      </c>
      <c r="EW619" t="s">
        <v>1321</v>
      </c>
      <c r="EY619" t="s">
        <v>1321</v>
      </c>
      <c r="EZ619" t="s">
        <v>1321</v>
      </c>
      <c r="FA619" t="s">
        <v>1321</v>
      </c>
      <c r="FB619" t="s">
        <v>1321</v>
      </c>
      <c r="FC619" t="s">
        <v>1321</v>
      </c>
      <c r="FD619" t="s">
        <v>1321</v>
      </c>
      <c r="FE619" t="s">
        <v>1321</v>
      </c>
      <c r="FF619" t="s">
        <v>2516</v>
      </c>
      <c r="FG619">
        <v>6</v>
      </c>
      <c r="FH619" t="s">
        <v>513</v>
      </c>
      <c r="FI619">
        <v>3</v>
      </c>
      <c r="FJ619" t="s">
        <v>2514</v>
      </c>
      <c r="FK619" t="s">
        <v>1321</v>
      </c>
      <c r="FL619">
        <v>2</v>
      </c>
      <c r="FM619" t="s">
        <v>1321</v>
      </c>
      <c r="FN619" t="s">
        <v>1321</v>
      </c>
      <c r="FO619" t="s">
        <v>2516</v>
      </c>
      <c r="FP619">
        <v>3</v>
      </c>
      <c r="FQ619">
        <v>3</v>
      </c>
      <c r="FR619">
        <v>3</v>
      </c>
      <c r="FS619">
        <v>3</v>
      </c>
      <c r="FT619" t="s">
        <v>2514</v>
      </c>
      <c r="FU619" t="s">
        <v>2516</v>
      </c>
      <c r="FV619" t="s">
        <v>1321</v>
      </c>
      <c r="HB619" t="s">
        <v>1321</v>
      </c>
      <c r="HD619" t="s">
        <v>1321</v>
      </c>
      <c r="HF619" t="s">
        <v>1321</v>
      </c>
      <c r="HH619" t="s">
        <v>1321</v>
      </c>
      <c r="HJ619" t="s">
        <v>1321</v>
      </c>
      <c r="HL619" t="s">
        <v>1321</v>
      </c>
      <c r="HN619" t="s">
        <v>1321</v>
      </c>
      <c r="HP619" t="s">
        <v>1321</v>
      </c>
      <c r="HQ619" t="s">
        <v>1321</v>
      </c>
      <c r="HS619" t="s">
        <v>1321</v>
      </c>
      <c r="HU619" t="s">
        <v>1321</v>
      </c>
      <c r="HW619" t="s">
        <v>1321</v>
      </c>
      <c r="HY619" t="s">
        <v>1321</v>
      </c>
      <c r="IA619" t="s">
        <v>1321</v>
      </c>
      <c r="IC619" t="s">
        <v>1321</v>
      </c>
      <c r="ID619" t="s">
        <v>1321</v>
      </c>
      <c r="IG619" t="s">
        <v>1321</v>
      </c>
      <c r="II619" t="s">
        <v>1321</v>
      </c>
      <c r="IK619" t="s">
        <v>7191</v>
      </c>
      <c r="IL619">
        <f t="shared" si="17"/>
        <v>296</v>
      </c>
    </row>
    <row r="620" spans="1:246" outlineLevel="1" x14ac:dyDescent="0.2">
      <c r="A620" t="str">
        <f t="shared" si="16"/>
        <v>Unsichtbarer Jäger</v>
      </c>
      <c r="EZ620" t="s">
        <v>4569</v>
      </c>
      <c r="FA620" t="s">
        <v>4569</v>
      </c>
      <c r="FM620" t="s">
        <v>4569</v>
      </c>
      <c r="FP620" t="s">
        <v>4569</v>
      </c>
      <c r="FQ620" t="s">
        <v>4569</v>
      </c>
      <c r="FR620" t="s">
        <v>4569</v>
      </c>
      <c r="FS620" t="s">
        <v>4569</v>
      </c>
      <c r="IL620">
        <f t="shared" si="17"/>
        <v>297</v>
      </c>
    </row>
    <row r="621" spans="1:246" outlineLevel="1" x14ac:dyDescent="0.2">
      <c r="A621" t="str">
        <f t="shared" si="16"/>
        <v>Valetudo Lebenskraft</v>
      </c>
      <c r="B621" t="s">
        <v>4588</v>
      </c>
      <c r="O621" t="s">
        <v>4588</v>
      </c>
      <c r="AT621" t="s">
        <v>4588</v>
      </c>
      <c r="AY621" t="s">
        <v>4588</v>
      </c>
      <c r="BH621" t="s">
        <v>4588</v>
      </c>
      <c r="BK621" t="s">
        <v>4588</v>
      </c>
      <c r="CV621" t="s">
        <v>4588</v>
      </c>
      <c r="EX621" t="s">
        <v>4588</v>
      </c>
      <c r="EZ621" t="s">
        <v>4569</v>
      </c>
      <c r="FA621" t="s">
        <v>4569</v>
      </c>
      <c r="FM621" t="s">
        <v>4569</v>
      </c>
      <c r="FP621" t="s">
        <v>4569</v>
      </c>
      <c r="FQ621" t="s">
        <v>4569</v>
      </c>
      <c r="FR621" t="s">
        <v>4569</v>
      </c>
      <c r="FS621" t="s">
        <v>4569</v>
      </c>
      <c r="FW621" t="s">
        <v>4588</v>
      </c>
      <c r="GE621" t="s">
        <v>4588</v>
      </c>
      <c r="GM621" t="s">
        <v>4588</v>
      </c>
      <c r="GX621" t="s">
        <v>4588</v>
      </c>
      <c r="IJ621" t="s">
        <v>4588</v>
      </c>
      <c r="IL621">
        <f t="shared" si="17"/>
        <v>298</v>
      </c>
    </row>
    <row r="622" spans="1:246" outlineLevel="1" x14ac:dyDescent="0.2">
      <c r="A622" t="str">
        <f t="shared" si="16"/>
        <v>Veränderung aufheben</v>
      </c>
      <c r="C622" t="s">
        <v>1321</v>
      </c>
      <c r="D622">
        <v>1</v>
      </c>
      <c r="E622" t="s">
        <v>1321</v>
      </c>
      <c r="F622" t="s">
        <v>1321</v>
      </c>
      <c r="G622" t="s">
        <v>1321</v>
      </c>
      <c r="H622">
        <v>1</v>
      </c>
      <c r="I622">
        <v>1</v>
      </c>
      <c r="J622">
        <v>1</v>
      </c>
      <c r="K622">
        <v>1</v>
      </c>
      <c r="L622">
        <v>1</v>
      </c>
      <c r="M622">
        <v>1</v>
      </c>
      <c r="N622">
        <v>1</v>
      </c>
      <c r="AU622" t="s">
        <v>1321</v>
      </c>
      <c r="AV622" t="s">
        <v>1321</v>
      </c>
      <c r="AW622" t="s">
        <v>1321</v>
      </c>
      <c r="AX622" t="s">
        <v>1321</v>
      </c>
      <c r="BI622" t="s">
        <v>1321</v>
      </c>
      <c r="BJ622" t="s">
        <v>1321</v>
      </c>
      <c r="CW622" t="s">
        <v>1321</v>
      </c>
      <c r="CX622" t="s">
        <v>1321</v>
      </c>
      <c r="CY622" t="s">
        <v>1321</v>
      </c>
      <c r="CZ622" t="s">
        <v>1321</v>
      </c>
      <c r="DA622" t="s">
        <v>1321</v>
      </c>
      <c r="DB622" t="s">
        <v>1321</v>
      </c>
      <c r="DC622" t="s">
        <v>1321</v>
      </c>
      <c r="DD622" t="s">
        <v>1321</v>
      </c>
      <c r="DE622" t="s">
        <v>1321</v>
      </c>
      <c r="DF622" t="s">
        <v>1321</v>
      </c>
      <c r="DG622" t="s">
        <v>1321</v>
      </c>
      <c r="DH622">
        <v>3</v>
      </c>
      <c r="DI622" t="s">
        <v>1321</v>
      </c>
      <c r="DJ622" t="s">
        <v>1321</v>
      </c>
      <c r="DK622" t="s">
        <v>1321</v>
      </c>
      <c r="DL622" t="s">
        <v>1321</v>
      </c>
      <c r="DM622" t="s">
        <v>1321</v>
      </c>
      <c r="DN622" t="s">
        <v>1321</v>
      </c>
      <c r="DO622" t="s">
        <v>1321</v>
      </c>
      <c r="DP622" t="s">
        <v>1321</v>
      </c>
      <c r="DQ622">
        <v>3</v>
      </c>
      <c r="DR622" t="s">
        <v>1321</v>
      </c>
      <c r="DS622">
        <v>2</v>
      </c>
      <c r="DT622" t="s">
        <v>1321</v>
      </c>
      <c r="DU622" t="s">
        <v>1321</v>
      </c>
      <c r="DV622" t="s">
        <v>1321</v>
      </c>
      <c r="DW622" t="s">
        <v>1321</v>
      </c>
      <c r="DX622" t="s">
        <v>1321</v>
      </c>
      <c r="DY622" t="s">
        <v>1321</v>
      </c>
      <c r="DZ622" t="s">
        <v>1321</v>
      </c>
      <c r="EA622" t="s">
        <v>1321</v>
      </c>
      <c r="EB622" t="s">
        <v>1321</v>
      </c>
      <c r="EC622" t="s">
        <v>1321</v>
      </c>
      <c r="ED622">
        <v>3</v>
      </c>
      <c r="EE622" t="s">
        <v>1321</v>
      </c>
      <c r="EF622" t="s">
        <v>1321</v>
      </c>
      <c r="EG622" t="s">
        <v>2516</v>
      </c>
      <c r="EH622">
        <v>3</v>
      </c>
      <c r="EI622">
        <v>3</v>
      </c>
      <c r="EJ622" t="s">
        <v>1321</v>
      </c>
      <c r="EK622" t="s">
        <v>1321</v>
      </c>
      <c r="EL622" t="s">
        <v>1321</v>
      </c>
      <c r="EM622" t="s">
        <v>1321</v>
      </c>
      <c r="EN622" t="s">
        <v>1321</v>
      </c>
      <c r="EO622" t="s">
        <v>1321</v>
      </c>
      <c r="EP622" t="s">
        <v>1321</v>
      </c>
      <c r="EQ622" t="s">
        <v>1321</v>
      </c>
      <c r="ER622" t="s">
        <v>1321</v>
      </c>
      <c r="ES622" t="s">
        <v>1321</v>
      </c>
      <c r="ET622" t="s">
        <v>1321</v>
      </c>
      <c r="EU622" t="s">
        <v>1321</v>
      </c>
      <c r="EV622" t="s">
        <v>1321</v>
      </c>
      <c r="EW622" t="s">
        <v>1321</v>
      </c>
      <c r="EY622" t="s">
        <v>1321</v>
      </c>
      <c r="EZ622" t="s">
        <v>1321</v>
      </c>
      <c r="FA622" t="s">
        <v>1321</v>
      </c>
      <c r="FB622" t="s">
        <v>1321</v>
      </c>
      <c r="FC622" t="s">
        <v>1321</v>
      </c>
      <c r="FD622" t="s">
        <v>1321</v>
      </c>
      <c r="FE622" t="s">
        <v>1321</v>
      </c>
      <c r="FG622" t="s">
        <v>1321</v>
      </c>
      <c r="FH622" t="s">
        <v>1321</v>
      </c>
      <c r="FI622" t="s">
        <v>1321</v>
      </c>
      <c r="FJ622" t="s">
        <v>1321</v>
      </c>
      <c r="FK622" t="s">
        <v>1321</v>
      </c>
      <c r="FL622" t="s">
        <v>1321</v>
      </c>
      <c r="FM622" t="s">
        <v>1321</v>
      </c>
      <c r="FN622" t="s">
        <v>1321</v>
      </c>
      <c r="FO622" t="s">
        <v>1321</v>
      </c>
      <c r="FP622" t="s">
        <v>1321</v>
      </c>
      <c r="FQ622" t="s">
        <v>1321</v>
      </c>
      <c r="FR622" t="s">
        <v>1321</v>
      </c>
      <c r="FS622" t="s">
        <v>1321</v>
      </c>
      <c r="FT622" t="s">
        <v>1321</v>
      </c>
      <c r="IL622">
        <f t="shared" si="17"/>
        <v>299</v>
      </c>
    </row>
    <row r="623" spans="1:246" outlineLevel="1" x14ac:dyDescent="0.2">
      <c r="A623" t="str">
        <f t="shared" si="16"/>
        <v>Verschwindibus</v>
      </c>
      <c r="EZ623" t="s">
        <v>4569</v>
      </c>
      <c r="FA623" t="s">
        <v>4569</v>
      </c>
      <c r="FM623" t="s">
        <v>4569</v>
      </c>
      <c r="FP623" t="s">
        <v>4569</v>
      </c>
      <c r="FQ623" t="s">
        <v>4569</v>
      </c>
      <c r="FR623" t="s">
        <v>4569</v>
      </c>
      <c r="FS623" t="s">
        <v>4569</v>
      </c>
      <c r="GF623">
        <v>5</v>
      </c>
      <c r="GG623">
        <v>5</v>
      </c>
      <c r="GH623">
        <v>5</v>
      </c>
      <c r="GI623">
        <v>5</v>
      </c>
      <c r="GJ623">
        <v>5</v>
      </c>
      <c r="GK623">
        <v>5</v>
      </c>
      <c r="GL623">
        <v>5</v>
      </c>
      <c r="IL623">
        <f t="shared" si="17"/>
        <v>300</v>
      </c>
    </row>
    <row r="624" spans="1:246" outlineLevel="1" x14ac:dyDescent="0.2">
      <c r="A624" t="str">
        <f t="shared" si="16"/>
        <v>Verständigung stören</v>
      </c>
      <c r="C624" t="s">
        <v>1321</v>
      </c>
      <c r="D624" t="s">
        <v>1321</v>
      </c>
      <c r="E624" t="s">
        <v>1321</v>
      </c>
      <c r="F624" t="s">
        <v>1321</v>
      </c>
      <c r="G624" t="s">
        <v>1321</v>
      </c>
      <c r="H624" t="s">
        <v>1321</v>
      </c>
      <c r="I624" t="s">
        <v>1321</v>
      </c>
      <c r="J624" t="s">
        <v>1321</v>
      </c>
      <c r="K624" t="s">
        <v>1321</v>
      </c>
      <c r="L624" t="s">
        <v>1321</v>
      </c>
      <c r="M624" t="s">
        <v>1321</v>
      </c>
      <c r="N624" t="s">
        <v>1321</v>
      </c>
      <c r="P624" t="s">
        <v>1321</v>
      </c>
      <c r="Q624" t="s">
        <v>1321</v>
      </c>
      <c r="R624" t="s">
        <v>1321</v>
      </c>
      <c r="S624" t="s">
        <v>1321</v>
      </c>
      <c r="T624" t="s">
        <v>1321</v>
      </c>
      <c r="U624" t="s">
        <v>1321</v>
      </c>
      <c r="V624" t="s">
        <v>1321</v>
      </c>
      <c r="W624" t="s">
        <v>1321</v>
      </c>
      <c r="X624" t="s">
        <v>1321</v>
      </c>
      <c r="Y624" t="s">
        <v>1321</v>
      </c>
      <c r="Z624" t="s">
        <v>1321</v>
      </c>
      <c r="AA624" t="s">
        <v>1321</v>
      </c>
      <c r="AB624" t="s">
        <v>1321</v>
      </c>
      <c r="AC624" t="s">
        <v>1321</v>
      </c>
      <c r="AD624" t="s">
        <v>1321</v>
      </c>
      <c r="AE624" t="s">
        <v>1321</v>
      </c>
      <c r="AF624" t="s">
        <v>1321</v>
      </c>
      <c r="AG624" t="s">
        <v>1321</v>
      </c>
      <c r="AH624" t="s">
        <v>1321</v>
      </c>
      <c r="AI624" t="s">
        <v>1321</v>
      </c>
      <c r="AJ624" t="s">
        <v>1321</v>
      </c>
      <c r="AK624" t="s">
        <v>1321</v>
      </c>
      <c r="AL624" t="s">
        <v>1321</v>
      </c>
      <c r="AM624" t="s">
        <v>1321</v>
      </c>
      <c r="AN624" t="s">
        <v>1321</v>
      </c>
      <c r="AO624" t="s">
        <v>1321</v>
      </c>
      <c r="AP624" t="s">
        <v>1321</v>
      </c>
      <c r="AQ624" t="s">
        <v>1321</v>
      </c>
      <c r="AR624" t="s">
        <v>1321</v>
      </c>
      <c r="AS624" t="s">
        <v>1321</v>
      </c>
      <c r="AU624" t="s">
        <v>1321</v>
      </c>
      <c r="AV624" t="s">
        <v>1321</v>
      </c>
      <c r="AW624" t="s">
        <v>1321</v>
      </c>
      <c r="AX624" t="s">
        <v>1321</v>
      </c>
      <c r="BC624" t="s">
        <v>1321</v>
      </c>
      <c r="BD624" t="s">
        <v>1321</v>
      </c>
      <c r="BE624">
        <v>3</v>
      </c>
      <c r="BI624" t="s">
        <v>1321</v>
      </c>
      <c r="BJ624" t="s">
        <v>1321</v>
      </c>
      <c r="CW624" t="s">
        <v>1321</v>
      </c>
      <c r="CX624" t="s">
        <v>1321</v>
      </c>
      <c r="CY624" t="s">
        <v>1321</v>
      </c>
      <c r="CZ624" t="s">
        <v>1321</v>
      </c>
      <c r="DA624" t="s">
        <v>1321</v>
      </c>
      <c r="DB624" t="s">
        <v>1321</v>
      </c>
      <c r="DC624" t="s">
        <v>1321</v>
      </c>
      <c r="DD624" t="s">
        <v>4901</v>
      </c>
      <c r="DE624" t="s">
        <v>1321</v>
      </c>
      <c r="DL624" t="s">
        <v>1321</v>
      </c>
      <c r="DM624" t="s">
        <v>1321</v>
      </c>
      <c r="DN624" t="s">
        <v>1321</v>
      </c>
      <c r="DO624" t="s">
        <v>1321</v>
      </c>
      <c r="DP624" t="s">
        <v>1321</v>
      </c>
      <c r="DQ624" t="s">
        <v>1321</v>
      </c>
      <c r="DR624" t="s">
        <v>1321</v>
      </c>
      <c r="DS624">
        <v>2</v>
      </c>
      <c r="DT624" t="s">
        <v>1321</v>
      </c>
      <c r="DU624" t="s">
        <v>1321</v>
      </c>
      <c r="DV624" t="s">
        <v>1321</v>
      </c>
      <c r="DW624" t="s">
        <v>1321</v>
      </c>
      <c r="DX624" t="s">
        <v>1321</v>
      </c>
      <c r="DY624" t="s">
        <v>1321</v>
      </c>
      <c r="DZ624" t="s">
        <v>1321</v>
      </c>
      <c r="EA624" t="s">
        <v>1321</v>
      </c>
      <c r="EB624" t="s">
        <v>1321</v>
      </c>
      <c r="EC624" t="s">
        <v>1321</v>
      </c>
      <c r="ED624" t="s">
        <v>1321</v>
      </c>
      <c r="EE624" t="s">
        <v>1321</v>
      </c>
      <c r="EF624" t="s">
        <v>1321</v>
      </c>
      <c r="EG624" t="s">
        <v>1321</v>
      </c>
      <c r="EH624" t="s">
        <v>1321</v>
      </c>
      <c r="EI624" t="s">
        <v>1321</v>
      </c>
      <c r="EJ624" t="s">
        <v>1321</v>
      </c>
      <c r="EK624" t="s">
        <v>1321</v>
      </c>
      <c r="EL624" t="s">
        <v>1321</v>
      </c>
      <c r="EM624" t="s">
        <v>1321</v>
      </c>
      <c r="EN624" t="s">
        <v>1321</v>
      </c>
      <c r="EO624" t="s">
        <v>1321</v>
      </c>
      <c r="EP624" t="s">
        <v>1321</v>
      </c>
      <c r="EQ624" t="s">
        <v>1321</v>
      </c>
      <c r="ER624" t="s">
        <v>1321</v>
      </c>
      <c r="ES624" t="s">
        <v>1321</v>
      </c>
      <c r="ET624" t="s">
        <v>1321</v>
      </c>
      <c r="EU624" t="s">
        <v>1321</v>
      </c>
      <c r="EV624" t="s">
        <v>1321</v>
      </c>
      <c r="EW624">
        <v>4</v>
      </c>
      <c r="EY624" t="s">
        <v>1321</v>
      </c>
      <c r="EZ624" t="s">
        <v>1321</v>
      </c>
      <c r="FA624" t="s">
        <v>1321</v>
      </c>
      <c r="FB624" t="s">
        <v>1321</v>
      </c>
      <c r="FC624" t="s">
        <v>1321</v>
      </c>
      <c r="FD624" t="s">
        <v>1321</v>
      </c>
      <c r="FE624" t="s">
        <v>1321</v>
      </c>
      <c r="FG624" t="s">
        <v>1321</v>
      </c>
      <c r="FH624" t="s">
        <v>1321</v>
      </c>
      <c r="FI624" t="s">
        <v>1321</v>
      </c>
      <c r="FJ624" t="s">
        <v>1321</v>
      </c>
      <c r="FK624" t="s">
        <v>1321</v>
      </c>
      <c r="FL624" t="s">
        <v>1321</v>
      </c>
      <c r="FM624" t="s">
        <v>1321</v>
      </c>
      <c r="FN624" t="s">
        <v>1321</v>
      </c>
      <c r="FO624" t="s">
        <v>1321</v>
      </c>
      <c r="FP624" t="s">
        <v>1321</v>
      </c>
      <c r="FQ624" t="s">
        <v>1321</v>
      </c>
      <c r="FR624" t="s">
        <v>1321</v>
      </c>
      <c r="FS624" t="s">
        <v>1321</v>
      </c>
      <c r="FT624" t="s">
        <v>1321</v>
      </c>
      <c r="IL624">
        <f t="shared" si="17"/>
        <v>301</v>
      </c>
    </row>
    <row r="625" spans="1:246" outlineLevel="1" x14ac:dyDescent="0.2">
      <c r="A625" t="str">
        <f t="shared" si="16"/>
        <v>Verwandlung beenden</v>
      </c>
      <c r="C625" t="s">
        <v>1321</v>
      </c>
      <c r="D625" t="s">
        <v>1321</v>
      </c>
      <c r="E625" t="s">
        <v>1321</v>
      </c>
      <c r="F625" t="s">
        <v>1321</v>
      </c>
      <c r="G625" t="s">
        <v>1321</v>
      </c>
      <c r="H625" t="s">
        <v>1321</v>
      </c>
      <c r="I625" t="s">
        <v>1321</v>
      </c>
      <c r="J625" t="s">
        <v>1321</v>
      </c>
      <c r="K625" t="s">
        <v>1321</v>
      </c>
      <c r="L625" t="s">
        <v>1321</v>
      </c>
      <c r="M625" t="s">
        <v>1321</v>
      </c>
      <c r="N625" t="s">
        <v>1321</v>
      </c>
      <c r="AU625" t="s">
        <v>1321</v>
      </c>
      <c r="AV625" t="s">
        <v>1321</v>
      </c>
      <c r="AW625" t="s">
        <v>1321</v>
      </c>
      <c r="AX625" t="s">
        <v>1321</v>
      </c>
      <c r="AZ625" t="s">
        <v>1321</v>
      </c>
      <c r="BA625">
        <v>2</v>
      </c>
      <c r="BB625" t="s">
        <v>1321</v>
      </c>
      <c r="BC625" t="s">
        <v>1321</v>
      </c>
      <c r="BD625" t="s">
        <v>2514</v>
      </c>
      <c r="BE625" t="s">
        <v>1321</v>
      </c>
      <c r="BF625" t="s">
        <v>1321</v>
      </c>
      <c r="BG625" t="s">
        <v>1321</v>
      </c>
      <c r="CW625" t="s">
        <v>1321</v>
      </c>
      <c r="CX625" t="s">
        <v>1321</v>
      </c>
      <c r="CY625" t="s">
        <v>1321</v>
      </c>
      <c r="CZ625" t="s">
        <v>1321</v>
      </c>
      <c r="DA625" t="s">
        <v>1321</v>
      </c>
      <c r="DB625" t="s">
        <v>1321</v>
      </c>
      <c r="DC625" t="s">
        <v>1321</v>
      </c>
      <c r="DD625" t="s">
        <v>1321</v>
      </c>
      <c r="DE625">
        <v>2</v>
      </c>
      <c r="DG625">
        <v>3</v>
      </c>
      <c r="DL625" t="s">
        <v>1321</v>
      </c>
      <c r="DM625" t="s">
        <v>1321</v>
      </c>
      <c r="DN625" t="s">
        <v>1321</v>
      </c>
      <c r="DO625" t="s">
        <v>1321</v>
      </c>
      <c r="DP625" t="s">
        <v>2515</v>
      </c>
      <c r="DQ625" t="s">
        <v>1321</v>
      </c>
      <c r="DR625" t="s">
        <v>1321</v>
      </c>
      <c r="DS625" t="s">
        <v>2516</v>
      </c>
      <c r="DT625" t="s">
        <v>1321</v>
      </c>
      <c r="DU625" t="s">
        <v>1321</v>
      </c>
      <c r="DV625" t="s">
        <v>1321</v>
      </c>
      <c r="DW625" t="s">
        <v>1321</v>
      </c>
      <c r="DX625" t="s">
        <v>1321</v>
      </c>
      <c r="DY625" t="s">
        <v>2516</v>
      </c>
      <c r="DZ625" t="s">
        <v>1321</v>
      </c>
      <c r="EA625">
        <v>2</v>
      </c>
      <c r="EB625">
        <v>3</v>
      </c>
      <c r="EC625" t="s">
        <v>1321</v>
      </c>
      <c r="ED625" t="s">
        <v>1321</v>
      </c>
      <c r="EE625" t="s">
        <v>1321</v>
      </c>
      <c r="EF625">
        <v>3</v>
      </c>
      <c r="EG625" t="s">
        <v>1321</v>
      </c>
      <c r="EH625" t="s">
        <v>1321</v>
      </c>
      <c r="EI625" t="s">
        <v>1321</v>
      </c>
      <c r="EJ625" t="s">
        <v>2515</v>
      </c>
      <c r="EK625" t="s">
        <v>1321</v>
      </c>
      <c r="EL625" t="s">
        <v>1321</v>
      </c>
      <c r="EM625" t="s">
        <v>1321</v>
      </c>
      <c r="EN625" t="s">
        <v>1321</v>
      </c>
      <c r="EO625" t="s">
        <v>1321</v>
      </c>
      <c r="EP625" t="s">
        <v>1321</v>
      </c>
      <c r="EQ625" t="s">
        <v>1321</v>
      </c>
      <c r="ER625" t="s">
        <v>2516</v>
      </c>
      <c r="ES625" t="s">
        <v>1321</v>
      </c>
      <c r="ET625">
        <v>4</v>
      </c>
      <c r="EU625" t="s">
        <v>1321</v>
      </c>
      <c r="EV625" t="s">
        <v>4901</v>
      </c>
      <c r="EW625">
        <v>4</v>
      </c>
      <c r="EY625" t="s">
        <v>1321</v>
      </c>
      <c r="EZ625" t="s">
        <v>1321</v>
      </c>
      <c r="FA625" t="s">
        <v>1321</v>
      </c>
      <c r="FB625" t="s">
        <v>1321</v>
      </c>
      <c r="FC625" t="s">
        <v>1321</v>
      </c>
      <c r="FD625" t="s">
        <v>1321</v>
      </c>
      <c r="FE625" t="s">
        <v>1321</v>
      </c>
      <c r="FG625" t="s">
        <v>1321</v>
      </c>
      <c r="FH625" t="s">
        <v>1321</v>
      </c>
      <c r="FI625" t="s">
        <v>1321</v>
      </c>
      <c r="FJ625" t="s">
        <v>1321</v>
      </c>
      <c r="FK625" t="s">
        <v>1321</v>
      </c>
      <c r="FL625">
        <v>2</v>
      </c>
      <c r="FM625" t="s">
        <v>1321</v>
      </c>
      <c r="FN625" t="s">
        <v>1321</v>
      </c>
      <c r="FO625" t="s">
        <v>1321</v>
      </c>
      <c r="FP625" t="s">
        <v>1321</v>
      </c>
      <c r="FQ625" t="s">
        <v>1321</v>
      </c>
      <c r="FR625">
        <v>3</v>
      </c>
      <c r="FS625" t="s">
        <v>1321</v>
      </c>
      <c r="FT625" t="s">
        <v>1321</v>
      </c>
      <c r="IL625">
        <f t="shared" si="17"/>
        <v>302</v>
      </c>
    </row>
    <row r="626" spans="1:246" outlineLevel="1" x14ac:dyDescent="0.2">
      <c r="A626" t="str">
        <f t="shared" si="16"/>
        <v>Vipernblick</v>
      </c>
      <c r="BB626" t="s">
        <v>1321</v>
      </c>
      <c r="BD626">
        <v>3</v>
      </c>
      <c r="BG626" t="s">
        <v>1321</v>
      </c>
      <c r="EZ626" t="s">
        <v>4569</v>
      </c>
      <c r="FA626" t="s">
        <v>4569</v>
      </c>
      <c r="FM626" t="s">
        <v>4569</v>
      </c>
      <c r="FP626" t="s">
        <v>4569</v>
      </c>
      <c r="FQ626" t="s">
        <v>4569</v>
      </c>
      <c r="FR626" t="s">
        <v>4569</v>
      </c>
      <c r="FS626" t="s">
        <v>4569</v>
      </c>
      <c r="IL626">
        <f t="shared" si="17"/>
        <v>303</v>
      </c>
    </row>
    <row r="627" spans="1:246" outlineLevel="1" x14ac:dyDescent="0.2">
      <c r="A627" t="str">
        <f t="shared" ref="A627:A661" si="18">INDEX(ZAUBER,$IL627)</f>
        <v>Visibili Vanitar</v>
      </c>
      <c r="P627" t="s">
        <v>1321</v>
      </c>
      <c r="Q627" t="s">
        <v>1321</v>
      </c>
      <c r="R627" t="s">
        <v>1321</v>
      </c>
      <c r="S627" t="s">
        <v>1321</v>
      </c>
      <c r="T627" t="s">
        <v>1321</v>
      </c>
      <c r="U627" t="s">
        <v>1321</v>
      </c>
      <c r="V627" t="s">
        <v>1321</v>
      </c>
      <c r="W627" t="s">
        <v>1321</v>
      </c>
      <c r="X627" t="s">
        <v>1321</v>
      </c>
      <c r="Y627" t="s">
        <v>1321</v>
      </c>
      <c r="Z627" t="s">
        <v>1321</v>
      </c>
      <c r="AA627" t="s">
        <v>1321</v>
      </c>
      <c r="AB627" t="s">
        <v>1321</v>
      </c>
      <c r="AC627" t="s">
        <v>1321</v>
      </c>
      <c r="AD627" t="s">
        <v>1321</v>
      </c>
      <c r="AE627" t="s">
        <v>1321</v>
      </c>
      <c r="AF627" t="s">
        <v>1321</v>
      </c>
      <c r="AG627" t="s">
        <v>1321</v>
      </c>
      <c r="AH627" t="s">
        <v>1321</v>
      </c>
      <c r="AI627" t="s">
        <v>1321</v>
      </c>
      <c r="AJ627" t="s">
        <v>1321</v>
      </c>
      <c r="AK627" t="s">
        <v>1321</v>
      </c>
      <c r="AL627" t="s">
        <v>1321</v>
      </c>
      <c r="AM627" t="s">
        <v>1321</v>
      </c>
      <c r="AN627" t="s">
        <v>1321</v>
      </c>
      <c r="AO627" t="s">
        <v>1321</v>
      </c>
      <c r="AP627" t="s">
        <v>1321</v>
      </c>
      <c r="AQ627" t="s">
        <v>1321</v>
      </c>
      <c r="AR627" t="s">
        <v>1321</v>
      </c>
      <c r="AS627" t="s">
        <v>1321</v>
      </c>
      <c r="CW627" t="s">
        <v>1321</v>
      </c>
      <c r="CX627" t="s">
        <v>1321</v>
      </c>
      <c r="CY627">
        <v>3</v>
      </c>
      <c r="CZ627" t="s">
        <v>1321</v>
      </c>
      <c r="DA627" t="s">
        <v>1321</v>
      </c>
      <c r="DB627" t="s">
        <v>1321</v>
      </c>
      <c r="DC627" t="s">
        <v>1321</v>
      </c>
      <c r="DD627" t="s">
        <v>1321</v>
      </c>
      <c r="DE627" t="s">
        <v>1321</v>
      </c>
      <c r="DF627" t="s">
        <v>1321</v>
      </c>
      <c r="DG627" t="s">
        <v>1321</v>
      </c>
      <c r="DH627" t="s">
        <v>1321</v>
      </c>
      <c r="DI627" t="s">
        <v>1321</v>
      </c>
      <c r="DJ627" t="s">
        <v>1321</v>
      </c>
      <c r="DK627" t="s">
        <v>1321</v>
      </c>
      <c r="DL627">
        <v>3</v>
      </c>
      <c r="DM627" t="s">
        <v>1321</v>
      </c>
      <c r="DN627" t="s">
        <v>1321</v>
      </c>
      <c r="DO627" t="s">
        <v>1321</v>
      </c>
      <c r="DP627" t="s">
        <v>1321</v>
      </c>
      <c r="DQ627" t="s">
        <v>1321</v>
      </c>
      <c r="DR627" t="s">
        <v>1321</v>
      </c>
      <c r="DS627" t="s">
        <v>1321</v>
      </c>
      <c r="DT627" t="s">
        <v>1321</v>
      </c>
      <c r="DU627">
        <v>3</v>
      </c>
      <c r="DV627" t="s">
        <v>1321</v>
      </c>
      <c r="DW627" t="s">
        <v>1321</v>
      </c>
      <c r="DX627" t="s">
        <v>1321</v>
      </c>
      <c r="DY627" t="s">
        <v>4901</v>
      </c>
      <c r="DZ627" t="s">
        <v>1321</v>
      </c>
      <c r="EA627" t="s">
        <v>2515</v>
      </c>
      <c r="EB627" t="s">
        <v>1321</v>
      </c>
      <c r="EC627" t="s">
        <v>1321</v>
      </c>
      <c r="ED627" t="s">
        <v>1321</v>
      </c>
      <c r="EE627" t="s">
        <v>1321</v>
      </c>
      <c r="EF627" t="s">
        <v>1321</v>
      </c>
      <c r="EG627" t="s">
        <v>1321</v>
      </c>
      <c r="EH627" t="s">
        <v>1321</v>
      </c>
      <c r="EI627" t="s">
        <v>1321</v>
      </c>
      <c r="EJ627" t="s">
        <v>1321</v>
      </c>
      <c r="EK627" t="s">
        <v>1321</v>
      </c>
      <c r="EL627" t="s">
        <v>1321</v>
      </c>
      <c r="EM627" t="s">
        <v>1321</v>
      </c>
      <c r="EN627" t="s">
        <v>1321</v>
      </c>
      <c r="EO627" t="s">
        <v>1321</v>
      </c>
      <c r="EP627" t="s">
        <v>1321</v>
      </c>
      <c r="EQ627" t="s">
        <v>1321</v>
      </c>
      <c r="ER627">
        <v>2</v>
      </c>
      <c r="ES627" t="s">
        <v>1321</v>
      </c>
      <c r="ET627" t="s">
        <v>1321</v>
      </c>
      <c r="EU627" t="s">
        <v>2516</v>
      </c>
      <c r="EV627">
        <v>4</v>
      </c>
      <c r="EW627" t="s">
        <v>1321</v>
      </c>
      <c r="EY627" t="s">
        <v>1321</v>
      </c>
      <c r="EZ627" t="s">
        <v>1321</v>
      </c>
      <c r="FA627" t="s">
        <v>1321</v>
      </c>
      <c r="FB627" t="s">
        <v>1321</v>
      </c>
      <c r="FC627" t="s">
        <v>1321</v>
      </c>
      <c r="FD627" t="s">
        <v>1321</v>
      </c>
      <c r="FE627" t="s">
        <v>2516</v>
      </c>
      <c r="FF627" t="s">
        <v>1321</v>
      </c>
      <c r="FG627" t="s">
        <v>1321</v>
      </c>
      <c r="FH627" t="s">
        <v>1321</v>
      </c>
      <c r="FI627" t="s">
        <v>4901</v>
      </c>
      <c r="FJ627" t="s">
        <v>1321</v>
      </c>
      <c r="FK627" t="s">
        <v>1321</v>
      </c>
      <c r="FL627" t="s">
        <v>1321</v>
      </c>
      <c r="FM627" t="s">
        <v>1321</v>
      </c>
      <c r="FN627" t="s">
        <v>1321</v>
      </c>
      <c r="FO627" t="s">
        <v>1321</v>
      </c>
      <c r="FP627" t="s">
        <v>1321</v>
      </c>
      <c r="FQ627" t="s">
        <v>1321</v>
      </c>
      <c r="FR627" t="s">
        <v>1321</v>
      </c>
      <c r="FS627">
        <v>4</v>
      </c>
      <c r="FT627" t="s">
        <v>1321</v>
      </c>
      <c r="GF627" t="s">
        <v>1321</v>
      </c>
      <c r="GG627" t="s">
        <v>1321</v>
      </c>
      <c r="GH627" t="s">
        <v>1321</v>
      </c>
      <c r="GI627" t="s">
        <v>1321</v>
      </c>
      <c r="GJ627" t="s">
        <v>1321</v>
      </c>
      <c r="GK627" t="s">
        <v>1321</v>
      </c>
      <c r="GL627">
        <v>5</v>
      </c>
      <c r="HB627" t="s">
        <v>1321</v>
      </c>
      <c r="HD627" t="s">
        <v>1321</v>
      </c>
      <c r="HF627" t="s">
        <v>1321</v>
      </c>
      <c r="HH627" t="s">
        <v>1321</v>
      </c>
      <c r="HJ627" t="s">
        <v>1321</v>
      </c>
      <c r="HL627" t="s">
        <v>1321</v>
      </c>
      <c r="HN627" t="s">
        <v>1321</v>
      </c>
      <c r="HP627" t="s">
        <v>1321</v>
      </c>
      <c r="HQ627" t="s">
        <v>1321</v>
      </c>
      <c r="HS627" t="s">
        <v>1321</v>
      </c>
      <c r="HU627" t="s">
        <v>1321</v>
      </c>
      <c r="HW627" t="s">
        <v>1321</v>
      </c>
      <c r="HY627" t="s">
        <v>1321</v>
      </c>
      <c r="IA627" t="s">
        <v>1321</v>
      </c>
      <c r="IC627" t="s">
        <v>1321</v>
      </c>
      <c r="ID627" t="s">
        <v>1321</v>
      </c>
      <c r="IG627" t="s">
        <v>1321</v>
      </c>
      <c r="II627" t="s">
        <v>1321</v>
      </c>
      <c r="IL627">
        <f t="shared" si="17"/>
        <v>304</v>
      </c>
    </row>
    <row r="628" spans="1:246" outlineLevel="1" x14ac:dyDescent="0.2">
      <c r="A628" t="str">
        <f t="shared" si="18"/>
        <v>Vocolimbo hohler Klang</v>
      </c>
      <c r="CW628" t="s">
        <v>1321</v>
      </c>
      <c r="CX628" t="s">
        <v>1321</v>
      </c>
      <c r="CY628" t="s">
        <v>1321</v>
      </c>
      <c r="CZ628" t="s">
        <v>1321</v>
      </c>
      <c r="DA628" t="s">
        <v>1321</v>
      </c>
      <c r="DB628" t="s">
        <v>1321</v>
      </c>
      <c r="DL628" t="s">
        <v>1321</v>
      </c>
      <c r="DM628" t="s">
        <v>1321</v>
      </c>
      <c r="DN628" t="s">
        <v>1321</v>
      </c>
      <c r="DO628" t="s">
        <v>1321</v>
      </c>
      <c r="DP628" t="s">
        <v>1321</v>
      </c>
      <c r="DQ628" t="s">
        <v>1321</v>
      </c>
      <c r="DR628" t="s">
        <v>1321</v>
      </c>
      <c r="DS628" t="s">
        <v>1321</v>
      </c>
      <c r="DT628" t="s">
        <v>1321</v>
      </c>
      <c r="DU628">
        <v>3</v>
      </c>
      <c r="DV628" t="s">
        <v>1321</v>
      </c>
      <c r="DW628" t="s">
        <v>1321</v>
      </c>
      <c r="DX628" t="s">
        <v>1321</v>
      </c>
      <c r="DY628" t="s">
        <v>1321</v>
      </c>
      <c r="DZ628" t="s">
        <v>1321</v>
      </c>
      <c r="EA628" t="s">
        <v>1321</v>
      </c>
      <c r="EB628" t="s">
        <v>1321</v>
      </c>
      <c r="EC628" t="s">
        <v>1321</v>
      </c>
      <c r="ED628" t="s">
        <v>1321</v>
      </c>
      <c r="EE628" t="s">
        <v>1321</v>
      </c>
      <c r="EF628" t="s">
        <v>1321</v>
      </c>
      <c r="EG628" t="s">
        <v>1321</v>
      </c>
      <c r="EH628" t="s">
        <v>1321</v>
      </c>
      <c r="EI628" t="s">
        <v>1321</v>
      </c>
      <c r="EJ628" t="s">
        <v>1321</v>
      </c>
      <c r="EK628" t="s">
        <v>1321</v>
      </c>
      <c r="EL628" t="s">
        <v>1321</v>
      </c>
      <c r="EM628" t="s">
        <v>1321</v>
      </c>
      <c r="EN628" t="s">
        <v>1321</v>
      </c>
      <c r="EO628" t="s">
        <v>1321</v>
      </c>
      <c r="EP628" t="s">
        <v>1321</v>
      </c>
      <c r="EQ628" t="s">
        <v>1321</v>
      </c>
      <c r="ER628" t="s">
        <v>1321</v>
      </c>
      <c r="ES628" t="s">
        <v>1321</v>
      </c>
      <c r="ET628" t="s">
        <v>1321</v>
      </c>
      <c r="EU628">
        <v>5</v>
      </c>
      <c r="EV628" t="s">
        <v>1321</v>
      </c>
      <c r="EW628" t="s">
        <v>1321</v>
      </c>
      <c r="EY628" t="s">
        <v>1321</v>
      </c>
      <c r="EZ628" t="s">
        <v>1321</v>
      </c>
      <c r="FA628" t="s">
        <v>1321</v>
      </c>
      <c r="FB628" t="s">
        <v>1321</v>
      </c>
      <c r="FC628" t="s">
        <v>1321</v>
      </c>
      <c r="FD628" t="s">
        <v>1321</v>
      </c>
      <c r="FE628" t="s">
        <v>1321</v>
      </c>
      <c r="FG628" t="s">
        <v>1321</v>
      </c>
      <c r="FH628" t="s">
        <v>4901</v>
      </c>
      <c r="FI628" t="s">
        <v>1321</v>
      </c>
      <c r="FJ628" t="s">
        <v>1321</v>
      </c>
      <c r="FK628" t="s">
        <v>1321</v>
      </c>
      <c r="FL628" t="s">
        <v>1321</v>
      </c>
      <c r="FM628" t="s">
        <v>1321</v>
      </c>
      <c r="FN628" t="s">
        <v>1321</v>
      </c>
      <c r="FO628" t="s">
        <v>1321</v>
      </c>
      <c r="FP628" t="s">
        <v>1321</v>
      </c>
      <c r="FQ628" t="s">
        <v>1321</v>
      </c>
      <c r="FR628" t="s">
        <v>1321</v>
      </c>
      <c r="FS628" t="s">
        <v>1321</v>
      </c>
      <c r="FT628" t="s">
        <v>1321</v>
      </c>
      <c r="FV628" t="s">
        <v>1321</v>
      </c>
      <c r="FX628" t="s">
        <v>1321</v>
      </c>
      <c r="FY628" t="s">
        <v>1321</v>
      </c>
      <c r="FZ628" t="s">
        <v>2516</v>
      </c>
      <c r="GA628" t="s">
        <v>2514</v>
      </c>
      <c r="GB628" t="s">
        <v>1321</v>
      </c>
      <c r="GC628" t="s">
        <v>2515</v>
      </c>
      <c r="GD628" t="s">
        <v>1321</v>
      </c>
      <c r="IL628">
        <f t="shared" si="17"/>
        <v>305</v>
      </c>
    </row>
    <row r="629" spans="1:246" outlineLevel="1" x14ac:dyDescent="0.2">
      <c r="A629" t="str">
        <f t="shared" si="18"/>
        <v>Vogelzwitschern Glockenspiel</v>
      </c>
      <c r="CW629" t="s">
        <v>1321</v>
      </c>
      <c r="CX629" t="s">
        <v>1321</v>
      </c>
      <c r="CY629" t="s">
        <v>1321</v>
      </c>
      <c r="CZ629" t="s">
        <v>1321</v>
      </c>
      <c r="DA629" t="s">
        <v>1321</v>
      </c>
      <c r="DB629" t="s">
        <v>1321</v>
      </c>
      <c r="DL629" t="s">
        <v>1321</v>
      </c>
      <c r="DM629" t="s">
        <v>1321</v>
      </c>
      <c r="DN629" t="s">
        <v>1321</v>
      </c>
      <c r="DO629" t="s">
        <v>1321</v>
      </c>
      <c r="DP629" t="s">
        <v>1321</v>
      </c>
      <c r="DQ629" t="s">
        <v>1321</v>
      </c>
      <c r="DR629" t="s">
        <v>1321</v>
      </c>
      <c r="DS629" t="s">
        <v>1321</v>
      </c>
      <c r="DT629" t="s">
        <v>1321</v>
      </c>
      <c r="DU629">
        <v>4</v>
      </c>
      <c r="DV629" t="s">
        <v>1321</v>
      </c>
      <c r="DW629" t="s">
        <v>1321</v>
      </c>
      <c r="DX629" t="s">
        <v>1321</v>
      </c>
      <c r="DY629" t="s">
        <v>1321</v>
      </c>
      <c r="DZ629" t="s">
        <v>1321</v>
      </c>
      <c r="EA629" t="s">
        <v>1321</v>
      </c>
      <c r="EB629" t="s">
        <v>1321</v>
      </c>
      <c r="EC629" t="s">
        <v>1321</v>
      </c>
      <c r="ED629" t="s">
        <v>1321</v>
      </c>
      <c r="EE629" t="s">
        <v>1321</v>
      </c>
      <c r="EF629" t="s">
        <v>1321</v>
      </c>
      <c r="EG629" t="s">
        <v>1321</v>
      </c>
      <c r="EH629" t="s">
        <v>1321</v>
      </c>
      <c r="EI629" t="s">
        <v>1321</v>
      </c>
      <c r="EJ629" t="s">
        <v>1321</v>
      </c>
      <c r="EK629" t="s">
        <v>1321</v>
      </c>
      <c r="EL629" t="s">
        <v>1321</v>
      </c>
      <c r="EM629" t="s">
        <v>1321</v>
      </c>
      <c r="EN629" t="s">
        <v>1321</v>
      </c>
      <c r="EO629" t="s">
        <v>1321</v>
      </c>
      <c r="EP629" t="s">
        <v>1321</v>
      </c>
      <c r="EQ629" t="s">
        <v>1321</v>
      </c>
      <c r="ER629" t="s">
        <v>1321</v>
      </c>
      <c r="ES629" t="s">
        <v>1321</v>
      </c>
      <c r="ET629" t="s">
        <v>1321</v>
      </c>
      <c r="EU629" t="s">
        <v>2514</v>
      </c>
      <c r="EV629" t="s">
        <v>1321</v>
      </c>
      <c r="EW629" t="s">
        <v>1321</v>
      </c>
      <c r="EY629" t="s">
        <v>1321</v>
      </c>
      <c r="EZ629" t="s">
        <v>1321</v>
      </c>
      <c r="FA629" t="s">
        <v>1321</v>
      </c>
      <c r="FB629" t="s">
        <v>1321</v>
      </c>
      <c r="FC629" t="s">
        <v>1321</v>
      </c>
      <c r="FD629" t="s">
        <v>1321</v>
      </c>
      <c r="FE629" t="s">
        <v>1321</v>
      </c>
      <c r="FG629" t="s">
        <v>1321</v>
      </c>
      <c r="FH629" t="s">
        <v>1321</v>
      </c>
      <c r="FI629" t="s">
        <v>1321</v>
      </c>
      <c r="FJ629" t="s">
        <v>1321</v>
      </c>
      <c r="FK629" t="s">
        <v>1321</v>
      </c>
      <c r="FL629" t="s">
        <v>1321</v>
      </c>
      <c r="FM629" t="s">
        <v>1321</v>
      </c>
      <c r="FN629" t="s">
        <v>1321</v>
      </c>
      <c r="FO629" t="s">
        <v>1321</v>
      </c>
      <c r="FP629" t="s">
        <v>1321</v>
      </c>
      <c r="FQ629" t="s">
        <v>1321</v>
      </c>
      <c r="FR629" t="s">
        <v>1321</v>
      </c>
      <c r="FS629" t="s">
        <v>1321</v>
      </c>
      <c r="FT629" t="s">
        <v>1321</v>
      </c>
      <c r="FX629" t="s">
        <v>1321</v>
      </c>
      <c r="FY629" t="s">
        <v>2515</v>
      </c>
      <c r="FZ629">
        <v>3</v>
      </c>
      <c r="GA629" t="s">
        <v>1321</v>
      </c>
      <c r="GB629" t="s">
        <v>1321</v>
      </c>
      <c r="GC629" t="s">
        <v>1321</v>
      </c>
      <c r="GD629" t="s">
        <v>1321</v>
      </c>
      <c r="GI629">
        <v>4</v>
      </c>
      <c r="GK629" t="s">
        <v>1321</v>
      </c>
      <c r="IL629">
        <f t="shared" si="17"/>
        <v>306</v>
      </c>
    </row>
    <row r="630" spans="1:246" outlineLevel="1" x14ac:dyDescent="0.2">
      <c r="A630" t="str">
        <f t="shared" si="18"/>
        <v>Wand aus Dornen</v>
      </c>
      <c r="D630" t="s">
        <v>1321</v>
      </c>
      <c r="E630" t="s">
        <v>577</v>
      </c>
      <c r="J630" t="s">
        <v>2516</v>
      </c>
      <c r="AU630" t="s">
        <v>1321</v>
      </c>
      <c r="AV630" t="s">
        <v>1321</v>
      </c>
      <c r="AW630" t="s">
        <v>1321</v>
      </c>
      <c r="AX630" t="s">
        <v>1321</v>
      </c>
      <c r="DF630" t="s">
        <v>1321</v>
      </c>
      <c r="DG630" t="s">
        <v>2514</v>
      </c>
      <c r="DH630" t="s">
        <v>1321</v>
      </c>
      <c r="DI630" t="s">
        <v>1321</v>
      </c>
      <c r="DJ630" t="s">
        <v>1321</v>
      </c>
      <c r="DK630" t="s">
        <v>1321</v>
      </c>
      <c r="EK630" t="s">
        <v>1321</v>
      </c>
      <c r="EL630" t="s">
        <v>1321</v>
      </c>
      <c r="EM630" t="s">
        <v>1321</v>
      </c>
      <c r="EN630" t="s">
        <v>1321</v>
      </c>
      <c r="EZ630" t="s">
        <v>4569</v>
      </c>
      <c r="FA630" t="s">
        <v>4569</v>
      </c>
      <c r="FM630" t="s">
        <v>4569</v>
      </c>
      <c r="FN630" t="s">
        <v>784</v>
      </c>
      <c r="FP630" t="s">
        <v>4569</v>
      </c>
      <c r="FQ630" t="s">
        <v>4569</v>
      </c>
      <c r="FR630" t="s">
        <v>2515</v>
      </c>
      <c r="FS630" t="s">
        <v>4569</v>
      </c>
      <c r="IL630">
        <f t="shared" si="17"/>
        <v>307</v>
      </c>
    </row>
    <row r="631" spans="1:246" outlineLevel="1" x14ac:dyDescent="0.2">
      <c r="A631" t="str">
        <f t="shared" si="18"/>
        <v>Wand aus Erz</v>
      </c>
      <c r="M631" t="s">
        <v>4901</v>
      </c>
      <c r="AU631" t="s">
        <v>1321</v>
      </c>
      <c r="AV631" t="s">
        <v>1321</v>
      </c>
      <c r="AW631" t="s">
        <v>1321</v>
      </c>
      <c r="AX631" t="s">
        <v>1321</v>
      </c>
      <c r="DF631" t="s">
        <v>1321</v>
      </c>
      <c r="DG631" t="s">
        <v>1321</v>
      </c>
      <c r="DH631" t="s">
        <v>1321</v>
      </c>
      <c r="DI631" t="s">
        <v>1321</v>
      </c>
      <c r="DJ631" t="s">
        <v>2514</v>
      </c>
      <c r="DK631" t="s">
        <v>1321</v>
      </c>
      <c r="EK631" t="s">
        <v>1321</v>
      </c>
      <c r="EL631" t="s">
        <v>1321</v>
      </c>
      <c r="EM631" t="s">
        <v>1321</v>
      </c>
      <c r="EN631" t="s">
        <v>1321</v>
      </c>
      <c r="EZ631" t="s">
        <v>4569</v>
      </c>
      <c r="FA631" t="s">
        <v>4569</v>
      </c>
      <c r="FM631" t="s">
        <v>4569</v>
      </c>
      <c r="FP631" t="s">
        <v>2516</v>
      </c>
      <c r="FQ631" t="s">
        <v>4569</v>
      </c>
      <c r="FR631" t="s">
        <v>4569</v>
      </c>
      <c r="FS631" t="s">
        <v>4569</v>
      </c>
      <c r="IL631">
        <f t="shared" si="17"/>
        <v>308</v>
      </c>
    </row>
    <row r="632" spans="1:246" outlineLevel="1" x14ac:dyDescent="0.2">
      <c r="A632" t="str">
        <f t="shared" si="18"/>
        <v>Wand aus Flammen</v>
      </c>
      <c r="B632" t="s">
        <v>4171</v>
      </c>
      <c r="C632" t="s">
        <v>1321</v>
      </c>
      <c r="D632" t="s">
        <v>1321</v>
      </c>
      <c r="E632" t="s">
        <v>1321</v>
      </c>
      <c r="F632" t="s">
        <v>1321</v>
      </c>
      <c r="G632" t="s">
        <v>1321</v>
      </c>
      <c r="H632" t="s">
        <v>1321</v>
      </c>
      <c r="I632" t="s">
        <v>2516</v>
      </c>
      <c r="J632" t="s">
        <v>1321</v>
      </c>
      <c r="K632" t="s">
        <v>1321</v>
      </c>
      <c r="L632" t="s">
        <v>1321</v>
      </c>
      <c r="M632" t="s">
        <v>1321</v>
      </c>
      <c r="N632" t="s">
        <v>1321</v>
      </c>
      <c r="O632" t="s">
        <v>4171</v>
      </c>
      <c r="AT632" t="s">
        <v>4171</v>
      </c>
      <c r="AU632" t="s">
        <v>1321</v>
      </c>
      <c r="AV632" t="s">
        <v>1321</v>
      </c>
      <c r="AW632" t="s">
        <v>1321</v>
      </c>
      <c r="AX632" t="s">
        <v>1321</v>
      </c>
      <c r="AY632" t="s">
        <v>4171</v>
      </c>
      <c r="BH632" t="s">
        <v>4171</v>
      </c>
      <c r="BK632" t="s">
        <v>4171</v>
      </c>
      <c r="CV632" t="s">
        <v>4171</v>
      </c>
      <c r="CW632" t="s">
        <v>1321</v>
      </c>
      <c r="CX632" t="s">
        <v>1321</v>
      </c>
      <c r="CY632" t="s">
        <v>1321</v>
      </c>
      <c r="CZ632" t="s">
        <v>1321</v>
      </c>
      <c r="DB632" t="s">
        <v>1321</v>
      </c>
      <c r="DF632" t="s">
        <v>2514</v>
      </c>
      <c r="DM632" t="s">
        <v>1321</v>
      </c>
      <c r="DN632" t="s">
        <v>1321</v>
      </c>
      <c r="DO632" t="s">
        <v>1321</v>
      </c>
      <c r="DP632" t="s">
        <v>1321</v>
      </c>
      <c r="DQ632" t="s">
        <v>1321</v>
      </c>
      <c r="DR632" t="s">
        <v>1321</v>
      </c>
      <c r="DS632" t="s">
        <v>1321</v>
      </c>
      <c r="DV632" t="s">
        <v>1321</v>
      </c>
      <c r="DW632" t="s">
        <v>1321</v>
      </c>
      <c r="DX632" t="s">
        <v>1321</v>
      </c>
      <c r="EA632" t="s">
        <v>1321</v>
      </c>
      <c r="EC632" t="s">
        <v>1321</v>
      </c>
      <c r="ED632" t="s">
        <v>1321</v>
      </c>
      <c r="EF632" t="s">
        <v>1321</v>
      </c>
      <c r="EG632" t="s">
        <v>1321</v>
      </c>
      <c r="EJ632" t="s">
        <v>1321</v>
      </c>
      <c r="EK632" t="s">
        <v>1321</v>
      </c>
      <c r="EL632" t="s">
        <v>1321</v>
      </c>
      <c r="EM632" t="s">
        <v>1321</v>
      </c>
      <c r="EN632" t="s">
        <v>1321</v>
      </c>
      <c r="EO632" t="s">
        <v>1321</v>
      </c>
      <c r="EP632" t="s">
        <v>1321</v>
      </c>
      <c r="EQ632" t="s">
        <v>1321</v>
      </c>
      <c r="ES632" t="s">
        <v>1321</v>
      </c>
      <c r="ET632" t="s">
        <v>1321</v>
      </c>
      <c r="EU632" t="s">
        <v>1321</v>
      </c>
      <c r="EV632" t="s">
        <v>1321</v>
      </c>
      <c r="EX632" t="s">
        <v>4171</v>
      </c>
      <c r="EZ632" t="s">
        <v>4569</v>
      </c>
      <c r="FA632" t="s">
        <v>4569</v>
      </c>
      <c r="FB632" t="s">
        <v>1321</v>
      </c>
      <c r="FC632" t="s">
        <v>1321</v>
      </c>
      <c r="FG632" t="s">
        <v>1321</v>
      </c>
      <c r="FH632" t="s">
        <v>1321</v>
      </c>
      <c r="FI632" t="s">
        <v>1321</v>
      </c>
      <c r="FJ632" t="s">
        <v>1321</v>
      </c>
      <c r="FK632" t="s">
        <v>1321</v>
      </c>
      <c r="FM632" t="s">
        <v>4569</v>
      </c>
      <c r="FN632" t="s">
        <v>1321</v>
      </c>
      <c r="FP632" t="s">
        <v>4569</v>
      </c>
      <c r="FQ632" t="s">
        <v>4569</v>
      </c>
      <c r="FR632" t="s">
        <v>4569</v>
      </c>
      <c r="FS632" t="s">
        <v>4569</v>
      </c>
      <c r="FW632" t="s">
        <v>4171</v>
      </c>
      <c r="GE632" t="s">
        <v>4171</v>
      </c>
      <c r="GM632" t="s">
        <v>4171</v>
      </c>
      <c r="GX632" t="s">
        <v>4171</v>
      </c>
      <c r="IJ632" t="s">
        <v>4171</v>
      </c>
      <c r="IL632">
        <f t="shared" si="17"/>
        <v>309</v>
      </c>
    </row>
    <row r="633" spans="1:246" outlineLevel="1" x14ac:dyDescent="0.2">
      <c r="A633" t="str">
        <f t="shared" si="18"/>
        <v>Wand aus Wogen</v>
      </c>
      <c r="K633" t="s">
        <v>4901</v>
      </c>
      <c r="AU633" t="s">
        <v>1321</v>
      </c>
      <c r="AV633" t="s">
        <v>1321</v>
      </c>
      <c r="AW633" t="s">
        <v>1321</v>
      </c>
      <c r="AX633" t="s">
        <v>1321</v>
      </c>
      <c r="DF633" t="s">
        <v>1321</v>
      </c>
      <c r="DG633" t="s">
        <v>1321</v>
      </c>
      <c r="DH633" t="s">
        <v>2514</v>
      </c>
      <c r="DI633" t="s">
        <v>1321</v>
      </c>
      <c r="DJ633" t="s">
        <v>1321</v>
      </c>
      <c r="DK633" t="s">
        <v>1321</v>
      </c>
      <c r="EH633" t="s">
        <v>1321</v>
      </c>
      <c r="EI633" t="s">
        <v>1321</v>
      </c>
      <c r="EK633" t="s">
        <v>1321</v>
      </c>
      <c r="EL633" t="s">
        <v>1321</v>
      </c>
      <c r="EM633" t="s">
        <v>1321</v>
      </c>
      <c r="EN633" t="s">
        <v>1321</v>
      </c>
      <c r="EZ633" t="s">
        <v>4569</v>
      </c>
      <c r="FA633" t="s">
        <v>4569</v>
      </c>
      <c r="FM633" t="s">
        <v>4569</v>
      </c>
      <c r="FP633" t="s">
        <v>4569</v>
      </c>
      <c r="FQ633" t="s">
        <v>4569</v>
      </c>
      <c r="FR633" t="s">
        <v>4569</v>
      </c>
      <c r="FS633" t="s">
        <v>4569</v>
      </c>
      <c r="IL633">
        <f t="shared" si="17"/>
        <v>310</v>
      </c>
    </row>
    <row r="634" spans="1:246" outlineLevel="1" x14ac:dyDescent="0.2">
      <c r="A634" t="str">
        <f t="shared" si="18"/>
        <v>Warmes Blut</v>
      </c>
      <c r="BI634" t="s">
        <v>1321</v>
      </c>
      <c r="BJ634">
        <v>4</v>
      </c>
      <c r="CE634" t="s">
        <v>1321</v>
      </c>
      <c r="EZ634" t="s">
        <v>4569</v>
      </c>
      <c r="FA634" t="s">
        <v>4569</v>
      </c>
      <c r="FM634" t="s">
        <v>4569</v>
      </c>
      <c r="FP634" t="s">
        <v>4569</v>
      </c>
      <c r="FQ634" t="s">
        <v>4569</v>
      </c>
      <c r="FR634" t="s">
        <v>4569</v>
      </c>
      <c r="FS634" t="s">
        <v>4569</v>
      </c>
      <c r="HB634" t="s">
        <v>1321</v>
      </c>
      <c r="HD634" t="s">
        <v>1321</v>
      </c>
      <c r="HF634" t="s">
        <v>1321</v>
      </c>
      <c r="HH634" t="s">
        <v>1321</v>
      </c>
      <c r="HJ634" t="s">
        <v>1321</v>
      </c>
      <c r="HL634" t="s">
        <v>1321</v>
      </c>
      <c r="HN634" t="s">
        <v>1321</v>
      </c>
      <c r="HP634" t="s">
        <v>1321</v>
      </c>
      <c r="HQ634" t="s">
        <v>1321</v>
      </c>
      <c r="HS634" t="s">
        <v>1321</v>
      </c>
      <c r="HU634" t="s">
        <v>1321</v>
      </c>
      <c r="HW634" t="s">
        <v>1321</v>
      </c>
      <c r="HY634" t="s">
        <v>1321</v>
      </c>
      <c r="IA634" t="s">
        <v>1321</v>
      </c>
      <c r="IC634" t="s">
        <v>1321</v>
      </c>
      <c r="ID634" t="s">
        <v>1321</v>
      </c>
      <c r="IG634" t="s">
        <v>1321</v>
      </c>
      <c r="II634" t="s">
        <v>1321</v>
      </c>
      <c r="IL634">
        <f t="shared" si="17"/>
        <v>311</v>
      </c>
    </row>
    <row r="635" spans="1:246" outlineLevel="1" x14ac:dyDescent="0.2">
      <c r="A635" t="str">
        <f t="shared" si="18"/>
        <v>Warmes Gefriere</v>
      </c>
      <c r="IL635">
        <f t="shared" si="17"/>
        <v>312</v>
      </c>
    </row>
    <row r="636" spans="1:246" outlineLevel="1" x14ac:dyDescent="0.2">
      <c r="A636" t="str">
        <f t="shared" si="18"/>
        <v>Wasseratem</v>
      </c>
      <c r="K636">
        <v>2</v>
      </c>
      <c r="P636" t="s">
        <v>1321</v>
      </c>
      <c r="Q636" t="s">
        <v>1321</v>
      </c>
      <c r="R636" t="s">
        <v>1321</v>
      </c>
      <c r="S636" t="s">
        <v>1321</v>
      </c>
      <c r="T636" t="s">
        <v>1321</v>
      </c>
      <c r="U636" t="s">
        <v>1321</v>
      </c>
      <c r="V636" t="s">
        <v>1321</v>
      </c>
      <c r="W636" t="s">
        <v>1321</v>
      </c>
      <c r="X636" t="s">
        <v>1321</v>
      </c>
      <c r="Y636" t="s">
        <v>1321</v>
      </c>
      <c r="Z636" t="s">
        <v>1321</v>
      </c>
      <c r="AA636" t="s">
        <v>1321</v>
      </c>
      <c r="AB636" t="s">
        <v>1321</v>
      </c>
      <c r="AC636" t="s">
        <v>1321</v>
      </c>
      <c r="AD636" t="s">
        <v>1321</v>
      </c>
      <c r="AE636" t="s">
        <v>1321</v>
      </c>
      <c r="AF636" t="s">
        <v>1321</v>
      </c>
      <c r="AG636" t="s">
        <v>1321</v>
      </c>
      <c r="AH636" t="s">
        <v>1321</v>
      </c>
      <c r="AI636" t="s">
        <v>1321</v>
      </c>
      <c r="AJ636" t="s">
        <v>1321</v>
      </c>
      <c r="AK636" t="s">
        <v>1321</v>
      </c>
      <c r="AL636" t="s">
        <v>1321</v>
      </c>
      <c r="AM636" t="s">
        <v>1321</v>
      </c>
      <c r="AN636" t="s">
        <v>1321</v>
      </c>
      <c r="AO636" t="s">
        <v>1321</v>
      </c>
      <c r="AP636" t="s">
        <v>1321</v>
      </c>
      <c r="AQ636" t="s">
        <v>1321</v>
      </c>
      <c r="AR636" t="s">
        <v>1321</v>
      </c>
      <c r="AS636" t="s">
        <v>1321</v>
      </c>
      <c r="CF636" t="s">
        <v>1321</v>
      </c>
      <c r="DA636" t="s">
        <v>1321</v>
      </c>
      <c r="DF636" t="s">
        <v>1321</v>
      </c>
      <c r="DG636" t="s">
        <v>1321</v>
      </c>
      <c r="DH636" t="s">
        <v>2514</v>
      </c>
      <c r="DI636" t="s">
        <v>1321</v>
      </c>
      <c r="DJ636" t="s">
        <v>1321</v>
      </c>
      <c r="DK636" t="s">
        <v>1321</v>
      </c>
      <c r="DT636" t="s">
        <v>1321</v>
      </c>
      <c r="EA636" t="s">
        <v>2515</v>
      </c>
      <c r="EV636" t="s">
        <v>1321</v>
      </c>
      <c r="EZ636" t="s">
        <v>4569</v>
      </c>
      <c r="FA636" t="s">
        <v>4569</v>
      </c>
      <c r="FM636" t="s">
        <v>4569</v>
      </c>
      <c r="FP636" t="s">
        <v>4569</v>
      </c>
      <c r="FQ636" t="s">
        <v>4569</v>
      </c>
      <c r="FR636" t="s">
        <v>4569</v>
      </c>
      <c r="FS636" t="s">
        <v>4569</v>
      </c>
      <c r="FT636" t="s">
        <v>1321</v>
      </c>
      <c r="IL636">
        <f t="shared" si="17"/>
        <v>313</v>
      </c>
    </row>
    <row r="637" spans="1:246" outlineLevel="1" x14ac:dyDescent="0.2">
      <c r="A637" t="str">
        <f t="shared" si="18"/>
        <v>Wasserbann</v>
      </c>
      <c r="EZ637" t="s">
        <v>4569</v>
      </c>
      <c r="FA637" t="s">
        <v>4569</v>
      </c>
      <c r="FM637" t="s">
        <v>4569</v>
      </c>
      <c r="FP637" t="s">
        <v>4569</v>
      </c>
      <c r="FQ637" t="s">
        <v>4569</v>
      </c>
      <c r="FR637" t="s">
        <v>4569</v>
      </c>
      <c r="FS637" t="s">
        <v>4569</v>
      </c>
      <c r="IL637">
        <f t="shared" si="17"/>
        <v>314</v>
      </c>
    </row>
    <row r="638" spans="1:246" outlineLevel="1" x14ac:dyDescent="0.2">
      <c r="A638" t="str">
        <f t="shared" si="18"/>
        <v>Wasserwall</v>
      </c>
      <c r="IL638">
        <f t="shared" si="17"/>
        <v>315</v>
      </c>
    </row>
    <row r="639" spans="1:246" outlineLevel="1" x14ac:dyDescent="0.2">
      <c r="A639" t="str">
        <f t="shared" si="18"/>
        <v>Weiches erstarre!</v>
      </c>
      <c r="CW639" t="s">
        <v>1321</v>
      </c>
      <c r="CX639">
        <v>4</v>
      </c>
      <c r="DQ639" t="s">
        <v>1321</v>
      </c>
      <c r="DV639" t="s">
        <v>1321</v>
      </c>
      <c r="DW639" t="s">
        <v>1321</v>
      </c>
      <c r="ED639" t="s">
        <v>2516</v>
      </c>
      <c r="EH639" t="s">
        <v>1321</v>
      </c>
      <c r="EI639" t="s">
        <v>1321</v>
      </c>
      <c r="EK639" t="s">
        <v>1321</v>
      </c>
      <c r="EL639" t="s">
        <v>1321</v>
      </c>
      <c r="EZ639" t="s">
        <v>4569</v>
      </c>
      <c r="FA639" t="s">
        <v>4569</v>
      </c>
      <c r="FF639" t="s">
        <v>1321</v>
      </c>
      <c r="FG639" t="s">
        <v>1321</v>
      </c>
      <c r="FH639" t="s">
        <v>1321</v>
      </c>
      <c r="FI639" t="s">
        <v>1321</v>
      </c>
      <c r="FJ639" t="s">
        <v>1321</v>
      </c>
      <c r="FM639" t="s">
        <v>4569</v>
      </c>
      <c r="FP639" t="s">
        <v>4569</v>
      </c>
      <c r="FQ639" t="s">
        <v>4569</v>
      </c>
      <c r="FR639" t="s">
        <v>4569</v>
      </c>
      <c r="FS639" t="s">
        <v>4569</v>
      </c>
      <c r="FV639" t="s">
        <v>2515</v>
      </c>
      <c r="IL639">
        <f t="shared" si="17"/>
        <v>316</v>
      </c>
    </row>
    <row r="640" spans="1:246" outlineLevel="1" x14ac:dyDescent="0.2">
      <c r="A640" t="str">
        <f t="shared" si="18"/>
        <v>Weihrauchwolke Wohlgeruch</v>
      </c>
      <c r="CW640" t="s">
        <v>1321</v>
      </c>
      <c r="CX640" t="s">
        <v>1321</v>
      </c>
      <c r="CY640" t="s">
        <v>1321</v>
      </c>
      <c r="CZ640" t="s">
        <v>1321</v>
      </c>
      <c r="DA640" t="s">
        <v>1321</v>
      </c>
      <c r="DB640" t="s">
        <v>1321</v>
      </c>
      <c r="DL640" t="s">
        <v>1321</v>
      </c>
      <c r="DM640" t="s">
        <v>1321</v>
      </c>
      <c r="DN640" t="s">
        <v>1321</v>
      </c>
      <c r="DO640" t="s">
        <v>1321</v>
      </c>
      <c r="DP640" t="s">
        <v>1321</v>
      </c>
      <c r="DQ640" t="s">
        <v>1321</v>
      </c>
      <c r="DR640" t="s">
        <v>1321</v>
      </c>
      <c r="DS640" t="s">
        <v>1321</v>
      </c>
      <c r="DT640" t="s">
        <v>1321</v>
      </c>
      <c r="DU640">
        <v>4</v>
      </c>
      <c r="DV640" t="s">
        <v>1321</v>
      </c>
      <c r="DW640" t="s">
        <v>1321</v>
      </c>
      <c r="DX640" t="s">
        <v>1321</v>
      </c>
      <c r="DY640" t="s">
        <v>1321</v>
      </c>
      <c r="DZ640" t="s">
        <v>1321</v>
      </c>
      <c r="EA640" t="s">
        <v>1321</v>
      </c>
      <c r="EB640" t="s">
        <v>1321</v>
      </c>
      <c r="EC640" t="s">
        <v>1321</v>
      </c>
      <c r="ED640" t="s">
        <v>1321</v>
      </c>
      <c r="EE640" t="s">
        <v>1321</v>
      </c>
      <c r="EF640" t="s">
        <v>1321</v>
      </c>
      <c r="EG640" t="s">
        <v>1321</v>
      </c>
      <c r="EH640" t="s">
        <v>1321</v>
      </c>
      <c r="EI640" t="s">
        <v>1321</v>
      </c>
      <c r="EJ640" t="s">
        <v>1321</v>
      </c>
      <c r="EK640" t="s">
        <v>1321</v>
      </c>
      <c r="EL640" t="s">
        <v>1321</v>
      </c>
      <c r="EM640" t="s">
        <v>1321</v>
      </c>
      <c r="EN640" t="s">
        <v>1321</v>
      </c>
      <c r="EO640" t="s">
        <v>1321</v>
      </c>
      <c r="EP640" t="s">
        <v>1321</v>
      </c>
      <c r="EQ640" t="s">
        <v>1321</v>
      </c>
      <c r="ER640" t="s">
        <v>1321</v>
      </c>
      <c r="ES640" t="s">
        <v>1321</v>
      </c>
      <c r="ET640" t="s">
        <v>1321</v>
      </c>
      <c r="EU640" t="s">
        <v>2514</v>
      </c>
      <c r="EV640" t="s">
        <v>1321</v>
      </c>
      <c r="EW640" t="s">
        <v>1321</v>
      </c>
      <c r="EY640" t="s">
        <v>1321</v>
      </c>
      <c r="EZ640" t="s">
        <v>1321</v>
      </c>
      <c r="FA640" t="s">
        <v>1321</v>
      </c>
      <c r="FB640" t="s">
        <v>1321</v>
      </c>
      <c r="FC640" t="s">
        <v>1321</v>
      </c>
      <c r="FD640" t="s">
        <v>1321</v>
      </c>
      <c r="FE640" t="s">
        <v>1321</v>
      </c>
      <c r="FF640" t="s">
        <v>1321</v>
      </c>
      <c r="FG640" t="s">
        <v>1321</v>
      </c>
      <c r="FH640" t="s">
        <v>1321</v>
      </c>
      <c r="FI640" t="s">
        <v>1321</v>
      </c>
      <c r="FJ640" t="s">
        <v>1321</v>
      </c>
      <c r="FK640" t="s">
        <v>1321</v>
      </c>
      <c r="FL640" t="s">
        <v>1321</v>
      </c>
      <c r="FM640" t="s">
        <v>1321</v>
      </c>
      <c r="FO640" t="s">
        <v>1321</v>
      </c>
      <c r="FP640" t="s">
        <v>1321</v>
      </c>
      <c r="FQ640" t="s">
        <v>1321</v>
      </c>
      <c r="FR640" t="s">
        <v>1321</v>
      </c>
      <c r="FS640" t="s">
        <v>1321</v>
      </c>
      <c r="FT640" t="s">
        <v>1321</v>
      </c>
      <c r="FX640" t="s">
        <v>1321</v>
      </c>
      <c r="FY640" t="s">
        <v>2514</v>
      </c>
      <c r="FZ640">
        <v>3</v>
      </c>
      <c r="GA640" t="s">
        <v>1321</v>
      </c>
      <c r="GB640" t="s">
        <v>2515</v>
      </c>
      <c r="GC640" t="s">
        <v>1321</v>
      </c>
      <c r="GD640" t="s">
        <v>1321</v>
      </c>
      <c r="GI640" t="s">
        <v>1321</v>
      </c>
      <c r="GK640" t="s">
        <v>1321</v>
      </c>
      <c r="IL640">
        <f t="shared" si="17"/>
        <v>317</v>
      </c>
    </row>
    <row r="641" spans="1:246" outlineLevel="1" x14ac:dyDescent="0.2">
      <c r="A641" t="str">
        <f t="shared" si="18"/>
        <v>Weisheit der Bäume</v>
      </c>
      <c r="C641" t="s">
        <v>1321</v>
      </c>
      <c r="D641" t="s">
        <v>2514</v>
      </c>
      <c r="E641" t="s">
        <v>1321</v>
      </c>
      <c r="F641" t="s">
        <v>1321</v>
      </c>
      <c r="G641" t="s">
        <v>1321</v>
      </c>
      <c r="H641" t="s">
        <v>1321</v>
      </c>
      <c r="I641" t="s">
        <v>1321</v>
      </c>
      <c r="J641" t="s">
        <v>2516</v>
      </c>
      <c r="K641" t="s">
        <v>1321</v>
      </c>
      <c r="L641" t="s">
        <v>1321</v>
      </c>
      <c r="M641" t="s">
        <v>1321</v>
      </c>
      <c r="N641" t="s">
        <v>1321</v>
      </c>
      <c r="AU641" t="s">
        <v>1321</v>
      </c>
      <c r="AV641" t="s">
        <v>1321</v>
      </c>
      <c r="AW641" t="s">
        <v>1321</v>
      </c>
      <c r="AX641" t="s">
        <v>1321</v>
      </c>
      <c r="DF641" t="s">
        <v>1321</v>
      </c>
      <c r="DG641">
        <v>2</v>
      </c>
      <c r="DH641" t="s">
        <v>1321</v>
      </c>
      <c r="DI641" t="s">
        <v>1321</v>
      </c>
      <c r="DJ641" t="s">
        <v>1321</v>
      </c>
      <c r="DK641" t="s">
        <v>1321</v>
      </c>
      <c r="EZ641" t="s">
        <v>4569</v>
      </c>
      <c r="FA641" t="s">
        <v>4569</v>
      </c>
      <c r="FM641" t="s">
        <v>4569</v>
      </c>
      <c r="FP641" t="s">
        <v>4569</v>
      </c>
      <c r="FQ641" t="s">
        <v>4569</v>
      </c>
      <c r="FR641" t="s">
        <v>4569</v>
      </c>
      <c r="FS641" t="s">
        <v>4569</v>
      </c>
      <c r="IL641">
        <f t="shared" si="17"/>
        <v>318</v>
      </c>
    </row>
    <row r="642" spans="1:246" outlineLevel="1" x14ac:dyDescent="0.2">
      <c r="A642" t="str">
        <f t="shared" si="18"/>
        <v>Weisse Mähn' und gold'ner Huf</v>
      </c>
      <c r="R642" t="s">
        <v>1321</v>
      </c>
      <c r="T642" t="s">
        <v>1321</v>
      </c>
      <c r="X642" t="s">
        <v>1321</v>
      </c>
      <c r="Y642" t="s">
        <v>1321</v>
      </c>
      <c r="Z642" t="s">
        <v>1321</v>
      </c>
      <c r="AG642" t="s">
        <v>1321</v>
      </c>
      <c r="AK642" t="s">
        <v>1321</v>
      </c>
      <c r="AL642" t="s">
        <v>1321</v>
      </c>
      <c r="DT642" t="s">
        <v>1321</v>
      </c>
      <c r="EZ642" t="s">
        <v>4569</v>
      </c>
      <c r="FA642" t="s">
        <v>4569</v>
      </c>
      <c r="FM642" t="s">
        <v>4569</v>
      </c>
      <c r="FP642" t="s">
        <v>4569</v>
      </c>
      <c r="FQ642" t="s">
        <v>4569</v>
      </c>
      <c r="FR642" t="s">
        <v>4569</v>
      </c>
      <c r="FS642" t="s">
        <v>4569</v>
      </c>
      <c r="IL642">
        <f t="shared" si="17"/>
        <v>319</v>
      </c>
    </row>
    <row r="643" spans="1:246" outlineLevel="1" x14ac:dyDescent="0.2">
      <c r="A643" t="str">
        <f t="shared" si="18"/>
        <v>Wellenlauf</v>
      </c>
      <c r="R643" t="s">
        <v>1321</v>
      </c>
      <c r="S643" t="s">
        <v>1321</v>
      </c>
      <c r="T643" t="s">
        <v>1321</v>
      </c>
      <c r="U643" t="s">
        <v>1321</v>
      </c>
      <c r="V643" t="s">
        <v>1321</v>
      </c>
      <c r="X643" t="s">
        <v>1321</v>
      </c>
      <c r="Y643" t="s">
        <v>1321</v>
      </c>
      <c r="Z643" t="s">
        <v>1321</v>
      </c>
      <c r="AA643" t="s">
        <v>1321</v>
      </c>
      <c r="AB643" t="s">
        <v>1321</v>
      </c>
      <c r="AF643" t="s">
        <v>1321</v>
      </c>
      <c r="AG643" t="s">
        <v>1321</v>
      </c>
      <c r="AH643" t="s">
        <v>1321</v>
      </c>
      <c r="AI643" t="s">
        <v>1321</v>
      </c>
      <c r="AK643" t="s">
        <v>1321</v>
      </c>
      <c r="AL643" t="s">
        <v>1321</v>
      </c>
      <c r="AM643" t="s">
        <v>1321</v>
      </c>
      <c r="AN643" t="s">
        <v>1321</v>
      </c>
      <c r="CF643" t="s">
        <v>1321</v>
      </c>
      <c r="DF643" t="s">
        <v>1321</v>
      </c>
      <c r="DG643" t="s">
        <v>1321</v>
      </c>
      <c r="DH643">
        <v>4</v>
      </c>
      <c r="DI643" t="s">
        <v>1321</v>
      </c>
      <c r="DJ643" t="s">
        <v>1321</v>
      </c>
      <c r="DK643" t="s">
        <v>1321</v>
      </c>
      <c r="EH643" t="s">
        <v>1321</v>
      </c>
      <c r="EI643" t="s">
        <v>1321</v>
      </c>
      <c r="EZ643" t="s">
        <v>4569</v>
      </c>
      <c r="FA643" t="s">
        <v>4569</v>
      </c>
      <c r="FM643" t="s">
        <v>4569</v>
      </c>
      <c r="FP643" t="s">
        <v>4569</v>
      </c>
      <c r="FQ643" t="s">
        <v>4569</v>
      </c>
      <c r="FR643" t="s">
        <v>4569</v>
      </c>
      <c r="FS643" t="s">
        <v>4569</v>
      </c>
      <c r="IL643">
        <f t="shared" si="17"/>
        <v>320</v>
      </c>
    </row>
    <row r="644" spans="1:246" outlineLevel="1" x14ac:dyDescent="0.2">
      <c r="A644" t="str">
        <f t="shared" si="18"/>
        <v>Wettermeisterschaft</v>
      </c>
      <c r="C644" t="s">
        <v>1321</v>
      </c>
      <c r="D644" t="s">
        <v>1321</v>
      </c>
      <c r="E644" t="s">
        <v>1321</v>
      </c>
      <c r="F644" t="s">
        <v>1321</v>
      </c>
      <c r="G644" t="s">
        <v>1321</v>
      </c>
      <c r="H644" t="s">
        <v>1321</v>
      </c>
      <c r="I644" t="s">
        <v>1321</v>
      </c>
      <c r="J644" t="s">
        <v>1321</v>
      </c>
      <c r="K644" t="s">
        <v>1321</v>
      </c>
      <c r="L644" t="s">
        <v>2514</v>
      </c>
      <c r="M644" t="s">
        <v>1321</v>
      </c>
      <c r="N644" t="s">
        <v>1321</v>
      </c>
      <c r="AU644" t="s">
        <v>1321</v>
      </c>
      <c r="AV644" t="s">
        <v>1321</v>
      </c>
      <c r="AW644" t="s">
        <v>1321</v>
      </c>
      <c r="AX644" t="s">
        <v>1321</v>
      </c>
      <c r="BA644" t="s">
        <v>1321</v>
      </c>
      <c r="DF644" t="s">
        <v>1321</v>
      </c>
      <c r="DG644" t="s">
        <v>1321</v>
      </c>
      <c r="DH644">
        <v>3</v>
      </c>
      <c r="DI644">
        <v>4</v>
      </c>
      <c r="DJ644" t="s">
        <v>1321</v>
      </c>
      <c r="DK644">
        <v>3</v>
      </c>
      <c r="EH644" t="s">
        <v>4901</v>
      </c>
      <c r="EI644" t="s">
        <v>4901</v>
      </c>
      <c r="EZ644" t="s">
        <v>4569</v>
      </c>
      <c r="FA644" t="s">
        <v>4569</v>
      </c>
      <c r="FM644" t="s">
        <v>4569</v>
      </c>
      <c r="FP644" t="s">
        <v>4569</v>
      </c>
      <c r="FQ644" t="s">
        <v>4569</v>
      </c>
      <c r="FR644" t="s">
        <v>4569</v>
      </c>
      <c r="FS644" t="s">
        <v>4569</v>
      </c>
      <c r="FV644" t="s">
        <v>4901</v>
      </c>
      <c r="IL644">
        <f t="shared" si="17"/>
        <v>321</v>
      </c>
    </row>
    <row r="645" spans="1:246" outlineLevel="1" x14ac:dyDescent="0.2">
      <c r="A645" t="str">
        <f t="shared" si="18"/>
        <v>Widerwille Ungemach</v>
      </c>
      <c r="CB645" t="s">
        <v>1321</v>
      </c>
      <c r="CZ645" t="s">
        <v>1321</v>
      </c>
      <c r="DN645">
        <v>2</v>
      </c>
      <c r="DO645" t="s">
        <v>2515</v>
      </c>
      <c r="DP645" t="s">
        <v>1321</v>
      </c>
      <c r="DR645" t="s">
        <v>1321</v>
      </c>
      <c r="DS645" t="s">
        <v>1321</v>
      </c>
      <c r="DU645">
        <v>3</v>
      </c>
      <c r="EK645" t="s">
        <v>1321</v>
      </c>
      <c r="EL645" t="s">
        <v>1321</v>
      </c>
      <c r="EQ645" t="s">
        <v>1321</v>
      </c>
      <c r="EZ645" t="s">
        <v>4569</v>
      </c>
      <c r="FA645" t="s">
        <v>4569</v>
      </c>
      <c r="FM645" t="s">
        <v>4569</v>
      </c>
      <c r="FP645" t="s">
        <v>4569</v>
      </c>
      <c r="FQ645" t="s">
        <v>4569</v>
      </c>
      <c r="FR645" t="s">
        <v>4569</v>
      </c>
      <c r="FS645" t="s">
        <v>4569</v>
      </c>
      <c r="GD645">
        <v>3</v>
      </c>
      <c r="IL645">
        <f t="shared" si="17"/>
        <v>322</v>
      </c>
    </row>
    <row r="646" spans="1:246" outlineLevel="1" x14ac:dyDescent="0.2">
      <c r="A646" t="str">
        <f t="shared" si="18"/>
        <v>Windbarriere</v>
      </c>
      <c r="IL646">
        <f t="shared" si="17"/>
        <v>323</v>
      </c>
    </row>
    <row r="647" spans="1:246" outlineLevel="1" x14ac:dyDescent="0.2">
      <c r="A647" t="str">
        <f t="shared" si="18"/>
        <v>Windgeflüster</v>
      </c>
      <c r="IL647">
        <f t="shared" si="17"/>
        <v>324</v>
      </c>
    </row>
    <row r="648" spans="1:246" outlineLevel="1" x14ac:dyDescent="0.2">
      <c r="A648" t="str">
        <f t="shared" si="18"/>
        <v>Windhose</v>
      </c>
      <c r="C648" t="s">
        <v>1321</v>
      </c>
      <c r="D648">
        <v>2</v>
      </c>
      <c r="E648" t="s">
        <v>1321</v>
      </c>
      <c r="F648" t="s">
        <v>1321</v>
      </c>
      <c r="G648" t="s">
        <v>1321</v>
      </c>
      <c r="H648" t="s">
        <v>1321</v>
      </c>
      <c r="I648" t="s">
        <v>1321</v>
      </c>
      <c r="J648" t="s">
        <v>1321</v>
      </c>
      <c r="K648" t="s">
        <v>1321</v>
      </c>
      <c r="L648" t="s">
        <v>2516</v>
      </c>
      <c r="M648" t="s">
        <v>1321</v>
      </c>
      <c r="N648" t="s">
        <v>1321</v>
      </c>
      <c r="AU648" t="s">
        <v>1321</v>
      </c>
      <c r="AV648" t="s">
        <v>1321</v>
      </c>
      <c r="AW648" t="s">
        <v>1321</v>
      </c>
      <c r="AX648" t="s">
        <v>1321</v>
      </c>
      <c r="DF648" t="s">
        <v>1321</v>
      </c>
      <c r="DG648" t="s">
        <v>1321</v>
      </c>
      <c r="DH648" t="s">
        <v>1321</v>
      </c>
      <c r="DI648">
        <v>4</v>
      </c>
      <c r="DJ648" t="s">
        <v>1321</v>
      </c>
      <c r="DK648" t="s">
        <v>1321</v>
      </c>
      <c r="EH648">
        <v>2</v>
      </c>
      <c r="EI648">
        <v>2</v>
      </c>
      <c r="EZ648" t="s">
        <v>4569</v>
      </c>
      <c r="FA648" t="s">
        <v>4569</v>
      </c>
      <c r="FM648" t="s">
        <v>4569</v>
      </c>
      <c r="FP648" t="s">
        <v>4569</v>
      </c>
      <c r="FQ648" t="s">
        <v>4569</v>
      </c>
      <c r="FR648" t="s">
        <v>4569</v>
      </c>
      <c r="FS648" t="s">
        <v>4569</v>
      </c>
      <c r="IL648">
        <f t="shared" si="17"/>
        <v>325</v>
      </c>
    </row>
    <row r="649" spans="1:246" outlineLevel="1" x14ac:dyDescent="0.2">
      <c r="A649" t="str">
        <f t="shared" si="18"/>
        <v>Windstille</v>
      </c>
      <c r="L649" t="s">
        <v>1321</v>
      </c>
      <c r="P649" t="s">
        <v>1321</v>
      </c>
      <c r="Q649" t="s">
        <v>1321</v>
      </c>
      <c r="R649" t="s">
        <v>1321</v>
      </c>
      <c r="S649" t="s">
        <v>1321</v>
      </c>
      <c r="T649" t="s">
        <v>1321</v>
      </c>
      <c r="U649" t="s">
        <v>1321</v>
      </c>
      <c r="V649" t="s">
        <v>1321</v>
      </c>
      <c r="W649" t="s">
        <v>1321</v>
      </c>
      <c r="X649" t="s">
        <v>1321</v>
      </c>
      <c r="Y649" t="s">
        <v>1321</v>
      </c>
      <c r="Z649" t="s">
        <v>1321</v>
      </c>
      <c r="AA649" t="s">
        <v>1321</v>
      </c>
      <c r="AB649" t="s">
        <v>1321</v>
      </c>
      <c r="AC649" t="s">
        <v>1321</v>
      </c>
      <c r="AD649" t="s">
        <v>1321</v>
      </c>
      <c r="AE649" t="s">
        <v>1321</v>
      </c>
      <c r="AF649" t="s">
        <v>1321</v>
      </c>
      <c r="AG649" t="s">
        <v>1321</v>
      </c>
      <c r="AH649" t="s">
        <v>1321</v>
      </c>
      <c r="AI649" t="s">
        <v>1321</v>
      </c>
      <c r="AJ649" t="s">
        <v>1321</v>
      </c>
      <c r="AK649" t="s">
        <v>1321</v>
      </c>
      <c r="AL649" t="s">
        <v>1321</v>
      </c>
      <c r="AM649" t="s">
        <v>1321</v>
      </c>
      <c r="AN649" t="s">
        <v>1321</v>
      </c>
      <c r="AO649" t="s">
        <v>1321</v>
      </c>
      <c r="AP649" t="s">
        <v>1321</v>
      </c>
      <c r="AQ649" t="s">
        <v>1321</v>
      </c>
      <c r="AR649" t="s">
        <v>1321</v>
      </c>
      <c r="AS649" t="s">
        <v>1321</v>
      </c>
      <c r="CU649" t="s">
        <v>4901</v>
      </c>
      <c r="DA649" t="s">
        <v>1321</v>
      </c>
      <c r="DF649" t="s">
        <v>1321</v>
      </c>
      <c r="DG649" t="s">
        <v>1321</v>
      </c>
      <c r="DH649" t="s">
        <v>1321</v>
      </c>
      <c r="DI649" t="s">
        <v>2515</v>
      </c>
      <c r="DJ649" t="s">
        <v>1321</v>
      </c>
      <c r="DK649" t="s">
        <v>1321</v>
      </c>
      <c r="DT649" t="s">
        <v>1321</v>
      </c>
      <c r="DW649" t="s">
        <v>1321</v>
      </c>
      <c r="EH649" t="s">
        <v>2516</v>
      </c>
      <c r="EI649" t="s">
        <v>2516</v>
      </c>
      <c r="EZ649" t="s">
        <v>4569</v>
      </c>
      <c r="FA649" t="s">
        <v>4569</v>
      </c>
      <c r="FM649" t="s">
        <v>4569</v>
      </c>
      <c r="FP649" t="s">
        <v>4569</v>
      </c>
      <c r="FQ649" t="s">
        <v>4569</v>
      </c>
      <c r="FR649" t="s">
        <v>4569</v>
      </c>
      <c r="FS649" t="s">
        <v>4569</v>
      </c>
      <c r="FV649" t="s">
        <v>2515</v>
      </c>
      <c r="IL649">
        <f t="shared" si="17"/>
        <v>326</v>
      </c>
    </row>
    <row r="650" spans="1:246" outlineLevel="1" x14ac:dyDescent="0.2">
      <c r="A650" t="str">
        <f t="shared" si="18"/>
        <v>Wipfellauf</v>
      </c>
      <c r="R650" t="s">
        <v>1321</v>
      </c>
      <c r="U650" t="s">
        <v>1321</v>
      </c>
      <c r="X650" t="s">
        <v>1321</v>
      </c>
      <c r="AA650" t="s">
        <v>1321</v>
      </c>
      <c r="AH650" t="s">
        <v>1321</v>
      </c>
      <c r="AM650" t="s">
        <v>1321</v>
      </c>
      <c r="DF650" t="s">
        <v>1321</v>
      </c>
      <c r="DG650" t="s">
        <v>1321</v>
      </c>
      <c r="DH650" t="s">
        <v>1321</v>
      </c>
      <c r="DI650" t="s">
        <v>1321</v>
      </c>
      <c r="DJ650" t="s">
        <v>1321</v>
      </c>
      <c r="DK650" t="s">
        <v>1321</v>
      </c>
      <c r="EZ650" t="s">
        <v>4569</v>
      </c>
      <c r="FA650" t="s">
        <v>4569</v>
      </c>
      <c r="FM650" t="s">
        <v>4569</v>
      </c>
      <c r="FP650" t="s">
        <v>4569</v>
      </c>
      <c r="FQ650" t="s">
        <v>4569</v>
      </c>
      <c r="FR650" t="s">
        <v>4569</v>
      </c>
      <c r="FS650" t="s">
        <v>4569</v>
      </c>
      <c r="IL650">
        <f t="shared" si="17"/>
        <v>327</v>
      </c>
    </row>
    <row r="651" spans="1:246" outlineLevel="1" x14ac:dyDescent="0.2">
      <c r="A651" t="str">
        <f t="shared" si="18"/>
        <v>Xenographus Schriftenkunde</v>
      </c>
      <c r="B651" t="s">
        <v>4170</v>
      </c>
      <c r="O651" t="s">
        <v>4170</v>
      </c>
      <c r="AT651" t="s">
        <v>4170</v>
      </c>
      <c r="AY651" t="s">
        <v>4170</v>
      </c>
      <c r="BH651" t="s">
        <v>4170</v>
      </c>
      <c r="BK651" t="s">
        <v>4170</v>
      </c>
      <c r="CV651" t="s">
        <v>4170</v>
      </c>
      <c r="DV651" t="s">
        <v>1321</v>
      </c>
      <c r="DW651" t="s">
        <v>1321</v>
      </c>
      <c r="EK651">
        <v>2</v>
      </c>
      <c r="EL651">
        <v>5</v>
      </c>
      <c r="EQ651" t="s">
        <v>1321</v>
      </c>
      <c r="ES651" t="s">
        <v>4901</v>
      </c>
      <c r="EX651" t="s">
        <v>4170</v>
      </c>
      <c r="EZ651" t="s">
        <v>4569</v>
      </c>
      <c r="FG651" t="s">
        <v>4901</v>
      </c>
      <c r="FM651" t="s">
        <v>4569</v>
      </c>
      <c r="FO651">
        <v>2</v>
      </c>
      <c r="FP651" t="s">
        <v>4569</v>
      </c>
      <c r="FQ651" t="s">
        <v>4569</v>
      </c>
      <c r="FR651" t="s">
        <v>4569</v>
      </c>
      <c r="FS651" t="s">
        <v>4569</v>
      </c>
      <c r="FW651" t="s">
        <v>4170</v>
      </c>
      <c r="GE651" t="s">
        <v>4170</v>
      </c>
      <c r="GM651" t="s">
        <v>4170</v>
      </c>
      <c r="GX651" t="s">
        <v>4170</v>
      </c>
      <c r="IJ651" t="s">
        <v>4170</v>
      </c>
      <c r="IK651">
        <v>1</v>
      </c>
      <c r="IL651">
        <f t="shared" si="17"/>
        <v>328</v>
      </c>
    </row>
    <row r="652" spans="1:246" outlineLevel="1" x14ac:dyDescent="0.2">
      <c r="A652" t="str">
        <f t="shared" si="18"/>
        <v>Zagibu Ubigaz</v>
      </c>
      <c r="CW652" t="s">
        <v>1321</v>
      </c>
      <c r="CX652" t="s">
        <v>1321</v>
      </c>
      <c r="ED652" t="s">
        <v>1321</v>
      </c>
      <c r="EG652" t="s">
        <v>1321</v>
      </c>
      <c r="EZ652" t="s">
        <v>4569</v>
      </c>
      <c r="FM652" t="s">
        <v>4569</v>
      </c>
      <c r="FP652" t="s">
        <v>4569</v>
      </c>
      <c r="FQ652" t="s">
        <v>4569</v>
      </c>
      <c r="FR652" t="s">
        <v>4569</v>
      </c>
      <c r="FS652" t="s">
        <v>4569</v>
      </c>
      <c r="GF652">
        <v>3</v>
      </c>
      <c r="GG652">
        <v>3</v>
      </c>
      <c r="GH652">
        <v>3</v>
      </c>
      <c r="GI652">
        <v>3</v>
      </c>
      <c r="GJ652">
        <v>3</v>
      </c>
      <c r="GK652">
        <v>3</v>
      </c>
      <c r="GL652">
        <v>3</v>
      </c>
      <c r="IL652">
        <f t="shared" si="17"/>
        <v>329</v>
      </c>
    </row>
    <row r="653" spans="1:246" outlineLevel="1" x14ac:dyDescent="0.2">
      <c r="A653" t="str">
        <f t="shared" si="18"/>
        <v>Zappenduster</v>
      </c>
      <c r="EZ653" t="s">
        <v>4569</v>
      </c>
      <c r="FM653" t="s">
        <v>4569</v>
      </c>
      <c r="FP653" t="s">
        <v>4569</v>
      </c>
      <c r="FQ653" t="s">
        <v>4569</v>
      </c>
      <c r="FR653" t="s">
        <v>4569</v>
      </c>
      <c r="FS653" t="s">
        <v>4569</v>
      </c>
      <c r="GJ653" t="s">
        <v>1321</v>
      </c>
      <c r="IL653">
        <f t="shared" si="17"/>
        <v>330</v>
      </c>
    </row>
    <row r="654" spans="1:246" outlineLevel="1" x14ac:dyDescent="0.2">
      <c r="A654" t="str">
        <f t="shared" si="18"/>
        <v>Zauberklinge Geisterspeer</v>
      </c>
      <c r="EZ654" t="s">
        <v>4569</v>
      </c>
      <c r="FM654" t="s">
        <v>4569</v>
      </c>
      <c r="FO654">
        <v>2</v>
      </c>
      <c r="FP654" t="s">
        <v>4569</v>
      </c>
      <c r="FQ654" t="s">
        <v>4569</v>
      </c>
      <c r="FR654" t="s">
        <v>4569</v>
      </c>
      <c r="FS654" t="s">
        <v>4569</v>
      </c>
      <c r="IL654">
        <f t="shared" si="17"/>
        <v>331</v>
      </c>
    </row>
    <row r="655" spans="1:246" outlineLevel="1" x14ac:dyDescent="0.2">
      <c r="A655" t="str">
        <f t="shared" si="18"/>
        <v>Zaubernahrung Hungerbann</v>
      </c>
      <c r="X655" t="s">
        <v>1321</v>
      </c>
      <c r="Y655" t="s">
        <v>1321</v>
      </c>
      <c r="Z655" t="s">
        <v>1321</v>
      </c>
      <c r="AA655" t="s">
        <v>1321</v>
      </c>
      <c r="AB655" t="s">
        <v>1321</v>
      </c>
      <c r="AK655" t="s">
        <v>1321</v>
      </c>
      <c r="AL655" t="s">
        <v>1321</v>
      </c>
      <c r="AM655" t="s">
        <v>1321</v>
      </c>
      <c r="AN655" t="s">
        <v>1321</v>
      </c>
      <c r="CB655" t="s">
        <v>1321</v>
      </c>
      <c r="CD655" t="s">
        <v>1321</v>
      </c>
      <c r="CG655" t="s">
        <v>1321</v>
      </c>
      <c r="CH655" t="s">
        <v>1321</v>
      </c>
      <c r="CI655" t="s">
        <v>1321</v>
      </c>
      <c r="CJ655" t="s">
        <v>1321</v>
      </c>
      <c r="CK655" t="s">
        <v>1321</v>
      </c>
      <c r="CL655" t="s">
        <v>1321</v>
      </c>
      <c r="EZ655" t="s">
        <v>4569</v>
      </c>
      <c r="FM655" t="s">
        <v>4569</v>
      </c>
      <c r="FP655" t="s">
        <v>4569</v>
      </c>
      <c r="FQ655" t="s">
        <v>4569</v>
      </c>
      <c r="FR655" t="s">
        <v>4569</v>
      </c>
      <c r="FS655" t="s">
        <v>4569</v>
      </c>
      <c r="IL655">
        <f t="shared" si="17"/>
        <v>332</v>
      </c>
    </row>
    <row r="656" spans="1:246" outlineLevel="1" x14ac:dyDescent="0.2">
      <c r="A656" t="str">
        <f t="shared" si="18"/>
        <v>Zauberwesen der Natur</v>
      </c>
      <c r="G656">
        <v>2</v>
      </c>
      <c r="BD656" t="s">
        <v>1321</v>
      </c>
      <c r="EZ656" t="s">
        <v>4569</v>
      </c>
      <c r="FM656" t="s">
        <v>4569</v>
      </c>
      <c r="FP656" t="s">
        <v>4569</v>
      </c>
      <c r="FQ656" t="s">
        <v>4569</v>
      </c>
      <c r="FR656" t="s">
        <v>4569</v>
      </c>
      <c r="FS656" t="s">
        <v>4569</v>
      </c>
      <c r="GL656" t="s">
        <v>1321</v>
      </c>
      <c r="IL656">
        <f t="shared" si="17"/>
        <v>333</v>
      </c>
    </row>
    <row r="657" spans="1:246" outlineLevel="1" x14ac:dyDescent="0.2">
      <c r="A657" t="str">
        <f t="shared" si="18"/>
        <v>Zauberzwang</v>
      </c>
      <c r="AW657" t="s">
        <v>1321</v>
      </c>
      <c r="AZ657" t="s">
        <v>1321</v>
      </c>
      <c r="BA657" t="s">
        <v>1321</v>
      </c>
      <c r="BB657" t="s">
        <v>2516</v>
      </c>
      <c r="BC657" t="s">
        <v>1321</v>
      </c>
      <c r="BD657" t="s">
        <v>1321</v>
      </c>
      <c r="BE657" t="s">
        <v>1321</v>
      </c>
      <c r="BF657" t="s">
        <v>1321</v>
      </c>
      <c r="BG657" t="s">
        <v>577</v>
      </c>
      <c r="EZ657" t="s">
        <v>4569</v>
      </c>
      <c r="FM657" t="s">
        <v>4569</v>
      </c>
      <c r="FP657" t="s">
        <v>4569</v>
      </c>
      <c r="FQ657" t="s">
        <v>4569</v>
      </c>
      <c r="FR657" t="s">
        <v>4569</v>
      </c>
      <c r="FS657" t="s">
        <v>4569</v>
      </c>
      <c r="IL657">
        <f t="shared" si="17"/>
        <v>334</v>
      </c>
    </row>
    <row r="658" spans="1:246" outlineLevel="1" x14ac:dyDescent="0.2">
      <c r="A658" t="str">
        <f t="shared" si="18"/>
        <v>Zorn der Elemente</v>
      </c>
      <c r="C658" t="s">
        <v>1321</v>
      </c>
      <c r="D658" t="s">
        <v>577</v>
      </c>
      <c r="E658" t="s">
        <v>1321</v>
      </c>
      <c r="F658" t="s">
        <v>1321</v>
      </c>
      <c r="G658" t="s">
        <v>1321</v>
      </c>
      <c r="H658" t="s">
        <v>4901</v>
      </c>
      <c r="I658" t="s">
        <v>2515</v>
      </c>
      <c r="J658" t="s">
        <v>4901</v>
      </c>
      <c r="K658" t="s">
        <v>4901</v>
      </c>
      <c r="L658" t="s">
        <v>4901</v>
      </c>
      <c r="M658" t="s">
        <v>4901</v>
      </c>
      <c r="N658" t="s">
        <v>2515</v>
      </c>
      <c r="AU658" t="s">
        <v>1321</v>
      </c>
      <c r="AV658" t="s">
        <v>1321</v>
      </c>
      <c r="AW658" t="s">
        <v>4901</v>
      </c>
      <c r="AX658" t="s">
        <v>1321</v>
      </c>
      <c r="BI658" t="s">
        <v>1321</v>
      </c>
      <c r="BJ658" t="s">
        <v>1321</v>
      </c>
      <c r="EZ658" t="s">
        <v>4569</v>
      </c>
      <c r="FM658" t="s">
        <v>4569</v>
      </c>
      <c r="FP658" t="s">
        <v>4569</v>
      </c>
      <c r="FQ658" t="s">
        <v>4569</v>
      </c>
      <c r="FR658" t="s">
        <v>4569</v>
      </c>
      <c r="FS658" t="s">
        <v>4569</v>
      </c>
      <c r="IL658">
        <f t="shared" si="17"/>
        <v>335</v>
      </c>
    </row>
    <row r="659" spans="1:246" outlineLevel="1" x14ac:dyDescent="0.2">
      <c r="A659" t="str">
        <f t="shared" si="18"/>
        <v>Zunge lähmen</v>
      </c>
      <c r="C659" t="s">
        <v>1321</v>
      </c>
      <c r="D659" t="s">
        <v>1321</v>
      </c>
      <c r="E659" t="s">
        <v>1321</v>
      </c>
      <c r="F659">
        <v>2</v>
      </c>
      <c r="G659">
        <v>2</v>
      </c>
      <c r="H659" t="s">
        <v>1321</v>
      </c>
      <c r="I659" t="s">
        <v>1321</v>
      </c>
      <c r="J659" t="s">
        <v>1321</v>
      </c>
      <c r="K659" t="s">
        <v>1321</v>
      </c>
      <c r="L659" t="s">
        <v>1321</v>
      </c>
      <c r="M659" t="s">
        <v>1321</v>
      </c>
      <c r="N659" t="s">
        <v>1321</v>
      </c>
      <c r="AU659" t="s">
        <v>1321</v>
      </c>
      <c r="AV659" t="s">
        <v>1321</v>
      </c>
      <c r="AW659" t="s">
        <v>1321</v>
      </c>
      <c r="AX659" t="s">
        <v>1321</v>
      </c>
      <c r="EZ659" t="s">
        <v>4569</v>
      </c>
      <c r="FM659" t="s">
        <v>4569</v>
      </c>
      <c r="FP659" t="s">
        <v>4569</v>
      </c>
      <c r="FQ659" t="s">
        <v>4569</v>
      </c>
      <c r="FR659" t="s">
        <v>4569</v>
      </c>
      <c r="FS659" t="s">
        <v>4569</v>
      </c>
      <c r="IL659">
        <f t="shared" si="17"/>
        <v>336</v>
      </c>
    </row>
    <row r="660" spans="1:246" outlineLevel="1" x14ac:dyDescent="0.2">
      <c r="A660" t="str">
        <f t="shared" si="18"/>
        <v>Zwang zur Wahrheit</v>
      </c>
      <c r="EZ660" t="s">
        <v>1321</v>
      </c>
      <c r="FA660" t="s">
        <v>1321</v>
      </c>
      <c r="FK660" t="s">
        <v>1321</v>
      </c>
      <c r="FL660" t="s">
        <v>1321</v>
      </c>
      <c r="FM660" t="s">
        <v>1321</v>
      </c>
      <c r="FN660" t="s">
        <v>1321</v>
      </c>
      <c r="FO660" t="s">
        <v>1321</v>
      </c>
      <c r="FP660" t="s">
        <v>1321</v>
      </c>
      <c r="FQ660" t="s">
        <v>1321</v>
      </c>
      <c r="FR660" t="s">
        <v>1321</v>
      </c>
      <c r="FS660" t="s">
        <v>1321</v>
      </c>
      <c r="IL660">
        <f t="shared" si="17"/>
        <v>337</v>
      </c>
    </row>
    <row r="661" spans="1:246" outlineLevel="1" x14ac:dyDescent="0.2">
      <c r="A661" t="str">
        <f t="shared" si="18"/>
        <v>Zwingtanz</v>
      </c>
      <c r="C661" t="s">
        <v>1321</v>
      </c>
      <c r="D661" t="s">
        <v>1321</v>
      </c>
      <c r="E661" t="s">
        <v>1321</v>
      </c>
      <c r="F661">
        <v>1</v>
      </c>
      <c r="G661" t="s">
        <v>1321</v>
      </c>
      <c r="H661" t="s">
        <v>1321</v>
      </c>
      <c r="I661" t="s">
        <v>1321</v>
      </c>
      <c r="J661" t="s">
        <v>1321</v>
      </c>
      <c r="K661" t="s">
        <v>1321</v>
      </c>
      <c r="L661" t="s">
        <v>1321</v>
      </c>
      <c r="M661" t="s">
        <v>1321</v>
      </c>
      <c r="N661" t="s">
        <v>1321</v>
      </c>
      <c r="AU661" t="s">
        <v>1321</v>
      </c>
      <c r="AV661" t="s">
        <v>1321</v>
      </c>
      <c r="AW661">
        <v>2</v>
      </c>
      <c r="AX661" t="s">
        <v>1321</v>
      </c>
      <c r="EZ661" t="s">
        <v>4569</v>
      </c>
      <c r="FM661" t="s">
        <v>4569</v>
      </c>
      <c r="FP661" t="s">
        <v>4569</v>
      </c>
      <c r="FQ661" t="s">
        <v>4569</v>
      </c>
      <c r="FR661" t="s">
        <v>4569</v>
      </c>
      <c r="FS661" t="s">
        <v>4569</v>
      </c>
      <c r="IL661">
        <f t="shared" si="17"/>
        <v>338</v>
      </c>
    </row>
    <row r="662" spans="1:246" ht="12.75" customHeight="1" outlineLevel="1" x14ac:dyDescent="0.2"/>
    <row r="663" spans="1:246" ht="12.75" customHeight="1" outlineLevel="1" x14ac:dyDescent="0.2"/>
    <row r="664" spans="1:246" ht="12.75" customHeight="1" outlineLevel="1" x14ac:dyDescent="0.2"/>
    <row r="665" spans="1:246" ht="12.75" customHeight="1" outlineLevel="1" x14ac:dyDescent="0.2"/>
    <row r="666" spans="1:246" ht="12.75" customHeight="1" outlineLevel="1" x14ac:dyDescent="0.2"/>
    <row r="667" spans="1:246" ht="12.75" customHeight="1" outlineLevel="1" x14ac:dyDescent="0.2"/>
    <row r="668" spans="1:246" ht="12.75" customHeight="1" outlineLevel="1" x14ac:dyDescent="0.2"/>
    <row r="669" spans="1:246" ht="12.75" customHeight="1" outlineLevel="1" x14ac:dyDescent="0.2"/>
    <row r="670" spans="1:246" ht="12.75" customHeight="1" outlineLevel="1" x14ac:dyDescent="0.2"/>
    <row r="671" spans="1:246" ht="12.75" customHeight="1" outlineLevel="1" x14ac:dyDescent="0.2"/>
    <row r="672" spans="1:246" ht="12.75" customHeight="1" outlineLevel="1" x14ac:dyDescent="0.2"/>
    <row r="673" ht="12.75" customHeight="1" outlineLevel="1" x14ac:dyDescent="0.2"/>
    <row r="674" ht="12.75" customHeight="1" outlineLevel="1" x14ac:dyDescent="0.2"/>
    <row r="675" ht="12.75" customHeight="1" outlineLevel="1" x14ac:dyDescent="0.2"/>
    <row r="676" ht="12.75" customHeight="1" outlineLevel="1" x14ac:dyDescent="0.2"/>
    <row r="677" ht="12.75" customHeight="1" outlineLevel="1" x14ac:dyDescent="0.2"/>
    <row r="678" ht="12.75" customHeight="1" outlineLevel="1" x14ac:dyDescent="0.2"/>
    <row r="679" ht="12.75" customHeight="1" outlineLevel="1" x14ac:dyDescent="0.2"/>
    <row r="680" ht="12.75" customHeight="1" outlineLevel="1" x14ac:dyDescent="0.2"/>
    <row r="681" ht="12.75" customHeight="1" outlineLevel="1" x14ac:dyDescent="0.2"/>
    <row r="682" ht="12.75" customHeight="1" outlineLevel="1" x14ac:dyDescent="0.2"/>
    <row r="683" ht="12.75" customHeight="1" outlineLevel="1" x14ac:dyDescent="0.2"/>
    <row r="684" ht="12.75" customHeight="1" outlineLevel="1" x14ac:dyDescent="0.2"/>
    <row r="685" ht="12.75" customHeight="1" outlineLevel="1" x14ac:dyDescent="0.2"/>
    <row r="686" ht="12.75" customHeight="1" outlineLevel="1" x14ac:dyDescent="0.2"/>
    <row r="687" ht="12.75" customHeight="1" outlineLevel="1" x14ac:dyDescent="0.2"/>
    <row r="688" ht="12.75" customHeight="1" outlineLevel="1" x14ac:dyDescent="0.2"/>
    <row r="689" spans="1:207" ht="12.75" customHeight="1" outlineLevel="1" x14ac:dyDescent="0.2"/>
    <row r="690" spans="1:207" ht="12.75" customHeight="1" outlineLevel="1" x14ac:dyDescent="0.2"/>
    <row r="691" spans="1:207" ht="12.75" customHeight="1" outlineLevel="1" x14ac:dyDescent="0.2"/>
    <row r="692" spans="1:207" ht="12.75" customHeight="1" outlineLevel="1" x14ac:dyDescent="0.2"/>
    <row r="693" spans="1:207" ht="12.75" customHeight="1" outlineLevel="1" x14ac:dyDescent="0.2"/>
    <row r="694" spans="1:207" ht="12.75" customHeight="1" outlineLevel="1" x14ac:dyDescent="0.2"/>
    <row r="695" spans="1:207" ht="12.75" customHeight="1" outlineLevel="1" x14ac:dyDescent="0.2"/>
    <row r="696" spans="1:207" x14ac:dyDescent="0.2">
      <c r="A696" t="s">
        <v>4299</v>
      </c>
      <c r="C696" t="s">
        <v>2047</v>
      </c>
      <c r="D696" t="s">
        <v>2047</v>
      </c>
      <c r="E696" t="s">
        <v>2047</v>
      </c>
      <c r="F696" t="s">
        <v>2047</v>
      </c>
      <c r="G696" t="s">
        <v>2047</v>
      </c>
      <c r="H696" t="s">
        <v>2047</v>
      </c>
      <c r="I696" t="s">
        <v>2047</v>
      </c>
      <c r="J696" t="s">
        <v>2047</v>
      </c>
      <c r="K696" t="s">
        <v>2047</v>
      </c>
      <c r="L696" t="s">
        <v>2047</v>
      </c>
      <c r="M696" t="s">
        <v>2047</v>
      </c>
      <c r="N696" t="s">
        <v>2047</v>
      </c>
      <c r="P696" t="s">
        <v>2569</v>
      </c>
      <c r="Q696" t="s">
        <v>2568</v>
      </c>
      <c r="W696" t="s">
        <v>2566</v>
      </c>
      <c r="AC696" t="s">
        <v>2349</v>
      </c>
      <c r="AD696" t="s">
        <v>2569</v>
      </c>
      <c r="AE696" t="s">
        <v>2568</v>
      </c>
      <c r="AJ696" t="s">
        <v>2566</v>
      </c>
      <c r="AO696" t="s">
        <v>2349</v>
      </c>
      <c r="AP696" t="s">
        <v>2566</v>
      </c>
      <c r="AQ696" t="s">
        <v>2566</v>
      </c>
      <c r="AR696" t="s">
        <v>2349</v>
      </c>
      <c r="AS696" t="s">
        <v>2349</v>
      </c>
      <c r="AU696" t="s">
        <v>3934</v>
      </c>
      <c r="AV696" t="s">
        <v>3934</v>
      </c>
      <c r="AW696" t="s">
        <v>3934</v>
      </c>
      <c r="AX696" t="s">
        <v>3934</v>
      </c>
      <c r="BI696" t="s">
        <v>3003</v>
      </c>
      <c r="BJ696" t="s">
        <v>3003</v>
      </c>
      <c r="CB696" t="s">
        <v>816</v>
      </c>
      <c r="CC696" t="s">
        <v>1518</v>
      </c>
      <c r="CD696" t="s">
        <v>1518</v>
      </c>
      <c r="CE696" t="s">
        <v>1518</v>
      </c>
      <c r="CF696" t="s">
        <v>1518</v>
      </c>
      <c r="CG696" t="s">
        <v>1518</v>
      </c>
      <c r="CH696" t="s">
        <v>1518</v>
      </c>
      <c r="CI696" t="s">
        <v>1518</v>
      </c>
      <c r="CJ696" t="s">
        <v>1518</v>
      </c>
      <c r="CK696" t="s">
        <v>1518</v>
      </c>
      <c r="CL696" t="s">
        <v>1518</v>
      </c>
      <c r="CM696" t="s">
        <v>9256</v>
      </c>
      <c r="CW696" t="s">
        <v>562</v>
      </c>
      <c r="CX696" t="s">
        <v>562</v>
      </c>
      <c r="CY696" t="s">
        <v>562</v>
      </c>
      <c r="CZ696" t="s">
        <v>562</v>
      </c>
      <c r="DA696" t="s">
        <v>562</v>
      </c>
      <c r="DB696" t="s">
        <v>562</v>
      </c>
      <c r="DC696" t="s">
        <v>562</v>
      </c>
      <c r="DD696" t="s">
        <v>562</v>
      </c>
      <c r="DE696" t="s">
        <v>562</v>
      </c>
      <c r="DF696" t="s">
        <v>562</v>
      </c>
      <c r="DG696" t="s">
        <v>562</v>
      </c>
      <c r="DH696" t="s">
        <v>562</v>
      </c>
      <c r="DI696" t="s">
        <v>562</v>
      </c>
      <c r="DJ696" t="s">
        <v>562</v>
      </c>
      <c r="DK696" t="s">
        <v>562</v>
      </c>
      <c r="DL696" t="s">
        <v>562</v>
      </c>
      <c r="DM696" t="s">
        <v>562</v>
      </c>
      <c r="DN696" t="s">
        <v>562</v>
      </c>
      <c r="DO696" t="s">
        <v>562</v>
      </c>
      <c r="DP696" t="s">
        <v>562</v>
      </c>
      <c r="DQ696" t="s">
        <v>562</v>
      </c>
      <c r="DR696" t="s">
        <v>562</v>
      </c>
      <c r="DS696" t="s">
        <v>562</v>
      </c>
      <c r="DT696" t="s">
        <v>562</v>
      </c>
      <c r="DU696" t="s">
        <v>562</v>
      </c>
      <c r="DV696" t="s">
        <v>562</v>
      </c>
      <c r="DW696" t="s">
        <v>562</v>
      </c>
      <c r="DX696" t="s">
        <v>562</v>
      </c>
      <c r="DY696" t="s">
        <v>562</v>
      </c>
      <c r="DZ696" t="s">
        <v>562</v>
      </c>
      <c r="EA696" t="s">
        <v>562</v>
      </c>
      <c r="EB696" t="s">
        <v>562</v>
      </c>
      <c r="EC696" t="s">
        <v>562</v>
      </c>
      <c r="ED696" t="s">
        <v>562</v>
      </c>
      <c r="EE696" t="s">
        <v>562</v>
      </c>
      <c r="EF696" t="s">
        <v>562</v>
      </c>
      <c r="EG696" t="s">
        <v>562</v>
      </c>
      <c r="EH696" t="s">
        <v>562</v>
      </c>
      <c r="EI696" t="s">
        <v>562</v>
      </c>
      <c r="EJ696" t="s">
        <v>562</v>
      </c>
      <c r="EK696" t="s">
        <v>562</v>
      </c>
      <c r="EL696" t="s">
        <v>562</v>
      </c>
      <c r="EM696" t="s">
        <v>562</v>
      </c>
      <c r="EN696" t="s">
        <v>562</v>
      </c>
      <c r="EO696" t="s">
        <v>562</v>
      </c>
      <c r="EP696" t="s">
        <v>562</v>
      </c>
      <c r="EQ696" t="s">
        <v>562</v>
      </c>
      <c r="ER696" t="s">
        <v>562</v>
      </c>
      <c r="ES696" t="s">
        <v>562</v>
      </c>
      <c r="ET696" t="s">
        <v>562</v>
      </c>
      <c r="EU696" t="s">
        <v>562</v>
      </c>
      <c r="EV696" t="s">
        <v>562</v>
      </c>
      <c r="EW696" t="s">
        <v>562</v>
      </c>
      <c r="EY696" t="s">
        <v>562</v>
      </c>
      <c r="EZ696" t="s">
        <v>562</v>
      </c>
      <c r="FA696" t="s">
        <v>562</v>
      </c>
      <c r="FB696" t="s">
        <v>562</v>
      </c>
      <c r="FC696" t="s">
        <v>562</v>
      </c>
      <c r="FD696" t="s">
        <v>562</v>
      </c>
      <c r="FE696" t="s">
        <v>562</v>
      </c>
      <c r="FF696" t="s">
        <v>562</v>
      </c>
      <c r="FK696" t="s">
        <v>562</v>
      </c>
      <c r="FL696" t="s">
        <v>562</v>
      </c>
      <c r="FM696" t="s">
        <v>562</v>
      </c>
      <c r="FN696" t="s">
        <v>562</v>
      </c>
      <c r="FO696" t="s">
        <v>426</v>
      </c>
      <c r="FP696" t="s">
        <v>562</v>
      </c>
      <c r="FQ696" t="s">
        <v>562</v>
      </c>
      <c r="FR696" t="s">
        <v>562</v>
      </c>
      <c r="FS696" t="s">
        <v>562</v>
      </c>
      <c r="FT696" t="s">
        <v>562</v>
      </c>
      <c r="FU696" t="s">
        <v>562</v>
      </c>
      <c r="FV696" t="s">
        <v>562</v>
      </c>
      <c r="GA696" t="s">
        <v>3003</v>
      </c>
      <c r="GT696" t="s">
        <v>4737</v>
      </c>
      <c r="GU696" t="s">
        <v>4737</v>
      </c>
      <c r="GV696" t="s">
        <v>2562</v>
      </c>
      <c r="GW696" t="s">
        <v>4737</v>
      </c>
      <c r="GY696" t="s">
        <v>3441</v>
      </c>
    </row>
    <row r="697" spans="1:207" x14ac:dyDescent="0.2">
      <c r="W697" t="s">
        <v>2567</v>
      </c>
      <c r="AJ697" t="s">
        <v>2567</v>
      </c>
      <c r="AP697" t="s">
        <v>2567</v>
      </c>
      <c r="AQ697" t="s">
        <v>2567</v>
      </c>
      <c r="BI697" t="s">
        <v>3197</v>
      </c>
      <c r="BJ697" t="s">
        <v>3197</v>
      </c>
      <c r="CM697" t="s">
        <v>9257</v>
      </c>
      <c r="DC697" t="s">
        <v>9138</v>
      </c>
      <c r="DV697" t="s">
        <v>425</v>
      </c>
      <c r="DW697" t="s">
        <v>425</v>
      </c>
      <c r="EM697" t="s">
        <v>3953</v>
      </c>
      <c r="EN697" t="s">
        <v>3953</v>
      </c>
      <c r="EQ697" t="s">
        <v>3003</v>
      </c>
      <c r="EZ697" t="s">
        <v>4569</v>
      </c>
      <c r="FM697" t="s">
        <v>3003</v>
      </c>
      <c r="FO697" t="s">
        <v>6696</v>
      </c>
      <c r="FP697" t="s">
        <v>4569</v>
      </c>
      <c r="FQ697" t="s">
        <v>4569</v>
      </c>
      <c r="FR697" t="s">
        <v>4569</v>
      </c>
      <c r="FS697" t="s">
        <v>4569</v>
      </c>
      <c r="GT697" t="s">
        <v>4735</v>
      </c>
      <c r="GU697" t="s">
        <v>4740</v>
      </c>
      <c r="GV697" t="s">
        <v>4777</v>
      </c>
      <c r="GW697" t="s">
        <v>4740</v>
      </c>
      <c r="GY697" t="s">
        <v>3442</v>
      </c>
    </row>
    <row r="698" spans="1:207" x14ac:dyDescent="0.2">
      <c r="BI698" t="s">
        <v>2985</v>
      </c>
      <c r="BJ698" t="s">
        <v>2985</v>
      </c>
      <c r="CM698" t="s">
        <v>9258</v>
      </c>
      <c r="EZ698" t="s">
        <v>4569</v>
      </c>
      <c r="FM698" t="s">
        <v>8896</v>
      </c>
      <c r="FO698" t="s">
        <v>3953</v>
      </c>
      <c r="FQ698" t="s">
        <v>4569</v>
      </c>
      <c r="FR698" t="s">
        <v>4569</v>
      </c>
      <c r="FS698" t="s">
        <v>4569</v>
      </c>
      <c r="GT698" t="s">
        <v>4736</v>
      </c>
      <c r="GU698" t="s">
        <v>4736</v>
      </c>
      <c r="GV698" t="s">
        <v>4735</v>
      </c>
      <c r="GW698" t="s">
        <v>3631</v>
      </c>
      <c r="GY698" t="s">
        <v>3443</v>
      </c>
    </row>
    <row r="699" spans="1:207" x14ac:dyDescent="0.2">
      <c r="EZ699" t="s">
        <v>4569</v>
      </c>
      <c r="FO699" t="s">
        <v>3003</v>
      </c>
      <c r="FP699" t="s">
        <v>4569</v>
      </c>
      <c r="FQ699" t="s">
        <v>4569</v>
      </c>
      <c r="FR699" t="s">
        <v>4569</v>
      </c>
      <c r="FS699" t="s">
        <v>4569</v>
      </c>
      <c r="GT699" t="s">
        <v>4740</v>
      </c>
      <c r="GU699" t="s">
        <v>2560</v>
      </c>
      <c r="GV699" t="s">
        <v>4740</v>
      </c>
      <c r="GW699" t="s">
        <v>4739</v>
      </c>
      <c r="GY699" t="s">
        <v>4105</v>
      </c>
    </row>
    <row r="700" spans="1:207" x14ac:dyDescent="0.2">
      <c r="EZ700" t="s">
        <v>4569</v>
      </c>
      <c r="FO700" t="s">
        <v>3004</v>
      </c>
      <c r="FQ700" t="s">
        <v>4569</v>
      </c>
      <c r="FR700" t="s">
        <v>4569</v>
      </c>
      <c r="FS700" t="s">
        <v>4569</v>
      </c>
      <c r="GU700" t="s">
        <v>2561</v>
      </c>
      <c r="GV700" t="s">
        <v>4739</v>
      </c>
      <c r="GY700" t="s">
        <v>886</v>
      </c>
    </row>
    <row r="701" spans="1:207" x14ac:dyDescent="0.2">
      <c r="FO701" t="s">
        <v>425</v>
      </c>
      <c r="GY701" t="s">
        <v>3219</v>
      </c>
    </row>
    <row r="702" spans="1:207" x14ac:dyDescent="0.2">
      <c r="FO702" t="s">
        <v>429</v>
      </c>
      <c r="GY702" t="s">
        <v>3220</v>
      </c>
    </row>
    <row r="703" spans="1:207" x14ac:dyDescent="0.2">
      <c r="FO703" t="s">
        <v>562</v>
      </c>
    </row>
    <row r="704" spans="1:207" x14ac:dyDescent="0.2">
      <c r="EZ704" t="s">
        <v>4569</v>
      </c>
      <c r="FO704" t="s">
        <v>1194</v>
      </c>
      <c r="FP704" t="s">
        <v>4569</v>
      </c>
      <c r="FQ704" t="s">
        <v>4569</v>
      </c>
      <c r="FR704" t="s">
        <v>4569</v>
      </c>
      <c r="FS704" t="s">
        <v>4569</v>
      </c>
    </row>
    <row r="705" spans="1:245" x14ac:dyDescent="0.2">
      <c r="EZ705" t="s">
        <v>4569</v>
      </c>
      <c r="FO705" t="s">
        <v>1195</v>
      </c>
      <c r="FP705" t="s">
        <v>4569</v>
      </c>
      <c r="FQ705" t="s">
        <v>4569</v>
      </c>
      <c r="FR705" t="s">
        <v>4569</v>
      </c>
      <c r="FS705" t="s">
        <v>4569</v>
      </c>
    </row>
    <row r="706" spans="1:245" x14ac:dyDescent="0.2">
      <c r="A706" t="s">
        <v>4420</v>
      </c>
      <c r="C706" t="s">
        <v>1250</v>
      </c>
      <c r="D706" t="s">
        <v>1250</v>
      </c>
      <c r="E706" t="s">
        <v>1250</v>
      </c>
      <c r="F706" t="s">
        <v>1250</v>
      </c>
      <c r="G706" t="s">
        <v>1250</v>
      </c>
      <c r="H706" t="s">
        <v>1250</v>
      </c>
      <c r="I706" t="s">
        <v>1250</v>
      </c>
      <c r="J706" t="s">
        <v>1250</v>
      </c>
      <c r="K706" t="s">
        <v>1250</v>
      </c>
      <c r="L706" t="s">
        <v>1250</v>
      </c>
      <c r="M706" t="s">
        <v>1250</v>
      </c>
      <c r="N706" t="s">
        <v>1250</v>
      </c>
      <c r="P706" t="s">
        <v>3281</v>
      </c>
      <c r="Q706" t="s">
        <v>3281</v>
      </c>
      <c r="R706" t="s">
        <v>3281</v>
      </c>
      <c r="S706" t="s">
        <v>3281</v>
      </c>
      <c r="T706" t="s">
        <v>3281</v>
      </c>
      <c r="U706" t="s">
        <v>3281</v>
      </c>
      <c r="V706" t="s">
        <v>3281</v>
      </c>
      <c r="W706" t="s">
        <v>3281</v>
      </c>
      <c r="X706" t="s">
        <v>3281</v>
      </c>
      <c r="Y706" t="s">
        <v>3281</v>
      </c>
      <c r="Z706" t="s">
        <v>3281</v>
      </c>
      <c r="AA706" t="s">
        <v>3281</v>
      </c>
      <c r="AB706" t="s">
        <v>3281</v>
      </c>
      <c r="AC706" t="s">
        <v>3281</v>
      </c>
      <c r="AD706" t="s">
        <v>3281</v>
      </c>
      <c r="AE706" t="s">
        <v>3281</v>
      </c>
      <c r="AF706" t="s">
        <v>3281</v>
      </c>
      <c r="AG706" t="s">
        <v>3281</v>
      </c>
      <c r="AH706" t="s">
        <v>3281</v>
      </c>
      <c r="AI706" t="s">
        <v>3281</v>
      </c>
      <c r="AJ706" t="s">
        <v>3281</v>
      </c>
      <c r="AK706" t="s">
        <v>3281</v>
      </c>
      <c r="AL706" t="s">
        <v>3281</v>
      </c>
      <c r="AM706" t="s">
        <v>3281</v>
      </c>
      <c r="AN706" t="s">
        <v>3281</v>
      </c>
      <c r="AO706" t="s">
        <v>3281</v>
      </c>
      <c r="AP706" t="s">
        <v>3281</v>
      </c>
      <c r="AQ706" t="s">
        <v>3281</v>
      </c>
      <c r="AR706" t="s">
        <v>3281</v>
      </c>
      <c r="AS706" t="s">
        <v>3281</v>
      </c>
      <c r="AU706" t="s">
        <v>3282</v>
      </c>
      <c r="AV706" t="s">
        <v>3282</v>
      </c>
      <c r="AW706" t="s">
        <v>3282</v>
      </c>
      <c r="AX706" t="s">
        <v>3282</v>
      </c>
      <c r="AZ706" t="s">
        <v>3283</v>
      </c>
      <c r="BA706" t="s">
        <v>3283</v>
      </c>
      <c r="BB706" t="s">
        <v>3283</v>
      </c>
      <c r="BC706" t="s">
        <v>3283</v>
      </c>
      <c r="BD706" t="s">
        <v>3283</v>
      </c>
      <c r="BE706" t="s">
        <v>3283</v>
      </c>
      <c r="BF706" t="s">
        <v>3283</v>
      </c>
      <c r="BG706" t="s">
        <v>3283</v>
      </c>
      <c r="BI706" t="s">
        <v>3279</v>
      </c>
      <c r="BJ706" t="s">
        <v>3279</v>
      </c>
      <c r="CB706" t="s">
        <v>2918</v>
      </c>
      <c r="CC706" t="s">
        <v>2919</v>
      </c>
      <c r="CD706" t="s">
        <v>2919</v>
      </c>
      <c r="CE706" t="s">
        <v>2919</v>
      </c>
      <c r="CF706" t="s">
        <v>2919</v>
      </c>
      <c r="CG706" t="s">
        <v>2919</v>
      </c>
      <c r="CH706" t="s">
        <v>2919</v>
      </c>
      <c r="CI706" t="s">
        <v>2919</v>
      </c>
      <c r="CJ706" t="s">
        <v>2919</v>
      </c>
      <c r="CK706" t="s">
        <v>2919</v>
      </c>
      <c r="CL706" t="s">
        <v>2919</v>
      </c>
      <c r="CM706" t="s">
        <v>9283</v>
      </c>
      <c r="CW706" t="s">
        <v>1248</v>
      </c>
      <c r="CX706" t="s">
        <v>1248</v>
      </c>
      <c r="CY706" t="s">
        <v>1248</v>
      </c>
      <c r="CZ706" t="s">
        <v>1248</v>
      </c>
      <c r="DA706" t="s">
        <v>1248</v>
      </c>
      <c r="DB706" t="s">
        <v>1248</v>
      </c>
      <c r="DC706" t="s">
        <v>1248</v>
      </c>
      <c r="DD706" t="s">
        <v>1248</v>
      </c>
      <c r="DE706" t="s">
        <v>1248</v>
      </c>
      <c r="DF706" t="s">
        <v>1248</v>
      </c>
      <c r="DG706" t="s">
        <v>1248</v>
      </c>
      <c r="DH706" t="s">
        <v>1248</v>
      </c>
      <c r="DI706" t="s">
        <v>1248</v>
      </c>
      <c r="DJ706" t="s">
        <v>1248</v>
      </c>
      <c r="DK706" t="s">
        <v>1248</v>
      </c>
      <c r="DL706" t="s">
        <v>1248</v>
      </c>
      <c r="DM706" t="s">
        <v>1248</v>
      </c>
      <c r="DN706" t="s">
        <v>1248</v>
      </c>
      <c r="DO706" t="s">
        <v>1248</v>
      </c>
      <c r="DP706" t="s">
        <v>1248</v>
      </c>
      <c r="DQ706" t="s">
        <v>1248</v>
      </c>
      <c r="DR706" t="s">
        <v>1248</v>
      </c>
      <c r="DS706" t="s">
        <v>1248</v>
      </c>
      <c r="DT706" t="s">
        <v>1248</v>
      </c>
      <c r="DU706" t="s">
        <v>1248</v>
      </c>
      <c r="DV706" t="s">
        <v>1248</v>
      </c>
      <c r="DW706" t="s">
        <v>1248</v>
      </c>
      <c r="DX706" t="s">
        <v>1248</v>
      </c>
      <c r="DY706" t="s">
        <v>1248</v>
      </c>
      <c r="DZ706" t="s">
        <v>1248</v>
      </c>
      <c r="EA706" t="s">
        <v>1248</v>
      </c>
      <c r="EB706" t="s">
        <v>1248</v>
      </c>
      <c r="EC706" t="s">
        <v>1248</v>
      </c>
      <c r="ED706" t="s">
        <v>1248</v>
      </c>
      <c r="EE706" t="s">
        <v>1248</v>
      </c>
      <c r="EF706" t="s">
        <v>1248</v>
      </c>
      <c r="EG706" t="s">
        <v>1248</v>
      </c>
      <c r="EH706" t="s">
        <v>1248</v>
      </c>
      <c r="EI706" t="s">
        <v>1248</v>
      </c>
      <c r="EJ706" t="s">
        <v>1248</v>
      </c>
      <c r="EK706" t="s">
        <v>1248</v>
      </c>
      <c r="EL706" t="s">
        <v>1248</v>
      </c>
      <c r="EM706" t="s">
        <v>1248</v>
      </c>
      <c r="EN706" t="s">
        <v>1248</v>
      </c>
      <c r="EO706" t="s">
        <v>1248</v>
      </c>
      <c r="EP706" t="s">
        <v>1248</v>
      </c>
      <c r="EQ706" t="s">
        <v>1248</v>
      </c>
      <c r="ER706" t="s">
        <v>1248</v>
      </c>
      <c r="ES706" t="s">
        <v>1248</v>
      </c>
      <c r="ET706" t="s">
        <v>1248</v>
      </c>
      <c r="EU706" t="s">
        <v>1248</v>
      </c>
      <c r="EV706" t="s">
        <v>1248</v>
      </c>
      <c r="EW706" t="s">
        <v>1248</v>
      </c>
      <c r="EY706" t="s">
        <v>1248</v>
      </c>
      <c r="EZ706" t="s">
        <v>1248</v>
      </c>
      <c r="FA706" t="s">
        <v>1248</v>
      </c>
      <c r="FB706" t="s">
        <v>1248</v>
      </c>
      <c r="FC706" t="s">
        <v>1248</v>
      </c>
      <c r="FD706" t="s">
        <v>1248</v>
      </c>
      <c r="FE706" t="s">
        <v>1248</v>
      </c>
      <c r="FF706" t="s">
        <v>1248</v>
      </c>
      <c r="FG706" t="s">
        <v>1248</v>
      </c>
      <c r="FH706" t="s">
        <v>1248</v>
      </c>
      <c r="FI706" t="s">
        <v>1248</v>
      </c>
      <c r="FJ706" t="s">
        <v>1248</v>
      </c>
      <c r="FK706" t="s">
        <v>1248</v>
      </c>
      <c r="FL706" t="s">
        <v>1248</v>
      </c>
      <c r="FM706" t="s">
        <v>1248</v>
      </c>
      <c r="FN706" t="s">
        <v>1248</v>
      </c>
      <c r="FO706" t="s">
        <v>1248</v>
      </c>
      <c r="FP706" t="s">
        <v>1248</v>
      </c>
      <c r="FQ706" t="s">
        <v>1248</v>
      </c>
      <c r="FR706" t="s">
        <v>1248</v>
      </c>
      <c r="FS706" t="s">
        <v>1248</v>
      </c>
      <c r="FT706" t="s">
        <v>1248</v>
      </c>
      <c r="FU706" t="s">
        <v>1248</v>
      </c>
      <c r="FV706" t="s">
        <v>1248</v>
      </c>
      <c r="FX706" t="s">
        <v>3284</v>
      </c>
      <c r="FY706" t="s">
        <v>3284</v>
      </c>
      <c r="FZ706" t="s">
        <v>3284</v>
      </c>
      <c r="GA706" t="s">
        <v>3284</v>
      </c>
      <c r="GB706" t="s">
        <v>3284</v>
      </c>
      <c r="GC706" t="s">
        <v>3284</v>
      </c>
      <c r="GD706" t="s">
        <v>3284</v>
      </c>
      <c r="GT706" t="s">
        <v>2680</v>
      </c>
      <c r="GU706" t="s">
        <v>2682</v>
      </c>
      <c r="GV706" t="s">
        <v>2681</v>
      </c>
      <c r="GW706" t="s">
        <v>2683</v>
      </c>
      <c r="GY706" t="s">
        <v>3221</v>
      </c>
      <c r="HB706" t="s">
        <v>2220</v>
      </c>
      <c r="HD706" t="s">
        <v>2220</v>
      </c>
      <c r="HF706" t="s">
        <v>2220</v>
      </c>
      <c r="HH706" t="s">
        <v>2220</v>
      </c>
      <c r="HJ706" t="s">
        <v>2220</v>
      </c>
      <c r="HL706" t="s">
        <v>2220</v>
      </c>
      <c r="HN706" t="s">
        <v>2220</v>
      </c>
      <c r="HP706" t="s">
        <v>2220</v>
      </c>
      <c r="HQ706" t="s">
        <v>2220</v>
      </c>
      <c r="HS706" t="s">
        <v>2220</v>
      </c>
      <c r="HU706" t="s">
        <v>2220</v>
      </c>
      <c r="HW706" t="s">
        <v>2220</v>
      </c>
      <c r="HY706" t="s">
        <v>2220</v>
      </c>
      <c r="IA706" t="s">
        <v>2220</v>
      </c>
      <c r="IC706" t="s">
        <v>2220</v>
      </c>
      <c r="ID706" t="s">
        <v>2220</v>
      </c>
      <c r="IG706" t="s">
        <v>2220</v>
      </c>
      <c r="II706" t="s">
        <v>2220</v>
      </c>
      <c r="IK706" t="s">
        <v>1248</v>
      </c>
    </row>
    <row r="707" spans="1:245" x14ac:dyDescent="0.2">
      <c r="A707" t="s">
        <v>1675</v>
      </c>
      <c r="C707">
        <v>3</v>
      </c>
      <c r="D707">
        <v>3</v>
      </c>
      <c r="E707">
        <v>3</v>
      </c>
      <c r="F707">
        <v>3</v>
      </c>
      <c r="G707">
        <v>3</v>
      </c>
      <c r="H707">
        <v>3</v>
      </c>
      <c r="I707">
        <v>3</v>
      </c>
      <c r="J707">
        <v>3</v>
      </c>
      <c r="K707">
        <v>3</v>
      </c>
      <c r="L707">
        <v>3</v>
      </c>
      <c r="M707">
        <v>3</v>
      </c>
      <c r="N707">
        <v>3</v>
      </c>
      <c r="AU707">
        <v>3</v>
      </c>
      <c r="AV707">
        <v>3</v>
      </c>
      <c r="AW707">
        <v>3</v>
      </c>
      <c r="AX707">
        <v>3</v>
      </c>
      <c r="AZ707">
        <v>3</v>
      </c>
      <c r="BA707">
        <v>3</v>
      </c>
      <c r="BB707">
        <v>3</v>
      </c>
      <c r="BC707">
        <v>3</v>
      </c>
      <c r="BD707">
        <v>3</v>
      </c>
      <c r="BE707">
        <v>3</v>
      </c>
      <c r="BF707">
        <v>3</v>
      </c>
      <c r="BG707">
        <v>3</v>
      </c>
      <c r="BI707">
        <v>3</v>
      </c>
      <c r="BJ707">
        <v>3</v>
      </c>
      <c r="CB707">
        <v>3</v>
      </c>
      <c r="CC707">
        <v>3</v>
      </c>
      <c r="CD707">
        <v>3</v>
      </c>
      <c r="CE707">
        <v>3</v>
      </c>
      <c r="CF707">
        <v>3</v>
      </c>
      <c r="CG707">
        <v>3</v>
      </c>
      <c r="CH707">
        <v>3</v>
      </c>
      <c r="CI707">
        <v>3</v>
      </c>
      <c r="CJ707">
        <v>3</v>
      </c>
      <c r="CK707">
        <v>3</v>
      </c>
      <c r="CL707">
        <v>3</v>
      </c>
      <c r="CM707">
        <v>3</v>
      </c>
      <c r="CW707">
        <v>4</v>
      </c>
      <c r="CX707">
        <v>4</v>
      </c>
      <c r="CY707">
        <v>3</v>
      </c>
      <c r="CZ707">
        <v>3</v>
      </c>
      <c r="DA707">
        <v>3</v>
      </c>
      <c r="DB707">
        <v>3</v>
      </c>
      <c r="DC707">
        <v>5</v>
      </c>
      <c r="DD707">
        <v>3</v>
      </c>
      <c r="DE707">
        <v>3</v>
      </c>
      <c r="DF707">
        <v>3</v>
      </c>
      <c r="DG707">
        <v>3</v>
      </c>
      <c r="DH707">
        <v>3</v>
      </c>
      <c r="DI707">
        <v>3</v>
      </c>
      <c r="DJ707">
        <v>3</v>
      </c>
      <c r="DK707">
        <v>3</v>
      </c>
      <c r="DL707">
        <v>3</v>
      </c>
      <c r="DM707">
        <v>3</v>
      </c>
      <c r="DN707">
        <v>3</v>
      </c>
      <c r="DO707">
        <v>3</v>
      </c>
      <c r="DP707">
        <v>3</v>
      </c>
      <c r="DQ707">
        <v>3</v>
      </c>
      <c r="DR707">
        <v>3</v>
      </c>
      <c r="DS707">
        <v>3</v>
      </c>
      <c r="DT707">
        <v>3</v>
      </c>
      <c r="DU707">
        <v>3</v>
      </c>
      <c r="DV707">
        <v>5</v>
      </c>
      <c r="DW707">
        <v>5</v>
      </c>
      <c r="DX707">
        <v>3</v>
      </c>
      <c r="DY707">
        <v>3</v>
      </c>
      <c r="DZ707">
        <v>3</v>
      </c>
      <c r="EA707">
        <v>3</v>
      </c>
      <c r="EB707">
        <v>3</v>
      </c>
      <c r="EC707">
        <v>3</v>
      </c>
      <c r="ED707">
        <v>3</v>
      </c>
      <c r="EE707">
        <v>3</v>
      </c>
      <c r="EF707">
        <v>3</v>
      </c>
      <c r="EG707">
        <v>3</v>
      </c>
      <c r="EH707">
        <v>3</v>
      </c>
      <c r="EI707">
        <v>3</v>
      </c>
      <c r="EJ707">
        <v>3</v>
      </c>
      <c r="EK707">
        <v>3</v>
      </c>
      <c r="EL707">
        <v>3</v>
      </c>
      <c r="EM707">
        <v>3</v>
      </c>
      <c r="EN707">
        <v>3</v>
      </c>
      <c r="EO707">
        <v>3</v>
      </c>
      <c r="EP707">
        <v>3</v>
      </c>
      <c r="EQ707">
        <v>3</v>
      </c>
      <c r="ER707">
        <v>3</v>
      </c>
      <c r="ES707">
        <v>3</v>
      </c>
      <c r="ET707">
        <v>3</v>
      </c>
      <c r="EU707">
        <v>3</v>
      </c>
      <c r="EV707">
        <v>3</v>
      </c>
      <c r="EW707">
        <v>3</v>
      </c>
      <c r="EY707">
        <v>3</v>
      </c>
      <c r="EZ707" t="s">
        <v>2762</v>
      </c>
      <c r="FA707">
        <v>3</v>
      </c>
      <c r="FB707">
        <v>3</v>
      </c>
      <c r="FC707">
        <v>3</v>
      </c>
      <c r="FD707">
        <v>3</v>
      </c>
      <c r="FE707">
        <v>3</v>
      </c>
      <c r="FF707">
        <v>3</v>
      </c>
      <c r="FG707">
        <v>3</v>
      </c>
      <c r="FH707">
        <v>3</v>
      </c>
      <c r="FI707">
        <v>3</v>
      </c>
      <c r="FJ707">
        <v>3</v>
      </c>
      <c r="FK707">
        <v>3</v>
      </c>
      <c r="FL707">
        <v>3</v>
      </c>
      <c r="FM707">
        <v>5</v>
      </c>
      <c r="FN707">
        <v>3</v>
      </c>
      <c r="FO707">
        <v>7</v>
      </c>
      <c r="FP707" t="s">
        <v>2762</v>
      </c>
      <c r="FQ707" t="s">
        <v>2762</v>
      </c>
      <c r="FR707" t="s">
        <v>2762</v>
      </c>
      <c r="FS707" t="s">
        <v>2762</v>
      </c>
      <c r="FT707">
        <v>3</v>
      </c>
      <c r="FU707">
        <v>3</v>
      </c>
      <c r="FV707">
        <v>3</v>
      </c>
      <c r="FX707">
        <v>6</v>
      </c>
      <c r="FY707">
        <v>6</v>
      </c>
      <c r="FZ707">
        <v>6</v>
      </c>
      <c r="GA707">
        <v>6</v>
      </c>
      <c r="GB707">
        <v>6</v>
      </c>
      <c r="GC707">
        <v>6</v>
      </c>
      <c r="GD707">
        <v>6</v>
      </c>
      <c r="GT707">
        <v>7</v>
      </c>
      <c r="GU707">
        <v>7</v>
      </c>
      <c r="GV707">
        <v>7</v>
      </c>
      <c r="GW707">
        <v>7</v>
      </c>
      <c r="GY707">
        <v>6</v>
      </c>
      <c r="HB707">
        <v>3</v>
      </c>
      <c r="HD707">
        <v>3</v>
      </c>
      <c r="HF707">
        <v>3</v>
      </c>
      <c r="HH707">
        <v>3</v>
      </c>
      <c r="HJ707">
        <v>3</v>
      </c>
      <c r="HL707">
        <v>3</v>
      </c>
      <c r="HN707">
        <v>3</v>
      </c>
      <c r="HP707">
        <v>3</v>
      </c>
      <c r="HQ707">
        <v>4</v>
      </c>
      <c r="HS707">
        <v>3</v>
      </c>
      <c r="HU707">
        <v>3</v>
      </c>
      <c r="HW707">
        <v>3</v>
      </c>
      <c r="HY707">
        <v>3</v>
      </c>
      <c r="IA707">
        <v>3</v>
      </c>
      <c r="IC707">
        <v>3</v>
      </c>
      <c r="ID707">
        <v>3</v>
      </c>
      <c r="IG707">
        <v>3</v>
      </c>
      <c r="II707">
        <v>3</v>
      </c>
      <c r="IK707">
        <v>3</v>
      </c>
    </row>
    <row r="708" spans="1:245" x14ac:dyDescent="0.2">
      <c r="A708" t="s">
        <v>2887</v>
      </c>
      <c r="P708" t="s">
        <v>2570</v>
      </c>
      <c r="R708" t="s">
        <v>2570</v>
      </c>
      <c r="S708" t="s">
        <v>2570</v>
      </c>
      <c r="T708" t="s">
        <v>2570</v>
      </c>
      <c r="U708" t="s">
        <v>2570</v>
      </c>
      <c r="V708" t="s">
        <v>2570</v>
      </c>
      <c r="W708" t="s">
        <v>2348</v>
      </c>
      <c r="AC708" t="s">
        <v>2567</v>
      </c>
      <c r="AD708" t="s">
        <v>2570</v>
      </c>
      <c r="AF708" t="s">
        <v>2570</v>
      </c>
      <c r="AG708" t="s">
        <v>2570</v>
      </c>
      <c r="AH708" t="s">
        <v>2570</v>
      </c>
      <c r="AI708" t="s">
        <v>2570</v>
      </c>
      <c r="AJ708" t="s">
        <v>2348</v>
      </c>
      <c r="AO708" t="s">
        <v>2567</v>
      </c>
      <c r="AP708" t="s">
        <v>2348</v>
      </c>
      <c r="AQ708" t="s">
        <v>2348</v>
      </c>
      <c r="AR708" t="s">
        <v>2567</v>
      </c>
      <c r="AS708" t="s">
        <v>2567</v>
      </c>
      <c r="BI708" t="s">
        <v>3201</v>
      </c>
      <c r="BJ708" t="s">
        <v>3201</v>
      </c>
      <c r="CC708" t="s">
        <v>2910</v>
      </c>
      <c r="CD708" t="s">
        <v>2910</v>
      </c>
      <c r="CE708" t="s">
        <v>2910</v>
      </c>
      <c r="CF708" t="s">
        <v>2910</v>
      </c>
      <c r="CG708" t="s">
        <v>2910</v>
      </c>
      <c r="CH708" t="s">
        <v>2910</v>
      </c>
      <c r="CI708" t="s">
        <v>2910</v>
      </c>
      <c r="CJ708" t="s">
        <v>2910</v>
      </c>
      <c r="CK708" t="s">
        <v>2910</v>
      </c>
      <c r="CL708" t="s">
        <v>2910</v>
      </c>
      <c r="CW708" t="s">
        <v>3003</v>
      </c>
      <c r="DA708" t="s">
        <v>32</v>
      </c>
      <c r="DF708" t="s">
        <v>3811</v>
      </c>
      <c r="EJ708" t="s">
        <v>3953</v>
      </c>
      <c r="EK708" t="s">
        <v>3953</v>
      </c>
      <c r="EL708" t="s">
        <v>3003</v>
      </c>
      <c r="ES708" t="s">
        <v>3003</v>
      </c>
      <c r="EW708" t="s">
        <v>3953</v>
      </c>
      <c r="EY708" t="s">
        <v>3953</v>
      </c>
      <c r="EZ708" t="s">
        <v>4569</v>
      </c>
      <c r="FG708" t="s">
        <v>562</v>
      </c>
      <c r="FH708" t="s">
        <v>562</v>
      </c>
      <c r="FI708" t="s">
        <v>562</v>
      </c>
      <c r="FJ708" t="s">
        <v>562</v>
      </c>
      <c r="FN708" t="s">
        <v>3003</v>
      </c>
      <c r="FO708" t="s">
        <v>8596</v>
      </c>
      <c r="FP708" t="s">
        <v>4569</v>
      </c>
      <c r="FQ708" t="s">
        <v>4569</v>
      </c>
      <c r="FR708" t="s">
        <v>4569</v>
      </c>
      <c r="FS708" t="s">
        <v>4569</v>
      </c>
      <c r="FU708" t="s">
        <v>3003</v>
      </c>
      <c r="FV708" t="s">
        <v>32</v>
      </c>
      <c r="FY708" t="s">
        <v>3003</v>
      </c>
      <c r="FZ708" t="s">
        <v>3003</v>
      </c>
      <c r="GA708" t="s">
        <v>3007</v>
      </c>
      <c r="GB708" t="s">
        <v>3003</v>
      </c>
      <c r="GC708" t="s">
        <v>3003</v>
      </c>
      <c r="HB708" t="s">
        <v>425</v>
      </c>
      <c r="HD708" t="s">
        <v>425</v>
      </c>
      <c r="HF708" t="s">
        <v>425</v>
      </c>
      <c r="HH708" t="s">
        <v>425</v>
      </c>
      <c r="HJ708" t="s">
        <v>425</v>
      </c>
      <c r="HL708" t="s">
        <v>425</v>
      </c>
      <c r="HN708" t="s">
        <v>425</v>
      </c>
      <c r="HP708" t="s">
        <v>425</v>
      </c>
      <c r="HQ708" t="s">
        <v>425</v>
      </c>
      <c r="HS708" t="s">
        <v>425</v>
      </c>
      <c r="HU708" t="s">
        <v>425</v>
      </c>
      <c r="HW708" t="s">
        <v>425</v>
      </c>
      <c r="HY708" t="s">
        <v>425</v>
      </c>
      <c r="IA708" t="s">
        <v>425</v>
      </c>
      <c r="IC708" t="s">
        <v>425</v>
      </c>
      <c r="ID708" t="s">
        <v>425</v>
      </c>
      <c r="IG708" t="s">
        <v>425</v>
      </c>
      <c r="II708" t="s">
        <v>425</v>
      </c>
    </row>
    <row r="709" spans="1:245" x14ac:dyDescent="0.2">
      <c r="P709" t="s">
        <v>2348</v>
      </c>
      <c r="W709" t="s">
        <v>2564</v>
      </c>
      <c r="AC709" t="s">
        <v>2565</v>
      </c>
      <c r="AD709" t="s">
        <v>2348</v>
      </c>
      <c r="AJ709" t="s">
        <v>2564</v>
      </c>
      <c r="AO709" t="s">
        <v>2565</v>
      </c>
      <c r="AP709" t="s">
        <v>2564</v>
      </c>
      <c r="AQ709" t="s">
        <v>2564</v>
      </c>
      <c r="AR709" t="s">
        <v>2565</v>
      </c>
      <c r="AS709" t="s">
        <v>2565</v>
      </c>
      <c r="BI709" t="s">
        <v>422</v>
      </c>
      <c r="BJ709" t="s">
        <v>422</v>
      </c>
      <c r="EZ709" t="s">
        <v>4569</v>
      </c>
      <c r="FN709" t="s">
        <v>3007</v>
      </c>
      <c r="FO709" t="s">
        <v>8594</v>
      </c>
      <c r="FP709" t="s">
        <v>4569</v>
      </c>
      <c r="FQ709" t="s">
        <v>4569</v>
      </c>
      <c r="FR709" t="s">
        <v>4569</v>
      </c>
      <c r="FS709" t="s">
        <v>4569</v>
      </c>
    </row>
    <row r="710" spans="1:245" x14ac:dyDescent="0.2">
      <c r="AC710" t="s">
        <v>2564</v>
      </c>
      <c r="AO710" t="s">
        <v>2564</v>
      </c>
      <c r="AR710" t="s">
        <v>2564</v>
      </c>
      <c r="AS710" t="s">
        <v>2564</v>
      </c>
      <c r="EZ710" t="s">
        <v>4569</v>
      </c>
      <c r="FN710" t="s">
        <v>418</v>
      </c>
      <c r="FO710" t="s">
        <v>3007</v>
      </c>
      <c r="FP710" t="s">
        <v>4569</v>
      </c>
      <c r="FQ710" t="s">
        <v>4569</v>
      </c>
      <c r="FR710" t="s">
        <v>4569</v>
      </c>
      <c r="FS710" t="s">
        <v>4569</v>
      </c>
    </row>
    <row r="711" spans="1:245" x14ac:dyDescent="0.2">
      <c r="W711" t="s">
        <v>2569</v>
      </c>
      <c r="AJ711" t="s">
        <v>2569</v>
      </c>
      <c r="AP711" t="s">
        <v>2569</v>
      </c>
      <c r="AQ711" t="s">
        <v>2569</v>
      </c>
      <c r="EZ711" t="s">
        <v>4569</v>
      </c>
      <c r="FO711" t="s">
        <v>419</v>
      </c>
      <c r="FP711" t="s">
        <v>4569</v>
      </c>
      <c r="FQ711" t="s">
        <v>4569</v>
      </c>
      <c r="FR711" t="s">
        <v>4569</v>
      </c>
      <c r="FS711" t="s">
        <v>4569</v>
      </c>
    </row>
    <row r="712" spans="1:245" x14ac:dyDescent="0.2">
      <c r="W712" t="s">
        <v>2565</v>
      </c>
      <c r="AJ712" t="s">
        <v>2565</v>
      </c>
      <c r="AP712" t="s">
        <v>2565</v>
      </c>
      <c r="AQ712" t="s">
        <v>2565</v>
      </c>
      <c r="EZ712" t="s">
        <v>4569</v>
      </c>
      <c r="FP712" t="s">
        <v>4569</v>
      </c>
      <c r="FQ712" t="s">
        <v>4569</v>
      </c>
      <c r="FR712" t="s">
        <v>4569</v>
      </c>
      <c r="FS712" t="s">
        <v>4569</v>
      </c>
    </row>
    <row r="713" spans="1:245" x14ac:dyDescent="0.2">
      <c r="W713" t="s">
        <v>2349</v>
      </c>
      <c r="AJ713" t="s">
        <v>2349</v>
      </c>
      <c r="AP713" t="s">
        <v>2349</v>
      </c>
      <c r="AQ713" t="s">
        <v>2349</v>
      </c>
      <c r="EZ713" t="s">
        <v>4569</v>
      </c>
      <c r="FP713" t="s">
        <v>4569</v>
      </c>
      <c r="FQ713" t="s">
        <v>4569</v>
      </c>
      <c r="FR713" t="s">
        <v>4569</v>
      </c>
      <c r="FS713" t="s">
        <v>4569</v>
      </c>
    </row>
    <row r="714" spans="1:245" x14ac:dyDescent="0.2">
      <c r="EZ714" t="s">
        <v>4569</v>
      </c>
      <c r="FP714" t="s">
        <v>4569</v>
      </c>
      <c r="FQ714" t="s">
        <v>4569</v>
      </c>
      <c r="FR714" t="s">
        <v>4569</v>
      </c>
      <c r="FS714" t="s">
        <v>4569</v>
      </c>
    </row>
    <row r="715" spans="1:245" ht="12.75" customHeight="1" outlineLevel="1" x14ac:dyDescent="0.2"/>
    <row r="716" spans="1:245" ht="12.75" customHeight="1" outlineLevel="1" x14ac:dyDescent="0.2"/>
    <row r="717" spans="1:245" ht="12.75" customHeight="1" outlineLevel="1" x14ac:dyDescent="0.2"/>
    <row r="718" spans="1:245" ht="12.75" customHeight="1" outlineLevel="1" x14ac:dyDescent="0.2"/>
    <row r="719" spans="1:245" ht="12.75" customHeight="1" outlineLevel="1" x14ac:dyDescent="0.2"/>
    <row r="720" spans="1:245" ht="12.75" customHeight="1" outlineLevel="1" x14ac:dyDescent="0.2"/>
    <row r="721" ht="12.75" customHeight="1" outlineLevel="1" x14ac:dyDescent="0.2"/>
    <row r="722" ht="12.75" customHeight="1" outlineLevel="1" x14ac:dyDescent="0.2"/>
    <row r="723" ht="12.75" customHeight="1" outlineLevel="1" x14ac:dyDescent="0.2"/>
    <row r="724" ht="12.75" customHeight="1" outlineLevel="1" x14ac:dyDescent="0.2"/>
    <row r="725" ht="12.75" customHeight="1" outlineLevel="1" x14ac:dyDescent="0.2"/>
    <row r="726" ht="12.75" customHeight="1" outlineLevel="1" x14ac:dyDescent="0.2"/>
    <row r="727" ht="12.75" customHeight="1" outlineLevel="1" x14ac:dyDescent="0.2"/>
    <row r="728" ht="12.75" customHeight="1" outlineLevel="1" x14ac:dyDescent="0.2"/>
    <row r="729" ht="12.75" customHeight="1" outlineLevel="1" x14ac:dyDescent="0.2"/>
    <row r="730" ht="12.75" customHeight="1" outlineLevel="1" x14ac:dyDescent="0.2"/>
    <row r="731" ht="12.75" customHeight="1" outlineLevel="1" x14ac:dyDescent="0.2"/>
    <row r="732" ht="12.75" customHeight="1" outlineLevel="1" x14ac:dyDescent="0.2"/>
    <row r="733" ht="12.75" customHeight="1" outlineLevel="1" x14ac:dyDescent="0.2"/>
    <row r="734" ht="12.75" customHeight="1" outlineLevel="1" x14ac:dyDescent="0.2"/>
    <row r="735" ht="12.75" customHeight="1" outlineLevel="1" x14ac:dyDescent="0.2"/>
    <row r="736" ht="12.75" customHeight="1" outlineLevel="1" x14ac:dyDescent="0.2"/>
    <row r="737" ht="12.75" customHeight="1" outlineLevel="1" x14ac:dyDescent="0.2"/>
    <row r="738" ht="12.75" customHeight="1" outlineLevel="1" x14ac:dyDescent="0.2"/>
    <row r="739" ht="12.75" customHeight="1" outlineLevel="1" x14ac:dyDescent="0.2"/>
    <row r="740" ht="12.75" customHeight="1" outlineLevel="1" x14ac:dyDescent="0.2"/>
    <row r="741" ht="12.75" customHeight="1" outlineLevel="1" x14ac:dyDescent="0.2"/>
    <row r="742" ht="12.75" customHeight="1" outlineLevel="1" x14ac:dyDescent="0.2"/>
    <row r="743" ht="12.75" customHeight="1" outlineLevel="1" x14ac:dyDescent="0.2"/>
    <row r="744" ht="12.75" customHeight="1" outlineLevel="1" x14ac:dyDescent="0.2"/>
    <row r="745" ht="12.75" customHeight="1" outlineLevel="1" x14ac:dyDescent="0.2"/>
    <row r="746" ht="12.75" customHeight="1" outlineLevel="1" x14ac:dyDescent="0.2"/>
    <row r="747" ht="12.75" customHeight="1" outlineLevel="1" x14ac:dyDescent="0.2"/>
    <row r="748" ht="12.75" customHeight="1" outlineLevel="1" x14ac:dyDescent="0.2"/>
    <row r="749" ht="12.75" customHeight="1" outlineLevel="1" x14ac:dyDescent="0.2"/>
    <row r="750" ht="12.75" customHeight="1" outlineLevel="1" x14ac:dyDescent="0.2"/>
    <row r="751" ht="12.75" customHeight="1" outlineLevel="1" x14ac:dyDescent="0.2"/>
    <row r="752" ht="12.75" customHeight="1" outlineLevel="1" x14ac:dyDescent="0.2"/>
    <row r="753" ht="12.75" customHeight="1" outlineLevel="1" x14ac:dyDescent="0.2"/>
    <row r="754" ht="12.75" customHeight="1" outlineLevel="1" x14ac:dyDescent="0.2"/>
    <row r="755" ht="12.75" customHeight="1" outlineLevel="1" x14ac:dyDescent="0.2"/>
    <row r="756" ht="12.75" customHeight="1" outlineLevel="1" x14ac:dyDescent="0.2"/>
    <row r="757" ht="12.75" customHeight="1" outlineLevel="1" x14ac:dyDescent="0.2"/>
    <row r="758" ht="12.75" customHeight="1" outlineLevel="1" x14ac:dyDescent="0.2"/>
    <row r="759" ht="12.75" customHeight="1" outlineLevel="1" x14ac:dyDescent="0.2"/>
    <row r="760" ht="12.75" customHeight="1" outlineLevel="1" x14ac:dyDescent="0.2"/>
    <row r="761" ht="12.75" customHeight="1" outlineLevel="1" x14ac:dyDescent="0.2"/>
    <row r="762" ht="12.75" customHeight="1" outlineLevel="1" x14ac:dyDescent="0.2"/>
    <row r="763" ht="12.75" customHeight="1" outlineLevel="1" x14ac:dyDescent="0.2"/>
    <row r="764" ht="12.75" customHeight="1" outlineLevel="1" x14ac:dyDescent="0.2"/>
    <row r="765" ht="12.75" customHeight="1" outlineLevel="1" x14ac:dyDescent="0.2"/>
    <row r="766" ht="12.75" customHeight="1" outlineLevel="1" x14ac:dyDescent="0.2"/>
    <row r="767" ht="12.75" customHeight="1" outlineLevel="1" x14ac:dyDescent="0.2"/>
    <row r="768" ht="12.75" customHeight="1" outlineLevel="1" x14ac:dyDescent="0.2"/>
    <row r="769" ht="12.75" customHeight="1" outlineLevel="1" x14ac:dyDescent="0.2"/>
    <row r="770" ht="12.75" customHeight="1" outlineLevel="1" x14ac:dyDescent="0.2"/>
    <row r="771" ht="12.75" customHeight="1" outlineLevel="1" x14ac:dyDescent="0.2"/>
    <row r="772" ht="12.75" customHeight="1" outlineLevel="1" x14ac:dyDescent="0.2"/>
    <row r="773" ht="12.75" customHeight="1" outlineLevel="1" x14ac:dyDescent="0.2"/>
    <row r="774" ht="12.75" customHeight="1" outlineLevel="1" x14ac:dyDescent="0.2"/>
    <row r="775" ht="12.75" customHeight="1" outlineLevel="1" x14ac:dyDescent="0.2"/>
    <row r="776" ht="12.75" customHeight="1" outlineLevel="1" x14ac:dyDescent="0.2"/>
    <row r="777" ht="12.75" customHeight="1" outlineLevel="1" x14ac:dyDescent="0.2"/>
    <row r="778" ht="12.75" customHeight="1" outlineLevel="1" x14ac:dyDescent="0.2"/>
    <row r="779" ht="12.75" customHeight="1" outlineLevel="1" x14ac:dyDescent="0.2"/>
    <row r="780" ht="12.75" customHeight="1" outlineLevel="1" x14ac:dyDescent="0.2"/>
    <row r="781" ht="12.75" customHeight="1" outlineLevel="1" x14ac:dyDescent="0.2"/>
    <row r="782" ht="12.75" customHeight="1" outlineLevel="1" x14ac:dyDescent="0.2"/>
    <row r="783" ht="12.75" customHeight="1" outlineLevel="1" x14ac:dyDescent="0.2"/>
    <row r="784" ht="12.75" customHeight="1" outlineLevel="1" x14ac:dyDescent="0.2"/>
    <row r="785" ht="12.75" customHeight="1" outlineLevel="1" x14ac:dyDescent="0.2"/>
    <row r="786" ht="12.75" customHeight="1" outlineLevel="1" x14ac:dyDescent="0.2"/>
    <row r="787" ht="12.75" customHeight="1" outlineLevel="1" x14ac:dyDescent="0.2"/>
    <row r="788" ht="12.75" customHeight="1" outlineLevel="1" x14ac:dyDescent="0.2"/>
    <row r="789" ht="12.75" customHeight="1" outlineLevel="1" x14ac:dyDescent="0.2"/>
    <row r="790" ht="12.75" customHeight="1" outlineLevel="1" x14ac:dyDescent="0.2"/>
    <row r="791" ht="12.75" customHeight="1" outlineLevel="1" x14ac:dyDescent="0.2"/>
    <row r="792" ht="12.75" customHeight="1" outlineLevel="1" x14ac:dyDescent="0.2"/>
    <row r="793" ht="12.75" customHeight="1" outlineLevel="1" x14ac:dyDescent="0.2"/>
    <row r="794" ht="12.75" customHeight="1" outlineLevel="1" x14ac:dyDescent="0.2"/>
    <row r="795" ht="12.75" customHeight="1" outlineLevel="1" x14ac:dyDescent="0.2"/>
    <row r="796" ht="12.75" customHeight="1" outlineLevel="1" x14ac:dyDescent="0.2"/>
    <row r="797" ht="12.75" customHeight="1" outlineLevel="1" x14ac:dyDescent="0.2"/>
    <row r="798" ht="12.75" customHeight="1" outlineLevel="1" x14ac:dyDescent="0.2"/>
    <row r="799" ht="12.75" customHeight="1" outlineLevel="1" x14ac:dyDescent="0.2"/>
    <row r="800" ht="12.75" customHeight="1" outlineLevel="1" x14ac:dyDescent="0.2"/>
    <row r="801" spans="1:243" ht="12.75" customHeight="1" outlineLevel="1" x14ac:dyDescent="0.2"/>
    <row r="802" spans="1:243" ht="12.75" customHeight="1" outlineLevel="1" x14ac:dyDescent="0.2"/>
    <row r="803" spans="1:243" ht="12.75" customHeight="1" outlineLevel="1" x14ac:dyDescent="0.2"/>
    <row r="804" spans="1:243" ht="12.75" customHeight="1" outlineLevel="1" x14ac:dyDescent="0.2"/>
    <row r="805" spans="1:243" ht="12.75" customHeight="1" outlineLevel="1" x14ac:dyDescent="0.2"/>
    <row r="806" spans="1:243" ht="12.75" customHeight="1" outlineLevel="1" x14ac:dyDescent="0.2"/>
    <row r="807" spans="1:243" ht="12.75" customHeight="1" outlineLevel="1" x14ac:dyDescent="0.2"/>
    <row r="808" spans="1:243" ht="12.75" customHeight="1" outlineLevel="1" x14ac:dyDescent="0.2"/>
    <row r="809" spans="1:243" ht="12.75" customHeight="1" outlineLevel="1" x14ac:dyDescent="0.2"/>
    <row r="810" spans="1:243" ht="12.75" customHeight="1" outlineLevel="1" x14ac:dyDescent="0.2"/>
    <row r="811" spans="1:243" ht="12.75" customHeight="1" outlineLevel="1" x14ac:dyDescent="0.2"/>
    <row r="812" spans="1:243" x14ac:dyDescent="0.2">
      <c r="A812" t="s">
        <v>3046</v>
      </c>
      <c r="EZ812" t="s">
        <v>4569</v>
      </c>
      <c r="FA812" t="s">
        <v>4569</v>
      </c>
      <c r="FP812" t="s">
        <v>4569</v>
      </c>
      <c r="FQ812" t="s">
        <v>4569</v>
      </c>
      <c r="FR812" t="s">
        <v>4569</v>
      </c>
      <c r="FS812" t="s">
        <v>4569</v>
      </c>
    </row>
    <row r="813" spans="1:243" x14ac:dyDescent="0.2">
      <c r="A813" t="s">
        <v>3918</v>
      </c>
      <c r="Q813" t="s">
        <v>6495</v>
      </c>
      <c r="AE813" t="s">
        <v>6495</v>
      </c>
      <c r="CJ813" t="s">
        <v>8078</v>
      </c>
      <c r="CN813" t="s">
        <v>9259</v>
      </c>
      <c r="DD813" t="s">
        <v>4189</v>
      </c>
      <c r="DE813" t="s">
        <v>4189</v>
      </c>
      <c r="EZ813" t="s">
        <v>4569</v>
      </c>
      <c r="FA813" t="s">
        <v>4569</v>
      </c>
      <c r="FP813" t="s">
        <v>4569</v>
      </c>
      <c r="FQ813" t="s">
        <v>4569</v>
      </c>
      <c r="FR813" t="s">
        <v>4569</v>
      </c>
      <c r="FS813" t="s">
        <v>4569</v>
      </c>
      <c r="HB813" t="s">
        <v>6707</v>
      </c>
      <c r="HD813" t="s">
        <v>6707</v>
      </c>
      <c r="HF813" t="s">
        <v>6707</v>
      </c>
      <c r="HH813" t="s">
        <v>6707</v>
      </c>
      <c r="HJ813" t="s">
        <v>6707</v>
      </c>
      <c r="HL813" t="s">
        <v>6707</v>
      </c>
      <c r="HM813" t="s">
        <v>6266</v>
      </c>
      <c r="HN813" t="s">
        <v>6709</v>
      </c>
      <c r="HP813" t="s">
        <v>6707</v>
      </c>
      <c r="HQ813" t="s">
        <v>6707</v>
      </c>
      <c r="HS813" t="s">
        <v>6707</v>
      </c>
      <c r="HU813" t="s">
        <v>6707</v>
      </c>
      <c r="HW813" t="s">
        <v>6707</v>
      </c>
      <c r="HY813" t="s">
        <v>6707</v>
      </c>
      <c r="IA813" t="s">
        <v>6707</v>
      </c>
      <c r="IC813" t="s">
        <v>6708</v>
      </c>
      <c r="ID813" t="s">
        <v>6707</v>
      </c>
      <c r="IG813" t="s">
        <v>6707</v>
      </c>
      <c r="II813" t="s">
        <v>6707</v>
      </c>
    </row>
    <row r="814" spans="1:243" x14ac:dyDescent="0.2">
      <c r="EZ814" t="s">
        <v>4569</v>
      </c>
      <c r="FA814" t="s">
        <v>4569</v>
      </c>
      <c r="FP814" t="s">
        <v>4569</v>
      </c>
      <c r="FQ814" t="s">
        <v>4569</v>
      </c>
      <c r="FR814" t="s">
        <v>4569</v>
      </c>
      <c r="FS814" t="s">
        <v>4569</v>
      </c>
    </row>
    <row r="815" spans="1:243" x14ac:dyDescent="0.2">
      <c r="EZ815" t="s">
        <v>4569</v>
      </c>
      <c r="FA815" t="s">
        <v>4569</v>
      </c>
      <c r="FP815" t="s">
        <v>4569</v>
      </c>
      <c r="FQ815" t="s">
        <v>4569</v>
      </c>
      <c r="FR815" t="s">
        <v>4569</v>
      </c>
      <c r="FS815" t="s">
        <v>4569</v>
      </c>
    </row>
    <row r="816" spans="1:243" x14ac:dyDescent="0.2">
      <c r="EZ816" t="s">
        <v>4569</v>
      </c>
      <c r="FA816" t="s">
        <v>4569</v>
      </c>
      <c r="FP816" t="s">
        <v>4569</v>
      </c>
      <c r="FQ816" t="s">
        <v>4569</v>
      </c>
      <c r="FR816" t="s">
        <v>4569</v>
      </c>
      <c r="FS816" t="s">
        <v>4569</v>
      </c>
    </row>
    <row r="817" spans="1:243" x14ac:dyDescent="0.2">
      <c r="A817" t="s">
        <v>3996</v>
      </c>
      <c r="AZ817" t="s">
        <v>6622</v>
      </c>
      <c r="BA817" t="s">
        <v>6622</v>
      </c>
      <c r="BB817" t="s">
        <v>6622</v>
      </c>
      <c r="BC817" t="s">
        <v>6622</v>
      </c>
      <c r="BD817" t="s">
        <v>6622</v>
      </c>
      <c r="BE817" t="s">
        <v>6622</v>
      </c>
      <c r="BF817" t="s">
        <v>6622</v>
      </c>
      <c r="BG817" t="s">
        <v>6622</v>
      </c>
      <c r="EK817" t="s">
        <v>8121</v>
      </c>
      <c r="EL817" t="s">
        <v>8121</v>
      </c>
      <c r="ET817" t="s">
        <v>6621</v>
      </c>
      <c r="EV817" t="s">
        <v>8122</v>
      </c>
      <c r="EZ817" t="s">
        <v>8842</v>
      </c>
      <c r="FA817" t="s">
        <v>8839</v>
      </c>
      <c r="FM817" t="s">
        <v>8897</v>
      </c>
      <c r="FP817" t="s">
        <v>4569</v>
      </c>
      <c r="FQ817" t="s">
        <v>4569</v>
      </c>
      <c r="FR817" t="s">
        <v>4569</v>
      </c>
      <c r="FS817" t="s">
        <v>4569</v>
      </c>
      <c r="IE817" t="s">
        <v>7812</v>
      </c>
    </row>
    <row r="818" spans="1:243" x14ac:dyDescent="0.2">
      <c r="EZ818" t="s">
        <v>4569</v>
      </c>
      <c r="FA818" t="s">
        <v>4569</v>
      </c>
      <c r="FP818" t="s">
        <v>4569</v>
      </c>
      <c r="FQ818" t="s">
        <v>4569</v>
      </c>
      <c r="FR818" t="s">
        <v>4569</v>
      </c>
      <c r="FS818" t="s">
        <v>4569</v>
      </c>
    </row>
    <row r="819" spans="1:243" x14ac:dyDescent="0.2">
      <c r="EZ819" t="s">
        <v>4569</v>
      </c>
      <c r="FA819" t="s">
        <v>4569</v>
      </c>
      <c r="FP819" t="s">
        <v>4569</v>
      </c>
      <c r="FQ819" t="s">
        <v>4569</v>
      </c>
      <c r="FR819" t="s">
        <v>4569</v>
      </c>
      <c r="FS819" t="s">
        <v>4569</v>
      </c>
    </row>
    <row r="820" spans="1:243" x14ac:dyDescent="0.2">
      <c r="A820" t="s">
        <v>1646</v>
      </c>
      <c r="H820" t="s">
        <v>7126</v>
      </c>
      <c r="I820" t="s">
        <v>7126</v>
      </c>
      <c r="J820" t="s">
        <v>7126</v>
      </c>
      <c r="K820" t="s">
        <v>7126</v>
      </c>
      <c r="L820" t="s">
        <v>7126</v>
      </c>
      <c r="M820" t="s">
        <v>7126</v>
      </c>
      <c r="N820" t="s">
        <v>7126</v>
      </c>
      <c r="AV820" t="s">
        <v>7127</v>
      </c>
      <c r="BI820" t="s">
        <v>8068</v>
      </c>
      <c r="BJ820" t="s">
        <v>8068</v>
      </c>
      <c r="CY820" t="s">
        <v>7476</v>
      </c>
      <c r="DF820" t="s">
        <v>7128</v>
      </c>
      <c r="DG820" t="s">
        <v>7128</v>
      </c>
      <c r="DH820" t="s">
        <v>7128</v>
      </c>
      <c r="DI820" t="s">
        <v>7128</v>
      </c>
      <c r="DJ820" t="s">
        <v>7128</v>
      </c>
      <c r="DK820" t="s">
        <v>7128</v>
      </c>
      <c r="DV820" t="s">
        <v>8123</v>
      </c>
      <c r="DW820" t="s">
        <v>7475</v>
      </c>
      <c r="EG820" t="s">
        <v>8124</v>
      </c>
      <c r="EK820" t="s">
        <v>7129</v>
      </c>
      <c r="EL820" t="s">
        <v>7129</v>
      </c>
      <c r="EZ820" t="s">
        <v>4569</v>
      </c>
      <c r="FA820" t="s">
        <v>4569</v>
      </c>
      <c r="FP820" t="s">
        <v>4569</v>
      </c>
      <c r="FQ820" t="s">
        <v>4569</v>
      </c>
      <c r="FR820" t="s">
        <v>4569</v>
      </c>
      <c r="FS820" t="s">
        <v>4569</v>
      </c>
      <c r="FT820" t="s">
        <v>7130</v>
      </c>
      <c r="FU820" t="s">
        <v>8188</v>
      </c>
      <c r="FV820" t="s">
        <v>6625</v>
      </c>
      <c r="GF820" t="s">
        <v>8211</v>
      </c>
      <c r="GG820" t="s">
        <v>8211</v>
      </c>
      <c r="GH820" t="s">
        <v>8211</v>
      </c>
      <c r="GI820" t="s">
        <v>8212</v>
      </c>
      <c r="GJ820" t="s">
        <v>8213</v>
      </c>
      <c r="GK820" t="s">
        <v>8211</v>
      </c>
      <c r="GL820" t="s">
        <v>8211</v>
      </c>
      <c r="HO820" t="s">
        <v>8234</v>
      </c>
      <c r="HP820" t="s">
        <v>8234</v>
      </c>
      <c r="HQ820" t="s">
        <v>8235</v>
      </c>
    </row>
    <row r="821" spans="1:243" x14ac:dyDescent="0.2">
      <c r="A821" t="s">
        <v>2663</v>
      </c>
      <c r="D821" t="s">
        <v>8013</v>
      </c>
      <c r="E821" t="s">
        <v>8014</v>
      </c>
      <c r="F821" t="s">
        <v>8015</v>
      </c>
      <c r="G821" t="s">
        <v>8016</v>
      </c>
      <c r="P821" t="s">
        <v>8038</v>
      </c>
      <c r="Q821" t="s">
        <v>6519</v>
      </c>
      <c r="R821" t="s">
        <v>8039</v>
      </c>
      <c r="S821" t="s">
        <v>8039</v>
      </c>
      <c r="T821" t="s">
        <v>8039</v>
      </c>
      <c r="U821" t="s">
        <v>8039</v>
      </c>
      <c r="V821" t="s">
        <v>8039</v>
      </c>
      <c r="W821" t="s">
        <v>6496</v>
      </c>
      <c r="X821" t="s">
        <v>8040</v>
      </c>
      <c r="Y821" t="s">
        <v>8040</v>
      </c>
      <c r="Z821" t="s">
        <v>8040</v>
      </c>
      <c r="AA821" t="s">
        <v>8040</v>
      </c>
      <c r="AB821" t="s">
        <v>8040</v>
      </c>
      <c r="AD821" t="s">
        <v>8038</v>
      </c>
      <c r="AE821" t="s">
        <v>6519</v>
      </c>
      <c r="AF821" t="s">
        <v>8039</v>
      </c>
      <c r="AG821" t="s">
        <v>8039</v>
      </c>
      <c r="AH821" t="s">
        <v>8039</v>
      </c>
      <c r="AI821" t="s">
        <v>8039</v>
      </c>
      <c r="AJ821" t="s">
        <v>6496</v>
      </c>
      <c r="AK821" t="s">
        <v>8040</v>
      </c>
      <c r="AL821" t="s">
        <v>8040</v>
      </c>
      <c r="AM821" t="s">
        <v>8040</v>
      </c>
      <c r="AN821" t="s">
        <v>8040</v>
      </c>
      <c r="AU821" t="s">
        <v>6386</v>
      </c>
      <c r="AV821" t="s">
        <v>6386</v>
      </c>
      <c r="AW821" t="s">
        <v>6386</v>
      </c>
      <c r="AX821" t="s">
        <v>6386</v>
      </c>
      <c r="BB821" t="s">
        <v>8052</v>
      </c>
      <c r="BC821" t="s">
        <v>8053</v>
      </c>
      <c r="BL821" t="s">
        <v>8484</v>
      </c>
      <c r="BM821" t="s">
        <v>8479</v>
      </c>
      <c r="BN821" t="s">
        <v>8491</v>
      </c>
      <c r="BO821" t="s">
        <v>8484</v>
      </c>
      <c r="BP821" t="s">
        <v>8492</v>
      </c>
      <c r="BQ821" t="s">
        <v>8479</v>
      </c>
      <c r="BR821" t="s">
        <v>8495</v>
      </c>
      <c r="BS821" t="s">
        <v>8484</v>
      </c>
      <c r="BT821" t="s">
        <v>8490</v>
      </c>
      <c r="BU821" t="s">
        <v>8479</v>
      </c>
      <c r="BV821" t="s">
        <v>8484</v>
      </c>
      <c r="BW821" t="s">
        <v>8479</v>
      </c>
      <c r="BX821" t="s">
        <v>8487</v>
      </c>
      <c r="BY821" t="s">
        <v>8484</v>
      </c>
      <c r="BZ821" t="s">
        <v>8482</v>
      </c>
      <c r="CA821" t="s">
        <v>7929</v>
      </c>
      <c r="CB821" t="s">
        <v>8083</v>
      </c>
      <c r="CH821" t="s">
        <v>8079</v>
      </c>
      <c r="CJ821" t="s">
        <v>8080</v>
      </c>
      <c r="CK821" t="s">
        <v>8081</v>
      </c>
      <c r="CL821" t="s">
        <v>8082</v>
      </c>
      <c r="CM821" t="s">
        <v>9260</v>
      </c>
      <c r="CO821" t="s">
        <v>9194</v>
      </c>
      <c r="CP821" t="s">
        <v>9197</v>
      </c>
      <c r="CQ821" t="s">
        <v>9191</v>
      </c>
      <c r="CR821" t="s">
        <v>9261</v>
      </c>
      <c r="CS821" t="s">
        <v>9261</v>
      </c>
      <c r="CT821" t="s">
        <v>9262</v>
      </c>
      <c r="DJ821" t="s">
        <v>4190</v>
      </c>
      <c r="DQ821" t="s">
        <v>4191</v>
      </c>
      <c r="DT821" t="s">
        <v>8125</v>
      </c>
      <c r="DU821" t="s">
        <v>6403</v>
      </c>
      <c r="DV821" t="s">
        <v>8126</v>
      </c>
      <c r="EB821" t="s">
        <v>8127</v>
      </c>
      <c r="EE821" t="s">
        <v>6404</v>
      </c>
      <c r="EG821" t="s">
        <v>8128</v>
      </c>
      <c r="EH821" t="s">
        <v>8129</v>
      </c>
      <c r="EI821" t="s">
        <v>8129</v>
      </c>
      <c r="ES821" t="s">
        <v>8130</v>
      </c>
      <c r="EU821" t="s">
        <v>8131</v>
      </c>
      <c r="EW821" t="s">
        <v>8132</v>
      </c>
      <c r="EZ821" t="s">
        <v>4569</v>
      </c>
      <c r="FA821" t="s">
        <v>4569</v>
      </c>
      <c r="FF821" t="s">
        <v>8874</v>
      </c>
      <c r="FP821" t="s">
        <v>4569</v>
      </c>
      <c r="FQ821" t="s">
        <v>4569</v>
      </c>
      <c r="FR821" t="s">
        <v>4569</v>
      </c>
      <c r="FS821" t="s">
        <v>4569</v>
      </c>
      <c r="FT821" t="s">
        <v>8125</v>
      </c>
      <c r="FV821" t="s">
        <v>5773</v>
      </c>
      <c r="FY821" t="s">
        <v>8198</v>
      </c>
      <c r="FZ821" t="s">
        <v>8199</v>
      </c>
      <c r="GA821" t="s">
        <v>8200</v>
      </c>
      <c r="GB821" t="s">
        <v>8200</v>
      </c>
      <c r="GC821" t="s">
        <v>6267</v>
      </c>
      <c r="GG821" t="s">
        <v>8214</v>
      </c>
      <c r="GJ821" t="s">
        <v>8215</v>
      </c>
      <c r="GO821" t="s">
        <v>8219</v>
      </c>
      <c r="HA821" t="s">
        <v>8236</v>
      </c>
      <c r="HB821" t="s">
        <v>8236</v>
      </c>
      <c r="HC821" t="s">
        <v>8237</v>
      </c>
      <c r="HD821" t="s">
        <v>8237</v>
      </c>
      <c r="HE821" t="s">
        <v>8237</v>
      </c>
      <c r="HF821" t="s">
        <v>8237</v>
      </c>
      <c r="HG821" t="s">
        <v>8237</v>
      </c>
      <c r="HH821" t="s">
        <v>8237</v>
      </c>
      <c r="HI821" t="s">
        <v>8237</v>
      </c>
      <c r="HJ821" t="s">
        <v>8237</v>
      </c>
      <c r="HK821" t="s">
        <v>8237</v>
      </c>
      <c r="HL821" t="s">
        <v>8237</v>
      </c>
      <c r="HM821" t="s">
        <v>8238</v>
      </c>
      <c r="HN821" t="s">
        <v>8238</v>
      </c>
      <c r="HO821" t="s">
        <v>8239</v>
      </c>
      <c r="HP821" t="s">
        <v>8239</v>
      </c>
      <c r="HQ821" t="s">
        <v>8240</v>
      </c>
      <c r="HR821" t="s">
        <v>7479</v>
      </c>
      <c r="HS821" t="s">
        <v>7478</v>
      </c>
      <c r="HT821" t="s">
        <v>7478</v>
      </c>
      <c r="HU821" t="s">
        <v>7479</v>
      </c>
      <c r="HV821" t="s">
        <v>7479</v>
      </c>
      <c r="HW821" t="s">
        <v>7479</v>
      </c>
      <c r="HX821" t="s">
        <v>7479</v>
      </c>
      <c r="HY821" t="s">
        <v>7479</v>
      </c>
      <c r="HZ821" t="s">
        <v>7479</v>
      </c>
      <c r="IA821" t="s">
        <v>7479</v>
      </c>
      <c r="IB821" t="s">
        <v>8241</v>
      </c>
      <c r="IC821" t="s">
        <v>8241</v>
      </c>
      <c r="ID821" t="s">
        <v>8242</v>
      </c>
      <c r="IE821" t="s">
        <v>8236</v>
      </c>
      <c r="IF821" t="s">
        <v>8243</v>
      </c>
      <c r="IG821" t="s">
        <v>8243</v>
      </c>
      <c r="IH821" t="s">
        <v>7809</v>
      </c>
      <c r="II821" t="s">
        <v>7809</v>
      </c>
    </row>
    <row r="822" spans="1:243" x14ac:dyDescent="0.2">
      <c r="A822" t="s">
        <v>1515</v>
      </c>
      <c r="F822" t="s">
        <v>8017</v>
      </c>
      <c r="W822" t="s">
        <v>3831</v>
      </c>
      <c r="AC822" t="s">
        <v>4219</v>
      </c>
      <c r="AD822" t="s">
        <v>6515</v>
      </c>
      <c r="AE822" t="s">
        <v>6515</v>
      </c>
      <c r="AF822" t="s">
        <v>6515</v>
      </c>
      <c r="AG822" t="s">
        <v>6515</v>
      </c>
      <c r="AH822" t="s">
        <v>6515</v>
      </c>
      <c r="AI822" t="s">
        <v>6515</v>
      </c>
      <c r="AJ822" t="s">
        <v>6516</v>
      </c>
      <c r="AK822" t="s">
        <v>6515</v>
      </c>
      <c r="AL822" t="s">
        <v>6515</v>
      </c>
      <c r="AM822" t="s">
        <v>6515</v>
      </c>
      <c r="AN822" t="s">
        <v>6515</v>
      </c>
      <c r="AO822" t="s">
        <v>6517</v>
      </c>
      <c r="BB822" t="s">
        <v>8054</v>
      </c>
      <c r="BC822" t="s">
        <v>8055</v>
      </c>
      <c r="BD822" t="s">
        <v>8056</v>
      </c>
      <c r="BE822" t="s">
        <v>6260</v>
      </c>
      <c r="BF822" t="s">
        <v>8057</v>
      </c>
      <c r="BG822" t="s">
        <v>6260</v>
      </c>
      <c r="BI822" t="s">
        <v>8069</v>
      </c>
      <c r="BJ822" t="s">
        <v>8069</v>
      </c>
      <c r="BP822" t="s">
        <v>8493</v>
      </c>
      <c r="CO822" t="s">
        <v>5109</v>
      </c>
      <c r="CP822" t="s">
        <v>5109</v>
      </c>
      <c r="CR822" t="s">
        <v>5109</v>
      </c>
      <c r="CS822" t="s">
        <v>5109</v>
      </c>
      <c r="CT822" t="s">
        <v>5116</v>
      </c>
      <c r="CU822" t="s">
        <v>5116</v>
      </c>
      <c r="DA822" t="s">
        <v>8133</v>
      </c>
      <c r="DW822" t="s">
        <v>6405</v>
      </c>
      <c r="DZ822" t="s">
        <v>8134</v>
      </c>
      <c r="EE822" t="s">
        <v>6405</v>
      </c>
      <c r="EF822" t="s">
        <v>8135</v>
      </c>
      <c r="EG822" t="s">
        <v>8136</v>
      </c>
      <c r="EO822" t="s">
        <v>8137</v>
      </c>
      <c r="EQ822" t="s">
        <v>8138</v>
      </c>
      <c r="ER822" t="s">
        <v>4219</v>
      </c>
      <c r="ES822" t="s">
        <v>8139</v>
      </c>
      <c r="ET822" t="s">
        <v>4219</v>
      </c>
      <c r="EU822" t="s">
        <v>8140</v>
      </c>
      <c r="EZ822" t="s">
        <v>8843</v>
      </c>
      <c r="FA822" t="s">
        <v>8840</v>
      </c>
      <c r="FK822" t="s">
        <v>8898</v>
      </c>
      <c r="FL822" t="s">
        <v>8898</v>
      </c>
      <c r="FM822" t="s">
        <v>8899</v>
      </c>
      <c r="FN822" t="s">
        <v>8898</v>
      </c>
      <c r="FP822" t="s">
        <v>8900</v>
      </c>
      <c r="FQ822" t="s">
        <v>8900</v>
      </c>
      <c r="FR822" t="s">
        <v>8900</v>
      </c>
      <c r="FS822" t="s">
        <v>8900</v>
      </c>
      <c r="FT822" t="s">
        <v>8189</v>
      </c>
      <c r="FX822" t="s">
        <v>8201</v>
      </c>
      <c r="FY822" t="s">
        <v>8202</v>
      </c>
      <c r="FZ822" t="s">
        <v>8203</v>
      </c>
      <c r="GA822" t="s">
        <v>8204</v>
      </c>
      <c r="GB822" t="s">
        <v>8205</v>
      </c>
      <c r="GC822" t="s">
        <v>8202</v>
      </c>
      <c r="GD822" t="s">
        <v>8201</v>
      </c>
      <c r="GF822" t="s">
        <v>8216</v>
      </c>
      <c r="GG822" t="s">
        <v>8216</v>
      </c>
      <c r="GH822" t="s">
        <v>8216</v>
      </c>
      <c r="GI822" t="s">
        <v>8216</v>
      </c>
      <c r="GJ822" t="s">
        <v>8216</v>
      </c>
      <c r="GK822" t="s">
        <v>8216</v>
      </c>
      <c r="GL822" t="s">
        <v>8216</v>
      </c>
      <c r="GO822" t="s">
        <v>8220</v>
      </c>
      <c r="GP822" t="s">
        <v>8221</v>
      </c>
      <c r="GR822" t="s">
        <v>8220</v>
      </c>
      <c r="GS822" t="s">
        <v>8220</v>
      </c>
      <c r="GT822" t="s">
        <v>8221</v>
      </c>
      <c r="GV822" t="s">
        <v>8220</v>
      </c>
      <c r="GW822" t="s">
        <v>8220</v>
      </c>
      <c r="GY822" t="s">
        <v>8226</v>
      </c>
      <c r="HA822" t="s">
        <v>8244</v>
      </c>
      <c r="HB822" t="s">
        <v>8244</v>
      </c>
      <c r="HC822" t="s">
        <v>8244</v>
      </c>
      <c r="HD822" t="s">
        <v>8244</v>
      </c>
      <c r="HE822" t="s">
        <v>8244</v>
      </c>
      <c r="HF822" t="s">
        <v>8244</v>
      </c>
      <c r="HG822" t="s">
        <v>8244</v>
      </c>
      <c r="HH822" t="s">
        <v>8244</v>
      </c>
      <c r="HI822" t="s">
        <v>8244</v>
      </c>
      <c r="HJ822" t="s">
        <v>8244</v>
      </c>
      <c r="HK822" t="s">
        <v>8244</v>
      </c>
      <c r="HL822" t="s">
        <v>8244</v>
      </c>
      <c r="HM822" t="s">
        <v>8245</v>
      </c>
      <c r="HN822" t="s">
        <v>8245</v>
      </c>
      <c r="IB822" t="s">
        <v>4219</v>
      </c>
      <c r="IC822" t="s">
        <v>4219</v>
      </c>
      <c r="ID822" t="s">
        <v>8246</v>
      </c>
      <c r="IF822" t="s">
        <v>8244</v>
      </c>
      <c r="IG822" t="s">
        <v>8244</v>
      </c>
      <c r="IH822" t="s">
        <v>8244</v>
      </c>
      <c r="II822" t="s">
        <v>8244</v>
      </c>
    </row>
    <row r="823" spans="1:243" x14ac:dyDescent="0.2">
      <c r="A823" t="s">
        <v>2664</v>
      </c>
      <c r="EZ823" t="s">
        <v>4569</v>
      </c>
      <c r="FA823" t="s">
        <v>4569</v>
      </c>
      <c r="FP823" t="s">
        <v>4569</v>
      </c>
      <c r="FQ823" t="s">
        <v>4569</v>
      </c>
      <c r="FR823" t="s">
        <v>4569</v>
      </c>
      <c r="FS823" t="s">
        <v>4569</v>
      </c>
    </row>
    <row r="824" spans="1:243" x14ac:dyDescent="0.2">
      <c r="A824" t="s">
        <v>4245</v>
      </c>
      <c r="BL824" t="s">
        <v>8485</v>
      </c>
      <c r="BO824" t="s">
        <v>8485</v>
      </c>
      <c r="BS824" t="s">
        <v>8485</v>
      </c>
      <c r="BV824" t="s">
        <v>8485</v>
      </c>
      <c r="BY824" t="s">
        <v>8485</v>
      </c>
      <c r="EZ824" t="s">
        <v>4569</v>
      </c>
      <c r="FA824" t="s">
        <v>4569</v>
      </c>
      <c r="FP824" t="s">
        <v>4569</v>
      </c>
      <c r="FQ824" t="s">
        <v>4569</v>
      </c>
      <c r="FR824" t="s">
        <v>4569</v>
      </c>
      <c r="FS824" t="s">
        <v>4569</v>
      </c>
    </row>
    <row r="825" spans="1:243" x14ac:dyDescent="0.2">
      <c r="A825" t="s">
        <v>2665</v>
      </c>
      <c r="EZ825" t="s">
        <v>4569</v>
      </c>
      <c r="FA825" t="s">
        <v>4569</v>
      </c>
      <c r="FP825" t="s">
        <v>4569</v>
      </c>
      <c r="FQ825" t="s">
        <v>4569</v>
      </c>
      <c r="FR825" t="s">
        <v>4569</v>
      </c>
      <c r="FS825" t="s">
        <v>4569</v>
      </c>
    </row>
    <row r="826" spans="1:243" x14ac:dyDescent="0.2">
      <c r="A826" t="s">
        <v>4246</v>
      </c>
      <c r="D826" t="s">
        <v>8018</v>
      </c>
      <c r="E826" t="s">
        <v>8019</v>
      </c>
      <c r="H826" t="s">
        <v>8020</v>
      </c>
      <c r="I826" t="s">
        <v>8020</v>
      </c>
      <c r="J826" t="s">
        <v>8020</v>
      </c>
      <c r="K826" t="s">
        <v>8020</v>
      </c>
      <c r="L826" t="s">
        <v>8020</v>
      </c>
      <c r="M826" t="s">
        <v>8020</v>
      </c>
      <c r="N826" t="s">
        <v>6513</v>
      </c>
      <c r="X826" t="s">
        <v>4188</v>
      </c>
      <c r="Y826" t="s">
        <v>4188</v>
      </c>
      <c r="Z826" t="s">
        <v>4188</v>
      </c>
      <c r="AA826" t="s">
        <v>4188</v>
      </c>
      <c r="AB826" t="s">
        <v>4188</v>
      </c>
      <c r="AK826" t="s">
        <v>4188</v>
      </c>
      <c r="AL826" t="s">
        <v>4188</v>
      </c>
      <c r="AM826" t="s">
        <v>4188</v>
      </c>
      <c r="AN826" t="s">
        <v>4188</v>
      </c>
      <c r="AU826" t="s">
        <v>8018</v>
      </c>
      <c r="AV826" t="s">
        <v>8018</v>
      </c>
      <c r="AW826" t="s">
        <v>8018</v>
      </c>
      <c r="BM826" t="s">
        <v>8480</v>
      </c>
      <c r="BN826" t="s">
        <v>8488</v>
      </c>
      <c r="BP826" t="s">
        <v>8494</v>
      </c>
      <c r="BQ826" t="s">
        <v>8480</v>
      </c>
      <c r="BR826" t="s">
        <v>8496</v>
      </c>
      <c r="BT826" t="s">
        <v>8488</v>
      </c>
      <c r="BU826" t="s">
        <v>8480</v>
      </c>
      <c r="BW826" t="s">
        <v>8480</v>
      </c>
      <c r="BX826" t="s">
        <v>8488</v>
      </c>
      <c r="BZ826" t="s">
        <v>7941</v>
      </c>
      <c r="CA826" t="s">
        <v>7941</v>
      </c>
      <c r="CH826" t="s">
        <v>8019</v>
      </c>
      <c r="CI826" t="s">
        <v>6158</v>
      </c>
      <c r="CJ826" t="s">
        <v>8084</v>
      </c>
      <c r="CL826" t="s">
        <v>8085</v>
      </c>
      <c r="CO826" t="s">
        <v>6608</v>
      </c>
      <c r="CP826" t="s">
        <v>6608</v>
      </c>
      <c r="CR826" t="s">
        <v>6608</v>
      </c>
      <c r="CS826" t="s">
        <v>6608</v>
      </c>
      <c r="DD826" t="s">
        <v>4193</v>
      </c>
      <c r="DE826" t="s">
        <v>4193</v>
      </c>
      <c r="EZ826" t="s">
        <v>4569</v>
      </c>
      <c r="FA826" t="s">
        <v>4569</v>
      </c>
      <c r="FP826" t="s">
        <v>4569</v>
      </c>
      <c r="FQ826" t="s">
        <v>4569</v>
      </c>
      <c r="FR826" t="s">
        <v>4569</v>
      </c>
      <c r="FS826" t="s">
        <v>4569</v>
      </c>
      <c r="FT826" t="s">
        <v>6583</v>
      </c>
    </row>
    <row r="827" spans="1:243" x14ac:dyDescent="0.2">
      <c r="A827" t="s">
        <v>2666</v>
      </c>
      <c r="BW827" t="s">
        <v>4569</v>
      </c>
      <c r="BX827" t="s">
        <v>4569</v>
      </c>
      <c r="BZ827" t="s">
        <v>4569</v>
      </c>
      <c r="CA827" t="s">
        <v>4569</v>
      </c>
      <c r="CC827" t="s">
        <v>8086</v>
      </c>
      <c r="CD827" t="s">
        <v>8086</v>
      </c>
      <c r="CE827" t="s">
        <v>8086</v>
      </c>
      <c r="CF827" t="s">
        <v>8086</v>
      </c>
      <c r="CG827" t="s">
        <v>8086</v>
      </c>
      <c r="CH827" t="s">
        <v>8086</v>
      </c>
      <c r="CI827" t="s">
        <v>8086</v>
      </c>
      <c r="CJ827" t="s">
        <v>8086</v>
      </c>
      <c r="CK827" t="s">
        <v>8086</v>
      </c>
      <c r="CL827" t="s">
        <v>8086</v>
      </c>
      <c r="CN827" t="s">
        <v>9263</v>
      </c>
      <c r="EZ827" t="s">
        <v>4569</v>
      </c>
      <c r="FA827" t="s">
        <v>4569</v>
      </c>
      <c r="FP827" t="s">
        <v>4569</v>
      </c>
      <c r="FQ827" t="s">
        <v>4569</v>
      </c>
      <c r="FR827" t="s">
        <v>4569</v>
      </c>
      <c r="FS827" t="s">
        <v>4569</v>
      </c>
      <c r="HB827" t="s">
        <v>8247</v>
      </c>
      <c r="HD827" t="s">
        <v>8247</v>
      </c>
      <c r="HF827" t="s">
        <v>8247</v>
      </c>
      <c r="HH827" t="s">
        <v>8247</v>
      </c>
      <c r="HJ827" t="s">
        <v>8247</v>
      </c>
      <c r="HL827" t="s">
        <v>8247</v>
      </c>
      <c r="HN827" t="s">
        <v>8247</v>
      </c>
      <c r="HP827" t="s">
        <v>8247</v>
      </c>
      <c r="HQ827" t="s">
        <v>8247</v>
      </c>
      <c r="HS827" t="s">
        <v>8247</v>
      </c>
      <c r="HU827" t="s">
        <v>8247</v>
      </c>
      <c r="HW827" t="s">
        <v>8247</v>
      </c>
      <c r="HY827" t="s">
        <v>8247</v>
      </c>
      <c r="IA827" t="s">
        <v>8247</v>
      </c>
      <c r="IC827" t="s">
        <v>8247</v>
      </c>
      <c r="ID827" t="s">
        <v>8247</v>
      </c>
      <c r="IG827" t="s">
        <v>8247</v>
      </c>
      <c r="II827" t="s">
        <v>8247</v>
      </c>
    </row>
    <row r="828" spans="1:243" x14ac:dyDescent="0.2">
      <c r="A828" t="s">
        <v>2667</v>
      </c>
      <c r="D828" t="s">
        <v>8021</v>
      </c>
      <c r="E828" t="s">
        <v>8022</v>
      </c>
      <c r="F828" t="s">
        <v>8023</v>
      </c>
      <c r="G828" t="s">
        <v>8024</v>
      </c>
      <c r="H828" t="s">
        <v>8025</v>
      </c>
      <c r="AC828" t="s">
        <v>8041</v>
      </c>
      <c r="AO828" t="s">
        <v>8041</v>
      </c>
      <c r="AV828" t="s">
        <v>8049</v>
      </c>
      <c r="AW828" t="s">
        <v>8050</v>
      </c>
      <c r="BB828" t="s">
        <v>8058</v>
      </c>
      <c r="BC828" t="s">
        <v>8059</v>
      </c>
      <c r="BD828" t="s">
        <v>8060</v>
      </c>
      <c r="BE828" t="s">
        <v>8061</v>
      </c>
      <c r="BG828" t="s">
        <v>8062</v>
      </c>
      <c r="DC828" t="s">
        <v>8141</v>
      </c>
      <c r="DQ828" t="s">
        <v>8142</v>
      </c>
      <c r="EA828" t="s">
        <v>6406</v>
      </c>
      <c r="EC828" t="s">
        <v>6407</v>
      </c>
      <c r="EK828" t="s">
        <v>6786</v>
      </c>
      <c r="EM828" t="s">
        <v>6787</v>
      </c>
      <c r="EN828" t="s">
        <v>6512</v>
      </c>
      <c r="ER828" t="s">
        <v>6785</v>
      </c>
      <c r="EZ828" t="s">
        <v>4569</v>
      </c>
      <c r="FA828" t="s">
        <v>4569</v>
      </c>
      <c r="FB828" t="s">
        <v>8878</v>
      </c>
      <c r="FC828" t="s">
        <v>8875</v>
      </c>
      <c r="FD828" t="s">
        <v>8876</v>
      </c>
      <c r="FG828" t="s">
        <v>8877</v>
      </c>
      <c r="FH828" t="s">
        <v>8877</v>
      </c>
      <c r="FI828" t="s">
        <v>8877</v>
      </c>
      <c r="FJ828" t="s">
        <v>8877</v>
      </c>
      <c r="FK828" t="s">
        <v>8901</v>
      </c>
      <c r="FN828" t="s">
        <v>8902</v>
      </c>
      <c r="FP828" t="s">
        <v>4569</v>
      </c>
      <c r="FQ828" t="s">
        <v>4569</v>
      </c>
      <c r="FR828" t="s">
        <v>4569</v>
      </c>
      <c r="FS828" t="s">
        <v>4569</v>
      </c>
    </row>
    <row r="829" spans="1:243" x14ac:dyDescent="0.2">
      <c r="A829" t="s">
        <v>2755</v>
      </c>
      <c r="EZ829" t="s">
        <v>4569</v>
      </c>
      <c r="FA829" t="s">
        <v>4569</v>
      </c>
      <c r="FP829" t="s">
        <v>4569</v>
      </c>
      <c r="FQ829" t="s">
        <v>4569</v>
      </c>
      <c r="FR829" t="s">
        <v>4569</v>
      </c>
      <c r="FS829" t="s">
        <v>4569</v>
      </c>
    </row>
    <row r="830" spans="1:243" x14ac:dyDescent="0.2">
      <c r="A830" t="s">
        <v>6614</v>
      </c>
      <c r="DB830" t="s">
        <v>8143</v>
      </c>
      <c r="EZ830" t="s">
        <v>4569</v>
      </c>
      <c r="FA830" t="s">
        <v>4569</v>
      </c>
      <c r="FP830" t="s">
        <v>4569</v>
      </c>
      <c r="FQ830" t="s">
        <v>4569</v>
      </c>
      <c r="FR830" t="s">
        <v>4569</v>
      </c>
      <c r="FS830" t="s">
        <v>4569</v>
      </c>
    </row>
    <row r="831" spans="1:243" x14ac:dyDescent="0.2">
      <c r="A831" t="s">
        <v>6615</v>
      </c>
      <c r="BL831" t="s">
        <v>8486</v>
      </c>
      <c r="BM831" t="s">
        <v>4569</v>
      </c>
      <c r="BN831" t="s">
        <v>4569</v>
      </c>
      <c r="BO831" t="s">
        <v>8486</v>
      </c>
      <c r="BP831" t="s">
        <v>4569</v>
      </c>
      <c r="BQ831" t="s">
        <v>4569</v>
      </c>
      <c r="BR831" t="s">
        <v>4569</v>
      </c>
      <c r="BS831" t="s">
        <v>8486</v>
      </c>
      <c r="BV831" t="s">
        <v>8486</v>
      </c>
      <c r="BY831" t="s">
        <v>8486</v>
      </c>
      <c r="CZ831" t="s">
        <v>4192</v>
      </c>
      <c r="DR831" t="s">
        <v>4192</v>
      </c>
      <c r="EZ831" t="s">
        <v>4569</v>
      </c>
      <c r="FA831" t="s">
        <v>4569</v>
      </c>
      <c r="FP831" t="s">
        <v>4569</v>
      </c>
      <c r="FQ831" t="s">
        <v>4569</v>
      </c>
      <c r="FR831" t="s">
        <v>4569</v>
      </c>
      <c r="FS831" t="s">
        <v>4569</v>
      </c>
    </row>
    <row r="832" spans="1:243" x14ac:dyDescent="0.2">
      <c r="A832" t="s">
        <v>6616</v>
      </c>
      <c r="BL832" t="s">
        <v>8486</v>
      </c>
      <c r="BM832" t="s">
        <v>4569</v>
      </c>
      <c r="BN832" t="s">
        <v>4569</v>
      </c>
      <c r="BO832" t="s">
        <v>8486</v>
      </c>
      <c r="BP832" t="s">
        <v>4569</v>
      </c>
      <c r="BQ832" t="s">
        <v>4569</v>
      </c>
      <c r="BR832" t="s">
        <v>4569</v>
      </c>
      <c r="BS832" t="s">
        <v>8486</v>
      </c>
      <c r="BV832" t="s">
        <v>8486</v>
      </c>
      <c r="BY832" t="s">
        <v>8486</v>
      </c>
      <c r="EZ832" t="s">
        <v>4569</v>
      </c>
      <c r="FA832" t="s">
        <v>4569</v>
      </c>
      <c r="FP832" t="s">
        <v>4569</v>
      </c>
      <c r="FQ832" t="s">
        <v>4569</v>
      </c>
      <c r="FR832" t="s">
        <v>4569</v>
      </c>
      <c r="FS832" t="s">
        <v>4569</v>
      </c>
    </row>
    <row r="833" spans="1:243" x14ac:dyDescent="0.2">
      <c r="A833" t="s">
        <v>6617</v>
      </c>
      <c r="BM833" t="s">
        <v>8481</v>
      </c>
      <c r="BN833" t="s">
        <v>8489</v>
      </c>
      <c r="BQ833" t="s">
        <v>8481</v>
      </c>
      <c r="BT833" t="s">
        <v>8489</v>
      </c>
      <c r="BU833" t="s">
        <v>8481</v>
      </c>
      <c r="BW833" t="s">
        <v>8481</v>
      </c>
      <c r="BX833" t="s">
        <v>8489</v>
      </c>
      <c r="BZ833" t="s">
        <v>6588</v>
      </c>
      <c r="CA833" t="s">
        <v>6588</v>
      </c>
      <c r="CE833" t="s">
        <v>8087</v>
      </c>
      <c r="CG833" t="s">
        <v>8088</v>
      </c>
      <c r="CJ833" t="s">
        <v>8084</v>
      </c>
      <c r="CL833" t="s">
        <v>8085</v>
      </c>
      <c r="EZ833" t="s">
        <v>4569</v>
      </c>
      <c r="FA833" t="s">
        <v>4569</v>
      </c>
      <c r="FP833" t="s">
        <v>4569</v>
      </c>
      <c r="FQ833" t="s">
        <v>4569</v>
      </c>
      <c r="FR833" t="s">
        <v>4569</v>
      </c>
      <c r="FS833" t="s">
        <v>4569</v>
      </c>
      <c r="FT833" t="s">
        <v>9121</v>
      </c>
      <c r="HA833" t="s">
        <v>8248</v>
      </c>
      <c r="HB833" t="s">
        <v>8248</v>
      </c>
      <c r="HC833" t="s">
        <v>8248</v>
      </c>
      <c r="HD833" t="s">
        <v>8248</v>
      </c>
      <c r="HE833" t="s">
        <v>8248</v>
      </c>
      <c r="HF833" t="s">
        <v>8248</v>
      </c>
      <c r="HG833" t="s">
        <v>8248</v>
      </c>
      <c r="HH833" t="s">
        <v>8248</v>
      </c>
      <c r="HI833" t="s">
        <v>8248</v>
      </c>
      <c r="HJ833" t="s">
        <v>8248</v>
      </c>
      <c r="HK833" t="s">
        <v>8248</v>
      </c>
      <c r="HL833" t="s">
        <v>8248</v>
      </c>
      <c r="HM833" t="s">
        <v>8248</v>
      </c>
      <c r="HN833" t="s">
        <v>8248</v>
      </c>
      <c r="HO833" t="s">
        <v>8248</v>
      </c>
      <c r="HP833" t="s">
        <v>8248</v>
      </c>
      <c r="HR833" t="s">
        <v>8248</v>
      </c>
      <c r="HS833" t="s">
        <v>8248</v>
      </c>
      <c r="HT833" t="s">
        <v>8248</v>
      </c>
      <c r="HU833" t="s">
        <v>8248</v>
      </c>
      <c r="HV833" t="s">
        <v>8248</v>
      </c>
      <c r="HW833" t="s">
        <v>8248</v>
      </c>
      <c r="HX833" t="s">
        <v>8248</v>
      </c>
      <c r="HY833" t="s">
        <v>8248</v>
      </c>
      <c r="HZ833" t="s">
        <v>8248</v>
      </c>
      <c r="IA833" t="s">
        <v>8248</v>
      </c>
      <c r="IB833" t="s">
        <v>8248</v>
      </c>
      <c r="IC833" t="s">
        <v>8248</v>
      </c>
      <c r="ID833" t="s">
        <v>8248</v>
      </c>
      <c r="IE833" t="s">
        <v>8248</v>
      </c>
      <c r="IF833" t="s">
        <v>8248</v>
      </c>
      <c r="IG833" t="s">
        <v>8248</v>
      </c>
      <c r="IH833" t="s">
        <v>8248</v>
      </c>
      <c r="II833" t="s">
        <v>8248</v>
      </c>
    </row>
    <row r="834" spans="1:243" x14ac:dyDescent="0.2">
      <c r="A834" t="s">
        <v>6618</v>
      </c>
      <c r="EZ834" t="s">
        <v>4569</v>
      </c>
      <c r="FA834" t="s">
        <v>4569</v>
      </c>
      <c r="FF834" t="s">
        <v>8910</v>
      </c>
      <c r="FM834" t="s">
        <v>8903</v>
      </c>
    </row>
    <row r="835" spans="1:243" x14ac:dyDescent="0.2">
      <c r="A835" t="s">
        <v>6619</v>
      </c>
      <c r="D835" t="s">
        <v>8026</v>
      </c>
      <c r="E835" t="s">
        <v>8027</v>
      </c>
      <c r="F835" t="s">
        <v>8028</v>
      </c>
      <c r="G835" t="s">
        <v>8029</v>
      </c>
      <c r="H835" t="s">
        <v>8030</v>
      </c>
      <c r="I835" t="s">
        <v>8030</v>
      </c>
      <c r="J835" t="s">
        <v>8030</v>
      </c>
      <c r="K835" t="s">
        <v>8030</v>
      </c>
      <c r="L835" t="s">
        <v>8030</v>
      </c>
      <c r="M835" t="s">
        <v>8030</v>
      </c>
      <c r="N835" t="s">
        <v>8030</v>
      </c>
      <c r="BB835" t="s">
        <v>8063</v>
      </c>
      <c r="BC835" t="s">
        <v>8064</v>
      </c>
      <c r="BD835" t="s">
        <v>8065</v>
      </c>
      <c r="BE835" t="s">
        <v>8066</v>
      </c>
      <c r="BG835" t="s">
        <v>8067</v>
      </c>
      <c r="DP835" t="s">
        <v>6784</v>
      </c>
      <c r="DQ835" t="s">
        <v>8144</v>
      </c>
      <c r="DW835" t="s">
        <v>6408</v>
      </c>
      <c r="EA835" t="s">
        <v>6406</v>
      </c>
      <c r="EH835" t="s">
        <v>8145</v>
      </c>
      <c r="EI835" t="s">
        <v>8145</v>
      </c>
      <c r="EK835" t="s">
        <v>6786</v>
      </c>
      <c r="EO835" t="s">
        <v>6788</v>
      </c>
      <c r="EP835" t="s">
        <v>6789</v>
      </c>
      <c r="ER835" t="s">
        <v>6785</v>
      </c>
      <c r="EZ835" t="s">
        <v>4569</v>
      </c>
      <c r="FA835" t="s">
        <v>4569</v>
      </c>
      <c r="FB835" t="s">
        <v>8878</v>
      </c>
      <c r="FC835" t="s">
        <v>8875</v>
      </c>
      <c r="FD835" t="s">
        <v>8879</v>
      </c>
      <c r="FE835" t="s">
        <v>8880</v>
      </c>
      <c r="FG835" t="s">
        <v>8881</v>
      </c>
      <c r="FH835" t="s">
        <v>8881</v>
      </c>
      <c r="FI835" t="s">
        <v>8881</v>
      </c>
      <c r="FJ835" t="s">
        <v>8881</v>
      </c>
      <c r="FK835" t="s">
        <v>8901</v>
      </c>
      <c r="FN835" t="s">
        <v>8902</v>
      </c>
      <c r="FP835" t="s">
        <v>4569</v>
      </c>
      <c r="FQ835" t="s">
        <v>4569</v>
      </c>
      <c r="FR835" t="s">
        <v>4569</v>
      </c>
      <c r="FS835" t="s">
        <v>4569</v>
      </c>
    </row>
    <row r="836" spans="1:243" x14ac:dyDescent="0.2">
      <c r="A836" t="s">
        <v>6620</v>
      </c>
      <c r="EZ836" t="s">
        <v>4569</v>
      </c>
      <c r="FA836" t="s">
        <v>4569</v>
      </c>
      <c r="FP836" t="s">
        <v>4569</v>
      </c>
      <c r="FQ836" t="s">
        <v>4569</v>
      </c>
      <c r="FR836" t="s">
        <v>4569</v>
      </c>
      <c r="FS836" t="s">
        <v>4569</v>
      </c>
    </row>
    <row r="837" spans="1:243" x14ac:dyDescent="0.2">
      <c r="A837" t="s">
        <v>4247</v>
      </c>
      <c r="EZ837" t="s">
        <v>4569</v>
      </c>
      <c r="FA837" t="s">
        <v>4569</v>
      </c>
      <c r="FP837" t="s">
        <v>4569</v>
      </c>
      <c r="FQ837" t="s">
        <v>4569</v>
      </c>
      <c r="FR837" t="s">
        <v>4569</v>
      </c>
      <c r="FS837" t="s">
        <v>4569</v>
      </c>
    </row>
    <row r="838" spans="1:243" x14ac:dyDescent="0.2">
      <c r="A838" t="s">
        <v>4248</v>
      </c>
      <c r="EZ838" t="s">
        <v>4569</v>
      </c>
      <c r="FA838" t="s">
        <v>4569</v>
      </c>
      <c r="FP838" t="s">
        <v>4569</v>
      </c>
      <c r="FQ838" t="s">
        <v>4569</v>
      </c>
      <c r="FR838" t="s">
        <v>4569</v>
      </c>
      <c r="FS838" t="s">
        <v>4569</v>
      </c>
    </row>
    <row r="839" spans="1:243" x14ac:dyDescent="0.2">
      <c r="A839" t="s">
        <v>4976</v>
      </c>
      <c r="EZ839" t="s">
        <v>4569</v>
      </c>
      <c r="FA839" t="s">
        <v>4569</v>
      </c>
      <c r="FP839" t="s">
        <v>4569</v>
      </c>
      <c r="FQ839" t="s">
        <v>4569</v>
      </c>
      <c r="FR839" t="s">
        <v>4569</v>
      </c>
      <c r="FS839" t="s">
        <v>4569</v>
      </c>
    </row>
    <row r="840" spans="1:243" x14ac:dyDescent="0.2">
      <c r="A840" t="s">
        <v>3596</v>
      </c>
      <c r="D840" t="s">
        <v>8031</v>
      </c>
      <c r="E840" t="s">
        <v>8032</v>
      </c>
      <c r="F840" t="s">
        <v>8033</v>
      </c>
      <c r="AV840" t="s">
        <v>6749</v>
      </c>
      <c r="AW840" t="s">
        <v>6750</v>
      </c>
      <c r="AX840" t="s">
        <v>6751</v>
      </c>
      <c r="AY840" t="s">
        <v>784</v>
      </c>
      <c r="BI840" t="s">
        <v>8070</v>
      </c>
      <c r="BK840" t="s">
        <v>784</v>
      </c>
      <c r="CB840" t="s">
        <v>6197</v>
      </c>
      <c r="CC840" t="s">
        <v>6198</v>
      </c>
      <c r="CD840" t="s">
        <v>8089</v>
      </c>
      <c r="CE840" t="s">
        <v>8089</v>
      </c>
      <c r="CF840" t="s">
        <v>8089</v>
      </c>
      <c r="CG840" t="s">
        <v>8089</v>
      </c>
      <c r="CH840" t="s">
        <v>8089</v>
      </c>
      <c r="CI840" t="s">
        <v>8089</v>
      </c>
      <c r="CJ840" t="s">
        <v>8089</v>
      </c>
      <c r="CK840" t="s">
        <v>8089</v>
      </c>
      <c r="CL840" t="s">
        <v>8089</v>
      </c>
      <c r="CT840" t="s">
        <v>9264</v>
      </c>
      <c r="CV840" t="s">
        <v>784</v>
      </c>
      <c r="EN840" t="s">
        <v>8146</v>
      </c>
      <c r="EY840" t="s">
        <v>8190</v>
      </c>
      <c r="FB840" t="s">
        <v>9118</v>
      </c>
      <c r="FC840" t="s">
        <v>9117</v>
      </c>
      <c r="FD840" t="s">
        <v>9116</v>
      </c>
      <c r="FK840" t="s">
        <v>9163</v>
      </c>
      <c r="FN840" t="s">
        <v>9115</v>
      </c>
      <c r="FQ840" t="s">
        <v>4569</v>
      </c>
      <c r="FR840" t="s">
        <v>4569</v>
      </c>
      <c r="FS840" t="s">
        <v>4569</v>
      </c>
      <c r="FT840" t="s">
        <v>8191</v>
      </c>
      <c r="GD840" t="s">
        <v>6274</v>
      </c>
      <c r="HB840" t="s">
        <v>8249</v>
      </c>
      <c r="HD840" t="s">
        <v>8249</v>
      </c>
      <c r="HF840" t="s">
        <v>8249</v>
      </c>
      <c r="HH840" t="s">
        <v>8249</v>
      </c>
      <c r="HJ840" t="s">
        <v>8249</v>
      </c>
      <c r="HL840" t="s">
        <v>8249</v>
      </c>
      <c r="HN840" t="s">
        <v>8249</v>
      </c>
      <c r="HP840" t="s">
        <v>8249</v>
      </c>
      <c r="HQ840" t="s">
        <v>8249</v>
      </c>
      <c r="HS840" t="s">
        <v>8249</v>
      </c>
      <c r="HU840" t="s">
        <v>8249</v>
      </c>
      <c r="HW840" t="s">
        <v>8249</v>
      </c>
      <c r="HY840" t="s">
        <v>8249</v>
      </c>
      <c r="IA840" t="s">
        <v>8249</v>
      </c>
      <c r="IC840" t="s">
        <v>8249</v>
      </c>
      <c r="ID840" t="s">
        <v>8249</v>
      </c>
      <c r="IG840" t="s">
        <v>8249</v>
      </c>
      <c r="II840" t="s">
        <v>8249</v>
      </c>
    </row>
    <row r="841" spans="1:243" x14ac:dyDescent="0.2">
      <c r="BI841" t="s">
        <v>8071</v>
      </c>
      <c r="BK841" t="s">
        <v>784</v>
      </c>
      <c r="EX841" t="s">
        <v>784</v>
      </c>
      <c r="EZ841" t="s">
        <v>4569</v>
      </c>
      <c r="FA841" t="s">
        <v>4569</v>
      </c>
      <c r="FQ841" t="s">
        <v>4569</v>
      </c>
      <c r="FR841" t="s">
        <v>4569</v>
      </c>
      <c r="FS841" t="s">
        <v>4569</v>
      </c>
      <c r="FW841" t="s">
        <v>784</v>
      </c>
      <c r="HA841" t="s">
        <v>784</v>
      </c>
      <c r="IE841" t="s">
        <v>784</v>
      </c>
      <c r="IF841" t="s">
        <v>784</v>
      </c>
      <c r="IH841" t="s">
        <v>784</v>
      </c>
    </row>
    <row r="842" spans="1:243" x14ac:dyDescent="0.2">
      <c r="EZ842" t="s">
        <v>4569</v>
      </c>
      <c r="FA842" t="s">
        <v>4569</v>
      </c>
      <c r="FQ842" t="s">
        <v>4569</v>
      </c>
      <c r="FR842" t="s">
        <v>4569</v>
      </c>
      <c r="FS842" t="s">
        <v>4569</v>
      </c>
    </row>
    <row r="843" spans="1:243" x14ac:dyDescent="0.2">
      <c r="A843" t="s">
        <v>6711</v>
      </c>
      <c r="CB843">
        <v>3</v>
      </c>
      <c r="CC843">
        <v>5</v>
      </c>
      <c r="CD843">
        <v>5</v>
      </c>
      <c r="CE843">
        <v>5</v>
      </c>
      <c r="CF843">
        <v>5</v>
      </c>
      <c r="CG843">
        <v>5</v>
      </c>
      <c r="CH843">
        <v>5</v>
      </c>
      <c r="CI843">
        <v>5</v>
      </c>
      <c r="CJ843">
        <v>5</v>
      </c>
      <c r="CK843">
        <v>5</v>
      </c>
      <c r="CL843">
        <v>5</v>
      </c>
      <c r="CN843">
        <v>5</v>
      </c>
      <c r="CT843">
        <v>5</v>
      </c>
      <c r="HB843">
        <v>3</v>
      </c>
      <c r="HD843">
        <v>3</v>
      </c>
      <c r="HF843">
        <v>3</v>
      </c>
      <c r="HH843">
        <v>3</v>
      </c>
      <c r="HJ843">
        <v>3</v>
      </c>
      <c r="HL843">
        <v>3</v>
      </c>
      <c r="HN843">
        <v>3</v>
      </c>
      <c r="HP843">
        <v>3</v>
      </c>
      <c r="HQ843">
        <v>3</v>
      </c>
      <c r="HS843">
        <v>3</v>
      </c>
      <c r="HU843">
        <v>3</v>
      </c>
      <c r="HW843">
        <v>3</v>
      </c>
      <c r="HY843">
        <v>3</v>
      </c>
      <c r="IA843">
        <v>3</v>
      </c>
      <c r="IC843">
        <v>3</v>
      </c>
      <c r="ID843">
        <v>3</v>
      </c>
      <c r="IG843">
        <v>3</v>
      </c>
      <c r="II843">
        <v>3</v>
      </c>
    </row>
    <row r="844" spans="1:243" x14ac:dyDescent="0.2">
      <c r="A844" t="s">
        <v>4852</v>
      </c>
      <c r="D844" t="s">
        <v>8034</v>
      </c>
      <c r="G844" t="s">
        <v>6481</v>
      </c>
      <c r="AX844" t="s">
        <v>6480</v>
      </c>
      <c r="AY844" t="s">
        <v>784</v>
      </c>
      <c r="BI844" t="s">
        <v>8072</v>
      </c>
      <c r="BK844" t="s">
        <v>784</v>
      </c>
      <c r="CC844" t="s">
        <v>6204</v>
      </c>
      <c r="CD844" t="s">
        <v>8090</v>
      </c>
      <c r="CE844" t="s">
        <v>8091</v>
      </c>
      <c r="CF844" t="s">
        <v>8092</v>
      </c>
      <c r="CG844" t="s">
        <v>8093</v>
      </c>
      <c r="CH844" t="s">
        <v>8094</v>
      </c>
      <c r="CI844" t="s">
        <v>8095</v>
      </c>
      <c r="CJ844" t="s">
        <v>8096</v>
      </c>
      <c r="CK844" t="s">
        <v>8097</v>
      </c>
      <c r="CL844" t="s">
        <v>8094</v>
      </c>
      <c r="CN844" t="s">
        <v>9265</v>
      </c>
      <c r="CU844" t="s">
        <v>9266</v>
      </c>
      <c r="CW844" t="s">
        <v>4195</v>
      </c>
      <c r="CX844" t="s">
        <v>4196</v>
      </c>
      <c r="CZ844" t="s">
        <v>4200</v>
      </c>
      <c r="DB844" t="s">
        <v>4197</v>
      </c>
      <c r="DC844" t="s">
        <v>8147</v>
      </c>
      <c r="DD844" t="s">
        <v>7196</v>
      </c>
      <c r="DE844" t="s">
        <v>7196</v>
      </c>
      <c r="DL844" t="s">
        <v>4198</v>
      </c>
      <c r="DM844" t="s">
        <v>7198</v>
      </c>
      <c r="DP844" t="s">
        <v>4199</v>
      </c>
      <c r="DR844" t="s">
        <v>4200</v>
      </c>
      <c r="DV844" t="s">
        <v>6409</v>
      </c>
      <c r="DW844" t="s">
        <v>6410</v>
      </c>
      <c r="DX844" t="s">
        <v>6411</v>
      </c>
      <c r="DZ844" t="s">
        <v>8148</v>
      </c>
      <c r="EB844" t="s">
        <v>6412</v>
      </c>
      <c r="EC844" t="s">
        <v>6413</v>
      </c>
      <c r="ED844" t="s">
        <v>6414</v>
      </c>
      <c r="EG844" t="s">
        <v>6461</v>
      </c>
      <c r="EJ844" t="s">
        <v>8149</v>
      </c>
      <c r="EM844" t="s">
        <v>6462</v>
      </c>
      <c r="EP844" t="s">
        <v>8150</v>
      </c>
      <c r="EQ844" t="s">
        <v>8151</v>
      </c>
      <c r="ES844" t="s">
        <v>8152</v>
      </c>
      <c r="EU844" t="s">
        <v>8153</v>
      </c>
      <c r="EV844" t="s">
        <v>8154</v>
      </c>
      <c r="EW844" t="s">
        <v>8155</v>
      </c>
      <c r="EY844" t="s">
        <v>8192</v>
      </c>
      <c r="EZ844" t="s">
        <v>4569</v>
      </c>
      <c r="FA844" t="s">
        <v>4569</v>
      </c>
      <c r="FB844" t="s">
        <v>8882</v>
      </c>
      <c r="FC844" t="s">
        <v>8883</v>
      </c>
      <c r="FD844" t="s">
        <v>8884</v>
      </c>
      <c r="FK844" t="s">
        <v>9164</v>
      </c>
      <c r="FN844" t="s">
        <v>8904</v>
      </c>
      <c r="FQ844" t="s">
        <v>4569</v>
      </c>
      <c r="FR844" t="s">
        <v>4569</v>
      </c>
      <c r="FS844" t="s">
        <v>4569</v>
      </c>
      <c r="FT844" t="s">
        <v>8193</v>
      </c>
      <c r="FV844" t="s">
        <v>8194</v>
      </c>
      <c r="GC844" t="s">
        <v>6741</v>
      </c>
      <c r="GD844" t="s">
        <v>6275</v>
      </c>
      <c r="GF844" t="s">
        <v>8217</v>
      </c>
      <c r="GG844" t="s">
        <v>8217</v>
      </c>
      <c r="GH844" t="s">
        <v>8217</v>
      </c>
      <c r="GI844" t="s">
        <v>8217</v>
      </c>
      <c r="GJ844" t="s">
        <v>8217</v>
      </c>
      <c r="GK844" t="s">
        <v>8217</v>
      </c>
      <c r="GL844" t="s">
        <v>8217</v>
      </c>
    </row>
    <row r="845" spans="1:243" x14ac:dyDescent="0.2">
      <c r="A845" t="s">
        <v>6740</v>
      </c>
      <c r="I845" t="s">
        <v>8035</v>
      </c>
      <c r="M845" t="s">
        <v>8036</v>
      </c>
      <c r="BA845" t="s">
        <v>6742</v>
      </c>
      <c r="BB845" t="s">
        <v>6743</v>
      </c>
      <c r="BC845" t="s">
        <v>6744</v>
      </c>
      <c r="BF845" t="s">
        <v>6743</v>
      </c>
      <c r="BH845" t="s">
        <v>784</v>
      </c>
      <c r="CW845" t="s">
        <v>8156</v>
      </c>
      <c r="CX845" t="s">
        <v>8156</v>
      </c>
      <c r="CY845" t="s">
        <v>6745</v>
      </c>
      <c r="DA845" t="s">
        <v>8157</v>
      </c>
      <c r="DD845" t="s">
        <v>8158</v>
      </c>
      <c r="DE845" t="s">
        <v>8158</v>
      </c>
      <c r="DF845" t="s">
        <v>8159</v>
      </c>
      <c r="DG845" t="s">
        <v>8159</v>
      </c>
      <c r="DH845" t="s">
        <v>8159</v>
      </c>
      <c r="DI845" t="s">
        <v>8159</v>
      </c>
      <c r="DJ845" t="s">
        <v>8159</v>
      </c>
      <c r="DK845" t="s">
        <v>8159</v>
      </c>
      <c r="DN845" t="s">
        <v>8160</v>
      </c>
      <c r="DO845" t="s">
        <v>8160</v>
      </c>
      <c r="DQ845" t="s">
        <v>8161</v>
      </c>
      <c r="DT845" t="s">
        <v>8162</v>
      </c>
      <c r="DU845" t="s">
        <v>8163</v>
      </c>
      <c r="EA845" t="s">
        <v>8164</v>
      </c>
      <c r="ED845" t="s">
        <v>6754</v>
      </c>
      <c r="EE845" t="s">
        <v>8165</v>
      </c>
      <c r="EF845" t="s">
        <v>8166</v>
      </c>
      <c r="EH845" t="s">
        <v>6756</v>
      </c>
      <c r="EI845" t="s">
        <v>6756</v>
      </c>
      <c r="EJ845" t="s">
        <v>8167</v>
      </c>
      <c r="ES845" t="s">
        <v>6757</v>
      </c>
      <c r="EU845" t="s">
        <v>8168</v>
      </c>
      <c r="EV845" t="s">
        <v>8169</v>
      </c>
      <c r="EY845" t="s">
        <v>6758</v>
      </c>
      <c r="EZ845" t="s">
        <v>4569</v>
      </c>
      <c r="FA845" t="s">
        <v>4569</v>
      </c>
      <c r="FD845" t="s">
        <v>8885</v>
      </c>
      <c r="FE845" t="s">
        <v>8886</v>
      </c>
      <c r="FF845" t="s">
        <v>8887</v>
      </c>
      <c r="FG845" t="s">
        <v>8888</v>
      </c>
      <c r="FH845" t="s">
        <v>8888</v>
      </c>
      <c r="FI845" t="s">
        <v>8888</v>
      </c>
      <c r="FJ845" t="s">
        <v>8888</v>
      </c>
      <c r="FP845" t="s">
        <v>9050</v>
      </c>
      <c r="FQ845" t="s">
        <v>9050</v>
      </c>
      <c r="FR845" t="s">
        <v>9050</v>
      </c>
      <c r="FS845" t="s">
        <v>9050</v>
      </c>
      <c r="FT845" t="s">
        <v>8195</v>
      </c>
      <c r="FY845" t="s">
        <v>6746</v>
      </c>
      <c r="FZ845" t="s">
        <v>8206</v>
      </c>
      <c r="GA845" t="s">
        <v>8207</v>
      </c>
      <c r="GB845" t="s">
        <v>8208</v>
      </c>
      <c r="GC845" t="s">
        <v>6747</v>
      </c>
    </row>
    <row r="846" spans="1:243" x14ac:dyDescent="0.2">
      <c r="A846" t="s">
        <v>7075</v>
      </c>
      <c r="CD846" t="s">
        <v>8098</v>
      </c>
      <c r="CE846" t="s">
        <v>8099</v>
      </c>
      <c r="CF846" t="s">
        <v>8100</v>
      </c>
      <c r="CH846" t="s">
        <v>8101</v>
      </c>
      <c r="CI846" t="s">
        <v>8102</v>
      </c>
      <c r="CJ846" t="s">
        <v>8103</v>
      </c>
      <c r="CK846" t="s">
        <v>8104</v>
      </c>
      <c r="CL846" t="s">
        <v>8101</v>
      </c>
      <c r="CN846" t="s">
        <v>9267</v>
      </c>
      <c r="CT846" t="s">
        <v>9268</v>
      </c>
      <c r="CU846" t="s">
        <v>9268</v>
      </c>
      <c r="CW846" t="s">
        <v>784</v>
      </c>
      <c r="EZ846" t="s">
        <v>4569</v>
      </c>
      <c r="FA846" t="s">
        <v>4569</v>
      </c>
      <c r="FP846" t="s">
        <v>4569</v>
      </c>
      <c r="FQ846" t="s">
        <v>4569</v>
      </c>
      <c r="FR846" t="s">
        <v>4569</v>
      </c>
      <c r="FS846" t="s">
        <v>4569</v>
      </c>
    </row>
    <row r="847" spans="1:243" x14ac:dyDescent="0.2">
      <c r="A847" t="s">
        <v>6479</v>
      </c>
      <c r="P847">
        <v>120</v>
      </c>
      <c r="Q847">
        <v>100</v>
      </c>
      <c r="R847">
        <v>80</v>
      </c>
      <c r="S847">
        <v>80</v>
      </c>
      <c r="T847">
        <v>80</v>
      </c>
      <c r="U847">
        <v>80</v>
      </c>
      <c r="V847">
        <v>80</v>
      </c>
      <c r="W847">
        <v>100</v>
      </c>
      <c r="X847">
        <v>100</v>
      </c>
      <c r="Y847">
        <v>100</v>
      </c>
      <c r="Z847">
        <v>100</v>
      </c>
      <c r="AA847">
        <v>100</v>
      </c>
      <c r="AB847">
        <v>100</v>
      </c>
      <c r="AC847">
        <v>120</v>
      </c>
      <c r="AD847">
        <v>120</v>
      </c>
      <c r="AE847">
        <v>100</v>
      </c>
      <c r="AF847">
        <v>80</v>
      </c>
      <c r="AG847">
        <v>80</v>
      </c>
      <c r="AH847">
        <v>80</v>
      </c>
      <c r="AI847">
        <v>80</v>
      </c>
      <c r="AJ847">
        <v>100</v>
      </c>
      <c r="AK847">
        <v>100</v>
      </c>
      <c r="AL847">
        <v>100</v>
      </c>
      <c r="AM847">
        <v>100</v>
      </c>
      <c r="AN847">
        <v>100</v>
      </c>
      <c r="AO847">
        <v>120</v>
      </c>
      <c r="BI847">
        <v>220</v>
      </c>
      <c r="BJ847">
        <v>220</v>
      </c>
      <c r="CU847">
        <v>100</v>
      </c>
      <c r="EZ847" t="s">
        <v>4569</v>
      </c>
      <c r="FA847" t="s">
        <v>4569</v>
      </c>
      <c r="FP847" t="s">
        <v>4569</v>
      </c>
      <c r="FQ847" t="s">
        <v>4569</v>
      </c>
      <c r="FR847" t="s">
        <v>4569</v>
      </c>
      <c r="FS847" t="s">
        <v>4569</v>
      </c>
    </row>
    <row r="848" spans="1:243" x14ac:dyDescent="0.2">
      <c r="A848" t="s">
        <v>2668</v>
      </c>
      <c r="CO848" t="s">
        <v>9269</v>
      </c>
      <c r="CP848" t="s">
        <v>9269</v>
      </c>
      <c r="CQ848" t="s">
        <v>9269</v>
      </c>
      <c r="CR848" t="s">
        <v>9269</v>
      </c>
      <c r="CS848" t="s">
        <v>9269</v>
      </c>
      <c r="DC848" t="s">
        <v>7260</v>
      </c>
      <c r="EI848" t="s">
        <v>9244</v>
      </c>
      <c r="EM848" t="s">
        <v>8170</v>
      </c>
      <c r="EN848" t="s">
        <v>7262</v>
      </c>
      <c r="EY848" t="s">
        <v>7263</v>
      </c>
      <c r="EZ848" t="s">
        <v>4569</v>
      </c>
      <c r="FA848" t="s">
        <v>4569</v>
      </c>
      <c r="FL848" t="s">
        <v>8905</v>
      </c>
      <c r="FP848" t="s">
        <v>9119</v>
      </c>
      <c r="FQ848" t="s">
        <v>9119</v>
      </c>
      <c r="FR848" t="s">
        <v>9119</v>
      </c>
      <c r="FS848" t="s">
        <v>9119</v>
      </c>
    </row>
    <row r="849" spans="1:244" x14ac:dyDescent="0.2">
      <c r="A849" t="s">
        <v>4194</v>
      </c>
      <c r="DC849" t="s">
        <v>7261</v>
      </c>
      <c r="EM849" t="s">
        <v>8171</v>
      </c>
      <c r="EZ849" t="s">
        <v>4569</v>
      </c>
      <c r="FA849" t="s">
        <v>4569</v>
      </c>
      <c r="FD849" t="s">
        <v>8889</v>
      </c>
      <c r="FE849" t="s">
        <v>8890</v>
      </c>
      <c r="FP849" t="s">
        <v>9120</v>
      </c>
      <c r="FQ849" t="s">
        <v>9120</v>
      </c>
      <c r="FR849" t="s">
        <v>9120</v>
      </c>
      <c r="FS849" t="s">
        <v>9120</v>
      </c>
    </row>
    <row r="850" spans="1:244" x14ac:dyDescent="0.2">
      <c r="A850" t="s">
        <v>3882</v>
      </c>
      <c r="C850" t="s">
        <v>3884</v>
      </c>
      <c r="D850" t="s">
        <v>3884</v>
      </c>
      <c r="E850" t="s">
        <v>3884</v>
      </c>
      <c r="F850" t="s">
        <v>3884</v>
      </c>
      <c r="G850" t="s">
        <v>3884</v>
      </c>
      <c r="H850" t="s">
        <v>3884</v>
      </c>
      <c r="I850" t="s">
        <v>3884</v>
      </c>
      <c r="J850" t="s">
        <v>3884</v>
      </c>
      <c r="K850" t="s">
        <v>3884</v>
      </c>
      <c r="L850" t="s">
        <v>3884</v>
      </c>
      <c r="M850" t="s">
        <v>3884</v>
      </c>
      <c r="N850" t="s">
        <v>3884</v>
      </c>
      <c r="P850" t="s">
        <v>3884</v>
      </c>
      <c r="Q850" t="s">
        <v>3884</v>
      </c>
      <c r="R850" t="s">
        <v>3884</v>
      </c>
      <c r="S850" t="s">
        <v>3884</v>
      </c>
      <c r="T850" t="s">
        <v>3884</v>
      </c>
      <c r="U850" t="s">
        <v>3884</v>
      </c>
      <c r="V850" t="s">
        <v>3884</v>
      </c>
      <c r="W850" t="s">
        <v>3884</v>
      </c>
      <c r="X850" t="s">
        <v>3884</v>
      </c>
      <c r="Y850" t="s">
        <v>3884</v>
      </c>
      <c r="Z850" t="s">
        <v>3884</v>
      </c>
      <c r="AA850" t="s">
        <v>3884</v>
      </c>
      <c r="AB850" t="s">
        <v>3884</v>
      </c>
      <c r="AC850" t="s">
        <v>3884</v>
      </c>
      <c r="AD850" t="s">
        <v>3884</v>
      </c>
      <c r="AE850" t="s">
        <v>3884</v>
      </c>
      <c r="AF850" t="s">
        <v>3884</v>
      </c>
      <c r="AG850" t="s">
        <v>3884</v>
      </c>
      <c r="AH850" t="s">
        <v>3884</v>
      </c>
      <c r="AI850" t="s">
        <v>3884</v>
      </c>
      <c r="AJ850" t="s">
        <v>3884</v>
      </c>
      <c r="AK850" t="s">
        <v>3884</v>
      </c>
      <c r="AL850" t="s">
        <v>3884</v>
      </c>
      <c r="AM850" t="s">
        <v>3884</v>
      </c>
      <c r="AN850" t="s">
        <v>3884</v>
      </c>
      <c r="AO850" t="s">
        <v>3884</v>
      </c>
      <c r="AT850" t="s">
        <v>3883</v>
      </c>
      <c r="AU850" t="s">
        <v>3884</v>
      </c>
      <c r="AV850" t="s">
        <v>3884</v>
      </c>
      <c r="AW850" t="s">
        <v>3884</v>
      </c>
      <c r="AX850" t="s">
        <v>3884</v>
      </c>
      <c r="AY850" t="s">
        <v>3883</v>
      </c>
      <c r="AZ850" t="s">
        <v>3884</v>
      </c>
      <c r="BA850" t="s">
        <v>3884</v>
      </c>
      <c r="BB850" t="s">
        <v>3884</v>
      </c>
      <c r="BC850" t="s">
        <v>3884</v>
      </c>
      <c r="BD850" t="s">
        <v>3884</v>
      </c>
      <c r="BE850" t="s">
        <v>3884</v>
      </c>
      <c r="BF850" t="s">
        <v>3884</v>
      </c>
      <c r="BG850" t="s">
        <v>3884</v>
      </c>
      <c r="BH850" t="s">
        <v>3883</v>
      </c>
      <c r="BI850" t="s">
        <v>3884</v>
      </c>
      <c r="BJ850" t="s">
        <v>3884</v>
      </c>
      <c r="BK850" t="s">
        <v>3883</v>
      </c>
      <c r="BL850" t="s">
        <v>8513</v>
      </c>
      <c r="BM850" t="s">
        <v>8514</v>
      </c>
      <c r="BN850" t="s">
        <v>8515</v>
      </c>
      <c r="BO850" t="s">
        <v>8516</v>
      </c>
      <c r="BP850" t="s">
        <v>8517</v>
      </c>
      <c r="BQ850" t="s">
        <v>8518</v>
      </c>
      <c r="BR850" t="s">
        <v>8519</v>
      </c>
      <c r="BS850" t="s">
        <v>8520</v>
      </c>
      <c r="BT850" t="s">
        <v>8521</v>
      </c>
      <c r="BU850" t="s">
        <v>8522</v>
      </c>
      <c r="BV850" t="s">
        <v>8523</v>
      </c>
      <c r="BW850" t="s">
        <v>8524</v>
      </c>
      <c r="BX850" t="s">
        <v>7658</v>
      </c>
      <c r="BY850" t="s">
        <v>3884</v>
      </c>
      <c r="BZ850" t="s">
        <v>3883</v>
      </c>
      <c r="CA850" t="s">
        <v>8483</v>
      </c>
      <c r="CB850" t="s">
        <v>3884</v>
      </c>
      <c r="CC850" t="s">
        <v>3884</v>
      </c>
      <c r="CD850" t="s">
        <v>3884</v>
      </c>
      <c r="CE850" t="s">
        <v>3884</v>
      </c>
      <c r="CF850" t="s">
        <v>3884</v>
      </c>
      <c r="CG850" t="s">
        <v>3884</v>
      </c>
      <c r="CH850" t="s">
        <v>3884</v>
      </c>
      <c r="CI850" t="s">
        <v>3884</v>
      </c>
      <c r="CJ850" t="s">
        <v>3884</v>
      </c>
      <c r="CK850" t="s">
        <v>3884</v>
      </c>
      <c r="CL850" t="s">
        <v>3884</v>
      </c>
      <c r="CM850" t="s">
        <v>3884</v>
      </c>
      <c r="CN850" t="s">
        <v>3884</v>
      </c>
      <c r="CO850" t="s">
        <v>3884</v>
      </c>
      <c r="CP850" t="s">
        <v>3884</v>
      </c>
      <c r="CQ850" t="s">
        <v>3884</v>
      </c>
      <c r="CR850" t="s">
        <v>3884</v>
      </c>
      <c r="CS850" t="s">
        <v>3884</v>
      </c>
      <c r="CT850" t="s">
        <v>3884</v>
      </c>
      <c r="CU850" t="s">
        <v>3884</v>
      </c>
      <c r="CW850" t="s">
        <v>3884</v>
      </c>
      <c r="CX850" t="s">
        <v>3884</v>
      </c>
      <c r="CY850" t="s">
        <v>3884</v>
      </c>
      <c r="CZ850" t="s">
        <v>3884</v>
      </c>
      <c r="DA850" t="s">
        <v>3884</v>
      </c>
      <c r="DB850" t="s">
        <v>3884</v>
      </c>
      <c r="DC850" t="s">
        <v>3884</v>
      </c>
      <c r="DD850" t="s">
        <v>3884</v>
      </c>
      <c r="DE850" t="s">
        <v>3884</v>
      </c>
      <c r="DF850" t="s">
        <v>3884</v>
      </c>
      <c r="DG850" t="s">
        <v>3884</v>
      </c>
      <c r="DH850" t="s">
        <v>3884</v>
      </c>
      <c r="DI850" t="s">
        <v>3884</v>
      </c>
      <c r="DJ850" t="s">
        <v>3884</v>
      </c>
      <c r="DK850" t="s">
        <v>3884</v>
      </c>
      <c r="DL850" t="s">
        <v>3884</v>
      </c>
      <c r="DM850" t="s">
        <v>3884</v>
      </c>
      <c r="DN850" t="s">
        <v>3884</v>
      </c>
      <c r="DO850" t="s">
        <v>3884</v>
      </c>
      <c r="DP850" t="s">
        <v>3884</v>
      </c>
      <c r="DQ850" t="s">
        <v>3884</v>
      </c>
      <c r="DR850" t="s">
        <v>3884</v>
      </c>
      <c r="DS850" t="s">
        <v>3884</v>
      </c>
      <c r="DT850" t="s">
        <v>3884</v>
      </c>
      <c r="DU850" t="s">
        <v>3884</v>
      </c>
      <c r="DV850" t="s">
        <v>3884</v>
      </c>
      <c r="DW850" t="s">
        <v>3884</v>
      </c>
      <c r="DX850" t="s">
        <v>3884</v>
      </c>
      <c r="DY850" t="s">
        <v>3884</v>
      </c>
      <c r="DZ850" t="s">
        <v>3884</v>
      </c>
      <c r="EA850" t="s">
        <v>3884</v>
      </c>
      <c r="EB850" t="s">
        <v>3884</v>
      </c>
      <c r="EC850" t="s">
        <v>3884</v>
      </c>
      <c r="ED850" t="s">
        <v>3884</v>
      </c>
      <c r="EE850" t="s">
        <v>3884</v>
      </c>
      <c r="EF850" t="s">
        <v>3884</v>
      </c>
      <c r="EG850" t="s">
        <v>3884</v>
      </c>
      <c r="EH850" t="s">
        <v>3884</v>
      </c>
      <c r="EI850" t="s">
        <v>3884</v>
      </c>
      <c r="EJ850" t="s">
        <v>3884</v>
      </c>
      <c r="EK850" t="s">
        <v>3884</v>
      </c>
      <c r="EL850" t="s">
        <v>3884</v>
      </c>
      <c r="EM850" t="s">
        <v>3884</v>
      </c>
      <c r="EN850" t="s">
        <v>3884</v>
      </c>
      <c r="EO850" t="s">
        <v>3884</v>
      </c>
      <c r="EP850" t="s">
        <v>3884</v>
      </c>
      <c r="EQ850" t="s">
        <v>3884</v>
      </c>
      <c r="ER850" t="s">
        <v>3884</v>
      </c>
      <c r="ES850" t="s">
        <v>3884</v>
      </c>
      <c r="ET850" t="s">
        <v>3884</v>
      </c>
      <c r="EU850" t="s">
        <v>3884</v>
      </c>
      <c r="EV850" t="s">
        <v>3884</v>
      </c>
      <c r="EW850" t="s">
        <v>3884</v>
      </c>
      <c r="EX850" t="s">
        <v>3883</v>
      </c>
      <c r="EY850" t="s">
        <v>3884</v>
      </c>
      <c r="EZ850" t="s">
        <v>3884</v>
      </c>
      <c r="FA850" t="s">
        <v>3884</v>
      </c>
      <c r="FB850" t="s">
        <v>3884</v>
      </c>
      <c r="FC850" t="s">
        <v>3884</v>
      </c>
      <c r="FD850" t="s">
        <v>3884</v>
      </c>
      <c r="FE850" t="s">
        <v>3884</v>
      </c>
      <c r="FF850" t="s">
        <v>3884</v>
      </c>
      <c r="FG850" t="s">
        <v>3884</v>
      </c>
      <c r="FH850" t="s">
        <v>3884</v>
      </c>
      <c r="FI850" t="s">
        <v>3884</v>
      </c>
      <c r="FJ850" t="s">
        <v>3884</v>
      </c>
      <c r="FK850" t="s">
        <v>3884</v>
      </c>
      <c r="FL850" t="s">
        <v>3884</v>
      </c>
      <c r="FM850" t="s">
        <v>3884</v>
      </c>
      <c r="FN850" t="s">
        <v>3884</v>
      </c>
      <c r="FO850" t="s">
        <v>3884</v>
      </c>
      <c r="FP850" t="s">
        <v>3884</v>
      </c>
      <c r="FQ850" t="s">
        <v>3884</v>
      </c>
      <c r="FR850" t="s">
        <v>3884</v>
      </c>
      <c r="FS850" t="s">
        <v>3884</v>
      </c>
      <c r="FT850" t="s">
        <v>3884</v>
      </c>
      <c r="FU850" t="s">
        <v>3884</v>
      </c>
      <c r="FV850" t="s">
        <v>3884</v>
      </c>
      <c r="FW850" t="s">
        <v>3883</v>
      </c>
      <c r="FX850" t="s">
        <v>3884</v>
      </c>
      <c r="FY850" t="s">
        <v>3884</v>
      </c>
      <c r="FZ850" t="s">
        <v>3884</v>
      </c>
      <c r="GA850" t="s">
        <v>3884</v>
      </c>
      <c r="GB850" t="s">
        <v>3884</v>
      </c>
      <c r="GC850" t="s">
        <v>3884</v>
      </c>
      <c r="GD850" t="s">
        <v>3884</v>
      </c>
      <c r="GF850" t="s">
        <v>3884</v>
      </c>
      <c r="GG850" t="s">
        <v>3884</v>
      </c>
      <c r="GH850" t="s">
        <v>3884</v>
      </c>
      <c r="GI850" t="s">
        <v>3884</v>
      </c>
      <c r="GJ850" t="s">
        <v>3884</v>
      </c>
      <c r="GK850" t="s">
        <v>3884</v>
      </c>
      <c r="GL850" t="s">
        <v>3884</v>
      </c>
      <c r="GM850" t="s">
        <v>3883</v>
      </c>
      <c r="GN850" t="s">
        <v>3884</v>
      </c>
      <c r="GO850" t="s">
        <v>3884</v>
      </c>
      <c r="GP850" t="s">
        <v>3884</v>
      </c>
      <c r="GQ850" t="s">
        <v>3884</v>
      </c>
      <c r="GR850" t="s">
        <v>3884</v>
      </c>
      <c r="GS850" t="s">
        <v>3884</v>
      </c>
      <c r="GT850" t="s">
        <v>3884</v>
      </c>
      <c r="GU850" t="s">
        <v>3884</v>
      </c>
      <c r="GV850" t="s">
        <v>3884</v>
      </c>
      <c r="GW850" t="s">
        <v>3884</v>
      </c>
      <c r="GX850" t="s">
        <v>3883</v>
      </c>
      <c r="GY850" t="s">
        <v>3884</v>
      </c>
      <c r="GZ850" t="s">
        <v>3883</v>
      </c>
      <c r="HA850" t="s">
        <v>3884</v>
      </c>
      <c r="HB850" t="s">
        <v>3884</v>
      </c>
      <c r="HC850" t="s">
        <v>3884</v>
      </c>
      <c r="HD850" t="s">
        <v>3884</v>
      </c>
      <c r="HE850" t="s">
        <v>3884</v>
      </c>
      <c r="HF850" t="s">
        <v>3884</v>
      </c>
      <c r="HG850" t="s">
        <v>3884</v>
      </c>
      <c r="HH850" t="s">
        <v>3884</v>
      </c>
      <c r="HI850" t="s">
        <v>3884</v>
      </c>
      <c r="HJ850" t="s">
        <v>3884</v>
      </c>
      <c r="HK850" t="s">
        <v>3884</v>
      </c>
      <c r="HL850" t="s">
        <v>3884</v>
      </c>
      <c r="HM850" t="s">
        <v>3884</v>
      </c>
      <c r="HN850" t="s">
        <v>3884</v>
      </c>
      <c r="HO850" t="s">
        <v>3884</v>
      </c>
      <c r="HP850" t="s">
        <v>3884</v>
      </c>
      <c r="HQ850" t="s">
        <v>3884</v>
      </c>
      <c r="HR850" t="s">
        <v>3884</v>
      </c>
      <c r="HS850" t="s">
        <v>3884</v>
      </c>
      <c r="HT850" t="s">
        <v>3884</v>
      </c>
      <c r="HU850" t="s">
        <v>3884</v>
      </c>
      <c r="HV850" t="s">
        <v>3884</v>
      </c>
      <c r="HW850" t="s">
        <v>3884</v>
      </c>
      <c r="HX850" t="s">
        <v>3884</v>
      </c>
      <c r="HY850" t="s">
        <v>3884</v>
      </c>
      <c r="HZ850" t="s">
        <v>3884</v>
      </c>
      <c r="IA850" t="s">
        <v>3884</v>
      </c>
      <c r="IB850" t="s">
        <v>3884</v>
      </c>
      <c r="IC850" t="s">
        <v>3884</v>
      </c>
      <c r="ID850" t="s">
        <v>3884</v>
      </c>
      <c r="IE850" t="s">
        <v>3884</v>
      </c>
      <c r="IF850" t="s">
        <v>3884</v>
      </c>
      <c r="IG850" t="s">
        <v>3884</v>
      </c>
      <c r="IH850" t="s">
        <v>3884</v>
      </c>
      <c r="II850" t="s">
        <v>3884</v>
      </c>
      <c r="IJ850" t="s">
        <v>3883</v>
      </c>
    </row>
    <row r="851" spans="1:244" x14ac:dyDescent="0.2">
      <c r="A851" t="s">
        <v>7073</v>
      </c>
      <c r="EZ851" t="s">
        <v>4569</v>
      </c>
      <c r="FA851" t="s">
        <v>4569</v>
      </c>
      <c r="FP851" t="s">
        <v>4569</v>
      </c>
      <c r="FQ851" t="s">
        <v>4569</v>
      </c>
      <c r="FR851" t="s">
        <v>4569</v>
      </c>
      <c r="FS851" t="s">
        <v>4569</v>
      </c>
    </row>
    <row r="852" spans="1:244" x14ac:dyDescent="0.2">
      <c r="A852" t="s">
        <v>3885</v>
      </c>
      <c r="H852" t="s">
        <v>8037</v>
      </c>
      <c r="I852" t="s">
        <v>8037</v>
      </c>
      <c r="J852" t="s">
        <v>8037</v>
      </c>
      <c r="K852" t="s">
        <v>8037</v>
      </c>
      <c r="L852" t="s">
        <v>8037</v>
      </c>
      <c r="M852" t="s">
        <v>8037</v>
      </c>
      <c r="N852" t="s">
        <v>8037</v>
      </c>
      <c r="P852" t="s">
        <v>8042</v>
      </c>
      <c r="Q852" t="s">
        <v>8042</v>
      </c>
      <c r="R852" t="s">
        <v>8043</v>
      </c>
      <c r="S852" t="s">
        <v>8043</v>
      </c>
      <c r="T852" t="s">
        <v>8043</v>
      </c>
      <c r="U852" t="s">
        <v>8043</v>
      </c>
      <c r="V852" t="s">
        <v>8043</v>
      </c>
      <c r="W852" t="s">
        <v>8042</v>
      </c>
      <c r="Y852" t="s">
        <v>8044</v>
      </c>
      <c r="Z852" t="s">
        <v>8045</v>
      </c>
      <c r="AA852" t="s">
        <v>8046</v>
      </c>
      <c r="AB852" t="s">
        <v>8047</v>
      </c>
      <c r="AC852" t="s">
        <v>8048</v>
      </c>
      <c r="AD852" t="s">
        <v>8042</v>
      </c>
      <c r="AE852" t="s">
        <v>8042</v>
      </c>
      <c r="AF852" t="s">
        <v>8043</v>
      </c>
      <c r="AG852" t="s">
        <v>8043</v>
      </c>
      <c r="AH852" t="s">
        <v>8043</v>
      </c>
      <c r="AI852" t="s">
        <v>8043</v>
      </c>
      <c r="AJ852" t="s">
        <v>8042</v>
      </c>
      <c r="AK852" t="s">
        <v>8044</v>
      </c>
      <c r="AL852" t="s">
        <v>8045</v>
      </c>
      <c r="AM852" t="s">
        <v>8046</v>
      </c>
      <c r="AN852" t="s">
        <v>8047</v>
      </c>
      <c r="AO852" t="s">
        <v>8048</v>
      </c>
      <c r="AX852" t="s">
        <v>8051</v>
      </c>
      <c r="BH852" t="s">
        <v>784</v>
      </c>
      <c r="BL852" t="s">
        <v>8526</v>
      </c>
      <c r="BM852" t="s">
        <v>8525</v>
      </c>
      <c r="BN852" t="s">
        <v>8525</v>
      </c>
      <c r="BO852" t="s">
        <v>8525</v>
      </c>
      <c r="BP852" t="s">
        <v>8525</v>
      </c>
      <c r="BQ852" t="s">
        <v>8525</v>
      </c>
      <c r="BR852" t="s">
        <v>8525</v>
      </c>
      <c r="BS852" t="s">
        <v>8527</v>
      </c>
      <c r="BT852" t="s">
        <v>8525</v>
      </c>
      <c r="BU852" t="s">
        <v>8525</v>
      </c>
      <c r="BV852" t="s">
        <v>8529</v>
      </c>
      <c r="BW852" t="s">
        <v>8525</v>
      </c>
      <c r="BX852" t="s">
        <v>8525</v>
      </c>
      <c r="BY852" t="s">
        <v>8528</v>
      </c>
      <c r="BZ852" t="s">
        <v>8525</v>
      </c>
      <c r="CA852" t="s">
        <v>8525</v>
      </c>
      <c r="CB852" t="s">
        <v>8105</v>
      </c>
      <c r="CZ852" t="s">
        <v>8172</v>
      </c>
      <c r="DA852" t="s">
        <v>8173</v>
      </c>
      <c r="DB852" t="s">
        <v>8174</v>
      </c>
      <c r="DC852" t="s">
        <v>8175</v>
      </c>
      <c r="DL852" t="s">
        <v>8176</v>
      </c>
      <c r="DM852" t="s">
        <v>8177</v>
      </c>
      <c r="DQ852" t="s">
        <v>8173</v>
      </c>
      <c r="DR852" t="s">
        <v>8177</v>
      </c>
      <c r="DS852" t="s">
        <v>8178</v>
      </c>
      <c r="DU852" t="s">
        <v>8179</v>
      </c>
      <c r="DV852" t="s">
        <v>8180</v>
      </c>
      <c r="DW852" t="s">
        <v>8181</v>
      </c>
      <c r="DX852" t="s">
        <v>6415</v>
      </c>
      <c r="DY852" t="s">
        <v>6416</v>
      </c>
      <c r="DZ852" t="s">
        <v>8182</v>
      </c>
      <c r="EA852" t="s">
        <v>6752</v>
      </c>
      <c r="EB852" t="s">
        <v>6417</v>
      </c>
      <c r="EC852" t="s">
        <v>6418</v>
      </c>
      <c r="ED852" t="s">
        <v>6753</v>
      </c>
      <c r="EE852" t="s">
        <v>6755</v>
      </c>
      <c r="EF852" t="s">
        <v>8175</v>
      </c>
      <c r="EH852" t="s">
        <v>8183</v>
      </c>
      <c r="EI852" t="s">
        <v>8183</v>
      </c>
      <c r="EJ852" t="s">
        <v>8184</v>
      </c>
      <c r="EK852" t="s">
        <v>6463</v>
      </c>
      <c r="EL852" t="s">
        <v>6463</v>
      </c>
      <c r="EM852" t="s">
        <v>6464</v>
      </c>
      <c r="EN852" t="s">
        <v>6464</v>
      </c>
      <c r="EQ852" t="s">
        <v>8185</v>
      </c>
      <c r="ET852" t="s">
        <v>8175</v>
      </c>
      <c r="EV852" t="s">
        <v>8186</v>
      </c>
      <c r="EW852" t="s">
        <v>8187</v>
      </c>
      <c r="EY852" t="s">
        <v>8196</v>
      </c>
      <c r="EZ852" t="s">
        <v>4569</v>
      </c>
      <c r="FA852" t="s">
        <v>4569</v>
      </c>
      <c r="FD852" t="s">
        <v>8891</v>
      </c>
      <c r="FN852" t="s">
        <v>8906</v>
      </c>
      <c r="FP852" t="s">
        <v>9049</v>
      </c>
      <c r="FQ852" t="s">
        <v>8907</v>
      </c>
      <c r="FR852" t="s">
        <v>8907</v>
      </c>
      <c r="FS852" t="s">
        <v>8907</v>
      </c>
      <c r="FT852" t="s">
        <v>6759</v>
      </c>
      <c r="FV852" t="s">
        <v>8197</v>
      </c>
      <c r="FX852" t="s">
        <v>8209</v>
      </c>
      <c r="FY852" t="s">
        <v>8209</v>
      </c>
      <c r="FZ852" t="s">
        <v>8209</v>
      </c>
      <c r="GA852" t="s">
        <v>8209</v>
      </c>
      <c r="GB852" t="s">
        <v>8209</v>
      </c>
      <c r="GC852" t="s">
        <v>8209</v>
      </c>
      <c r="GD852" t="s">
        <v>8209</v>
      </c>
      <c r="GF852" t="s">
        <v>8218</v>
      </c>
      <c r="GG852" t="s">
        <v>8218</v>
      </c>
      <c r="GH852" t="s">
        <v>8218</v>
      </c>
      <c r="GI852" t="s">
        <v>8218</v>
      </c>
      <c r="GJ852" t="s">
        <v>8218</v>
      </c>
      <c r="GK852" t="s">
        <v>8218</v>
      </c>
      <c r="GL852" t="s">
        <v>8218</v>
      </c>
      <c r="GP852" t="s">
        <v>8222</v>
      </c>
      <c r="GQ852" t="s">
        <v>8223</v>
      </c>
      <c r="GR852" t="s">
        <v>8224</v>
      </c>
      <c r="GS852" t="s">
        <v>8225</v>
      </c>
      <c r="GT852" t="s">
        <v>8222</v>
      </c>
      <c r="GU852" t="s">
        <v>8223</v>
      </c>
      <c r="GV852" t="s">
        <v>8224</v>
      </c>
      <c r="GW852" t="s">
        <v>8225</v>
      </c>
      <c r="GY852" t="s">
        <v>8227</v>
      </c>
      <c r="HO852" t="s">
        <v>8250</v>
      </c>
      <c r="HP852" t="s">
        <v>8250</v>
      </c>
      <c r="IB852" t="s">
        <v>8175</v>
      </c>
      <c r="IC852" t="s">
        <v>8175</v>
      </c>
      <c r="IE852" t="s">
        <v>8251</v>
      </c>
      <c r="IH852" t="s">
        <v>8252</v>
      </c>
      <c r="II852" t="s">
        <v>8252</v>
      </c>
    </row>
    <row r="853" spans="1:244" x14ac:dyDescent="0.2">
      <c r="GF853" t="s">
        <v>8775</v>
      </c>
    </row>
  </sheetData>
  <sheetProtection algorithmName="SHA-512" hashValue="r/V90a7EfI9mxN5n2b0t7LsiDkFCQ/N3fk5Lepo6kmJ/MvCRR+oj3nw3OCJai4nXUuPm6owvsbM+B1x9HTr1FQ==" saltValue="nVfHs4F3q/JrNaK5zaxTkA==" spinCount="100000" sheet="1" objects="1" scenarios="1" selectLockedCells="1" selectUnlockedCells="1"/>
  <phoneticPr fontId="3" type="noConversion"/>
  <dataValidations count="12">
    <dataValidation type="list" allowBlank="1" showInputMessage="1" showErrorMessage="1" sqref="GW696:GW699 FU708:FV708 FU697 FX708:GD708 AO708:AO711 AP697:AR705 AE697:AN705 P696:AS696 AZ696:BG696 AW696:AX696 BJ696:BJ698 AZ708:BG714 AS708:AS711 AF708:AJ708 AJ709:AJ713 AD708:AD709 AC708:AC711 C696:N705 C708:N714 P708:P709 R708:W708 W709:W713 Q697:AB705 CH708:CU710 CH696:CU698 CW697:DE705 DG697:EW697 DF698:EW705 CW708:EW714 EY708 CB696:CB698 CB708:CB713">
      <formula1>RITUALE</formula1>
    </dataValidation>
    <dataValidation type="list" allowBlank="1" showInputMessage="1" showErrorMessage="1" sqref="GY26:GY33 FX26:GD26 FU26:FU27 HQ29:HT29 HV29:HV32 FV26 GF26:GL33 IK29 HW29:ID29 IG29 BC26:BG26 BB26:BB33 AZ26:BA26 BJ26:BJ28 AW26:AX28 C26:N33 EY26:FT26 CW26:EW33">
      <formula1>VORTEILE</formula1>
    </dataValidation>
    <dataValidation type="list" allowBlank="1" showInputMessage="1" showErrorMessage="1" sqref="GY34:GY38 HV35:HV37 GF34:GL38 FU34:FV38 IK35:IK36 HW35:ID35 IC36:ID36 IG35:IG36 BB34:BB38 AZ34:BA35 BC34:BD35 BF34:BG35 BJ36 AW34:AX37 C34:N38 EY34:FT34 DF37:DK38 DF34:DK34 CW34:DE38 DL34:EW38">
      <formula1>NACHTEILE</formula1>
    </dataValidation>
    <dataValidation type="list" allowBlank="1" showInputMessage="1" showErrorMessage="1" sqref="GY321 C321:N321 C39:N42 EO321:EW321 DD321:DE321 DA321:DB321 CW321:CY321 DL321:EL321 DF40:DF42 CB321">
      <formula1>TALENTE</formula1>
    </dataValidation>
    <dataValidation type="list" allowBlank="1" showInputMessage="1" showErrorMessage="1" sqref="FX271:GD277 FZ308:GB308 IK271:IK277 HA308:HT311 HU308:HU310 FX308:FY310 GD308 GY308:GY315 GF271:GL277 GY271:GY277 GF308:GL315 GN271:GW277 IK308:IK311 GC308:GC310 HV308:II311 HA271:II277 EY271:FV277 CH308:CU315 P271:AS277 P308 C271:N277 C308:N315 AC308:AC310 AD308 AS308:AS310 BD308 BJ271:BJ277 AW271:AX277 AO308:AO310 BB308:BB315 AZ308:BA309 AZ271:BG277 R308 EY308:FV315 DL308:EW315 CW271:EW277 CW308:DE315 DF308:DK308 BL271:CU277 BL308:CA308 CC308:CF308 CB308:CB315">
      <formula1>SF_MAGIE</formula1>
    </dataValidation>
    <dataValidation type="list" allowBlank="1" showInputMessage="1" showErrorMessage="1" sqref="IK280 HA280:II280 GN280:GW280 GY319:GY320 GF280:GL281 GF319:GL320 GY280:GY281 FX280:GD280 AZ280:BA280 BC280:BG280 C280:N281 AW280:AX280 R319 BB319:BB320 C319:N320 BJ280 BB280:BB281 EY319:FV319 EY280:FV280 CW319:EW320 CW280:DE281 CH319:CU320 CH280:CU281 DG280:EW281 P280:AS280 CB319:CB320 CB280:CB281">
      <formula1>REPRAES</formula1>
    </dataValidation>
    <dataValidation type="list" allowBlank="1" showInputMessage="1" showErrorMessage="1" sqref="GY250:GY252 GY282:GY284 GF250:GL252 GF282:GL284 R250:V252 C250:N252 C282:N284 AF250:AI252 BB250:BB252 BB282:BB284 DG250:EW252 DG282:EW284 CW282:DE284 CG282 CH282:CU284 CH250:CU252 CW250:DE252 CB282:CB284 CB250:CB252">
      <formula1>SF_WLOS</formula1>
    </dataValidation>
    <dataValidation type="list" allowBlank="1" showInputMessage="1" showErrorMessage="1" sqref="GY253:GY262 GY285:GY298 GF253:GL262 GF285:GL298 CH285:CU298 AP285:AR286 AK285:AN286 AN253:AN254 R285:V298 R253:V262 C253:N262 C285:N298 X253:Z254 AB253:AB254 X285:AB286 AC285:AC289 AF253:AI262 AF285:AI298 AK253:AL254 AP253:AR254 AS285:AS289 BB253:BB262 BB285:BB298 AO285:AO289 EY285:FT285 DG253:EW262 DG285:EW298 CW253:DE262 CW285:DE298 CH253:CU262 BL285:CA285 CC285:CG285 CB285:CB298 CB253:CB262">
      <formula1>KPFNAHSON</formula1>
    </dataValidation>
    <dataValidation type="list" allowBlank="1" showInputMessage="1" showErrorMessage="1" sqref="GY263:GY265 GY299:GY302 GF263:GL265 GF299:GL302 R299:V302 R263:V265 C263:N265 C299:N302 AF299:AI302 AF263:AI265 BB263:BB265 BB299:BB302 Z299 DG263:EW265 DG299:EW302 CW299:DE302 CH263:CU265 CH299:CU302 CW263:DE265 CB263:CB265 CB299:CB302">
      <formula1>KPFFERNSON</formula1>
    </dataValidation>
    <dataValidation type="list" allowBlank="1" showInputMessage="1" showErrorMessage="1" sqref="GY303:GY307 HY266:IB266 HW266 GY266:GY270 GF303:GL307 GF266:GL270 IK303:IK304 FX303:GD303 HA303:II304 CC303:CF304 CH303:CU307 AK266:AN266 C303:N307 C266:N270 Y266:AB266 AA303 AE266 AM303 BB303:BB307 BB266:BB270 AP266:AR266 AW266:AX266 Q266:R266 CW303:DE307 DG303:EW307 DG266:EW270 CW266:DE270 CH266:CU270 BL303:CA304 BL266:CA266 CC266:CF266 CB303:CB307 CB266:CB270">
      <formula1>SF_ANDERE</formula1>
    </dataValidation>
    <dataValidation type="list" allowBlank="1" showInputMessage="1" showErrorMessage="1" sqref="GY316:GY318 FX278:GD278 GF316:GL318 GY278:GY279 GF278:GL279 R316 C278:N279 C316:N318 BB316:BB318 BB278:BB279 AZ278:BA278 AZ316:BA316 BC316:BD316 BF316:BG316 BF278:BG278 BC278:BD278 BJ278 AW316:AX316 AW278:AX278 EY278:FV278 EY316:FV316 CW316:EW318 CW278:DE279 CH316:CU318 CH278:CU279 DG278:EW279 CB316:CB318 CB278:CB279">
      <formula1>MERKMALE</formula1>
    </dataValidation>
    <dataValidation type="list" allowBlank="1" showInputMessage="1" sqref="CZ321 EM321:EN321 DF321:DK321 DC321">
      <formula1>TALENTE</formula1>
    </dataValidation>
  </dataValidations>
  <pageMargins left="0.78740157499999996" right="0.78740157499999996" top="0.984251969" bottom="0.984251969" header="0.4921259845" footer="0.4921259845"/>
  <pageSetup paperSize="9" orientation="portrait" horizontalDpi="360" verticalDpi="360"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tabColor theme="2" tint="-0.249977111117893"/>
  </sheetPr>
  <dimension ref="A1:GH852"/>
  <sheetViews>
    <sheetView zoomScale="85" zoomScaleNormal="85" workbookViewId="0">
      <pane xSplit="1" ySplit="1" topLeftCell="B349" activePane="bottomRight" state="frozen"/>
      <selection activeCell="A671" sqref="A671"/>
      <selection pane="topRight" activeCell="A671" sqref="A671"/>
      <selection pane="bottomLeft" activeCell="A671" sqref="A671"/>
      <selection pane="bottomRight" activeCell="B352" sqref="B352"/>
    </sheetView>
  </sheetViews>
  <sheetFormatPr baseColWidth="10" defaultColWidth="8.85546875" defaultRowHeight="12.75" x14ac:dyDescent="0.2"/>
  <cols>
    <col min="1" max="1" width="29.42578125" customWidth="1"/>
    <col min="2" max="2" width="10.5703125" customWidth="1"/>
    <col min="3" max="6" width="8.28515625" customWidth="1"/>
    <col min="7" max="7" width="6.7109375" customWidth="1"/>
    <col min="8" max="188" width="8.28515625" customWidth="1"/>
    <col min="189" max="189" width="3.7109375" customWidth="1"/>
  </cols>
  <sheetData>
    <row r="1" spans="1:190" ht="140.25" customHeight="1" x14ac:dyDescent="0.2">
      <c r="A1" t="s">
        <v>3537</v>
      </c>
      <c r="B1" t="s">
        <v>2649</v>
      </c>
      <c r="C1" t="s">
        <v>6664</v>
      </c>
      <c r="D1" t="s">
        <v>264</v>
      </c>
      <c r="E1" t="s">
        <v>265</v>
      </c>
      <c r="F1" t="s">
        <v>266</v>
      </c>
      <c r="G1" t="s">
        <v>267</v>
      </c>
      <c r="H1" t="s">
        <v>6665</v>
      </c>
      <c r="I1" t="s">
        <v>6666</v>
      </c>
      <c r="J1" t="s">
        <v>6667</v>
      </c>
      <c r="K1" t="s">
        <v>6668</v>
      </c>
      <c r="L1" t="s">
        <v>3047</v>
      </c>
      <c r="M1" t="s">
        <v>3048</v>
      </c>
      <c r="N1" t="s">
        <v>1401</v>
      </c>
      <c r="O1" t="s">
        <v>1402</v>
      </c>
      <c r="P1" t="s">
        <v>1403</v>
      </c>
      <c r="Q1" t="s">
        <v>125</v>
      </c>
      <c r="R1" t="s">
        <v>3244</v>
      </c>
      <c r="S1" t="s">
        <v>4566</v>
      </c>
      <c r="T1" t="s">
        <v>4567</v>
      </c>
      <c r="U1" t="s">
        <v>4568</v>
      </c>
      <c r="V1" t="s">
        <v>3131</v>
      </c>
      <c r="W1" t="s">
        <v>3216</v>
      </c>
      <c r="X1" t="s">
        <v>4562</v>
      </c>
      <c r="Y1" t="s">
        <v>2453</v>
      </c>
      <c r="Z1" t="s">
        <v>4851</v>
      </c>
      <c r="AA1" t="s">
        <v>3255</v>
      </c>
      <c r="AB1" t="s">
        <v>3256</v>
      </c>
      <c r="AC1" t="s">
        <v>4663</v>
      </c>
      <c r="AD1" t="s">
        <v>4664</v>
      </c>
      <c r="AE1" t="s">
        <v>4665</v>
      </c>
      <c r="AF1" t="s">
        <v>6669</v>
      </c>
      <c r="AG1" t="s">
        <v>6670</v>
      </c>
      <c r="AH1" t="s">
        <v>6671</v>
      </c>
      <c r="AI1" t="s">
        <v>268</v>
      </c>
      <c r="AJ1" t="s">
        <v>6672</v>
      </c>
      <c r="AK1" t="s">
        <v>4871</v>
      </c>
      <c r="AL1" t="s">
        <v>1754</v>
      </c>
      <c r="AM1" t="s">
        <v>6673</v>
      </c>
      <c r="AN1" t="s">
        <v>1755</v>
      </c>
      <c r="AO1" t="s">
        <v>6834</v>
      </c>
      <c r="AP1" t="s">
        <v>1756</v>
      </c>
      <c r="AQ1" t="s">
        <v>1068</v>
      </c>
      <c r="AR1" t="s">
        <v>1757</v>
      </c>
      <c r="AS1" t="s">
        <v>6835</v>
      </c>
      <c r="AT1" t="s">
        <v>8253</v>
      </c>
      <c r="AU1" t="s">
        <v>9270</v>
      </c>
      <c r="AV1" t="s">
        <v>3544</v>
      </c>
      <c r="AW1" t="s">
        <v>3217</v>
      </c>
      <c r="AX1" t="s">
        <v>3218</v>
      </c>
      <c r="AY1" t="s">
        <v>4502</v>
      </c>
      <c r="AZ1" t="s">
        <v>6836</v>
      </c>
      <c r="BA1" t="s">
        <v>1969</v>
      </c>
      <c r="BB1" t="s">
        <v>3269</v>
      </c>
      <c r="BC1" t="s">
        <v>3270</v>
      </c>
      <c r="BD1" t="s">
        <v>1911</v>
      </c>
      <c r="BE1" t="s">
        <v>6837</v>
      </c>
      <c r="BF1" t="s">
        <v>689</v>
      </c>
      <c r="BG1" t="s">
        <v>690</v>
      </c>
      <c r="BH1" t="s">
        <v>691</v>
      </c>
      <c r="BI1" t="s">
        <v>9274</v>
      </c>
      <c r="BJ1" t="s">
        <v>250</v>
      </c>
      <c r="BK1" t="s">
        <v>7067</v>
      </c>
      <c r="BL1" t="s">
        <v>7505</v>
      </c>
      <c r="BM1" t="s">
        <v>2739</v>
      </c>
      <c r="BN1" t="s">
        <v>2740</v>
      </c>
      <c r="BO1" t="s">
        <v>2742</v>
      </c>
      <c r="BP1" t="s">
        <v>2741</v>
      </c>
      <c r="BQ1" t="s">
        <v>2744</v>
      </c>
      <c r="BR1" t="s">
        <v>2743</v>
      </c>
      <c r="BS1" t="s">
        <v>8254</v>
      </c>
      <c r="BT1" t="s">
        <v>2606</v>
      </c>
      <c r="BU1" t="s">
        <v>2607</v>
      </c>
      <c r="BV1" t="s">
        <v>2608</v>
      </c>
      <c r="BW1" t="s">
        <v>2609</v>
      </c>
      <c r="BX1" t="s">
        <v>2610</v>
      </c>
      <c r="BY1" t="s">
        <v>2611</v>
      </c>
      <c r="BZ1" t="s">
        <v>2612</v>
      </c>
      <c r="CA1" t="s">
        <v>1582</v>
      </c>
      <c r="CB1" t="s">
        <v>1585</v>
      </c>
      <c r="CC1" t="s">
        <v>4490</v>
      </c>
      <c r="CD1" t="s">
        <v>437</v>
      </c>
      <c r="CE1" t="s">
        <v>438</v>
      </c>
      <c r="CF1" t="s">
        <v>439</v>
      </c>
      <c r="CG1" t="s">
        <v>6815</v>
      </c>
      <c r="CH1" t="s">
        <v>6816</v>
      </c>
      <c r="CI1" t="s">
        <v>6817</v>
      </c>
      <c r="CJ1" t="s">
        <v>3143</v>
      </c>
      <c r="CK1" t="s">
        <v>7202</v>
      </c>
      <c r="CL1" t="s">
        <v>9276</v>
      </c>
      <c r="CM1" t="s">
        <v>9277</v>
      </c>
      <c r="CN1" t="s">
        <v>441</v>
      </c>
      <c r="CO1" t="s">
        <v>3330</v>
      </c>
      <c r="CP1" t="s">
        <v>247</v>
      </c>
      <c r="CQ1" t="s">
        <v>4582</v>
      </c>
      <c r="CR1" t="s">
        <v>1966</v>
      </c>
      <c r="CS1" t="s">
        <v>3523</v>
      </c>
      <c r="CT1" t="s">
        <v>4583</v>
      </c>
      <c r="CU1" t="s">
        <v>1967</v>
      </c>
      <c r="CV1" t="s">
        <v>1968</v>
      </c>
      <c r="CW1" t="s">
        <v>4807</v>
      </c>
      <c r="CX1" t="s">
        <v>1856</v>
      </c>
      <c r="CY1" t="s">
        <v>1857</v>
      </c>
      <c r="CZ1" t="s">
        <v>1858</v>
      </c>
      <c r="DA1" t="s">
        <v>1859</v>
      </c>
      <c r="DB1" t="s">
        <v>4856</v>
      </c>
      <c r="DC1" t="s">
        <v>4853</v>
      </c>
      <c r="DD1" t="s">
        <v>6798</v>
      </c>
      <c r="DE1" t="s">
        <v>4857</v>
      </c>
      <c r="DF1" t="s">
        <v>4858</v>
      </c>
      <c r="DG1" t="s">
        <v>653</v>
      </c>
      <c r="DH1" t="s">
        <v>6633</v>
      </c>
      <c r="DI1" t="s">
        <v>4621</v>
      </c>
      <c r="DJ1" t="s">
        <v>4622</v>
      </c>
      <c r="DK1" t="s">
        <v>4623</v>
      </c>
      <c r="DL1" t="s">
        <v>6634</v>
      </c>
      <c r="DM1" t="s">
        <v>6635</v>
      </c>
      <c r="DN1" t="s">
        <v>6636</v>
      </c>
      <c r="DO1" t="s">
        <v>6637</v>
      </c>
      <c r="DP1" t="s">
        <v>4624</v>
      </c>
      <c r="DQ1" t="s">
        <v>6638</v>
      </c>
      <c r="DR1" t="s">
        <v>8355</v>
      </c>
      <c r="DS1" t="s">
        <v>8356</v>
      </c>
      <c r="DT1" t="s">
        <v>8357</v>
      </c>
      <c r="DU1" t="s">
        <v>8358</v>
      </c>
      <c r="DV1" t="s">
        <v>6639</v>
      </c>
      <c r="DW1" t="s">
        <v>6640</v>
      </c>
      <c r="DX1" t="s">
        <v>3516</v>
      </c>
      <c r="DY1" t="s">
        <v>3517</v>
      </c>
      <c r="DZ1" t="s">
        <v>6641</v>
      </c>
      <c r="EA1" t="s">
        <v>6642</v>
      </c>
      <c r="EB1" t="s">
        <v>6643</v>
      </c>
      <c r="EC1" t="s">
        <v>6644</v>
      </c>
      <c r="ED1" t="s">
        <v>6645</v>
      </c>
      <c r="EE1" t="s">
        <v>6646</v>
      </c>
      <c r="EF1" t="s">
        <v>6647</v>
      </c>
      <c r="EG1" t="s">
        <v>2628</v>
      </c>
      <c r="EH1" t="s">
        <v>4741</v>
      </c>
      <c r="EI1" t="s">
        <v>4742</v>
      </c>
      <c r="EJ1" t="s">
        <v>4767</v>
      </c>
      <c r="EK1" t="s">
        <v>4902</v>
      </c>
      <c r="EL1" t="s">
        <v>2550</v>
      </c>
      <c r="EM1" t="s">
        <v>2551</v>
      </c>
      <c r="EN1" t="s">
        <v>2728</v>
      </c>
      <c r="EO1" t="s">
        <v>2729</v>
      </c>
      <c r="EP1" t="s">
        <v>2763</v>
      </c>
      <c r="EQ1" t="s">
        <v>2764</v>
      </c>
      <c r="ER1" t="s">
        <v>2765</v>
      </c>
      <c r="ES1" t="s">
        <v>2223</v>
      </c>
      <c r="ET1" t="s">
        <v>2224</v>
      </c>
      <c r="EU1" t="s">
        <v>4464</v>
      </c>
      <c r="EV1" t="s">
        <v>1211</v>
      </c>
      <c r="EW1" t="s">
        <v>1212</v>
      </c>
      <c r="EX1" t="s">
        <v>1213</v>
      </c>
      <c r="EY1" t="s">
        <v>2387</v>
      </c>
      <c r="EZ1" t="s">
        <v>2388</v>
      </c>
      <c r="FA1" t="s">
        <v>2389</v>
      </c>
      <c r="FB1" t="s">
        <v>2390</v>
      </c>
      <c r="FC1" t="s">
        <v>2391</v>
      </c>
      <c r="FD1" t="s">
        <v>2392</v>
      </c>
      <c r="FE1" t="s">
        <v>4384</v>
      </c>
      <c r="FF1" t="s">
        <v>2738</v>
      </c>
      <c r="FG1" t="s">
        <v>4385</v>
      </c>
      <c r="FH1" t="s">
        <v>4386</v>
      </c>
      <c r="FI1" t="s">
        <v>4387</v>
      </c>
      <c r="FJ1" t="s">
        <v>4881</v>
      </c>
      <c r="FK1" t="s">
        <v>4388</v>
      </c>
      <c r="FL1" t="s">
        <v>1582</v>
      </c>
      <c r="FM1" t="s">
        <v>1583</v>
      </c>
      <c r="FN1" t="s">
        <v>1584</v>
      </c>
      <c r="FO1" t="s">
        <v>3395</v>
      </c>
      <c r="FP1" t="s">
        <v>4994</v>
      </c>
      <c r="FQ1" t="s">
        <v>2687</v>
      </c>
      <c r="FR1" t="s">
        <v>2688</v>
      </c>
      <c r="FS1" t="s">
        <v>2689</v>
      </c>
      <c r="FT1" t="s">
        <v>440</v>
      </c>
      <c r="FU1" t="s">
        <v>2817</v>
      </c>
      <c r="FV1" t="s">
        <v>5028</v>
      </c>
      <c r="FW1" t="s">
        <v>1386</v>
      </c>
      <c r="FX1" t="s">
        <v>1387</v>
      </c>
      <c r="FY1" t="s">
        <v>1285</v>
      </c>
      <c r="FZ1" t="s">
        <v>1286</v>
      </c>
      <c r="GA1" t="s">
        <v>1287</v>
      </c>
      <c r="GB1" t="s">
        <v>1288</v>
      </c>
      <c r="GD1" t="s">
        <v>1302</v>
      </c>
      <c r="GE1" t="s">
        <v>1303</v>
      </c>
      <c r="GF1" t="s">
        <v>4415</v>
      </c>
      <c r="GG1" t="s">
        <v>7674</v>
      </c>
      <c r="GH1" t="s">
        <v>8478</v>
      </c>
    </row>
    <row r="2" spans="1:190" x14ac:dyDescent="0.2">
      <c r="A2" t="s">
        <v>1538</v>
      </c>
      <c r="C2">
        <v>0</v>
      </c>
      <c r="D2">
        <v>11</v>
      </c>
      <c r="E2">
        <v>12</v>
      </c>
      <c r="F2">
        <v>12</v>
      </c>
      <c r="G2">
        <v>9</v>
      </c>
      <c r="H2">
        <v>0</v>
      </c>
      <c r="I2">
        <v>8</v>
      </c>
      <c r="J2">
        <v>8</v>
      </c>
      <c r="K2">
        <v>8</v>
      </c>
      <c r="L2">
        <v>13</v>
      </c>
      <c r="M2">
        <v>16</v>
      </c>
      <c r="N2">
        <v>15</v>
      </c>
      <c r="O2">
        <v>12</v>
      </c>
      <c r="P2">
        <v>15</v>
      </c>
      <c r="Q2">
        <v>14</v>
      </c>
      <c r="R2">
        <v>11</v>
      </c>
      <c r="S2">
        <v>10</v>
      </c>
      <c r="T2">
        <v>8</v>
      </c>
      <c r="U2">
        <v>13</v>
      </c>
      <c r="V2">
        <v>16</v>
      </c>
      <c r="W2">
        <v>15</v>
      </c>
      <c r="X2">
        <v>16</v>
      </c>
      <c r="Y2">
        <v>12</v>
      </c>
      <c r="Z2">
        <v>15</v>
      </c>
      <c r="AA2">
        <v>14</v>
      </c>
      <c r="AB2">
        <v>15</v>
      </c>
      <c r="AC2">
        <v>11</v>
      </c>
      <c r="AD2">
        <v>10</v>
      </c>
      <c r="AE2">
        <v>11</v>
      </c>
      <c r="AF2">
        <v>0</v>
      </c>
      <c r="AG2">
        <v>17</v>
      </c>
      <c r="AH2">
        <v>19</v>
      </c>
      <c r="AI2">
        <v>11</v>
      </c>
      <c r="AJ2">
        <v>0</v>
      </c>
      <c r="AK2">
        <v>16</v>
      </c>
      <c r="AL2">
        <v>16</v>
      </c>
      <c r="AM2">
        <v>8</v>
      </c>
      <c r="AN2">
        <v>10</v>
      </c>
      <c r="AP2">
        <v>10</v>
      </c>
      <c r="AQ2">
        <v>10</v>
      </c>
      <c r="AR2">
        <v>11</v>
      </c>
      <c r="AT2">
        <v>21</v>
      </c>
      <c r="AU2">
        <v>23</v>
      </c>
      <c r="AV2">
        <v>23</v>
      </c>
      <c r="AW2">
        <v>21</v>
      </c>
      <c r="AX2">
        <v>23</v>
      </c>
      <c r="AY2">
        <v>20</v>
      </c>
      <c r="BA2">
        <v>14</v>
      </c>
      <c r="BB2">
        <v>13</v>
      </c>
      <c r="BC2">
        <v>13</v>
      </c>
      <c r="BD2">
        <v>13</v>
      </c>
      <c r="BE2">
        <v>1</v>
      </c>
      <c r="BG2">
        <v>2</v>
      </c>
      <c r="BH2">
        <v>19</v>
      </c>
      <c r="BI2">
        <v>19</v>
      </c>
      <c r="BJ2">
        <v>11</v>
      </c>
      <c r="BK2">
        <v>12</v>
      </c>
      <c r="BL2">
        <v>11</v>
      </c>
      <c r="BM2">
        <v>10</v>
      </c>
      <c r="BN2">
        <v>11</v>
      </c>
      <c r="BO2">
        <v>11</v>
      </c>
      <c r="BP2">
        <v>11</v>
      </c>
      <c r="BQ2">
        <v>11</v>
      </c>
      <c r="BR2">
        <v>12</v>
      </c>
      <c r="BS2">
        <v>12</v>
      </c>
      <c r="BT2">
        <v>11</v>
      </c>
      <c r="BU2">
        <v>18</v>
      </c>
      <c r="BV2">
        <v>16</v>
      </c>
      <c r="BW2">
        <v>18</v>
      </c>
      <c r="BX2">
        <v>17</v>
      </c>
      <c r="BY2">
        <v>15</v>
      </c>
      <c r="BZ2">
        <v>20</v>
      </c>
      <c r="CA2">
        <v>15</v>
      </c>
      <c r="CB2">
        <v>10</v>
      </c>
      <c r="CC2">
        <v>14</v>
      </c>
      <c r="CD2">
        <v>9</v>
      </c>
      <c r="CE2">
        <v>16</v>
      </c>
      <c r="CF2">
        <v>16</v>
      </c>
      <c r="CG2">
        <v>19</v>
      </c>
      <c r="CH2">
        <v>21</v>
      </c>
      <c r="CI2">
        <v>17</v>
      </c>
      <c r="CJ2">
        <v>17</v>
      </c>
      <c r="CK2">
        <v>19</v>
      </c>
      <c r="CL2">
        <v>20</v>
      </c>
      <c r="CM2">
        <v>21</v>
      </c>
      <c r="CN2">
        <v>26</v>
      </c>
      <c r="CO2">
        <v>24</v>
      </c>
      <c r="CP2">
        <v>26</v>
      </c>
      <c r="CQ2">
        <v>2</v>
      </c>
      <c r="CR2">
        <v>5</v>
      </c>
      <c r="CS2">
        <v>8</v>
      </c>
      <c r="CT2">
        <v>5</v>
      </c>
      <c r="CU2">
        <v>20</v>
      </c>
      <c r="CV2">
        <v>17</v>
      </c>
      <c r="CW2">
        <v>19</v>
      </c>
      <c r="CX2">
        <v>12</v>
      </c>
      <c r="CY2">
        <v>13</v>
      </c>
      <c r="CZ2">
        <v>19</v>
      </c>
      <c r="DA2">
        <v>14</v>
      </c>
      <c r="DB2">
        <v>17</v>
      </c>
      <c r="DC2">
        <v>13</v>
      </c>
      <c r="DD2">
        <v>0</v>
      </c>
      <c r="DF2">
        <v>4</v>
      </c>
      <c r="DG2">
        <v>9</v>
      </c>
      <c r="DI2">
        <v>9</v>
      </c>
      <c r="DJ2">
        <v>7</v>
      </c>
      <c r="DK2">
        <v>7</v>
      </c>
      <c r="DL2">
        <v>4</v>
      </c>
      <c r="DM2">
        <v>4</v>
      </c>
      <c r="DN2">
        <v>4</v>
      </c>
      <c r="DO2">
        <v>4</v>
      </c>
      <c r="DP2">
        <v>8</v>
      </c>
      <c r="DQ2">
        <v>2</v>
      </c>
      <c r="DR2">
        <v>2</v>
      </c>
      <c r="DS2">
        <v>7</v>
      </c>
      <c r="DT2">
        <v>7</v>
      </c>
      <c r="DU2">
        <v>10</v>
      </c>
      <c r="DV2">
        <v>0</v>
      </c>
      <c r="DW2">
        <v>5</v>
      </c>
      <c r="DX2">
        <v>11</v>
      </c>
      <c r="DY2">
        <v>1</v>
      </c>
      <c r="EA2">
        <v>8</v>
      </c>
      <c r="EB2">
        <v>11</v>
      </c>
      <c r="EC2">
        <v>11</v>
      </c>
      <c r="ED2">
        <v>11</v>
      </c>
      <c r="EE2">
        <v>7</v>
      </c>
      <c r="EF2">
        <v>10</v>
      </c>
      <c r="EH2">
        <f>IF(VT_VOLLZBR,1500,IF(VT_HALBZBR,1000,700))</f>
        <v>700</v>
      </c>
      <c r="EI2">
        <f>IF(VT_VOLLZBR,1500,IF(VT_HALBZBR,1000,700))</f>
        <v>700</v>
      </c>
      <c r="EJ2">
        <f t="shared" ref="EJ2:ER2" si="0">IF(VT_VOLLZBR,2000,IF(VT_HALBZBR,1500,1000))</f>
        <v>1000</v>
      </c>
      <c r="EK2">
        <f t="shared" si="0"/>
        <v>1000</v>
      </c>
      <c r="EL2">
        <f t="shared" si="0"/>
        <v>1000</v>
      </c>
      <c r="EM2">
        <f t="shared" si="0"/>
        <v>1000</v>
      </c>
      <c r="EN2">
        <f t="shared" si="0"/>
        <v>1000</v>
      </c>
      <c r="EO2">
        <f t="shared" si="0"/>
        <v>1000</v>
      </c>
      <c r="EP2">
        <f t="shared" si="0"/>
        <v>1000</v>
      </c>
      <c r="EQ2">
        <f t="shared" si="0"/>
        <v>1000</v>
      </c>
      <c r="ER2">
        <f t="shared" si="0"/>
        <v>1000</v>
      </c>
      <c r="ES2">
        <f>IF(VT_VOLLZBR,1500,IF(VT_HALBZBR,1000,700))</f>
        <v>700</v>
      </c>
      <c r="ET2">
        <f>IF(VT_VOLLZBR,2000,IF(VT_HALBZBR,1500,1000))</f>
        <v>1000</v>
      </c>
      <c r="EU2">
        <f>IF(VT_VOLLZBR,2000,IF(VT_HALBZBR,1500,1000))</f>
        <v>1000</v>
      </c>
      <c r="EV2">
        <f>IF(VT_VOLLZBR,2000,IF(VT_HALBZBR,1500,1000))</f>
        <v>1000</v>
      </c>
      <c r="EW2">
        <f>IF(VT_VOLLZBR,1500,IF(VT_HALBZBR,1000,700))</f>
        <v>700</v>
      </c>
      <c r="EX2">
        <f>IF(VT_VOLLZBR,2000,IF(VT_HALBZBR,1500,1000))</f>
        <v>1000</v>
      </c>
      <c r="EY2">
        <f>IF(VT_VOLLZBR,2000,IF(VT_HALBZBR,1500,1000))</f>
        <v>1000</v>
      </c>
      <c r="EZ2">
        <f>IF(VT_VOLLZBR,2000,IF(VT_HALBZBR,1500,1000))</f>
        <v>1000</v>
      </c>
      <c r="FA2">
        <f>IF(VT_VOLLZBR,2000,IF(VT_HALBZBR,1500,1000))</f>
        <v>1000</v>
      </c>
      <c r="FB2">
        <f>IF(VT_VOLLZBR,1500,IF(VT_HALBZBR,1000,700))</f>
        <v>700</v>
      </c>
      <c r="FC2">
        <f>IF(VT_VOLLZBR,1500,IF(VT_HALBZBR,1000,700))</f>
        <v>700</v>
      </c>
      <c r="FD2">
        <f>IF(VT_VOLLZBR,2000,IF(VT_HALBZBR,1500,1000))</f>
        <v>1000</v>
      </c>
      <c r="FE2">
        <f>IF(VT_VOLLZBR,2000,IF(VT_HALBZBR,1500,1000))</f>
        <v>1000</v>
      </c>
      <c r="FF2">
        <f>IF(VT_VOLLZBR,2000,IF(VT_HALBZBR,1500,1000))</f>
        <v>1000</v>
      </c>
      <c r="FG2">
        <v>900</v>
      </c>
      <c r="FH2">
        <f>IF(VT_VOLLZBR,1500,IF(VT_HALBZBR,1000,700))</f>
        <v>700</v>
      </c>
      <c r="FI2">
        <f t="shared" ref="FI2:FU2" si="1">IF(VT_VOLLZBR,2000,IF(VT_HALBZBR,1500,1000))</f>
        <v>1000</v>
      </c>
      <c r="FJ2">
        <f t="shared" si="1"/>
        <v>1000</v>
      </c>
      <c r="FK2">
        <f t="shared" si="1"/>
        <v>1000</v>
      </c>
      <c r="FL2">
        <f t="shared" si="1"/>
        <v>1000</v>
      </c>
      <c r="FM2">
        <f t="shared" si="1"/>
        <v>1000</v>
      </c>
      <c r="FN2">
        <f t="shared" si="1"/>
        <v>1000</v>
      </c>
      <c r="FO2">
        <f t="shared" si="1"/>
        <v>1000</v>
      </c>
      <c r="FP2">
        <f t="shared" si="1"/>
        <v>1000</v>
      </c>
      <c r="FQ2">
        <f t="shared" si="1"/>
        <v>1000</v>
      </c>
      <c r="FR2">
        <f t="shared" si="1"/>
        <v>1000</v>
      </c>
      <c r="FS2">
        <f t="shared" si="1"/>
        <v>1000</v>
      </c>
      <c r="FT2">
        <f t="shared" si="1"/>
        <v>1000</v>
      </c>
      <c r="FU2">
        <f t="shared" si="1"/>
        <v>1000</v>
      </c>
      <c r="FV2">
        <f>IF(VT_VOLLZBR,1500,IF(VT_HALBZBR,1000,700))</f>
        <v>700</v>
      </c>
      <c r="FW2">
        <f>IF(VT_VOLLZBR,1500,IF(VT_HALBZBR,1000,700))</f>
        <v>700</v>
      </c>
      <c r="FX2">
        <f>IF(VT_VOLLZBR,2000,IF(VT_HALBZBR,1500,1000))</f>
        <v>1000</v>
      </c>
      <c r="FY2">
        <f>IF(VT_VOLLZBR,2000,IF(VT_HALBZBR,1500,1000))</f>
        <v>1000</v>
      </c>
      <c r="FZ2">
        <f>IF(VT_VOLLZBR,2000,IF(VT_HALBZBR,1500,1000))</f>
        <v>1000</v>
      </c>
      <c r="GA2">
        <f>IF(VT_VOLLZBR,2000,IF(VT_HALBZBR,1500,1000))</f>
        <v>1000</v>
      </c>
      <c r="GB2">
        <f>IF(VT_VOLLZBR,1500,IF(VT_HALBZBR,1000,700))</f>
        <v>700</v>
      </c>
      <c r="GC2">
        <f>IF(VT_VOLLZBR,1500,IF(VT_HALBZBR,1000,700))</f>
        <v>700</v>
      </c>
      <c r="GD2">
        <f>IF(VT_VOLLZBR,1500,IF(VT_HALBZBR,1000,700))</f>
        <v>700</v>
      </c>
      <c r="GE2">
        <f>IF(VT_VOLLZBR,1500,IF(VT_HALBZBR,1000,700))</f>
        <v>700</v>
      </c>
      <c r="GF2">
        <f>IF(VT_VOLLZBR,1500,IF(VT_HALBZBR,1000,700))</f>
        <v>700</v>
      </c>
    </row>
    <row r="3" spans="1:190" x14ac:dyDescent="0.2">
      <c r="A3" t="s">
        <v>2138</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1</v>
      </c>
      <c r="AG3">
        <v>1</v>
      </c>
      <c r="AH3">
        <v>2</v>
      </c>
      <c r="AI3">
        <v>0</v>
      </c>
      <c r="AJ3">
        <v>1</v>
      </c>
      <c r="AK3">
        <v>1</v>
      </c>
      <c r="AL3">
        <v>1</v>
      </c>
      <c r="AM3">
        <v>0</v>
      </c>
      <c r="AN3">
        <v>0</v>
      </c>
      <c r="AO3">
        <v>0</v>
      </c>
      <c r="AP3">
        <v>0</v>
      </c>
      <c r="AQ3">
        <v>0</v>
      </c>
      <c r="AR3">
        <v>0</v>
      </c>
      <c r="AS3">
        <v>0</v>
      </c>
      <c r="AT3">
        <v>0</v>
      </c>
      <c r="AU3">
        <v>0</v>
      </c>
      <c r="AV3">
        <v>0</v>
      </c>
      <c r="AW3">
        <v>1</v>
      </c>
      <c r="AX3">
        <v>1</v>
      </c>
      <c r="AY3">
        <v>1</v>
      </c>
      <c r="BA3">
        <v>0</v>
      </c>
      <c r="BB3">
        <v>0</v>
      </c>
      <c r="BC3">
        <v>0</v>
      </c>
      <c r="BD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2</v>
      </c>
      <c r="CD3">
        <v>2</v>
      </c>
      <c r="CE3">
        <v>0</v>
      </c>
      <c r="CF3">
        <v>0</v>
      </c>
      <c r="CG3">
        <v>0</v>
      </c>
      <c r="CH3">
        <v>0</v>
      </c>
      <c r="CI3">
        <v>0</v>
      </c>
      <c r="CJ3">
        <v>0</v>
      </c>
      <c r="CK3">
        <v>0</v>
      </c>
      <c r="CL3">
        <v>0</v>
      </c>
      <c r="CM3">
        <v>0</v>
      </c>
      <c r="CN3">
        <v>1</v>
      </c>
      <c r="CO3">
        <v>0</v>
      </c>
      <c r="CP3">
        <v>1</v>
      </c>
      <c r="CQ3">
        <v>0</v>
      </c>
      <c r="CR3">
        <v>0</v>
      </c>
      <c r="CS3">
        <v>0</v>
      </c>
      <c r="CT3">
        <v>0</v>
      </c>
      <c r="CU3">
        <v>1</v>
      </c>
      <c r="CV3">
        <v>0</v>
      </c>
      <c r="CW3">
        <v>0</v>
      </c>
      <c r="CX3">
        <v>0</v>
      </c>
      <c r="CY3">
        <v>0</v>
      </c>
      <c r="CZ3">
        <v>2</v>
      </c>
      <c r="DA3">
        <v>0</v>
      </c>
      <c r="DB3">
        <v>0</v>
      </c>
      <c r="DC3">
        <v>0</v>
      </c>
      <c r="DD3">
        <v>0</v>
      </c>
      <c r="DX3">
        <v>-2</v>
      </c>
      <c r="FG3">
        <v>0</v>
      </c>
    </row>
    <row r="4" spans="1:190" x14ac:dyDescent="0.2">
      <c r="A4" t="s">
        <v>313</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BA4">
        <v>0</v>
      </c>
      <c r="BB4">
        <v>0</v>
      </c>
      <c r="BC4">
        <v>0</v>
      </c>
      <c r="BD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V4">
        <v>0</v>
      </c>
      <c r="CW4">
        <v>0</v>
      </c>
      <c r="CX4">
        <v>0</v>
      </c>
      <c r="CY4">
        <v>0</v>
      </c>
      <c r="CZ4">
        <v>0</v>
      </c>
      <c r="DA4">
        <v>0</v>
      </c>
      <c r="DB4">
        <v>0</v>
      </c>
      <c r="DC4">
        <v>0</v>
      </c>
      <c r="DD4">
        <v>0</v>
      </c>
      <c r="DF4">
        <v>6</v>
      </c>
      <c r="DG4">
        <v>6</v>
      </c>
      <c r="DH4">
        <v>6</v>
      </c>
      <c r="DI4">
        <v>6</v>
      </c>
      <c r="DJ4">
        <v>6</v>
      </c>
      <c r="DK4">
        <v>6</v>
      </c>
      <c r="DL4">
        <v>6</v>
      </c>
      <c r="DM4">
        <v>6</v>
      </c>
      <c r="DN4">
        <v>6</v>
      </c>
      <c r="DO4">
        <v>6</v>
      </c>
      <c r="DP4">
        <v>6</v>
      </c>
      <c r="DS4">
        <v>-6</v>
      </c>
      <c r="DT4">
        <v>-6</v>
      </c>
      <c r="DU4">
        <v>-6</v>
      </c>
      <c r="DX4">
        <v>6</v>
      </c>
      <c r="DZ4">
        <v>6</v>
      </c>
      <c r="EA4">
        <v>6</v>
      </c>
      <c r="EB4">
        <v>6</v>
      </c>
      <c r="EC4">
        <v>6</v>
      </c>
      <c r="ED4">
        <v>6</v>
      </c>
      <c r="EE4">
        <v>6</v>
      </c>
      <c r="EF4">
        <v>6</v>
      </c>
      <c r="FG4">
        <v>0</v>
      </c>
    </row>
    <row r="5" spans="1:190" x14ac:dyDescent="0.2">
      <c r="A5" t="s">
        <v>3604</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1</v>
      </c>
      <c r="AG5">
        <v>1</v>
      </c>
      <c r="AH5">
        <v>2</v>
      </c>
      <c r="AI5">
        <v>0</v>
      </c>
      <c r="AJ5">
        <v>2</v>
      </c>
      <c r="AK5">
        <v>2</v>
      </c>
      <c r="AL5">
        <v>2</v>
      </c>
      <c r="AM5">
        <v>2</v>
      </c>
      <c r="AN5">
        <v>0</v>
      </c>
      <c r="AO5">
        <v>0</v>
      </c>
      <c r="AP5">
        <v>0</v>
      </c>
      <c r="AQ5">
        <v>0</v>
      </c>
      <c r="AR5">
        <v>0</v>
      </c>
      <c r="AS5">
        <v>0</v>
      </c>
      <c r="AT5">
        <v>0</v>
      </c>
      <c r="AU5">
        <v>2</v>
      </c>
      <c r="AV5">
        <v>2</v>
      </c>
      <c r="AW5">
        <v>3</v>
      </c>
      <c r="AX5">
        <v>3</v>
      </c>
      <c r="AY5">
        <v>3</v>
      </c>
      <c r="BA5">
        <v>0</v>
      </c>
      <c r="BB5">
        <v>0</v>
      </c>
      <c r="BC5">
        <v>0</v>
      </c>
      <c r="BD5">
        <v>0</v>
      </c>
      <c r="BG5">
        <v>0</v>
      </c>
      <c r="BH5">
        <v>2</v>
      </c>
      <c r="BI5">
        <v>2</v>
      </c>
      <c r="BJ5">
        <v>0</v>
      </c>
      <c r="BK5">
        <v>0</v>
      </c>
      <c r="BL5">
        <v>2</v>
      </c>
      <c r="BM5">
        <v>0</v>
      </c>
      <c r="BN5">
        <v>0</v>
      </c>
      <c r="BO5">
        <v>0</v>
      </c>
      <c r="BP5">
        <v>0</v>
      </c>
      <c r="BQ5">
        <v>0</v>
      </c>
      <c r="BR5">
        <v>0</v>
      </c>
      <c r="BS5">
        <v>0</v>
      </c>
      <c r="BT5">
        <v>0</v>
      </c>
      <c r="BU5">
        <v>0</v>
      </c>
      <c r="BV5">
        <v>0</v>
      </c>
      <c r="BW5">
        <v>0</v>
      </c>
      <c r="BX5">
        <v>0</v>
      </c>
      <c r="BY5">
        <v>0</v>
      </c>
      <c r="BZ5">
        <v>0</v>
      </c>
      <c r="CA5">
        <v>0</v>
      </c>
      <c r="CB5">
        <v>0</v>
      </c>
      <c r="CC5">
        <v>2</v>
      </c>
      <c r="CD5">
        <v>2</v>
      </c>
      <c r="CE5">
        <v>0</v>
      </c>
      <c r="CF5">
        <v>0</v>
      </c>
      <c r="CG5">
        <v>0</v>
      </c>
      <c r="CH5">
        <v>0</v>
      </c>
      <c r="CI5">
        <v>0</v>
      </c>
      <c r="CJ5">
        <v>2</v>
      </c>
      <c r="CK5">
        <v>2</v>
      </c>
      <c r="CL5">
        <v>0</v>
      </c>
      <c r="CM5">
        <v>0</v>
      </c>
      <c r="CN5">
        <v>2</v>
      </c>
      <c r="CO5">
        <v>0</v>
      </c>
      <c r="CP5">
        <v>2</v>
      </c>
      <c r="CQ5">
        <v>0</v>
      </c>
      <c r="CR5">
        <v>0</v>
      </c>
      <c r="CS5">
        <v>0</v>
      </c>
      <c r="CT5">
        <v>0</v>
      </c>
      <c r="CU5">
        <v>3</v>
      </c>
      <c r="CV5">
        <v>0</v>
      </c>
      <c r="CW5">
        <v>0</v>
      </c>
      <c r="CX5">
        <v>0</v>
      </c>
      <c r="CY5">
        <v>0</v>
      </c>
      <c r="CZ5">
        <v>3</v>
      </c>
      <c r="DA5">
        <v>0</v>
      </c>
      <c r="DB5">
        <v>0</v>
      </c>
      <c r="DC5">
        <v>0</v>
      </c>
      <c r="DD5">
        <v>0</v>
      </c>
      <c r="DX5">
        <v>-2</v>
      </c>
      <c r="FG5">
        <v>2</v>
      </c>
    </row>
    <row r="6" spans="1:190" x14ac:dyDescent="0.2">
      <c r="A6" t="s">
        <v>3605</v>
      </c>
      <c r="C6">
        <v>1</v>
      </c>
      <c r="D6">
        <v>1</v>
      </c>
      <c r="E6">
        <v>1</v>
      </c>
      <c r="F6">
        <v>1</v>
      </c>
      <c r="G6">
        <v>1</v>
      </c>
      <c r="H6">
        <v>1</v>
      </c>
      <c r="I6">
        <v>1</v>
      </c>
      <c r="J6">
        <v>1</v>
      </c>
      <c r="K6">
        <v>1</v>
      </c>
      <c r="L6">
        <v>1</v>
      </c>
      <c r="M6">
        <v>1</v>
      </c>
      <c r="N6">
        <v>1</v>
      </c>
      <c r="O6">
        <v>1</v>
      </c>
      <c r="P6">
        <v>1</v>
      </c>
      <c r="Q6">
        <v>1</v>
      </c>
      <c r="R6">
        <v>1</v>
      </c>
      <c r="S6">
        <v>1</v>
      </c>
      <c r="T6">
        <v>1</v>
      </c>
      <c r="U6">
        <v>1</v>
      </c>
      <c r="V6">
        <v>1</v>
      </c>
      <c r="W6">
        <v>1</v>
      </c>
      <c r="X6">
        <v>1</v>
      </c>
      <c r="Y6">
        <v>1</v>
      </c>
      <c r="Z6">
        <v>1</v>
      </c>
      <c r="AA6">
        <v>1</v>
      </c>
      <c r="AB6">
        <v>1</v>
      </c>
      <c r="AC6">
        <v>1</v>
      </c>
      <c r="AD6">
        <v>1</v>
      </c>
      <c r="AE6">
        <v>1</v>
      </c>
      <c r="AF6">
        <v>0</v>
      </c>
      <c r="AG6">
        <v>1</v>
      </c>
      <c r="AH6">
        <v>0</v>
      </c>
      <c r="AI6">
        <v>1</v>
      </c>
      <c r="AJ6">
        <v>0</v>
      </c>
      <c r="AK6">
        <v>0</v>
      </c>
      <c r="AL6">
        <v>0</v>
      </c>
      <c r="AM6">
        <v>0</v>
      </c>
      <c r="AN6">
        <v>0</v>
      </c>
      <c r="AO6">
        <v>1</v>
      </c>
      <c r="AP6">
        <v>1</v>
      </c>
      <c r="AQ6">
        <v>1</v>
      </c>
      <c r="AR6">
        <v>1</v>
      </c>
      <c r="AS6">
        <v>1</v>
      </c>
      <c r="AT6">
        <v>1</v>
      </c>
      <c r="AU6">
        <v>1</v>
      </c>
      <c r="AV6">
        <v>1</v>
      </c>
      <c r="AW6">
        <v>0</v>
      </c>
      <c r="AX6">
        <v>0</v>
      </c>
      <c r="AY6">
        <v>0</v>
      </c>
      <c r="AZ6">
        <v>2</v>
      </c>
      <c r="BA6">
        <v>2</v>
      </c>
      <c r="BB6">
        <v>2</v>
      </c>
      <c r="BC6">
        <v>2</v>
      </c>
      <c r="BD6">
        <v>2</v>
      </c>
      <c r="BG6">
        <v>1</v>
      </c>
      <c r="BH6">
        <v>1</v>
      </c>
      <c r="BI6">
        <v>1</v>
      </c>
      <c r="BJ6">
        <v>1</v>
      </c>
      <c r="BK6">
        <v>1</v>
      </c>
      <c r="BL6">
        <v>1</v>
      </c>
      <c r="BM6">
        <v>1</v>
      </c>
      <c r="BN6">
        <v>1</v>
      </c>
      <c r="BO6">
        <v>1</v>
      </c>
      <c r="BP6">
        <v>1</v>
      </c>
      <c r="BQ6">
        <v>1</v>
      </c>
      <c r="BR6">
        <v>1</v>
      </c>
      <c r="BS6">
        <v>1</v>
      </c>
      <c r="BT6">
        <v>1</v>
      </c>
      <c r="BU6">
        <v>1</v>
      </c>
      <c r="BV6">
        <v>1</v>
      </c>
      <c r="BW6">
        <v>1</v>
      </c>
      <c r="BX6">
        <v>1</v>
      </c>
      <c r="BY6">
        <v>1</v>
      </c>
      <c r="BZ6">
        <v>1</v>
      </c>
      <c r="CA6">
        <v>1</v>
      </c>
      <c r="CB6">
        <v>2</v>
      </c>
      <c r="CC6">
        <v>2</v>
      </c>
      <c r="CD6">
        <v>0</v>
      </c>
      <c r="CE6">
        <v>2</v>
      </c>
      <c r="CF6">
        <v>1</v>
      </c>
      <c r="CG6">
        <v>1</v>
      </c>
      <c r="CH6">
        <v>1</v>
      </c>
      <c r="CI6">
        <v>1</v>
      </c>
      <c r="CJ6">
        <v>0</v>
      </c>
      <c r="CK6">
        <v>0</v>
      </c>
      <c r="CL6">
        <v>1</v>
      </c>
      <c r="CM6">
        <v>1</v>
      </c>
      <c r="CN6">
        <v>1</v>
      </c>
      <c r="CO6">
        <v>1</v>
      </c>
      <c r="CP6">
        <v>1</v>
      </c>
      <c r="CQ6">
        <v>1</v>
      </c>
      <c r="CR6">
        <v>1</v>
      </c>
      <c r="CS6">
        <v>1</v>
      </c>
      <c r="CT6">
        <v>1</v>
      </c>
      <c r="CU6">
        <v>1</v>
      </c>
      <c r="CV6">
        <v>1</v>
      </c>
      <c r="CW6">
        <v>1</v>
      </c>
      <c r="CX6">
        <v>1</v>
      </c>
      <c r="CY6">
        <v>1</v>
      </c>
      <c r="CZ6">
        <v>0</v>
      </c>
      <c r="DA6">
        <v>1</v>
      </c>
      <c r="DB6">
        <v>1</v>
      </c>
      <c r="DC6">
        <v>1</v>
      </c>
      <c r="DD6">
        <v>1</v>
      </c>
      <c r="DF6">
        <v>2</v>
      </c>
      <c r="DG6">
        <v>1</v>
      </c>
      <c r="DH6">
        <v>1</v>
      </c>
      <c r="DI6">
        <v>1</v>
      </c>
      <c r="DJ6">
        <v>1</v>
      </c>
      <c r="DK6">
        <v>2</v>
      </c>
      <c r="DL6">
        <v>1</v>
      </c>
      <c r="DM6">
        <v>1</v>
      </c>
      <c r="DN6">
        <v>1</v>
      </c>
      <c r="DO6">
        <v>1</v>
      </c>
      <c r="DP6">
        <v>1</v>
      </c>
      <c r="DQ6">
        <v>1</v>
      </c>
      <c r="DR6">
        <v>1</v>
      </c>
      <c r="DS6">
        <v>1</v>
      </c>
      <c r="DT6">
        <v>1</v>
      </c>
      <c r="DU6">
        <v>1</v>
      </c>
      <c r="DV6">
        <v>1</v>
      </c>
      <c r="DW6">
        <v>2</v>
      </c>
      <c r="DX6">
        <v>2</v>
      </c>
      <c r="DY6">
        <v>1</v>
      </c>
      <c r="DZ6">
        <v>2</v>
      </c>
      <c r="EA6">
        <v>2</v>
      </c>
      <c r="EB6">
        <v>2</v>
      </c>
      <c r="EC6">
        <v>2</v>
      </c>
      <c r="ED6">
        <v>2</v>
      </c>
      <c r="EE6">
        <v>2</v>
      </c>
      <c r="EF6">
        <v>2</v>
      </c>
      <c r="FG6">
        <v>1</v>
      </c>
      <c r="FK6">
        <v>1</v>
      </c>
      <c r="FL6">
        <v>1</v>
      </c>
      <c r="FM6">
        <v>1</v>
      </c>
      <c r="FN6">
        <v>1</v>
      </c>
      <c r="FX6">
        <v>1</v>
      </c>
    </row>
    <row r="7" spans="1:190" x14ac:dyDescent="0.2">
      <c r="A7" t="s">
        <v>74</v>
      </c>
      <c r="C7">
        <v>11</v>
      </c>
      <c r="D7">
        <v>11</v>
      </c>
      <c r="E7">
        <v>11</v>
      </c>
      <c r="F7">
        <v>11</v>
      </c>
      <c r="G7">
        <v>12</v>
      </c>
      <c r="H7">
        <v>13</v>
      </c>
      <c r="I7">
        <v>13</v>
      </c>
      <c r="J7">
        <v>13</v>
      </c>
      <c r="K7">
        <v>13</v>
      </c>
      <c r="L7">
        <v>13</v>
      </c>
      <c r="M7">
        <v>13</v>
      </c>
      <c r="N7">
        <v>13</v>
      </c>
      <c r="O7">
        <v>14</v>
      </c>
      <c r="P7">
        <v>14</v>
      </c>
      <c r="Q7">
        <v>14</v>
      </c>
      <c r="R7">
        <v>13</v>
      </c>
      <c r="S7">
        <v>13</v>
      </c>
      <c r="T7">
        <v>13</v>
      </c>
      <c r="U7">
        <v>13</v>
      </c>
      <c r="V7">
        <v>13</v>
      </c>
      <c r="W7">
        <v>13</v>
      </c>
      <c r="X7">
        <v>13</v>
      </c>
      <c r="Y7">
        <v>14</v>
      </c>
      <c r="Z7">
        <v>14</v>
      </c>
      <c r="AA7">
        <v>14</v>
      </c>
      <c r="AB7">
        <v>14</v>
      </c>
      <c r="AC7">
        <v>13</v>
      </c>
      <c r="AD7">
        <v>13</v>
      </c>
      <c r="AE7">
        <v>13</v>
      </c>
      <c r="AF7">
        <v>13</v>
      </c>
      <c r="AG7">
        <v>13</v>
      </c>
      <c r="AH7">
        <v>13</v>
      </c>
      <c r="AI7">
        <v>13</v>
      </c>
      <c r="AJ7">
        <v>12</v>
      </c>
      <c r="AK7">
        <v>12</v>
      </c>
      <c r="AL7">
        <v>12</v>
      </c>
      <c r="AM7">
        <v>12</v>
      </c>
      <c r="AN7">
        <v>11</v>
      </c>
      <c r="AO7">
        <v>11</v>
      </c>
      <c r="AP7">
        <v>11</v>
      </c>
      <c r="AQ7">
        <v>11</v>
      </c>
      <c r="AR7">
        <v>11</v>
      </c>
      <c r="AS7">
        <v>12</v>
      </c>
      <c r="AT7">
        <v>12</v>
      </c>
      <c r="AU7">
        <v>12</v>
      </c>
      <c r="AV7">
        <v>12</v>
      </c>
      <c r="AW7">
        <v>14</v>
      </c>
      <c r="AX7">
        <v>13</v>
      </c>
      <c r="AY7">
        <v>13</v>
      </c>
      <c r="BD7">
        <v>11</v>
      </c>
      <c r="BG7">
        <v>12</v>
      </c>
      <c r="BH7">
        <v>11</v>
      </c>
      <c r="BI7">
        <v>11</v>
      </c>
      <c r="BJ7">
        <v>12</v>
      </c>
      <c r="BK7">
        <v>12</v>
      </c>
      <c r="BL7">
        <v>14</v>
      </c>
      <c r="BM7">
        <v>12</v>
      </c>
      <c r="BN7">
        <v>11</v>
      </c>
      <c r="BO7">
        <v>11</v>
      </c>
      <c r="BP7">
        <v>11</v>
      </c>
      <c r="BS7">
        <v>13</v>
      </c>
      <c r="BT7">
        <v>13</v>
      </c>
      <c r="BU7">
        <v>13</v>
      </c>
      <c r="BV7">
        <v>13</v>
      </c>
      <c r="BW7">
        <v>13</v>
      </c>
      <c r="BX7">
        <v>13</v>
      </c>
      <c r="BY7">
        <v>13</v>
      </c>
      <c r="BZ7">
        <v>13</v>
      </c>
      <c r="CA7">
        <v>13</v>
      </c>
      <c r="CB7">
        <v>13</v>
      </c>
      <c r="CC7">
        <v>13</v>
      </c>
      <c r="CD7">
        <v>13</v>
      </c>
      <c r="CE7">
        <v>13</v>
      </c>
      <c r="CF7">
        <v>11</v>
      </c>
      <c r="CG7">
        <v>11</v>
      </c>
      <c r="CH7">
        <v>11</v>
      </c>
      <c r="CI7">
        <v>11</v>
      </c>
      <c r="CJ7">
        <v>12</v>
      </c>
      <c r="CK7">
        <v>12</v>
      </c>
      <c r="CL7">
        <v>11</v>
      </c>
      <c r="CM7">
        <v>11</v>
      </c>
      <c r="CN7">
        <v>13</v>
      </c>
      <c r="CO7">
        <v>13</v>
      </c>
      <c r="CP7">
        <v>13</v>
      </c>
      <c r="CQ7">
        <v>13</v>
      </c>
      <c r="CR7">
        <v>13</v>
      </c>
      <c r="CS7">
        <v>13</v>
      </c>
      <c r="CT7">
        <v>13</v>
      </c>
      <c r="CU7">
        <v>13</v>
      </c>
      <c r="CV7">
        <v>13</v>
      </c>
      <c r="CW7">
        <v>13</v>
      </c>
      <c r="CZ7">
        <v>12</v>
      </c>
      <c r="DD7">
        <v>12</v>
      </c>
      <c r="DF7">
        <v>12</v>
      </c>
      <c r="DG7">
        <v>13</v>
      </c>
      <c r="DH7">
        <v>11</v>
      </c>
      <c r="DI7">
        <v>11</v>
      </c>
      <c r="DJ7">
        <v>11</v>
      </c>
      <c r="DK7">
        <v>13</v>
      </c>
      <c r="DL7">
        <v>13</v>
      </c>
      <c r="DM7">
        <v>13</v>
      </c>
      <c r="DN7">
        <v>13</v>
      </c>
      <c r="DO7">
        <v>13</v>
      </c>
      <c r="DP7">
        <v>14</v>
      </c>
      <c r="DV7">
        <v>11</v>
      </c>
      <c r="DW7">
        <v>11</v>
      </c>
      <c r="DZ7">
        <v>12</v>
      </c>
      <c r="EA7">
        <v>12</v>
      </c>
      <c r="EB7">
        <v>12</v>
      </c>
      <c r="EC7">
        <v>12</v>
      </c>
      <c r="ED7">
        <v>12</v>
      </c>
      <c r="EE7">
        <v>12</v>
      </c>
      <c r="EF7">
        <v>12</v>
      </c>
      <c r="EH7">
        <v>11</v>
      </c>
      <c r="EI7">
        <v>12</v>
      </c>
      <c r="EJ7">
        <v>13</v>
      </c>
      <c r="EK7">
        <v>13</v>
      </c>
      <c r="EL7">
        <v>13</v>
      </c>
      <c r="EM7">
        <v>13</v>
      </c>
      <c r="EN7">
        <v>14</v>
      </c>
      <c r="EO7">
        <v>14</v>
      </c>
      <c r="EP7">
        <v>15</v>
      </c>
      <c r="ER7">
        <v>13</v>
      </c>
      <c r="ET7">
        <v>11</v>
      </c>
      <c r="EU7">
        <v>11</v>
      </c>
      <c r="EV7">
        <v>12</v>
      </c>
      <c r="FG7">
        <v>14</v>
      </c>
      <c r="FH7">
        <v>11</v>
      </c>
      <c r="FI7">
        <v>14</v>
      </c>
      <c r="FJ7">
        <v>14</v>
      </c>
      <c r="FK7">
        <v>13</v>
      </c>
      <c r="FL7">
        <v>12</v>
      </c>
      <c r="FN7">
        <v>13</v>
      </c>
      <c r="FO7">
        <v>13</v>
      </c>
      <c r="FP7">
        <v>13</v>
      </c>
      <c r="FQ7">
        <v>15</v>
      </c>
      <c r="FR7">
        <v>14</v>
      </c>
      <c r="FU7">
        <v>13</v>
      </c>
    </row>
    <row r="8" spans="1:190" x14ac:dyDescent="0.2">
      <c r="A8" t="s">
        <v>75</v>
      </c>
      <c r="C8">
        <v>11</v>
      </c>
      <c r="D8">
        <v>11</v>
      </c>
      <c r="E8">
        <v>11</v>
      </c>
      <c r="F8">
        <v>11</v>
      </c>
      <c r="H8">
        <v>12</v>
      </c>
      <c r="I8">
        <v>12</v>
      </c>
      <c r="J8">
        <v>12</v>
      </c>
      <c r="K8">
        <v>12</v>
      </c>
      <c r="L8">
        <v>12</v>
      </c>
      <c r="M8">
        <v>12</v>
      </c>
      <c r="N8">
        <v>12</v>
      </c>
      <c r="O8">
        <v>12</v>
      </c>
      <c r="P8">
        <v>12</v>
      </c>
      <c r="Q8">
        <v>12</v>
      </c>
      <c r="R8">
        <v>12</v>
      </c>
      <c r="S8">
        <v>12</v>
      </c>
      <c r="T8">
        <v>12</v>
      </c>
      <c r="U8">
        <v>12</v>
      </c>
      <c r="V8">
        <v>12</v>
      </c>
      <c r="W8">
        <v>12</v>
      </c>
      <c r="X8">
        <v>12</v>
      </c>
      <c r="Y8">
        <v>12</v>
      </c>
      <c r="Z8">
        <v>12</v>
      </c>
      <c r="AA8">
        <v>12</v>
      </c>
      <c r="AB8">
        <v>12</v>
      </c>
      <c r="AC8">
        <v>12</v>
      </c>
      <c r="AD8">
        <v>12</v>
      </c>
      <c r="AE8">
        <v>12</v>
      </c>
      <c r="AG8">
        <v>12</v>
      </c>
      <c r="AI8">
        <v>12</v>
      </c>
      <c r="AN8">
        <v>12</v>
      </c>
      <c r="AO8">
        <v>12</v>
      </c>
      <c r="AP8">
        <v>12</v>
      </c>
      <c r="AQ8">
        <v>12</v>
      </c>
      <c r="AR8">
        <v>12</v>
      </c>
      <c r="AZ8">
        <v>13</v>
      </c>
      <c r="BA8">
        <v>13</v>
      </c>
      <c r="BB8">
        <v>13</v>
      </c>
      <c r="BC8">
        <v>13</v>
      </c>
      <c r="BD8">
        <v>13</v>
      </c>
      <c r="BG8">
        <v>12</v>
      </c>
      <c r="BM8">
        <v>12</v>
      </c>
      <c r="BN8">
        <v>12</v>
      </c>
      <c r="BO8">
        <v>13</v>
      </c>
      <c r="BP8">
        <v>13</v>
      </c>
      <c r="BQ8">
        <v>12</v>
      </c>
      <c r="BR8">
        <v>12</v>
      </c>
      <c r="BS8">
        <v>12</v>
      </c>
      <c r="BX8">
        <v>12</v>
      </c>
      <c r="BZ8">
        <v>12</v>
      </c>
      <c r="CA8">
        <v>13</v>
      </c>
      <c r="CB8">
        <v>11</v>
      </c>
      <c r="CC8">
        <v>11</v>
      </c>
      <c r="CE8">
        <v>13</v>
      </c>
      <c r="CP8">
        <v>13</v>
      </c>
      <c r="CQ8">
        <v>12</v>
      </c>
      <c r="CR8">
        <v>12</v>
      </c>
      <c r="CS8">
        <v>12</v>
      </c>
      <c r="CT8">
        <v>12</v>
      </c>
      <c r="CV8">
        <v>11</v>
      </c>
      <c r="CW8">
        <v>11</v>
      </c>
      <c r="CX8">
        <v>12</v>
      </c>
      <c r="CY8">
        <v>12</v>
      </c>
      <c r="DF8">
        <v>13</v>
      </c>
      <c r="DH8">
        <v>12</v>
      </c>
      <c r="DI8">
        <v>12</v>
      </c>
      <c r="DJ8">
        <v>12</v>
      </c>
      <c r="DQ8">
        <v>11</v>
      </c>
      <c r="DR8">
        <v>11</v>
      </c>
      <c r="DS8">
        <v>11</v>
      </c>
      <c r="DT8">
        <v>11</v>
      </c>
      <c r="DU8">
        <v>11</v>
      </c>
      <c r="DX8">
        <v>13</v>
      </c>
      <c r="DY8">
        <v>12</v>
      </c>
      <c r="DZ8">
        <v>11</v>
      </c>
      <c r="EA8">
        <v>11</v>
      </c>
      <c r="EB8">
        <v>11</v>
      </c>
      <c r="EC8">
        <v>11</v>
      </c>
      <c r="ED8">
        <v>11</v>
      </c>
      <c r="EE8">
        <v>11</v>
      </c>
      <c r="EF8">
        <v>11</v>
      </c>
      <c r="EH8">
        <v>11</v>
      </c>
      <c r="EJ8">
        <v>12</v>
      </c>
      <c r="EK8">
        <v>12</v>
      </c>
      <c r="ET8">
        <v>12</v>
      </c>
      <c r="EU8">
        <v>12</v>
      </c>
      <c r="FD8">
        <v>12</v>
      </c>
      <c r="FE8">
        <v>12</v>
      </c>
      <c r="FF8">
        <v>12</v>
      </c>
      <c r="FI8">
        <v>13</v>
      </c>
      <c r="FJ8">
        <v>13</v>
      </c>
      <c r="FO8">
        <v>11</v>
      </c>
      <c r="FP8">
        <v>11</v>
      </c>
      <c r="FX8">
        <v>12</v>
      </c>
      <c r="FY8">
        <v>12</v>
      </c>
    </row>
    <row r="9" spans="1:190" x14ac:dyDescent="0.2">
      <c r="A9" t="s">
        <v>76</v>
      </c>
      <c r="G9">
        <v>12</v>
      </c>
      <c r="L9">
        <v>13</v>
      </c>
      <c r="M9">
        <v>13</v>
      </c>
      <c r="N9">
        <v>13</v>
      </c>
      <c r="U9">
        <v>13</v>
      </c>
      <c r="V9">
        <v>13</v>
      </c>
      <c r="W9">
        <v>13</v>
      </c>
      <c r="X9">
        <v>13</v>
      </c>
      <c r="AO9">
        <v>13</v>
      </c>
      <c r="AP9">
        <v>13</v>
      </c>
      <c r="AQ9">
        <v>13</v>
      </c>
      <c r="AR9">
        <v>13</v>
      </c>
      <c r="AY9">
        <v>12</v>
      </c>
      <c r="AZ9">
        <v>12</v>
      </c>
      <c r="BA9">
        <v>12</v>
      </c>
      <c r="BB9">
        <v>12</v>
      </c>
      <c r="BC9">
        <v>12</v>
      </c>
      <c r="BD9">
        <v>12</v>
      </c>
      <c r="BG9">
        <v>12</v>
      </c>
      <c r="BH9">
        <v>12</v>
      </c>
      <c r="BI9">
        <v>12</v>
      </c>
      <c r="BM9">
        <v>12</v>
      </c>
      <c r="BN9">
        <v>12</v>
      </c>
      <c r="BO9">
        <v>12</v>
      </c>
      <c r="BP9">
        <v>12</v>
      </c>
      <c r="BQ9">
        <v>11</v>
      </c>
      <c r="BR9">
        <v>11</v>
      </c>
      <c r="BS9">
        <v>11</v>
      </c>
      <c r="BT9">
        <v>12</v>
      </c>
      <c r="BU9">
        <v>12</v>
      </c>
      <c r="BV9">
        <v>12</v>
      </c>
      <c r="BW9">
        <v>12</v>
      </c>
      <c r="BX9">
        <v>12</v>
      </c>
      <c r="BY9">
        <v>12</v>
      </c>
      <c r="BZ9">
        <v>12</v>
      </c>
      <c r="CA9">
        <v>12</v>
      </c>
      <c r="CF9">
        <v>12</v>
      </c>
      <c r="CG9">
        <v>12</v>
      </c>
      <c r="CH9">
        <v>12</v>
      </c>
      <c r="CI9">
        <v>12</v>
      </c>
      <c r="CK9">
        <v>11</v>
      </c>
      <c r="CL9">
        <v>12</v>
      </c>
      <c r="CM9">
        <v>12</v>
      </c>
      <c r="CQ9">
        <v>12</v>
      </c>
      <c r="CR9">
        <v>12</v>
      </c>
      <c r="CS9">
        <v>12</v>
      </c>
      <c r="CT9">
        <v>12</v>
      </c>
      <c r="CV9">
        <v>11</v>
      </c>
      <c r="CW9">
        <v>11</v>
      </c>
      <c r="DA9">
        <v>12</v>
      </c>
      <c r="DB9">
        <v>12</v>
      </c>
      <c r="DC9">
        <v>12</v>
      </c>
      <c r="DD9">
        <v>12</v>
      </c>
      <c r="DG9">
        <v>13</v>
      </c>
      <c r="DH9">
        <v>13</v>
      </c>
      <c r="DI9">
        <v>13</v>
      </c>
      <c r="DJ9">
        <v>13</v>
      </c>
      <c r="DK9">
        <v>13</v>
      </c>
      <c r="DL9">
        <v>11</v>
      </c>
      <c r="DM9">
        <v>11</v>
      </c>
      <c r="DN9">
        <v>11</v>
      </c>
      <c r="DO9">
        <v>11</v>
      </c>
      <c r="DP9">
        <v>12</v>
      </c>
      <c r="DQ9">
        <v>13</v>
      </c>
      <c r="DR9">
        <v>13</v>
      </c>
      <c r="DS9">
        <v>13</v>
      </c>
      <c r="DT9">
        <v>13</v>
      </c>
      <c r="DU9">
        <v>13</v>
      </c>
      <c r="DX9">
        <v>12</v>
      </c>
      <c r="DY9">
        <v>11</v>
      </c>
      <c r="DZ9">
        <v>13</v>
      </c>
      <c r="EA9">
        <v>13</v>
      </c>
      <c r="EB9">
        <v>13</v>
      </c>
      <c r="EC9">
        <v>13</v>
      </c>
      <c r="ED9">
        <v>13</v>
      </c>
      <c r="EE9">
        <v>13</v>
      </c>
      <c r="EF9">
        <v>13</v>
      </c>
      <c r="EI9">
        <v>12</v>
      </c>
      <c r="EP9">
        <v>13</v>
      </c>
      <c r="EQ9">
        <v>12</v>
      </c>
      <c r="ET9">
        <v>13</v>
      </c>
      <c r="EU9">
        <v>13</v>
      </c>
      <c r="FD9">
        <v>15</v>
      </c>
      <c r="FE9">
        <v>15</v>
      </c>
      <c r="FF9">
        <v>15</v>
      </c>
      <c r="FH9">
        <v>12</v>
      </c>
      <c r="FK9">
        <v>12</v>
      </c>
      <c r="FL9">
        <v>12</v>
      </c>
    </row>
    <row r="10" spans="1:190" x14ac:dyDescent="0.2">
      <c r="A10" t="s">
        <v>77</v>
      </c>
      <c r="C10">
        <v>11</v>
      </c>
      <c r="D10">
        <v>11</v>
      </c>
      <c r="E10">
        <v>11</v>
      </c>
      <c r="F10">
        <v>11</v>
      </c>
      <c r="G10">
        <v>12</v>
      </c>
      <c r="H10">
        <v>11</v>
      </c>
      <c r="I10">
        <v>11</v>
      </c>
      <c r="J10">
        <v>11</v>
      </c>
      <c r="K10">
        <v>11</v>
      </c>
      <c r="L10">
        <v>11</v>
      </c>
      <c r="M10">
        <v>12</v>
      </c>
      <c r="N10">
        <v>11</v>
      </c>
      <c r="O10">
        <v>11</v>
      </c>
      <c r="P10">
        <v>12</v>
      </c>
      <c r="Q10">
        <v>11</v>
      </c>
      <c r="R10">
        <v>12</v>
      </c>
      <c r="S10">
        <v>11</v>
      </c>
      <c r="T10">
        <v>11</v>
      </c>
      <c r="U10">
        <v>11</v>
      </c>
      <c r="V10">
        <v>12</v>
      </c>
      <c r="W10">
        <v>11</v>
      </c>
      <c r="X10">
        <v>11</v>
      </c>
      <c r="Y10">
        <v>11</v>
      </c>
      <c r="Z10">
        <v>12</v>
      </c>
      <c r="AA10">
        <v>11</v>
      </c>
      <c r="AB10">
        <v>11</v>
      </c>
      <c r="AC10">
        <v>12</v>
      </c>
      <c r="AD10">
        <v>11</v>
      </c>
      <c r="AE10">
        <v>11</v>
      </c>
      <c r="AG10">
        <v>11</v>
      </c>
      <c r="AI10">
        <v>12</v>
      </c>
      <c r="AN10">
        <v>12</v>
      </c>
      <c r="AO10">
        <v>12</v>
      </c>
      <c r="AP10">
        <v>12</v>
      </c>
      <c r="AQ10">
        <v>12</v>
      </c>
      <c r="AR10">
        <v>12</v>
      </c>
      <c r="AZ10">
        <v>12</v>
      </c>
      <c r="BA10">
        <v>12</v>
      </c>
      <c r="BB10">
        <v>12</v>
      </c>
      <c r="BC10">
        <v>12</v>
      </c>
      <c r="BD10">
        <v>11</v>
      </c>
      <c r="BG10">
        <v>13</v>
      </c>
      <c r="BJ10">
        <v>11</v>
      </c>
      <c r="BK10">
        <v>11</v>
      </c>
      <c r="BL10">
        <v>11</v>
      </c>
      <c r="BM10">
        <v>12</v>
      </c>
      <c r="BN10">
        <v>11</v>
      </c>
      <c r="BO10">
        <v>12</v>
      </c>
      <c r="BP10">
        <v>12</v>
      </c>
      <c r="BQ10">
        <v>12</v>
      </c>
      <c r="BR10">
        <v>12</v>
      </c>
      <c r="BS10">
        <v>12</v>
      </c>
      <c r="BT10">
        <v>12</v>
      </c>
      <c r="BU10">
        <v>13</v>
      </c>
      <c r="BV10">
        <v>12</v>
      </c>
      <c r="BW10">
        <v>12</v>
      </c>
      <c r="BX10">
        <v>12</v>
      </c>
      <c r="BY10">
        <v>12</v>
      </c>
      <c r="BZ10">
        <v>12</v>
      </c>
      <c r="CA10">
        <v>12</v>
      </c>
      <c r="CB10">
        <v>13</v>
      </c>
      <c r="CC10">
        <v>13</v>
      </c>
      <c r="CE10">
        <v>13</v>
      </c>
      <c r="CF10">
        <v>13</v>
      </c>
      <c r="CG10">
        <v>13</v>
      </c>
      <c r="CH10">
        <v>13</v>
      </c>
      <c r="CI10">
        <v>13</v>
      </c>
      <c r="CJ10">
        <v>12</v>
      </c>
      <c r="CK10">
        <v>12</v>
      </c>
      <c r="CL10">
        <v>13</v>
      </c>
      <c r="CM10">
        <v>13</v>
      </c>
      <c r="CN10">
        <v>11</v>
      </c>
      <c r="CO10">
        <v>11</v>
      </c>
      <c r="CP10">
        <v>11</v>
      </c>
      <c r="CV10">
        <v>12</v>
      </c>
      <c r="CW10">
        <v>13</v>
      </c>
      <c r="CX10">
        <v>13</v>
      </c>
      <c r="CY10">
        <v>13</v>
      </c>
      <c r="DA10">
        <v>13</v>
      </c>
      <c r="DB10">
        <v>13</v>
      </c>
      <c r="DC10">
        <v>13</v>
      </c>
      <c r="DD10">
        <v>13</v>
      </c>
      <c r="DF10">
        <v>13</v>
      </c>
      <c r="DG10">
        <v>12</v>
      </c>
      <c r="DH10">
        <v>12</v>
      </c>
      <c r="DI10">
        <v>12</v>
      </c>
      <c r="DJ10">
        <v>12</v>
      </c>
      <c r="DK10">
        <v>12</v>
      </c>
      <c r="DL10">
        <v>12</v>
      </c>
      <c r="DM10">
        <v>12</v>
      </c>
      <c r="DN10">
        <v>12</v>
      </c>
      <c r="DO10">
        <v>12</v>
      </c>
      <c r="DP10">
        <v>12</v>
      </c>
      <c r="DQ10">
        <v>12</v>
      </c>
      <c r="DR10">
        <v>12</v>
      </c>
      <c r="DS10">
        <v>12</v>
      </c>
      <c r="DT10">
        <v>12</v>
      </c>
      <c r="DU10">
        <v>12</v>
      </c>
      <c r="DV10">
        <v>11</v>
      </c>
      <c r="DW10">
        <v>11</v>
      </c>
      <c r="DY10">
        <v>11</v>
      </c>
      <c r="DZ10">
        <v>11</v>
      </c>
      <c r="EA10">
        <v>11</v>
      </c>
      <c r="EB10">
        <v>11</v>
      </c>
      <c r="EC10">
        <v>11</v>
      </c>
      <c r="ED10">
        <v>11</v>
      </c>
      <c r="EE10">
        <v>11</v>
      </c>
      <c r="EF10">
        <v>11</v>
      </c>
      <c r="EH10">
        <v>11</v>
      </c>
      <c r="EI10">
        <v>12</v>
      </c>
      <c r="EJ10">
        <v>11</v>
      </c>
      <c r="EK10">
        <v>11</v>
      </c>
      <c r="EL10">
        <v>11</v>
      </c>
      <c r="EM10">
        <v>11</v>
      </c>
      <c r="EN10">
        <v>14</v>
      </c>
      <c r="EO10">
        <v>14</v>
      </c>
      <c r="EP10">
        <v>11</v>
      </c>
      <c r="EQ10">
        <v>14</v>
      </c>
      <c r="ER10">
        <v>11</v>
      </c>
      <c r="ET10">
        <v>12</v>
      </c>
      <c r="EU10">
        <v>12</v>
      </c>
      <c r="EV10">
        <v>11</v>
      </c>
      <c r="FD10">
        <v>14</v>
      </c>
      <c r="FE10">
        <v>14</v>
      </c>
      <c r="FF10">
        <v>14</v>
      </c>
      <c r="FG10">
        <v>11</v>
      </c>
      <c r="FH10">
        <v>11</v>
      </c>
      <c r="FI10">
        <v>11</v>
      </c>
      <c r="FJ10">
        <v>11</v>
      </c>
      <c r="FK10">
        <v>12</v>
      </c>
      <c r="FL10">
        <v>11</v>
      </c>
      <c r="FM10">
        <v>11</v>
      </c>
      <c r="FN10">
        <v>11</v>
      </c>
      <c r="FO10">
        <v>13</v>
      </c>
      <c r="FP10">
        <v>13</v>
      </c>
      <c r="FQ10">
        <v>11</v>
      </c>
      <c r="FR10">
        <v>14</v>
      </c>
      <c r="FT10">
        <v>14</v>
      </c>
      <c r="FU10">
        <v>11</v>
      </c>
      <c r="FX10">
        <v>13</v>
      </c>
      <c r="FY10">
        <v>13</v>
      </c>
    </row>
    <row r="11" spans="1:190" x14ac:dyDescent="0.2">
      <c r="A11" t="s">
        <v>750</v>
      </c>
      <c r="C11">
        <v>12</v>
      </c>
      <c r="D11">
        <v>12</v>
      </c>
      <c r="E11">
        <v>12</v>
      </c>
      <c r="F11">
        <v>12</v>
      </c>
      <c r="O11">
        <v>11</v>
      </c>
      <c r="P11">
        <v>11</v>
      </c>
      <c r="Q11">
        <v>11</v>
      </c>
      <c r="Y11">
        <v>11</v>
      </c>
      <c r="Z11">
        <v>11</v>
      </c>
      <c r="AA11">
        <v>11</v>
      </c>
      <c r="AB11">
        <v>11</v>
      </c>
      <c r="AS11">
        <v>12</v>
      </c>
      <c r="AT11">
        <v>12</v>
      </c>
      <c r="AU11">
        <v>12</v>
      </c>
      <c r="AV11">
        <v>12</v>
      </c>
      <c r="BH11">
        <v>12</v>
      </c>
      <c r="BI11">
        <v>12</v>
      </c>
      <c r="BJ11">
        <v>12</v>
      </c>
      <c r="BK11">
        <v>12</v>
      </c>
      <c r="BM11">
        <v>12</v>
      </c>
      <c r="BN11">
        <v>13</v>
      </c>
      <c r="BO11">
        <v>12</v>
      </c>
      <c r="BP11">
        <v>12</v>
      </c>
      <c r="BQ11">
        <v>13</v>
      </c>
      <c r="BR11">
        <v>13</v>
      </c>
      <c r="BS11">
        <v>13</v>
      </c>
      <c r="BT11">
        <v>12</v>
      </c>
      <c r="BU11">
        <v>12</v>
      </c>
      <c r="BV11">
        <v>14</v>
      </c>
      <c r="BW11">
        <v>12</v>
      </c>
      <c r="BX11">
        <v>12</v>
      </c>
      <c r="BY11">
        <v>12</v>
      </c>
      <c r="BZ11">
        <v>12</v>
      </c>
      <c r="CA11">
        <v>12</v>
      </c>
      <c r="CS11">
        <v>12</v>
      </c>
      <c r="CT11">
        <v>12</v>
      </c>
      <c r="CX11">
        <v>11</v>
      </c>
      <c r="CY11">
        <v>11</v>
      </c>
      <c r="DA11">
        <v>11</v>
      </c>
      <c r="DB11">
        <v>11</v>
      </c>
      <c r="DC11">
        <v>11</v>
      </c>
      <c r="DF11">
        <v>11</v>
      </c>
      <c r="DV11">
        <v>11</v>
      </c>
      <c r="DW11">
        <v>11</v>
      </c>
      <c r="DY11">
        <v>12</v>
      </c>
      <c r="EH11">
        <v>12</v>
      </c>
      <c r="EV11">
        <v>12</v>
      </c>
      <c r="FH11">
        <v>12</v>
      </c>
      <c r="FI11">
        <v>13</v>
      </c>
      <c r="FJ11">
        <v>13</v>
      </c>
      <c r="FK11">
        <v>12</v>
      </c>
      <c r="FX11">
        <v>11</v>
      </c>
      <c r="FY11">
        <v>11</v>
      </c>
    </row>
    <row r="12" spans="1:190" x14ac:dyDescent="0.2">
      <c r="A12" t="s">
        <v>751</v>
      </c>
      <c r="AJ12">
        <v>12</v>
      </c>
      <c r="AK12">
        <v>12</v>
      </c>
      <c r="AL12">
        <v>12</v>
      </c>
      <c r="AM12">
        <v>11</v>
      </c>
      <c r="AS12">
        <v>11</v>
      </c>
      <c r="AT12">
        <v>11</v>
      </c>
      <c r="AU12">
        <v>11</v>
      </c>
      <c r="AV12">
        <v>11</v>
      </c>
      <c r="AW12">
        <v>11</v>
      </c>
      <c r="AX12">
        <v>12</v>
      </c>
      <c r="AY12">
        <v>11</v>
      </c>
      <c r="BH12">
        <v>11</v>
      </c>
      <c r="BI12">
        <v>11</v>
      </c>
      <c r="BL12">
        <v>12</v>
      </c>
      <c r="BW12">
        <v>14</v>
      </c>
      <c r="CC12">
        <v>10</v>
      </c>
      <c r="CD12">
        <v>10</v>
      </c>
      <c r="CF12">
        <v>12</v>
      </c>
      <c r="CG12">
        <v>12</v>
      </c>
      <c r="CH12">
        <v>12</v>
      </c>
      <c r="CI12">
        <v>12</v>
      </c>
      <c r="CJ12">
        <v>13</v>
      </c>
      <c r="CK12">
        <v>12</v>
      </c>
      <c r="CL12">
        <v>12</v>
      </c>
      <c r="CM12">
        <v>12</v>
      </c>
      <c r="CN12">
        <v>12</v>
      </c>
      <c r="CO12">
        <v>12</v>
      </c>
      <c r="CP12">
        <v>11</v>
      </c>
      <c r="CU12">
        <v>12</v>
      </c>
      <c r="CV12">
        <v>12</v>
      </c>
      <c r="CW12">
        <v>12</v>
      </c>
      <c r="CZ12">
        <v>12</v>
      </c>
      <c r="DA12">
        <v>12</v>
      </c>
      <c r="DB12">
        <v>12</v>
      </c>
      <c r="DC12">
        <v>11</v>
      </c>
      <c r="EV12">
        <v>11</v>
      </c>
      <c r="FG12">
        <v>12</v>
      </c>
      <c r="FH12">
        <v>11</v>
      </c>
      <c r="FP12">
        <v>10</v>
      </c>
      <c r="FQ12">
        <v>14</v>
      </c>
      <c r="FU12">
        <v>12</v>
      </c>
    </row>
    <row r="13" spans="1:190" x14ac:dyDescent="0.2">
      <c r="A13" t="s">
        <v>5030</v>
      </c>
      <c r="G13">
        <v>11</v>
      </c>
      <c r="AF13">
        <v>13</v>
      </c>
      <c r="AG13">
        <v>13</v>
      </c>
      <c r="AH13">
        <v>13</v>
      </c>
      <c r="AJ13">
        <v>13</v>
      </c>
      <c r="AK13">
        <v>13</v>
      </c>
      <c r="AL13">
        <v>13</v>
      </c>
      <c r="AM13">
        <v>11</v>
      </c>
      <c r="AS13">
        <v>12</v>
      </c>
      <c r="AT13">
        <v>12</v>
      </c>
      <c r="AU13">
        <v>12</v>
      </c>
      <c r="AV13">
        <v>12</v>
      </c>
      <c r="AW13">
        <v>13</v>
      </c>
      <c r="AX13">
        <v>13</v>
      </c>
      <c r="AY13">
        <v>13</v>
      </c>
      <c r="BD13">
        <v>11</v>
      </c>
      <c r="BH13">
        <v>12</v>
      </c>
      <c r="BI13">
        <v>12</v>
      </c>
      <c r="BL13">
        <v>14</v>
      </c>
      <c r="BQ13">
        <v>11</v>
      </c>
      <c r="BR13">
        <v>11</v>
      </c>
      <c r="BS13">
        <v>12</v>
      </c>
      <c r="CC13">
        <v>12</v>
      </c>
      <c r="CD13">
        <v>12</v>
      </c>
      <c r="CJ13">
        <v>13</v>
      </c>
      <c r="CK13">
        <v>12</v>
      </c>
      <c r="CN13">
        <v>12</v>
      </c>
      <c r="CO13">
        <v>13</v>
      </c>
      <c r="CP13">
        <v>12</v>
      </c>
      <c r="CU13">
        <v>12</v>
      </c>
      <c r="CZ13">
        <v>13</v>
      </c>
      <c r="DD13">
        <v>11</v>
      </c>
      <c r="DL13">
        <v>13</v>
      </c>
      <c r="DM13">
        <v>13</v>
      </c>
      <c r="DN13">
        <v>13</v>
      </c>
      <c r="DO13">
        <v>13</v>
      </c>
      <c r="DP13">
        <v>12</v>
      </c>
      <c r="DQ13">
        <v>12</v>
      </c>
      <c r="DR13">
        <v>12</v>
      </c>
      <c r="DS13">
        <v>12</v>
      </c>
      <c r="DT13">
        <v>12</v>
      </c>
      <c r="DU13">
        <v>12</v>
      </c>
      <c r="DX13">
        <v>12</v>
      </c>
      <c r="EI13">
        <v>11</v>
      </c>
      <c r="EL13">
        <v>13</v>
      </c>
      <c r="EM13">
        <v>13</v>
      </c>
      <c r="ER13">
        <v>13</v>
      </c>
      <c r="EV13">
        <v>12</v>
      </c>
      <c r="FG13">
        <v>14</v>
      </c>
      <c r="FH13">
        <v>12</v>
      </c>
      <c r="FI13">
        <v>13</v>
      </c>
      <c r="FJ13">
        <v>13</v>
      </c>
      <c r="FP13">
        <v>12</v>
      </c>
      <c r="FQ13">
        <v>12</v>
      </c>
      <c r="FU13">
        <v>12</v>
      </c>
    </row>
    <row r="14" spans="1:190" x14ac:dyDescent="0.2">
      <c r="A14" t="s">
        <v>752</v>
      </c>
      <c r="C14">
        <v>13</v>
      </c>
      <c r="D14">
        <v>13</v>
      </c>
      <c r="E14">
        <v>13</v>
      </c>
      <c r="F14">
        <v>13</v>
      </c>
      <c r="AF14">
        <v>12</v>
      </c>
      <c r="AG14">
        <v>12</v>
      </c>
      <c r="AH14">
        <v>13</v>
      </c>
      <c r="AJ14">
        <v>12</v>
      </c>
      <c r="AK14">
        <v>12</v>
      </c>
      <c r="AL14">
        <v>12</v>
      </c>
      <c r="AM14">
        <v>12</v>
      </c>
      <c r="AS14">
        <v>11</v>
      </c>
      <c r="AT14">
        <v>11</v>
      </c>
      <c r="AU14">
        <v>11</v>
      </c>
      <c r="AV14">
        <v>11</v>
      </c>
      <c r="AW14">
        <v>13</v>
      </c>
      <c r="AX14">
        <v>13</v>
      </c>
      <c r="AY14">
        <v>12</v>
      </c>
      <c r="BH14">
        <v>10</v>
      </c>
      <c r="BI14">
        <v>10</v>
      </c>
      <c r="BJ14">
        <v>12</v>
      </c>
      <c r="BK14">
        <v>12</v>
      </c>
      <c r="BL14">
        <v>12</v>
      </c>
      <c r="CC14">
        <v>12</v>
      </c>
      <c r="CD14">
        <v>12</v>
      </c>
      <c r="CJ14">
        <v>11</v>
      </c>
      <c r="CK14">
        <v>11</v>
      </c>
      <c r="CN14">
        <v>12</v>
      </c>
      <c r="CO14">
        <v>11</v>
      </c>
      <c r="CP14">
        <v>12</v>
      </c>
      <c r="CU14">
        <v>13</v>
      </c>
      <c r="CV14">
        <v>12</v>
      </c>
      <c r="CW14">
        <v>13</v>
      </c>
      <c r="CX14">
        <v>11</v>
      </c>
      <c r="CY14">
        <v>11</v>
      </c>
      <c r="CZ14">
        <v>12</v>
      </c>
      <c r="DV14">
        <v>13</v>
      </c>
      <c r="DW14">
        <v>13</v>
      </c>
      <c r="EH14">
        <v>13</v>
      </c>
      <c r="EL14">
        <v>12</v>
      </c>
      <c r="EM14">
        <v>12</v>
      </c>
      <c r="ER14">
        <v>13</v>
      </c>
      <c r="EV14">
        <v>11</v>
      </c>
      <c r="FG14">
        <v>12</v>
      </c>
      <c r="FH14">
        <v>10</v>
      </c>
      <c r="FP14">
        <v>12</v>
      </c>
      <c r="FQ14">
        <v>14</v>
      </c>
      <c r="FU14">
        <v>12</v>
      </c>
      <c r="FX14">
        <v>11</v>
      </c>
      <c r="FY14">
        <v>11</v>
      </c>
    </row>
    <row r="15" spans="1:190" x14ac:dyDescent="0.2">
      <c r="A15" t="s">
        <v>1900</v>
      </c>
      <c r="C15">
        <v>6</v>
      </c>
      <c r="D15">
        <v>6</v>
      </c>
      <c r="E15">
        <v>6</v>
      </c>
      <c r="F15">
        <v>6</v>
      </c>
      <c r="G15">
        <v>5</v>
      </c>
      <c r="H15">
        <v>5</v>
      </c>
      <c r="I15">
        <v>7</v>
      </c>
      <c r="J15">
        <v>5</v>
      </c>
      <c r="K15">
        <v>7</v>
      </c>
      <c r="L15">
        <v>7</v>
      </c>
      <c r="M15">
        <v>7</v>
      </c>
      <c r="N15">
        <v>7</v>
      </c>
      <c r="O15">
        <v>7</v>
      </c>
      <c r="P15">
        <v>7</v>
      </c>
      <c r="Q15">
        <v>7</v>
      </c>
      <c r="R15">
        <v>7</v>
      </c>
      <c r="S15">
        <v>7</v>
      </c>
      <c r="T15">
        <v>5</v>
      </c>
      <c r="U15">
        <v>5</v>
      </c>
      <c r="V15">
        <v>5</v>
      </c>
      <c r="W15">
        <v>5</v>
      </c>
      <c r="X15">
        <v>5</v>
      </c>
      <c r="Y15">
        <v>5</v>
      </c>
      <c r="Z15">
        <v>5</v>
      </c>
      <c r="AA15">
        <v>5</v>
      </c>
      <c r="AB15">
        <v>5</v>
      </c>
      <c r="AC15">
        <v>5</v>
      </c>
      <c r="AD15">
        <v>5</v>
      </c>
      <c r="AE15">
        <v>5</v>
      </c>
      <c r="AF15">
        <v>5</v>
      </c>
      <c r="AG15">
        <v>7</v>
      </c>
      <c r="AH15">
        <v>5</v>
      </c>
      <c r="AI15">
        <v>5</v>
      </c>
      <c r="AJ15">
        <v>7</v>
      </c>
      <c r="AK15">
        <v>7</v>
      </c>
      <c r="AL15">
        <v>7</v>
      </c>
      <c r="AM15">
        <v>5</v>
      </c>
      <c r="AN15">
        <v>7</v>
      </c>
      <c r="AO15">
        <v>7</v>
      </c>
      <c r="AP15">
        <v>7</v>
      </c>
      <c r="AQ15">
        <v>7</v>
      </c>
      <c r="AR15">
        <v>7</v>
      </c>
      <c r="AS15">
        <v>6</v>
      </c>
      <c r="AT15">
        <v>6</v>
      </c>
      <c r="AU15">
        <v>6</v>
      </c>
      <c r="AV15">
        <v>6</v>
      </c>
      <c r="AW15">
        <v>6</v>
      </c>
      <c r="AX15">
        <v>6</v>
      </c>
      <c r="AY15">
        <v>6</v>
      </c>
      <c r="AZ15">
        <v>8</v>
      </c>
      <c r="BA15">
        <v>8</v>
      </c>
      <c r="BB15">
        <v>8</v>
      </c>
      <c r="BC15">
        <v>8</v>
      </c>
      <c r="BD15">
        <v>8</v>
      </c>
      <c r="BG15">
        <v>4</v>
      </c>
      <c r="BH15">
        <v>6</v>
      </c>
      <c r="BI15">
        <v>6</v>
      </c>
      <c r="BJ15">
        <v>7</v>
      </c>
      <c r="BK15">
        <v>7</v>
      </c>
      <c r="BM15">
        <v>5</v>
      </c>
      <c r="BN15">
        <v>5</v>
      </c>
      <c r="BO15">
        <v>5</v>
      </c>
      <c r="BP15">
        <v>5</v>
      </c>
      <c r="BQ15">
        <v>7</v>
      </c>
      <c r="BR15">
        <v>7</v>
      </c>
      <c r="BS15">
        <v>7</v>
      </c>
      <c r="BT15">
        <v>5</v>
      </c>
      <c r="BU15">
        <v>5</v>
      </c>
      <c r="BV15">
        <v>5</v>
      </c>
      <c r="BW15">
        <v>5</v>
      </c>
      <c r="BX15">
        <v>7</v>
      </c>
      <c r="BY15">
        <v>5</v>
      </c>
      <c r="BZ15">
        <v>5</v>
      </c>
      <c r="CA15">
        <v>5</v>
      </c>
      <c r="CB15">
        <v>8</v>
      </c>
      <c r="CC15">
        <v>7</v>
      </c>
      <c r="CD15">
        <v>5</v>
      </c>
      <c r="CE15">
        <v>8</v>
      </c>
      <c r="CF15">
        <v>7</v>
      </c>
      <c r="CG15">
        <v>7</v>
      </c>
      <c r="CH15">
        <v>7</v>
      </c>
      <c r="CI15">
        <v>7</v>
      </c>
      <c r="CJ15">
        <v>6</v>
      </c>
      <c r="CK15">
        <v>7</v>
      </c>
      <c r="CL15">
        <v>8</v>
      </c>
      <c r="CM15">
        <v>8</v>
      </c>
      <c r="CN15">
        <v>7</v>
      </c>
      <c r="CO15">
        <v>7</v>
      </c>
      <c r="CP15">
        <v>7</v>
      </c>
      <c r="CQ15">
        <v>6</v>
      </c>
      <c r="CR15">
        <v>6</v>
      </c>
      <c r="CS15">
        <v>6</v>
      </c>
      <c r="CT15">
        <v>6</v>
      </c>
      <c r="CU15">
        <v>6</v>
      </c>
      <c r="CV15">
        <v>7</v>
      </c>
      <c r="CW15">
        <v>7</v>
      </c>
      <c r="CX15">
        <v>7</v>
      </c>
      <c r="CY15">
        <v>6</v>
      </c>
      <c r="CZ15">
        <v>7</v>
      </c>
      <c r="DA15">
        <v>6</v>
      </c>
      <c r="DB15">
        <v>6</v>
      </c>
      <c r="DC15">
        <v>6</v>
      </c>
      <c r="DD15">
        <v>4</v>
      </c>
      <c r="DF15">
        <v>3</v>
      </c>
      <c r="DG15">
        <v>5</v>
      </c>
      <c r="DI15">
        <v>3</v>
      </c>
      <c r="DJ15">
        <v>4</v>
      </c>
      <c r="DK15">
        <v>5</v>
      </c>
      <c r="DL15">
        <v>4</v>
      </c>
      <c r="DM15">
        <v>4</v>
      </c>
      <c r="DN15">
        <v>4</v>
      </c>
      <c r="DO15">
        <v>4</v>
      </c>
      <c r="DP15">
        <v>3</v>
      </c>
      <c r="DQ15">
        <v>3</v>
      </c>
      <c r="DR15">
        <v>3</v>
      </c>
      <c r="DS15">
        <v>3</v>
      </c>
      <c r="DT15">
        <v>3</v>
      </c>
      <c r="DU15">
        <v>3</v>
      </c>
      <c r="DV15">
        <v>4</v>
      </c>
      <c r="DW15">
        <v>4</v>
      </c>
      <c r="DX15">
        <v>4</v>
      </c>
      <c r="DY15">
        <v>3</v>
      </c>
      <c r="DZ15">
        <v>3</v>
      </c>
      <c r="EA15">
        <v>3</v>
      </c>
      <c r="EB15">
        <v>3</v>
      </c>
      <c r="EC15">
        <v>5</v>
      </c>
      <c r="ED15">
        <v>3</v>
      </c>
      <c r="EE15">
        <v>3</v>
      </c>
      <c r="EF15">
        <v>3</v>
      </c>
      <c r="EH15">
        <v>5</v>
      </c>
      <c r="EI15">
        <v>6</v>
      </c>
      <c r="ER15">
        <v>6</v>
      </c>
      <c r="ET15">
        <v>5</v>
      </c>
      <c r="EU15">
        <v>5</v>
      </c>
      <c r="FG15">
        <v>5</v>
      </c>
      <c r="FH15">
        <v>5</v>
      </c>
      <c r="FI15">
        <v>5</v>
      </c>
      <c r="FJ15">
        <v>5</v>
      </c>
      <c r="FK15">
        <v>5</v>
      </c>
      <c r="FL15">
        <v>5</v>
      </c>
      <c r="FM15">
        <v>5</v>
      </c>
      <c r="FN15">
        <v>5</v>
      </c>
      <c r="FO15">
        <v>7</v>
      </c>
      <c r="FP15">
        <v>7</v>
      </c>
      <c r="FQ15">
        <v>5</v>
      </c>
      <c r="FR15">
        <v>12</v>
      </c>
      <c r="FS15">
        <v>5</v>
      </c>
      <c r="FT15">
        <v>7</v>
      </c>
      <c r="FU15">
        <v>5</v>
      </c>
      <c r="FV15">
        <v>5</v>
      </c>
      <c r="FW15">
        <v>5</v>
      </c>
      <c r="FX15">
        <v>5</v>
      </c>
      <c r="FY15">
        <v>4</v>
      </c>
      <c r="FZ15">
        <v>5</v>
      </c>
      <c r="GA15">
        <v>5</v>
      </c>
    </row>
    <row r="16" spans="1:190" x14ac:dyDescent="0.2">
      <c r="A16" t="s">
        <v>1901</v>
      </c>
      <c r="C16">
        <v>13</v>
      </c>
      <c r="D16">
        <v>13</v>
      </c>
      <c r="E16">
        <v>13</v>
      </c>
      <c r="F16">
        <v>13</v>
      </c>
      <c r="G16">
        <v>12</v>
      </c>
      <c r="H16">
        <v>12</v>
      </c>
      <c r="I16">
        <v>13</v>
      </c>
      <c r="J16">
        <v>12</v>
      </c>
      <c r="K16">
        <v>13</v>
      </c>
      <c r="L16">
        <v>13</v>
      </c>
      <c r="M16">
        <v>13</v>
      </c>
      <c r="N16">
        <v>13</v>
      </c>
      <c r="O16">
        <v>13</v>
      </c>
      <c r="P16">
        <v>13</v>
      </c>
      <c r="Q16">
        <v>13</v>
      </c>
      <c r="R16">
        <v>13</v>
      </c>
      <c r="S16">
        <v>13</v>
      </c>
      <c r="T16">
        <v>12</v>
      </c>
      <c r="U16">
        <v>12</v>
      </c>
      <c r="V16">
        <v>12</v>
      </c>
      <c r="W16">
        <v>12</v>
      </c>
      <c r="X16">
        <v>12</v>
      </c>
      <c r="Y16">
        <v>12</v>
      </c>
      <c r="Z16">
        <v>12</v>
      </c>
      <c r="AA16">
        <v>12</v>
      </c>
      <c r="AB16">
        <v>12</v>
      </c>
      <c r="AC16">
        <v>12</v>
      </c>
      <c r="AD16">
        <v>12</v>
      </c>
      <c r="AE16">
        <v>12</v>
      </c>
      <c r="AF16">
        <v>11</v>
      </c>
      <c r="AG16">
        <v>13</v>
      </c>
      <c r="AH16">
        <v>11</v>
      </c>
      <c r="AI16">
        <v>12</v>
      </c>
      <c r="AJ16">
        <v>12</v>
      </c>
      <c r="AK16">
        <v>12</v>
      </c>
      <c r="AL16">
        <v>12</v>
      </c>
      <c r="AM16">
        <v>10</v>
      </c>
      <c r="AN16">
        <v>12</v>
      </c>
      <c r="AO16">
        <v>12</v>
      </c>
      <c r="AP16">
        <v>12</v>
      </c>
      <c r="AQ16">
        <v>12</v>
      </c>
      <c r="AR16">
        <v>12</v>
      </c>
      <c r="AS16">
        <v>11</v>
      </c>
      <c r="AT16">
        <v>11</v>
      </c>
      <c r="AU16">
        <v>11</v>
      </c>
      <c r="AV16">
        <v>11</v>
      </c>
      <c r="AW16">
        <v>10</v>
      </c>
      <c r="AX16">
        <v>10</v>
      </c>
      <c r="AY16">
        <v>10</v>
      </c>
      <c r="AZ16">
        <v>13</v>
      </c>
      <c r="BA16">
        <v>13</v>
      </c>
      <c r="BB16">
        <v>13</v>
      </c>
      <c r="BC16">
        <v>13</v>
      </c>
      <c r="BD16">
        <v>13</v>
      </c>
      <c r="BE16">
        <v>12</v>
      </c>
      <c r="BG16">
        <v>5</v>
      </c>
      <c r="BH16">
        <v>13</v>
      </c>
      <c r="BI16">
        <v>13</v>
      </c>
      <c r="BJ16">
        <v>13</v>
      </c>
      <c r="BK16">
        <v>13</v>
      </c>
      <c r="BM16">
        <v>12</v>
      </c>
      <c r="BN16">
        <v>12</v>
      </c>
      <c r="BO16">
        <v>12</v>
      </c>
      <c r="BP16">
        <v>12</v>
      </c>
      <c r="BQ16">
        <v>11</v>
      </c>
      <c r="BR16">
        <v>11</v>
      </c>
      <c r="BS16">
        <v>11</v>
      </c>
      <c r="BT16">
        <v>12</v>
      </c>
      <c r="BU16">
        <v>12</v>
      </c>
      <c r="BV16">
        <v>7</v>
      </c>
      <c r="BW16">
        <v>12</v>
      </c>
      <c r="BX16">
        <v>12</v>
      </c>
      <c r="BY16">
        <v>12</v>
      </c>
      <c r="BZ16">
        <v>12</v>
      </c>
      <c r="CA16">
        <v>10</v>
      </c>
      <c r="CB16">
        <v>13</v>
      </c>
      <c r="CC16">
        <v>12</v>
      </c>
      <c r="CD16">
        <v>12</v>
      </c>
      <c r="CE16">
        <v>13</v>
      </c>
      <c r="CF16">
        <v>13</v>
      </c>
      <c r="CG16">
        <v>13</v>
      </c>
      <c r="CH16">
        <v>13</v>
      </c>
      <c r="CI16">
        <v>13</v>
      </c>
      <c r="CJ16">
        <v>11</v>
      </c>
      <c r="CK16">
        <v>11</v>
      </c>
      <c r="CL16">
        <v>13</v>
      </c>
      <c r="CM16">
        <v>13</v>
      </c>
      <c r="CN16">
        <v>13</v>
      </c>
      <c r="CO16">
        <v>12</v>
      </c>
      <c r="CP16">
        <v>12</v>
      </c>
      <c r="CQ16">
        <v>12</v>
      </c>
      <c r="CR16">
        <v>12</v>
      </c>
      <c r="CS16">
        <v>11</v>
      </c>
      <c r="CT16">
        <v>11</v>
      </c>
      <c r="CU16">
        <v>10</v>
      </c>
      <c r="CV16">
        <v>12</v>
      </c>
      <c r="CW16">
        <v>12</v>
      </c>
      <c r="CX16">
        <v>12</v>
      </c>
      <c r="CY16">
        <v>11</v>
      </c>
      <c r="CZ16">
        <v>12</v>
      </c>
      <c r="DA16">
        <v>11</v>
      </c>
      <c r="DB16">
        <v>11</v>
      </c>
      <c r="DC16">
        <v>11</v>
      </c>
      <c r="DD16">
        <v>5</v>
      </c>
      <c r="DF16">
        <v>4</v>
      </c>
      <c r="DG16">
        <v>6</v>
      </c>
      <c r="DI16">
        <v>3</v>
      </c>
      <c r="DJ16">
        <v>5</v>
      </c>
      <c r="DK16">
        <v>8</v>
      </c>
      <c r="DL16">
        <v>5</v>
      </c>
      <c r="DM16">
        <v>5</v>
      </c>
      <c r="DN16">
        <v>5</v>
      </c>
      <c r="DO16">
        <v>5</v>
      </c>
      <c r="DP16">
        <v>4</v>
      </c>
      <c r="DQ16">
        <v>4</v>
      </c>
      <c r="DR16">
        <v>4</v>
      </c>
      <c r="DS16">
        <v>4</v>
      </c>
      <c r="DT16">
        <v>4</v>
      </c>
      <c r="DU16">
        <v>4</v>
      </c>
      <c r="DV16">
        <v>5</v>
      </c>
      <c r="DW16">
        <v>5</v>
      </c>
      <c r="DX16">
        <v>5</v>
      </c>
      <c r="DY16">
        <v>4</v>
      </c>
      <c r="DZ16">
        <v>4</v>
      </c>
      <c r="EA16">
        <v>4</v>
      </c>
      <c r="EB16">
        <v>4</v>
      </c>
      <c r="EC16">
        <v>6</v>
      </c>
      <c r="ED16">
        <v>4</v>
      </c>
      <c r="EE16">
        <v>4</v>
      </c>
      <c r="EF16">
        <v>4</v>
      </c>
      <c r="FY16">
        <v>8</v>
      </c>
    </row>
    <row r="17" spans="1:188" x14ac:dyDescent="0.2">
      <c r="A17" t="s">
        <v>74</v>
      </c>
    </row>
    <row r="18" spans="1:188" x14ac:dyDescent="0.2">
      <c r="A18" t="s">
        <v>75</v>
      </c>
      <c r="DH18">
        <v>1</v>
      </c>
      <c r="DI18">
        <v>1</v>
      </c>
      <c r="DJ18">
        <v>1</v>
      </c>
    </row>
    <row r="19" spans="1:188" x14ac:dyDescent="0.2">
      <c r="A19" t="s">
        <v>76</v>
      </c>
    </row>
    <row r="20" spans="1:188" x14ac:dyDescent="0.2">
      <c r="A20" t="s">
        <v>77</v>
      </c>
    </row>
    <row r="21" spans="1:188" x14ac:dyDescent="0.2">
      <c r="A21" t="s">
        <v>750</v>
      </c>
    </row>
    <row r="22" spans="1:188" x14ac:dyDescent="0.2">
      <c r="A22" t="s">
        <v>751</v>
      </c>
    </row>
    <row r="23" spans="1:188" x14ac:dyDescent="0.2">
      <c r="A23" t="s">
        <v>5030</v>
      </c>
    </row>
    <row r="24" spans="1:188" x14ac:dyDescent="0.2">
      <c r="A24" t="s">
        <v>752</v>
      </c>
    </row>
    <row r="25" spans="1:188" x14ac:dyDescent="0.2">
      <c r="A25" t="s">
        <v>2139</v>
      </c>
      <c r="AM25">
        <v>1</v>
      </c>
      <c r="AT25">
        <v>1</v>
      </c>
      <c r="BE25">
        <v>1</v>
      </c>
      <c r="BL25">
        <v>1</v>
      </c>
      <c r="CA25">
        <v>0</v>
      </c>
      <c r="EH25">
        <v>1</v>
      </c>
      <c r="EI25">
        <v>1</v>
      </c>
      <c r="EL25">
        <v>1</v>
      </c>
      <c r="EM25">
        <v>1</v>
      </c>
      <c r="EN25">
        <v>1</v>
      </c>
      <c r="EO25">
        <v>1</v>
      </c>
      <c r="EP25">
        <v>1</v>
      </c>
      <c r="EQ25">
        <v>1</v>
      </c>
      <c r="ER25">
        <v>1</v>
      </c>
      <c r="ES25">
        <v>1</v>
      </c>
      <c r="ET25">
        <v>1</v>
      </c>
      <c r="EU25">
        <v>1</v>
      </c>
      <c r="EV25">
        <v>1</v>
      </c>
      <c r="EW25">
        <v>1</v>
      </c>
      <c r="EX25">
        <v>1</v>
      </c>
      <c r="EY25">
        <v>1</v>
      </c>
      <c r="EZ25">
        <v>1</v>
      </c>
      <c r="FA25">
        <v>1</v>
      </c>
      <c r="FB25">
        <v>1</v>
      </c>
      <c r="FC25">
        <v>1</v>
      </c>
      <c r="FD25">
        <v>1</v>
      </c>
      <c r="FE25">
        <v>1</v>
      </c>
      <c r="FF25">
        <v>1</v>
      </c>
      <c r="FG25">
        <v>1</v>
      </c>
      <c r="FH25">
        <v>1</v>
      </c>
      <c r="FI25">
        <v>1</v>
      </c>
      <c r="FJ25">
        <v>1</v>
      </c>
      <c r="FK25">
        <v>1</v>
      </c>
      <c r="FO25">
        <v>1</v>
      </c>
      <c r="FP25">
        <v>1</v>
      </c>
      <c r="FQ25">
        <v>1</v>
      </c>
      <c r="FR25">
        <v>1</v>
      </c>
      <c r="FS25">
        <v>1</v>
      </c>
      <c r="FT25">
        <v>1</v>
      </c>
      <c r="FU25">
        <v>1</v>
      </c>
      <c r="FV25">
        <v>1</v>
      </c>
      <c r="FW25">
        <v>1</v>
      </c>
      <c r="FX25">
        <v>1</v>
      </c>
      <c r="FY25">
        <v>1</v>
      </c>
      <c r="FZ25">
        <v>1</v>
      </c>
      <c r="GA25">
        <v>1</v>
      </c>
      <c r="GB25">
        <v>1</v>
      </c>
      <c r="GC25">
        <v>1</v>
      </c>
      <c r="GD25">
        <v>1</v>
      </c>
      <c r="GE25">
        <v>1</v>
      </c>
      <c r="GF25">
        <v>1</v>
      </c>
    </row>
    <row r="26" spans="1:188" x14ac:dyDescent="0.2">
      <c r="A26" t="s">
        <v>2116</v>
      </c>
      <c r="C26" t="s">
        <v>4284</v>
      </c>
      <c r="D26" t="s">
        <v>4284</v>
      </c>
      <c r="E26" t="s">
        <v>4284</v>
      </c>
      <c r="F26" t="s">
        <v>4284</v>
      </c>
      <c r="G26" t="s">
        <v>4285</v>
      </c>
      <c r="H26" t="s">
        <v>4286</v>
      </c>
      <c r="I26" t="s">
        <v>4286</v>
      </c>
      <c r="J26" t="s">
        <v>4286</v>
      </c>
      <c r="K26" t="s">
        <v>4286</v>
      </c>
      <c r="L26" t="s">
        <v>4286</v>
      </c>
      <c r="M26" t="s">
        <v>4286</v>
      </c>
      <c r="N26" t="s">
        <v>4286</v>
      </c>
      <c r="O26" t="s">
        <v>4286</v>
      </c>
      <c r="P26" t="s">
        <v>4286</v>
      </c>
      <c r="Q26" t="s">
        <v>4286</v>
      </c>
      <c r="R26" t="s">
        <v>4286</v>
      </c>
      <c r="S26" t="s">
        <v>4286</v>
      </c>
      <c r="T26" t="s">
        <v>4286</v>
      </c>
      <c r="U26" t="s">
        <v>4286</v>
      </c>
      <c r="V26" t="s">
        <v>4286</v>
      </c>
      <c r="W26" t="s">
        <v>4286</v>
      </c>
      <c r="X26" t="s">
        <v>4286</v>
      </c>
      <c r="Y26" t="s">
        <v>4286</v>
      </c>
      <c r="Z26" t="s">
        <v>4286</v>
      </c>
      <c r="AA26" t="s">
        <v>4286</v>
      </c>
      <c r="AB26" t="s">
        <v>4286</v>
      </c>
      <c r="AC26" t="s">
        <v>4286</v>
      </c>
      <c r="AD26" t="s">
        <v>4286</v>
      </c>
      <c r="AE26" t="s">
        <v>4286</v>
      </c>
      <c r="AG26" t="s">
        <v>4286</v>
      </c>
      <c r="AI26" t="s">
        <v>4286</v>
      </c>
      <c r="AO26" t="s">
        <v>4287</v>
      </c>
      <c r="AP26" t="s">
        <v>4287</v>
      </c>
      <c r="AQ26" t="s">
        <v>4287</v>
      </c>
      <c r="AR26" t="s">
        <v>4287</v>
      </c>
      <c r="AS26" t="s">
        <v>4288</v>
      </c>
      <c r="AT26" t="s">
        <v>4288</v>
      </c>
      <c r="AU26" t="s">
        <v>4288</v>
      </c>
      <c r="AV26" t="s">
        <v>4288</v>
      </c>
      <c r="AW26" t="s">
        <v>1429</v>
      </c>
      <c r="AX26" t="s">
        <v>1429</v>
      </c>
      <c r="AZ26" t="s">
        <v>4290</v>
      </c>
      <c r="BA26" t="s">
        <v>4290</v>
      </c>
      <c r="BB26" t="s">
        <v>4290</v>
      </c>
      <c r="BC26" t="s">
        <v>4290</v>
      </c>
      <c r="BD26" t="s">
        <v>4290</v>
      </c>
      <c r="BG26" t="s">
        <v>700</v>
      </c>
      <c r="BH26" t="s">
        <v>701</v>
      </c>
      <c r="BI26" t="s">
        <v>701</v>
      </c>
      <c r="BJ26" t="s">
        <v>702</v>
      </c>
      <c r="BK26" t="s">
        <v>702</v>
      </c>
      <c r="BL26" t="s">
        <v>703</v>
      </c>
      <c r="BM26" t="s">
        <v>704</v>
      </c>
      <c r="BN26" t="s">
        <v>704</v>
      </c>
      <c r="BO26" t="s">
        <v>704</v>
      </c>
      <c r="BP26" t="s">
        <v>704</v>
      </c>
      <c r="BQ26" t="s">
        <v>705</v>
      </c>
      <c r="BR26" t="s">
        <v>705</v>
      </c>
      <c r="BS26" t="s">
        <v>705</v>
      </c>
      <c r="BT26" t="s">
        <v>706</v>
      </c>
      <c r="BU26" t="s">
        <v>706</v>
      </c>
      <c r="BV26" t="s">
        <v>706</v>
      </c>
      <c r="BW26" t="s">
        <v>706</v>
      </c>
      <c r="BX26" t="s">
        <v>706</v>
      </c>
      <c r="BY26" t="s">
        <v>706</v>
      </c>
      <c r="BZ26" t="s">
        <v>706</v>
      </c>
      <c r="CA26" t="s">
        <v>706</v>
      </c>
      <c r="CB26" t="s">
        <v>707</v>
      </c>
      <c r="CC26" t="s">
        <v>707</v>
      </c>
      <c r="CE26" t="s">
        <v>707</v>
      </c>
      <c r="CF26" t="s">
        <v>1943</v>
      </c>
      <c r="CG26" t="s">
        <v>1943</v>
      </c>
      <c r="CH26" t="s">
        <v>1943</v>
      </c>
      <c r="CI26" t="s">
        <v>1943</v>
      </c>
      <c r="CJ26" t="s">
        <v>3288</v>
      </c>
      <c r="CL26" t="s">
        <v>1943</v>
      </c>
      <c r="CM26" t="s">
        <v>1943</v>
      </c>
      <c r="CN26" t="s">
        <v>1944</v>
      </c>
      <c r="CO26" t="s">
        <v>1944</v>
      </c>
      <c r="CP26" t="s">
        <v>1944</v>
      </c>
      <c r="CU26" t="s">
        <v>1429</v>
      </c>
      <c r="CV26" t="s">
        <v>1945</v>
      </c>
      <c r="CW26" t="s">
        <v>1945</v>
      </c>
      <c r="CX26" t="s">
        <v>1946</v>
      </c>
      <c r="CY26" t="s">
        <v>1946</v>
      </c>
      <c r="CZ26" t="s">
        <v>663</v>
      </c>
      <c r="DA26" t="s">
        <v>1947</v>
      </c>
      <c r="DB26" t="s">
        <v>1947</v>
      </c>
      <c r="DC26" t="s">
        <v>1947</v>
      </c>
      <c r="DD26" t="s">
        <v>1948</v>
      </c>
      <c r="DF26" t="s">
        <v>4155</v>
      </c>
      <c r="DG26" t="s">
        <v>4155</v>
      </c>
      <c r="DH26" t="s">
        <v>4155</v>
      </c>
      <c r="DI26" t="s">
        <v>4155</v>
      </c>
      <c r="DJ26" t="s">
        <v>4155</v>
      </c>
      <c r="DK26" t="s">
        <v>4155</v>
      </c>
      <c r="DL26" t="s">
        <v>4155</v>
      </c>
      <c r="DM26" t="s">
        <v>4155</v>
      </c>
      <c r="DN26" t="s">
        <v>4155</v>
      </c>
      <c r="DO26" t="s">
        <v>4155</v>
      </c>
      <c r="DP26" t="s">
        <v>4155</v>
      </c>
      <c r="DS26" t="s">
        <v>316</v>
      </c>
      <c r="DT26" t="s">
        <v>316</v>
      </c>
      <c r="DU26" t="s">
        <v>316</v>
      </c>
      <c r="DV26" t="s">
        <v>1427</v>
      </c>
      <c r="DW26" t="s">
        <v>1427</v>
      </c>
      <c r="DX26" t="s">
        <v>2317</v>
      </c>
      <c r="DY26" t="s">
        <v>2122</v>
      </c>
      <c r="DZ26" t="s">
        <v>1648</v>
      </c>
      <c r="EA26" t="s">
        <v>1648</v>
      </c>
      <c r="EB26" t="s">
        <v>1648</v>
      </c>
      <c r="EC26" t="s">
        <v>1648</v>
      </c>
      <c r="ED26" t="s">
        <v>1648</v>
      </c>
      <c r="EE26" t="s">
        <v>1648</v>
      </c>
      <c r="EF26" t="s">
        <v>1648</v>
      </c>
      <c r="EJ26" t="s">
        <v>2995</v>
      </c>
      <c r="EK26" t="s">
        <v>2995</v>
      </c>
      <c r="EL26" t="s">
        <v>2995</v>
      </c>
      <c r="EM26" t="s">
        <v>2995</v>
      </c>
      <c r="EN26" t="s">
        <v>9132</v>
      </c>
      <c r="EO26" t="s">
        <v>9132</v>
      </c>
      <c r="EQ26" t="s">
        <v>2995</v>
      </c>
      <c r="ER26" t="s">
        <v>229</v>
      </c>
      <c r="EU26" t="s">
        <v>2995</v>
      </c>
      <c r="FG26" t="s">
        <v>703</v>
      </c>
      <c r="FJ26" t="s">
        <v>2995</v>
      </c>
      <c r="FK26" t="s">
        <v>2995</v>
      </c>
      <c r="FL26" t="s">
        <v>2995</v>
      </c>
      <c r="FM26" t="s">
        <v>2995</v>
      </c>
      <c r="FP26" t="s">
        <v>2995</v>
      </c>
      <c r="FT26" t="s">
        <v>2995</v>
      </c>
      <c r="FU26" t="s">
        <v>2995</v>
      </c>
      <c r="FY26" t="s">
        <v>9130</v>
      </c>
      <c r="FZ26" t="s">
        <v>9131</v>
      </c>
    </row>
    <row r="27" spans="1:188" x14ac:dyDescent="0.2">
      <c r="D27" t="s">
        <v>2119</v>
      </c>
      <c r="L27" t="s">
        <v>3989</v>
      </c>
      <c r="M27" t="s">
        <v>3989</v>
      </c>
      <c r="N27" t="s">
        <v>3989</v>
      </c>
      <c r="U27" t="s">
        <v>3989</v>
      </c>
      <c r="V27" t="s">
        <v>3989</v>
      </c>
      <c r="W27" t="s">
        <v>3989</v>
      </c>
      <c r="X27" t="s">
        <v>3989</v>
      </c>
      <c r="AZ27" t="s">
        <v>3045</v>
      </c>
      <c r="BA27" t="s">
        <v>3045</v>
      </c>
      <c r="BB27" t="s">
        <v>3045</v>
      </c>
      <c r="BC27" t="s">
        <v>3045</v>
      </c>
      <c r="BD27" t="s">
        <v>3045</v>
      </c>
      <c r="BK27" t="s">
        <v>2119</v>
      </c>
      <c r="BM27" t="s">
        <v>3045</v>
      </c>
      <c r="BN27" t="s">
        <v>3045</v>
      </c>
      <c r="BO27" t="s">
        <v>3045</v>
      </c>
      <c r="BP27" t="s">
        <v>3045</v>
      </c>
      <c r="BU27" t="s">
        <v>4086</v>
      </c>
      <c r="BZ27" t="s">
        <v>4086</v>
      </c>
      <c r="CA27" t="s">
        <v>4293</v>
      </c>
      <c r="CN27" t="s">
        <v>663</v>
      </c>
      <c r="CO27" t="s">
        <v>6799</v>
      </c>
      <c r="CP27" t="s">
        <v>663</v>
      </c>
      <c r="CU27" t="s">
        <v>2128</v>
      </c>
      <c r="DC27" t="s">
        <v>1008</v>
      </c>
      <c r="DF27" t="s">
        <v>1649</v>
      </c>
      <c r="DG27" t="s">
        <v>3990</v>
      </c>
      <c r="DL27" t="s">
        <v>2370</v>
      </c>
      <c r="DM27" t="s">
        <v>2370</v>
      </c>
      <c r="DN27" t="s">
        <v>2370</v>
      </c>
      <c r="DO27" t="s">
        <v>2370</v>
      </c>
      <c r="DP27" t="s">
        <v>3989</v>
      </c>
      <c r="DS27" t="s">
        <v>7100</v>
      </c>
      <c r="DT27" t="s">
        <v>7102</v>
      </c>
      <c r="DU27" t="s">
        <v>6648</v>
      </c>
      <c r="DW27" t="s">
        <v>4289</v>
      </c>
      <c r="DX27" t="s">
        <v>4155</v>
      </c>
      <c r="DZ27" t="s">
        <v>4155</v>
      </c>
      <c r="EA27" t="s">
        <v>4155</v>
      </c>
      <c r="EB27" t="s">
        <v>4155</v>
      </c>
      <c r="EC27" t="s">
        <v>4155</v>
      </c>
      <c r="ED27" t="s">
        <v>4155</v>
      </c>
      <c r="EE27" t="s">
        <v>4155</v>
      </c>
      <c r="EF27" t="s">
        <v>4155</v>
      </c>
    </row>
    <row r="28" spans="1:188" x14ac:dyDescent="0.2">
      <c r="CA28" t="s">
        <v>4086</v>
      </c>
      <c r="DF28" t="s">
        <v>4874</v>
      </c>
      <c r="DU28" t="s">
        <v>2748</v>
      </c>
      <c r="ED28" t="s">
        <v>4775</v>
      </c>
    </row>
    <row r="34" spans="1:190" x14ac:dyDescent="0.2">
      <c r="A34" t="s">
        <v>2140</v>
      </c>
      <c r="C34" t="s">
        <v>8779</v>
      </c>
      <c r="D34" t="s">
        <v>8779</v>
      </c>
      <c r="E34" t="s">
        <v>8779</v>
      </c>
      <c r="F34" t="s">
        <v>8779</v>
      </c>
      <c r="G34" t="s">
        <v>8780</v>
      </c>
      <c r="H34" t="s">
        <v>8782</v>
      </c>
      <c r="I34" t="s">
        <v>8782</v>
      </c>
      <c r="J34" t="s">
        <v>8782</v>
      </c>
      <c r="K34" t="s">
        <v>8782</v>
      </c>
      <c r="L34" t="s">
        <v>8782</v>
      </c>
      <c r="M34" t="s">
        <v>8782</v>
      </c>
      <c r="N34" t="s">
        <v>8782</v>
      </c>
      <c r="O34" t="s">
        <v>8782</v>
      </c>
      <c r="P34" t="s">
        <v>8782</v>
      </c>
      <c r="Q34" t="s">
        <v>8782</v>
      </c>
      <c r="R34" t="s">
        <v>8782</v>
      </c>
      <c r="S34" t="s">
        <v>8782</v>
      </c>
      <c r="T34" t="s">
        <v>8782</v>
      </c>
      <c r="U34" t="s">
        <v>8782</v>
      </c>
      <c r="V34" t="s">
        <v>8782</v>
      </c>
      <c r="W34" t="s">
        <v>8782</v>
      </c>
      <c r="X34" t="s">
        <v>8782</v>
      </c>
      <c r="Y34" t="s">
        <v>8782</v>
      </c>
      <c r="Z34" t="s">
        <v>8782</v>
      </c>
      <c r="AA34" t="s">
        <v>8782</v>
      </c>
      <c r="AB34" t="s">
        <v>8782</v>
      </c>
      <c r="AC34" t="s">
        <v>8782</v>
      </c>
      <c r="AD34" t="s">
        <v>8782</v>
      </c>
      <c r="AE34" t="s">
        <v>8782</v>
      </c>
      <c r="AF34" t="s">
        <v>8782</v>
      </c>
      <c r="AG34" t="s">
        <v>8782</v>
      </c>
      <c r="AH34" t="s">
        <v>8782</v>
      </c>
      <c r="AI34" t="s">
        <v>8782</v>
      </c>
      <c r="AJ34" t="s">
        <v>8782</v>
      </c>
      <c r="AK34" t="s">
        <v>8782</v>
      </c>
      <c r="AL34" t="s">
        <v>8782</v>
      </c>
      <c r="AM34" t="s">
        <v>8782</v>
      </c>
      <c r="AN34" t="s">
        <v>8783</v>
      </c>
      <c r="AO34" t="s">
        <v>8785</v>
      </c>
      <c r="AP34" t="s">
        <v>8785</v>
      </c>
      <c r="AQ34" t="s">
        <v>8785</v>
      </c>
      <c r="AR34" t="s">
        <v>8785</v>
      </c>
      <c r="AS34" t="s">
        <v>8786</v>
      </c>
      <c r="AT34" t="s">
        <v>8786</v>
      </c>
      <c r="AU34" t="s">
        <v>8786</v>
      </c>
      <c r="AV34" t="s">
        <v>8786</v>
      </c>
      <c r="AW34" t="s">
        <v>8255</v>
      </c>
      <c r="AX34" t="s">
        <v>8255</v>
      </c>
      <c r="AY34" t="s">
        <v>8255</v>
      </c>
      <c r="AZ34" t="s">
        <v>8787</v>
      </c>
      <c r="BA34" t="s">
        <v>8787</v>
      </c>
      <c r="BB34" t="s">
        <v>8787</v>
      </c>
      <c r="BC34" t="s">
        <v>8787</v>
      </c>
      <c r="BD34" t="s">
        <v>8787</v>
      </c>
      <c r="BE34" t="s">
        <v>8787</v>
      </c>
      <c r="BG34" t="s">
        <v>8788</v>
      </c>
      <c r="BH34" t="s">
        <v>8789</v>
      </c>
      <c r="BI34" t="s">
        <v>8789</v>
      </c>
      <c r="BJ34" t="s">
        <v>8790</v>
      </c>
      <c r="BK34" t="s">
        <v>8790</v>
      </c>
      <c r="BL34" t="s">
        <v>8791</v>
      </c>
      <c r="BM34" t="s">
        <v>8792</v>
      </c>
      <c r="BN34" t="s">
        <v>8792</v>
      </c>
      <c r="BO34" t="s">
        <v>8792</v>
      </c>
      <c r="BP34" t="s">
        <v>8792</v>
      </c>
      <c r="BQ34" t="s">
        <v>8793</v>
      </c>
      <c r="BR34" t="s">
        <v>8793</v>
      </c>
      <c r="BS34" t="s">
        <v>8793</v>
      </c>
      <c r="BT34" t="s">
        <v>8794</v>
      </c>
      <c r="BU34" t="s">
        <v>8794</v>
      </c>
      <c r="BV34" t="s">
        <v>8794</v>
      </c>
      <c r="BW34" t="s">
        <v>8794</v>
      </c>
      <c r="BX34" t="s">
        <v>8794</v>
      </c>
      <c r="BY34" t="s">
        <v>8794</v>
      </c>
      <c r="BZ34" t="s">
        <v>8794</v>
      </c>
      <c r="CA34" t="s">
        <v>8794</v>
      </c>
      <c r="CB34" t="s">
        <v>8795</v>
      </c>
      <c r="CC34" t="s">
        <v>8795</v>
      </c>
      <c r="CD34" t="s">
        <v>8795</v>
      </c>
      <c r="CE34" t="s">
        <v>8795</v>
      </c>
      <c r="CF34" t="s">
        <v>8796</v>
      </c>
      <c r="CG34" t="s">
        <v>8796</v>
      </c>
      <c r="CH34" t="s">
        <v>8796</v>
      </c>
      <c r="CI34" t="s">
        <v>8796</v>
      </c>
      <c r="CJ34" t="s">
        <v>8796</v>
      </c>
      <c r="CK34" t="s">
        <v>8817</v>
      </c>
      <c r="CL34" t="s">
        <v>8796</v>
      </c>
      <c r="CM34" t="s">
        <v>8796</v>
      </c>
      <c r="CN34" t="s">
        <v>8797</v>
      </c>
      <c r="CO34" t="s">
        <v>8797</v>
      </c>
      <c r="CP34" t="s">
        <v>8797</v>
      </c>
      <c r="CQ34" t="s">
        <v>1383</v>
      </c>
      <c r="CR34" t="s">
        <v>1383</v>
      </c>
      <c r="CS34" t="s">
        <v>6800</v>
      </c>
      <c r="CT34" t="s">
        <v>6800</v>
      </c>
      <c r="CU34" t="s">
        <v>6801</v>
      </c>
      <c r="CV34" t="s">
        <v>8798</v>
      </c>
      <c r="CW34" t="s">
        <v>8798</v>
      </c>
      <c r="CX34" t="s">
        <v>8800</v>
      </c>
      <c r="CY34" t="s">
        <v>8800</v>
      </c>
      <c r="CZ34" t="s">
        <v>8800</v>
      </c>
      <c r="DA34" t="s">
        <v>8801</v>
      </c>
      <c r="DB34" t="s">
        <v>8801</v>
      </c>
      <c r="DC34" t="s">
        <v>8801</v>
      </c>
      <c r="DD34" t="s">
        <v>8802</v>
      </c>
      <c r="DF34" t="s">
        <v>6649</v>
      </c>
      <c r="DG34" t="s">
        <v>6650</v>
      </c>
      <c r="DH34" t="s">
        <v>6651</v>
      </c>
      <c r="DI34" t="s">
        <v>6651</v>
      </c>
      <c r="DJ34" t="s">
        <v>6651</v>
      </c>
      <c r="DK34" t="s">
        <v>2372</v>
      </c>
      <c r="DL34" t="s">
        <v>2371</v>
      </c>
      <c r="DM34" t="s">
        <v>2371</v>
      </c>
      <c r="DN34" t="s">
        <v>2371</v>
      </c>
      <c r="DO34" t="s">
        <v>2371</v>
      </c>
      <c r="DP34" t="s">
        <v>2373</v>
      </c>
      <c r="DX34" t="s">
        <v>6652</v>
      </c>
      <c r="DY34" t="s">
        <v>6653</v>
      </c>
      <c r="DZ34" t="s">
        <v>6654</v>
      </c>
      <c r="EA34" t="s">
        <v>6654</v>
      </c>
      <c r="EB34" t="s">
        <v>6654</v>
      </c>
      <c r="EC34" t="s">
        <v>6654</v>
      </c>
      <c r="ED34" t="s">
        <v>6654</v>
      </c>
      <c r="EE34" t="s">
        <v>6654</v>
      </c>
      <c r="EF34" t="s">
        <v>6654</v>
      </c>
      <c r="EH34" t="s">
        <v>8779</v>
      </c>
      <c r="EI34" t="s">
        <v>8780</v>
      </c>
      <c r="EJ34" t="s">
        <v>8782</v>
      </c>
      <c r="EK34" t="s">
        <v>8782</v>
      </c>
      <c r="EL34" t="s">
        <v>8782</v>
      </c>
      <c r="EM34" t="s">
        <v>8782</v>
      </c>
      <c r="EN34" t="s">
        <v>8782</v>
      </c>
      <c r="EO34" t="s">
        <v>8782</v>
      </c>
      <c r="EP34" t="s">
        <v>8782</v>
      </c>
      <c r="EQ34" t="s">
        <v>8782</v>
      </c>
      <c r="ER34" t="s">
        <v>8782</v>
      </c>
      <c r="ES34" t="s">
        <v>8783</v>
      </c>
      <c r="ET34" t="s">
        <v>8785</v>
      </c>
      <c r="EU34" t="s">
        <v>8785</v>
      </c>
      <c r="EV34" t="s">
        <v>8786</v>
      </c>
      <c r="EX34" t="s">
        <v>8787</v>
      </c>
      <c r="EY34" t="s">
        <v>8787</v>
      </c>
      <c r="EZ34" t="s">
        <v>8787</v>
      </c>
      <c r="FA34" t="s">
        <v>8787</v>
      </c>
      <c r="FC34" t="s">
        <v>8788</v>
      </c>
      <c r="FD34" t="s">
        <v>8789</v>
      </c>
      <c r="FE34" t="s">
        <v>8790</v>
      </c>
      <c r="FF34" t="s">
        <v>8790</v>
      </c>
      <c r="FG34" t="s">
        <v>8791</v>
      </c>
      <c r="FH34" t="s">
        <v>8792</v>
      </c>
      <c r="FI34" t="s">
        <v>8793</v>
      </c>
      <c r="FJ34" t="s">
        <v>8793</v>
      </c>
      <c r="FK34" t="s">
        <v>8794</v>
      </c>
      <c r="FL34" t="s">
        <v>8794</v>
      </c>
      <c r="FM34" t="s">
        <v>8794</v>
      </c>
      <c r="FN34" t="s">
        <v>8794</v>
      </c>
      <c r="FO34" t="s">
        <v>8795</v>
      </c>
      <c r="FP34" t="s">
        <v>8795</v>
      </c>
      <c r="FQ34" t="s">
        <v>8795</v>
      </c>
      <c r="FR34" t="s">
        <v>8795</v>
      </c>
      <c r="FS34" t="s">
        <v>8796</v>
      </c>
      <c r="FT34" t="s">
        <v>8796</v>
      </c>
      <c r="FU34" t="s">
        <v>8797</v>
      </c>
      <c r="FW34" t="s">
        <v>8798</v>
      </c>
      <c r="FX34" t="s">
        <v>8800</v>
      </c>
      <c r="FY34" t="s">
        <v>8800</v>
      </c>
      <c r="FZ34" t="s">
        <v>8800</v>
      </c>
      <c r="GA34" t="s">
        <v>8801</v>
      </c>
      <c r="GB34" t="s">
        <v>8802</v>
      </c>
    </row>
    <row r="35" spans="1:190" x14ac:dyDescent="0.2">
      <c r="C35" t="s">
        <v>6803</v>
      </c>
      <c r="D35" t="s">
        <v>6803</v>
      </c>
      <c r="E35" t="s">
        <v>6803</v>
      </c>
      <c r="F35" t="s">
        <v>6803</v>
      </c>
      <c r="G35" t="s">
        <v>2584</v>
      </c>
      <c r="H35" t="s">
        <v>6803</v>
      </c>
      <c r="I35" t="s">
        <v>6803</v>
      </c>
      <c r="J35" t="s">
        <v>6803</v>
      </c>
      <c r="K35" t="s">
        <v>6803</v>
      </c>
      <c r="L35" t="s">
        <v>6803</v>
      </c>
      <c r="M35" t="s">
        <v>6803</v>
      </c>
      <c r="N35" t="s">
        <v>6803</v>
      </c>
      <c r="O35" t="s">
        <v>6803</v>
      </c>
      <c r="P35" t="s">
        <v>6803</v>
      </c>
      <c r="Q35" t="s">
        <v>6803</v>
      </c>
      <c r="R35" t="s">
        <v>6803</v>
      </c>
      <c r="S35" t="s">
        <v>6803</v>
      </c>
      <c r="T35" t="s">
        <v>6803</v>
      </c>
      <c r="U35" t="s">
        <v>6803</v>
      </c>
      <c r="V35" t="s">
        <v>6803</v>
      </c>
      <c r="W35" t="s">
        <v>6803</v>
      </c>
      <c r="X35" t="s">
        <v>6803</v>
      </c>
      <c r="Y35" t="s">
        <v>6803</v>
      </c>
      <c r="Z35" t="s">
        <v>6803</v>
      </c>
      <c r="AA35" t="s">
        <v>6803</v>
      </c>
      <c r="AB35" t="s">
        <v>6803</v>
      </c>
      <c r="AC35" t="s">
        <v>6803</v>
      </c>
      <c r="AD35" t="s">
        <v>6803</v>
      </c>
      <c r="AE35" t="s">
        <v>6803</v>
      </c>
      <c r="AF35" t="s">
        <v>6802</v>
      </c>
      <c r="AG35" t="s">
        <v>6802</v>
      </c>
      <c r="AH35" t="s">
        <v>6802</v>
      </c>
      <c r="AI35" t="s">
        <v>6803</v>
      </c>
      <c r="AN35" t="s">
        <v>6833</v>
      </c>
      <c r="AO35" t="s">
        <v>6803</v>
      </c>
      <c r="AP35" t="s">
        <v>6803</v>
      </c>
      <c r="AQ35" t="s">
        <v>6803</v>
      </c>
      <c r="AR35" t="s">
        <v>6803</v>
      </c>
      <c r="AT35" t="s">
        <v>6803</v>
      </c>
      <c r="AU35" t="s">
        <v>7520</v>
      </c>
      <c r="AV35" t="s">
        <v>7520</v>
      </c>
      <c r="AW35" t="s">
        <v>6802</v>
      </c>
      <c r="AX35" t="s">
        <v>6802</v>
      </c>
      <c r="AY35" t="s">
        <v>6802</v>
      </c>
      <c r="AZ35" t="s">
        <v>2584</v>
      </c>
      <c r="BA35" t="s">
        <v>31</v>
      </c>
      <c r="BB35" t="s">
        <v>2584</v>
      </c>
      <c r="BC35" t="s">
        <v>2584</v>
      </c>
      <c r="BD35" t="s">
        <v>2584</v>
      </c>
      <c r="BE35" t="s">
        <v>6838</v>
      </c>
      <c r="BG35" t="s">
        <v>1383</v>
      </c>
      <c r="BJ35" t="s">
        <v>6803</v>
      </c>
      <c r="BK35" t="s">
        <v>6803</v>
      </c>
      <c r="BL35" t="s">
        <v>8256</v>
      </c>
      <c r="BM35" t="s">
        <v>6803</v>
      </c>
      <c r="BN35" t="s">
        <v>6803</v>
      </c>
      <c r="BO35" t="s">
        <v>6803</v>
      </c>
      <c r="BP35" t="s">
        <v>6803</v>
      </c>
      <c r="BQ35" t="s">
        <v>6803</v>
      </c>
      <c r="BR35" t="s">
        <v>6803</v>
      </c>
      <c r="BS35" t="s">
        <v>8257</v>
      </c>
      <c r="BT35" t="s">
        <v>6818</v>
      </c>
      <c r="BU35" t="s">
        <v>6818</v>
      </c>
      <c r="BV35" t="s">
        <v>6818</v>
      </c>
      <c r="BW35" t="s">
        <v>6818</v>
      </c>
      <c r="BX35" t="s">
        <v>6818</v>
      </c>
      <c r="BY35" t="s">
        <v>6818</v>
      </c>
      <c r="BZ35" t="s">
        <v>6818</v>
      </c>
      <c r="CA35" t="s">
        <v>6818</v>
      </c>
      <c r="CB35" t="s">
        <v>6818</v>
      </c>
      <c r="CC35" t="s">
        <v>6818</v>
      </c>
      <c r="CD35" t="s">
        <v>6818</v>
      </c>
      <c r="CE35" t="s">
        <v>6818</v>
      </c>
      <c r="CF35" t="s">
        <v>6818</v>
      </c>
      <c r="CG35" t="s">
        <v>6818</v>
      </c>
      <c r="CH35" t="s">
        <v>6818</v>
      </c>
      <c r="CI35" t="s">
        <v>6818</v>
      </c>
      <c r="CJ35" t="s">
        <v>6802</v>
      </c>
      <c r="CK35" t="s">
        <v>7504</v>
      </c>
      <c r="CL35" t="s">
        <v>6818</v>
      </c>
      <c r="CM35" t="s">
        <v>6818</v>
      </c>
      <c r="CN35" t="s">
        <v>6803</v>
      </c>
      <c r="CO35" t="s">
        <v>6804</v>
      </c>
      <c r="CP35" t="s">
        <v>6803</v>
      </c>
      <c r="CQ35" t="s">
        <v>6805</v>
      </c>
      <c r="CR35" t="s">
        <v>6805</v>
      </c>
      <c r="CS35" t="s">
        <v>6805</v>
      </c>
      <c r="CT35" t="s">
        <v>6805</v>
      </c>
      <c r="CU35" t="s">
        <v>6806</v>
      </c>
      <c r="CV35" t="s">
        <v>6807</v>
      </c>
      <c r="CW35" t="s">
        <v>6807</v>
      </c>
      <c r="CX35" t="s">
        <v>6803</v>
      </c>
      <c r="CY35" t="s">
        <v>6803</v>
      </c>
      <c r="CZ35" t="s">
        <v>8258</v>
      </c>
      <c r="DA35" t="s">
        <v>2584</v>
      </c>
      <c r="DB35" t="s">
        <v>2584</v>
      </c>
      <c r="DC35" t="s">
        <v>2584</v>
      </c>
      <c r="DD35" t="s">
        <v>1383</v>
      </c>
      <c r="DH35" t="s">
        <v>6655</v>
      </c>
      <c r="DI35" t="s">
        <v>6655</v>
      </c>
      <c r="DJ35" t="s">
        <v>6655</v>
      </c>
      <c r="DK35" t="s">
        <v>7133</v>
      </c>
      <c r="DL35" t="s">
        <v>6656</v>
      </c>
      <c r="DM35" t="s">
        <v>6656</v>
      </c>
      <c r="DN35" t="s">
        <v>6656</v>
      </c>
      <c r="DO35" t="s">
        <v>6656</v>
      </c>
      <c r="DP35" t="s">
        <v>2374</v>
      </c>
      <c r="DX35" t="s">
        <v>6657</v>
      </c>
      <c r="DZ35" t="s">
        <v>1390</v>
      </c>
      <c r="EA35" t="s">
        <v>1390</v>
      </c>
      <c r="EB35" t="s">
        <v>1390</v>
      </c>
      <c r="EC35" t="s">
        <v>1390</v>
      </c>
      <c r="ED35" t="s">
        <v>1390</v>
      </c>
      <c r="EE35" t="s">
        <v>1390</v>
      </c>
      <c r="EF35" t="s">
        <v>1390</v>
      </c>
      <c r="EJ35" t="s">
        <v>128</v>
      </c>
      <c r="EK35" t="s">
        <v>128</v>
      </c>
      <c r="EL35" t="s">
        <v>128</v>
      </c>
      <c r="EM35" t="s">
        <v>128</v>
      </c>
      <c r="EN35" t="s">
        <v>128</v>
      </c>
      <c r="EO35" t="s">
        <v>128</v>
      </c>
      <c r="EP35" t="s">
        <v>128</v>
      </c>
      <c r="EQ35" t="s">
        <v>128</v>
      </c>
      <c r="ER35" t="s">
        <v>128</v>
      </c>
      <c r="EU35" t="s">
        <v>128</v>
      </c>
      <c r="FF35" t="s">
        <v>128</v>
      </c>
      <c r="FG35" t="s">
        <v>4082</v>
      </c>
      <c r="FK35" t="s">
        <v>128</v>
      </c>
      <c r="FM35" t="s">
        <v>4082</v>
      </c>
      <c r="FP35" t="s">
        <v>4082</v>
      </c>
      <c r="FQ35" t="s">
        <v>4082</v>
      </c>
      <c r="FT35" t="s">
        <v>4082</v>
      </c>
      <c r="FU35" t="s">
        <v>4082</v>
      </c>
      <c r="FX35" t="s">
        <v>4082</v>
      </c>
      <c r="FY35" t="s">
        <v>4082</v>
      </c>
      <c r="FZ35" t="s">
        <v>4082</v>
      </c>
    </row>
    <row r="36" spans="1:190" x14ac:dyDescent="0.2">
      <c r="C36" t="s">
        <v>7517</v>
      </c>
      <c r="D36" t="s">
        <v>7517</v>
      </c>
      <c r="E36" t="s">
        <v>7517</v>
      </c>
      <c r="F36" t="s">
        <v>7517</v>
      </c>
      <c r="G36" t="s">
        <v>6803</v>
      </c>
      <c r="AO36" t="s">
        <v>1380</v>
      </c>
      <c r="AP36" t="s">
        <v>1380</v>
      </c>
      <c r="AQ36" t="s">
        <v>1380</v>
      </c>
      <c r="AR36" t="s">
        <v>1380</v>
      </c>
      <c r="AZ36" t="s">
        <v>6803</v>
      </c>
      <c r="BB36" t="s">
        <v>6803</v>
      </c>
      <c r="BC36" t="s">
        <v>6803</v>
      </c>
      <c r="BD36" t="s">
        <v>6802</v>
      </c>
      <c r="BG36" t="s">
        <v>6809</v>
      </c>
      <c r="BM36" t="s">
        <v>2584</v>
      </c>
      <c r="BN36" t="s">
        <v>2584</v>
      </c>
      <c r="BO36" t="s">
        <v>2584</v>
      </c>
      <c r="BP36" t="s">
        <v>2584</v>
      </c>
      <c r="BZ36" t="s">
        <v>1383</v>
      </c>
      <c r="CA36" t="s">
        <v>1383</v>
      </c>
      <c r="CJ36" t="s">
        <v>7503</v>
      </c>
      <c r="CP36" t="s">
        <v>1383</v>
      </c>
      <c r="CQ36" t="s">
        <v>6808</v>
      </c>
      <c r="CR36" t="s">
        <v>6808</v>
      </c>
      <c r="CS36" t="s">
        <v>1383</v>
      </c>
      <c r="CT36" t="s">
        <v>1383</v>
      </c>
      <c r="CU36" t="s">
        <v>8259</v>
      </c>
      <c r="CV36" t="s">
        <v>8260</v>
      </c>
      <c r="CW36" t="s">
        <v>8260</v>
      </c>
      <c r="DB36" t="s">
        <v>8261</v>
      </c>
      <c r="DC36" t="s">
        <v>4294</v>
      </c>
      <c r="DD36" t="s">
        <v>6809</v>
      </c>
      <c r="DK36" t="s">
        <v>6658</v>
      </c>
      <c r="DL36" t="s">
        <v>6659</v>
      </c>
      <c r="DM36" t="s">
        <v>6659</v>
      </c>
      <c r="DN36" t="s">
        <v>6659</v>
      </c>
      <c r="DO36" t="s">
        <v>6659</v>
      </c>
      <c r="DP36" t="s">
        <v>7134</v>
      </c>
    </row>
    <row r="37" spans="1:190" x14ac:dyDescent="0.2">
      <c r="BB37" t="s">
        <v>248</v>
      </c>
      <c r="DK37" t="s">
        <v>6660</v>
      </c>
    </row>
    <row r="39" spans="1:190" x14ac:dyDescent="0.2">
      <c r="A39" t="s">
        <v>3084</v>
      </c>
    </row>
    <row r="40" spans="1:190" x14ac:dyDescent="0.2">
      <c r="A40" t="s">
        <v>1902</v>
      </c>
    </row>
    <row r="43" spans="1:190" ht="12.75" customHeight="1" x14ac:dyDescent="0.2">
      <c r="A43" t="str">
        <f>INDEX(TL_KPF,ROW()-41)</f>
        <v>Anderthalbhänder</v>
      </c>
      <c r="B43" t="s">
        <v>1608</v>
      </c>
      <c r="BQ43" t="s">
        <v>899</v>
      </c>
      <c r="BR43" t="s">
        <v>899</v>
      </c>
      <c r="BS43" t="s">
        <v>899</v>
      </c>
      <c r="CF43" t="s">
        <v>899</v>
      </c>
      <c r="CG43" t="s">
        <v>899</v>
      </c>
      <c r="CH43" t="s">
        <v>899</v>
      </c>
      <c r="CI43" t="s">
        <v>899</v>
      </c>
      <c r="CL43" t="s">
        <v>899</v>
      </c>
      <c r="CM43" t="s">
        <v>899</v>
      </c>
      <c r="CN43">
        <v>6</v>
      </c>
      <c r="CP43">
        <v>6</v>
      </c>
      <c r="CZ43">
        <v>6</v>
      </c>
      <c r="DA43" t="s">
        <v>899</v>
      </c>
      <c r="DB43" t="s">
        <v>899</v>
      </c>
      <c r="DC43" t="s">
        <v>899</v>
      </c>
      <c r="DE43" t="s">
        <v>1608</v>
      </c>
      <c r="EG43" t="s">
        <v>1608</v>
      </c>
      <c r="FI43" t="s">
        <v>899</v>
      </c>
      <c r="FJ43" t="s">
        <v>899</v>
      </c>
      <c r="FS43" t="s">
        <v>899</v>
      </c>
      <c r="FT43" t="s">
        <v>899</v>
      </c>
      <c r="FU43" t="s">
        <v>339</v>
      </c>
      <c r="GA43" t="s">
        <v>899</v>
      </c>
      <c r="GH43" t="str">
        <f t="shared" ref="GH43:GH74" si="2">BM43&amp;$FH43</f>
        <v/>
      </c>
    </row>
    <row r="44" spans="1:190" x14ac:dyDescent="0.2">
      <c r="A44" t="str">
        <f t="shared" ref="A44:A69" si="3">INDEX(TL_KPF,ROW()-41)</f>
        <v>Armbrust</v>
      </c>
      <c r="AJ44">
        <v>4</v>
      </c>
      <c r="AK44">
        <v>4</v>
      </c>
      <c r="AL44">
        <v>4</v>
      </c>
      <c r="AM44">
        <v>3</v>
      </c>
      <c r="BQ44" t="s">
        <v>899</v>
      </c>
      <c r="BR44" t="s">
        <v>899</v>
      </c>
      <c r="BS44" t="s">
        <v>899</v>
      </c>
      <c r="CF44" t="s">
        <v>899</v>
      </c>
      <c r="CG44" t="s">
        <v>899</v>
      </c>
      <c r="CH44" t="s">
        <v>899</v>
      </c>
      <c r="CI44" t="s">
        <v>899</v>
      </c>
      <c r="CK44">
        <v>2</v>
      </c>
      <c r="CL44" t="s">
        <v>899</v>
      </c>
      <c r="CM44" t="s">
        <v>899</v>
      </c>
      <c r="CN44" t="s">
        <v>899</v>
      </c>
      <c r="CO44" t="s">
        <v>899</v>
      </c>
      <c r="CP44" t="s">
        <v>899</v>
      </c>
      <c r="CX44" t="s">
        <v>899</v>
      </c>
      <c r="CY44" t="s">
        <v>899</v>
      </c>
      <c r="CZ44">
        <v>3</v>
      </c>
      <c r="DA44" t="s">
        <v>899</v>
      </c>
      <c r="DB44" t="s">
        <v>899</v>
      </c>
      <c r="DC44" t="s">
        <v>899</v>
      </c>
      <c r="FI44" t="s">
        <v>899</v>
      </c>
      <c r="FJ44" t="s">
        <v>899</v>
      </c>
      <c r="FS44" t="s">
        <v>899</v>
      </c>
      <c r="FT44" t="s">
        <v>899</v>
      </c>
      <c r="FU44" t="s">
        <v>899</v>
      </c>
      <c r="FX44" t="s">
        <v>899</v>
      </c>
      <c r="FY44" t="s">
        <v>899</v>
      </c>
      <c r="FZ44" t="s">
        <v>899</v>
      </c>
      <c r="GA44" t="s">
        <v>899</v>
      </c>
      <c r="GH44" t="str">
        <f t="shared" si="2"/>
        <v/>
      </c>
    </row>
    <row r="45" spans="1:190" x14ac:dyDescent="0.2">
      <c r="A45" t="str">
        <f t="shared" si="3"/>
        <v>Belagerungswaffen</v>
      </c>
      <c r="BQ45" t="s">
        <v>899</v>
      </c>
      <c r="BR45" t="s">
        <v>899</v>
      </c>
      <c r="BS45" t="s">
        <v>899</v>
      </c>
      <c r="CF45" t="s">
        <v>899</v>
      </c>
      <c r="CG45" t="s">
        <v>899</v>
      </c>
      <c r="CH45" t="s">
        <v>899</v>
      </c>
      <c r="CI45" t="s">
        <v>899</v>
      </c>
      <c r="CL45" t="s">
        <v>899</v>
      </c>
      <c r="CM45" t="s">
        <v>899</v>
      </c>
      <c r="CX45" t="s">
        <v>899</v>
      </c>
      <c r="CY45" t="s">
        <v>899</v>
      </c>
      <c r="DA45" t="s">
        <v>899</v>
      </c>
      <c r="DB45" t="s">
        <v>899</v>
      </c>
      <c r="DC45" t="s">
        <v>899</v>
      </c>
      <c r="FI45" t="s">
        <v>899</v>
      </c>
      <c r="FJ45" t="s">
        <v>899</v>
      </c>
      <c r="FS45" t="s">
        <v>899</v>
      </c>
      <c r="FT45" t="s">
        <v>899</v>
      </c>
      <c r="FX45" t="s">
        <v>899</v>
      </c>
      <c r="FY45" t="s">
        <v>899</v>
      </c>
      <c r="FZ45" t="s">
        <v>899</v>
      </c>
      <c r="GA45" t="s">
        <v>899</v>
      </c>
      <c r="GH45" t="str">
        <f t="shared" si="2"/>
        <v/>
      </c>
    </row>
    <row r="46" spans="1:190" x14ac:dyDescent="0.2">
      <c r="A46" t="str">
        <f t="shared" si="3"/>
        <v>Blasrohr</v>
      </c>
      <c r="BQ46" t="s">
        <v>899</v>
      </c>
      <c r="BR46" t="s">
        <v>899</v>
      </c>
      <c r="BS46" t="s">
        <v>899</v>
      </c>
      <c r="CF46" t="s">
        <v>899</v>
      </c>
      <c r="CG46" t="s">
        <v>899</v>
      </c>
      <c r="CH46" t="s">
        <v>899</v>
      </c>
      <c r="CI46" t="s">
        <v>899</v>
      </c>
      <c r="CL46" t="s">
        <v>899</v>
      </c>
      <c r="CM46" t="s">
        <v>899</v>
      </c>
      <c r="CN46" t="s">
        <v>899</v>
      </c>
      <c r="CO46" t="s">
        <v>899</v>
      </c>
      <c r="CP46" t="s">
        <v>899</v>
      </c>
      <c r="CX46" t="s">
        <v>899</v>
      </c>
      <c r="CY46" t="s">
        <v>899</v>
      </c>
      <c r="DA46" t="s">
        <v>899</v>
      </c>
      <c r="DB46" t="s">
        <v>899</v>
      </c>
      <c r="DC46" t="s">
        <v>899</v>
      </c>
      <c r="FI46" t="s">
        <v>899</v>
      </c>
      <c r="FJ46" t="s">
        <v>899</v>
      </c>
      <c r="FS46" t="s">
        <v>899</v>
      </c>
      <c r="FT46" t="s">
        <v>899</v>
      </c>
      <c r="FU46" t="s">
        <v>899</v>
      </c>
      <c r="FX46" t="s">
        <v>899</v>
      </c>
      <c r="FY46" t="s">
        <v>899</v>
      </c>
      <c r="FZ46" t="s">
        <v>899</v>
      </c>
      <c r="GA46" t="s">
        <v>899</v>
      </c>
      <c r="GH46" t="str">
        <f t="shared" si="2"/>
        <v/>
      </c>
    </row>
    <row r="47" spans="1:190" x14ac:dyDescent="0.2">
      <c r="A47" t="str">
        <f t="shared" si="3"/>
        <v>Bogen</v>
      </c>
      <c r="AS47">
        <v>6</v>
      </c>
      <c r="AT47">
        <v>6</v>
      </c>
      <c r="AU47">
        <v>6</v>
      </c>
      <c r="AV47">
        <v>6</v>
      </c>
      <c r="AY47">
        <v>3</v>
      </c>
      <c r="BH47">
        <v>5</v>
      </c>
      <c r="BI47">
        <v>5</v>
      </c>
      <c r="BQ47" t="s">
        <v>899</v>
      </c>
      <c r="BR47" t="s">
        <v>899</v>
      </c>
      <c r="BS47" t="s">
        <v>899</v>
      </c>
      <c r="CF47" t="s">
        <v>899</v>
      </c>
      <c r="CG47" t="s">
        <v>899</v>
      </c>
      <c r="CH47" t="s">
        <v>899</v>
      </c>
      <c r="CI47" t="s">
        <v>899</v>
      </c>
      <c r="CL47" t="s">
        <v>899</v>
      </c>
      <c r="CM47" t="s">
        <v>899</v>
      </c>
      <c r="CN47" t="s">
        <v>899</v>
      </c>
      <c r="CO47" t="s">
        <v>899</v>
      </c>
      <c r="CP47" t="s">
        <v>899</v>
      </c>
      <c r="CX47" t="s">
        <v>899</v>
      </c>
      <c r="CY47" t="s">
        <v>899</v>
      </c>
      <c r="DA47" t="s">
        <v>899</v>
      </c>
      <c r="DB47" t="s">
        <v>899</v>
      </c>
      <c r="DC47" t="s">
        <v>899</v>
      </c>
      <c r="FI47" t="s">
        <v>899</v>
      </c>
      <c r="FJ47" t="s">
        <v>899</v>
      </c>
      <c r="FS47" t="s">
        <v>899</v>
      </c>
      <c r="FT47" t="s">
        <v>899</v>
      </c>
      <c r="FU47" t="s">
        <v>899</v>
      </c>
      <c r="FX47" t="s">
        <v>899</v>
      </c>
      <c r="FY47" t="s">
        <v>899</v>
      </c>
      <c r="FZ47" t="s">
        <v>899</v>
      </c>
      <c r="GA47" t="s">
        <v>899</v>
      </c>
      <c r="GH47" t="str">
        <f t="shared" si="2"/>
        <v/>
      </c>
    </row>
    <row r="48" spans="1:190" x14ac:dyDescent="0.2">
      <c r="A48" t="str">
        <f t="shared" si="3"/>
        <v>Diskus</v>
      </c>
      <c r="BQ48" t="s">
        <v>899</v>
      </c>
      <c r="BR48" t="s">
        <v>899</v>
      </c>
      <c r="BS48" t="s">
        <v>899</v>
      </c>
      <c r="CF48" t="s">
        <v>899</v>
      </c>
      <c r="CG48" t="s">
        <v>899</v>
      </c>
      <c r="CH48" t="s">
        <v>899</v>
      </c>
      <c r="CI48" t="s">
        <v>899</v>
      </c>
      <c r="CL48" t="s">
        <v>899</v>
      </c>
      <c r="CM48" t="s">
        <v>899</v>
      </c>
      <c r="CN48" t="s">
        <v>899</v>
      </c>
      <c r="CO48" t="s">
        <v>899</v>
      </c>
      <c r="CP48" t="s">
        <v>899</v>
      </c>
      <c r="CQ48">
        <v>1</v>
      </c>
      <c r="CR48">
        <v>1</v>
      </c>
      <c r="CS48">
        <v>2</v>
      </c>
      <c r="CT48">
        <v>2</v>
      </c>
      <c r="CX48" t="s">
        <v>899</v>
      </c>
      <c r="CY48" t="s">
        <v>899</v>
      </c>
      <c r="DA48" t="s">
        <v>899</v>
      </c>
      <c r="DB48" t="s">
        <v>899</v>
      </c>
      <c r="DC48" t="s">
        <v>899</v>
      </c>
      <c r="FI48" t="s">
        <v>899</v>
      </c>
      <c r="FJ48" t="s">
        <v>899</v>
      </c>
      <c r="FS48" t="s">
        <v>899</v>
      </c>
      <c r="FT48" t="s">
        <v>899</v>
      </c>
      <c r="FU48" t="s">
        <v>899</v>
      </c>
      <c r="FX48" t="s">
        <v>899</v>
      </c>
      <c r="FY48" t="s">
        <v>899</v>
      </c>
      <c r="FZ48" t="s">
        <v>899</v>
      </c>
      <c r="GA48" t="s">
        <v>899</v>
      </c>
      <c r="GH48" t="str">
        <f t="shared" si="2"/>
        <v/>
      </c>
    </row>
    <row r="49" spans="1:190" x14ac:dyDescent="0.2">
      <c r="A49" t="str">
        <f t="shared" si="3"/>
        <v>Dolche</v>
      </c>
      <c r="F49">
        <v>2</v>
      </c>
      <c r="H49">
        <v>2</v>
      </c>
      <c r="I49">
        <v>2</v>
      </c>
      <c r="J49">
        <v>2</v>
      </c>
      <c r="K49">
        <v>2</v>
      </c>
      <c r="L49">
        <v>2</v>
      </c>
      <c r="M49">
        <v>2</v>
      </c>
      <c r="N49">
        <v>2</v>
      </c>
      <c r="O49">
        <v>2</v>
      </c>
      <c r="P49">
        <v>2</v>
      </c>
      <c r="Q49">
        <v>2</v>
      </c>
      <c r="R49">
        <v>2</v>
      </c>
      <c r="S49">
        <v>2</v>
      </c>
      <c r="T49">
        <v>2</v>
      </c>
      <c r="U49">
        <v>2</v>
      </c>
      <c r="V49">
        <v>2</v>
      </c>
      <c r="W49">
        <v>2</v>
      </c>
      <c r="X49">
        <v>2</v>
      </c>
      <c r="Y49">
        <v>2</v>
      </c>
      <c r="Z49">
        <v>2</v>
      </c>
      <c r="AA49">
        <v>2</v>
      </c>
      <c r="AB49">
        <v>2</v>
      </c>
      <c r="AC49">
        <v>2</v>
      </c>
      <c r="AD49">
        <v>2</v>
      </c>
      <c r="AE49">
        <v>2</v>
      </c>
      <c r="AF49">
        <v>2</v>
      </c>
      <c r="AG49">
        <v>2</v>
      </c>
      <c r="AH49">
        <v>2</v>
      </c>
      <c r="AI49">
        <v>2</v>
      </c>
      <c r="AJ49">
        <v>3</v>
      </c>
      <c r="AK49">
        <v>3</v>
      </c>
      <c r="AL49">
        <v>3</v>
      </c>
      <c r="AM49">
        <v>2</v>
      </c>
      <c r="AN49">
        <v>1</v>
      </c>
      <c r="AO49">
        <v>2</v>
      </c>
      <c r="AP49">
        <v>2</v>
      </c>
      <c r="AQ49">
        <v>2</v>
      </c>
      <c r="AR49">
        <v>2</v>
      </c>
      <c r="AS49">
        <v>4</v>
      </c>
      <c r="AT49">
        <v>4</v>
      </c>
      <c r="AU49">
        <v>6</v>
      </c>
      <c r="AV49">
        <v>4</v>
      </c>
      <c r="AW49">
        <v>3</v>
      </c>
      <c r="AX49">
        <v>4</v>
      </c>
      <c r="AY49">
        <v>3</v>
      </c>
      <c r="BD49">
        <v>1</v>
      </c>
      <c r="BQ49" t="s">
        <v>4571</v>
      </c>
      <c r="BR49" t="s">
        <v>4570</v>
      </c>
      <c r="BS49" t="s">
        <v>4571</v>
      </c>
      <c r="BT49">
        <v>3</v>
      </c>
      <c r="BU49">
        <v>3</v>
      </c>
      <c r="BV49">
        <v>3</v>
      </c>
      <c r="BW49">
        <v>3</v>
      </c>
      <c r="BX49">
        <v>3</v>
      </c>
      <c r="BY49">
        <v>3</v>
      </c>
      <c r="BZ49">
        <v>3</v>
      </c>
      <c r="CA49">
        <v>2</v>
      </c>
      <c r="CC49" t="s">
        <v>2344</v>
      </c>
      <c r="CD49" t="s">
        <v>2344</v>
      </c>
      <c r="CF49" t="s">
        <v>4570</v>
      </c>
      <c r="CG49" t="s">
        <v>4570</v>
      </c>
      <c r="CH49" t="s">
        <v>4570</v>
      </c>
      <c r="CI49" t="s">
        <v>4570</v>
      </c>
      <c r="CJ49">
        <v>2</v>
      </c>
      <c r="CK49">
        <v>4</v>
      </c>
      <c r="CL49" t="s">
        <v>4570</v>
      </c>
      <c r="CM49" t="s">
        <v>4570</v>
      </c>
      <c r="CO49">
        <v>1</v>
      </c>
      <c r="CU49">
        <v>3</v>
      </c>
      <c r="CV49">
        <v>1</v>
      </c>
      <c r="CW49">
        <v>1</v>
      </c>
      <c r="CZ49">
        <v>2</v>
      </c>
      <c r="DA49" t="s">
        <v>899</v>
      </c>
      <c r="DB49" t="s">
        <v>899</v>
      </c>
      <c r="DC49" t="s">
        <v>899</v>
      </c>
      <c r="DH49">
        <v>1</v>
      </c>
      <c r="DI49">
        <v>1</v>
      </c>
      <c r="DJ49">
        <v>1</v>
      </c>
      <c r="DK49">
        <v>1</v>
      </c>
      <c r="DL49">
        <v>3</v>
      </c>
      <c r="DM49">
        <v>3</v>
      </c>
      <c r="DN49">
        <v>3</v>
      </c>
      <c r="DO49">
        <v>3</v>
      </c>
      <c r="DP49">
        <v>2</v>
      </c>
      <c r="DQ49">
        <v>1</v>
      </c>
      <c r="DR49">
        <v>1</v>
      </c>
      <c r="DS49">
        <v>1</v>
      </c>
      <c r="DT49">
        <v>1</v>
      </c>
      <c r="DU49">
        <v>1</v>
      </c>
      <c r="DX49">
        <v>1</v>
      </c>
      <c r="DZ49">
        <v>1</v>
      </c>
      <c r="EA49">
        <v>1</v>
      </c>
      <c r="EB49">
        <v>1</v>
      </c>
      <c r="EC49">
        <v>1</v>
      </c>
      <c r="ED49">
        <v>1</v>
      </c>
      <c r="EE49">
        <v>1</v>
      </c>
      <c r="EF49">
        <v>1</v>
      </c>
      <c r="FI49" t="s">
        <v>899</v>
      </c>
      <c r="FJ49" t="s">
        <v>899</v>
      </c>
      <c r="FS49" t="s">
        <v>899</v>
      </c>
      <c r="FT49" t="s">
        <v>899</v>
      </c>
      <c r="GA49" t="s">
        <v>899</v>
      </c>
      <c r="GH49" t="str">
        <f t="shared" si="2"/>
        <v/>
      </c>
    </row>
    <row r="50" spans="1:190" x14ac:dyDescent="0.2">
      <c r="A50" t="str">
        <f t="shared" si="3"/>
        <v>Fechtwaffen</v>
      </c>
      <c r="BQ50" t="s">
        <v>899</v>
      </c>
      <c r="BR50" t="s">
        <v>899</v>
      </c>
      <c r="BS50" t="s">
        <v>899</v>
      </c>
      <c r="CF50" t="s">
        <v>899</v>
      </c>
      <c r="CG50" t="s">
        <v>899</v>
      </c>
      <c r="CH50" t="s">
        <v>899</v>
      </c>
      <c r="CI50" t="s">
        <v>899</v>
      </c>
      <c r="CL50" t="s">
        <v>899</v>
      </c>
      <c r="CM50" t="s">
        <v>899</v>
      </c>
      <c r="DA50" t="s">
        <v>899</v>
      </c>
      <c r="DB50" t="s">
        <v>899</v>
      </c>
      <c r="DC50" t="s">
        <v>899</v>
      </c>
      <c r="FI50" t="s">
        <v>899</v>
      </c>
      <c r="FJ50" t="s">
        <v>899</v>
      </c>
      <c r="FS50" t="s">
        <v>899</v>
      </c>
      <c r="FT50" t="s">
        <v>899</v>
      </c>
      <c r="GA50" t="s">
        <v>899</v>
      </c>
      <c r="GH50" t="str">
        <f t="shared" si="2"/>
        <v/>
      </c>
    </row>
    <row r="51" spans="1:190" x14ac:dyDescent="0.2">
      <c r="A51" t="str">
        <f t="shared" si="3"/>
        <v>Hiebwaffen</v>
      </c>
      <c r="C51" t="s">
        <v>2762</v>
      </c>
      <c r="D51" t="s">
        <v>2762</v>
      </c>
      <c r="E51" t="s">
        <v>2762</v>
      </c>
      <c r="F51">
        <v>5</v>
      </c>
      <c r="O51">
        <v>1</v>
      </c>
      <c r="P51">
        <v>1</v>
      </c>
      <c r="Q51">
        <v>1</v>
      </c>
      <c r="Y51">
        <v>1</v>
      </c>
      <c r="Z51">
        <v>1</v>
      </c>
      <c r="AA51">
        <v>1</v>
      </c>
      <c r="AB51">
        <v>1</v>
      </c>
      <c r="AF51">
        <v>4</v>
      </c>
      <c r="AG51">
        <v>4</v>
      </c>
      <c r="AH51">
        <v>5</v>
      </c>
      <c r="AU51">
        <v>4</v>
      </c>
      <c r="BJ51">
        <v>3</v>
      </c>
      <c r="BK51">
        <v>3</v>
      </c>
      <c r="BQ51" t="s">
        <v>899</v>
      </c>
      <c r="BR51" t="s">
        <v>899</v>
      </c>
      <c r="BS51" t="s">
        <v>899</v>
      </c>
      <c r="BY51">
        <v>2</v>
      </c>
      <c r="CB51">
        <v>2</v>
      </c>
      <c r="CC51" t="s">
        <v>2762</v>
      </c>
      <c r="CD51" t="s">
        <v>2762</v>
      </c>
      <c r="CE51" t="s">
        <v>2344</v>
      </c>
      <c r="CF51" t="s">
        <v>899</v>
      </c>
      <c r="CG51" t="s">
        <v>899</v>
      </c>
      <c r="CH51" t="s">
        <v>899</v>
      </c>
      <c r="CI51" t="s">
        <v>899</v>
      </c>
      <c r="CL51" t="s">
        <v>899</v>
      </c>
      <c r="CM51" t="s">
        <v>899</v>
      </c>
      <c r="CV51">
        <v>4</v>
      </c>
      <c r="CW51">
        <v>4</v>
      </c>
      <c r="DA51" t="s">
        <v>899</v>
      </c>
      <c r="DB51" t="s">
        <v>899</v>
      </c>
      <c r="DC51" t="s">
        <v>899</v>
      </c>
      <c r="DF51">
        <v>3</v>
      </c>
      <c r="DG51">
        <v>4</v>
      </c>
      <c r="DH51">
        <v>1</v>
      </c>
      <c r="DI51">
        <v>2</v>
      </c>
      <c r="DJ51">
        <v>1</v>
      </c>
      <c r="DK51">
        <v>3</v>
      </c>
      <c r="DL51">
        <v>2</v>
      </c>
      <c r="DM51">
        <v>2</v>
      </c>
      <c r="DN51">
        <v>2</v>
      </c>
      <c r="DO51">
        <v>2</v>
      </c>
      <c r="DP51">
        <v>3</v>
      </c>
      <c r="DU51">
        <v>1</v>
      </c>
      <c r="DZ51">
        <v>2</v>
      </c>
      <c r="EA51">
        <v>2</v>
      </c>
      <c r="EB51">
        <v>2</v>
      </c>
      <c r="EC51">
        <v>2</v>
      </c>
      <c r="EE51">
        <v>2</v>
      </c>
      <c r="EF51">
        <v>2</v>
      </c>
      <c r="FI51" t="s">
        <v>899</v>
      </c>
      <c r="FJ51" t="s">
        <v>899</v>
      </c>
      <c r="FS51" t="s">
        <v>899</v>
      </c>
      <c r="FT51" t="s">
        <v>899</v>
      </c>
      <c r="FU51" t="s">
        <v>339</v>
      </c>
      <c r="GA51" t="s">
        <v>899</v>
      </c>
      <c r="GH51" t="str">
        <f t="shared" si="2"/>
        <v/>
      </c>
    </row>
    <row r="52" spans="1:190" x14ac:dyDescent="0.2">
      <c r="A52" t="str">
        <f t="shared" si="3"/>
        <v>Infanteriewaffen</v>
      </c>
      <c r="AM52">
        <v>6</v>
      </c>
      <c r="AW52">
        <v>6</v>
      </c>
      <c r="BL52" t="s">
        <v>1151</v>
      </c>
      <c r="BQ52" t="s">
        <v>899</v>
      </c>
      <c r="BR52" t="s">
        <v>899</v>
      </c>
      <c r="BS52" t="s">
        <v>899</v>
      </c>
      <c r="CF52" t="s">
        <v>899</v>
      </c>
      <c r="CG52" t="s">
        <v>899</v>
      </c>
      <c r="CH52" t="s">
        <v>899</v>
      </c>
      <c r="CI52" t="s">
        <v>899</v>
      </c>
      <c r="CL52" t="s">
        <v>899</v>
      </c>
      <c r="CM52" t="s">
        <v>899</v>
      </c>
      <c r="DA52" t="s">
        <v>899</v>
      </c>
      <c r="DB52" t="s">
        <v>899</v>
      </c>
      <c r="DC52" t="s">
        <v>899</v>
      </c>
      <c r="FG52">
        <v>1</v>
      </c>
      <c r="FI52" t="s">
        <v>899</v>
      </c>
      <c r="FJ52" t="s">
        <v>899</v>
      </c>
      <c r="FS52" t="s">
        <v>899</v>
      </c>
      <c r="FT52" t="s">
        <v>899</v>
      </c>
      <c r="GA52" t="s">
        <v>899</v>
      </c>
      <c r="GH52" t="str">
        <f t="shared" si="2"/>
        <v/>
      </c>
    </row>
    <row r="53" spans="1:190" x14ac:dyDescent="0.2">
      <c r="A53" t="str">
        <f t="shared" si="3"/>
        <v>Kettenstäbe</v>
      </c>
      <c r="BQ53" t="s">
        <v>899</v>
      </c>
      <c r="BR53" t="s">
        <v>899</v>
      </c>
      <c r="BS53" t="s">
        <v>899</v>
      </c>
      <c r="CF53" t="s">
        <v>899</v>
      </c>
      <c r="CG53" t="s">
        <v>899</v>
      </c>
      <c r="CH53" t="s">
        <v>899</v>
      </c>
      <c r="CI53" t="s">
        <v>899</v>
      </c>
      <c r="CL53" t="s">
        <v>899</v>
      </c>
      <c r="CM53" t="s">
        <v>899</v>
      </c>
      <c r="DA53" t="s">
        <v>899</v>
      </c>
      <c r="DB53" t="s">
        <v>899</v>
      </c>
      <c r="DC53" t="s">
        <v>899</v>
      </c>
      <c r="FI53" t="s">
        <v>899</v>
      </c>
      <c r="FJ53" t="s">
        <v>899</v>
      </c>
      <c r="FS53" t="s">
        <v>899</v>
      </c>
      <c r="FT53" t="s">
        <v>899</v>
      </c>
      <c r="GA53" t="s">
        <v>899</v>
      </c>
      <c r="GH53" t="str">
        <f t="shared" si="2"/>
        <v/>
      </c>
    </row>
    <row r="54" spans="1:190" x14ac:dyDescent="0.2">
      <c r="A54" t="str">
        <f t="shared" si="3"/>
        <v>Kettenwaffen</v>
      </c>
      <c r="BQ54" t="s">
        <v>899</v>
      </c>
      <c r="BR54" t="s">
        <v>899</v>
      </c>
      <c r="BS54" t="s">
        <v>899</v>
      </c>
      <c r="CC54">
        <v>2</v>
      </c>
      <c r="CD54">
        <v>4</v>
      </c>
      <c r="CF54" t="s">
        <v>899</v>
      </c>
      <c r="CG54" t="s">
        <v>899</v>
      </c>
      <c r="CH54" t="s">
        <v>899</v>
      </c>
      <c r="CI54" t="s">
        <v>899</v>
      </c>
      <c r="CL54" t="s">
        <v>899</v>
      </c>
      <c r="CM54" t="s">
        <v>899</v>
      </c>
      <c r="DA54" t="s">
        <v>899</v>
      </c>
      <c r="DB54" t="s">
        <v>899</v>
      </c>
      <c r="DC54" t="s">
        <v>899</v>
      </c>
      <c r="FI54" t="s">
        <v>899</v>
      </c>
      <c r="FJ54" t="s">
        <v>899</v>
      </c>
      <c r="FS54" t="s">
        <v>899</v>
      </c>
      <c r="FT54" t="s">
        <v>899</v>
      </c>
      <c r="GA54" t="s">
        <v>899</v>
      </c>
      <c r="GH54" t="str">
        <f t="shared" si="2"/>
        <v/>
      </c>
    </row>
    <row r="55" spans="1:190" x14ac:dyDescent="0.2">
      <c r="A55" t="str">
        <f t="shared" si="3"/>
        <v>Lanzenreiten</v>
      </c>
      <c r="AK55">
        <v>4</v>
      </c>
      <c r="BQ55" t="s">
        <v>899</v>
      </c>
      <c r="BR55" t="s">
        <v>899</v>
      </c>
      <c r="BS55" t="s">
        <v>899</v>
      </c>
      <c r="CF55" t="s">
        <v>899</v>
      </c>
      <c r="CG55" t="s">
        <v>899</v>
      </c>
      <c r="CH55" t="s">
        <v>899</v>
      </c>
      <c r="CI55" t="s">
        <v>899</v>
      </c>
      <c r="CL55" t="s">
        <v>899</v>
      </c>
      <c r="CM55" t="s">
        <v>899</v>
      </c>
      <c r="CO55">
        <v>5</v>
      </c>
      <c r="CP55">
        <v>5</v>
      </c>
      <c r="CZ55">
        <v>4</v>
      </c>
      <c r="DA55" t="s">
        <v>899</v>
      </c>
      <c r="DB55" t="s">
        <v>899</v>
      </c>
      <c r="DC55" t="s">
        <v>899</v>
      </c>
      <c r="FI55" t="s">
        <v>899</v>
      </c>
      <c r="FJ55" t="s">
        <v>899</v>
      </c>
      <c r="FS55" t="s">
        <v>899</v>
      </c>
      <c r="FT55" t="s">
        <v>899</v>
      </c>
      <c r="GA55" t="s">
        <v>899</v>
      </c>
      <c r="GH55" t="str">
        <f t="shared" si="2"/>
        <v/>
      </c>
    </row>
    <row r="56" spans="1:190" x14ac:dyDescent="0.2">
      <c r="A56" t="str">
        <f t="shared" si="3"/>
        <v>Peitsche</v>
      </c>
      <c r="BQ56" t="s">
        <v>899</v>
      </c>
      <c r="BR56" t="s">
        <v>899</v>
      </c>
      <c r="BS56" t="s">
        <v>899</v>
      </c>
      <c r="CF56" t="s">
        <v>899</v>
      </c>
      <c r="CG56" t="s">
        <v>899</v>
      </c>
      <c r="CH56" t="s">
        <v>899</v>
      </c>
      <c r="CI56" t="s">
        <v>899</v>
      </c>
      <c r="CL56" t="s">
        <v>899</v>
      </c>
      <c r="CM56" t="s">
        <v>899</v>
      </c>
      <c r="CZ56" t="s">
        <v>4569</v>
      </c>
      <c r="DA56" t="s">
        <v>899</v>
      </c>
      <c r="DB56" t="s">
        <v>899</v>
      </c>
      <c r="DC56" t="s">
        <v>899</v>
      </c>
      <c r="FI56" t="s">
        <v>899</v>
      </c>
      <c r="FJ56" t="s">
        <v>899</v>
      </c>
      <c r="GA56" t="s">
        <v>899</v>
      </c>
      <c r="GH56" t="str">
        <f t="shared" si="2"/>
        <v/>
      </c>
    </row>
    <row r="57" spans="1:190" x14ac:dyDescent="0.2">
      <c r="A57" t="str">
        <f t="shared" si="3"/>
        <v>Raufen</v>
      </c>
      <c r="C57" t="s">
        <v>2344</v>
      </c>
      <c r="D57" t="s">
        <v>2344</v>
      </c>
      <c r="E57" t="s">
        <v>2344</v>
      </c>
      <c r="F57" t="s">
        <v>2344</v>
      </c>
      <c r="G57" t="s">
        <v>2762</v>
      </c>
      <c r="AF57">
        <v>2</v>
      </c>
      <c r="AG57">
        <v>2</v>
      </c>
      <c r="AH57">
        <v>2</v>
      </c>
      <c r="AJ57">
        <v>2</v>
      </c>
      <c r="AK57">
        <v>2</v>
      </c>
      <c r="AL57">
        <v>2</v>
      </c>
      <c r="AM57">
        <v>5</v>
      </c>
      <c r="AN57">
        <v>2</v>
      </c>
      <c r="AO57">
        <v>2</v>
      </c>
      <c r="AP57">
        <v>2</v>
      </c>
      <c r="AQ57">
        <v>2</v>
      </c>
      <c r="AR57">
        <v>2</v>
      </c>
      <c r="AS57">
        <v>2</v>
      </c>
      <c r="AT57">
        <v>2</v>
      </c>
      <c r="AU57">
        <v>6</v>
      </c>
      <c r="AV57">
        <v>2</v>
      </c>
      <c r="AW57">
        <v>2</v>
      </c>
      <c r="BC57">
        <v>1</v>
      </c>
      <c r="BI57">
        <v>3</v>
      </c>
      <c r="BK57" t="s">
        <v>4569</v>
      </c>
      <c r="BQ57" t="s">
        <v>2344</v>
      </c>
      <c r="BR57">
        <v>2</v>
      </c>
      <c r="BS57" t="s">
        <v>2344</v>
      </c>
      <c r="BT57">
        <v>3</v>
      </c>
      <c r="BU57">
        <v>3</v>
      </c>
      <c r="BV57">
        <v>3</v>
      </c>
      <c r="BW57">
        <v>3</v>
      </c>
      <c r="BX57">
        <v>3</v>
      </c>
      <c r="BY57">
        <v>3</v>
      </c>
      <c r="BZ57">
        <v>3</v>
      </c>
      <c r="CA57">
        <v>2</v>
      </c>
      <c r="CB57" t="s">
        <v>4569</v>
      </c>
      <c r="CC57" t="s">
        <v>4569</v>
      </c>
      <c r="CD57" t="s">
        <v>4569</v>
      </c>
      <c r="CF57" t="s">
        <v>4569</v>
      </c>
      <c r="CH57">
        <v>3</v>
      </c>
      <c r="CK57">
        <v>4</v>
      </c>
      <c r="CL57">
        <v>2</v>
      </c>
      <c r="CM57">
        <v>2</v>
      </c>
      <c r="CN57">
        <v>3</v>
      </c>
      <c r="CO57">
        <v>1</v>
      </c>
      <c r="CP57">
        <v>3</v>
      </c>
      <c r="CS57">
        <v>1</v>
      </c>
      <c r="CT57">
        <v>1</v>
      </c>
      <c r="CU57">
        <v>2</v>
      </c>
      <c r="CV57">
        <v>3</v>
      </c>
      <c r="CW57">
        <v>5</v>
      </c>
      <c r="CX57">
        <v>2</v>
      </c>
      <c r="CY57">
        <v>4</v>
      </c>
      <c r="CZ57">
        <v>1</v>
      </c>
      <c r="DA57">
        <v>1</v>
      </c>
      <c r="DB57">
        <v>1</v>
      </c>
      <c r="DC57">
        <v>1</v>
      </c>
      <c r="DD57">
        <v>1</v>
      </c>
      <c r="DH57">
        <v>3</v>
      </c>
      <c r="DI57">
        <v>3</v>
      </c>
      <c r="DJ57">
        <v>3</v>
      </c>
      <c r="DL57">
        <v>2</v>
      </c>
      <c r="DM57">
        <v>2</v>
      </c>
      <c r="DN57">
        <v>2</v>
      </c>
      <c r="DO57">
        <v>2</v>
      </c>
      <c r="DP57">
        <v>1</v>
      </c>
      <c r="DQ57">
        <v>1</v>
      </c>
      <c r="DR57">
        <v>1</v>
      </c>
      <c r="DS57">
        <v>1</v>
      </c>
      <c r="DT57">
        <v>1</v>
      </c>
      <c r="DU57">
        <v>1</v>
      </c>
      <c r="DY57">
        <v>1</v>
      </c>
      <c r="GH57" t="str">
        <f t="shared" si="2"/>
        <v/>
      </c>
    </row>
    <row r="58" spans="1:190" x14ac:dyDescent="0.2">
      <c r="A58" t="str">
        <f t="shared" si="3"/>
        <v>Ringen</v>
      </c>
      <c r="H58">
        <v>2</v>
      </c>
      <c r="I58">
        <v>2</v>
      </c>
      <c r="J58">
        <v>2</v>
      </c>
      <c r="K58">
        <v>2</v>
      </c>
      <c r="L58">
        <v>2</v>
      </c>
      <c r="M58">
        <v>2</v>
      </c>
      <c r="N58">
        <v>2</v>
      </c>
      <c r="O58">
        <v>2</v>
      </c>
      <c r="P58">
        <v>2</v>
      </c>
      <c r="Q58">
        <v>2</v>
      </c>
      <c r="R58">
        <v>2</v>
      </c>
      <c r="S58">
        <v>2</v>
      </c>
      <c r="T58">
        <v>2</v>
      </c>
      <c r="U58">
        <v>2</v>
      </c>
      <c r="V58">
        <v>2</v>
      </c>
      <c r="W58">
        <v>2</v>
      </c>
      <c r="X58">
        <v>2</v>
      </c>
      <c r="Y58">
        <v>2</v>
      </c>
      <c r="Z58">
        <v>2</v>
      </c>
      <c r="AA58">
        <v>2</v>
      </c>
      <c r="AB58">
        <v>2</v>
      </c>
      <c r="AC58">
        <v>2</v>
      </c>
      <c r="AD58">
        <v>2</v>
      </c>
      <c r="AE58">
        <v>2</v>
      </c>
      <c r="AF58">
        <v>3</v>
      </c>
      <c r="AG58">
        <v>3</v>
      </c>
      <c r="AH58">
        <v>3</v>
      </c>
      <c r="AI58">
        <v>2</v>
      </c>
      <c r="AJ58">
        <v>2</v>
      </c>
      <c r="AK58">
        <v>2</v>
      </c>
      <c r="AL58">
        <v>2</v>
      </c>
      <c r="AM58">
        <v>3</v>
      </c>
      <c r="AS58">
        <v>2</v>
      </c>
      <c r="AT58">
        <v>2</v>
      </c>
      <c r="AU58">
        <v>2</v>
      </c>
      <c r="AV58">
        <v>2</v>
      </c>
      <c r="AW58">
        <v>4</v>
      </c>
      <c r="AX58">
        <v>4</v>
      </c>
      <c r="AY58">
        <v>4</v>
      </c>
      <c r="BG58">
        <v>2</v>
      </c>
      <c r="BJ58">
        <v>2</v>
      </c>
      <c r="BK58">
        <v>2</v>
      </c>
      <c r="BQ58" t="s">
        <v>4569</v>
      </c>
      <c r="BR58" t="s">
        <v>4569</v>
      </c>
      <c r="BS58" t="s">
        <v>4569</v>
      </c>
      <c r="CA58">
        <v>3</v>
      </c>
      <c r="CC58" t="s">
        <v>2762</v>
      </c>
      <c r="CD58" t="s">
        <v>2762</v>
      </c>
      <c r="CF58" t="s">
        <v>2327</v>
      </c>
      <c r="CG58">
        <v>4</v>
      </c>
      <c r="CH58">
        <v>5</v>
      </c>
      <c r="CI58">
        <v>4</v>
      </c>
      <c r="CJ58">
        <v>5</v>
      </c>
      <c r="CK58">
        <v>4</v>
      </c>
      <c r="CL58">
        <v>2</v>
      </c>
      <c r="CM58">
        <v>2</v>
      </c>
      <c r="CN58">
        <v>3</v>
      </c>
      <c r="CO58">
        <v>3</v>
      </c>
      <c r="CP58">
        <v>2</v>
      </c>
      <c r="CQ58">
        <v>1</v>
      </c>
      <c r="CR58">
        <v>1</v>
      </c>
      <c r="CS58">
        <v>2</v>
      </c>
      <c r="CT58">
        <v>2</v>
      </c>
      <c r="CU58">
        <v>4</v>
      </c>
      <c r="CV58">
        <v>3</v>
      </c>
      <c r="CW58">
        <v>6</v>
      </c>
      <c r="CZ58">
        <v>3</v>
      </c>
      <c r="DA58">
        <v>3</v>
      </c>
      <c r="DB58">
        <v>5</v>
      </c>
      <c r="DC58">
        <v>2</v>
      </c>
      <c r="DD58">
        <v>3</v>
      </c>
      <c r="DF58">
        <v>2</v>
      </c>
      <c r="DG58">
        <v>1</v>
      </c>
      <c r="DP58">
        <v>1</v>
      </c>
      <c r="DV58">
        <v>1</v>
      </c>
      <c r="DW58">
        <v>1</v>
      </c>
      <c r="DY58">
        <v>3</v>
      </c>
      <c r="GH58" t="str">
        <f t="shared" si="2"/>
        <v/>
      </c>
    </row>
    <row r="59" spans="1:190" x14ac:dyDescent="0.2">
      <c r="A59" t="str">
        <f t="shared" si="3"/>
        <v>Säbel</v>
      </c>
      <c r="AW59">
        <v>3</v>
      </c>
      <c r="AY59">
        <v>5</v>
      </c>
      <c r="BQ59" t="s">
        <v>899</v>
      </c>
      <c r="BR59" t="s">
        <v>899</v>
      </c>
      <c r="BS59" t="s">
        <v>899</v>
      </c>
      <c r="CF59" t="s">
        <v>899</v>
      </c>
      <c r="CG59" t="s">
        <v>899</v>
      </c>
      <c r="CH59" t="s">
        <v>899</v>
      </c>
      <c r="CI59" t="s">
        <v>899</v>
      </c>
      <c r="CJ59">
        <v>6</v>
      </c>
      <c r="CL59" t="s">
        <v>899</v>
      </c>
      <c r="CM59" t="s">
        <v>899</v>
      </c>
      <c r="CU59">
        <v>6</v>
      </c>
      <c r="CV59" t="s">
        <v>4569</v>
      </c>
      <c r="CW59" t="s">
        <v>4569</v>
      </c>
      <c r="DA59" t="s">
        <v>899</v>
      </c>
      <c r="DB59" t="s">
        <v>899</v>
      </c>
      <c r="DC59" t="s">
        <v>899</v>
      </c>
      <c r="FI59" t="s">
        <v>899</v>
      </c>
      <c r="FJ59" t="s">
        <v>899</v>
      </c>
      <c r="FS59" t="s">
        <v>899</v>
      </c>
      <c r="FT59" t="s">
        <v>899</v>
      </c>
      <c r="GA59" t="s">
        <v>899</v>
      </c>
      <c r="GH59" t="str">
        <f t="shared" si="2"/>
        <v/>
      </c>
    </row>
    <row r="60" spans="1:190" x14ac:dyDescent="0.2">
      <c r="A60" t="str">
        <f t="shared" si="3"/>
        <v>Schleuder</v>
      </c>
      <c r="AL60">
        <v>3</v>
      </c>
      <c r="BQ60" t="s">
        <v>899</v>
      </c>
      <c r="BR60" t="s">
        <v>899</v>
      </c>
      <c r="BS60" t="s">
        <v>899</v>
      </c>
      <c r="CF60" t="s">
        <v>899</v>
      </c>
      <c r="CG60" t="s">
        <v>899</v>
      </c>
      <c r="CH60" t="s">
        <v>899</v>
      </c>
      <c r="CI60" t="s">
        <v>899</v>
      </c>
      <c r="CL60" t="s">
        <v>899</v>
      </c>
      <c r="CM60">
        <v>2</v>
      </c>
      <c r="CN60" t="s">
        <v>899</v>
      </c>
      <c r="CO60" t="s">
        <v>899</v>
      </c>
      <c r="CP60" t="s">
        <v>899</v>
      </c>
      <c r="CV60" t="s">
        <v>4569</v>
      </c>
      <c r="CW60" t="s">
        <v>4569</v>
      </c>
      <c r="CX60" t="s">
        <v>899</v>
      </c>
      <c r="CY60" t="s">
        <v>899</v>
      </c>
      <c r="DA60" t="s">
        <v>899</v>
      </c>
      <c r="DB60" t="s">
        <v>899</v>
      </c>
      <c r="DC60" t="s">
        <v>899</v>
      </c>
      <c r="FI60" t="s">
        <v>899</v>
      </c>
      <c r="FJ60" t="s">
        <v>899</v>
      </c>
      <c r="FS60" t="s">
        <v>899</v>
      </c>
      <c r="FT60" t="s">
        <v>899</v>
      </c>
      <c r="FX60" t="s">
        <v>899</v>
      </c>
      <c r="FY60" t="s">
        <v>899</v>
      </c>
      <c r="FZ60" t="s">
        <v>899</v>
      </c>
      <c r="GA60" t="s">
        <v>899</v>
      </c>
      <c r="GH60" t="str">
        <f t="shared" si="2"/>
        <v/>
      </c>
    </row>
    <row r="61" spans="1:190" x14ac:dyDescent="0.2">
      <c r="A61" t="str">
        <f t="shared" si="3"/>
        <v>Schwerter</v>
      </c>
      <c r="BQ61" t="s">
        <v>899</v>
      </c>
      <c r="BR61" t="s">
        <v>899</v>
      </c>
      <c r="BS61" t="s">
        <v>899</v>
      </c>
      <c r="CD61" t="s">
        <v>2573</v>
      </c>
      <c r="CF61" t="s">
        <v>899</v>
      </c>
      <c r="CG61" t="s">
        <v>899</v>
      </c>
      <c r="CH61" t="s">
        <v>899</v>
      </c>
      <c r="CI61" t="s">
        <v>899</v>
      </c>
      <c r="CL61" t="s">
        <v>899</v>
      </c>
      <c r="CM61" t="s">
        <v>899</v>
      </c>
      <c r="CV61" t="s">
        <v>4569</v>
      </c>
      <c r="CW61" t="s">
        <v>4569</v>
      </c>
      <c r="CZ61">
        <v>2</v>
      </c>
      <c r="DA61" t="s">
        <v>899</v>
      </c>
      <c r="DB61" t="s">
        <v>899</v>
      </c>
      <c r="DC61" t="s">
        <v>899</v>
      </c>
      <c r="ED61">
        <v>2</v>
      </c>
      <c r="FI61" t="s">
        <v>899</v>
      </c>
      <c r="FJ61" t="s">
        <v>899</v>
      </c>
      <c r="FS61" t="s">
        <v>899</v>
      </c>
      <c r="FT61" t="s">
        <v>899</v>
      </c>
      <c r="GA61" t="s">
        <v>899</v>
      </c>
      <c r="GH61" t="str">
        <f t="shared" si="2"/>
        <v/>
      </c>
    </row>
    <row r="62" spans="1:190" x14ac:dyDescent="0.2">
      <c r="A62" t="str">
        <f t="shared" si="3"/>
        <v>Speere</v>
      </c>
      <c r="AO62">
        <v>3</v>
      </c>
      <c r="AP62">
        <v>3</v>
      </c>
      <c r="AQ62">
        <v>3</v>
      </c>
      <c r="AR62">
        <v>3</v>
      </c>
      <c r="AS62">
        <v>4</v>
      </c>
      <c r="AT62">
        <v>4</v>
      </c>
      <c r="AU62">
        <v>5</v>
      </c>
      <c r="AV62">
        <v>4</v>
      </c>
      <c r="BG62">
        <v>3</v>
      </c>
      <c r="BQ62" t="s">
        <v>899</v>
      </c>
      <c r="BR62" t="s">
        <v>899</v>
      </c>
      <c r="BS62" t="s">
        <v>899</v>
      </c>
      <c r="CF62" t="s">
        <v>899</v>
      </c>
      <c r="CG62" t="s">
        <v>899</v>
      </c>
      <c r="CH62" t="s">
        <v>899</v>
      </c>
      <c r="CI62" t="s">
        <v>899</v>
      </c>
      <c r="CL62" t="s">
        <v>899</v>
      </c>
      <c r="CM62" t="s">
        <v>899</v>
      </c>
      <c r="CO62">
        <v>2</v>
      </c>
      <c r="CV62" t="s">
        <v>4569</v>
      </c>
      <c r="CW62" t="s">
        <v>4569</v>
      </c>
      <c r="DA62" t="s">
        <v>899</v>
      </c>
      <c r="DB62" t="s">
        <v>899</v>
      </c>
      <c r="DC62" t="s">
        <v>899</v>
      </c>
      <c r="FI62" t="s">
        <v>899</v>
      </c>
      <c r="FJ62" t="s">
        <v>899</v>
      </c>
      <c r="FS62" t="s">
        <v>899</v>
      </c>
      <c r="FT62" t="s">
        <v>899</v>
      </c>
      <c r="GA62" t="s">
        <v>899</v>
      </c>
      <c r="GH62" t="str">
        <f t="shared" si="2"/>
        <v/>
      </c>
    </row>
    <row r="63" spans="1:190" x14ac:dyDescent="0.2">
      <c r="A63" t="str">
        <f t="shared" si="3"/>
        <v>Stäbe</v>
      </c>
      <c r="G63" t="s">
        <v>2344</v>
      </c>
      <c r="AN63">
        <v>2</v>
      </c>
      <c r="AZ63">
        <v>1</v>
      </c>
      <c r="BA63">
        <v>1</v>
      </c>
      <c r="BB63">
        <v>1</v>
      </c>
      <c r="BC63">
        <v>1</v>
      </c>
      <c r="BD63">
        <v>2</v>
      </c>
      <c r="BE63">
        <v>2</v>
      </c>
      <c r="BJ63" t="s">
        <v>4569</v>
      </c>
      <c r="BK63" t="s">
        <v>4569</v>
      </c>
      <c r="BM63">
        <v>2</v>
      </c>
      <c r="BN63" t="s">
        <v>2344</v>
      </c>
      <c r="BO63">
        <v>2</v>
      </c>
      <c r="BP63">
        <v>3</v>
      </c>
      <c r="BQ63" t="s">
        <v>4570</v>
      </c>
      <c r="BR63" t="s">
        <v>4571</v>
      </c>
      <c r="BS63" t="s">
        <v>4882</v>
      </c>
      <c r="CF63" t="s">
        <v>899</v>
      </c>
      <c r="CG63" t="s">
        <v>899</v>
      </c>
      <c r="CH63" t="s">
        <v>899</v>
      </c>
      <c r="CI63" t="s">
        <v>899</v>
      </c>
      <c r="CL63" t="s">
        <v>899</v>
      </c>
      <c r="CM63" t="s">
        <v>899</v>
      </c>
      <c r="CU63">
        <v>3</v>
      </c>
      <c r="CV63" t="s">
        <v>4569</v>
      </c>
      <c r="CW63" t="s">
        <v>4569</v>
      </c>
      <c r="DA63" t="s">
        <v>899</v>
      </c>
      <c r="DB63" t="s">
        <v>4570</v>
      </c>
      <c r="DC63" t="s">
        <v>899</v>
      </c>
      <c r="FI63" t="s">
        <v>899</v>
      </c>
      <c r="FJ63" t="s">
        <v>899</v>
      </c>
      <c r="FS63" t="s">
        <v>899</v>
      </c>
      <c r="FT63" t="s">
        <v>899</v>
      </c>
      <c r="GA63" t="s">
        <v>899</v>
      </c>
      <c r="GH63" t="str">
        <f t="shared" si="2"/>
        <v>2</v>
      </c>
    </row>
    <row r="64" spans="1:190" x14ac:dyDescent="0.2">
      <c r="A64" t="str">
        <f t="shared" si="3"/>
        <v>Wurfbeile</v>
      </c>
      <c r="BQ64" t="s">
        <v>899</v>
      </c>
      <c r="BR64" t="s">
        <v>899</v>
      </c>
      <c r="BS64" t="s">
        <v>899</v>
      </c>
      <c r="CF64" t="s">
        <v>899</v>
      </c>
      <c r="CG64" t="s">
        <v>899</v>
      </c>
      <c r="CH64" t="s">
        <v>899</v>
      </c>
      <c r="CI64" t="s">
        <v>899</v>
      </c>
      <c r="CL64" t="s">
        <v>899</v>
      </c>
      <c r="CM64" t="s">
        <v>899</v>
      </c>
      <c r="CN64" t="s">
        <v>899</v>
      </c>
      <c r="CO64" t="s">
        <v>899</v>
      </c>
      <c r="CP64" t="s">
        <v>899</v>
      </c>
      <c r="CV64">
        <v>3</v>
      </c>
      <c r="CW64">
        <v>3</v>
      </c>
      <c r="CX64" t="s">
        <v>899</v>
      </c>
      <c r="CY64" t="s">
        <v>899</v>
      </c>
      <c r="DA64" t="s">
        <v>899</v>
      </c>
      <c r="DB64" t="s">
        <v>899</v>
      </c>
      <c r="DC64" t="s">
        <v>899</v>
      </c>
      <c r="FI64" t="s">
        <v>899</v>
      </c>
      <c r="FJ64" t="s">
        <v>899</v>
      </c>
      <c r="FS64" t="s">
        <v>899</v>
      </c>
      <c r="FT64" t="s">
        <v>899</v>
      </c>
      <c r="FU64" t="s">
        <v>899</v>
      </c>
      <c r="FX64" t="s">
        <v>899</v>
      </c>
      <c r="FY64" t="s">
        <v>899</v>
      </c>
      <c r="FZ64" t="s">
        <v>899</v>
      </c>
      <c r="GA64" t="s">
        <v>899</v>
      </c>
      <c r="GH64" t="str">
        <f t="shared" si="2"/>
        <v/>
      </c>
    </row>
    <row r="65" spans="1:190" x14ac:dyDescent="0.2">
      <c r="A65" t="str">
        <f t="shared" si="3"/>
        <v>Wurfmesser</v>
      </c>
      <c r="BQ65" t="s">
        <v>899</v>
      </c>
      <c r="BR65" t="s">
        <v>899</v>
      </c>
      <c r="BS65" t="s">
        <v>899</v>
      </c>
      <c r="BV65">
        <v>2</v>
      </c>
      <c r="BW65">
        <v>2</v>
      </c>
      <c r="BY65">
        <v>2</v>
      </c>
      <c r="CF65" t="s">
        <v>899</v>
      </c>
      <c r="CG65" t="s">
        <v>899</v>
      </c>
      <c r="CH65" t="s">
        <v>899</v>
      </c>
      <c r="CI65" t="s">
        <v>899</v>
      </c>
      <c r="CL65" t="s">
        <v>899</v>
      </c>
      <c r="CM65" t="s">
        <v>899</v>
      </c>
      <c r="CN65" t="s">
        <v>899</v>
      </c>
      <c r="CO65" t="s">
        <v>899</v>
      </c>
      <c r="CP65" t="s">
        <v>899</v>
      </c>
      <c r="CV65" t="s">
        <v>4569</v>
      </c>
      <c r="CW65" t="s">
        <v>4569</v>
      </c>
      <c r="CX65" t="s">
        <v>899</v>
      </c>
      <c r="CY65" t="s">
        <v>899</v>
      </c>
      <c r="DA65" t="s">
        <v>899</v>
      </c>
      <c r="DB65" t="s">
        <v>899</v>
      </c>
      <c r="DC65" t="s">
        <v>899</v>
      </c>
      <c r="FI65" t="s">
        <v>899</v>
      </c>
      <c r="FJ65" t="s">
        <v>899</v>
      </c>
      <c r="FS65" t="s">
        <v>899</v>
      </c>
      <c r="FT65" t="s">
        <v>899</v>
      </c>
      <c r="FU65" t="s">
        <v>899</v>
      </c>
      <c r="FX65" t="s">
        <v>899</v>
      </c>
      <c r="FY65" t="s">
        <v>899</v>
      </c>
      <c r="FZ65" t="s">
        <v>899</v>
      </c>
      <c r="GA65" t="s">
        <v>899</v>
      </c>
      <c r="GH65" t="str">
        <f t="shared" si="2"/>
        <v/>
      </c>
    </row>
    <row r="66" spans="1:190" x14ac:dyDescent="0.2">
      <c r="A66" t="str">
        <f t="shared" si="3"/>
        <v>Wurfspeere</v>
      </c>
      <c r="AO66">
        <v>3</v>
      </c>
      <c r="AP66">
        <v>3</v>
      </c>
      <c r="AQ66">
        <v>3</v>
      </c>
      <c r="AR66">
        <v>3</v>
      </c>
      <c r="AU66">
        <v>4</v>
      </c>
      <c r="AW66">
        <v>3</v>
      </c>
      <c r="AX66">
        <v>5</v>
      </c>
      <c r="BQ66" t="s">
        <v>899</v>
      </c>
      <c r="BR66" t="s">
        <v>899</v>
      </c>
      <c r="BS66" t="s">
        <v>899</v>
      </c>
      <c r="CF66" t="s">
        <v>899</v>
      </c>
      <c r="CG66" t="s">
        <v>899</v>
      </c>
      <c r="CH66" t="s">
        <v>899</v>
      </c>
      <c r="CI66" t="s">
        <v>899</v>
      </c>
      <c r="CL66" t="s">
        <v>899</v>
      </c>
      <c r="CM66" t="s">
        <v>899</v>
      </c>
      <c r="CN66" t="s">
        <v>899</v>
      </c>
      <c r="CO66" t="s">
        <v>899</v>
      </c>
      <c r="CP66" t="s">
        <v>899</v>
      </c>
      <c r="CX66" t="s">
        <v>899</v>
      </c>
      <c r="CY66" t="s">
        <v>899</v>
      </c>
      <c r="DA66" t="s">
        <v>899</v>
      </c>
      <c r="DB66" t="s">
        <v>899</v>
      </c>
      <c r="DC66" t="s">
        <v>899</v>
      </c>
      <c r="DQ66">
        <v>5</v>
      </c>
      <c r="DR66">
        <v>5</v>
      </c>
      <c r="DS66">
        <v>5</v>
      </c>
      <c r="DT66">
        <v>5</v>
      </c>
      <c r="DU66">
        <v>5</v>
      </c>
      <c r="FI66" t="s">
        <v>899</v>
      </c>
      <c r="FJ66" t="s">
        <v>899</v>
      </c>
      <c r="FS66" t="s">
        <v>899</v>
      </c>
      <c r="FT66" t="s">
        <v>899</v>
      </c>
      <c r="FU66" t="s">
        <v>899</v>
      </c>
      <c r="FX66" t="s">
        <v>899</v>
      </c>
      <c r="FY66" t="s">
        <v>899</v>
      </c>
      <c r="FZ66" t="s">
        <v>899</v>
      </c>
      <c r="GA66" t="s">
        <v>899</v>
      </c>
      <c r="GH66" t="str">
        <f t="shared" si="2"/>
        <v/>
      </c>
    </row>
    <row r="67" spans="1:190" x14ac:dyDescent="0.2">
      <c r="A67" t="str">
        <f t="shared" si="3"/>
        <v>Zweihandflegel</v>
      </c>
      <c r="BQ67" t="s">
        <v>899</v>
      </c>
      <c r="BR67" t="s">
        <v>899</v>
      </c>
      <c r="BS67" t="s">
        <v>899</v>
      </c>
      <c r="CF67" t="s">
        <v>899</v>
      </c>
      <c r="CG67" t="s">
        <v>899</v>
      </c>
      <c r="CH67" t="s">
        <v>899</v>
      </c>
      <c r="CI67" t="s">
        <v>899</v>
      </c>
      <c r="CL67" t="s">
        <v>899</v>
      </c>
      <c r="CM67" t="s">
        <v>899</v>
      </c>
      <c r="CZ67" t="s">
        <v>4569</v>
      </c>
      <c r="DA67" t="s">
        <v>899</v>
      </c>
      <c r="DB67" t="s">
        <v>899</v>
      </c>
      <c r="DC67" t="s">
        <v>899</v>
      </c>
      <c r="FI67" t="s">
        <v>899</v>
      </c>
      <c r="FJ67" t="s">
        <v>899</v>
      </c>
      <c r="FS67" t="s">
        <v>899</v>
      </c>
      <c r="FT67" t="s">
        <v>899</v>
      </c>
      <c r="GA67" t="s">
        <v>899</v>
      </c>
      <c r="GH67" t="str">
        <f t="shared" si="2"/>
        <v/>
      </c>
    </row>
    <row r="68" spans="1:190" x14ac:dyDescent="0.2">
      <c r="A68" t="str">
        <f t="shared" si="3"/>
        <v>Zweihand-Hiebwaffen</v>
      </c>
      <c r="BQ68" t="s">
        <v>899</v>
      </c>
      <c r="BR68" t="s">
        <v>899</v>
      </c>
      <c r="BS68" t="s">
        <v>899</v>
      </c>
      <c r="CF68" t="s">
        <v>899</v>
      </c>
      <c r="CG68" t="s">
        <v>899</v>
      </c>
      <c r="CH68" t="s">
        <v>899</v>
      </c>
      <c r="CI68" t="s">
        <v>899</v>
      </c>
      <c r="CL68" t="s">
        <v>899</v>
      </c>
      <c r="CM68" t="s">
        <v>899</v>
      </c>
      <c r="CZ68" t="s">
        <v>4569</v>
      </c>
      <c r="DA68" t="s">
        <v>899</v>
      </c>
      <c r="DB68" t="s">
        <v>899</v>
      </c>
      <c r="DC68" t="s">
        <v>899</v>
      </c>
      <c r="FI68" t="s">
        <v>899</v>
      </c>
      <c r="FJ68" t="s">
        <v>899</v>
      </c>
      <c r="FS68" t="s">
        <v>899</v>
      </c>
      <c r="FT68" t="s">
        <v>899</v>
      </c>
      <c r="GA68" t="s">
        <v>899</v>
      </c>
      <c r="GH68" t="str">
        <f t="shared" si="2"/>
        <v/>
      </c>
    </row>
    <row r="69" spans="1:190" x14ac:dyDescent="0.2">
      <c r="A69" t="str">
        <f t="shared" si="3"/>
        <v>Zweihandschwerter/-säbel</v>
      </c>
      <c r="AK69">
        <v>2</v>
      </c>
      <c r="AY69">
        <v>2</v>
      </c>
      <c r="BQ69" t="s">
        <v>899</v>
      </c>
      <c r="BR69" t="s">
        <v>899</v>
      </c>
      <c r="BS69" t="s">
        <v>899</v>
      </c>
      <c r="CF69" t="s">
        <v>899</v>
      </c>
      <c r="CG69" t="s">
        <v>899</v>
      </c>
      <c r="CH69" t="s">
        <v>899</v>
      </c>
      <c r="CI69" t="s">
        <v>899</v>
      </c>
      <c r="CL69" t="s">
        <v>899</v>
      </c>
      <c r="CM69" t="s">
        <v>899</v>
      </c>
      <c r="CZ69">
        <v>4</v>
      </c>
      <c r="DA69" t="s">
        <v>899</v>
      </c>
      <c r="DB69" t="s">
        <v>899</v>
      </c>
      <c r="DC69" t="s">
        <v>899</v>
      </c>
      <c r="FI69" t="s">
        <v>899</v>
      </c>
      <c r="FJ69" t="s">
        <v>899</v>
      </c>
      <c r="FS69" t="s">
        <v>899</v>
      </c>
      <c r="FT69" t="s">
        <v>899</v>
      </c>
      <c r="GA69" t="s">
        <v>899</v>
      </c>
      <c r="GH69" t="str">
        <f t="shared" si="2"/>
        <v/>
      </c>
    </row>
    <row r="70" spans="1:190" ht="12.75" customHeight="1" x14ac:dyDescent="0.2">
      <c r="A70" t="str">
        <f>INDEX(TL_KRP,ROW()-69)</f>
        <v>Akrobatik</v>
      </c>
      <c r="B70" t="s">
        <v>3311</v>
      </c>
      <c r="C70" t="s">
        <v>899</v>
      </c>
      <c r="D70" t="s">
        <v>899</v>
      </c>
      <c r="E70" t="s">
        <v>899</v>
      </c>
      <c r="F70" t="s">
        <v>899</v>
      </c>
      <c r="AX70">
        <v>2</v>
      </c>
      <c r="BW70">
        <v>2</v>
      </c>
      <c r="CF70" t="s">
        <v>4569</v>
      </c>
      <c r="CH70">
        <v>2</v>
      </c>
      <c r="CJ70">
        <v>5</v>
      </c>
      <c r="CL70" t="s">
        <v>4569</v>
      </c>
      <c r="CM70" t="s">
        <v>4569</v>
      </c>
      <c r="CU70">
        <v>2</v>
      </c>
      <c r="CZ70" t="s">
        <v>4569</v>
      </c>
      <c r="DE70" t="s">
        <v>3311</v>
      </c>
      <c r="EG70" t="s">
        <v>3311</v>
      </c>
      <c r="GH70" t="str">
        <f t="shared" si="2"/>
        <v/>
      </c>
    </row>
    <row r="71" spans="1:190" x14ac:dyDescent="0.2">
      <c r="A71" t="str">
        <f t="shared" ref="A71:A87" si="4">INDEX(TL_KRP,ROW()-69)</f>
        <v>Athletik</v>
      </c>
      <c r="G71" t="s">
        <v>339</v>
      </c>
      <c r="N71">
        <v>1</v>
      </c>
      <c r="Q71">
        <v>1</v>
      </c>
      <c r="S71">
        <v>1</v>
      </c>
      <c r="W71">
        <v>1</v>
      </c>
      <c r="AA71">
        <v>1</v>
      </c>
      <c r="AD71">
        <v>1</v>
      </c>
      <c r="AF71">
        <v>3</v>
      </c>
      <c r="AG71">
        <v>3</v>
      </c>
      <c r="AH71">
        <v>5</v>
      </c>
      <c r="AJ71">
        <v>3</v>
      </c>
      <c r="AK71">
        <v>3</v>
      </c>
      <c r="AL71">
        <v>3</v>
      </c>
      <c r="AM71">
        <v>2</v>
      </c>
      <c r="AS71">
        <v>1</v>
      </c>
      <c r="AT71">
        <v>1</v>
      </c>
      <c r="AU71">
        <v>3</v>
      </c>
      <c r="AV71">
        <v>3</v>
      </c>
      <c r="AW71">
        <v>3</v>
      </c>
      <c r="AX71">
        <v>3</v>
      </c>
      <c r="AY71">
        <v>4</v>
      </c>
      <c r="BH71">
        <v>1</v>
      </c>
      <c r="BI71">
        <v>1</v>
      </c>
      <c r="BL71" t="s">
        <v>339</v>
      </c>
      <c r="BV71">
        <v>2</v>
      </c>
      <c r="BW71">
        <v>2</v>
      </c>
      <c r="CD71" t="s">
        <v>2344</v>
      </c>
      <c r="CF71" t="s">
        <v>4569</v>
      </c>
      <c r="CJ71">
        <v>5</v>
      </c>
      <c r="CL71" t="s">
        <v>4569</v>
      </c>
      <c r="CM71" t="s">
        <v>4569</v>
      </c>
      <c r="CN71" t="s">
        <v>1149</v>
      </c>
      <c r="CO71" t="s">
        <v>1150</v>
      </c>
      <c r="CP71" t="s">
        <v>1150</v>
      </c>
      <c r="CU71">
        <v>4</v>
      </c>
      <c r="CV71">
        <v>2</v>
      </c>
      <c r="CW71">
        <v>2</v>
      </c>
      <c r="CZ71">
        <v>5</v>
      </c>
      <c r="FU71" t="s">
        <v>339</v>
      </c>
      <c r="GH71" t="str">
        <f t="shared" si="2"/>
        <v/>
      </c>
    </row>
    <row r="72" spans="1:190" x14ac:dyDescent="0.2">
      <c r="A72" t="str">
        <f t="shared" si="4"/>
        <v>Fliegen</v>
      </c>
      <c r="C72" t="s">
        <v>899</v>
      </c>
      <c r="D72" t="s">
        <v>899</v>
      </c>
      <c r="E72" t="s">
        <v>899</v>
      </c>
      <c r="F72" t="s">
        <v>899</v>
      </c>
      <c r="CB72" t="s">
        <v>899</v>
      </c>
      <c r="CC72" t="s">
        <v>899</v>
      </c>
      <c r="CD72" t="s">
        <v>899</v>
      </c>
      <c r="CE72" t="s">
        <v>899</v>
      </c>
      <c r="FO72" t="s">
        <v>899</v>
      </c>
      <c r="FP72" t="s">
        <v>899</v>
      </c>
      <c r="FQ72" t="s">
        <v>899</v>
      </c>
      <c r="FR72" t="s">
        <v>899</v>
      </c>
      <c r="GH72" t="str">
        <f t="shared" si="2"/>
        <v/>
      </c>
    </row>
    <row r="73" spans="1:190" x14ac:dyDescent="0.2">
      <c r="A73" t="str">
        <f t="shared" si="4"/>
        <v>Gaukeleien</v>
      </c>
      <c r="C73" t="s">
        <v>899</v>
      </c>
      <c r="D73" t="s">
        <v>899</v>
      </c>
      <c r="E73" t="s">
        <v>899</v>
      </c>
      <c r="F73" t="s">
        <v>899</v>
      </c>
      <c r="I73" t="s">
        <v>899</v>
      </c>
      <c r="J73" t="s">
        <v>899</v>
      </c>
      <c r="K73" t="s">
        <v>899</v>
      </c>
      <c r="L73" t="s">
        <v>899</v>
      </c>
      <c r="M73" t="s">
        <v>899</v>
      </c>
      <c r="N73" t="s">
        <v>899</v>
      </c>
      <c r="O73" t="s">
        <v>899</v>
      </c>
      <c r="P73" t="s">
        <v>899</v>
      </c>
      <c r="Q73" t="s">
        <v>899</v>
      </c>
      <c r="R73" t="s">
        <v>899</v>
      </c>
      <c r="S73" t="s">
        <v>899</v>
      </c>
      <c r="T73" t="s">
        <v>899</v>
      </c>
      <c r="U73" t="s">
        <v>899</v>
      </c>
      <c r="V73" t="s">
        <v>899</v>
      </c>
      <c r="W73" t="s">
        <v>899</v>
      </c>
      <c r="X73" t="s">
        <v>899</v>
      </c>
      <c r="Y73" t="s">
        <v>899</v>
      </c>
      <c r="Z73" t="s">
        <v>899</v>
      </c>
      <c r="AA73" t="s">
        <v>899</v>
      </c>
      <c r="AB73" t="s">
        <v>899</v>
      </c>
      <c r="AC73" t="s">
        <v>899</v>
      </c>
      <c r="AD73" t="s">
        <v>899</v>
      </c>
      <c r="AE73" t="s">
        <v>899</v>
      </c>
      <c r="AG73" t="s">
        <v>899</v>
      </c>
      <c r="AI73" t="s">
        <v>899</v>
      </c>
      <c r="AS73" t="s">
        <v>899</v>
      </c>
      <c r="AT73" t="s">
        <v>899</v>
      </c>
      <c r="AU73" t="s">
        <v>899</v>
      </c>
      <c r="AV73" t="s">
        <v>899</v>
      </c>
      <c r="BJ73" t="s">
        <v>899</v>
      </c>
      <c r="BK73" t="s">
        <v>899</v>
      </c>
      <c r="CB73" t="s">
        <v>899</v>
      </c>
      <c r="CC73" t="s">
        <v>899</v>
      </c>
      <c r="CD73" t="s">
        <v>899</v>
      </c>
      <c r="CE73" t="s">
        <v>899</v>
      </c>
      <c r="EJ73" t="s">
        <v>899</v>
      </c>
      <c r="EK73" t="s">
        <v>899</v>
      </c>
      <c r="EL73" t="s">
        <v>899</v>
      </c>
      <c r="EM73" t="s">
        <v>899</v>
      </c>
      <c r="EN73" t="s">
        <v>899</v>
      </c>
      <c r="EO73" t="s">
        <v>899</v>
      </c>
      <c r="EP73" t="s">
        <v>899</v>
      </c>
      <c r="EQ73" t="s">
        <v>899</v>
      </c>
      <c r="ER73" t="s">
        <v>899</v>
      </c>
      <c r="EV73" t="s">
        <v>899</v>
      </c>
      <c r="FE73" t="s">
        <v>899</v>
      </c>
      <c r="FF73" t="s">
        <v>899</v>
      </c>
      <c r="FO73" t="s">
        <v>899</v>
      </c>
      <c r="FP73" t="s">
        <v>899</v>
      </c>
      <c r="FQ73" t="s">
        <v>899</v>
      </c>
      <c r="FR73" t="s">
        <v>899</v>
      </c>
      <c r="GH73" t="str">
        <f t="shared" si="2"/>
        <v/>
      </c>
    </row>
    <row r="74" spans="1:190" x14ac:dyDescent="0.2">
      <c r="A74" t="str">
        <f t="shared" si="4"/>
        <v>Klettern</v>
      </c>
      <c r="G74" t="s">
        <v>1150</v>
      </c>
      <c r="AL74">
        <v>3</v>
      </c>
      <c r="AO74">
        <v>2</v>
      </c>
      <c r="AP74">
        <v>2</v>
      </c>
      <c r="AQ74">
        <v>2</v>
      </c>
      <c r="AR74">
        <v>2</v>
      </c>
      <c r="AS74" t="s">
        <v>4569</v>
      </c>
      <c r="AT74" t="s">
        <v>4569</v>
      </c>
      <c r="AU74" t="s">
        <v>4569</v>
      </c>
      <c r="AV74" t="s">
        <v>4569</v>
      </c>
      <c r="AW74">
        <v>4</v>
      </c>
      <c r="AX74">
        <v>3</v>
      </c>
      <c r="AY74">
        <v>5</v>
      </c>
      <c r="BT74">
        <v>1</v>
      </c>
      <c r="BU74">
        <v>1</v>
      </c>
      <c r="BV74">
        <v>1</v>
      </c>
      <c r="BW74">
        <v>6</v>
      </c>
      <c r="BX74">
        <v>1</v>
      </c>
      <c r="BY74">
        <v>1</v>
      </c>
      <c r="BZ74">
        <v>1</v>
      </c>
      <c r="CO74">
        <v>2</v>
      </c>
      <c r="CU74">
        <v>2</v>
      </c>
      <c r="CV74">
        <v>1</v>
      </c>
      <c r="CW74">
        <v>1</v>
      </c>
      <c r="CZ74">
        <v>1</v>
      </c>
      <c r="DI74">
        <v>1</v>
      </c>
      <c r="DL74">
        <v>3</v>
      </c>
      <c r="DM74">
        <v>3</v>
      </c>
      <c r="DN74">
        <v>3</v>
      </c>
      <c r="DO74">
        <v>3</v>
      </c>
      <c r="DP74">
        <v>1</v>
      </c>
      <c r="DQ74">
        <v>1</v>
      </c>
      <c r="DR74">
        <v>1</v>
      </c>
      <c r="DS74">
        <v>1</v>
      </c>
      <c r="DT74">
        <v>1</v>
      </c>
      <c r="DU74">
        <v>1</v>
      </c>
      <c r="DZ74">
        <v>1</v>
      </c>
      <c r="EA74">
        <v>1</v>
      </c>
      <c r="EB74">
        <v>1</v>
      </c>
      <c r="EC74">
        <v>1</v>
      </c>
      <c r="ED74">
        <v>1</v>
      </c>
      <c r="EE74">
        <v>1</v>
      </c>
      <c r="EF74">
        <v>1</v>
      </c>
      <c r="EI74" t="s">
        <v>339</v>
      </c>
      <c r="FD74" t="s">
        <v>339</v>
      </c>
      <c r="FK74" t="s">
        <v>339</v>
      </c>
      <c r="FL74" t="s">
        <v>339</v>
      </c>
      <c r="FM74" t="s">
        <v>339</v>
      </c>
      <c r="FN74" t="s">
        <v>339</v>
      </c>
      <c r="GH74" t="str">
        <f t="shared" si="2"/>
        <v/>
      </c>
    </row>
    <row r="75" spans="1:190" x14ac:dyDescent="0.2">
      <c r="A75" t="str">
        <f t="shared" si="4"/>
        <v>Körperbeherrschung</v>
      </c>
      <c r="G75" t="s">
        <v>2990</v>
      </c>
      <c r="N75">
        <v>1</v>
      </c>
      <c r="Q75">
        <v>1</v>
      </c>
      <c r="S75">
        <v>1</v>
      </c>
      <c r="W75">
        <v>1</v>
      </c>
      <c r="AA75">
        <v>1</v>
      </c>
      <c r="AD75">
        <v>1</v>
      </c>
      <c r="AF75">
        <v>2</v>
      </c>
      <c r="AG75">
        <v>2</v>
      </c>
      <c r="AH75">
        <v>6</v>
      </c>
      <c r="AJ75">
        <v>3</v>
      </c>
      <c r="AK75">
        <v>3</v>
      </c>
      <c r="AL75">
        <v>3</v>
      </c>
      <c r="AM75">
        <v>2</v>
      </c>
      <c r="AO75">
        <v>2</v>
      </c>
      <c r="AP75">
        <v>2</v>
      </c>
      <c r="AQ75">
        <v>2</v>
      </c>
      <c r="AR75">
        <v>2</v>
      </c>
      <c r="AS75" t="s">
        <v>1148</v>
      </c>
      <c r="AT75" t="s">
        <v>1148</v>
      </c>
      <c r="AU75" t="s">
        <v>1148</v>
      </c>
      <c r="AV75" t="s">
        <v>1148</v>
      </c>
      <c r="AW75">
        <v>3</v>
      </c>
      <c r="AX75">
        <v>4</v>
      </c>
      <c r="AY75">
        <v>3</v>
      </c>
      <c r="BH75">
        <v>3</v>
      </c>
      <c r="BI75">
        <v>3</v>
      </c>
      <c r="BL75" t="s">
        <v>339</v>
      </c>
      <c r="BS75">
        <v>2</v>
      </c>
      <c r="BT75" t="s">
        <v>1151</v>
      </c>
      <c r="BU75" t="s">
        <v>1151</v>
      </c>
      <c r="BV75" t="s">
        <v>1149</v>
      </c>
      <c r="BW75" t="s">
        <v>2038</v>
      </c>
      <c r="BX75" t="s">
        <v>1151</v>
      </c>
      <c r="BY75" t="s">
        <v>1151</v>
      </c>
      <c r="BZ75" t="s">
        <v>1151</v>
      </c>
      <c r="CA75" t="s">
        <v>339</v>
      </c>
      <c r="CC75" t="s">
        <v>2344</v>
      </c>
      <c r="CD75">
        <v>4</v>
      </c>
      <c r="CF75" t="s">
        <v>1148</v>
      </c>
      <c r="CG75" t="s">
        <v>1148</v>
      </c>
      <c r="CH75" t="s">
        <v>1148</v>
      </c>
      <c r="CI75" t="s">
        <v>1148</v>
      </c>
      <c r="CJ75">
        <v>5</v>
      </c>
      <c r="CK75">
        <v>4</v>
      </c>
      <c r="CL75" t="s">
        <v>1148</v>
      </c>
      <c r="CM75" t="s">
        <v>1148</v>
      </c>
      <c r="CN75" t="s">
        <v>1149</v>
      </c>
      <c r="CO75" t="s">
        <v>1149</v>
      </c>
      <c r="CP75" t="s">
        <v>1149</v>
      </c>
      <c r="CU75">
        <v>4</v>
      </c>
      <c r="CV75" t="s">
        <v>1149</v>
      </c>
      <c r="CW75" t="s">
        <v>1149</v>
      </c>
      <c r="CZ75">
        <v>2</v>
      </c>
      <c r="DA75">
        <v>4</v>
      </c>
      <c r="DB75">
        <v>4</v>
      </c>
      <c r="DC75">
        <v>4</v>
      </c>
      <c r="DF75">
        <v>1</v>
      </c>
      <c r="DH75">
        <v>1</v>
      </c>
      <c r="DI75">
        <v>1</v>
      </c>
      <c r="DJ75">
        <v>1</v>
      </c>
      <c r="DL75">
        <v>3</v>
      </c>
      <c r="DM75">
        <v>3</v>
      </c>
      <c r="DN75">
        <v>3</v>
      </c>
      <c r="DO75">
        <v>3</v>
      </c>
      <c r="DP75">
        <v>2</v>
      </c>
      <c r="DQ75">
        <v>1</v>
      </c>
      <c r="DR75">
        <v>1</v>
      </c>
      <c r="DS75">
        <v>1</v>
      </c>
      <c r="DT75">
        <v>1</v>
      </c>
      <c r="DU75">
        <v>1</v>
      </c>
      <c r="DZ75">
        <v>3</v>
      </c>
      <c r="EA75">
        <v>3</v>
      </c>
      <c r="EB75">
        <v>3</v>
      </c>
      <c r="EC75">
        <v>3</v>
      </c>
      <c r="ED75">
        <v>3</v>
      </c>
      <c r="EE75">
        <v>3</v>
      </c>
      <c r="EF75">
        <v>3</v>
      </c>
      <c r="EV75" t="s">
        <v>339</v>
      </c>
      <c r="FD75" t="s">
        <v>339</v>
      </c>
      <c r="FK75" t="s">
        <v>339</v>
      </c>
      <c r="FL75" t="s">
        <v>339</v>
      </c>
      <c r="FM75" t="s">
        <v>339</v>
      </c>
      <c r="FN75" t="s">
        <v>339</v>
      </c>
      <c r="FS75" t="s">
        <v>339</v>
      </c>
      <c r="FT75" t="s">
        <v>339</v>
      </c>
      <c r="FU75" t="s">
        <v>339</v>
      </c>
      <c r="FW75" t="s">
        <v>339</v>
      </c>
      <c r="GH75" t="str">
        <f t="shared" ref="GH75:GH106" si="5">BM75&amp;$FH75</f>
        <v/>
      </c>
    </row>
    <row r="76" spans="1:190" x14ac:dyDescent="0.2">
      <c r="A76" t="str">
        <f t="shared" si="4"/>
        <v>Reiten</v>
      </c>
      <c r="AF76">
        <v>4</v>
      </c>
      <c r="AG76">
        <v>4</v>
      </c>
      <c r="AH76">
        <v>4</v>
      </c>
      <c r="AK76">
        <v>5</v>
      </c>
      <c r="AM76">
        <v>2</v>
      </c>
      <c r="AN76">
        <v>2</v>
      </c>
      <c r="AS76" t="s">
        <v>4569</v>
      </c>
      <c r="AT76" t="s">
        <v>4569</v>
      </c>
      <c r="AU76" t="s">
        <v>4569</v>
      </c>
      <c r="AV76" t="s">
        <v>4569</v>
      </c>
      <c r="AW76">
        <v>2</v>
      </c>
      <c r="AX76">
        <v>5</v>
      </c>
      <c r="AY76">
        <v>2</v>
      </c>
      <c r="BL76" t="s">
        <v>339</v>
      </c>
      <c r="BQ76">
        <v>2</v>
      </c>
      <c r="CB76">
        <v>2</v>
      </c>
      <c r="CC76" t="s">
        <v>2762</v>
      </c>
      <c r="CD76" t="s">
        <v>2762</v>
      </c>
      <c r="CE76" t="s">
        <v>2344</v>
      </c>
      <c r="CF76" t="s">
        <v>339</v>
      </c>
      <c r="CG76" t="s">
        <v>339</v>
      </c>
      <c r="CH76" t="s">
        <v>1149</v>
      </c>
      <c r="CI76" t="s">
        <v>1152</v>
      </c>
      <c r="CJ76">
        <v>2</v>
      </c>
      <c r="CK76">
        <v>3</v>
      </c>
      <c r="CL76" t="s">
        <v>339</v>
      </c>
      <c r="CM76" t="s">
        <v>1150</v>
      </c>
      <c r="CN76" t="s">
        <v>1149</v>
      </c>
      <c r="CO76" t="s">
        <v>1148</v>
      </c>
      <c r="CP76" t="s">
        <v>1148</v>
      </c>
      <c r="CU76">
        <v>5</v>
      </c>
      <c r="CV76" t="s">
        <v>4569</v>
      </c>
      <c r="CW76" t="s">
        <v>4569</v>
      </c>
      <c r="CZ76">
        <v>5</v>
      </c>
      <c r="DH76">
        <v>1</v>
      </c>
      <c r="DI76">
        <v>2</v>
      </c>
      <c r="DJ76">
        <v>1</v>
      </c>
      <c r="FS76" t="s">
        <v>339</v>
      </c>
      <c r="FT76" t="s">
        <v>339</v>
      </c>
      <c r="FU76" t="s">
        <v>339</v>
      </c>
      <c r="GH76" t="str">
        <f t="shared" si="5"/>
        <v/>
      </c>
    </row>
    <row r="77" spans="1:190" x14ac:dyDescent="0.2">
      <c r="A77" t="str">
        <f t="shared" si="4"/>
        <v>Schleichen</v>
      </c>
      <c r="G77" t="s">
        <v>2990</v>
      </c>
      <c r="H77">
        <v>2</v>
      </c>
      <c r="I77" t="s">
        <v>1150</v>
      </c>
      <c r="J77" t="s">
        <v>1149</v>
      </c>
      <c r="K77" t="s">
        <v>1150</v>
      </c>
      <c r="L77" t="s">
        <v>1150</v>
      </c>
      <c r="M77" t="s">
        <v>1150</v>
      </c>
      <c r="N77" t="s">
        <v>1150</v>
      </c>
      <c r="O77" t="s">
        <v>1150</v>
      </c>
      <c r="P77" t="s">
        <v>1150</v>
      </c>
      <c r="Q77" t="s">
        <v>1150</v>
      </c>
      <c r="R77" t="s">
        <v>1150</v>
      </c>
      <c r="S77" t="s">
        <v>1150</v>
      </c>
      <c r="T77" t="s">
        <v>1149</v>
      </c>
      <c r="U77" t="s">
        <v>1149</v>
      </c>
      <c r="V77" t="s">
        <v>1149</v>
      </c>
      <c r="W77" t="s">
        <v>1149</v>
      </c>
      <c r="X77" t="s">
        <v>1149</v>
      </c>
      <c r="Y77" t="s">
        <v>1149</v>
      </c>
      <c r="Z77" t="s">
        <v>1149</v>
      </c>
      <c r="AA77" t="s">
        <v>1149</v>
      </c>
      <c r="AB77" t="s">
        <v>1149</v>
      </c>
      <c r="AC77" t="s">
        <v>1149</v>
      </c>
      <c r="AD77" t="s">
        <v>1149</v>
      </c>
      <c r="AE77" t="s">
        <v>1149</v>
      </c>
      <c r="AG77" t="s">
        <v>339</v>
      </c>
      <c r="AI77" t="s">
        <v>1149</v>
      </c>
      <c r="AS77" t="s">
        <v>2038</v>
      </c>
      <c r="AT77" t="s">
        <v>2038</v>
      </c>
      <c r="AU77" t="s">
        <v>1149</v>
      </c>
      <c r="AV77" t="s">
        <v>2038</v>
      </c>
      <c r="AW77">
        <v>2</v>
      </c>
      <c r="AY77">
        <v>3</v>
      </c>
      <c r="BH77">
        <v>4</v>
      </c>
      <c r="BI77">
        <v>4</v>
      </c>
      <c r="BM77" t="s">
        <v>2990</v>
      </c>
      <c r="BN77" t="s">
        <v>2990</v>
      </c>
      <c r="BO77" t="s">
        <v>2990</v>
      </c>
      <c r="BP77">
        <v>1</v>
      </c>
      <c r="BT77" t="s">
        <v>1149</v>
      </c>
      <c r="BU77" t="s">
        <v>1149</v>
      </c>
      <c r="BV77" t="s">
        <v>2038</v>
      </c>
      <c r="BW77" t="s">
        <v>2038</v>
      </c>
      <c r="BX77" t="s">
        <v>1149</v>
      </c>
      <c r="BY77" t="s">
        <v>1149</v>
      </c>
      <c r="BZ77" t="s">
        <v>1149</v>
      </c>
      <c r="CA77" t="s">
        <v>1149</v>
      </c>
      <c r="CB77" t="s">
        <v>899</v>
      </c>
      <c r="CC77" t="s">
        <v>899</v>
      </c>
      <c r="CD77" t="s">
        <v>899</v>
      </c>
      <c r="CE77" t="s">
        <v>899</v>
      </c>
      <c r="CF77" t="s">
        <v>2344</v>
      </c>
      <c r="CG77">
        <v>2</v>
      </c>
      <c r="CH77">
        <v>2</v>
      </c>
      <c r="CI77">
        <v>2</v>
      </c>
      <c r="CJ77">
        <v>4</v>
      </c>
      <c r="CL77" t="s">
        <v>2344</v>
      </c>
      <c r="CM77" t="s">
        <v>2344</v>
      </c>
      <c r="CN77" t="s">
        <v>899</v>
      </c>
      <c r="CO77" t="s">
        <v>899</v>
      </c>
      <c r="CP77" t="s">
        <v>899</v>
      </c>
      <c r="CQ77">
        <v>1</v>
      </c>
      <c r="CR77">
        <v>3</v>
      </c>
      <c r="CS77">
        <v>3</v>
      </c>
      <c r="CT77">
        <v>1</v>
      </c>
      <c r="CU77">
        <v>2</v>
      </c>
      <c r="DC77">
        <v>2</v>
      </c>
      <c r="DH77">
        <v>1</v>
      </c>
      <c r="DI77">
        <v>1</v>
      </c>
      <c r="DJ77">
        <v>1</v>
      </c>
      <c r="DL77">
        <v>1</v>
      </c>
      <c r="DM77">
        <v>1</v>
      </c>
      <c r="DN77">
        <v>1</v>
      </c>
      <c r="DO77">
        <v>1</v>
      </c>
      <c r="DP77">
        <v>2</v>
      </c>
      <c r="DY77">
        <v>2</v>
      </c>
      <c r="EJ77" t="s">
        <v>339</v>
      </c>
      <c r="EK77" t="s">
        <v>339</v>
      </c>
      <c r="EL77" t="s">
        <v>339</v>
      </c>
      <c r="EM77" t="s">
        <v>339</v>
      </c>
      <c r="EN77" t="s">
        <v>339</v>
      </c>
      <c r="EO77" t="s">
        <v>339</v>
      </c>
      <c r="EP77" t="s">
        <v>339</v>
      </c>
      <c r="EQ77" t="s">
        <v>339</v>
      </c>
      <c r="ER77" t="s">
        <v>339</v>
      </c>
      <c r="EV77" t="s">
        <v>339</v>
      </c>
      <c r="FD77" t="s">
        <v>339</v>
      </c>
      <c r="FK77" t="s">
        <v>339</v>
      </c>
      <c r="FL77" t="s">
        <v>339</v>
      </c>
      <c r="FM77" t="s">
        <v>339</v>
      </c>
      <c r="FN77" t="s">
        <v>339</v>
      </c>
      <c r="FO77" t="s">
        <v>899</v>
      </c>
      <c r="FP77" t="s">
        <v>899</v>
      </c>
      <c r="FQ77" t="s">
        <v>899</v>
      </c>
      <c r="FR77" t="s">
        <v>899</v>
      </c>
      <c r="FU77" t="s">
        <v>899</v>
      </c>
      <c r="GH77" t="str">
        <f t="shared" si="5"/>
        <v>1</v>
      </c>
    </row>
    <row r="78" spans="1:190" x14ac:dyDescent="0.2">
      <c r="A78" t="str">
        <f t="shared" si="4"/>
        <v>Schwimmen</v>
      </c>
      <c r="C78" t="s">
        <v>899</v>
      </c>
      <c r="D78" t="s">
        <v>899</v>
      </c>
      <c r="E78" t="s">
        <v>899</v>
      </c>
      <c r="F78" t="s">
        <v>899</v>
      </c>
      <c r="X78">
        <v>2</v>
      </c>
      <c r="AB78">
        <v>2</v>
      </c>
      <c r="AE78">
        <v>2</v>
      </c>
      <c r="AL78">
        <v>3</v>
      </c>
      <c r="AN78">
        <v>2</v>
      </c>
      <c r="AO78" t="s">
        <v>2038</v>
      </c>
      <c r="AP78" t="s">
        <v>2038</v>
      </c>
      <c r="AQ78" t="s">
        <v>2038</v>
      </c>
      <c r="AR78" t="s">
        <v>2038</v>
      </c>
      <c r="BJ78" t="s">
        <v>899</v>
      </c>
      <c r="BK78" t="s">
        <v>899</v>
      </c>
      <c r="BM78" t="s">
        <v>4569</v>
      </c>
      <c r="BN78" t="s">
        <v>4569</v>
      </c>
      <c r="BO78" t="s">
        <v>4569</v>
      </c>
      <c r="BQ78">
        <v>2</v>
      </c>
      <c r="BR78" t="s">
        <v>4569</v>
      </c>
      <c r="CB78" t="s">
        <v>4569</v>
      </c>
      <c r="CC78" t="s">
        <v>4569</v>
      </c>
      <c r="CD78" t="s">
        <v>4569</v>
      </c>
      <c r="CE78" t="s">
        <v>4569</v>
      </c>
      <c r="CV78" t="s">
        <v>2038</v>
      </c>
      <c r="CW78" t="s">
        <v>1149</v>
      </c>
      <c r="ET78" t="s">
        <v>339</v>
      </c>
      <c r="EU78" t="s">
        <v>339</v>
      </c>
      <c r="FD78" t="s">
        <v>339</v>
      </c>
      <c r="FE78" t="s">
        <v>899</v>
      </c>
      <c r="FF78" t="s">
        <v>899</v>
      </c>
      <c r="FW78" t="s">
        <v>339</v>
      </c>
      <c r="GH78" t="str">
        <f t="shared" si="5"/>
        <v/>
      </c>
    </row>
    <row r="79" spans="1:190" x14ac:dyDescent="0.2">
      <c r="A79" t="str">
        <f t="shared" si="4"/>
        <v>Selbstbeherrschung</v>
      </c>
      <c r="C79" t="s">
        <v>1149</v>
      </c>
      <c r="D79" t="s">
        <v>1149</v>
      </c>
      <c r="E79" t="s">
        <v>2038</v>
      </c>
      <c r="F79" t="s">
        <v>1149</v>
      </c>
      <c r="G79" t="s">
        <v>2344</v>
      </c>
      <c r="H79">
        <v>5</v>
      </c>
      <c r="I79" t="s">
        <v>2038</v>
      </c>
      <c r="J79" t="s">
        <v>1147</v>
      </c>
      <c r="K79" t="s">
        <v>2038</v>
      </c>
      <c r="L79" t="s">
        <v>2038</v>
      </c>
      <c r="M79" t="s">
        <v>2038</v>
      </c>
      <c r="N79" t="s">
        <v>2038</v>
      </c>
      <c r="O79" t="s">
        <v>2038</v>
      </c>
      <c r="P79" t="s">
        <v>2038</v>
      </c>
      <c r="Q79" t="s">
        <v>2038</v>
      </c>
      <c r="R79" t="s">
        <v>2038</v>
      </c>
      <c r="S79" t="s">
        <v>2038</v>
      </c>
      <c r="T79" t="s">
        <v>1147</v>
      </c>
      <c r="U79" t="s">
        <v>1147</v>
      </c>
      <c r="V79" t="s">
        <v>1147</v>
      </c>
      <c r="W79" t="s">
        <v>1147</v>
      </c>
      <c r="X79" t="s">
        <v>1147</v>
      </c>
      <c r="Y79" t="s">
        <v>1147</v>
      </c>
      <c r="Z79" t="s">
        <v>1147</v>
      </c>
      <c r="AA79" t="s">
        <v>1147</v>
      </c>
      <c r="AB79" t="s">
        <v>1147</v>
      </c>
      <c r="AC79" t="s">
        <v>1147</v>
      </c>
      <c r="AD79" t="s">
        <v>1147</v>
      </c>
      <c r="AE79" t="s">
        <v>1147</v>
      </c>
      <c r="AF79">
        <v>6</v>
      </c>
      <c r="AG79" t="s">
        <v>1147</v>
      </c>
      <c r="AH79">
        <v>6</v>
      </c>
      <c r="AI79" t="s">
        <v>1147</v>
      </c>
      <c r="AJ79">
        <v>5</v>
      </c>
      <c r="AK79">
        <v>5</v>
      </c>
      <c r="AL79">
        <v>5</v>
      </c>
      <c r="AM79">
        <v>2</v>
      </c>
      <c r="AN79">
        <v>3</v>
      </c>
      <c r="AS79" t="s">
        <v>1147</v>
      </c>
      <c r="AT79" t="s">
        <v>1147</v>
      </c>
      <c r="AU79" t="s">
        <v>1147</v>
      </c>
      <c r="AV79" t="s">
        <v>1147</v>
      </c>
      <c r="AW79">
        <v>4</v>
      </c>
      <c r="AX79">
        <v>4</v>
      </c>
      <c r="AY79">
        <v>4</v>
      </c>
      <c r="BG79">
        <v>2</v>
      </c>
      <c r="BH79">
        <v>3</v>
      </c>
      <c r="BI79">
        <v>3</v>
      </c>
      <c r="BJ79" t="s">
        <v>1149</v>
      </c>
      <c r="BK79" t="s">
        <v>1149</v>
      </c>
      <c r="BL79" t="s">
        <v>1149</v>
      </c>
      <c r="BM79" t="s">
        <v>2344</v>
      </c>
      <c r="BN79" t="s">
        <v>2344</v>
      </c>
      <c r="BO79" t="s">
        <v>2344</v>
      </c>
      <c r="BP79" t="s">
        <v>2344</v>
      </c>
      <c r="BQ79" t="s">
        <v>2344</v>
      </c>
      <c r="BR79">
        <v>2</v>
      </c>
      <c r="BS79">
        <v>4</v>
      </c>
      <c r="BT79">
        <v>3</v>
      </c>
      <c r="BU79">
        <v>5</v>
      </c>
      <c r="BV79">
        <v>3</v>
      </c>
      <c r="BW79">
        <v>3</v>
      </c>
      <c r="BX79">
        <v>3</v>
      </c>
      <c r="BY79">
        <v>3</v>
      </c>
      <c r="BZ79">
        <v>3</v>
      </c>
      <c r="CB79" t="s">
        <v>2038</v>
      </c>
      <c r="CC79" t="s">
        <v>2038</v>
      </c>
      <c r="CD79" t="s">
        <v>2038</v>
      </c>
      <c r="CE79" t="s">
        <v>2038</v>
      </c>
      <c r="CF79" t="s">
        <v>2762</v>
      </c>
      <c r="CG79">
        <v>3</v>
      </c>
      <c r="CH79">
        <v>5</v>
      </c>
      <c r="CI79">
        <v>3</v>
      </c>
      <c r="CJ79">
        <v>3</v>
      </c>
      <c r="CK79">
        <v>4</v>
      </c>
      <c r="CL79" t="s">
        <v>2762</v>
      </c>
      <c r="CM79" t="s">
        <v>2762</v>
      </c>
      <c r="CN79" t="s">
        <v>1149</v>
      </c>
      <c r="CO79" t="s">
        <v>1149</v>
      </c>
      <c r="CP79" t="s">
        <v>1149</v>
      </c>
      <c r="CQ79">
        <v>2</v>
      </c>
      <c r="CR79">
        <v>2</v>
      </c>
      <c r="CS79">
        <v>2</v>
      </c>
      <c r="CT79">
        <v>2</v>
      </c>
      <c r="CU79">
        <v>4</v>
      </c>
      <c r="CV79" t="s">
        <v>1148</v>
      </c>
      <c r="CW79" t="s">
        <v>1147</v>
      </c>
      <c r="CX79" t="s">
        <v>1149</v>
      </c>
      <c r="CY79" t="s">
        <v>1149</v>
      </c>
      <c r="CZ79">
        <v>3</v>
      </c>
      <c r="DA79">
        <v>4</v>
      </c>
      <c r="DB79">
        <v>4</v>
      </c>
      <c r="DC79">
        <v>4</v>
      </c>
      <c r="DD79" t="s">
        <v>1149</v>
      </c>
      <c r="DF79">
        <v>4</v>
      </c>
      <c r="DG79">
        <v>5</v>
      </c>
      <c r="DH79">
        <v>3</v>
      </c>
      <c r="DI79">
        <v>3</v>
      </c>
      <c r="DJ79">
        <v>3</v>
      </c>
      <c r="DK79">
        <v>4</v>
      </c>
      <c r="DL79">
        <v>3</v>
      </c>
      <c r="DM79">
        <v>3</v>
      </c>
      <c r="DN79">
        <v>3</v>
      </c>
      <c r="DO79">
        <v>3</v>
      </c>
      <c r="DP79">
        <v>5</v>
      </c>
      <c r="DQ79">
        <v>4</v>
      </c>
      <c r="DR79">
        <v>4</v>
      </c>
      <c r="DS79">
        <v>4</v>
      </c>
      <c r="DT79">
        <v>4</v>
      </c>
      <c r="DU79">
        <v>4</v>
      </c>
      <c r="DV79">
        <v>1</v>
      </c>
      <c r="DW79" t="s">
        <v>1151</v>
      </c>
      <c r="DX79">
        <v>2</v>
      </c>
      <c r="DY79">
        <v>1</v>
      </c>
      <c r="DZ79">
        <v>2</v>
      </c>
      <c r="EA79">
        <v>2</v>
      </c>
      <c r="EB79">
        <v>2</v>
      </c>
      <c r="EC79">
        <v>2</v>
      </c>
      <c r="ED79">
        <v>2</v>
      </c>
      <c r="EE79">
        <v>2</v>
      </c>
      <c r="EF79">
        <v>2</v>
      </c>
      <c r="EH79" t="s">
        <v>339</v>
      </c>
      <c r="EJ79" t="s">
        <v>339</v>
      </c>
      <c r="EK79" t="s">
        <v>339</v>
      </c>
      <c r="EL79" t="s">
        <v>339</v>
      </c>
      <c r="EM79" t="s">
        <v>339</v>
      </c>
      <c r="EN79" t="s">
        <v>339</v>
      </c>
      <c r="EO79" t="s">
        <v>339</v>
      </c>
      <c r="EP79" t="s">
        <v>339</v>
      </c>
      <c r="EQ79" t="s">
        <v>339</v>
      </c>
      <c r="ER79" t="s">
        <v>339</v>
      </c>
      <c r="EV79" t="s">
        <v>339</v>
      </c>
      <c r="FD79" t="s">
        <v>339</v>
      </c>
      <c r="FE79" t="s">
        <v>339</v>
      </c>
      <c r="FF79" t="s">
        <v>339</v>
      </c>
      <c r="FG79">
        <v>3</v>
      </c>
      <c r="FO79" t="s">
        <v>339</v>
      </c>
      <c r="FP79" t="s">
        <v>339</v>
      </c>
      <c r="FQ79" t="s">
        <v>339</v>
      </c>
      <c r="FR79" t="s">
        <v>339</v>
      </c>
      <c r="FU79" t="s">
        <v>339</v>
      </c>
      <c r="FW79" t="s">
        <v>339</v>
      </c>
      <c r="FX79" t="s">
        <v>339</v>
      </c>
      <c r="FY79" t="s">
        <v>339</v>
      </c>
      <c r="FZ79" t="s">
        <v>339</v>
      </c>
      <c r="GH79" t="str">
        <f t="shared" si="5"/>
        <v>2</v>
      </c>
    </row>
    <row r="80" spans="1:190" x14ac:dyDescent="0.2">
      <c r="A80" t="str">
        <f t="shared" si="4"/>
        <v>Sich Verstecken</v>
      </c>
      <c r="G80" t="s">
        <v>2344</v>
      </c>
      <c r="I80" t="s">
        <v>339</v>
      </c>
      <c r="K80" t="s">
        <v>339</v>
      </c>
      <c r="L80" t="s">
        <v>339</v>
      </c>
      <c r="M80" t="s">
        <v>339</v>
      </c>
      <c r="N80" t="s">
        <v>339</v>
      </c>
      <c r="O80" t="s">
        <v>339</v>
      </c>
      <c r="P80" t="s">
        <v>339</v>
      </c>
      <c r="Q80" t="s">
        <v>339</v>
      </c>
      <c r="R80" t="s">
        <v>339</v>
      </c>
      <c r="S80" t="s">
        <v>339</v>
      </c>
      <c r="AS80" t="s">
        <v>1149</v>
      </c>
      <c r="AT80" t="s">
        <v>1149</v>
      </c>
      <c r="AU80" t="s">
        <v>1151</v>
      </c>
      <c r="AV80" t="s">
        <v>1149</v>
      </c>
      <c r="AW80">
        <v>2</v>
      </c>
      <c r="BH80">
        <v>2</v>
      </c>
      <c r="BI80">
        <v>2</v>
      </c>
      <c r="BM80" t="s">
        <v>2990</v>
      </c>
      <c r="BN80" t="s">
        <v>2990</v>
      </c>
      <c r="BO80" t="s">
        <v>2990</v>
      </c>
      <c r="BP80">
        <v>1</v>
      </c>
      <c r="BT80" t="s">
        <v>1148</v>
      </c>
      <c r="BU80" t="s">
        <v>1148</v>
      </c>
      <c r="BV80" t="s">
        <v>2038</v>
      </c>
      <c r="BW80" t="s">
        <v>2038</v>
      </c>
      <c r="BX80" t="s">
        <v>1148</v>
      </c>
      <c r="BY80" t="s">
        <v>2038</v>
      </c>
      <c r="BZ80" t="s">
        <v>1148</v>
      </c>
      <c r="CA80" t="s">
        <v>1148</v>
      </c>
      <c r="CB80" t="s">
        <v>899</v>
      </c>
      <c r="CC80" t="s">
        <v>899</v>
      </c>
      <c r="CD80" t="s">
        <v>899</v>
      </c>
      <c r="CE80" t="s">
        <v>899</v>
      </c>
      <c r="CN80" t="s">
        <v>899</v>
      </c>
      <c r="CO80" t="s">
        <v>899</v>
      </c>
      <c r="CP80" t="s">
        <v>899</v>
      </c>
      <c r="CQ80">
        <v>2</v>
      </c>
      <c r="CR80">
        <v>3</v>
      </c>
      <c r="CS80">
        <v>2</v>
      </c>
      <c r="CT80">
        <v>1</v>
      </c>
      <c r="CU80">
        <v>2</v>
      </c>
      <c r="DC80">
        <v>2</v>
      </c>
      <c r="DD80">
        <v>2</v>
      </c>
      <c r="DF80">
        <v>2</v>
      </c>
      <c r="DH80">
        <v>2</v>
      </c>
      <c r="DI80">
        <v>2</v>
      </c>
      <c r="DJ80">
        <v>2</v>
      </c>
      <c r="DQ80">
        <v>2</v>
      </c>
      <c r="DR80">
        <v>2</v>
      </c>
      <c r="DS80">
        <v>2</v>
      </c>
      <c r="DT80">
        <v>2</v>
      </c>
      <c r="DU80">
        <v>2</v>
      </c>
      <c r="DY80">
        <v>1</v>
      </c>
      <c r="EJ80" t="s">
        <v>339</v>
      </c>
      <c r="EO80" t="s">
        <v>339</v>
      </c>
      <c r="EV80" t="s">
        <v>339</v>
      </c>
      <c r="FK80" t="s">
        <v>339</v>
      </c>
      <c r="FL80" t="s">
        <v>339</v>
      </c>
      <c r="FM80" t="s">
        <v>339</v>
      </c>
      <c r="FN80" t="s">
        <v>339</v>
      </c>
      <c r="FO80" t="s">
        <v>899</v>
      </c>
      <c r="FP80" t="s">
        <v>899</v>
      </c>
      <c r="FQ80" t="s">
        <v>899</v>
      </c>
      <c r="FR80" t="s">
        <v>899</v>
      </c>
      <c r="FU80" t="s">
        <v>899</v>
      </c>
      <c r="GH80" t="str">
        <f t="shared" si="5"/>
        <v>1</v>
      </c>
    </row>
    <row r="81" spans="1:190" x14ac:dyDescent="0.2">
      <c r="A81" t="str">
        <f t="shared" si="4"/>
        <v>Singen</v>
      </c>
      <c r="C81" t="s">
        <v>2344</v>
      </c>
      <c r="D81" t="s">
        <v>2344</v>
      </c>
      <c r="E81" t="s">
        <v>2344</v>
      </c>
      <c r="F81" t="s">
        <v>2344</v>
      </c>
      <c r="G81" t="s">
        <v>2344</v>
      </c>
      <c r="H81">
        <v>1</v>
      </c>
      <c r="I81" t="s">
        <v>4570</v>
      </c>
      <c r="J81" t="s">
        <v>4571</v>
      </c>
      <c r="K81" t="s">
        <v>4570</v>
      </c>
      <c r="L81" t="s">
        <v>4570</v>
      </c>
      <c r="M81" t="s">
        <v>4570</v>
      </c>
      <c r="N81" t="s">
        <v>4570</v>
      </c>
      <c r="O81" t="s">
        <v>4570</v>
      </c>
      <c r="P81" t="s">
        <v>4570</v>
      </c>
      <c r="Q81" t="s">
        <v>4570</v>
      </c>
      <c r="R81" t="s">
        <v>4570</v>
      </c>
      <c r="S81" t="s">
        <v>4570</v>
      </c>
      <c r="T81" t="s">
        <v>4571</v>
      </c>
      <c r="U81" t="s">
        <v>4571</v>
      </c>
      <c r="V81" t="s">
        <v>4571</v>
      </c>
      <c r="W81" t="s">
        <v>4571</v>
      </c>
      <c r="X81" t="s">
        <v>4571</v>
      </c>
      <c r="Y81" t="s">
        <v>4571</v>
      </c>
      <c r="Z81" t="s">
        <v>4571</v>
      </c>
      <c r="AA81" t="s">
        <v>4571</v>
      </c>
      <c r="AB81" t="s">
        <v>4571</v>
      </c>
      <c r="AC81" t="s">
        <v>4571</v>
      </c>
      <c r="AD81" t="s">
        <v>4571</v>
      </c>
      <c r="AE81" t="s">
        <v>4571</v>
      </c>
      <c r="AG81" t="s">
        <v>899</v>
      </c>
      <c r="AI81" t="s">
        <v>4571</v>
      </c>
      <c r="AJ81">
        <v>1</v>
      </c>
      <c r="AK81">
        <v>1</v>
      </c>
      <c r="AL81">
        <v>1</v>
      </c>
      <c r="AM81">
        <v>1</v>
      </c>
      <c r="AN81">
        <v>3</v>
      </c>
      <c r="AO81">
        <v>2</v>
      </c>
      <c r="AP81">
        <v>2</v>
      </c>
      <c r="AQ81">
        <v>2</v>
      </c>
      <c r="AR81">
        <v>2</v>
      </c>
      <c r="AS81" t="s">
        <v>899</v>
      </c>
      <c r="AT81" t="s">
        <v>899</v>
      </c>
      <c r="AU81" t="s">
        <v>899</v>
      </c>
      <c r="AV81" t="s">
        <v>899</v>
      </c>
      <c r="AZ81">
        <v>3</v>
      </c>
      <c r="BA81">
        <v>3</v>
      </c>
      <c r="BB81">
        <v>3</v>
      </c>
      <c r="BC81">
        <v>3</v>
      </c>
      <c r="BD81">
        <v>3</v>
      </c>
      <c r="BE81">
        <v>2</v>
      </c>
      <c r="BH81">
        <v>1</v>
      </c>
      <c r="BI81">
        <v>1</v>
      </c>
      <c r="BJ81" t="s">
        <v>2990</v>
      </c>
      <c r="BK81" t="s">
        <v>2990</v>
      </c>
      <c r="BQ81" t="s">
        <v>2344</v>
      </c>
      <c r="BR81">
        <v>2</v>
      </c>
      <c r="BS81" t="s">
        <v>2344</v>
      </c>
      <c r="CB81" t="s">
        <v>2344</v>
      </c>
      <c r="CC81" t="s">
        <v>2344</v>
      </c>
      <c r="CD81" t="s">
        <v>4569</v>
      </c>
      <c r="CE81" t="s">
        <v>2344</v>
      </c>
      <c r="CJ81">
        <v>2</v>
      </c>
      <c r="CK81">
        <v>3</v>
      </c>
      <c r="CM81">
        <v>-2</v>
      </c>
      <c r="CN81">
        <v>1</v>
      </c>
      <c r="CO81">
        <v>1</v>
      </c>
      <c r="CP81">
        <v>1</v>
      </c>
      <c r="CV81">
        <v>2</v>
      </c>
      <c r="CW81">
        <v>2</v>
      </c>
      <c r="CX81">
        <v>3</v>
      </c>
      <c r="CY81">
        <v>3</v>
      </c>
      <c r="DA81" t="s">
        <v>339</v>
      </c>
      <c r="DB81" t="s">
        <v>339</v>
      </c>
      <c r="DC81" t="s">
        <v>339</v>
      </c>
      <c r="DG81">
        <v>3</v>
      </c>
      <c r="DK81">
        <v>5</v>
      </c>
      <c r="DP81">
        <v>2</v>
      </c>
      <c r="DQ81">
        <v>5</v>
      </c>
      <c r="DR81">
        <v>5</v>
      </c>
      <c r="DS81">
        <v>5</v>
      </c>
      <c r="DT81">
        <v>5</v>
      </c>
      <c r="DU81">
        <v>5</v>
      </c>
      <c r="DV81">
        <v>1</v>
      </c>
      <c r="DW81">
        <v>1</v>
      </c>
      <c r="DX81">
        <v>1</v>
      </c>
      <c r="DZ81">
        <v>3</v>
      </c>
      <c r="EA81">
        <v>3</v>
      </c>
      <c r="EB81">
        <v>3</v>
      </c>
      <c r="EC81">
        <v>3</v>
      </c>
      <c r="ED81">
        <v>3</v>
      </c>
      <c r="EE81">
        <v>3</v>
      </c>
      <c r="EF81">
        <v>3</v>
      </c>
      <c r="EJ81" t="s">
        <v>899</v>
      </c>
      <c r="EK81" t="s">
        <v>899</v>
      </c>
      <c r="EL81" t="s">
        <v>899</v>
      </c>
      <c r="EM81" t="s">
        <v>899</v>
      </c>
      <c r="EN81" t="s">
        <v>899</v>
      </c>
      <c r="EO81" t="s">
        <v>899</v>
      </c>
      <c r="EP81" t="s">
        <v>899</v>
      </c>
      <c r="EQ81" t="s">
        <v>899</v>
      </c>
      <c r="ER81" t="s">
        <v>899</v>
      </c>
      <c r="EV81" t="s">
        <v>899</v>
      </c>
      <c r="FD81" t="s">
        <v>339</v>
      </c>
      <c r="GA81" t="s">
        <v>339</v>
      </c>
      <c r="GH81" t="str">
        <f t="shared" si="5"/>
        <v/>
      </c>
    </row>
    <row r="82" spans="1:190" x14ac:dyDescent="0.2">
      <c r="A82" t="str">
        <f t="shared" si="4"/>
        <v>Sinnenschärfe</v>
      </c>
      <c r="C82" t="s">
        <v>2762</v>
      </c>
      <c r="D82" t="s">
        <v>2762</v>
      </c>
      <c r="E82" t="s">
        <v>2762</v>
      </c>
      <c r="F82">
        <v>4</v>
      </c>
      <c r="G82" t="s">
        <v>1150</v>
      </c>
      <c r="H82">
        <v>2</v>
      </c>
      <c r="I82">
        <v>2</v>
      </c>
      <c r="J82">
        <v>3</v>
      </c>
      <c r="K82">
        <v>2</v>
      </c>
      <c r="L82">
        <v>2</v>
      </c>
      <c r="M82">
        <v>2</v>
      </c>
      <c r="N82">
        <v>2</v>
      </c>
      <c r="O82">
        <v>2</v>
      </c>
      <c r="P82">
        <v>2</v>
      </c>
      <c r="Q82">
        <v>2</v>
      </c>
      <c r="R82">
        <v>2</v>
      </c>
      <c r="S82">
        <v>2</v>
      </c>
      <c r="T82">
        <v>3</v>
      </c>
      <c r="U82">
        <v>3</v>
      </c>
      <c r="V82">
        <v>3</v>
      </c>
      <c r="W82">
        <v>3</v>
      </c>
      <c r="X82">
        <v>3</v>
      </c>
      <c r="Y82">
        <v>3</v>
      </c>
      <c r="Z82">
        <v>3</v>
      </c>
      <c r="AA82">
        <v>3</v>
      </c>
      <c r="AB82">
        <v>3</v>
      </c>
      <c r="AC82">
        <v>3</v>
      </c>
      <c r="AD82">
        <v>3</v>
      </c>
      <c r="AE82">
        <v>3</v>
      </c>
      <c r="AF82">
        <v>3</v>
      </c>
      <c r="AG82">
        <v>3</v>
      </c>
      <c r="AH82">
        <v>3</v>
      </c>
      <c r="AI82">
        <v>3</v>
      </c>
      <c r="AJ82">
        <v>2</v>
      </c>
      <c r="AK82">
        <v>2</v>
      </c>
      <c r="AL82">
        <v>2</v>
      </c>
      <c r="AM82">
        <v>3</v>
      </c>
      <c r="AN82">
        <v>3</v>
      </c>
      <c r="AO82" t="s">
        <v>1148</v>
      </c>
      <c r="AP82" t="s">
        <v>1148</v>
      </c>
      <c r="AQ82" t="s">
        <v>1148</v>
      </c>
      <c r="AR82" t="s">
        <v>1148</v>
      </c>
      <c r="AS82" t="s">
        <v>2038</v>
      </c>
      <c r="AT82" t="s">
        <v>2038</v>
      </c>
      <c r="AU82" t="s">
        <v>2038</v>
      </c>
      <c r="AV82" t="s">
        <v>2038</v>
      </c>
      <c r="AW82">
        <v>3</v>
      </c>
      <c r="AX82">
        <v>3</v>
      </c>
      <c r="AY82">
        <v>3</v>
      </c>
      <c r="AZ82">
        <v>1</v>
      </c>
      <c r="BA82">
        <v>1</v>
      </c>
      <c r="BB82">
        <v>1</v>
      </c>
      <c r="BC82">
        <v>1</v>
      </c>
      <c r="BD82">
        <v>1</v>
      </c>
      <c r="BG82">
        <v>1</v>
      </c>
      <c r="BH82">
        <v>5</v>
      </c>
      <c r="BI82">
        <v>5</v>
      </c>
      <c r="BJ82" t="s">
        <v>2344</v>
      </c>
      <c r="BK82" t="s">
        <v>2344</v>
      </c>
      <c r="BL82" t="s">
        <v>339</v>
      </c>
      <c r="BM82" t="s">
        <v>2327</v>
      </c>
      <c r="BN82" t="s">
        <v>2327</v>
      </c>
      <c r="BO82" t="s">
        <v>2327</v>
      </c>
      <c r="BP82">
        <v>4</v>
      </c>
      <c r="BQ82" t="s">
        <v>2344</v>
      </c>
      <c r="BR82">
        <v>2</v>
      </c>
      <c r="BS82" t="s">
        <v>2344</v>
      </c>
      <c r="BT82">
        <v>3</v>
      </c>
      <c r="BU82">
        <v>3</v>
      </c>
      <c r="BV82">
        <v>4</v>
      </c>
      <c r="BW82">
        <v>3</v>
      </c>
      <c r="BX82">
        <v>3</v>
      </c>
      <c r="BY82">
        <v>3</v>
      </c>
      <c r="BZ82">
        <v>3</v>
      </c>
      <c r="CA82">
        <v>3</v>
      </c>
      <c r="CB82">
        <v>1</v>
      </c>
      <c r="CC82" t="s">
        <v>2344</v>
      </c>
      <c r="CD82" t="s">
        <v>2344</v>
      </c>
      <c r="CE82" t="s">
        <v>2990</v>
      </c>
      <c r="CF82" t="s">
        <v>1150</v>
      </c>
      <c r="CG82" t="s">
        <v>1150</v>
      </c>
      <c r="CH82" t="s">
        <v>1148</v>
      </c>
      <c r="CI82" t="s">
        <v>1150</v>
      </c>
      <c r="CJ82">
        <v>2</v>
      </c>
      <c r="CK82">
        <v>3</v>
      </c>
      <c r="CL82" t="s">
        <v>1150</v>
      </c>
      <c r="CM82" t="s">
        <v>1150</v>
      </c>
      <c r="CN82">
        <v>2</v>
      </c>
      <c r="CO82">
        <v>2</v>
      </c>
      <c r="CP82">
        <v>2</v>
      </c>
      <c r="CQ82">
        <v>3</v>
      </c>
      <c r="CR82">
        <v>3</v>
      </c>
      <c r="CS82">
        <v>4</v>
      </c>
      <c r="CT82">
        <v>4</v>
      </c>
      <c r="CU82">
        <v>2</v>
      </c>
      <c r="CV82">
        <v>2</v>
      </c>
      <c r="CW82">
        <v>2</v>
      </c>
      <c r="CX82" t="s">
        <v>1151</v>
      </c>
      <c r="CY82" t="s">
        <v>1151</v>
      </c>
      <c r="CZ82">
        <v>2</v>
      </c>
      <c r="DD82">
        <v>1</v>
      </c>
      <c r="DF82">
        <v>4</v>
      </c>
      <c r="DG82">
        <v>2</v>
      </c>
      <c r="DH82">
        <v>3</v>
      </c>
      <c r="DI82">
        <v>3</v>
      </c>
      <c r="DJ82">
        <v>3</v>
      </c>
      <c r="DK82">
        <v>2</v>
      </c>
      <c r="DL82">
        <v>1</v>
      </c>
      <c r="DM82">
        <v>1</v>
      </c>
      <c r="DN82">
        <v>1</v>
      </c>
      <c r="DO82">
        <v>1</v>
      </c>
      <c r="DP82">
        <v>1</v>
      </c>
      <c r="DQ82">
        <v>2</v>
      </c>
      <c r="DR82">
        <v>2</v>
      </c>
      <c r="DS82">
        <v>2</v>
      </c>
      <c r="DT82">
        <v>2</v>
      </c>
      <c r="DU82">
        <v>2</v>
      </c>
      <c r="DV82">
        <v>2</v>
      </c>
      <c r="DW82">
        <v>2</v>
      </c>
      <c r="DY82">
        <v>2</v>
      </c>
      <c r="DZ82">
        <v>3</v>
      </c>
      <c r="EA82">
        <v>3</v>
      </c>
      <c r="EB82">
        <v>3</v>
      </c>
      <c r="EC82">
        <v>3</v>
      </c>
      <c r="ED82">
        <v>3</v>
      </c>
      <c r="EE82">
        <v>3</v>
      </c>
      <c r="EF82">
        <v>3</v>
      </c>
      <c r="EI82" t="s">
        <v>339</v>
      </c>
      <c r="ET82" t="s">
        <v>339</v>
      </c>
      <c r="EU82" t="s">
        <v>339</v>
      </c>
      <c r="EV82" t="s">
        <v>339</v>
      </c>
      <c r="FD82" t="s">
        <v>339</v>
      </c>
      <c r="FS82" t="s">
        <v>339</v>
      </c>
      <c r="FT82" t="s">
        <v>339</v>
      </c>
      <c r="FU82" t="s">
        <v>339</v>
      </c>
      <c r="FX82" t="s">
        <v>339</v>
      </c>
      <c r="FY82" t="s">
        <v>339</v>
      </c>
      <c r="FZ82" t="s">
        <v>339</v>
      </c>
      <c r="GH82" t="str">
        <f t="shared" si="5"/>
        <v>4</v>
      </c>
    </row>
    <row r="83" spans="1:190" x14ac:dyDescent="0.2">
      <c r="A83" t="str">
        <f t="shared" si="4"/>
        <v>Skifahren</v>
      </c>
      <c r="BH83">
        <v>2</v>
      </c>
      <c r="BI83">
        <v>2</v>
      </c>
      <c r="BR83" t="s">
        <v>4569</v>
      </c>
      <c r="DT83">
        <v>3</v>
      </c>
      <c r="GH83" t="str">
        <f t="shared" si="5"/>
        <v/>
      </c>
    </row>
    <row r="84" spans="1:190" x14ac:dyDescent="0.2">
      <c r="A84" t="str">
        <f t="shared" si="4"/>
        <v>Stimmen imitieren</v>
      </c>
      <c r="G84" t="s">
        <v>2344</v>
      </c>
      <c r="I84" t="s">
        <v>899</v>
      </c>
      <c r="J84" t="s">
        <v>899</v>
      </c>
      <c r="K84" t="s">
        <v>899</v>
      </c>
      <c r="L84" t="s">
        <v>899</v>
      </c>
      <c r="M84" t="s">
        <v>899</v>
      </c>
      <c r="N84" t="s">
        <v>899</v>
      </c>
      <c r="O84" t="s">
        <v>899</v>
      </c>
      <c r="P84" t="s">
        <v>899</v>
      </c>
      <c r="Q84" t="s">
        <v>899</v>
      </c>
      <c r="R84" t="s">
        <v>899</v>
      </c>
      <c r="S84" t="s">
        <v>899</v>
      </c>
      <c r="T84" t="s">
        <v>899</v>
      </c>
      <c r="U84" t="s">
        <v>899</v>
      </c>
      <c r="V84" t="s">
        <v>899</v>
      </c>
      <c r="W84" t="s">
        <v>899</v>
      </c>
      <c r="X84" t="s">
        <v>899</v>
      </c>
      <c r="Y84" t="s">
        <v>899</v>
      </c>
      <c r="Z84" t="s">
        <v>899</v>
      </c>
      <c r="AA84" t="s">
        <v>899</v>
      </c>
      <c r="AB84" t="s">
        <v>899</v>
      </c>
      <c r="AC84" t="s">
        <v>899</v>
      </c>
      <c r="AD84" t="s">
        <v>899</v>
      </c>
      <c r="AE84" t="s">
        <v>899</v>
      </c>
      <c r="AG84" t="s">
        <v>899</v>
      </c>
      <c r="AI84" t="s">
        <v>899</v>
      </c>
      <c r="BR84" t="s">
        <v>4569</v>
      </c>
      <c r="CB84" t="s">
        <v>899</v>
      </c>
      <c r="CC84" t="s">
        <v>899</v>
      </c>
      <c r="CD84" t="s">
        <v>899</v>
      </c>
      <c r="CE84" t="s">
        <v>899</v>
      </c>
      <c r="DG84">
        <v>3</v>
      </c>
      <c r="DK84">
        <v>2</v>
      </c>
      <c r="DL84">
        <v>2</v>
      </c>
      <c r="DM84">
        <v>2</v>
      </c>
      <c r="DN84">
        <v>2</v>
      </c>
      <c r="DO84">
        <v>2</v>
      </c>
      <c r="DQ84">
        <v>2</v>
      </c>
      <c r="DR84">
        <v>2</v>
      </c>
      <c r="DS84">
        <v>2</v>
      </c>
      <c r="DT84">
        <v>4</v>
      </c>
      <c r="DU84">
        <v>2</v>
      </c>
      <c r="DZ84">
        <v>2</v>
      </c>
      <c r="EA84">
        <v>2</v>
      </c>
      <c r="EB84">
        <v>2</v>
      </c>
      <c r="EC84">
        <v>2</v>
      </c>
      <c r="ED84">
        <v>2</v>
      </c>
      <c r="EE84">
        <v>2</v>
      </c>
      <c r="EF84">
        <v>2</v>
      </c>
      <c r="EJ84" t="s">
        <v>899</v>
      </c>
      <c r="EK84" t="s">
        <v>899</v>
      </c>
      <c r="EL84" t="s">
        <v>899</v>
      </c>
      <c r="EM84" t="s">
        <v>899</v>
      </c>
      <c r="EN84" t="s">
        <v>899</v>
      </c>
      <c r="EO84" t="s">
        <v>899</v>
      </c>
      <c r="EP84" t="s">
        <v>899</v>
      </c>
      <c r="EQ84" t="s">
        <v>899</v>
      </c>
      <c r="ER84" t="s">
        <v>899</v>
      </c>
      <c r="FO84" t="s">
        <v>899</v>
      </c>
      <c r="FP84" t="s">
        <v>899</v>
      </c>
      <c r="FQ84" t="s">
        <v>899</v>
      </c>
      <c r="FR84" t="s">
        <v>899</v>
      </c>
      <c r="GH84" t="str">
        <f t="shared" si="5"/>
        <v/>
      </c>
    </row>
    <row r="85" spans="1:190" x14ac:dyDescent="0.2">
      <c r="A85" t="str">
        <f t="shared" si="4"/>
        <v>Tanzen</v>
      </c>
      <c r="I85" t="s">
        <v>899</v>
      </c>
      <c r="J85" t="s">
        <v>899</v>
      </c>
      <c r="K85" t="s">
        <v>899</v>
      </c>
      <c r="L85" t="s">
        <v>899</v>
      </c>
      <c r="M85" t="s">
        <v>899</v>
      </c>
      <c r="N85" t="s">
        <v>899</v>
      </c>
      <c r="O85" t="s">
        <v>899</v>
      </c>
      <c r="P85" t="s">
        <v>899</v>
      </c>
      <c r="Q85" t="s">
        <v>899</v>
      </c>
      <c r="R85" t="s">
        <v>899</v>
      </c>
      <c r="S85" t="s">
        <v>899</v>
      </c>
      <c r="T85" t="s">
        <v>899</v>
      </c>
      <c r="U85" t="s">
        <v>899</v>
      </c>
      <c r="V85" t="s">
        <v>899</v>
      </c>
      <c r="W85" t="s">
        <v>899</v>
      </c>
      <c r="X85" t="s">
        <v>899</v>
      </c>
      <c r="Y85" t="s">
        <v>899</v>
      </c>
      <c r="Z85" t="s">
        <v>899</v>
      </c>
      <c r="AA85" t="s">
        <v>899</v>
      </c>
      <c r="AB85" t="s">
        <v>899</v>
      </c>
      <c r="AC85" t="s">
        <v>899</v>
      </c>
      <c r="AD85" t="s">
        <v>899</v>
      </c>
      <c r="AE85" t="s">
        <v>899</v>
      </c>
      <c r="AG85" t="s">
        <v>899</v>
      </c>
      <c r="AI85" t="s">
        <v>899</v>
      </c>
      <c r="AN85">
        <v>1</v>
      </c>
      <c r="AS85" t="s">
        <v>899</v>
      </c>
      <c r="AT85" t="s">
        <v>899</v>
      </c>
      <c r="AU85" t="s">
        <v>899</v>
      </c>
      <c r="AV85" t="s">
        <v>899</v>
      </c>
      <c r="BH85">
        <v>2</v>
      </c>
      <c r="BQ85">
        <v>1</v>
      </c>
      <c r="BR85" t="s">
        <v>4569</v>
      </c>
      <c r="CJ85">
        <v>7</v>
      </c>
      <c r="CK85">
        <v>3</v>
      </c>
      <c r="CU85">
        <v>2</v>
      </c>
      <c r="CX85">
        <v>2</v>
      </c>
      <c r="CY85">
        <v>2</v>
      </c>
      <c r="DA85" t="s">
        <v>339</v>
      </c>
      <c r="DB85" t="s">
        <v>339</v>
      </c>
      <c r="DC85" t="s">
        <v>339</v>
      </c>
      <c r="DG85">
        <v>3</v>
      </c>
      <c r="DH85">
        <v>2</v>
      </c>
      <c r="DI85">
        <v>2</v>
      </c>
      <c r="DJ85">
        <v>2</v>
      </c>
      <c r="DK85">
        <v>4</v>
      </c>
      <c r="DP85">
        <v>3</v>
      </c>
      <c r="DX85">
        <v>4</v>
      </c>
      <c r="DZ85">
        <v>4</v>
      </c>
      <c r="EA85">
        <v>4</v>
      </c>
      <c r="EB85">
        <v>4</v>
      </c>
      <c r="EC85">
        <v>4</v>
      </c>
      <c r="ED85">
        <v>4</v>
      </c>
      <c r="EE85">
        <v>4</v>
      </c>
      <c r="EF85">
        <v>4</v>
      </c>
      <c r="EJ85" t="s">
        <v>899</v>
      </c>
      <c r="EK85" t="s">
        <v>899</v>
      </c>
      <c r="EL85" t="s">
        <v>899</v>
      </c>
      <c r="EM85" t="s">
        <v>899</v>
      </c>
      <c r="EN85" t="s">
        <v>899</v>
      </c>
      <c r="EO85" t="s">
        <v>899</v>
      </c>
      <c r="EP85" t="s">
        <v>899</v>
      </c>
      <c r="EQ85" t="s">
        <v>899</v>
      </c>
      <c r="ER85" t="s">
        <v>899</v>
      </c>
      <c r="EV85" t="s">
        <v>899</v>
      </c>
      <c r="FD85" t="s">
        <v>339</v>
      </c>
      <c r="GA85" t="s">
        <v>339</v>
      </c>
      <c r="GH85" t="str">
        <f t="shared" si="5"/>
        <v/>
      </c>
    </row>
    <row r="86" spans="1:190" x14ac:dyDescent="0.2">
      <c r="A86" t="str">
        <f t="shared" si="4"/>
        <v>Taschendiebstahl</v>
      </c>
      <c r="BT86">
        <v>2</v>
      </c>
      <c r="BU86">
        <v>2</v>
      </c>
      <c r="BV86">
        <v>7</v>
      </c>
      <c r="BW86">
        <v>2</v>
      </c>
      <c r="BX86">
        <v>2</v>
      </c>
      <c r="BY86">
        <v>2</v>
      </c>
      <c r="BZ86">
        <v>2</v>
      </c>
      <c r="CA86">
        <v>4</v>
      </c>
      <c r="CB86" t="s">
        <v>899</v>
      </c>
      <c r="CC86" t="s">
        <v>899</v>
      </c>
      <c r="CD86" t="s">
        <v>899</v>
      </c>
      <c r="CE86" t="s">
        <v>899</v>
      </c>
      <c r="CX86" t="s">
        <v>899</v>
      </c>
      <c r="CY86" t="s">
        <v>899</v>
      </c>
      <c r="FO86" t="s">
        <v>899</v>
      </c>
      <c r="FP86" t="s">
        <v>899</v>
      </c>
      <c r="FQ86" t="s">
        <v>899</v>
      </c>
      <c r="FR86" t="s">
        <v>899</v>
      </c>
      <c r="FX86" t="s">
        <v>899</v>
      </c>
      <c r="FY86" t="s">
        <v>899</v>
      </c>
      <c r="FZ86" t="s">
        <v>899</v>
      </c>
      <c r="GH86" t="str">
        <f t="shared" si="5"/>
        <v/>
      </c>
    </row>
    <row r="87" spans="1:190" x14ac:dyDescent="0.2">
      <c r="A87" t="str">
        <f t="shared" si="4"/>
        <v>Zechen</v>
      </c>
      <c r="C87" t="s">
        <v>2344</v>
      </c>
      <c r="D87" t="s">
        <v>2344</v>
      </c>
      <c r="E87" t="s">
        <v>2344</v>
      </c>
      <c r="F87" t="s">
        <v>2344</v>
      </c>
      <c r="G87" t="s">
        <v>2344</v>
      </c>
      <c r="I87" t="s">
        <v>899</v>
      </c>
      <c r="J87" t="s">
        <v>899</v>
      </c>
      <c r="K87" t="s">
        <v>899</v>
      </c>
      <c r="L87" t="s">
        <v>899</v>
      </c>
      <c r="M87" t="s">
        <v>899</v>
      </c>
      <c r="N87" t="s">
        <v>899</v>
      </c>
      <c r="O87" t="s">
        <v>899</v>
      </c>
      <c r="P87" t="s">
        <v>899</v>
      </c>
      <c r="Q87" t="s">
        <v>899</v>
      </c>
      <c r="R87" t="s">
        <v>899</v>
      </c>
      <c r="S87" t="s">
        <v>899</v>
      </c>
      <c r="T87" t="s">
        <v>899</v>
      </c>
      <c r="U87" t="s">
        <v>899</v>
      </c>
      <c r="V87" t="s">
        <v>899</v>
      </c>
      <c r="W87" t="s">
        <v>899</v>
      </c>
      <c r="X87" t="s">
        <v>899</v>
      </c>
      <c r="Y87" t="s">
        <v>899</v>
      </c>
      <c r="Z87" t="s">
        <v>899</v>
      </c>
      <c r="AA87" t="s">
        <v>899</v>
      </c>
      <c r="AB87" t="s">
        <v>899</v>
      </c>
      <c r="AC87" t="s">
        <v>899</v>
      </c>
      <c r="AD87" t="s">
        <v>899</v>
      </c>
      <c r="AE87" t="s">
        <v>899</v>
      </c>
      <c r="AG87" t="s">
        <v>899</v>
      </c>
      <c r="AI87" t="s">
        <v>899</v>
      </c>
      <c r="AM87">
        <v>2</v>
      </c>
      <c r="AN87">
        <v>1</v>
      </c>
      <c r="AZ87" t="s">
        <v>899</v>
      </c>
      <c r="BA87" t="s">
        <v>899</v>
      </c>
      <c r="BB87" t="s">
        <v>899</v>
      </c>
      <c r="BC87" t="s">
        <v>899</v>
      </c>
      <c r="BD87" t="s">
        <v>899</v>
      </c>
      <c r="CF87" t="s">
        <v>1150</v>
      </c>
      <c r="CG87" t="s">
        <v>1150</v>
      </c>
      <c r="CH87" t="s">
        <v>1150</v>
      </c>
      <c r="CI87" t="s">
        <v>1150</v>
      </c>
      <c r="CK87">
        <v>2</v>
      </c>
      <c r="CL87" t="s">
        <v>1150</v>
      </c>
      <c r="CM87" t="s">
        <v>339</v>
      </c>
      <c r="CS87">
        <v>1</v>
      </c>
      <c r="CT87">
        <v>1</v>
      </c>
      <c r="CV87" t="s">
        <v>1150</v>
      </c>
      <c r="CW87" t="s">
        <v>1150</v>
      </c>
      <c r="CX87" t="s">
        <v>2038</v>
      </c>
      <c r="CY87" t="s">
        <v>2038</v>
      </c>
      <c r="CZ87">
        <v>1</v>
      </c>
      <c r="DL87">
        <v>4</v>
      </c>
      <c r="DM87">
        <v>4</v>
      </c>
      <c r="DN87">
        <v>4</v>
      </c>
      <c r="DO87">
        <v>5</v>
      </c>
      <c r="DV87">
        <v>2</v>
      </c>
      <c r="DW87">
        <v>2</v>
      </c>
      <c r="DX87">
        <v>1</v>
      </c>
      <c r="DY87">
        <v>4</v>
      </c>
      <c r="EJ87" t="s">
        <v>899</v>
      </c>
      <c r="EK87" t="s">
        <v>899</v>
      </c>
      <c r="EL87" t="s">
        <v>899</v>
      </c>
      <c r="EM87" t="s">
        <v>899</v>
      </c>
      <c r="EN87" t="s">
        <v>899</v>
      </c>
      <c r="EO87" t="s">
        <v>899</v>
      </c>
      <c r="EP87" t="s">
        <v>899</v>
      </c>
      <c r="EQ87" t="s">
        <v>899</v>
      </c>
      <c r="ER87" t="s">
        <v>899</v>
      </c>
      <c r="EX87" t="s">
        <v>899</v>
      </c>
      <c r="EY87" t="s">
        <v>899</v>
      </c>
      <c r="EZ87" t="s">
        <v>899</v>
      </c>
      <c r="FA87" t="s">
        <v>899</v>
      </c>
      <c r="FS87" t="s">
        <v>339</v>
      </c>
      <c r="FT87" t="s">
        <v>339</v>
      </c>
      <c r="FW87" t="s">
        <v>339</v>
      </c>
      <c r="FX87" t="s">
        <v>339</v>
      </c>
      <c r="FY87" t="s">
        <v>339</v>
      </c>
      <c r="FZ87" t="s">
        <v>339</v>
      </c>
      <c r="GH87" t="str">
        <f t="shared" si="5"/>
        <v/>
      </c>
    </row>
    <row r="88" spans="1:190" ht="12.75" customHeight="1" x14ac:dyDescent="0.2">
      <c r="A88" t="str">
        <f>INDEX(TL_GES,ROW()-87)</f>
        <v>Betören</v>
      </c>
      <c r="B88" t="s">
        <v>3310</v>
      </c>
      <c r="G88" t="s">
        <v>2762</v>
      </c>
      <c r="I88" t="s">
        <v>899</v>
      </c>
      <c r="J88" t="s">
        <v>899</v>
      </c>
      <c r="K88" t="s">
        <v>899</v>
      </c>
      <c r="L88" t="s">
        <v>899</v>
      </c>
      <c r="M88" t="s">
        <v>899</v>
      </c>
      <c r="N88" t="s">
        <v>899</v>
      </c>
      <c r="O88" t="s">
        <v>899</v>
      </c>
      <c r="P88" t="s">
        <v>899</v>
      </c>
      <c r="Q88" t="s">
        <v>899</v>
      </c>
      <c r="R88" t="s">
        <v>899</v>
      </c>
      <c r="S88" t="s">
        <v>899</v>
      </c>
      <c r="T88" t="s">
        <v>899</v>
      </c>
      <c r="U88" t="s">
        <v>899</v>
      </c>
      <c r="V88" t="s">
        <v>899</v>
      </c>
      <c r="W88" t="s">
        <v>899</v>
      </c>
      <c r="X88" t="s">
        <v>899</v>
      </c>
      <c r="Y88" t="s">
        <v>899</v>
      </c>
      <c r="Z88" t="s">
        <v>899</v>
      </c>
      <c r="AA88" t="s">
        <v>899</v>
      </c>
      <c r="AB88" t="s">
        <v>899</v>
      </c>
      <c r="AC88" t="s">
        <v>899</v>
      </c>
      <c r="AD88" t="s">
        <v>899</v>
      </c>
      <c r="AE88" t="s">
        <v>899</v>
      </c>
      <c r="AG88" t="s">
        <v>899</v>
      </c>
      <c r="AI88" t="s">
        <v>899</v>
      </c>
      <c r="AO88" t="s">
        <v>4569</v>
      </c>
      <c r="AP88" t="s">
        <v>4569</v>
      </c>
      <c r="AQ88" t="s">
        <v>4569</v>
      </c>
      <c r="AR88" t="s">
        <v>4569</v>
      </c>
      <c r="AS88" t="s">
        <v>899</v>
      </c>
      <c r="AT88" t="s">
        <v>899</v>
      </c>
      <c r="AU88" t="s">
        <v>899</v>
      </c>
      <c r="AV88" t="s">
        <v>899</v>
      </c>
      <c r="BQ88" t="s">
        <v>899</v>
      </c>
      <c r="BR88" t="s">
        <v>899</v>
      </c>
      <c r="BS88" t="s">
        <v>899</v>
      </c>
      <c r="BU88">
        <v>5</v>
      </c>
      <c r="BZ88">
        <v>1</v>
      </c>
      <c r="CA88">
        <v>2</v>
      </c>
      <c r="CF88" t="s">
        <v>1152</v>
      </c>
      <c r="CG88" t="s">
        <v>1152</v>
      </c>
      <c r="CH88" t="s">
        <v>1152</v>
      </c>
      <c r="CI88" t="s">
        <v>2038</v>
      </c>
      <c r="CK88">
        <v>3</v>
      </c>
      <c r="CL88" t="s">
        <v>1147</v>
      </c>
      <c r="CM88" t="s">
        <v>1148</v>
      </c>
      <c r="CX88" t="s">
        <v>899</v>
      </c>
      <c r="CY88" t="s">
        <v>899</v>
      </c>
      <c r="DE88" t="s">
        <v>3310</v>
      </c>
      <c r="EG88" t="s">
        <v>3310</v>
      </c>
      <c r="EJ88" t="s">
        <v>899</v>
      </c>
      <c r="EK88" t="s">
        <v>899</v>
      </c>
      <c r="EL88" t="s">
        <v>899</v>
      </c>
      <c r="EM88" t="s">
        <v>899</v>
      </c>
      <c r="EN88" t="s">
        <v>899</v>
      </c>
      <c r="EO88" t="s">
        <v>899</v>
      </c>
      <c r="EP88" t="s">
        <v>899</v>
      </c>
      <c r="EQ88" t="s">
        <v>899</v>
      </c>
      <c r="ER88" t="s">
        <v>899</v>
      </c>
      <c r="EV88" t="s">
        <v>899</v>
      </c>
      <c r="FS88" t="s">
        <v>339</v>
      </c>
      <c r="FT88" t="s">
        <v>339</v>
      </c>
      <c r="FX88" t="s">
        <v>899</v>
      </c>
      <c r="FY88" t="s">
        <v>899</v>
      </c>
      <c r="FZ88" t="s">
        <v>899</v>
      </c>
      <c r="GH88" t="str">
        <f t="shared" si="5"/>
        <v/>
      </c>
    </row>
    <row r="89" spans="1:190" x14ac:dyDescent="0.2">
      <c r="A89" t="str">
        <f t="shared" ref="A89:A98" si="6">INDEX(TL_GES,ROW()-87)</f>
        <v>Etikette</v>
      </c>
      <c r="C89" t="s">
        <v>2344</v>
      </c>
      <c r="D89" t="s">
        <v>2344</v>
      </c>
      <c r="E89" t="s">
        <v>2344</v>
      </c>
      <c r="F89" t="s">
        <v>2344</v>
      </c>
      <c r="G89" t="s">
        <v>2344</v>
      </c>
      <c r="H89">
        <v>1</v>
      </c>
      <c r="I89">
        <v>4</v>
      </c>
      <c r="J89">
        <v>1</v>
      </c>
      <c r="K89">
        <v>4</v>
      </c>
      <c r="L89">
        <v>4</v>
      </c>
      <c r="M89">
        <v>6</v>
      </c>
      <c r="N89">
        <v>5</v>
      </c>
      <c r="O89">
        <v>4</v>
      </c>
      <c r="P89">
        <v>6</v>
      </c>
      <c r="Q89">
        <v>5</v>
      </c>
      <c r="R89">
        <v>6</v>
      </c>
      <c r="S89">
        <v>5</v>
      </c>
      <c r="T89">
        <v>1</v>
      </c>
      <c r="U89">
        <v>1</v>
      </c>
      <c r="V89">
        <v>3</v>
      </c>
      <c r="W89">
        <v>2</v>
      </c>
      <c r="X89">
        <v>1</v>
      </c>
      <c r="Y89">
        <v>1</v>
      </c>
      <c r="Z89">
        <v>3</v>
      </c>
      <c r="AA89">
        <v>2</v>
      </c>
      <c r="AB89">
        <v>1</v>
      </c>
      <c r="AC89">
        <v>3</v>
      </c>
      <c r="AD89">
        <v>2</v>
      </c>
      <c r="AE89">
        <v>1</v>
      </c>
      <c r="AF89">
        <v>4</v>
      </c>
      <c r="AG89">
        <v>4</v>
      </c>
      <c r="AH89">
        <v>4</v>
      </c>
      <c r="AI89">
        <v>1</v>
      </c>
      <c r="AJ89">
        <v>2</v>
      </c>
      <c r="AK89">
        <v>2</v>
      </c>
      <c r="AL89">
        <v>2</v>
      </c>
      <c r="AM89">
        <v>3</v>
      </c>
      <c r="AN89">
        <v>3</v>
      </c>
      <c r="AO89">
        <v>1</v>
      </c>
      <c r="AP89">
        <v>1</v>
      </c>
      <c r="AQ89">
        <v>1</v>
      </c>
      <c r="AR89">
        <v>1</v>
      </c>
      <c r="AS89" t="s">
        <v>899</v>
      </c>
      <c r="AT89" t="s">
        <v>4570</v>
      </c>
      <c r="AU89" t="s">
        <v>899</v>
      </c>
      <c r="AV89" t="s">
        <v>899</v>
      </c>
      <c r="AW89">
        <v>1</v>
      </c>
      <c r="AX89">
        <v>3</v>
      </c>
      <c r="AY89">
        <v>1</v>
      </c>
      <c r="AZ89" t="s">
        <v>1150</v>
      </c>
      <c r="BA89" t="s">
        <v>1150</v>
      </c>
      <c r="BB89" t="s">
        <v>1150</v>
      </c>
      <c r="BC89" t="s">
        <v>1149</v>
      </c>
      <c r="BD89" t="s">
        <v>1150</v>
      </c>
      <c r="BE89">
        <v>1</v>
      </c>
      <c r="BG89">
        <v>2</v>
      </c>
      <c r="BJ89">
        <v>2</v>
      </c>
      <c r="BK89">
        <v>2</v>
      </c>
      <c r="BM89" t="s">
        <v>2344</v>
      </c>
      <c r="BN89">
        <v>2</v>
      </c>
      <c r="BO89">
        <v>4</v>
      </c>
      <c r="BP89" t="s">
        <v>2344</v>
      </c>
      <c r="BQ89" t="s">
        <v>2344</v>
      </c>
      <c r="BR89" t="s">
        <v>2344</v>
      </c>
      <c r="BS89">
        <v>3</v>
      </c>
      <c r="BT89">
        <v>2</v>
      </c>
      <c r="BU89">
        <v>5</v>
      </c>
      <c r="BV89">
        <v>2</v>
      </c>
      <c r="BW89">
        <v>2</v>
      </c>
      <c r="BX89">
        <v>2</v>
      </c>
      <c r="BY89">
        <v>2</v>
      </c>
      <c r="BZ89">
        <v>5</v>
      </c>
      <c r="CA89">
        <v>2</v>
      </c>
      <c r="CB89" t="s">
        <v>2038</v>
      </c>
      <c r="CC89" t="s">
        <v>1149</v>
      </c>
      <c r="CD89" t="s">
        <v>1150</v>
      </c>
      <c r="CE89" t="s">
        <v>2038</v>
      </c>
      <c r="CF89" t="s">
        <v>2327</v>
      </c>
      <c r="CG89">
        <v>4</v>
      </c>
      <c r="CH89">
        <v>3</v>
      </c>
      <c r="CI89">
        <v>4</v>
      </c>
      <c r="CK89">
        <v>5</v>
      </c>
      <c r="CL89">
        <v>3</v>
      </c>
      <c r="CM89">
        <v>3</v>
      </c>
      <c r="CN89">
        <v>4</v>
      </c>
      <c r="CP89">
        <v>4</v>
      </c>
      <c r="CQ89">
        <v>2</v>
      </c>
      <c r="CR89">
        <v>2</v>
      </c>
      <c r="CS89">
        <v>2</v>
      </c>
      <c r="CT89">
        <v>2</v>
      </c>
      <c r="CV89" t="s">
        <v>899</v>
      </c>
      <c r="CW89" t="s">
        <v>899</v>
      </c>
      <c r="CX89">
        <v>2</v>
      </c>
      <c r="CY89">
        <v>2</v>
      </c>
      <c r="CZ89">
        <v>4</v>
      </c>
      <c r="DD89">
        <v>2</v>
      </c>
      <c r="DJ89">
        <v>1</v>
      </c>
      <c r="DY89">
        <v>1</v>
      </c>
      <c r="EE89">
        <v>3</v>
      </c>
      <c r="EV89" t="s">
        <v>899</v>
      </c>
      <c r="EX89" t="s">
        <v>339</v>
      </c>
      <c r="EY89" t="s">
        <v>339</v>
      </c>
      <c r="EZ89" t="s">
        <v>339</v>
      </c>
      <c r="FA89" t="s">
        <v>339</v>
      </c>
      <c r="FO89" t="s">
        <v>339</v>
      </c>
      <c r="FP89" t="s">
        <v>339</v>
      </c>
      <c r="FQ89" t="s">
        <v>339</v>
      </c>
      <c r="FR89" t="s">
        <v>339</v>
      </c>
      <c r="FW89" t="s">
        <v>899</v>
      </c>
      <c r="GH89" t="str">
        <f t="shared" si="5"/>
        <v>2</v>
      </c>
    </row>
    <row r="90" spans="1:190" x14ac:dyDescent="0.2">
      <c r="A90" t="str">
        <f t="shared" si="6"/>
        <v>Galanterie</v>
      </c>
      <c r="AS90" t="s">
        <v>899</v>
      </c>
      <c r="AT90" t="s">
        <v>899</v>
      </c>
      <c r="AU90" t="s">
        <v>899</v>
      </c>
      <c r="AV90" t="s">
        <v>899</v>
      </c>
      <c r="EV90" t="s">
        <v>899</v>
      </c>
      <c r="FX90" t="s">
        <v>899</v>
      </c>
      <c r="FY90" t="s">
        <v>899</v>
      </c>
      <c r="FZ90" t="s">
        <v>899</v>
      </c>
      <c r="GH90" t="str">
        <f t="shared" si="5"/>
        <v/>
      </c>
    </row>
    <row r="91" spans="1:190" x14ac:dyDescent="0.2">
      <c r="A91" t="str">
        <f t="shared" si="6"/>
        <v>Gassenwissen</v>
      </c>
      <c r="G91" t="s">
        <v>1151</v>
      </c>
      <c r="I91">
        <v>1</v>
      </c>
      <c r="K91">
        <v>1</v>
      </c>
      <c r="L91">
        <v>1</v>
      </c>
      <c r="M91">
        <v>1</v>
      </c>
      <c r="N91">
        <v>1</v>
      </c>
      <c r="O91">
        <v>1</v>
      </c>
      <c r="P91">
        <v>1</v>
      </c>
      <c r="Q91">
        <v>1</v>
      </c>
      <c r="R91">
        <v>1</v>
      </c>
      <c r="S91">
        <v>1</v>
      </c>
      <c r="AM91">
        <v>1</v>
      </c>
      <c r="AS91" t="s">
        <v>899</v>
      </c>
      <c r="AT91" t="s">
        <v>899</v>
      </c>
      <c r="AU91" t="s">
        <v>899</v>
      </c>
      <c r="AV91" t="s">
        <v>899</v>
      </c>
      <c r="BM91">
        <v>2</v>
      </c>
      <c r="BN91">
        <v>3</v>
      </c>
      <c r="BO91" t="s">
        <v>2344</v>
      </c>
      <c r="BP91">
        <v>2</v>
      </c>
      <c r="BR91">
        <v>2</v>
      </c>
      <c r="BT91" t="s">
        <v>1148</v>
      </c>
      <c r="BU91" t="s">
        <v>1148</v>
      </c>
      <c r="BV91" t="s">
        <v>1147</v>
      </c>
      <c r="BW91" t="s">
        <v>1148</v>
      </c>
      <c r="BX91" t="s">
        <v>1148</v>
      </c>
      <c r="BY91" t="s">
        <v>1147</v>
      </c>
      <c r="BZ91" t="s">
        <v>1148</v>
      </c>
      <c r="CA91" t="s">
        <v>1149</v>
      </c>
      <c r="CC91" t="s">
        <v>2990</v>
      </c>
      <c r="CD91" t="s">
        <v>2990</v>
      </c>
      <c r="CF91" t="s">
        <v>2344</v>
      </c>
      <c r="CG91">
        <v>2</v>
      </c>
      <c r="CH91">
        <v>2</v>
      </c>
      <c r="CL91" t="s">
        <v>2344</v>
      </c>
      <c r="CM91" t="s">
        <v>2344</v>
      </c>
      <c r="CR91">
        <v>2</v>
      </c>
      <c r="CS91">
        <v>2</v>
      </c>
      <c r="CV91" t="s">
        <v>4569</v>
      </c>
      <c r="CW91" t="s">
        <v>4569</v>
      </c>
      <c r="CY91">
        <v>2</v>
      </c>
      <c r="CZ91" t="s">
        <v>4569</v>
      </c>
      <c r="EI91" t="s">
        <v>339</v>
      </c>
      <c r="EV91" t="s">
        <v>899</v>
      </c>
      <c r="FK91" t="s">
        <v>339</v>
      </c>
      <c r="FL91" t="s">
        <v>339</v>
      </c>
      <c r="FM91" t="s">
        <v>339</v>
      </c>
      <c r="FN91" t="s">
        <v>339</v>
      </c>
      <c r="GH91" t="str">
        <f t="shared" si="5"/>
        <v>2</v>
      </c>
    </row>
    <row r="92" spans="1:190" x14ac:dyDescent="0.2">
      <c r="A92" t="str">
        <f t="shared" si="6"/>
        <v>Lehren</v>
      </c>
      <c r="C92" t="s">
        <v>2573</v>
      </c>
      <c r="D92" t="s">
        <v>2573</v>
      </c>
      <c r="E92" t="s">
        <v>2573</v>
      </c>
      <c r="F92" t="s">
        <v>2573</v>
      </c>
      <c r="G92" t="s">
        <v>2344</v>
      </c>
      <c r="H92">
        <v>3</v>
      </c>
      <c r="I92" t="s">
        <v>1149</v>
      </c>
      <c r="J92" t="s">
        <v>1149</v>
      </c>
      <c r="K92" t="s">
        <v>1149</v>
      </c>
      <c r="L92" t="s">
        <v>1149</v>
      </c>
      <c r="M92" t="s">
        <v>1149</v>
      </c>
      <c r="N92" t="s">
        <v>1149</v>
      </c>
      <c r="O92" t="s">
        <v>1149</v>
      </c>
      <c r="P92" t="s">
        <v>1149</v>
      </c>
      <c r="Q92" t="s">
        <v>1149</v>
      </c>
      <c r="R92" t="s">
        <v>1149</v>
      </c>
      <c r="S92" t="s">
        <v>1149</v>
      </c>
      <c r="T92" t="s">
        <v>1149</v>
      </c>
      <c r="U92" t="s">
        <v>1149</v>
      </c>
      <c r="V92" t="s">
        <v>1149</v>
      </c>
      <c r="W92" t="s">
        <v>1149</v>
      </c>
      <c r="X92" t="s">
        <v>1149</v>
      </c>
      <c r="Y92" t="s">
        <v>1149</v>
      </c>
      <c r="Z92" t="s">
        <v>1149</v>
      </c>
      <c r="AA92" t="s">
        <v>1149</v>
      </c>
      <c r="AB92" t="s">
        <v>1149</v>
      </c>
      <c r="AC92" t="s">
        <v>1149</v>
      </c>
      <c r="AD92" t="s">
        <v>1149</v>
      </c>
      <c r="AE92" t="s">
        <v>1149</v>
      </c>
      <c r="AF92">
        <v>2</v>
      </c>
      <c r="AG92" t="s">
        <v>1150</v>
      </c>
      <c r="AH92">
        <v>2</v>
      </c>
      <c r="AI92" t="s">
        <v>1149</v>
      </c>
      <c r="AN92">
        <v>5</v>
      </c>
      <c r="AO92">
        <v>3</v>
      </c>
      <c r="AP92">
        <v>3</v>
      </c>
      <c r="AQ92">
        <v>3</v>
      </c>
      <c r="AR92">
        <v>3</v>
      </c>
      <c r="AW92">
        <v>4</v>
      </c>
      <c r="AX92">
        <v>4</v>
      </c>
      <c r="AY92">
        <v>4</v>
      </c>
      <c r="AZ92" t="s">
        <v>2038</v>
      </c>
      <c r="BA92" t="s">
        <v>2038</v>
      </c>
      <c r="BB92" t="s">
        <v>2038</v>
      </c>
      <c r="BC92" t="s">
        <v>1152</v>
      </c>
      <c r="BD92" t="s">
        <v>2038</v>
      </c>
      <c r="BG92" t="s">
        <v>1150</v>
      </c>
      <c r="BJ92" t="s">
        <v>2038</v>
      </c>
      <c r="BK92" t="s">
        <v>2038</v>
      </c>
      <c r="BM92" t="s">
        <v>2038</v>
      </c>
      <c r="BN92" t="s">
        <v>2038</v>
      </c>
      <c r="BO92" t="s">
        <v>2038</v>
      </c>
      <c r="BP92" t="s">
        <v>1152</v>
      </c>
      <c r="BQ92" t="s">
        <v>1148</v>
      </c>
      <c r="BR92" t="s">
        <v>1148</v>
      </c>
      <c r="BS92" t="s">
        <v>1148</v>
      </c>
      <c r="BT92">
        <v>3</v>
      </c>
      <c r="BU92">
        <v>3</v>
      </c>
      <c r="BV92">
        <v>3</v>
      </c>
      <c r="BW92">
        <v>3</v>
      </c>
      <c r="BX92">
        <v>3</v>
      </c>
      <c r="BY92">
        <v>3</v>
      </c>
      <c r="BZ92">
        <v>3</v>
      </c>
      <c r="CB92" t="s">
        <v>1150</v>
      </c>
      <c r="CC92" t="s">
        <v>1150</v>
      </c>
      <c r="CD92" t="s">
        <v>339</v>
      </c>
      <c r="CE92" t="s">
        <v>1150</v>
      </c>
      <c r="CF92" t="s">
        <v>1150</v>
      </c>
      <c r="CG92" t="s">
        <v>1150</v>
      </c>
      <c r="CH92" t="s">
        <v>1150</v>
      </c>
      <c r="CI92" t="s">
        <v>1150</v>
      </c>
      <c r="CJ92">
        <v>2</v>
      </c>
      <c r="CL92" t="s">
        <v>1150</v>
      </c>
      <c r="CM92" t="s">
        <v>1150</v>
      </c>
      <c r="CN92">
        <v>2</v>
      </c>
      <c r="CO92">
        <v>2</v>
      </c>
      <c r="CP92">
        <v>2</v>
      </c>
      <c r="CQ92">
        <v>5</v>
      </c>
      <c r="CR92">
        <v>5</v>
      </c>
      <c r="CS92">
        <v>7</v>
      </c>
      <c r="CT92">
        <v>7</v>
      </c>
      <c r="CU92">
        <v>1</v>
      </c>
      <c r="CV92" t="s">
        <v>1149</v>
      </c>
      <c r="CW92" t="s">
        <v>1149</v>
      </c>
      <c r="CX92" t="s">
        <v>1148</v>
      </c>
      <c r="CY92" t="s">
        <v>1148</v>
      </c>
      <c r="DA92">
        <v>5</v>
      </c>
      <c r="DB92">
        <v>5</v>
      </c>
      <c r="DC92">
        <v>5</v>
      </c>
      <c r="DD92" t="s">
        <v>1148</v>
      </c>
      <c r="DF92">
        <v>4</v>
      </c>
      <c r="DG92">
        <v>4</v>
      </c>
      <c r="DH92">
        <v>2</v>
      </c>
      <c r="DI92">
        <v>2</v>
      </c>
      <c r="DJ92">
        <v>4</v>
      </c>
      <c r="DK92">
        <v>4</v>
      </c>
      <c r="DL92">
        <v>1</v>
      </c>
      <c r="DM92">
        <v>1</v>
      </c>
      <c r="DN92">
        <v>1</v>
      </c>
      <c r="DO92">
        <v>1</v>
      </c>
      <c r="DP92">
        <v>5</v>
      </c>
      <c r="DQ92">
        <v>4</v>
      </c>
      <c r="DR92">
        <v>4</v>
      </c>
      <c r="DS92">
        <v>4</v>
      </c>
      <c r="DT92">
        <v>4</v>
      </c>
      <c r="DU92">
        <v>4</v>
      </c>
      <c r="DV92">
        <v>3</v>
      </c>
      <c r="DW92">
        <v>3</v>
      </c>
      <c r="DX92">
        <v>5</v>
      </c>
      <c r="DY92">
        <v>2</v>
      </c>
      <c r="DZ92">
        <v>3</v>
      </c>
      <c r="EA92">
        <v>3</v>
      </c>
      <c r="EB92">
        <v>3</v>
      </c>
      <c r="EC92">
        <v>3</v>
      </c>
      <c r="ED92">
        <v>3</v>
      </c>
      <c r="EE92">
        <v>3</v>
      </c>
      <c r="EF92">
        <v>3</v>
      </c>
      <c r="EJ92" t="s">
        <v>339</v>
      </c>
      <c r="EK92" t="s">
        <v>339</v>
      </c>
      <c r="EL92" t="s">
        <v>339</v>
      </c>
      <c r="EM92" t="s">
        <v>339</v>
      </c>
      <c r="EN92" t="s">
        <v>339</v>
      </c>
      <c r="EO92" t="s">
        <v>339</v>
      </c>
      <c r="EP92" t="s">
        <v>339</v>
      </c>
      <c r="EQ92" t="s">
        <v>339</v>
      </c>
      <c r="ER92" t="s">
        <v>339</v>
      </c>
      <c r="EX92" t="s">
        <v>339</v>
      </c>
      <c r="EY92" t="s">
        <v>339</v>
      </c>
      <c r="EZ92" t="s">
        <v>339</v>
      </c>
      <c r="FA92" t="s">
        <v>339</v>
      </c>
      <c r="FE92" t="s">
        <v>339</v>
      </c>
      <c r="FF92" t="s">
        <v>339</v>
      </c>
      <c r="FH92" t="s">
        <v>339</v>
      </c>
      <c r="FI92" t="s">
        <v>339</v>
      </c>
      <c r="FJ92" t="s">
        <v>339</v>
      </c>
      <c r="FO92" t="s">
        <v>339</v>
      </c>
      <c r="FP92" t="s">
        <v>339</v>
      </c>
      <c r="FQ92" t="s">
        <v>339</v>
      </c>
      <c r="FR92" t="s">
        <v>339</v>
      </c>
      <c r="FS92" t="s">
        <v>339</v>
      </c>
      <c r="FT92" t="s">
        <v>339</v>
      </c>
      <c r="FW92" t="s">
        <v>339</v>
      </c>
      <c r="GH92" t="str">
        <f t="shared" si="5"/>
        <v>5MM</v>
      </c>
    </row>
    <row r="93" spans="1:190" x14ac:dyDescent="0.2">
      <c r="A93" t="str">
        <f t="shared" si="6"/>
        <v>Menschenkenntnis</v>
      </c>
      <c r="C93" t="s">
        <v>1148</v>
      </c>
      <c r="D93" t="s">
        <v>1148</v>
      </c>
      <c r="E93" t="s">
        <v>1148</v>
      </c>
      <c r="F93" t="s">
        <v>1148</v>
      </c>
      <c r="G93" t="s">
        <v>1148</v>
      </c>
      <c r="H93">
        <v>6</v>
      </c>
      <c r="I93" t="s">
        <v>1147</v>
      </c>
      <c r="J93" t="s">
        <v>1147</v>
      </c>
      <c r="K93" t="s">
        <v>1147</v>
      </c>
      <c r="L93" t="s">
        <v>1152</v>
      </c>
      <c r="M93" t="s">
        <v>1152</v>
      </c>
      <c r="N93" t="s">
        <v>1152</v>
      </c>
      <c r="O93" t="s">
        <v>1147</v>
      </c>
      <c r="P93" t="s">
        <v>1147</v>
      </c>
      <c r="Q93" t="s">
        <v>1147</v>
      </c>
      <c r="R93" t="s">
        <v>1147</v>
      </c>
      <c r="S93" t="s">
        <v>1147</v>
      </c>
      <c r="T93" t="s">
        <v>1147</v>
      </c>
      <c r="U93" t="s">
        <v>1152</v>
      </c>
      <c r="V93" t="s">
        <v>1152</v>
      </c>
      <c r="W93" t="s">
        <v>1152</v>
      </c>
      <c r="X93" t="s">
        <v>1152</v>
      </c>
      <c r="Y93" t="s">
        <v>1147</v>
      </c>
      <c r="Z93" t="s">
        <v>1147</v>
      </c>
      <c r="AA93" t="s">
        <v>1147</v>
      </c>
      <c r="AB93" t="s">
        <v>1147</v>
      </c>
      <c r="AC93" t="s">
        <v>1147</v>
      </c>
      <c r="AD93" t="s">
        <v>1147</v>
      </c>
      <c r="AE93" t="s">
        <v>1147</v>
      </c>
      <c r="AF93">
        <v>4</v>
      </c>
      <c r="AG93" t="s">
        <v>1148</v>
      </c>
      <c r="AH93">
        <v>4</v>
      </c>
      <c r="AI93" t="s">
        <v>1147</v>
      </c>
      <c r="AJ93">
        <v>3</v>
      </c>
      <c r="AK93">
        <v>3</v>
      </c>
      <c r="AL93">
        <v>3</v>
      </c>
      <c r="AM93">
        <v>4</v>
      </c>
      <c r="AN93">
        <v>5</v>
      </c>
      <c r="AO93">
        <v>4</v>
      </c>
      <c r="AP93">
        <v>4</v>
      </c>
      <c r="AQ93">
        <v>4</v>
      </c>
      <c r="AR93">
        <v>4</v>
      </c>
      <c r="AS93" t="s">
        <v>899</v>
      </c>
      <c r="AT93" t="s">
        <v>899</v>
      </c>
      <c r="AU93" t="s">
        <v>899</v>
      </c>
      <c r="AV93" t="s">
        <v>899</v>
      </c>
      <c r="AW93">
        <v>2</v>
      </c>
      <c r="AX93">
        <v>1</v>
      </c>
      <c r="AY93">
        <v>1</v>
      </c>
      <c r="AZ93" t="s">
        <v>1148</v>
      </c>
      <c r="BA93" t="s">
        <v>2038</v>
      </c>
      <c r="BB93" t="s">
        <v>1148</v>
      </c>
      <c r="BC93" t="s">
        <v>1147</v>
      </c>
      <c r="BD93" t="s">
        <v>2038</v>
      </c>
      <c r="BE93">
        <v>1</v>
      </c>
      <c r="BG93" t="s">
        <v>1148</v>
      </c>
      <c r="BH93">
        <v>3</v>
      </c>
      <c r="BI93">
        <v>3</v>
      </c>
      <c r="BJ93">
        <v>4</v>
      </c>
      <c r="BK93">
        <v>4</v>
      </c>
      <c r="BL93" t="s">
        <v>1150</v>
      </c>
      <c r="BM93" t="s">
        <v>1148</v>
      </c>
      <c r="BN93" t="s">
        <v>1148</v>
      </c>
      <c r="BO93" t="s">
        <v>1148</v>
      </c>
      <c r="BP93" t="s">
        <v>1148</v>
      </c>
      <c r="BQ93" t="s">
        <v>1148</v>
      </c>
      <c r="BR93" t="s">
        <v>2038</v>
      </c>
      <c r="BS93" t="s">
        <v>1148</v>
      </c>
      <c r="BT93" t="s">
        <v>1147</v>
      </c>
      <c r="BU93" t="s">
        <v>1152</v>
      </c>
      <c r="BV93" t="s">
        <v>1147</v>
      </c>
      <c r="BW93" t="s">
        <v>1147</v>
      </c>
      <c r="BX93" t="s">
        <v>1147</v>
      </c>
      <c r="BY93" t="s">
        <v>1147</v>
      </c>
      <c r="BZ93" t="s">
        <v>1147</v>
      </c>
      <c r="CA93" t="s">
        <v>1148</v>
      </c>
      <c r="CB93" t="s">
        <v>2038</v>
      </c>
      <c r="CC93" t="s">
        <v>2038</v>
      </c>
      <c r="CD93" t="s">
        <v>1148</v>
      </c>
      <c r="CE93" t="s">
        <v>1148</v>
      </c>
      <c r="CF93" t="s">
        <v>2038</v>
      </c>
      <c r="CG93" t="s">
        <v>2038</v>
      </c>
      <c r="CH93" t="s">
        <v>2038</v>
      </c>
      <c r="CI93" t="s">
        <v>2038</v>
      </c>
      <c r="CK93">
        <v>4</v>
      </c>
      <c r="CL93" t="s">
        <v>2038</v>
      </c>
      <c r="CM93" t="s">
        <v>1148</v>
      </c>
      <c r="CN93">
        <v>4</v>
      </c>
      <c r="CO93">
        <v>4</v>
      </c>
      <c r="CP93">
        <v>4</v>
      </c>
      <c r="CQ93">
        <v>5</v>
      </c>
      <c r="CR93">
        <v>5</v>
      </c>
      <c r="CS93">
        <v>5</v>
      </c>
      <c r="CT93">
        <v>5</v>
      </c>
      <c r="CV93">
        <v>4</v>
      </c>
      <c r="CW93">
        <v>5</v>
      </c>
      <c r="CX93" t="s">
        <v>2038</v>
      </c>
      <c r="CY93" t="s">
        <v>2038</v>
      </c>
      <c r="CZ93">
        <v>1</v>
      </c>
      <c r="DA93" t="s">
        <v>2038</v>
      </c>
      <c r="DB93" t="s">
        <v>2038</v>
      </c>
      <c r="DC93" t="s">
        <v>2038</v>
      </c>
      <c r="DD93" t="s">
        <v>1148</v>
      </c>
      <c r="DF93">
        <v>3</v>
      </c>
      <c r="DG93">
        <v>4</v>
      </c>
      <c r="DH93">
        <v>1</v>
      </c>
      <c r="DI93">
        <v>1</v>
      </c>
      <c r="DJ93">
        <v>4</v>
      </c>
      <c r="DK93">
        <v>4</v>
      </c>
      <c r="DL93">
        <v>2</v>
      </c>
      <c r="DM93">
        <v>2</v>
      </c>
      <c r="DN93">
        <v>2</v>
      </c>
      <c r="DO93">
        <v>2</v>
      </c>
      <c r="DP93">
        <v>1</v>
      </c>
      <c r="DQ93">
        <v>1</v>
      </c>
      <c r="DR93">
        <v>1</v>
      </c>
      <c r="DS93">
        <v>1</v>
      </c>
      <c r="DT93">
        <v>1</v>
      </c>
      <c r="DU93">
        <v>1</v>
      </c>
      <c r="DV93">
        <v>4</v>
      </c>
      <c r="DW93">
        <v>4</v>
      </c>
      <c r="DX93">
        <v>4</v>
      </c>
      <c r="DY93">
        <v>5</v>
      </c>
      <c r="DZ93">
        <v>4</v>
      </c>
      <c r="EA93">
        <v>4</v>
      </c>
      <c r="EB93">
        <v>4</v>
      </c>
      <c r="EC93">
        <v>4</v>
      </c>
      <c r="ED93">
        <v>4</v>
      </c>
      <c r="EE93">
        <v>4</v>
      </c>
      <c r="EF93">
        <v>4</v>
      </c>
      <c r="EH93" t="s">
        <v>339</v>
      </c>
      <c r="EI93" t="s">
        <v>339</v>
      </c>
      <c r="EJ93" t="s">
        <v>339</v>
      </c>
      <c r="EK93" t="s">
        <v>339</v>
      </c>
      <c r="EL93" t="s">
        <v>339</v>
      </c>
      <c r="EM93" t="s">
        <v>339</v>
      </c>
      <c r="EN93" t="s">
        <v>339</v>
      </c>
      <c r="EO93" t="s">
        <v>339</v>
      </c>
      <c r="EP93" t="s">
        <v>339</v>
      </c>
      <c r="EQ93" t="s">
        <v>339</v>
      </c>
      <c r="ER93" t="s">
        <v>339</v>
      </c>
      <c r="EV93" t="s">
        <v>899</v>
      </c>
      <c r="EX93" t="s">
        <v>339</v>
      </c>
      <c r="EY93" t="s">
        <v>339</v>
      </c>
      <c r="EZ93" t="s">
        <v>339</v>
      </c>
      <c r="FA93" t="s">
        <v>339</v>
      </c>
      <c r="FG93">
        <v>2</v>
      </c>
      <c r="FH93" t="s">
        <v>339</v>
      </c>
      <c r="FI93" t="s">
        <v>339</v>
      </c>
      <c r="FJ93" t="s">
        <v>339</v>
      </c>
      <c r="FK93" t="s">
        <v>339</v>
      </c>
      <c r="FL93" t="s">
        <v>339</v>
      </c>
      <c r="FM93" t="s">
        <v>339</v>
      </c>
      <c r="FN93" t="s">
        <v>339</v>
      </c>
      <c r="FO93" t="s">
        <v>339</v>
      </c>
      <c r="FP93" t="s">
        <v>339</v>
      </c>
      <c r="FQ93" t="s">
        <v>339</v>
      </c>
      <c r="FR93" t="s">
        <v>339</v>
      </c>
      <c r="FS93" t="s">
        <v>339</v>
      </c>
      <c r="FT93" t="s">
        <v>339</v>
      </c>
      <c r="FX93" t="s">
        <v>339</v>
      </c>
      <c r="FY93" t="s">
        <v>339</v>
      </c>
      <c r="FZ93" t="s">
        <v>339</v>
      </c>
      <c r="GA93" t="s">
        <v>339</v>
      </c>
      <c r="GH93" t="str">
        <f t="shared" si="5"/>
        <v>4MM</v>
      </c>
    </row>
    <row r="94" spans="1:190" x14ac:dyDescent="0.2">
      <c r="A94" t="str">
        <f t="shared" si="6"/>
        <v>Schauspielerei</v>
      </c>
      <c r="I94" t="s">
        <v>899</v>
      </c>
      <c r="J94" t="s">
        <v>899</v>
      </c>
      <c r="K94" t="s">
        <v>899</v>
      </c>
      <c r="L94" t="s">
        <v>899</v>
      </c>
      <c r="M94" t="s">
        <v>899</v>
      </c>
      <c r="N94" t="s">
        <v>899</v>
      </c>
      <c r="O94" t="s">
        <v>899</v>
      </c>
      <c r="P94" t="s">
        <v>899</v>
      </c>
      <c r="Q94" t="s">
        <v>899</v>
      </c>
      <c r="R94" t="s">
        <v>899</v>
      </c>
      <c r="S94" t="s">
        <v>899</v>
      </c>
      <c r="T94" t="s">
        <v>899</v>
      </c>
      <c r="U94" t="s">
        <v>899</v>
      </c>
      <c r="V94" t="s">
        <v>899</v>
      </c>
      <c r="W94" t="s">
        <v>899</v>
      </c>
      <c r="X94" t="s">
        <v>899</v>
      </c>
      <c r="Y94" t="s">
        <v>899</v>
      </c>
      <c r="Z94" t="s">
        <v>899</v>
      </c>
      <c r="AA94" t="s">
        <v>899</v>
      </c>
      <c r="AB94" t="s">
        <v>899</v>
      </c>
      <c r="AC94" t="s">
        <v>899</v>
      </c>
      <c r="AD94" t="s">
        <v>899</v>
      </c>
      <c r="AE94" t="s">
        <v>899</v>
      </c>
      <c r="AG94" t="s">
        <v>899</v>
      </c>
      <c r="AI94" t="s">
        <v>899</v>
      </c>
      <c r="AS94" t="s">
        <v>899</v>
      </c>
      <c r="AT94" t="s">
        <v>899</v>
      </c>
      <c r="AU94" t="s">
        <v>899</v>
      </c>
      <c r="AV94" t="s">
        <v>899</v>
      </c>
      <c r="CA94">
        <v>2</v>
      </c>
      <c r="EJ94" t="s">
        <v>899</v>
      </c>
      <c r="EK94" t="s">
        <v>899</v>
      </c>
      <c r="EL94" t="s">
        <v>899</v>
      </c>
      <c r="EM94" t="s">
        <v>899</v>
      </c>
      <c r="EN94" t="s">
        <v>899</v>
      </c>
      <c r="EO94" t="s">
        <v>899</v>
      </c>
      <c r="EP94" t="s">
        <v>899</v>
      </c>
      <c r="EQ94" t="s">
        <v>899</v>
      </c>
      <c r="ER94" t="s">
        <v>899</v>
      </c>
      <c r="EV94" t="s">
        <v>899</v>
      </c>
      <c r="GH94" t="str">
        <f t="shared" si="5"/>
        <v/>
      </c>
    </row>
    <row r="95" spans="1:190" x14ac:dyDescent="0.2">
      <c r="A95" t="str">
        <f t="shared" si="6"/>
        <v>Schriftl. Ausdruck</v>
      </c>
      <c r="M95">
        <v>3</v>
      </c>
      <c r="P95">
        <v>3</v>
      </c>
      <c r="R95">
        <v>3</v>
      </c>
      <c r="V95">
        <v>3</v>
      </c>
      <c r="Z95">
        <v>3</v>
      </c>
      <c r="AC95">
        <v>3</v>
      </c>
      <c r="AS95" t="s">
        <v>899</v>
      </c>
      <c r="AT95" t="s">
        <v>899</v>
      </c>
      <c r="AU95" t="s">
        <v>899</v>
      </c>
      <c r="AV95" t="s">
        <v>899</v>
      </c>
      <c r="AZ95">
        <v>4</v>
      </c>
      <c r="BA95">
        <v>4</v>
      </c>
      <c r="BB95">
        <v>6</v>
      </c>
      <c r="BC95">
        <v>4</v>
      </c>
      <c r="BD95">
        <v>4</v>
      </c>
      <c r="BG95">
        <v>3</v>
      </c>
      <c r="BM95">
        <v>3</v>
      </c>
      <c r="BN95">
        <v>5</v>
      </c>
      <c r="BO95" t="s">
        <v>2762</v>
      </c>
      <c r="BP95">
        <v>3</v>
      </c>
      <c r="CA95">
        <v>5</v>
      </c>
      <c r="CE95" t="s">
        <v>2762</v>
      </c>
      <c r="CP95">
        <v>3</v>
      </c>
      <c r="EV95" t="s">
        <v>899</v>
      </c>
      <c r="GH95" t="str">
        <f t="shared" si="5"/>
        <v>3</v>
      </c>
    </row>
    <row r="96" spans="1:190" x14ac:dyDescent="0.2">
      <c r="A96" t="str">
        <f t="shared" si="6"/>
        <v>Sich Verkleiden</v>
      </c>
      <c r="G96" t="s">
        <v>2344</v>
      </c>
      <c r="AS96" t="s">
        <v>899</v>
      </c>
      <c r="AT96" t="s">
        <v>899</v>
      </c>
      <c r="AU96" t="s">
        <v>899</v>
      </c>
      <c r="AV96" t="s">
        <v>899</v>
      </c>
      <c r="BT96">
        <v>3</v>
      </c>
      <c r="BU96">
        <v>7</v>
      </c>
      <c r="BV96">
        <v>3</v>
      </c>
      <c r="BW96">
        <v>3</v>
      </c>
      <c r="BX96">
        <v>3</v>
      </c>
      <c r="BY96">
        <v>5</v>
      </c>
      <c r="BZ96">
        <v>3</v>
      </c>
      <c r="CA96">
        <v>2</v>
      </c>
      <c r="CB96" t="s">
        <v>899</v>
      </c>
      <c r="CC96" t="s">
        <v>899</v>
      </c>
      <c r="CD96" t="s">
        <v>899</v>
      </c>
      <c r="CE96" t="s">
        <v>899</v>
      </c>
      <c r="CF96" t="s">
        <v>2762</v>
      </c>
      <c r="CG96">
        <v>3</v>
      </c>
      <c r="CH96">
        <v>1</v>
      </c>
      <c r="CI96">
        <v>1</v>
      </c>
      <c r="CL96" t="s">
        <v>2762</v>
      </c>
      <c r="CM96" t="s">
        <v>2762</v>
      </c>
      <c r="CN96" t="s">
        <v>899</v>
      </c>
      <c r="CO96" t="s">
        <v>899</v>
      </c>
      <c r="CP96" t="s">
        <v>899</v>
      </c>
      <c r="CR96">
        <v>3</v>
      </c>
      <c r="CS96">
        <v>5</v>
      </c>
      <c r="CT96">
        <v>2</v>
      </c>
      <c r="DA96" t="s">
        <v>339</v>
      </c>
      <c r="DB96" t="s">
        <v>1150</v>
      </c>
      <c r="DC96" t="s">
        <v>339</v>
      </c>
      <c r="DZ96">
        <v>3</v>
      </c>
      <c r="EA96">
        <v>3</v>
      </c>
      <c r="EB96">
        <v>3</v>
      </c>
      <c r="EC96">
        <v>3</v>
      </c>
      <c r="ED96">
        <v>3</v>
      </c>
      <c r="EE96">
        <v>3</v>
      </c>
      <c r="EF96">
        <v>3</v>
      </c>
      <c r="EV96" t="s">
        <v>899</v>
      </c>
      <c r="FO96" t="s">
        <v>899</v>
      </c>
      <c r="FP96" t="s">
        <v>899</v>
      </c>
      <c r="FQ96" t="s">
        <v>899</v>
      </c>
      <c r="FR96" t="s">
        <v>899</v>
      </c>
      <c r="FU96" t="s">
        <v>899</v>
      </c>
      <c r="GA96" t="s">
        <v>339</v>
      </c>
      <c r="GH96" t="str">
        <f t="shared" si="5"/>
        <v/>
      </c>
    </row>
    <row r="97" spans="1:190" x14ac:dyDescent="0.2">
      <c r="A97" t="str">
        <f t="shared" si="6"/>
        <v>Überreden</v>
      </c>
      <c r="G97" t="s">
        <v>2038</v>
      </c>
      <c r="I97">
        <v>1</v>
      </c>
      <c r="K97">
        <v>1</v>
      </c>
      <c r="L97">
        <v>1</v>
      </c>
      <c r="M97">
        <v>2</v>
      </c>
      <c r="N97">
        <v>1</v>
      </c>
      <c r="O97">
        <v>1</v>
      </c>
      <c r="P97">
        <v>2</v>
      </c>
      <c r="Q97">
        <v>1</v>
      </c>
      <c r="R97">
        <v>2</v>
      </c>
      <c r="S97">
        <v>1</v>
      </c>
      <c r="V97">
        <v>1</v>
      </c>
      <c r="Z97">
        <v>1</v>
      </c>
      <c r="AC97">
        <v>1</v>
      </c>
      <c r="AM97">
        <v>2</v>
      </c>
      <c r="AN97">
        <v>2</v>
      </c>
      <c r="AS97" t="s">
        <v>899</v>
      </c>
      <c r="AT97" t="s">
        <v>899</v>
      </c>
      <c r="AU97" t="s">
        <v>899</v>
      </c>
      <c r="AV97" t="s">
        <v>899</v>
      </c>
      <c r="AW97">
        <v>1</v>
      </c>
      <c r="BA97">
        <v>2</v>
      </c>
      <c r="BC97">
        <v>2</v>
      </c>
      <c r="BG97">
        <v>3</v>
      </c>
      <c r="BM97" t="s">
        <v>1150</v>
      </c>
      <c r="BN97" t="s">
        <v>1150</v>
      </c>
      <c r="BO97" t="s">
        <v>1150</v>
      </c>
      <c r="BP97" t="s">
        <v>1149</v>
      </c>
      <c r="BR97">
        <v>3</v>
      </c>
      <c r="BT97" t="s">
        <v>1147</v>
      </c>
      <c r="BU97" t="s">
        <v>1147</v>
      </c>
      <c r="BV97" t="s">
        <v>1147</v>
      </c>
      <c r="BW97" t="s">
        <v>1147</v>
      </c>
      <c r="BX97" t="s">
        <v>1147</v>
      </c>
      <c r="BY97" t="s">
        <v>1147</v>
      </c>
      <c r="BZ97" t="s">
        <v>1147</v>
      </c>
      <c r="CA97" t="s">
        <v>1148</v>
      </c>
      <c r="CB97" t="s">
        <v>899</v>
      </c>
      <c r="CC97" t="s">
        <v>899</v>
      </c>
      <c r="CD97" t="s">
        <v>899</v>
      </c>
      <c r="CE97" t="s">
        <v>899</v>
      </c>
      <c r="CF97" t="s">
        <v>1148</v>
      </c>
      <c r="CG97" t="s">
        <v>1148</v>
      </c>
      <c r="CH97" t="s">
        <v>1148</v>
      </c>
      <c r="CI97" t="s">
        <v>1148</v>
      </c>
      <c r="CK97">
        <v>3</v>
      </c>
      <c r="CL97" t="s">
        <v>1148</v>
      </c>
      <c r="CM97" t="s">
        <v>1148</v>
      </c>
      <c r="CN97" t="s">
        <v>899</v>
      </c>
      <c r="CO97" t="s">
        <v>899</v>
      </c>
      <c r="CP97" t="s">
        <v>899</v>
      </c>
      <c r="CQ97">
        <v>3</v>
      </c>
      <c r="CR97">
        <v>6</v>
      </c>
      <c r="CS97">
        <v>5</v>
      </c>
      <c r="CT97">
        <v>2</v>
      </c>
      <c r="CV97">
        <v>1</v>
      </c>
      <c r="CW97">
        <v>5</v>
      </c>
      <c r="CX97">
        <v>1</v>
      </c>
      <c r="CY97">
        <v>7</v>
      </c>
      <c r="CZ97" t="s">
        <v>4569</v>
      </c>
      <c r="DA97" t="s">
        <v>1149</v>
      </c>
      <c r="DB97" t="s">
        <v>1149</v>
      </c>
      <c r="DC97" t="s">
        <v>1149</v>
      </c>
      <c r="DD97">
        <v>3</v>
      </c>
      <c r="DF97">
        <v>3</v>
      </c>
      <c r="DJ97">
        <v>3</v>
      </c>
      <c r="DL97">
        <v>2</v>
      </c>
      <c r="DM97">
        <v>2</v>
      </c>
      <c r="DN97">
        <v>2</v>
      </c>
      <c r="DO97">
        <v>2</v>
      </c>
      <c r="DV97">
        <v>2</v>
      </c>
      <c r="DW97" t="s">
        <v>1150</v>
      </c>
      <c r="DX97">
        <v>1</v>
      </c>
      <c r="DY97">
        <v>4</v>
      </c>
      <c r="DZ97">
        <v>2</v>
      </c>
      <c r="EA97">
        <v>2</v>
      </c>
      <c r="EB97">
        <v>2</v>
      </c>
      <c r="EC97">
        <v>3</v>
      </c>
      <c r="ED97">
        <v>2</v>
      </c>
      <c r="EE97">
        <v>2</v>
      </c>
      <c r="EF97">
        <v>2</v>
      </c>
      <c r="EI97" t="s">
        <v>339</v>
      </c>
      <c r="EV97" t="s">
        <v>899</v>
      </c>
      <c r="FH97" t="s">
        <v>339</v>
      </c>
      <c r="FK97" t="s">
        <v>339</v>
      </c>
      <c r="FL97" t="s">
        <v>339</v>
      </c>
      <c r="FM97" t="s">
        <v>339</v>
      </c>
      <c r="FN97" t="s">
        <v>339</v>
      </c>
      <c r="FS97" t="s">
        <v>339</v>
      </c>
      <c r="FT97" t="s">
        <v>339</v>
      </c>
      <c r="FU97" t="s">
        <v>899</v>
      </c>
      <c r="FW97" t="s">
        <v>899</v>
      </c>
      <c r="GA97" t="s">
        <v>339</v>
      </c>
      <c r="GH97" t="str">
        <f t="shared" si="5"/>
        <v>2MM</v>
      </c>
    </row>
    <row r="98" spans="1:190" x14ac:dyDescent="0.2">
      <c r="A98" t="str">
        <f t="shared" si="6"/>
        <v>Überzeugen</v>
      </c>
      <c r="C98" t="s">
        <v>1148</v>
      </c>
      <c r="D98" t="s">
        <v>1148</v>
      </c>
      <c r="E98" t="s">
        <v>1148</v>
      </c>
      <c r="F98" t="s">
        <v>1148</v>
      </c>
      <c r="G98" t="s">
        <v>1150</v>
      </c>
      <c r="H98">
        <v>2</v>
      </c>
      <c r="I98" t="s">
        <v>1149</v>
      </c>
      <c r="J98" t="s">
        <v>1150</v>
      </c>
      <c r="K98" t="s">
        <v>1149</v>
      </c>
      <c r="L98" t="s">
        <v>1149</v>
      </c>
      <c r="M98" t="s">
        <v>1148</v>
      </c>
      <c r="N98" t="s">
        <v>1149</v>
      </c>
      <c r="O98" t="s">
        <v>1149</v>
      </c>
      <c r="P98" t="s">
        <v>1148</v>
      </c>
      <c r="Q98" t="s">
        <v>1149</v>
      </c>
      <c r="R98" t="s">
        <v>1148</v>
      </c>
      <c r="S98" t="s">
        <v>1149</v>
      </c>
      <c r="T98" t="s">
        <v>1150</v>
      </c>
      <c r="U98" t="s">
        <v>1150</v>
      </c>
      <c r="V98" t="s">
        <v>1149</v>
      </c>
      <c r="W98" t="s">
        <v>1150</v>
      </c>
      <c r="X98" t="s">
        <v>1150</v>
      </c>
      <c r="Y98" t="s">
        <v>1150</v>
      </c>
      <c r="Z98" t="s">
        <v>1149</v>
      </c>
      <c r="AA98" t="s">
        <v>1150</v>
      </c>
      <c r="AB98" t="s">
        <v>1150</v>
      </c>
      <c r="AC98" t="s">
        <v>1149</v>
      </c>
      <c r="AD98" t="s">
        <v>1150</v>
      </c>
      <c r="AE98" t="s">
        <v>1150</v>
      </c>
      <c r="AG98" t="s">
        <v>1150</v>
      </c>
      <c r="AI98" t="s">
        <v>1150</v>
      </c>
      <c r="AN98">
        <v>5</v>
      </c>
      <c r="AO98" t="s">
        <v>1149</v>
      </c>
      <c r="AP98" t="s">
        <v>1149</v>
      </c>
      <c r="AQ98" t="s">
        <v>1149</v>
      </c>
      <c r="AR98" t="s">
        <v>1149</v>
      </c>
      <c r="AS98" t="s">
        <v>4571</v>
      </c>
      <c r="AT98" t="s">
        <v>4882</v>
      </c>
      <c r="AU98" t="s">
        <v>4571</v>
      </c>
      <c r="AV98" t="s">
        <v>4571</v>
      </c>
      <c r="AZ98" t="s">
        <v>1148</v>
      </c>
      <c r="BA98" t="s">
        <v>2038</v>
      </c>
      <c r="BB98" t="s">
        <v>1148</v>
      </c>
      <c r="BC98" t="s">
        <v>2038</v>
      </c>
      <c r="BD98" t="s">
        <v>2038</v>
      </c>
      <c r="BG98" t="s">
        <v>1150</v>
      </c>
      <c r="BH98">
        <v>3</v>
      </c>
      <c r="BI98">
        <v>3</v>
      </c>
      <c r="BJ98" t="s">
        <v>1149</v>
      </c>
      <c r="BK98" t="s">
        <v>1149</v>
      </c>
      <c r="BL98" t="s">
        <v>1151</v>
      </c>
      <c r="BM98" t="s">
        <v>1148</v>
      </c>
      <c r="BN98" t="s">
        <v>1148</v>
      </c>
      <c r="BO98" t="s">
        <v>1147</v>
      </c>
      <c r="BP98" t="s">
        <v>2038</v>
      </c>
      <c r="BQ98" t="s">
        <v>1148</v>
      </c>
      <c r="BR98" t="s">
        <v>1148</v>
      </c>
      <c r="BS98" t="s">
        <v>1148</v>
      </c>
      <c r="BT98">
        <v>3</v>
      </c>
      <c r="BU98">
        <v>5</v>
      </c>
      <c r="BV98">
        <v>3</v>
      </c>
      <c r="BW98">
        <v>3</v>
      </c>
      <c r="BX98">
        <v>3</v>
      </c>
      <c r="BY98">
        <v>3</v>
      </c>
      <c r="BZ98">
        <v>3</v>
      </c>
      <c r="CB98" t="s">
        <v>1147</v>
      </c>
      <c r="CC98" t="s">
        <v>2038</v>
      </c>
      <c r="CD98" t="s">
        <v>1148</v>
      </c>
      <c r="CE98" t="s">
        <v>1147</v>
      </c>
      <c r="CF98" t="s">
        <v>1148</v>
      </c>
      <c r="CG98" t="s">
        <v>1148</v>
      </c>
      <c r="CH98" t="s">
        <v>1148</v>
      </c>
      <c r="CI98" t="s">
        <v>1148</v>
      </c>
      <c r="CL98" t="s">
        <v>2038</v>
      </c>
      <c r="CM98" t="s">
        <v>1148</v>
      </c>
      <c r="CN98">
        <v>2</v>
      </c>
      <c r="CO98">
        <v>2</v>
      </c>
      <c r="CP98">
        <v>2</v>
      </c>
      <c r="CQ98">
        <v>6</v>
      </c>
      <c r="CR98">
        <v>6</v>
      </c>
      <c r="CS98">
        <v>5</v>
      </c>
      <c r="CT98">
        <v>5</v>
      </c>
      <c r="CV98">
        <v>3</v>
      </c>
      <c r="CW98">
        <v>3</v>
      </c>
      <c r="CX98" t="s">
        <v>1152</v>
      </c>
      <c r="CY98" t="s">
        <v>1150</v>
      </c>
      <c r="DA98" t="s">
        <v>2038</v>
      </c>
      <c r="DB98" t="s">
        <v>1152</v>
      </c>
      <c r="DC98" t="s">
        <v>2038</v>
      </c>
      <c r="DD98" t="s">
        <v>1150</v>
      </c>
      <c r="DF98">
        <v>2</v>
      </c>
      <c r="DG98">
        <v>3</v>
      </c>
      <c r="DJ98">
        <v>2</v>
      </c>
      <c r="DK98">
        <v>3</v>
      </c>
      <c r="DV98">
        <v>2</v>
      </c>
      <c r="DW98">
        <v>2</v>
      </c>
      <c r="DX98">
        <v>3</v>
      </c>
      <c r="DY98">
        <v>2</v>
      </c>
      <c r="DZ98">
        <v>2</v>
      </c>
      <c r="EA98">
        <v>2</v>
      </c>
      <c r="EB98">
        <v>2</v>
      </c>
      <c r="EC98">
        <v>3</v>
      </c>
      <c r="ED98">
        <v>2</v>
      </c>
      <c r="EE98">
        <v>4</v>
      </c>
      <c r="EF98">
        <v>2</v>
      </c>
      <c r="EH98" t="s">
        <v>339</v>
      </c>
      <c r="EI98" t="s">
        <v>339</v>
      </c>
      <c r="EJ98" t="s">
        <v>339</v>
      </c>
      <c r="EK98" t="s">
        <v>339</v>
      </c>
      <c r="EL98" t="s">
        <v>339</v>
      </c>
      <c r="EM98" t="s">
        <v>339</v>
      </c>
      <c r="EN98" t="s">
        <v>339</v>
      </c>
      <c r="EO98" t="s">
        <v>339</v>
      </c>
      <c r="EP98" t="s">
        <v>339</v>
      </c>
      <c r="EQ98" t="s">
        <v>339</v>
      </c>
      <c r="ER98" t="s">
        <v>339</v>
      </c>
      <c r="ET98" t="s">
        <v>339</v>
      </c>
      <c r="EU98" t="s">
        <v>339</v>
      </c>
      <c r="EV98" t="s">
        <v>899</v>
      </c>
      <c r="EX98" t="s">
        <v>339</v>
      </c>
      <c r="EY98" t="s">
        <v>339</v>
      </c>
      <c r="EZ98" t="s">
        <v>339</v>
      </c>
      <c r="FA98" t="s">
        <v>339</v>
      </c>
      <c r="FE98" t="s">
        <v>339</v>
      </c>
      <c r="FF98" t="s">
        <v>339</v>
      </c>
      <c r="FG98">
        <v>1</v>
      </c>
      <c r="FH98" t="s">
        <v>339</v>
      </c>
      <c r="FI98" t="s">
        <v>339</v>
      </c>
      <c r="FJ98" t="s">
        <v>339</v>
      </c>
      <c r="FO98" t="s">
        <v>339</v>
      </c>
      <c r="FP98" t="s">
        <v>339</v>
      </c>
      <c r="FQ98" t="s">
        <v>339</v>
      </c>
      <c r="FR98" t="s">
        <v>339</v>
      </c>
      <c r="FS98" t="s">
        <v>339</v>
      </c>
      <c r="FT98" t="s">
        <v>339</v>
      </c>
      <c r="FU98" t="s">
        <v>339</v>
      </c>
      <c r="FX98" t="s">
        <v>339</v>
      </c>
      <c r="FY98" t="s">
        <v>339</v>
      </c>
      <c r="FZ98" t="s">
        <v>339</v>
      </c>
      <c r="GA98" t="s">
        <v>339</v>
      </c>
      <c r="GH98" t="str">
        <f t="shared" si="5"/>
        <v>4MM</v>
      </c>
    </row>
    <row r="99" spans="1:190" ht="12.75" customHeight="1" x14ac:dyDescent="0.2">
      <c r="A99" t="str">
        <f>INDEX(TL_NAT,ROW()-98)</f>
        <v>Fährtensuchen</v>
      </c>
      <c r="B99" t="s">
        <v>3997</v>
      </c>
      <c r="F99">
        <v>1</v>
      </c>
      <c r="AS99" t="s">
        <v>1147</v>
      </c>
      <c r="AT99" t="s">
        <v>1147</v>
      </c>
      <c r="AU99" t="s">
        <v>1147</v>
      </c>
      <c r="AV99" t="s">
        <v>1147</v>
      </c>
      <c r="AX99">
        <v>2</v>
      </c>
      <c r="AY99">
        <v>3</v>
      </c>
      <c r="BH99">
        <v>6</v>
      </c>
      <c r="BI99">
        <v>6</v>
      </c>
      <c r="BQ99">
        <v>1</v>
      </c>
      <c r="CM99">
        <v>2</v>
      </c>
      <c r="CU99">
        <v>2</v>
      </c>
      <c r="DA99" t="s">
        <v>4569</v>
      </c>
      <c r="DB99" t="s">
        <v>4569</v>
      </c>
      <c r="DC99" t="s">
        <v>4569</v>
      </c>
      <c r="DE99" t="s">
        <v>3997</v>
      </c>
      <c r="DF99">
        <v>2</v>
      </c>
      <c r="DI99">
        <v>1</v>
      </c>
      <c r="DP99">
        <v>2</v>
      </c>
      <c r="DQ99">
        <v>3</v>
      </c>
      <c r="DR99">
        <v>3</v>
      </c>
      <c r="DS99">
        <v>3</v>
      </c>
      <c r="DT99">
        <v>3</v>
      </c>
      <c r="DU99">
        <v>3</v>
      </c>
      <c r="EG99" t="s">
        <v>3997</v>
      </c>
      <c r="EV99" t="s">
        <v>339</v>
      </c>
      <c r="FD99" t="s">
        <v>339</v>
      </c>
      <c r="GH99" t="str">
        <f t="shared" si="5"/>
        <v/>
      </c>
    </row>
    <row r="100" spans="1:190" x14ac:dyDescent="0.2">
      <c r="A100" t="str">
        <f t="shared" ref="A100:A106" si="7">INDEX(TL_NAT,ROW()-98)</f>
        <v>Fallenstellen</v>
      </c>
      <c r="AW100">
        <v>3</v>
      </c>
      <c r="AY100">
        <v>2</v>
      </c>
      <c r="BQ100" t="s">
        <v>899</v>
      </c>
      <c r="BR100" t="s">
        <v>899</v>
      </c>
      <c r="BS100" t="s">
        <v>899</v>
      </c>
      <c r="DA100" t="s">
        <v>899</v>
      </c>
      <c r="DB100" t="s">
        <v>899</v>
      </c>
      <c r="DC100" t="s">
        <v>899</v>
      </c>
      <c r="FI100" t="s">
        <v>899</v>
      </c>
      <c r="FJ100" t="s">
        <v>899</v>
      </c>
      <c r="GA100" t="s">
        <v>899</v>
      </c>
      <c r="GH100" t="str">
        <f t="shared" si="5"/>
        <v/>
      </c>
    </row>
    <row r="101" spans="1:190" x14ac:dyDescent="0.2">
      <c r="A101" t="str">
        <f t="shared" si="7"/>
        <v>Fesseln/Entfesseln</v>
      </c>
      <c r="G101" t="s">
        <v>2344</v>
      </c>
      <c r="AI101">
        <v>2</v>
      </c>
      <c r="AL101">
        <v>3</v>
      </c>
      <c r="AM101">
        <v>3</v>
      </c>
      <c r="AO101" t="s">
        <v>1150</v>
      </c>
      <c r="AP101" t="s">
        <v>1150</v>
      </c>
      <c r="AQ101" t="s">
        <v>1150</v>
      </c>
      <c r="AR101" t="s">
        <v>1150</v>
      </c>
      <c r="AW101">
        <v>3</v>
      </c>
      <c r="AX101">
        <v>2</v>
      </c>
      <c r="BQ101" t="s">
        <v>4569</v>
      </c>
      <c r="BR101" t="s">
        <v>4569</v>
      </c>
      <c r="BS101">
        <v>3</v>
      </c>
      <c r="BV101">
        <v>3</v>
      </c>
      <c r="BW101">
        <v>3</v>
      </c>
      <c r="CC101" t="s">
        <v>2762</v>
      </c>
      <c r="CD101" t="s">
        <v>2762</v>
      </c>
      <c r="CE101" t="s">
        <v>4569</v>
      </c>
      <c r="CF101" t="s">
        <v>2990</v>
      </c>
      <c r="CH101">
        <v>3</v>
      </c>
      <c r="CI101">
        <v>2</v>
      </c>
      <c r="CJ101">
        <v>3</v>
      </c>
      <c r="CK101">
        <v>1</v>
      </c>
      <c r="CL101">
        <v>3</v>
      </c>
      <c r="CM101">
        <v>3</v>
      </c>
      <c r="CU101">
        <v>1</v>
      </c>
      <c r="CV101">
        <v>2</v>
      </c>
      <c r="CW101">
        <v>5</v>
      </c>
      <c r="CZ101">
        <v>1</v>
      </c>
      <c r="DA101" t="s">
        <v>4569</v>
      </c>
      <c r="DB101" t="s">
        <v>4569</v>
      </c>
      <c r="DC101" t="s">
        <v>4569</v>
      </c>
      <c r="DX101">
        <v>3</v>
      </c>
      <c r="DY101">
        <v>1</v>
      </c>
      <c r="ET101" t="s">
        <v>339</v>
      </c>
      <c r="EU101" t="s">
        <v>339</v>
      </c>
      <c r="GH101" t="str">
        <f t="shared" si="5"/>
        <v/>
      </c>
    </row>
    <row r="102" spans="1:190" x14ac:dyDescent="0.2">
      <c r="A102" t="str">
        <f t="shared" si="7"/>
        <v>Fischen/Angeln</v>
      </c>
      <c r="AO102" t="s">
        <v>1149</v>
      </c>
      <c r="AP102" t="s">
        <v>1152</v>
      </c>
      <c r="AQ102" t="s">
        <v>1149</v>
      </c>
      <c r="AR102" t="s">
        <v>1149</v>
      </c>
      <c r="AS102">
        <v>2</v>
      </c>
      <c r="AT102">
        <v>2</v>
      </c>
      <c r="AU102">
        <v>2</v>
      </c>
      <c r="AV102">
        <v>2</v>
      </c>
      <c r="BH102">
        <v>2</v>
      </c>
      <c r="BI102">
        <v>2</v>
      </c>
      <c r="BJ102" t="s">
        <v>899</v>
      </c>
      <c r="BK102" t="s">
        <v>899</v>
      </c>
      <c r="CB102" t="s">
        <v>4569</v>
      </c>
      <c r="CC102" t="s">
        <v>4569</v>
      </c>
      <c r="CD102" t="s">
        <v>4569</v>
      </c>
      <c r="CE102" t="s">
        <v>4569</v>
      </c>
      <c r="CV102">
        <v>2</v>
      </c>
      <c r="CZ102" t="s">
        <v>4569</v>
      </c>
      <c r="DA102" t="s">
        <v>899</v>
      </c>
      <c r="DB102" t="s">
        <v>899</v>
      </c>
      <c r="DC102" t="s">
        <v>899</v>
      </c>
      <c r="ET102" t="s">
        <v>339</v>
      </c>
      <c r="EU102" t="s">
        <v>339</v>
      </c>
      <c r="FI102" t="s">
        <v>899</v>
      </c>
      <c r="FJ102" t="s">
        <v>899</v>
      </c>
      <c r="GA102" t="s">
        <v>899</v>
      </c>
      <c r="GH102" t="str">
        <f t="shared" si="5"/>
        <v/>
      </c>
    </row>
    <row r="103" spans="1:190" x14ac:dyDescent="0.2">
      <c r="A103" t="str">
        <f t="shared" si="7"/>
        <v>Orientierung</v>
      </c>
      <c r="C103" t="s">
        <v>2344</v>
      </c>
      <c r="D103" t="s">
        <v>2344</v>
      </c>
      <c r="E103" t="s">
        <v>2344</v>
      </c>
      <c r="F103">
        <v>4</v>
      </c>
      <c r="G103" t="s">
        <v>1149</v>
      </c>
      <c r="X103">
        <v>1</v>
      </c>
      <c r="AB103">
        <v>1</v>
      </c>
      <c r="AE103">
        <v>1</v>
      </c>
      <c r="AF103">
        <v>1</v>
      </c>
      <c r="AG103">
        <v>1</v>
      </c>
      <c r="AH103">
        <v>1</v>
      </c>
      <c r="AJ103">
        <v>1</v>
      </c>
      <c r="AK103">
        <v>1</v>
      </c>
      <c r="AL103">
        <v>1</v>
      </c>
      <c r="AM103">
        <v>1</v>
      </c>
      <c r="AN103">
        <v>2</v>
      </c>
      <c r="AO103" t="s">
        <v>1148</v>
      </c>
      <c r="AP103" t="s">
        <v>1148</v>
      </c>
      <c r="AQ103" t="s">
        <v>1148</v>
      </c>
      <c r="AR103" t="s">
        <v>1152</v>
      </c>
      <c r="AS103" t="s">
        <v>1149</v>
      </c>
      <c r="AT103" t="s">
        <v>1149</v>
      </c>
      <c r="AU103" t="s">
        <v>1148</v>
      </c>
      <c r="AV103" t="s">
        <v>1148</v>
      </c>
      <c r="AW103">
        <v>2</v>
      </c>
      <c r="AX103">
        <v>3</v>
      </c>
      <c r="AY103">
        <v>3</v>
      </c>
      <c r="BG103">
        <v>1</v>
      </c>
      <c r="BH103">
        <v>4</v>
      </c>
      <c r="BI103">
        <v>4</v>
      </c>
      <c r="BQ103">
        <v>2</v>
      </c>
      <c r="BS103">
        <v>1</v>
      </c>
      <c r="BT103">
        <v>2</v>
      </c>
      <c r="BU103">
        <v>2</v>
      </c>
      <c r="BV103">
        <v>3</v>
      </c>
      <c r="BW103">
        <v>2</v>
      </c>
      <c r="BX103">
        <v>2</v>
      </c>
      <c r="BY103">
        <v>2</v>
      </c>
      <c r="BZ103">
        <v>2</v>
      </c>
      <c r="CA103">
        <v>2</v>
      </c>
      <c r="CB103" t="s">
        <v>2990</v>
      </c>
      <c r="CC103" t="s">
        <v>2990</v>
      </c>
      <c r="CD103" t="s">
        <v>2990</v>
      </c>
      <c r="CE103" t="s">
        <v>2990</v>
      </c>
      <c r="CF103" t="s">
        <v>4569</v>
      </c>
      <c r="CJ103">
        <v>1</v>
      </c>
      <c r="CK103">
        <v>2</v>
      </c>
      <c r="CL103" t="s">
        <v>4569</v>
      </c>
      <c r="CM103" t="s">
        <v>4569</v>
      </c>
      <c r="CN103">
        <v>2</v>
      </c>
      <c r="CO103">
        <v>1</v>
      </c>
      <c r="CP103">
        <v>2</v>
      </c>
      <c r="CQ103">
        <v>1</v>
      </c>
      <c r="CR103">
        <v>1</v>
      </c>
      <c r="CS103">
        <v>1</v>
      </c>
      <c r="CT103">
        <v>1</v>
      </c>
      <c r="CU103">
        <v>3</v>
      </c>
      <c r="CV103" t="s">
        <v>1150</v>
      </c>
      <c r="CW103" t="s">
        <v>1150</v>
      </c>
      <c r="CY103">
        <v>1</v>
      </c>
      <c r="CZ103">
        <v>1</v>
      </c>
      <c r="DD103">
        <v>1</v>
      </c>
      <c r="DG103">
        <v>2</v>
      </c>
      <c r="DH103">
        <v>1</v>
      </c>
      <c r="DI103">
        <v>1</v>
      </c>
      <c r="DJ103">
        <v>1</v>
      </c>
      <c r="DK103">
        <v>3</v>
      </c>
      <c r="DL103">
        <v>2</v>
      </c>
      <c r="DM103">
        <v>2</v>
      </c>
      <c r="DN103">
        <v>2</v>
      </c>
      <c r="DO103">
        <v>2</v>
      </c>
      <c r="DP103">
        <v>1</v>
      </c>
      <c r="DQ103">
        <v>2</v>
      </c>
      <c r="DR103">
        <v>2</v>
      </c>
      <c r="DS103">
        <v>2</v>
      </c>
      <c r="DT103">
        <v>2</v>
      </c>
      <c r="DU103">
        <v>2</v>
      </c>
      <c r="DY103">
        <v>2</v>
      </c>
      <c r="ED103">
        <v>2</v>
      </c>
      <c r="EI103" t="s">
        <v>339</v>
      </c>
      <c r="ET103" t="s">
        <v>339</v>
      </c>
      <c r="EU103" t="s">
        <v>339</v>
      </c>
      <c r="EV103" t="s">
        <v>339</v>
      </c>
      <c r="FD103" t="s">
        <v>339</v>
      </c>
      <c r="FW103" t="s">
        <v>339</v>
      </c>
      <c r="GH103" t="str">
        <f t="shared" si="5"/>
        <v/>
      </c>
    </row>
    <row r="104" spans="1:190" x14ac:dyDescent="0.2">
      <c r="A104" t="str">
        <f t="shared" si="7"/>
        <v>Seefischerei</v>
      </c>
      <c r="CB104" t="s">
        <v>4569</v>
      </c>
      <c r="CC104" t="s">
        <v>4569</v>
      </c>
      <c r="CD104" t="s">
        <v>4569</v>
      </c>
      <c r="CE104" t="s">
        <v>4569</v>
      </c>
      <c r="CV104" t="s">
        <v>4569</v>
      </c>
      <c r="CW104" t="s">
        <v>4569</v>
      </c>
      <c r="ET104" t="s">
        <v>339</v>
      </c>
      <c r="EU104" t="s">
        <v>339</v>
      </c>
      <c r="FE104" t="s">
        <v>899</v>
      </c>
      <c r="FF104" t="s">
        <v>899</v>
      </c>
      <c r="GH104" t="str">
        <f t="shared" si="5"/>
        <v/>
      </c>
    </row>
    <row r="105" spans="1:190" x14ac:dyDescent="0.2">
      <c r="A105" t="str">
        <f t="shared" si="7"/>
        <v>Wettervorhersage</v>
      </c>
      <c r="G105" t="s">
        <v>1150</v>
      </c>
      <c r="AL105">
        <v>2</v>
      </c>
      <c r="AN105">
        <v>2</v>
      </c>
      <c r="AO105" t="s">
        <v>2038</v>
      </c>
      <c r="AP105" t="s">
        <v>2038</v>
      </c>
      <c r="AQ105" t="s">
        <v>2038</v>
      </c>
      <c r="AR105" t="s">
        <v>2038</v>
      </c>
      <c r="AS105" t="s">
        <v>1149</v>
      </c>
      <c r="AT105" t="s">
        <v>1149</v>
      </c>
      <c r="AU105" t="s">
        <v>1149</v>
      </c>
      <c r="AV105" t="s">
        <v>1149</v>
      </c>
      <c r="AY105">
        <v>2</v>
      </c>
      <c r="BH105">
        <v>3</v>
      </c>
      <c r="BI105">
        <v>3</v>
      </c>
      <c r="CC105" t="s">
        <v>2990</v>
      </c>
      <c r="CD105" t="s">
        <v>2990</v>
      </c>
      <c r="CE105" t="s">
        <v>4569</v>
      </c>
      <c r="CU105">
        <v>2</v>
      </c>
      <c r="CV105" t="s">
        <v>1149</v>
      </c>
      <c r="CW105" t="s">
        <v>1150</v>
      </c>
      <c r="DF105">
        <v>2</v>
      </c>
      <c r="DG105">
        <v>4</v>
      </c>
      <c r="DI105">
        <v>2</v>
      </c>
      <c r="DK105">
        <v>5</v>
      </c>
      <c r="DL105">
        <v>3</v>
      </c>
      <c r="DM105">
        <v>3</v>
      </c>
      <c r="DN105">
        <v>3</v>
      </c>
      <c r="DO105">
        <v>3</v>
      </c>
      <c r="DP105">
        <v>5</v>
      </c>
      <c r="DQ105">
        <v>4</v>
      </c>
      <c r="DR105">
        <v>4</v>
      </c>
      <c r="DS105">
        <v>4</v>
      </c>
      <c r="DT105">
        <v>4</v>
      </c>
      <c r="DU105">
        <v>4</v>
      </c>
      <c r="DX105">
        <v>2</v>
      </c>
      <c r="DZ105">
        <v>2</v>
      </c>
      <c r="EA105">
        <v>2</v>
      </c>
      <c r="EB105">
        <v>2</v>
      </c>
      <c r="EC105">
        <v>2</v>
      </c>
      <c r="ED105">
        <v>2</v>
      </c>
      <c r="EE105">
        <v>2</v>
      </c>
      <c r="EF105">
        <v>2</v>
      </c>
      <c r="EI105" t="s">
        <v>339</v>
      </c>
      <c r="ET105" t="s">
        <v>339</v>
      </c>
      <c r="EU105" t="s">
        <v>339</v>
      </c>
      <c r="EV105" t="s">
        <v>339</v>
      </c>
      <c r="FW105" t="s">
        <v>339</v>
      </c>
      <c r="GH105" t="str">
        <f t="shared" si="5"/>
        <v/>
      </c>
    </row>
    <row r="106" spans="1:190" x14ac:dyDescent="0.2">
      <c r="A106" t="str">
        <f t="shared" si="7"/>
        <v>Wildnisleben</v>
      </c>
      <c r="F106">
        <v>2</v>
      </c>
      <c r="G106" t="s">
        <v>1150</v>
      </c>
      <c r="N106">
        <v>1</v>
      </c>
      <c r="Q106">
        <v>1</v>
      </c>
      <c r="S106">
        <v>1</v>
      </c>
      <c r="W106">
        <v>1</v>
      </c>
      <c r="X106">
        <v>2</v>
      </c>
      <c r="AA106">
        <v>1</v>
      </c>
      <c r="AB106">
        <v>2</v>
      </c>
      <c r="AD106">
        <v>1</v>
      </c>
      <c r="AE106">
        <v>2</v>
      </c>
      <c r="AF106">
        <v>2</v>
      </c>
      <c r="AG106">
        <v>2</v>
      </c>
      <c r="AH106">
        <v>2</v>
      </c>
      <c r="AK106">
        <v>2</v>
      </c>
      <c r="AN106">
        <v>1</v>
      </c>
      <c r="AR106">
        <v>2</v>
      </c>
      <c r="AS106" t="s">
        <v>2038</v>
      </c>
      <c r="AT106" t="s">
        <v>2038</v>
      </c>
      <c r="AU106" t="s">
        <v>1152</v>
      </c>
      <c r="AV106" t="s">
        <v>1152</v>
      </c>
      <c r="AW106">
        <v>2</v>
      </c>
      <c r="AX106">
        <v>2</v>
      </c>
      <c r="AY106">
        <v>3</v>
      </c>
      <c r="BC106">
        <v>1</v>
      </c>
      <c r="BD106">
        <v>1</v>
      </c>
      <c r="BE106">
        <v>1</v>
      </c>
      <c r="BG106">
        <v>1</v>
      </c>
      <c r="BH106">
        <v>6</v>
      </c>
      <c r="BI106">
        <v>6</v>
      </c>
      <c r="BM106" t="s">
        <v>2344</v>
      </c>
      <c r="BN106" t="s">
        <v>2344</v>
      </c>
      <c r="BO106">
        <v>2</v>
      </c>
      <c r="BP106">
        <v>3</v>
      </c>
      <c r="BQ106">
        <v>2</v>
      </c>
      <c r="BR106">
        <v>1</v>
      </c>
      <c r="BS106">
        <v>2</v>
      </c>
      <c r="CC106" t="s">
        <v>2990</v>
      </c>
      <c r="CD106" t="s">
        <v>2990</v>
      </c>
      <c r="CE106" t="s">
        <v>4569</v>
      </c>
      <c r="CI106">
        <v>1</v>
      </c>
      <c r="CL106">
        <v>1</v>
      </c>
      <c r="CM106">
        <v>1</v>
      </c>
      <c r="CN106">
        <v>1</v>
      </c>
      <c r="CP106">
        <v>1</v>
      </c>
      <c r="CQ106">
        <v>1</v>
      </c>
      <c r="CR106">
        <v>1</v>
      </c>
      <c r="CS106">
        <v>4</v>
      </c>
      <c r="CT106">
        <v>4</v>
      </c>
      <c r="CU106">
        <v>2</v>
      </c>
      <c r="CV106">
        <v>2</v>
      </c>
      <c r="CW106">
        <v>3</v>
      </c>
      <c r="DA106">
        <v>2</v>
      </c>
      <c r="DB106">
        <v>2</v>
      </c>
      <c r="DC106">
        <v>2</v>
      </c>
      <c r="DD106">
        <v>2</v>
      </c>
      <c r="DH106">
        <v>1</v>
      </c>
      <c r="DI106">
        <v>3</v>
      </c>
      <c r="DJ106">
        <v>1</v>
      </c>
      <c r="DK106">
        <v>3</v>
      </c>
      <c r="DL106">
        <v>1</v>
      </c>
      <c r="DM106">
        <v>1</v>
      </c>
      <c r="DN106">
        <v>1</v>
      </c>
      <c r="DO106">
        <v>1</v>
      </c>
      <c r="DP106">
        <v>3</v>
      </c>
      <c r="DQ106">
        <v>2</v>
      </c>
      <c r="DR106">
        <v>2</v>
      </c>
      <c r="DS106">
        <v>2</v>
      </c>
      <c r="DT106">
        <v>2</v>
      </c>
      <c r="DU106">
        <v>2</v>
      </c>
      <c r="DX106">
        <v>1</v>
      </c>
      <c r="DY106">
        <v>2</v>
      </c>
      <c r="DZ106">
        <v>1</v>
      </c>
      <c r="EA106">
        <v>1</v>
      </c>
      <c r="EB106">
        <v>1</v>
      </c>
      <c r="EC106">
        <v>1</v>
      </c>
      <c r="ED106">
        <v>1</v>
      </c>
      <c r="EE106">
        <v>1</v>
      </c>
      <c r="EF106">
        <v>1</v>
      </c>
      <c r="EI106" t="s">
        <v>339</v>
      </c>
      <c r="EV106" t="s">
        <v>339</v>
      </c>
      <c r="FD106" t="s">
        <v>339</v>
      </c>
      <c r="GH106" t="str">
        <f t="shared" si="5"/>
        <v>2</v>
      </c>
    </row>
    <row r="107" spans="1:190" ht="12.75" customHeight="1" x14ac:dyDescent="0.2">
      <c r="A107" t="str">
        <f>INDEX(TL_WIS,ROW()-106)</f>
        <v>Anatomie</v>
      </c>
      <c r="B107" t="s">
        <v>3321</v>
      </c>
      <c r="O107">
        <v>2</v>
      </c>
      <c r="P107">
        <v>2</v>
      </c>
      <c r="Q107">
        <v>2</v>
      </c>
      <c r="Y107">
        <v>2</v>
      </c>
      <c r="Z107">
        <v>2</v>
      </c>
      <c r="AA107">
        <v>2</v>
      </c>
      <c r="AB107">
        <v>2</v>
      </c>
      <c r="AI107">
        <v>2</v>
      </c>
      <c r="BQ107">
        <v>1</v>
      </c>
      <c r="BR107">
        <v>4</v>
      </c>
      <c r="BS107">
        <v>4</v>
      </c>
      <c r="DA107" t="s">
        <v>4571</v>
      </c>
      <c r="DB107" t="s">
        <v>4571</v>
      </c>
      <c r="DC107" t="s">
        <v>4571</v>
      </c>
      <c r="DD107" t="s">
        <v>1150</v>
      </c>
      <c r="DE107" t="s">
        <v>3321</v>
      </c>
      <c r="DX107">
        <v>2</v>
      </c>
      <c r="DY107">
        <v>3</v>
      </c>
      <c r="EG107" t="s">
        <v>3321</v>
      </c>
      <c r="GA107" t="s">
        <v>899</v>
      </c>
      <c r="GH107" t="str">
        <f t="shared" ref="GH107:GH138" si="8">BM107&amp;$FH107</f>
        <v/>
      </c>
    </row>
    <row r="108" spans="1:190" x14ac:dyDescent="0.2">
      <c r="A108" t="str">
        <f t="shared" ref="A108:A130" si="9">INDEX(TL_WIS,ROW()-106)</f>
        <v>Baukunst</v>
      </c>
      <c r="BS108" t="s">
        <v>4569</v>
      </c>
      <c r="GH108" t="str">
        <f t="shared" si="8"/>
        <v/>
      </c>
    </row>
    <row r="109" spans="1:190" x14ac:dyDescent="0.2">
      <c r="A109" t="str">
        <f t="shared" si="9"/>
        <v>Brett-/Kartenspiel</v>
      </c>
      <c r="AX109">
        <v>3</v>
      </c>
      <c r="BS109" t="s">
        <v>4569</v>
      </c>
      <c r="CF109" t="s">
        <v>2344</v>
      </c>
      <c r="CG109">
        <v>2</v>
      </c>
      <c r="CH109">
        <v>2</v>
      </c>
      <c r="CJ109">
        <v>3</v>
      </c>
      <c r="CL109" t="s">
        <v>2344</v>
      </c>
      <c r="CM109" t="s">
        <v>2344</v>
      </c>
      <c r="CV109" t="s">
        <v>899</v>
      </c>
      <c r="CW109" t="s">
        <v>899</v>
      </c>
      <c r="FW109" t="s">
        <v>899</v>
      </c>
      <c r="GH109" t="str">
        <f t="shared" si="8"/>
        <v/>
      </c>
    </row>
    <row r="110" spans="1:190" x14ac:dyDescent="0.2">
      <c r="A110" t="str">
        <f t="shared" si="9"/>
        <v>Geographie</v>
      </c>
      <c r="F110">
        <v>2</v>
      </c>
      <c r="G110" t="s">
        <v>2038</v>
      </c>
      <c r="AN110">
        <v>3</v>
      </c>
      <c r="AO110">
        <v>3</v>
      </c>
      <c r="AP110">
        <v>3</v>
      </c>
      <c r="AQ110">
        <v>3</v>
      </c>
      <c r="AR110">
        <v>3</v>
      </c>
      <c r="BS110">
        <v>2</v>
      </c>
      <c r="BX110">
        <v>3</v>
      </c>
      <c r="CA110">
        <v>2</v>
      </c>
      <c r="CB110">
        <v>2</v>
      </c>
      <c r="CC110" t="s">
        <v>4569</v>
      </c>
      <c r="CD110" t="s">
        <v>4569</v>
      </c>
      <c r="CE110">
        <v>2</v>
      </c>
      <c r="CF110" t="s">
        <v>4569</v>
      </c>
      <c r="CK110">
        <v>2</v>
      </c>
      <c r="CL110" t="s">
        <v>4569</v>
      </c>
      <c r="CM110" t="s">
        <v>4569</v>
      </c>
      <c r="CP110">
        <v>1</v>
      </c>
      <c r="CS110">
        <v>4</v>
      </c>
      <c r="CT110">
        <v>4</v>
      </c>
      <c r="CV110">
        <v>3</v>
      </c>
      <c r="DK110">
        <v>3</v>
      </c>
      <c r="DX110">
        <v>1</v>
      </c>
      <c r="EB110">
        <v>1</v>
      </c>
      <c r="EI110" t="s">
        <v>339</v>
      </c>
      <c r="GH110" t="str">
        <f t="shared" si="8"/>
        <v/>
      </c>
    </row>
    <row r="111" spans="1:190" x14ac:dyDescent="0.2">
      <c r="A111" t="str">
        <f t="shared" si="9"/>
        <v>Geschichtswissen</v>
      </c>
      <c r="C111" t="s">
        <v>2762</v>
      </c>
      <c r="D111" t="s">
        <v>2762</v>
      </c>
      <c r="E111">
        <v>7</v>
      </c>
      <c r="F111" t="s">
        <v>2762</v>
      </c>
      <c r="G111" t="s">
        <v>2344</v>
      </c>
      <c r="H111">
        <v>3</v>
      </c>
      <c r="I111">
        <v>3</v>
      </c>
      <c r="J111" t="s">
        <v>1148</v>
      </c>
      <c r="K111">
        <v>3</v>
      </c>
      <c r="L111">
        <v>3</v>
      </c>
      <c r="M111">
        <v>3</v>
      </c>
      <c r="N111">
        <v>3</v>
      </c>
      <c r="O111">
        <v>3</v>
      </c>
      <c r="P111">
        <v>3</v>
      </c>
      <c r="Q111">
        <v>3</v>
      </c>
      <c r="R111">
        <v>3</v>
      </c>
      <c r="S111">
        <v>3</v>
      </c>
      <c r="T111" t="s">
        <v>1148</v>
      </c>
      <c r="U111" t="s">
        <v>1148</v>
      </c>
      <c r="V111" t="s">
        <v>1148</v>
      </c>
      <c r="W111" t="s">
        <v>1148</v>
      </c>
      <c r="X111" t="s">
        <v>1148</v>
      </c>
      <c r="Y111" t="s">
        <v>1148</v>
      </c>
      <c r="Z111" t="s">
        <v>1148</v>
      </c>
      <c r="AA111" t="s">
        <v>1148</v>
      </c>
      <c r="AB111" t="s">
        <v>1148</v>
      </c>
      <c r="AC111" t="s">
        <v>1148</v>
      </c>
      <c r="AD111" t="s">
        <v>1148</v>
      </c>
      <c r="AE111" t="s">
        <v>1148</v>
      </c>
      <c r="AF111">
        <v>3</v>
      </c>
      <c r="AG111" t="s">
        <v>1149</v>
      </c>
      <c r="AH111">
        <v>3</v>
      </c>
      <c r="AI111" t="s">
        <v>1149</v>
      </c>
      <c r="AJ111">
        <v>2</v>
      </c>
      <c r="AK111">
        <v>2</v>
      </c>
      <c r="AL111">
        <v>2</v>
      </c>
      <c r="AN111">
        <v>6</v>
      </c>
      <c r="AO111">
        <v>2</v>
      </c>
      <c r="AP111">
        <v>2</v>
      </c>
      <c r="AQ111">
        <v>2</v>
      </c>
      <c r="AR111">
        <v>2</v>
      </c>
      <c r="AW111">
        <v>3</v>
      </c>
      <c r="AX111">
        <v>3</v>
      </c>
      <c r="AY111">
        <v>3</v>
      </c>
      <c r="AZ111" t="s">
        <v>1149</v>
      </c>
      <c r="BA111" t="s">
        <v>1149</v>
      </c>
      <c r="BB111" t="s">
        <v>1149</v>
      </c>
      <c r="BC111" t="s">
        <v>1149</v>
      </c>
      <c r="BD111" t="s">
        <v>1148</v>
      </c>
      <c r="BG111">
        <v>2</v>
      </c>
      <c r="BJ111" t="s">
        <v>2762</v>
      </c>
      <c r="BK111" t="s">
        <v>2762</v>
      </c>
      <c r="BM111">
        <v>1</v>
      </c>
      <c r="BN111">
        <v>1</v>
      </c>
      <c r="BO111">
        <v>1</v>
      </c>
      <c r="BP111">
        <v>1</v>
      </c>
      <c r="BQ111">
        <v>2</v>
      </c>
      <c r="BR111">
        <v>3</v>
      </c>
      <c r="BS111" t="s">
        <v>2344</v>
      </c>
      <c r="BT111">
        <v>2</v>
      </c>
      <c r="BU111">
        <v>4</v>
      </c>
      <c r="BV111">
        <v>2</v>
      </c>
      <c r="BW111">
        <v>2</v>
      </c>
      <c r="BX111">
        <v>2</v>
      </c>
      <c r="BY111">
        <v>2</v>
      </c>
      <c r="BZ111">
        <v>3</v>
      </c>
      <c r="CB111">
        <v>4</v>
      </c>
      <c r="CC111" t="s">
        <v>2762</v>
      </c>
      <c r="CD111" t="s">
        <v>2762</v>
      </c>
      <c r="CE111" t="s">
        <v>2327</v>
      </c>
      <c r="CF111" t="s">
        <v>2344</v>
      </c>
      <c r="CG111">
        <v>2</v>
      </c>
      <c r="CH111">
        <v>2</v>
      </c>
      <c r="CI111">
        <v>2</v>
      </c>
      <c r="CJ111">
        <v>2</v>
      </c>
      <c r="CK111">
        <v>3</v>
      </c>
      <c r="CL111" t="s">
        <v>2344</v>
      </c>
      <c r="CM111" t="s">
        <v>2344</v>
      </c>
      <c r="CN111">
        <v>2</v>
      </c>
      <c r="CO111">
        <v>2</v>
      </c>
      <c r="CP111">
        <v>3</v>
      </c>
      <c r="CU111">
        <v>3</v>
      </c>
      <c r="CV111">
        <v>4</v>
      </c>
      <c r="CW111">
        <v>4</v>
      </c>
      <c r="CX111">
        <v>2</v>
      </c>
      <c r="CY111">
        <v>2</v>
      </c>
      <c r="CZ111">
        <v>2</v>
      </c>
      <c r="DD111">
        <v>2</v>
      </c>
      <c r="DF111">
        <v>2</v>
      </c>
      <c r="DX111">
        <v>5</v>
      </c>
      <c r="EK111" t="s">
        <v>339</v>
      </c>
      <c r="EL111" t="s">
        <v>339</v>
      </c>
      <c r="EM111" t="s">
        <v>339</v>
      </c>
      <c r="EN111" t="s">
        <v>339</v>
      </c>
      <c r="EP111" t="s">
        <v>339</v>
      </c>
      <c r="EQ111" t="s">
        <v>339</v>
      </c>
      <c r="ER111" t="s">
        <v>339</v>
      </c>
      <c r="EX111" t="s">
        <v>339</v>
      </c>
      <c r="EY111" t="s">
        <v>339</v>
      </c>
      <c r="EZ111" t="s">
        <v>339</v>
      </c>
      <c r="FA111" t="s">
        <v>339</v>
      </c>
      <c r="FH111" t="s">
        <v>339</v>
      </c>
      <c r="GH111" t="str">
        <f t="shared" si="8"/>
        <v>1M</v>
      </c>
    </row>
    <row r="112" spans="1:190" x14ac:dyDescent="0.2">
      <c r="A112" t="str">
        <f t="shared" si="9"/>
        <v>Gesteinskunde</v>
      </c>
      <c r="C112" t="s">
        <v>1149</v>
      </c>
      <c r="D112" t="s">
        <v>1149</v>
      </c>
      <c r="E112" t="s">
        <v>1149</v>
      </c>
      <c r="F112" t="s">
        <v>1149</v>
      </c>
      <c r="AY112">
        <v>2</v>
      </c>
      <c r="BJ112" t="s">
        <v>339</v>
      </c>
      <c r="BK112" t="s">
        <v>1149</v>
      </c>
      <c r="DF112">
        <v>5</v>
      </c>
      <c r="DH112">
        <v>1</v>
      </c>
      <c r="DI112">
        <v>1</v>
      </c>
      <c r="DJ112">
        <v>1</v>
      </c>
      <c r="DM112">
        <v>2</v>
      </c>
      <c r="DP112">
        <v>3</v>
      </c>
      <c r="DU112">
        <v>1</v>
      </c>
      <c r="DV112">
        <v>5</v>
      </c>
      <c r="DW112" t="s">
        <v>2038</v>
      </c>
      <c r="EH112" t="s">
        <v>339</v>
      </c>
      <c r="FE112" t="s">
        <v>339</v>
      </c>
      <c r="FF112" t="s">
        <v>339</v>
      </c>
      <c r="GH112" t="str">
        <f t="shared" si="8"/>
        <v/>
      </c>
    </row>
    <row r="113" spans="1:190" x14ac:dyDescent="0.2">
      <c r="A113" t="str">
        <f t="shared" si="9"/>
        <v>Götter/Kulte</v>
      </c>
      <c r="C113" t="s">
        <v>2327</v>
      </c>
      <c r="D113" t="s">
        <v>2327</v>
      </c>
      <c r="E113">
        <v>6</v>
      </c>
      <c r="F113" t="s">
        <v>2327</v>
      </c>
      <c r="G113" t="s">
        <v>2762</v>
      </c>
      <c r="H113">
        <v>5</v>
      </c>
      <c r="I113" t="s">
        <v>2038</v>
      </c>
      <c r="J113" t="s">
        <v>1147</v>
      </c>
      <c r="K113" t="s">
        <v>2038</v>
      </c>
      <c r="L113" t="s">
        <v>2038</v>
      </c>
      <c r="M113" t="s">
        <v>2038</v>
      </c>
      <c r="N113" t="s">
        <v>2038</v>
      </c>
      <c r="O113" t="s">
        <v>2038</v>
      </c>
      <c r="P113" t="s">
        <v>2038</v>
      </c>
      <c r="Q113" t="s">
        <v>2038</v>
      </c>
      <c r="R113" t="s">
        <v>2038</v>
      </c>
      <c r="S113" t="s">
        <v>2038</v>
      </c>
      <c r="T113" t="s">
        <v>1147</v>
      </c>
      <c r="U113" t="s">
        <v>1147</v>
      </c>
      <c r="V113" t="s">
        <v>1147</v>
      </c>
      <c r="W113" t="s">
        <v>1147</v>
      </c>
      <c r="X113" t="s">
        <v>1147</v>
      </c>
      <c r="Y113" t="s">
        <v>1147</v>
      </c>
      <c r="Z113" t="s">
        <v>1147</v>
      </c>
      <c r="AA113" t="s">
        <v>1147</v>
      </c>
      <c r="AB113" t="s">
        <v>1147</v>
      </c>
      <c r="AC113" t="s">
        <v>1147</v>
      </c>
      <c r="AD113" t="s">
        <v>1147</v>
      </c>
      <c r="AE113" t="s">
        <v>1147</v>
      </c>
      <c r="AF113">
        <v>4</v>
      </c>
      <c r="AG113" t="s">
        <v>1148</v>
      </c>
      <c r="AH113">
        <v>4</v>
      </c>
      <c r="AI113" t="s">
        <v>2038</v>
      </c>
      <c r="AJ113">
        <v>4</v>
      </c>
      <c r="AK113">
        <v>4</v>
      </c>
      <c r="AL113">
        <v>4</v>
      </c>
      <c r="AM113">
        <v>4</v>
      </c>
      <c r="AN113">
        <v>6</v>
      </c>
      <c r="AO113">
        <v>5</v>
      </c>
      <c r="AP113">
        <v>5</v>
      </c>
      <c r="AQ113">
        <v>5</v>
      </c>
      <c r="AR113">
        <v>5</v>
      </c>
      <c r="AS113">
        <v>3</v>
      </c>
      <c r="AT113">
        <v>4</v>
      </c>
      <c r="AU113">
        <v>3</v>
      </c>
      <c r="AV113">
        <v>3</v>
      </c>
      <c r="AW113">
        <v>2</v>
      </c>
      <c r="AX113">
        <v>3</v>
      </c>
      <c r="AY113">
        <v>2</v>
      </c>
      <c r="AZ113" t="s">
        <v>1147</v>
      </c>
      <c r="BA113" t="s">
        <v>1147</v>
      </c>
      <c r="BB113" t="s">
        <v>1152</v>
      </c>
      <c r="BC113" t="s">
        <v>1147</v>
      </c>
      <c r="BD113" t="s">
        <v>1152</v>
      </c>
      <c r="BE113">
        <v>3</v>
      </c>
      <c r="BG113" t="s">
        <v>2038</v>
      </c>
      <c r="BH113">
        <v>4</v>
      </c>
      <c r="BI113">
        <v>4</v>
      </c>
      <c r="BJ113" t="s">
        <v>2573</v>
      </c>
      <c r="BK113" t="s">
        <v>2573</v>
      </c>
      <c r="BL113">
        <v>4</v>
      </c>
      <c r="BM113">
        <v>5</v>
      </c>
      <c r="BN113">
        <v>5</v>
      </c>
      <c r="BO113">
        <v>5</v>
      </c>
      <c r="BP113">
        <v>5</v>
      </c>
      <c r="BQ113" t="s">
        <v>2573</v>
      </c>
      <c r="BR113">
        <v>5</v>
      </c>
      <c r="BS113" t="s">
        <v>2573</v>
      </c>
      <c r="BT113">
        <v>4</v>
      </c>
      <c r="BU113">
        <v>4</v>
      </c>
      <c r="BV113">
        <v>4</v>
      </c>
      <c r="BW113">
        <v>4</v>
      </c>
      <c r="BX113">
        <v>4</v>
      </c>
      <c r="BY113">
        <v>4</v>
      </c>
      <c r="BZ113">
        <v>4</v>
      </c>
      <c r="CA113">
        <v>2</v>
      </c>
      <c r="CB113" t="s">
        <v>1147</v>
      </c>
      <c r="CC113" t="s">
        <v>1147</v>
      </c>
      <c r="CD113" t="s">
        <v>1148</v>
      </c>
      <c r="CE113" t="s">
        <v>1152</v>
      </c>
      <c r="CF113" t="s">
        <v>2573</v>
      </c>
      <c r="CG113">
        <v>5</v>
      </c>
      <c r="CH113">
        <v>5</v>
      </c>
      <c r="CI113">
        <v>4</v>
      </c>
      <c r="CJ113">
        <v>4</v>
      </c>
      <c r="CK113">
        <v>3</v>
      </c>
      <c r="CL113" t="s">
        <v>2573</v>
      </c>
      <c r="CM113" t="s">
        <v>2573</v>
      </c>
      <c r="CN113">
        <v>5</v>
      </c>
      <c r="CO113">
        <v>4</v>
      </c>
      <c r="CP113">
        <v>6</v>
      </c>
      <c r="CQ113">
        <v>6</v>
      </c>
      <c r="CR113">
        <v>6</v>
      </c>
      <c r="CS113">
        <v>5</v>
      </c>
      <c r="CT113">
        <v>5</v>
      </c>
      <c r="CU113">
        <v>4</v>
      </c>
      <c r="CV113">
        <v>5</v>
      </c>
      <c r="CW113">
        <v>5</v>
      </c>
      <c r="CX113">
        <v>5</v>
      </c>
      <c r="CY113">
        <v>4</v>
      </c>
      <c r="CZ113">
        <v>2</v>
      </c>
      <c r="DD113">
        <v>5</v>
      </c>
      <c r="DF113">
        <v>3</v>
      </c>
      <c r="DG113">
        <v>3</v>
      </c>
      <c r="DH113">
        <v>2</v>
      </c>
      <c r="DI113">
        <v>2</v>
      </c>
      <c r="DJ113">
        <v>2</v>
      </c>
      <c r="DK113">
        <v>3</v>
      </c>
      <c r="DL113">
        <v>1</v>
      </c>
      <c r="DM113">
        <v>2</v>
      </c>
      <c r="DN113">
        <v>1</v>
      </c>
      <c r="DO113">
        <v>1</v>
      </c>
      <c r="DP113">
        <v>2</v>
      </c>
      <c r="DQ113">
        <v>2</v>
      </c>
      <c r="DR113">
        <v>2</v>
      </c>
      <c r="DS113">
        <v>2</v>
      </c>
      <c r="DT113">
        <v>2</v>
      </c>
      <c r="DU113">
        <v>2</v>
      </c>
      <c r="DV113">
        <v>2</v>
      </c>
      <c r="DW113">
        <v>4</v>
      </c>
      <c r="DX113">
        <v>4</v>
      </c>
      <c r="DY113">
        <v>2</v>
      </c>
      <c r="DZ113">
        <v>3</v>
      </c>
      <c r="EA113">
        <v>3</v>
      </c>
      <c r="EB113">
        <v>3</v>
      </c>
      <c r="EC113">
        <v>3</v>
      </c>
      <c r="ED113">
        <v>3</v>
      </c>
      <c r="EE113">
        <v>3</v>
      </c>
      <c r="EF113">
        <v>3</v>
      </c>
      <c r="EJ113" t="s">
        <v>339</v>
      </c>
      <c r="EK113" t="s">
        <v>339</v>
      </c>
      <c r="EL113" t="s">
        <v>339</v>
      </c>
      <c r="EM113" t="s">
        <v>339</v>
      </c>
      <c r="EN113" t="s">
        <v>339</v>
      </c>
      <c r="EO113" t="s">
        <v>339</v>
      </c>
      <c r="EP113" t="s">
        <v>339</v>
      </c>
      <c r="EQ113" t="s">
        <v>339</v>
      </c>
      <c r="ER113" t="s">
        <v>339</v>
      </c>
      <c r="EX113" t="s">
        <v>339</v>
      </c>
      <c r="EY113" t="s">
        <v>339</v>
      </c>
      <c r="EZ113" t="s">
        <v>339</v>
      </c>
      <c r="FA113" t="s">
        <v>339</v>
      </c>
      <c r="FG113">
        <v>4</v>
      </c>
      <c r="FH113" t="s">
        <v>339</v>
      </c>
      <c r="FO113" t="s">
        <v>339</v>
      </c>
      <c r="FP113" t="s">
        <v>339</v>
      </c>
      <c r="FQ113" t="s">
        <v>339</v>
      </c>
      <c r="FR113" t="s">
        <v>339</v>
      </c>
      <c r="GH113" t="str">
        <f t="shared" si="8"/>
        <v>5M</v>
      </c>
    </row>
    <row r="114" spans="1:190" x14ac:dyDescent="0.2">
      <c r="A114" t="str">
        <f t="shared" si="9"/>
        <v>Heraldik</v>
      </c>
      <c r="E114">
        <v>3</v>
      </c>
      <c r="N114">
        <v>1</v>
      </c>
      <c r="Q114">
        <v>1</v>
      </c>
      <c r="S114">
        <v>1</v>
      </c>
      <c r="W114">
        <v>1</v>
      </c>
      <c r="AA114">
        <v>1</v>
      </c>
      <c r="AD114">
        <v>1</v>
      </c>
      <c r="AF114">
        <v>2</v>
      </c>
      <c r="AG114">
        <v>2</v>
      </c>
      <c r="AH114">
        <v>2</v>
      </c>
      <c r="AJ114">
        <v>1</v>
      </c>
      <c r="AK114">
        <v>1</v>
      </c>
      <c r="AL114">
        <v>1</v>
      </c>
      <c r="AM114">
        <v>2</v>
      </c>
      <c r="AN114">
        <v>2</v>
      </c>
      <c r="AX114">
        <v>2</v>
      </c>
      <c r="BU114">
        <v>2</v>
      </c>
      <c r="CB114">
        <v>2</v>
      </c>
      <c r="CC114">
        <v>3</v>
      </c>
      <c r="CD114">
        <v>3</v>
      </c>
      <c r="CE114">
        <v>3</v>
      </c>
      <c r="CN114">
        <v>4</v>
      </c>
      <c r="CO114">
        <v>2</v>
      </c>
      <c r="CP114">
        <v>6</v>
      </c>
      <c r="CZ114">
        <v>2</v>
      </c>
      <c r="FO114" t="s">
        <v>339</v>
      </c>
      <c r="FP114" t="s">
        <v>339</v>
      </c>
      <c r="FQ114" t="s">
        <v>339</v>
      </c>
      <c r="FR114" t="s">
        <v>339</v>
      </c>
      <c r="FU114" t="s">
        <v>339</v>
      </c>
      <c r="GH114" t="str">
        <f t="shared" si="8"/>
        <v/>
      </c>
    </row>
    <row r="115" spans="1:190" x14ac:dyDescent="0.2">
      <c r="A115" t="str">
        <f t="shared" si="9"/>
        <v>Hüttenkunde</v>
      </c>
      <c r="C115" t="s">
        <v>1148</v>
      </c>
      <c r="D115" t="s">
        <v>1147</v>
      </c>
      <c r="E115" t="s">
        <v>1148</v>
      </c>
      <c r="F115" t="s">
        <v>1148</v>
      </c>
      <c r="AO115" t="s">
        <v>899</v>
      </c>
      <c r="AP115" t="s">
        <v>899</v>
      </c>
      <c r="AQ115" t="s">
        <v>899</v>
      </c>
      <c r="AR115" t="s">
        <v>899</v>
      </c>
      <c r="BJ115" t="s">
        <v>339</v>
      </c>
      <c r="BK115" t="s">
        <v>1152</v>
      </c>
      <c r="DU115">
        <v>5</v>
      </c>
      <c r="DV115">
        <v>5</v>
      </c>
      <c r="DW115" t="s">
        <v>2038</v>
      </c>
      <c r="EH115" t="s">
        <v>339</v>
      </c>
      <c r="ET115" t="s">
        <v>899</v>
      </c>
      <c r="EU115" t="s">
        <v>899</v>
      </c>
      <c r="FE115" t="s">
        <v>339</v>
      </c>
      <c r="FF115" t="s">
        <v>339</v>
      </c>
      <c r="GH115" t="str">
        <f t="shared" si="8"/>
        <v/>
      </c>
    </row>
    <row r="116" spans="1:190" x14ac:dyDescent="0.2">
      <c r="A116" t="str">
        <f t="shared" si="9"/>
        <v>Kriegskunst</v>
      </c>
      <c r="F116">
        <v>2</v>
      </c>
      <c r="G116" t="s">
        <v>899</v>
      </c>
      <c r="N116">
        <v>1</v>
      </c>
      <c r="Q116">
        <v>1</v>
      </c>
      <c r="S116">
        <v>1</v>
      </c>
      <c r="W116">
        <v>1</v>
      </c>
      <c r="AA116">
        <v>1</v>
      </c>
      <c r="AD116">
        <v>1</v>
      </c>
      <c r="AF116">
        <v>2</v>
      </c>
      <c r="AG116">
        <v>2</v>
      </c>
      <c r="AH116">
        <v>2</v>
      </c>
      <c r="AJ116">
        <v>2</v>
      </c>
      <c r="AK116">
        <v>2</v>
      </c>
      <c r="AL116">
        <v>2</v>
      </c>
      <c r="AM116">
        <v>2</v>
      </c>
      <c r="AW116">
        <v>4</v>
      </c>
      <c r="AX116">
        <v>3</v>
      </c>
      <c r="AY116">
        <v>2</v>
      </c>
      <c r="BL116" t="s">
        <v>1148</v>
      </c>
      <c r="BQ116" t="s">
        <v>899</v>
      </c>
      <c r="BR116" t="s">
        <v>899</v>
      </c>
      <c r="BS116" t="s">
        <v>899</v>
      </c>
      <c r="CC116" t="s">
        <v>2762</v>
      </c>
      <c r="CD116" t="s">
        <v>2762</v>
      </c>
      <c r="CF116" t="s">
        <v>899</v>
      </c>
      <c r="CG116" t="s">
        <v>899</v>
      </c>
      <c r="CH116" t="s">
        <v>899</v>
      </c>
      <c r="CI116" t="s">
        <v>899</v>
      </c>
      <c r="CL116" t="s">
        <v>899</v>
      </c>
      <c r="CM116" t="s">
        <v>899</v>
      </c>
      <c r="CN116" t="s">
        <v>1148</v>
      </c>
      <c r="CO116" t="s">
        <v>1149</v>
      </c>
      <c r="CP116" t="s">
        <v>1148</v>
      </c>
      <c r="CU116">
        <v>3</v>
      </c>
      <c r="CV116">
        <v>2</v>
      </c>
      <c r="CW116">
        <v>2</v>
      </c>
      <c r="CZ116">
        <v>4</v>
      </c>
      <c r="DA116" t="s">
        <v>899</v>
      </c>
      <c r="DB116" t="s">
        <v>899</v>
      </c>
      <c r="DC116" t="s">
        <v>899</v>
      </c>
      <c r="FG116">
        <v>4</v>
      </c>
      <c r="FI116" t="s">
        <v>899</v>
      </c>
      <c r="FJ116" t="s">
        <v>899</v>
      </c>
      <c r="FS116" t="s">
        <v>899</v>
      </c>
      <c r="FT116" t="s">
        <v>899</v>
      </c>
      <c r="FU116" t="s">
        <v>339</v>
      </c>
      <c r="GA116" t="s">
        <v>899</v>
      </c>
      <c r="GH116" t="str">
        <f t="shared" si="8"/>
        <v/>
      </c>
    </row>
    <row r="117" spans="1:190" x14ac:dyDescent="0.2">
      <c r="A117" t="str">
        <f t="shared" si="9"/>
        <v>Kryptographie</v>
      </c>
      <c r="J117">
        <v>3</v>
      </c>
      <c r="T117">
        <v>3</v>
      </c>
      <c r="U117">
        <v>3</v>
      </c>
      <c r="V117">
        <v>3</v>
      </c>
      <c r="W117">
        <v>3</v>
      </c>
      <c r="X117">
        <v>3</v>
      </c>
      <c r="Y117">
        <v>3</v>
      </c>
      <c r="Z117">
        <v>3</v>
      </c>
      <c r="AA117">
        <v>3</v>
      </c>
      <c r="AB117">
        <v>3</v>
      </c>
      <c r="AC117">
        <v>3</v>
      </c>
      <c r="AD117">
        <v>3</v>
      </c>
      <c r="AE117">
        <v>3</v>
      </c>
      <c r="AG117">
        <v>2</v>
      </c>
      <c r="AI117">
        <v>3</v>
      </c>
      <c r="BM117" t="s">
        <v>1148</v>
      </c>
      <c r="BN117" t="s">
        <v>1148</v>
      </c>
      <c r="BO117" t="s">
        <v>1148</v>
      </c>
      <c r="BP117" t="s">
        <v>1148</v>
      </c>
      <c r="BQ117" t="s">
        <v>4569</v>
      </c>
      <c r="BZ117">
        <v>5</v>
      </c>
      <c r="CE117" t="s">
        <v>2327</v>
      </c>
      <c r="CQ117">
        <v>2</v>
      </c>
      <c r="CR117">
        <v>2</v>
      </c>
      <c r="CV117" t="s">
        <v>899</v>
      </c>
      <c r="CW117" t="s">
        <v>899</v>
      </c>
      <c r="FH117" t="s">
        <v>339</v>
      </c>
      <c r="FW117" t="s">
        <v>899</v>
      </c>
      <c r="GH117" t="str">
        <f t="shared" si="8"/>
        <v>4MM</v>
      </c>
    </row>
    <row r="118" spans="1:190" x14ac:dyDescent="0.2">
      <c r="A118" t="str">
        <f t="shared" si="9"/>
        <v>Magiekunde</v>
      </c>
      <c r="AF118">
        <v>2</v>
      </c>
      <c r="AG118">
        <v>2</v>
      </c>
      <c r="AH118">
        <v>2</v>
      </c>
      <c r="AJ118">
        <v>1</v>
      </c>
      <c r="AK118">
        <v>1</v>
      </c>
      <c r="AL118">
        <v>1</v>
      </c>
      <c r="AN118">
        <v>2</v>
      </c>
      <c r="AW118">
        <v>3</v>
      </c>
      <c r="AZ118" t="s">
        <v>1150</v>
      </c>
      <c r="BA118" t="s">
        <v>1150</v>
      </c>
      <c r="BB118" t="s">
        <v>1150</v>
      </c>
      <c r="BC118" t="s">
        <v>1150</v>
      </c>
      <c r="BD118" t="s">
        <v>1149</v>
      </c>
      <c r="BE118">
        <v>1</v>
      </c>
      <c r="BG118" t="s">
        <v>2038</v>
      </c>
      <c r="BM118" t="s">
        <v>2990</v>
      </c>
      <c r="BN118" t="s">
        <v>2990</v>
      </c>
      <c r="BO118" t="s">
        <v>2990</v>
      </c>
      <c r="BP118">
        <v>1</v>
      </c>
      <c r="BQ118" t="s">
        <v>4569</v>
      </c>
      <c r="BS118">
        <v>2</v>
      </c>
      <c r="CB118">
        <v>3</v>
      </c>
      <c r="CC118">
        <v>4</v>
      </c>
      <c r="CD118">
        <v>2</v>
      </c>
      <c r="CE118">
        <v>3</v>
      </c>
      <c r="CQ118">
        <v>2</v>
      </c>
      <c r="CR118">
        <v>2</v>
      </c>
      <c r="CU118">
        <v>1</v>
      </c>
      <c r="CV118" t="s">
        <v>4571</v>
      </c>
      <c r="CW118" t="s">
        <v>4571</v>
      </c>
      <c r="DD118" t="s">
        <v>1150</v>
      </c>
      <c r="DF118">
        <v>3</v>
      </c>
      <c r="DG118">
        <v>3</v>
      </c>
      <c r="DH118">
        <v>1</v>
      </c>
      <c r="DI118">
        <v>1</v>
      </c>
      <c r="DJ118">
        <v>2</v>
      </c>
      <c r="DK118">
        <v>3</v>
      </c>
      <c r="DL118">
        <v>2</v>
      </c>
      <c r="DM118">
        <v>2</v>
      </c>
      <c r="DN118">
        <v>2</v>
      </c>
      <c r="DO118">
        <v>2</v>
      </c>
      <c r="DP118">
        <v>3</v>
      </c>
      <c r="DQ118">
        <v>2</v>
      </c>
      <c r="DR118">
        <v>2</v>
      </c>
      <c r="DS118">
        <v>2</v>
      </c>
      <c r="DT118">
        <v>2</v>
      </c>
      <c r="DU118">
        <v>2</v>
      </c>
      <c r="DX118">
        <v>4</v>
      </c>
      <c r="DZ118">
        <v>3</v>
      </c>
      <c r="EA118">
        <v>3</v>
      </c>
      <c r="EB118">
        <v>3</v>
      </c>
      <c r="EC118">
        <v>3</v>
      </c>
      <c r="ED118">
        <v>3</v>
      </c>
      <c r="EE118">
        <v>3</v>
      </c>
      <c r="EF118">
        <v>3</v>
      </c>
      <c r="EX118" t="s">
        <v>339</v>
      </c>
      <c r="EY118" t="s">
        <v>339</v>
      </c>
      <c r="EZ118" t="s">
        <v>339</v>
      </c>
      <c r="FA118" t="s">
        <v>339</v>
      </c>
      <c r="FO118" t="s">
        <v>339</v>
      </c>
      <c r="FP118" t="s">
        <v>339</v>
      </c>
      <c r="FQ118" t="s">
        <v>339</v>
      </c>
      <c r="FR118" t="s">
        <v>339</v>
      </c>
      <c r="FW118" t="s">
        <v>899</v>
      </c>
      <c r="GH118" t="str">
        <f t="shared" si="8"/>
        <v>1</v>
      </c>
    </row>
    <row r="119" spans="1:190" x14ac:dyDescent="0.2">
      <c r="A119" t="str">
        <f t="shared" si="9"/>
        <v>Mechanik</v>
      </c>
      <c r="C119" t="s">
        <v>1149</v>
      </c>
      <c r="D119" t="s">
        <v>1149</v>
      </c>
      <c r="E119" t="s">
        <v>1148</v>
      </c>
      <c r="F119" t="s">
        <v>1149</v>
      </c>
      <c r="BJ119" t="s">
        <v>339</v>
      </c>
      <c r="BK119" t="s">
        <v>1150</v>
      </c>
      <c r="BQ119" t="s">
        <v>4569</v>
      </c>
      <c r="BS119" t="s">
        <v>4569</v>
      </c>
      <c r="BT119" t="s">
        <v>339</v>
      </c>
      <c r="BU119" t="s">
        <v>339</v>
      </c>
      <c r="BV119" t="s">
        <v>339</v>
      </c>
      <c r="BW119" t="s">
        <v>339</v>
      </c>
      <c r="BX119" t="s">
        <v>339</v>
      </c>
      <c r="BY119" t="s">
        <v>339</v>
      </c>
      <c r="BZ119" t="s">
        <v>339</v>
      </c>
      <c r="CA119" t="s">
        <v>339</v>
      </c>
      <c r="DV119">
        <v>2</v>
      </c>
      <c r="DW119" t="s">
        <v>1150</v>
      </c>
      <c r="EH119" t="s">
        <v>339</v>
      </c>
      <c r="FE119" t="s">
        <v>339</v>
      </c>
      <c r="FF119" t="s">
        <v>339</v>
      </c>
      <c r="FK119" t="s">
        <v>339</v>
      </c>
      <c r="FL119" t="s">
        <v>339</v>
      </c>
      <c r="FM119" t="s">
        <v>339</v>
      </c>
      <c r="FN119" t="s">
        <v>339</v>
      </c>
      <c r="GH119" t="str">
        <f t="shared" si="8"/>
        <v/>
      </c>
    </row>
    <row r="120" spans="1:190" x14ac:dyDescent="0.2">
      <c r="A120" t="str">
        <f t="shared" si="9"/>
        <v>Pflanzenkunde</v>
      </c>
      <c r="H120">
        <v>3</v>
      </c>
      <c r="I120" t="s">
        <v>1148</v>
      </c>
      <c r="J120" t="s">
        <v>1149</v>
      </c>
      <c r="K120" t="s">
        <v>1148</v>
      </c>
      <c r="L120" t="s">
        <v>1148</v>
      </c>
      <c r="M120" t="s">
        <v>1148</v>
      </c>
      <c r="N120" t="s">
        <v>1148</v>
      </c>
      <c r="O120" t="s">
        <v>1148</v>
      </c>
      <c r="P120" t="s">
        <v>1148</v>
      </c>
      <c r="Q120" t="s">
        <v>1148</v>
      </c>
      <c r="R120" t="s">
        <v>1148</v>
      </c>
      <c r="S120" t="s">
        <v>1148</v>
      </c>
      <c r="T120" t="s">
        <v>1149</v>
      </c>
      <c r="U120" t="s">
        <v>1149</v>
      </c>
      <c r="V120" t="s">
        <v>1149</v>
      </c>
      <c r="W120" t="s">
        <v>1149</v>
      </c>
      <c r="X120" t="s">
        <v>1148</v>
      </c>
      <c r="Y120" t="s">
        <v>1149</v>
      </c>
      <c r="Z120" t="s">
        <v>1149</v>
      </c>
      <c r="AA120" t="s">
        <v>1149</v>
      </c>
      <c r="AB120" t="s">
        <v>1148</v>
      </c>
      <c r="AC120" t="s">
        <v>1149</v>
      </c>
      <c r="AD120" t="s">
        <v>1149</v>
      </c>
      <c r="AE120" t="s">
        <v>1148</v>
      </c>
      <c r="AF120">
        <v>2</v>
      </c>
      <c r="AG120" t="s">
        <v>1150</v>
      </c>
      <c r="AH120">
        <v>2</v>
      </c>
      <c r="AI120" t="s">
        <v>1147</v>
      </c>
      <c r="AJ120">
        <v>1</v>
      </c>
      <c r="AK120">
        <v>1</v>
      </c>
      <c r="AL120">
        <v>1</v>
      </c>
      <c r="AN120">
        <v>2</v>
      </c>
      <c r="AR120">
        <v>2</v>
      </c>
      <c r="AS120">
        <v>3</v>
      </c>
      <c r="AT120">
        <v>3</v>
      </c>
      <c r="AU120">
        <v>3</v>
      </c>
      <c r="AV120">
        <v>3</v>
      </c>
      <c r="AY120">
        <v>2</v>
      </c>
      <c r="AZ120" t="s">
        <v>339</v>
      </c>
      <c r="BA120" t="s">
        <v>339</v>
      </c>
      <c r="BB120" t="s">
        <v>339</v>
      </c>
      <c r="BC120" t="s">
        <v>339</v>
      </c>
      <c r="BD120" t="s">
        <v>339</v>
      </c>
      <c r="BG120" t="s">
        <v>1151</v>
      </c>
      <c r="BH120">
        <v>3</v>
      </c>
      <c r="BI120">
        <v>3</v>
      </c>
      <c r="BQ120" t="s">
        <v>1152</v>
      </c>
      <c r="BR120" t="s">
        <v>2038</v>
      </c>
      <c r="BS120" t="s">
        <v>2038</v>
      </c>
      <c r="CF120" t="s">
        <v>2327</v>
      </c>
      <c r="CG120">
        <v>2</v>
      </c>
      <c r="CH120">
        <v>5</v>
      </c>
      <c r="CI120">
        <v>4</v>
      </c>
      <c r="CL120" t="s">
        <v>2327</v>
      </c>
      <c r="CM120" t="s">
        <v>2327</v>
      </c>
      <c r="CW120">
        <v>2</v>
      </c>
      <c r="CX120">
        <v>2</v>
      </c>
      <c r="CY120">
        <v>2</v>
      </c>
      <c r="DA120">
        <v>5</v>
      </c>
      <c r="DB120">
        <v>5</v>
      </c>
      <c r="DC120">
        <v>5</v>
      </c>
      <c r="DD120" t="s">
        <v>1148</v>
      </c>
      <c r="DF120">
        <v>4</v>
      </c>
      <c r="DG120">
        <v>4</v>
      </c>
      <c r="DH120">
        <v>2</v>
      </c>
      <c r="DI120">
        <v>4</v>
      </c>
      <c r="DJ120">
        <v>2</v>
      </c>
      <c r="DK120">
        <v>5</v>
      </c>
      <c r="DL120">
        <v>3</v>
      </c>
      <c r="DM120">
        <v>3</v>
      </c>
      <c r="DN120">
        <v>3</v>
      </c>
      <c r="DO120">
        <v>3</v>
      </c>
      <c r="DP120">
        <v>4</v>
      </c>
      <c r="DQ120">
        <v>1</v>
      </c>
      <c r="DR120">
        <v>1</v>
      </c>
      <c r="DS120">
        <v>3</v>
      </c>
      <c r="DT120">
        <v>1</v>
      </c>
      <c r="DU120">
        <v>1</v>
      </c>
      <c r="DX120">
        <v>2</v>
      </c>
      <c r="DY120">
        <v>6</v>
      </c>
      <c r="DZ120">
        <v>4</v>
      </c>
      <c r="EA120">
        <v>4</v>
      </c>
      <c r="EB120">
        <v>5</v>
      </c>
      <c r="EC120">
        <v>4</v>
      </c>
      <c r="ED120">
        <v>4</v>
      </c>
      <c r="EE120">
        <v>4</v>
      </c>
      <c r="EF120">
        <v>4</v>
      </c>
      <c r="EJ120" t="s">
        <v>339</v>
      </c>
      <c r="EK120" t="s">
        <v>339</v>
      </c>
      <c r="EL120" t="s">
        <v>339</v>
      </c>
      <c r="EM120" t="s">
        <v>339</v>
      </c>
      <c r="EN120" t="s">
        <v>339</v>
      </c>
      <c r="EO120" t="s">
        <v>339</v>
      </c>
      <c r="EP120" t="s">
        <v>339</v>
      </c>
      <c r="EQ120" t="s">
        <v>339</v>
      </c>
      <c r="ER120" t="s">
        <v>339</v>
      </c>
      <c r="EX120" t="s">
        <v>339</v>
      </c>
      <c r="EY120" t="s">
        <v>339</v>
      </c>
      <c r="EZ120" t="s">
        <v>339</v>
      </c>
      <c r="FA120" t="s">
        <v>339</v>
      </c>
      <c r="FI120" t="s">
        <v>339</v>
      </c>
      <c r="FJ120" t="s">
        <v>339</v>
      </c>
      <c r="GA120" t="s">
        <v>339</v>
      </c>
      <c r="GH120" t="str">
        <f t="shared" si="8"/>
        <v/>
      </c>
    </row>
    <row r="121" spans="1:190" x14ac:dyDescent="0.2">
      <c r="A121" t="str">
        <f t="shared" si="9"/>
        <v>Philosophie</v>
      </c>
      <c r="AI121">
        <v>2</v>
      </c>
      <c r="AZ121">
        <v>1</v>
      </c>
      <c r="BA121">
        <v>3</v>
      </c>
      <c r="BB121">
        <v>1</v>
      </c>
      <c r="BC121">
        <v>1</v>
      </c>
      <c r="BD121">
        <v>1</v>
      </c>
      <c r="BM121" t="s">
        <v>1148</v>
      </c>
      <c r="BN121" t="s">
        <v>1149</v>
      </c>
      <c r="BO121" t="s">
        <v>1148</v>
      </c>
      <c r="BP121" t="s">
        <v>1148</v>
      </c>
      <c r="CG121">
        <v>2</v>
      </c>
      <c r="CQ121">
        <v>5</v>
      </c>
      <c r="CR121">
        <v>5</v>
      </c>
      <c r="CV121" t="s">
        <v>899</v>
      </c>
      <c r="CW121" t="s">
        <v>899</v>
      </c>
      <c r="DA121" t="s">
        <v>1148</v>
      </c>
      <c r="DB121" t="s">
        <v>2038</v>
      </c>
      <c r="DC121" t="s">
        <v>1148</v>
      </c>
      <c r="DV121">
        <v>1</v>
      </c>
      <c r="DW121">
        <v>1</v>
      </c>
      <c r="FH121" t="s">
        <v>339</v>
      </c>
      <c r="FW121" t="s">
        <v>899</v>
      </c>
      <c r="GA121" t="s">
        <v>339</v>
      </c>
      <c r="GH121" t="str">
        <f t="shared" si="8"/>
        <v>4MM</v>
      </c>
    </row>
    <row r="122" spans="1:190" x14ac:dyDescent="0.2">
      <c r="A122" t="str">
        <f t="shared" si="9"/>
        <v>Rechnen</v>
      </c>
      <c r="C122" t="s">
        <v>1148</v>
      </c>
      <c r="D122" t="s">
        <v>1148</v>
      </c>
      <c r="E122" t="s">
        <v>1148</v>
      </c>
      <c r="F122" t="s">
        <v>1148</v>
      </c>
      <c r="G122" t="s">
        <v>2344</v>
      </c>
      <c r="H122">
        <v>5</v>
      </c>
      <c r="I122">
        <v>5</v>
      </c>
      <c r="J122">
        <v>6</v>
      </c>
      <c r="K122">
        <v>5</v>
      </c>
      <c r="L122">
        <v>5</v>
      </c>
      <c r="M122">
        <v>5</v>
      </c>
      <c r="N122">
        <v>5</v>
      </c>
      <c r="O122">
        <v>5</v>
      </c>
      <c r="P122">
        <v>5</v>
      </c>
      <c r="Q122">
        <v>5</v>
      </c>
      <c r="R122">
        <v>5</v>
      </c>
      <c r="S122">
        <v>5</v>
      </c>
      <c r="T122">
        <v>6</v>
      </c>
      <c r="U122">
        <v>6</v>
      </c>
      <c r="V122">
        <v>6</v>
      </c>
      <c r="W122">
        <v>6</v>
      </c>
      <c r="X122">
        <v>6</v>
      </c>
      <c r="Y122">
        <v>6</v>
      </c>
      <c r="Z122">
        <v>6</v>
      </c>
      <c r="AA122">
        <v>6</v>
      </c>
      <c r="AB122">
        <v>6</v>
      </c>
      <c r="AC122">
        <v>6</v>
      </c>
      <c r="AD122">
        <v>6</v>
      </c>
      <c r="AE122">
        <v>6</v>
      </c>
      <c r="AF122">
        <v>3</v>
      </c>
      <c r="AG122">
        <v>6</v>
      </c>
      <c r="AH122">
        <v>3</v>
      </c>
      <c r="AI122">
        <v>6</v>
      </c>
      <c r="AJ122">
        <v>3</v>
      </c>
      <c r="AK122">
        <v>3</v>
      </c>
      <c r="AL122">
        <v>3</v>
      </c>
      <c r="AM122">
        <v>2</v>
      </c>
      <c r="AN122">
        <v>4</v>
      </c>
      <c r="AO122">
        <v>4</v>
      </c>
      <c r="AP122">
        <v>4</v>
      </c>
      <c r="AQ122">
        <v>4</v>
      </c>
      <c r="AR122">
        <v>4</v>
      </c>
      <c r="AS122">
        <v>2</v>
      </c>
      <c r="AT122">
        <v>3</v>
      </c>
      <c r="AU122">
        <v>1</v>
      </c>
      <c r="AV122">
        <v>2</v>
      </c>
      <c r="AW122">
        <v>4</v>
      </c>
      <c r="AX122">
        <v>4</v>
      </c>
      <c r="AY122">
        <v>4</v>
      </c>
      <c r="AZ122">
        <v>3</v>
      </c>
      <c r="BA122">
        <v>3</v>
      </c>
      <c r="BB122">
        <v>3</v>
      </c>
      <c r="BC122">
        <v>3</v>
      </c>
      <c r="BD122">
        <v>3</v>
      </c>
      <c r="BE122">
        <v>1</v>
      </c>
      <c r="BG122" t="s">
        <v>1149</v>
      </c>
      <c r="BH122">
        <v>3</v>
      </c>
      <c r="BI122">
        <v>3</v>
      </c>
      <c r="BJ122" t="s">
        <v>2038</v>
      </c>
      <c r="BK122" t="s">
        <v>2038</v>
      </c>
      <c r="BM122" t="s">
        <v>1147</v>
      </c>
      <c r="BN122" t="s">
        <v>1147</v>
      </c>
      <c r="BO122" t="s">
        <v>1147</v>
      </c>
      <c r="BP122" t="s">
        <v>1147</v>
      </c>
      <c r="BQ122" t="s">
        <v>2344</v>
      </c>
      <c r="BR122">
        <v>2</v>
      </c>
      <c r="BS122" t="s">
        <v>2344</v>
      </c>
      <c r="BT122">
        <v>4</v>
      </c>
      <c r="BU122">
        <v>4</v>
      </c>
      <c r="BV122">
        <v>4</v>
      </c>
      <c r="BW122">
        <v>4</v>
      </c>
      <c r="BX122">
        <v>7</v>
      </c>
      <c r="BY122">
        <v>4</v>
      </c>
      <c r="BZ122">
        <v>6</v>
      </c>
      <c r="CA122">
        <v>4</v>
      </c>
      <c r="CB122">
        <v>4</v>
      </c>
      <c r="CC122">
        <v>3</v>
      </c>
      <c r="CD122" t="s">
        <v>2990</v>
      </c>
      <c r="CE122" t="s">
        <v>1280</v>
      </c>
      <c r="CF122" t="s">
        <v>2762</v>
      </c>
      <c r="CG122">
        <v>3</v>
      </c>
      <c r="CH122">
        <v>3</v>
      </c>
      <c r="CI122">
        <v>3</v>
      </c>
      <c r="CJ122">
        <v>2</v>
      </c>
      <c r="CK122">
        <v>2</v>
      </c>
      <c r="CL122" t="s">
        <v>2762</v>
      </c>
      <c r="CM122" t="s">
        <v>2762</v>
      </c>
      <c r="CN122">
        <v>2</v>
      </c>
      <c r="CO122">
        <v>2</v>
      </c>
      <c r="CP122">
        <v>2</v>
      </c>
      <c r="CQ122">
        <v>6</v>
      </c>
      <c r="CR122">
        <v>6</v>
      </c>
      <c r="CU122">
        <v>3</v>
      </c>
      <c r="CV122">
        <v>4</v>
      </c>
      <c r="CW122">
        <v>4</v>
      </c>
      <c r="CX122">
        <v>3</v>
      </c>
      <c r="CY122">
        <v>3</v>
      </c>
      <c r="CZ122">
        <v>2</v>
      </c>
      <c r="DA122">
        <v>4</v>
      </c>
      <c r="DB122">
        <v>4</v>
      </c>
      <c r="DC122">
        <v>4</v>
      </c>
      <c r="DD122">
        <v>2</v>
      </c>
      <c r="DF122">
        <v>2</v>
      </c>
      <c r="DH122">
        <v>1</v>
      </c>
      <c r="DI122">
        <v>1</v>
      </c>
      <c r="DJ122">
        <v>2</v>
      </c>
      <c r="DL122">
        <v>1</v>
      </c>
      <c r="DM122">
        <v>1</v>
      </c>
      <c r="DN122">
        <v>1</v>
      </c>
      <c r="DO122">
        <v>1</v>
      </c>
      <c r="DQ122">
        <v>1</v>
      </c>
      <c r="DR122">
        <v>1</v>
      </c>
      <c r="DS122">
        <v>1</v>
      </c>
      <c r="DT122">
        <v>1</v>
      </c>
      <c r="DU122">
        <v>1</v>
      </c>
      <c r="DV122">
        <v>5</v>
      </c>
      <c r="DW122" t="s">
        <v>2038</v>
      </c>
      <c r="DX122">
        <v>5</v>
      </c>
      <c r="DY122">
        <v>3</v>
      </c>
      <c r="EC122">
        <v>2</v>
      </c>
      <c r="ED122">
        <v>4</v>
      </c>
      <c r="EH122" t="s">
        <v>339</v>
      </c>
      <c r="FE122" t="s">
        <v>339</v>
      </c>
      <c r="FF122" t="s">
        <v>339</v>
      </c>
      <c r="FH122" t="s">
        <v>339</v>
      </c>
      <c r="FW122" t="s">
        <v>899</v>
      </c>
      <c r="GH122" t="str">
        <f t="shared" si="8"/>
        <v>6MM</v>
      </c>
    </row>
    <row r="123" spans="1:190" x14ac:dyDescent="0.2">
      <c r="A123" t="str">
        <f t="shared" si="9"/>
        <v>Rechtskunde</v>
      </c>
      <c r="C123" t="s">
        <v>2327</v>
      </c>
      <c r="D123" t="s">
        <v>2327</v>
      </c>
      <c r="E123" t="s">
        <v>2327</v>
      </c>
      <c r="F123" t="s">
        <v>2327</v>
      </c>
      <c r="H123">
        <v>2</v>
      </c>
      <c r="I123">
        <v>4</v>
      </c>
      <c r="J123">
        <v>2</v>
      </c>
      <c r="K123">
        <v>4</v>
      </c>
      <c r="L123">
        <v>4</v>
      </c>
      <c r="M123">
        <v>5</v>
      </c>
      <c r="N123">
        <v>4</v>
      </c>
      <c r="O123">
        <v>4</v>
      </c>
      <c r="P123">
        <v>5</v>
      </c>
      <c r="Q123">
        <v>4</v>
      </c>
      <c r="R123">
        <v>5</v>
      </c>
      <c r="S123">
        <v>4</v>
      </c>
      <c r="T123">
        <v>2</v>
      </c>
      <c r="U123">
        <v>2</v>
      </c>
      <c r="V123">
        <v>3</v>
      </c>
      <c r="W123">
        <v>2</v>
      </c>
      <c r="X123">
        <v>2</v>
      </c>
      <c r="Y123">
        <v>2</v>
      </c>
      <c r="Z123">
        <v>3</v>
      </c>
      <c r="AA123">
        <v>2</v>
      </c>
      <c r="AB123">
        <v>2</v>
      </c>
      <c r="AC123">
        <v>3</v>
      </c>
      <c r="AD123">
        <v>2</v>
      </c>
      <c r="AE123">
        <v>2</v>
      </c>
      <c r="AF123">
        <v>3</v>
      </c>
      <c r="AG123">
        <v>3</v>
      </c>
      <c r="AH123">
        <v>3</v>
      </c>
      <c r="AI123">
        <v>1</v>
      </c>
      <c r="AJ123">
        <v>2</v>
      </c>
      <c r="AK123">
        <v>2</v>
      </c>
      <c r="AL123">
        <v>2</v>
      </c>
      <c r="AM123">
        <v>4</v>
      </c>
      <c r="AN123">
        <v>4</v>
      </c>
      <c r="AO123">
        <v>2</v>
      </c>
      <c r="AP123">
        <v>2</v>
      </c>
      <c r="AQ123">
        <v>2</v>
      </c>
      <c r="AR123">
        <v>2</v>
      </c>
      <c r="AT123">
        <v>2</v>
      </c>
      <c r="AW123">
        <v>2</v>
      </c>
      <c r="AX123">
        <v>3</v>
      </c>
      <c r="AY123">
        <v>2</v>
      </c>
      <c r="AZ123">
        <v>3</v>
      </c>
      <c r="BA123">
        <v>3</v>
      </c>
      <c r="BB123">
        <v>3</v>
      </c>
      <c r="BC123">
        <v>3</v>
      </c>
      <c r="BD123">
        <v>4</v>
      </c>
      <c r="BE123">
        <v>1</v>
      </c>
      <c r="BJ123" t="s">
        <v>2327</v>
      </c>
      <c r="BK123" t="s">
        <v>2327</v>
      </c>
      <c r="BM123" t="s">
        <v>2344</v>
      </c>
      <c r="BN123">
        <v>2</v>
      </c>
      <c r="BO123">
        <v>5</v>
      </c>
      <c r="BP123" t="s">
        <v>2344</v>
      </c>
      <c r="BQ123">
        <v>2</v>
      </c>
      <c r="BR123">
        <v>3</v>
      </c>
      <c r="BS123">
        <v>3</v>
      </c>
      <c r="BT123" t="s">
        <v>1149</v>
      </c>
      <c r="BU123" t="s">
        <v>1149</v>
      </c>
      <c r="BV123" t="s">
        <v>1149</v>
      </c>
      <c r="BW123" t="s">
        <v>1149</v>
      </c>
      <c r="BX123" t="s">
        <v>1148</v>
      </c>
      <c r="BY123" t="s">
        <v>1149</v>
      </c>
      <c r="BZ123" t="s">
        <v>1149</v>
      </c>
      <c r="CA123" t="s">
        <v>1151</v>
      </c>
      <c r="CB123" t="s">
        <v>1152</v>
      </c>
      <c r="CC123" t="s">
        <v>1147</v>
      </c>
      <c r="CD123" t="s">
        <v>1149</v>
      </c>
      <c r="CE123" t="s">
        <v>2038</v>
      </c>
      <c r="CF123" t="s">
        <v>2762</v>
      </c>
      <c r="CG123">
        <v>4</v>
      </c>
      <c r="CH123">
        <v>2</v>
      </c>
      <c r="CI123">
        <v>3</v>
      </c>
      <c r="CK123">
        <v>3</v>
      </c>
      <c r="CL123" t="s">
        <v>2762</v>
      </c>
      <c r="CM123" t="s">
        <v>2762</v>
      </c>
      <c r="CN123">
        <v>4</v>
      </c>
      <c r="CO123">
        <v>2</v>
      </c>
      <c r="CP123">
        <v>4</v>
      </c>
      <c r="CQ123">
        <v>4</v>
      </c>
      <c r="CR123">
        <v>4</v>
      </c>
      <c r="CS123">
        <v>3</v>
      </c>
      <c r="CT123">
        <v>3</v>
      </c>
      <c r="CU123">
        <v>2</v>
      </c>
      <c r="CV123">
        <v>4</v>
      </c>
      <c r="CW123">
        <v>4</v>
      </c>
      <c r="CX123">
        <v>4</v>
      </c>
      <c r="CY123">
        <v>4</v>
      </c>
      <c r="CZ123">
        <v>2</v>
      </c>
      <c r="DJ123">
        <v>2</v>
      </c>
      <c r="DX123">
        <v>2</v>
      </c>
      <c r="FK123" t="s">
        <v>339</v>
      </c>
      <c r="FL123" t="s">
        <v>339</v>
      </c>
      <c r="FM123" t="s">
        <v>339</v>
      </c>
      <c r="FN123" t="s">
        <v>339</v>
      </c>
      <c r="FO123" t="s">
        <v>339</v>
      </c>
      <c r="FP123" t="s">
        <v>339</v>
      </c>
      <c r="FQ123" t="s">
        <v>339</v>
      </c>
      <c r="FR123" t="s">
        <v>339</v>
      </c>
      <c r="GH123" t="str">
        <f t="shared" si="8"/>
        <v>2</v>
      </c>
    </row>
    <row r="124" spans="1:190" x14ac:dyDescent="0.2">
      <c r="A124" t="str">
        <f t="shared" si="9"/>
        <v>Sagen/Legenden</v>
      </c>
      <c r="C124" t="s">
        <v>2327</v>
      </c>
      <c r="D124" t="s">
        <v>2327</v>
      </c>
      <c r="E124" t="s">
        <v>2327</v>
      </c>
      <c r="F124" t="s">
        <v>2327</v>
      </c>
      <c r="G124" t="s">
        <v>2327</v>
      </c>
      <c r="H124">
        <v>2</v>
      </c>
      <c r="I124">
        <v>2</v>
      </c>
      <c r="J124">
        <v>2</v>
      </c>
      <c r="K124">
        <v>2</v>
      </c>
      <c r="L124">
        <v>2</v>
      </c>
      <c r="M124">
        <v>2</v>
      </c>
      <c r="N124">
        <v>2</v>
      </c>
      <c r="O124">
        <v>2</v>
      </c>
      <c r="P124">
        <v>2</v>
      </c>
      <c r="Q124">
        <v>2</v>
      </c>
      <c r="R124">
        <v>2</v>
      </c>
      <c r="S124">
        <v>2</v>
      </c>
      <c r="T124">
        <v>2</v>
      </c>
      <c r="U124">
        <v>2</v>
      </c>
      <c r="V124">
        <v>2</v>
      </c>
      <c r="W124">
        <v>2</v>
      </c>
      <c r="X124">
        <v>4</v>
      </c>
      <c r="Y124">
        <v>2</v>
      </c>
      <c r="Z124">
        <v>2</v>
      </c>
      <c r="AA124">
        <v>2</v>
      </c>
      <c r="AB124">
        <v>4</v>
      </c>
      <c r="AC124">
        <v>2</v>
      </c>
      <c r="AD124">
        <v>2</v>
      </c>
      <c r="AE124">
        <v>4</v>
      </c>
      <c r="AF124">
        <v>1</v>
      </c>
      <c r="AG124">
        <v>1</v>
      </c>
      <c r="AH124">
        <v>1</v>
      </c>
      <c r="AI124">
        <v>2</v>
      </c>
      <c r="AN124">
        <v>4</v>
      </c>
      <c r="AO124">
        <v>3</v>
      </c>
      <c r="AP124">
        <v>3</v>
      </c>
      <c r="AQ124">
        <v>3</v>
      </c>
      <c r="AR124">
        <v>3</v>
      </c>
      <c r="AS124">
        <v>2</v>
      </c>
      <c r="AT124">
        <v>2</v>
      </c>
      <c r="AU124">
        <v>2</v>
      </c>
      <c r="AV124">
        <v>2</v>
      </c>
      <c r="AW124">
        <v>3</v>
      </c>
      <c r="AX124">
        <v>3</v>
      </c>
      <c r="AY124">
        <v>2</v>
      </c>
      <c r="AZ124">
        <v>2</v>
      </c>
      <c r="BA124">
        <v>2</v>
      </c>
      <c r="BB124">
        <v>2</v>
      </c>
      <c r="BC124">
        <v>2</v>
      </c>
      <c r="BD124">
        <v>2</v>
      </c>
      <c r="BE124">
        <v>1</v>
      </c>
      <c r="BH124">
        <v>2</v>
      </c>
      <c r="BI124">
        <v>2</v>
      </c>
      <c r="BJ124" t="s">
        <v>2344</v>
      </c>
      <c r="BK124" t="s">
        <v>2344</v>
      </c>
      <c r="BM124" t="s">
        <v>2990</v>
      </c>
      <c r="BN124" t="s">
        <v>2990</v>
      </c>
      <c r="BO124">
        <v>1</v>
      </c>
      <c r="BP124">
        <v>2</v>
      </c>
      <c r="BQ124">
        <v>4</v>
      </c>
      <c r="BR124" t="s">
        <v>2344</v>
      </c>
      <c r="BS124" t="s">
        <v>2344</v>
      </c>
      <c r="BT124">
        <v>2</v>
      </c>
      <c r="BU124">
        <v>2</v>
      </c>
      <c r="BV124">
        <v>2</v>
      </c>
      <c r="BW124">
        <v>2</v>
      </c>
      <c r="BX124">
        <v>2</v>
      </c>
      <c r="BY124">
        <v>2</v>
      </c>
      <c r="BZ124">
        <v>2</v>
      </c>
      <c r="CB124" t="s">
        <v>2762</v>
      </c>
      <c r="CC124" t="s">
        <v>2762</v>
      </c>
      <c r="CD124" t="s">
        <v>2762</v>
      </c>
      <c r="CE124" t="s">
        <v>2573</v>
      </c>
      <c r="CF124" t="s">
        <v>2573</v>
      </c>
      <c r="CG124">
        <v>5</v>
      </c>
      <c r="CH124">
        <v>5</v>
      </c>
      <c r="CI124">
        <v>5</v>
      </c>
      <c r="CJ124">
        <v>4</v>
      </c>
      <c r="CK124">
        <v>3</v>
      </c>
      <c r="CL124" t="s">
        <v>2573</v>
      </c>
      <c r="CM124" t="s">
        <v>2573</v>
      </c>
      <c r="CN124">
        <v>2</v>
      </c>
      <c r="CO124">
        <v>2</v>
      </c>
      <c r="CP124">
        <v>4</v>
      </c>
      <c r="CQ124">
        <v>5</v>
      </c>
      <c r="CR124">
        <v>5</v>
      </c>
      <c r="CS124">
        <v>4</v>
      </c>
      <c r="CT124">
        <v>4</v>
      </c>
      <c r="CU124">
        <v>2</v>
      </c>
      <c r="CV124">
        <v>4</v>
      </c>
      <c r="CW124">
        <v>4</v>
      </c>
      <c r="CX124" t="s">
        <v>1148</v>
      </c>
      <c r="CY124" t="s">
        <v>1148</v>
      </c>
      <c r="CZ124">
        <v>1</v>
      </c>
      <c r="DA124" t="s">
        <v>339</v>
      </c>
      <c r="DB124" t="s">
        <v>339</v>
      </c>
      <c r="DC124" t="s">
        <v>339</v>
      </c>
      <c r="DD124">
        <v>2</v>
      </c>
      <c r="DF124">
        <v>3</v>
      </c>
      <c r="DG124">
        <v>5</v>
      </c>
      <c r="DH124">
        <v>2</v>
      </c>
      <c r="DI124">
        <v>2</v>
      </c>
      <c r="DJ124">
        <v>2</v>
      </c>
      <c r="DK124">
        <v>4</v>
      </c>
      <c r="DL124">
        <v>3</v>
      </c>
      <c r="DM124">
        <v>3</v>
      </c>
      <c r="DN124">
        <v>3</v>
      </c>
      <c r="DO124">
        <v>3</v>
      </c>
      <c r="DP124">
        <v>3</v>
      </c>
      <c r="DQ124">
        <v>5</v>
      </c>
      <c r="DR124">
        <v>5</v>
      </c>
      <c r="DS124">
        <v>5</v>
      </c>
      <c r="DT124">
        <v>5</v>
      </c>
      <c r="DU124">
        <v>5</v>
      </c>
      <c r="DV124">
        <v>2</v>
      </c>
      <c r="DW124">
        <v>2</v>
      </c>
      <c r="DX124">
        <v>4</v>
      </c>
      <c r="DY124">
        <v>2</v>
      </c>
      <c r="DZ124">
        <v>3</v>
      </c>
      <c r="EA124">
        <v>3</v>
      </c>
      <c r="EB124">
        <v>3</v>
      </c>
      <c r="EC124">
        <v>3</v>
      </c>
      <c r="ED124">
        <v>3</v>
      </c>
      <c r="EE124">
        <v>3</v>
      </c>
      <c r="EF124">
        <v>3</v>
      </c>
      <c r="FX124" t="s">
        <v>339</v>
      </c>
      <c r="FY124" t="s">
        <v>339</v>
      </c>
      <c r="FZ124" t="s">
        <v>339</v>
      </c>
      <c r="GA124" t="s">
        <v>339</v>
      </c>
      <c r="GH124" t="str">
        <f t="shared" si="8"/>
        <v>1</v>
      </c>
    </row>
    <row r="125" spans="1:190" x14ac:dyDescent="0.2">
      <c r="A125" t="str">
        <f t="shared" si="9"/>
        <v>Schätzen</v>
      </c>
      <c r="C125" t="s">
        <v>1149</v>
      </c>
      <c r="D125" t="s">
        <v>1149</v>
      </c>
      <c r="E125" t="s">
        <v>1149</v>
      </c>
      <c r="F125" t="s">
        <v>1149</v>
      </c>
      <c r="G125" t="s">
        <v>2344</v>
      </c>
      <c r="I125">
        <v>1</v>
      </c>
      <c r="K125">
        <v>1</v>
      </c>
      <c r="L125">
        <v>1</v>
      </c>
      <c r="M125">
        <v>1</v>
      </c>
      <c r="N125">
        <v>1</v>
      </c>
      <c r="O125">
        <v>1</v>
      </c>
      <c r="P125">
        <v>1</v>
      </c>
      <c r="Q125">
        <v>1</v>
      </c>
      <c r="R125">
        <v>1</v>
      </c>
      <c r="S125">
        <v>1</v>
      </c>
      <c r="AM125">
        <v>3</v>
      </c>
      <c r="BJ125" t="s">
        <v>2038</v>
      </c>
      <c r="BK125" t="s">
        <v>2038</v>
      </c>
      <c r="BM125">
        <v>2</v>
      </c>
      <c r="BN125">
        <v>3</v>
      </c>
      <c r="BO125" t="s">
        <v>2344</v>
      </c>
      <c r="BP125">
        <v>2</v>
      </c>
      <c r="BS125" t="s">
        <v>4569</v>
      </c>
      <c r="BT125">
        <v>4</v>
      </c>
      <c r="BU125">
        <v>4</v>
      </c>
      <c r="BV125">
        <v>5</v>
      </c>
      <c r="BW125">
        <v>5</v>
      </c>
      <c r="BX125">
        <v>7</v>
      </c>
      <c r="BY125">
        <v>6</v>
      </c>
      <c r="BZ125">
        <v>4</v>
      </c>
      <c r="CA125">
        <v>2</v>
      </c>
      <c r="CS125">
        <v>3</v>
      </c>
      <c r="CT125">
        <v>3</v>
      </c>
      <c r="CV125" t="s">
        <v>4569</v>
      </c>
      <c r="CX125">
        <v>1</v>
      </c>
      <c r="CY125">
        <v>1</v>
      </c>
      <c r="DM125">
        <v>1</v>
      </c>
      <c r="DV125">
        <v>4</v>
      </c>
      <c r="DW125" t="s">
        <v>1148</v>
      </c>
      <c r="EH125" t="s">
        <v>339</v>
      </c>
      <c r="FE125" t="s">
        <v>339</v>
      </c>
      <c r="FF125" t="s">
        <v>339</v>
      </c>
      <c r="GH125" t="str">
        <f t="shared" si="8"/>
        <v>2</v>
      </c>
    </row>
    <row r="126" spans="1:190" x14ac:dyDescent="0.2">
      <c r="A126" t="str">
        <f t="shared" si="9"/>
        <v>Schiffbau</v>
      </c>
      <c r="BQ126" t="s">
        <v>4569</v>
      </c>
      <c r="BS126" t="s">
        <v>4569</v>
      </c>
      <c r="ET126" t="s">
        <v>339</v>
      </c>
      <c r="EU126" t="s">
        <v>339</v>
      </c>
      <c r="FE126" t="s">
        <v>899</v>
      </c>
      <c r="FF126" t="s">
        <v>899</v>
      </c>
      <c r="GH126" t="str">
        <f t="shared" si="8"/>
        <v/>
      </c>
    </row>
    <row r="127" spans="1:190" x14ac:dyDescent="0.2">
      <c r="A127" t="str">
        <f t="shared" si="9"/>
        <v>Sprachenkunde</v>
      </c>
      <c r="G127" t="s">
        <v>339</v>
      </c>
      <c r="J127">
        <v>4</v>
      </c>
      <c r="T127">
        <v>4</v>
      </c>
      <c r="U127">
        <v>4</v>
      </c>
      <c r="V127">
        <v>4</v>
      </c>
      <c r="W127">
        <v>4</v>
      </c>
      <c r="X127">
        <v>4</v>
      </c>
      <c r="Y127">
        <v>4</v>
      </c>
      <c r="Z127">
        <v>4</v>
      </c>
      <c r="AA127">
        <v>4</v>
      </c>
      <c r="AB127">
        <v>4</v>
      </c>
      <c r="AC127">
        <v>4</v>
      </c>
      <c r="AD127">
        <v>4</v>
      </c>
      <c r="AE127">
        <v>4</v>
      </c>
      <c r="AG127">
        <v>4</v>
      </c>
      <c r="AI127">
        <v>4</v>
      </c>
      <c r="BB127">
        <v>2</v>
      </c>
      <c r="BM127">
        <v>4</v>
      </c>
      <c r="BN127">
        <v>4</v>
      </c>
      <c r="BO127">
        <v>4</v>
      </c>
      <c r="BP127">
        <v>4</v>
      </c>
      <c r="BQ127" t="s">
        <v>4569</v>
      </c>
      <c r="BS127" t="s">
        <v>4569</v>
      </c>
      <c r="BZ127">
        <v>4</v>
      </c>
      <c r="CE127" t="s">
        <v>2327</v>
      </c>
      <c r="CQ127">
        <v>4</v>
      </c>
      <c r="CR127">
        <v>4</v>
      </c>
      <c r="CV127" t="s">
        <v>4569</v>
      </c>
      <c r="FH127" t="s">
        <v>339</v>
      </c>
      <c r="GH127" t="str">
        <f t="shared" si="8"/>
        <v>4M</v>
      </c>
    </row>
    <row r="128" spans="1:190" x14ac:dyDescent="0.2">
      <c r="A128" t="str">
        <f t="shared" si="9"/>
        <v>Staatskunst</v>
      </c>
      <c r="E128">
        <v>3</v>
      </c>
      <c r="I128">
        <v>2</v>
      </c>
      <c r="K128">
        <v>2</v>
      </c>
      <c r="L128">
        <v>2</v>
      </c>
      <c r="M128">
        <v>6</v>
      </c>
      <c r="N128">
        <v>2</v>
      </c>
      <c r="O128">
        <v>2</v>
      </c>
      <c r="P128">
        <v>6</v>
      </c>
      <c r="Q128">
        <v>2</v>
      </c>
      <c r="R128">
        <v>6</v>
      </c>
      <c r="S128">
        <v>2</v>
      </c>
      <c r="V128">
        <v>4</v>
      </c>
      <c r="Z128">
        <v>4</v>
      </c>
      <c r="AC128">
        <v>4</v>
      </c>
      <c r="BQ128" t="s">
        <v>4569</v>
      </c>
      <c r="BS128" t="s">
        <v>4569</v>
      </c>
      <c r="BZ128">
        <v>4</v>
      </c>
      <c r="CA128">
        <v>1</v>
      </c>
      <c r="CB128" t="s">
        <v>1148</v>
      </c>
      <c r="CC128" t="s">
        <v>339</v>
      </c>
      <c r="CD128" t="s">
        <v>339</v>
      </c>
      <c r="CE128" t="s">
        <v>1148</v>
      </c>
      <c r="EC128">
        <v>2</v>
      </c>
      <c r="FO128" t="s">
        <v>339</v>
      </c>
      <c r="FP128" t="s">
        <v>339</v>
      </c>
      <c r="FQ128" t="s">
        <v>339</v>
      </c>
      <c r="FR128" t="s">
        <v>339</v>
      </c>
      <c r="GH128" t="str">
        <f t="shared" si="8"/>
        <v/>
      </c>
    </row>
    <row r="129" spans="1:190" x14ac:dyDescent="0.2">
      <c r="A129" t="str">
        <f t="shared" si="9"/>
        <v>Sternkunde</v>
      </c>
      <c r="AN129">
        <v>2</v>
      </c>
      <c r="AO129">
        <v>3</v>
      </c>
      <c r="AP129">
        <v>3</v>
      </c>
      <c r="AQ129">
        <v>3</v>
      </c>
      <c r="AR129">
        <v>3</v>
      </c>
      <c r="AZ129" t="s">
        <v>339</v>
      </c>
      <c r="BA129" t="s">
        <v>339</v>
      </c>
      <c r="BB129" t="s">
        <v>339</v>
      </c>
      <c r="BC129" t="s">
        <v>339</v>
      </c>
      <c r="BD129" t="s">
        <v>339</v>
      </c>
      <c r="BG129" t="s">
        <v>339</v>
      </c>
      <c r="BM129" t="s">
        <v>339</v>
      </c>
      <c r="BN129" t="s">
        <v>339</v>
      </c>
      <c r="BO129" t="s">
        <v>339</v>
      </c>
      <c r="BP129" t="s">
        <v>339</v>
      </c>
      <c r="BQ129" t="s">
        <v>4569</v>
      </c>
      <c r="BS129" t="s">
        <v>4569</v>
      </c>
      <c r="BT129" t="s">
        <v>1149</v>
      </c>
      <c r="BU129" t="s">
        <v>1149</v>
      </c>
      <c r="BV129" t="s">
        <v>1149</v>
      </c>
      <c r="BW129" t="s">
        <v>1149</v>
      </c>
      <c r="BX129" t="s">
        <v>1149</v>
      </c>
      <c r="BY129" t="s">
        <v>1149</v>
      </c>
      <c r="BZ129" t="s">
        <v>1149</v>
      </c>
      <c r="CA129" t="s">
        <v>339</v>
      </c>
      <c r="CB129">
        <v>3</v>
      </c>
      <c r="CE129" t="s">
        <v>2762</v>
      </c>
      <c r="CV129">
        <v>2</v>
      </c>
      <c r="CW129">
        <v>2</v>
      </c>
      <c r="DG129">
        <v>2</v>
      </c>
      <c r="DH129">
        <v>1</v>
      </c>
      <c r="DI129">
        <v>1</v>
      </c>
      <c r="DJ129">
        <v>1</v>
      </c>
      <c r="DK129">
        <v>3</v>
      </c>
      <c r="DL129">
        <v>3</v>
      </c>
      <c r="DM129">
        <v>3</v>
      </c>
      <c r="DN129">
        <v>3</v>
      </c>
      <c r="DO129">
        <v>3</v>
      </c>
      <c r="DX129">
        <v>4</v>
      </c>
      <c r="EX129" t="s">
        <v>339</v>
      </c>
      <c r="EY129" t="s">
        <v>339</v>
      </c>
      <c r="EZ129" t="s">
        <v>339</v>
      </c>
      <c r="FA129" t="s">
        <v>339</v>
      </c>
      <c r="FH129" t="s">
        <v>339</v>
      </c>
      <c r="FK129" t="s">
        <v>339</v>
      </c>
      <c r="FL129" t="s">
        <v>339</v>
      </c>
      <c r="FM129" t="s">
        <v>339</v>
      </c>
      <c r="FN129" t="s">
        <v>339</v>
      </c>
      <c r="GH129" t="str">
        <f t="shared" si="8"/>
        <v>MM</v>
      </c>
    </row>
    <row r="130" spans="1:190" x14ac:dyDescent="0.2">
      <c r="A130" t="str">
        <f t="shared" si="9"/>
        <v>Tierkunde</v>
      </c>
      <c r="G130" t="s">
        <v>2344</v>
      </c>
      <c r="AN130">
        <v>2</v>
      </c>
      <c r="AO130">
        <v>3</v>
      </c>
      <c r="AP130">
        <v>3</v>
      </c>
      <c r="AQ130">
        <v>3</v>
      </c>
      <c r="AR130">
        <v>3</v>
      </c>
      <c r="AS130">
        <v>5</v>
      </c>
      <c r="AT130">
        <v>5</v>
      </c>
      <c r="AU130">
        <v>5</v>
      </c>
      <c r="AV130">
        <v>5</v>
      </c>
      <c r="AW130">
        <v>3</v>
      </c>
      <c r="AX130">
        <v>2</v>
      </c>
      <c r="AY130">
        <v>3</v>
      </c>
      <c r="AZ130" t="s">
        <v>339</v>
      </c>
      <c r="BA130" t="s">
        <v>339</v>
      </c>
      <c r="BB130" t="s">
        <v>339</v>
      </c>
      <c r="BC130" t="s">
        <v>339</v>
      </c>
      <c r="BD130" t="s">
        <v>339</v>
      </c>
      <c r="BG130" t="s">
        <v>1150</v>
      </c>
      <c r="BH130">
        <v>5</v>
      </c>
      <c r="BI130">
        <v>5</v>
      </c>
      <c r="BM130" t="s">
        <v>4569</v>
      </c>
      <c r="BN130" t="s">
        <v>4569</v>
      </c>
      <c r="BO130" t="s">
        <v>4569</v>
      </c>
      <c r="BQ130" t="s">
        <v>1148</v>
      </c>
      <c r="BR130" t="s">
        <v>1150</v>
      </c>
      <c r="BS130" t="s">
        <v>1150</v>
      </c>
      <c r="CF130" t="s">
        <v>2344</v>
      </c>
      <c r="CG130">
        <v>2</v>
      </c>
      <c r="CH130">
        <v>1</v>
      </c>
      <c r="CI130">
        <v>4</v>
      </c>
      <c r="CL130">
        <v>2</v>
      </c>
      <c r="CM130">
        <v>5</v>
      </c>
      <c r="CU130">
        <v>1</v>
      </c>
      <c r="CZ130">
        <v>2</v>
      </c>
      <c r="DA130">
        <v>4</v>
      </c>
      <c r="DB130">
        <v>4</v>
      </c>
      <c r="DC130">
        <v>4</v>
      </c>
      <c r="DD130" t="s">
        <v>2038</v>
      </c>
      <c r="DF130">
        <v>4</v>
      </c>
      <c r="DG130">
        <v>6</v>
      </c>
      <c r="DH130">
        <v>1</v>
      </c>
      <c r="DI130">
        <v>2</v>
      </c>
      <c r="DJ130">
        <v>1</v>
      </c>
      <c r="DK130">
        <v>3</v>
      </c>
      <c r="DL130">
        <v>3</v>
      </c>
      <c r="DM130">
        <v>3</v>
      </c>
      <c r="DN130">
        <v>3</v>
      </c>
      <c r="DO130">
        <v>3</v>
      </c>
      <c r="DP130">
        <v>2</v>
      </c>
      <c r="DQ130">
        <v>3</v>
      </c>
      <c r="DR130">
        <v>3</v>
      </c>
      <c r="DS130">
        <v>3</v>
      </c>
      <c r="DT130">
        <v>5</v>
      </c>
      <c r="DU130">
        <v>3</v>
      </c>
      <c r="DZ130">
        <v>2</v>
      </c>
      <c r="EA130">
        <v>2</v>
      </c>
      <c r="EB130">
        <v>3</v>
      </c>
      <c r="EC130">
        <v>2</v>
      </c>
      <c r="ED130">
        <v>2</v>
      </c>
      <c r="EE130">
        <v>2</v>
      </c>
      <c r="EF130">
        <v>2</v>
      </c>
      <c r="EX130" t="s">
        <v>339</v>
      </c>
      <c r="EY130" t="s">
        <v>339</v>
      </c>
      <c r="EZ130" t="s">
        <v>339</v>
      </c>
      <c r="FA130" t="s">
        <v>339</v>
      </c>
      <c r="FI130" t="s">
        <v>339</v>
      </c>
      <c r="FJ130" t="s">
        <v>339</v>
      </c>
      <c r="GA130" t="s">
        <v>339</v>
      </c>
      <c r="GH130" t="str">
        <f t="shared" si="8"/>
        <v/>
      </c>
    </row>
    <row r="131" spans="1:190" ht="12.75" customHeight="1" x14ac:dyDescent="0.2">
      <c r="A131" t="str">
        <f>INDEX(TL_HWK,ROW()-130)</f>
        <v>Abrichten</v>
      </c>
      <c r="B131" t="s">
        <v>3309</v>
      </c>
      <c r="G131" t="s">
        <v>2344</v>
      </c>
      <c r="BG131">
        <v>3</v>
      </c>
      <c r="BJ131" t="s">
        <v>4569</v>
      </c>
      <c r="BK131" t="s">
        <v>4569</v>
      </c>
      <c r="CI131">
        <v>2</v>
      </c>
      <c r="CU131">
        <v>2</v>
      </c>
      <c r="DE131" t="s">
        <v>3309</v>
      </c>
      <c r="DG131">
        <v>5</v>
      </c>
      <c r="DH131">
        <v>1</v>
      </c>
      <c r="DI131">
        <v>1</v>
      </c>
      <c r="DJ131">
        <v>1</v>
      </c>
      <c r="DK131">
        <v>2</v>
      </c>
      <c r="EG131" t="s">
        <v>3309</v>
      </c>
      <c r="FO131" t="s">
        <v>339</v>
      </c>
      <c r="FP131" t="s">
        <v>339</v>
      </c>
      <c r="FQ131" t="s">
        <v>339</v>
      </c>
      <c r="FR131" t="s">
        <v>339</v>
      </c>
      <c r="GH131" t="str">
        <f t="shared" si="8"/>
        <v/>
      </c>
    </row>
    <row r="132" spans="1:190" x14ac:dyDescent="0.2">
      <c r="A132" t="str">
        <f t="shared" ref="A132:A181" si="10">INDEX(TL_HWK,ROW()-130)</f>
        <v>Ackerbau</v>
      </c>
      <c r="BJ132" t="s">
        <v>4569</v>
      </c>
      <c r="BK132" t="s">
        <v>4569</v>
      </c>
      <c r="BQ132" t="s">
        <v>1152</v>
      </c>
      <c r="BR132" t="s">
        <v>1150</v>
      </c>
      <c r="BS132" t="s">
        <v>1150</v>
      </c>
      <c r="DK132">
        <v>1</v>
      </c>
      <c r="DY132">
        <v>5</v>
      </c>
      <c r="FI132" t="s">
        <v>339</v>
      </c>
      <c r="FJ132" t="s">
        <v>339</v>
      </c>
      <c r="GH132" t="str">
        <f t="shared" si="8"/>
        <v/>
      </c>
    </row>
    <row r="133" spans="1:190" x14ac:dyDescent="0.2">
      <c r="A133" t="str">
        <f t="shared" si="10"/>
        <v>Alchimie</v>
      </c>
      <c r="I133" t="s">
        <v>339</v>
      </c>
      <c r="J133" t="s">
        <v>339</v>
      </c>
      <c r="K133" t="s">
        <v>339</v>
      </c>
      <c r="L133" t="s">
        <v>339</v>
      </c>
      <c r="M133" t="s">
        <v>339</v>
      </c>
      <c r="N133" t="s">
        <v>339</v>
      </c>
      <c r="O133" t="s">
        <v>339</v>
      </c>
      <c r="P133" t="s">
        <v>339</v>
      </c>
      <c r="Q133" t="s">
        <v>339</v>
      </c>
      <c r="R133" t="s">
        <v>339</v>
      </c>
      <c r="S133" t="s">
        <v>339</v>
      </c>
      <c r="T133" t="s">
        <v>339</v>
      </c>
      <c r="U133" t="s">
        <v>339</v>
      </c>
      <c r="V133" t="s">
        <v>339</v>
      </c>
      <c r="W133" t="s">
        <v>339</v>
      </c>
      <c r="X133" t="s">
        <v>339</v>
      </c>
      <c r="Y133" t="s">
        <v>339</v>
      </c>
      <c r="Z133" t="s">
        <v>339</v>
      </c>
      <c r="AA133" t="s">
        <v>339</v>
      </c>
      <c r="AB133" t="s">
        <v>339</v>
      </c>
      <c r="AC133" t="s">
        <v>339</v>
      </c>
      <c r="AD133" t="s">
        <v>339</v>
      </c>
      <c r="AE133" t="s">
        <v>339</v>
      </c>
      <c r="AG133" t="s">
        <v>339</v>
      </c>
      <c r="AI133" t="s">
        <v>1149</v>
      </c>
      <c r="AO133" t="s">
        <v>899</v>
      </c>
      <c r="AP133" t="s">
        <v>899</v>
      </c>
      <c r="AQ133" t="s">
        <v>899</v>
      </c>
      <c r="AR133" t="s">
        <v>899</v>
      </c>
      <c r="AZ133" t="s">
        <v>1151</v>
      </c>
      <c r="BA133" t="s">
        <v>1151</v>
      </c>
      <c r="BB133" t="s">
        <v>1151</v>
      </c>
      <c r="BC133" t="s">
        <v>1151</v>
      </c>
      <c r="BD133" t="s">
        <v>1151</v>
      </c>
      <c r="BK133">
        <v>2</v>
      </c>
      <c r="BQ133" t="s">
        <v>2344</v>
      </c>
      <c r="BR133">
        <v>2</v>
      </c>
      <c r="BS133" t="s">
        <v>2344</v>
      </c>
      <c r="EJ133" t="s">
        <v>339</v>
      </c>
      <c r="EK133" t="s">
        <v>339</v>
      </c>
      <c r="EL133" t="s">
        <v>339</v>
      </c>
      <c r="EM133" t="s">
        <v>339</v>
      </c>
      <c r="EN133" t="s">
        <v>339</v>
      </c>
      <c r="EO133" t="s">
        <v>339</v>
      </c>
      <c r="EP133" t="s">
        <v>339</v>
      </c>
      <c r="EQ133" t="s">
        <v>339</v>
      </c>
      <c r="ER133" t="s">
        <v>339</v>
      </c>
      <c r="ET133" t="s">
        <v>899</v>
      </c>
      <c r="EU133" t="s">
        <v>899</v>
      </c>
      <c r="EX133" t="s">
        <v>339</v>
      </c>
      <c r="EY133" t="s">
        <v>339</v>
      </c>
      <c r="EZ133" t="s">
        <v>339</v>
      </c>
      <c r="FA133" t="s">
        <v>339</v>
      </c>
      <c r="GH133" t="str">
        <f t="shared" si="8"/>
        <v/>
      </c>
    </row>
    <row r="134" spans="1:190" x14ac:dyDescent="0.2">
      <c r="A134" t="str">
        <f t="shared" si="10"/>
        <v>Bergbau</v>
      </c>
      <c r="BJ134" t="s">
        <v>339</v>
      </c>
      <c r="BK134" t="s">
        <v>1149</v>
      </c>
      <c r="EH134" t="s">
        <v>339</v>
      </c>
      <c r="FE134" t="s">
        <v>339</v>
      </c>
      <c r="FF134" t="s">
        <v>339</v>
      </c>
      <c r="GH134" t="str">
        <f t="shared" si="8"/>
        <v/>
      </c>
    </row>
    <row r="135" spans="1:190" x14ac:dyDescent="0.2">
      <c r="A135" t="str">
        <f t="shared" si="10"/>
        <v>Bogenbau</v>
      </c>
      <c r="AS135">
        <v>4</v>
      </c>
      <c r="AT135">
        <v>4</v>
      </c>
      <c r="AU135">
        <v>4</v>
      </c>
      <c r="AV135">
        <v>4</v>
      </c>
      <c r="CN135" t="s">
        <v>899</v>
      </c>
      <c r="CO135" t="s">
        <v>899</v>
      </c>
      <c r="CP135" t="s">
        <v>899</v>
      </c>
      <c r="CX135" t="s">
        <v>899</v>
      </c>
      <c r="CY135" t="s">
        <v>899</v>
      </c>
      <c r="DA135" t="s">
        <v>899</v>
      </c>
      <c r="DB135" t="s">
        <v>899</v>
      </c>
      <c r="DC135" t="s">
        <v>899</v>
      </c>
      <c r="FU135" t="s">
        <v>899</v>
      </c>
      <c r="FX135" t="s">
        <v>899</v>
      </c>
      <c r="FY135" t="s">
        <v>899</v>
      </c>
      <c r="FZ135" t="s">
        <v>899</v>
      </c>
      <c r="GA135" t="s">
        <v>899</v>
      </c>
      <c r="GH135" t="str">
        <f t="shared" si="8"/>
        <v/>
      </c>
    </row>
    <row r="136" spans="1:190" x14ac:dyDescent="0.2">
      <c r="A136" t="str">
        <f t="shared" si="10"/>
        <v>Boote Fahren</v>
      </c>
      <c r="C136" t="s">
        <v>899</v>
      </c>
      <c r="D136" t="s">
        <v>899</v>
      </c>
      <c r="E136" t="s">
        <v>899</v>
      </c>
      <c r="F136" t="s">
        <v>899</v>
      </c>
      <c r="AL136">
        <v>3</v>
      </c>
      <c r="AO136" t="s">
        <v>1149</v>
      </c>
      <c r="AP136" t="s">
        <v>1152</v>
      </c>
      <c r="AQ136" t="s">
        <v>1149</v>
      </c>
      <c r="AR136" t="s">
        <v>1149</v>
      </c>
      <c r="CV136">
        <v>3</v>
      </c>
      <c r="CW136">
        <v>3</v>
      </c>
      <c r="CZ136" t="s">
        <v>4569</v>
      </c>
      <c r="ET136" t="s">
        <v>339</v>
      </c>
      <c r="EU136" t="s">
        <v>339</v>
      </c>
      <c r="GH136" t="str">
        <f t="shared" si="8"/>
        <v/>
      </c>
    </row>
    <row r="137" spans="1:190" x14ac:dyDescent="0.2">
      <c r="A137" t="str">
        <f t="shared" si="10"/>
        <v>Brauer</v>
      </c>
      <c r="CX137">
        <v>3</v>
      </c>
      <c r="CY137">
        <v>3</v>
      </c>
      <c r="CZ137" t="s">
        <v>4569</v>
      </c>
      <c r="DY137">
        <v>5</v>
      </c>
      <c r="GH137" t="str">
        <f t="shared" si="8"/>
        <v/>
      </c>
    </row>
    <row r="138" spans="1:190" x14ac:dyDescent="0.2">
      <c r="A138" t="str">
        <f t="shared" si="10"/>
        <v>Drucker</v>
      </c>
      <c r="CX138" t="s">
        <v>4569</v>
      </c>
      <c r="CY138" t="s">
        <v>4569</v>
      </c>
      <c r="CZ138" t="s">
        <v>4569</v>
      </c>
      <c r="GH138" t="str">
        <f t="shared" si="8"/>
        <v/>
      </c>
    </row>
    <row r="139" spans="1:190" x14ac:dyDescent="0.2">
      <c r="A139" t="str">
        <f t="shared" si="10"/>
        <v>Eissegler Fahren</v>
      </c>
      <c r="CX139" t="s">
        <v>4569</v>
      </c>
      <c r="CY139" t="s">
        <v>4569</v>
      </c>
      <c r="CZ139" t="s">
        <v>4569</v>
      </c>
      <c r="GH139" t="str">
        <f t="shared" ref="GH139:GH170" si="11">BM139&amp;$FH139</f>
        <v/>
      </c>
    </row>
    <row r="140" spans="1:190" x14ac:dyDescent="0.2">
      <c r="A140" t="str">
        <f t="shared" si="10"/>
        <v>Fahrzeug Lenken</v>
      </c>
      <c r="AM140">
        <v>2</v>
      </c>
      <c r="AU140">
        <v>4</v>
      </c>
      <c r="AX140">
        <v>2</v>
      </c>
      <c r="BL140" t="s">
        <v>339</v>
      </c>
      <c r="BX140">
        <v>2</v>
      </c>
      <c r="CM140">
        <v>4</v>
      </c>
      <c r="CX140" t="s">
        <v>4569</v>
      </c>
      <c r="CY140" t="s">
        <v>4569</v>
      </c>
      <c r="CZ140" t="s">
        <v>4569</v>
      </c>
      <c r="GH140" t="str">
        <f t="shared" si="11"/>
        <v/>
      </c>
    </row>
    <row r="141" spans="1:190" x14ac:dyDescent="0.2">
      <c r="A141" t="str">
        <f t="shared" si="10"/>
        <v>Falschspiel</v>
      </c>
      <c r="BQ141" t="s">
        <v>899</v>
      </c>
      <c r="BR141" t="s">
        <v>899</v>
      </c>
      <c r="BS141" t="s">
        <v>899</v>
      </c>
      <c r="BU141">
        <v>2</v>
      </c>
      <c r="CB141" t="s">
        <v>899</v>
      </c>
      <c r="CC141" t="s">
        <v>899</v>
      </c>
      <c r="CD141" t="s">
        <v>899</v>
      </c>
      <c r="CE141" t="s">
        <v>899</v>
      </c>
      <c r="CN141" t="s">
        <v>899</v>
      </c>
      <c r="CO141" t="s">
        <v>899</v>
      </c>
      <c r="CP141" t="s">
        <v>899</v>
      </c>
      <c r="CX141" t="s">
        <v>899</v>
      </c>
      <c r="CY141" t="s">
        <v>899</v>
      </c>
      <c r="EJ141" t="s">
        <v>899</v>
      </c>
      <c r="EK141" t="s">
        <v>899</v>
      </c>
      <c r="EL141" t="s">
        <v>899</v>
      </c>
      <c r="EM141" t="s">
        <v>899</v>
      </c>
      <c r="EN141" t="s">
        <v>899</v>
      </c>
      <c r="EO141" t="s">
        <v>899</v>
      </c>
      <c r="EP141" t="s">
        <v>899</v>
      </c>
      <c r="EQ141" t="s">
        <v>899</v>
      </c>
      <c r="ER141" t="s">
        <v>899</v>
      </c>
      <c r="FO141" t="s">
        <v>899</v>
      </c>
      <c r="FP141" t="s">
        <v>899</v>
      </c>
      <c r="FQ141" t="s">
        <v>899</v>
      </c>
      <c r="FR141" t="s">
        <v>899</v>
      </c>
      <c r="FU141" t="s">
        <v>899</v>
      </c>
      <c r="FX141" t="s">
        <v>899</v>
      </c>
      <c r="FY141" t="s">
        <v>899</v>
      </c>
      <c r="FZ141" t="s">
        <v>899</v>
      </c>
      <c r="GH141" t="str">
        <f t="shared" si="11"/>
        <v/>
      </c>
    </row>
    <row r="142" spans="1:190" x14ac:dyDescent="0.2">
      <c r="A142" t="str">
        <f t="shared" si="10"/>
        <v>Feinmechanik</v>
      </c>
      <c r="GH142" t="str">
        <f t="shared" si="11"/>
        <v/>
      </c>
    </row>
    <row r="143" spans="1:190" x14ac:dyDescent="0.2">
      <c r="A143" t="str">
        <f t="shared" si="10"/>
        <v>Feuersteinbearbeitung</v>
      </c>
      <c r="DF143">
        <v>1</v>
      </c>
      <c r="DW143" t="s">
        <v>339</v>
      </c>
      <c r="GH143" t="str">
        <f t="shared" si="11"/>
        <v/>
      </c>
    </row>
    <row r="144" spans="1:190" x14ac:dyDescent="0.2">
      <c r="A144" t="str">
        <f t="shared" si="10"/>
        <v>Fleischer</v>
      </c>
      <c r="DA144" t="s">
        <v>899</v>
      </c>
      <c r="DB144" t="s">
        <v>899</v>
      </c>
      <c r="DC144" t="s">
        <v>899</v>
      </c>
      <c r="DL144">
        <v>1</v>
      </c>
      <c r="DM144">
        <v>1</v>
      </c>
      <c r="DN144">
        <v>1</v>
      </c>
      <c r="DO144">
        <v>1</v>
      </c>
      <c r="FI144" t="s">
        <v>899</v>
      </c>
      <c r="FJ144" t="s">
        <v>899</v>
      </c>
      <c r="GA144" t="s">
        <v>899</v>
      </c>
      <c r="GH144" t="str">
        <f t="shared" si="11"/>
        <v/>
      </c>
    </row>
    <row r="145" spans="1:190" x14ac:dyDescent="0.2">
      <c r="A145" t="str">
        <f t="shared" si="10"/>
        <v>Gerber/Kürschner</v>
      </c>
      <c r="DA145" t="s">
        <v>899</v>
      </c>
      <c r="DB145" t="s">
        <v>899</v>
      </c>
      <c r="DC145" t="s">
        <v>899</v>
      </c>
      <c r="DK145">
        <v>2</v>
      </c>
      <c r="FI145" t="s">
        <v>899</v>
      </c>
      <c r="FJ145" t="s">
        <v>899</v>
      </c>
      <c r="GA145" t="s">
        <v>899</v>
      </c>
      <c r="GH145" t="str">
        <f t="shared" si="11"/>
        <v/>
      </c>
    </row>
    <row r="146" spans="1:190" x14ac:dyDescent="0.2">
      <c r="A146" t="str">
        <f t="shared" si="10"/>
        <v>Glaskunst</v>
      </c>
      <c r="AO146" t="s">
        <v>899</v>
      </c>
      <c r="AP146" t="s">
        <v>899</v>
      </c>
      <c r="AQ146" t="s">
        <v>899</v>
      </c>
      <c r="AR146" t="s">
        <v>899</v>
      </c>
      <c r="BR146" t="s">
        <v>4569</v>
      </c>
      <c r="BS146" t="s">
        <v>4569</v>
      </c>
      <c r="ET146" t="s">
        <v>899</v>
      </c>
      <c r="EU146" t="s">
        <v>899</v>
      </c>
      <c r="GH146" t="str">
        <f t="shared" si="11"/>
        <v/>
      </c>
    </row>
    <row r="147" spans="1:190" x14ac:dyDescent="0.2">
      <c r="A147" t="str">
        <f t="shared" si="10"/>
        <v>Grobschmied</v>
      </c>
      <c r="C147">
        <v>4</v>
      </c>
      <c r="D147">
        <v>4</v>
      </c>
      <c r="E147">
        <v>4</v>
      </c>
      <c r="F147">
        <v>4</v>
      </c>
      <c r="AO147" t="s">
        <v>899</v>
      </c>
      <c r="AP147" t="s">
        <v>899</v>
      </c>
      <c r="AQ147" t="s">
        <v>899</v>
      </c>
      <c r="AR147" t="s">
        <v>899</v>
      </c>
      <c r="BR147" t="s">
        <v>4569</v>
      </c>
      <c r="BS147" t="s">
        <v>4569</v>
      </c>
      <c r="DU147">
        <v>5</v>
      </c>
      <c r="DW147" t="s">
        <v>339</v>
      </c>
      <c r="EH147" t="s">
        <v>339</v>
      </c>
      <c r="ET147" t="s">
        <v>899</v>
      </c>
      <c r="EU147" t="s">
        <v>899</v>
      </c>
      <c r="GA147" t="s">
        <v>899</v>
      </c>
      <c r="GH147" t="str">
        <f t="shared" si="11"/>
        <v/>
      </c>
    </row>
    <row r="148" spans="1:190" x14ac:dyDescent="0.2">
      <c r="A148" t="str">
        <f t="shared" si="10"/>
        <v>Handel</v>
      </c>
      <c r="G148" t="s">
        <v>339</v>
      </c>
      <c r="BM148">
        <v>2</v>
      </c>
      <c r="BN148">
        <v>3</v>
      </c>
      <c r="BO148" t="s">
        <v>2344</v>
      </c>
      <c r="BP148">
        <v>2</v>
      </c>
      <c r="BS148" t="s">
        <v>4569</v>
      </c>
      <c r="BT148" t="s">
        <v>1149</v>
      </c>
      <c r="BU148" t="s">
        <v>1149</v>
      </c>
      <c r="BV148" t="s">
        <v>1149</v>
      </c>
      <c r="BW148" t="s">
        <v>1149</v>
      </c>
      <c r="BX148" t="s">
        <v>1152</v>
      </c>
      <c r="BY148" t="s">
        <v>1147</v>
      </c>
      <c r="BZ148" t="s">
        <v>1149</v>
      </c>
      <c r="CA148" t="s">
        <v>339</v>
      </c>
      <c r="ED148">
        <v>2</v>
      </c>
      <c r="FK148" t="s">
        <v>339</v>
      </c>
      <c r="FL148" t="s">
        <v>339</v>
      </c>
      <c r="FM148" t="s">
        <v>339</v>
      </c>
      <c r="FN148" t="s">
        <v>339</v>
      </c>
      <c r="GH148" t="str">
        <f t="shared" si="11"/>
        <v>2</v>
      </c>
    </row>
    <row r="149" spans="1:190" x14ac:dyDescent="0.2">
      <c r="A149" t="str">
        <f t="shared" si="10"/>
        <v>Hauswirtschaft</v>
      </c>
      <c r="BI149">
        <v>2</v>
      </c>
      <c r="BQ149" t="s">
        <v>339</v>
      </c>
      <c r="BR149" t="s">
        <v>339</v>
      </c>
      <c r="BS149" t="s">
        <v>339</v>
      </c>
      <c r="CG149">
        <v>2</v>
      </c>
      <c r="CI149">
        <v>2</v>
      </c>
      <c r="CX149" t="s">
        <v>1148</v>
      </c>
      <c r="CY149" t="s">
        <v>1148</v>
      </c>
      <c r="FI149" t="s">
        <v>339</v>
      </c>
      <c r="FJ149" t="s">
        <v>339</v>
      </c>
      <c r="FX149" t="s">
        <v>339</v>
      </c>
      <c r="FY149" t="s">
        <v>339</v>
      </c>
      <c r="FZ149" t="s">
        <v>339</v>
      </c>
      <c r="GH149" t="str">
        <f t="shared" si="11"/>
        <v/>
      </c>
    </row>
    <row r="150" spans="1:190" x14ac:dyDescent="0.2">
      <c r="A150" t="str">
        <f t="shared" si="10"/>
        <v>Heilkunde Gift</v>
      </c>
      <c r="H150">
        <v>1</v>
      </c>
      <c r="I150" t="s">
        <v>1150</v>
      </c>
      <c r="J150">
        <v>1</v>
      </c>
      <c r="K150" t="s">
        <v>1150</v>
      </c>
      <c r="L150" t="s">
        <v>1150</v>
      </c>
      <c r="M150" t="s">
        <v>1150</v>
      </c>
      <c r="N150" t="s">
        <v>1150</v>
      </c>
      <c r="O150" t="s">
        <v>1150</v>
      </c>
      <c r="P150" t="s">
        <v>1150</v>
      </c>
      <c r="Q150" t="s">
        <v>1150</v>
      </c>
      <c r="R150" t="s">
        <v>1150</v>
      </c>
      <c r="S150" t="s">
        <v>1150</v>
      </c>
      <c r="T150">
        <v>1</v>
      </c>
      <c r="U150">
        <v>1</v>
      </c>
      <c r="V150">
        <v>1</v>
      </c>
      <c r="W150">
        <v>1</v>
      </c>
      <c r="X150">
        <v>1</v>
      </c>
      <c r="Y150">
        <v>1</v>
      </c>
      <c r="Z150">
        <v>1</v>
      </c>
      <c r="AA150">
        <v>1</v>
      </c>
      <c r="AB150">
        <v>1</v>
      </c>
      <c r="AC150">
        <v>1</v>
      </c>
      <c r="AD150">
        <v>1</v>
      </c>
      <c r="AE150">
        <v>1</v>
      </c>
      <c r="AI150">
        <v>1</v>
      </c>
      <c r="AJ150">
        <v>2</v>
      </c>
      <c r="AK150">
        <v>2</v>
      </c>
      <c r="AL150">
        <v>2</v>
      </c>
      <c r="AM150">
        <v>1</v>
      </c>
      <c r="AY150">
        <v>2</v>
      </c>
      <c r="BL150" t="s">
        <v>899</v>
      </c>
      <c r="BQ150" t="s">
        <v>2762</v>
      </c>
      <c r="BR150">
        <v>3</v>
      </c>
      <c r="BS150">
        <v>4</v>
      </c>
      <c r="BZ150">
        <v>1</v>
      </c>
      <c r="CK150">
        <v>3</v>
      </c>
      <c r="CQ150">
        <v>1</v>
      </c>
      <c r="CR150">
        <v>1</v>
      </c>
      <c r="CS150">
        <v>1</v>
      </c>
      <c r="CT150">
        <v>1</v>
      </c>
      <c r="DA150" t="s">
        <v>339</v>
      </c>
      <c r="DB150" t="s">
        <v>339</v>
      </c>
      <c r="DC150" t="s">
        <v>339</v>
      </c>
      <c r="DD150" t="s">
        <v>339</v>
      </c>
      <c r="DG150">
        <v>2</v>
      </c>
      <c r="DK150">
        <v>2</v>
      </c>
      <c r="DL150">
        <v>4</v>
      </c>
      <c r="DM150">
        <v>4</v>
      </c>
      <c r="DN150">
        <v>4</v>
      </c>
      <c r="DO150">
        <v>4</v>
      </c>
      <c r="DP150">
        <v>3</v>
      </c>
      <c r="DY150">
        <v>3</v>
      </c>
      <c r="DZ150">
        <v>4</v>
      </c>
      <c r="EA150">
        <v>4</v>
      </c>
      <c r="EB150">
        <v>4</v>
      </c>
      <c r="EC150">
        <v>4</v>
      </c>
      <c r="ED150">
        <v>4</v>
      </c>
      <c r="EE150">
        <v>4</v>
      </c>
      <c r="EF150">
        <v>4</v>
      </c>
      <c r="EJ150" t="s">
        <v>339</v>
      </c>
      <c r="EO150" t="s">
        <v>339</v>
      </c>
      <c r="GH150" t="str">
        <f t="shared" si="11"/>
        <v/>
      </c>
    </row>
    <row r="151" spans="1:190" x14ac:dyDescent="0.2">
      <c r="A151" t="str">
        <f t="shared" si="10"/>
        <v>Heilkunde Krankheiten</v>
      </c>
      <c r="J151" t="s">
        <v>1150</v>
      </c>
      <c r="T151" t="s">
        <v>1150</v>
      </c>
      <c r="U151" t="s">
        <v>1150</v>
      </c>
      <c r="V151" t="s">
        <v>1150</v>
      </c>
      <c r="W151" t="s">
        <v>1150</v>
      </c>
      <c r="X151" t="s">
        <v>1150</v>
      </c>
      <c r="Y151" t="s">
        <v>1150</v>
      </c>
      <c r="Z151" t="s">
        <v>1150</v>
      </c>
      <c r="AA151" t="s">
        <v>1150</v>
      </c>
      <c r="AB151" t="s">
        <v>1150</v>
      </c>
      <c r="AC151" t="s">
        <v>1150</v>
      </c>
      <c r="AD151" t="s">
        <v>1150</v>
      </c>
      <c r="AE151" t="s">
        <v>1150</v>
      </c>
      <c r="AG151" t="s">
        <v>339</v>
      </c>
      <c r="AI151" t="s">
        <v>1148</v>
      </c>
      <c r="AO151">
        <v>1</v>
      </c>
      <c r="AP151">
        <v>1</v>
      </c>
      <c r="AQ151">
        <v>1</v>
      </c>
      <c r="AR151">
        <v>1</v>
      </c>
      <c r="AY151">
        <v>2</v>
      </c>
      <c r="BH151">
        <v>2</v>
      </c>
      <c r="BI151">
        <v>2</v>
      </c>
      <c r="BL151" t="s">
        <v>899</v>
      </c>
      <c r="BQ151" t="s">
        <v>2038</v>
      </c>
      <c r="BR151" t="s">
        <v>1152</v>
      </c>
      <c r="BS151" t="s">
        <v>2038</v>
      </c>
      <c r="CX151" t="s">
        <v>1151</v>
      </c>
      <c r="CY151" t="s">
        <v>1151</v>
      </c>
      <c r="DA151" t="s">
        <v>2038</v>
      </c>
      <c r="DB151" t="s">
        <v>2038</v>
      </c>
      <c r="DC151" t="s">
        <v>2038</v>
      </c>
      <c r="DD151" t="s">
        <v>339</v>
      </c>
      <c r="DG151">
        <v>4</v>
      </c>
      <c r="DK151">
        <v>3</v>
      </c>
      <c r="DP151">
        <v>3</v>
      </c>
      <c r="DS151">
        <v>3</v>
      </c>
      <c r="DY151">
        <v>3</v>
      </c>
      <c r="DZ151">
        <v>3</v>
      </c>
      <c r="EA151">
        <v>3</v>
      </c>
      <c r="EB151">
        <v>3</v>
      </c>
      <c r="EC151">
        <v>3</v>
      </c>
      <c r="ED151">
        <v>3</v>
      </c>
      <c r="EE151">
        <v>3</v>
      </c>
      <c r="EF151">
        <v>3</v>
      </c>
      <c r="EK151" t="s">
        <v>339</v>
      </c>
      <c r="EL151" t="s">
        <v>339</v>
      </c>
      <c r="EM151" t="s">
        <v>339</v>
      </c>
      <c r="EN151" t="s">
        <v>339</v>
      </c>
      <c r="EP151" t="s">
        <v>339</v>
      </c>
      <c r="EQ151" t="s">
        <v>339</v>
      </c>
      <c r="ER151" t="s">
        <v>339</v>
      </c>
      <c r="FI151" t="s">
        <v>339</v>
      </c>
      <c r="FJ151" t="s">
        <v>339</v>
      </c>
      <c r="FX151" t="s">
        <v>339</v>
      </c>
      <c r="FY151" t="s">
        <v>339</v>
      </c>
      <c r="FZ151" t="s">
        <v>339</v>
      </c>
      <c r="GH151" t="str">
        <f t="shared" si="11"/>
        <v/>
      </c>
    </row>
    <row r="152" spans="1:190" x14ac:dyDescent="0.2">
      <c r="A152" t="str">
        <f t="shared" si="10"/>
        <v>Heilkunde Seele</v>
      </c>
      <c r="H152">
        <v>3</v>
      </c>
      <c r="I152" t="s">
        <v>1149</v>
      </c>
      <c r="J152" t="s">
        <v>1149</v>
      </c>
      <c r="K152" t="s">
        <v>1149</v>
      </c>
      <c r="L152" t="s">
        <v>1148</v>
      </c>
      <c r="M152" t="s">
        <v>1148</v>
      </c>
      <c r="N152" t="s">
        <v>1148</v>
      </c>
      <c r="O152" t="s">
        <v>1149</v>
      </c>
      <c r="P152" t="s">
        <v>1149</v>
      </c>
      <c r="Q152" t="s">
        <v>1149</v>
      </c>
      <c r="R152" t="s">
        <v>1149</v>
      </c>
      <c r="S152" t="s">
        <v>1149</v>
      </c>
      <c r="T152" t="s">
        <v>1149</v>
      </c>
      <c r="U152" t="s">
        <v>1148</v>
      </c>
      <c r="V152" t="s">
        <v>1148</v>
      </c>
      <c r="W152" t="s">
        <v>1148</v>
      </c>
      <c r="X152" t="s">
        <v>1148</v>
      </c>
      <c r="Y152" t="s">
        <v>1149</v>
      </c>
      <c r="Z152" t="s">
        <v>1149</v>
      </c>
      <c r="AA152" t="s">
        <v>1149</v>
      </c>
      <c r="AB152" t="s">
        <v>1149</v>
      </c>
      <c r="AC152" t="s">
        <v>1149</v>
      </c>
      <c r="AD152" t="s">
        <v>1149</v>
      </c>
      <c r="AE152" t="s">
        <v>1149</v>
      </c>
      <c r="AG152" t="s">
        <v>1149</v>
      </c>
      <c r="AI152" t="s">
        <v>1149</v>
      </c>
      <c r="BL152" t="s">
        <v>899</v>
      </c>
      <c r="BQ152">
        <v>2</v>
      </c>
      <c r="BR152">
        <v>3</v>
      </c>
      <c r="BS152" t="s">
        <v>2344</v>
      </c>
      <c r="CB152">
        <v>2</v>
      </c>
      <c r="CE152">
        <v>2</v>
      </c>
      <c r="CF152" t="s">
        <v>2762</v>
      </c>
      <c r="CG152">
        <v>5</v>
      </c>
      <c r="CH152">
        <v>3</v>
      </c>
      <c r="CI152">
        <v>3</v>
      </c>
      <c r="CL152">
        <v>2</v>
      </c>
      <c r="CM152">
        <v>2</v>
      </c>
      <c r="CV152" t="s">
        <v>4569</v>
      </c>
      <c r="CW152">
        <v>5</v>
      </c>
      <c r="CX152" t="s">
        <v>1149</v>
      </c>
      <c r="CY152" t="s">
        <v>1149</v>
      </c>
      <c r="DA152" t="s">
        <v>339</v>
      </c>
      <c r="DB152" t="s">
        <v>339</v>
      </c>
      <c r="DC152" t="s">
        <v>339</v>
      </c>
      <c r="DD152" t="s">
        <v>339</v>
      </c>
      <c r="DF152">
        <v>4</v>
      </c>
      <c r="DG152">
        <v>3</v>
      </c>
      <c r="DK152">
        <v>3</v>
      </c>
      <c r="DP152">
        <v>2</v>
      </c>
      <c r="DQ152">
        <v>2</v>
      </c>
      <c r="DR152">
        <v>2</v>
      </c>
      <c r="DS152">
        <v>2</v>
      </c>
      <c r="DT152">
        <v>2</v>
      </c>
      <c r="DU152">
        <v>2</v>
      </c>
      <c r="DX152">
        <v>3</v>
      </c>
      <c r="DZ152">
        <v>3</v>
      </c>
      <c r="EA152">
        <v>3</v>
      </c>
      <c r="EB152">
        <v>3</v>
      </c>
      <c r="EC152">
        <v>3</v>
      </c>
      <c r="ED152">
        <v>3</v>
      </c>
      <c r="EE152">
        <v>3</v>
      </c>
      <c r="EF152">
        <v>3</v>
      </c>
      <c r="EJ152" t="s">
        <v>339</v>
      </c>
      <c r="EK152" t="s">
        <v>339</v>
      </c>
      <c r="EL152" t="s">
        <v>339</v>
      </c>
      <c r="EM152" t="s">
        <v>339</v>
      </c>
      <c r="EN152" t="s">
        <v>339</v>
      </c>
      <c r="EO152" t="s">
        <v>339</v>
      </c>
      <c r="EP152" t="s">
        <v>339</v>
      </c>
      <c r="EQ152" t="s">
        <v>339</v>
      </c>
      <c r="ER152" t="s">
        <v>339</v>
      </c>
      <c r="FO152" t="s">
        <v>339</v>
      </c>
      <c r="FP152" t="s">
        <v>339</v>
      </c>
      <c r="FQ152" t="s">
        <v>339</v>
      </c>
      <c r="FR152" t="s">
        <v>339</v>
      </c>
      <c r="FX152" t="s">
        <v>339</v>
      </c>
      <c r="FY152" t="s">
        <v>339</v>
      </c>
      <c r="FZ152" t="s">
        <v>339</v>
      </c>
      <c r="GH152" t="str">
        <f t="shared" si="11"/>
        <v/>
      </c>
    </row>
    <row r="153" spans="1:190" x14ac:dyDescent="0.2">
      <c r="A153" t="str">
        <f t="shared" si="10"/>
        <v>Heilkunde Wunden</v>
      </c>
      <c r="O153">
        <v>2</v>
      </c>
      <c r="P153">
        <v>2</v>
      </c>
      <c r="Q153">
        <v>2</v>
      </c>
      <c r="Y153">
        <v>2</v>
      </c>
      <c r="Z153">
        <v>2</v>
      </c>
      <c r="AA153">
        <v>2</v>
      </c>
      <c r="AB153">
        <v>2</v>
      </c>
      <c r="AF153">
        <v>2</v>
      </c>
      <c r="AG153">
        <v>2</v>
      </c>
      <c r="AH153">
        <v>3</v>
      </c>
      <c r="AJ153">
        <v>2</v>
      </c>
      <c r="AK153">
        <v>2</v>
      </c>
      <c r="AL153">
        <v>2</v>
      </c>
      <c r="AN153">
        <v>2</v>
      </c>
      <c r="AO153">
        <v>1</v>
      </c>
      <c r="AP153">
        <v>1</v>
      </c>
      <c r="AQ153">
        <v>1</v>
      </c>
      <c r="AR153">
        <v>1</v>
      </c>
      <c r="AS153">
        <v>2</v>
      </c>
      <c r="AT153">
        <v>2</v>
      </c>
      <c r="AU153">
        <v>2</v>
      </c>
      <c r="AV153">
        <v>2</v>
      </c>
      <c r="AW153">
        <v>3</v>
      </c>
      <c r="AX153">
        <v>4</v>
      </c>
      <c r="AY153">
        <v>4</v>
      </c>
      <c r="BD153">
        <v>1</v>
      </c>
      <c r="BG153">
        <v>1</v>
      </c>
      <c r="BH153">
        <v>3</v>
      </c>
      <c r="BI153">
        <v>3</v>
      </c>
      <c r="BJ153" t="s">
        <v>4569</v>
      </c>
      <c r="BK153" t="s">
        <v>4569</v>
      </c>
      <c r="BL153" t="s">
        <v>4571</v>
      </c>
      <c r="BQ153" t="s">
        <v>1148</v>
      </c>
      <c r="BR153" t="s">
        <v>1148</v>
      </c>
      <c r="BS153" t="s">
        <v>1152</v>
      </c>
      <c r="CC153" t="s">
        <v>2344</v>
      </c>
      <c r="CD153" t="s">
        <v>2762</v>
      </c>
      <c r="CE153" t="s">
        <v>4569</v>
      </c>
      <c r="CF153" t="s">
        <v>4569</v>
      </c>
      <c r="CJ153">
        <v>3</v>
      </c>
      <c r="CK153">
        <v>3</v>
      </c>
      <c r="CL153" t="s">
        <v>4569</v>
      </c>
      <c r="CM153" t="s">
        <v>4569</v>
      </c>
      <c r="CN153">
        <v>4</v>
      </c>
      <c r="CO153">
        <v>3</v>
      </c>
      <c r="CP153">
        <v>3</v>
      </c>
      <c r="CQ153">
        <v>2</v>
      </c>
      <c r="CR153">
        <v>2</v>
      </c>
      <c r="CS153">
        <v>1</v>
      </c>
      <c r="CT153">
        <v>1</v>
      </c>
      <c r="CU153">
        <v>3</v>
      </c>
      <c r="CV153">
        <v>2</v>
      </c>
      <c r="CW153">
        <v>4</v>
      </c>
      <c r="CX153">
        <v>2</v>
      </c>
      <c r="CY153">
        <v>2</v>
      </c>
      <c r="CZ153">
        <v>3</v>
      </c>
      <c r="DA153" t="s">
        <v>1147</v>
      </c>
      <c r="DB153" t="s">
        <v>1147</v>
      </c>
      <c r="DC153" t="s">
        <v>1147</v>
      </c>
      <c r="DD153" t="s">
        <v>339</v>
      </c>
      <c r="DF153">
        <v>3</v>
      </c>
      <c r="DG153">
        <v>4</v>
      </c>
      <c r="DH153">
        <v>3</v>
      </c>
      <c r="DI153">
        <v>3</v>
      </c>
      <c r="DJ153">
        <v>3</v>
      </c>
      <c r="DK153">
        <v>2</v>
      </c>
      <c r="DL153">
        <v>2</v>
      </c>
      <c r="DM153">
        <v>2</v>
      </c>
      <c r="DN153">
        <v>2</v>
      </c>
      <c r="DO153">
        <v>2</v>
      </c>
      <c r="DP153">
        <v>4</v>
      </c>
      <c r="DQ153">
        <v>2</v>
      </c>
      <c r="DR153">
        <v>2</v>
      </c>
      <c r="DS153">
        <v>5</v>
      </c>
      <c r="DT153">
        <v>2</v>
      </c>
      <c r="DU153">
        <v>2</v>
      </c>
      <c r="DY153">
        <v>5</v>
      </c>
      <c r="DZ153">
        <v>4</v>
      </c>
      <c r="EA153">
        <v>4</v>
      </c>
      <c r="EB153">
        <v>4</v>
      </c>
      <c r="EC153">
        <v>4</v>
      </c>
      <c r="ED153">
        <v>4</v>
      </c>
      <c r="EE153">
        <v>4</v>
      </c>
      <c r="EF153">
        <v>4</v>
      </c>
      <c r="FG153">
        <v>1</v>
      </c>
      <c r="FI153" t="s">
        <v>339</v>
      </c>
      <c r="FJ153" t="s">
        <v>339</v>
      </c>
      <c r="FU153" t="s">
        <v>339</v>
      </c>
      <c r="GA153" t="s">
        <v>339</v>
      </c>
      <c r="GH153" t="str">
        <f t="shared" si="11"/>
        <v/>
      </c>
    </row>
    <row r="154" spans="1:190" x14ac:dyDescent="0.2">
      <c r="A154" t="str">
        <f t="shared" si="10"/>
        <v>Holzbearbeitung</v>
      </c>
      <c r="C154">
        <v>3</v>
      </c>
      <c r="D154">
        <v>3</v>
      </c>
      <c r="E154">
        <v>3</v>
      </c>
      <c r="F154">
        <v>3</v>
      </c>
      <c r="G154" t="s">
        <v>2990</v>
      </c>
      <c r="O154">
        <v>1</v>
      </c>
      <c r="P154">
        <v>1</v>
      </c>
      <c r="Q154">
        <v>1</v>
      </c>
      <c r="X154">
        <v>1</v>
      </c>
      <c r="Y154">
        <v>1</v>
      </c>
      <c r="Z154">
        <v>1</v>
      </c>
      <c r="AA154">
        <v>1</v>
      </c>
      <c r="AB154">
        <v>2</v>
      </c>
      <c r="AE154">
        <v>1</v>
      </c>
      <c r="AH154">
        <v>2</v>
      </c>
      <c r="AN154">
        <v>3</v>
      </c>
      <c r="AO154" t="s">
        <v>4569</v>
      </c>
      <c r="AP154" t="s">
        <v>4569</v>
      </c>
      <c r="AQ154" t="s">
        <v>4569</v>
      </c>
      <c r="AR154" t="s">
        <v>4569</v>
      </c>
      <c r="AS154">
        <v>4</v>
      </c>
      <c r="AT154">
        <v>4</v>
      </c>
      <c r="AU154">
        <v>4</v>
      </c>
      <c r="AV154">
        <v>4</v>
      </c>
      <c r="AW154">
        <v>3</v>
      </c>
      <c r="AY154">
        <v>2</v>
      </c>
      <c r="BJ154">
        <v>4</v>
      </c>
      <c r="BK154">
        <v>2</v>
      </c>
      <c r="BS154">
        <v>3</v>
      </c>
      <c r="CQ154">
        <v>1</v>
      </c>
      <c r="CR154">
        <v>1</v>
      </c>
      <c r="CS154">
        <v>1</v>
      </c>
      <c r="CT154">
        <v>1</v>
      </c>
      <c r="CV154">
        <v>2</v>
      </c>
      <c r="CW154">
        <v>2</v>
      </c>
      <c r="CX154">
        <v>1</v>
      </c>
      <c r="CY154">
        <v>1</v>
      </c>
      <c r="DF154">
        <v>2</v>
      </c>
      <c r="DI154">
        <v>1</v>
      </c>
      <c r="DK154">
        <v>4</v>
      </c>
      <c r="DQ154">
        <v>1</v>
      </c>
      <c r="DR154">
        <v>1</v>
      </c>
      <c r="DS154">
        <v>1</v>
      </c>
      <c r="DT154">
        <v>1</v>
      </c>
      <c r="DU154">
        <v>1</v>
      </c>
      <c r="DW154" t="s">
        <v>339</v>
      </c>
      <c r="DX154">
        <v>3</v>
      </c>
      <c r="DY154">
        <v>2</v>
      </c>
      <c r="DZ154">
        <v>3</v>
      </c>
      <c r="EA154">
        <v>3</v>
      </c>
      <c r="EB154">
        <v>3</v>
      </c>
      <c r="EC154">
        <v>3</v>
      </c>
      <c r="ED154">
        <v>3</v>
      </c>
      <c r="EE154">
        <v>3</v>
      </c>
      <c r="EF154">
        <v>3</v>
      </c>
      <c r="EH154" t="s">
        <v>339</v>
      </c>
      <c r="GH154" t="str">
        <f t="shared" si="11"/>
        <v/>
      </c>
    </row>
    <row r="155" spans="1:190" x14ac:dyDescent="0.2">
      <c r="A155" t="str">
        <f t="shared" si="10"/>
        <v>Hundeschlitten Fahren</v>
      </c>
      <c r="GH155" t="str">
        <f t="shared" si="11"/>
        <v/>
      </c>
    </row>
    <row r="156" spans="1:190" x14ac:dyDescent="0.2">
      <c r="A156" t="str">
        <f t="shared" si="10"/>
        <v>Instrumentenbauer</v>
      </c>
      <c r="G156" t="s">
        <v>339</v>
      </c>
      <c r="I156" t="s">
        <v>899</v>
      </c>
      <c r="J156" t="s">
        <v>899</v>
      </c>
      <c r="K156" t="s">
        <v>899</v>
      </c>
      <c r="L156" t="s">
        <v>899</v>
      </c>
      <c r="M156" t="s">
        <v>899</v>
      </c>
      <c r="N156" t="s">
        <v>899</v>
      </c>
      <c r="O156" t="s">
        <v>899</v>
      </c>
      <c r="P156" t="s">
        <v>899</v>
      </c>
      <c r="Q156" t="s">
        <v>899</v>
      </c>
      <c r="R156" t="s">
        <v>899</v>
      </c>
      <c r="S156" t="s">
        <v>899</v>
      </c>
      <c r="T156" t="s">
        <v>899</v>
      </c>
      <c r="U156" t="s">
        <v>899</v>
      </c>
      <c r="V156" t="s">
        <v>899</v>
      </c>
      <c r="W156" t="s">
        <v>899</v>
      </c>
      <c r="X156" t="s">
        <v>899</v>
      </c>
      <c r="Y156" t="s">
        <v>899</v>
      </c>
      <c r="Z156" t="s">
        <v>899</v>
      </c>
      <c r="AA156" t="s">
        <v>899</v>
      </c>
      <c r="AB156" t="s">
        <v>899</v>
      </c>
      <c r="AC156" t="s">
        <v>899</v>
      </c>
      <c r="AD156" t="s">
        <v>899</v>
      </c>
      <c r="AE156" t="s">
        <v>899</v>
      </c>
      <c r="AG156" t="s">
        <v>899</v>
      </c>
      <c r="AI156" t="s">
        <v>899</v>
      </c>
      <c r="EJ156" t="s">
        <v>899</v>
      </c>
      <c r="EK156" t="s">
        <v>899</v>
      </c>
      <c r="EL156" t="s">
        <v>899</v>
      </c>
      <c r="EM156" t="s">
        <v>899</v>
      </c>
      <c r="EN156" t="s">
        <v>899</v>
      </c>
      <c r="EO156" t="s">
        <v>899</v>
      </c>
      <c r="EP156" t="s">
        <v>899</v>
      </c>
      <c r="EQ156" t="s">
        <v>899</v>
      </c>
      <c r="ER156" t="s">
        <v>899</v>
      </c>
      <c r="GH156" t="str">
        <f t="shared" si="11"/>
        <v/>
      </c>
    </row>
    <row r="157" spans="1:190" x14ac:dyDescent="0.2">
      <c r="A157" t="str">
        <f t="shared" si="10"/>
        <v>Kapellmeister</v>
      </c>
      <c r="EJ157" t="s">
        <v>899</v>
      </c>
      <c r="EK157" t="s">
        <v>899</v>
      </c>
      <c r="EL157" t="s">
        <v>899</v>
      </c>
      <c r="EM157" t="s">
        <v>899</v>
      </c>
      <c r="EN157" t="s">
        <v>899</v>
      </c>
      <c r="EO157" t="s">
        <v>899</v>
      </c>
      <c r="EP157" t="s">
        <v>899</v>
      </c>
      <c r="EQ157" t="s">
        <v>899</v>
      </c>
      <c r="ER157" t="s">
        <v>899</v>
      </c>
      <c r="GH157" t="str">
        <f t="shared" si="11"/>
        <v/>
      </c>
    </row>
    <row r="158" spans="1:190" x14ac:dyDescent="0.2">
      <c r="A158" t="str">
        <f t="shared" si="10"/>
        <v>Kartographie</v>
      </c>
      <c r="G158" t="s">
        <v>2038</v>
      </c>
      <c r="BQ158" t="s">
        <v>4569</v>
      </c>
      <c r="BR158" t="s">
        <v>4569</v>
      </c>
      <c r="EI158" t="s">
        <v>339</v>
      </c>
      <c r="FH158" t="s">
        <v>339</v>
      </c>
      <c r="GH158" t="str">
        <f t="shared" si="11"/>
        <v>M</v>
      </c>
    </row>
    <row r="159" spans="1:190" x14ac:dyDescent="0.2">
      <c r="A159" t="str">
        <f t="shared" si="10"/>
        <v>Kochen</v>
      </c>
      <c r="F159">
        <v>1</v>
      </c>
      <c r="G159" t="s">
        <v>2344</v>
      </c>
      <c r="H159">
        <v>2</v>
      </c>
      <c r="I159">
        <v>4</v>
      </c>
      <c r="J159">
        <v>2</v>
      </c>
      <c r="K159">
        <v>4</v>
      </c>
      <c r="L159">
        <v>4</v>
      </c>
      <c r="M159">
        <v>4</v>
      </c>
      <c r="N159">
        <v>4</v>
      </c>
      <c r="O159">
        <v>4</v>
      </c>
      <c r="P159">
        <v>4</v>
      </c>
      <c r="Q159">
        <v>4</v>
      </c>
      <c r="R159">
        <v>4</v>
      </c>
      <c r="S159">
        <v>4</v>
      </c>
      <c r="T159">
        <v>2</v>
      </c>
      <c r="U159">
        <v>2</v>
      </c>
      <c r="V159">
        <v>2</v>
      </c>
      <c r="W159">
        <v>2</v>
      </c>
      <c r="X159">
        <v>3</v>
      </c>
      <c r="Y159">
        <v>2</v>
      </c>
      <c r="Z159">
        <v>2</v>
      </c>
      <c r="AA159">
        <v>2</v>
      </c>
      <c r="AB159">
        <v>3</v>
      </c>
      <c r="AC159">
        <v>2</v>
      </c>
      <c r="AD159">
        <v>2</v>
      </c>
      <c r="AE159">
        <v>3</v>
      </c>
      <c r="AI159">
        <v>2</v>
      </c>
      <c r="AN159">
        <v>3</v>
      </c>
      <c r="AO159" t="s">
        <v>899</v>
      </c>
      <c r="AP159" t="s">
        <v>899</v>
      </c>
      <c r="AQ159" t="s">
        <v>899</v>
      </c>
      <c r="AR159" t="s">
        <v>899</v>
      </c>
      <c r="AS159">
        <v>2</v>
      </c>
      <c r="AT159">
        <v>2</v>
      </c>
      <c r="AU159">
        <v>2</v>
      </c>
      <c r="AV159">
        <v>2</v>
      </c>
      <c r="AY159">
        <v>2</v>
      </c>
      <c r="BD159">
        <v>1</v>
      </c>
      <c r="BM159" t="s">
        <v>4569</v>
      </c>
      <c r="BN159" t="s">
        <v>4569</v>
      </c>
      <c r="BO159" t="s">
        <v>4569</v>
      </c>
      <c r="BQ159" t="s">
        <v>1149</v>
      </c>
      <c r="BR159" t="s">
        <v>1152</v>
      </c>
      <c r="BS159" t="s">
        <v>1149</v>
      </c>
      <c r="CH159">
        <v>3</v>
      </c>
      <c r="CQ159">
        <v>2</v>
      </c>
      <c r="CR159">
        <v>2</v>
      </c>
      <c r="CS159">
        <v>1</v>
      </c>
      <c r="CT159">
        <v>1</v>
      </c>
      <c r="CX159" t="s">
        <v>1147</v>
      </c>
      <c r="CY159" t="s">
        <v>1147</v>
      </c>
      <c r="CZ159">
        <v>1</v>
      </c>
      <c r="DA159">
        <v>1</v>
      </c>
      <c r="DB159">
        <v>1</v>
      </c>
      <c r="DC159">
        <v>1</v>
      </c>
      <c r="DF159">
        <v>3</v>
      </c>
      <c r="DG159">
        <v>3</v>
      </c>
      <c r="DH159">
        <v>1</v>
      </c>
      <c r="DI159">
        <v>2</v>
      </c>
      <c r="DJ159">
        <v>1</v>
      </c>
      <c r="DK159">
        <v>2</v>
      </c>
      <c r="DO159">
        <v>1</v>
      </c>
      <c r="DP159">
        <v>3</v>
      </c>
      <c r="DS159">
        <v>2</v>
      </c>
      <c r="DX159">
        <v>2</v>
      </c>
      <c r="DY159">
        <v>4</v>
      </c>
      <c r="DZ159">
        <v>4</v>
      </c>
      <c r="EA159">
        <v>4</v>
      </c>
      <c r="EB159">
        <v>4</v>
      </c>
      <c r="EC159">
        <v>4</v>
      </c>
      <c r="ED159">
        <v>4</v>
      </c>
      <c r="EE159">
        <v>4</v>
      </c>
      <c r="EF159">
        <v>4</v>
      </c>
      <c r="ET159" t="s">
        <v>899</v>
      </c>
      <c r="EU159" t="s">
        <v>899</v>
      </c>
      <c r="FI159" t="s">
        <v>339</v>
      </c>
      <c r="FJ159" t="s">
        <v>339</v>
      </c>
      <c r="FX159" t="s">
        <v>339</v>
      </c>
      <c r="FY159" t="s">
        <v>339</v>
      </c>
      <c r="FZ159" t="s">
        <v>339</v>
      </c>
      <c r="GH159" t="str">
        <f t="shared" si="11"/>
        <v/>
      </c>
    </row>
    <row r="160" spans="1:190" x14ac:dyDescent="0.2">
      <c r="A160" t="str">
        <f t="shared" si="10"/>
        <v>Kristallzüchter</v>
      </c>
      <c r="BJ160" t="s">
        <v>4569</v>
      </c>
      <c r="BK160" t="s">
        <v>4569</v>
      </c>
      <c r="GH160" t="str">
        <f t="shared" si="11"/>
        <v/>
      </c>
    </row>
    <row r="161" spans="1:190" x14ac:dyDescent="0.2">
      <c r="A161" t="str">
        <f t="shared" si="10"/>
        <v>Lederarbeiten</v>
      </c>
      <c r="C161" t="s">
        <v>2762</v>
      </c>
      <c r="D161" t="s">
        <v>2762</v>
      </c>
      <c r="E161" t="s">
        <v>2762</v>
      </c>
      <c r="F161" t="s">
        <v>2762</v>
      </c>
      <c r="X161">
        <v>1</v>
      </c>
      <c r="AB161">
        <v>1</v>
      </c>
      <c r="AE161">
        <v>1</v>
      </c>
      <c r="AN161">
        <v>3</v>
      </c>
      <c r="AS161">
        <v>3</v>
      </c>
      <c r="AT161">
        <v>3</v>
      </c>
      <c r="AU161">
        <v>3</v>
      </c>
      <c r="AV161">
        <v>3</v>
      </c>
      <c r="AW161">
        <v>3</v>
      </c>
      <c r="AX161">
        <v>1</v>
      </c>
      <c r="AY161">
        <v>2</v>
      </c>
      <c r="BD161">
        <v>1</v>
      </c>
      <c r="BH161">
        <v>3</v>
      </c>
      <c r="BI161">
        <v>3</v>
      </c>
      <c r="BJ161">
        <v>4</v>
      </c>
      <c r="BK161">
        <v>2</v>
      </c>
      <c r="CC161" t="s">
        <v>2990</v>
      </c>
      <c r="CD161" t="s">
        <v>2990</v>
      </c>
      <c r="CN161">
        <v>2</v>
      </c>
      <c r="CO161">
        <v>2</v>
      </c>
      <c r="CQ161">
        <v>1</v>
      </c>
      <c r="CR161">
        <v>1</v>
      </c>
      <c r="CS161">
        <v>1</v>
      </c>
      <c r="CT161">
        <v>1</v>
      </c>
      <c r="CU161">
        <v>1</v>
      </c>
      <c r="CV161">
        <v>2</v>
      </c>
      <c r="CW161">
        <v>2</v>
      </c>
      <c r="CZ161">
        <v>1</v>
      </c>
      <c r="DA161" t="s">
        <v>4569</v>
      </c>
      <c r="DB161" t="s">
        <v>4569</v>
      </c>
      <c r="DC161" t="s">
        <v>4569</v>
      </c>
      <c r="DI161">
        <v>1</v>
      </c>
      <c r="DQ161">
        <v>2</v>
      </c>
      <c r="DR161">
        <v>2</v>
      </c>
      <c r="DS161">
        <v>2</v>
      </c>
      <c r="DT161">
        <v>2</v>
      </c>
      <c r="DU161">
        <v>2</v>
      </c>
      <c r="DW161" t="s">
        <v>339</v>
      </c>
      <c r="DZ161">
        <v>2</v>
      </c>
      <c r="EA161">
        <v>2</v>
      </c>
      <c r="EB161">
        <v>2</v>
      </c>
      <c r="EC161">
        <v>2</v>
      </c>
      <c r="ED161">
        <v>2</v>
      </c>
      <c r="EE161">
        <v>2</v>
      </c>
      <c r="EF161">
        <v>2</v>
      </c>
      <c r="GH161" t="str">
        <f t="shared" si="11"/>
        <v/>
      </c>
    </row>
    <row r="162" spans="1:190" x14ac:dyDescent="0.2">
      <c r="A162" t="str">
        <f t="shared" si="10"/>
        <v>Malen/Zeichnen</v>
      </c>
      <c r="C162" t="s">
        <v>2327</v>
      </c>
      <c r="D162" t="s">
        <v>2327</v>
      </c>
      <c r="E162" t="s">
        <v>2327</v>
      </c>
      <c r="F162" t="s">
        <v>2327</v>
      </c>
      <c r="G162" t="s">
        <v>2327</v>
      </c>
      <c r="H162">
        <v>2</v>
      </c>
      <c r="I162">
        <v>2</v>
      </c>
      <c r="J162">
        <v>4</v>
      </c>
      <c r="K162">
        <v>2</v>
      </c>
      <c r="L162">
        <v>2</v>
      </c>
      <c r="M162">
        <v>2</v>
      </c>
      <c r="N162">
        <v>2</v>
      </c>
      <c r="O162">
        <v>2</v>
      </c>
      <c r="P162">
        <v>2</v>
      </c>
      <c r="Q162">
        <v>2</v>
      </c>
      <c r="R162">
        <v>2</v>
      </c>
      <c r="S162">
        <v>2</v>
      </c>
      <c r="T162">
        <v>4</v>
      </c>
      <c r="U162">
        <v>4</v>
      </c>
      <c r="V162">
        <v>4</v>
      </c>
      <c r="W162">
        <v>4</v>
      </c>
      <c r="X162">
        <v>4</v>
      </c>
      <c r="Y162">
        <v>4</v>
      </c>
      <c r="Z162">
        <v>4</v>
      </c>
      <c r="AA162">
        <v>4</v>
      </c>
      <c r="AB162">
        <v>4</v>
      </c>
      <c r="AC162">
        <v>4</v>
      </c>
      <c r="AD162">
        <v>4</v>
      </c>
      <c r="AE162">
        <v>4</v>
      </c>
      <c r="AG162">
        <v>4</v>
      </c>
      <c r="AI162">
        <v>4</v>
      </c>
      <c r="AN162">
        <v>4</v>
      </c>
      <c r="AZ162">
        <v>3</v>
      </c>
      <c r="BA162">
        <v>3</v>
      </c>
      <c r="BB162">
        <v>3</v>
      </c>
      <c r="BC162">
        <v>3</v>
      </c>
      <c r="BD162">
        <v>3</v>
      </c>
      <c r="BG162">
        <v>4</v>
      </c>
      <c r="BJ162" t="s">
        <v>2327</v>
      </c>
      <c r="BK162" t="s">
        <v>2327</v>
      </c>
      <c r="BM162" t="s">
        <v>2327</v>
      </c>
      <c r="BN162" t="s">
        <v>2327</v>
      </c>
      <c r="BO162" t="s">
        <v>2327</v>
      </c>
      <c r="BP162">
        <v>4</v>
      </c>
      <c r="BZ162">
        <v>4</v>
      </c>
      <c r="CB162">
        <v>2</v>
      </c>
      <c r="CE162" t="s">
        <v>2327</v>
      </c>
      <c r="CJ162">
        <v>2</v>
      </c>
      <c r="CQ162">
        <v>4</v>
      </c>
      <c r="CR162">
        <v>4</v>
      </c>
      <c r="CS162">
        <v>2</v>
      </c>
      <c r="CT162">
        <v>2</v>
      </c>
      <c r="DA162">
        <v>2</v>
      </c>
      <c r="DB162">
        <v>2</v>
      </c>
      <c r="DC162">
        <v>2</v>
      </c>
      <c r="DD162">
        <v>3</v>
      </c>
      <c r="DF162">
        <v>4</v>
      </c>
      <c r="DG162">
        <v>4</v>
      </c>
      <c r="DH162">
        <v>5</v>
      </c>
      <c r="DI162">
        <v>5</v>
      </c>
      <c r="DJ162">
        <v>5</v>
      </c>
      <c r="DK162">
        <v>5</v>
      </c>
      <c r="DP162">
        <v>4</v>
      </c>
      <c r="DX162">
        <v>2</v>
      </c>
      <c r="DZ162">
        <v>4</v>
      </c>
      <c r="EA162">
        <v>4</v>
      </c>
      <c r="EB162">
        <v>4</v>
      </c>
      <c r="EC162">
        <v>4</v>
      </c>
      <c r="ED162">
        <v>4</v>
      </c>
      <c r="EE162">
        <v>4</v>
      </c>
      <c r="EF162">
        <v>4</v>
      </c>
      <c r="GA162" t="s">
        <v>339</v>
      </c>
      <c r="GH162" t="str">
        <f t="shared" si="11"/>
        <v>4</v>
      </c>
    </row>
    <row r="163" spans="1:190" x14ac:dyDescent="0.2">
      <c r="A163" t="str">
        <f t="shared" si="10"/>
        <v>Maurer</v>
      </c>
      <c r="GH163" t="str">
        <f t="shared" si="11"/>
        <v/>
      </c>
    </row>
    <row r="164" spans="1:190" x14ac:dyDescent="0.2">
      <c r="A164" t="str">
        <f t="shared" si="10"/>
        <v>Metallguss</v>
      </c>
      <c r="C164">
        <v>4</v>
      </c>
      <c r="D164">
        <v>4</v>
      </c>
      <c r="E164">
        <v>4</v>
      </c>
      <c r="F164">
        <v>4</v>
      </c>
      <c r="AO164" t="s">
        <v>899</v>
      </c>
      <c r="AP164" t="s">
        <v>899</v>
      </c>
      <c r="AQ164" t="s">
        <v>899</v>
      </c>
      <c r="AR164" t="s">
        <v>899</v>
      </c>
      <c r="EH164" t="s">
        <v>339</v>
      </c>
      <c r="ET164" t="s">
        <v>899</v>
      </c>
      <c r="EU164" t="s">
        <v>899</v>
      </c>
      <c r="GH164" t="str">
        <f t="shared" si="11"/>
        <v/>
      </c>
    </row>
    <row r="165" spans="1:190" x14ac:dyDescent="0.2">
      <c r="A165" t="str">
        <f t="shared" si="10"/>
        <v>Musizieren</v>
      </c>
      <c r="G165" t="s">
        <v>2762</v>
      </c>
      <c r="I165" t="s">
        <v>899</v>
      </c>
      <c r="J165" t="s">
        <v>899</v>
      </c>
      <c r="K165" t="s">
        <v>899</v>
      </c>
      <c r="L165" t="s">
        <v>899</v>
      </c>
      <c r="M165" t="s">
        <v>899</v>
      </c>
      <c r="N165" t="s">
        <v>899</v>
      </c>
      <c r="O165" t="s">
        <v>899</v>
      </c>
      <c r="P165" t="s">
        <v>899</v>
      </c>
      <c r="Q165" t="s">
        <v>899</v>
      </c>
      <c r="R165" t="s">
        <v>899</v>
      </c>
      <c r="S165" t="s">
        <v>899</v>
      </c>
      <c r="T165" t="s">
        <v>899</v>
      </c>
      <c r="U165" t="s">
        <v>899</v>
      </c>
      <c r="V165" t="s">
        <v>899</v>
      </c>
      <c r="W165" t="s">
        <v>899</v>
      </c>
      <c r="X165" t="s">
        <v>899</v>
      </c>
      <c r="Y165" t="s">
        <v>899</v>
      </c>
      <c r="Z165" t="s">
        <v>899</v>
      </c>
      <c r="AA165" t="s">
        <v>899</v>
      </c>
      <c r="AB165" t="s">
        <v>899</v>
      </c>
      <c r="AC165" t="s">
        <v>899</v>
      </c>
      <c r="AD165" t="s">
        <v>899</v>
      </c>
      <c r="AE165" t="s">
        <v>899</v>
      </c>
      <c r="AG165" t="s">
        <v>899</v>
      </c>
      <c r="AI165" t="s">
        <v>899</v>
      </c>
      <c r="AZ165">
        <v>2</v>
      </c>
      <c r="BA165">
        <v>2</v>
      </c>
      <c r="BB165">
        <v>2</v>
      </c>
      <c r="BC165">
        <v>2</v>
      </c>
      <c r="BD165">
        <v>2</v>
      </c>
      <c r="CB165">
        <v>2</v>
      </c>
      <c r="CE165" t="s">
        <v>2344</v>
      </c>
      <c r="CF165" t="s">
        <v>2327</v>
      </c>
      <c r="CG165">
        <v>4</v>
      </c>
      <c r="CH165">
        <v>4</v>
      </c>
      <c r="CI165">
        <v>4</v>
      </c>
      <c r="CJ165">
        <v>3</v>
      </c>
      <c r="CL165">
        <v>2</v>
      </c>
      <c r="CM165">
        <v>2</v>
      </c>
      <c r="DA165">
        <v>1</v>
      </c>
      <c r="DB165">
        <v>1</v>
      </c>
      <c r="DC165">
        <v>1</v>
      </c>
      <c r="DG165">
        <v>3</v>
      </c>
      <c r="DH165">
        <v>4</v>
      </c>
      <c r="DI165">
        <v>4</v>
      </c>
      <c r="DJ165">
        <v>4</v>
      </c>
      <c r="DK165">
        <v>4</v>
      </c>
      <c r="DL165">
        <v>1</v>
      </c>
      <c r="DM165">
        <v>1</v>
      </c>
      <c r="DN165">
        <v>1</v>
      </c>
      <c r="DO165">
        <v>1</v>
      </c>
      <c r="DP165">
        <v>3</v>
      </c>
      <c r="DZ165">
        <v>2</v>
      </c>
      <c r="EA165">
        <v>2</v>
      </c>
      <c r="EB165">
        <v>2</v>
      </c>
      <c r="EC165">
        <v>2</v>
      </c>
      <c r="ED165">
        <v>2</v>
      </c>
      <c r="EE165">
        <v>2</v>
      </c>
      <c r="EF165">
        <v>2</v>
      </c>
      <c r="EJ165" t="s">
        <v>899</v>
      </c>
      <c r="EK165" t="s">
        <v>899</v>
      </c>
      <c r="EL165" t="s">
        <v>899</v>
      </c>
      <c r="EM165" t="s">
        <v>899</v>
      </c>
      <c r="EN165" t="s">
        <v>899</v>
      </c>
      <c r="EO165" t="s">
        <v>899</v>
      </c>
      <c r="EP165" t="s">
        <v>899</v>
      </c>
      <c r="EQ165" t="s">
        <v>899</v>
      </c>
      <c r="ER165" t="s">
        <v>899</v>
      </c>
      <c r="GH165" t="str">
        <f t="shared" si="11"/>
        <v/>
      </c>
    </row>
    <row r="166" spans="1:190" x14ac:dyDescent="0.2">
      <c r="A166" t="str">
        <f t="shared" si="10"/>
        <v>Schlösser Knacken</v>
      </c>
      <c r="BQ166" t="s">
        <v>899</v>
      </c>
      <c r="BR166" t="s">
        <v>899</v>
      </c>
      <c r="BS166" t="s">
        <v>899</v>
      </c>
      <c r="BT166" t="s">
        <v>1149</v>
      </c>
      <c r="BU166" t="s">
        <v>1149</v>
      </c>
      <c r="BV166" t="s">
        <v>1149</v>
      </c>
      <c r="BW166" t="s">
        <v>1152</v>
      </c>
      <c r="BX166" t="s">
        <v>1149</v>
      </c>
      <c r="BY166" t="s">
        <v>1149</v>
      </c>
      <c r="BZ166" t="s">
        <v>1149</v>
      </c>
      <c r="CA166" t="s">
        <v>1150</v>
      </c>
      <c r="CB166" t="s">
        <v>899</v>
      </c>
      <c r="CC166" t="s">
        <v>899</v>
      </c>
      <c r="CD166" t="s">
        <v>899</v>
      </c>
      <c r="CE166" t="s">
        <v>899</v>
      </c>
      <c r="FK166" t="s">
        <v>339</v>
      </c>
      <c r="FL166" t="s">
        <v>339</v>
      </c>
      <c r="FM166" t="s">
        <v>339</v>
      </c>
      <c r="FN166" t="s">
        <v>339</v>
      </c>
      <c r="FO166" t="s">
        <v>899</v>
      </c>
      <c r="FP166" t="s">
        <v>899</v>
      </c>
      <c r="FQ166" t="s">
        <v>899</v>
      </c>
      <c r="FR166" t="s">
        <v>899</v>
      </c>
      <c r="GH166" t="str">
        <f t="shared" si="11"/>
        <v/>
      </c>
    </row>
    <row r="167" spans="1:190" x14ac:dyDescent="0.2">
      <c r="A167" t="str">
        <f t="shared" si="10"/>
        <v>Schnaps Brennen</v>
      </c>
      <c r="GH167" t="str">
        <f t="shared" si="11"/>
        <v/>
      </c>
    </row>
    <row r="168" spans="1:190" x14ac:dyDescent="0.2">
      <c r="A168" t="str">
        <f t="shared" si="10"/>
        <v>Schneidern</v>
      </c>
      <c r="G168" t="s">
        <v>2990</v>
      </c>
      <c r="X168">
        <v>2</v>
      </c>
      <c r="AB168">
        <v>2</v>
      </c>
      <c r="AE168">
        <v>2</v>
      </c>
      <c r="AN168">
        <v>3</v>
      </c>
      <c r="AS168">
        <v>2</v>
      </c>
      <c r="AT168">
        <v>2</v>
      </c>
      <c r="AU168">
        <v>2</v>
      </c>
      <c r="AV168">
        <v>2</v>
      </c>
      <c r="CG168">
        <v>2</v>
      </c>
      <c r="CQ168">
        <v>1</v>
      </c>
      <c r="CR168">
        <v>1</v>
      </c>
      <c r="CS168">
        <v>1</v>
      </c>
      <c r="CT168">
        <v>1</v>
      </c>
      <c r="CU168">
        <v>3</v>
      </c>
      <c r="CX168">
        <v>3</v>
      </c>
      <c r="CY168">
        <v>3</v>
      </c>
      <c r="DA168">
        <v>1</v>
      </c>
      <c r="DB168">
        <v>1</v>
      </c>
      <c r="DC168">
        <v>1</v>
      </c>
      <c r="GH168" t="str">
        <f t="shared" si="11"/>
        <v/>
      </c>
    </row>
    <row r="169" spans="1:190" x14ac:dyDescent="0.2">
      <c r="A169" t="str">
        <f t="shared" si="10"/>
        <v>Seefahrt</v>
      </c>
      <c r="C169" t="s">
        <v>899</v>
      </c>
      <c r="D169" t="s">
        <v>899</v>
      </c>
      <c r="E169" t="s">
        <v>899</v>
      </c>
      <c r="F169" t="s">
        <v>899</v>
      </c>
      <c r="AL169">
        <v>2</v>
      </c>
      <c r="AO169" t="s">
        <v>339</v>
      </c>
      <c r="AP169" t="s">
        <v>339</v>
      </c>
      <c r="AQ169" t="s">
        <v>1152</v>
      </c>
      <c r="AR169" t="s">
        <v>339</v>
      </c>
      <c r="BJ169" t="s">
        <v>899</v>
      </c>
      <c r="BK169" t="s">
        <v>899</v>
      </c>
      <c r="CV169" t="s">
        <v>1148</v>
      </c>
      <c r="CW169" t="s">
        <v>1149</v>
      </c>
      <c r="ET169" t="s">
        <v>339</v>
      </c>
      <c r="EU169" t="s">
        <v>339</v>
      </c>
      <c r="FE169" t="s">
        <v>899</v>
      </c>
      <c r="FF169" t="s">
        <v>899</v>
      </c>
      <c r="FW169" t="s">
        <v>339</v>
      </c>
      <c r="GH169" t="str">
        <f t="shared" si="11"/>
        <v/>
      </c>
    </row>
    <row r="170" spans="1:190" x14ac:dyDescent="0.2">
      <c r="A170" t="str">
        <f t="shared" si="10"/>
        <v>Seiler</v>
      </c>
      <c r="GH170" t="str">
        <f t="shared" si="11"/>
        <v/>
      </c>
    </row>
    <row r="171" spans="1:190" x14ac:dyDescent="0.2">
      <c r="A171" t="str">
        <f t="shared" si="10"/>
        <v>Steinmetz</v>
      </c>
      <c r="BJ171" t="s">
        <v>339</v>
      </c>
      <c r="BK171" t="s">
        <v>339</v>
      </c>
      <c r="DW171" t="s">
        <v>339</v>
      </c>
      <c r="FE171" t="s">
        <v>339</v>
      </c>
      <c r="FF171" t="s">
        <v>339</v>
      </c>
      <c r="GH171" t="str">
        <f t="shared" ref="GH171:GH181" si="12">BM171&amp;$FH171</f>
        <v/>
      </c>
    </row>
    <row r="172" spans="1:190" x14ac:dyDescent="0.2">
      <c r="A172" t="str">
        <f t="shared" si="10"/>
        <v>Steinschneider/Juwelier</v>
      </c>
      <c r="GH172" t="str">
        <f t="shared" si="12"/>
        <v/>
      </c>
    </row>
    <row r="173" spans="1:190" x14ac:dyDescent="0.2">
      <c r="A173" t="str">
        <f t="shared" si="10"/>
        <v>Stellmacher</v>
      </c>
      <c r="GH173" t="str">
        <f t="shared" si="12"/>
        <v/>
      </c>
    </row>
    <row r="174" spans="1:190" x14ac:dyDescent="0.2">
      <c r="A174" t="str">
        <f t="shared" si="10"/>
        <v>Steuermann</v>
      </c>
      <c r="ET174" t="s">
        <v>339</v>
      </c>
      <c r="EU174" t="s">
        <v>339</v>
      </c>
      <c r="FE174" t="s">
        <v>899</v>
      </c>
      <c r="FF174" t="s">
        <v>899</v>
      </c>
      <c r="GH174" t="str">
        <f t="shared" si="12"/>
        <v/>
      </c>
    </row>
    <row r="175" spans="1:190" x14ac:dyDescent="0.2">
      <c r="A175" t="str">
        <f t="shared" si="10"/>
        <v>Stoffe Färben</v>
      </c>
      <c r="DL175">
        <v>3</v>
      </c>
      <c r="DM175">
        <v>3</v>
      </c>
      <c r="DN175">
        <v>3</v>
      </c>
      <c r="DO175">
        <v>3</v>
      </c>
      <c r="GH175" t="str">
        <f t="shared" si="12"/>
        <v/>
      </c>
    </row>
    <row r="176" spans="1:190" x14ac:dyDescent="0.2">
      <c r="A176" t="str">
        <f t="shared" si="10"/>
        <v>Tätowieren</v>
      </c>
      <c r="CH176">
        <v>1</v>
      </c>
      <c r="GH176" t="str">
        <f t="shared" si="12"/>
        <v/>
      </c>
    </row>
    <row r="177" spans="1:190" x14ac:dyDescent="0.2">
      <c r="A177" t="str">
        <f t="shared" si="10"/>
        <v>Töpfern</v>
      </c>
      <c r="GH177" t="str">
        <f t="shared" si="12"/>
        <v/>
      </c>
    </row>
    <row r="178" spans="1:190" x14ac:dyDescent="0.2">
      <c r="A178" t="str">
        <f t="shared" si="10"/>
        <v>Viehzucht</v>
      </c>
      <c r="BQ178" t="s">
        <v>339</v>
      </c>
      <c r="BR178" t="s">
        <v>339</v>
      </c>
      <c r="BS178" t="s">
        <v>339</v>
      </c>
      <c r="CI178">
        <v>2</v>
      </c>
      <c r="CX178" t="s">
        <v>1150</v>
      </c>
      <c r="CY178" t="s">
        <v>1150</v>
      </c>
      <c r="FI178" t="s">
        <v>339</v>
      </c>
      <c r="FJ178" t="s">
        <v>339</v>
      </c>
      <c r="FX178" t="s">
        <v>339</v>
      </c>
      <c r="FY178" t="s">
        <v>339</v>
      </c>
      <c r="FZ178" t="s">
        <v>339</v>
      </c>
      <c r="GH178" t="str">
        <f t="shared" si="12"/>
        <v/>
      </c>
    </row>
    <row r="179" spans="1:190" x14ac:dyDescent="0.2">
      <c r="A179" t="str">
        <f t="shared" si="10"/>
        <v>Webkunst</v>
      </c>
      <c r="CX179" t="s">
        <v>4569</v>
      </c>
      <c r="CY179" t="s">
        <v>4569</v>
      </c>
      <c r="CZ179" t="s">
        <v>4569</v>
      </c>
      <c r="DY179">
        <v>3</v>
      </c>
      <c r="GH179" t="str">
        <f t="shared" si="12"/>
        <v/>
      </c>
    </row>
    <row r="180" spans="1:190" x14ac:dyDescent="0.2">
      <c r="A180" t="str">
        <f t="shared" si="10"/>
        <v>Winzer</v>
      </c>
      <c r="CX180" t="s">
        <v>4569</v>
      </c>
      <c r="CY180" t="s">
        <v>4569</v>
      </c>
      <c r="CZ180" t="s">
        <v>4569</v>
      </c>
      <c r="GH180" t="str">
        <f t="shared" si="12"/>
        <v/>
      </c>
    </row>
    <row r="181" spans="1:190" x14ac:dyDescent="0.2">
      <c r="A181" t="str">
        <f t="shared" si="10"/>
        <v>Zimmermann</v>
      </c>
      <c r="AO181" t="s">
        <v>339</v>
      </c>
      <c r="AP181" t="s">
        <v>339</v>
      </c>
      <c r="AQ181" t="s">
        <v>339</v>
      </c>
      <c r="AR181" t="s">
        <v>339</v>
      </c>
      <c r="CX181" t="s">
        <v>4569</v>
      </c>
      <c r="CY181" t="s">
        <v>4569</v>
      </c>
      <c r="CZ181" t="s">
        <v>4569</v>
      </c>
      <c r="GH181" t="str">
        <f t="shared" si="12"/>
        <v/>
      </c>
    </row>
    <row r="182" spans="1:190" ht="12.75" customHeight="1" x14ac:dyDescent="0.2">
      <c r="A182" t="str">
        <f t="shared" ref="A182:A227" si="13">INDEX(SPRACHEN,ROW()-IDX_S+1)</f>
        <v>Alaani ('Norbardisch')</v>
      </c>
      <c r="B182" t="s">
        <v>1642</v>
      </c>
      <c r="DE182" t="s">
        <v>1642</v>
      </c>
      <c r="EG182" t="s">
        <v>1642</v>
      </c>
    </row>
    <row r="183" spans="1:190" x14ac:dyDescent="0.2">
      <c r="A183" t="str">
        <f t="shared" si="13"/>
        <v>Alberned (Dialekt)</v>
      </c>
    </row>
    <row r="184" spans="1:190" ht="12.75" customHeight="1" x14ac:dyDescent="0.2">
      <c r="A184" t="str">
        <f t="shared" si="13"/>
        <v>Andergastisch (Dialekt)</v>
      </c>
    </row>
    <row r="185" spans="1:190" x14ac:dyDescent="0.2">
      <c r="A185" t="str">
        <f t="shared" si="13"/>
        <v>Angram</v>
      </c>
      <c r="C185">
        <v>8</v>
      </c>
      <c r="D185">
        <v>8</v>
      </c>
      <c r="E185">
        <v>8</v>
      </c>
      <c r="F185">
        <v>8</v>
      </c>
    </row>
    <row r="186" spans="1:190" ht="12.75" customHeight="1" x14ac:dyDescent="0.2">
      <c r="A186" t="str">
        <f t="shared" si="13"/>
        <v>Asdharia</v>
      </c>
    </row>
    <row r="187" spans="1:190" x14ac:dyDescent="0.2">
      <c r="A187" t="str">
        <f t="shared" si="13"/>
        <v>Atak (inkl.  Schrift)</v>
      </c>
      <c r="BT187">
        <v>6</v>
      </c>
      <c r="BU187">
        <v>6</v>
      </c>
      <c r="BV187">
        <v>6</v>
      </c>
      <c r="BW187">
        <v>6</v>
      </c>
      <c r="BX187">
        <v>6</v>
      </c>
      <c r="BY187">
        <v>6</v>
      </c>
      <c r="BZ187">
        <v>6</v>
      </c>
    </row>
    <row r="188" spans="1:190" ht="12.75" customHeight="1" x14ac:dyDescent="0.2">
      <c r="A188" t="str">
        <f t="shared" si="13"/>
        <v>Aureliani ('Altgüldenländisch')</v>
      </c>
      <c r="J188">
        <v>4</v>
      </c>
      <c r="T188">
        <v>4</v>
      </c>
      <c r="U188">
        <v>4</v>
      </c>
      <c r="V188">
        <v>4</v>
      </c>
      <c r="W188">
        <v>4</v>
      </c>
      <c r="X188">
        <v>4</v>
      </c>
      <c r="Y188">
        <v>4</v>
      </c>
      <c r="Z188">
        <v>4</v>
      </c>
      <c r="AA188">
        <v>4</v>
      </c>
      <c r="AB188">
        <v>4</v>
      </c>
      <c r="AC188">
        <v>4</v>
      </c>
      <c r="AD188">
        <v>4</v>
      </c>
      <c r="AE188">
        <v>4</v>
      </c>
      <c r="AG188">
        <v>4</v>
      </c>
      <c r="AI188">
        <v>4</v>
      </c>
      <c r="AN188">
        <v>4</v>
      </c>
    </row>
    <row r="189" spans="1:190" x14ac:dyDescent="0.2">
      <c r="A189" t="str">
        <f t="shared" si="13"/>
        <v>Bornländisch  (Dialekt)</v>
      </c>
    </row>
    <row r="190" spans="1:190" ht="12.75" customHeight="1" x14ac:dyDescent="0.2">
      <c r="A190" t="str">
        <f t="shared" si="13"/>
        <v>Bosparano</v>
      </c>
      <c r="H190">
        <v>6</v>
      </c>
      <c r="I190">
        <v>6</v>
      </c>
      <c r="J190">
        <v>6</v>
      </c>
      <c r="K190">
        <v>6</v>
      </c>
      <c r="L190">
        <v>6</v>
      </c>
      <c r="M190">
        <v>6</v>
      </c>
      <c r="N190">
        <v>6</v>
      </c>
      <c r="O190">
        <v>6</v>
      </c>
      <c r="P190">
        <v>6</v>
      </c>
      <c r="Q190">
        <v>6</v>
      </c>
      <c r="R190">
        <v>6</v>
      </c>
      <c r="S190">
        <v>6</v>
      </c>
      <c r="T190">
        <v>6</v>
      </c>
      <c r="U190">
        <v>6</v>
      </c>
      <c r="V190">
        <v>6</v>
      </c>
      <c r="W190">
        <v>6</v>
      </c>
      <c r="X190">
        <v>6</v>
      </c>
      <c r="Y190">
        <v>6</v>
      </c>
      <c r="Z190">
        <v>6</v>
      </c>
      <c r="AA190">
        <v>6</v>
      </c>
      <c r="AB190">
        <v>6</v>
      </c>
      <c r="AC190">
        <v>6</v>
      </c>
      <c r="AD190">
        <v>6</v>
      </c>
      <c r="AE190">
        <v>6</v>
      </c>
      <c r="AF190">
        <v>4</v>
      </c>
      <c r="AG190">
        <v>6</v>
      </c>
      <c r="AH190">
        <v>4</v>
      </c>
      <c r="AI190">
        <v>6</v>
      </c>
      <c r="AN190">
        <v>8</v>
      </c>
      <c r="AO190">
        <v>6</v>
      </c>
      <c r="AP190">
        <v>6</v>
      </c>
      <c r="AQ190">
        <v>6</v>
      </c>
      <c r="AR190">
        <v>6</v>
      </c>
      <c r="AZ190">
        <v>5</v>
      </c>
      <c r="BA190">
        <v>5</v>
      </c>
      <c r="BB190">
        <v>5</v>
      </c>
      <c r="BC190">
        <v>5</v>
      </c>
      <c r="BD190">
        <v>5</v>
      </c>
      <c r="CB190">
        <v>8</v>
      </c>
      <c r="CC190">
        <v>7</v>
      </c>
      <c r="CD190">
        <v>4</v>
      </c>
      <c r="CE190">
        <v>8</v>
      </c>
      <c r="CG190">
        <v>4</v>
      </c>
      <c r="CX190">
        <v>6</v>
      </c>
      <c r="CY190">
        <v>2</v>
      </c>
    </row>
    <row r="191" spans="1:190" x14ac:dyDescent="0.2">
      <c r="A191" t="str">
        <f t="shared" si="13"/>
        <v>Brabaci  (Dialekt)</v>
      </c>
    </row>
    <row r="192" spans="1:190" ht="12.75" customHeight="1" x14ac:dyDescent="0.2">
      <c r="A192" t="str">
        <f t="shared" si="13"/>
        <v>Charypto  (Dialekt)</v>
      </c>
    </row>
    <row r="193" spans="1:125" x14ac:dyDescent="0.2">
      <c r="A193" t="str">
        <f t="shared" si="13"/>
        <v>Drachisch</v>
      </c>
    </row>
    <row r="194" spans="1:125" ht="12.75" customHeight="1" x14ac:dyDescent="0.2">
      <c r="A194" t="str">
        <f t="shared" si="13"/>
        <v>Ferkina</v>
      </c>
    </row>
    <row r="195" spans="1:125" x14ac:dyDescent="0.2">
      <c r="A195" t="str">
        <f t="shared" si="13"/>
        <v>Fjarningsch</v>
      </c>
      <c r="DQ195">
        <v>4</v>
      </c>
      <c r="DR195">
        <v>4</v>
      </c>
      <c r="DS195">
        <v>4</v>
      </c>
      <c r="DT195">
        <v>4</v>
      </c>
      <c r="DU195">
        <v>4</v>
      </c>
    </row>
    <row r="196" spans="1:125" ht="12.75" customHeight="1" x14ac:dyDescent="0.2">
      <c r="A196" t="str">
        <f t="shared" si="13"/>
        <v>Füchsisch (inkl. 'Schrift')</v>
      </c>
    </row>
    <row r="197" spans="1:125" x14ac:dyDescent="0.2">
      <c r="A197" t="str">
        <f t="shared" si="13"/>
        <v>Garethi</v>
      </c>
    </row>
    <row r="198" spans="1:125" ht="12.75" customHeight="1" x14ac:dyDescent="0.2">
      <c r="A198" t="str">
        <f t="shared" si="13"/>
        <v>Gatamo  (Dialekt)</v>
      </c>
    </row>
    <row r="199" spans="1:125" x14ac:dyDescent="0.2">
      <c r="A199" t="str">
        <f t="shared" si="13"/>
        <v>Gjalskisch</v>
      </c>
    </row>
    <row r="200" spans="1:125" ht="12.75" customHeight="1" x14ac:dyDescent="0.2">
      <c r="A200" t="str">
        <f t="shared" si="13"/>
        <v>Goblinisch</v>
      </c>
    </row>
    <row r="201" spans="1:125" x14ac:dyDescent="0.2">
      <c r="A201" t="str">
        <f t="shared" si="13"/>
        <v>Grolmisch</v>
      </c>
    </row>
    <row r="202" spans="1:125" ht="12.75" customHeight="1" x14ac:dyDescent="0.2">
      <c r="A202" t="str">
        <f t="shared" si="13"/>
        <v>Hjaldingsch ('Saga-Thorwalsch')</v>
      </c>
      <c r="AU202">
        <v>2</v>
      </c>
      <c r="CV202">
        <v>6</v>
      </c>
      <c r="CW202">
        <v>6</v>
      </c>
    </row>
    <row r="203" spans="1:125" x14ac:dyDescent="0.2">
      <c r="A203" t="str">
        <f t="shared" si="13"/>
        <v>Horathi  (Dialekt)</v>
      </c>
    </row>
    <row r="204" spans="1:125" ht="12.75" customHeight="1" x14ac:dyDescent="0.2">
      <c r="A204" t="str">
        <f t="shared" si="13"/>
        <v>Isdira</v>
      </c>
    </row>
    <row r="205" spans="1:125" x14ac:dyDescent="0.2">
      <c r="A205" t="str">
        <f t="shared" si="13"/>
        <v>Koboldisch</v>
      </c>
    </row>
    <row r="206" spans="1:125" ht="12.75" customHeight="1" x14ac:dyDescent="0.2">
      <c r="A206" t="str">
        <f t="shared" si="13"/>
        <v>Mahrisch</v>
      </c>
    </row>
    <row r="207" spans="1:125" x14ac:dyDescent="0.2">
      <c r="A207" t="str">
        <f t="shared" si="13"/>
        <v>Maraskani  (Dialekt)</v>
      </c>
    </row>
    <row r="208" spans="1:125" ht="12.75" customHeight="1" x14ac:dyDescent="0.2">
      <c r="A208" t="str">
        <f t="shared" si="13"/>
        <v>Mohisch</v>
      </c>
    </row>
    <row r="209" spans="1:129" x14ac:dyDescent="0.2">
      <c r="A209" t="str">
        <f t="shared" si="13"/>
        <v>Molochisch</v>
      </c>
    </row>
    <row r="210" spans="1:129" ht="12.75" customHeight="1" x14ac:dyDescent="0.2">
      <c r="A210" t="str">
        <f t="shared" si="13"/>
        <v>Neckergesang</v>
      </c>
    </row>
    <row r="211" spans="1:129" x14ac:dyDescent="0.2">
      <c r="A211" t="str">
        <f t="shared" si="13"/>
        <v>Nujuka ('Nivesisch')</v>
      </c>
    </row>
    <row r="212" spans="1:129" ht="12.75" customHeight="1" x14ac:dyDescent="0.2">
      <c r="A212" t="str">
        <f t="shared" si="13"/>
        <v>Oloarkh</v>
      </c>
      <c r="DY212">
        <v>6</v>
      </c>
    </row>
    <row r="213" spans="1:129" x14ac:dyDescent="0.2">
      <c r="A213" t="str">
        <f t="shared" si="13"/>
        <v>Ologhaijan ('Hochorkisch')</v>
      </c>
      <c r="DV213">
        <v>2</v>
      </c>
      <c r="DW213">
        <v>2</v>
      </c>
      <c r="DX213">
        <v>5</v>
      </c>
      <c r="DY213">
        <v>3</v>
      </c>
    </row>
    <row r="214" spans="1:129" ht="12.75" customHeight="1" x14ac:dyDescent="0.2">
      <c r="A214" t="str">
        <f t="shared" si="13"/>
        <v>Rabensprache</v>
      </c>
      <c r="I214">
        <v>6</v>
      </c>
      <c r="K214">
        <v>6</v>
      </c>
      <c r="L214">
        <v>6</v>
      </c>
      <c r="M214">
        <v>6</v>
      </c>
      <c r="N214">
        <v>6</v>
      </c>
      <c r="O214">
        <v>6</v>
      </c>
      <c r="P214">
        <v>6</v>
      </c>
      <c r="Q214">
        <v>6</v>
      </c>
      <c r="R214">
        <v>6</v>
      </c>
      <c r="S214">
        <v>6</v>
      </c>
      <c r="AJ214">
        <v>5</v>
      </c>
      <c r="AK214">
        <v>5</v>
      </c>
      <c r="AL214">
        <v>5</v>
      </c>
    </row>
    <row r="215" spans="1:129" x14ac:dyDescent="0.2">
      <c r="A215" t="str">
        <f t="shared" si="13"/>
        <v>Rissoal</v>
      </c>
    </row>
    <row r="216" spans="1:129" ht="12.75" customHeight="1" x14ac:dyDescent="0.2">
      <c r="A216" t="str">
        <f t="shared" si="13"/>
        <v>Rogolan</v>
      </c>
      <c r="C216">
        <v>2</v>
      </c>
      <c r="D216">
        <v>2</v>
      </c>
      <c r="E216">
        <v>2</v>
      </c>
      <c r="F216">
        <v>2</v>
      </c>
    </row>
    <row r="217" spans="1:129" x14ac:dyDescent="0.2">
      <c r="A217" t="str">
        <f t="shared" si="13"/>
        <v>Rssahh</v>
      </c>
    </row>
    <row r="218" spans="1:129" ht="12.75" customHeight="1" x14ac:dyDescent="0.2">
      <c r="A218" t="str">
        <f t="shared" si="13"/>
        <v>Ruuz ('Ur-Maraskanisch' )</v>
      </c>
      <c r="CQ218">
        <v>6</v>
      </c>
      <c r="CR218">
        <v>6</v>
      </c>
      <c r="CS218">
        <v>4</v>
      </c>
      <c r="CT218">
        <v>4</v>
      </c>
    </row>
    <row r="219" spans="1:129" x14ac:dyDescent="0.2">
      <c r="A219" t="str">
        <f t="shared" si="13"/>
        <v>Thorwalsch</v>
      </c>
      <c r="CV219">
        <v>1</v>
      </c>
      <c r="CW219">
        <v>1</v>
      </c>
    </row>
    <row r="220" spans="1:129" ht="12.75" customHeight="1" x14ac:dyDescent="0.2">
      <c r="A220" t="str">
        <f t="shared" si="13"/>
        <v>Trollisch</v>
      </c>
      <c r="DP220">
        <v>2</v>
      </c>
    </row>
    <row r="221" spans="1:129" x14ac:dyDescent="0.2">
      <c r="A221" t="str">
        <f t="shared" si="13"/>
        <v>Tulamidya</v>
      </c>
    </row>
    <row r="222" spans="1:129" ht="12.75" customHeight="1" x14ac:dyDescent="0.2">
      <c r="A222" t="str">
        <f t="shared" si="13"/>
        <v>Ur-Tulamidya</v>
      </c>
      <c r="AW222">
        <v>6</v>
      </c>
      <c r="AX222">
        <v>6</v>
      </c>
      <c r="AY222">
        <v>6</v>
      </c>
      <c r="AZ222">
        <v>5</v>
      </c>
      <c r="BA222">
        <v>5</v>
      </c>
      <c r="BB222">
        <v>5</v>
      </c>
      <c r="BC222">
        <v>5</v>
      </c>
      <c r="BD222">
        <v>5</v>
      </c>
    </row>
    <row r="223" spans="1:129" x14ac:dyDescent="0.2">
      <c r="A223" t="str">
        <f t="shared" si="13"/>
        <v>Zelemja</v>
      </c>
    </row>
    <row r="224" spans="1:129" ht="12.75" customHeight="1" x14ac:dyDescent="0.2">
      <c r="A224" t="str">
        <f t="shared" si="13"/>
        <v>Zhayad</v>
      </c>
    </row>
    <row r="225" spans="1:137" x14ac:dyDescent="0.2">
      <c r="A225" t="str">
        <f t="shared" si="13"/>
        <v>Zhulchammaqra ('Trollzackisch')</v>
      </c>
      <c r="DP225">
        <v>2</v>
      </c>
    </row>
    <row r="226" spans="1:137" ht="12.75" customHeight="1" x14ac:dyDescent="0.2">
      <c r="A226" t="str">
        <f t="shared" si="13"/>
        <v>Z'Lit</v>
      </c>
    </row>
    <row r="227" spans="1:137" x14ac:dyDescent="0.2">
      <c r="A227" t="str">
        <f t="shared" si="13"/>
        <v>Zyklopäisch</v>
      </c>
    </row>
    <row r="228" spans="1:137" ht="21.75" customHeight="1" x14ac:dyDescent="0.2">
      <c r="A228" t="str">
        <f t="shared" ref="A228:A249" si="14">INDEX(SCHRIFTEN,ROW()-ROW($B$228)+1)</f>
        <v>Altes Alaani</v>
      </c>
      <c r="B228" t="s">
        <v>1642</v>
      </c>
      <c r="DE228" t="s">
        <v>1642</v>
      </c>
      <c r="EG228" t="s">
        <v>1642</v>
      </c>
    </row>
    <row r="229" spans="1:137" x14ac:dyDescent="0.2">
      <c r="A229" t="str">
        <f t="shared" si="14"/>
        <v>Amulashtra (mod./hist.)</v>
      </c>
    </row>
    <row r="230" spans="1:137" x14ac:dyDescent="0.2">
      <c r="A230" t="str">
        <f t="shared" si="14"/>
        <v>Angram</v>
      </c>
      <c r="C230">
        <v>8</v>
      </c>
      <c r="D230">
        <v>8</v>
      </c>
      <c r="E230">
        <v>8</v>
      </c>
      <c r="F230">
        <v>8</v>
      </c>
    </row>
    <row r="231" spans="1:137" x14ac:dyDescent="0.2">
      <c r="A231" t="str">
        <f t="shared" si="14"/>
        <v>Arkanil ('Rohalsschrift')</v>
      </c>
    </row>
    <row r="232" spans="1:137" x14ac:dyDescent="0.2">
      <c r="A232" t="str">
        <f t="shared" si="14"/>
        <v>Chrmk ('Zelemja')</v>
      </c>
      <c r="BG232">
        <v>8</v>
      </c>
      <c r="DD232">
        <v>6</v>
      </c>
    </row>
    <row r="233" spans="1:137" x14ac:dyDescent="0.2">
      <c r="A233" t="str">
        <f t="shared" si="14"/>
        <v>Chuchas ('Protozelemja')</v>
      </c>
      <c r="BG233">
        <v>5</v>
      </c>
      <c r="DD233">
        <v>4</v>
      </c>
    </row>
    <row r="234" spans="1:137" x14ac:dyDescent="0.2">
      <c r="A234" t="str">
        <f t="shared" si="14"/>
        <v>Drakhard-Zinken</v>
      </c>
    </row>
    <row r="235" spans="1:137" x14ac:dyDescent="0.2">
      <c r="A235" t="str">
        <f t="shared" si="14"/>
        <v>Drakned-Glyphen</v>
      </c>
    </row>
    <row r="236" spans="1:137" x14ac:dyDescent="0.2">
      <c r="A236" t="str">
        <f t="shared" si="14"/>
        <v>Gimaril</v>
      </c>
    </row>
    <row r="237" spans="1:137" x14ac:dyDescent="0.2">
      <c r="A237" t="str">
        <f t="shared" si="14"/>
        <v>Gjalskisch</v>
      </c>
      <c r="DG237">
        <v>6</v>
      </c>
    </row>
    <row r="238" spans="1:137" x14ac:dyDescent="0.2">
      <c r="A238" t="str">
        <f t="shared" si="14"/>
        <v>Hjaldingsche Runen</v>
      </c>
      <c r="AU238">
        <v>4</v>
      </c>
      <c r="CV238">
        <v>6</v>
      </c>
      <c r="CW238">
        <v>6</v>
      </c>
    </row>
    <row r="239" spans="1:137" x14ac:dyDescent="0.2">
      <c r="A239" t="str">
        <f t="shared" si="14"/>
        <v>Imperiale Zeichen ('Altgüldenländisch')</v>
      </c>
      <c r="J239">
        <v>4</v>
      </c>
      <c r="T239">
        <v>4</v>
      </c>
      <c r="U239">
        <v>4</v>
      </c>
      <c r="V239">
        <v>4</v>
      </c>
      <c r="W239">
        <v>4</v>
      </c>
      <c r="X239">
        <v>4</v>
      </c>
      <c r="Y239">
        <v>4</v>
      </c>
      <c r="Z239">
        <v>4</v>
      </c>
      <c r="AA239">
        <v>4</v>
      </c>
      <c r="AB239">
        <v>4</v>
      </c>
      <c r="AC239">
        <v>4</v>
      </c>
      <c r="AD239">
        <v>4</v>
      </c>
      <c r="AE239">
        <v>4</v>
      </c>
      <c r="AG239">
        <v>4</v>
      </c>
      <c r="AI239">
        <v>4</v>
      </c>
      <c r="AN239">
        <v>4</v>
      </c>
    </row>
    <row r="240" spans="1:137" x14ac:dyDescent="0.2">
      <c r="A240" t="str">
        <f t="shared" si="14"/>
        <v>Isdira / Asdharia</v>
      </c>
    </row>
    <row r="241" spans="1:104" x14ac:dyDescent="0.2">
      <c r="A241" t="str">
        <f t="shared" si="14"/>
        <v>Kusliker Zeichen</v>
      </c>
      <c r="H241">
        <v>6</v>
      </c>
      <c r="I241">
        <v>6</v>
      </c>
      <c r="J241">
        <v>6</v>
      </c>
      <c r="K241">
        <v>6</v>
      </c>
      <c r="L241">
        <v>6</v>
      </c>
      <c r="M241">
        <v>6</v>
      </c>
      <c r="N241">
        <v>6</v>
      </c>
      <c r="O241">
        <v>6</v>
      </c>
      <c r="P241">
        <v>6</v>
      </c>
      <c r="Q241">
        <v>6</v>
      </c>
      <c r="R241">
        <v>6</v>
      </c>
      <c r="S241">
        <v>6</v>
      </c>
      <c r="T241">
        <v>6</v>
      </c>
      <c r="U241">
        <v>6</v>
      </c>
      <c r="V241">
        <v>6</v>
      </c>
      <c r="W241">
        <v>6</v>
      </c>
      <c r="X241">
        <v>6</v>
      </c>
      <c r="Y241">
        <v>6</v>
      </c>
      <c r="Z241">
        <v>6</v>
      </c>
      <c r="AA241">
        <v>6</v>
      </c>
      <c r="AB241">
        <v>6</v>
      </c>
      <c r="AC241">
        <v>6</v>
      </c>
      <c r="AD241">
        <v>6</v>
      </c>
      <c r="AE241">
        <v>6</v>
      </c>
      <c r="AF241">
        <v>4</v>
      </c>
      <c r="AG241">
        <v>6</v>
      </c>
      <c r="AH241">
        <v>4</v>
      </c>
      <c r="AI241">
        <v>6</v>
      </c>
      <c r="AJ241">
        <v>5</v>
      </c>
      <c r="AK241">
        <v>5</v>
      </c>
      <c r="AL241">
        <v>5</v>
      </c>
      <c r="AN241">
        <v>6</v>
      </c>
      <c r="AO241">
        <v>6</v>
      </c>
      <c r="AP241">
        <v>6</v>
      </c>
      <c r="AQ241">
        <v>6</v>
      </c>
      <c r="AR241">
        <v>6</v>
      </c>
      <c r="AZ241">
        <v>6</v>
      </c>
      <c r="BA241">
        <v>6</v>
      </c>
      <c r="BB241">
        <v>6</v>
      </c>
      <c r="BC241">
        <v>6</v>
      </c>
      <c r="BD241">
        <v>6</v>
      </c>
      <c r="CB241">
        <v>9</v>
      </c>
      <c r="CC241">
        <v>8</v>
      </c>
      <c r="CD241">
        <v>4</v>
      </c>
      <c r="CE241">
        <v>9</v>
      </c>
      <c r="CK241">
        <v>6</v>
      </c>
      <c r="CN241">
        <v>4</v>
      </c>
      <c r="CO241">
        <v>2</v>
      </c>
      <c r="CP241">
        <v>4</v>
      </c>
      <c r="CQ241">
        <v>8</v>
      </c>
      <c r="CR241">
        <v>8</v>
      </c>
      <c r="CS241">
        <v>8</v>
      </c>
      <c r="CT241">
        <v>8</v>
      </c>
      <c r="CV241">
        <v>6</v>
      </c>
      <c r="CW241">
        <v>6</v>
      </c>
      <c r="CX241">
        <v>5</v>
      </c>
      <c r="CY241">
        <v>5</v>
      </c>
      <c r="CZ241">
        <v>4</v>
      </c>
    </row>
    <row r="242" spans="1:104" x14ac:dyDescent="0.2">
      <c r="A242" t="str">
        <f t="shared" si="14"/>
        <v>Mahrische Glyphen</v>
      </c>
    </row>
    <row r="243" spans="1:104" x14ac:dyDescent="0.2">
      <c r="A243" t="str">
        <f t="shared" si="14"/>
        <v>Nanduria</v>
      </c>
      <c r="BM243">
        <v>6</v>
      </c>
      <c r="BN243">
        <v>6</v>
      </c>
      <c r="BO243">
        <v>6</v>
      </c>
      <c r="BP243">
        <v>6</v>
      </c>
      <c r="BZ243">
        <v>8</v>
      </c>
    </row>
    <row r="244" spans="1:104" x14ac:dyDescent="0.2">
      <c r="A244" t="str">
        <f t="shared" si="14"/>
        <v>Rogolan</v>
      </c>
      <c r="C244">
        <v>6</v>
      </c>
      <c r="D244">
        <v>6</v>
      </c>
      <c r="E244">
        <v>6</v>
      </c>
      <c r="F244">
        <v>6</v>
      </c>
    </row>
    <row r="245" spans="1:104" x14ac:dyDescent="0.2">
      <c r="A245" t="str">
        <f t="shared" si="14"/>
        <v>Trollische Raumbilderschrift</v>
      </c>
    </row>
    <row r="246" spans="1:104" x14ac:dyDescent="0.2">
      <c r="A246" t="str">
        <f t="shared" si="14"/>
        <v>Tulamidya</v>
      </c>
      <c r="AR246">
        <v>4</v>
      </c>
      <c r="AW246">
        <v>4</v>
      </c>
      <c r="AX246">
        <v>4</v>
      </c>
      <c r="AY246">
        <v>4</v>
      </c>
      <c r="AZ246">
        <v>6</v>
      </c>
      <c r="BA246">
        <v>6</v>
      </c>
      <c r="BB246">
        <v>6</v>
      </c>
      <c r="BC246">
        <v>6</v>
      </c>
      <c r="BD246">
        <v>6</v>
      </c>
      <c r="CQ246">
        <v>6</v>
      </c>
      <c r="CR246">
        <v>6</v>
      </c>
      <c r="CS246">
        <v>4</v>
      </c>
      <c r="CT246">
        <v>4</v>
      </c>
      <c r="CU246">
        <v>5</v>
      </c>
    </row>
    <row r="247" spans="1:104" x14ac:dyDescent="0.2">
      <c r="A247" t="str">
        <f t="shared" si="14"/>
        <v>Unauer Glyphen</v>
      </c>
      <c r="CU247">
        <v>5</v>
      </c>
    </row>
    <row r="248" spans="1:104" x14ac:dyDescent="0.2">
      <c r="A248" t="str">
        <f t="shared" si="14"/>
        <v>Ur-Tulamidya</v>
      </c>
      <c r="AX248">
        <v>4</v>
      </c>
      <c r="AY248">
        <v>4</v>
      </c>
      <c r="CQ248">
        <v>4</v>
      </c>
      <c r="CR248">
        <v>4</v>
      </c>
      <c r="CS248">
        <v>4</v>
      </c>
      <c r="CT248">
        <v>4</v>
      </c>
    </row>
    <row r="249" spans="1:104" x14ac:dyDescent="0.2">
      <c r="A249" t="str">
        <f t="shared" si="14"/>
        <v>Zhayad</v>
      </c>
    </row>
    <row r="250" spans="1:104" x14ac:dyDescent="0.2">
      <c r="A250" t="s">
        <v>1319</v>
      </c>
      <c r="CJ250" t="s">
        <v>90</v>
      </c>
      <c r="CW250" t="s">
        <v>3112</v>
      </c>
    </row>
    <row r="253" spans="1:104" x14ac:dyDescent="0.2">
      <c r="A253" t="s">
        <v>3592</v>
      </c>
      <c r="AF253" t="s">
        <v>3251</v>
      </c>
      <c r="AG253" t="s">
        <v>3251</v>
      </c>
      <c r="AH253" t="s">
        <v>3251</v>
      </c>
      <c r="AJ253" t="s">
        <v>3250</v>
      </c>
      <c r="AK253" t="s">
        <v>3250</v>
      </c>
      <c r="AL253" t="s">
        <v>3250</v>
      </c>
      <c r="AM253" t="s">
        <v>3252</v>
      </c>
      <c r="AW253" t="s">
        <v>2039</v>
      </c>
      <c r="AX253" t="s">
        <v>2039</v>
      </c>
      <c r="AY253" t="s">
        <v>3254</v>
      </c>
      <c r="CC253" t="s">
        <v>3252</v>
      </c>
      <c r="CD253" t="s">
        <v>3250</v>
      </c>
      <c r="CJ253" t="s">
        <v>1395</v>
      </c>
      <c r="CK253" t="s">
        <v>3254</v>
      </c>
      <c r="CL253" t="s">
        <v>3249</v>
      </c>
      <c r="CM253" t="s">
        <v>3249</v>
      </c>
      <c r="CN253" t="s">
        <v>3254</v>
      </c>
      <c r="CO253" t="s">
        <v>3249</v>
      </c>
      <c r="CP253" t="s">
        <v>3251</v>
      </c>
      <c r="CU253" t="s">
        <v>5004</v>
      </c>
      <c r="CV253" t="s">
        <v>1393</v>
      </c>
      <c r="CW253" t="s">
        <v>1393</v>
      </c>
      <c r="CZ253" t="s">
        <v>1395</v>
      </c>
    </row>
    <row r="254" spans="1:104" x14ac:dyDescent="0.2">
      <c r="AF254" t="s">
        <v>3252</v>
      </c>
      <c r="AG254" t="s">
        <v>3252</v>
      </c>
      <c r="AH254" t="s">
        <v>3252</v>
      </c>
      <c r="AJ254" t="s">
        <v>3252</v>
      </c>
      <c r="AK254" t="s">
        <v>3252</v>
      </c>
      <c r="AL254" t="s">
        <v>3252</v>
      </c>
      <c r="AW254" t="s">
        <v>3252</v>
      </c>
      <c r="AX254" t="s">
        <v>3252</v>
      </c>
      <c r="AY254" t="s">
        <v>3250</v>
      </c>
      <c r="CD254" t="s">
        <v>3253</v>
      </c>
      <c r="CJ254" t="s">
        <v>3249</v>
      </c>
      <c r="CK254" t="s">
        <v>2211</v>
      </c>
      <c r="CN254" t="s">
        <v>2211</v>
      </c>
      <c r="CO254" t="s">
        <v>3250</v>
      </c>
      <c r="CP254" t="s">
        <v>3252</v>
      </c>
      <c r="CU254" t="s">
        <v>3250</v>
      </c>
      <c r="CZ254" t="s">
        <v>2211</v>
      </c>
    </row>
    <row r="255" spans="1:104" x14ac:dyDescent="0.2">
      <c r="AF255" t="s">
        <v>5051</v>
      </c>
      <c r="AG255" t="s">
        <v>5051</v>
      </c>
      <c r="AH255" t="s">
        <v>5051</v>
      </c>
      <c r="AJ255" t="s">
        <v>3253</v>
      </c>
      <c r="AK255" t="s">
        <v>3253</v>
      </c>
      <c r="AL255" t="s">
        <v>3253</v>
      </c>
      <c r="AW255" t="s">
        <v>5053</v>
      </c>
      <c r="AX255" t="s">
        <v>4999</v>
      </c>
      <c r="AY255" t="s">
        <v>3253</v>
      </c>
      <c r="CD255" t="s">
        <v>5051</v>
      </c>
      <c r="CJ255" t="s">
        <v>2211</v>
      </c>
      <c r="CK255" t="s">
        <v>3250</v>
      </c>
      <c r="CN255" t="s">
        <v>3252</v>
      </c>
      <c r="CO255" t="s">
        <v>3251</v>
      </c>
      <c r="CP255" t="s">
        <v>5051</v>
      </c>
      <c r="CZ255" t="s">
        <v>3252</v>
      </c>
    </row>
    <row r="256" spans="1:104" x14ac:dyDescent="0.2">
      <c r="AH256" t="s">
        <v>3250</v>
      </c>
      <c r="AJ256" t="s">
        <v>5051</v>
      </c>
      <c r="AK256" t="s">
        <v>5051</v>
      </c>
      <c r="AL256" t="s">
        <v>5051</v>
      </c>
      <c r="AW256" t="s">
        <v>5051</v>
      </c>
      <c r="AX256" t="s">
        <v>2211</v>
      </c>
      <c r="AY256" t="s">
        <v>5051</v>
      </c>
      <c r="CD256" t="s">
        <v>3252</v>
      </c>
      <c r="CK256" t="s">
        <v>2039</v>
      </c>
      <c r="CN256" t="s">
        <v>5051</v>
      </c>
      <c r="CO256" t="s">
        <v>3252</v>
      </c>
      <c r="CZ256" t="s">
        <v>2039</v>
      </c>
    </row>
    <row r="257" spans="1:128" x14ac:dyDescent="0.2">
      <c r="AH257" t="s">
        <v>3253</v>
      </c>
      <c r="AK257" t="s">
        <v>3251</v>
      </c>
      <c r="AL257" t="s">
        <v>4999</v>
      </c>
      <c r="AW257" t="s">
        <v>4274</v>
      </c>
      <c r="AX257" t="s">
        <v>5051</v>
      </c>
      <c r="CK257" t="s">
        <v>5049</v>
      </c>
      <c r="CO257" t="s">
        <v>3253</v>
      </c>
    </row>
    <row r="263" spans="1:128" x14ac:dyDescent="0.2">
      <c r="A263" t="s">
        <v>3630</v>
      </c>
      <c r="AS263" t="s">
        <v>1366</v>
      </c>
      <c r="AT263" t="s">
        <v>1366</v>
      </c>
      <c r="AV263" t="s">
        <v>1366</v>
      </c>
    </row>
    <row r="266" spans="1:128" x14ac:dyDescent="0.2">
      <c r="A266" t="s">
        <v>3798</v>
      </c>
      <c r="AQ266" t="s">
        <v>2800</v>
      </c>
      <c r="AR266" t="s">
        <v>342</v>
      </c>
      <c r="AW266" t="s">
        <v>343</v>
      </c>
      <c r="AY266" t="s">
        <v>343</v>
      </c>
      <c r="AZ266" t="s">
        <v>2488</v>
      </c>
      <c r="BA266" t="s">
        <v>2488</v>
      </c>
      <c r="BB266" t="s">
        <v>2488</v>
      </c>
      <c r="BC266" t="s">
        <v>2488</v>
      </c>
      <c r="BD266" t="s">
        <v>2488</v>
      </c>
      <c r="BG266" t="s">
        <v>2488</v>
      </c>
      <c r="BJ266" t="s">
        <v>1490</v>
      </c>
      <c r="BM266" t="s">
        <v>2488</v>
      </c>
      <c r="BN266" t="s">
        <v>2488</v>
      </c>
      <c r="BO266" t="s">
        <v>2488</v>
      </c>
      <c r="BP266" t="s">
        <v>2488</v>
      </c>
      <c r="BS266" t="s">
        <v>1490</v>
      </c>
      <c r="BT266" t="s">
        <v>2141</v>
      </c>
      <c r="BU266" t="s">
        <v>2141</v>
      </c>
      <c r="BV266" t="s">
        <v>2141</v>
      </c>
      <c r="BW266" t="s">
        <v>2141</v>
      </c>
      <c r="BX266" t="s">
        <v>2141</v>
      </c>
      <c r="BY266" t="s">
        <v>2141</v>
      </c>
      <c r="BZ266" t="s">
        <v>2141</v>
      </c>
      <c r="CQ266" t="s">
        <v>2488</v>
      </c>
      <c r="CR266" t="s">
        <v>2488</v>
      </c>
      <c r="CS266" t="s">
        <v>1490</v>
      </c>
      <c r="CT266" t="s">
        <v>1490</v>
      </c>
      <c r="CV266" t="s">
        <v>2800</v>
      </c>
      <c r="CW266" t="s">
        <v>2800</v>
      </c>
      <c r="DV266" t="s">
        <v>1490</v>
      </c>
      <c r="DW266" t="s">
        <v>1490</v>
      </c>
    </row>
    <row r="271" spans="1:128" x14ac:dyDescent="0.2">
      <c r="A271" t="s">
        <v>320</v>
      </c>
      <c r="DL271" t="s">
        <v>591</v>
      </c>
      <c r="DM271" t="s">
        <v>591</v>
      </c>
      <c r="DN271" t="s">
        <v>591</v>
      </c>
      <c r="DO271" t="s">
        <v>591</v>
      </c>
      <c r="DP271" t="s">
        <v>591</v>
      </c>
      <c r="DX271" t="s">
        <v>591</v>
      </c>
    </row>
    <row r="272" spans="1:128" x14ac:dyDescent="0.2">
      <c r="DL272" t="s">
        <v>28</v>
      </c>
      <c r="DM272" t="s">
        <v>28</v>
      </c>
      <c r="DN272" t="s">
        <v>28</v>
      </c>
      <c r="DO272" t="s">
        <v>28</v>
      </c>
      <c r="DP272" t="s">
        <v>28</v>
      </c>
      <c r="DX272" t="s">
        <v>28</v>
      </c>
    </row>
    <row r="278" spans="1:107" x14ac:dyDescent="0.2">
      <c r="A278" t="s">
        <v>782</v>
      </c>
    </row>
    <row r="280" spans="1:107" x14ac:dyDescent="0.2">
      <c r="A280" t="s">
        <v>2755</v>
      </c>
    </row>
    <row r="282" spans="1:107" x14ac:dyDescent="0.2">
      <c r="A282" t="s">
        <v>2768</v>
      </c>
      <c r="AW282" t="s">
        <v>90</v>
      </c>
      <c r="AX282" t="s">
        <v>90</v>
      </c>
      <c r="AY282" t="s">
        <v>90</v>
      </c>
      <c r="CU282" t="s">
        <v>90</v>
      </c>
    </row>
    <row r="285" spans="1:107" x14ac:dyDescent="0.2">
      <c r="A285" t="s">
        <v>3257</v>
      </c>
      <c r="F285" t="s">
        <v>3252</v>
      </c>
      <c r="AF285" t="s">
        <v>3254</v>
      </c>
      <c r="AG285" t="s">
        <v>3254</v>
      </c>
      <c r="AH285" t="s">
        <v>3254</v>
      </c>
      <c r="AJ285" t="s">
        <v>93</v>
      </c>
      <c r="AK285" t="s">
        <v>93</v>
      </c>
      <c r="AL285" t="s">
        <v>93</v>
      </c>
      <c r="AM285" t="s">
        <v>3254</v>
      </c>
      <c r="AN285" t="s">
        <v>3249</v>
      </c>
      <c r="AW285" t="s">
        <v>3254</v>
      </c>
      <c r="AX285" t="s">
        <v>3254</v>
      </c>
      <c r="AY285" t="s">
        <v>5052</v>
      </c>
      <c r="BV285" t="s">
        <v>3249</v>
      </c>
      <c r="BY285" t="s">
        <v>3254</v>
      </c>
      <c r="CD285" t="s">
        <v>3254</v>
      </c>
      <c r="CJ285" t="s">
        <v>91</v>
      </c>
      <c r="CK285" t="s">
        <v>1395</v>
      </c>
      <c r="CM285" t="s">
        <v>3251</v>
      </c>
      <c r="CO285" t="s">
        <v>1395</v>
      </c>
      <c r="CU285" t="s">
        <v>3254</v>
      </c>
      <c r="CV285" t="s">
        <v>3250</v>
      </c>
      <c r="CW285" t="s">
        <v>3250</v>
      </c>
      <c r="CZ285" t="s">
        <v>5006</v>
      </c>
      <c r="DA285" t="s">
        <v>3249</v>
      </c>
      <c r="DB285" t="s">
        <v>3249</v>
      </c>
      <c r="DC285" t="s">
        <v>3249</v>
      </c>
    </row>
    <row r="286" spans="1:107" x14ac:dyDescent="0.2">
      <c r="F286" t="s">
        <v>5051</v>
      </c>
      <c r="AH286" t="s">
        <v>5054</v>
      </c>
      <c r="AL286" t="s">
        <v>5002</v>
      </c>
      <c r="AM286" t="s">
        <v>3249</v>
      </c>
      <c r="AW286" t="s">
        <v>2211</v>
      </c>
      <c r="AX286" t="s">
        <v>5002</v>
      </c>
      <c r="AY286" t="s">
        <v>4999</v>
      </c>
      <c r="CJ286" t="s">
        <v>5052</v>
      </c>
      <c r="CK286" t="s">
        <v>5006</v>
      </c>
      <c r="CO286" t="s">
        <v>2211</v>
      </c>
      <c r="CU286" t="s">
        <v>1395</v>
      </c>
      <c r="CV286" t="s">
        <v>3253</v>
      </c>
      <c r="CW286" t="s">
        <v>2211</v>
      </c>
      <c r="CZ286" t="s">
        <v>1394</v>
      </c>
    </row>
    <row r="287" spans="1:107" x14ac:dyDescent="0.2">
      <c r="AH287" t="s">
        <v>5053</v>
      </c>
      <c r="AM287" t="s">
        <v>5050</v>
      </c>
      <c r="AW287" t="s">
        <v>5011</v>
      </c>
      <c r="AX287" t="s">
        <v>5011</v>
      </c>
      <c r="AY287" t="s">
        <v>3252</v>
      </c>
      <c r="CJ287" t="s">
        <v>5014</v>
      </c>
      <c r="CK287" t="s">
        <v>5008</v>
      </c>
      <c r="CO287" t="s">
        <v>5054</v>
      </c>
      <c r="CU287" t="s">
        <v>5005</v>
      </c>
      <c r="CV287" t="s">
        <v>5051</v>
      </c>
      <c r="CW287" t="s">
        <v>5051</v>
      </c>
    </row>
    <row r="288" spans="1:107" x14ac:dyDescent="0.2">
      <c r="AM288" t="s">
        <v>3250</v>
      </c>
      <c r="AW288" t="s">
        <v>5012</v>
      </c>
      <c r="AX288" t="s">
        <v>5052</v>
      </c>
      <c r="CK288" t="s">
        <v>5011</v>
      </c>
      <c r="CU288" t="s">
        <v>5009</v>
      </c>
      <c r="CW288" t="s">
        <v>5003</v>
      </c>
    </row>
    <row r="289" spans="1:99" x14ac:dyDescent="0.2">
      <c r="AM289" t="s">
        <v>2039</v>
      </c>
      <c r="AX289" t="s">
        <v>4274</v>
      </c>
      <c r="CK289" t="s">
        <v>5012</v>
      </c>
      <c r="CU289" t="s">
        <v>2211</v>
      </c>
    </row>
    <row r="290" spans="1:99" x14ac:dyDescent="0.2">
      <c r="AM290" t="s">
        <v>3253</v>
      </c>
      <c r="AX290" t="s">
        <v>3460</v>
      </c>
      <c r="CK290" t="s">
        <v>5052</v>
      </c>
      <c r="CU290" t="s">
        <v>5014</v>
      </c>
    </row>
    <row r="291" spans="1:99" x14ac:dyDescent="0.2">
      <c r="AM291" t="s">
        <v>5051</v>
      </c>
      <c r="CK291" t="s">
        <v>3252</v>
      </c>
    </row>
    <row r="299" spans="1:99" x14ac:dyDescent="0.2">
      <c r="A299" t="s">
        <v>3258</v>
      </c>
      <c r="AU299" t="s">
        <v>1366</v>
      </c>
      <c r="BH299" t="s">
        <v>1366</v>
      </c>
      <c r="BI299" t="s">
        <v>1366</v>
      </c>
    </row>
    <row r="303" spans="1:99" x14ac:dyDescent="0.2">
      <c r="A303" t="s">
        <v>3807</v>
      </c>
      <c r="BK303" t="s">
        <v>1490</v>
      </c>
      <c r="BQ303" t="s">
        <v>1490</v>
      </c>
      <c r="BR303" t="s">
        <v>1490</v>
      </c>
    </row>
    <row r="308" spans="1:136" x14ac:dyDescent="0.2">
      <c r="A308" t="s">
        <v>2767</v>
      </c>
      <c r="DH308" t="s">
        <v>28</v>
      </c>
      <c r="DI308" t="s">
        <v>28</v>
      </c>
      <c r="DJ308" t="s">
        <v>28</v>
      </c>
      <c r="DK308" t="s">
        <v>28</v>
      </c>
      <c r="DS308" t="s">
        <v>591</v>
      </c>
      <c r="DT308" t="s">
        <v>591</v>
      </c>
      <c r="DU308" t="s">
        <v>591</v>
      </c>
      <c r="DZ308" t="s">
        <v>1556</v>
      </c>
      <c r="EA308" t="s">
        <v>1556</v>
      </c>
      <c r="EB308" t="s">
        <v>1556</v>
      </c>
      <c r="EC308" t="s">
        <v>1556</v>
      </c>
      <c r="ED308" t="s">
        <v>1556</v>
      </c>
      <c r="EE308" t="s">
        <v>1556</v>
      </c>
      <c r="EF308" t="s">
        <v>1556</v>
      </c>
    </row>
    <row r="316" spans="1:136" x14ac:dyDescent="0.2">
      <c r="A316" t="s">
        <v>2766</v>
      </c>
    </row>
    <row r="319" spans="1:136" x14ac:dyDescent="0.2">
      <c r="A319" t="s">
        <v>2513</v>
      </c>
    </row>
    <row r="321" spans="1:188" x14ac:dyDescent="0.2">
      <c r="A321" t="s">
        <v>1713</v>
      </c>
      <c r="BL321" t="s">
        <v>249</v>
      </c>
      <c r="BR321" t="s">
        <v>1359</v>
      </c>
      <c r="BU321" t="s">
        <v>6819</v>
      </c>
      <c r="BX321" t="s">
        <v>5043</v>
      </c>
      <c r="BY321" t="s">
        <v>5043</v>
      </c>
      <c r="CG321" t="s">
        <v>6820</v>
      </c>
      <c r="CY321" t="s">
        <v>1804</v>
      </c>
      <c r="DB321" t="s">
        <v>4883</v>
      </c>
      <c r="FG321" t="s">
        <v>249</v>
      </c>
    </row>
    <row r="322" spans="1:188" x14ac:dyDescent="0.2">
      <c r="A322" t="s">
        <v>3906</v>
      </c>
    </row>
    <row r="323" spans="1:188" x14ac:dyDescent="0.2">
      <c r="A323" t="s">
        <v>3907</v>
      </c>
      <c r="C323" t="s">
        <v>3215</v>
      </c>
      <c r="D323" t="s">
        <v>3215</v>
      </c>
      <c r="E323" t="s">
        <v>3215</v>
      </c>
      <c r="F323" t="s">
        <v>3215</v>
      </c>
      <c r="H323" t="s">
        <v>3215</v>
      </c>
      <c r="I323" t="s">
        <v>3215</v>
      </c>
      <c r="J323" t="s">
        <v>3215</v>
      </c>
      <c r="K323" t="s">
        <v>3215</v>
      </c>
      <c r="L323" t="s">
        <v>3215</v>
      </c>
      <c r="M323" t="s">
        <v>3215</v>
      </c>
      <c r="N323" t="s">
        <v>3215</v>
      </c>
      <c r="O323" t="s">
        <v>3215</v>
      </c>
      <c r="P323" t="s">
        <v>3215</v>
      </c>
      <c r="Q323" t="s">
        <v>3215</v>
      </c>
      <c r="R323" t="s">
        <v>3215</v>
      </c>
      <c r="S323" t="s">
        <v>3215</v>
      </c>
      <c r="T323" t="s">
        <v>3215</v>
      </c>
      <c r="U323" t="s">
        <v>3215</v>
      </c>
      <c r="V323" t="s">
        <v>3215</v>
      </c>
      <c r="W323" t="s">
        <v>3215</v>
      </c>
      <c r="X323" t="s">
        <v>3215</v>
      </c>
      <c r="Y323" t="s">
        <v>3215</v>
      </c>
      <c r="Z323" t="s">
        <v>3215</v>
      </c>
      <c r="AA323" t="s">
        <v>3215</v>
      </c>
      <c r="AB323" t="s">
        <v>3215</v>
      </c>
      <c r="AC323" t="s">
        <v>3215</v>
      </c>
      <c r="AD323" t="s">
        <v>3215</v>
      </c>
      <c r="AE323" t="s">
        <v>3215</v>
      </c>
      <c r="AF323" t="s">
        <v>3215</v>
      </c>
      <c r="AG323" t="s">
        <v>3215</v>
      </c>
      <c r="AH323" t="s">
        <v>3215</v>
      </c>
      <c r="AI323" t="s">
        <v>3215</v>
      </c>
      <c r="AN323" t="s">
        <v>3215</v>
      </c>
      <c r="AO323" t="s">
        <v>3215</v>
      </c>
      <c r="AP323" t="s">
        <v>3215</v>
      </c>
      <c r="AQ323" t="s">
        <v>3215</v>
      </c>
      <c r="AR323" t="s">
        <v>3215</v>
      </c>
      <c r="AS323" t="s">
        <v>3215</v>
      </c>
      <c r="AT323" t="s">
        <v>3215</v>
      </c>
      <c r="AU323" t="s">
        <v>3215</v>
      </c>
      <c r="AV323" t="s">
        <v>3215</v>
      </c>
      <c r="AW323" t="s">
        <v>3215</v>
      </c>
      <c r="AX323" t="s">
        <v>3215</v>
      </c>
      <c r="AY323" t="s">
        <v>3215</v>
      </c>
      <c r="AZ323" t="s">
        <v>3215</v>
      </c>
      <c r="BA323" t="s">
        <v>3215</v>
      </c>
      <c r="BB323" t="s">
        <v>3215</v>
      </c>
      <c r="BC323" t="s">
        <v>3215</v>
      </c>
      <c r="BD323" t="s">
        <v>3215</v>
      </c>
      <c r="BG323" t="s">
        <v>3215</v>
      </c>
      <c r="BH323" t="s">
        <v>3215</v>
      </c>
      <c r="BI323" t="s">
        <v>3215</v>
      </c>
      <c r="BJ323" t="s">
        <v>3215</v>
      </c>
      <c r="BK323" t="s">
        <v>3215</v>
      </c>
      <c r="BM323" t="s">
        <v>3215</v>
      </c>
      <c r="BN323" t="s">
        <v>3215</v>
      </c>
      <c r="BO323" t="s">
        <v>3215</v>
      </c>
      <c r="BP323" t="s">
        <v>3215</v>
      </c>
      <c r="BQ323" t="s">
        <v>3215</v>
      </c>
      <c r="BR323" t="s">
        <v>3215</v>
      </c>
      <c r="BS323" t="s">
        <v>3215</v>
      </c>
      <c r="BU323" t="s">
        <v>3215</v>
      </c>
      <c r="BV323" t="s">
        <v>3215</v>
      </c>
      <c r="BW323" t="s">
        <v>3215</v>
      </c>
      <c r="BX323" t="s">
        <v>3215</v>
      </c>
      <c r="BY323" t="s">
        <v>3215</v>
      </c>
      <c r="BZ323" t="s">
        <v>3215</v>
      </c>
      <c r="CA323" t="s">
        <v>3215</v>
      </c>
      <c r="CB323" t="s">
        <v>3215</v>
      </c>
      <c r="CC323" t="s">
        <v>3215</v>
      </c>
      <c r="CE323" t="s">
        <v>3215</v>
      </c>
      <c r="CF323" t="s">
        <v>3215</v>
      </c>
      <c r="CG323" t="s">
        <v>3215</v>
      </c>
      <c r="CH323" t="s">
        <v>3215</v>
      </c>
      <c r="CI323" t="s">
        <v>3215</v>
      </c>
      <c r="CL323" t="s">
        <v>3215</v>
      </c>
      <c r="CM323" t="s">
        <v>3215</v>
      </c>
      <c r="CN323" t="s">
        <v>3215</v>
      </c>
      <c r="CO323" t="s">
        <v>3215</v>
      </c>
      <c r="CP323" t="s">
        <v>3215</v>
      </c>
      <c r="CQ323" t="s">
        <v>3215</v>
      </c>
      <c r="CR323" t="s">
        <v>3215</v>
      </c>
      <c r="CS323" t="s">
        <v>3215</v>
      </c>
      <c r="CT323" t="s">
        <v>3215</v>
      </c>
      <c r="CU323" t="s">
        <v>3215</v>
      </c>
      <c r="CX323" t="s">
        <v>3215</v>
      </c>
      <c r="CY323" t="s">
        <v>3215</v>
      </c>
      <c r="CZ323" t="s">
        <v>3215</v>
      </c>
      <c r="DA323" t="s">
        <v>3215</v>
      </c>
      <c r="DB323" t="s">
        <v>3215</v>
      </c>
      <c r="DC323" t="s">
        <v>3215</v>
      </c>
      <c r="DD323" t="s">
        <v>3215</v>
      </c>
      <c r="DF323" t="s">
        <v>3215</v>
      </c>
      <c r="DG323" t="s">
        <v>3215</v>
      </c>
      <c r="DH323" t="s">
        <v>3215</v>
      </c>
      <c r="DI323" t="s">
        <v>3215</v>
      </c>
      <c r="DJ323" t="s">
        <v>3215</v>
      </c>
      <c r="DK323" t="s">
        <v>3215</v>
      </c>
      <c r="DL323" t="s">
        <v>3215</v>
      </c>
      <c r="DM323" t="s">
        <v>3215</v>
      </c>
      <c r="DN323" t="s">
        <v>3215</v>
      </c>
      <c r="DO323" t="s">
        <v>3215</v>
      </c>
      <c r="DP323" t="s">
        <v>3215</v>
      </c>
      <c r="DQ323" t="s">
        <v>3215</v>
      </c>
      <c r="DR323" t="s">
        <v>3215</v>
      </c>
      <c r="DS323" t="s">
        <v>3215</v>
      </c>
      <c r="DT323" t="s">
        <v>3215</v>
      </c>
      <c r="DU323" t="s">
        <v>3215</v>
      </c>
      <c r="DX323" t="s">
        <v>3215</v>
      </c>
      <c r="DZ323" t="s">
        <v>3215</v>
      </c>
      <c r="EA323" t="s">
        <v>3215</v>
      </c>
      <c r="EB323" t="s">
        <v>3215</v>
      </c>
      <c r="EC323" t="s">
        <v>3215</v>
      </c>
      <c r="ED323" t="s">
        <v>3215</v>
      </c>
      <c r="EE323" t="s">
        <v>3215</v>
      </c>
      <c r="EF323" t="s">
        <v>3215</v>
      </c>
    </row>
    <row r="324" spans="1:188" ht="12.75" customHeight="1" x14ac:dyDescent="0.2">
      <c r="A324" t="s">
        <v>749</v>
      </c>
      <c r="B324">
        <f>ROW()</f>
        <v>324</v>
      </c>
      <c r="C324">
        <v>24</v>
      </c>
      <c r="D324">
        <v>24</v>
      </c>
      <c r="E324">
        <v>24</v>
      </c>
      <c r="F324">
        <v>24</v>
      </c>
      <c r="G324">
        <v>12</v>
      </c>
      <c r="H324">
        <v>24</v>
      </c>
      <c r="I324">
        <v>24</v>
      </c>
      <c r="J324">
        <v>24</v>
      </c>
      <c r="K324">
        <v>24</v>
      </c>
      <c r="L324">
        <v>24</v>
      </c>
      <c r="M324">
        <v>24</v>
      </c>
      <c r="N324">
        <v>24</v>
      </c>
      <c r="O324">
        <v>24</v>
      </c>
      <c r="P324">
        <v>24</v>
      </c>
      <c r="Q324">
        <v>24</v>
      </c>
      <c r="R324">
        <v>24</v>
      </c>
      <c r="S324">
        <v>24</v>
      </c>
      <c r="T324">
        <v>24</v>
      </c>
      <c r="U324">
        <v>24</v>
      </c>
      <c r="V324">
        <v>24</v>
      </c>
      <c r="W324">
        <v>24</v>
      </c>
      <c r="X324">
        <v>24</v>
      </c>
      <c r="Y324">
        <v>24</v>
      </c>
      <c r="Z324">
        <v>24</v>
      </c>
      <c r="AA324">
        <v>24</v>
      </c>
      <c r="AB324">
        <v>24</v>
      </c>
      <c r="AC324">
        <v>24</v>
      </c>
      <c r="AD324">
        <v>24</v>
      </c>
      <c r="AE324">
        <v>24</v>
      </c>
      <c r="AG324">
        <v>24</v>
      </c>
      <c r="AI324">
        <v>24</v>
      </c>
      <c r="AO324">
        <v>24</v>
      </c>
      <c r="AP324">
        <v>24</v>
      </c>
      <c r="AQ324">
        <v>24</v>
      </c>
      <c r="AR324">
        <v>24</v>
      </c>
      <c r="AS324">
        <v>24</v>
      </c>
      <c r="AT324">
        <v>24</v>
      </c>
      <c r="AU324">
        <v>24</v>
      </c>
      <c r="AV324">
        <v>24</v>
      </c>
      <c r="AZ324">
        <v>24</v>
      </c>
      <c r="BA324">
        <v>24</v>
      </c>
      <c r="BB324">
        <v>24</v>
      </c>
      <c r="BC324">
        <v>24</v>
      </c>
      <c r="BD324">
        <v>24</v>
      </c>
      <c r="BF324">
        <v>12</v>
      </c>
      <c r="BG324">
        <v>24</v>
      </c>
      <c r="BH324">
        <v>12</v>
      </c>
      <c r="BI324">
        <v>13</v>
      </c>
      <c r="BJ324">
        <v>24</v>
      </c>
      <c r="BK324">
        <v>24</v>
      </c>
      <c r="BL324">
        <v>12</v>
      </c>
      <c r="BM324">
        <v>12</v>
      </c>
      <c r="BN324">
        <v>12</v>
      </c>
      <c r="BO324">
        <v>12</v>
      </c>
      <c r="BP324">
        <v>12</v>
      </c>
      <c r="BQ324">
        <v>24</v>
      </c>
      <c r="BR324">
        <v>24</v>
      </c>
      <c r="BS324">
        <v>24</v>
      </c>
      <c r="BT324">
        <v>24</v>
      </c>
      <c r="BU324">
        <v>24</v>
      </c>
      <c r="BV324">
        <v>24</v>
      </c>
      <c r="BW324">
        <v>24</v>
      </c>
      <c r="BX324">
        <v>24</v>
      </c>
      <c r="BY324">
        <v>24</v>
      </c>
      <c r="BZ324">
        <v>24</v>
      </c>
      <c r="CA324">
        <v>24</v>
      </c>
      <c r="CB324">
        <v>24</v>
      </c>
      <c r="CC324">
        <v>24</v>
      </c>
      <c r="CE324">
        <v>24</v>
      </c>
      <c r="CF324">
        <v>24</v>
      </c>
      <c r="CG324">
        <v>24</v>
      </c>
      <c r="CH324">
        <v>24</v>
      </c>
      <c r="CI324">
        <v>24</v>
      </c>
      <c r="CL324">
        <v>24</v>
      </c>
      <c r="CM324">
        <v>24</v>
      </c>
      <c r="CN324">
        <v>24</v>
      </c>
      <c r="CO324">
        <v>24</v>
      </c>
      <c r="CP324">
        <v>24</v>
      </c>
      <c r="CV324">
        <v>12</v>
      </c>
      <c r="CW324">
        <v>12</v>
      </c>
      <c r="CX324">
        <v>24</v>
      </c>
      <c r="CY324">
        <v>24</v>
      </c>
      <c r="DA324">
        <v>24</v>
      </c>
      <c r="DB324">
        <v>24</v>
      </c>
      <c r="DC324">
        <v>24</v>
      </c>
      <c r="DD324">
        <v>24</v>
      </c>
      <c r="DW324">
        <v>24</v>
      </c>
      <c r="EH324">
        <v>12</v>
      </c>
      <c r="EI324">
        <v>12</v>
      </c>
      <c r="EJ324">
        <v>24</v>
      </c>
      <c r="EK324">
        <v>24</v>
      </c>
      <c r="EL324">
        <v>24</v>
      </c>
      <c r="EM324">
        <v>24</v>
      </c>
      <c r="EN324">
        <v>24</v>
      </c>
      <c r="EO324">
        <v>24</v>
      </c>
      <c r="EP324">
        <v>24</v>
      </c>
      <c r="EQ324">
        <v>24</v>
      </c>
      <c r="ER324">
        <v>24</v>
      </c>
      <c r="ES324">
        <v>12</v>
      </c>
      <c r="ET324">
        <v>24</v>
      </c>
      <c r="EU324">
        <v>24</v>
      </c>
      <c r="EV324">
        <v>24</v>
      </c>
      <c r="EW324">
        <v>12</v>
      </c>
      <c r="EX324">
        <v>24</v>
      </c>
      <c r="EY324">
        <v>24</v>
      </c>
      <c r="EZ324">
        <v>24</v>
      </c>
      <c r="FA324">
        <v>24</v>
      </c>
      <c r="FB324">
        <v>12</v>
      </c>
      <c r="FC324">
        <v>12</v>
      </c>
      <c r="FD324">
        <v>12</v>
      </c>
      <c r="FE324">
        <v>24</v>
      </c>
      <c r="FF324">
        <v>24</v>
      </c>
      <c r="FG324">
        <v>12</v>
      </c>
      <c r="FH324">
        <v>12</v>
      </c>
      <c r="FI324">
        <v>24</v>
      </c>
      <c r="FJ324">
        <v>24</v>
      </c>
      <c r="FK324">
        <v>24</v>
      </c>
      <c r="FL324">
        <v>24</v>
      </c>
      <c r="FM324">
        <v>24</v>
      </c>
      <c r="FN324">
        <v>24</v>
      </c>
      <c r="FO324">
        <v>24</v>
      </c>
      <c r="FP324">
        <v>24</v>
      </c>
      <c r="FQ324">
        <v>24</v>
      </c>
      <c r="FR324">
        <v>24</v>
      </c>
      <c r="FS324">
        <v>24</v>
      </c>
      <c r="FT324">
        <v>24</v>
      </c>
      <c r="FU324">
        <v>24</v>
      </c>
      <c r="FW324">
        <v>12</v>
      </c>
      <c r="FX324">
        <v>24</v>
      </c>
      <c r="FY324">
        <v>24</v>
      </c>
      <c r="FZ324">
        <v>24</v>
      </c>
      <c r="GA324">
        <v>24</v>
      </c>
      <c r="GB324">
        <v>12</v>
      </c>
      <c r="GC324">
        <v>12</v>
      </c>
      <c r="GD324">
        <v>12</v>
      </c>
      <c r="GE324">
        <v>12</v>
      </c>
      <c r="GF324">
        <v>12</v>
      </c>
    </row>
    <row r="325" spans="1:188" ht="12.75" customHeight="1" x14ac:dyDescent="0.2">
      <c r="A325" t="s">
        <v>1423</v>
      </c>
      <c r="B325">
        <f>ROW()</f>
        <v>325</v>
      </c>
      <c r="J325" t="s">
        <v>1752</v>
      </c>
      <c r="T325" t="s">
        <v>1752</v>
      </c>
      <c r="U325" t="s">
        <v>1752</v>
      </c>
      <c r="V325" t="s">
        <v>1752</v>
      </c>
      <c r="W325" t="s">
        <v>1752</v>
      </c>
      <c r="X325" t="s">
        <v>1752</v>
      </c>
      <c r="Y325" t="s">
        <v>1752</v>
      </c>
      <c r="Z325" t="s">
        <v>1752</v>
      </c>
      <c r="AA325" t="s">
        <v>1752</v>
      </c>
      <c r="AB325" t="s">
        <v>1752</v>
      </c>
      <c r="AC325" t="s">
        <v>1752</v>
      </c>
      <c r="AD325" t="s">
        <v>1752</v>
      </c>
      <c r="AE325" t="s">
        <v>1752</v>
      </c>
      <c r="AG325" t="s">
        <v>1752</v>
      </c>
      <c r="AI325" t="s">
        <v>1752</v>
      </c>
      <c r="AZ325" t="s">
        <v>1752</v>
      </c>
      <c r="BA325" t="s">
        <v>1752</v>
      </c>
      <c r="BB325" t="s">
        <v>1752</v>
      </c>
      <c r="BC325" t="s">
        <v>1752</v>
      </c>
      <c r="BD325" t="s">
        <v>1752</v>
      </c>
      <c r="CB325" t="s">
        <v>1752</v>
      </c>
      <c r="CC325" t="s">
        <v>1752</v>
      </c>
      <c r="CD325" t="s">
        <v>1752</v>
      </c>
      <c r="CE325" t="s">
        <v>1752</v>
      </c>
      <c r="EX325" t="s">
        <v>1752</v>
      </c>
      <c r="EY325" t="s">
        <v>1752</v>
      </c>
      <c r="EZ325" t="s">
        <v>1752</v>
      </c>
      <c r="FA325" t="s">
        <v>1752</v>
      </c>
      <c r="FO325" t="s">
        <v>1752</v>
      </c>
      <c r="FP325" t="s">
        <v>1752</v>
      </c>
      <c r="FQ325" t="s">
        <v>1752</v>
      </c>
      <c r="FR325" t="s">
        <v>1752</v>
      </c>
    </row>
    <row r="326" spans="1:188" x14ac:dyDescent="0.2">
      <c r="A326" t="s">
        <v>21</v>
      </c>
      <c r="I326" t="s">
        <v>1752</v>
      </c>
      <c r="J326" t="s">
        <v>1752</v>
      </c>
      <c r="K326" t="s">
        <v>1752</v>
      </c>
      <c r="L326" t="s">
        <v>1752</v>
      </c>
      <c r="M326" t="s">
        <v>1752</v>
      </c>
      <c r="N326" t="s">
        <v>1752</v>
      </c>
      <c r="O326" t="s">
        <v>1752</v>
      </c>
      <c r="P326" t="s">
        <v>1752</v>
      </c>
      <c r="Q326" t="s">
        <v>1752</v>
      </c>
      <c r="R326" t="s">
        <v>1752</v>
      </c>
      <c r="S326" t="s">
        <v>1752</v>
      </c>
      <c r="T326" t="s">
        <v>1752</v>
      </c>
      <c r="U326" t="s">
        <v>1752</v>
      </c>
      <c r="V326" t="s">
        <v>1752</v>
      </c>
      <c r="W326" t="s">
        <v>1752</v>
      </c>
      <c r="X326" t="s">
        <v>1752</v>
      </c>
      <c r="Y326" t="s">
        <v>1752</v>
      </c>
      <c r="Z326" t="s">
        <v>1752</v>
      </c>
      <c r="AA326" t="s">
        <v>1752</v>
      </c>
      <c r="AB326" t="s">
        <v>1752</v>
      </c>
      <c r="AC326" t="s">
        <v>1752</v>
      </c>
      <c r="AD326" t="s">
        <v>1752</v>
      </c>
      <c r="AE326" t="s">
        <v>1752</v>
      </c>
      <c r="AG326" t="s">
        <v>1752</v>
      </c>
      <c r="AI326" t="s">
        <v>1752</v>
      </c>
      <c r="AS326" t="s">
        <v>1752</v>
      </c>
      <c r="AT326" t="s">
        <v>1752</v>
      </c>
      <c r="AU326" t="s">
        <v>1752</v>
      </c>
      <c r="AV326" t="s">
        <v>1752</v>
      </c>
      <c r="BG326" t="s">
        <v>1752</v>
      </c>
      <c r="BH326" t="s">
        <v>1752</v>
      </c>
      <c r="BI326" t="s">
        <v>1752</v>
      </c>
      <c r="BJ326" t="s">
        <v>1752</v>
      </c>
      <c r="BK326" t="s">
        <v>1752</v>
      </c>
      <c r="BL326" t="s">
        <v>1752</v>
      </c>
      <c r="BT326" t="s">
        <v>1752</v>
      </c>
      <c r="BU326" t="s">
        <v>1752</v>
      </c>
      <c r="BV326" t="s">
        <v>1752</v>
      </c>
      <c r="BW326" t="s">
        <v>1752</v>
      </c>
      <c r="BX326" t="s">
        <v>1752</v>
      </c>
      <c r="BY326" t="s">
        <v>1752</v>
      </c>
      <c r="BZ326" t="s">
        <v>1752</v>
      </c>
      <c r="CA326" t="s">
        <v>1752</v>
      </c>
      <c r="CB326" t="s">
        <v>1752</v>
      </c>
      <c r="CC326" t="s">
        <v>1752</v>
      </c>
      <c r="CD326" t="s">
        <v>1752</v>
      </c>
      <c r="CE326" t="s">
        <v>1752</v>
      </c>
      <c r="CF326" t="s">
        <v>1752</v>
      </c>
      <c r="CG326" t="s">
        <v>1752</v>
      </c>
      <c r="CH326" t="s">
        <v>1752</v>
      </c>
      <c r="CI326" t="s">
        <v>1752</v>
      </c>
      <c r="CL326" t="s">
        <v>1752</v>
      </c>
      <c r="CM326" t="s">
        <v>1752</v>
      </c>
      <c r="CN326" t="s">
        <v>1752</v>
      </c>
      <c r="CO326" t="s">
        <v>1752</v>
      </c>
      <c r="CP326" t="s">
        <v>1752</v>
      </c>
      <c r="CV326" t="s">
        <v>1752</v>
      </c>
      <c r="CW326" t="s">
        <v>1752</v>
      </c>
      <c r="CX326" t="s">
        <v>1752</v>
      </c>
      <c r="CY326" t="s">
        <v>1752</v>
      </c>
      <c r="DD326" t="s">
        <v>1752</v>
      </c>
      <c r="EJ326" t="s">
        <v>1752</v>
      </c>
      <c r="EK326" t="s">
        <v>1752</v>
      </c>
      <c r="EL326" t="s">
        <v>1752</v>
      </c>
      <c r="EM326" t="s">
        <v>1752</v>
      </c>
      <c r="EN326" t="s">
        <v>1752</v>
      </c>
      <c r="EO326" t="s">
        <v>1752</v>
      </c>
      <c r="EP326" t="s">
        <v>1752</v>
      </c>
      <c r="EQ326" t="s">
        <v>1752</v>
      </c>
      <c r="ER326" t="s">
        <v>1752</v>
      </c>
      <c r="EV326" t="s">
        <v>1752</v>
      </c>
      <c r="FD326" t="s">
        <v>1752</v>
      </c>
      <c r="FE326" t="s">
        <v>1752</v>
      </c>
      <c r="FF326" t="s">
        <v>1752</v>
      </c>
      <c r="FG326" t="s">
        <v>1752</v>
      </c>
      <c r="FK326" t="s">
        <v>1752</v>
      </c>
      <c r="FL326" t="s">
        <v>1752</v>
      </c>
      <c r="FM326" t="s">
        <v>1752</v>
      </c>
      <c r="FN326" t="s">
        <v>1752</v>
      </c>
      <c r="FO326" t="s">
        <v>1752</v>
      </c>
      <c r="FP326" t="s">
        <v>1752</v>
      </c>
      <c r="FQ326" t="s">
        <v>1752</v>
      </c>
      <c r="FR326" t="s">
        <v>1752</v>
      </c>
      <c r="FS326" t="s">
        <v>1752</v>
      </c>
      <c r="FT326" t="s">
        <v>1752</v>
      </c>
      <c r="FU326" t="s">
        <v>1752</v>
      </c>
      <c r="FW326" t="s">
        <v>1752</v>
      </c>
      <c r="FX326" t="s">
        <v>1752</v>
      </c>
      <c r="FY326" t="s">
        <v>1752</v>
      </c>
      <c r="FZ326" t="s">
        <v>1752</v>
      </c>
    </row>
    <row r="327" spans="1:188" ht="12.75" customHeight="1" x14ac:dyDescent="0.2">
      <c r="A327" t="s">
        <v>1019</v>
      </c>
      <c r="C327" t="s">
        <v>1752</v>
      </c>
      <c r="D327" t="s">
        <v>1752</v>
      </c>
      <c r="E327" t="s">
        <v>1752</v>
      </c>
      <c r="F327" t="s">
        <v>1752</v>
      </c>
      <c r="I327" t="s">
        <v>1752</v>
      </c>
      <c r="J327" t="s">
        <v>1752</v>
      </c>
      <c r="K327" t="s">
        <v>1752</v>
      </c>
      <c r="L327" t="s">
        <v>1752</v>
      </c>
      <c r="M327" t="s">
        <v>1752</v>
      </c>
      <c r="N327" t="s">
        <v>1752</v>
      </c>
      <c r="O327" t="s">
        <v>1752</v>
      </c>
      <c r="P327" t="s">
        <v>1752</v>
      </c>
      <c r="Q327" t="s">
        <v>1752</v>
      </c>
      <c r="R327" t="s">
        <v>1752</v>
      </c>
      <c r="S327" t="s">
        <v>1752</v>
      </c>
      <c r="T327" t="s">
        <v>1752</v>
      </c>
      <c r="U327" t="s">
        <v>1752</v>
      </c>
      <c r="V327" t="s">
        <v>1752</v>
      </c>
      <c r="W327" t="s">
        <v>1752</v>
      </c>
      <c r="X327" t="s">
        <v>1752</v>
      </c>
      <c r="Y327" t="s">
        <v>1752</v>
      </c>
      <c r="Z327" t="s">
        <v>1752</v>
      </c>
      <c r="AA327" t="s">
        <v>1752</v>
      </c>
      <c r="AB327" t="s">
        <v>1752</v>
      </c>
      <c r="AC327" t="s">
        <v>1752</v>
      </c>
      <c r="AD327" t="s">
        <v>1752</v>
      </c>
      <c r="AE327" t="s">
        <v>1752</v>
      </c>
      <c r="AG327" t="s">
        <v>1752</v>
      </c>
      <c r="AI327" t="s">
        <v>1752</v>
      </c>
      <c r="AZ327" t="s">
        <v>1752</v>
      </c>
      <c r="BA327" t="s">
        <v>1752</v>
      </c>
      <c r="BB327" t="s">
        <v>1752</v>
      </c>
      <c r="BC327" t="s">
        <v>1752</v>
      </c>
      <c r="BD327" t="s">
        <v>1752</v>
      </c>
      <c r="BG327" t="s">
        <v>1752</v>
      </c>
      <c r="BM327" t="s">
        <v>1752</v>
      </c>
      <c r="BN327" t="s">
        <v>1752</v>
      </c>
      <c r="BO327" t="s">
        <v>1752</v>
      </c>
      <c r="BP327" t="s">
        <v>1752</v>
      </c>
      <c r="BQ327" t="s">
        <v>1752</v>
      </c>
      <c r="BR327" t="s">
        <v>1752</v>
      </c>
      <c r="BS327" t="s">
        <v>1752</v>
      </c>
      <c r="EH327" t="s">
        <v>1752</v>
      </c>
      <c r="EJ327" t="s">
        <v>1752</v>
      </c>
      <c r="EK327" t="s">
        <v>1752</v>
      </c>
      <c r="EL327" t="s">
        <v>1752</v>
      </c>
      <c r="EM327" t="s">
        <v>1752</v>
      </c>
      <c r="EN327" t="s">
        <v>1752</v>
      </c>
      <c r="EO327" t="s">
        <v>1752</v>
      </c>
      <c r="EP327" t="s">
        <v>1752</v>
      </c>
      <c r="EQ327" t="s">
        <v>1752</v>
      </c>
      <c r="ER327" t="s">
        <v>1752</v>
      </c>
      <c r="EX327" t="s">
        <v>1752</v>
      </c>
      <c r="EY327" t="s">
        <v>1752</v>
      </c>
      <c r="EZ327" t="s">
        <v>1752</v>
      </c>
      <c r="FA327" t="s">
        <v>1752</v>
      </c>
      <c r="FH327" t="s">
        <v>1752</v>
      </c>
      <c r="FI327" t="s">
        <v>1752</v>
      </c>
      <c r="FJ327" t="s">
        <v>1752</v>
      </c>
    </row>
    <row r="328" spans="1:188" x14ac:dyDescent="0.2">
      <c r="A328" t="s">
        <v>1020</v>
      </c>
      <c r="G328" t="s">
        <v>1752</v>
      </c>
      <c r="I328" t="s">
        <v>1752</v>
      </c>
      <c r="J328" t="s">
        <v>1752</v>
      </c>
      <c r="K328" t="s">
        <v>1752</v>
      </c>
      <c r="L328" t="s">
        <v>1752</v>
      </c>
      <c r="M328" t="s">
        <v>1752</v>
      </c>
      <c r="N328" t="s">
        <v>1752</v>
      </c>
      <c r="O328" t="s">
        <v>1752</v>
      </c>
      <c r="P328" t="s">
        <v>1752</v>
      </c>
      <c r="Q328" t="s">
        <v>1752</v>
      </c>
      <c r="R328" t="s">
        <v>1752</v>
      </c>
      <c r="S328" t="s">
        <v>1752</v>
      </c>
      <c r="T328" t="s">
        <v>1752</v>
      </c>
      <c r="U328" t="s">
        <v>1752</v>
      </c>
      <c r="V328" t="s">
        <v>1752</v>
      </c>
      <c r="W328" t="s">
        <v>1752</v>
      </c>
      <c r="X328" t="s">
        <v>1752</v>
      </c>
      <c r="Y328" t="s">
        <v>1752</v>
      </c>
      <c r="Z328" t="s">
        <v>1752</v>
      </c>
      <c r="AA328" t="s">
        <v>1752</v>
      </c>
      <c r="AB328" t="s">
        <v>1752</v>
      </c>
      <c r="AC328" t="s">
        <v>1752</v>
      </c>
      <c r="AD328" t="s">
        <v>1752</v>
      </c>
      <c r="AE328" t="s">
        <v>1752</v>
      </c>
      <c r="AG328" t="s">
        <v>1752</v>
      </c>
      <c r="AI328" t="s">
        <v>1752</v>
      </c>
      <c r="AO328" t="s">
        <v>1752</v>
      </c>
      <c r="AP328" t="s">
        <v>1752</v>
      </c>
      <c r="AQ328" t="s">
        <v>1752</v>
      </c>
      <c r="AR328" t="s">
        <v>1752</v>
      </c>
      <c r="AZ328" t="s">
        <v>1752</v>
      </c>
      <c r="BA328" t="s">
        <v>1752</v>
      </c>
      <c r="BB328" t="s">
        <v>1752</v>
      </c>
      <c r="BC328" t="s">
        <v>1752</v>
      </c>
      <c r="BD328" t="s">
        <v>1752</v>
      </c>
      <c r="BG328" t="s">
        <v>1752</v>
      </c>
      <c r="BH328" t="s">
        <v>1752</v>
      </c>
      <c r="BI328" t="s">
        <v>1752</v>
      </c>
      <c r="BM328" t="s">
        <v>1752</v>
      </c>
      <c r="BN328" t="s">
        <v>1752</v>
      </c>
      <c r="BO328" t="s">
        <v>1752</v>
      </c>
      <c r="BP328" t="s">
        <v>1752</v>
      </c>
      <c r="BQ328" t="s">
        <v>1752</v>
      </c>
      <c r="BR328" t="s">
        <v>1752</v>
      </c>
      <c r="BS328" t="s">
        <v>1752</v>
      </c>
      <c r="BT328" t="s">
        <v>1752</v>
      </c>
      <c r="BU328" t="s">
        <v>1752</v>
      </c>
      <c r="BV328" t="s">
        <v>1752</v>
      </c>
      <c r="BW328" t="s">
        <v>1752</v>
      </c>
      <c r="BX328" t="s">
        <v>1752</v>
      </c>
      <c r="BY328" t="s">
        <v>1752</v>
      </c>
      <c r="BZ328" t="s">
        <v>1752</v>
      </c>
      <c r="CA328" t="s">
        <v>1752</v>
      </c>
      <c r="CB328" t="s">
        <v>1752</v>
      </c>
      <c r="CC328" t="s">
        <v>1752</v>
      </c>
      <c r="CD328" t="s">
        <v>1752</v>
      </c>
      <c r="CE328" t="s">
        <v>1752</v>
      </c>
      <c r="CF328" t="s">
        <v>1752</v>
      </c>
      <c r="CG328" t="s">
        <v>1752</v>
      </c>
      <c r="CH328" t="s">
        <v>1752</v>
      </c>
      <c r="CI328" t="s">
        <v>1752</v>
      </c>
      <c r="CL328" t="s">
        <v>1752</v>
      </c>
      <c r="CM328" t="s">
        <v>1752</v>
      </c>
      <c r="CX328" t="s">
        <v>1752</v>
      </c>
      <c r="CY328" t="s">
        <v>1752</v>
      </c>
      <c r="DA328" t="s">
        <v>1752</v>
      </c>
      <c r="DB328" t="s">
        <v>1752</v>
      </c>
      <c r="DC328" t="s">
        <v>1752</v>
      </c>
      <c r="DD328" t="s">
        <v>1752</v>
      </c>
      <c r="DW328" t="s">
        <v>1752</v>
      </c>
      <c r="EI328" t="s">
        <v>1752</v>
      </c>
      <c r="EJ328" t="s">
        <v>1752</v>
      </c>
      <c r="EK328" t="s">
        <v>1752</v>
      </c>
      <c r="EL328" t="s">
        <v>1752</v>
      </c>
      <c r="EM328" t="s">
        <v>1752</v>
      </c>
      <c r="EN328" t="s">
        <v>1752</v>
      </c>
      <c r="EO328" t="s">
        <v>1752</v>
      </c>
      <c r="EP328" t="s">
        <v>1752</v>
      </c>
      <c r="EQ328" t="s">
        <v>1752</v>
      </c>
      <c r="ER328" t="s">
        <v>1752</v>
      </c>
      <c r="ET328" t="s">
        <v>1752</v>
      </c>
      <c r="EU328" t="s">
        <v>1752</v>
      </c>
      <c r="EX328" t="s">
        <v>1752</v>
      </c>
      <c r="EY328" t="s">
        <v>1752</v>
      </c>
      <c r="EZ328" t="s">
        <v>1752</v>
      </c>
      <c r="FA328" t="s">
        <v>1752</v>
      </c>
      <c r="FD328" t="s">
        <v>1752</v>
      </c>
      <c r="FH328" t="s">
        <v>1752</v>
      </c>
      <c r="FI328" t="s">
        <v>1752</v>
      </c>
      <c r="FJ328" t="s">
        <v>1752</v>
      </c>
      <c r="FK328" t="s">
        <v>1752</v>
      </c>
      <c r="FL328" t="s">
        <v>1752</v>
      </c>
      <c r="FM328" t="s">
        <v>1752</v>
      </c>
      <c r="FN328" t="s">
        <v>1752</v>
      </c>
      <c r="FO328" t="s">
        <v>1752</v>
      </c>
      <c r="FP328" t="s">
        <v>1752</v>
      </c>
      <c r="FQ328" t="s">
        <v>1752</v>
      </c>
      <c r="FR328" t="s">
        <v>1752</v>
      </c>
      <c r="FS328" t="s">
        <v>1752</v>
      </c>
      <c r="FT328" t="s">
        <v>1752</v>
      </c>
      <c r="FX328" t="s">
        <v>1752</v>
      </c>
      <c r="FY328" t="s">
        <v>1752</v>
      </c>
      <c r="FZ328" t="s">
        <v>1752</v>
      </c>
      <c r="GA328" t="s">
        <v>1752</v>
      </c>
    </row>
    <row r="329" spans="1:188" ht="12.75" customHeight="1" x14ac:dyDescent="0.2">
      <c r="A329" t="s">
        <v>20</v>
      </c>
      <c r="G329" t="s">
        <v>1752</v>
      </c>
      <c r="I329" t="s">
        <v>1752</v>
      </c>
      <c r="J329" t="s">
        <v>1752</v>
      </c>
      <c r="K329" t="s">
        <v>1752</v>
      </c>
      <c r="L329" t="s">
        <v>1752</v>
      </c>
      <c r="M329" t="s">
        <v>1752</v>
      </c>
      <c r="N329" t="s">
        <v>1752</v>
      </c>
      <c r="O329" t="s">
        <v>1752</v>
      </c>
      <c r="P329" t="s">
        <v>1752</v>
      </c>
      <c r="Q329" t="s">
        <v>1752</v>
      </c>
      <c r="R329" t="s">
        <v>1752</v>
      </c>
      <c r="S329" t="s">
        <v>1752</v>
      </c>
      <c r="T329" t="s">
        <v>1752</v>
      </c>
      <c r="U329" t="s">
        <v>1752</v>
      </c>
      <c r="V329" t="s">
        <v>1752</v>
      </c>
      <c r="W329" t="s">
        <v>1752</v>
      </c>
      <c r="X329" t="s">
        <v>1752</v>
      </c>
      <c r="Y329" t="s">
        <v>1752</v>
      </c>
      <c r="Z329" t="s">
        <v>1752</v>
      </c>
      <c r="AA329" t="s">
        <v>1752</v>
      </c>
      <c r="AB329" t="s">
        <v>1752</v>
      </c>
      <c r="AC329" t="s">
        <v>1752</v>
      </c>
      <c r="AD329" t="s">
        <v>1752</v>
      </c>
      <c r="AE329" t="s">
        <v>1752</v>
      </c>
      <c r="AG329" t="s">
        <v>1752</v>
      </c>
      <c r="AI329" t="s">
        <v>1752</v>
      </c>
      <c r="AZ329" t="s">
        <v>1752</v>
      </c>
      <c r="BA329" t="s">
        <v>1752</v>
      </c>
      <c r="BB329" t="s">
        <v>1752</v>
      </c>
      <c r="BC329" t="s">
        <v>1752</v>
      </c>
      <c r="BD329" t="s">
        <v>1752</v>
      </c>
      <c r="BG329" t="s">
        <v>1752</v>
      </c>
      <c r="BH329" t="s">
        <v>1752</v>
      </c>
      <c r="BI329" t="s">
        <v>1752</v>
      </c>
      <c r="BM329" t="s">
        <v>1752</v>
      </c>
      <c r="BN329" t="s">
        <v>1752</v>
      </c>
      <c r="BO329" t="s">
        <v>1752</v>
      </c>
      <c r="BP329" t="s">
        <v>1752</v>
      </c>
      <c r="BQ329" t="s">
        <v>1752</v>
      </c>
      <c r="BR329" t="s">
        <v>1752</v>
      </c>
      <c r="BS329" t="s">
        <v>1752</v>
      </c>
      <c r="CB329" t="s">
        <v>1752</v>
      </c>
      <c r="CC329" t="s">
        <v>1752</v>
      </c>
      <c r="CD329" t="s">
        <v>1752</v>
      </c>
      <c r="CE329" t="s">
        <v>1752</v>
      </c>
      <c r="CF329" t="s">
        <v>1752</v>
      </c>
      <c r="CG329" t="s">
        <v>1752</v>
      </c>
      <c r="CH329" t="s">
        <v>1752</v>
      </c>
      <c r="CI329" t="s">
        <v>1752</v>
      </c>
      <c r="CL329" t="s">
        <v>1752</v>
      </c>
      <c r="CM329" t="s">
        <v>1752</v>
      </c>
      <c r="CX329" t="s">
        <v>1752</v>
      </c>
      <c r="CY329" t="s">
        <v>1752</v>
      </c>
      <c r="DA329" t="s">
        <v>1752</v>
      </c>
      <c r="DB329" t="s">
        <v>1752</v>
      </c>
      <c r="DC329" t="s">
        <v>1752</v>
      </c>
      <c r="DD329" t="s">
        <v>1752</v>
      </c>
      <c r="EI329" t="s">
        <v>1752</v>
      </c>
      <c r="EJ329" t="s">
        <v>1752</v>
      </c>
      <c r="EK329" t="s">
        <v>1752</v>
      </c>
      <c r="EL329" t="s">
        <v>1752</v>
      </c>
      <c r="EM329" t="s">
        <v>1752</v>
      </c>
      <c r="EN329" t="s">
        <v>1752</v>
      </c>
      <c r="EO329" t="s">
        <v>1752</v>
      </c>
      <c r="EP329" t="s">
        <v>1752</v>
      </c>
      <c r="EQ329" t="s">
        <v>1752</v>
      </c>
      <c r="ER329" t="s">
        <v>1752</v>
      </c>
      <c r="ET329" t="s">
        <v>1752</v>
      </c>
      <c r="EU329" t="s">
        <v>1752</v>
      </c>
      <c r="EX329" t="s">
        <v>1752</v>
      </c>
      <c r="EY329" t="s">
        <v>1752</v>
      </c>
      <c r="EZ329" t="s">
        <v>1752</v>
      </c>
      <c r="FA329" t="s">
        <v>1752</v>
      </c>
      <c r="FD329" t="s">
        <v>1752</v>
      </c>
      <c r="FH329" t="s">
        <v>1752</v>
      </c>
      <c r="FI329" t="s">
        <v>1752</v>
      </c>
      <c r="FJ329" t="s">
        <v>1752</v>
      </c>
      <c r="FO329" t="s">
        <v>1752</v>
      </c>
      <c r="FP329" t="s">
        <v>1752</v>
      </c>
      <c r="FQ329" t="s">
        <v>1752</v>
      </c>
      <c r="FR329" t="s">
        <v>1752</v>
      </c>
      <c r="FS329" t="s">
        <v>1752</v>
      </c>
      <c r="FT329" t="s">
        <v>1752</v>
      </c>
      <c r="FX329" t="s">
        <v>1752</v>
      </c>
      <c r="FY329" t="s">
        <v>1752</v>
      </c>
      <c r="FZ329" t="s">
        <v>1752</v>
      </c>
      <c r="GA329" t="s">
        <v>1752</v>
      </c>
    </row>
    <row r="330" spans="1:188" x14ac:dyDescent="0.2">
      <c r="A330" t="s">
        <v>1424</v>
      </c>
      <c r="C330" t="s">
        <v>1752</v>
      </c>
      <c r="D330" t="s">
        <v>1752</v>
      </c>
      <c r="E330" t="s">
        <v>1752</v>
      </c>
      <c r="F330" t="s">
        <v>1752</v>
      </c>
      <c r="BJ330" t="s">
        <v>1752</v>
      </c>
      <c r="BK330" t="s">
        <v>1752</v>
      </c>
      <c r="BM330" t="s">
        <v>1752</v>
      </c>
      <c r="BN330" t="s">
        <v>1752</v>
      </c>
      <c r="BO330" t="s">
        <v>1752</v>
      </c>
      <c r="BP330" t="s">
        <v>1752</v>
      </c>
      <c r="BQ330" t="s">
        <v>1752</v>
      </c>
      <c r="BR330" t="s">
        <v>1752</v>
      </c>
      <c r="BS330" t="s">
        <v>1752</v>
      </c>
      <c r="BT330" t="s">
        <v>1752</v>
      </c>
      <c r="BU330" t="s">
        <v>1752</v>
      </c>
      <c r="BV330" t="s">
        <v>1752</v>
      </c>
      <c r="BW330" t="s">
        <v>1752</v>
      </c>
      <c r="BX330" t="s">
        <v>1752</v>
      </c>
      <c r="BY330" t="s">
        <v>1752</v>
      </c>
      <c r="BZ330" t="s">
        <v>1752</v>
      </c>
      <c r="CA330" t="s">
        <v>1752</v>
      </c>
      <c r="CX330" t="s">
        <v>1752</v>
      </c>
      <c r="CY330" t="s">
        <v>1752</v>
      </c>
      <c r="DA330" t="s">
        <v>1752</v>
      </c>
      <c r="DB330" t="s">
        <v>1752</v>
      </c>
      <c r="DC330" t="s">
        <v>1752</v>
      </c>
      <c r="DW330" t="s">
        <v>1752</v>
      </c>
      <c r="EH330" t="s">
        <v>1752</v>
      </c>
      <c r="ET330" t="s">
        <v>1752</v>
      </c>
      <c r="EU330" t="s">
        <v>1752</v>
      </c>
      <c r="FE330" t="s">
        <v>1752</v>
      </c>
      <c r="FF330" t="s">
        <v>1752</v>
      </c>
      <c r="FH330" t="s">
        <v>1752</v>
      </c>
      <c r="FI330" t="s">
        <v>1752</v>
      </c>
      <c r="FJ330" t="s">
        <v>1752</v>
      </c>
      <c r="FK330" t="s">
        <v>1752</v>
      </c>
      <c r="FL330" t="s">
        <v>1752</v>
      </c>
      <c r="FM330" t="s">
        <v>1752</v>
      </c>
      <c r="FN330" t="s">
        <v>1752</v>
      </c>
      <c r="FX330" t="s">
        <v>1752</v>
      </c>
      <c r="FY330" t="s">
        <v>1752</v>
      </c>
      <c r="FZ330" t="s">
        <v>1752</v>
      </c>
      <c r="GA330" t="s">
        <v>1752</v>
      </c>
    </row>
    <row r="331" spans="1:188" ht="12.75" customHeight="1" x14ac:dyDescent="0.2">
      <c r="A331" t="s">
        <v>1016</v>
      </c>
      <c r="G331" t="s">
        <v>1752</v>
      </c>
      <c r="AO331" t="s">
        <v>1752</v>
      </c>
      <c r="AP331" t="s">
        <v>1752</v>
      </c>
      <c r="AQ331" t="s">
        <v>1752</v>
      </c>
      <c r="AR331" t="s">
        <v>1752</v>
      </c>
      <c r="AS331" t="s">
        <v>1752</v>
      </c>
      <c r="AT331" t="s">
        <v>1752</v>
      </c>
      <c r="AU331" t="s">
        <v>1752</v>
      </c>
      <c r="AV331" t="s">
        <v>1752</v>
      </c>
      <c r="BH331" t="s">
        <v>1752</v>
      </c>
      <c r="BI331" t="s">
        <v>1752</v>
      </c>
      <c r="BL331" t="s">
        <v>1752</v>
      </c>
      <c r="BT331" t="s">
        <v>1752</v>
      </c>
      <c r="BU331" t="s">
        <v>1752</v>
      </c>
      <c r="BV331" t="s">
        <v>1752</v>
      </c>
      <c r="BW331" t="s">
        <v>1752</v>
      </c>
      <c r="BX331" t="s">
        <v>1752</v>
      </c>
      <c r="BY331" t="s">
        <v>1752</v>
      </c>
      <c r="BZ331" t="s">
        <v>1752</v>
      </c>
      <c r="CA331" t="s">
        <v>1752</v>
      </c>
      <c r="CF331" t="s">
        <v>1752</v>
      </c>
      <c r="CG331" t="s">
        <v>1752</v>
      </c>
      <c r="CH331" t="s">
        <v>1752</v>
      </c>
      <c r="CI331" t="s">
        <v>1752</v>
      </c>
      <c r="CL331" t="s">
        <v>1752</v>
      </c>
      <c r="CM331" t="s">
        <v>1752</v>
      </c>
      <c r="CN331" t="s">
        <v>1752</v>
      </c>
      <c r="CO331" t="s">
        <v>1752</v>
      </c>
      <c r="CP331" t="s">
        <v>1752</v>
      </c>
      <c r="CV331" t="s">
        <v>1752</v>
      </c>
      <c r="CW331" t="s">
        <v>1752</v>
      </c>
      <c r="DA331" t="s">
        <v>1752</v>
      </c>
      <c r="DB331" t="s">
        <v>1752</v>
      </c>
      <c r="DC331" t="s">
        <v>1752</v>
      </c>
      <c r="EI331" t="s">
        <v>1752</v>
      </c>
      <c r="ET331" t="s">
        <v>1752</v>
      </c>
      <c r="EU331" t="s">
        <v>1752</v>
      </c>
      <c r="EV331" t="s">
        <v>1752</v>
      </c>
      <c r="FD331" t="s">
        <v>1752</v>
      </c>
      <c r="FG331" t="s">
        <v>1752</v>
      </c>
      <c r="FK331" t="s">
        <v>1752</v>
      </c>
      <c r="FL331" t="s">
        <v>1752</v>
      </c>
      <c r="FM331" t="s">
        <v>1752</v>
      </c>
      <c r="FN331" t="s">
        <v>1752</v>
      </c>
      <c r="FS331" t="s">
        <v>1752</v>
      </c>
      <c r="FT331" t="s">
        <v>1752</v>
      </c>
      <c r="FU331" t="s">
        <v>1752</v>
      </c>
      <c r="FW331" t="s">
        <v>1752</v>
      </c>
      <c r="GA331" t="s">
        <v>1752</v>
      </c>
    </row>
    <row r="332" spans="1:188" x14ac:dyDescent="0.2">
      <c r="A332" t="s">
        <v>1017</v>
      </c>
      <c r="C332" t="s">
        <v>1752</v>
      </c>
      <c r="D332" t="s">
        <v>1752</v>
      </c>
      <c r="E332" t="s">
        <v>1752</v>
      </c>
      <c r="F332" t="s">
        <v>1752</v>
      </c>
      <c r="G332" t="s">
        <v>1752</v>
      </c>
      <c r="AO332" t="s">
        <v>1752</v>
      </c>
      <c r="AP332" t="s">
        <v>1752</v>
      </c>
      <c r="AQ332" t="s">
        <v>1752</v>
      </c>
      <c r="AR332" t="s">
        <v>1752</v>
      </c>
      <c r="AS332" t="s">
        <v>1752</v>
      </c>
      <c r="AT332" t="s">
        <v>1752</v>
      </c>
      <c r="AU332" t="s">
        <v>1752</v>
      </c>
      <c r="AV332" t="s">
        <v>1752</v>
      </c>
      <c r="BJ332" t="s">
        <v>1752</v>
      </c>
      <c r="BK332" t="s">
        <v>1752</v>
      </c>
      <c r="BL332" t="s">
        <v>1752</v>
      </c>
      <c r="CN332" t="s">
        <v>1752</v>
      </c>
      <c r="CO332" t="s">
        <v>1752</v>
      </c>
      <c r="CP332" t="s">
        <v>1752</v>
      </c>
      <c r="CV332" t="s">
        <v>1752</v>
      </c>
      <c r="CW332" t="s">
        <v>1752</v>
      </c>
      <c r="DD332" t="s">
        <v>1752</v>
      </c>
      <c r="DW332" t="s">
        <v>1752</v>
      </c>
      <c r="EH332" t="s">
        <v>1752</v>
      </c>
      <c r="EI332" t="s">
        <v>1752</v>
      </c>
      <c r="ET332" t="s">
        <v>1752</v>
      </c>
      <c r="EU332" t="s">
        <v>1752</v>
      </c>
      <c r="EV332" t="s">
        <v>1752</v>
      </c>
      <c r="FE332" t="s">
        <v>1752</v>
      </c>
      <c r="FF332" t="s">
        <v>1752</v>
      </c>
      <c r="FG332" t="s">
        <v>1752</v>
      </c>
      <c r="FU332" t="s">
        <v>1752</v>
      </c>
      <c r="FW332" t="s">
        <v>1752</v>
      </c>
    </row>
    <row r="333" spans="1:188" ht="12.75" customHeight="1" x14ac:dyDescent="0.2">
      <c r="A333" t="s">
        <v>1018</v>
      </c>
      <c r="C333" t="s">
        <v>1752</v>
      </c>
      <c r="D333" t="s">
        <v>1752</v>
      </c>
      <c r="E333" t="s">
        <v>1752</v>
      </c>
      <c r="F333" t="s">
        <v>1752</v>
      </c>
      <c r="AO333" t="s">
        <v>1752</v>
      </c>
      <c r="AP333" t="s">
        <v>1752</v>
      </c>
      <c r="AQ333" t="s">
        <v>1752</v>
      </c>
      <c r="AR333" t="s">
        <v>1752</v>
      </c>
      <c r="AS333" t="s">
        <v>1752</v>
      </c>
      <c r="AT333" t="s">
        <v>1752</v>
      </c>
      <c r="AU333" t="s">
        <v>1752</v>
      </c>
      <c r="AV333" t="s">
        <v>1752</v>
      </c>
      <c r="BJ333" t="s">
        <v>1752</v>
      </c>
      <c r="BK333" t="s">
        <v>1752</v>
      </c>
      <c r="BL333" t="s">
        <v>1752</v>
      </c>
      <c r="CN333" t="s">
        <v>1752</v>
      </c>
      <c r="CO333" t="s">
        <v>1752</v>
      </c>
      <c r="CP333" t="s">
        <v>1752</v>
      </c>
      <c r="CV333" t="s">
        <v>1752</v>
      </c>
      <c r="CW333" t="s">
        <v>1752</v>
      </c>
      <c r="DW333" t="s">
        <v>1752</v>
      </c>
      <c r="EH333" t="s">
        <v>1752</v>
      </c>
      <c r="ET333" t="s">
        <v>1752</v>
      </c>
      <c r="EU333" t="s">
        <v>1752</v>
      </c>
      <c r="EV333" t="s">
        <v>1752</v>
      </c>
      <c r="FE333" t="s">
        <v>1752</v>
      </c>
      <c r="FF333" t="s">
        <v>1752</v>
      </c>
      <c r="FG333" t="s">
        <v>1752</v>
      </c>
      <c r="FU333" t="s">
        <v>1752</v>
      </c>
      <c r="FW333" t="s">
        <v>1752</v>
      </c>
    </row>
    <row r="334" spans="1:188" x14ac:dyDescent="0.2">
      <c r="A334" t="s">
        <v>262</v>
      </c>
      <c r="B334">
        <f>ROW()</f>
        <v>334</v>
      </c>
      <c r="C334" t="s">
        <v>2629</v>
      </c>
      <c r="D334" t="s">
        <v>2629</v>
      </c>
      <c r="E334" t="s">
        <v>2629</v>
      </c>
      <c r="F334" t="s">
        <v>2629</v>
      </c>
      <c r="G334" t="s">
        <v>2629</v>
      </c>
      <c r="H334" t="s">
        <v>2629</v>
      </c>
      <c r="I334" t="s">
        <v>2629</v>
      </c>
      <c r="J334" t="s">
        <v>2629</v>
      </c>
      <c r="K334" t="s">
        <v>2629</v>
      </c>
      <c r="L334" t="s">
        <v>2629</v>
      </c>
      <c r="M334" t="s">
        <v>2629</v>
      </c>
      <c r="N334" t="s">
        <v>2629</v>
      </c>
      <c r="O334" t="s">
        <v>2629</v>
      </c>
      <c r="P334" t="s">
        <v>2629</v>
      </c>
      <c r="Q334" t="s">
        <v>2629</v>
      </c>
      <c r="R334" t="s">
        <v>2629</v>
      </c>
      <c r="S334" t="s">
        <v>2629</v>
      </c>
      <c r="T334" t="s">
        <v>2629</v>
      </c>
      <c r="U334" t="s">
        <v>2629</v>
      </c>
      <c r="V334" t="s">
        <v>2629</v>
      </c>
      <c r="W334" t="s">
        <v>2629</v>
      </c>
      <c r="X334" t="s">
        <v>2629</v>
      </c>
      <c r="Y334" t="s">
        <v>2629</v>
      </c>
      <c r="Z334" t="s">
        <v>2629</v>
      </c>
      <c r="AA334" t="s">
        <v>2629</v>
      </c>
      <c r="AB334" t="s">
        <v>2629</v>
      </c>
      <c r="AC334" t="s">
        <v>2629</v>
      </c>
      <c r="AD334" t="s">
        <v>2629</v>
      </c>
      <c r="AE334" t="s">
        <v>2629</v>
      </c>
      <c r="AG334" t="s">
        <v>2629</v>
      </c>
      <c r="AH334" t="s">
        <v>890</v>
      </c>
      <c r="AI334" t="s">
        <v>2629</v>
      </c>
      <c r="AO334" t="s">
        <v>2629</v>
      </c>
      <c r="AP334" t="s">
        <v>2629</v>
      </c>
      <c r="AQ334" t="s">
        <v>2629</v>
      </c>
      <c r="AR334" t="s">
        <v>2629</v>
      </c>
      <c r="AS334" t="s">
        <v>2629</v>
      </c>
      <c r="AT334" t="s">
        <v>2629</v>
      </c>
      <c r="AU334" t="s">
        <v>2629</v>
      </c>
      <c r="AV334" t="s">
        <v>2629</v>
      </c>
      <c r="AZ334" t="s">
        <v>2629</v>
      </c>
      <c r="BA334" t="s">
        <v>2629</v>
      </c>
      <c r="BB334" t="s">
        <v>2629</v>
      </c>
      <c r="BC334" t="s">
        <v>2629</v>
      </c>
      <c r="BD334" t="s">
        <v>2629</v>
      </c>
      <c r="BG334" t="s">
        <v>2630</v>
      </c>
      <c r="BH334" t="s">
        <v>2630</v>
      </c>
      <c r="BI334" t="s">
        <v>2630</v>
      </c>
      <c r="BJ334" t="s">
        <v>2629</v>
      </c>
      <c r="BK334" t="s">
        <v>2629</v>
      </c>
      <c r="BL334" t="s">
        <v>2630</v>
      </c>
      <c r="BM334" t="s">
        <v>2630</v>
      </c>
      <c r="BN334" t="s">
        <v>2630</v>
      </c>
      <c r="BO334" t="s">
        <v>2630</v>
      </c>
      <c r="BP334" t="s">
        <v>2630</v>
      </c>
      <c r="BQ334" t="s">
        <v>2629</v>
      </c>
      <c r="BR334" t="s">
        <v>2629</v>
      </c>
      <c r="BS334" t="s">
        <v>2629</v>
      </c>
      <c r="BT334" t="s">
        <v>2629</v>
      </c>
      <c r="BU334" t="s">
        <v>2629</v>
      </c>
      <c r="BV334" t="s">
        <v>2629</v>
      </c>
      <c r="BW334" t="s">
        <v>2629</v>
      </c>
      <c r="BX334" t="s">
        <v>2629</v>
      </c>
      <c r="BY334" t="s">
        <v>2629</v>
      </c>
      <c r="BZ334" t="s">
        <v>2629</v>
      </c>
      <c r="CA334" t="s">
        <v>2629</v>
      </c>
      <c r="CB334" t="s">
        <v>2629</v>
      </c>
      <c r="CC334" t="s">
        <v>2629</v>
      </c>
      <c r="CE334" t="s">
        <v>2629</v>
      </c>
      <c r="CF334" t="s">
        <v>2629</v>
      </c>
      <c r="CG334" t="s">
        <v>2629</v>
      </c>
      <c r="CH334" t="s">
        <v>2629</v>
      </c>
      <c r="CI334" t="s">
        <v>2629</v>
      </c>
      <c r="CL334" t="s">
        <v>2629</v>
      </c>
      <c r="CM334" t="s">
        <v>2629</v>
      </c>
      <c r="CN334" t="s">
        <v>2629</v>
      </c>
      <c r="CO334" t="s">
        <v>2629</v>
      </c>
      <c r="CP334" t="s">
        <v>2629</v>
      </c>
      <c r="CV334" t="s">
        <v>2630</v>
      </c>
      <c r="CW334" t="s">
        <v>2630</v>
      </c>
      <c r="CX334" t="s">
        <v>2629</v>
      </c>
      <c r="CY334" t="s">
        <v>2629</v>
      </c>
      <c r="DA334" t="s">
        <v>2629</v>
      </c>
      <c r="DB334" t="s">
        <v>2629</v>
      </c>
      <c r="DC334" t="s">
        <v>2629</v>
      </c>
      <c r="DD334" t="s">
        <v>2630</v>
      </c>
      <c r="DW334" t="s">
        <v>2630</v>
      </c>
      <c r="EX334" t="s">
        <v>2629</v>
      </c>
      <c r="EY334" t="s">
        <v>2629</v>
      </c>
      <c r="EZ334" t="s">
        <v>2629</v>
      </c>
      <c r="FA334" t="s">
        <v>2629</v>
      </c>
      <c r="FS334" t="s">
        <v>2629</v>
      </c>
      <c r="FT334" t="s">
        <v>2629</v>
      </c>
    </row>
    <row r="339" spans="1:190" x14ac:dyDescent="0.2">
      <c r="A339" t="s">
        <v>263</v>
      </c>
      <c r="B339">
        <f>ROW()</f>
        <v>339</v>
      </c>
      <c r="AN339" t="s">
        <v>890</v>
      </c>
      <c r="BE339" t="s">
        <v>890</v>
      </c>
      <c r="CJ339" t="s">
        <v>890</v>
      </c>
    </row>
    <row r="343" spans="1:190" x14ac:dyDescent="0.2">
      <c r="A343" t="s">
        <v>2650</v>
      </c>
      <c r="B343">
        <f>ROW()</f>
        <v>343</v>
      </c>
      <c r="C343" t="s">
        <v>4328</v>
      </c>
      <c r="D343" t="s">
        <v>4328</v>
      </c>
      <c r="E343" t="s">
        <v>4328</v>
      </c>
      <c r="F343" t="s">
        <v>4328</v>
      </c>
      <c r="G343" t="s">
        <v>4995</v>
      </c>
      <c r="H343" t="s">
        <v>2465</v>
      </c>
      <c r="I343" t="s">
        <v>2465</v>
      </c>
      <c r="J343" t="s">
        <v>2465</v>
      </c>
      <c r="K343" t="s">
        <v>2465</v>
      </c>
      <c r="L343" t="s">
        <v>2465</v>
      </c>
      <c r="M343" t="s">
        <v>2465</v>
      </c>
      <c r="N343" t="s">
        <v>2465</v>
      </c>
      <c r="O343" t="s">
        <v>2465</v>
      </c>
      <c r="P343" t="s">
        <v>2465</v>
      </c>
      <c r="Q343" t="s">
        <v>2465</v>
      </c>
      <c r="R343" t="s">
        <v>2465</v>
      </c>
      <c r="S343" t="s">
        <v>2465</v>
      </c>
      <c r="T343" t="s">
        <v>2465</v>
      </c>
      <c r="U343" t="s">
        <v>2465</v>
      </c>
      <c r="V343" t="s">
        <v>2465</v>
      </c>
      <c r="W343" t="s">
        <v>2465</v>
      </c>
      <c r="X343" t="s">
        <v>2465</v>
      </c>
      <c r="Y343" t="s">
        <v>2465</v>
      </c>
      <c r="Z343" t="s">
        <v>2465</v>
      </c>
      <c r="AA343" t="s">
        <v>2465</v>
      </c>
      <c r="AB343" t="s">
        <v>2465</v>
      </c>
      <c r="AC343" t="s">
        <v>2465</v>
      </c>
      <c r="AD343" t="s">
        <v>2465</v>
      </c>
      <c r="AE343" t="s">
        <v>2465</v>
      </c>
      <c r="AG343" t="s">
        <v>2465</v>
      </c>
      <c r="AI343" t="s">
        <v>2465</v>
      </c>
      <c r="AO343" t="s">
        <v>2463</v>
      </c>
      <c r="AP343" t="s">
        <v>2463</v>
      </c>
      <c r="AQ343" t="s">
        <v>2463</v>
      </c>
      <c r="AR343" t="s">
        <v>2463</v>
      </c>
      <c r="AS343" t="s">
        <v>1095</v>
      </c>
      <c r="AT343" t="s">
        <v>1095</v>
      </c>
      <c r="AU343" t="s">
        <v>1095</v>
      </c>
      <c r="AV343" t="s">
        <v>1095</v>
      </c>
      <c r="AZ343" t="s">
        <v>1094</v>
      </c>
      <c r="BA343" t="s">
        <v>1094</v>
      </c>
      <c r="BB343" t="s">
        <v>1094</v>
      </c>
      <c r="BC343" t="s">
        <v>1094</v>
      </c>
      <c r="BD343" t="s">
        <v>1094</v>
      </c>
      <c r="BF343" t="s">
        <v>2980</v>
      </c>
      <c r="BG343" t="s">
        <v>4838</v>
      </c>
      <c r="BH343" t="s">
        <v>4996</v>
      </c>
      <c r="BI343" t="s">
        <v>4996</v>
      </c>
      <c r="BJ343" t="s">
        <v>83</v>
      </c>
      <c r="BK343" t="s">
        <v>83</v>
      </c>
      <c r="BL343" t="s">
        <v>4837</v>
      </c>
      <c r="BM343" t="s">
        <v>4997</v>
      </c>
      <c r="BN343" t="s">
        <v>4997</v>
      </c>
      <c r="BO343" t="s">
        <v>4997</v>
      </c>
      <c r="BP343" t="s">
        <v>4997</v>
      </c>
      <c r="BQ343" t="s">
        <v>82</v>
      </c>
      <c r="BR343" t="s">
        <v>82</v>
      </c>
      <c r="BS343" t="s">
        <v>82</v>
      </c>
      <c r="BT343" t="s">
        <v>1097</v>
      </c>
      <c r="BU343" t="s">
        <v>1097</v>
      </c>
      <c r="BV343" t="s">
        <v>1097</v>
      </c>
      <c r="BW343" t="s">
        <v>1097</v>
      </c>
      <c r="BX343" t="s">
        <v>1097</v>
      </c>
      <c r="BY343" t="s">
        <v>1097</v>
      </c>
      <c r="BZ343" t="s">
        <v>1097</v>
      </c>
      <c r="CA343" t="s">
        <v>1097</v>
      </c>
      <c r="CB343" t="s">
        <v>2462</v>
      </c>
      <c r="CC343" t="s">
        <v>2462</v>
      </c>
      <c r="CE343" t="s">
        <v>2462</v>
      </c>
      <c r="CF343" t="s">
        <v>84</v>
      </c>
      <c r="CG343" t="s">
        <v>84</v>
      </c>
      <c r="CH343" t="s">
        <v>84</v>
      </c>
      <c r="CI343" t="s">
        <v>84</v>
      </c>
      <c r="CL343" t="s">
        <v>84</v>
      </c>
      <c r="CM343" t="s">
        <v>84</v>
      </c>
      <c r="CN343" t="s">
        <v>2969</v>
      </c>
      <c r="CO343" t="s">
        <v>2969</v>
      </c>
      <c r="CP343" t="s">
        <v>2969</v>
      </c>
      <c r="CV343" t="s">
        <v>4836</v>
      </c>
      <c r="CW343" t="s">
        <v>4836</v>
      </c>
      <c r="CX343" t="s">
        <v>2464</v>
      </c>
      <c r="CY343" t="s">
        <v>2464</v>
      </c>
      <c r="DA343" t="s">
        <v>1096</v>
      </c>
      <c r="DB343" t="s">
        <v>1096</v>
      </c>
      <c r="DC343" t="s">
        <v>1096</v>
      </c>
      <c r="DD343" t="s">
        <v>2461</v>
      </c>
      <c r="DW343" t="s">
        <v>4329</v>
      </c>
      <c r="EH343" t="s">
        <v>4328</v>
      </c>
      <c r="EI343" t="s">
        <v>4995</v>
      </c>
      <c r="EJ343" t="s">
        <v>2465</v>
      </c>
      <c r="EK343" t="s">
        <v>2465</v>
      </c>
      <c r="EL343" t="s">
        <v>2465</v>
      </c>
      <c r="EM343" t="s">
        <v>2465</v>
      </c>
      <c r="EN343" t="s">
        <v>2465</v>
      </c>
      <c r="EO343" t="s">
        <v>2465</v>
      </c>
      <c r="EP343" t="s">
        <v>2465</v>
      </c>
      <c r="EQ343" t="s">
        <v>2465</v>
      </c>
      <c r="ER343" t="s">
        <v>2465</v>
      </c>
      <c r="ET343" t="s">
        <v>2463</v>
      </c>
      <c r="EU343" t="s">
        <v>2463</v>
      </c>
      <c r="EV343" t="s">
        <v>1095</v>
      </c>
      <c r="EX343" t="s">
        <v>1094</v>
      </c>
      <c r="EY343" t="s">
        <v>1094</v>
      </c>
      <c r="EZ343" t="s">
        <v>1094</v>
      </c>
      <c r="FA343" t="s">
        <v>1094</v>
      </c>
      <c r="FD343" t="s">
        <v>4996</v>
      </c>
      <c r="FE343" t="s">
        <v>83</v>
      </c>
      <c r="FF343" t="s">
        <v>83</v>
      </c>
      <c r="FG343" t="s">
        <v>4837</v>
      </c>
      <c r="FH343" t="s">
        <v>4997</v>
      </c>
      <c r="FI343" t="s">
        <v>2979</v>
      </c>
      <c r="FJ343" t="s">
        <v>2979</v>
      </c>
      <c r="FK343" t="s">
        <v>1097</v>
      </c>
      <c r="FL343" t="s">
        <v>1097</v>
      </c>
      <c r="FM343" t="s">
        <v>1097</v>
      </c>
      <c r="FN343" t="s">
        <v>1097</v>
      </c>
      <c r="FO343" t="s">
        <v>2462</v>
      </c>
      <c r="FP343" t="s">
        <v>2462</v>
      </c>
      <c r="FQ343" t="s">
        <v>2462</v>
      </c>
      <c r="FR343" t="s">
        <v>2462</v>
      </c>
      <c r="FS343" t="s">
        <v>84</v>
      </c>
      <c r="FT343" t="s">
        <v>84</v>
      </c>
      <c r="FU343" t="s">
        <v>2969</v>
      </c>
      <c r="FW343" t="s">
        <v>4836</v>
      </c>
      <c r="FX343" t="s">
        <v>2464</v>
      </c>
      <c r="FY343" t="s">
        <v>2464</v>
      </c>
      <c r="FZ343" t="s">
        <v>2464</v>
      </c>
      <c r="GA343" t="s">
        <v>1096</v>
      </c>
    </row>
    <row r="344" spans="1:190" x14ac:dyDescent="0.2">
      <c r="A344" t="s">
        <v>2651</v>
      </c>
      <c r="C344">
        <v>6</v>
      </c>
      <c r="D344">
        <v>6</v>
      </c>
      <c r="E344">
        <v>6</v>
      </c>
      <c r="F344">
        <v>6</v>
      </c>
      <c r="G344">
        <v>6</v>
      </c>
      <c r="H344">
        <v>5</v>
      </c>
      <c r="I344">
        <v>5</v>
      </c>
      <c r="J344">
        <v>5</v>
      </c>
      <c r="K344">
        <v>5</v>
      </c>
      <c r="L344">
        <v>5</v>
      </c>
      <c r="M344">
        <v>5</v>
      </c>
      <c r="N344">
        <v>5</v>
      </c>
      <c r="O344">
        <v>5</v>
      </c>
      <c r="P344">
        <v>5</v>
      </c>
      <c r="Q344">
        <v>5</v>
      </c>
      <c r="R344">
        <v>5</v>
      </c>
      <c r="S344">
        <v>5</v>
      </c>
      <c r="T344">
        <v>5</v>
      </c>
      <c r="U344">
        <v>5</v>
      </c>
      <c r="V344">
        <v>5</v>
      </c>
      <c r="W344">
        <v>5</v>
      </c>
      <c r="X344">
        <v>5</v>
      </c>
      <c r="Y344">
        <v>5</v>
      </c>
      <c r="Z344">
        <v>5</v>
      </c>
      <c r="AA344">
        <v>5</v>
      </c>
      <c r="AB344">
        <v>5</v>
      </c>
      <c r="AC344">
        <v>5</v>
      </c>
      <c r="AD344">
        <v>5</v>
      </c>
      <c r="AE344">
        <v>5</v>
      </c>
      <c r="AG344">
        <v>6</v>
      </c>
      <c r="AI344">
        <v>5</v>
      </c>
      <c r="AO344">
        <v>4</v>
      </c>
      <c r="AP344">
        <v>4</v>
      </c>
      <c r="AQ344">
        <v>4</v>
      </c>
      <c r="AR344">
        <v>4</v>
      </c>
      <c r="AS344">
        <v>6</v>
      </c>
      <c r="AT344">
        <v>7</v>
      </c>
      <c r="AU344">
        <v>6</v>
      </c>
      <c r="AV344">
        <v>6</v>
      </c>
      <c r="AZ344">
        <v>6</v>
      </c>
      <c r="BA344">
        <v>6</v>
      </c>
      <c r="BB344">
        <v>8</v>
      </c>
      <c r="BC344">
        <v>6</v>
      </c>
      <c r="BD344">
        <v>6</v>
      </c>
      <c r="BF344">
        <v>3</v>
      </c>
      <c r="BG344">
        <v>6</v>
      </c>
      <c r="BH344">
        <v>7</v>
      </c>
      <c r="BI344">
        <v>7</v>
      </c>
      <c r="BJ344">
        <v>6</v>
      </c>
      <c r="BK344">
        <v>6</v>
      </c>
      <c r="BL344">
        <v>3</v>
      </c>
      <c r="BM344">
        <v>7</v>
      </c>
      <c r="BN344">
        <v>7</v>
      </c>
      <c r="BO344">
        <v>8</v>
      </c>
      <c r="BP344">
        <v>7</v>
      </c>
      <c r="BQ344">
        <v>7</v>
      </c>
      <c r="BR344">
        <v>7</v>
      </c>
      <c r="BS344">
        <v>7</v>
      </c>
      <c r="BT344">
        <v>6</v>
      </c>
      <c r="BU344">
        <v>6</v>
      </c>
      <c r="BV344">
        <v>6</v>
      </c>
      <c r="BW344">
        <v>6</v>
      </c>
      <c r="BX344">
        <v>6</v>
      </c>
      <c r="BY344">
        <v>6</v>
      </c>
      <c r="BZ344">
        <v>6</v>
      </c>
      <c r="CA344">
        <v>3</v>
      </c>
      <c r="CB344">
        <v>6</v>
      </c>
      <c r="CC344">
        <v>6</v>
      </c>
      <c r="CE344">
        <v>6</v>
      </c>
      <c r="CF344">
        <v>6</v>
      </c>
      <c r="CG344">
        <v>6</v>
      </c>
      <c r="CH344">
        <v>6</v>
      </c>
      <c r="CI344">
        <v>6</v>
      </c>
      <c r="CL344">
        <v>6</v>
      </c>
      <c r="CM344">
        <v>6</v>
      </c>
      <c r="CN344">
        <v>6</v>
      </c>
      <c r="CO344">
        <v>4</v>
      </c>
      <c r="CP344">
        <v>7</v>
      </c>
      <c r="CV344">
        <v>6</v>
      </c>
      <c r="CW344">
        <v>6</v>
      </c>
      <c r="CX344">
        <v>5</v>
      </c>
      <c r="CY344">
        <v>5</v>
      </c>
      <c r="DA344">
        <v>7</v>
      </c>
      <c r="DB344">
        <v>7</v>
      </c>
      <c r="DC344">
        <v>7</v>
      </c>
      <c r="DD344">
        <v>8</v>
      </c>
      <c r="DW344">
        <v>3</v>
      </c>
      <c r="EH344">
        <v>3</v>
      </c>
      <c r="EI344">
        <v>3</v>
      </c>
      <c r="EJ344">
        <v>3</v>
      </c>
      <c r="EK344">
        <v>3</v>
      </c>
      <c r="EL344">
        <v>3</v>
      </c>
      <c r="EM344">
        <v>3</v>
      </c>
      <c r="EN344">
        <v>3</v>
      </c>
      <c r="EO344">
        <v>3</v>
      </c>
      <c r="EP344">
        <v>3</v>
      </c>
      <c r="EQ344">
        <v>3</v>
      </c>
      <c r="ER344">
        <v>3</v>
      </c>
      <c r="ES344">
        <v>3</v>
      </c>
      <c r="ET344">
        <v>3</v>
      </c>
      <c r="EU344">
        <v>3</v>
      </c>
      <c r="EV344">
        <v>3</v>
      </c>
      <c r="EW344">
        <v>3</v>
      </c>
      <c r="EX344">
        <v>3</v>
      </c>
      <c r="EY344">
        <v>3</v>
      </c>
      <c r="EZ344">
        <v>3</v>
      </c>
      <c r="FA344">
        <v>3</v>
      </c>
      <c r="FD344">
        <v>3</v>
      </c>
      <c r="FE344">
        <v>3</v>
      </c>
      <c r="FF344">
        <v>3</v>
      </c>
      <c r="FG344">
        <v>3</v>
      </c>
      <c r="FH344">
        <v>3</v>
      </c>
      <c r="FI344">
        <v>3</v>
      </c>
      <c r="FJ344">
        <v>3</v>
      </c>
      <c r="FK344">
        <v>3</v>
      </c>
      <c r="FL344">
        <v>3</v>
      </c>
      <c r="FM344">
        <v>3</v>
      </c>
      <c r="FN344">
        <v>3</v>
      </c>
      <c r="FO344">
        <v>3</v>
      </c>
      <c r="FP344">
        <v>3</v>
      </c>
      <c r="FQ344">
        <v>3</v>
      </c>
      <c r="FR344">
        <v>3</v>
      </c>
      <c r="FS344">
        <v>3</v>
      </c>
      <c r="FT344">
        <v>3</v>
      </c>
      <c r="FU344">
        <v>3</v>
      </c>
      <c r="FW344">
        <v>3</v>
      </c>
      <c r="FX344">
        <v>3</v>
      </c>
      <c r="FY344">
        <v>3</v>
      </c>
      <c r="FZ344">
        <v>3</v>
      </c>
      <c r="GA344">
        <v>3</v>
      </c>
      <c r="GB344">
        <v>3</v>
      </c>
    </row>
    <row r="345" spans="1:190" x14ac:dyDescent="0.2">
      <c r="A345" t="s">
        <v>7236</v>
      </c>
      <c r="B345">
        <f>ROW()</f>
        <v>345</v>
      </c>
      <c r="C345" t="s">
        <v>2594</v>
      </c>
      <c r="D345" t="s">
        <v>2594</v>
      </c>
      <c r="E345" t="s">
        <v>2594</v>
      </c>
      <c r="F345" t="s">
        <v>2594</v>
      </c>
      <c r="G345" t="s">
        <v>2592</v>
      </c>
      <c r="H345" t="s">
        <v>3039</v>
      </c>
      <c r="I345" t="s">
        <v>3039</v>
      </c>
      <c r="J345" t="s">
        <v>3039</v>
      </c>
      <c r="K345" t="s">
        <v>3039</v>
      </c>
      <c r="L345" t="s">
        <v>3039</v>
      </c>
      <c r="M345" t="s">
        <v>3039</v>
      </c>
      <c r="N345" t="s">
        <v>3039</v>
      </c>
      <c r="O345" t="s">
        <v>3039</v>
      </c>
      <c r="P345" t="s">
        <v>3039</v>
      </c>
      <c r="Q345" t="s">
        <v>3039</v>
      </c>
      <c r="R345" t="s">
        <v>3039</v>
      </c>
      <c r="S345" t="s">
        <v>3039</v>
      </c>
      <c r="T345" t="s">
        <v>3039</v>
      </c>
      <c r="U345" t="s">
        <v>3039</v>
      </c>
      <c r="V345" t="s">
        <v>3039</v>
      </c>
      <c r="W345" t="s">
        <v>3039</v>
      </c>
      <c r="X345" t="s">
        <v>3039</v>
      </c>
      <c r="Y345" t="s">
        <v>3039</v>
      </c>
      <c r="Z345" t="s">
        <v>3039</v>
      </c>
      <c r="AA345" t="s">
        <v>3039</v>
      </c>
      <c r="AB345" t="s">
        <v>3039</v>
      </c>
      <c r="AC345" t="s">
        <v>3039</v>
      </c>
      <c r="AD345" t="s">
        <v>3039</v>
      </c>
      <c r="AE345" t="s">
        <v>3039</v>
      </c>
      <c r="AG345" t="s">
        <v>3039</v>
      </c>
      <c r="AH345" t="s">
        <v>3039</v>
      </c>
      <c r="AI345" t="s">
        <v>3039</v>
      </c>
      <c r="AO345" t="s">
        <v>3275</v>
      </c>
      <c r="AP345" t="s">
        <v>3275</v>
      </c>
      <c r="AQ345" t="s">
        <v>3275</v>
      </c>
      <c r="AR345" t="s">
        <v>3275</v>
      </c>
      <c r="AS345" t="s">
        <v>3416</v>
      </c>
      <c r="AT345" t="s">
        <v>3416</v>
      </c>
      <c r="AU345" t="s">
        <v>3416</v>
      </c>
      <c r="AV345" t="s">
        <v>3416</v>
      </c>
      <c r="AZ345" t="s">
        <v>3277</v>
      </c>
      <c r="BA345" t="s">
        <v>3277</v>
      </c>
      <c r="BB345" t="s">
        <v>3277</v>
      </c>
      <c r="BC345" t="s">
        <v>3277</v>
      </c>
      <c r="BD345" t="s">
        <v>3277</v>
      </c>
      <c r="BG345" t="s">
        <v>3277</v>
      </c>
      <c r="BH345" t="s">
        <v>3412</v>
      </c>
      <c r="BI345" t="s">
        <v>3412</v>
      </c>
      <c r="BJ345" t="s">
        <v>2594</v>
      </c>
      <c r="BK345" t="s">
        <v>2594</v>
      </c>
      <c r="BL345" t="s">
        <v>3416</v>
      </c>
      <c r="BM345" t="s">
        <v>3277</v>
      </c>
      <c r="BN345" t="s">
        <v>3277</v>
      </c>
      <c r="BO345" t="s">
        <v>3277</v>
      </c>
      <c r="BP345" t="s">
        <v>3277</v>
      </c>
      <c r="BQ345" t="s">
        <v>3412</v>
      </c>
      <c r="BR345" t="s">
        <v>3412</v>
      </c>
      <c r="BS345" t="s">
        <v>3412</v>
      </c>
      <c r="BT345" t="s">
        <v>2592</v>
      </c>
      <c r="BU345" t="s">
        <v>2592</v>
      </c>
      <c r="BV345" t="s">
        <v>2592</v>
      </c>
      <c r="BW345" t="s">
        <v>2592</v>
      </c>
      <c r="BX345" t="s">
        <v>2592</v>
      </c>
      <c r="BY345" t="s">
        <v>2592</v>
      </c>
      <c r="BZ345" t="s">
        <v>2592</v>
      </c>
      <c r="CA345" t="s">
        <v>2592</v>
      </c>
      <c r="CB345" t="s">
        <v>2098</v>
      </c>
      <c r="CC345" t="s">
        <v>2098</v>
      </c>
      <c r="CE345" t="s">
        <v>2098</v>
      </c>
      <c r="CF345" t="s">
        <v>3409</v>
      </c>
      <c r="CG345" t="s">
        <v>3409</v>
      </c>
      <c r="CH345" t="s">
        <v>3409</v>
      </c>
      <c r="CI345" t="s">
        <v>3409</v>
      </c>
      <c r="CL345" t="s">
        <v>3409</v>
      </c>
      <c r="CM345" t="s">
        <v>3409</v>
      </c>
      <c r="CN345" t="s">
        <v>2228</v>
      </c>
      <c r="CO345" t="s">
        <v>2228</v>
      </c>
      <c r="CP345" t="s">
        <v>2228</v>
      </c>
      <c r="CV345" t="s">
        <v>2228</v>
      </c>
      <c r="CW345" t="s">
        <v>2228</v>
      </c>
      <c r="CX345" t="s">
        <v>2230</v>
      </c>
      <c r="CY345" t="s">
        <v>2230</v>
      </c>
      <c r="DA345" t="s">
        <v>2596</v>
      </c>
      <c r="DB345" t="s">
        <v>2596</v>
      </c>
      <c r="DC345" t="s">
        <v>2596</v>
      </c>
      <c r="DD345" t="s">
        <v>3412</v>
      </c>
      <c r="EH345" t="s">
        <v>2594</v>
      </c>
      <c r="EI345" t="s">
        <v>2592</v>
      </c>
      <c r="EJ345" t="s">
        <v>3039</v>
      </c>
      <c r="EK345" t="s">
        <v>3039</v>
      </c>
      <c r="EL345" t="s">
        <v>3039</v>
      </c>
      <c r="EM345" t="s">
        <v>3039</v>
      </c>
      <c r="EN345" t="s">
        <v>3039</v>
      </c>
      <c r="EO345" t="s">
        <v>3039</v>
      </c>
      <c r="EP345" t="s">
        <v>3039</v>
      </c>
      <c r="EQ345" t="s">
        <v>3039</v>
      </c>
      <c r="ER345" t="s">
        <v>3039</v>
      </c>
      <c r="ET345" t="s">
        <v>3275</v>
      </c>
      <c r="EU345" t="s">
        <v>3275</v>
      </c>
      <c r="EV345" t="s">
        <v>3416</v>
      </c>
      <c r="EX345" t="s">
        <v>3277</v>
      </c>
      <c r="EY345" t="s">
        <v>3277</v>
      </c>
      <c r="EZ345" t="s">
        <v>3277</v>
      </c>
      <c r="FA345" t="s">
        <v>3277</v>
      </c>
      <c r="FD345" t="s">
        <v>3412</v>
      </c>
      <c r="FE345" t="s">
        <v>2594</v>
      </c>
      <c r="FF345" t="s">
        <v>2594</v>
      </c>
      <c r="FG345" t="s">
        <v>3416</v>
      </c>
      <c r="FH345" t="s">
        <v>3277</v>
      </c>
      <c r="FI345" t="s">
        <v>3412</v>
      </c>
      <c r="FJ345" t="s">
        <v>3412</v>
      </c>
      <c r="FK345" t="s">
        <v>2592</v>
      </c>
      <c r="FL345" t="s">
        <v>2592</v>
      </c>
      <c r="FM345" t="s">
        <v>2592</v>
      </c>
      <c r="FN345" t="s">
        <v>2592</v>
      </c>
      <c r="FO345" t="s">
        <v>2098</v>
      </c>
      <c r="FP345" t="s">
        <v>2098</v>
      </c>
      <c r="FQ345" t="s">
        <v>2098</v>
      </c>
      <c r="FR345" t="s">
        <v>2098</v>
      </c>
      <c r="FS345" t="s">
        <v>3409</v>
      </c>
      <c r="FT345" t="s">
        <v>3409</v>
      </c>
      <c r="FU345" t="s">
        <v>2228</v>
      </c>
      <c r="FW345" t="s">
        <v>2228</v>
      </c>
      <c r="FX345" t="s">
        <v>2230</v>
      </c>
      <c r="FY345" t="s">
        <v>2230</v>
      </c>
      <c r="FZ345" t="s">
        <v>2230</v>
      </c>
      <c r="GA345" t="s">
        <v>2596</v>
      </c>
    </row>
    <row r="346" spans="1:190" x14ac:dyDescent="0.2">
      <c r="A346" t="s">
        <v>4420</v>
      </c>
      <c r="B346">
        <f>ROW()</f>
        <v>346</v>
      </c>
      <c r="DF346" t="s">
        <v>3279</v>
      </c>
      <c r="DG346" t="s">
        <v>1054</v>
      </c>
      <c r="DH346" t="s">
        <v>1705</v>
      </c>
      <c r="DI346" t="s">
        <v>1705</v>
      </c>
      <c r="DJ346" t="s">
        <v>1705</v>
      </c>
      <c r="DK346" t="s">
        <v>1001</v>
      </c>
      <c r="DL346" t="s">
        <v>491</v>
      </c>
      <c r="DM346" t="s">
        <v>491</v>
      </c>
      <c r="DN346" t="s">
        <v>491</v>
      </c>
      <c r="DO346" t="s">
        <v>491</v>
      </c>
      <c r="DP346" t="s">
        <v>2375</v>
      </c>
      <c r="DX346" t="s">
        <v>2905</v>
      </c>
      <c r="DZ346" t="s">
        <v>4975</v>
      </c>
      <c r="EA346" t="s">
        <v>4975</v>
      </c>
      <c r="EB346" t="s">
        <v>4975</v>
      </c>
      <c r="EC346" t="s">
        <v>4975</v>
      </c>
      <c r="ED346" t="s">
        <v>1004</v>
      </c>
      <c r="EE346" t="s">
        <v>4975</v>
      </c>
      <c r="EF346" t="s">
        <v>1888</v>
      </c>
    </row>
    <row r="347" spans="1:190" x14ac:dyDescent="0.2">
      <c r="A347" t="s">
        <v>1675</v>
      </c>
    </row>
    <row r="348" spans="1:190" x14ac:dyDescent="0.2">
      <c r="A348" t="s">
        <v>2925</v>
      </c>
      <c r="DF348">
        <v>6</v>
      </c>
      <c r="DG348">
        <v>4</v>
      </c>
      <c r="DH348">
        <v>3</v>
      </c>
      <c r="DI348">
        <v>3</v>
      </c>
      <c r="DJ348">
        <v>3</v>
      </c>
      <c r="DK348">
        <v>5</v>
      </c>
      <c r="DL348">
        <v>5</v>
      </c>
      <c r="DM348">
        <v>5</v>
      </c>
      <c r="DN348">
        <v>5</v>
      </c>
      <c r="DO348">
        <v>5</v>
      </c>
      <c r="DP348">
        <v>5</v>
      </c>
      <c r="DX348">
        <v>3</v>
      </c>
      <c r="DZ348">
        <v>4</v>
      </c>
      <c r="EA348">
        <v>4</v>
      </c>
      <c r="EB348">
        <v>4</v>
      </c>
      <c r="EC348">
        <v>4</v>
      </c>
      <c r="ED348">
        <v>4</v>
      </c>
      <c r="EE348">
        <v>4</v>
      </c>
      <c r="EF348">
        <v>4</v>
      </c>
    </row>
    <row r="349" spans="1:190" x14ac:dyDescent="0.2">
      <c r="A349" t="s">
        <v>2924</v>
      </c>
      <c r="DF349">
        <v>4</v>
      </c>
      <c r="DG349">
        <v>3</v>
      </c>
      <c r="DH349">
        <v>3</v>
      </c>
      <c r="DI349">
        <v>3</v>
      </c>
      <c r="DJ349">
        <v>3</v>
      </c>
      <c r="DK349">
        <v>4</v>
      </c>
      <c r="DL349">
        <v>5</v>
      </c>
      <c r="DM349">
        <v>5</v>
      </c>
      <c r="DN349">
        <v>5</v>
      </c>
      <c r="DO349">
        <v>5</v>
      </c>
      <c r="DP349">
        <v>4</v>
      </c>
      <c r="DX349">
        <v>3</v>
      </c>
      <c r="DZ349">
        <v>5</v>
      </c>
      <c r="EA349">
        <v>5</v>
      </c>
      <c r="EB349">
        <v>5</v>
      </c>
      <c r="EC349">
        <v>5</v>
      </c>
      <c r="ED349">
        <v>5</v>
      </c>
      <c r="EE349">
        <v>5</v>
      </c>
      <c r="EF349">
        <v>5</v>
      </c>
    </row>
    <row r="350" spans="1:190" x14ac:dyDescent="0.2">
      <c r="A350" t="s">
        <v>2926</v>
      </c>
      <c r="DF350">
        <v>3</v>
      </c>
      <c r="DG350">
        <v>4</v>
      </c>
      <c r="DH350">
        <v>6</v>
      </c>
      <c r="DI350">
        <v>6</v>
      </c>
      <c r="DJ350">
        <v>6</v>
      </c>
      <c r="DK350">
        <v>4</v>
      </c>
      <c r="DL350">
        <v>3</v>
      </c>
      <c r="DM350">
        <v>3</v>
      </c>
      <c r="DN350">
        <v>3</v>
      </c>
      <c r="DO350">
        <v>3</v>
      </c>
      <c r="DP350">
        <v>3</v>
      </c>
      <c r="DX350">
        <v>3</v>
      </c>
      <c r="DZ350">
        <v>5</v>
      </c>
      <c r="EA350">
        <v>5</v>
      </c>
      <c r="EB350">
        <v>5</v>
      </c>
      <c r="EC350">
        <v>5</v>
      </c>
      <c r="ED350">
        <v>5</v>
      </c>
      <c r="EE350">
        <v>5</v>
      </c>
      <c r="EF350">
        <v>5</v>
      </c>
    </row>
    <row r="351" spans="1:190" x14ac:dyDescent="0.2">
      <c r="A351" t="s">
        <v>2927</v>
      </c>
      <c r="DF351">
        <v>3</v>
      </c>
      <c r="DG351">
        <v>5</v>
      </c>
      <c r="DH351">
        <v>3</v>
      </c>
      <c r="DI351">
        <v>3</v>
      </c>
      <c r="DJ351">
        <v>3</v>
      </c>
      <c r="DK351">
        <v>3</v>
      </c>
      <c r="DL351">
        <v>3</v>
      </c>
      <c r="DM351">
        <v>3</v>
      </c>
      <c r="DN351">
        <v>3</v>
      </c>
      <c r="DO351">
        <v>3</v>
      </c>
      <c r="DP351">
        <v>5</v>
      </c>
      <c r="DX351">
        <v>3</v>
      </c>
      <c r="DZ351">
        <v>3</v>
      </c>
      <c r="EA351">
        <v>3</v>
      </c>
      <c r="EB351">
        <v>3</v>
      </c>
      <c r="EC351">
        <v>3</v>
      </c>
      <c r="ED351">
        <v>3</v>
      </c>
      <c r="EE351">
        <v>3</v>
      </c>
      <c r="EF351">
        <v>3</v>
      </c>
      <c r="GH351" t="s">
        <v>1928</v>
      </c>
    </row>
    <row r="352" spans="1:190" x14ac:dyDescent="0.2">
      <c r="A352" t="str">
        <f t="shared" ref="A352:A421" si="15">INDEX(Liturgien,ROW()-IDX_L+1)</f>
        <v>Blendstrahl aus Alveran</v>
      </c>
      <c r="B352">
        <f>ROW()</f>
        <v>352</v>
      </c>
      <c r="AS352" t="s">
        <v>4569</v>
      </c>
      <c r="AT352" t="s">
        <v>4569</v>
      </c>
      <c r="AU352" t="s">
        <v>4569</v>
      </c>
      <c r="AV352" t="s">
        <v>4569</v>
      </c>
      <c r="BJ352" t="s">
        <v>4569</v>
      </c>
      <c r="BK352" t="s">
        <v>4569</v>
      </c>
      <c r="BM352" t="s">
        <v>4569</v>
      </c>
      <c r="BN352" t="s">
        <v>4569</v>
      </c>
      <c r="BO352" t="s">
        <v>4569</v>
      </c>
      <c r="BP352" t="s">
        <v>4569</v>
      </c>
      <c r="BQ352" t="s">
        <v>4569</v>
      </c>
      <c r="BR352" t="s">
        <v>4569</v>
      </c>
      <c r="BS352" t="s">
        <v>4569</v>
      </c>
      <c r="CB352" t="s">
        <v>1321</v>
      </c>
      <c r="CC352" t="s">
        <v>1752</v>
      </c>
      <c r="CE352" t="s">
        <v>1321</v>
      </c>
      <c r="DA352" t="s">
        <v>4569</v>
      </c>
      <c r="DB352" t="s">
        <v>4569</v>
      </c>
      <c r="DC352" t="s">
        <v>4569</v>
      </c>
      <c r="DE352" t="s">
        <v>4483</v>
      </c>
      <c r="EG352" t="s">
        <v>4483</v>
      </c>
      <c r="FF352" t="s">
        <v>4569</v>
      </c>
      <c r="FO352" t="s">
        <v>1321</v>
      </c>
      <c r="FP352" t="s">
        <v>1321</v>
      </c>
      <c r="FQ352" t="s">
        <v>1321</v>
      </c>
      <c r="FR352" t="s">
        <v>1321</v>
      </c>
    </row>
    <row r="353" spans="1:190" x14ac:dyDescent="0.2">
      <c r="A353" t="str">
        <f t="shared" si="15"/>
        <v>Blick an den klaren Himmel</v>
      </c>
      <c r="B353" t="s">
        <v>4483</v>
      </c>
      <c r="AS353" t="s">
        <v>4569</v>
      </c>
      <c r="AT353" t="s">
        <v>4569</v>
      </c>
      <c r="AU353" t="s">
        <v>4569</v>
      </c>
      <c r="AV353" t="s">
        <v>4569</v>
      </c>
      <c r="AZ353" t="s">
        <v>1752</v>
      </c>
      <c r="BA353" t="s">
        <v>1752</v>
      </c>
      <c r="BB353" t="s">
        <v>1752</v>
      </c>
      <c r="BC353" t="s">
        <v>1752</v>
      </c>
      <c r="BD353" t="s">
        <v>1752</v>
      </c>
      <c r="BJ353" t="s">
        <v>4569</v>
      </c>
      <c r="BK353" t="s">
        <v>4569</v>
      </c>
      <c r="BM353" t="s">
        <v>4569</v>
      </c>
      <c r="BN353" t="s">
        <v>4569</v>
      </c>
      <c r="BO353" t="s">
        <v>4569</v>
      </c>
      <c r="BP353" t="s">
        <v>4569</v>
      </c>
      <c r="BQ353" t="s">
        <v>4569</v>
      </c>
      <c r="BR353" t="s">
        <v>4569</v>
      </c>
      <c r="BS353" t="s">
        <v>4569</v>
      </c>
      <c r="DA353" t="s">
        <v>4569</v>
      </c>
      <c r="DB353" t="s">
        <v>4569</v>
      </c>
      <c r="DC353" t="s">
        <v>4569</v>
      </c>
      <c r="EX353" t="s">
        <v>1321</v>
      </c>
      <c r="EZ353" t="s">
        <v>1321</v>
      </c>
      <c r="FA353" t="s">
        <v>1321</v>
      </c>
      <c r="FF353" t="s">
        <v>4569</v>
      </c>
    </row>
    <row r="354" spans="1:190" x14ac:dyDescent="0.2">
      <c r="A354" t="str">
        <f t="shared" si="15"/>
        <v>Der über das Schlachtfeld schreitet</v>
      </c>
    </row>
    <row r="355" spans="1:190" x14ac:dyDescent="0.2">
      <c r="A355" t="str">
        <f t="shared" si="15"/>
        <v>Des Herren Goldener Mittag</v>
      </c>
      <c r="AS355" t="s">
        <v>4569</v>
      </c>
      <c r="AT355" t="s">
        <v>4569</v>
      </c>
      <c r="AU355" t="s">
        <v>4569</v>
      </c>
      <c r="AV355" t="s">
        <v>4569</v>
      </c>
      <c r="BJ355" t="s">
        <v>4569</v>
      </c>
      <c r="BK355" t="s">
        <v>4569</v>
      </c>
      <c r="BM355" t="s">
        <v>4569</v>
      </c>
      <c r="BN355" t="s">
        <v>4569</v>
      </c>
      <c r="BO355" t="s">
        <v>4569</v>
      </c>
      <c r="BP355" t="s">
        <v>4569</v>
      </c>
      <c r="BQ355" t="s">
        <v>4569</v>
      </c>
      <c r="BR355" t="s">
        <v>4569</v>
      </c>
      <c r="BS355" t="s">
        <v>4569</v>
      </c>
      <c r="CB355" t="s">
        <v>1752</v>
      </c>
      <c r="CC355" t="s">
        <v>4588</v>
      </c>
      <c r="CE355" t="s">
        <v>1752</v>
      </c>
      <c r="DA355" t="s">
        <v>4569</v>
      </c>
      <c r="DB355" t="s">
        <v>4569</v>
      </c>
      <c r="DC355" t="s">
        <v>4569</v>
      </c>
      <c r="FF355" t="s">
        <v>4569</v>
      </c>
      <c r="FO355" t="s">
        <v>1321</v>
      </c>
      <c r="FP355" t="s">
        <v>1321</v>
      </c>
      <c r="FQ355" t="s">
        <v>1321</v>
      </c>
      <c r="FR355" t="s">
        <v>1321</v>
      </c>
    </row>
    <row r="356" spans="1:190" x14ac:dyDescent="0.2">
      <c r="A356" t="str">
        <f t="shared" si="15"/>
        <v>Die goldene Hand</v>
      </c>
    </row>
    <row r="357" spans="1:190" x14ac:dyDescent="0.2">
      <c r="A357" t="str">
        <f t="shared" si="15"/>
        <v>Eidsegen</v>
      </c>
      <c r="C357" t="s">
        <v>1752</v>
      </c>
      <c r="D357" t="s">
        <v>1752</v>
      </c>
      <c r="E357" t="s">
        <v>1752</v>
      </c>
      <c r="F357" t="s">
        <v>1752</v>
      </c>
      <c r="G357" t="s">
        <v>1321</v>
      </c>
      <c r="H357" t="s">
        <v>1752</v>
      </c>
      <c r="I357" t="s">
        <v>1752</v>
      </c>
      <c r="J357" t="s">
        <v>1752</v>
      </c>
      <c r="K357" t="s">
        <v>1752</v>
      </c>
      <c r="L357" t="s">
        <v>1752</v>
      </c>
      <c r="M357" t="s">
        <v>1752</v>
      </c>
      <c r="N357" t="s">
        <v>1752</v>
      </c>
      <c r="O357" t="s">
        <v>1752</v>
      </c>
      <c r="P357" t="s">
        <v>1752</v>
      </c>
      <c r="Q357" t="s">
        <v>1752</v>
      </c>
      <c r="R357" t="s">
        <v>1752</v>
      </c>
      <c r="S357" t="s">
        <v>1752</v>
      </c>
      <c r="T357" t="s">
        <v>1752</v>
      </c>
      <c r="U357" t="s">
        <v>1752</v>
      </c>
      <c r="V357" t="s">
        <v>1752</v>
      </c>
      <c r="W357" t="s">
        <v>1752</v>
      </c>
      <c r="X357" t="s">
        <v>1752</v>
      </c>
      <c r="Y357" t="s">
        <v>1752</v>
      </c>
      <c r="Z357" t="s">
        <v>1752</v>
      </c>
      <c r="AA357" t="s">
        <v>1752</v>
      </c>
      <c r="AB357" t="s">
        <v>1752</v>
      </c>
      <c r="AC357" t="s">
        <v>1752</v>
      </c>
      <c r="AD357" t="s">
        <v>1752</v>
      </c>
      <c r="AE357" t="s">
        <v>1752</v>
      </c>
      <c r="AG357" t="s">
        <v>1752</v>
      </c>
      <c r="AI357" t="s">
        <v>1752</v>
      </c>
      <c r="AO357" t="s">
        <v>1752</v>
      </c>
      <c r="AP357" t="s">
        <v>1752</v>
      </c>
      <c r="AQ357" t="s">
        <v>1752</v>
      </c>
      <c r="AR357" t="s">
        <v>1752</v>
      </c>
      <c r="AS357" t="s">
        <v>1752</v>
      </c>
      <c r="AT357" t="s">
        <v>1752</v>
      </c>
      <c r="AU357" t="s">
        <v>1752</v>
      </c>
      <c r="AV357" t="s">
        <v>1752</v>
      </c>
      <c r="AZ357" t="s">
        <v>1752</v>
      </c>
      <c r="BA357" t="s">
        <v>1752</v>
      </c>
      <c r="BB357" t="s">
        <v>1752</v>
      </c>
      <c r="BC357" t="s">
        <v>1752</v>
      </c>
      <c r="BD357" t="s">
        <v>1752</v>
      </c>
      <c r="BG357" t="s">
        <v>1752</v>
      </c>
      <c r="BH357" t="s">
        <v>1321</v>
      </c>
      <c r="BI357" t="s">
        <v>1321</v>
      </c>
      <c r="BJ357" t="s">
        <v>1752</v>
      </c>
      <c r="BK357" t="s">
        <v>1752</v>
      </c>
      <c r="BL357" t="s">
        <v>1752</v>
      </c>
      <c r="BM357" t="s">
        <v>1752</v>
      </c>
      <c r="BN357" t="s">
        <v>1752</v>
      </c>
      <c r="BO357" t="s">
        <v>1752</v>
      </c>
      <c r="BP357" t="s">
        <v>1752</v>
      </c>
      <c r="BQ357" t="s">
        <v>1752</v>
      </c>
      <c r="BR357" t="s">
        <v>1752</v>
      </c>
      <c r="BS357" t="s">
        <v>1752</v>
      </c>
      <c r="BT357" t="s">
        <v>1752</v>
      </c>
      <c r="BU357" t="s">
        <v>1752</v>
      </c>
      <c r="BV357" t="s">
        <v>1752</v>
      </c>
      <c r="BW357" t="s">
        <v>1752</v>
      </c>
      <c r="BX357" t="s">
        <v>1752</v>
      </c>
      <c r="BY357" t="s">
        <v>1752</v>
      </c>
      <c r="BZ357" t="s">
        <v>1752</v>
      </c>
      <c r="CA357" t="s">
        <v>1752</v>
      </c>
      <c r="CB357" t="s">
        <v>1752</v>
      </c>
      <c r="CC357" t="s">
        <v>1752</v>
      </c>
      <c r="CE357" t="s">
        <v>1752</v>
      </c>
      <c r="CF357" t="s">
        <v>1752</v>
      </c>
      <c r="CG357" t="s">
        <v>1752</v>
      </c>
      <c r="CH357" t="s">
        <v>1752</v>
      </c>
      <c r="CI357" t="s">
        <v>1752</v>
      </c>
      <c r="CL357" t="s">
        <v>1752</v>
      </c>
      <c r="CM357" t="s">
        <v>1752</v>
      </c>
      <c r="CN357" t="s">
        <v>1752</v>
      </c>
      <c r="CO357" t="s">
        <v>1752</v>
      </c>
      <c r="CP357" t="s">
        <v>1752</v>
      </c>
      <c r="CV357" t="s">
        <v>1752</v>
      </c>
      <c r="CW357" t="s">
        <v>1752</v>
      </c>
      <c r="CX357" t="s">
        <v>1752</v>
      </c>
      <c r="CY357" t="s">
        <v>1752</v>
      </c>
      <c r="DA357" t="s">
        <v>1752</v>
      </c>
      <c r="DB357" t="s">
        <v>1752</v>
      </c>
      <c r="DC357" t="s">
        <v>1752</v>
      </c>
      <c r="DD357" t="s">
        <v>1752</v>
      </c>
      <c r="EH357" t="s">
        <v>1321</v>
      </c>
      <c r="EI357" t="s">
        <v>1321</v>
      </c>
      <c r="EJ357" t="s">
        <v>1752</v>
      </c>
      <c r="EK357" t="s">
        <v>1752</v>
      </c>
      <c r="EL357" t="s">
        <v>1752</v>
      </c>
      <c r="EM357" t="s">
        <v>1752</v>
      </c>
      <c r="EN357" t="s">
        <v>1752</v>
      </c>
      <c r="EO357" t="s">
        <v>1752</v>
      </c>
      <c r="EP357" t="s">
        <v>1752</v>
      </c>
      <c r="EQ357" t="s">
        <v>1752</v>
      </c>
      <c r="ER357" t="s">
        <v>1752</v>
      </c>
      <c r="ET357" t="s">
        <v>1752</v>
      </c>
      <c r="EU357" t="s">
        <v>1752</v>
      </c>
      <c r="EV357" t="s">
        <v>1752</v>
      </c>
      <c r="EX357" t="s">
        <v>1752</v>
      </c>
      <c r="EZ357" t="s">
        <v>1752</v>
      </c>
      <c r="FA357" t="s">
        <v>1752</v>
      </c>
      <c r="FE357" t="s">
        <v>1752</v>
      </c>
      <c r="FF357" t="s">
        <v>1752</v>
      </c>
      <c r="FG357" t="s">
        <v>1752</v>
      </c>
      <c r="FH357" t="s">
        <v>1321</v>
      </c>
      <c r="FI357" t="s">
        <v>1321</v>
      </c>
      <c r="FJ357" t="s">
        <v>1752</v>
      </c>
      <c r="FK357" t="s">
        <v>1752</v>
      </c>
      <c r="FL357" t="s">
        <v>1752</v>
      </c>
      <c r="FM357" t="s">
        <v>1752</v>
      </c>
      <c r="FN357" t="s">
        <v>1752</v>
      </c>
      <c r="FO357" t="s">
        <v>1752</v>
      </c>
      <c r="FP357" t="s">
        <v>1752</v>
      </c>
      <c r="FQ357" t="s">
        <v>1752</v>
      </c>
      <c r="FR357" t="s">
        <v>1321</v>
      </c>
      <c r="FS357" t="s">
        <v>1752</v>
      </c>
      <c r="FT357" t="s">
        <v>1752</v>
      </c>
      <c r="FU357" t="s">
        <v>1752</v>
      </c>
      <c r="FW357" t="s">
        <v>1321</v>
      </c>
      <c r="FX357" t="s">
        <v>1752</v>
      </c>
      <c r="FY357" t="s">
        <v>1752</v>
      </c>
      <c r="FZ357" t="s">
        <v>1752</v>
      </c>
      <c r="GA357" t="s">
        <v>1752</v>
      </c>
      <c r="GH357" t="s">
        <v>1752</v>
      </c>
    </row>
    <row r="358" spans="1:190" x14ac:dyDescent="0.2">
      <c r="A358" t="str">
        <f t="shared" si="15"/>
        <v>Erneuerung des Geborstenen</v>
      </c>
      <c r="C358" t="s">
        <v>1321</v>
      </c>
      <c r="D358" t="s">
        <v>1321</v>
      </c>
      <c r="E358" t="s">
        <v>1321</v>
      </c>
      <c r="F358" t="s">
        <v>1321</v>
      </c>
      <c r="AS358" t="s">
        <v>4569</v>
      </c>
      <c r="AT358" t="s">
        <v>4569</v>
      </c>
      <c r="AU358" t="s">
        <v>4569</v>
      </c>
      <c r="AV358" t="s">
        <v>4569</v>
      </c>
      <c r="BJ358" t="s">
        <v>1752</v>
      </c>
      <c r="BK358" t="s">
        <v>1752</v>
      </c>
      <c r="BM358" t="s">
        <v>4569</v>
      </c>
      <c r="BN358" t="s">
        <v>4569</v>
      </c>
      <c r="BO358" t="s">
        <v>4569</v>
      </c>
      <c r="BP358" t="s">
        <v>4569</v>
      </c>
      <c r="BQ358" t="s">
        <v>4569</v>
      </c>
      <c r="BR358" t="s">
        <v>4569</v>
      </c>
      <c r="BS358" t="s">
        <v>4569</v>
      </c>
      <c r="DA358" t="s">
        <v>1321</v>
      </c>
      <c r="DB358" t="s">
        <v>1321</v>
      </c>
      <c r="DC358" t="s">
        <v>1321</v>
      </c>
      <c r="DW358" t="s">
        <v>1752</v>
      </c>
      <c r="EH358" t="s">
        <v>1321</v>
      </c>
      <c r="FE358" t="s">
        <v>1321</v>
      </c>
      <c r="FF358" t="s">
        <v>1321</v>
      </c>
      <c r="GA358" t="s">
        <v>1321</v>
      </c>
    </row>
    <row r="359" spans="1:190" x14ac:dyDescent="0.2">
      <c r="A359" t="str">
        <f t="shared" si="15"/>
        <v>Etilias Zeit der Meditation</v>
      </c>
      <c r="AS359" t="s">
        <v>4569</v>
      </c>
      <c r="AT359" t="s">
        <v>4569</v>
      </c>
      <c r="AU359" t="s">
        <v>4569</v>
      </c>
      <c r="AV359" t="s">
        <v>4569</v>
      </c>
      <c r="BJ359" t="s">
        <v>4569</v>
      </c>
      <c r="BK359" t="s">
        <v>4569</v>
      </c>
      <c r="BM359" t="s">
        <v>4569</v>
      </c>
      <c r="BN359" t="s">
        <v>4569</v>
      </c>
      <c r="BO359" t="s">
        <v>4569</v>
      </c>
      <c r="BP359" t="s">
        <v>4569</v>
      </c>
      <c r="BQ359" t="s">
        <v>4569</v>
      </c>
      <c r="BR359" t="s">
        <v>4569</v>
      </c>
      <c r="BS359" t="s">
        <v>4569</v>
      </c>
      <c r="DA359" t="s">
        <v>4569</v>
      </c>
      <c r="DB359" t="s">
        <v>4569</v>
      </c>
      <c r="DC359" t="s">
        <v>4569</v>
      </c>
      <c r="FF359" t="s">
        <v>4569</v>
      </c>
    </row>
    <row r="360" spans="1:190" x14ac:dyDescent="0.2">
      <c r="A360" t="str">
        <f t="shared" si="15"/>
        <v>Feuersegen</v>
      </c>
      <c r="C360" t="s">
        <v>1752</v>
      </c>
      <c r="D360" t="s">
        <v>1752</v>
      </c>
      <c r="E360" t="s">
        <v>1752</v>
      </c>
      <c r="F360" t="s">
        <v>1752</v>
      </c>
      <c r="G360" t="s">
        <v>1321</v>
      </c>
      <c r="H360" t="s">
        <v>1752</v>
      </c>
      <c r="I360" t="s">
        <v>1752</v>
      </c>
      <c r="J360" t="s">
        <v>1752</v>
      </c>
      <c r="K360" t="s">
        <v>1752</v>
      </c>
      <c r="L360" t="s">
        <v>1752</v>
      </c>
      <c r="M360" t="s">
        <v>1752</v>
      </c>
      <c r="N360" t="s">
        <v>1752</v>
      </c>
      <c r="O360" t="s">
        <v>1752</v>
      </c>
      <c r="P360" t="s">
        <v>1752</v>
      </c>
      <c r="Q360" t="s">
        <v>1752</v>
      </c>
      <c r="R360" t="s">
        <v>1752</v>
      </c>
      <c r="S360" t="s">
        <v>1752</v>
      </c>
      <c r="T360" t="s">
        <v>1752</v>
      </c>
      <c r="U360" t="s">
        <v>1752</v>
      </c>
      <c r="V360" t="s">
        <v>1752</v>
      </c>
      <c r="W360" t="s">
        <v>1752</v>
      </c>
      <c r="X360" t="s">
        <v>1752</v>
      </c>
      <c r="Y360" t="s">
        <v>1752</v>
      </c>
      <c r="Z360" t="s">
        <v>1752</v>
      </c>
      <c r="AA360" t="s">
        <v>1752</v>
      </c>
      <c r="AB360" t="s">
        <v>1752</v>
      </c>
      <c r="AC360" t="s">
        <v>1752</v>
      </c>
      <c r="AD360" t="s">
        <v>1752</v>
      </c>
      <c r="AE360" t="s">
        <v>1752</v>
      </c>
      <c r="AG360" t="s">
        <v>1752</v>
      </c>
      <c r="AI360" t="s">
        <v>1752</v>
      </c>
      <c r="AO360" t="s">
        <v>1752</v>
      </c>
      <c r="AP360" t="s">
        <v>1752</v>
      </c>
      <c r="AQ360" t="s">
        <v>1752</v>
      </c>
      <c r="AR360" t="s">
        <v>1752</v>
      </c>
      <c r="AS360" t="s">
        <v>1752</v>
      </c>
      <c r="AT360" t="s">
        <v>1752</v>
      </c>
      <c r="AU360" t="s">
        <v>1752</v>
      </c>
      <c r="AV360" t="s">
        <v>1752</v>
      </c>
      <c r="AZ360" t="s">
        <v>1752</v>
      </c>
      <c r="BA360" t="s">
        <v>1752</v>
      </c>
      <c r="BB360" t="s">
        <v>1752</v>
      </c>
      <c r="BC360" t="s">
        <v>1752</v>
      </c>
      <c r="BD360" t="s">
        <v>1752</v>
      </c>
      <c r="BH360" t="s">
        <v>1321</v>
      </c>
      <c r="BI360" t="s">
        <v>1321</v>
      </c>
      <c r="BJ360" t="s">
        <v>1752</v>
      </c>
      <c r="BK360" t="s">
        <v>1752</v>
      </c>
      <c r="BL360" t="s">
        <v>1321</v>
      </c>
      <c r="BM360" t="s">
        <v>1321</v>
      </c>
      <c r="BN360" t="s">
        <v>1321</v>
      </c>
      <c r="BO360" t="s">
        <v>1321</v>
      </c>
      <c r="BP360" t="s">
        <v>1321</v>
      </c>
      <c r="BQ360" t="s">
        <v>1752</v>
      </c>
      <c r="BR360" t="s">
        <v>1752</v>
      </c>
      <c r="BS360" t="s">
        <v>1752</v>
      </c>
      <c r="BT360" t="s">
        <v>1752</v>
      </c>
      <c r="BU360" t="s">
        <v>1752</v>
      </c>
      <c r="BV360" t="s">
        <v>1752</v>
      </c>
      <c r="BW360" t="s">
        <v>1752</v>
      </c>
      <c r="BX360" t="s">
        <v>1752</v>
      </c>
      <c r="BY360" t="s">
        <v>1752</v>
      </c>
      <c r="BZ360" t="s">
        <v>1752</v>
      </c>
      <c r="CA360" t="s">
        <v>1752</v>
      </c>
      <c r="CB360" t="s">
        <v>1752</v>
      </c>
      <c r="CC360" t="s">
        <v>1752</v>
      </c>
      <c r="CE360" t="s">
        <v>1752</v>
      </c>
      <c r="CF360" t="s">
        <v>1752</v>
      </c>
      <c r="CG360" t="s">
        <v>1752</v>
      </c>
      <c r="CH360" t="s">
        <v>1752</v>
      </c>
      <c r="CI360" t="s">
        <v>1752</v>
      </c>
      <c r="CL360" t="s">
        <v>1752</v>
      </c>
      <c r="CM360" t="s">
        <v>1752</v>
      </c>
      <c r="CN360" t="s">
        <v>1752</v>
      </c>
      <c r="CO360" t="s">
        <v>1752</v>
      </c>
      <c r="CP360" t="s">
        <v>1752</v>
      </c>
      <c r="CV360" t="s">
        <v>1321</v>
      </c>
      <c r="CW360" t="s">
        <v>1321</v>
      </c>
      <c r="CX360" t="s">
        <v>1752</v>
      </c>
      <c r="CY360" t="s">
        <v>1752</v>
      </c>
      <c r="DA360" t="s">
        <v>1752</v>
      </c>
      <c r="DB360" t="s">
        <v>1752</v>
      </c>
      <c r="DC360" t="s">
        <v>1752</v>
      </c>
      <c r="DW360" t="s">
        <v>1752</v>
      </c>
      <c r="EH360" t="s">
        <v>1321</v>
      </c>
      <c r="EI360" t="s">
        <v>1321</v>
      </c>
      <c r="EJ360" t="s">
        <v>1752</v>
      </c>
      <c r="EK360" t="s">
        <v>1752</v>
      </c>
      <c r="EL360" t="s">
        <v>1752</v>
      </c>
      <c r="EM360" t="s">
        <v>1752</v>
      </c>
      <c r="EN360" t="s">
        <v>1752</v>
      </c>
      <c r="EO360" t="s">
        <v>1752</v>
      </c>
      <c r="EP360" t="s">
        <v>1752</v>
      </c>
      <c r="EQ360" t="s">
        <v>1752</v>
      </c>
      <c r="ER360" t="s">
        <v>1752</v>
      </c>
      <c r="ET360" t="s">
        <v>1752</v>
      </c>
      <c r="EU360" t="s">
        <v>1752</v>
      </c>
      <c r="EV360" t="s">
        <v>1752</v>
      </c>
      <c r="EX360" t="s">
        <v>1752</v>
      </c>
      <c r="EZ360" t="s">
        <v>1752</v>
      </c>
      <c r="FA360" t="s">
        <v>1752</v>
      </c>
      <c r="FE360" t="s">
        <v>1321</v>
      </c>
      <c r="FF360" t="s">
        <v>1752</v>
      </c>
      <c r="FG360" t="s">
        <v>1321</v>
      </c>
      <c r="FH360" t="s">
        <v>1321</v>
      </c>
      <c r="FI360" t="s">
        <v>1752</v>
      </c>
      <c r="FJ360" t="s">
        <v>1752</v>
      </c>
      <c r="FK360" t="s">
        <v>1752</v>
      </c>
      <c r="FL360" t="s">
        <v>1752</v>
      </c>
      <c r="FM360" t="s">
        <v>1752</v>
      </c>
      <c r="FN360" t="s">
        <v>1752</v>
      </c>
      <c r="FO360" t="s">
        <v>1752</v>
      </c>
      <c r="FP360" t="s">
        <v>1752</v>
      </c>
      <c r="FQ360" t="s">
        <v>1752</v>
      </c>
      <c r="FR360" t="s">
        <v>1321</v>
      </c>
      <c r="FS360" t="s">
        <v>1752</v>
      </c>
      <c r="FT360" t="s">
        <v>1752</v>
      </c>
      <c r="FU360" t="s">
        <v>1752</v>
      </c>
      <c r="FW360" t="s">
        <v>1321</v>
      </c>
      <c r="FX360" t="s">
        <v>1752</v>
      </c>
      <c r="FY360" t="s">
        <v>1752</v>
      </c>
      <c r="FZ360" t="s">
        <v>1752</v>
      </c>
      <c r="GA360" t="s">
        <v>1752</v>
      </c>
      <c r="GH360" t="s">
        <v>1752</v>
      </c>
    </row>
    <row r="361" spans="1:190" x14ac:dyDescent="0.2">
      <c r="A361" t="str">
        <f t="shared" si="15"/>
        <v>Frieden der Melodie</v>
      </c>
      <c r="G361" t="s">
        <v>1321</v>
      </c>
      <c r="AS361" t="s">
        <v>4569</v>
      </c>
      <c r="AT361" t="s">
        <v>4569</v>
      </c>
      <c r="AU361" t="s">
        <v>4569</v>
      </c>
      <c r="AV361" t="s">
        <v>4569</v>
      </c>
      <c r="BJ361" t="s">
        <v>4569</v>
      </c>
      <c r="BK361" t="s">
        <v>4569</v>
      </c>
      <c r="BM361" t="s">
        <v>4569</v>
      </c>
      <c r="BN361" t="s">
        <v>4569</v>
      </c>
      <c r="BO361" t="s">
        <v>4569</v>
      </c>
      <c r="BP361" t="s">
        <v>4569</v>
      </c>
      <c r="BQ361" t="s">
        <v>4569</v>
      </c>
      <c r="BR361" t="s">
        <v>4569</v>
      </c>
      <c r="BS361" t="s">
        <v>4569</v>
      </c>
      <c r="DA361" t="s">
        <v>4569</v>
      </c>
      <c r="DB361" t="s">
        <v>4569</v>
      </c>
      <c r="DC361" t="s">
        <v>4569</v>
      </c>
      <c r="EI361" t="s">
        <v>1321</v>
      </c>
      <c r="FF361" t="s">
        <v>4569</v>
      </c>
    </row>
    <row r="362" spans="1:190" x14ac:dyDescent="0.2">
      <c r="A362" t="str">
        <f t="shared" si="15"/>
        <v>Geburtssegen</v>
      </c>
      <c r="G362" t="s">
        <v>1752</v>
      </c>
      <c r="H362" t="s">
        <v>1752</v>
      </c>
      <c r="I362" t="s">
        <v>1752</v>
      </c>
      <c r="J362" t="s">
        <v>1752</v>
      </c>
      <c r="K362" t="s">
        <v>1752</v>
      </c>
      <c r="L362" t="s">
        <v>1752</v>
      </c>
      <c r="M362" t="s">
        <v>1752</v>
      </c>
      <c r="N362" t="s">
        <v>1752</v>
      </c>
      <c r="O362" t="s">
        <v>1752</v>
      </c>
      <c r="P362" t="s">
        <v>1752</v>
      </c>
      <c r="Q362" t="s">
        <v>1752</v>
      </c>
      <c r="R362" t="s">
        <v>1752</v>
      </c>
      <c r="S362" t="s">
        <v>1752</v>
      </c>
      <c r="T362" t="s">
        <v>1752</v>
      </c>
      <c r="U362" t="s">
        <v>1752</v>
      </c>
      <c r="V362" t="s">
        <v>1752</v>
      </c>
      <c r="W362" t="s">
        <v>1752</v>
      </c>
      <c r="X362" t="s">
        <v>1752</v>
      </c>
      <c r="Y362" t="s">
        <v>1752</v>
      </c>
      <c r="Z362" t="s">
        <v>1752</v>
      </c>
      <c r="AA362" t="s">
        <v>1752</v>
      </c>
      <c r="AB362" t="s">
        <v>1752</v>
      </c>
      <c r="AC362" t="s">
        <v>1752</v>
      </c>
      <c r="AD362" t="s">
        <v>1752</v>
      </c>
      <c r="AE362" t="s">
        <v>1752</v>
      </c>
      <c r="AG362" t="s">
        <v>1752</v>
      </c>
      <c r="AI362" t="s">
        <v>1752</v>
      </c>
      <c r="AO362" t="s">
        <v>1752</v>
      </c>
      <c r="AP362" t="s">
        <v>1752</v>
      </c>
      <c r="AQ362" t="s">
        <v>1752</v>
      </c>
      <c r="AR362" t="s">
        <v>1752</v>
      </c>
      <c r="AS362" t="s">
        <v>1752</v>
      </c>
      <c r="AT362" t="s">
        <v>1752</v>
      </c>
      <c r="AU362" t="s">
        <v>1752</v>
      </c>
      <c r="AV362" t="s">
        <v>1752</v>
      </c>
      <c r="AZ362" t="s">
        <v>1752</v>
      </c>
      <c r="BA362" t="s">
        <v>1752</v>
      </c>
      <c r="BB362" t="s">
        <v>1752</v>
      </c>
      <c r="BC362" t="s">
        <v>1752</v>
      </c>
      <c r="BD362" t="s">
        <v>1752</v>
      </c>
      <c r="BH362" t="s">
        <v>1321</v>
      </c>
      <c r="BI362" t="s">
        <v>1321</v>
      </c>
      <c r="BJ362" t="s">
        <v>1752</v>
      </c>
      <c r="BK362" t="s">
        <v>1752</v>
      </c>
      <c r="BM362" t="s">
        <v>1321</v>
      </c>
      <c r="BN362" t="s">
        <v>1321</v>
      </c>
      <c r="BO362" t="s">
        <v>1321</v>
      </c>
      <c r="BP362" t="s">
        <v>1321</v>
      </c>
      <c r="BQ362" t="s">
        <v>1752</v>
      </c>
      <c r="BR362" t="s">
        <v>1752</v>
      </c>
      <c r="BS362" t="s">
        <v>1752</v>
      </c>
      <c r="BT362" t="s">
        <v>1752</v>
      </c>
      <c r="BU362" t="s">
        <v>1752</v>
      </c>
      <c r="BV362" t="s">
        <v>1752</v>
      </c>
      <c r="BW362" t="s">
        <v>1752</v>
      </c>
      <c r="BX362" t="s">
        <v>1752</v>
      </c>
      <c r="BY362" t="s">
        <v>1752</v>
      </c>
      <c r="BZ362" t="s">
        <v>1752</v>
      </c>
      <c r="CA362" t="s">
        <v>1752</v>
      </c>
      <c r="CB362" t="s">
        <v>1752</v>
      </c>
      <c r="CC362" t="s">
        <v>1752</v>
      </c>
      <c r="CE362" t="s">
        <v>1752</v>
      </c>
      <c r="CF362" t="s">
        <v>1752</v>
      </c>
      <c r="CG362" t="s">
        <v>1752</v>
      </c>
      <c r="CH362" t="s">
        <v>1752</v>
      </c>
      <c r="CI362" t="s">
        <v>1752</v>
      </c>
      <c r="CL362" t="s">
        <v>1752</v>
      </c>
      <c r="CM362" t="s">
        <v>1752</v>
      </c>
      <c r="CN362" t="s">
        <v>1752</v>
      </c>
      <c r="CO362" t="s">
        <v>1752</v>
      </c>
      <c r="CP362" t="s">
        <v>1752</v>
      </c>
      <c r="CV362" t="s">
        <v>1321</v>
      </c>
      <c r="CW362" t="s">
        <v>1321</v>
      </c>
      <c r="CX362" t="s">
        <v>1752</v>
      </c>
      <c r="CY362" t="s">
        <v>1752</v>
      </c>
      <c r="DA362" t="s">
        <v>1752</v>
      </c>
      <c r="DB362" t="s">
        <v>1752</v>
      </c>
      <c r="DC362" t="s">
        <v>1752</v>
      </c>
      <c r="EI362" t="s">
        <v>1321</v>
      </c>
      <c r="EJ362" t="s">
        <v>1752</v>
      </c>
      <c r="EK362" t="s">
        <v>1752</v>
      </c>
      <c r="EL362" t="s">
        <v>1752</v>
      </c>
      <c r="EM362" t="s">
        <v>1752</v>
      </c>
      <c r="EN362" t="s">
        <v>1752</v>
      </c>
      <c r="EO362" t="s">
        <v>1752</v>
      </c>
      <c r="EP362" t="s">
        <v>1752</v>
      </c>
      <c r="EQ362" t="s">
        <v>1752</v>
      </c>
      <c r="ER362" t="s">
        <v>1752</v>
      </c>
      <c r="ET362" t="s">
        <v>1752</v>
      </c>
      <c r="EU362" t="s">
        <v>1752</v>
      </c>
      <c r="EV362" t="s">
        <v>1752</v>
      </c>
      <c r="EX362" t="s">
        <v>1752</v>
      </c>
      <c r="EZ362" t="s">
        <v>1752</v>
      </c>
      <c r="FA362" t="s">
        <v>1752</v>
      </c>
      <c r="FE362" t="s">
        <v>1752</v>
      </c>
      <c r="FF362" t="s">
        <v>1752</v>
      </c>
      <c r="FH362" t="s">
        <v>1321</v>
      </c>
      <c r="FI362" t="s">
        <v>1752</v>
      </c>
      <c r="FJ362" t="s">
        <v>1752</v>
      </c>
      <c r="FK362" t="s">
        <v>1752</v>
      </c>
      <c r="FL362" t="s">
        <v>1752</v>
      </c>
      <c r="FM362" t="s">
        <v>1752</v>
      </c>
      <c r="FN362" t="s">
        <v>1752</v>
      </c>
      <c r="FO362" t="s">
        <v>1752</v>
      </c>
      <c r="FP362" t="s">
        <v>1752</v>
      </c>
      <c r="FQ362" t="s">
        <v>1752</v>
      </c>
      <c r="FR362" t="s">
        <v>1321</v>
      </c>
      <c r="FS362" t="s">
        <v>1752</v>
      </c>
      <c r="FT362" t="s">
        <v>1752</v>
      </c>
      <c r="FU362" t="s">
        <v>1752</v>
      </c>
      <c r="FW362" t="s">
        <v>1321</v>
      </c>
      <c r="FX362" t="s">
        <v>1752</v>
      </c>
      <c r="FY362" t="s">
        <v>1752</v>
      </c>
      <c r="FZ362" t="s">
        <v>1752</v>
      </c>
      <c r="GA362" t="s">
        <v>1752</v>
      </c>
      <c r="GH362" t="s">
        <v>1752</v>
      </c>
    </row>
    <row r="363" spans="1:190" x14ac:dyDescent="0.2">
      <c r="A363" t="str">
        <f t="shared" si="15"/>
        <v>Gleichklang des Geistes</v>
      </c>
      <c r="AO363" t="s">
        <v>1321</v>
      </c>
      <c r="AP363" t="s">
        <v>1321</v>
      </c>
      <c r="AQ363" t="s">
        <v>1321</v>
      </c>
      <c r="AR363" t="s">
        <v>1321</v>
      </c>
      <c r="AS363" t="s">
        <v>4569</v>
      </c>
      <c r="AT363" t="s">
        <v>4569</v>
      </c>
      <c r="AU363" t="s">
        <v>4569</v>
      </c>
      <c r="AV363" t="s">
        <v>4569</v>
      </c>
      <c r="BJ363" t="s">
        <v>4569</v>
      </c>
      <c r="BK363" t="s">
        <v>4569</v>
      </c>
      <c r="BM363" t="s">
        <v>4569</v>
      </c>
      <c r="BN363" t="s">
        <v>4569</v>
      </c>
      <c r="BO363" t="s">
        <v>4569</v>
      </c>
      <c r="BP363" t="s">
        <v>4569</v>
      </c>
      <c r="BQ363" t="s">
        <v>1321</v>
      </c>
      <c r="BR363" t="s">
        <v>1321</v>
      </c>
      <c r="BS363" t="s">
        <v>1321</v>
      </c>
      <c r="CF363" t="s">
        <v>1321</v>
      </c>
      <c r="CG363" t="s">
        <v>1321</v>
      </c>
      <c r="CH363" t="s">
        <v>1321</v>
      </c>
      <c r="CI363" t="s">
        <v>1321</v>
      </c>
      <c r="CL363" t="s">
        <v>1321</v>
      </c>
      <c r="CM363" t="s">
        <v>1321</v>
      </c>
      <c r="DA363" t="s">
        <v>1321</v>
      </c>
      <c r="DB363" t="s">
        <v>1321</v>
      </c>
      <c r="DC363" t="s">
        <v>1321</v>
      </c>
      <c r="ET363" t="s">
        <v>1321</v>
      </c>
      <c r="EU363" t="s">
        <v>1321</v>
      </c>
      <c r="FF363" t="s">
        <v>4569</v>
      </c>
      <c r="FI363" t="s">
        <v>1321</v>
      </c>
      <c r="FJ363" t="s">
        <v>1321</v>
      </c>
      <c r="FS363" t="s">
        <v>1321</v>
      </c>
      <c r="FT363" t="s">
        <v>1321</v>
      </c>
      <c r="GA363" t="s">
        <v>1321</v>
      </c>
    </row>
    <row r="364" spans="1:190" x14ac:dyDescent="0.2">
      <c r="A364" t="str">
        <f t="shared" si="15"/>
        <v>Glückssegen</v>
      </c>
      <c r="C364" t="s">
        <v>1752</v>
      </c>
      <c r="D364" t="s">
        <v>1752</v>
      </c>
      <c r="E364" t="s">
        <v>1752</v>
      </c>
      <c r="F364" t="s">
        <v>1752</v>
      </c>
      <c r="G364" t="s">
        <v>1752</v>
      </c>
      <c r="H364" t="s">
        <v>1752</v>
      </c>
      <c r="I364" t="s">
        <v>1752</v>
      </c>
      <c r="J364" t="s">
        <v>1752</v>
      </c>
      <c r="K364" t="s">
        <v>1752</v>
      </c>
      <c r="L364" t="s">
        <v>1752</v>
      </c>
      <c r="M364" t="s">
        <v>1752</v>
      </c>
      <c r="N364" t="s">
        <v>1752</v>
      </c>
      <c r="O364" t="s">
        <v>1752</v>
      </c>
      <c r="P364" t="s">
        <v>1752</v>
      </c>
      <c r="Q364" t="s">
        <v>1752</v>
      </c>
      <c r="R364" t="s">
        <v>1752</v>
      </c>
      <c r="S364" t="s">
        <v>1752</v>
      </c>
      <c r="T364" t="s">
        <v>1752</v>
      </c>
      <c r="U364" t="s">
        <v>1752</v>
      </c>
      <c r="V364" t="s">
        <v>1752</v>
      </c>
      <c r="W364" t="s">
        <v>1752</v>
      </c>
      <c r="X364" t="s">
        <v>1752</v>
      </c>
      <c r="Y364" t="s">
        <v>1752</v>
      </c>
      <c r="Z364" t="s">
        <v>1752</v>
      </c>
      <c r="AA364" t="s">
        <v>1752</v>
      </c>
      <c r="AB364" t="s">
        <v>1752</v>
      </c>
      <c r="AC364" t="s">
        <v>1752</v>
      </c>
      <c r="AD364" t="s">
        <v>1752</v>
      </c>
      <c r="AE364" t="s">
        <v>1752</v>
      </c>
      <c r="AG364" t="s">
        <v>1752</v>
      </c>
      <c r="AI364" t="s">
        <v>1752</v>
      </c>
      <c r="AO364" t="s">
        <v>1752</v>
      </c>
      <c r="AP364" t="s">
        <v>1752</v>
      </c>
      <c r="AQ364" t="s">
        <v>1752</v>
      </c>
      <c r="AR364" t="s">
        <v>1752</v>
      </c>
      <c r="AS364" t="s">
        <v>1752</v>
      </c>
      <c r="AT364" t="s">
        <v>1752</v>
      </c>
      <c r="AU364" t="s">
        <v>1752</v>
      </c>
      <c r="AV364" t="s">
        <v>1752</v>
      </c>
      <c r="AZ364" t="s">
        <v>1752</v>
      </c>
      <c r="BA364" t="s">
        <v>1752</v>
      </c>
      <c r="BB364" t="s">
        <v>1752</v>
      </c>
      <c r="BC364" t="s">
        <v>1752</v>
      </c>
      <c r="BD364" t="s">
        <v>1752</v>
      </c>
      <c r="BH364" t="s">
        <v>1321</v>
      </c>
      <c r="BI364" t="s">
        <v>1321</v>
      </c>
      <c r="BJ364" t="s">
        <v>1752</v>
      </c>
      <c r="BK364" t="s">
        <v>1752</v>
      </c>
      <c r="BL364" t="s">
        <v>1321</v>
      </c>
      <c r="BM364" t="s">
        <v>1752</v>
      </c>
      <c r="BN364" t="s">
        <v>1752</v>
      </c>
      <c r="BO364" t="s">
        <v>1752</v>
      </c>
      <c r="BP364" t="s">
        <v>1752</v>
      </c>
      <c r="BQ364" t="s">
        <v>1752</v>
      </c>
      <c r="BR364" t="s">
        <v>1752</v>
      </c>
      <c r="BS364" t="s">
        <v>1752</v>
      </c>
      <c r="BT364" t="s">
        <v>1752</v>
      </c>
      <c r="BU364" t="s">
        <v>1752</v>
      </c>
      <c r="BV364" t="s">
        <v>1752</v>
      </c>
      <c r="BW364" t="s">
        <v>1752</v>
      </c>
      <c r="BX364" t="s">
        <v>1752</v>
      </c>
      <c r="BY364" t="s">
        <v>1752</v>
      </c>
      <c r="BZ364" t="s">
        <v>1752</v>
      </c>
      <c r="CA364" t="s">
        <v>1752</v>
      </c>
      <c r="CB364" t="s">
        <v>1752</v>
      </c>
      <c r="CC364" t="s">
        <v>1752</v>
      </c>
      <c r="CE364" t="s">
        <v>1752</v>
      </c>
      <c r="CF364" t="s">
        <v>1752</v>
      </c>
      <c r="CG364" t="s">
        <v>1752</v>
      </c>
      <c r="CH364" t="s">
        <v>1752</v>
      </c>
      <c r="CI364" t="s">
        <v>1752</v>
      </c>
      <c r="CL364" t="s">
        <v>1752</v>
      </c>
      <c r="CM364" t="s">
        <v>1752</v>
      </c>
      <c r="CN364" t="s">
        <v>1752</v>
      </c>
      <c r="CO364" t="s">
        <v>1321</v>
      </c>
      <c r="CP364" t="s">
        <v>1752</v>
      </c>
      <c r="CV364" t="s">
        <v>1321</v>
      </c>
      <c r="CW364" t="s">
        <v>1321</v>
      </c>
      <c r="CX364" t="s">
        <v>1752</v>
      </c>
      <c r="CY364" t="s">
        <v>1752</v>
      </c>
      <c r="DA364" t="s">
        <v>1752</v>
      </c>
      <c r="DB364" t="s">
        <v>1752</v>
      </c>
      <c r="DC364" t="s">
        <v>1752</v>
      </c>
      <c r="EH364" t="s">
        <v>1321</v>
      </c>
      <c r="EI364" t="s">
        <v>1321</v>
      </c>
      <c r="EJ364" t="s">
        <v>1752</v>
      </c>
      <c r="EK364" t="s">
        <v>1752</v>
      </c>
      <c r="EL364" t="s">
        <v>1752</v>
      </c>
      <c r="EM364" t="s">
        <v>1752</v>
      </c>
      <c r="EN364" t="s">
        <v>1752</v>
      </c>
      <c r="EO364" t="s">
        <v>1752</v>
      </c>
      <c r="EP364" t="s">
        <v>1752</v>
      </c>
      <c r="EQ364" t="s">
        <v>1752</v>
      </c>
      <c r="ER364" t="s">
        <v>1752</v>
      </c>
      <c r="ET364" t="s">
        <v>1752</v>
      </c>
      <c r="EU364" t="s">
        <v>1752</v>
      </c>
      <c r="EV364" t="s">
        <v>1752</v>
      </c>
      <c r="EX364" t="s">
        <v>1752</v>
      </c>
      <c r="EZ364" t="s">
        <v>1752</v>
      </c>
      <c r="FA364" t="s">
        <v>1752</v>
      </c>
      <c r="FE364" t="s">
        <v>1752</v>
      </c>
      <c r="FF364" t="s">
        <v>1752</v>
      </c>
      <c r="FG364" t="s">
        <v>1321</v>
      </c>
      <c r="FH364" t="s">
        <v>1321</v>
      </c>
      <c r="FI364" t="s">
        <v>1321</v>
      </c>
      <c r="FJ364" t="s">
        <v>1752</v>
      </c>
      <c r="FK364" t="s">
        <v>1752</v>
      </c>
      <c r="FL364" t="s">
        <v>1752</v>
      </c>
      <c r="FM364" t="s">
        <v>1752</v>
      </c>
      <c r="FN364" t="s">
        <v>1752</v>
      </c>
      <c r="FO364" t="s">
        <v>1752</v>
      </c>
      <c r="FP364" t="s">
        <v>1752</v>
      </c>
      <c r="FQ364" t="s">
        <v>1752</v>
      </c>
      <c r="FR364" t="s">
        <v>1321</v>
      </c>
      <c r="FS364" t="s">
        <v>1752</v>
      </c>
      <c r="FT364" t="s">
        <v>1752</v>
      </c>
      <c r="FU364" t="s">
        <v>1752</v>
      </c>
      <c r="FW364" t="s">
        <v>1321</v>
      </c>
      <c r="FX364" t="s">
        <v>1752</v>
      </c>
      <c r="FY364" t="s">
        <v>1752</v>
      </c>
      <c r="FZ364" t="s">
        <v>1752</v>
      </c>
      <c r="GA364" t="s">
        <v>1752</v>
      </c>
      <c r="GH364" t="s">
        <v>1752</v>
      </c>
    </row>
    <row r="365" spans="1:190" x14ac:dyDescent="0.2">
      <c r="A365" t="str">
        <f t="shared" si="15"/>
        <v>Göttliches Zeichen</v>
      </c>
      <c r="C365" t="s">
        <v>1321</v>
      </c>
      <c r="D365" t="s">
        <v>1321</v>
      </c>
      <c r="E365" t="s">
        <v>1321</v>
      </c>
      <c r="F365" t="s">
        <v>1321</v>
      </c>
      <c r="G365" t="s">
        <v>1321</v>
      </c>
      <c r="I365" t="s">
        <v>1321</v>
      </c>
      <c r="J365" t="s">
        <v>1321</v>
      </c>
      <c r="K365" t="s">
        <v>1321</v>
      </c>
      <c r="L365" t="s">
        <v>1321</v>
      </c>
      <c r="M365" t="s">
        <v>1321</v>
      </c>
      <c r="N365" t="s">
        <v>1321</v>
      </c>
      <c r="O365" t="s">
        <v>1321</v>
      </c>
      <c r="P365" t="s">
        <v>1321</v>
      </c>
      <c r="Q365" t="s">
        <v>1321</v>
      </c>
      <c r="R365" t="s">
        <v>1321</v>
      </c>
      <c r="S365" t="s">
        <v>1321</v>
      </c>
      <c r="T365" t="s">
        <v>1321</v>
      </c>
      <c r="U365" t="s">
        <v>1321</v>
      </c>
      <c r="V365" t="s">
        <v>1321</v>
      </c>
      <c r="W365" t="s">
        <v>1321</v>
      </c>
      <c r="X365" t="s">
        <v>1321</v>
      </c>
      <c r="Y365" t="s">
        <v>1321</v>
      </c>
      <c r="Z365" t="s">
        <v>1321</v>
      </c>
      <c r="AA365" t="s">
        <v>1321</v>
      </c>
      <c r="AB365" t="s">
        <v>1321</v>
      </c>
      <c r="AC365" t="s">
        <v>1321</v>
      </c>
      <c r="AD365" t="s">
        <v>1321</v>
      </c>
      <c r="AE365" t="s">
        <v>1321</v>
      </c>
      <c r="AG365" t="s">
        <v>1321</v>
      </c>
      <c r="AI365" t="s">
        <v>1321</v>
      </c>
      <c r="AO365" t="s">
        <v>1752</v>
      </c>
      <c r="AP365" t="s">
        <v>1752</v>
      </c>
      <c r="AQ365" t="s">
        <v>1752</v>
      </c>
      <c r="AR365" t="s">
        <v>1752</v>
      </c>
      <c r="AS365" t="s">
        <v>1321</v>
      </c>
      <c r="AT365" t="s">
        <v>1321</v>
      </c>
      <c r="AU365" t="s">
        <v>1321</v>
      </c>
      <c r="AV365" t="s">
        <v>1321</v>
      </c>
      <c r="AZ365" t="s">
        <v>1321</v>
      </c>
      <c r="BA365" t="s">
        <v>1752</v>
      </c>
      <c r="BB365" t="s">
        <v>1321</v>
      </c>
      <c r="BC365" t="s">
        <v>1321</v>
      </c>
      <c r="BD365" t="s">
        <v>1321</v>
      </c>
      <c r="BG365" t="s">
        <v>1321</v>
      </c>
      <c r="BH365" t="s">
        <v>1321</v>
      </c>
      <c r="BI365" t="s">
        <v>1321</v>
      </c>
      <c r="BJ365" t="s">
        <v>1321</v>
      </c>
      <c r="BK365" t="s">
        <v>1752</v>
      </c>
      <c r="BL365" t="s">
        <v>1321</v>
      </c>
      <c r="BM365" t="s">
        <v>1321</v>
      </c>
      <c r="BN365" t="s">
        <v>1321</v>
      </c>
      <c r="BO365" t="s">
        <v>1321</v>
      </c>
      <c r="BP365" t="s">
        <v>1321</v>
      </c>
      <c r="BQ365" t="s">
        <v>1321</v>
      </c>
      <c r="BR365" t="s">
        <v>1321</v>
      </c>
      <c r="BS365" t="s">
        <v>1321</v>
      </c>
      <c r="BT365" t="s">
        <v>1321</v>
      </c>
      <c r="BU365" t="s">
        <v>1321</v>
      </c>
      <c r="BV365" t="s">
        <v>1321</v>
      </c>
      <c r="BW365" t="s">
        <v>1321</v>
      </c>
      <c r="BX365" t="s">
        <v>1321</v>
      </c>
      <c r="BY365" t="s">
        <v>1321</v>
      </c>
      <c r="BZ365" t="s">
        <v>1321</v>
      </c>
      <c r="CA365" t="s">
        <v>1321</v>
      </c>
      <c r="CB365" t="s">
        <v>1752</v>
      </c>
      <c r="CC365" t="s">
        <v>1752</v>
      </c>
      <c r="CE365" t="s">
        <v>1752</v>
      </c>
      <c r="CF365" t="s">
        <v>1752</v>
      </c>
      <c r="CG365" t="s">
        <v>1752</v>
      </c>
      <c r="CH365" t="s">
        <v>1752</v>
      </c>
      <c r="CI365" t="s">
        <v>1752</v>
      </c>
      <c r="CL365" t="s">
        <v>1752</v>
      </c>
      <c r="CM365" t="s">
        <v>1752</v>
      </c>
      <c r="CN365" t="s">
        <v>1752</v>
      </c>
      <c r="CO365" t="s">
        <v>1752</v>
      </c>
      <c r="CP365" t="s">
        <v>1752</v>
      </c>
      <c r="CV365" t="s">
        <v>1321</v>
      </c>
      <c r="CW365" t="s">
        <v>1321</v>
      </c>
      <c r="CX365" t="s">
        <v>1752</v>
      </c>
      <c r="CY365" t="s">
        <v>1752</v>
      </c>
      <c r="DA365" t="s">
        <v>1321</v>
      </c>
      <c r="DB365" t="s">
        <v>1321</v>
      </c>
      <c r="DC365" t="s">
        <v>1321</v>
      </c>
      <c r="DD365" t="s">
        <v>1752</v>
      </c>
      <c r="DW365" t="s">
        <v>1752</v>
      </c>
      <c r="EH365" t="s">
        <v>1321</v>
      </c>
      <c r="EI365" t="s">
        <v>1321</v>
      </c>
      <c r="EJ365" t="s">
        <v>1321</v>
      </c>
      <c r="EK365" t="s">
        <v>1321</v>
      </c>
      <c r="EL365" t="s">
        <v>1321</v>
      </c>
      <c r="EM365" t="s">
        <v>1321</v>
      </c>
      <c r="EN365" t="s">
        <v>1321</v>
      </c>
      <c r="EO365" t="s">
        <v>1321</v>
      </c>
      <c r="EP365" t="s">
        <v>1321</v>
      </c>
      <c r="EQ365" t="s">
        <v>1321</v>
      </c>
      <c r="ER365" t="s">
        <v>1321</v>
      </c>
      <c r="ET365" t="s">
        <v>1321</v>
      </c>
      <c r="EU365" t="s">
        <v>1321</v>
      </c>
      <c r="EV365" t="s">
        <v>1321</v>
      </c>
      <c r="EX365" t="s">
        <v>1321</v>
      </c>
      <c r="EZ365" t="s">
        <v>1321</v>
      </c>
      <c r="FA365" t="s">
        <v>1321</v>
      </c>
      <c r="FE365" t="s">
        <v>1321</v>
      </c>
      <c r="FF365" t="s">
        <v>1321</v>
      </c>
      <c r="FG365" t="s">
        <v>1321</v>
      </c>
      <c r="FH365" t="s">
        <v>1321</v>
      </c>
      <c r="FI365" t="s">
        <v>1321</v>
      </c>
      <c r="FJ365" t="s">
        <v>1321</v>
      </c>
      <c r="FK365" t="s">
        <v>1321</v>
      </c>
      <c r="FL365" t="s">
        <v>1321</v>
      </c>
      <c r="FM365" t="s">
        <v>1321</v>
      </c>
      <c r="FN365" t="s">
        <v>1321</v>
      </c>
      <c r="FO365" t="s">
        <v>1321</v>
      </c>
      <c r="FP365" t="s">
        <v>1321</v>
      </c>
      <c r="FQ365" t="s">
        <v>1321</v>
      </c>
      <c r="FR365" t="s">
        <v>1321</v>
      </c>
      <c r="FS365" t="s">
        <v>1321</v>
      </c>
      <c r="FT365" t="s">
        <v>1321</v>
      </c>
      <c r="FU365" t="s">
        <v>1321</v>
      </c>
      <c r="FW365" t="s">
        <v>1321</v>
      </c>
      <c r="FX365" t="s">
        <v>1321</v>
      </c>
      <c r="FY365" t="s">
        <v>1321</v>
      </c>
      <c r="FZ365" t="s">
        <v>1321</v>
      </c>
      <c r="GA365" t="s">
        <v>1321</v>
      </c>
    </row>
    <row r="366" spans="1:190" x14ac:dyDescent="0.2">
      <c r="A366" t="str">
        <f t="shared" si="15"/>
        <v>Grabsegen</v>
      </c>
      <c r="G366" t="s">
        <v>1321</v>
      </c>
      <c r="H366" t="s">
        <v>1752</v>
      </c>
      <c r="I366" t="s">
        <v>1752</v>
      </c>
      <c r="J366" t="s">
        <v>1752</v>
      </c>
      <c r="K366" t="s">
        <v>1752</v>
      </c>
      <c r="L366" t="s">
        <v>1752</v>
      </c>
      <c r="M366" t="s">
        <v>1752</v>
      </c>
      <c r="N366" t="s">
        <v>1752</v>
      </c>
      <c r="O366" t="s">
        <v>1752</v>
      </c>
      <c r="P366" t="s">
        <v>1752</v>
      </c>
      <c r="Q366" t="s">
        <v>1752</v>
      </c>
      <c r="R366" t="s">
        <v>1752</v>
      </c>
      <c r="S366" t="s">
        <v>1752</v>
      </c>
      <c r="T366" t="s">
        <v>1752</v>
      </c>
      <c r="U366" t="s">
        <v>1752</v>
      </c>
      <c r="V366" t="s">
        <v>1752</v>
      </c>
      <c r="W366" t="s">
        <v>1752</v>
      </c>
      <c r="X366" t="s">
        <v>1752</v>
      </c>
      <c r="Y366" t="s">
        <v>1752</v>
      </c>
      <c r="Z366" t="s">
        <v>1752</v>
      </c>
      <c r="AA366" t="s">
        <v>1752</v>
      </c>
      <c r="AB366" t="s">
        <v>1752</v>
      </c>
      <c r="AC366" t="s">
        <v>1752</v>
      </c>
      <c r="AD366" t="s">
        <v>1752</v>
      </c>
      <c r="AE366" t="s">
        <v>1752</v>
      </c>
      <c r="AG366" t="s">
        <v>1752</v>
      </c>
      <c r="AI366" t="s">
        <v>1752</v>
      </c>
      <c r="AO366" t="s">
        <v>1752</v>
      </c>
      <c r="AP366" t="s">
        <v>1752</v>
      </c>
      <c r="AQ366" t="s">
        <v>1752</v>
      </c>
      <c r="AR366" t="s">
        <v>1752</v>
      </c>
      <c r="AS366" t="s">
        <v>1752</v>
      </c>
      <c r="AT366" t="s">
        <v>1752</v>
      </c>
      <c r="AU366" t="s">
        <v>1752</v>
      </c>
      <c r="AV366" t="s">
        <v>1752</v>
      </c>
      <c r="AZ366" t="s">
        <v>1752</v>
      </c>
      <c r="BA366" t="s">
        <v>1752</v>
      </c>
      <c r="BB366" t="s">
        <v>1752</v>
      </c>
      <c r="BC366" t="s">
        <v>1752</v>
      </c>
      <c r="BD366" t="s">
        <v>1752</v>
      </c>
      <c r="BG366" t="s">
        <v>1752</v>
      </c>
      <c r="BH366" t="s">
        <v>1752</v>
      </c>
      <c r="BI366" t="s">
        <v>1752</v>
      </c>
      <c r="BJ366" t="s">
        <v>1752</v>
      </c>
      <c r="BK366" t="s">
        <v>1752</v>
      </c>
      <c r="BL366" t="s">
        <v>1752</v>
      </c>
      <c r="BM366" t="s">
        <v>1321</v>
      </c>
      <c r="BN366" t="s">
        <v>1321</v>
      </c>
      <c r="BO366" t="s">
        <v>1321</v>
      </c>
      <c r="BP366" t="s">
        <v>1321</v>
      </c>
      <c r="BQ366" t="s">
        <v>1752</v>
      </c>
      <c r="BR366" t="s">
        <v>1752</v>
      </c>
      <c r="BS366" t="s">
        <v>1752</v>
      </c>
      <c r="BT366" t="s">
        <v>1752</v>
      </c>
      <c r="BU366" t="s">
        <v>1752</v>
      </c>
      <c r="BV366" t="s">
        <v>1752</v>
      </c>
      <c r="BW366" t="s">
        <v>1752</v>
      </c>
      <c r="BX366" t="s">
        <v>1752</v>
      </c>
      <c r="BY366" t="s">
        <v>1752</v>
      </c>
      <c r="BZ366" t="s">
        <v>1752</v>
      </c>
      <c r="CA366" t="s">
        <v>1752</v>
      </c>
      <c r="CB366" t="s">
        <v>1752</v>
      </c>
      <c r="CC366" t="s">
        <v>1752</v>
      </c>
      <c r="CE366" t="s">
        <v>1752</v>
      </c>
      <c r="CF366" t="s">
        <v>1752</v>
      </c>
      <c r="CG366" t="s">
        <v>1752</v>
      </c>
      <c r="CH366" t="s">
        <v>1752</v>
      </c>
      <c r="CI366" t="s">
        <v>1752</v>
      </c>
      <c r="CL366" t="s">
        <v>1752</v>
      </c>
      <c r="CM366" t="s">
        <v>1752</v>
      </c>
      <c r="CN366" t="s">
        <v>1752</v>
      </c>
      <c r="CO366" t="s">
        <v>1752</v>
      </c>
      <c r="CP366" t="s">
        <v>1752</v>
      </c>
      <c r="CV366" t="s">
        <v>1752</v>
      </c>
      <c r="CW366" t="s">
        <v>1321</v>
      </c>
      <c r="CX366" t="s">
        <v>1752</v>
      </c>
      <c r="CY366" t="s">
        <v>1752</v>
      </c>
      <c r="DA366" t="s">
        <v>1752</v>
      </c>
      <c r="DB366" t="s">
        <v>1752</v>
      </c>
      <c r="DC366" t="s">
        <v>1752</v>
      </c>
      <c r="DD366" t="s">
        <v>1752</v>
      </c>
      <c r="EI366" t="s">
        <v>1321</v>
      </c>
      <c r="EJ366" t="s">
        <v>1752</v>
      </c>
      <c r="EK366" t="s">
        <v>1752</v>
      </c>
      <c r="EL366" t="s">
        <v>1752</v>
      </c>
      <c r="EM366" t="s">
        <v>1752</v>
      </c>
      <c r="EN366" t="s">
        <v>1752</v>
      </c>
      <c r="EO366" t="s">
        <v>1752</v>
      </c>
      <c r="EP366" t="s">
        <v>1752</v>
      </c>
      <c r="EQ366" t="s">
        <v>1752</v>
      </c>
      <c r="ER366" t="s">
        <v>1752</v>
      </c>
      <c r="ET366" t="s">
        <v>1752</v>
      </c>
      <c r="EU366" t="s">
        <v>1752</v>
      </c>
      <c r="EV366" t="s">
        <v>1752</v>
      </c>
      <c r="EX366" t="s">
        <v>1752</v>
      </c>
      <c r="EZ366" t="s">
        <v>1752</v>
      </c>
      <c r="FA366" t="s">
        <v>1752</v>
      </c>
      <c r="FE366" t="s">
        <v>1752</v>
      </c>
      <c r="FF366" t="s">
        <v>1752</v>
      </c>
      <c r="FG366" t="s">
        <v>1752</v>
      </c>
      <c r="FH366" t="s">
        <v>1321</v>
      </c>
      <c r="FI366" t="s">
        <v>1752</v>
      </c>
      <c r="FJ366" t="s">
        <v>1752</v>
      </c>
      <c r="FK366" t="s">
        <v>1752</v>
      </c>
      <c r="FL366" t="s">
        <v>1752</v>
      </c>
      <c r="FM366" t="s">
        <v>1752</v>
      </c>
      <c r="FN366" t="s">
        <v>1752</v>
      </c>
      <c r="FO366" t="s">
        <v>1752</v>
      </c>
      <c r="FP366" t="s">
        <v>1752</v>
      </c>
      <c r="FQ366" t="s">
        <v>1752</v>
      </c>
      <c r="FR366" t="s">
        <v>1321</v>
      </c>
      <c r="FS366" t="s">
        <v>1752</v>
      </c>
      <c r="FT366" t="s">
        <v>1752</v>
      </c>
      <c r="FU366" t="s">
        <v>1752</v>
      </c>
      <c r="FW366" t="s">
        <v>1321</v>
      </c>
      <c r="FX366" t="s">
        <v>1752</v>
      </c>
      <c r="FY366" t="s">
        <v>1752</v>
      </c>
      <c r="FZ366" t="s">
        <v>1752</v>
      </c>
      <c r="GA366" t="s">
        <v>1752</v>
      </c>
      <c r="GH366" t="s">
        <v>1752</v>
      </c>
    </row>
    <row r="367" spans="1:190" x14ac:dyDescent="0.2">
      <c r="A367" t="str">
        <f t="shared" si="15"/>
        <v>Harmoniesegen</v>
      </c>
      <c r="C367" t="s">
        <v>1752</v>
      </c>
      <c r="D367" t="s">
        <v>1752</v>
      </c>
      <c r="E367" t="s">
        <v>1752</v>
      </c>
      <c r="F367" t="s">
        <v>1752</v>
      </c>
      <c r="G367" t="s">
        <v>1752</v>
      </c>
      <c r="H367" t="s">
        <v>1752</v>
      </c>
      <c r="I367" t="s">
        <v>1752</v>
      </c>
      <c r="J367" t="s">
        <v>1752</v>
      </c>
      <c r="K367" t="s">
        <v>1752</v>
      </c>
      <c r="L367" t="s">
        <v>1752</v>
      </c>
      <c r="M367" t="s">
        <v>1752</v>
      </c>
      <c r="N367" t="s">
        <v>1752</v>
      </c>
      <c r="O367" t="s">
        <v>1752</v>
      </c>
      <c r="P367" t="s">
        <v>1752</v>
      </c>
      <c r="Q367" t="s">
        <v>1752</v>
      </c>
      <c r="R367" t="s">
        <v>1752</v>
      </c>
      <c r="S367" t="s">
        <v>1752</v>
      </c>
      <c r="T367" t="s">
        <v>1752</v>
      </c>
      <c r="U367" t="s">
        <v>1752</v>
      </c>
      <c r="V367" t="s">
        <v>1752</v>
      </c>
      <c r="W367" t="s">
        <v>1752</v>
      </c>
      <c r="X367" t="s">
        <v>1752</v>
      </c>
      <c r="Y367" t="s">
        <v>1752</v>
      </c>
      <c r="Z367" t="s">
        <v>1752</v>
      </c>
      <c r="AA367" t="s">
        <v>1752</v>
      </c>
      <c r="AB367" t="s">
        <v>1752</v>
      </c>
      <c r="AC367" t="s">
        <v>1752</v>
      </c>
      <c r="AD367" t="s">
        <v>1752</v>
      </c>
      <c r="AE367" t="s">
        <v>1752</v>
      </c>
      <c r="AG367" t="s">
        <v>1752</v>
      </c>
      <c r="AI367" t="s">
        <v>1752</v>
      </c>
      <c r="AO367" t="s">
        <v>1752</v>
      </c>
      <c r="AP367" t="s">
        <v>1752</v>
      </c>
      <c r="AQ367" t="s">
        <v>1752</v>
      </c>
      <c r="AR367" t="s">
        <v>1752</v>
      </c>
      <c r="AS367" t="s">
        <v>1752</v>
      </c>
      <c r="AT367" t="s">
        <v>1752</v>
      </c>
      <c r="AU367" t="s">
        <v>1752</v>
      </c>
      <c r="AV367" t="s">
        <v>1752</v>
      </c>
      <c r="AZ367" t="s">
        <v>1752</v>
      </c>
      <c r="BA367" t="s">
        <v>1752</v>
      </c>
      <c r="BB367" t="s">
        <v>1752</v>
      </c>
      <c r="BC367" t="s">
        <v>1752</v>
      </c>
      <c r="BD367" t="s">
        <v>1752</v>
      </c>
      <c r="BH367" t="s">
        <v>1752</v>
      </c>
      <c r="BI367" t="s">
        <v>1752</v>
      </c>
      <c r="BJ367" t="s">
        <v>1752</v>
      </c>
      <c r="BK367" t="s">
        <v>1752</v>
      </c>
      <c r="BM367" t="s">
        <v>1752</v>
      </c>
      <c r="BN367" t="s">
        <v>1752</v>
      </c>
      <c r="BO367" t="s">
        <v>1752</v>
      </c>
      <c r="BP367" t="s">
        <v>1752</v>
      </c>
      <c r="BQ367" t="s">
        <v>1752</v>
      </c>
      <c r="BR367" t="s">
        <v>1752</v>
      </c>
      <c r="BS367" t="s">
        <v>1752</v>
      </c>
      <c r="BT367" t="s">
        <v>1752</v>
      </c>
      <c r="BU367" t="s">
        <v>1752</v>
      </c>
      <c r="BV367" t="s">
        <v>1752</v>
      </c>
      <c r="BW367" t="s">
        <v>1752</v>
      </c>
      <c r="BX367" t="s">
        <v>1752</v>
      </c>
      <c r="BY367" t="s">
        <v>1752</v>
      </c>
      <c r="BZ367" t="s">
        <v>1752</v>
      </c>
      <c r="CA367" t="s">
        <v>1752</v>
      </c>
      <c r="CB367" t="s">
        <v>1752</v>
      </c>
      <c r="CC367" t="s">
        <v>1752</v>
      </c>
      <c r="CE367" t="s">
        <v>1752</v>
      </c>
      <c r="CF367" t="s">
        <v>1752</v>
      </c>
      <c r="CG367" t="s">
        <v>1752</v>
      </c>
      <c r="CH367" t="s">
        <v>1752</v>
      </c>
      <c r="CI367" t="s">
        <v>1752</v>
      </c>
      <c r="CL367" t="s">
        <v>1752</v>
      </c>
      <c r="CM367" t="s">
        <v>1752</v>
      </c>
      <c r="CN367" t="s">
        <v>1752</v>
      </c>
      <c r="CO367" t="s">
        <v>1321</v>
      </c>
      <c r="CP367" t="s">
        <v>1752</v>
      </c>
      <c r="CV367" t="s">
        <v>1321</v>
      </c>
      <c r="CW367" t="s">
        <v>1752</v>
      </c>
      <c r="CX367" t="s">
        <v>1752</v>
      </c>
      <c r="CY367" t="s">
        <v>1752</v>
      </c>
      <c r="DA367" t="s">
        <v>1752</v>
      </c>
      <c r="DB367" t="s">
        <v>1752</v>
      </c>
      <c r="DC367" t="s">
        <v>1752</v>
      </c>
      <c r="EH367" t="s">
        <v>1321</v>
      </c>
      <c r="EI367" t="s">
        <v>1321</v>
      </c>
      <c r="EJ367" t="s">
        <v>1752</v>
      </c>
      <c r="EK367" t="s">
        <v>1752</v>
      </c>
      <c r="EL367" t="s">
        <v>1752</v>
      </c>
      <c r="EM367" t="s">
        <v>1752</v>
      </c>
      <c r="EN367" t="s">
        <v>1752</v>
      </c>
      <c r="EO367" t="s">
        <v>1752</v>
      </c>
      <c r="EP367" t="s">
        <v>1752</v>
      </c>
      <c r="EQ367" t="s">
        <v>1752</v>
      </c>
      <c r="ER367" t="s">
        <v>1752</v>
      </c>
      <c r="ET367" t="s">
        <v>1752</v>
      </c>
      <c r="EU367" t="s">
        <v>1752</v>
      </c>
      <c r="EV367" t="s">
        <v>1752</v>
      </c>
      <c r="EX367" t="s">
        <v>1752</v>
      </c>
      <c r="EZ367" t="s">
        <v>1752</v>
      </c>
      <c r="FA367" t="s">
        <v>1752</v>
      </c>
      <c r="FE367" t="s">
        <v>1752</v>
      </c>
      <c r="FF367" t="s">
        <v>1752</v>
      </c>
      <c r="FH367" t="s">
        <v>1321</v>
      </c>
      <c r="FI367" t="s">
        <v>1752</v>
      </c>
      <c r="FJ367" t="s">
        <v>1752</v>
      </c>
      <c r="FK367" t="s">
        <v>1752</v>
      </c>
      <c r="FL367" t="s">
        <v>1752</v>
      </c>
      <c r="FM367" t="s">
        <v>1752</v>
      </c>
      <c r="FN367" t="s">
        <v>1752</v>
      </c>
      <c r="FO367" t="s">
        <v>1752</v>
      </c>
      <c r="FP367" t="s">
        <v>1752</v>
      </c>
      <c r="FQ367" t="s">
        <v>1752</v>
      </c>
      <c r="FR367" t="s">
        <v>1321</v>
      </c>
      <c r="FS367" t="s">
        <v>1752</v>
      </c>
      <c r="FT367" t="s">
        <v>1752</v>
      </c>
      <c r="FU367" t="s">
        <v>1752</v>
      </c>
      <c r="FW367" t="s">
        <v>1321</v>
      </c>
      <c r="FX367" t="s">
        <v>1752</v>
      </c>
      <c r="FY367" t="s">
        <v>1752</v>
      </c>
      <c r="FZ367" t="s">
        <v>1752</v>
      </c>
      <c r="GA367" t="s">
        <v>1752</v>
      </c>
      <c r="GH367" t="s">
        <v>1752</v>
      </c>
    </row>
    <row r="368" spans="1:190" x14ac:dyDescent="0.2">
      <c r="A368" t="str">
        <f t="shared" si="15"/>
        <v>Hauch der Leidenschaft</v>
      </c>
      <c r="AS368" t="s">
        <v>4569</v>
      </c>
      <c r="AT368" t="s">
        <v>4569</v>
      </c>
      <c r="AU368" t="s">
        <v>4569</v>
      </c>
      <c r="AV368" t="s">
        <v>4569</v>
      </c>
      <c r="BJ368" t="s">
        <v>4569</v>
      </c>
      <c r="BK368" t="s">
        <v>4569</v>
      </c>
      <c r="BM368" t="s">
        <v>4569</v>
      </c>
      <c r="BN368" t="s">
        <v>4569</v>
      </c>
      <c r="BO368" t="s">
        <v>4569</v>
      </c>
      <c r="BP368" t="s">
        <v>4569</v>
      </c>
      <c r="BQ368" t="s">
        <v>4569</v>
      </c>
      <c r="BR368" t="s">
        <v>4569</v>
      </c>
      <c r="BS368" t="s">
        <v>4569</v>
      </c>
      <c r="CF368" t="s">
        <v>1321</v>
      </c>
      <c r="CG368" t="s">
        <v>1321</v>
      </c>
      <c r="CH368" t="s">
        <v>1321</v>
      </c>
      <c r="CI368" t="s">
        <v>1321</v>
      </c>
      <c r="CL368" t="s">
        <v>4588</v>
      </c>
      <c r="CM368" t="s">
        <v>4588</v>
      </c>
      <c r="DA368" t="s">
        <v>4569</v>
      </c>
      <c r="DB368" t="s">
        <v>4569</v>
      </c>
      <c r="DC368" t="s">
        <v>4569</v>
      </c>
      <c r="FF368" t="s">
        <v>4569</v>
      </c>
    </row>
    <row r="369" spans="1:190" x14ac:dyDescent="0.2">
      <c r="A369" t="str">
        <f t="shared" si="15"/>
        <v>Heilige Schmiedeglut</v>
      </c>
      <c r="C369" t="s">
        <v>1752</v>
      </c>
      <c r="D369" t="s">
        <v>1752</v>
      </c>
      <c r="E369" t="s">
        <v>1752</v>
      </c>
      <c r="F369" t="s">
        <v>1752</v>
      </c>
      <c r="AS369" t="s">
        <v>4569</v>
      </c>
      <c r="AT369" t="s">
        <v>4569</v>
      </c>
      <c r="AU369" t="s">
        <v>4569</v>
      </c>
      <c r="AV369" t="s">
        <v>4569</v>
      </c>
      <c r="BJ369" t="s">
        <v>4588</v>
      </c>
      <c r="BK369" t="s">
        <v>1752</v>
      </c>
      <c r="BM369" t="s">
        <v>4569</v>
      </c>
      <c r="BN369" t="s">
        <v>4569</v>
      </c>
      <c r="BO369" t="s">
        <v>4569</v>
      </c>
      <c r="BP369" t="s">
        <v>4569</v>
      </c>
      <c r="BQ369" t="s">
        <v>4569</v>
      </c>
      <c r="BR369" t="s">
        <v>4569</v>
      </c>
      <c r="BS369" t="s">
        <v>4569</v>
      </c>
      <c r="DA369" t="s">
        <v>4569</v>
      </c>
      <c r="DB369" t="s">
        <v>4569</v>
      </c>
      <c r="DC369" t="s">
        <v>4569</v>
      </c>
      <c r="DW369" t="s">
        <v>1752</v>
      </c>
      <c r="EH369" t="s">
        <v>1321</v>
      </c>
      <c r="FE369" t="s">
        <v>1321</v>
      </c>
      <c r="FF369" t="s">
        <v>1321</v>
      </c>
    </row>
    <row r="370" spans="1:190" x14ac:dyDescent="0.2">
      <c r="A370" t="str">
        <f t="shared" si="15"/>
        <v>Heilungssegen</v>
      </c>
      <c r="C370" t="s">
        <v>1752</v>
      </c>
      <c r="D370" t="s">
        <v>1752</v>
      </c>
      <c r="E370" t="s">
        <v>1752</v>
      </c>
      <c r="F370" t="s">
        <v>1752</v>
      </c>
      <c r="G370" t="s">
        <v>1752</v>
      </c>
      <c r="H370" t="s">
        <v>1752</v>
      </c>
      <c r="I370" t="s">
        <v>1752</v>
      </c>
      <c r="J370" t="s">
        <v>1752</v>
      </c>
      <c r="K370" t="s">
        <v>1752</v>
      </c>
      <c r="L370" t="s">
        <v>1752</v>
      </c>
      <c r="M370" t="s">
        <v>1752</v>
      </c>
      <c r="N370" t="s">
        <v>1752</v>
      </c>
      <c r="O370" t="s">
        <v>1752</v>
      </c>
      <c r="P370" t="s">
        <v>1752</v>
      </c>
      <c r="Q370" t="s">
        <v>1752</v>
      </c>
      <c r="R370" t="s">
        <v>1752</v>
      </c>
      <c r="S370" t="s">
        <v>1752</v>
      </c>
      <c r="T370" t="s">
        <v>1752</v>
      </c>
      <c r="U370" t="s">
        <v>1752</v>
      </c>
      <c r="V370" t="s">
        <v>1752</v>
      </c>
      <c r="W370" t="s">
        <v>1752</v>
      </c>
      <c r="X370" t="s">
        <v>1752</v>
      </c>
      <c r="Y370" t="s">
        <v>1752</v>
      </c>
      <c r="Z370" t="s">
        <v>1752</v>
      </c>
      <c r="AA370" t="s">
        <v>1752</v>
      </c>
      <c r="AB370" t="s">
        <v>1752</v>
      </c>
      <c r="AC370" t="s">
        <v>1752</v>
      </c>
      <c r="AD370" t="s">
        <v>1752</v>
      </c>
      <c r="AE370" t="s">
        <v>1752</v>
      </c>
      <c r="AG370" t="s">
        <v>1752</v>
      </c>
      <c r="AI370" t="s">
        <v>1752</v>
      </c>
      <c r="AO370" t="s">
        <v>1752</v>
      </c>
      <c r="AP370" t="s">
        <v>1752</v>
      </c>
      <c r="AQ370" t="s">
        <v>1752</v>
      </c>
      <c r="AR370" t="s">
        <v>1752</v>
      </c>
      <c r="AS370" t="s">
        <v>1752</v>
      </c>
      <c r="AT370" t="s">
        <v>1752</v>
      </c>
      <c r="AU370" t="s">
        <v>1752</v>
      </c>
      <c r="AV370" t="s">
        <v>1752</v>
      </c>
      <c r="AZ370" t="s">
        <v>1752</v>
      </c>
      <c r="BA370" t="s">
        <v>1752</v>
      </c>
      <c r="BB370" t="s">
        <v>1752</v>
      </c>
      <c r="BC370" t="s">
        <v>1752</v>
      </c>
      <c r="BD370" t="s">
        <v>1752</v>
      </c>
      <c r="BG370" t="s">
        <v>1752</v>
      </c>
      <c r="BH370" t="s">
        <v>1752</v>
      </c>
      <c r="BI370" t="s">
        <v>1752</v>
      </c>
      <c r="BJ370" t="s">
        <v>1752</v>
      </c>
      <c r="BK370" t="s">
        <v>1752</v>
      </c>
      <c r="BM370" t="s">
        <v>1752</v>
      </c>
      <c r="BN370" t="s">
        <v>1752</v>
      </c>
      <c r="BO370" t="s">
        <v>1752</v>
      </c>
      <c r="BP370" t="s">
        <v>1752</v>
      </c>
      <c r="BQ370" t="s">
        <v>1752</v>
      </c>
      <c r="BR370" t="s">
        <v>1752</v>
      </c>
      <c r="BS370" t="s">
        <v>1752</v>
      </c>
      <c r="BT370" t="s">
        <v>1752</v>
      </c>
      <c r="BU370" t="s">
        <v>1752</v>
      </c>
      <c r="BV370" t="s">
        <v>1752</v>
      </c>
      <c r="BW370" t="s">
        <v>1752</v>
      </c>
      <c r="BX370" t="s">
        <v>1752</v>
      </c>
      <c r="BY370" t="s">
        <v>1752</v>
      </c>
      <c r="BZ370" t="s">
        <v>1752</v>
      </c>
      <c r="CA370" t="s">
        <v>1752</v>
      </c>
      <c r="CB370" t="s">
        <v>1752</v>
      </c>
      <c r="CC370" t="s">
        <v>1752</v>
      </c>
      <c r="CE370" t="s">
        <v>1752</v>
      </c>
      <c r="CF370" t="s">
        <v>1752</v>
      </c>
      <c r="CG370" t="s">
        <v>1752</v>
      </c>
      <c r="CH370" t="s">
        <v>1752</v>
      </c>
      <c r="CI370" t="s">
        <v>1752</v>
      </c>
      <c r="CL370" t="s">
        <v>1752</v>
      </c>
      <c r="CM370" t="s">
        <v>1752</v>
      </c>
      <c r="CN370" t="s">
        <v>1752</v>
      </c>
      <c r="CO370" t="s">
        <v>1752</v>
      </c>
      <c r="CP370" t="s">
        <v>1752</v>
      </c>
      <c r="CV370" t="s">
        <v>1752</v>
      </c>
      <c r="CW370" t="s">
        <v>1752</v>
      </c>
      <c r="CX370" t="s">
        <v>1752</v>
      </c>
      <c r="CY370" t="s">
        <v>1752</v>
      </c>
      <c r="DA370" t="s">
        <v>1752</v>
      </c>
      <c r="DB370" t="s">
        <v>1752</v>
      </c>
      <c r="DC370" t="s">
        <v>1752</v>
      </c>
      <c r="DD370" t="s">
        <v>1752</v>
      </c>
      <c r="EH370" t="s">
        <v>1321</v>
      </c>
      <c r="EI370" t="s">
        <v>1321</v>
      </c>
      <c r="EJ370" t="s">
        <v>1752</v>
      </c>
      <c r="EK370" t="s">
        <v>1752</v>
      </c>
      <c r="EL370" t="s">
        <v>1752</v>
      </c>
      <c r="EM370" t="s">
        <v>1752</v>
      </c>
      <c r="EN370" t="s">
        <v>1752</v>
      </c>
      <c r="EO370" t="s">
        <v>1752</v>
      </c>
      <c r="EP370" t="s">
        <v>1752</v>
      </c>
      <c r="EQ370" t="s">
        <v>1752</v>
      </c>
      <c r="ER370" t="s">
        <v>1752</v>
      </c>
      <c r="ET370" t="s">
        <v>1752</v>
      </c>
      <c r="EU370" t="s">
        <v>1752</v>
      </c>
      <c r="EV370" t="s">
        <v>1752</v>
      </c>
      <c r="EX370" t="s">
        <v>1752</v>
      </c>
      <c r="EZ370" t="s">
        <v>1752</v>
      </c>
      <c r="FA370" t="s">
        <v>1752</v>
      </c>
      <c r="FE370" t="s">
        <v>1752</v>
      </c>
      <c r="FF370" t="s">
        <v>1752</v>
      </c>
      <c r="FH370" t="s">
        <v>1321</v>
      </c>
      <c r="FI370" t="s">
        <v>1752</v>
      </c>
      <c r="FJ370" t="s">
        <v>1752</v>
      </c>
      <c r="FK370" t="s">
        <v>1752</v>
      </c>
      <c r="FL370" t="s">
        <v>1752</v>
      </c>
      <c r="FM370" t="s">
        <v>1752</v>
      </c>
      <c r="FN370" t="s">
        <v>1752</v>
      </c>
      <c r="FO370" t="s">
        <v>1752</v>
      </c>
      <c r="FP370" t="s">
        <v>1752</v>
      </c>
      <c r="FQ370" t="s">
        <v>1752</v>
      </c>
      <c r="FR370" t="s">
        <v>1321</v>
      </c>
      <c r="FS370" t="s">
        <v>1752</v>
      </c>
      <c r="FT370" t="s">
        <v>1752</v>
      </c>
      <c r="FU370" t="s">
        <v>1752</v>
      </c>
      <c r="FW370" t="s">
        <v>1321</v>
      </c>
      <c r="FX370" t="s">
        <v>1752</v>
      </c>
      <c r="FY370" t="s">
        <v>1752</v>
      </c>
      <c r="FZ370" t="s">
        <v>1752</v>
      </c>
      <c r="GA370" t="s">
        <v>1752</v>
      </c>
      <c r="GH370" t="s">
        <v>1752</v>
      </c>
    </row>
    <row r="371" spans="1:190" x14ac:dyDescent="0.2">
      <c r="A371" t="str">
        <f t="shared" si="15"/>
        <v>Innere Ruhe</v>
      </c>
      <c r="AS371" t="s">
        <v>4569</v>
      </c>
      <c r="AT371" t="s">
        <v>4569</v>
      </c>
      <c r="AU371" t="s">
        <v>1321</v>
      </c>
      <c r="AV371" t="s">
        <v>4569</v>
      </c>
      <c r="BJ371" t="s">
        <v>4569</v>
      </c>
      <c r="BK371" t="s">
        <v>4569</v>
      </c>
      <c r="BM371" t="s">
        <v>4569</v>
      </c>
      <c r="BN371" t="s">
        <v>4569</v>
      </c>
      <c r="BO371" t="s">
        <v>4569</v>
      </c>
      <c r="BP371" t="s">
        <v>4569</v>
      </c>
      <c r="BQ371" t="s">
        <v>4569</v>
      </c>
      <c r="BR371" t="s">
        <v>4569</v>
      </c>
      <c r="BS371" t="s">
        <v>4569</v>
      </c>
      <c r="CB371" t="s">
        <v>1752</v>
      </c>
      <c r="CC371" t="s">
        <v>1752</v>
      </c>
      <c r="CE371" t="s">
        <v>1752</v>
      </c>
      <c r="DA371" t="s">
        <v>4569</v>
      </c>
      <c r="DB371" t="s">
        <v>4569</v>
      </c>
      <c r="DC371" t="s">
        <v>4569</v>
      </c>
      <c r="FF371" t="s">
        <v>4569</v>
      </c>
      <c r="FO371" t="s">
        <v>1321</v>
      </c>
      <c r="FP371" t="s">
        <v>1321</v>
      </c>
      <c r="FQ371" t="s">
        <v>1321</v>
      </c>
      <c r="FR371" t="s">
        <v>1321</v>
      </c>
    </row>
    <row r="372" spans="1:190" x14ac:dyDescent="0.2">
      <c r="A372" t="str">
        <f t="shared" si="15"/>
        <v>Kälbchensegen</v>
      </c>
      <c r="AS372" t="s">
        <v>4569</v>
      </c>
      <c r="AT372" t="s">
        <v>4569</v>
      </c>
      <c r="AU372" t="s">
        <v>4569</v>
      </c>
      <c r="AV372" t="s">
        <v>4569</v>
      </c>
      <c r="BJ372" t="s">
        <v>4569</v>
      </c>
      <c r="BK372" t="s">
        <v>4569</v>
      </c>
      <c r="BM372" t="s">
        <v>4569</v>
      </c>
      <c r="BN372" t="s">
        <v>4569</v>
      </c>
      <c r="BO372" t="s">
        <v>4569</v>
      </c>
      <c r="BP372" t="s">
        <v>4569</v>
      </c>
      <c r="BQ372" t="s">
        <v>1752</v>
      </c>
      <c r="BR372" t="s">
        <v>1321</v>
      </c>
      <c r="BS372" t="s">
        <v>1321</v>
      </c>
      <c r="DA372" t="s">
        <v>1321</v>
      </c>
      <c r="DB372" t="s">
        <v>1321</v>
      </c>
      <c r="DC372" t="s">
        <v>1321</v>
      </c>
      <c r="FF372" t="s">
        <v>4569</v>
      </c>
      <c r="FI372" t="s">
        <v>1321</v>
      </c>
      <c r="FJ372" t="s">
        <v>1321</v>
      </c>
      <c r="FO372" t="s">
        <v>1321</v>
      </c>
      <c r="FP372" t="s">
        <v>1321</v>
      </c>
      <c r="FQ372" t="s">
        <v>1321</v>
      </c>
      <c r="FR372" t="s">
        <v>1321</v>
      </c>
      <c r="GA372" t="s">
        <v>1321</v>
      </c>
    </row>
    <row r="373" spans="1:190" x14ac:dyDescent="0.2">
      <c r="A373" t="str">
        <f t="shared" si="15"/>
        <v>Kleines Tabu</v>
      </c>
      <c r="AS373" t="s">
        <v>4569</v>
      </c>
      <c r="AT373" t="s">
        <v>4569</v>
      </c>
      <c r="AU373" t="s">
        <v>4569</v>
      </c>
      <c r="AV373" t="s">
        <v>4569</v>
      </c>
      <c r="BJ373" t="s">
        <v>4569</v>
      </c>
      <c r="BK373" t="s">
        <v>4569</v>
      </c>
      <c r="BM373" t="s">
        <v>4569</v>
      </c>
      <c r="BN373" t="s">
        <v>4569</v>
      </c>
      <c r="BO373" t="s">
        <v>4569</v>
      </c>
      <c r="BP373" t="s">
        <v>4569</v>
      </c>
      <c r="BQ373" t="s">
        <v>4569</v>
      </c>
      <c r="BR373" t="s">
        <v>4569</v>
      </c>
      <c r="BS373" t="s">
        <v>4569</v>
      </c>
      <c r="DA373" t="s">
        <v>4569</v>
      </c>
      <c r="DB373" t="s">
        <v>4569</v>
      </c>
      <c r="DC373" t="s">
        <v>4569</v>
      </c>
      <c r="FF373" t="s">
        <v>4569</v>
      </c>
    </row>
    <row r="374" spans="1:190" x14ac:dyDescent="0.2">
      <c r="A374" t="str">
        <f t="shared" si="15"/>
        <v>Märtyrersegen</v>
      </c>
      <c r="C374" t="s">
        <v>1752</v>
      </c>
      <c r="D374" t="s">
        <v>1752</v>
      </c>
      <c r="E374" t="s">
        <v>1752</v>
      </c>
      <c r="F374" t="s">
        <v>1752</v>
      </c>
      <c r="G374" t="s">
        <v>1321</v>
      </c>
      <c r="H374" t="s">
        <v>1752</v>
      </c>
      <c r="I374" t="s">
        <v>1752</v>
      </c>
      <c r="J374" t="s">
        <v>1752</v>
      </c>
      <c r="K374" t="s">
        <v>1752</v>
      </c>
      <c r="L374" t="s">
        <v>1752</v>
      </c>
      <c r="M374" t="s">
        <v>1752</v>
      </c>
      <c r="N374" t="s">
        <v>1752</v>
      </c>
      <c r="O374" t="s">
        <v>1752</v>
      </c>
      <c r="P374" t="s">
        <v>1752</v>
      </c>
      <c r="Q374" t="s">
        <v>1752</v>
      </c>
      <c r="R374" t="s">
        <v>1752</v>
      </c>
      <c r="S374" t="s">
        <v>1752</v>
      </c>
      <c r="T374" t="s">
        <v>1752</v>
      </c>
      <c r="U374" t="s">
        <v>1752</v>
      </c>
      <c r="V374" t="s">
        <v>1752</v>
      </c>
      <c r="W374" t="s">
        <v>1752</v>
      </c>
      <c r="X374" t="s">
        <v>1752</v>
      </c>
      <c r="Y374" t="s">
        <v>1752</v>
      </c>
      <c r="Z374" t="s">
        <v>1752</v>
      </c>
      <c r="AA374" t="s">
        <v>1752</v>
      </c>
      <c r="AB374" t="s">
        <v>1752</v>
      </c>
      <c r="AC374" t="s">
        <v>1752</v>
      </c>
      <c r="AD374" t="s">
        <v>1752</v>
      </c>
      <c r="AE374" t="s">
        <v>1752</v>
      </c>
      <c r="AG374" t="s">
        <v>1752</v>
      </c>
      <c r="AI374" t="s">
        <v>1752</v>
      </c>
      <c r="AO374" t="s">
        <v>1752</v>
      </c>
      <c r="AP374" t="s">
        <v>1752</v>
      </c>
      <c r="AQ374" t="s">
        <v>1752</v>
      </c>
      <c r="AR374" t="s">
        <v>1752</v>
      </c>
      <c r="AS374" t="s">
        <v>1752</v>
      </c>
      <c r="AT374" t="s">
        <v>1752</v>
      </c>
      <c r="AU374" t="s">
        <v>1752</v>
      </c>
      <c r="AV374" t="s">
        <v>1752</v>
      </c>
      <c r="AZ374" t="s">
        <v>1752</v>
      </c>
      <c r="BA374" t="s">
        <v>1752</v>
      </c>
      <c r="BB374" t="s">
        <v>1752</v>
      </c>
      <c r="BC374" t="s">
        <v>1752</v>
      </c>
      <c r="BD374" t="s">
        <v>1752</v>
      </c>
      <c r="BG374" t="s">
        <v>1752</v>
      </c>
      <c r="BH374" t="s">
        <v>1752</v>
      </c>
      <c r="BI374" t="s">
        <v>1752</v>
      </c>
      <c r="BJ374" t="s">
        <v>1752</v>
      </c>
      <c r="BK374" t="s">
        <v>1752</v>
      </c>
      <c r="BL374" t="s">
        <v>1752</v>
      </c>
      <c r="BM374" t="s">
        <v>1321</v>
      </c>
      <c r="BN374" t="s">
        <v>1321</v>
      </c>
      <c r="BO374" t="s">
        <v>1321</v>
      </c>
      <c r="BP374" t="s">
        <v>1321</v>
      </c>
      <c r="BQ374" t="s">
        <v>1752</v>
      </c>
      <c r="BR374" t="s">
        <v>1752</v>
      </c>
      <c r="BS374" t="s">
        <v>1752</v>
      </c>
      <c r="BT374" t="s">
        <v>1752</v>
      </c>
      <c r="BU374" t="s">
        <v>1752</v>
      </c>
      <c r="BV374" t="s">
        <v>1752</v>
      </c>
      <c r="BW374" t="s">
        <v>1752</v>
      </c>
      <c r="BX374" t="s">
        <v>1752</v>
      </c>
      <c r="BY374" t="s">
        <v>1752</v>
      </c>
      <c r="BZ374" t="s">
        <v>1752</v>
      </c>
      <c r="CA374" t="s">
        <v>1752</v>
      </c>
      <c r="CB374" t="s">
        <v>1752</v>
      </c>
      <c r="CC374" t="s">
        <v>1752</v>
      </c>
      <c r="CE374" t="s">
        <v>1752</v>
      </c>
      <c r="CF374" t="s">
        <v>1752</v>
      </c>
      <c r="CG374" t="s">
        <v>1752</v>
      </c>
      <c r="CH374" t="s">
        <v>1752</v>
      </c>
      <c r="CI374" t="s">
        <v>1752</v>
      </c>
      <c r="CL374" t="s">
        <v>1752</v>
      </c>
      <c r="CM374" t="s">
        <v>1752</v>
      </c>
      <c r="CN374" t="s">
        <v>1752</v>
      </c>
      <c r="CO374" t="s">
        <v>1752</v>
      </c>
      <c r="CP374" t="s">
        <v>1752</v>
      </c>
      <c r="CV374" t="s">
        <v>1752</v>
      </c>
      <c r="CW374" t="s">
        <v>1752</v>
      </c>
      <c r="CX374" t="s">
        <v>1752</v>
      </c>
      <c r="CY374" t="s">
        <v>1752</v>
      </c>
      <c r="DA374" t="s">
        <v>1752</v>
      </c>
      <c r="DB374" t="s">
        <v>1752</v>
      </c>
      <c r="DC374" t="s">
        <v>1752</v>
      </c>
      <c r="DD374" t="s">
        <v>1752</v>
      </c>
      <c r="EH374" t="s">
        <v>1321</v>
      </c>
      <c r="EI374" t="s">
        <v>1321</v>
      </c>
      <c r="EJ374" t="s">
        <v>1752</v>
      </c>
      <c r="EK374" t="s">
        <v>1752</v>
      </c>
      <c r="EL374" t="s">
        <v>1752</v>
      </c>
      <c r="EM374" t="s">
        <v>1752</v>
      </c>
      <c r="EN374" t="s">
        <v>1752</v>
      </c>
      <c r="EO374" t="s">
        <v>1752</v>
      </c>
      <c r="EP374" t="s">
        <v>1752</v>
      </c>
      <c r="EQ374" t="s">
        <v>1752</v>
      </c>
      <c r="ER374" t="s">
        <v>1752</v>
      </c>
      <c r="ET374" t="s">
        <v>1752</v>
      </c>
      <c r="EU374" t="s">
        <v>1752</v>
      </c>
      <c r="EV374" t="s">
        <v>1752</v>
      </c>
      <c r="EX374" t="s">
        <v>1752</v>
      </c>
      <c r="EZ374" t="s">
        <v>1752</v>
      </c>
      <c r="FA374" t="s">
        <v>1752</v>
      </c>
      <c r="FE374" t="s">
        <v>1752</v>
      </c>
      <c r="FF374" t="s">
        <v>1752</v>
      </c>
      <c r="FG374" t="s">
        <v>1752</v>
      </c>
      <c r="FH374" t="s">
        <v>1321</v>
      </c>
      <c r="FI374" t="s">
        <v>1752</v>
      </c>
      <c r="FJ374" t="s">
        <v>1752</v>
      </c>
      <c r="FK374" t="s">
        <v>1752</v>
      </c>
      <c r="FL374" t="s">
        <v>1752</v>
      </c>
      <c r="FM374" t="s">
        <v>1752</v>
      </c>
      <c r="FN374" t="s">
        <v>1752</v>
      </c>
      <c r="FO374" t="s">
        <v>1752</v>
      </c>
      <c r="FP374" t="s">
        <v>1752</v>
      </c>
      <c r="FQ374" t="s">
        <v>1752</v>
      </c>
      <c r="FR374" t="s">
        <v>1321</v>
      </c>
      <c r="FS374" t="s">
        <v>1752</v>
      </c>
      <c r="FT374" t="s">
        <v>1752</v>
      </c>
      <c r="FU374" t="s">
        <v>1752</v>
      </c>
      <c r="FW374" t="s">
        <v>1321</v>
      </c>
      <c r="FX374" t="s">
        <v>1752</v>
      </c>
      <c r="FY374" t="s">
        <v>1752</v>
      </c>
      <c r="FZ374" t="s">
        <v>1752</v>
      </c>
      <c r="GA374" t="s">
        <v>1752</v>
      </c>
      <c r="GH374" t="s">
        <v>1752</v>
      </c>
    </row>
    <row r="375" spans="1:190" x14ac:dyDescent="0.2">
      <c r="A375" t="str">
        <f t="shared" si="15"/>
        <v>Namenloses Vergessen</v>
      </c>
      <c r="AS375" t="s">
        <v>4569</v>
      </c>
      <c r="AT375" t="s">
        <v>4569</v>
      </c>
      <c r="AU375" t="s">
        <v>4569</v>
      </c>
      <c r="AV375" t="s">
        <v>4569</v>
      </c>
      <c r="BJ375" t="s">
        <v>4569</v>
      </c>
      <c r="BK375" t="s">
        <v>4569</v>
      </c>
      <c r="BL375" t="s">
        <v>1752</v>
      </c>
      <c r="BM375" t="s">
        <v>4569</v>
      </c>
      <c r="BN375" t="s">
        <v>4569</v>
      </c>
      <c r="BO375" t="s">
        <v>4569</v>
      </c>
      <c r="BP375" t="s">
        <v>4569</v>
      </c>
      <c r="BQ375" t="s">
        <v>4569</v>
      </c>
      <c r="BR375" t="s">
        <v>4569</v>
      </c>
      <c r="BS375" t="s">
        <v>4569</v>
      </c>
      <c r="DA375" t="s">
        <v>4569</v>
      </c>
      <c r="DB375" t="s">
        <v>4569</v>
      </c>
      <c r="DC375" t="s">
        <v>4569</v>
      </c>
      <c r="FF375" t="s">
        <v>4569</v>
      </c>
    </row>
    <row r="376" spans="1:190" x14ac:dyDescent="0.2">
      <c r="A376" t="str">
        <f t="shared" si="15"/>
        <v>Neun Streiche in Einem</v>
      </c>
      <c r="FG376" t="s">
        <v>1752</v>
      </c>
    </row>
    <row r="377" spans="1:190" x14ac:dyDescent="0.2">
      <c r="A377" t="str">
        <f t="shared" si="15"/>
        <v>Objektsegen</v>
      </c>
      <c r="C377" t="s">
        <v>1752</v>
      </c>
      <c r="D377" t="s">
        <v>1752</v>
      </c>
      <c r="E377" t="s">
        <v>1752</v>
      </c>
      <c r="F377" t="s">
        <v>1752</v>
      </c>
      <c r="G377" t="s">
        <v>1752</v>
      </c>
      <c r="H377" t="s">
        <v>1752</v>
      </c>
      <c r="I377" t="s">
        <v>1752</v>
      </c>
      <c r="J377" t="s">
        <v>1752</v>
      </c>
      <c r="K377" t="s">
        <v>1752</v>
      </c>
      <c r="L377" t="s">
        <v>1752</v>
      </c>
      <c r="M377" t="s">
        <v>1752</v>
      </c>
      <c r="N377" t="s">
        <v>1752</v>
      </c>
      <c r="O377" t="s">
        <v>1752</v>
      </c>
      <c r="P377" t="s">
        <v>1752</v>
      </c>
      <c r="Q377" t="s">
        <v>1752</v>
      </c>
      <c r="R377" t="s">
        <v>1752</v>
      </c>
      <c r="S377" t="s">
        <v>1752</v>
      </c>
      <c r="T377" t="s">
        <v>1752</v>
      </c>
      <c r="U377" t="s">
        <v>1752</v>
      </c>
      <c r="V377" t="s">
        <v>1752</v>
      </c>
      <c r="W377" t="s">
        <v>1752</v>
      </c>
      <c r="X377" t="s">
        <v>1752</v>
      </c>
      <c r="Y377" t="s">
        <v>1752</v>
      </c>
      <c r="Z377" t="s">
        <v>1752</v>
      </c>
      <c r="AA377" t="s">
        <v>1752</v>
      </c>
      <c r="AB377" t="s">
        <v>1752</v>
      </c>
      <c r="AC377" t="s">
        <v>1752</v>
      </c>
      <c r="AD377" t="s">
        <v>1752</v>
      </c>
      <c r="AE377" t="s">
        <v>1752</v>
      </c>
      <c r="AG377" t="s">
        <v>1321</v>
      </c>
      <c r="AI377" t="s">
        <v>1752</v>
      </c>
      <c r="AO377" t="s">
        <v>1752</v>
      </c>
      <c r="AP377" t="s">
        <v>1752</v>
      </c>
      <c r="AQ377" t="s">
        <v>1752</v>
      </c>
      <c r="AR377" t="s">
        <v>1752</v>
      </c>
      <c r="AS377" t="s">
        <v>1752</v>
      </c>
      <c r="AT377" t="s">
        <v>1752</v>
      </c>
      <c r="AU377" t="s">
        <v>1752</v>
      </c>
      <c r="AV377" t="s">
        <v>1752</v>
      </c>
      <c r="AZ377" t="s">
        <v>1321</v>
      </c>
      <c r="BA377" t="s">
        <v>1321</v>
      </c>
      <c r="BB377" t="s">
        <v>1321</v>
      </c>
      <c r="BC377" t="s">
        <v>1321</v>
      </c>
      <c r="BD377" t="s">
        <v>1321</v>
      </c>
      <c r="BG377" t="s">
        <v>1752</v>
      </c>
      <c r="BH377" t="s">
        <v>1321</v>
      </c>
      <c r="BI377" t="s">
        <v>1321</v>
      </c>
      <c r="BJ377" t="s">
        <v>1752</v>
      </c>
      <c r="BK377" t="s">
        <v>1752</v>
      </c>
      <c r="BL377" t="s">
        <v>1752</v>
      </c>
      <c r="BM377" t="s">
        <v>1321</v>
      </c>
      <c r="BN377" t="s">
        <v>1321</v>
      </c>
      <c r="BO377" t="s">
        <v>1321</v>
      </c>
      <c r="BP377" t="s">
        <v>1321</v>
      </c>
      <c r="BQ377" t="s">
        <v>4588</v>
      </c>
      <c r="BR377" t="s">
        <v>4588</v>
      </c>
      <c r="BS377" t="s">
        <v>4588</v>
      </c>
      <c r="BT377" t="s">
        <v>1752</v>
      </c>
      <c r="BU377" t="s">
        <v>1321</v>
      </c>
      <c r="BV377" t="s">
        <v>1321</v>
      </c>
      <c r="BW377" t="s">
        <v>1321</v>
      </c>
      <c r="BX377" t="s">
        <v>1321</v>
      </c>
      <c r="BY377" t="s">
        <v>1321</v>
      </c>
      <c r="BZ377" t="s">
        <v>1321</v>
      </c>
      <c r="CA377" t="s">
        <v>1752</v>
      </c>
      <c r="CB377" t="s">
        <v>1752</v>
      </c>
      <c r="CC377" t="s">
        <v>1752</v>
      </c>
      <c r="CE377" t="s">
        <v>1752</v>
      </c>
      <c r="CF377" t="s">
        <v>1752</v>
      </c>
      <c r="CG377" t="s">
        <v>1752</v>
      </c>
      <c r="CH377" t="s">
        <v>1752</v>
      </c>
      <c r="CI377" t="s">
        <v>1752</v>
      </c>
      <c r="CL377" t="s">
        <v>1752</v>
      </c>
      <c r="CM377" t="s">
        <v>1752</v>
      </c>
      <c r="CN377" t="s">
        <v>1752</v>
      </c>
      <c r="CO377" t="s">
        <v>1752</v>
      </c>
      <c r="CP377" t="s">
        <v>1752</v>
      </c>
      <c r="CV377" t="s">
        <v>1321</v>
      </c>
      <c r="CW377" t="s">
        <v>1321</v>
      </c>
      <c r="CX377" t="s">
        <v>1321</v>
      </c>
      <c r="CY377" t="s">
        <v>1321</v>
      </c>
      <c r="DA377" t="s">
        <v>1321</v>
      </c>
      <c r="DB377" t="s">
        <v>1321</v>
      </c>
      <c r="DC377" t="s">
        <v>1321</v>
      </c>
      <c r="DD377" t="s">
        <v>1752</v>
      </c>
      <c r="DW377" t="s">
        <v>1752</v>
      </c>
      <c r="EH377" t="s">
        <v>1321</v>
      </c>
      <c r="EI377" t="s">
        <v>1321</v>
      </c>
      <c r="EJ377" t="s">
        <v>1321</v>
      </c>
      <c r="EK377" t="s">
        <v>1321</v>
      </c>
      <c r="EL377" t="s">
        <v>1321</v>
      </c>
      <c r="EM377" t="s">
        <v>1321</v>
      </c>
      <c r="EN377" t="s">
        <v>1321</v>
      </c>
      <c r="EO377" t="s">
        <v>1321</v>
      </c>
      <c r="EP377" t="s">
        <v>1321</v>
      </c>
      <c r="EQ377" t="s">
        <v>1321</v>
      </c>
      <c r="ER377" t="s">
        <v>1321</v>
      </c>
      <c r="ET377" t="s">
        <v>1321</v>
      </c>
      <c r="EU377" t="s">
        <v>1321</v>
      </c>
      <c r="EV377" t="s">
        <v>1321</v>
      </c>
      <c r="FE377" t="s">
        <v>1321</v>
      </c>
      <c r="FF377" t="s">
        <v>1321</v>
      </c>
      <c r="FG377" t="s">
        <v>1752</v>
      </c>
      <c r="FH377" t="s">
        <v>1321</v>
      </c>
      <c r="FI377" t="s">
        <v>1321</v>
      </c>
      <c r="FJ377" t="s">
        <v>1321</v>
      </c>
      <c r="FK377" t="s">
        <v>1321</v>
      </c>
      <c r="FL377" t="s">
        <v>1321</v>
      </c>
      <c r="FM377" t="s">
        <v>1321</v>
      </c>
      <c r="FN377" t="s">
        <v>1321</v>
      </c>
      <c r="FO377" t="s">
        <v>1321</v>
      </c>
      <c r="FP377" t="s">
        <v>1321</v>
      </c>
      <c r="FQ377" t="s">
        <v>1321</v>
      </c>
      <c r="FR377" t="s">
        <v>1321</v>
      </c>
      <c r="FS377" t="s">
        <v>1321</v>
      </c>
      <c r="FT377" t="s">
        <v>1321</v>
      </c>
      <c r="FU377" t="s">
        <v>1321</v>
      </c>
      <c r="FW377" t="s">
        <v>1321</v>
      </c>
      <c r="FX377" t="s">
        <v>1321</v>
      </c>
      <c r="FY377" t="s">
        <v>1321</v>
      </c>
      <c r="FZ377" t="s">
        <v>1321</v>
      </c>
      <c r="GA377" t="s">
        <v>1321</v>
      </c>
    </row>
    <row r="378" spans="1:190" x14ac:dyDescent="0.2">
      <c r="A378" t="str">
        <f t="shared" si="15"/>
        <v>Prophezeiung</v>
      </c>
      <c r="C378" t="s">
        <v>1321</v>
      </c>
      <c r="D378" t="s">
        <v>1321</v>
      </c>
      <c r="E378" t="s">
        <v>1321</v>
      </c>
      <c r="F378" t="s">
        <v>1321</v>
      </c>
      <c r="G378" t="s">
        <v>1752</v>
      </c>
      <c r="I378" t="s">
        <v>1321</v>
      </c>
      <c r="J378" t="s">
        <v>1321</v>
      </c>
      <c r="K378" t="s">
        <v>1321</v>
      </c>
      <c r="L378" t="s">
        <v>1321</v>
      </c>
      <c r="M378" t="s">
        <v>1321</v>
      </c>
      <c r="N378" t="s">
        <v>1321</v>
      </c>
      <c r="O378" t="s">
        <v>1321</v>
      </c>
      <c r="P378" t="s">
        <v>1321</v>
      </c>
      <c r="Q378" t="s">
        <v>1321</v>
      </c>
      <c r="R378" t="s">
        <v>1321</v>
      </c>
      <c r="S378" t="s">
        <v>1321</v>
      </c>
      <c r="T378" t="s">
        <v>1321</v>
      </c>
      <c r="U378" t="s">
        <v>1321</v>
      </c>
      <c r="V378" t="s">
        <v>1321</v>
      </c>
      <c r="W378" t="s">
        <v>1321</v>
      </c>
      <c r="X378" t="s">
        <v>1321</v>
      </c>
      <c r="Y378" t="s">
        <v>1321</v>
      </c>
      <c r="Z378" t="s">
        <v>1321</v>
      </c>
      <c r="AA378" t="s">
        <v>1321</v>
      </c>
      <c r="AB378" t="s">
        <v>1321</v>
      </c>
      <c r="AC378" t="s">
        <v>1321</v>
      </c>
      <c r="AD378" t="s">
        <v>1321</v>
      </c>
      <c r="AE378" t="s">
        <v>1321</v>
      </c>
      <c r="AG378" t="s">
        <v>1321</v>
      </c>
      <c r="AI378" t="s">
        <v>1321</v>
      </c>
      <c r="AO378" t="s">
        <v>1321</v>
      </c>
      <c r="AP378" t="s">
        <v>1321</v>
      </c>
      <c r="AQ378" t="s">
        <v>1321</v>
      </c>
      <c r="AR378" t="s">
        <v>1321</v>
      </c>
      <c r="AS378" t="s">
        <v>1321</v>
      </c>
      <c r="AT378" t="s">
        <v>1321</v>
      </c>
      <c r="AU378" t="s">
        <v>1321</v>
      </c>
      <c r="AV378" t="s">
        <v>1321</v>
      </c>
      <c r="AZ378" t="s">
        <v>1321</v>
      </c>
      <c r="BA378" t="s">
        <v>1321</v>
      </c>
      <c r="BB378" t="s">
        <v>1752</v>
      </c>
      <c r="BC378" t="s">
        <v>1321</v>
      </c>
      <c r="BD378" t="s">
        <v>1752</v>
      </c>
      <c r="BG378" t="s">
        <v>1321</v>
      </c>
      <c r="BH378" t="s">
        <v>1321</v>
      </c>
      <c r="BI378" t="s">
        <v>1321</v>
      </c>
      <c r="BJ378" t="s">
        <v>1321</v>
      </c>
      <c r="BK378" t="s">
        <v>1321</v>
      </c>
      <c r="BL378" t="s">
        <v>1321</v>
      </c>
      <c r="BM378" t="s">
        <v>4588</v>
      </c>
      <c r="BN378" t="s">
        <v>4588</v>
      </c>
      <c r="BO378" t="s">
        <v>4588</v>
      </c>
      <c r="BP378" t="s">
        <v>4588</v>
      </c>
      <c r="BQ378" t="s">
        <v>1321</v>
      </c>
      <c r="BR378" t="s">
        <v>1321</v>
      </c>
      <c r="BS378" t="s">
        <v>1321</v>
      </c>
      <c r="BT378" t="s">
        <v>1321</v>
      </c>
      <c r="BU378" t="s">
        <v>1321</v>
      </c>
      <c r="BV378" t="s">
        <v>1321</v>
      </c>
      <c r="BW378" t="s">
        <v>1321</v>
      </c>
      <c r="BX378" t="s">
        <v>1321</v>
      </c>
      <c r="BY378" t="s">
        <v>1321</v>
      </c>
      <c r="BZ378" t="s">
        <v>1321</v>
      </c>
      <c r="CA378" t="s">
        <v>1321</v>
      </c>
      <c r="CB378" t="s">
        <v>1321</v>
      </c>
      <c r="CC378" t="s">
        <v>1321</v>
      </c>
      <c r="CE378" t="s">
        <v>1321</v>
      </c>
      <c r="CF378" t="s">
        <v>1321</v>
      </c>
      <c r="CG378" t="s">
        <v>1321</v>
      </c>
      <c r="CH378" t="s">
        <v>1321</v>
      </c>
      <c r="CI378" t="s">
        <v>1321</v>
      </c>
      <c r="CL378" t="s">
        <v>1321</v>
      </c>
      <c r="CM378" t="s">
        <v>1321</v>
      </c>
      <c r="CN378" t="s">
        <v>1321</v>
      </c>
      <c r="CO378" t="s">
        <v>1321</v>
      </c>
      <c r="CP378" t="s">
        <v>1321</v>
      </c>
      <c r="CV378" t="s">
        <v>1321</v>
      </c>
      <c r="CW378" t="s">
        <v>1321</v>
      </c>
      <c r="CX378" t="s">
        <v>1321</v>
      </c>
      <c r="CY378" t="s">
        <v>1321</v>
      </c>
      <c r="DA378" t="s">
        <v>1321</v>
      </c>
      <c r="DB378" t="s">
        <v>1321</v>
      </c>
      <c r="DC378" t="s">
        <v>1321</v>
      </c>
      <c r="DD378" t="s">
        <v>1321</v>
      </c>
      <c r="EH378" t="s">
        <v>1321</v>
      </c>
      <c r="EI378" t="s">
        <v>1321</v>
      </c>
      <c r="EJ378" t="s">
        <v>1321</v>
      </c>
      <c r="EK378" t="s">
        <v>1321</v>
      </c>
      <c r="EL378" t="s">
        <v>1321</v>
      </c>
      <c r="EM378" t="s">
        <v>1321</v>
      </c>
      <c r="EN378" t="s">
        <v>1321</v>
      </c>
      <c r="EO378" t="s">
        <v>1321</v>
      </c>
      <c r="EP378" t="s">
        <v>1321</v>
      </c>
      <c r="EQ378" t="s">
        <v>1321</v>
      </c>
      <c r="ER378" t="s">
        <v>1321</v>
      </c>
      <c r="ET378" t="s">
        <v>1321</v>
      </c>
      <c r="EU378" t="s">
        <v>1321</v>
      </c>
      <c r="EV378" t="s">
        <v>1321</v>
      </c>
      <c r="EX378" t="s">
        <v>1321</v>
      </c>
      <c r="EZ378" t="s">
        <v>1321</v>
      </c>
      <c r="FA378" t="s">
        <v>1321</v>
      </c>
      <c r="FE378" t="s">
        <v>1321</v>
      </c>
      <c r="FF378" t="s">
        <v>1321</v>
      </c>
      <c r="FG378" t="s">
        <v>1321</v>
      </c>
      <c r="FH378" t="s">
        <v>1321</v>
      </c>
      <c r="FI378" t="s">
        <v>1321</v>
      </c>
      <c r="FJ378" t="s">
        <v>1321</v>
      </c>
      <c r="FK378" t="s">
        <v>1321</v>
      </c>
      <c r="FL378" t="s">
        <v>1321</v>
      </c>
      <c r="FM378" t="s">
        <v>1321</v>
      </c>
      <c r="FN378" t="s">
        <v>1321</v>
      </c>
      <c r="FO378" t="s">
        <v>1321</v>
      </c>
      <c r="FP378" t="s">
        <v>1321</v>
      </c>
      <c r="FQ378" t="s">
        <v>1321</v>
      </c>
      <c r="FR378" t="s">
        <v>1321</v>
      </c>
      <c r="FS378" t="s">
        <v>1321</v>
      </c>
      <c r="FT378" t="s">
        <v>1321</v>
      </c>
      <c r="FU378" t="s">
        <v>1321</v>
      </c>
      <c r="FW378" t="s">
        <v>1321</v>
      </c>
      <c r="FX378" t="s">
        <v>1321</v>
      </c>
      <c r="FY378" t="s">
        <v>1321</v>
      </c>
      <c r="FZ378" t="s">
        <v>1321</v>
      </c>
      <c r="GA378" t="s">
        <v>1321</v>
      </c>
    </row>
    <row r="379" spans="1:190" x14ac:dyDescent="0.2">
      <c r="A379" t="str">
        <f t="shared" si="15"/>
        <v>Rahjalinas Farbenspiel</v>
      </c>
    </row>
    <row r="380" spans="1:190" x14ac:dyDescent="0.2">
      <c r="A380" t="str">
        <f t="shared" si="15"/>
        <v>Rahjas Erquickung</v>
      </c>
      <c r="AS380" t="s">
        <v>4569</v>
      </c>
      <c r="AT380" t="s">
        <v>4569</v>
      </c>
      <c r="AU380" t="s">
        <v>4569</v>
      </c>
      <c r="AV380" t="s">
        <v>4569</v>
      </c>
      <c r="BJ380" t="s">
        <v>4569</v>
      </c>
      <c r="BK380" t="s">
        <v>4569</v>
      </c>
      <c r="BM380" t="s">
        <v>4569</v>
      </c>
      <c r="BN380" t="s">
        <v>4569</v>
      </c>
      <c r="BO380" t="s">
        <v>4569</v>
      </c>
      <c r="BP380" t="s">
        <v>4569</v>
      </c>
      <c r="BQ380" t="s">
        <v>4569</v>
      </c>
      <c r="BR380" t="s">
        <v>4569</v>
      </c>
      <c r="BS380" t="s">
        <v>4569</v>
      </c>
      <c r="CF380" t="s">
        <v>1321</v>
      </c>
      <c r="CG380" t="s">
        <v>1321</v>
      </c>
      <c r="CH380" t="s">
        <v>1321</v>
      </c>
      <c r="CI380" t="s">
        <v>1321</v>
      </c>
      <c r="CL380" t="s">
        <v>1321</v>
      </c>
      <c r="CM380" t="s">
        <v>1321</v>
      </c>
      <c r="DA380" t="s">
        <v>4569</v>
      </c>
      <c r="DB380" t="s">
        <v>4569</v>
      </c>
      <c r="DC380" t="s">
        <v>4569</v>
      </c>
      <c r="FF380" t="s">
        <v>4569</v>
      </c>
    </row>
    <row r="381" spans="1:190" x14ac:dyDescent="0.2">
      <c r="A381" t="str">
        <f t="shared" si="15"/>
        <v>Reichung des Amethyst</v>
      </c>
      <c r="AS381" t="s">
        <v>4569</v>
      </c>
      <c r="AT381" t="s">
        <v>4569</v>
      </c>
      <c r="AU381" t="s">
        <v>4569</v>
      </c>
      <c r="AV381" t="s">
        <v>4569</v>
      </c>
      <c r="BJ381" t="s">
        <v>4569</v>
      </c>
      <c r="BK381" t="s">
        <v>4569</v>
      </c>
      <c r="BM381" t="s">
        <v>4569</v>
      </c>
      <c r="BN381" t="s">
        <v>4569</v>
      </c>
      <c r="BO381" t="s">
        <v>4569</v>
      </c>
      <c r="BP381" t="s">
        <v>4569</v>
      </c>
      <c r="BQ381" t="s">
        <v>4569</v>
      </c>
      <c r="BR381" t="s">
        <v>4569</v>
      </c>
      <c r="BS381" t="s">
        <v>4569</v>
      </c>
      <c r="CF381" t="s">
        <v>1321</v>
      </c>
      <c r="CG381" t="s">
        <v>1321</v>
      </c>
      <c r="CH381" t="s">
        <v>1321</v>
      </c>
      <c r="CI381" t="s">
        <v>1321</v>
      </c>
      <c r="CL381" t="s">
        <v>1321</v>
      </c>
      <c r="CM381" t="s">
        <v>1321</v>
      </c>
      <c r="DA381" t="s">
        <v>4569</v>
      </c>
      <c r="DB381" t="s">
        <v>4569</v>
      </c>
      <c r="DC381" t="s">
        <v>4569</v>
      </c>
      <c r="FF381" t="s">
        <v>4569</v>
      </c>
      <c r="FS381" t="s">
        <v>1321</v>
      </c>
      <c r="FT381" t="s">
        <v>1321</v>
      </c>
    </row>
    <row r="382" spans="1:190" x14ac:dyDescent="0.2">
      <c r="A382" t="str">
        <f t="shared" si="15"/>
        <v>Ruf zur Ruhe</v>
      </c>
      <c r="I382" t="s">
        <v>1321</v>
      </c>
      <c r="J382" t="s">
        <v>1321</v>
      </c>
      <c r="K382" t="s">
        <v>1321</v>
      </c>
      <c r="L382" t="s">
        <v>1321</v>
      </c>
      <c r="M382" t="s">
        <v>1321</v>
      </c>
      <c r="N382" t="s">
        <v>1321</v>
      </c>
      <c r="O382" t="s">
        <v>1321</v>
      </c>
      <c r="P382" t="s">
        <v>1321</v>
      </c>
      <c r="Q382" t="s">
        <v>1321</v>
      </c>
      <c r="R382" t="s">
        <v>1321</v>
      </c>
      <c r="S382" t="s">
        <v>1321</v>
      </c>
      <c r="T382" t="s">
        <v>1321</v>
      </c>
      <c r="U382" t="s">
        <v>1321</v>
      </c>
      <c r="V382" t="s">
        <v>1321</v>
      </c>
      <c r="W382" t="s">
        <v>1321</v>
      </c>
      <c r="X382" t="s">
        <v>1321</v>
      </c>
      <c r="Y382" t="s">
        <v>1321</v>
      </c>
      <c r="Z382" t="s">
        <v>1321</v>
      </c>
      <c r="AA382" t="s">
        <v>1321</v>
      </c>
      <c r="AB382" t="s">
        <v>1321</v>
      </c>
      <c r="AC382" t="s">
        <v>1321</v>
      </c>
      <c r="AD382" t="s">
        <v>1321</v>
      </c>
      <c r="AE382" t="s">
        <v>1321</v>
      </c>
      <c r="AG382" t="s">
        <v>1321</v>
      </c>
      <c r="AI382" t="s">
        <v>1321</v>
      </c>
      <c r="AS382" t="s">
        <v>4569</v>
      </c>
      <c r="AT382" t="s">
        <v>4569</v>
      </c>
      <c r="AU382" t="s">
        <v>4569</v>
      </c>
      <c r="AV382" t="s">
        <v>4569</v>
      </c>
      <c r="BJ382" t="s">
        <v>4569</v>
      </c>
      <c r="BK382" t="s">
        <v>4569</v>
      </c>
      <c r="BM382" t="s">
        <v>4569</v>
      </c>
      <c r="BN382" t="s">
        <v>4569</v>
      </c>
      <c r="BO382" t="s">
        <v>4569</v>
      </c>
      <c r="BP382" t="s">
        <v>4569</v>
      </c>
      <c r="BQ382" t="s">
        <v>4569</v>
      </c>
      <c r="BR382" t="s">
        <v>4569</v>
      </c>
      <c r="BS382" t="s">
        <v>4569</v>
      </c>
      <c r="DA382" t="s">
        <v>4569</v>
      </c>
      <c r="DB382" t="s">
        <v>4569</v>
      </c>
      <c r="DC382" t="s">
        <v>4569</v>
      </c>
      <c r="EJ382" t="s">
        <v>1321</v>
      </c>
      <c r="EK382" t="s">
        <v>1321</v>
      </c>
      <c r="EL382" t="s">
        <v>1321</v>
      </c>
      <c r="EM382" t="s">
        <v>1321</v>
      </c>
      <c r="EN382" t="s">
        <v>1321</v>
      </c>
      <c r="EO382" t="s">
        <v>1321</v>
      </c>
      <c r="EP382" t="s">
        <v>1321</v>
      </c>
      <c r="EQ382" t="s">
        <v>1321</v>
      </c>
      <c r="ER382" t="s">
        <v>1321</v>
      </c>
      <c r="FF382" t="s">
        <v>4569</v>
      </c>
    </row>
    <row r="383" spans="1:190" x14ac:dyDescent="0.2">
      <c r="A383" t="str">
        <f t="shared" si="15"/>
        <v>Schlaf des Gesegneten</v>
      </c>
      <c r="G383" t="s">
        <v>1752</v>
      </c>
      <c r="H383" t="s">
        <v>1752</v>
      </c>
      <c r="I383" t="s">
        <v>1752</v>
      </c>
      <c r="J383" t="s">
        <v>1752</v>
      </c>
      <c r="K383" t="s">
        <v>1752</v>
      </c>
      <c r="L383" t="s">
        <v>1752</v>
      </c>
      <c r="M383" t="s">
        <v>1752</v>
      </c>
      <c r="N383" t="s">
        <v>1752</v>
      </c>
      <c r="O383" t="s">
        <v>1321</v>
      </c>
      <c r="P383" t="s">
        <v>1321</v>
      </c>
      <c r="Q383" t="s">
        <v>1321</v>
      </c>
      <c r="R383" t="s">
        <v>1752</v>
      </c>
      <c r="S383" t="s">
        <v>1752</v>
      </c>
      <c r="T383" t="s">
        <v>1752</v>
      </c>
      <c r="U383" t="s">
        <v>1752</v>
      </c>
      <c r="V383" t="s">
        <v>1752</v>
      </c>
      <c r="W383" t="s">
        <v>1752</v>
      </c>
      <c r="X383" t="s">
        <v>1752</v>
      </c>
      <c r="Y383" t="s">
        <v>1321</v>
      </c>
      <c r="Z383" t="s">
        <v>1321</v>
      </c>
      <c r="AA383" t="s">
        <v>1321</v>
      </c>
      <c r="AB383" t="s">
        <v>1321</v>
      </c>
      <c r="AC383" t="s">
        <v>1752</v>
      </c>
      <c r="AD383" t="s">
        <v>1752</v>
      </c>
      <c r="AE383" t="s">
        <v>1752</v>
      </c>
      <c r="AG383" t="s">
        <v>1321</v>
      </c>
      <c r="AI383" t="s">
        <v>1752</v>
      </c>
      <c r="AS383" t="s">
        <v>4569</v>
      </c>
      <c r="AT383" t="s">
        <v>4569</v>
      </c>
      <c r="AU383" t="s">
        <v>4569</v>
      </c>
      <c r="AV383" t="s">
        <v>4569</v>
      </c>
      <c r="BJ383" t="s">
        <v>4569</v>
      </c>
      <c r="BK383" t="s">
        <v>4569</v>
      </c>
      <c r="BM383" t="s">
        <v>4569</v>
      </c>
      <c r="BN383" t="s">
        <v>4569</v>
      </c>
      <c r="BO383" t="s">
        <v>4569</v>
      </c>
      <c r="BP383" t="s">
        <v>4569</v>
      </c>
      <c r="BQ383" t="s">
        <v>4569</v>
      </c>
      <c r="BR383" t="s">
        <v>4569</v>
      </c>
      <c r="BS383" t="s">
        <v>4569</v>
      </c>
      <c r="DA383" t="s">
        <v>4569</v>
      </c>
      <c r="DB383" t="s">
        <v>4569</v>
      </c>
      <c r="DC383" t="s">
        <v>4569</v>
      </c>
      <c r="EI383" t="s">
        <v>1321</v>
      </c>
      <c r="EJ383" t="s">
        <v>1321</v>
      </c>
      <c r="EK383" t="s">
        <v>1321</v>
      </c>
      <c r="EL383" t="s">
        <v>1321</v>
      </c>
      <c r="EM383" t="s">
        <v>1321</v>
      </c>
      <c r="EN383" t="s">
        <v>1321</v>
      </c>
      <c r="EO383" t="s">
        <v>1321</v>
      </c>
      <c r="EP383" t="s">
        <v>1321</v>
      </c>
      <c r="EQ383" t="s">
        <v>1321</v>
      </c>
      <c r="ER383" t="s">
        <v>1321</v>
      </c>
      <c r="FF383" t="s">
        <v>4569</v>
      </c>
      <c r="FS383" t="s">
        <v>1321</v>
      </c>
      <c r="FT383" t="s">
        <v>1321</v>
      </c>
    </row>
    <row r="384" spans="1:190" x14ac:dyDescent="0.2">
      <c r="A384" t="str">
        <f t="shared" si="15"/>
        <v>Schutzsegen</v>
      </c>
      <c r="C384" t="s">
        <v>1752</v>
      </c>
      <c r="D384" t="s">
        <v>1752</v>
      </c>
      <c r="E384" t="s">
        <v>1752</v>
      </c>
      <c r="F384" t="s">
        <v>1752</v>
      </c>
      <c r="G384" t="s">
        <v>1321</v>
      </c>
      <c r="H384" t="s">
        <v>1752</v>
      </c>
      <c r="I384" t="s">
        <v>1752</v>
      </c>
      <c r="J384" t="s">
        <v>1752</v>
      </c>
      <c r="K384" t="s">
        <v>1752</v>
      </c>
      <c r="L384" t="s">
        <v>1752</v>
      </c>
      <c r="M384" t="s">
        <v>1752</v>
      </c>
      <c r="N384" t="s">
        <v>1752</v>
      </c>
      <c r="O384" t="s">
        <v>1752</v>
      </c>
      <c r="P384" t="s">
        <v>1752</v>
      </c>
      <c r="Q384" t="s">
        <v>1752</v>
      </c>
      <c r="R384" t="s">
        <v>1752</v>
      </c>
      <c r="S384" t="s">
        <v>1752</v>
      </c>
      <c r="T384" t="s">
        <v>1752</v>
      </c>
      <c r="U384" t="s">
        <v>1752</v>
      </c>
      <c r="V384" t="s">
        <v>1752</v>
      </c>
      <c r="W384" t="s">
        <v>1752</v>
      </c>
      <c r="X384" t="s">
        <v>1752</v>
      </c>
      <c r="Y384" t="s">
        <v>1752</v>
      </c>
      <c r="Z384" t="s">
        <v>1752</v>
      </c>
      <c r="AA384" t="s">
        <v>1752</v>
      </c>
      <c r="AB384" t="s">
        <v>1752</v>
      </c>
      <c r="AC384" t="s">
        <v>1752</v>
      </c>
      <c r="AD384" t="s">
        <v>1752</v>
      </c>
      <c r="AE384" t="s">
        <v>1752</v>
      </c>
      <c r="AG384" t="s">
        <v>1752</v>
      </c>
      <c r="AI384" t="s">
        <v>1752</v>
      </c>
      <c r="AO384" t="s">
        <v>1752</v>
      </c>
      <c r="AP384" t="s">
        <v>1752</v>
      </c>
      <c r="AQ384" t="s">
        <v>1752</v>
      </c>
      <c r="AR384" t="s">
        <v>1752</v>
      </c>
      <c r="AS384" t="s">
        <v>1752</v>
      </c>
      <c r="AT384" t="s">
        <v>1752</v>
      </c>
      <c r="AU384" t="s">
        <v>1752</v>
      </c>
      <c r="AV384" t="s">
        <v>1752</v>
      </c>
      <c r="AZ384" t="s">
        <v>1752</v>
      </c>
      <c r="BA384" t="s">
        <v>1752</v>
      </c>
      <c r="BB384" t="s">
        <v>1752</v>
      </c>
      <c r="BC384" t="s">
        <v>1752</v>
      </c>
      <c r="BD384" t="s">
        <v>1752</v>
      </c>
      <c r="BG384" t="s">
        <v>1752</v>
      </c>
      <c r="BH384" t="s">
        <v>1752</v>
      </c>
      <c r="BI384" t="s">
        <v>1752</v>
      </c>
      <c r="BJ384" t="s">
        <v>1752</v>
      </c>
      <c r="BK384" t="s">
        <v>1752</v>
      </c>
      <c r="BL384" t="s">
        <v>1752</v>
      </c>
      <c r="BM384" t="s">
        <v>1752</v>
      </c>
      <c r="BN384" t="s">
        <v>1752</v>
      </c>
      <c r="BO384" t="s">
        <v>1752</v>
      </c>
      <c r="BP384" t="s">
        <v>1752</v>
      </c>
      <c r="BQ384" t="s">
        <v>1752</v>
      </c>
      <c r="BR384" t="s">
        <v>1752</v>
      </c>
      <c r="BS384" t="s">
        <v>1752</v>
      </c>
      <c r="BT384" t="s">
        <v>1752</v>
      </c>
      <c r="BU384" t="s">
        <v>1752</v>
      </c>
      <c r="BV384" t="s">
        <v>1752</v>
      </c>
      <c r="BW384" t="s">
        <v>1752</v>
      </c>
      <c r="BX384" t="s">
        <v>1752</v>
      </c>
      <c r="BY384" t="s">
        <v>1752</v>
      </c>
      <c r="BZ384" t="s">
        <v>1752</v>
      </c>
      <c r="CA384" t="s">
        <v>1752</v>
      </c>
      <c r="CB384" t="s">
        <v>1752</v>
      </c>
      <c r="CC384" t="s">
        <v>1752</v>
      </c>
      <c r="CE384" t="s">
        <v>1752</v>
      </c>
      <c r="CF384" t="s">
        <v>1752</v>
      </c>
      <c r="CG384" t="s">
        <v>1752</v>
      </c>
      <c r="CH384" t="s">
        <v>1752</v>
      </c>
      <c r="CI384" t="s">
        <v>1752</v>
      </c>
      <c r="CL384" t="s">
        <v>1752</v>
      </c>
      <c r="CM384" t="s">
        <v>1752</v>
      </c>
      <c r="CN384" t="s">
        <v>1752</v>
      </c>
      <c r="CO384" t="s">
        <v>1752</v>
      </c>
      <c r="CP384" t="s">
        <v>1752</v>
      </c>
      <c r="CV384" t="s">
        <v>1321</v>
      </c>
      <c r="CW384" t="s">
        <v>1321</v>
      </c>
      <c r="CX384" t="s">
        <v>1752</v>
      </c>
      <c r="CY384" t="s">
        <v>1752</v>
      </c>
      <c r="DA384" t="s">
        <v>1752</v>
      </c>
      <c r="DB384" t="s">
        <v>1752</v>
      </c>
      <c r="DC384" t="s">
        <v>1752</v>
      </c>
      <c r="DD384" t="s">
        <v>1752</v>
      </c>
      <c r="EH384" t="s">
        <v>1321</v>
      </c>
      <c r="EI384" t="s">
        <v>1321</v>
      </c>
      <c r="EJ384" t="s">
        <v>1752</v>
      </c>
      <c r="EK384" t="s">
        <v>1752</v>
      </c>
      <c r="EL384" t="s">
        <v>1752</v>
      </c>
      <c r="EM384" t="s">
        <v>1752</v>
      </c>
      <c r="EN384" t="s">
        <v>1752</v>
      </c>
      <c r="EO384" t="s">
        <v>1752</v>
      </c>
      <c r="EP384" t="s">
        <v>1752</v>
      </c>
      <c r="EQ384" t="s">
        <v>1752</v>
      </c>
      <c r="ER384" t="s">
        <v>1752</v>
      </c>
      <c r="ET384" t="s">
        <v>1752</v>
      </c>
      <c r="EU384" t="s">
        <v>1752</v>
      </c>
      <c r="EV384" t="s">
        <v>1752</v>
      </c>
      <c r="EX384" t="s">
        <v>1752</v>
      </c>
      <c r="EZ384" t="s">
        <v>1752</v>
      </c>
      <c r="FA384" t="s">
        <v>1752</v>
      </c>
      <c r="FE384" t="s">
        <v>1752</v>
      </c>
      <c r="FF384" t="s">
        <v>1752</v>
      </c>
      <c r="FG384" t="s">
        <v>1752</v>
      </c>
      <c r="FH384" t="s">
        <v>1321</v>
      </c>
      <c r="FI384" t="s">
        <v>1752</v>
      </c>
      <c r="FJ384" t="s">
        <v>1752</v>
      </c>
      <c r="FK384" t="s">
        <v>1752</v>
      </c>
      <c r="FL384" t="s">
        <v>1752</v>
      </c>
      <c r="FM384" t="s">
        <v>1752</v>
      </c>
      <c r="FN384" t="s">
        <v>1752</v>
      </c>
      <c r="FO384" t="s">
        <v>1752</v>
      </c>
      <c r="FP384" t="s">
        <v>1752</v>
      </c>
      <c r="FQ384" t="s">
        <v>1752</v>
      </c>
      <c r="FR384" t="s">
        <v>1321</v>
      </c>
      <c r="FS384" t="s">
        <v>1752</v>
      </c>
      <c r="FT384" t="s">
        <v>1752</v>
      </c>
      <c r="FU384" t="s">
        <v>1752</v>
      </c>
      <c r="FW384" t="s">
        <v>1321</v>
      </c>
      <c r="FX384" t="s">
        <v>1752</v>
      </c>
      <c r="FY384" t="s">
        <v>1752</v>
      </c>
      <c r="FZ384" t="s">
        <v>1752</v>
      </c>
      <c r="GA384" t="s">
        <v>1752</v>
      </c>
      <c r="GH384" t="s">
        <v>1752</v>
      </c>
    </row>
    <row r="385" spans="1:190" x14ac:dyDescent="0.2">
      <c r="A385" t="str">
        <f t="shared" si="15"/>
        <v>Segnung der Stählernen Stirn</v>
      </c>
      <c r="AS385" t="s">
        <v>4569</v>
      </c>
      <c r="AT385" t="s">
        <v>4569</v>
      </c>
      <c r="AU385" t="s">
        <v>4569</v>
      </c>
      <c r="AV385" t="s">
        <v>4569</v>
      </c>
      <c r="BJ385" t="s">
        <v>4569</v>
      </c>
      <c r="BK385" t="s">
        <v>4569</v>
      </c>
      <c r="BM385" t="s">
        <v>4569</v>
      </c>
      <c r="BN385" t="s">
        <v>4569</v>
      </c>
      <c r="BO385" t="s">
        <v>4569</v>
      </c>
      <c r="BP385" t="s">
        <v>4569</v>
      </c>
      <c r="BQ385" t="s">
        <v>4569</v>
      </c>
      <c r="BR385" t="s">
        <v>4569</v>
      </c>
      <c r="BS385" t="s">
        <v>4569</v>
      </c>
      <c r="CN385" t="s">
        <v>1752</v>
      </c>
      <c r="CO385" t="s">
        <v>1752</v>
      </c>
      <c r="CP385" t="s">
        <v>1752</v>
      </c>
      <c r="DA385" t="s">
        <v>4569</v>
      </c>
      <c r="DB385" t="s">
        <v>4569</v>
      </c>
      <c r="DC385" t="s">
        <v>4569</v>
      </c>
      <c r="FF385" t="s">
        <v>4569</v>
      </c>
      <c r="FU385" t="s">
        <v>1321</v>
      </c>
    </row>
    <row r="386" spans="1:190" x14ac:dyDescent="0.2">
      <c r="A386" t="str">
        <f t="shared" si="15"/>
        <v>Speisesegen</v>
      </c>
      <c r="C386" t="s">
        <v>1752</v>
      </c>
      <c r="D386" t="s">
        <v>1752</v>
      </c>
      <c r="E386" t="s">
        <v>1752</v>
      </c>
      <c r="F386" t="s">
        <v>1752</v>
      </c>
      <c r="G386" t="s">
        <v>1752</v>
      </c>
      <c r="H386" t="s">
        <v>1752</v>
      </c>
      <c r="I386" t="s">
        <v>1752</v>
      </c>
      <c r="J386" t="s">
        <v>1752</v>
      </c>
      <c r="K386" t="s">
        <v>1752</v>
      </c>
      <c r="L386" t="s">
        <v>1752</v>
      </c>
      <c r="M386" t="s">
        <v>1752</v>
      </c>
      <c r="N386" t="s">
        <v>1752</v>
      </c>
      <c r="O386" t="s">
        <v>1752</v>
      </c>
      <c r="P386" t="s">
        <v>1752</v>
      </c>
      <c r="Q386" t="s">
        <v>1752</v>
      </c>
      <c r="R386" t="s">
        <v>1752</v>
      </c>
      <c r="S386" t="s">
        <v>1752</v>
      </c>
      <c r="T386" t="s">
        <v>1752</v>
      </c>
      <c r="U386" t="s">
        <v>1752</v>
      </c>
      <c r="V386" t="s">
        <v>1752</v>
      </c>
      <c r="W386" t="s">
        <v>1752</v>
      </c>
      <c r="X386" t="s">
        <v>1752</v>
      </c>
      <c r="Y386" t="s">
        <v>1752</v>
      </c>
      <c r="Z386" t="s">
        <v>1752</v>
      </c>
      <c r="AA386" t="s">
        <v>1752</v>
      </c>
      <c r="AB386" t="s">
        <v>1752</v>
      </c>
      <c r="AC386" t="s">
        <v>1752</v>
      </c>
      <c r="AD386" t="s">
        <v>1752</v>
      </c>
      <c r="AE386" t="s">
        <v>1752</v>
      </c>
      <c r="AG386" t="s">
        <v>1752</v>
      </c>
      <c r="AI386" t="s">
        <v>1752</v>
      </c>
      <c r="AO386" t="s">
        <v>1752</v>
      </c>
      <c r="AP386" t="s">
        <v>1752</v>
      </c>
      <c r="AQ386" t="s">
        <v>1752</v>
      </c>
      <c r="AR386" t="s">
        <v>1752</v>
      </c>
      <c r="AS386" t="s">
        <v>1752</v>
      </c>
      <c r="AT386" t="s">
        <v>1752</v>
      </c>
      <c r="AU386" t="s">
        <v>1752</v>
      </c>
      <c r="AV386" t="s">
        <v>1752</v>
      </c>
      <c r="AZ386" t="s">
        <v>1752</v>
      </c>
      <c r="BA386" t="s">
        <v>1752</v>
      </c>
      <c r="BB386" t="s">
        <v>1752</v>
      </c>
      <c r="BC386" t="s">
        <v>1752</v>
      </c>
      <c r="BD386" t="s">
        <v>1752</v>
      </c>
      <c r="BH386" t="s">
        <v>1752</v>
      </c>
      <c r="BI386" t="s">
        <v>1752</v>
      </c>
      <c r="BJ386" t="s">
        <v>1752</v>
      </c>
      <c r="BK386" t="s">
        <v>1752</v>
      </c>
      <c r="BL386" t="s">
        <v>1752</v>
      </c>
      <c r="BM386" t="s">
        <v>1321</v>
      </c>
      <c r="BN386" t="s">
        <v>1321</v>
      </c>
      <c r="BO386" t="s">
        <v>1321</v>
      </c>
      <c r="BP386" t="s">
        <v>1321</v>
      </c>
      <c r="BQ386" t="s">
        <v>1752</v>
      </c>
      <c r="BR386" t="s">
        <v>1752</v>
      </c>
      <c r="BS386" t="s">
        <v>1752</v>
      </c>
      <c r="BT386" t="s">
        <v>1752</v>
      </c>
      <c r="BU386" t="s">
        <v>1752</v>
      </c>
      <c r="BV386" t="s">
        <v>1752</v>
      </c>
      <c r="BW386" t="s">
        <v>1752</v>
      </c>
      <c r="BX386" t="s">
        <v>1752</v>
      </c>
      <c r="BY386" t="s">
        <v>1752</v>
      </c>
      <c r="BZ386" t="s">
        <v>1752</v>
      </c>
      <c r="CA386" t="s">
        <v>1752</v>
      </c>
      <c r="CB386" t="s">
        <v>1752</v>
      </c>
      <c r="CC386" t="s">
        <v>1752</v>
      </c>
      <c r="CE386" t="s">
        <v>1752</v>
      </c>
      <c r="CF386" t="s">
        <v>1752</v>
      </c>
      <c r="CG386" t="s">
        <v>1752</v>
      </c>
      <c r="CH386" t="s">
        <v>1752</v>
      </c>
      <c r="CI386" t="s">
        <v>1752</v>
      </c>
      <c r="CL386" t="s">
        <v>1752</v>
      </c>
      <c r="CM386" t="s">
        <v>1752</v>
      </c>
      <c r="CN386" t="s">
        <v>1752</v>
      </c>
      <c r="CO386" t="s">
        <v>1321</v>
      </c>
      <c r="CP386" t="s">
        <v>1752</v>
      </c>
      <c r="CV386" t="s">
        <v>1752</v>
      </c>
      <c r="CW386" t="s">
        <v>1752</v>
      </c>
      <c r="CX386" t="s">
        <v>1752</v>
      </c>
      <c r="CY386" t="s">
        <v>1752</v>
      </c>
      <c r="DA386" t="s">
        <v>1752</v>
      </c>
      <c r="DB386" t="s">
        <v>1752</v>
      </c>
      <c r="DC386" t="s">
        <v>1752</v>
      </c>
      <c r="EH386" t="s">
        <v>1321</v>
      </c>
      <c r="EI386" t="s">
        <v>1321</v>
      </c>
      <c r="EJ386" t="s">
        <v>1752</v>
      </c>
      <c r="EK386" t="s">
        <v>1752</v>
      </c>
      <c r="EL386" t="s">
        <v>1752</v>
      </c>
      <c r="EM386" t="s">
        <v>1752</v>
      </c>
      <c r="EN386" t="s">
        <v>1752</v>
      </c>
      <c r="EO386" t="s">
        <v>1752</v>
      </c>
      <c r="EP386" t="s">
        <v>1752</v>
      </c>
      <c r="EQ386" t="s">
        <v>1752</v>
      </c>
      <c r="ER386" t="s">
        <v>1752</v>
      </c>
      <c r="ET386" t="s">
        <v>1752</v>
      </c>
      <c r="EU386" t="s">
        <v>1752</v>
      </c>
      <c r="EV386" t="s">
        <v>1752</v>
      </c>
      <c r="EX386" t="s">
        <v>1752</v>
      </c>
      <c r="EZ386" t="s">
        <v>1752</v>
      </c>
      <c r="FA386" t="s">
        <v>1752</v>
      </c>
      <c r="FE386" t="s">
        <v>1752</v>
      </c>
      <c r="FF386" t="s">
        <v>1752</v>
      </c>
      <c r="FG386" t="s">
        <v>1752</v>
      </c>
      <c r="FH386" t="s">
        <v>1321</v>
      </c>
      <c r="FI386" t="s">
        <v>1752</v>
      </c>
      <c r="FJ386" t="s">
        <v>1752</v>
      </c>
      <c r="FK386" t="s">
        <v>1752</v>
      </c>
      <c r="FL386" t="s">
        <v>1752</v>
      </c>
      <c r="FM386" t="s">
        <v>1752</v>
      </c>
      <c r="FN386" t="s">
        <v>1752</v>
      </c>
      <c r="FO386" t="s">
        <v>1752</v>
      </c>
      <c r="FP386" t="s">
        <v>1752</v>
      </c>
      <c r="FQ386" t="s">
        <v>1752</v>
      </c>
      <c r="FR386" t="s">
        <v>1321</v>
      </c>
      <c r="FS386" t="s">
        <v>1752</v>
      </c>
      <c r="FT386" t="s">
        <v>1752</v>
      </c>
      <c r="FU386" t="s">
        <v>1752</v>
      </c>
      <c r="FW386" t="s">
        <v>1321</v>
      </c>
      <c r="FX386" t="s">
        <v>1752</v>
      </c>
      <c r="FY386" t="s">
        <v>1752</v>
      </c>
      <c r="FZ386" t="s">
        <v>1752</v>
      </c>
      <c r="GA386" t="s">
        <v>1752</v>
      </c>
      <c r="GH386" t="s">
        <v>1752</v>
      </c>
    </row>
    <row r="387" spans="1:190" x14ac:dyDescent="0.2">
      <c r="A387" t="str">
        <f t="shared" si="15"/>
        <v>Speisung der Bedürftigen</v>
      </c>
      <c r="AS387" t="s">
        <v>4569</v>
      </c>
      <c r="AT387" t="s">
        <v>4569</v>
      </c>
      <c r="AU387" t="s">
        <v>4569</v>
      </c>
      <c r="AV387" t="s">
        <v>4569</v>
      </c>
      <c r="BI387" t="s">
        <v>1321</v>
      </c>
      <c r="BJ387" t="s">
        <v>4569</v>
      </c>
      <c r="BK387" t="s">
        <v>4569</v>
      </c>
      <c r="BM387" t="s">
        <v>4569</v>
      </c>
      <c r="BN387" t="s">
        <v>4569</v>
      </c>
      <c r="BO387" t="s">
        <v>4569</v>
      </c>
      <c r="BP387" t="s">
        <v>4569</v>
      </c>
      <c r="BQ387" t="s">
        <v>4588</v>
      </c>
      <c r="BR387" t="s">
        <v>4588</v>
      </c>
      <c r="BS387" t="s">
        <v>4588</v>
      </c>
      <c r="CX387" t="s">
        <v>1321</v>
      </c>
      <c r="CY387" t="s">
        <v>1321</v>
      </c>
      <c r="DA387" t="s">
        <v>4569</v>
      </c>
      <c r="DB387" t="s">
        <v>4569</v>
      </c>
      <c r="DC387" t="s">
        <v>4569</v>
      </c>
      <c r="FF387" t="s">
        <v>4569</v>
      </c>
      <c r="FI387" t="s">
        <v>1321</v>
      </c>
      <c r="FJ387" t="s">
        <v>1321</v>
      </c>
      <c r="FX387" t="s">
        <v>1321</v>
      </c>
      <c r="FY387" t="s">
        <v>1321</v>
      </c>
      <c r="FZ387" t="s">
        <v>1321</v>
      </c>
    </row>
    <row r="388" spans="1:190" x14ac:dyDescent="0.2">
      <c r="A388" t="str">
        <f t="shared" si="15"/>
        <v>Sprechende Symbole</v>
      </c>
      <c r="AS388" t="s">
        <v>4569</v>
      </c>
      <c r="AT388" t="s">
        <v>4569</v>
      </c>
      <c r="AU388" t="s">
        <v>4569</v>
      </c>
      <c r="AV388" t="s">
        <v>4569</v>
      </c>
      <c r="AZ388" t="s">
        <v>1752</v>
      </c>
      <c r="BA388" t="s">
        <v>1752</v>
      </c>
      <c r="BB388" t="s">
        <v>1752</v>
      </c>
      <c r="BC388" t="s">
        <v>1752</v>
      </c>
      <c r="BD388" t="s">
        <v>1752</v>
      </c>
      <c r="BJ388" t="s">
        <v>4569</v>
      </c>
      <c r="BK388" t="s">
        <v>4569</v>
      </c>
      <c r="BM388" t="s">
        <v>1321</v>
      </c>
      <c r="BN388" t="s">
        <v>1321</v>
      </c>
      <c r="BO388" t="s">
        <v>1321</v>
      </c>
      <c r="BP388" t="s">
        <v>1321</v>
      </c>
      <c r="BQ388" t="s">
        <v>4569</v>
      </c>
      <c r="BR388" t="s">
        <v>4569</v>
      </c>
      <c r="BS388" t="s">
        <v>4569</v>
      </c>
      <c r="DA388" t="s">
        <v>4569</v>
      </c>
      <c r="DB388" t="s">
        <v>4569</v>
      </c>
      <c r="DC388" t="s">
        <v>4569</v>
      </c>
      <c r="EX388" t="s">
        <v>1321</v>
      </c>
      <c r="EZ388" t="s">
        <v>1321</v>
      </c>
      <c r="FA388" t="s">
        <v>1321</v>
      </c>
      <c r="FF388" t="s">
        <v>4569</v>
      </c>
      <c r="FH388" t="s">
        <v>1321</v>
      </c>
    </row>
    <row r="389" spans="1:190" x14ac:dyDescent="0.2">
      <c r="A389" t="str">
        <f t="shared" si="15"/>
        <v>Sterne funkeln immerfort</v>
      </c>
      <c r="G389" t="s">
        <v>1752</v>
      </c>
      <c r="AS389" t="s">
        <v>4569</v>
      </c>
      <c r="AT389" t="s">
        <v>4569</v>
      </c>
      <c r="AU389" t="s">
        <v>4569</v>
      </c>
      <c r="AV389" t="s">
        <v>4569</v>
      </c>
      <c r="BJ389" t="s">
        <v>4569</v>
      </c>
      <c r="BK389" t="s">
        <v>4569</v>
      </c>
      <c r="BM389" t="s">
        <v>1752</v>
      </c>
      <c r="BN389" t="s">
        <v>1752</v>
      </c>
      <c r="BO389" t="s">
        <v>1752</v>
      </c>
      <c r="BP389" t="s">
        <v>1752</v>
      </c>
      <c r="BQ389" t="s">
        <v>4569</v>
      </c>
      <c r="BR389" t="s">
        <v>4569</v>
      </c>
      <c r="BS389" t="s">
        <v>4569</v>
      </c>
      <c r="BT389" t="s">
        <v>1752</v>
      </c>
      <c r="BU389" t="s">
        <v>1321</v>
      </c>
      <c r="BV389" t="s">
        <v>1321</v>
      </c>
      <c r="BW389" t="s">
        <v>1752</v>
      </c>
      <c r="BX389" t="s">
        <v>1752</v>
      </c>
      <c r="BY389" t="s">
        <v>1321</v>
      </c>
      <c r="BZ389" t="s">
        <v>1321</v>
      </c>
      <c r="CA389" t="s">
        <v>1752</v>
      </c>
      <c r="CV389" t="s">
        <v>1752</v>
      </c>
      <c r="CW389" t="s">
        <v>1752</v>
      </c>
      <c r="DA389" t="s">
        <v>4569</v>
      </c>
      <c r="DB389" t="s">
        <v>4569</v>
      </c>
      <c r="DC389" t="s">
        <v>4569</v>
      </c>
      <c r="EI389" t="s">
        <v>1321</v>
      </c>
      <c r="FF389" t="s">
        <v>4569</v>
      </c>
      <c r="FH389" t="s">
        <v>1321</v>
      </c>
      <c r="FK389" t="s">
        <v>1321</v>
      </c>
      <c r="FL389" t="s">
        <v>1321</v>
      </c>
      <c r="FM389" t="s">
        <v>1321</v>
      </c>
      <c r="FN389" t="s">
        <v>1321</v>
      </c>
      <c r="FW389" t="s">
        <v>1321</v>
      </c>
    </row>
    <row r="390" spans="1:190" x14ac:dyDescent="0.2">
      <c r="A390" t="str">
        <f t="shared" si="15"/>
        <v>Swafnirs Ruhelied</v>
      </c>
      <c r="AS390" t="s">
        <v>4569</v>
      </c>
      <c r="AT390" t="s">
        <v>4569</v>
      </c>
      <c r="AU390" t="s">
        <v>4569</v>
      </c>
      <c r="AV390" t="s">
        <v>4569</v>
      </c>
      <c r="BJ390" t="s">
        <v>4569</v>
      </c>
      <c r="BK390" t="s">
        <v>4569</v>
      </c>
      <c r="BM390" t="s">
        <v>4569</v>
      </c>
      <c r="BN390" t="s">
        <v>4569</v>
      </c>
      <c r="BO390" t="s">
        <v>4569</v>
      </c>
      <c r="BP390" t="s">
        <v>4569</v>
      </c>
      <c r="BQ390" t="s">
        <v>4569</v>
      </c>
      <c r="BR390" t="s">
        <v>4569</v>
      </c>
      <c r="BS390" t="s">
        <v>4569</v>
      </c>
      <c r="CV390" t="s">
        <v>1321</v>
      </c>
      <c r="CW390" t="s">
        <v>1752</v>
      </c>
      <c r="DA390" t="s">
        <v>4569</v>
      </c>
      <c r="DB390" t="s">
        <v>4569</v>
      </c>
      <c r="DC390" t="s">
        <v>4569</v>
      </c>
      <c r="FF390" t="s">
        <v>4569</v>
      </c>
      <c r="FW390" t="s">
        <v>1321</v>
      </c>
    </row>
    <row r="391" spans="1:190" x14ac:dyDescent="0.2">
      <c r="A391" t="str">
        <f t="shared" si="15"/>
        <v>Therbûns Erkenntnis</v>
      </c>
      <c r="AS391" t="s">
        <v>4569</v>
      </c>
      <c r="AT391" t="s">
        <v>4569</v>
      </c>
      <c r="AU391" t="s">
        <v>4569</v>
      </c>
      <c r="AV391" t="s">
        <v>4569</v>
      </c>
      <c r="BJ391" t="s">
        <v>4569</v>
      </c>
      <c r="BK391" t="s">
        <v>4569</v>
      </c>
      <c r="BM391" t="s">
        <v>4569</v>
      </c>
      <c r="BN391" t="s">
        <v>4569</v>
      </c>
      <c r="BO391" t="s">
        <v>4569</v>
      </c>
      <c r="BP391" t="s">
        <v>4569</v>
      </c>
      <c r="BQ391" t="s">
        <v>1752</v>
      </c>
      <c r="BR391" t="s">
        <v>1752</v>
      </c>
      <c r="BS391" t="s">
        <v>1752</v>
      </c>
      <c r="DA391" t="s">
        <v>4569</v>
      </c>
      <c r="DB391" t="s">
        <v>4569</v>
      </c>
      <c r="DC391" t="s">
        <v>4569</v>
      </c>
      <c r="FF391" t="s">
        <v>4569</v>
      </c>
      <c r="FI391" t="s">
        <v>1321</v>
      </c>
      <c r="FJ391" t="s">
        <v>1321</v>
      </c>
    </row>
    <row r="392" spans="1:190" x14ac:dyDescent="0.2">
      <c r="A392" t="str">
        <f t="shared" si="15"/>
        <v>Tranksegen</v>
      </c>
      <c r="G392" t="s">
        <v>1752</v>
      </c>
      <c r="H392" t="s">
        <v>1752</v>
      </c>
      <c r="I392" t="s">
        <v>1752</v>
      </c>
      <c r="J392" t="s">
        <v>1752</v>
      </c>
      <c r="K392" t="s">
        <v>1752</v>
      </c>
      <c r="L392" t="s">
        <v>1752</v>
      </c>
      <c r="M392" t="s">
        <v>1752</v>
      </c>
      <c r="N392" t="s">
        <v>1752</v>
      </c>
      <c r="O392" t="s">
        <v>1752</v>
      </c>
      <c r="P392" t="s">
        <v>1752</v>
      </c>
      <c r="Q392" t="s">
        <v>1752</v>
      </c>
      <c r="R392" t="s">
        <v>1752</v>
      </c>
      <c r="S392" t="s">
        <v>1752</v>
      </c>
      <c r="T392" t="s">
        <v>1752</v>
      </c>
      <c r="U392" t="s">
        <v>1752</v>
      </c>
      <c r="V392" t="s">
        <v>1752</v>
      </c>
      <c r="W392" t="s">
        <v>1752</v>
      </c>
      <c r="X392" t="s">
        <v>1752</v>
      </c>
      <c r="Y392" t="s">
        <v>1752</v>
      </c>
      <c r="Z392" t="s">
        <v>1752</v>
      </c>
      <c r="AA392" t="s">
        <v>1752</v>
      </c>
      <c r="AB392" t="s">
        <v>1752</v>
      </c>
      <c r="AC392" t="s">
        <v>1752</v>
      </c>
      <c r="AD392" t="s">
        <v>1752</v>
      </c>
      <c r="AE392" t="s">
        <v>1752</v>
      </c>
      <c r="AG392" t="s">
        <v>1752</v>
      </c>
      <c r="AI392" t="s">
        <v>1752</v>
      </c>
      <c r="AO392" t="s">
        <v>1752</v>
      </c>
      <c r="AP392" t="s">
        <v>1752</v>
      </c>
      <c r="AQ392" t="s">
        <v>1752</v>
      </c>
      <c r="AR392" t="s">
        <v>1752</v>
      </c>
      <c r="AS392" t="s">
        <v>1752</v>
      </c>
      <c r="AT392" t="s">
        <v>1752</v>
      </c>
      <c r="AU392" t="s">
        <v>1752</v>
      </c>
      <c r="AV392" t="s">
        <v>1752</v>
      </c>
      <c r="AZ392" t="s">
        <v>1752</v>
      </c>
      <c r="BA392" t="s">
        <v>1752</v>
      </c>
      <c r="BB392" t="s">
        <v>1752</v>
      </c>
      <c r="BC392" t="s">
        <v>1752</v>
      </c>
      <c r="BD392" t="s">
        <v>1752</v>
      </c>
      <c r="BG392" t="s">
        <v>1752</v>
      </c>
      <c r="BH392" t="s">
        <v>1321</v>
      </c>
      <c r="BI392" t="s">
        <v>1321</v>
      </c>
      <c r="BJ392" t="s">
        <v>1752</v>
      </c>
      <c r="BK392" t="s">
        <v>1752</v>
      </c>
      <c r="BL392" t="s">
        <v>1752</v>
      </c>
      <c r="BM392" t="s">
        <v>1321</v>
      </c>
      <c r="BN392" t="s">
        <v>1321</v>
      </c>
      <c r="BO392" t="s">
        <v>1321</v>
      </c>
      <c r="BP392" t="s">
        <v>1321</v>
      </c>
      <c r="BQ392" t="s">
        <v>1752</v>
      </c>
      <c r="BR392" t="s">
        <v>1752</v>
      </c>
      <c r="BS392" t="s">
        <v>1752</v>
      </c>
      <c r="BT392" t="s">
        <v>1752</v>
      </c>
      <c r="BU392" t="s">
        <v>1752</v>
      </c>
      <c r="BV392" t="s">
        <v>1752</v>
      </c>
      <c r="BW392" t="s">
        <v>1752</v>
      </c>
      <c r="BX392" t="s">
        <v>1752</v>
      </c>
      <c r="BY392" t="s">
        <v>1752</v>
      </c>
      <c r="BZ392" t="s">
        <v>1752</v>
      </c>
      <c r="CA392" t="s">
        <v>1752</v>
      </c>
      <c r="CB392" t="s">
        <v>1752</v>
      </c>
      <c r="CC392" t="s">
        <v>1752</v>
      </c>
      <c r="CE392" t="s">
        <v>1752</v>
      </c>
      <c r="CF392" t="s">
        <v>1752</v>
      </c>
      <c r="CG392" t="s">
        <v>1752</v>
      </c>
      <c r="CH392" t="s">
        <v>1752</v>
      </c>
      <c r="CI392" t="s">
        <v>1752</v>
      </c>
      <c r="CL392" t="s">
        <v>1752</v>
      </c>
      <c r="CM392" t="s">
        <v>1752</v>
      </c>
      <c r="CN392" t="s">
        <v>1752</v>
      </c>
      <c r="CO392" t="s">
        <v>1321</v>
      </c>
      <c r="CP392" t="s">
        <v>1752</v>
      </c>
      <c r="CV392" t="s">
        <v>1752</v>
      </c>
      <c r="CW392" t="s">
        <v>1752</v>
      </c>
      <c r="CX392" t="s">
        <v>1752</v>
      </c>
      <c r="CY392" t="s">
        <v>1752</v>
      </c>
      <c r="DA392" t="s">
        <v>1752</v>
      </c>
      <c r="DB392" t="s">
        <v>1752</v>
      </c>
      <c r="DC392" t="s">
        <v>1752</v>
      </c>
      <c r="DD392" t="s">
        <v>1321</v>
      </c>
      <c r="EI392" t="s">
        <v>1321</v>
      </c>
      <c r="EJ392" t="s">
        <v>1752</v>
      </c>
      <c r="EK392" t="s">
        <v>1752</v>
      </c>
      <c r="EL392" t="s">
        <v>1752</v>
      </c>
      <c r="EM392" t="s">
        <v>1752</v>
      </c>
      <c r="EN392" t="s">
        <v>1752</v>
      </c>
      <c r="EO392" t="s">
        <v>1752</v>
      </c>
      <c r="EP392" t="s">
        <v>1752</v>
      </c>
      <c r="EQ392" t="s">
        <v>1752</v>
      </c>
      <c r="ER392" t="s">
        <v>1752</v>
      </c>
      <c r="ET392" t="s">
        <v>1752</v>
      </c>
      <c r="EU392" t="s">
        <v>1752</v>
      </c>
      <c r="EV392" t="s">
        <v>1752</v>
      </c>
      <c r="EX392" t="s">
        <v>1752</v>
      </c>
      <c r="EZ392" t="s">
        <v>1752</v>
      </c>
      <c r="FA392" t="s">
        <v>1752</v>
      </c>
      <c r="FE392" t="s">
        <v>1752</v>
      </c>
      <c r="FF392" t="s">
        <v>1752</v>
      </c>
      <c r="FG392" t="s">
        <v>1752</v>
      </c>
      <c r="FH392" t="s">
        <v>1321</v>
      </c>
      <c r="FI392" t="s">
        <v>1752</v>
      </c>
      <c r="FJ392" t="s">
        <v>1752</v>
      </c>
      <c r="FK392" t="s">
        <v>1752</v>
      </c>
      <c r="FL392" t="s">
        <v>1752</v>
      </c>
      <c r="FM392" t="s">
        <v>1752</v>
      </c>
      <c r="FN392" t="s">
        <v>1752</v>
      </c>
      <c r="FO392" t="s">
        <v>1752</v>
      </c>
      <c r="FP392" t="s">
        <v>1752</v>
      </c>
      <c r="FQ392" t="s">
        <v>1752</v>
      </c>
      <c r="FR392" t="s">
        <v>1321</v>
      </c>
      <c r="FS392" t="s">
        <v>1752</v>
      </c>
      <c r="FT392" t="s">
        <v>1752</v>
      </c>
      <c r="FU392" t="s">
        <v>1752</v>
      </c>
      <c r="FW392" t="s">
        <v>1321</v>
      </c>
      <c r="FX392" t="s">
        <v>1752</v>
      </c>
      <c r="FY392" t="s">
        <v>1752</v>
      </c>
      <c r="FZ392" t="s">
        <v>1752</v>
      </c>
      <c r="GA392" t="s">
        <v>1752</v>
      </c>
      <c r="GH392" t="s">
        <v>1752</v>
      </c>
    </row>
    <row r="393" spans="1:190" x14ac:dyDescent="0.2">
      <c r="A393" t="str">
        <f t="shared" si="15"/>
        <v>Weg des Fuchses</v>
      </c>
      <c r="G393" t="s">
        <v>1752</v>
      </c>
      <c r="AS393" t="s">
        <v>4569</v>
      </c>
      <c r="AT393" t="s">
        <v>4569</v>
      </c>
      <c r="AU393" t="s">
        <v>4569</v>
      </c>
      <c r="AV393" t="s">
        <v>4569</v>
      </c>
      <c r="BJ393" t="s">
        <v>4569</v>
      </c>
      <c r="BK393" t="s">
        <v>4569</v>
      </c>
      <c r="BM393" t="s">
        <v>4569</v>
      </c>
      <c r="BN393" t="s">
        <v>4569</v>
      </c>
      <c r="BO393" t="s">
        <v>4569</v>
      </c>
      <c r="BP393" t="s">
        <v>4569</v>
      </c>
      <c r="BQ393" t="s">
        <v>4569</v>
      </c>
      <c r="BR393" t="s">
        <v>4569</v>
      </c>
      <c r="BS393" t="s">
        <v>4569</v>
      </c>
      <c r="BT393" t="s">
        <v>1321</v>
      </c>
      <c r="BU393" t="s">
        <v>1752</v>
      </c>
      <c r="BV393" t="s">
        <v>1752</v>
      </c>
      <c r="BW393" t="s">
        <v>1752</v>
      </c>
      <c r="BX393" t="s">
        <v>1321</v>
      </c>
      <c r="BY393" t="s">
        <v>1321</v>
      </c>
      <c r="BZ393" t="s">
        <v>1321</v>
      </c>
      <c r="CA393" t="s">
        <v>1321</v>
      </c>
      <c r="DA393" t="s">
        <v>4569</v>
      </c>
      <c r="DB393" t="s">
        <v>4569</v>
      </c>
      <c r="DC393" t="s">
        <v>4569</v>
      </c>
      <c r="EI393" t="s">
        <v>1321</v>
      </c>
      <c r="FF393" t="s">
        <v>4569</v>
      </c>
      <c r="FK393" t="s">
        <v>1321</v>
      </c>
      <c r="FL393" t="s">
        <v>1321</v>
      </c>
      <c r="FM393" t="s">
        <v>1321</v>
      </c>
      <c r="FN393" t="s">
        <v>1321</v>
      </c>
    </row>
    <row r="394" spans="1:190" x14ac:dyDescent="0.2">
      <c r="A394" t="str">
        <f t="shared" si="15"/>
        <v>Wegzehrung der Heiligen Selma</v>
      </c>
    </row>
    <row r="395" spans="1:190" x14ac:dyDescent="0.2">
      <c r="A395" t="str">
        <f t="shared" si="15"/>
        <v>Weisheitssegen</v>
      </c>
      <c r="C395" t="s">
        <v>1752</v>
      </c>
      <c r="D395" t="s">
        <v>1752</v>
      </c>
      <c r="E395" t="s">
        <v>1752</v>
      </c>
      <c r="F395" t="s">
        <v>1752</v>
      </c>
      <c r="G395" t="s">
        <v>1321</v>
      </c>
      <c r="H395" t="s">
        <v>1752</v>
      </c>
      <c r="I395" t="s">
        <v>1752</v>
      </c>
      <c r="J395" t="s">
        <v>1752</v>
      </c>
      <c r="K395" t="s">
        <v>1752</v>
      </c>
      <c r="L395" t="s">
        <v>1752</v>
      </c>
      <c r="M395" t="s">
        <v>1752</v>
      </c>
      <c r="N395" t="s">
        <v>1752</v>
      </c>
      <c r="O395" t="s">
        <v>1752</v>
      </c>
      <c r="P395" t="s">
        <v>1752</v>
      </c>
      <c r="Q395" t="s">
        <v>1752</v>
      </c>
      <c r="R395" t="s">
        <v>1752</v>
      </c>
      <c r="S395" t="s">
        <v>1752</v>
      </c>
      <c r="T395" t="s">
        <v>1752</v>
      </c>
      <c r="U395" t="s">
        <v>1752</v>
      </c>
      <c r="V395" t="s">
        <v>1752</v>
      </c>
      <c r="W395" t="s">
        <v>1752</v>
      </c>
      <c r="X395" t="s">
        <v>1752</v>
      </c>
      <c r="Y395" t="s">
        <v>1752</v>
      </c>
      <c r="Z395" t="s">
        <v>1752</v>
      </c>
      <c r="AA395" t="s">
        <v>1752</v>
      </c>
      <c r="AB395" t="s">
        <v>1752</v>
      </c>
      <c r="AC395" t="s">
        <v>1752</v>
      </c>
      <c r="AD395" t="s">
        <v>1752</v>
      </c>
      <c r="AE395" t="s">
        <v>1752</v>
      </c>
      <c r="AG395" t="s">
        <v>1752</v>
      </c>
      <c r="AI395" t="s">
        <v>1752</v>
      </c>
      <c r="AO395" t="s">
        <v>1752</v>
      </c>
      <c r="AP395" t="s">
        <v>1752</v>
      </c>
      <c r="AQ395" t="s">
        <v>1752</v>
      </c>
      <c r="AR395" t="s">
        <v>1752</v>
      </c>
      <c r="AS395" t="s">
        <v>1752</v>
      </c>
      <c r="AT395" t="s">
        <v>1752</v>
      </c>
      <c r="AU395" t="s">
        <v>1752</v>
      </c>
      <c r="AV395" t="s">
        <v>1752</v>
      </c>
      <c r="AZ395" t="s">
        <v>1752</v>
      </c>
      <c r="BA395" t="s">
        <v>1752</v>
      </c>
      <c r="BB395" t="s">
        <v>1752</v>
      </c>
      <c r="BC395" t="s">
        <v>1752</v>
      </c>
      <c r="BD395" t="s">
        <v>1752</v>
      </c>
      <c r="BG395" t="s">
        <v>1752</v>
      </c>
      <c r="BH395" t="s">
        <v>1321</v>
      </c>
      <c r="BI395" t="s">
        <v>1321</v>
      </c>
      <c r="BJ395" t="s">
        <v>1752</v>
      </c>
      <c r="BK395" t="s">
        <v>1752</v>
      </c>
      <c r="BL395" t="s">
        <v>1321</v>
      </c>
      <c r="BM395" t="s">
        <v>1752</v>
      </c>
      <c r="BN395" t="s">
        <v>1752</v>
      </c>
      <c r="BO395" t="s">
        <v>1752</v>
      </c>
      <c r="BP395" t="s">
        <v>1752</v>
      </c>
      <c r="BQ395" t="s">
        <v>1752</v>
      </c>
      <c r="BR395" t="s">
        <v>1752</v>
      </c>
      <c r="BS395" t="s">
        <v>1752</v>
      </c>
      <c r="BT395" t="s">
        <v>1752</v>
      </c>
      <c r="BU395" t="s">
        <v>1752</v>
      </c>
      <c r="BV395" t="s">
        <v>1752</v>
      </c>
      <c r="BW395" t="s">
        <v>1752</v>
      </c>
      <c r="BX395" t="s">
        <v>1752</v>
      </c>
      <c r="BY395" t="s">
        <v>1752</v>
      </c>
      <c r="BZ395" t="s">
        <v>1752</v>
      </c>
      <c r="CA395" t="s">
        <v>1752</v>
      </c>
      <c r="CB395" t="s">
        <v>1752</v>
      </c>
      <c r="CC395" t="s">
        <v>1752</v>
      </c>
      <c r="CE395" t="s">
        <v>1752</v>
      </c>
      <c r="CF395" t="s">
        <v>1752</v>
      </c>
      <c r="CG395" t="s">
        <v>1752</v>
      </c>
      <c r="CH395" t="s">
        <v>1752</v>
      </c>
      <c r="CI395" t="s">
        <v>1752</v>
      </c>
      <c r="CL395" t="s">
        <v>1752</v>
      </c>
      <c r="CM395" t="s">
        <v>1752</v>
      </c>
      <c r="CN395" t="s">
        <v>1752</v>
      </c>
      <c r="CO395" t="s">
        <v>1321</v>
      </c>
      <c r="CP395" t="s">
        <v>1752</v>
      </c>
      <c r="CV395" t="s">
        <v>1321</v>
      </c>
      <c r="CW395" t="s">
        <v>1321</v>
      </c>
      <c r="CX395" t="s">
        <v>1752</v>
      </c>
      <c r="CY395" t="s">
        <v>1752</v>
      </c>
      <c r="DA395" t="s">
        <v>1752</v>
      </c>
      <c r="DB395" t="s">
        <v>1752</v>
      </c>
      <c r="DC395" t="s">
        <v>1752</v>
      </c>
      <c r="DD395" t="s">
        <v>1752</v>
      </c>
      <c r="EH395" t="s">
        <v>1321</v>
      </c>
      <c r="EI395" t="s">
        <v>1321</v>
      </c>
      <c r="EJ395" t="s">
        <v>1752</v>
      </c>
      <c r="EK395" t="s">
        <v>1752</v>
      </c>
      <c r="EL395" t="s">
        <v>1752</v>
      </c>
      <c r="EM395" t="s">
        <v>1752</v>
      </c>
      <c r="EN395" t="s">
        <v>1752</v>
      </c>
      <c r="EO395" t="s">
        <v>1752</v>
      </c>
      <c r="EP395" t="s">
        <v>1752</v>
      </c>
      <c r="EQ395" t="s">
        <v>1752</v>
      </c>
      <c r="ER395" t="s">
        <v>1752</v>
      </c>
      <c r="ET395" t="s">
        <v>1752</v>
      </c>
      <c r="EU395" t="s">
        <v>1752</v>
      </c>
      <c r="EV395" t="s">
        <v>1752</v>
      </c>
      <c r="EX395" t="s">
        <v>1752</v>
      </c>
      <c r="EZ395" t="s">
        <v>1752</v>
      </c>
      <c r="FA395" t="s">
        <v>1752</v>
      </c>
      <c r="FE395" t="s">
        <v>1752</v>
      </c>
      <c r="FF395" t="s">
        <v>1752</v>
      </c>
      <c r="FG395" t="s">
        <v>1321</v>
      </c>
      <c r="FH395" t="s">
        <v>1321</v>
      </c>
      <c r="FI395" t="s">
        <v>1752</v>
      </c>
      <c r="FJ395" t="s">
        <v>1752</v>
      </c>
      <c r="FK395" t="s">
        <v>1752</v>
      </c>
      <c r="FL395" t="s">
        <v>1752</v>
      </c>
      <c r="FM395" t="s">
        <v>1752</v>
      </c>
      <c r="FN395" t="s">
        <v>1752</v>
      </c>
      <c r="FO395" t="s">
        <v>1752</v>
      </c>
      <c r="FP395" t="s">
        <v>1752</v>
      </c>
      <c r="FQ395" t="s">
        <v>1752</v>
      </c>
      <c r="FR395" t="s">
        <v>1321</v>
      </c>
      <c r="FS395" t="s">
        <v>1752</v>
      </c>
      <c r="FT395" t="s">
        <v>1752</v>
      </c>
      <c r="FU395" t="s">
        <v>1752</v>
      </c>
      <c r="FW395" t="s">
        <v>1321</v>
      </c>
      <c r="FX395" t="s">
        <v>1752</v>
      </c>
      <c r="FY395" t="s">
        <v>1752</v>
      </c>
      <c r="FZ395" t="s">
        <v>1752</v>
      </c>
      <c r="GA395" t="s">
        <v>1752</v>
      </c>
      <c r="GH395" t="s">
        <v>1752</v>
      </c>
    </row>
    <row r="396" spans="1:190" x14ac:dyDescent="0.2">
      <c r="A396" t="str">
        <f t="shared" si="15"/>
        <v>Weisung des Himmels</v>
      </c>
      <c r="G396" t="s">
        <v>1321</v>
      </c>
      <c r="AO396" t="s">
        <v>1321</v>
      </c>
      <c r="AP396" t="s">
        <v>1321</v>
      </c>
      <c r="AQ396" t="s">
        <v>1321</v>
      </c>
      <c r="AR396" t="s">
        <v>1321</v>
      </c>
      <c r="AS396" t="s">
        <v>1752</v>
      </c>
      <c r="AT396" t="s">
        <v>1752</v>
      </c>
      <c r="AU396" t="s">
        <v>1752</v>
      </c>
      <c r="AV396" t="s">
        <v>1752</v>
      </c>
      <c r="BH396" t="s">
        <v>1752</v>
      </c>
      <c r="BI396" t="s">
        <v>1752</v>
      </c>
      <c r="BJ396" t="s">
        <v>4569</v>
      </c>
      <c r="BK396" t="s">
        <v>4569</v>
      </c>
      <c r="BM396" t="s">
        <v>4569</v>
      </c>
      <c r="BN396" t="s">
        <v>4569</v>
      </c>
      <c r="BO396" t="s">
        <v>4569</v>
      </c>
      <c r="BP396" t="s">
        <v>4569</v>
      </c>
      <c r="BQ396" t="s">
        <v>4569</v>
      </c>
      <c r="BR396" t="s">
        <v>4569</v>
      </c>
      <c r="BS396" t="s">
        <v>4569</v>
      </c>
      <c r="CV396" t="s">
        <v>1321</v>
      </c>
      <c r="CW396" t="s">
        <v>1321</v>
      </c>
      <c r="DA396" t="s">
        <v>4569</v>
      </c>
      <c r="DB396" t="s">
        <v>4569</v>
      </c>
      <c r="DC396" t="s">
        <v>4569</v>
      </c>
      <c r="EI396" t="s">
        <v>1321</v>
      </c>
      <c r="ET396" t="s">
        <v>1321</v>
      </c>
      <c r="EU396" t="s">
        <v>1321</v>
      </c>
      <c r="EV396" t="s">
        <v>1321</v>
      </c>
      <c r="FF396" t="s">
        <v>4569</v>
      </c>
      <c r="FU396" t="s">
        <v>1321</v>
      </c>
      <c r="FW396" t="s">
        <v>1321</v>
      </c>
    </row>
    <row r="397" spans="1:190" x14ac:dyDescent="0.2">
      <c r="A397" t="str">
        <f t="shared" si="15"/>
        <v>Wundersame Blütenpracht</v>
      </c>
      <c r="AS397" t="s">
        <v>4569</v>
      </c>
      <c r="AT397" t="s">
        <v>4569</v>
      </c>
      <c r="AU397" t="s">
        <v>4569</v>
      </c>
      <c r="AV397" t="s">
        <v>4569</v>
      </c>
      <c r="BJ397" t="s">
        <v>4569</v>
      </c>
      <c r="BK397" t="s">
        <v>4569</v>
      </c>
      <c r="BM397" t="s">
        <v>4569</v>
      </c>
      <c r="BN397" t="s">
        <v>4569</v>
      </c>
      <c r="BO397" t="s">
        <v>4569</v>
      </c>
      <c r="BP397" t="s">
        <v>4569</v>
      </c>
      <c r="BQ397" t="s">
        <v>4569</v>
      </c>
      <c r="BR397" t="s">
        <v>4569</v>
      </c>
      <c r="BS397" t="s">
        <v>4569</v>
      </c>
      <c r="DA397" t="s">
        <v>1752</v>
      </c>
      <c r="DB397" t="s">
        <v>1752</v>
      </c>
      <c r="DC397" t="s">
        <v>1752</v>
      </c>
      <c r="FF397" t="s">
        <v>4569</v>
      </c>
      <c r="GA397" t="s">
        <v>1321</v>
      </c>
    </row>
    <row r="398" spans="1:190" x14ac:dyDescent="0.2">
      <c r="A398" t="str">
        <f t="shared" si="15"/>
        <v>Allmacht der Lohe</v>
      </c>
      <c r="C398" t="s">
        <v>1321</v>
      </c>
      <c r="D398" t="s">
        <v>1752</v>
      </c>
      <c r="E398" t="s">
        <v>1321</v>
      </c>
      <c r="F398" t="s">
        <v>1321</v>
      </c>
      <c r="AS398" t="s">
        <v>4569</v>
      </c>
      <c r="AT398" t="s">
        <v>4569</v>
      </c>
      <c r="AU398" t="s">
        <v>4569</v>
      </c>
      <c r="AV398" t="s">
        <v>4569</v>
      </c>
      <c r="BJ398" t="s">
        <v>1321</v>
      </c>
      <c r="BK398" t="s">
        <v>1752</v>
      </c>
      <c r="BM398" t="s">
        <v>4569</v>
      </c>
      <c r="BN398" t="s">
        <v>4569</v>
      </c>
      <c r="BO398" t="s">
        <v>4569</v>
      </c>
      <c r="BP398" t="s">
        <v>4569</v>
      </c>
      <c r="BQ398" t="s">
        <v>4569</v>
      </c>
      <c r="BR398" t="s">
        <v>4569</v>
      </c>
      <c r="BS398" t="s">
        <v>4569</v>
      </c>
      <c r="DA398" t="s">
        <v>4569</v>
      </c>
      <c r="DB398" t="s">
        <v>4569</v>
      </c>
      <c r="DC398" t="s">
        <v>4569</v>
      </c>
      <c r="DE398" t="s">
        <v>1119</v>
      </c>
      <c r="DW398" t="s">
        <v>1752</v>
      </c>
      <c r="EG398" t="s">
        <v>1119</v>
      </c>
      <c r="EH398" t="s">
        <v>1321</v>
      </c>
      <c r="FE398" t="s">
        <v>1321</v>
      </c>
      <c r="FF398" t="s">
        <v>1321</v>
      </c>
    </row>
    <row r="399" spans="1:190" x14ac:dyDescent="0.2">
      <c r="A399" t="str">
        <f t="shared" si="15"/>
        <v>Am Busen der Natur</v>
      </c>
      <c r="B399" t="s">
        <v>1119</v>
      </c>
      <c r="G399" t="s">
        <v>1321</v>
      </c>
      <c r="AS399" t="s">
        <v>4569</v>
      </c>
      <c r="AT399" t="s">
        <v>4569</v>
      </c>
      <c r="AU399" t="s">
        <v>4569</v>
      </c>
      <c r="AV399" t="s">
        <v>4569</v>
      </c>
      <c r="BJ399" t="s">
        <v>4569</v>
      </c>
      <c r="BK399" t="s">
        <v>4569</v>
      </c>
      <c r="BM399" t="s">
        <v>4569</v>
      </c>
      <c r="BN399" t="s">
        <v>4569</v>
      </c>
      <c r="BO399" t="s">
        <v>4569</v>
      </c>
      <c r="BP399" t="s">
        <v>4569</v>
      </c>
      <c r="BQ399" t="s">
        <v>4569</v>
      </c>
      <c r="BR399" t="s">
        <v>4569</v>
      </c>
      <c r="BS399" t="s">
        <v>4569</v>
      </c>
      <c r="DA399" t="s">
        <v>4569</v>
      </c>
      <c r="DB399" t="s">
        <v>4569</v>
      </c>
      <c r="DC399" t="s">
        <v>4569</v>
      </c>
      <c r="EI399" t="s">
        <v>1321</v>
      </c>
      <c r="FF399" t="s">
        <v>4569</v>
      </c>
    </row>
    <row r="400" spans="1:190" x14ac:dyDescent="0.2">
      <c r="A400" t="str">
        <f t="shared" si="15"/>
        <v>Angroschs Opfergabe</v>
      </c>
      <c r="C400" t="s">
        <v>1752</v>
      </c>
      <c r="D400" t="s">
        <v>1752</v>
      </c>
      <c r="E400" t="s">
        <v>1752</v>
      </c>
      <c r="F400" t="s">
        <v>1752</v>
      </c>
      <c r="AS400" t="s">
        <v>4569</v>
      </c>
      <c r="AT400" t="s">
        <v>4569</v>
      </c>
      <c r="AU400" t="s">
        <v>4569</v>
      </c>
      <c r="AV400" t="s">
        <v>4569</v>
      </c>
      <c r="BJ400" t="s">
        <v>4569</v>
      </c>
      <c r="BK400" t="s">
        <v>4569</v>
      </c>
      <c r="BM400" t="s">
        <v>4569</v>
      </c>
      <c r="BN400" t="s">
        <v>4569</v>
      </c>
      <c r="BO400" t="s">
        <v>4569</v>
      </c>
      <c r="BP400" t="s">
        <v>4569</v>
      </c>
      <c r="BQ400" t="s">
        <v>4569</v>
      </c>
      <c r="BR400" t="s">
        <v>4569</v>
      </c>
      <c r="BS400" t="s">
        <v>4569</v>
      </c>
      <c r="DA400" t="s">
        <v>4569</v>
      </c>
      <c r="DB400" t="s">
        <v>4569</v>
      </c>
      <c r="DC400" t="s">
        <v>4569</v>
      </c>
      <c r="EH400" t="s">
        <v>1321</v>
      </c>
      <c r="FF400" t="s">
        <v>4569</v>
      </c>
    </row>
    <row r="401" spans="1:179" x14ac:dyDescent="0.2">
      <c r="A401" t="str">
        <f t="shared" si="15"/>
        <v>Anrufung der Erdkraft</v>
      </c>
      <c r="AS401" t="s">
        <v>4569</v>
      </c>
      <c r="AT401" t="s">
        <v>4569</v>
      </c>
      <c r="AU401" t="s">
        <v>4569</v>
      </c>
      <c r="AV401" t="s">
        <v>4569</v>
      </c>
      <c r="BI401" t="s">
        <v>1321</v>
      </c>
      <c r="BJ401" t="s">
        <v>4569</v>
      </c>
      <c r="BK401" t="s">
        <v>4569</v>
      </c>
      <c r="BM401" t="s">
        <v>4569</v>
      </c>
      <c r="BN401" t="s">
        <v>4569</v>
      </c>
      <c r="BO401" t="s">
        <v>4569</v>
      </c>
      <c r="BP401" t="s">
        <v>4569</v>
      </c>
      <c r="BQ401" t="s">
        <v>4588</v>
      </c>
      <c r="BR401" t="s">
        <v>4588</v>
      </c>
      <c r="BS401" t="s">
        <v>4588</v>
      </c>
      <c r="DA401" t="s">
        <v>4569</v>
      </c>
      <c r="DB401" t="s">
        <v>4569</v>
      </c>
      <c r="DC401" t="s">
        <v>4569</v>
      </c>
      <c r="FF401" t="s">
        <v>4569</v>
      </c>
      <c r="FI401" t="s">
        <v>1321</v>
      </c>
      <c r="FJ401" t="s">
        <v>1321</v>
      </c>
    </row>
    <row r="402" spans="1:179" x14ac:dyDescent="0.2">
      <c r="A402" t="str">
        <f t="shared" si="15"/>
        <v>Anrufung der Winde</v>
      </c>
      <c r="AO402" t="s">
        <v>1752</v>
      </c>
      <c r="AP402" t="s">
        <v>1752</v>
      </c>
      <c r="AQ402" t="s">
        <v>1752</v>
      </c>
      <c r="AR402" t="s">
        <v>1752</v>
      </c>
      <c r="AS402" t="s">
        <v>4569</v>
      </c>
      <c r="AT402" t="s">
        <v>4569</v>
      </c>
      <c r="AU402" t="s">
        <v>4569</v>
      </c>
      <c r="AV402" t="s">
        <v>4569</v>
      </c>
      <c r="BJ402" t="s">
        <v>4569</v>
      </c>
      <c r="BK402" t="s">
        <v>4569</v>
      </c>
      <c r="BM402" t="s">
        <v>4569</v>
      </c>
      <c r="BN402" t="s">
        <v>4569</v>
      </c>
      <c r="BO402" t="s">
        <v>4569</v>
      </c>
      <c r="BP402" t="s">
        <v>4569</v>
      </c>
      <c r="BQ402" t="s">
        <v>4569</v>
      </c>
      <c r="BR402" t="s">
        <v>4569</v>
      </c>
      <c r="BS402" t="s">
        <v>4569</v>
      </c>
      <c r="CV402" t="s">
        <v>1321</v>
      </c>
      <c r="CW402" t="s">
        <v>1321</v>
      </c>
      <c r="DA402" t="s">
        <v>4569</v>
      </c>
      <c r="DB402" t="s">
        <v>4569</v>
      </c>
      <c r="DC402" t="s">
        <v>4569</v>
      </c>
      <c r="ET402" t="s">
        <v>1321</v>
      </c>
      <c r="EU402" t="s">
        <v>1321</v>
      </c>
      <c r="FF402" t="s">
        <v>4569</v>
      </c>
      <c r="FW402" t="s">
        <v>1321</v>
      </c>
    </row>
    <row r="403" spans="1:179" x14ac:dyDescent="0.2">
      <c r="A403" t="str">
        <f t="shared" si="15"/>
        <v>Auge der wartenden Seelen</v>
      </c>
      <c r="AS403" t="s">
        <v>4569</v>
      </c>
      <c r="AT403" t="s">
        <v>4569</v>
      </c>
      <c r="AU403" t="s">
        <v>4569</v>
      </c>
      <c r="AV403" t="s">
        <v>4569</v>
      </c>
      <c r="BJ403" t="s">
        <v>4569</v>
      </c>
      <c r="BK403" t="s">
        <v>4569</v>
      </c>
      <c r="BM403" t="s">
        <v>4569</v>
      </c>
      <c r="BN403" t="s">
        <v>4569</v>
      </c>
      <c r="BO403" t="s">
        <v>4569</v>
      </c>
      <c r="BP403" t="s">
        <v>4569</v>
      </c>
      <c r="BQ403" t="s">
        <v>4569</v>
      </c>
      <c r="BR403" t="s">
        <v>4569</v>
      </c>
      <c r="BS403" t="s">
        <v>4569</v>
      </c>
      <c r="DA403" t="s">
        <v>4569</v>
      </c>
      <c r="DB403" t="s">
        <v>4569</v>
      </c>
      <c r="DC403" t="s">
        <v>4569</v>
      </c>
      <c r="FF403" t="s">
        <v>4569</v>
      </c>
    </row>
    <row r="404" spans="1:179" x14ac:dyDescent="0.2">
      <c r="A404" t="str">
        <f t="shared" si="15"/>
        <v>Auge des Händlers</v>
      </c>
      <c r="AS404" t="s">
        <v>4569</v>
      </c>
      <c r="AT404" t="s">
        <v>4569</v>
      </c>
      <c r="AU404" t="s">
        <v>4569</v>
      </c>
      <c r="AV404" t="s">
        <v>4569</v>
      </c>
      <c r="BJ404" t="s">
        <v>4569</v>
      </c>
      <c r="BK404" t="s">
        <v>4569</v>
      </c>
      <c r="BM404" t="s">
        <v>4588</v>
      </c>
      <c r="BN404" t="s">
        <v>1752</v>
      </c>
      <c r="BO404" t="s">
        <v>4588</v>
      </c>
      <c r="BP404" t="s">
        <v>4588</v>
      </c>
      <c r="BQ404" t="s">
        <v>4569</v>
      </c>
      <c r="BR404" t="s">
        <v>4569</v>
      </c>
      <c r="BS404" t="s">
        <v>4569</v>
      </c>
      <c r="BT404" t="s">
        <v>1321</v>
      </c>
      <c r="BU404" t="s">
        <v>1321</v>
      </c>
      <c r="BV404" t="s">
        <v>1321</v>
      </c>
      <c r="BW404" t="s">
        <v>1321</v>
      </c>
      <c r="BX404" t="s">
        <v>1752</v>
      </c>
      <c r="BY404" t="s">
        <v>1752</v>
      </c>
      <c r="BZ404" t="s">
        <v>1752</v>
      </c>
      <c r="CA404" t="s">
        <v>1321</v>
      </c>
      <c r="DA404" t="s">
        <v>4569</v>
      </c>
      <c r="DB404" t="s">
        <v>4569</v>
      </c>
      <c r="DC404" t="s">
        <v>4569</v>
      </c>
      <c r="FF404" t="s">
        <v>4569</v>
      </c>
      <c r="FH404" t="s">
        <v>1321</v>
      </c>
      <c r="FK404" t="s">
        <v>1321</v>
      </c>
      <c r="FL404" t="s">
        <v>1321</v>
      </c>
      <c r="FM404" t="s">
        <v>1321</v>
      </c>
      <c r="FN404" t="s">
        <v>1321</v>
      </c>
    </row>
    <row r="405" spans="1:179" x14ac:dyDescent="0.2">
      <c r="A405" t="str">
        <f t="shared" si="15"/>
        <v>Auge des Mondes</v>
      </c>
      <c r="AS405" t="s">
        <v>4569</v>
      </c>
      <c r="AT405" t="s">
        <v>4569</v>
      </c>
      <c r="AU405" t="s">
        <v>4569</v>
      </c>
      <c r="AV405" t="s">
        <v>4569</v>
      </c>
      <c r="BJ405" t="s">
        <v>4569</v>
      </c>
      <c r="BK405" t="s">
        <v>4569</v>
      </c>
      <c r="BM405" t="s">
        <v>4569</v>
      </c>
      <c r="BN405" t="s">
        <v>4569</v>
      </c>
      <c r="BO405" t="s">
        <v>4569</v>
      </c>
      <c r="BP405" t="s">
        <v>4569</v>
      </c>
      <c r="BQ405" t="s">
        <v>4569</v>
      </c>
      <c r="BR405" t="s">
        <v>4569</v>
      </c>
      <c r="BS405" t="s">
        <v>4569</v>
      </c>
      <c r="BT405" t="s">
        <v>1752</v>
      </c>
      <c r="BU405" t="s">
        <v>1321</v>
      </c>
      <c r="BV405" t="s">
        <v>1321</v>
      </c>
      <c r="BW405" t="s">
        <v>1752</v>
      </c>
      <c r="BX405" t="s">
        <v>1321</v>
      </c>
      <c r="BY405" t="s">
        <v>4588</v>
      </c>
      <c r="BZ405" t="s">
        <v>1321</v>
      </c>
      <c r="CA405" t="s">
        <v>1752</v>
      </c>
      <c r="DA405" t="s">
        <v>4569</v>
      </c>
      <c r="DB405" t="s">
        <v>4569</v>
      </c>
      <c r="DC405" t="s">
        <v>4569</v>
      </c>
      <c r="FF405" t="s">
        <v>4569</v>
      </c>
      <c r="FK405" t="s">
        <v>1321</v>
      </c>
      <c r="FL405" t="s">
        <v>1321</v>
      </c>
      <c r="FM405" t="s">
        <v>1321</v>
      </c>
      <c r="FN405" t="s">
        <v>1321</v>
      </c>
    </row>
    <row r="406" spans="1:179" x14ac:dyDescent="0.2">
      <c r="A406" t="str">
        <f t="shared" si="15"/>
        <v>Bindung der Schlange</v>
      </c>
      <c r="AS406" t="s">
        <v>4569</v>
      </c>
      <c r="AT406" t="s">
        <v>4569</v>
      </c>
      <c r="AU406" t="s">
        <v>4569</v>
      </c>
      <c r="AV406" t="s">
        <v>4569</v>
      </c>
      <c r="BG406" t="s">
        <v>1752</v>
      </c>
      <c r="BJ406" t="s">
        <v>4569</v>
      </c>
      <c r="BK406" t="s">
        <v>4569</v>
      </c>
      <c r="BM406" t="s">
        <v>4569</v>
      </c>
      <c r="BN406" t="s">
        <v>4569</v>
      </c>
      <c r="BO406" t="s">
        <v>4569</v>
      </c>
      <c r="BP406" t="s">
        <v>4569</v>
      </c>
      <c r="BQ406" t="s">
        <v>4569</v>
      </c>
      <c r="BR406" t="s">
        <v>4569</v>
      </c>
      <c r="BS406" t="s">
        <v>4569</v>
      </c>
      <c r="DA406" t="s">
        <v>4569</v>
      </c>
      <c r="DB406" t="s">
        <v>4569</v>
      </c>
      <c r="DC406" t="s">
        <v>4569</v>
      </c>
      <c r="FF406" t="s">
        <v>4569</v>
      </c>
    </row>
    <row r="407" spans="1:179" x14ac:dyDescent="0.2">
      <c r="A407" t="str">
        <f t="shared" si="15"/>
        <v>Birkenzweig</v>
      </c>
    </row>
    <row r="408" spans="1:179" x14ac:dyDescent="0.2">
      <c r="A408" t="str">
        <f t="shared" si="15"/>
        <v>Bishdariels Angesicht</v>
      </c>
      <c r="J408" t="s">
        <v>1752</v>
      </c>
      <c r="T408" t="s">
        <v>1752</v>
      </c>
      <c r="U408" t="s">
        <v>1752</v>
      </c>
      <c r="V408" t="s">
        <v>1752</v>
      </c>
      <c r="W408" t="s">
        <v>1752</v>
      </c>
      <c r="X408" t="s">
        <v>1752</v>
      </c>
      <c r="Y408" t="s">
        <v>1752</v>
      </c>
      <c r="Z408" t="s">
        <v>1752</v>
      </c>
      <c r="AA408" t="s">
        <v>1752</v>
      </c>
      <c r="AB408" t="s">
        <v>1752</v>
      </c>
      <c r="AC408" t="s">
        <v>1752</v>
      </c>
      <c r="AD408" t="s">
        <v>1752</v>
      </c>
      <c r="AE408" t="s">
        <v>1752</v>
      </c>
      <c r="AG408" t="s">
        <v>1321</v>
      </c>
      <c r="AI408" t="s">
        <v>1752</v>
      </c>
      <c r="AS408" t="s">
        <v>4569</v>
      </c>
      <c r="AT408" t="s">
        <v>4569</v>
      </c>
      <c r="AU408" t="s">
        <v>4569</v>
      </c>
      <c r="AV408" t="s">
        <v>4569</v>
      </c>
      <c r="BJ408" t="s">
        <v>4569</v>
      </c>
      <c r="BK408" t="s">
        <v>4569</v>
      </c>
      <c r="BM408" t="s">
        <v>4569</v>
      </c>
      <c r="BN408" t="s">
        <v>4569</v>
      </c>
      <c r="BO408" t="s">
        <v>4569</v>
      </c>
      <c r="BP408" t="s">
        <v>4569</v>
      </c>
      <c r="BQ408" t="s">
        <v>4569</v>
      </c>
      <c r="BR408" t="s">
        <v>4569</v>
      </c>
      <c r="BS408" t="s">
        <v>4569</v>
      </c>
      <c r="DA408" t="s">
        <v>4569</v>
      </c>
      <c r="DB408" t="s">
        <v>4569</v>
      </c>
      <c r="DC408" t="s">
        <v>4569</v>
      </c>
      <c r="EK408" t="s">
        <v>1321</v>
      </c>
      <c r="EL408" t="s">
        <v>1321</v>
      </c>
      <c r="EM408" t="s">
        <v>1321</v>
      </c>
      <c r="EN408" t="s">
        <v>1321</v>
      </c>
      <c r="EP408" t="s">
        <v>1321</v>
      </c>
      <c r="EQ408" t="s">
        <v>1321</v>
      </c>
      <c r="ER408" t="s">
        <v>1321</v>
      </c>
      <c r="FF408" t="s">
        <v>4569</v>
      </c>
    </row>
    <row r="409" spans="1:179" x14ac:dyDescent="0.2">
      <c r="A409" t="str">
        <f t="shared" si="15"/>
        <v>Bishdariels Auge</v>
      </c>
      <c r="I409" t="s">
        <v>1321</v>
      </c>
      <c r="J409" t="s">
        <v>1321</v>
      </c>
      <c r="K409" t="s">
        <v>1321</v>
      </c>
      <c r="L409" t="s">
        <v>1752</v>
      </c>
      <c r="M409" t="s">
        <v>1752</v>
      </c>
      <c r="N409" t="s">
        <v>1752</v>
      </c>
      <c r="O409" t="s">
        <v>1321</v>
      </c>
      <c r="P409" t="s">
        <v>1321</v>
      </c>
      <c r="Q409" t="s">
        <v>1321</v>
      </c>
      <c r="R409" t="s">
        <v>1321</v>
      </c>
      <c r="S409" t="s">
        <v>1321</v>
      </c>
      <c r="T409" t="s">
        <v>1321</v>
      </c>
      <c r="U409" t="s">
        <v>1752</v>
      </c>
      <c r="V409" t="s">
        <v>1752</v>
      </c>
      <c r="W409" t="s">
        <v>1752</v>
      </c>
      <c r="X409" t="s">
        <v>1752</v>
      </c>
      <c r="Y409" t="s">
        <v>1321</v>
      </c>
      <c r="Z409" t="s">
        <v>1321</v>
      </c>
      <c r="AA409" t="s">
        <v>1321</v>
      </c>
      <c r="AB409" t="s">
        <v>1321</v>
      </c>
      <c r="AC409" t="s">
        <v>1321</v>
      </c>
      <c r="AD409" t="s">
        <v>1321</v>
      </c>
      <c r="AE409" t="s">
        <v>1321</v>
      </c>
      <c r="AG409" t="s">
        <v>1321</v>
      </c>
      <c r="AI409" t="s">
        <v>1321</v>
      </c>
      <c r="AS409" t="s">
        <v>4569</v>
      </c>
      <c r="AT409" t="s">
        <v>4569</v>
      </c>
      <c r="AU409" t="s">
        <v>4569</v>
      </c>
      <c r="AV409" t="s">
        <v>4569</v>
      </c>
      <c r="BJ409" t="s">
        <v>4569</v>
      </c>
      <c r="BK409" t="s">
        <v>4569</v>
      </c>
      <c r="BM409" t="s">
        <v>1321</v>
      </c>
      <c r="BN409" t="s">
        <v>1321</v>
      </c>
      <c r="BO409" t="s">
        <v>1321</v>
      </c>
      <c r="BP409" t="s">
        <v>1321</v>
      </c>
      <c r="BQ409" t="s">
        <v>4569</v>
      </c>
      <c r="BR409" t="s">
        <v>4569</v>
      </c>
      <c r="BS409" t="s">
        <v>4569</v>
      </c>
      <c r="DA409" t="s">
        <v>4569</v>
      </c>
      <c r="DB409" t="s">
        <v>4569</v>
      </c>
      <c r="DC409" t="s">
        <v>4569</v>
      </c>
      <c r="EJ409" t="s">
        <v>1321</v>
      </c>
      <c r="EK409" t="s">
        <v>1321</v>
      </c>
      <c r="EL409" t="s">
        <v>1321</v>
      </c>
      <c r="EM409" t="s">
        <v>1321</v>
      </c>
      <c r="EN409" t="s">
        <v>1321</v>
      </c>
      <c r="EO409" t="s">
        <v>1321</v>
      </c>
      <c r="EP409" t="s">
        <v>1321</v>
      </c>
      <c r="EQ409" t="s">
        <v>1321</v>
      </c>
      <c r="ER409" t="s">
        <v>1321</v>
      </c>
      <c r="FF409" t="s">
        <v>4569</v>
      </c>
      <c r="FH409" t="s">
        <v>1321</v>
      </c>
    </row>
    <row r="410" spans="1:179" x14ac:dyDescent="0.2">
      <c r="A410" t="str">
        <f t="shared" si="15"/>
        <v>Blick auf das Geisterwirken</v>
      </c>
      <c r="AS410" t="s">
        <v>4569</v>
      </c>
      <c r="AT410" t="s">
        <v>4569</v>
      </c>
      <c r="AU410" t="s">
        <v>4569</v>
      </c>
      <c r="AV410" t="s">
        <v>4569</v>
      </c>
      <c r="BJ410" t="s">
        <v>4569</v>
      </c>
      <c r="BK410" t="s">
        <v>4569</v>
      </c>
      <c r="BM410" t="s">
        <v>4569</v>
      </c>
      <c r="BN410" t="s">
        <v>4569</v>
      </c>
      <c r="BO410" t="s">
        <v>4569</v>
      </c>
      <c r="BP410" t="s">
        <v>4569</v>
      </c>
      <c r="BQ410" t="s">
        <v>4569</v>
      </c>
      <c r="BR410" t="s">
        <v>4569</v>
      </c>
      <c r="BS410" t="s">
        <v>4569</v>
      </c>
      <c r="DA410" t="s">
        <v>4569</v>
      </c>
      <c r="DB410" t="s">
        <v>4569</v>
      </c>
      <c r="DC410" t="s">
        <v>4569</v>
      </c>
      <c r="FF410" t="s">
        <v>4569</v>
      </c>
    </row>
    <row r="411" spans="1:179" x14ac:dyDescent="0.2">
      <c r="A411" t="str">
        <f t="shared" si="15"/>
        <v>Blick für das Handwerk</v>
      </c>
      <c r="C411" t="s">
        <v>1321</v>
      </c>
      <c r="D411" t="s">
        <v>1752</v>
      </c>
      <c r="E411" t="s">
        <v>1321</v>
      </c>
      <c r="F411" t="s">
        <v>1321</v>
      </c>
      <c r="AS411" t="s">
        <v>4569</v>
      </c>
      <c r="AT411" t="s">
        <v>4569</v>
      </c>
      <c r="AU411" t="s">
        <v>4569</v>
      </c>
      <c r="AV411" t="s">
        <v>4569</v>
      </c>
      <c r="BJ411" t="s">
        <v>1752</v>
      </c>
      <c r="BK411" t="s">
        <v>4588</v>
      </c>
      <c r="BM411" t="s">
        <v>4569</v>
      </c>
      <c r="BN411" t="s">
        <v>4569</v>
      </c>
      <c r="BO411" t="s">
        <v>4569</v>
      </c>
      <c r="BP411" t="s">
        <v>4569</v>
      </c>
      <c r="BQ411" t="s">
        <v>4569</v>
      </c>
      <c r="BR411" t="s">
        <v>4569</v>
      </c>
      <c r="BS411" t="s">
        <v>4569</v>
      </c>
      <c r="DA411" t="s">
        <v>4569</v>
      </c>
      <c r="DB411" t="s">
        <v>4569</v>
      </c>
      <c r="DC411" t="s">
        <v>4569</v>
      </c>
      <c r="DW411" t="s">
        <v>1321</v>
      </c>
      <c r="EH411" t="s">
        <v>1321</v>
      </c>
      <c r="FE411" t="s">
        <v>1321</v>
      </c>
      <c r="FF411" t="s">
        <v>1321</v>
      </c>
    </row>
    <row r="412" spans="1:179" x14ac:dyDescent="0.2">
      <c r="A412" t="str">
        <f t="shared" si="15"/>
        <v>Blick in die Erinnerung</v>
      </c>
      <c r="AS412" t="s">
        <v>4569</v>
      </c>
      <c r="AT412" t="s">
        <v>4569</v>
      </c>
      <c r="AU412" t="s">
        <v>4569</v>
      </c>
      <c r="AV412" t="s">
        <v>4569</v>
      </c>
      <c r="BJ412" t="s">
        <v>4569</v>
      </c>
      <c r="BK412" t="s">
        <v>4569</v>
      </c>
      <c r="BM412" t="s">
        <v>4569</v>
      </c>
      <c r="BN412" t="s">
        <v>4569</v>
      </c>
      <c r="BO412" t="s">
        <v>4569</v>
      </c>
      <c r="BP412" t="s">
        <v>4569</v>
      </c>
      <c r="BQ412" t="s">
        <v>4569</v>
      </c>
      <c r="BR412" t="s">
        <v>4569</v>
      </c>
      <c r="BS412" t="s">
        <v>4569</v>
      </c>
      <c r="DA412" t="s">
        <v>4569</v>
      </c>
      <c r="DB412" t="s">
        <v>4569</v>
      </c>
      <c r="DC412" t="s">
        <v>4569</v>
      </c>
      <c r="FF412" t="s">
        <v>4569</v>
      </c>
    </row>
    <row r="413" spans="1:179" x14ac:dyDescent="0.2">
      <c r="A413" t="str">
        <f t="shared" si="15"/>
        <v>Cereborns Handreichung</v>
      </c>
      <c r="AS413" t="s">
        <v>4569</v>
      </c>
      <c r="AT413" t="s">
        <v>4569</v>
      </c>
      <c r="AU413" t="s">
        <v>4569</v>
      </c>
      <c r="AV413" t="s">
        <v>4569</v>
      </c>
      <c r="AZ413" t="s">
        <v>1321</v>
      </c>
      <c r="BA413" t="s">
        <v>1321</v>
      </c>
      <c r="BB413" t="s">
        <v>1321</v>
      </c>
      <c r="BC413" t="s">
        <v>1321</v>
      </c>
      <c r="BD413" t="s">
        <v>1321</v>
      </c>
      <c r="BJ413" t="s">
        <v>4569</v>
      </c>
      <c r="BK413" t="s">
        <v>4569</v>
      </c>
      <c r="BM413" t="s">
        <v>4569</v>
      </c>
      <c r="BN413" t="s">
        <v>4569</v>
      </c>
      <c r="BO413" t="s">
        <v>4569</v>
      </c>
      <c r="BP413" t="s">
        <v>4569</v>
      </c>
      <c r="BQ413" t="s">
        <v>4569</v>
      </c>
      <c r="BR413" t="s">
        <v>4569</v>
      </c>
      <c r="BS413" t="s">
        <v>4569</v>
      </c>
      <c r="DA413" t="s">
        <v>4569</v>
      </c>
      <c r="DB413" t="s">
        <v>4569</v>
      </c>
      <c r="DC413" t="s">
        <v>4569</v>
      </c>
      <c r="EX413" t="s">
        <v>1321</v>
      </c>
      <c r="EZ413" t="s">
        <v>1321</v>
      </c>
      <c r="FA413" t="s">
        <v>1321</v>
      </c>
      <c r="FF413" t="s">
        <v>4569</v>
      </c>
    </row>
    <row r="414" spans="1:179" x14ac:dyDescent="0.2">
      <c r="A414" t="str">
        <f t="shared" si="15"/>
        <v>Das Schwarze Fell durch das Rote Blut</v>
      </c>
      <c r="AS414" t="s">
        <v>4569</v>
      </c>
      <c r="AT414" t="s">
        <v>4569</v>
      </c>
      <c r="AU414" t="s">
        <v>4569</v>
      </c>
      <c r="AV414" t="s">
        <v>4569</v>
      </c>
      <c r="BJ414" t="s">
        <v>4569</v>
      </c>
      <c r="BK414" t="s">
        <v>4569</v>
      </c>
      <c r="BL414" t="s">
        <v>1321</v>
      </c>
      <c r="BM414" t="s">
        <v>4569</v>
      </c>
      <c r="BN414" t="s">
        <v>4569</v>
      </c>
      <c r="BO414" t="s">
        <v>4569</v>
      </c>
      <c r="BP414" t="s">
        <v>4569</v>
      </c>
      <c r="BQ414" t="s">
        <v>4569</v>
      </c>
      <c r="BR414" t="s">
        <v>4569</v>
      </c>
      <c r="BS414" t="s">
        <v>4569</v>
      </c>
      <c r="DA414" t="s">
        <v>4569</v>
      </c>
      <c r="DB414" t="s">
        <v>4569</v>
      </c>
      <c r="DC414" t="s">
        <v>4569</v>
      </c>
      <c r="FF414" t="s">
        <v>4569</v>
      </c>
      <c r="FG414" t="s">
        <v>1321</v>
      </c>
    </row>
    <row r="415" spans="1:179" x14ac:dyDescent="0.2">
      <c r="A415" t="str">
        <f t="shared" si="15"/>
        <v>Der Gänsemutter warmes Nest</v>
      </c>
      <c r="AS415" t="s">
        <v>4569</v>
      </c>
      <c r="AT415" t="s">
        <v>4569</v>
      </c>
      <c r="AU415" t="s">
        <v>4569</v>
      </c>
      <c r="AV415" t="s">
        <v>4569</v>
      </c>
      <c r="BJ415" t="s">
        <v>4569</v>
      </c>
      <c r="BK415" t="s">
        <v>4569</v>
      </c>
      <c r="BM415" t="s">
        <v>4569</v>
      </c>
      <c r="BN415" t="s">
        <v>4569</v>
      </c>
      <c r="BO415" t="s">
        <v>4569</v>
      </c>
      <c r="BP415" t="s">
        <v>4569</v>
      </c>
      <c r="BQ415" t="s">
        <v>4569</v>
      </c>
      <c r="BR415" t="s">
        <v>4569</v>
      </c>
      <c r="BS415" t="s">
        <v>4569</v>
      </c>
      <c r="CX415" t="s">
        <v>1321</v>
      </c>
      <c r="CY415" t="s">
        <v>1321</v>
      </c>
      <c r="DA415" t="s">
        <v>4569</v>
      </c>
      <c r="DB415" t="s">
        <v>4569</v>
      </c>
      <c r="DC415" t="s">
        <v>4569</v>
      </c>
      <c r="FF415" t="s">
        <v>4569</v>
      </c>
    </row>
    <row r="416" spans="1:179" x14ac:dyDescent="0.2">
      <c r="A416" t="str">
        <f t="shared" si="15"/>
        <v>Dythlinds Wandeln im Feuer</v>
      </c>
      <c r="AS416" t="s">
        <v>4569</v>
      </c>
      <c r="AT416" t="s">
        <v>4569</v>
      </c>
      <c r="AU416" t="s">
        <v>4569</v>
      </c>
      <c r="AV416" t="s">
        <v>4569</v>
      </c>
      <c r="BJ416" t="s">
        <v>4569</v>
      </c>
      <c r="BK416" t="s">
        <v>4569</v>
      </c>
      <c r="BM416" t="s">
        <v>4569</v>
      </c>
      <c r="BN416" t="s">
        <v>4569</v>
      </c>
      <c r="BO416" t="s">
        <v>4569</v>
      </c>
      <c r="BP416" t="s">
        <v>4569</v>
      </c>
      <c r="BQ416" t="s">
        <v>4569</v>
      </c>
      <c r="BR416" t="s">
        <v>4569</v>
      </c>
      <c r="BS416" t="s">
        <v>4569</v>
      </c>
      <c r="CX416" t="s">
        <v>1321</v>
      </c>
      <c r="CY416" t="s">
        <v>1321</v>
      </c>
      <c r="DA416" t="s">
        <v>4569</v>
      </c>
      <c r="DB416" t="s">
        <v>4569</v>
      </c>
      <c r="DC416" t="s">
        <v>4569</v>
      </c>
      <c r="FF416" t="s">
        <v>4569</v>
      </c>
    </row>
    <row r="417" spans="1:183" x14ac:dyDescent="0.2">
      <c r="A417" t="str">
        <f t="shared" si="15"/>
        <v>Ehrenhafter Zweikampf</v>
      </c>
      <c r="AS417" t="s">
        <v>4569</v>
      </c>
      <c r="AT417" t="s">
        <v>4569</v>
      </c>
      <c r="AU417" t="s">
        <v>4569</v>
      </c>
      <c r="AV417" t="s">
        <v>4569</v>
      </c>
      <c r="BJ417" t="s">
        <v>4569</v>
      </c>
      <c r="BK417" t="s">
        <v>4569</v>
      </c>
      <c r="BM417" t="s">
        <v>4569</v>
      </c>
      <c r="BN417" t="s">
        <v>4569</v>
      </c>
      <c r="BO417" t="s">
        <v>4569</v>
      </c>
      <c r="BP417" t="s">
        <v>4569</v>
      </c>
      <c r="BQ417" t="s">
        <v>4569</v>
      </c>
      <c r="BR417" t="s">
        <v>4569</v>
      </c>
      <c r="BS417" t="s">
        <v>4569</v>
      </c>
      <c r="CN417" t="s">
        <v>1752</v>
      </c>
      <c r="CO417" t="s">
        <v>1752</v>
      </c>
      <c r="CP417" t="s">
        <v>1752</v>
      </c>
      <c r="DA417" t="s">
        <v>4569</v>
      </c>
      <c r="DB417" t="s">
        <v>4569</v>
      </c>
      <c r="DC417" t="s">
        <v>4569</v>
      </c>
      <c r="FF417" t="s">
        <v>4569</v>
      </c>
      <c r="FU417" t="s">
        <v>1321</v>
      </c>
    </row>
    <row r="418" spans="1:183" x14ac:dyDescent="0.2">
      <c r="A418" t="str">
        <f t="shared" si="15"/>
        <v>Ein Bild für die Ewigkeit</v>
      </c>
      <c r="AS418" t="s">
        <v>4569</v>
      </c>
      <c r="AT418" t="s">
        <v>4569</v>
      </c>
      <c r="AU418" t="s">
        <v>4569</v>
      </c>
      <c r="AV418" t="s">
        <v>4569</v>
      </c>
      <c r="BJ418" t="s">
        <v>4569</v>
      </c>
      <c r="BK418" t="s">
        <v>4569</v>
      </c>
      <c r="BM418" t="s">
        <v>1752</v>
      </c>
      <c r="BN418" t="s">
        <v>1752</v>
      </c>
      <c r="BO418" t="s">
        <v>1752</v>
      </c>
      <c r="BP418" t="s">
        <v>1752</v>
      </c>
      <c r="BQ418" t="s">
        <v>4569</v>
      </c>
      <c r="BR418" t="s">
        <v>4569</v>
      </c>
      <c r="BS418" t="s">
        <v>4569</v>
      </c>
      <c r="DA418" t="s">
        <v>4569</v>
      </c>
      <c r="DB418" t="s">
        <v>4569</v>
      </c>
      <c r="DC418" t="s">
        <v>4569</v>
      </c>
      <c r="FF418" t="s">
        <v>4569</v>
      </c>
      <c r="FH418" t="s">
        <v>1321</v>
      </c>
    </row>
    <row r="419" spans="1:183" x14ac:dyDescent="0.2">
      <c r="A419" t="str">
        <f t="shared" si="15"/>
        <v>Elementwandlung</v>
      </c>
      <c r="AS419" t="s">
        <v>4569</v>
      </c>
      <c r="AT419" t="s">
        <v>4569</v>
      </c>
      <c r="AU419" t="s">
        <v>4569</v>
      </c>
      <c r="AV419" t="s">
        <v>4569</v>
      </c>
      <c r="BG419" t="s">
        <v>1752</v>
      </c>
      <c r="BJ419" t="s">
        <v>4569</v>
      </c>
      <c r="BK419" t="s">
        <v>4569</v>
      </c>
      <c r="BM419" t="s">
        <v>4569</v>
      </c>
      <c r="BN419" t="s">
        <v>4569</v>
      </c>
      <c r="BO419" t="s">
        <v>4569</v>
      </c>
      <c r="BP419" t="s">
        <v>4569</v>
      </c>
      <c r="BQ419" t="s">
        <v>4569</v>
      </c>
      <c r="BR419" t="s">
        <v>4569</v>
      </c>
      <c r="BS419" t="s">
        <v>4569</v>
      </c>
      <c r="DA419" t="s">
        <v>4569</v>
      </c>
      <c r="DB419" t="s">
        <v>4569</v>
      </c>
      <c r="DC419" t="s">
        <v>4569</v>
      </c>
      <c r="FF419" t="s">
        <v>4569</v>
      </c>
    </row>
    <row r="420" spans="1:183" x14ac:dyDescent="0.2">
      <c r="A420" t="str">
        <f t="shared" si="15"/>
        <v>Entzug des Wissens</v>
      </c>
      <c r="AS420" t="s">
        <v>4569</v>
      </c>
      <c r="AT420" t="s">
        <v>4569</v>
      </c>
      <c r="AU420" t="s">
        <v>4569</v>
      </c>
      <c r="AV420" t="s">
        <v>4569</v>
      </c>
      <c r="BJ420" t="s">
        <v>4569</v>
      </c>
      <c r="BK420" t="s">
        <v>4569</v>
      </c>
      <c r="BM420" t="s">
        <v>4569</v>
      </c>
      <c r="BN420" t="s">
        <v>4569</v>
      </c>
      <c r="BO420" t="s">
        <v>4569</v>
      </c>
      <c r="BP420" t="s">
        <v>4569</v>
      </c>
      <c r="BQ420" t="s">
        <v>4569</v>
      </c>
      <c r="BR420" t="s">
        <v>4569</v>
      </c>
      <c r="BS420" t="s">
        <v>4569</v>
      </c>
      <c r="DA420" t="s">
        <v>4569</v>
      </c>
      <c r="DB420" t="s">
        <v>4569</v>
      </c>
      <c r="DC420" t="s">
        <v>4569</v>
      </c>
      <c r="FF420" t="s">
        <v>4569</v>
      </c>
    </row>
    <row r="421" spans="1:183" x14ac:dyDescent="0.2">
      <c r="A421" t="str">
        <f t="shared" si="15"/>
        <v>Entzug von Nandus' Gaben</v>
      </c>
      <c r="AS421" t="s">
        <v>4569</v>
      </c>
      <c r="AT421" t="s">
        <v>4569</v>
      </c>
      <c r="AU421" t="s">
        <v>4569</v>
      </c>
      <c r="AV421" t="s">
        <v>4569</v>
      </c>
      <c r="AZ421" t="s">
        <v>1321</v>
      </c>
      <c r="BA421" t="s">
        <v>1321</v>
      </c>
      <c r="BB421" t="s">
        <v>1321</v>
      </c>
      <c r="BC421" t="s">
        <v>1321</v>
      </c>
      <c r="BD421" t="s">
        <v>1321</v>
      </c>
      <c r="BJ421" t="s">
        <v>4569</v>
      </c>
      <c r="BK421" t="s">
        <v>4569</v>
      </c>
      <c r="BM421" t="s">
        <v>4588</v>
      </c>
      <c r="BN421" t="s">
        <v>4588</v>
      </c>
      <c r="BO421" t="s">
        <v>4588</v>
      </c>
      <c r="BP421" t="s">
        <v>4588</v>
      </c>
      <c r="BQ421" t="s">
        <v>4569</v>
      </c>
      <c r="BR421" t="s">
        <v>4569</v>
      </c>
      <c r="BS421" t="s">
        <v>4569</v>
      </c>
      <c r="BT421" t="s">
        <v>1321</v>
      </c>
      <c r="BU421" t="s">
        <v>1321</v>
      </c>
      <c r="BV421" t="s">
        <v>1321</v>
      </c>
      <c r="BW421" t="s">
        <v>1321</v>
      </c>
      <c r="BX421" t="s">
        <v>1321</v>
      </c>
      <c r="BY421" t="s">
        <v>1321</v>
      </c>
      <c r="BZ421" t="s">
        <v>1321</v>
      </c>
      <c r="CA421" t="s">
        <v>1321</v>
      </c>
      <c r="DA421" t="s">
        <v>4569</v>
      </c>
      <c r="DB421" t="s">
        <v>4569</v>
      </c>
      <c r="DC421" t="s">
        <v>4569</v>
      </c>
      <c r="EX421" t="s">
        <v>1321</v>
      </c>
      <c r="EZ421" t="s">
        <v>1321</v>
      </c>
      <c r="FA421" t="s">
        <v>1321</v>
      </c>
      <c r="FF421" t="s">
        <v>4569</v>
      </c>
      <c r="FH421" t="s">
        <v>1321</v>
      </c>
      <c r="FK421" t="s">
        <v>1321</v>
      </c>
      <c r="FL421" t="s">
        <v>1321</v>
      </c>
      <c r="FM421" t="s">
        <v>1321</v>
      </c>
      <c r="FN421" t="s">
        <v>1321</v>
      </c>
    </row>
    <row r="422" spans="1:183" x14ac:dyDescent="0.2">
      <c r="A422" t="str">
        <f t="shared" ref="A422:A499" si="16">INDEX(Liturgien,ROW()-IDX_L+1)</f>
        <v>Gemeinschaft der treuen Gefährten</v>
      </c>
      <c r="G422" t="s">
        <v>1321</v>
      </c>
      <c r="AS422" t="s">
        <v>4569</v>
      </c>
      <c r="AT422" t="s">
        <v>4569</v>
      </c>
      <c r="AU422" t="s">
        <v>4569</v>
      </c>
      <c r="AV422" t="s">
        <v>4569</v>
      </c>
      <c r="BH422" t="s">
        <v>1321</v>
      </c>
      <c r="BI422" t="s">
        <v>1321</v>
      </c>
      <c r="BJ422" t="s">
        <v>4569</v>
      </c>
      <c r="BK422" t="s">
        <v>4569</v>
      </c>
      <c r="BM422" t="s">
        <v>4569</v>
      </c>
      <c r="BN422" t="s">
        <v>4569</v>
      </c>
      <c r="BO422" t="s">
        <v>4569</v>
      </c>
      <c r="BP422" t="s">
        <v>4569</v>
      </c>
      <c r="BQ422" t="s">
        <v>4569</v>
      </c>
      <c r="BR422" t="s">
        <v>4569</v>
      </c>
      <c r="BS422" t="s">
        <v>4569</v>
      </c>
      <c r="CX422" t="s">
        <v>1321</v>
      </c>
      <c r="CY422" t="s">
        <v>1321</v>
      </c>
      <c r="DA422" t="s">
        <v>4569</v>
      </c>
      <c r="DB422" t="s">
        <v>4569</v>
      </c>
      <c r="DC422" t="s">
        <v>4569</v>
      </c>
      <c r="EI422" t="s">
        <v>1321</v>
      </c>
      <c r="FF422" t="s">
        <v>4569</v>
      </c>
      <c r="FX422" t="s">
        <v>1321</v>
      </c>
      <c r="FY422" t="s">
        <v>1321</v>
      </c>
      <c r="FZ422" t="s">
        <v>1321</v>
      </c>
    </row>
    <row r="423" spans="1:183" x14ac:dyDescent="0.2">
      <c r="A423" t="str">
        <f t="shared" si="16"/>
        <v>Gesang der Delphine</v>
      </c>
      <c r="AO423" t="s">
        <v>1321</v>
      </c>
      <c r="AP423" t="s">
        <v>1321</v>
      </c>
      <c r="AQ423" t="s">
        <v>1321</v>
      </c>
      <c r="AR423" t="s">
        <v>1321</v>
      </c>
      <c r="AS423" t="s">
        <v>4569</v>
      </c>
      <c r="AT423" t="s">
        <v>4569</v>
      </c>
      <c r="AU423" t="s">
        <v>4569</v>
      </c>
      <c r="AV423" t="s">
        <v>4569</v>
      </c>
      <c r="BJ423" t="s">
        <v>4569</v>
      </c>
      <c r="BK423" t="s">
        <v>4569</v>
      </c>
      <c r="BM423" t="s">
        <v>4569</v>
      </c>
      <c r="BN423" t="s">
        <v>4569</v>
      </c>
      <c r="BO423" t="s">
        <v>4569</v>
      </c>
      <c r="BP423" t="s">
        <v>4569</v>
      </c>
      <c r="BQ423" t="s">
        <v>4569</v>
      </c>
      <c r="BR423" t="s">
        <v>4569</v>
      </c>
      <c r="BS423" t="s">
        <v>4569</v>
      </c>
      <c r="CV423" t="s">
        <v>1752</v>
      </c>
      <c r="CW423" t="s">
        <v>1752</v>
      </c>
      <c r="DA423" t="s">
        <v>4569</v>
      </c>
      <c r="DB423" t="s">
        <v>4569</v>
      </c>
      <c r="DC423" t="s">
        <v>4569</v>
      </c>
      <c r="ET423" t="s">
        <v>1321</v>
      </c>
      <c r="EU423" t="s">
        <v>1321</v>
      </c>
      <c r="FF423" t="s">
        <v>4569</v>
      </c>
      <c r="FW423" t="s">
        <v>1321</v>
      </c>
    </row>
    <row r="424" spans="1:183" x14ac:dyDescent="0.2">
      <c r="A424" t="str">
        <f t="shared" si="16"/>
        <v>Gesang der Wale</v>
      </c>
      <c r="AS424" t="s">
        <v>4569</v>
      </c>
      <c r="AT424" t="s">
        <v>4569</v>
      </c>
      <c r="AU424" t="s">
        <v>4569</v>
      </c>
      <c r="AV424" t="s">
        <v>4569</v>
      </c>
      <c r="BJ424" t="s">
        <v>4569</v>
      </c>
      <c r="BK424" t="s">
        <v>4569</v>
      </c>
      <c r="BM424" t="s">
        <v>4569</v>
      </c>
      <c r="BN424" t="s">
        <v>4569</v>
      </c>
      <c r="BO424" t="s">
        <v>4569</v>
      </c>
      <c r="BP424" t="s">
        <v>4569</v>
      </c>
      <c r="BQ424" t="s">
        <v>4569</v>
      </c>
      <c r="BR424" t="s">
        <v>4569</v>
      </c>
      <c r="BS424" t="s">
        <v>4569</v>
      </c>
      <c r="CV424" t="s">
        <v>1321</v>
      </c>
      <c r="CW424" t="s">
        <v>1321</v>
      </c>
      <c r="DA424" t="s">
        <v>4569</v>
      </c>
      <c r="DB424" t="s">
        <v>4569</v>
      </c>
      <c r="DC424" t="s">
        <v>4569</v>
      </c>
      <c r="FF424" t="s">
        <v>4569</v>
      </c>
      <c r="FW424" t="s">
        <v>1321</v>
      </c>
    </row>
    <row r="425" spans="1:183" x14ac:dyDescent="0.2">
      <c r="A425" t="str">
        <f t="shared" si="16"/>
        <v>Gesegneter Fang</v>
      </c>
      <c r="AO425" t="s">
        <v>1321</v>
      </c>
      <c r="AP425" t="s">
        <v>1321</v>
      </c>
      <c r="AQ425" t="s">
        <v>1752</v>
      </c>
      <c r="AR425" t="s">
        <v>1321</v>
      </c>
      <c r="AS425" t="s">
        <v>4569</v>
      </c>
      <c r="AT425" t="s">
        <v>4569</v>
      </c>
      <c r="AU425" t="s">
        <v>4569</v>
      </c>
      <c r="AV425" t="s">
        <v>4569</v>
      </c>
      <c r="BJ425" t="s">
        <v>4569</v>
      </c>
      <c r="BK425" t="s">
        <v>4569</v>
      </c>
      <c r="BM425" t="s">
        <v>4569</v>
      </c>
      <c r="BN425" t="s">
        <v>4569</v>
      </c>
      <c r="BO425" t="s">
        <v>4569</v>
      </c>
      <c r="BP425" t="s">
        <v>4569</v>
      </c>
      <c r="BQ425" t="s">
        <v>4569</v>
      </c>
      <c r="BR425" t="s">
        <v>4569</v>
      </c>
      <c r="BS425" t="s">
        <v>4569</v>
      </c>
      <c r="CV425" t="s">
        <v>1321</v>
      </c>
      <c r="CW425" t="s">
        <v>1321</v>
      </c>
      <c r="DA425" t="s">
        <v>4569</v>
      </c>
      <c r="DB425" t="s">
        <v>4569</v>
      </c>
      <c r="DC425" t="s">
        <v>4569</v>
      </c>
      <c r="ET425" t="s">
        <v>1321</v>
      </c>
      <c r="EU425" t="s">
        <v>1321</v>
      </c>
      <c r="FF425" t="s">
        <v>4569</v>
      </c>
      <c r="FW425" t="s">
        <v>1321</v>
      </c>
    </row>
    <row r="426" spans="1:183" x14ac:dyDescent="0.2">
      <c r="A426" t="str">
        <f t="shared" si="16"/>
        <v>Geteiltes Leid</v>
      </c>
      <c r="AS426" t="s">
        <v>4569</v>
      </c>
      <c r="AT426" t="s">
        <v>4569</v>
      </c>
      <c r="AU426" t="s">
        <v>4569</v>
      </c>
      <c r="AV426" t="s">
        <v>4569</v>
      </c>
      <c r="BH426" t="s">
        <v>1321</v>
      </c>
      <c r="BI426" t="s">
        <v>1321</v>
      </c>
      <c r="BJ426" t="s">
        <v>4569</v>
      </c>
      <c r="BK426" t="s">
        <v>4569</v>
      </c>
      <c r="BM426" t="s">
        <v>4569</v>
      </c>
      <c r="BN426" t="s">
        <v>4569</v>
      </c>
      <c r="BO426" t="s">
        <v>4569</v>
      </c>
      <c r="BP426" t="s">
        <v>4569</v>
      </c>
      <c r="BQ426" t="s">
        <v>4569</v>
      </c>
      <c r="BR426" t="s">
        <v>4569</v>
      </c>
      <c r="BS426" t="s">
        <v>4569</v>
      </c>
      <c r="DA426" t="s">
        <v>4569</v>
      </c>
      <c r="DB426" t="s">
        <v>4569</v>
      </c>
      <c r="DC426" t="s">
        <v>4569</v>
      </c>
      <c r="FF426" t="s">
        <v>4569</v>
      </c>
    </row>
    <row r="427" spans="1:183" x14ac:dyDescent="0.2">
      <c r="A427" t="str">
        <f t="shared" si="16"/>
        <v>Gift der Erkenntnis</v>
      </c>
      <c r="AS427" t="s">
        <v>4569</v>
      </c>
      <c r="AT427" t="s">
        <v>4569</v>
      </c>
      <c r="AU427" t="s">
        <v>4569</v>
      </c>
      <c r="AV427" t="s">
        <v>4569</v>
      </c>
      <c r="AZ427" t="s">
        <v>1321</v>
      </c>
      <c r="BA427" t="s">
        <v>1321</v>
      </c>
      <c r="BB427" t="s">
        <v>1321</v>
      </c>
      <c r="BC427" t="s">
        <v>1321</v>
      </c>
      <c r="BD427" t="s">
        <v>1321</v>
      </c>
      <c r="BG427" t="s">
        <v>1321</v>
      </c>
      <c r="BJ427" t="s">
        <v>4569</v>
      </c>
      <c r="BK427" t="s">
        <v>4569</v>
      </c>
      <c r="BM427" t="s">
        <v>4569</v>
      </c>
      <c r="BN427" t="s">
        <v>4569</v>
      </c>
      <c r="BO427" t="s">
        <v>4569</v>
      </c>
      <c r="BP427" t="s">
        <v>4569</v>
      </c>
      <c r="BQ427" t="s">
        <v>4569</v>
      </c>
      <c r="BR427" t="s">
        <v>4569</v>
      </c>
      <c r="BS427" t="s">
        <v>4569</v>
      </c>
      <c r="DA427" t="s">
        <v>4569</v>
      </c>
      <c r="DB427" t="s">
        <v>4569</v>
      </c>
      <c r="DC427" t="s">
        <v>4569</v>
      </c>
      <c r="EX427" t="s">
        <v>1321</v>
      </c>
      <c r="EZ427" t="s">
        <v>1321</v>
      </c>
      <c r="FA427" t="s">
        <v>1321</v>
      </c>
      <c r="FF427" t="s">
        <v>4569</v>
      </c>
    </row>
    <row r="428" spans="1:183" x14ac:dyDescent="0.2">
      <c r="A428" t="str">
        <f t="shared" si="16"/>
        <v>Goldene Rüstung</v>
      </c>
      <c r="AS428" t="s">
        <v>4569</v>
      </c>
      <c r="AT428" t="s">
        <v>4569</v>
      </c>
      <c r="AU428" t="s">
        <v>4569</v>
      </c>
      <c r="AV428" t="s">
        <v>4569</v>
      </c>
      <c r="BJ428" t="s">
        <v>4569</v>
      </c>
      <c r="BK428" t="s">
        <v>4569</v>
      </c>
      <c r="BM428" t="s">
        <v>4569</v>
      </c>
      <c r="BN428" t="s">
        <v>4569</v>
      </c>
      <c r="BO428" t="s">
        <v>4569</v>
      </c>
      <c r="BP428" t="s">
        <v>4569</v>
      </c>
      <c r="BQ428" t="s">
        <v>4569</v>
      </c>
      <c r="BR428" t="s">
        <v>4569</v>
      </c>
      <c r="BS428" t="s">
        <v>4569</v>
      </c>
      <c r="CB428" t="s">
        <v>1321</v>
      </c>
      <c r="CC428" t="s">
        <v>1752</v>
      </c>
      <c r="CE428" t="s">
        <v>1321</v>
      </c>
      <c r="DA428" t="s">
        <v>4569</v>
      </c>
      <c r="DB428" t="s">
        <v>4569</v>
      </c>
      <c r="DC428" t="s">
        <v>4569</v>
      </c>
      <c r="FF428" t="s">
        <v>4569</v>
      </c>
      <c r="FO428" t="s">
        <v>1321</v>
      </c>
      <c r="FP428" t="s">
        <v>1321</v>
      </c>
      <c r="FQ428" t="s">
        <v>1321</v>
      </c>
      <c r="FR428" t="s">
        <v>1321</v>
      </c>
    </row>
    <row r="429" spans="1:183" x14ac:dyDescent="0.2">
      <c r="A429" t="str">
        <f t="shared" si="16"/>
        <v>Golgaris Zwielicht</v>
      </c>
    </row>
    <row r="430" spans="1:183" x14ac:dyDescent="0.2">
      <c r="A430" t="str">
        <f t="shared" si="16"/>
        <v>Göttliche Verständigung</v>
      </c>
      <c r="C430" t="s">
        <v>1321</v>
      </c>
      <c r="D430" t="s">
        <v>1321</v>
      </c>
      <c r="E430" t="s">
        <v>1321</v>
      </c>
      <c r="F430" t="s">
        <v>1321</v>
      </c>
      <c r="G430" t="s">
        <v>1321</v>
      </c>
      <c r="I430" t="s">
        <v>1321</v>
      </c>
      <c r="J430" t="s">
        <v>1321</v>
      </c>
      <c r="K430" t="s">
        <v>1321</v>
      </c>
      <c r="L430" t="s">
        <v>1321</v>
      </c>
      <c r="M430" t="s">
        <v>1321</v>
      </c>
      <c r="N430" t="s">
        <v>1321</v>
      </c>
      <c r="O430" t="s">
        <v>1321</v>
      </c>
      <c r="P430" t="s">
        <v>1321</v>
      </c>
      <c r="Q430" t="s">
        <v>1321</v>
      </c>
      <c r="R430" t="s">
        <v>1321</v>
      </c>
      <c r="S430" t="s">
        <v>1321</v>
      </c>
      <c r="T430" t="s">
        <v>1321</v>
      </c>
      <c r="U430" t="s">
        <v>1321</v>
      </c>
      <c r="V430" t="s">
        <v>1321</v>
      </c>
      <c r="W430" t="s">
        <v>1321</v>
      </c>
      <c r="X430" t="s">
        <v>1321</v>
      </c>
      <c r="Y430" t="s">
        <v>1321</v>
      </c>
      <c r="Z430" t="s">
        <v>1321</v>
      </c>
      <c r="AA430" t="s">
        <v>1321</v>
      </c>
      <c r="AB430" t="s">
        <v>1321</v>
      </c>
      <c r="AC430" t="s">
        <v>1321</v>
      </c>
      <c r="AD430" t="s">
        <v>1321</v>
      </c>
      <c r="AE430" t="s">
        <v>1321</v>
      </c>
      <c r="AG430" t="s">
        <v>1321</v>
      </c>
      <c r="AI430" t="s">
        <v>1321</v>
      </c>
      <c r="AO430" t="s">
        <v>1321</v>
      </c>
      <c r="AP430" t="s">
        <v>1321</v>
      </c>
      <c r="AQ430" t="s">
        <v>1321</v>
      </c>
      <c r="AR430" t="s">
        <v>1321</v>
      </c>
      <c r="AS430" t="s">
        <v>1321</v>
      </c>
      <c r="AT430" t="s">
        <v>1321</v>
      </c>
      <c r="AU430" t="s">
        <v>1752</v>
      </c>
      <c r="AV430" t="s">
        <v>1321</v>
      </c>
      <c r="AZ430" t="s">
        <v>1321</v>
      </c>
      <c r="BA430" t="s">
        <v>1321</v>
      </c>
      <c r="BB430" t="s">
        <v>1321</v>
      </c>
      <c r="BC430" t="s">
        <v>1321</v>
      </c>
      <c r="BD430" t="s">
        <v>1321</v>
      </c>
      <c r="BH430" t="s">
        <v>1321</v>
      </c>
      <c r="BI430" t="s">
        <v>1321</v>
      </c>
      <c r="BJ430" t="s">
        <v>1321</v>
      </c>
      <c r="BK430" t="s">
        <v>1321</v>
      </c>
      <c r="BL430" t="s">
        <v>1321</v>
      </c>
      <c r="BM430" t="s">
        <v>1321</v>
      </c>
      <c r="BN430" t="s">
        <v>1321</v>
      </c>
      <c r="BO430" t="s">
        <v>1321</v>
      </c>
      <c r="BP430" t="s">
        <v>1321</v>
      </c>
      <c r="BQ430" t="s">
        <v>1321</v>
      </c>
      <c r="BR430" t="s">
        <v>1321</v>
      </c>
      <c r="BS430" t="s">
        <v>1321</v>
      </c>
      <c r="BT430" t="s">
        <v>1321</v>
      </c>
      <c r="BU430" t="s">
        <v>1321</v>
      </c>
      <c r="BV430" t="s">
        <v>1321</v>
      </c>
      <c r="BW430" t="s">
        <v>1321</v>
      </c>
      <c r="BX430" t="s">
        <v>1321</v>
      </c>
      <c r="BY430" t="s">
        <v>1321</v>
      </c>
      <c r="BZ430" t="s">
        <v>1321</v>
      </c>
      <c r="CA430" t="s">
        <v>1321</v>
      </c>
      <c r="CB430" t="s">
        <v>1321</v>
      </c>
      <c r="CC430" t="s">
        <v>1321</v>
      </c>
      <c r="CE430" t="s">
        <v>1321</v>
      </c>
      <c r="CF430" t="s">
        <v>1321</v>
      </c>
      <c r="CG430" t="s">
        <v>1321</v>
      </c>
      <c r="CH430" t="s">
        <v>1321</v>
      </c>
      <c r="CI430" t="s">
        <v>1321</v>
      </c>
      <c r="CL430" t="s">
        <v>1321</v>
      </c>
      <c r="CM430" t="s">
        <v>1321</v>
      </c>
      <c r="CN430" t="s">
        <v>1321</v>
      </c>
      <c r="CO430" t="s">
        <v>1321</v>
      </c>
      <c r="CP430" t="s">
        <v>1321</v>
      </c>
      <c r="CV430" t="s">
        <v>1321</v>
      </c>
      <c r="CW430" t="s">
        <v>1321</v>
      </c>
      <c r="CX430" t="s">
        <v>1321</v>
      </c>
      <c r="CY430" t="s">
        <v>1321</v>
      </c>
      <c r="DA430" t="s">
        <v>1321</v>
      </c>
      <c r="DB430" t="s">
        <v>1321</v>
      </c>
      <c r="DC430" t="s">
        <v>1321</v>
      </c>
      <c r="EH430" t="s">
        <v>1321</v>
      </c>
      <c r="EI430" t="s">
        <v>1321</v>
      </c>
      <c r="EK430" t="s">
        <v>1321</v>
      </c>
      <c r="EL430" t="s">
        <v>1321</v>
      </c>
      <c r="EM430" t="s">
        <v>1321</v>
      </c>
      <c r="EN430" t="s">
        <v>1321</v>
      </c>
      <c r="EP430" t="s">
        <v>1321</v>
      </c>
      <c r="EQ430" t="s">
        <v>1321</v>
      </c>
      <c r="ER430" t="s">
        <v>1321</v>
      </c>
      <c r="ET430" t="s">
        <v>1321</v>
      </c>
      <c r="EU430" t="s">
        <v>1321</v>
      </c>
      <c r="EV430" t="s">
        <v>1321</v>
      </c>
      <c r="EX430" t="s">
        <v>1321</v>
      </c>
      <c r="EZ430" t="s">
        <v>1321</v>
      </c>
      <c r="FA430" t="s">
        <v>1321</v>
      </c>
      <c r="FE430" t="s">
        <v>1321</v>
      </c>
      <c r="FF430" t="s">
        <v>1321</v>
      </c>
      <c r="FG430" t="s">
        <v>1321</v>
      </c>
      <c r="FH430" t="s">
        <v>1321</v>
      </c>
      <c r="FI430" t="s">
        <v>1321</v>
      </c>
      <c r="FJ430" t="s">
        <v>1321</v>
      </c>
      <c r="FK430" t="s">
        <v>1321</v>
      </c>
      <c r="FL430" t="s">
        <v>1321</v>
      </c>
      <c r="FM430" t="s">
        <v>1321</v>
      </c>
      <c r="FN430" t="s">
        <v>1321</v>
      </c>
      <c r="FO430" t="s">
        <v>1321</v>
      </c>
      <c r="FP430" t="s">
        <v>1321</v>
      </c>
      <c r="FQ430" t="s">
        <v>1321</v>
      </c>
      <c r="FR430" t="s">
        <v>1321</v>
      </c>
      <c r="FS430" t="s">
        <v>1321</v>
      </c>
      <c r="FT430" t="s">
        <v>1321</v>
      </c>
      <c r="FU430" t="s">
        <v>1321</v>
      </c>
      <c r="FW430" t="s">
        <v>1321</v>
      </c>
      <c r="FX430" t="s">
        <v>1321</v>
      </c>
      <c r="FY430" t="s">
        <v>1321</v>
      </c>
      <c r="FZ430" t="s">
        <v>1321</v>
      </c>
      <c r="GA430" t="s">
        <v>1321</v>
      </c>
    </row>
    <row r="431" spans="1:183" x14ac:dyDescent="0.2">
      <c r="A431" t="str">
        <f t="shared" si="16"/>
        <v>Händlersegen</v>
      </c>
      <c r="G431" t="s">
        <v>1321</v>
      </c>
      <c r="AS431" t="s">
        <v>4569</v>
      </c>
      <c r="AT431" t="s">
        <v>4569</v>
      </c>
      <c r="AU431" t="s">
        <v>4569</v>
      </c>
      <c r="AV431" t="s">
        <v>4569</v>
      </c>
      <c r="BH431" t="s">
        <v>784</v>
      </c>
      <c r="BI431" t="s">
        <v>784</v>
      </c>
      <c r="BJ431" t="s">
        <v>4569</v>
      </c>
      <c r="BK431" t="s">
        <v>4569</v>
      </c>
      <c r="BM431" t="s">
        <v>4569</v>
      </c>
      <c r="BN431" t="s">
        <v>4569</v>
      </c>
      <c r="BO431" t="s">
        <v>4569</v>
      </c>
      <c r="BP431" t="s">
        <v>4569</v>
      </c>
      <c r="BQ431" t="s">
        <v>4569</v>
      </c>
      <c r="BR431" t="s">
        <v>4569</v>
      </c>
      <c r="BS431" t="s">
        <v>4569</v>
      </c>
      <c r="BT431" t="s">
        <v>1321</v>
      </c>
      <c r="BU431" t="s">
        <v>1321</v>
      </c>
      <c r="BV431" t="s">
        <v>1321</v>
      </c>
      <c r="BW431" t="s">
        <v>1321</v>
      </c>
      <c r="BX431" t="s">
        <v>1321</v>
      </c>
      <c r="BY431" t="s">
        <v>1321</v>
      </c>
      <c r="BZ431" t="s">
        <v>1321</v>
      </c>
      <c r="CA431" t="s">
        <v>1321</v>
      </c>
      <c r="DA431" t="s">
        <v>4569</v>
      </c>
      <c r="DB431" t="s">
        <v>4569</v>
      </c>
      <c r="DC431" t="s">
        <v>4569</v>
      </c>
      <c r="EI431" t="s">
        <v>1321</v>
      </c>
      <c r="FF431" t="s">
        <v>4569</v>
      </c>
      <c r="FK431" t="s">
        <v>1321</v>
      </c>
      <c r="FL431" t="s">
        <v>1321</v>
      </c>
      <c r="FM431" t="s">
        <v>1321</v>
      </c>
      <c r="FN431" t="s">
        <v>1321</v>
      </c>
    </row>
    <row r="432" spans="1:183" x14ac:dyDescent="0.2">
      <c r="A432" t="str">
        <f t="shared" si="16"/>
        <v>Handwerkssegen</v>
      </c>
      <c r="C432" t="s">
        <v>1321</v>
      </c>
      <c r="D432" t="s">
        <v>1321</v>
      </c>
      <c r="E432" t="s">
        <v>1321</v>
      </c>
      <c r="F432" t="s">
        <v>1321</v>
      </c>
      <c r="G432" t="s">
        <v>1321</v>
      </c>
      <c r="I432" t="s">
        <v>1321</v>
      </c>
      <c r="J432" t="s">
        <v>1321</v>
      </c>
      <c r="K432" t="s">
        <v>1321</v>
      </c>
      <c r="L432" t="s">
        <v>1321</v>
      </c>
      <c r="M432" t="s">
        <v>1321</v>
      </c>
      <c r="N432" t="s">
        <v>1321</v>
      </c>
      <c r="O432" t="s">
        <v>1321</v>
      </c>
      <c r="P432" t="s">
        <v>1321</v>
      </c>
      <c r="Q432" t="s">
        <v>1321</v>
      </c>
      <c r="R432" t="s">
        <v>1321</v>
      </c>
      <c r="S432" t="s">
        <v>1321</v>
      </c>
      <c r="T432" t="s">
        <v>1321</v>
      </c>
      <c r="U432" t="s">
        <v>1321</v>
      </c>
      <c r="V432" t="s">
        <v>1321</v>
      </c>
      <c r="W432" t="s">
        <v>1321</v>
      </c>
      <c r="X432" t="s">
        <v>1321</v>
      </c>
      <c r="Y432" t="s">
        <v>1321</v>
      </c>
      <c r="Z432" t="s">
        <v>1321</v>
      </c>
      <c r="AA432" t="s">
        <v>1321</v>
      </c>
      <c r="AB432" t="s">
        <v>1321</v>
      </c>
      <c r="AC432" t="s">
        <v>1321</v>
      </c>
      <c r="AD432" t="s">
        <v>1321</v>
      </c>
      <c r="AE432" t="s">
        <v>1321</v>
      </c>
      <c r="AG432" t="s">
        <v>1321</v>
      </c>
      <c r="AI432" t="s">
        <v>1321</v>
      </c>
      <c r="AO432" t="s">
        <v>1321</v>
      </c>
      <c r="AP432" t="s">
        <v>1321</v>
      </c>
      <c r="AQ432" t="s">
        <v>1321</v>
      </c>
      <c r="AR432" t="s">
        <v>1321</v>
      </c>
      <c r="AS432" t="s">
        <v>1321</v>
      </c>
      <c r="AT432" t="s">
        <v>1321</v>
      </c>
      <c r="AU432" t="s">
        <v>1321</v>
      </c>
      <c r="AV432" t="s">
        <v>1321</v>
      </c>
      <c r="BG432" t="s">
        <v>1321</v>
      </c>
      <c r="BH432" t="s">
        <v>1321</v>
      </c>
      <c r="BI432" t="s">
        <v>1321</v>
      </c>
      <c r="BJ432" t="s">
        <v>1321</v>
      </c>
      <c r="BK432" t="s">
        <v>1321</v>
      </c>
      <c r="BL432" t="s">
        <v>1321</v>
      </c>
      <c r="BM432" t="s">
        <v>1321</v>
      </c>
      <c r="BN432" t="s">
        <v>1321</v>
      </c>
      <c r="BO432" t="s">
        <v>1321</v>
      </c>
      <c r="BP432" t="s">
        <v>1321</v>
      </c>
      <c r="BQ432" t="s">
        <v>1321</v>
      </c>
      <c r="BR432" t="s">
        <v>1321</v>
      </c>
      <c r="BS432" t="s">
        <v>1321</v>
      </c>
      <c r="BT432" t="s">
        <v>1321</v>
      </c>
      <c r="BU432" t="s">
        <v>1321</v>
      </c>
      <c r="BV432" t="s">
        <v>1321</v>
      </c>
      <c r="BW432" t="s">
        <v>1321</v>
      </c>
      <c r="BX432" t="s">
        <v>1321</v>
      </c>
      <c r="BY432" t="s">
        <v>1321</v>
      </c>
      <c r="BZ432" t="s">
        <v>1321</v>
      </c>
      <c r="CA432" t="s">
        <v>1321</v>
      </c>
      <c r="CB432" t="s">
        <v>1321</v>
      </c>
      <c r="CC432" t="s">
        <v>1321</v>
      </c>
      <c r="CE432" t="s">
        <v>1321</v>
      </c>
      <c r="CN432" t="s">
        <v>1321</v>
      </c>
      <c r="CO432" t="s">
        <v>1321</v>
      </c>
      <c r="CP432" t="s">
        <v>1321</v>
      </c>
      <c r="CV432" t="s">
        <v>1321</v>
      </c>
      <c r="CW432" t="s">
        <v>1321</v>
      </c>
      <c r="CX432" t="s">
        <v>1321</v>
      </c>
      <c r="CY432" t="s">
        <v>1321</v>
      </c>
      <c r="DA432" t="s">
        <v>1321</v>
      </c>
      <c r="DB432" t="s">
        <v>1321</v>
      </c>
      <c r="DC432" t="s">
        <v>1321</v>
      </c>
      <c r="DD432" t="s">
        <v>1321</v>
      </c>
      <c r="DW432" t="s">
        <v>1321</v>
      </c>
      <c r="EH432" t="s">
        <v>1321</v>
      </c>
      <c r="EI432" t="s">
        <v>1321</v>
      </c>
      <c r="EJ432" t="s">
        <v>1321</v>
      </c>
      <c r="EK432" t="s">
        <v>1321</v>
      </c>
      <c r="EL432" t="s">
        <v>1321</v>
      </c>
      <c r="EM432" t="s">
        <v>1321</v>
      </c>
      <c r="EN432" t="s">
        <v>1321</v>
      </c>
      <c r="EO432" t="s">
        <v>1321</v>
      </c>
      <c r="EP432" t="s">
        <v>1321</v>
      </c>
      <c r="EQ432" t="s">
        <v>1321</v>
      </c>
      <c r="ER432" t="s">
        <v>1321</v>
      </c>
      <c r="ET432" t="s">
        <v>1321</v>
      </c>
      <c r="EU432" t="s">
        <v>1321</v>
      </c>
      <c r="EV432" t="s">
        <v>1321</v>
      </c>
      <c r="FE432" t="s">
        <v>1321</v>
      </c>
      <c r="FF432" t="s">
        <v>1321</v>
      </c>
      <c r="FG432" t="s">
        <v>1321</v>
      </c>
      <c r="FH432" t="s">
        <v>1321</v>
      </c>
      <c r="FI432" t="s">
        <v>1321</v>
      </c>
      <c r="FJ432" t="s">
        <v>1321</v>
      </c>
      <c r="FK432" t="s">
        <v>1321</v>
      </c>
      <c r="FL432" t="s">
        <v>1321</v>
      </c>
      <c r="FM432" t="s">
        <v>1321</v>
      </c>
      <c r="FN432" t="s">
        <v>1321</v>
      </c>
      <c r="FO432" t="s">
        <v>1321</v>
      </c>
      <c r="FP432" t="s">
        <v>1321</v>
      </c>
      <c r="FQ432" t="s">
        <v>1321</v>
      </c>
      <c r="FR432" t="s">
        <v>1321</v>
      </c>
      <c r="FS432" t="s">
        <v>1321</v>
      </c>
      <c r="FT432" t="s">
        <v>1321</v>
      </c>
      <c r="FU432" t="s">
        <v>1321</v>
      </c>
      <c r="FW432" t="s">
        <v>1321</v>
      </c>
      <c r="FX432" t="s">
        <v>1321</v>
      </c>
      <c r="FY432" t="s">
        <v>1321</v>
      </c>
      <c r="FZ432" t="s">
        <v>1321</v>
      </c>
      <c r="GA432" t="s">
        <v>1321</v>
      </c>
    </row>
    <row r="433" spans="1:183" x14ac:dyDescent="0.2">
      <c r="A433" t="str">
        <f t="shared" si="16"/>
        <v>Hashnabiths Flehen</v>
      </c>
      <c r="G433" t="s">
        <v>1321</v>
      </c>
      <c r="AO433" t="s">
        <v>1321</v>
      </c>
      <c r="AP433" t="s">
        <v>1321</v>
      </c>
      <c r="AQ433" t="s">
        <v>1321</v>
      </c>
      <c r="AR433" t="s">
        <v>1752</v>
      </c>
      <c r="AS433" t="s">
        <v>4569</v>
      </c>
      <c r="AT433" t="s">
        <v>4569</v>
      </c>
      <c r="AU433" t="s">
        <v>4569</v>
      </c>
      <c r="AV433" t="s">
        <v>4569</v>
      </c>
      <c r="BJ433" t="s">
        <v>4569</v>
      </c>
      <c r="BK433" t="s">
        <v>4569</v>
      </c>
      <c r="BM433" t="s">
        <v>4569</v>
      </c>
      <c r="BN433" t="s">
        <v>4569</v>
      </c>
      <c r="BO433" t="s">
        <v>4569</v>
      </c>
      <c r="BP433" t="s">
        <v>4569</v>
      </c>
      <c r="BQ433" t="s">
        <v>4569</v>
      </c>
      <c r="BR433" t="s">
        <v>4569</v>
      </c>
      <c r="BS433" t="s">
        <v>4569</v>
      </c>
      <c r="DA433" t="s">
        <v>4569</v>
      </c>
      <c r="DB433" t="s">
        <v>4569</v>
      </c>
      <c r="DC433" t="s">
        <v>4569</v>
      </c>
      <c r="EI433" t="s">
        <v>1321</v>
      </c>
      <c r="ET433" t="s">
        <v>1321</v>
      </c>
      <c r="EU433" t="s">
        <v>1321</v>
      </c>
      <c r="FF433" t="s">
        <v>4569</v>
      </c>
    </row>
    <row r="434" spans="1:183" x14ac:dyDescent="0.2">
      <c r="A434" t="str">
        <f t="shared" si="16"/>
        <v>Heiliger Befehl</v>
      </c>
      <c r="C434" t="s">
        <v>1321</v>
      </c>
      <c r="D434" t="s">
        <v>1321</v>
      </c>
      <c r="E434" t="s">
        <v>1321</v>
      </c>
      <c r="F434" t="s">
        <v>1321</v>
      </c>
      <c r="G434" t="s">
        <v>1321</v>
      </c>
      <c r="I434" t="s">
        <v>1321</v>
      </c>
      <c r="J434" t="s">
        <v>1321</v>
      </c>
      <c r="K434" t="s">
        <v>1321</v>
      </c>
      <c r="L434" t="s">
        <v>1321</v>
      </c>
      <c r="M434" t="s">
        <v>1321</v>
      </c>
      <c r="N434" t="s">
        <v>1321</v>
      </c>
      <c r="O434" t="s">
        <v>1321</v>
      </c>
      <c r="P434" t="s">
        <v>1321</v>
      </c>
      <c r="Q434" t="s">
        <v>1321</v>
      </c>
      <c r="R434" t="s">
        <v>1321</v>
      </c>
      <c r="S434" t="s">
        <v>1321</v>
      </c>
      <c r="T434" t="s">
        <v>1321</v>
      </c>
      <c r="U434" t="s">
        <v>1321</v>
      </c>
      <c r="V434" t="s">
        <v>1321</v>
      </c>
      <c r="W434" t="s">
        <v>1321</v>
      </c>
      <c r="X434" t="s">
        <v>1321</v>
      </c>
      <c r="Y434" t="s">
        <v>1321</v>
      </c>
      <c r="Z434" t="s">
        <v>1321</v>
      </c>
      <c r="AA434" t="s">
        <v>1321</v>
      </c>
      <c r="AB434" t="s">
        <v>1321</v>
      </c>
      <c r="AC434" t="s">
        <v>1321</v>
      </c>
      <c r="AD434" t="s">
        <v>1321</v>
      </c>
      <c r="AE434" t="s">
        <v>1321</v>
      </c>
      <c r="AG434" t="s">
        <v>1321</v>
      </c>
      <c r="AI434" t="s">
        <v>1321</v>
      </c>
      <c r="AO434" t="s">
        <v>1321</v>
      </c>
      <c r="AP434" t="s">
        <v>1321</v>
      </c>
      <c r="AQ434" t="s">
        <v>1321</v>
      </c>
      <c r="AR434" t="s">
        <v>1321</v>
      </c>
      <c r="AS434" t="s">
        <v>1321</v>
      </c>
      <c r="AT434" t="s">
        <v>1321</v>
      </c>
      <c r="AU434" t="s">
        <v>1321</v>
      </c>
      <c r="AV434" t="s">
        <v>1321</v>
      </c>
      <c r="AZ434" t="s">
        <v>1321</v>
      </c>
      <c r="BA434" t="s">
        <v>1321</v>
      </c>
      <c r="BB434" t="s">
        <v>1321</v>
      </c>
      <c r="BC434" t="s">
        <v>1321</v>
      </c>
      <c r="BD434" t="s">
        <v>1321</v>
      </c>
      <c r="BG434" t="s">
        <v>1321</v>
      </c>
      <c r="BH434" t="s">
        <v>1321</v>
      </c>
      <c r="BI434" t="s">
        <v>1321</v>
      </c>
      <c r="BJ434" t="s">
        <v>1321</v>
      </c>
      <c r="BK434" t="s">
        <v>1321</v>
      </c>
      <c r="BL434" t="s">
        <v>1321</v>
      </c>
      <c r="BM434" t="s">
        <v>1321</v>
      </c>
      <c r="BN434" t="s">
        <v>1321</v>
      </c>
      <c r="BO434" t="s">
        <v>1321</v>
      </c>
      <c r="BP434" t="s">
        <v>1321</v>
      </c>
      <c r="BQ434" t="s">
        <v>1321</v>
      </c>
      <c r="BR434" t="s">
        <v>1321</v>
      </c>
      <c r="BS434" t="s">
        <v>1321</v>
      </c>
      <c r="BT434" t="s">
        <v>1321</v>
      </c>
      <c r="BU434" t="s">
        <v>1321</v>
      </c>
      <c r="BV434" t="s">
        <v>1321</v>
      </c>
      <c r="BW434" t="s">
        <v>1321</v>
      </c>
      <c r="BX434" t="s">
        <v>1321</v>
      </c>
      <c r="BY434" t="s">
        <v>1321</v>
      </c>
      <c r="BZ434" t="s">
        <v>1321</v>
      </c>
      <c r="CA434" t="s">
        <v>1321</v>
      </c>
      <c r="CF434" t="s">
        <v>1321</v>
      </c>
      <c r="CG434" t="s">
        <v>1321</v>
      </c>
      <c r="CH434" t="s">
        <v>1321</v>
      </c>
      <c r="CI434" t="s">
        <v>1321</v>
      </c>
      <c r="CL434" t="s">
        <v>1321</v>
      </c>
      <c r="CM434" t="s">
        <v>1321</v>
      </c>
      <c r="CN434" t="s">
        <v>4588</v>
      </c>
      <c r="CO434" t="s">
        <v>4588</v>
      </c>
      <c r="CP434" t="s">
        <v>4588</v>
      </c>
      <c r="CV434" t="s">
        <v>1321</v>
      </c>
      <c r="CW434" t="s">
        <v>1321</v>
      </c>
      <c r="CX434" t="s">
        <v>4588</v>
      </c>
      <c r="CY434" t="s">
        <v>4588</v>
      </c>
      <c r="DA434" t="s">
        <v>1321</v>
      </c>
      <c r="DB434" t="s">
        <v>1321</v>
      </c>
      <c r="DC434" t="s">
        <v>1321</v>
      </c>
      <c r="DD434" t="s">
        <v>1321</v>
      </c>
      <c r="DW434" t="s">
        <v>1321</v>
      </c>
      <c r="EH434" t="s">
        <v>1321</v>
      </c>
      <c r="EI434" t="s">
        <v>1321</v>
      </c>
      <c r="EJ434" t="s">
        <v>1321</v>
      </c>
      <c r="EK434" t="s">
        <v>1321</v>
      </c>
      <c r="EL434" t="s">
        <v>1321</v>
      </c>
      <c r="EM434" t="s">
        <v>1321</v>
      </c>
      <c r="EN434" t="s">
        <v>1321</v>
      </c>
      <c r="EO434" t="s">
        <v>1321</v>
      </c>
      <c r="EP434" t="s">
        <v>1321</v>
      </c>
      <c r="EQ434" t="s">
        <v>1321</v>
      </c>
      <c r="ER434" t="s">
        <v>1321</v>
      </c>
      <c r="ET434" t="s">
        <v>1321</v>
      </c>
      <c r="EU434" t="s">
        <v>1321</v>
      </c>
      <c r="EV434" t="s">
        <v>1321</v>
      </c>
      <c r="EX434" t="s">
        <v>1321</v>
      </c>
      <c r="EZ434" t="s">
        <v>1321</v>
      </c>
      <c r="FA434" t="s">
        <v>1321</v>
      </c>
      <c r="FE434" t="s">
        <v>1321</v>
      </c>
      <c r="FF434" t="s">
        <v>1321</v>
      </c>
      <c r="FG434" t="s">
        <v>1321</v>
      </c>
      <c r="FH434" t="s">
        <v>1321</v>
      </c>
      <c r="FI434" t="s">
        <v>1321</v>
      </c>
      <c r="FJ434" t="s">
        <v>1321</v>
      </c>
      <c r="FK434" t="s">
        <v>1321</v>
      </c>
      <c r="FL434" t="s">
        <v>1321</v>
      </c>
      <c r="FM434" t="s">
        <v>1321</v>
      </c>
      <c r="FN434" t="s">
        <v>1321</v>
      </c>
      <c r="FS434" t="s">
        <v>1321</v>
      </c>
      <c r="FT434" t="s">
        <v>1321</v>
      </c>
      <c r="FU434" t="s">
        <v>1321</v>
      </c>
      <c r="FW434" t="s">
        <v>1321</v>
      </c>
      <c r="FX434" t="s">
        <v>1321</v>
      </c>
      <c r="FY434" t="s">
        <v>1321</v>
      </c>
      <c r="FZ434" t="s">
        <v>1321</v>
      </c>
      <c r="GA434" t="s">
        <v>1321</v>
      </c>
    </row>
    <row r="435" spans="1:183" x14ac:dyDescent="0.2">
      <c r="A435" t="str">
        <f t="shared" si="16"/>
        <v>Heiliger Lehnseid</v>
      </c>
      <c r="AS435" t="s">
        <v>4569</v>
      </c>
      <c r="AT435" t="s">
        <v>4569</v>
      </c>
      <c r="AU435" t="s">
        <v>4569</v>
      </c>
      <c r="AV435" t="s">
        <v>4569</v>
      </c>
      <c r="BJ435" t="s">
        <v>4569</v>
      </c>
      <c r="BK435" t="s">
        <v>4569</v>
      </c>
      <c r="BM435" t="s">
        <v>4569</v>
      </c>
      <c r="BN435" t="s">
        <v>4569</v>
      </c>
      <c r="BO435" t="s">
        <v>4569</v>
      </c>
      <c r="BP435" t="s">
        <v>4569</v>
      </c>
      <c r="BQ435" t="s">
        <v>4569</v>
      </c>
      <c r="BR435" t="s">
        <v>4569</v>
      </c>
      <c r="BS435" t="s">
        <v>4569</v>
      </c>
      <c r="CB435" t="s">
        <v>1321</v>
      </c>
      <c r="CC435" t="s">
        <v>1321</v>
      </c>
      <c r="CE435" t="s">
        <v>1321</v>
      </c>
      <c r="DA435" t="s">
        <v>4569</v>
      </c>
      <c r="DB435" t="s">
        <v>4569</v>
      </c>
      <c r="DC435" t="s">
        <v>4569</v>
      </c>
      <c r="FF435" t="s">
        <v>4569</v>
      </c>
      <c r="FO435" t="s">
        <v>1321</v>
      </c>
      <c r="FP435" t="s">
        <v>1321</v>
      </c>
      <c r="FQ435" t="s">
        <v>1321</v>
      </c>
      <c r="FR435" t="s">
        <v>1321</v>
      </c>
    </row>
    <row r="436" spans="1:183" x14ac:dyDescent="0.2">
      <c r="A436" t="str">
        <f t="shared" si="16"/>
        <v>Heiliges Liebesspiel</v>
      </c>
      <c r="AS436" t="s">
        <v>4569</v>
      </c>
      <c r="AT436" t="s">
        <v>4569</v>
      </c>
      <c r="AU436" t="s">
        <v>4569</v>
      </c>
      <c r="AV436" t="s">
        <v>4569</v>
      </c>
      <c r="BJ436" t="s">
        <v>4569</v>
      </c>
      <c r="BK436" t="s">
        <v>4569</v>
      </c>
      <c r="BM436" t="s">
        <v>4569</v>
      </c>
      <c r="BN436" t="s">
        <v>4569</v>
      </c>
      <c r="BO436" t="s">
        <v>4569</v>
      </c>
      <c r="BP436" t="s">
        <v>4569</v>
      </c>
      <c r="BQ436" t="s">
        <v>4569</v>
      </c>
      <c r="BR436" t="s">
        <v>4569</v>
      </c>
      <c r="BS436" t="s">
        <v>4569</v>
      </c>
      <c r="CF436" t="s">
        <v>1752</v>
      </c>
      <c r="CG436" t="s">
        <v>1752</v>
      </c>
      <c r="CH436" t="s">
        <v>1752</v>
      </c>
      <c r="CI436" t="s">
        <v>1752</v>
      </c>
      <c r="CL436" t="s">
        <v>1752</v>
      </c>
      <c r="CM436" t="s">
        <v>1752</v>
      </c>
      <c r="DA436" t="s">
        <v>4569</v>
      </c>
      <c r="DB436" t="s">
        <v>4569</v>
      </c>
      <c r="DC436" t="s">
        <v>4569</v>
      </c>
      <c r="FF436" t="s">
        <v>4569</v>
      </c>
      <c r="FS436" t="s">
        <v>1321</v>
      </c>
      <c r="FT436" t="s">
        <v>1321</v>
      </c>
    </row>
    <row r="437" spans="1:183" x14ac:dyDescent="0.2">
      <c r="A437" t="str">
        <f t="shared" si="16"/>
        <v>Herbeirufung der Diener des Herrn</v>
      </c>
    </row>
    <row r="438" spans="1:183" x14ac:dyDescent="0.2">
      <c r="A438" t="str">
        <f t="shared" si="16"/>
        <v>Hilfe in der Not</v>
      </c>
      <c r="G438" t="s">
        <v>1321</v>
      </c>
      <c r="AS438" t="s">
        <v>4569</v>
      </c>
      <c r="AT438" t="s">
        <v>4569</v>
      </c>
      <c r="AU438" t="s">
        <v>4569</v>
      </c>
      <c r="AV438" t="s">
        <v>4569</v>
      </c>
      <c r="BH438" t="s">
        <v>1321</v>
      </c>
      <c r="BI438" t="s">
        <v>1321</v>
      </c>
      <c r="BJ438" t="s">
        <v>4569</v>
      </c>
      <c r="BK438" t="s">
        <v>4569</v>
      </c>
      <c r="BM438" t="s">
        <v>4569</v>
      </c>
      <c r="BN438" t="s">
        <v>4569</v>
      </c>
      <c r="BO438" t="s">
        <v>4569</v>
      </c>
      <c r="BP438" t="s">
        <v>4569</v>
      </c>
      <c r="BQ438" t="s">
        <v>4569</v>
      </c>
      <c r="BR438" t="s">
        <v>4569</v>
      </c>
      <c r="BS438" t="s">
        <v>4569</v>
      </c>
      <c r="DA438" t="s">
        <v>4569</v>
      </c>
      <c r="DB438" t="s">
        <v>4569</v>
      </c>
      <c r="DC438" t="s">
        <v>4569</v>
      </c>
      <c r="EI438" t="s">
        <v>1321</v>
      </c>
      <c r="FF438" t="s">
        <v>4569</v>
      </c>
    </row>
    <row r="439" spans="1:183" x14ac:dyDescent="0.2">
      <c r="A439" t="str">
        <f t="shared" si="16"/>
        <v>Initiation</v>
      </c>
      <c r="C439" t="s">
        <v>1321</v>
      </c>
      <c r="D439" t="s">
        <v>1321</v>
      </c>
      <c r="E439" t="s">
        <v>1321</v>
      </c>
      <c r="F439" t="s">
        <v>1321</v>
      </c>
      <c r="G439" t="s">
        <v>1321</v>
      </c>
      <c r="H439" t="s">
        <v>1752</v>
      </c>
      <c r="I439" t="s">
        <v>1752</v>
      </c>
      <c r="J439" t="s">
        <v>1752</v>
      </c>
      <c r="K439" t="s">
        <v>1752</v>
      </c>
      <c r="L439" t="s">
        <v>1752</v>
      </c>
      <c r="M439" t="s">
        <v>1752</v>
      </c>
      <c r="N439" t="s">
        <v>1752</v>
      </c>
      <c r="O439" t="s">
        <v>1752</v>
      </c>
      <c r="P439" t="s">
        <v>1752</v>
      </c>
      <c r="Q439" t="s">
        <v>1752</v>
      </c>
      <c r="R439" t="s">
        <v>1752</v>
      </c>
      <c r="S439" t="s">
        <v>1752</v>
      </c>
      <c r="T439" t="s">
        <v>1752</v>
      </c>
      <c r="U439" t="s">
        <v>1752</v>
      </c>
      <c r="V439" t="s">
        <v>1752</v>
      </c>
      <c r="W439" t="s">
        <v>1752</v>
      </c>
      <c r="X439" t="s">
        <v>1752</v>
      </c>
      <c r="Y439" t="s">
        <v>1752</v>
      </c>
      <c r="Z439" t="s">
        <v>1752</v>
      </c>
      <c r="AA439" t="s">
        <v>1752</v>
      </c>
      <c r="AB439" t="s">
        <v>1752</v>
      </c>
      <c r="AC439" t="s">
        <v>1752</v>
      </c>
      <c r="AD439" t="s">
        <v>1752</v>
      </c>
      <c r="AE439" t="s">
        <v>1752</v>
      </c>
      <c r="AG439" t="s">
        <v>1321</v>
      </c>
      <c r="AI439" t="s">
        <v>1752</v>
      </c>
      <c r="AO439" t="s">
        <v>1752</v>
      </c>
      <c r="AP439" t="s">
        <v>1752</v>
      </c>
      <c r="AQ439" t="s">
        <v>1752</v>
      </c>
      <c r="AR439" t="s">
        <v>1752</v>
      </c>
      <c r="AS439" t="s">
        <v>1752</v>
      </c>
      <c r="AT439" t="s">
        <v>1752</v>
      </c>
      <c r="AU439" t="s">
        <v>1752</v>
      </c>
      <c r="AV439" t="s">
        <v>1752</v>
      </c>
      <c r="AZ439" t="s">
        <v>1752</v>
      </c>
      <c r="BA439" t="s">
        <v>1752</v>
      </c>
      <c r="BB439" t="s">
        <v>1752</v>
      </c>
      <c r="BC439" t="s">
        <v>1752</v>
      </c>
      <c r="BD439" t="s">
        <v>1321</v>
      </c>
      <c r="BG439" t="s">
        <v>1752</v>
      </c>
      <c r="BH439" t="s">
        <v>1321</v>
      </c>
      <c r="BI439" t="s">
        <v>1321</v>
      </c>
      <c r="BJ439" t="s">
        <v>1752</v>
      </c>
      <c r="BK439" t="s">
        <v>1752</v>
      </c>
      <c r="BL439" t="s">
        <v>1321</v>
      </c>
      <c r="BM439" t="s">
        <v>1321</v>
      </c>
      <c r="BN439" t="s">
        <v>1321</v>
      </c>
      <c r="BO439" t="s">
        <v>1321</v>
      </c>
      <c r="BP439" t="s">
        <v>1321</v>
      </c>
      <c r="BQ439" t="s">
        <v>1752</v>
      </c>
      <c r="BR439" t="s">
        <v>1752</v>
      </c>
      <c r="BS439" t="s">
        <v>1752</v>
      </c>
      <c r="BT439" t="s">
        <v>1752</v>
      </c>
      <c r="BU439" t="s">
        <v>1321</v>
      </c>
      <c r="BV439" t="s">
        <v>1321</v>
      </c>
      <c r="BW439" t="s">
        <v>1321</v>
      </c>
      <c r="BX439" t="s">
        <v>1321</v>
      </c>
      <c r="BY439" t="s">
        <v>1321</v>
      </c>
      <c r="BZ439" t="s">
        <v>1321</v>
      </c>
      <c r="CA439" t="s">
        <v>1752</v>
      </c>
      <c r="CB439" t="s">
        <v>1752</v>
      </c>
      <c r="CC439" t="s">
        <v>1321</v>
      </c>
      <c r="CE439" t="s">
        <v>1321</v>
      </c>
      <c r="CF439" t="s">
        <v>1752</v>
      </c>
      <c r="CG439" t="s">
        <v>1752</v>
      </c>
      <c r="CH439" t="s">
        <v>1752</v>
      </c>
      <c r="CI439" t="s">
        <v>1752</v>
      </c>
      <c r="CL439" t="s">
        <v>1752</v>
      </c>
      <c r="CM439" t="s">
        <v>1752</v>
      </c>
      <c r="CN439" t="s">
        <v>1752</v>
      </c>
      <c r="CO439" t="s">
        <v>1752</v>
      </c>
      <c r="CP439" t="s">
        <v>1752</v>
      </c>
      <c r="CV439" t="s">
        <v>1752</v>
      </c>
      <c r="CW439" t="s">
        <v>1752</v>
      </c>
      <c r="CX439" t="s">
        <v>1752</v>
      </c>
      <c r="CY439" t="s">
        <v>1752</v>
      </c>
      <c r="DA439" t="s">
        <v>1752</v>
      </c>
      <c r="DB439" t="s">
        <v>1752</v>
      </c>
      <c r="DC439" t="s">
        <v>1752</v>
      </c>
      <c r="DD439" t="s">
        <v>1752</v>
      </c>
      <c r="EH439" t="s">
        <v>1321</v>
      </c>
      <c r="EI439" t="s">
        <v>1321</v>
      </c>
      <c r="EJ439" t="s">
        <v>1321</v>
      </c>
      <c r="EK439" t="s">
        <v>1321</v>
      </c>
      <c r="EL439" t="s">
        <v>1321</v>
      </c>
      <c r="EM439" t="s">
        <v>1321</v>
      </c>
      <c r="EN439" t="s">
        <v>1321</v>
      </c>
      <c r="EO439" t="s">
        <v>1321</v>
      </c>
      <c r="EP439" t="s">
        <v>1321</v>
      </c>
      <c r="EQ439" t="s">
        <v>1321</v>
      </c>
      <c r="ER439" t="s">
        <v>1321</v>
      </c>
      <c r="ET439" t="s">
        <v>1321</v>
      </c>
      <c r="EU439" t="s">
        <v>1321</v>
      </c>
      <c r="EV439" t="s">
        <v>1321</v>
      </c>
      <c r="EX439" t="s">
        <v>1321</v>
      </c>
      <c r="EZ439" t="s">
        <v>1321</v>
      </c>
      <c r="FA439" t="s">
        <v>1321</v>
      </c>
      <c r="FE439" t="s">
        <v>1321</v>
      </c>
      <c r="FF439" t="s">
        <v>1321</v>
      </c>
      <c r="FG439" t="s">
        <v>1321</v>
      </c>
      <c r="FH439" t="s">
        <v>1321</v>
      </c>
      <c r="FI439" t="s">
        <v>1321</v>
      </c>
      <c r="FJ439" t="s">
        <v>1321</v>
      </c>
      <c r="FK439" t="s">
        <v>1321</v>
      </c>
      <c r="FL439" t="s">
        <v>1321</v>
      </c>
      <c r="FM439" t="s">
        <v>1321</v>
      </c>
      <c r="FN439" t="s">
        <v>1321</v>
      </c>
      <c r="FO439" t="s">
        <v>1321</v>
      </c>
      <c r="FP439" t="s">
        <v>1321</v>
      </c>
      <c r="FQ439" t="s">
        <v>1321</v>
      </c>
      <c r="FR439" t="s">
        <v>1321</v>
      </c>
      <c r="FS439" t="s">
        <v>1321</v>
      </c>
      <c r="FT439" t="s">
        <v>1321</v>
      </c>
      <c r="FU439" t="s">
        <v>1321</v>
      </c>
      <c r="FW439" t="s">
        <v>1321</v>
      </c>
      <c r="FX439" t="s">
        <v>1321</v>
      </c>
      <c r="FY439" t="s">
        <v>1321</v>
      </c>
      <c r="FZ439" t="s">
        <v>1321</v>
      </c>
      <c r="GA439" t="s">
        <v>1321</v>
      </c>
    </row>
    <row r="440" spans="1:183" x14ac:dyDescent="0.2">
      <c r="A440" t="str">
        <f t="shared" si="16"/>
        <v>Kirschblütenregen</v>
      </c>
      <c r="AS440" t="s">
        <v>4569</v>
      </c>
      <c r="AT440" t="s">
        <v>4569</v>
      </c>
      <c r="AU440" t="s">
        <v>4569</v>
      </c>
      <c r="AV440" t="s">
        <v>4569</v>
      </c>
      <c r="BJ440" t="s">
        <v>4569</v>
      </c>
      <c r="BK440" t="s">
        <v>4569</v>
      </c>
      <c r="BM440" t="s">
        <v>4569</v>
      </c>
      <c r="BN440" t="s">
        <v>4569</v>
      </c>
      <c r="BO440" t="s">
        <v>4569</v>
      </c>
      <c r="BP440" t="s">
        <v>4569</v>
      </c>
      <c r="BQ440" t="s">
        <v>4569</v>
      </c>
      <c r="BR440" t="s">
        <v>4569</v>
      </c>
      <c r="BS440" t="s">
        <v>4569</v>
      </c>
      <c r="DA440" t="s">
        <v>1752</v>
      </c>
      <c r="DB440" t="s">
        <v>1752</v>
      </c>
      <c r="DC440" t="s">
        <v>1752</v>
      </c>
      <c r="FF440" t="s">
        <v>4569</v>
      </c>
      <c r="GA440" t="s">
        <v>1321</v>
      </c>
    </row>
    <row r="441" spans="1:183" x14ac:dyDescent="0.2">
      <c r="A441" t="str">
        <f t="shared" si="16"/>
        <v>Kleine Liturgie des Heiligen Nemekath</v>
      </c>
      <c r="I441" t="s">
        <v>1321</v>
      </c>
      <c r="K441" t="s">
        <v>1321</v>
      </c>
      <c r="L441" t="s">
        <v>1321</v>
      </c>
      <c r="M441" t="s">
        <v>1321</v>
      </c>
      <c r="N441" t="s">
        <v>1321</v>
      </c>
      <c r="O441" t="s">
        <v>1321</v>
      </c>
      <c r="P441" t="s">
        <v>1321</v>
      </c>
      <c r="Q441" t="s">
        <v>1321</v>
      </c>
      <c r="R441" t="s">
        <v>1321</v>
      </c>
      <c r="S441" t="s">
        <v>1321</v>
      </c>
      <c r="AS441" t="s">
        <v>4569</v>
      </c>
      <c r="AT441" t="s">
        <v>4569</v>
      </c>
      <c r="AU441" t="s">
        <v>4569</v>
      </c>
      <c r="AV441" t="s">
        <v>4569</v>
      </c>
      <c r="BJ441" t="s">
        <v>4569</v>
      </c>
      <c r="BK441" t="s">
        <v>4569</v>
      </c>
      <c r="BM441" t="s">
        <v>4569</v>
      </c>
      <c r="BN441" t="s">
        <v>4569</v>
      </c>
      <c r="BO441" t="s">
        <v>4569</v>
      </c>
      <c r="BP441" t="s">
        <v>4569</v>
      </c>
      <c r="BQ441" t="s">
        <v>4569</v>
      </c>
      <c r="BR441" t="s">
        <v>4569</v>
      </c>
      <c r="BS441" t="s">
        <v>4569</v>
      </c>
      <c r="DA441" t="s">
        <v>4569</v>
      </c>
      <c r="DB441" t="s">
        <v>4569</v>
      </c>
      <c r="DC441" t="s">
        <v>4569</v>
      </c>
      <c r="EJ441" t="s">
        <v>1321</v>
      </c>
      <c r="EO441" t="s">
        <v>1321</v>
      </c>
      <c r="FF441" t="s">
        <v>4569</v>
      </c>
    </row>
    <row r="442" spans="1:183" x14ac:dyDescent="0.2">
      <c r="A442" t="str">
        <f t="shared" si="16"/>
        <v>Kleine Segnung des Heimsteins</v>
      </c>
      <c r="AS442" t="s">
        <v>4569</v>
      </c>
      <c r="AT442" t="s">
        <v>4569</v>
      </c>
      <c r="AU442" t="s">
        <v>4569</v>
      </c>
      <c r="AV442" t="s">
        <v>4569</v>
      </c>
      <c r="BJ442" t="s">
        <v>4569</v>
      </c>
      <c r="BK442" t="s">
        <v>4569</v>
      </c>
      <c r="BM442" t="s">
        <v>4569</v>
      </c>
      <c r="BN442" t="s">
        <v>4569</v>
      </c>
      <c r="BO442" t="s">
        <v>4569</v>
      </c>
      <c r="BP442" t="s">
        <v>4569</v>
      </c>
      <c r="BQ442" t="s">
        <v>4569</v>
      </c>
      <c r="BR442" t="s">
        <v>4569</v>
      </c>
      <c r="BS442" t="s">
        <v>4569</v>
      </c>
      <c r="CX442" t="s">
        <v>1752</v>
      </c>
      <c r="CY442" t="s">
        <v>1752</v>
      </c>
      <c r="DA442" t="s">
        <v>4569</v>
      </c>
      <c r="DB442" t="s">
        <v>4569</v>
      </c>
      <c r="DC442" t="s">
        <v>4569</v>
      </c>
      <c r="FF442" t="s">
        <v>4569</v>
      </c>
      <c r="FX442" t="s">
        <v>1321</v>
      </c>
      <c r="FY442" t="s">
        <v>1321</v>
      </c>
      <c r="FZ442" t="s">
        <v>1321</v>
      </c>
    </row>
    <row r="443" spans="1:183" x14ac:dyDescent="0.2">
      <c r="A443" t="str">
        <f t="shared" si="16"/>
        <v>Kleiner Giftbann</v>
      </c>
      <c r="AS443" t="s">
        <v>4569</v>
      </c>
      <c r="AT443" t="s">
        <v>4569</v>
      </c>
      <c r="AU443" t="s">
        <v>4569</v>
      </c>
      <c r="AV443" t="s">
        <v>4569</v>
      </c>
      <c r="BJ443" t="s">
        <v>4569</v>
      </c>
      <c r="BK443" t="s">
        <v>4569</v>
      </c>
      <c r="BM443" t="s">
        <v>4569</v>
      </c>
      <c r="BN443" t="s">
        <v>4569</v>
      </c>
      <c r="BO443" t="s">
        <v>4569</v>
      </c>
      <c r="BP443" t="s">
        <v>4569</v>
      </c>
      <c r="BQ443" t="s">
        <v>1752</v>
      </c>
      <c r="BR443" t="s">
        <v>1752</v>
      </c>
      <c r="BS443" t="s">
        <v>1752</v>
      </c>
      <c r="DA443" t="s">
        <v>4569</v>
      </c>
      <c r="DB443" t="s">
        <v>4569</v>
      </c>
      <c r="DC443" t="s">
        <v>4569</v>
      </c>
      <c r="FF443" t="s">
        <v>4569</v>
      </c>
      <c r="FI443" t="s">
        <v>1321</v>
      </c>
      <c r="FJ443" t="s">
        <v>1321</v>
      </c>
    </row>
    <row r="444" spans="1:183" x14ac:dyDescent="0.2">
      <c r="A444" t="str">
        <f t="shared" si="16"/>
        <v>Kräutersegen des Heiligen Nemekath</v>
      </c>
      <c r="I444" t="s">
        <v>1752</v>
      </c>
      <c r="J444" t="s">
        <v>1321</v>
      </c>
      <c r="K444" t="s">
        <v>1752</v>
      </c>
      <c r="L444" t="s">
        <v>1752</v>
      </c>
      <c r="M444" t="s">
        <v>1752</v>
      </c>
      <c r="N444" t="s">
        <v>1752</v>
      </c>
      <c r="O444" t="s">
        <v>1752</v>
      </c>
      <c r="P444" t="s">
        <v>1752</v>
      </c>
      <c r="Q444" t="s">
        <v>1752</v>
      </c>
      <c r="R444" t="s">
        <v>1752</v>
      </c>
      <c r="S444" t="s">
        <v>1752</v>
      </c>
      <c r="T444" t="s">
        <v>1321</v>
      </c>
      <c r="U444" t="s">
        <v>1321</v>
      </c>
      <c r="V444" t="s">
        <v>1321</v>
      </c>
      <c r="W444" t="s">
        <v>1321</v>
      </c>
      <c r="X444" t="s">
        <v>1321</v>
      </c>
      <c r="Y444" t="s">
        <v>1321</v>
      </c>
      <c r="Z444" t="s">
        <v>1321</v>
      </c>
      <c r="AA444" t="s">
        <v>1321</v>
      </c>
      <c r="AB444" t="s">
        <v>1321</v>
      </c>
      <c r="AC444" t="s">
        <v>1321</v>
      </c>
      <c r="AD444" t="s">
        <v>1321</v>
      </c>
      <c r="AE444" t="s">
        <v>1321</v>
      </c>
      <c r="AG444" t="s">
        <v>1321</v>
      </c>
      <c r="AI444" t="s">
        <v>1321</v>
      </c>
      <c r="AS444" t="s">
        <v>4569</v>
      </c>
      <c r="AT444" t="s">
        <v>4569</v>
      </c>
      <c r="AU444" t="s">
        <v>4569</v>
      </c>
      <c r="AV444" t="s">
        <v>4569</v>
      </c>
      <c r="BJ444" t="s">
        <v>4569</v>
      </c>
      <c r="BK444" t="s">
        <v>4569</v>
      </c>
      <c r="BM444" t="s">
        <v>4569</v>
      </c>
      <c r="BN444" t="s">
        <v>4569</v>
      </c>
      <c r="BO444" t="s">
        <v>4569</v>
      </c>
      <c r="BP444" t="s">
        <v>4569</v>
      </c>
      <c r="BQ444" t="s">
        <v>4569</v>
      </c>
      <c r="BR444" t="s">
        <v>4569</v>
      </c>
      <c r="BS444" t="s">
        <v>4569</v>
      </c>
      <c r="DA444" t="s">
        <v>4569</v>
      </c>
      <c r="DB444" t="s">
        <v>4569</v>
      </c>
      <c r="DC444" t="s">
        <v>4569</v>
      </c>
      <c r="FF444" t="s">
        <v>4569</v>
      </c>
    </row>
    <row r="445" spans="1:183" x14ac:dyDescent="0.2">
      <c r="A445" t="str">
        <f t="shared" si="16"/>
        <v>Licht des verborgenen Pfades</v>
      </c>
      <c r="C445" t="s">
        <v>1752</v>
      </c>
      <c r="D445" t="s">
        <v>1752</v>
      </c>
      <c r="E445" t="s">
        <v>1752</v>
      </c>
      <c r="F445" t="s">
        <v>1752</v>
      </c>
      <c r="AS445" t="s">
        <v>4569</v>
      </c>
      <c r="AT445" t="s">
        <v>4569</v>
      </c>
      <c r="AU445" t="s">
        <v>4569</v>
      </c>
      <c r="AV445" t="s">
        <v>4569</v>
      </c>
      <c r="BJ445" t="s">
        <v>1321</v>
      </c>
      <c r="BK445" t="s">
        <v>1321</v>
      </c>
      <c r="BM445" t="s">
        <v>4569</v>
      </c>
      <c r="BN445" t="s">
        <v>4569</v>
      </c>
      <c r="BO445" t="s">
        <v>4569</v>
      </c>
      <c r="BP445" t="s">
        <v>4569</v>
      </c>
      <c r="BQ445" t="s">
        <v>4569</v>
      </c>
      <c r="BR445" t="s">
        <v>4569</v>
      </c>
      <c r="BS445" t="s">
        <v>4569</v>
      </c>
      <c r="DA445" t="s">
        <v>4569</v>
      </c>
      <c r="DB445" t="s">
        <v>4569</v>
      </c>
      <c r="DC445" t="s">
        <v>4569</v>
      </c>
      <c r="DW445" t="s">
        <v>1321</v>
      </c>
      <c r="EH445" t="s">
        <v>1321</v>
      </c>
      <c r="FE445" t="s">
        <v>1321</v>
      </c>
      <c r="FF445" t="s">
        <v>1321</v>
      </c>
    </row>
    <row r="446" spans="1:183" x14ac:dyDescent="0.2">
      <c r="A446" t="str">
        <f t="shared" si="16"/>
        <v>Lohn des Unverzagten</v>
      </c>
      <c r="AS446" t="s">
        <v>4569</v>
      </c>
      <c r="AT446" t="s">
        <v>4569</v>
      </c>
      <c r="AU446" t="s">
        <v>4569</v>
      </c>
      <c r="AV446" t="s">
        <v>4569</v>
      </c>
      <c r="BJ446" t="s">
        <v>4569</v>
      </c>
      <c r="BK446" t="s">
        <v>4569</v>
      </c>
      <c r="BM446" t="s">
        <v>4569</v>
      </c>
      <c r="BN446" t="s">
        <v>4569</v>
      </c>
      <c r="BO446" t="s">
        <v>4569</v>
      </c>
      <c r="BP446" t="s">
        <v>4569</v>
      </c>
      <c r="BQ446" t="s">
        <v>1321</v>
      </c>
      <c r="BR446" t="s">
        <v>1752</v>
      </c>
      <c r="BS446" t="s">
        <v>1752</v>
      </c>
      <c r="CX446" t="s">
        <v>1321</v>
      </c>
      <c r="CY446" t="s">
        <v>1321</v>
      </c>
      <c r="DA446" t="s">
        <v>4569</v>
      </c>
      <c r="DB446" t="s">
        <v>4569</v>
      </c>
      <c r="DC446" t="s">
        <v>4569</v>
      </c>
      <c r="FF446" t="s">
        <v>4569</v>
      </c>
      <c r="FI446" t="s">
        <v>1321</v>
      </c>
      <c r="FJ446" t="s">
        <v>1321</v>
      </c>
      <c r="FX446" t="s">
        <v>1321</v>
      </c>
      <c r="FY446" t="s">
        <v>1321</v>
      </c>
      <c r="FZ446" t="s">
        <v>1321</v>
      </c>
    </row>
    <row r="447" spans="1:183" x14ac:dyDescent="0.2">
      <c r="A447" t="str">
        <f t="shared" si="16"/>
        <v>Marbos Geisterblick</v>
      </c>
      <c r="J447" t="s">
        <v>1321</v>
      </c>
      <c r="T447" t="s">
        <v>1321</v>
      </c>
      <c r="U447" t="s">
        <v>1321</v>
      </c>
      <c r="V447" t="s">
        <v>1321</v>
      </c>
      <c r="W447" t="s">
        <v>1321</v>
      </c>
      <c r="X447" t="s">
        <v>1321</v>
      </c>
      <c r="Y447" t="s">
        <v>1321</v>
      </c>
      <c r="Z447" t="s">
        <v>1321</v>
      </c>
      <c r="AA447" t="s">
        <v>1321</v>
      </c>
      <c r="AB447" t="s">
        <v>1321</v>
      </c>
      <c r="AC447" t="s">
        <v>1321</v>
      </c>
      <c r="AD447" t="s">
        <v>1321</v>
      </c>
      <c r="AE447" t="s">
        <v>1321</v>
      </c>
      <c r="AG447" t="s">
        <v>1321</v>
      </c>
      <c r="AI447" t="s">
        <v>1321</v>
      </c>
      <c r="AS447" t="s">
        <v>4569</v>
      </c>
      <c r="AT447" t="s">
        <v>4569</v>
      </c>
      <c r="AU447" t="s">
        <v>4569</v>
      </c>
      <c r="AV447" t="s">
        <v>4569</v>
      </c>
      <c r="BJ447" t="s">
        <v>4569</v>
      </c>
      <c r="BK447" t="s">
        <v>4569</v>
      </c>
      <c r="BM447" t="s">
        <v>4569</v>
      </c>
      <c r="BN447" t="s">
        <v>4569</v>
      </c>
      <c r="BO447" t="s">
        <v>4569</v>
      </c>
      <c r="BP447" t="s">
        <v>4569</v>
      </c>
      <c r="BQ447" t="s">
        <v>4569</v>
      </c>
      <c r="BR447" t="s">
        <v>4569</v>
      </c>
      <c r="BS447" t="s">
        <v>4569</v>
      </c>
      <c r="DA447" t="s">
        <v>4569</v>
      </c>
      <c r="DB447" t="s">
        <v>4569</v>
      </c>
      <c r="DC447" t="s">
        <v>4569</v>
      </c>
      <c r="EK447" t="s">
        <v>1321</v>
      </c>
      <c r="EL447" t="s">
        <v>1321</v>
      </c>
      <c r="EM447" t="s">
        <v>1321</v>
      </c>
      <c r="EN447" t="s">
        <v>1321</v>
      </c>
      <c r="EP447" t="s">
        <v>1321</v>
      </c>
      <c r="EQ447" t="s">
        <v>1321</v>
      </c>
      <c r="ER447" t="s">
        <v>1321</v>
      </c>
      <c r="FF447" t="s">
        <v>4569</v>
      </c>
    </row>
    <row r="448" spans="1:183" x14ac:dyDescent="0.2">
      <c r="A448" t="str">
        <f t="shared" si="16"/>
        <v>Namenlose Kälte</v>
      </c>
      <c r="I448" t="s">
        <v>1321</v>
      </c>
      <c r="K448" t="s">
        <v>1321</v>
      </c>
      <c r="L448" t="s">
        <v>1321</v>
      </c>
      <c r="M448" t="s">
        <v>1321</v>
      </c>
      <c r="N448" t="s">
        <v>1321</v>
      </c>
      <c r="O448" t="s">
        <v>1321</v>
      </c>
      <c r="P448" t="s">
        <v>1321</v>
      </c>
      <c r="Q448" t="s">
        <v>1321</v>
      </c>
      <c r="R448" t="s">
        <v>1321</v>
      </c>
      <c r="S448" t="s">
        <v>1321</v>
      </c>
      <c r="AS448" t="s">
        <v>4569</v>
      </c>
      <c r="AT448" t="s">
        <v>4569</v>
      </c>
      <c r="AU448" t="s">
        <v>4569</v>
      </c>
      <c r="AV448" t="s">
        <v>4569</v>
      </c>
      <c r="BJ448" t="s">
        <v>4569</v>
      </c>
      <c r="BK448" t="s">
        <v>4569</v>
      </c>
      <c r="BM448" t="s">
        <v>4569</v>
      </c>
      <c r="BN448" t="s">
        <v>4569</v>
      </c>
      <c r="BO448" t="s">
        <v>4569</v>
      </c>
      <c r="BP448" t="s">
        <v>4569</v>
      </c>
      <c r="BQ448" t="s">
        <v>4569</v>
      </c>
      <c r="BR448" t="s">
        <v>4569</v>
      </c>
      <c r="BS448" t="s">
        <v>4569</v>
      </c>
      <c r="DA448" t="s">
        <v>4569</v>
      </c>
      <c r="DB448" t="s">
        <v>4569</v>
      </c>
      <c r="DC448" t="s">
        <v>4569</v>
      </c>
      <c r="EJ448" t="s">
        <v>1321</v>
      </c>
      <c r="EO448" t="s">
        <v>1321</v>
      </c>
      <c r="FF448" t="s">
        <v>4569</v>
      </c>
    </row>
    <row r="449" spans="1:183" x14ac:dyDescent="0.2">
      <c r="A449" t="str">
        <f t="shared" si="16"/>
        <v>Namenlose Raserei</v>
      </c>
    </row>
    <row r="450" spans="1:183" x14ac:dyDescent="0.2">
      <c r="A450" t="str">
        <f t="shared" si="16"/>
        <v>Nemekaths Geisterblick</v>
      </c>
    </row>
    <row r="451" spans="1:183" x14ac:dyDescent="0.2">
      <c r="A451" t="str">
        <f t="shared" si="16"/>
        <v>Nimmermüde Wanderschaft</v>
      </c>
      <c r="G451" t="s">
        <v>1752</v>
      </c>
      <c r="AS451" t="s">
        <v>4569</v>
      </c>
      <c r="AT451" t="s">
        <v>4569</v>
      </c>
      <c r="AU451" t="s">
        <v>4569</v>
      </c>
      <c r="AV451" t="s">
        <v>4569</v>
      </c>
      <c r="BJ451" t="s">
        <v>4569</v>
      </c>
      <c r="BK451" t="s">
        <v>4569</v>
      </c>
      <c r="BM451" t="s">
        <v>4569</v>
      </c>
      <c r="BN451" t="s">
        <v>4569</v>
      </c>
      <c r="BO451" t="s">
        <v>4569</v>
      </c>
      <c r="BP451" t="s">
        <v>4569</v>
      </c>
      <c r="BQ451" t="s">
        <v>4569</v>
      </c>
      <c r="BR451" t="s">
        <v>4569</v>
      </c>
      <c r="BS451" t="s">
        <v>4569</v>
      </c>
      <c r="DA451" t="s">
        <v>4569</v>
      </c>
      <c r="DB451" t="s">
        <v>4569</v>
      </c>
      <c r="DC451" t="s">
        <v>4569</v>
      </c>
      <c r="EI451" t="s">
        <v>1321</v>
      </c>
      <c r="FF451" t="s">
        <v>4569</v>
      </c>
    </row>
    <row r="452" spans="1:183" x14ac:dyDescent="0.2">
      <c r="A452" t="str">
        <f t="shared" si="16"/>
        <v>Objektweihe</v>
      </c>
      <c r="C452" t="s">
        <v>1321</v>
      </c>
      <c r="D452" t="s">
        <v>1321</v>
      </c>
      <c r="E452" t="s">
        <v>1321</v>
      </c>
      <c r="F452" t="s">
        <v>1321</v>
      </c>
      <c r="G452" t="s">
        <v>1321</v>
      </c>
      <c r="I452" t="s">
        <v>1321</v>
      </c>
      <c r="J452" t="s">
        <v>1321</v>
      </c>
      <c r="K452" t="s">
        <v>1321</v>
      </c>
      <c r="L452" t="s">
        <v>1321</v>
      </c>
      <c r="M452" t="s">
        <v>1321</v>
      </c>
      <c r="N452" t="s">
        <v>1321</v>
      </c>
      <c r="O452" t="s">
        <v>1321</v>
      </c>
      <c r="P452" t="s">
        <v>1321</v>
      </c>
      <c r="Q452" t="s">
        <v>1321</v>
      </c>
      <c r="R452" t="s">
        <v>1321</v>
      </c>
      <c r="S452" t="s">
        <v>1321</v>
      </c>
      <c r="T452" t="s">
        <v>1321</v>
      </c>
      <c r="U452" t="s">
        <v>1321</v>
      </c>
      <c r="V452" t="s">
        <v>1321</v>
      </c>
      <c r="W452" t="s">
        <v>1321</v>
      </c>
      <c r="X452" t="s">
        <v>1321</v>
      </c>
      <c r="Y452" t="s">
        <v>1321</v>
      </c>
      <c r="Z452" t="s">
        <v>1321</v>
      </c>
      <c r="AA452" t="s">
        <v>1321</v>
      </c>
      <c r="AB452" t="s">
        <v>1321</v>
      </c>
      <c r="AC452" t="s">
        <v>1321</v>
      </c>
      <c r="AD452" t="s">
        <v>1321</v>
      </c>
      <c r="AE452" t="s">
        <v>1321</v>
      </c>
      <c r="AG452" t="s">
        <v>1321</v>
      </c>
      <c r="AI452" t="s">
        <v>1321</v>
      </c>
      <c r="AO452" t="s">
        <v>4588</v>
      </c>
      <c r="AP452" t="s">
        <v>4588</v>
      </c>
      <c r="AQ452" t="s">
        <v>4588</v>
      </c>
      <c r="AR452" t="s">
        <v>4588</v>
      </c>
      <c r="AS452" t="s">
        <v>1321</v>
      </c>
      <c r="AT452" t="s">
        <v>1321</v>
      </c>
      <c r="AU452" t="s">
        <v>1321</v>
      </c>
      <c r="AV452" t="s">
        <v>1321</v>
      </c>
      <c r="AZ452" t="s">
        <v>1321</v>
      </c>
      <c r="BA452" t="s">
        <v>1321</v>
      </c>
      <c r="BB452" t="s">
        <v>1321</v>
      </c>
      <c r="BC452" t="s">
        <v>1321</v>
      </c>
      <c r="BD452" t="s">
        <v>1321</v>
      </c>
      <c r="BG452" t="s">
        <v>1321</v>
      </c>
      <c r="BH452" t="s">
        <v>1321</v>
      </c>
      <c r="BI452" t="s">
        <v>1321</v>
      </c>
      <c r="BJ452" t="s">
        <v>1752</v>
      </c>
      <c r="BK452" t="s">
        <v>1321</v>
      </c>
      <c r="BL452" t="s">
        <v>1321</v>
      </c>
      <c r="BM452" t="s">
        <v>1321</v>
      </c>
      <c r="BN452" t="s">
        <v>1321</v>
      </c>
      <c r="BO452" t="s">
        <v>1321</v>
      </c>
      <c r="BP452" t="s">
        <v>1321</v>
      </c>
      <c r="BQ452" t="s">
        <v>1321</v>
      </c>
      <c r="BR452" t="s">
        <v>1321</v>
      </c>
      <c r="BS452" t="s">
        <v>1321</v>
      </c>
      <c r="BT452" t="s">
        <v>1321</v>
      </c>
      <c r="BU452" t="s">
        <v>1321</v>
      </c>
      <c r="BV452" t="s">
        <v>1321</v>
      </c>
      <c r="BW452" t="s">
        <v>1321</v>
      </c>
      <c r="BX452" t="s">
        <v>1321</v>
      </c>
      <c r="BY452" t="s">
        <v>1321</v>
      </c>
      <c r="BZ452" t="s">
        <v>1321</v>
      </c>
      <c r="CA452" t="s">
        <v>1321</v>
      </c>
      <c r="CB452" t="s">
        <v>1321</v>
      </c>
      <c r="CC452" t="s">
        <v>1321</v>
      </c>
      <c r="CE452" t="s">
        <v>1321</v>
      </c>
      <c r="CF452" t="s">
        <v>1321</v>
      </c>
      <c r="CG452" t="s">
        <v>1321</v>
      </c>
      <c r="CH452" t="s">
        <v>1321</v>
      </c>
      <c r="CI452" t="s">
        <v>1321</v>
      </c>
      <c r="CL452" t="s">
        <v>1321</v>
      </c>
      <c r="CM452" t="s">
        <v>1321</v>
      </c>
      <c r="CN452" t="s">
        <v>4588</v>
      </c>
      <c r="CO452" t="s">
        <v>4588</v>
      </c>
      <c r="CP452" t="s">
        <v>4588</v>
      </c>
      <c r="CV452" t="s">
        <v>1321</v>
      </c>
      <c r="CW452" t="s">
        <v>1321</v>
      </c>
      <c r="CX452" t="s">
        <v>1321</v>
      </c>
      <c r="CY452" t="s">
        <v>1321</v>
      </c>
      <c r="DA452" t="s">
        <v>1321</v>
      </c>
      <c r="DB452" t="s">
        <v>1321</v>
      </c>
      <c r="DC452" t="s">
        <v>1321</v>
      </c>
      <c r="DD452" t="s">
        <v>1321</v>
      </c>
      <c r="DW452" t="s">
        <v>1752</v>
      </c>
      <c r="EH452" t="s">
        <v>1321</v>
      </c>
      <c r="EI452" t="s">
        <v>1321</v>
      </c>
      <c r="EJ452" t="s">
        <v>1321</v>
      </c>
      <c r="EK452" t="s">
        <v>1321</v>
      </c>
      <c r="EL452" t="s">
        <v>1321</v>
      </c>
      <c r="EM452" t="s">
        <v>1321</v>
      </c>
      <c r="EN452" t="s">
        <v>1321</v>
      </c>
      <c r="EO452" t="s">
        <v>1321</v>
      </c>
      <c r="EP452" t="s">
        <v>1321</v>
      </c>
      <c r="EQ452" t="s">
        <v>1321</v>
      </c>
      <c r="ER452" t="s">
        <v>1321</v>
      </c>
      <c r="ET452" t="s">
        <v>1321</v>
      </c>
      <c r="EU452" t="s">
        <v>1321</v>
      </c>
      <c r="EV452" t="s">
        <v>1321</v>
      </c>
      <c r="EX452" t="s">
        <v>1321</v>
      </c>
      <c r="EZ452" t="s">
        <v>1321</v>
      </c>
      <c r="FA452" t="s">
        <v>1321</v>
      </c>
      <c r="FE452" t="s">
        <v>1321</v>
      </c>
      <c r="FF452" t="s">
        <v>1321</v>
      </c>
      <c r="FG452" t="s">
        <v>1321</v>
      </c>
      <c r="FH452" t="s">
        <v>1321</v>
      </c>
      <c r="FI452" t="s">
        <v>1321</v>
      </c>
      <c r="FJ452" t="s">
        <v>1321</v>
      </c>
      <c r="FK452" t="s">
        <v>1321</v>
      </c>
      <c r="FL452" t="s">
        <v>1321</v>
      </c>
      <c r="FM452" t="s">
        <v>1321</v>
      </c>
      <c r="FN452" t="s">
        <v>1321</v>
      </c>
      <c r="FO452" t="s">
        <v>1321</v>
      </c>
      <c r="FP452" t="s">
        <v>1321</v>
      </c>
      <c r="FQ452" t="s">
        <v>1321</v>
      </c>
      <c r="FR452" t="s">
        <v>1321</v>
      </c>
      <c r="FS452" t="s">
        <v>1321</v>
      </c>
      <c r="FT452" t="s">
        <v>1321</v>
      </c>
      <c r="FU452" t="s">
        <v>1321</v>
      </c>
      <c r="FW452" t="s">
        <v>1321</v>
      </c>
      <c r="FX452" t="s">
        <v>1321</v>
      </c>
      <c r="FY452" t="s">
        <v>1321</v>
      </c>
      <c r="FZ452" t="s">
        <v>1321</v>
      </c>
      <c r="GA452" t="s">
        <v>1321</v>
      </c>
    </row>
    <row r="453" spans="1:183" x14ac:dyDescent="0.2">
      <c r="A453" t="str">
        <f t="shared" si="16"/>
        <v>Pech und Schwefel</v>
      </c>
    </row>
    <row r="454" spans="1:183" x14ac:dyDescent="0.2">
      <c r="A454" t="str">
        <f t="shared" si="16"/>
        <v>Peraines Pflanzengespür</v>
      </c>
      <c r="AS454" t="s">
        <v>4569</v>
      </c>
      <c r="AT454" t="s">
        <v>4569</v>
      </c>
      <c r="AU454" t="s">
        <v>4569</v>
      </c>
      <c r="AV454" t="s">
        <v>4569</v>
      </c>
      <c r="BJ454" t="s">
        <v>4569</v>
      </c>
      <c r="BK454" t="s">
        <v>4569</v>
      </c>
      <c r="BM454" t="s">
        <v>4569</v>
      </c>
      <c r="BN454" t="s">
        <v>4569</v>
      </c>
      <c r="BO454" t="s">
        <v>4569</v>
      </c>
      <c r="BP454" t="s">
        <v>4569</v>
      </c>
      <c r="BQ454" t="s">
        <v>1321</v>
      </c>
      <c r="BR454" t="s">
        <v>1321</v>
      </c>
      <c r="BS454" t="s">
        <v>1321</v>
      </c>
      <c r="DA454" t="s">
        <v>4569</v>
      </c>
      <c r="DB454" t="s">
        <v>4569</v>
      </c>
      <c r="DC454" t="s">
        <v>4569</v>
      </c>
      <c r="FF454" t="s">
        <v>4569</v>
      </c>
      <c r="FI454" t="s">
        <v>1321</v>
      </c>
      <c r="FJ454" t="s">
        <v>1321</v>
      </c>
    </row>
    <row r="455" spans="1:183" x14ac:dyDescent="0.2">
      <c r="A455" t="str">
        <f t="shared" si="16"/>
        <v>Phexens Kunstverstand</v>
      </c>
      <c r="AS455" t="s">
        <v>4569</v>
      </c>
      <c r="AT455" t="s">
        <v>4569</v>
      </c>
      <c r="AU455" t="s">
        <v>4569</v>
      </c>
      <c r="AV455" t="s">
        <v>4569</v>
      </c>
      <c r="BJ455" t="s">
        <v>4569</v>
      </c>
      <c r="BK455" t="s">
        <v>4569</v>
      </c>
      <c r="BM455" t="s">
        <v>4569</v>
      </c>
      <c r="BN455" t="s">
        <v>4569</v>
      </c>
      <c r="BO455" t="s">
        <v>4569</v>
      </c>
      <c r="BP455" t="s">
        <v>4569</v>
      </c>
      <c r="BQ455" t="s">
        <v>4569</v>
      </c>
      <c r="BR455" t="s">
        <v>4569</v>
      </c>
      <c r="BS455" t="s">
        <v>4569</v>
      </c>
      <c r="BT455" t="s">
        <v>1321</v>
      </c>
      <c r="BU455" t="s">
        <v>1321</v>
      </c>
      <c r="BV455" t="s">
        <v>1752</v>
      </c>
      <c r="BW455" t="s">
        <v>1752</v>
      </c>
      <c r="BX455" t="s">
        <v>1321</v>
      </c>
      <c r="BY455" t="s">
        <v>1321</v>
      </c>
      <c r="BZ455" t="s">
        <v>1321</v>
      </c>
      <c r="CA455" t="s">
        <v>1321</v>
      </c>
      <c r="DA455" t="s">
        <v>4569</v>
      </c>
      <c r="DB455" t="s">
        <v>4569</v>
      </c>
      <c r="DC455" t="s">
        <v>4569</v>
      </c>
      <c r="FF455" t="s">
        <v>4569</v>
      </c>
      <c r="FK455" t="s">
        <v>1321</v>
      </c>
      <c r="FL455" t="s">
        <v>1321</v>
      </c>
      <c r="FM455" t="s">
        <v>1321</v>
      </c>
      <c r="FN455" t="s">
        <v>1321</v>
      </c>
    </row>
    <row r="456" spans="1:183" x14ac:dyDescent="0.2">
      <c r="A456" t="str">
        <f t="shared" si="16"/>
        <v>Phexens Verteidigung</v>
      </c>
    </row>
    <row r="457" spans="1:183" x14ac:dyDescent="0.2">
      <c r="A457" t="str">
        <f t="shared" si="16"/>
        <v>Phexens wunderb. Verst.</v>
      </c>
      <c r="G457" t="s">
        <v>1321</v>
      </c>
      <c r="AS457" t="s">
        <v>4569</v>
      </c>
      <c r="AT457" t="s">
        <v>4569</v>
      </c>
      <c r="AU457" t="s">
        <v>4569</v>
      </c>
      <c r="AV457" t="s">
        <v>4569</v>
      </c>
      <c r="AZ457" t="s">
        <v>1321</v>
      </c>
      <c r="BA457" t="s">
        <v>1321</v>
      </c>
      <c r="BB457" t="s">
        <v>1321</v>
      </c>
      <c r="BC457" t="s">
        <v>1321</v>
      </c>
      <c r="BD457" t="s">
        <v>1321</v>
      </c>
      <c r="BJ457" t="s">
        <v>4569</v>
      </c>
      <c r="BK457" t="s">
        <v>4569</v>
      </c>
      <c r="BM457" t="s">
        <v>1321</v>
      </c>
      <c r="BN457" t="s">
        <v>1752</v>
      </c>
      <c r="BO457" t="s">
        <v>1321</v>
      </c>
      <c r="BP457" t="s">
        <v>1321</v>
      </c>
      <c r="BQ457" t="s">
        <v>4569</v>
      </c>
      <c r="BR457" t="s">
        <v>4569</v>
      </c>
      <c r="BS457" t="s">
        <v>4569</v>
      </c>
      <c r="BT457" t="s">
        <v>1321</v>
      </c>
      <c r="BU457" t="s">
        <v>1752</v>
      </c>
      <c r="BV457" t="s">
        <v>1321</v>
      </c>
      <c r="BW457" t="s">
        <v>1321</v>
      </c>
      <c r="BX457" t="s">
        <v>1752</v>
      </c>
      <c r="BY457" t="s">
        <v>1752</v>
      </c>
      <c r="BZ457" t="s">
        <v>1752</v>
      </c>
      <c r="CA457" t="s">
        <v>1321</v>
      </c>
      <c r="DA457" t="s">
        <v>4569</v>
      </c>
      <c r="DB457" t="s">
        <v>4569</v>
      </c>
      <c r="DC457" t="s">
        <v>4569</v>
      </c>
      <c r="EI457" t="s">
        <v>1321</v>
      </c>
      <c r="EX457" t="s">
        <v>1321</v>
      </c>
      <c r="EZ457" t="s">
        <v>1321</v>
      </c>
      <c r="FA457" t="s">
        <v>1321</v>
      </c>
      <c r="FF457" t="s">
        <v>4569</v>
      </c>
      <c r="FH457" t="s">
        <v>1321</v>
      </c>
      <c r="FK457" t="s">
        <v>1321</v>
      </c>
      <c r="FL457" t="s">
        <v>1321</v>
      </c>
      <c r="FM457" t="s">
        <v>1321</v>
      </c>
      <c r="FN457" t="s">
        <v>1321</v>
      </c>
    </row>
    <row r="458" spans="1:183" x14ac:dyDescent="0.2">
      <c r="A458" t="str">
        <f t="shared" si="16"/>
        <v>Rahjas Rauschsegen</v>
      </c>
      <c r="AS458" t="s">
        <v>4569</v>
      </c>
      <c r="AT458" t="s">
        <v>4569</v>
      </c>
      <c r="AU458" t="s">
        <v>4569</v>
      </c>
      <c r="AV458" t="s">
        <v>4569</v>
      </c>
      <c r="BJ458" t="s">
        <v>4569</v>
      </c>
      <c r="BK458" t="s">
        <v>4569</v>
      </c>
      <c r="BM458" t="s">
        <v>4569</v>
      </c>
      <c r="BN458" t="s">
        <v>4569</v>
      </c>
      <c r="BO458" t="s">
        <v>4569</v>
      </c>
      <c r="BP458" t="s">
        <v>4569</v>
      </c>
      <c r="BQ458" t="s">
        <v>4569</v>
      </c>
      <c r="BR458" t="s">
        <v>4569</v>
      </c>
      <c r="BS458" t="s">
        <v>4569</v>
      </c>
      <c r="CF458" t="s">
        <v>1752</v>
      </c>
      <c r="CG458" t="s">
        <v>1752</v>
      </c>
      <c r="CH458" t="s">
        <v>1752</v>
      </c>
      <c r="CI458" t="s">
        <v>1752</v>
      </c>
      <c r="CL458" t="s">
        <v>1752</v>
      </c>
      <c r="CM458" t="s">
        <v>1752</v>
      </c>
      <c r="DA458" t="s">
        <v>4569</v>
      </c>
      <c r="DB458" t="s">
        <v>4569</v>
      </c>
      <c r="DC458" t="s">
        <v>4569</v>
      </c>
      <c r="FF458" t="s">
        <v>4569</v>
      </c>
      <c r="FS458" t="s">
        <v>1321</v>
      </c>
      <c r="FT458" t="s">
        <v>1321</v>
      </c>
    </row>
    <row r="459" spans="1:183" x14ac:dyDescent="0.2">
      <c r="A459" t="str">
        <f t="shared" si="16"/>
        <v>Reisesegen</v>
      </c>
      <c r="G459" t="s">
        <v>1321</v>
      </c>
      <c r="AS459" t="s">
        <v>4569</v>
      </c>
      <c r="AT459" t="s">
        <v>4569</v>
      </c>
      <c r="AU459" t="s">
        <v>4569</v>
      </c>
      <c r="AV459" t="s">
        <v>4569</v>
      </c>
      <c r="BJ459" t="s">
        <v>4569</v>
      </c>
      <c r="BK459" t="s">
        <v>4569</v>
      </c>
      <c r="BM459" t="s">
        <v>4569</v>
      </c>
      <c r="BN459" t="s">
        <v>4569</v>
      </c>
      <c r="BO459" t="s">
        <v>4569</v>
      </c>
      <c r="BP459" t="s">
        <v>4569</v>
      </c>
      <c r="BQ459" t="s">
        <v>4569</v>
      </c>
      <c r="BR459" t="s">
        <v>4569</v>
      </c>
      <c r="BS459" t="s">
        <v>4569</v>
      </c>
      <c r="CX459" t="s">
        <v>1321</v>
      </c>
      <c r="CY459" t="s">
        <v>1321</v>
      </c>
      <c r="DA459" t="s">
        <v>4569</v>
      </c>
      <c r="DB459" t="s">
        <v>4569</v>
      </c>
      <c r="DC459" t="s">
        <v>4569</v>
      </c>
      <c r="EI459" t="s">
        <v>1321</v>
      </c>
      <c r="FF459" t="s">
        <v>4569</v>
      </c>
      <c r="FX459" t="s">
        <v>1321</v>
      </c>
      <c r="FY459" t="s">
        <v>1321</v>
      </c>
      <c r="FZ459" t="s">
        <v>1321</v>
      </c>
    </row>
    <row r="460" spans="1:183" x14ac:dyDescent="0.2">
      <c r="A460" t="str">
        <f t="shared" si="16"/>
        <v>Ruf der Ferne</v>
      </c>
    </row>
    <row r="461" spans="1:183" x14ac:dyDescent="0.2">
      <c r="A461" t="str">
        <f t="shared" si="16"/>
        <v>Ruf der Gefährten</v>
      </c>
      <c r="AO461" t="s">
        <v>1321</v>
      </c>
      <c r="AP461" t="s">
        <v>1321</v>
      </c>
      <c r="AQ461" t="s">
        <v>1321</v>
      </c>
      <c r="AR461" t="s">
        <v>1321</v>
      </c>
      <c r="AS461" t="s">
        <v>4569</v>
      </c>
      <c r="AT461" t="s">
        <v>4569</v>
      </c>
      <c r="AU461" t="s">
        <v>4569</v>
      </c>
      <c r="AV461" t="s">
        <v>4569</v>
      </c>
      <c r="BJ461" t="s">
        <v>4569</v>
      </c>
      <c r="BK461" t="s">
        <v>4569</v>
      </c>
      <c r="BM461" t="s">
        <v>4569</v>
      </c>
      <c r="BN461" t="s">
        <v>4569</v>
      </c>
      <c r="BO461" t="s">
        <v>4569</v>
      </c>
      <c r="BP461" t="s">
        <v>4569</v>
      </c>
      <c r="BQ461" t="s">
        <v>4569</v>
      </c>
      <c r="BR461" t="s">
        <v>4569</v>
      </c>
      <c r="BS461" t="s">
        <v>4569</v>
      </c>
      <c r="DA461" t="s">
        <v>4569</v>
      </c>
      <c r="DB461" t="s">
        <v>4569</v>
      </c>
      <c r="DC461" t="s">
        <v>4569</v>
      </c>
      <c r="ET461" t="s">
        <v>1321</v>
      </c>
      <c r="EU461" t="s">
        <v>1321</v>
      </c>
      <c r="FF461" t="s">
        <v>4569</v>
      </c>
    </row>
    <row r="462" spans="1:183" x14ac:dyDescent="0.2">
      <c r="A462" t="str">
        <f t="shared" si="16"/>
        <v xml:space="preserve">Ruf in Borons Arme </v>
      </c>
      <c r="H462" t="s">
        <v>4588</v>
      </c>
      <c r="I462" t="s">
        <v>4588</v>
      </c>
      <c r="J462" t="s">
        <v>4588</v>
      </c>
      <c r="K462" t="s">
        <v>4588</v>
      </c>
      <c r="L462" t="s">
        <v>4588</v>
      </c>
      <c r="M462" t="s">
        <v>4588</v>
      </c>
      <c r="N462" t="s">
        <v>4588</v>
      </c>
      <c r="O462" t="s">
        <v>4588</v>
      </c>
      <c r="P462" t="s">
        <v>4588</v>
      </c>
      <c r="Q462" t="s">
        <v>4588</v>
      </c>
      <c r="R462" t="s">
        <v>4588</v>
      </c>
      <c r="S462" t="s">
        <v>4588</v>
      </c>
      <c r="T462" t="s">
        <v>4588</v>
      </c>
      <c r="U462" t="s">
        <v>4588</v>
      </c>
      <c r="V462" t="s">
        <v>4588</v>
      </c>
      <c r="W462" t="s">
        <v>4588</v>
      </c>
      <c r="X462" t="s">
        <v>4588</v>
      </c>
      <c r="Y462" t="s">
        <v>4588</v>
      </c>
      <c r="Z462" t="s">
        <v>4588</v>
      </c>
      <c r="AA462" t="s">
        <v>4588</v>
      </c>
      <c r="AB462" t="s">
        <v>4588</v>
      </c>
      <c r="AC462" t="s">
        <v>4588</v>
      </c>
      <c r="AD462" t="s">
        <v>4588</v>
      </c>
      <c r="AE462" t="s">
        <v>4588</v>
      </c>
      <c r="AG462" t="s">
        <v>1321</v>
      </c>
      <c r="AI462" t="s">
        <v>4588</v>
      </c>
      <c r="AS462" t="s">
        <v>4569</v>
      </c>
      <c r="AT462" t="s">
        <v>4569</v>
      </c>
      <c r="AU462" t="s">
        <v>4569</v>
      </c>
      <c r="AV462" t="s">
        <v>4569</v>
      </c>
      <c r="BJ462" t="s">
        <v>4569</v>
      </c>
      <c r="BK462" t="s">
        <v>4569</v>
      </c>
      <c r="BM462" t="s">
        <v>4569</v>
      </c>
      <c r="BN462" t="s">
        <v>4569</v>
      </c>
      <c r="BO462" t="s">
        <v>4569</v>
      </c>
      <c r="BP462" t="s">
        <v>4569</v>
      </c>
      <c r="BQ462" t="s">
        <v>4569</v>
      </c>
      <c r="BR462" t="s">
        <v>4569</v>
      </c>
      <c r="BS462" t="s">
        <v>4569</v>
      </c>
      <c r="DA462" t="s">
        <v>4569</v>
      </c>
      <c r="DB462" t="s">
        <v>4569</v>
      </c>
      <c r="DC462" t="s">
        <v>4569</v>
      </c>
      <c r="EJ462" t="s">
        <v>1321</v>
      </c>
      <c r="EK462" t="s">
        <v>1321</v>
      </c>
      <c r="EL462" t="s">
        <v>1321</v>
      </c>
      <c r="EM462" t="s">
        <v>1321</v>
      </c>
      <c r="EN462" t="s">
        <v>1321</v>
      </c>
      <c r="EO462" t="s">
        <v>1321</v>
      </c>
      <c r="EP462" t="s">
        <v>1321</v>
      </c>
      <c r="EQ462" t="s">
        <v>1321</v>
      </c>
      <c r="ER462" t="s">
        <v>1321</v>
      </c>
      <c r="FF462" t="s">
        <v>4569</v>
      </c>
    </row>
    <row r="463" spans="1:183" x14ac:dyDescent="0.2">
      <c r="A463" t="str">
        <f t="shared" si="16"/>
        <v>Runjensweisung</v>
      </c>
    </row>
    <row r="464" spans="1:183" x14ac:dyDescent="0.2">
      <c r="A464" t="str">
        <f t="shared" si="16"/>
        <v>Schlangenstab</v>
      </c>
      <c r="AS464" t="s">
        <v>4569</v>
      </c>
      <c r="AT464" t="s">
        <v>4569</v>
      </c>
      <c r="AU464" t="s">
        <v>4569</v>
      </c>
      <c r="AV464" t="s">
        <v>4569</v>
      </c>
      <c r="AZ464" t="s">
        <v>1321</v>
      </c>
      <c r="BA464" t="s">
        <v>1321</v>
      </c>
      <c r="BB464" t="s">
        <v>1321</v>
      </c>
      <c r="BC464" t="s">
        <v>1321</v>
      </c>
      <c r="BD464" t="s">
        <v>1321</v>
      </c>
      <c r="BG464" t="s">
        <v>1321</v>
      </c>
      <c r="BJ464" t="s">
        <v>4569</v>
      </c>
      <c r="BK464" t="s">
        <v>4569</v>
      </c>
      <c r="BM464" t="s">
        <v>4569</v>
      </c>
      <c r="BN464" t="s">
        <v>4569</v>
      </c>
      <c r="BO464" t="s">
        <v>4569</v>
      </c>
      <c r="BP464" t="s">
        <v>4569</v>
      </c>
      <c r="BQ464" t="s">
        <v>4569</v>
      </c>
      <c r="BR464" t="s">
        <v>4569</v>
      </c>
      <c r="BS464" t="s">
        <v>4569</v>
      </c>
      <c r="DA464" t="s">
        <v>4569</v>
      </c>
      <c r="DB464" t="s">
        <v>4569</v>
      </c>
      <c r="DC464" t="s">
        <v>4569</v>
      </c>
      <c r="EX464" t="s">
        <v>1321</v>
      </c>
      <c r="EZ464" t="s">
        <v>1321</v>
      </c>
      <c r="FA464" t="s">
        <v>1321</v>
      </c>
      <c r="FF464" t="s">
        <v>4569</v>
      </c>
    </row>
    <row r="465" spans="1:183" x14ac:dyDescent="0.2">
      <c r="A465" t="str">
        <f t="shared" si="16"/>
        <v>Schnell wie eine Eidechse</v>
      </c>
    </row>
    <row r="466" spans="1:183" x14ac:dyDescent="0.2">
      <c r="A466" t="str">
        <f t="shared" si="16"/>
        <v>Schutz des Geleges</v>
      </c>
      <c r="AS466" t="s">
        <v>4569</v>
      </c>
      <c r="AT466" t="s">
        <v>4569</v>
      </c>
      <c r="AU466" t="s">
        <v>4569</v>
      </c>
      <c r="AV466" t="s">
        <v>4569</v>
      </c>
      <c r="BG466" t="s">
        <v>1321</v>
      </c>
      <c r="BJ466" t="s">
        <v>4569</v>
      </c>
      <c r="BK466" t="s">
        <v>4569</v>
      </c>
      <c r="BM466" t="s">
        <v>4569</v>
      </c>
      <c r="BN466" t="s">
        <v>4569</v>
      </c>
      <c r="BO466" t="s">
        <v>4569</v>
      </c>
      <c r="BP466" t="s">
        <v>4569</v>
      </c>
      <c r="BQ466" t="s">
        <v>4569</v>
      </c>
      <c r="BR466" t="s">
        <v>4569</v>
      </c>
      <c r="BS466" t="s">
        <v>4569</v>
      </c>
      <c r="DA466" t="s">
        <v>4569</v>
      </c>
      <c r="DB466" t="s">
        <v>4569</v>
      </c>
      <c r="DC466" t="s">
        <v>4569</v>
      </c>
      <c r="DD466" t="s">
        <v>1752</v>
      </c>
      <c r="FF466" t="s">
        <v>4569</v>
      </c>
    </row>
    <row r="467" spans="1:183" x14ac:dyDescent="0.2">
      <c r="A467" t="str">
        <f t="shared" si="16"/>
        <v>Sechs Leben des Mungos</v>
      </c>
    </row>
    <row r="468" spans="1:183" x14ac:dyDescent="0.2">
      <c r="A468" t="str">
        <f t="shared" si="16"/>
        <v>Seelengefährte</v>
      </c>
    </row>
    <row r="469" spans="1:183" x14ac:dyDescent="0.2">
      <c r="A469" t="str">
        <f t="shared" si="16"/>
        <v>Segen des Plättlings</v>
      </c>
      <c r="AO469" t="s">
        <v>1321</v>
      </c>
      <c r="AP469" t="s">
        <v>1321</v>
      </c>
      <c r="AQ469" t="s">
        <v>1321</v>
      </c>
      <c r="AR469" t="s">
        <v>1321</v>
      </c>
      <c r="AS469" t="s">
        <v>4569</v>
      </c>
      <c r="AT469" t="s">
        <v>4569</v>
      </c>
      <c r="AU469" t="s">
        <v>4569</v>
      </c>
      <c r="AV469" t="s">
        <v>4569</v>
      </c>
      <c r="BJ469" t="s">
        <v>4569</v>
      </c>
      <c r="BK469" t="s">
        <v>4569</v>
      </c>
      <c r="BM469" t="s">
        <v>4569</v>
      </c>
      <c r="BN469" t="s">
        <v>4569</v>
      </c>
      <c r="BO469" t="s">
        <v>4569</v>
      </c>
      <c r="BP469" t="s">
        <v>4569</v>
      </c>
      <c r="BQ469" t="s">
        <v>4569</v>
      </c>
      <c r="BR469" t="s">
        <v>4569</v>
      </c>
      <c r="BS469" t="s">
        <v>4569</v>
      </c>
      <c r="CV469" t="s">
        <v>1752</v>
      </c>
      <c r="CW469" t="s">
        <v>1752</v>
      </c>
      <c r="DA469" t="s">
        <v>4569</v>
      </c>
      <c r="DB469" t="s">
        <v>4569</v>
      </c>
      <c r="DC469" t="s">
        <v>4569</v>
      </c>
      <c r="ET469" t="s">
        <v>1321</v>
      </c>
      <c r="EU469" t="s">
        <v>1321</v>
      </c>
      <c r="FF469" t="s">
        <v>4569</v>
      </c>
      <c r="FW469" t="s">
        <v>1321</v>
      </c>
    </row>
    <row r="470" spans="1:183" x14ac:dyDescent="0.2">
      <c r="A470" t="str">
        <f t="shared" si="16"/>
        <v>Sichere Wanderung im Schnee</v>
      </c>
      <c r="AS470" t="s">
        <v>1321</v>
      </c>
      <c r="AT470" t="s">
        <v>4588</v>
      </c>
      <c r="AU470" t="s">
        <v>1752</v>
      </c>
      <c r="AV470" t="s">
        <v>1752</v>
      </c>
      <c r="BH470" t="s">
        <v>1752</v>
      </c>
      <c r="BI470" t="s">
        <v>1752</v>
      </c>
      <c r="BJ470" t="s">
        <v>4569</v>
      </c>
      <c r="BK470" t="s">
        <v>4569</v>
      </c>
      <c r="BM470" t="s">
        <v>4569</v>
      </c>
      <c r="BN470" t="s">
        <v>4569</v>
      </c>
      <c r="BO470" t="s">
        <v>4569</v>
      </c>
      <c r="BP470" t="s">
        <v>4569</v>
      </c>
      <c r="BQ470" t="s">
        <v>4569</v>
      </c>
      <c r="BR470" t="s">
        <v>4569</v>
      </c>
      <c r="BS470" t="s">
        <v>4569</v>
      </c>
      <c r="DA470" t="s">
        <v>4569</v>
      </c>
      <c r="DB470" t="s">
        <v>4569</v>
      </c>
      <c r="DC470" t="s">
        <v>4569</v>
      </c>
      <c r="EV470" t="s">
        <v>1321</v>
      </c>
      <c r="FF470" t="s">
        <v>4569</v>
      </c>
    </row>
    <row r="471" spans="1:183" x14ac:dyDescent="0.2">
      <c r="A471" t="str">
        <f t="shared" si="16"/>
        <v>Sicht auf Madas Welt</v>
      </c>
      <c r="AS471" t="s">
        <v>4569</v>
      </c>
      <c r="AT471" t="s">
        <v>4569</v>
      </c>
      <c r="AU471" t="s">
        <v>4569</v>
      </c>
      <c r="AV471" t="s">
        <v>4569</v>
      </c>
      <c r="AZ471" t="s">
        <v>1752</v>
      </c>
      <c r="BA471" t="s">
        <v>1752</v>
      </c>
      <c r="BB471" t="s">
        <v>1752</v>
      </c>
      <c r="BC471" t="s">
        <v>1752</v>
      </c>
      <c r="BD471" t="s">
        <v>1752</v>
      </c>
      <c r="BG471" t="s">
        <v>1752</v>
      </c>
      <c r="BJ471" t="s">
        <v>4569</v>
      </c>
      <c r="BK471" t="s">
        <v>4569</v>
      </c>
      <c r="BM471" t="s">
        <v>1321</v>
      </c>
      <c r="BN471" t="s">
        <v>1321</v>
      </c>
      <c r="BO471" t="s">
        <v>1321</v>
      </c>
      <c r="BP471" t="s">
        <v>1321</v>
      </c>
      <c r="BQ471" t="s">
        <v>4569</v>
      </c>
      <c r="BR471" t="s">
        <v>4569</v>
      </c>
      <c r="BS471" t="s">
        <v>4569</v>
      </c>
      <c r="CB471" t="s">
        <v>1321</v>
      </c>
      <c r="CC471" t="s">
        <v>1321</v>
      </c>
      <c r="CE471" t="s">
        <v>1321</v>
      </c>
      <c r="DA471" t="s">
        <v>4569</v>
      </c>
      <c r="DB471" t="s">
        <v>4569</v>
      </c>
      <c r="DC471" t="s">
        <v>4569</v>
      </c>
      <c r="EX471" t="s">
        <v>1321</v>
      </c>
      <c r="EZ471" t="s">
        <v>1321</v>
      </c>
      <c r="FA471" t="s">
        <v>1321</v>
      </c>
      <c r="FF471" t="s">
        <v>4569</v>
      </c>
      <c r="FH471" t="s">
        <v>1321</v>
      </c>
      <c r="FO471" t="s">
        <v>1321</v>
      </c>
      <c r="FP471" t="s">
        <v>1321</v>
      </c>
      <c r="FQ471" t="s">
        <v>1321</v>
      </c>
      <c r="FR471" t="s">
        <v>1321</v>
      </c>
    </row>
    <row r="472" spans="1:183" x14ac:dyDescent="0.2">
      <c r="A472" t="str">
        <f t="shared" si="16"/>
        <v>Simias Kelch</v>
      </c>
      <c r="AS472" t="s">
        <v>4569</v>
      </c>
      <c r="AT472" t="s">
        <v>4569</v>
      </c>
      <c r="AU472" t="s">
        <v>4569</v>
      </c>
      <c r="AV472" t="s">
        <v>4569</v>
      </c>
      <c r="BJ472" t="s">
        <v>1752</v>
      </c>
      <c r="BK472" t="s">
        <v>1321</v>
      </c>
      <c r="BM472" t="s">
        <v>4569</v>
      </c>
      <c r="BN472" t="s">
        <v>4569</v>
      </c>
      <c r="BO472" t="s">
        <v>4569</v>
      </c>
      <c r="BP472" t="s">
        <v>4569</v>
      </c>
      <c r="BQ472" t="s">
        <v>4569</v>
      </c>
      <c r="BR472" t="s">
        <v>4569</v>
      </c>
      <c r="BS472" t="s">
        <v>4569</v>
      </c>
      <c r="DA472" t="s">
        <v>4569</v>
      </c>
      <c r="DB472" t="s">
        <v>4569</v>
      </c>
      <c r="DC472" t="s">
        <v>4569</v>
      </c>
      <c r="DW472" t="s">
        <v>1321</v>
      </c>
      <c r="FE472" t="s">
        <v>1321</v>
      </c>
      <c r="FF472" t="s">
        <v>1321</v>
      </c>
    </row>
    <row r="473" spans="1:183" x14ac:dyDescent="0.2">
      <c r="A473" t="str">
        <f t="shared" si="16"/>
        <v>Speisung der hungernden Seelen</v>
      </c>
      <c r="AS473" t="s">
        <v>4569</v>
      </c>
      <c r="AT473" t="s">
        <v>4569</v>
      </c>
      <c r="AU473" t="s">
        <v>4569</v>
      </c>
      <c r="AV473" t="s">
        <v>4569</v>
      </c>
      <c r="BJ473" t="s">
        <v>4569</v>
      </c>
      <c r="BK473" t="s">
        <v>4569</v>
      </c>
      <c r="BM473" t="s">
        <v>4569</v>
      </c>
      <c r="BN473" t="s">
        <v>4569</v>
      </c>
      <c r="BO473" t="s">
        <v>4569</v>
      </c>
      <c r="BP473" t="s">
        <v>4569</v>
      </c>
      <c r="BQ473" t="s">
        <v>4569</v>
      </c>
      <c r="BR473" t="s">
        <v>4569</v>
      </c>
      <c r="BS473" t="s">
        <v>4569</v>
      </c>
      <c r="CX473" t="s">
        <v>1752</v>
      </c>
      <c r="CY473" t="s">
        <v>1752</v>
      </c>
      <c r="DA473" t="s">
        <v>4569</v>
      </c>
      <c r="DB473" t="s">
        <v>4569</v>
      </c>
      <c r="DC473" t="s">
        <v>4569</v>
      </c>
      <c r="FF473" t="s">
        <v>4569</v>
      </c>
      <c r="FX473" t="s">
        <v>1321</v>
      </c>
      <c r="FY473" t="s">
        <v>1321</v>
      </c>
      <c r="FZ473" t="s">
        <v>1321</v>
      </c>
    </row>
    <row r="474" spans="1:183" x14ac:dyDescent="0.2">
      <c r="A474" t="str">
        <f t="shared" si="16"/>
        <v>Sternenglanz</v>
      </c>
      <c r="AS474" t="s">
        <v>4569</v>
      </c>
      <c r="AT474" t="s">
        <v>4569</v>
      </c>
      <c r="AU474" t="s">
        <v>4569</v>
      </c>
      <c r="AV474" t="s">
        <v>4569</v>
      </c>
      <c r="BJ474" t="s">
        <v>4569</v>
      </c>
      <c r="BK474" t="s">
        <v>4569</v>
      </c>
      <c r="BM474" t="s">
        <v>4569</v>
      </c>
      <c r="BN474" t="s">
        <v>4569</v>
      </c>
      <c r="BO474" t="s">
        <v>4569</v>
      </c>
      <c r="BP474" t="s">
        <v>4569</v>
      </c>
      <c r="BQ474" t="s">
        <v>4569</v>
      </c>
      <c r="BR474" t="s">
        <v>4569</v>
      </c>
      <c r="BS474" t="s">
        <v>4569</v>
      </c>
      <c r="BT474" t="s">
        <v>1321</v>
      </c>
      <c r="BU474" t="s">
        <v>1752</v>
      </c>
      <c r="BV474" t="s">
        <v>1321</v>
      </c>
      <c r="BW474" t="s">
        <v>1321</v>
      </c>
      <c r="BX474" t="s">
        <v>1752</v>
      </c>
      <c r="BY474" t="s">
        <v>1752</v>
      </c>
      <c r="BZ474" t="s">
        <v>1321</v>
      </c>
      <c r="CA474" t="s">
        <v>1321</v>
      </c>
      <c r="DA474" t="s">
        <v>4569</v>
      </c>
      <c r="DB474" t="s">
        <v>4569</v>
      </c>
      <c r="DC474" t="s">
        <v>4569</v>
      </c>
      <c r="FF474" t="s">
        <v>4569</v>
      </c>
      <c r="FK474" t="s">
        <v>1321</v>
      </c>
      <c r="FL474" t="s">
        <v>1321</v>
      </c>
      <c r="FM474" t="s">
        <v>1321</v>
      </c>
      <c r="FN474" t="s">
        <v>1321</v>
      </c>
    </row>
    <row r="475" spans="1:183" x14ac:dyDescent="0.2">
      <c r="A475" t="str">
        <f t="shared" si="16"/>
        <v>Sternenspur</v>
      </c>
      <c r="G475" t="s">
        <v>1321</v>
      </c>
      <c r="AS475" t="s">
        <v>4569</v>
      </c>
      <c r="AT475" t="s">
        <v>4569</v>
      </c>
      <c r="AU475" t="s">
        <v>4569</v>
      </c>
      <c r="AV475" t="s">
        <v>4569</v>
      </c>
      <c r="BJ475" t="s">
        <v>4569</v>
      </c>
      <c r="BK475" t="s">
        <v>4569</v>
      </c>
      <c r="BM475" t="s">
        <v>1321</v>
      </c>
      <c r="BN475" t="s">
        <v>1321</v>
      </c>
      <c r="BO475" t="s">
        <v>1321</v>
      </c>
      <c r="BP475" t="s">
        <v>1321</v>
      </c>
      <c r="BQ475" t="s">
        <v>4569</v>
      </c>
      <c r="BR475" t="s">
        <v>4569</v>
      </c>
      <c r="BS475" t="s">
        <v>4569</v>
      </c>
      <c r="BT475" t="s">
        <v>4588</v>
      </c>
      <c r="BU475" t="s">
        <v>1752</v>
      </c>
      <c r="BV475" t="s">
        <v>1321</v>
      </c>
      <c r="BW475" t="s">
        <v>1321</v>
      </c>
      <c r="BX475" t="s">
        <v>1321</v>
      </c>
      <c r="BY475" t="s">
        <v>4588</v>
      </c>
      <c r="BZ475" t="s">
        <v>1752</v>
      </c>
      <c r="CA475" t="s">
        <v>1321</v>
      </c>
      <c r="DA475" t="s">
        <v>4569</v>
      </c>
      <c r="DB475" t="s">
        <v>4569</v>
      </c>
      <c r="DC475" t="s">
        <v>4569</v>
      </c>
      <c r="EI475" t="s">
        <v>1321</v>
      </c>
      <c r="FF475" t="s">
        <v>4569</v>
      </c>
      <c r="FH475" t="s">
        <v>1321</v>
      </c>
      <c r="FK475" t="s">
        <v>1321</v>
      </c>
      <c r="FL475" t="s">
        <v>1321</v>
      </c>
      <c r="FM475" t="s">
        <v>1321</v>
      </c>
      <c r="FN475" t="s">
        <v>1321</v>
      </c>
    </row>
    <row r="476" spans="1:183" x14ac:dyDescent="0.2">
      <c r="A476" t="str">
        <f t="shared" si="16"/>
        <v xml:space="preserve">Sternenstaub </v>
      </c>
      <c r="C476" t="s">
        <v>784</v>
      </c>
      <c r="D476" t="s">
        <v>784</v>
      </c>
      <c r="E476" t="s">
        <v>784</v>
      </c>
      <c r="F476" t="s">
        <v>784</v>
      </c>
      <c r="AS476" t="s">
        <v>4569</v>
      </c>
      <c r="AT476" t="s">
        <v>4569</v>
      </c>
      <c r="AU476" t="s">
        <v>4569</v>
      </c>
      <c r="AV476" t="s">
        <v>4569</v>
      </c>
      <c r="BJ476" t="s">
        <v>4569</v>
      </c>
      <c r="BK476" t="s">
        <v>4569</v>
      </c>
      <c r="BM476" t="s">
        <v>4569</v>
      </c>
      <c r="BN476" t="s">
        <v>4569</v>
      </c>
      <c r="BO476" t="s">
        <v>4569</v>
      </c>
      <c r="BP476" t="s">
        <v>4569</v>
      </c>
      <c r="BQ476" t="s">
        <v>4569</v>
      </c>
      <c r="BR476" t="s">
        <v>4569</v>
      </c>
      <c r="BS476" t="s">
        <v>4569</v>
      </c>
      <c r="BT476" t="s">
        <v>1752</v>
      </c>
      <c r="BU476" t="s">
        <v>1321</v>
      </c>
      <c r="BV476" t="s">
        <v>4588</v>
      </c>
      <c r="BW476" t="s">
        <v>1321</v>
      </c>
      <c r="BX476" t="s">
        <v>1321</v>
      </c>
      <c r="BY476" t="s">
        <v>4588</v>
      </c>
      <c r="BZ476" t="s">
        <v>1321</v>
      </c>
      <c r="CA476" t="s">
        <v>1752</v>
      </c>
      <c r="DA476" t="s">
        <v>4569</v>
      </c>
      <c r="DB476" t="s">
        <v>4569</v>
      </c>
      <c r="DC476" t="s">
        <v>4569</v>
      </c>
      <c r="EH476" t="s">
        <v>784</v>
      </c>
      <c r="FF476" t="s">
        <v>4569</v>
      </c>
      <c r="FK476" t="s">
        <v>1321</v>
      </c>
      <c r="FL476" t="s">
        <v>1321</v>
      </c>
      <c r="FM476" t="s">
        <v>1321</v>
      </c>
      <c r="FN476" t="s">
        <v>1321</v>
      </c>
    </row>
    <row r="477" spans="1:183" x14ac:dyDescent="0.2">
      <c r="A477" t="str">
        <f t="shared" si="16"/>
        <v>Sulvas Gnade</v>
      </c>
      <c r="G477" t="s">
        <v>1321</v>
      </c>
      <c r="AS477" t="s">
        <v>4569</v>
      </c>
      <c r="AT477" t="s">
        <v>4569</v>
      </c>
      <c r="AU477" t="s">
        <v>4569</v>
      </c>
      <c r="AV477" t="s">
        <v>4569</v>
      </c>
      <c r="BJ477" t="s">
        <v>4569</v>
      </c>
      <c r="BK477" t="s">
        <v>4569</v>
      </c>
      <c r="BM477" t="s">
        <v>4569</v>
      </c>
      <c r="BN477" t="s">
        <v>4569</v>
      </c>
      <c r="BO477" t="s">
        <v>4569</v>
      </c>
      <c r="BP477" t="s">
        <v>4569</v>
      </c>
      <c r="BQ477" t="s">
        <v>4569</v>
      </c>
      <c r="BR477" t="s">
        <v>4569</v>
      </c>
      <c r="BS477" t="s">
        <v>4569</v>
      </c>
      <c r="CF477" t="s">
        <v>1321</v>
      </c>
      <c r="CG477" t="s">
        <v>1321</v>
      </c>
      <c r="CH477" t="s">
        <v>1321</v>
      </c>
      <c r="CI477" t="s">
        <v>1321</v>
      </c>
      <c r="CL477" t="s">
        <v>1752</v>
      </c>
      <c r="CM477" t="s">
        <v>1752</v>
      </c>
      <c r="DA477" t="s">
        <v>4569</v>
      </c>
      <c r="DB477" t="s">
        <v>4569</v>
      </c>
      <c r="DC477" t="s">
        <v>4569</v>
      </c>
      <c r="EI477" t="s">
        <v>1321</v>
      </c>
      <c r="FF477" t="s">
        <v>4569</v>
      </c>
      <c r="FS477" t="s">
        <v>1321</v>
      </c>
      <c r="FT477" t="s">
        <v>1321</v>
      </c>
    </row>
    <row r="478" spans="1:183" x14ac:dyDescent="0.2">
      <c r="A478" t="str">
        <f t="shared" si="16"/>
        <v>Teilung der Wasser</v>
      </c>
    </row>
    <row r="479" spans="1:183" x14ac:dyDescent="0.2">
      <c r="A479" t="str">
        <f t="shared" si="16"/>
        <v>Tierempathie</v>
      </c>
      <c r="AS479" t="s">
        <v>4569</v>
      </c>
      <c r="AT479" t="s">
        <v>4569</v>
      </c>
      <c r="AU479" t="s">
        <v>4569</v>
      </c>
      <c r="AV479" t="s">
        <v>4569</v>
      </c>
      <c r="BH479" t="s">
        <v>1752</v>
      </c>
      <c r="BI479" t="s">
        <v>1752</v>
      </c>
      <c r="BJ479" t="s">
        <v>4569</v>
      </c>
      <c r="BK479" t="s">
        <v>4569</v>
      </c>
      <c r="BM479" t="s">
        <v>4569</v>
      </c>
      <c r="BN479" t="s">
        <v>4569</v>
      </c>
      <c r="BO479" t="s">
        <v>4569</v>
      </c>
      <c r="BP479" t="s">
        <v>4569</v>
      </c>
      <c r="BQ479" t="s">
        <v>4569</v>
      </c>
      <c r="BR479" t="s">
        <v>4569</v>
      </c>
      <c r="BS479" t="s">
        <v>4569</v>
      </c>
      <c r="DA479" t="s">
        <v>1321</v>
      </c>
      <c r="DB479" t="s">
        <v>1321</v>
      </c>
      <c r="DC479" t="s">
        <v>1321</v>
      </c>
      <c r="FF479" t="s">
        <v>4569</v>
      </c>
      <c r="GA479" t="s">
        <v>1321</v>
      </c>
    </row>
    <row r="480" spans="1:183" x14ac:dyDescent="0.2">
      <c r="A480" t="str">
        <f t="shared" si="16"/>
        <v>Trophäe erhalten</v>
      </c>
      <c r="AS480" t="s">
        <v>1321</v>
      </c>
      <c r="AT480" t="s">
        <v>1752</v>
      </c>
      <c r="AU480" t="s">
        <v>1321</v>
      </c>
      <c r="AV480" t="s">
        <v>1321</v>
      </c>
      <c r="BH480" t="s">
        <v>1321</v>
      </c>
      <c r="BI480" t="s">
        <v>1321</v>
      </c>
      <c r="BJ480" t="s">
        <v>4569</v>
      </c>
      <c r="BK480" t="s">
        <v>4569</v>
      </c>
      <c r="BM480" t="s">
        <v>4569</v>
      </c>
      <c r="BN480" t="s">
        <v>4569</v>
      </c>
      <c r="BO480" t="s">
        <v>4569</v>
      </c>
      <c r="BP480" t="s">
        <v>4569</v>
      </c>
      <c r="BQ480" t="s">
        <v>4569</v>
      </c>
      <c r="BR480" t="s">
        <v>4569</v>
      </c>
      <c r="BS480" t="s">
        <v>4569</v>
      </c>
      <c r="DA480" t="s">
        <v>4569</v>
      </c>
      <c r="DB480" t="s">
        <v>4569</v>
      </c>
      <c r="DC480" t="s">
        <v>4569</v>
      </c>
      <c r="EV480" t="s">
        <v>1321</v>
      </c>
      <c r="FF480" t="s">
        <v>4569</v>
      </c>
    </row>
    <row r="481" spans="1:183" x14ac:dyDescent="0.2">
      <c r="A481" t="str">
        <f t="shared" si="16"/>
        <v>Tsas Segensreicher Neuanfang</v>
      </c>
      <c r="AS481" t="s">
        <v>4569</v>
      </c>
      <c r="AT481" t="s">
        <v>4569</v>
      </c>
      <c r="AU481" t="s">
        <v>4569</v>
      </c>
      <c r="AV481" t="s">
        <v>4569</v>
      </c>
      <c r="BJ481" t="s">
        <v>4569</v>
      </c>
      <c r="BK481" t="s">
        <v>4569</v>
      </c>
      <c r="BM481" t="s">
        <v>4569</v>
      </c>
      <c r="BN481" t="s">
        <v>4569</v>
      </c>
      <c r="BO481" t="s">
        <v>4569</v>
      </c>
      <c r="BP481" t="s">
        <v>4569</v>
      </c>
      <c r="BQ481" t="s">
        <v>4569</v>
      </c>
      <c r="BR481" t="s">
        <v>4569</v>
      </c>
      <c r="BS481" t="s">
        <v>4569</v>
      </c>
      <c r="DA481" t="s">
        <v>1752</v>
      </c>
      <c r="DB481" t="s">
        <v>1752</v>
      </c>
      <c r="DC481" t="s">
        <v>1752</v>
      </c>
      <c r="FF481" t="s">
        <v>4569</v>
      </c>
      <c r="GA481" t="s">
        <v>1321</v>
      </c>
    </row>
    <row r="482" spans="1:183" x14ac:dyDescent="0.2">
      <c r="A482" t="str">
        <f t="shared" si="16"/>
        <v>Ucuris Geleit</v>
      </c>
      <c r="AS482" t="s">
        <v>4569</v>
      </c>
      <c r="AT482" t="s">
        <v>4569</v>
      </c>
      <c r="AU482" t="s">
        <v>4569</v>
      </c>
      <c r="AV482" t="s">
        <v>4569</v>
      </c>
      <c r="BJ482" t="s">
        <v>4569</v>
      </c>
      <c r="BK482" t="s">
        <v>4569</v>
      </c>
      <c r="BM482" t="s">
        <v>4569</v>
      </c>
      <c r="BN482" t="s">
        <v>4569</v>
      </c>
      <c r="BO482" t="s">
        <v>4569</v>
      </c>
      <c r="BP482" t="s">
        <v>4569</v>
      </c>
      <c r="BQ482" t="s">
        <v>4569</v>
      </c>
      <c r="BR482" t="s">
        <v>4569</v>
      </c>
      <c r="BS482" t="s">
        <v>4569</v>
      </c>
      <c r="CB482" t="s">
        <v>1752</v>
      </c>
      <c r="CC482" t="s">
        <v>1321</v>
      </c>
      <c r="CE482" t="s">
        <v>1752</v>
      </c>
      <c r="DA482" t="s">
        <v>4569</v>
      </c>
      <c r="DB482" t="s">
        <v>4569</v>
      </c>
      <c r="DC482" t="s">
        <v>4569</v>
      </c>
      <c r="FF482" t="s">
        <v>4569</v>
      </c>
      <c r="FO482" t="s">
        <v>1321</v>
      </c>
      <c r="FP482" t="s">
        <v>1321</v>
      </c>
      <c r="FQ482" t="s">
        <v>1321</v>
      </c>
      <c r="FR482" t="s">
        <v>1321</v>
      </c>
    </row>
    <row r="483" spans="1:183" x14ac:dyDescent="0.2">
      <c r="A483" t="str">
        <f t="shared" si="16"/>
        <v>Vertrauter der Flamme</v>
      </c>
      <c r="C483" t="s">
        <v>4588</v>
      </c>
      <c r="D483" t="s">
        <v>4588</v>
      </c>
      <c r="E483" t="s">
        <v>4588</v>
      </c>
      <c r="F483" t="s">
        <v>4588</v>
      </c>
      <c r="AS483" t="s">
        <v>4569</v>
      </c>
      <c r="AT483" t="s">
        <v>4569</v>
      </c>
      <c r="AU483" t="s">
        <v>4569</v>
      </c>
      <c r="AV483" t="s">
        <v>4569</v>
      </c>
      <c r="BJ483" t="s">
        <v>4588</v>
      </c>
      <c r="BK483" t="s">
        <v>1752</v>
      </c>
      <c r="BM483" t="s">
        <v>4569</v>
      </c>
      <c r="BN483" t="s">
        <v>4569</v>
      </c>
      <c r="BO483" t="s">
        <v>4569</v>
      </c>
      <c r="BP483" t="s">
        <v>4569</v>
      </c>
      <c r="BQ483" t="s">
        <v>4569</v>
      </c>
      <c r="BR483" t="s">
        <v>4569</v>
      </c>
      <c r="BS483" t="s">
        <v>4569</v>
      </c>
      <c r="DA483" t="s">
        <v>4569</v>
      </c>
      <c r="DB483" t="s">
        <v>4569</v>
      </c>
      <c r="DC483" t="s">
        <v>4569</v>
      </c>
      <c r="DW483" t="s">
        <v>1752</v>
      </c>
      <c r="EH483" t="s">
        <v>1321</v>
      </c>
      <c r="FE483" t="s">
        <v>1321</v>
      </c>
      <c r="FF483" t="s">
        <v>1321</v>
      </c>
      <c r="FX483" t="s">
        <v>1321</v>
      </c>
      <c r="FY483" t="s">
        <v>1321</v>
      </c>
      <c r="FZ483" t="s">
        <v>1321</v>
      </c>
    </row>
    <row r="484" spans="1:183" x14ac:dyDescent="0.2">
      <c r="A484" t="str">
        <f t="shared" si="16"/>
        <v>Vertrauter des Felsens</v>
      </c>
      <c r="C484" t="s">
        <v>1321</v>
      </c>
      <c r="D484" t="s">
        <v>1321</v>
      </c>
      <c r="E484" t="s">
        <v>1321</v>
      </c>
      <c r="F484" t="s">
        <v>1321</v>
      </c>
      <c r="AS484" t="s">
        <v>4569</v>
      </c>
      <c r="AT484" t="s">
        <v>4569</v>
      </c>
      <c r="AU484" t="s">
        <v>4569</v>
      </c>
      <c r="AV484" t="s">
        <v>4569</v>
      </c>
      <c r="BJ484" t="s">
        <v>1321</v>
      </c>
      <c r="BK484" t="s">
        <v>1321</v>
      </c>
      <c r="BM484" t="s">
        <v>4569</v>
      </c>
      <c r="BN484" t="s">
        <v>4569</v>
      </c>
      <c r="BO484" t="s">
        <v>4569</v>
      </c>
      <c r="BP484" t="s">
        <v>4569</v>
      </c>
      <c r="BQ484" t="s">
        <v>4569</v>
      </c>
      <c r="BR484" t="s">
        <v>4569</v>
      </c>
      <c r="BS484" t="s">
        <v>4569</v>
      </c>
      <c r="DA484" t="s">
        <v>4569</v>
      </c>
      <c r="DB484" t="s">
        <v>4569</v>
      </c>
      <c r="DC484" t="s">
        <v>4569</v>
      </c>
      <c r="EH484" t="s">
        <v>1321</v>
      </c>
      <c r="FE484" t="s">
        <v>1321</v>
      </c>
      <c r="FF484" t="s">
        <v>1321</v>
      </c>
    </row>
    <row r="485" spans="1:183" x14ac:dyDescent="0.2">
      <c r="A485" t="str">
        <f t="shared" si="16"/>
        <v>Wachsamkeit der Gänse</v>
      </c>
    </row>
    <row r="486" spans="1:183" x14ac:dyDescent="0.2">
      <c r="A486" t="str">
        <f t="shared" si="16"/>
        <v>Weihe der letzten Ruhestatt</v>
      </c>
      <c r="I486" t="s">
        <v>1321</v>
      </c>
      <c r="J486" t="s">
        <v>1321</v>
      </c>
      <c r="K486" t="s">
        <v>1321</v>
      </c>
      <c r="L486" t="s">
        <v>1321</v>
      </c>
      <c r="M486" t="s">
        <v>1321</v>
      </c>
      <c r="N486" t="s">
        <v>1321</v>
      </c>
      <c r="O486" t="s">
        <v>1752</v>
      </c>
      <c r="P486" t="s">
        <v>1752</v>
      </c>
      <c r="Q486" t="s">
        <v>1752</v>
      </c>
      <c r="R486" t="s">
        <v>1321</v>
      </c>
      <c r="S486" t="s">
        <v>1321</v>
      </c>
      <c r="T486" t="s">
        <v>1321</v>
      </c>
      <c r="U486" t="s">
        <v>1321</v>
      </c>
      <c r="V486" t="s">
        <v>1321</v>
      </c>
      <c r="W486" t="s">
        <v>1321</v>
      </c>
      <c r="X486" t="s">
        <v>1321</v>
      </c>
      <c r="Y486" t="s">
        <v>1752</v>
      </c>
      <c r="Z486" t="s">
        <v>1752</v>
      </c>
      <c r="AA486" t="s">
        <v>1752</v>
      </c>
      <c r="AB486" t="s">
        <v>1752</v>
      </c>
      <c r="AC486" t="s">
        <v>1321</v>
      </c>
      <c r="AD486" t="s">
        <v>1321</v>
      </c>
      <c r="AE486" t="s">
        <v>1321</v>
      </c>
      <c r="AG486" t="s">
        <v>4588</v>
      </c>
      <c r="AI486" t="s">
        <v>1321</v>
      </c>
      <c r="AS486" t="s">
        <v>4569</v>
      </c>
      <c r="AT486" t="s">
        <v>4569</v>
      </c>
      <c r="AU486" t="s">
        <v>4569</v>
      </c>
      <c r="AV486" t="s">
        <v>4569</v>
      </c>
      <c r="BJ486" t="s">
        <v>4569</v>
      </c>
      <c r="BK486" t="s">
        <v>4569</v>
      </c>
      <c r="BM486" t="s">
        <v>4569</v>
      </c>
      <c r="BN486" t="s">
        <v>4569</v>
      </c>
      <c r="BO486" t="s">
        <v>4569</v>
      </c>
      <c r="BP486" t="s">
        <v>4569</v>
      </c>
      <c r="BQ486" t="s">
        <v>4569</v>
      </c>
      <c r="BR486" t="s">
        <v>4569</v>
      </c>
      <c r="BS486" t="s">
        <v>4569</v>
      </c>
      <c r="DA486" t="s">
        <v>4569</v>
      </c>
      <c r="DB486" t="s">
        <v>4569</v>
      </c>
      <c r="DC486" t="s">
        <v>4569</v>
      </c>
      <c r="EJ486" t="s">
        <v>1321</v>
      </c>
      <c r="EK486" t="s">
        <v>1321</v>
      </c>
      <c r="EL486" t="s">
        <v>1321</v>
      </c>
      <c r="EM486" t="s">
        <v>1321</v>
      </c>
      <c r="EN486" t="s">
        <v>1321</v>
      </c>
      <c r="EO486" t="s">
        <v>1321</v>
      </c>
      <c r="EP486" t="s">
        <v>1321</v>
      </c>
      <c r="EQ486" t="s">
        <v>1321</v>
      </c>
      <c r="ER486" t="s">
        <v>1321</v>
      </c>
      <c r="FF486" t="s">
        <v>4569</v>
      </c>
    </row>
    <row r="487" spans="1:183" x14ac:dyDescent="0.2">
      <c r="A487" t="str">
        <f t="shared" si="16"/>
        <v>Wort der Wahrheit</v>
      </c>
      <c r="AS487" t="s">
        <v>4569</v>
      </c>
      <c r="AT487" t="s">
        <v>4569</v>
      </c>
      <c r="AU487" t="s">
        <v>4569</v>
      </c>
      <c r="AV487" t="s">
        <v>4569</v>
      </c>
      <c r="BJ487" t="s">
        <v>4569</v>
      </c>
      <c r="BK487" t="s">
        <v>4569</v>
      </c>
      <c r="BM487" t="s">
        <v>4569</v>
      </c>
      <c r="BN487" t="s">
        <v>4569</v>
      </c>
      <c r="BO487" t="s">
        <v>4569</v>
      </c>
      <c r="BP487" t="s">
        <v>4569</v>
      </c>
      <c r="BQ487" t="s">
        <v>4569</v>
      </c>
      <c r="BR487" t="s">
        <v>4569</v>
      </c>
      <c r="BS487" t="s">
        <v>4569</v>
      </c>
      <c r="CB487" t="s">
        <v>1752</v>
      </c>
      <c r="CC487" t="s">
        <v>1752</v>
      </c>
      <c r="CE487" t="s">
        <v>1752</v>
      </c>
      <c r="DA487" t="s">
        <v>4569</v>
      </c>
      <c r="DB487" t="s">
        <v>4569</v>
      </c>
      <c r="DC487" t="s">
        <v>4569</v>
      </c>
      <c r="FF487" t="s">
        <v>4569</v>
      </c>
      <c r="FO487" t="s">
        <v>1321</v>
      </c>
      <c r="FP487" t="s">
        <v>1321</v>
      </c>
      <c r="FQ487" t="s">
        <v>1321</v>
      </c>
      <c r="FR487" t="s">
        <v>1321</v>
      </c>
    </row>
    <row r="488" spans="1:183" x14ac:dyDescent="0.2">
      <c r="A488" t="str">
        <f t="shared" si="16"/>
        <v>Wundsegen</v>
      </c>
      <c r="AS488" t="s">
        <v>4569</v>
      </c>
      <c r="AT488" t="s">
        <v>4569</v>
      </c>
      <c r="AU488" t="s">
        <v>4569</v>
      </c>
      <c r="AV488" t="s">
        <v>4569</v>
      </c>
      <c r="BI488" t="s">
        <v>1321</v>
      </c>
      <c r="BJ488" t="s">
        <v>4569</v>
      </c>
      <c r="BK488" t="s">
        <v>4569</v>
      </c>
      <c r="BM488" t="s">
        <v>4569</v>
      </c>
      <c r="BN488" t="s">
        <v>4569</v>
      </c>
      <c r="BO488" t="s">
        <v>4569</v>
      </c>
      <c r="BP488" t="s">
        <v>4569</v>
      </c>
      <c r="BQ488" t="s">
        <v>1752</v>
      </c>
      <c r="BR488" t="s">
        <v>1752</v>
      </c>
      <c r="BS488" t="s">
        <v>1752</v>
      </c>
      <c r="DA488" t="s">
        <v>1321</v>
      </c>
      <c r="DB488" t="s">
        <v>1321</v>
      </c>
      <c r="DC488" t="s">
        <v>1321</v>
      </c>
      <c r="FF488" t="s">
        <v>4569</v>
      </c>
      <c r="FI488" t="s">
        <v>1321</v>
      </c>
      <c r="FJ488" t="s">
        <v>1321</v>
      </c>
      <c r="GA488" t="s">
        <v>1321</v>
      </c>
    </row>
    <row r="489" spans="1:183" x14ac:dyDescent="0.2">
      <c r="A489" t="str">
        <f t="shared" si="16"/>
        <v>Zuflucht finden</v>
      </c>
      <c r="AS489" t="s">
        <v>1321</v>
      </c>
      <c r="AT489" t="s">
        <v>1321</v>
      </c>
      <c r="AU489" t="s">
        <v>1752</v>
      </c>
      <c r="AV489" t="s">
        <v>1752</v>
      </c>
      <c r="BH489" t="s">
        <v>1321</v>
      </c>
      <c r="BI489" t="s">
        <v>1321</v>
      </c>
      <c r="BJ489" t="s">
        <v>4569</v>
      </c>
      <c r="BK489" t="s">
        <v>4569</v>
      </c>
      <c r="BM489" t="s">
        <v>4569</v>
      </c>
      <c r="BN489" t="s">
        <v>4569</v>
      </c>
      <c r="BO489" t="s">
        <v>4569</v>
      </c>
      <c r="BP489" t="s">
        <v>4569</v>
      </c>
      <c r="BQ489" t="s">
        <v>4569</v>
      </c>
      <c r="BR489" t="s">
        <v>4569</v>
      </c>
      <c r="BS489" t="s">
        <v>4569</v>
      </c>
      <c r="DA489" t="s">
        <v>4569</v>
      </c>
      <c r="DB489" t="s">
        <v>4569</v>
      </c>
      <c r="DC489" t="s">
        <v>4569</v>
      </c>
      <c r="EV489" t="s">
        <v>1321</v>
      </c>
      <c r="FF489" t="s">
        <v>4569</v>
      </c>
      <c r="FX489" t="s">
        <v>1321</v>
      </c>
      <c r="FY489" t="s">
        <v>1321</v>
      </c>
      <c r="FZ489" t="s">
        <v>1321</v>
      </c>
    </row>
    <row r="490" spans="1:183" x14ac:dyDescent="0.2">
      <c r="A490" t="str">
        <f t="shared" si="16"/>
        <v xml:space="preserve">Gott der Götter </v>
      </c>
    </row>
    <row r="491" spans="1:183" x14ac:dyDescent="0.2">
      <c r="A491" t="str">
        <f t="shared" si="16"/>
        <v>Alte Schuppen</v>
      </c>
      <c r="AS491" t="s">
        <v>4569</v>
      </c>
      <c r="AT491" t="s">
        <v>4569</v>
      </c>
      <c r="AU491" t="s">
        <v>4569</v>
      </c>
      <c r="AV491" t="s">
        <v>4569</v>
      </c>
      <c r="BJ491" t="s">
        <v>4569</v>
      </c>
      <c r="BK491" t="s">
        <v>4569</v>
      </c>
      <c r="BM491" t="s">
        <v>4569</v>
      </c>
      <c r="BN491" t="s">
        <v>4569</v>
      </c>
      <c r="BO491" t="s">
        <v>4569</v>
      </c>
      <c r="BP491" t="s">
        <v>4569</v>
      </c>
      <c r="BQ491" t="s">
        <v>4569</v>
      </c>
      <c r="BR491" t="s">
        <v>4569</v>
      </c>
      <c r="BS491" t="s">
        <v>4569</v>
      </c>
      <c r="DA491" t="s">
        <v>4569</v>
      </c>
      <c r="DB491" t="s">
        <v>4569</v>
      </c>
      <c r="DC491" t="s">
        <v>4569</v>
      </c>
      <c r="DD491" t="s">
        <v>1752</v>
      </c>
      <c r="DE491" t="s">
        <v>3290</v>
      </c>
      <c r="EG491" t="s">
        <v>3290</v>
      </c>
      <c r="FF491" t="s">
        <v>4569</v>
      </c>
    </row>
    <row r="492" spans="1:183" x14ac:dyDescent="0.2">
      <c r="A492" t="str">
        <f t="shared" si="16"/>
        <v>Angroschs Zorn</v>
      </c>
      <c r="B492" t="s">
        <v>3290</v>
      </c>
      <c r="C492" t="s">
        <v>1321</v>
      </c>
      <c r="D492" t="s">
        <v>1321</v>
      </c>
      <c r="E492" t="s">
        <v>1321</v>
      </c>
      <c r="F492" t="s">
        <v>1752</v>
      </c>
      <c r="AS492" t="s">
        <v>4569</v>
      </c>
      <c r="AT492" t="s">
        <v>4569</v>
      </c>
      <c r="AU492" t="s">
        <v>4569</v>
      </c>
      <c r="AV492" t="s">
        <v>4569</v>
      </c>
      <c r="BJ492" t="s">
        <v>4569</v>
      </c>
      <c r="BK492" t="s">
        <v>4569</v>
      </c>
      <c r="BM492" t="s">
        <v>4569</v>
      </c>
      <c r="BN492" t="s">
        <v>4569</v>
      </c>
      <c r="BO492" t="s">
        <v>4569</v>
      </c>
      <c r="BP492" t="s">
        <v>4569</v>
      </c>
      <c r="BQ492" t="s">
        <v>4569</v>
      </c>
      <c r="BR492" t="s">
        <v>4569</v>
      </c>
      <c r="BS492" t="s">
        <v>4569</v>
      </c>
      <c r="DA492" t="s">
        <v>4569</v>
      </c>
      <c r="DB492" t="s">
        <v>4569</v>
      </c>
      <c r="DC492" t="s">
        <v>4569</v>
      </c>
      <c r="EH492" t="s">
        <v>1321</v>
      </c>
      <c r="FF492" t="s">
        <v>4569</v>
      </c>
    </row>
    <row r="493" spans="1:183" x14ac:dyDescent="0.2">
      <c r="A493" t="str">
        <f t="shared" si="16"/>
        <v>Anrufung Nuiannas</v>
      </c>
      <c r="AO493" t="s">
        <v>1321</v>
      </c>
      <c r="AP493" t="s">
        <v>1321</v>
      </c>
      <c r="AQ493" t="s">
        <v>1321</v>
      </c>
      <c r="AR493" t="s">
        <v>1321</v>
      </c>
      <c r="AS493" t="s">
        <v>4569</v>
      </c>
      <c r="AT493" t="s">
        <v>4569</v>
      </c>
      <c r="AU493" t="s">
        <v>4569</v>
      </c>
      <c r="AV493" t="s">
        <v>4569</v>
      </c>
      <c r="BJ493" t="s">
        <v>4569</v>
      </c>
      <c r="BK493" t="s">
        <v>4569</v>
      </c>
      <c r="BM493" t="s">
        <v>4569</v>
      </c>
      <c r="BN493" t="s">
        <v>4569</v>
      </c>
      <c r="BO493" t="s">
        <v>4569</v>
      </c>
      <c r="BP493" t="s">
        <v>4569</v>
      </c>
      <c r="BQ493" t="s">
        <v>4569</v>
      </c>
      <c r="BR493" t="s">
        <v>4569</v>
      </c>
      <c r="BS493" t="s">
        <v>4569</v>
      </c>
      <c r="CV493" t="s">
        <v>1321</v>
      </c>
      <c r="CW493" t="s">
        <v>1321</v>
      </c>
      <c r="DA493" t="s">
        <v>4569</v>
      </c>
      <c r="DB493" t="s">
        <v>4569</v>
      </c>
      <c r="DC493" t="s">
        <v>4569</v>
      </c>
      <c r="ET493" t="s">
        <v>1321</v>
      </c>
      <c r="EU493" t="s">
        <v>1321</v>
      </c>
      <c r="FF493" t="s">
        <v>4569</v>
      </c>
      <c r="FW493" t="s">
        <v>1321</v>
      </c>
    </row>
    <row r="494" spans="1:183" x14ac:dyDescent="0.2">
      <c r="A494" t="str">
        <f t="shared" si="16"/>
        <v>Argelions Mantel</v>
      </c>
      <c r="AS494" t="s">
        <v>4569</v>
      </c>
      <c r="AT494" t="s">
        <v>4569</v>
      </c>
      <c r="AU494" t="s">
        <v>4569</v>
      </c>
      <c r="AV494" t="s">
        <v>4569</v>
      </c>
      <c r="AZ494" t="s">
        <v>1321</v>
      </c>
      <c r="BA494" t="s">
        <v>1321</v>
      </c>
      <c r="BB494" t="s">
        <v>1321</v>
      </c>
      <c r="BC494" t="s">
        <v>1321</v>
      </c>
      <c r="BD494" t="s">
        <v>1321</v>
      </c>
      <c r="BG494" t="s">
        <v>1321</v>
      </c>
      <c r="BJ494" t="s">
        <v>4569</v>
      </c>
      <c r="BK494" t="s">
        <v>4569</v>
      </c>
      <c r="BM494" t="s">
        <v>4569</v>
      </c>
      <c r="BN494" t="s">
        <v>4569</v>
      </c>
      <c r="BO494" t="s">
        <v>4569</v>
      </c>
      <c r="BP494" t="s">
        <v>4569</v>
      </c>
      <c r="BQ494" t="s">
        <v>4569</v>
      </c>
      <c r="BR494" t="s">
        <v>4569</v>
      </c>
      <c r="BS494" t="s">
        <v>4569</v>
      </c>
      <c r="DA494" t="s">
        <v>4569</v>
      </c>
      <c r="DB494" t="s">
        <v>4569</v>
      </c>
      <c r="DC494" t="s">
        <v>4569</v>
      </c>
      <c r="EX494" t="s">
        <v>1321</v>
      </c>
      <c r="EZ494" t="s">
        <v>1321</v>
      </c>
      <c r="FA494" t="s">
        <v>1321</v>
      </c>
      <c r="FF494" t="s">
        <v>4569</v>
      </c>
    </row>
    <row r="495" spans="1:183" x14ac:dyDescent="0.2">
      <c r="A495" t="str">
        <f t="shared" si="16"/>
        <v>Ascandears Hingabe</v>
      </c>
      <c r="AS495" t="s">
        <v>4569</v>
      </c>
      <c r="AT495" t="s">
        <v>4569</v>
      </c>
      <c r="AU495" t="s">
        <v>4569</v>
      </c>
      <c r="AV495" t="s">
        <v>4569</v>
      </c>
      <c r="BJ495" t="s">
        <v>4569</v>
      </c>
      <c r="BK495" t="s">
        <v>4569</v>
      </c>
      <c r="BM495" t="s">
        <v>4569</v>
      </c>
      <c r="BN495" t="s">
        <v>4569</v>
      </c>
      <c r="BO495" t="s">
        <v>4569</v>
      </c>
      <c r="BP495" t="s">
        <v>4569</v>
      </c>
      <c r="BQ495" t="s">
        <v>4569</v>
      </c>
      <c r="BR495" t="s">
        <v>4569</v>
      </c>
      <c r="BS495" t="s">
        <v>4569</v>
      </c>
      <c r="CF495" t="s">
        <v>4588</v>
      </c>
      <c r="CG495" t="s">
        <v>4588</v>
      </c>
      <c r="CH495" t="s">
        <v>4588</v>
      </c>
      <c r="CI495" t="s">
        <v>4588</v>
      </c>
      <c r="CL495" t="s">
        <v>4588</v>
      </c>
      <c r="CM495" t="s">
        <v>4588</v>
      </c>
      <c r="DA495" t="s">
        <v>4569</v>
      </c>
      <c r="DB495" t="s">
        <v>4569</v>
      </c>
      <c r="DC495" t="s">
        <v>4569</v>
      </c>
      <c r="FF495" t="s">
        <v>4569</v>
      </c>
      <c r="FS495" t="s">
        <v>1321</v>
      </c>
      <c r="FT495" t="s">
        <v>1321</v>
      </c>
    </row>
    <row r="496" spans="1:183" x14ac:dyDescent="0.2">
      <c r="A496" t="str">
        <f t="shared" si="16"/>
        <v>Aura der Form</v>
      </c>
      <c r="AS496" t="s">
        <v>4569</v>
      </c>
      <c r="AT496" t="s">
        <v>4569</v>
      </c>
      <c r="AU496" t="s">
        <v>4569</v>
      </c>
      <c r="AV496" t="s">
        <v>4569</v>
      </c>
      <c r="AZ496" t="s">
        <v>1321</v>
      </c>
      <c r="BA496" t="s">
        <v>1321</v>
      </c>
      <c r="BB496" t="s">
        <v>1321</v>
      </c>
      <c r="BC496" t="s">
        <v>1321</v>
      </c>
      <c r="BD496" t="s">
        <v>1321</v>
      </c>
      <c r="BJ496" t="s">
        <v>4569</v>
      </c>
      <c r="BK496" t="s">
        <v>4569</v>
      </c>
      <c r="BM496" t="s">
        <v>1321</v>
      </c>
      <c r="BN496" t="s">
        <v>1321</v>
      </c>
      <c r="BO496" t="s">
        <v>1321</v>
      </c>
      <c r="BP496" t="s">
        <v>1321</v>
      </c>
      <c r="BQ496" t="s">
        <v>4569</v>
      </c>
      <c r="BR496" t="s">
        <v>4569</v>
      </c>
      <c r="BS496" t="s">
        <v>4569</v>
      </c>
      <c r="BT496" t="s">
        <v>1321</v>
      </c>
      <c r="BU496" t="s">
        <v>1321</v>
      </c>
      <c r="BV496" t="s">
        <v>1321</v>
      </c>
      <c r="BW496" t="s">
        <v>1321</v>
      </c>
      <c r="BX496" t="s">
        <v>1321</v>
      </c>
      <c r="BY496" t="s">
        <v>1321</v>
      </c>
      <c r="BZ496" t="s">
        <v>1321</v>
      </c>
      <c r="CA496" t="s">
        <v>1321</v>
      </c>
      <c r="DA496" t="s">
        <v>4569</v>
      </c>
      <c r="DB496" t="s">
        <v>4569</v>
      </c>
      <c r="DC496" t="s">
        <v>4569</v>
      </c>
      <c r="EX496" t="s">
        <v>1321</v>
      </c>
      <c r="EZ496" t="s">
        <v>1321</v>
      </c>
      <c r="FA496" t="s">
        <v>1321</v>
      </c>
      <c r="FF496" t="s">
        <v>4569</v>
      </c>
      <c r="FH496" t="s">
        <v>1321</v>
      </c>
      <c r="FK496" t="s">
        <v>1321</v>
      </c>
      <c r="FL496" t="s">
        <v>1321</v>
      </c>
      <c r="FM496" t="s">
        <v>1321</v>
      </c>
      <c r="FN496" t="s">
        <v>1321</v>
      </c>
    </row>
    <row r="497" spans="1:183" x14ac:dyDescent="0.2">
      <c r="A497" t="str">
        <f t="shared" si="16"/>
        <v>Aura des Regenbogens</v>
      </c>
      <c r="AS497" t="s">
        <v>4569</v>
      </c>
      <c r="AT497" t="s">
        <v>4569</v>
      </c>
      <c r="AU497" t="s">
        <v>4569</v>
      </c>
      <c r="AV497" t="s">
        <v>4569</v>
      </c>
      <c r="BJ497" t="s">
        <v>4569</v>
      </c>
      <c r="BK497" t="s">
        <v>4569</v>
      </c>
      <c r="BM497" t="s">
        <v>4569</v>
      </c>
      <c r="BN497" t="s">
        <v>4569</v>
      </c>
      <c r="BO497" t="s">
        <v>4569</v>
      </c>
      <c r="BP497" t="s">
        <v>4569</v>
      </c>
      <c r="BQ497" t="s">
        <v>4569</v>
      </c>
      <c r="BR497" t="s">
        <v>4569</v>
      </c>
      <c r="BS497" t="s">
        <v>4569</v>
      </c>
      <c r="DA497" t="s">
        <v>1752</v>
      </c>
      <c r="DB497" t="s">
        <v>1752</v>
      </c>
      <c r="DC497" t="s">
        <v>1752</v>
      </c>
      <c r="FF497" t="s">
        <v>4569</v>
      </c>
      <c r="GA497" t="s">
        <v>1321</v>
      </c>
    </row>
    <row r="498" spans="1:183" x14ac:dyDescent="0.2">
      <c r="A498" t="str">
        <f t="shared" si="16"/>
        <v>Azilas Quellgesang</v>
      </c>
      <c r="AO498" t="s">
        <v>1321</v>
      </c>
      <c r="AP498" t="s">
        <v>1321</v>
      </c>
      <c r="AQ498" t="s">
        <v>1321</v>
      </c>
      <c r="AR498" t="s">
        <v>4588</v>
      </c>
      <c r="AS498" t="s">
        <v>4569</v>
      </c>
      <c r="AT498" t="s">
        <v>4569</v>
      </c>
      <c r="AU498" t="s">
        <v>4569</v>
      </c>
      <c r="AV498" t="s">
        <v>4569</v>
      </c>
      <c r="BJ498" t="s">
        <v>4569</v>
      </c>
      <c r="BK498" t="s">
        <v>4569</v>
      </c>
      <c r="BM498" t="s">
        <v>4569</v>
      </c>
      <c r="BN498" t="s">
        <v>4569</v>
      </c>
      <c r="BO498" t="s">
        <v>4569</v>
      </c>
      <c r="BP498" t="s">
        <v>4569</v>
      </c>
      <c r="BQ498" t="s">
        <v>4569</v>
      </c>
      <c r="BR498" t="s">
        <v>4569</v>
      </c>
      <c r="BS498" t="s">
        <v>4569</v>
      </c>
      <c r="DA498" t="s">
        <v>4569</v>
      </c>
      <c r="DB498" t="s">
        <v>4569</v>
      </c>
      <c r="DC498" t="s">
        <v>4569</v>
      </c>
      <c r="ET498" t="s">
        <v>1321</v>
      </c>
      <c r="EU498" t="s">
        <v>1321</v>
      </c>
      <c r="FF498" t="s">
        <v>4569</v>
      </c>
    </row>
    <row r="499" spans="1:183" x14ac:dyDescent="0.2">
      <c r="A499" t="str">
        <f t="shared" si="16"/>
        <v>Bannfluch des Heiligen Khalid</v>
      </c>
      <c r="I499" t="s">
        <v>1321</v>
      </c>
      <c r="J499" t="s">
        <v>1321</v>
      </c>
      <c r="K499" t="s">
        <v>1321</v>
      </c>
      <c r="L499" t="s">
        <v>1321</v>
      </c>
      <c r="M499" t="s">
        <v>1321</v>
      </c>
      <c r="N499" t="s">
        <v>1321</v>
      </c>
      <c r="O499" t="s">
        <v>1752</v>
      </c>
      <c r="P499" t="s">
        <v>1752</v>
      </c>
      <c r="Q499" t="s">
        <v>1752</v>
      </c>
      <c r="R499" t="s">
        <v>1321</v>
      </c>
      <c r="S499" t="s">
        <v>1321</v>
      </c>
      <c r="T499" t="s">
        <v>1321</v>
      </c>
      <c r="U499" t="s">
        <v>1321</v>
      </c>
      <c r="V499" t="s">
        <v>1321</v>
      </c>
      <c r="W499" t="s">
        <v>1321</v>
      </c>
      <c r="X499" t="s">
        <v>1321</v>
      </c>
      <c r="Y499" t="s">
        <v>1752</v>
      </c>
      <c r="Z499" t="s">
        <v>1752</v>
      </c>
      <c r="AA499" t="s">
        <v>1752</v>
      </c>
      <c r="AB499" t="s">
        <v>1752</v>
      </c>
      <c r="AC499" t="s">
        <v>1321</v>
      </c>
      <c r="AD499" t="s">
        <v>1321</v>
      </c>
      <c r="AE499" t="s">
        <v>1321</v>
      </c>
      <c r="AG499" t="s">
        <v>1752</v>
      </c>
      <c r="AI499" t="s">
        <v>1321</v>
      </c>
      <c r="AS499" t="s">
        <v>4569</v>
      </c>
      <c r="AT499" t="s">
        <v>4569</v>
      </c>
      <c r="AU499" t="s">
        <v>4569</v>
      </c>
      <c r="AV499" t="s">
        <v>4569</v>
      </c>
      <c r="BJ499" t="s">
        <v>4569</v>
      </c>
      <c r="BK499" t="s">
        <v>4569</v>
      </c>
      <c r="BM499" t="s">
        <v>4569</v>
      </c>
      <c r="BN499" t="s">
        <v>4569</v>
      </c>
      <c r="BO499" t="s">
        <v>4569</v>
      </c>
      <c r="BP499" t="s">
        <v>4569</v>
      </c>
      <c r="BQ499" t="s">
        <v>4569</v>
      </c>
      <c r="BR499" t="s">
        <v>4569</v>
      </c>
      <c r="BS499" t="s">
        <v>4569</v>
      </c>
      <c r="DA499" t="s">
        <v>4569</v>
      </c>
      <c r="DB499" t="s">
        <v>4569</v>
      </c>
      <c r="DC499" t="s">
        <v>4569</v>
      </c>
      <c r="EJ499" t="s">
        <v>1321</v>
      </c>
      <c r="EK499" t="s">
        <v>1321</v>
      </c>
      <c r="EL499" t="s">
        <v>1321</v>
      </c>
      <c r="EM499" t="s">
        <v>1321</v>
      </c>
      <c r="EN499" t="s">
        <v>1321</v>
      </c>
      <c r="EO499" t="s">
        <v>1321</v>
      </c>
      <c r="EP499" t="s">
        <v>1321</v>
      </c>
      <c r="EQ499" t="s">
        <v>1321</v>
      </c>
      <c r="ER499" t="s">
        <v>1321</v>
      </c>
      <c r="FF499" t="s">
        <v>4569</v>
      </c>
    </row>
    <row r="500" spans="1:183" x14ac:dyDescent="0.2">
      <c r="A500" t="str">
        <f t="shared" ref="A500:A578" si="17">INDEX(Liturgien,ROW()-IDX_L+1)</f>
        <v>Begehen der Heiligen Wasser</v>
      </c>
      <c r="AO500" t="s">
        <v>1321</v>
      </c>
      <c r="AP500" t="s">
        <v>1321</v>
      </c>
      <c r="AQ500" t="s">
        <v>1321</v>
      </c>
      <c r="AR500" t="s">
        <v>1321</v>
      </c>
      <c r="AS500" t="s">
        <v>4569</v>
      </c>
      <c r="AT500" t="s">
        <v>4569</v>
      </c>
      <c r="AU500" t="s">
        <v>4569</v>
      </c>
      <c r="AV500" t="s">
        <v>4569</v>
      </c>
      <c r="BJ500" t="s">
        <v>4569</v>
      </c>
      <c r="BK500" t="s">
        <v>4569</v>
      </c>
      <c r="BM500" t="s">
        <v>4569</v>
      </c>
      <c r="BN500" t="s">
        <v>4569</v>
      </c>
      <c r="BO500" t="s">
        <v>4569</v>
      </c>
      <c r="BP500" t="s">
        <v>4569</v>
      </c>
      <c r="BQ500" t="s">
        <v>4569</v>
      </c>
      <c r="BR500" t="s">
        <v>4569</v>
      </c>
      <c r="BS500" t="s">
        <v>4569</v>
      </c>
      <c r="DA500" t="s">
        <v>4569</v>
      </c>
      <c r="DB500" t="s">
        <v>4569</v>
      </c>
      <c r="DC500" t="s">
        <v>4569</v>
      </c>
      <c r="ET500" t="s">
        <v>1321</v>
      </c>
      <c r="EU500" t="s">
        <v>1321</v>
      </c>
      <c r="FF500" t="s">
        <v>4569</v>
      </c>
    </row>
    <row r="501" spans="1:183" x14ac:dyDescent="0.2">
      <c r="A501" t="str">
        <f t="shared" si="17"/>
        <v>Bishdariels Warnung</v>
      </c>
      <c r="J501" t="s">
        <v>1321</v>
      </c>
      <c r="T501" t="s">
        <v>1321</v>
      </c>
      <c r="U501" t="s">
        <v>1321</v>
      </c>
      <c r="V501" t="s">
        <v>1321</v>
      </c>
      <c r="W501" t="s">
        <v>1321</v>
      </c>
      <c r="X501" t="s">
        <v>1321</v>
      </c>
      <c r="Y501" t="s">
        <v>1321</v>
      </c>
      <c r="Z501" t="s">
        <v>1321</v>
      </c>
      <c r="AA501" t="s">
        <v>1321</v>
      </c>
      <c r="AB501" t="s">
        <v>1321</v>
      </c>
      <c r="AC501" t="s">
        <v>1321</v>
      </c>
      <c r="AD501" t="s">
        <v>1321</v>
      </c>
      <c r="AE501" t="s">
        <v>1321</v>
      </c>
      <c r="AG501" t="s">
        <v>1321</v>
      </c>
      <c r="AI501" t="s">
        <v>1321</v>
      </c>
      <c r="AS501" t="s">
        <v>4569</v>
      </c>
      <c r="AT501" t="s">
        <v>4569</v>
      </c>
      <c r="AU501" t="s">
        <v>4569</v>
      </c>
      <c r="AV501" t="s">
        <v>4569</v>
      </c>
      <c r="BJ501" t="s">
        <v>4569</v>
      </c>
      <c r="BK501" t="s">
        <v>4569</v>
      </c>
      <c r="BM501" t="s">
        <v>4569</v>
      </c>
      <c r="BN501" t="s">
        <v>4569</v>
      </c>
      <c r="BO501" t="s">
        <v>4569</v>
      </c>
      <c r="BP501" t="s">
        <v>4569</v>
      </c>
      <c r="BQ501" t="s">
        <v>4569</v>
      </c>
      <c r="BR501" t="s">
        <v>4569</v>
      </c>
      <c r="BS501" t="s">
        <v>4569</v>
      </c>
      <c r="DA501" t="s">
        <v>4569</v>
      </c>
      <c r="DB501" t="s">
        <v>4569</v>
      </c>
      <c r="DC501" t="s">
        <v>4569</v>
      </c>
      <c r="EK501" t="s">
        <v>1321</v>
      </c>
      <c r="EL501" t="s">
        <v>1321</v>
      </c>
      <c r="EM501" t="s">
        <v>1321</v>
      </c>
      <c r="EN501" t="s">
        <v>1321</v>
      </c>
      <c r="EP501" t="s">
        <v>1321</v>
      </c>
      <c r="EQ501" t="s">
        <v>1321</v>
      </c>
      <c r="ER501" t="s">
        <v>1321</v>
      </c>
      <c r="FF501" t="s">
        <v>4569</v>
      </c>
    </row>
    <row r="502" spans="1:183" x14ac:dyDescent="0.2">
      <c r="A502" t="str">
        <f t="shared" si="17"/>
        <v>Blick der Weberin</v>
      </c>
      <c r="AS502" t="s">
        <v>4569</v>
      </c>
      <c r="AT502" t="s">
        <v>4569</v>
      </c>
      <c r="AU502" t="s">
        <v>4569</v>
      </c>
      <c r="AV502" t="s">
        <v>4569</v>
      </c>
      <c r="AZ502" t="s">
        <v>1321</v>
      </c>
      <c r="BA502" t="s">
        <v>1321</v>
      </c>
      <c r="BB502" t="s">
        <v>1321</v>
      </c>
      <c r="BC502" t="s">
        <v>1321</v>
      </c>
      <c r="BD502" t="s">
        <v>1321</v>
      </c>
      <c r="BG502" t="s">
        <v>1321</v>
      </c>
      <c r="BJ502" t="s">
        <v>4569</v>
      </c>
      <c r="BK502" t="s">
        <v>4569</v>
      </c>
      <c r="BM502" t="s">
        <v>4569</v>
      </c>
      <c r="BN502" t="s">
        <v>4569</v>
      </c>
      <c r="BO502" t="s">
        <v>4569</v>
      </c>
      <c r="BP502" t="s">
        <v>4569</v>
      </c>
      <c r="BQ502" t="s">
        <v>4569</v>
      </c>
      <c r="BR502" t="s">
        <v>4569</v>
      </c>
      <c r="BS502" t="s">
        <v>4569</v>
      </c>
      <c r="DA502" t="s">
        <v>4569</v>
      </c>
      <c r="DB502" t="s">
        <v>4569</v>
      </c>
      <c r="DC502" t="s">
        <v>4569</v>
      </c>
      <c r="EX502" t="s">
        <v>1321</v>
      </c>
      <c r="EZ502" t="s">
        <v>1321</v>
      </c>
      <c r="FA502" t="s">
        <v>1321</v>
      </c>
      <c r="FF502" t="s">
        <v>4569</v>
      </c>
    </row>
    <row r="503" spans="1:183" x14ac:dyDescent="0.2">
      <c r="A503" t="str">
        <f t="shared" si="17"/>
        <v>Blick durch Tairachs Augen</v>
      </c>
      <c r="AS503" t="s">
        <v>4569</v>
      </c>
      <c r="AT503" t="s">
        <v>4569</v>
      </c>
      <c r="AU503" t="s">
        <v>4569</v>
      </c>
      <c r="AV503" t="s">
        <v>4569</v>
      </c>
      <c r="BJ503" t="s">
        <v>4569</v>
      </c>
      <c r="BK503" t="s">
        <v>4569</v>
      </c>
      <c r="BM503" t="s">
        <v>4569</v>
      </c>
      <c r="BN503" t="s">
        <v>4569</v>
      </c>
      <c r="BO503" t="s">
        <v>4569</v>
      </c>
      <c r="BP503" t="s">
        <v>4569</v>
      </c>
      <c r="BQ503" t="s">
        <v>4569</v>
      </c>
      <c r="BR503" t="s">
        <v>4569</v>
      </c>
      <c r="BS503" t="s">
        <v>4569</v>
      </c>
      <c r="DA503" t="s">
        <v>4569</v>
      </c>
      <c r="DB503" t="s">
        <v>4569</v>
      </c>
      <c r="DC503" t="s">
        <v>4569</v>
      </c>
      <c r="FF503" t="s">
        <v>4569</v>
      </c>
    </row>
    <row r="504" spans="1:183" x14ac:dyDescent="0.2">
      <c r="A504" t="str">
        <f t="shared" si="17"/>
        <v>Blick in die Flammen</v>
      </c>
      <c r="C504" t="s">
        <v>1321</v>
      </c>
      <c r="D504" t="s">
        <v>1321</v>
      </c>
      <c r="E504" t="s">
        <v>1752</v>
      </c>
      <c r="F504" t="s">
        <v>1321</v>
      </c>
      <c r="AS504" t="s">
        <v>4569</v>
      </c>
      <c r="AT504" t="s">
        <v>4569</v>
      </c>
      <c r="AU504" t="s">
        <v>4569</v>
      </c>
      <c r="AV504" t="s">
        <v>4569</v>
      </c>
      <c r="BJ504" t="s">
        <v>1321</v>
      </c>
      <c r="BK504" t="s">
        <v>1321</v>
      </c>
      <c r="BM504" t="s">
        <v>4569</v>
      </c>
      <c r="BN504" t="s">
        <v>4569</v>
      </c>
      <c r="BO504" t="s">
        <v>4569</v>
      </c>
      <c r="BP504" t="s">
        <v>4569</v>
      </c>
      <c r="BQ504" t="s">
        <v>4569</v>
      </c>
      <c r="BR504" t="s">
        <v>4569</v>
      </c>
      <c r="BS504" t="s">
        <v>4569</v>
      </c>
      <c r="DA504" t="s">
        <v>4569</v>
      </c>
      <c r="DB504" t="s">
        <v>4569</v>
      </c>
      <c r="DC504" t="s">
        <v>4569</v>
      </c>
      <c r="EH504" t="s">
        <v>1321</v>
      </c>
      <c r="FE504" t="s">
        <v>1321</v>
      </c>
      <c r="FF504" t="s">
        <v>1321</v>
      </c>
    </row>
    <row r="505" spans="1:183" x14ac:dyDescent="0.2">
      <c r="A505" t="str">
        <f t="shared" si="17"/>
        <v>Blutschwur</v>
      </c>
    </row>
    <row r="506" spans="1:183" x14ac:dyDescent="0.2">
      <c r="A506" t="str">
        <f t="shared" si="17"/>
        <v>Bootssegen</v>
      </c>
      <c r="AO506" t="s">
        <v>1321</v>
      </c>
      <c r="AP506" t="s">
        <v>1321</v>
      </c>
      <c r="AQ506" t="s">
        <v>1752</v>
      </c>
      <c r="AR506" t="s">
        <v>1321</v>
      </c>
      <c r="AS506" t="s">
        <v>4569</v>
      </c>
      <c r="AT506" t="s">
        <v>4569</v>
      </c>
      <c r="AU506" t="s">
        <v>4569</v>
      </c>
      <c r="AV506" t="s">
        <v>4569</v>
      </c>
      <c r="BJ506" t="s">
        <v>4569</v>
      </c>
      <c r="BK506" t="s">
        <v>4569</v>
      </c>
      <c r="BM506" t="s">
        <v>4569</v>
      </c>
      <c r="BN506" t="s">
        <v>4569</v>
      </c>
      <c r="BO506" t="s">
        <v>4569</v>
      </c>
      <c r="BP506" t="s">
        <v>4569</v>
      </c>
      <c r="BQ506" t="s">
        <v>4569</v>
      </c>
      <c r="BR506" t="s">
        <v>4569</v>
      </c>
      <c r="BS506" t="s">
        <v>4569</v>
      </c>
      <c r="CV506" t="s">
        <v>1321</v>
      </c>
      <c r="CW506" t="s">
        <v>1321</v>
      </c>
      <c r="DA506" t="s">
        <v>4569</v>
      </c>
      <c r="DB506" t="s">
        <v>4569</v>
      </c>
      <c r="DC506" t="s">
        <v>4569</v>
      </c>
      <c r="ET506" t="s">
        <v>1321</v>
      </c>
      <c r="EU506" t="s">
        <v>1321</v>
      </c>
      <c r="FF506" t="s">
        <v>4569</v>
      </c>
      <c r="FW506" t="s">
        <v>1321</v>
      </c>
    </row>
    <row r="507" spans="1:183" x14ac:dyDescent="0.2">
      <c r="A507" t="str">
        <f t="shared" si="17"/>
        <v>Buchprüfung</v>
      </c>
      <c r="AS507" t="s">
        <v>4569</v>
      </c>
      <c r="AT507" t="s">
        <v>4569</v>
      </c>
      <c r="AU507" t="s">
        <v>4569</v>
      </c>
      <c r="AV507" t="s">
        <v>4569</v>
      </c>
      <c r="BJ507" t="s">
        <v>4569</v>
      </c>
      <c r="BK507" t="s">
        <v>4569</v>
      </c>
      <c r="BM507" t="s">
        <v>4569</v>
      </c>
      <c r="BN507" t="s">
        <v>4569</v>
      </c>
      <c r="BO507" t="s">
        <v>4569</v>
      </c>
      <c r="BP507" t="s">
        <v>4569</v>
      </c>
      <c r="BQ507" t="s">
        <v>4569</v>
      </c>
      <c r="BR507" t="s">
        <v>4569</v>
      </c>
      <c r="BS507" t="s">
        <v>4569</v>
      </c>
      <c r="BT507" t="s">
        <v>1321</v>
      </c>
      <c r="BU507" t="s">
        <v>1321</v>
      </c>
      <c r="BV507" t="s">
        <v>1321</v>
      </c>
      <c r="BW507" t="s">
        <v>1321</v>
      </c>
      <c r="BX507" t="s">
        <v>4588</v>
      </c>
      <c r="BY507" t="s">
        <v>1321</v>
      </c>
      <c r="BZ507" t="s">
        <v>1321</v>
      </c>
      <c r="CA507" t="s">
        <v>1321</v>
      </c>
      <c r="DA507" t="s">
        <v>4569</v>
      </c>
      <c r="DB507" t="s">
        <v>4569</v>
      </c>
      <c r="DC507" t="s">
        <v>4569</v>
      </c>
      <c r="FF507" t="s">
        <v>4569</v>
      </c>
      <c r="FK507" t="s">
        <v>1321</v>
      </c>
      <c r="FL507" t="s">
        <v>1321</v>
      </c>
      <c r="FM507" t="s">
        <v>1321</v>
      </c>
      <c r="FN507" t="s">
        <v>1321</v>
      </c>
    </row>
    <row r="508" spans="1:183" x14ac:dyDescent="0.2">
      <c r="A508" t="str">
        <f t="shared" si="17"/>
        <v>Bund von Feuer und Erz</v>
      </c>
    </row>
    <row r="509" spans="1:183" x14ac:dyDescent="0.2">
      <c r="A509" t="str">
        <f t="shared" si="17"/>
        <v>Conagas Ruf</v>
      </c>
    </row>
    <row r="510" spans="1:183" x14ac:dyDescent="0.2">
      <c r="A510" t="str">
        <f t="shared" si="17"/>
        <v>Daradors prüfender Blick</v>
      </c>
      <c r="AS510" t="s">
        <v>4569</v>
      </c>
      <c r="AT510" t="s">
        <v>4569</v>
      </c>
      <c r="AU510" t="s">
        <v>4569</v>
      </c>
      <c r="AV510" t="s">
        <v>4569</v>
      </c>
      <c r="BJ510" t="s">
        <v>4569</v>
      </c>
      <c r="BK510" t="s">
        <v>4569</v>
      </c>
      <c r="BM510" t="s">
        <v>4569</v>
      </c>
      <c r="BN510" t="s">
        <v>4569</v>
      </c>
      <c r="BO510" t="s">
        <v>4569</v>
      </c>
      <c r="BP510" t="s">
        <v>4569</v>
      </c>
      <c r="BQ510" t="s">
        <v>4569</v>
      </c>
      <c r="BR510" t="s">
        <v>4569</v>
      </c>
      <c r="BS510" t="s">
        <v>4569</v>
      </c>
      <c r="CB510" t="s">
        <v>1321</v>
      </c>
      <c r="CC510" t="s">
        <v>1321</v>
      </c>
      <c r="CE510" t="s">
        <v>1321</v>
      </c>
      <c r="DA510" t="s">
        <v>4569</v>
      </c>
      <c r="DB510" t="s">
        <v>4569</v>
      </c>
      <c r="DC510" t="s">
        <v>4569</v>
      </c>
      <c r="FF510" t="s">
        <v>4569</v>
      </c>
      <c r="FO510" t="s">
        <v>1321</v>
      </c>
      <c r="FP510" t="s">
        <v>1321</v>
      </c>
      <c r="FQ510" t="s">
        <v>1321</v>
      </c>
      <c r="FR510" t="s">
        <v>1321</v>
      </c>
    </row>
    <row r="511" spans="1:183" x14ac:dyDescent="0.2">
      <c r="A511" t="str">
        <f t="shared" si="17"/>
        <v>Des Einen bezaubernder Sphärenklang</v>
      </c>
    </row>
    <row r="512" spans="1:183" x14ac:dyDescent="0.2">
      <c r="A512" t="str">
        <f t="shared" si="17"/>
        <v>Dreifacher Saatsegen</v>
      </c>
      <c r="AS512" t="s">
        <v>4569</v>
      </c>
      <c r="AT512" t="s">
        <v>4569</v>
      </c>
      <c r="AU512" t="s">
        <v>4569</v>
      </c>
      <c r="AV512" t="s">
        <v>4569</v>
      </c>
      <c r="BJ512" t="s">
        <v>4569</v>
      </c>
      <c r="BK512" t="s">
        <v>4569</v>
      </c>
      <c r="BM512" t="s">
        <v>4569</v>
      </c>
      <c r="BN512" t="s">
        <v>4569</v>
      </c>
      <c r="BO512" t="s">
        <v>4569</v>
      </c>
      <c r="BP512" t="s">
        <v>4569</v>
      </c>
      <c r="BQ512" t="s">
        <v>1752</v>
      </c>
      <c r="BR512" t="s">
        <v>1321</v>
      </c>
      <c r="BS512" t="s">
        <v>1321</v>
      </c>
      <c r="DA512" t="s">
        <v>4569</v>
      </c>
      <c r="DB512" t="s">
        <v>4569</v>
      </c>
      <c r="DC512" t="s">
        <v>4569</v>
      </c>
      <c r="FF512" t="s">
        <v>4569</v>
      </c>
      <c r="FI512" t="s">
        <v>1321</v>
      </c>
      <c r="FJ512" t="s">
        <v>1321</v>
      </c>
    </row>
    <row r="513" spans="1:183" x14ac:dyDescent="0.2">
      <c r="A513" t="str">
        <f t="shared" si="17"/>
        <v>Efferdsegen</v>
      </c>
      <c r="AO513" t="s">
        <v>1321</v>
      </c>
      <c r="AP513" t="s">
        <v>1752</v>
      </c>
      <c r="AQ513" t="s">
        <v>1321</v>
      </c>
      <c r="AR513" t="s">
        <v>1321</v>
      </c>
      <c r="AS513" t="s">
        <v>4569</v>
      </c>
      <c r="AT513" t="s">
        <v>4569</v>
      </c>
      <c r="AU513" t="s">
        <v>4569</v>
      </c>
      <c r="AV513" t="s">
        <v>4569</v>
      </c>
      <c r="BJ513" t="s">
        <v>4569</v>
      </c>
      <c r="BK513" t="s">
        <v>4569</v>
      </c>
      <c r="BM513" t="s">
        <v>4569</v>
      </c>
      <c r="BN513" t="s">
        <v>4569</v>
      </c>
      <c r="BO513" t="s">
        <v>4569</v>
      </c>
      <c r="BP513" t="s">
        <v>4569</v>
      </c>
      <c r="BQ513" t="s">
        <v>4569</v>
      </c>
      <c r="BR513" t="s">
        <v>4569</v>
      </c>
      <c r="BS513" t="s">
        <v>4569</v>
      </c>
      <c r="DA513" t="s">
        <v>4569</v>
      </c>
      <c r="DB513" t="s">
        <v>4569</v>
      </c>
      <c r="DC513" t="s">
        <v>4569</v>
      </c>
      <c r="ET513" t="s">
        <v>1321</v>
      </c>
      <c r="EU513" t="s">
        <v>1321</v>
      </c>
      <c r="FF513" t="s">
        <v>4569</v>
      </c>
    </row>
    <row r="514" spans="1:183" x14ac:dyDescent="0.2">
      <c r="A514" t="str">
        <f t="shared" si="17"/>
        <v>Eidechsenhaut</v>
      </c>
      <c r="AS514" t="s">
        <v>4569</v>
      </c>
      <c r="AT514" t="s">
        <v>4569</v>
      </c>
      <c r="AU514" t="s">
        <v>4569</v>
      </c>
      <c r="AV514" t="s">
        <v>4569</v>
      </c>
      <c r="BJ514" t="s">
        <v>4569</v>
      </c>
      <c r="BK514" t="s">
        <v>4569</v>
      </c>
      <c r="BM514" t="s">
        <v>4569</v>
      </c>
      <c r="BN514" t="s">
        <v>4569</v>
      </c>
      <c r="BO514" t="s">
        <v>4569</v>
      </c>
      <c r="BP514" t="s">
        <v>4569</v>
      </c>
      <c r="BQ514" t="s">
        <v>4569</v>
      </c>
      <c r="BR514" t="s">
        <v>4569</v>
      </c>
      <c r="BS514" t="s">
        <v>4569</v>
      </c>
      <c r="DA514" t="s">
        <v>1321</v>
      </c>
      <c r="DB514" t="s">
        <v>1321</v>
      </c>
      <c r="DC514" t="s">
        <v>1321</v>
      </c>
      <c r="DD514" t="s">
        <v>1752</v>
      </c>
      <c r="FF514" t="s">
        <v>4569</v>
      </c>
      <c r="GA514" t="s">
        <v>1321</v>
      </c>
    </row>
    <row r="515" spans="1:183" x14ac:dyDescent="0.2">
      <c r="A515" t="str">
        <f t="shared" si="17"/>
        <v>Erzieherische Massnahme der Heiligen Yalsicena</v>
      </c>
    </row>
    <row r="516" spans="1:183" x14ac:dyDescent="0.2">
      <c r="A516" t="str">
        <f t="shared" si="17"/>
        <v>Etilias Gnade</v>
      </c>
      <c r="AI516" t="s">
        <v>1321</v>
      </c>
      <c r="AS516" t="s">
        <v>4569</v>
      </c>
      <c r="AT516" t="s">
        <v>4569</v>
      </c>
      <c r="AU516" t="s">
        <v>4569</v>
      </c>
      <c r="AV516" t="s">
        <v>4569</v>
      </c>
      <c r="BJ516" t="s">
        <v>4569</v>
      </c>
      <c r="BK516" t="s">
        <v>4569</v>
      </c>
      <c r="BM516" t="s">
        <v>4569</v>
      </c>
      <c r="BN516" t="s">
        <v>4569</v>
      </c>
      <c r="BO516" t="s">
        <v>4569</v>
      </c>
      <c r="BP516" t="s">
        <v>4569</v>
      </c>
      <c r="BQ516" t="s">
        <v>4569</v>
      </c>
      <c r="BR516" t="s">
        <v>4569</v>
      </c>
      <c r="BS516" t="s">
        <v>4569</v>
      </c>
      <c r="DA516" t="s">
        <v>4569</v>
      </c>
      <c r="DB516" t="s">
        <v>4569</v>
      </c>
      <c r="DC516" t="s">
        <v>4569</v>
      </c>
      <c r="EK516" t="s">
        <v>1321</v>
      </c>
      <c r="EL516" t="s">
        <v>1321</v>
      </c>
      <c r="EM516" t="s">
        <v>1321</v>
      </c>
      <c r="EN516" t="s">
        <v>1321</v>
      </c>
      <c r="EP516" t="s">
        <v>1321</v>
      </c>
      <c r="EQ516" t="s">
        <v>1321</v>
      </c>
      <c r="ER516" t="s">
        <v>1321</v>
      </c>
      <c r="FF516" t="s">
        <v>4569</v>
      </c>
    </row>
    <row r="517" spans="1:183" x14ac:dyDescent="0.2">
      <c r="A517" t="str">
        <f t="shared" si="17"/>
        <v>Exkommunikation</v>
      </c>
      <c r="C517" t="s">
        <v>1321</v>
      </c>
      <c r="D517" t="s">
        <v>1321</v>
      </c>
      <c r="E517" t="s">
        <v>1321</v>
      </c>
      <c r="F517" t="s">
        <v>1321</v>
      </c>
      <c r="G517" t="s">
        <v>1321</v>
      </c>
      <c r="I517" t="s">
        <v>1321</v>
      </c>
      <c r="J517" t="s">
        <v>1321</v>
      </c>
      <c r="K517" t="s">
        <v>1321</v>
      </c>
      <c r="L517" t="s">
        <v>1321</v>
      </c>
      <c r="M517" t="s">
        <v>1321</v>
      </c>
      <c r="N517" t="s">
        <v>1321</v>
      </c>
      <c r="O517" t="s">
        <v>1321</v>
      </c>
      <c r="P517" t="s">
        <v>1321</v>
      </c>
      <c r="Q517" t="s">
        <v>1321</v>
      </c>
      <c r="R517" t="s">
        <v>1321</v>
      </c>
      <c r="S517" t="s">
        <v>1321</v>
      </c>
      <c r="T517" t="s">
        <v>1321</v>
      </c>
      <c r="U517" t="s">
        <v>1321</v>
      </c>
      <c r="V517" t="s">
        <v>1321</v>
      </c>
      <c r="W517" t="s">
        <v>1321</v>
      </c>
      <c r="X517" t="s">
        <v>1321</v>
      </c>
      <c r="Y517" t="s">
        <v>1321</v>
      </c>
      <c r="Z517" t="s">
        <v>1321</v>
      </c>
      <c r="AA517" t="s">
        <v>1321</v>
      </c>
      <c r="AB517" t="s">
        <v>1321</v>
      </c>
      <c r="AC517" t="s">
        <v>1321</v>
      </c>
      <c r="AD517" t="s">
        <v>1321</v>
      </c>
      <c r="AE517" t="s">
        <v>1321</v>
      </c>
      <c r="AG517" t="s">
        <v>1321</v>
      </c>
      <c r="AI517" t="s">
        <v>1321</v>
      </c>
      <c r="AO517" t="s">
        <v>1321</v>
      </c>
      <c r="AP517" t="s">
        <v>1321</v>
      </c>
      <c r="AQ517" t="s">
        <v>1321</v>
      </c>
      <c r="AR517" t="s">
        <v>1321</v>
      </c>
      <c r="AS517" t="s">
        <v>1321</v>
      </c>
      <c r="AT517" t="s">
        <v>1321</v>
      </c>
      <c r="AU517" t="s">
        <v>1321</v>
      </c>
      <c r="AV517" t="s">
        <v>1321</v>
      </c>
      <c r="AZ517" t="s">
        <v>1321</v>
      </c>
      <c r="BA517" t="s">
        <v>1321</v>
      </c>
      <c r="BB517" t="s">
        <v>1321</v>
      </c>
      <c r="BC517" t="s">
        <v>1321</v>
      </c>
      <c r="BD517" t="s">
        <v>1321</v>
      </c>
      <c r="BG517" t="s">
        <v>1321</v>
      </c>
      <c r="BH517" t="s">
        <v>1321</v>
      </c>
      <c r="BI517" t="s">
        <v>1321</v>
      </c>
      <c r="BJ517" t="s">
        <v>1321</v>
      </c>
      <c r="BK517" t="s">
        <v>1321</v>
      </c>
      <c r="BL517" t="s">
        <v>1321</v>
      </c>
      <c r="BM517" t="s">
        <v>1321</v>
      </c>
      <c r="BN517" t="s">
        <v>1321</v>
      </c>
      <c r="BO517" t="s">
        <v>1321</v>
      </c>
      <c r="BP517" t="s">
        <v>1321</v>
      </c>
      <c r="BQ517" t="s">
        <v>1321</v>
      </c>
      <c r="BR517" t="s">
        <v>1321</v>
      </c>
      <c r="BS517" t="s">
        <v>1321</v>
      </c>
      <c r="BT517" t="s">
        <v>1321</v>
      </c>
      <c r="BU517" t="s">
        <v>1321</v>
      </c>
      <c r="BV517" t="s">
        <v>1321</v>
      </c>
      <c r="BW517" t="s">
        <v>1321</v>
      </c>
      <c r="BX517" t="s">
        <v>1321</v>
      </c>
      <c r="BY517" t="s">
        <v>1321</v>
      </c>
      <c r="BZ517" t="s">
        <v>1321</v>
      </c>
      <c r="CA517" t="s">
        <v>1321</v>
      </c>
      <c r="CB517" t="s">
        <v>1321</v>
      </c>
      <c r="CC517" t="s">
        <v>1321</v>
      </c>
      <c r="CE517" t="s">
        <v>1321</v>
      </c>
      <c r="CF517" t="s">
        <v>1321</v>
      </c>
      <c r="CG517" t="s">
        <v>1321</v>
      </c>
      <c r="CH517" t="s">
        <v>1321</v>
      </c>
      <c r="CI517" t="s">
        <v>1321</v>
      </c>
      <c r="CL517" t="s">
        <v>1321</v>
      </c>
      <c r="CM517" t="s">
        <v>1321</v>
      </c>
      <c r="CN517" t="s">
        <v>1321</v>
      </c>
      <c r="CO517" t="s">
        <v>1321</v>
      </c>
      <c r="CP517" t="s">
        <v>1321</v>
      </c>
      <c r="CV517" t="s">
        <v>1321</v>
      </c>
      <c r="CW517" t="s">
        <v>1321</v>
      </c>
      <c r="CX517" t="s">
        <v>1321</v>
      </c>
      <c r="CY517" t="s">
        <v>1321</v>
      </c>
      <c r="DA517" t="s">
        <v>1321</v>
      </c>
      <c r="DB517" t="s">
        <v>1321</v>
      </c>
      <c r="DC517" t="s">
        <v>1321</v>
      </c>
      <c r="DD517" t="s">
        <v>1321</v>
      </c>
      <c r="EH517" t="s">
        <v>1321</v>
      </c>
      <c r="EI517" t="s">
        <v>1321</v>
      </c>
      <c r="EJ517" t="s">
        <v>1321</v>
      </c>
      <c r="EK517" t="s">
        <v>1321</v>
      </c>
      <c r="EL517" t="s">
        <v>1321</v>
      </c>
      <c r="EM517" t="s">
        <v>1321</v>
      </c>
      <c r="EN517" t="s">
        <v>1321</v>
      </c>
      <c r="EO517" t="s">
        <v>1321</v>
      </c>
      <c r="EP517" t="s">
        <v>1321</v>
      </c>
      <c r="EQ517" t="s">
        <v>1321</v>
      </c>
      <c r="ER517" t="s">
        <v>1321</v>
      </c>
      <c r="ET517" t="s">
        <v>1321</v>
      </c>
      <c r="EU517" t="s">
        <v>1321</v>
      </c>
      <c r="EV517" t="s">
        <v>1321</v>
      </c>
      <c r="EX517" t="s">
        <v>1321</v>
      </c>
      <c r="EZ517" t="s">
        <v>1321</v>
      </c>
      <c r="FA517" t="s">
        <v>1321</v>
      </c>
      <c r="FE517" t="s">
        <v>1321</v>
      </c>
      <c r="FF517" t="s">
        <v>1321</v>
      </c>
      <c r="FG517" t="s">
        <v>1321</v>
      </c>
      <c r="FH517" t="s">
        <v>1321</v>
      </c>
      <c r="FI517" t="s">
        <v>1321</v>
      </c>
      <c r="FJ517" t="s">
        <v>1321</v>
      </c>
      <c r="FK517" t="s">
        <v>1321</v>
      </c>
      <c r="FL517" t="s">
        <v>1321</v>
      </c>
      <c r="FM517" t="s">
        <v>1321</v>
      </c>
      <c r="FN517" t="s">
        <v>1321</v>
      </c>
      <c r="FO517" t="s">
        <v>1321</v>
      </c>
      <c r="FP517" t="s">
        <v>1321</v>
      </c>
      <c r="FQ517" t="s">
        <v>1321</v>
      </c>
      <c r="FR517" t="s">
        <v>1321</v>
      </c>
      <c r="FS517" t="s">
        <v>1321</v>
      </c>
      <c r="FT517" t="s">
        <v>1321</v>
      </c>
      <c r="FU517" t="s">
        <v>1321</v>
      </c>
      <c r="FW517" t="s">
        <v>1321</v>
      </c>
      <c r="FX517" t="s">
        <v>1321</v>
      </c>
      <c r="FY517" t="s">
        <v>1321</v>
      </c>
      <c r="FZ517" t="s">
        <v>1321</v>
      </c>
      <c r="GA517" t="s">
        <v>1321</v>
      </c>
    </row>
    <row r="518" spans="1:183" x14ac:dyDescent="0.2">
      <c r="A518" t="str">
        <f t="shared" si="17"/>
        <v>Exorzismus</v>
      </c>
      <c r="C518" t="s">
        <v>1321</v>
      </c>
      <c r="D518" t="s">
        <v>1321</v>
      </c>
      <c r="E518" t="s">
        <v>1321</v>
      </c>
      <c r="F518" t="s">
        <v>1321</v>
      </c>
      <c r="G518" t="s">
        <v>1321</v>
      </c>
      <c r="AO518" t="s">
        <v>1321</v>
      </c>
      <c r="AP518" t="s">
        <v>1321</v>
      </c>
      <c r="AQ518" t="s">
        <v>1321</v>
      </c>
      <c r="AR518" t="s">
        <v>1321</v>
      </c>
      <c r="AS518" t="s">
        <v>1321</v>
      </c>
      <c r="AT518" t="s">
        <v>1321</v>
      </c>
      <c r="AU518" t="s">
        <v>1752</v>
      </c>
      <c r="AV518" t="s">
        <v>1321</v>
      </c>
      <c r="AZ518" t="s">
        <v>1321</v>
      </c>
      <c r="BA518" t="s">
        <v>1321</v>
      </c>
      <c r="BB518" t="s">
        <v>1321</v>
      </c>
      <c r="BC518" t="s">
        <v>1321</v>
      </c>
      <c r="BD518" t="s">
        <v>1321</v>
      </c>
      <c r="BG518" t="s">
        <v>1321</v>
      </c>
      <c r="BH518" t="s">
        <v>1321</v>
      </c>
      <c r="BI518" t="s">
        <v>1321</v>
      </c>
      <c r="BJ518" t="s">
        <v>1321</v>
      </c>
      <c r="BK518" t="s">
        <v>1321</v>
      </c>
      <c r="BL518" t="s">
        <v>1321</v>
      </c>
      <c r="BM518" t="s">
        <v>1321</v>
      </c>
      <c r="BN518" t="s">
        <v>1321</v>
      </c>
      <c r="BO518" t="s">
        <v>1321</v>
      </c>
      <c r="BP518" t="s">
        <v>1321</v>
      </c>
      <c r="BQ518" t="s">
        <v>4569</v>
      </c>
      <c r="BR518" t="s">
        <v>4569</v>
      </c>
      <c r="BS518" t="s">
        <v>4569</v>
      </c>
      <c r="BT518" t="s">
        <v>1321</v>
      </c>
      <c r="BU518" t="s">
        <v>1321</v>
      </c>
      <c r="BV518" t="s">
        <v>1321</v>
      </c>
      <c r="BW518" t="s">
        <v>1321</v>
      </c>
      <c r="BX518" t="s">
        <v>1321</v>
      </c>
      <c r="BY518" t="s">
        <v>1321</v>
      </c>
      <c r="BZ518" t="s">
        <v>1321</v>
      </c>
      <c r="CA518" t="s">
        <v>1321</v>
      </c>
      <c r="CB518" t="s">
        <v>4588</v>
      </c>
      <c r="CC518" t="s">
        <v>4588</v>
      </c>
      <c r="CE518" t="s">
        <v>4588</v>
      </c>
      <c r="CF518" t="s">
        <v>1321</v>
      </c>
      <c r="CG518" t="s">
        <v>1321</v>
      </c>
      <c r="CH518" t="s">
        <v>1321</v>
      </c>
      <c r="CI518" t="s">
        <v>1321</v>
      </c>
      <c r="CL518" t="s">
        <v>1321</v>
      </c>
      <c r="CM518" t="s">
        <v>1321</v>
      </c>
      <c r="CN518" t="s">
        <v>1321</v>
      </c>
      <c r="CO518" t="s">
        <v>1321</v>
      </c>
      <c r="CP518" t="s">
        <v>1321</v>
      </c>
      <c r="CV518" t="s">
        <v>1321</v>
      </c>
      <c r="CW518" t="s">
        <v>1321</v>
      </c>
      <c r="CX518" t="s">
        <v>1321</v>
      </c>
      <c r="CY518" t="s">
        <v>1321</v>
      </c>
      <c r="DA518" t="s">
        <v>1321</v>
      </c>
      <c r="DB518" t="s">
        <v>1321</v>
      </c>
      <c r="DC518" t="s">
        <v>1321</v>
      </c>
      <c r="DD518" t="s">
        <v>1321</v>
      </c>
      <c r="DW518" t="s">
        <v>1321</v>
      </c>
      <c r="EH518" t="s">
        <v>1321</v>
      </c>
      <c r="EI518" t="s">
        <v>1321</v>
      </c>
      <c r="ET518" t="s">
        <v>1321</v>
      </c>
      <c r="EU518" t="s">
        <v>1321</v>
      </c>
      <c r="EV518" t="s">
        <v>1321</v>
      </c>
      <c r="EX518" t="s">
        <v>1321</v>
      </c>
      <c r="EZ518" t="s">
        <v>1321</v>
      </c>
      <c r="FA518" t="s">
        <v>1321</v>
      </c>
      <c r="FE518" t="s">
        <v>1321</v>
      </c>
      <c r="FF518" t="s">
        <v>1321</v>
      </c>
      <c r="FG518" t="s">
        <v>1321</v>
      </c>
      <c r="FH518" t="s">
        <v>1321</v>
      </c>
      <c r="FK518" t="s">
        <v>1321</v>
      </c>
      <c r="FL518" t="s">
        <v>1321</v>
      </c>
      <c r="FM518" t="s">
        <v>1321</v>
      </c>
      <c r="FN518" t="s">
        <v>1321</v>
      </c>
      <c r="FO518" t="s">
        <v>1321</v>
      </c>
      <c r="FP518" t="s">
        <v>1321</v>
      </c>
      <c r="FQ518" t="s">
        <v>1321</v>
      </c>
      <c r="FR518" t="s">
        <v>1321</v>
      </c>
      <c r="FS518" t="s">
        <v>1321</v>
      </c>
      <c r="FT518" t="s">
        <v>1321</v>
      </c>
      <c r="FU518" t="s">
        <v>1321</v>
      </c>
      <c r="FW518" t="s">
        <v>1321</v>
      </c>
      <c r="FX518" t="s">
        <v>1321</v>
      </c>
      <c r="FY518" t="s">
        <v>1321</v>
      </c>
      <c r="FZ518" t="s">
        <v>1321</v>
      </c>
      <c r="GA518" t="s">
        <v>1321</v>
      </c>
    </row>
    <row r="519" spans="1:183" x14ac:dyDescent="0.2">
      <c r="A519" t="str">
        <f t="shared" si="17"/>
        <v>Exorzismus-Zeremonie</v>
      </c>
      <c r="AS519" t="s">
        <v>4569</v>
      </c>
      <c r="AT519" t="s">
        <v>4569</v>
      </c>
      <c r="AU519" t="s">
        <v>4569</v>
      </c>
      <c r="AV519" t="s">
        <v>4569</v>
      </c>
      <c r="BJ519" t="s">
        <v>4569</v>
      </c>
      <c r="BK519" t="s">
        <v>4569</v>
      </c>
      <c r="BM519" t="s">
        <v>4569</v>
      </c>
      <c r="BN519" t="s">
        <v>4569</v>
      </c>
      <c r="BO519" t="s">
        <v>4569</v>
      </c>
      <c r="BP519" t="s">
        <v>4569</v>
      </c>
      <c r="BQ519" t="s">
        <v>4569</v>
      </c>
      <c r="BR519" t="s">
        <v>4569</v>
      </c>
      <c r="BS519" t="s">
        <v>4569</v>
      </c>
      <c r="DA519" t="s">
        <v>1321</v>
      </c>
      <c r="DB519" t="s">
        <v>1321</v>
      </c>
      <c r="DC519" t="s">
        <v>1321</v>
      </c>
      <c r="FF519" t="s">
        <v>4569</v>
      </c>
      <c r="GA519" t="s">
        <v>1321</v>
      </c>
    </row>
    <row r="520" spans="1:183" x14ac:dyDescent="0.2">
      <c r="A520" t="str">
        <f t="shared" si="17"/>
        <v>Firuns Zorn</v>
      </c>
    </row>
    <row r="521" spans="1:183" x14ac:dyDescent="0.2">
      <c r="A521" t="str">
        <f t="shared" si="17"/>
        <v>Flagge des Regenbogens</v>
      </c>
      <c r="G521" t="s">
        <v>1321</v>
      </c>
      <c r="AS521" t="s">
        <v>4569</v>
      </c>
      <c r="AT521" t="s">
        <v>4569</v>
      </c>
      <c r="AU521" t="s">
        <v>4569</v>
      </c>
      <c r="AV521" t="s">
        <v>4569</v>
      </c>
      <c r="BI521" t="s">
        <v>1321</v>
      </c>
      <c r="BJ521" t="s">
        <v>4569</v>
      </c>
      <c r="BK521" t="s">
        <v>4569</v>
      </c>
      <c r="BM521" t="s">
        <v>4569</v>
      </c>
      <c r="BN521" t="s">
        <v>4569</v>
      </c>
      <c r="BO521" t="s">
        <v>4569</v>
      </c>
      <c r="BP521" t="s">
        <v>4569</v>
      </c>
      <c r="BQ521" t="s">
        <v>4569</v>
      </c>
      <c r="BR521" t="s">
        <v>4569</v>
      </c>
      <c r="BS521" t="s">
        <v>4569</v>
      </c>
      <c r="CX521" t="s">
        <v>1321</v>
      </c>
      <c r="CY521" t="s">
        <v>1321</v>
      </c>
      <c r="DA521" t="s">
        <v>4569</v>
      </c>
      <c r="DB521" t="s">
        <v>4569</v>
      </c>
      <c r="DC521" t="s">
        <v>4569</v>
      </c>
      <c r="EI521" t="s">
        <v>1321</v>
      </c>
      <c r="FF521" t="s">
        <v>4569</v>
      </c>
      <c r="FX521" t="s">
        <v>1321</v>
      </c>
      <c r="FY521" t="s">
        <v>1321</v>
      </c>
      <c r="FZ521" t="s">
        <v>1321</v>
      </c>
    </row>
    <row r="522" spans="1:183" x14ac:dyDescent="0.2">
      <c r="A522" t="str">
        <f t="shared" si="17"/>
        <v>Freundliche Aufnahme</v>
      </c>
    </row>
    <row r="523" spans="1:183" x14ac:dyDescent="0.2">
      <c r="A523" t="str">
        <f t="shared" si="17"/>
        <v>Fürbitten des Heiligen Therbûn</v>
      </c>
      <c r="AS523" t="s">
        <v>4569</v>
      </c>
      <c r="AT523" t="s">
        <v>4569</v>
      </c>
      <c r="AU523" t="s">
        <v>4569</v>
      </c>
      <c r="AV523" t="s">
        <v>4569</v>
      </c>
      <c r="BJ523" t="s">
        <v>4569</v>
      </c>
      <c r="BK523" t="s">
        <v>4569</v>
      </c>
      <c r="BM523" t="s">
        <v>4569</v>
      </c>
      <c r="BN523" t="s">
        <v>4569</v>
      </c>
      <c r="BO523" t="s">
        <v>4569</v>
      </c>
      <c r="BP523" t="s">
        <v>4569</v>
      </c>
      <c r="BQ523" t="s">
        <v>1321</v>
      </c>
      <c r="BR523" t="s">
        <v>1752</v>
      </c>
      <c r="BS523" t="s">
        <v>1321</v>
      </c>
      <c r="DA523" t="s">
        <v>4569</v>
      </c>
      <c r="DB523" t="s">
        <v>4569</v>
      </c>
      <c r="DC523" t="s">
        <v>4569</v>
      </c>
      <c r="FF523" t="s">
        <v>4569</v>
      </c>
      <c r="FI523" t="s">
        <v>1321</v>
      </c>
      <c r="FJ523" t="s">
        <v>1321</v>
      </c>
    </row>
    <row r="524" spans="1:183" x14ac:dyDescent="0.2">
      <c r="A524" t="str">
        <f t="shared" si="17"/>
        <v>Gebet des kristallklaren Blicks</v>
      </c>
    </row>
    <row r="525" spans="1:183" x14ac:dyDescent="0.2">
      <c r="A525" t="str">
        <f t="shared" si="17"/>
        <v>Geistermantel</v>
      </c>
      <c r="AS525" t="s">
        <v>4569</v>
      </c>
      <c r="AT525" t="s">
        <v>4569</v>
      </c>
      <c r="AU525" t="s">
        <v>4569</v>
      </c>
      <c r="AV525" t="s">
        <v>4569</v>
      </c>
      <c r="BJ525" t="s">
        <v>4569</v>
      </c>
      <c r="BK525" t="s">
        <v>4569</v>
      </c>
      <c r="BM525" t="s">
        <v>4569</v>
      </c>
      <c r="BN525" t="s">
        <v>4569</v>
      </c>
      <c r="BO525" t="s">
        <v>4569</v>
      </c>
      <c r="BP525" t="s">
        <v>4569</v>
      </c>
      <c r="BQ525" t="s">
        <v>4569</v>
      </c>
      <c r="BR525" t="s">
        <v>4569</v>
      </c>
      <c r="BS525" t="s">
        <v>4569</v>
      </c>
      <c r="DA525" t="s">
        <v>4569</v>
      </c>
      <c r="DB525" t="s">
        <v>4569</v>
      </c>
      <c r="DC525" t="s">
        <v>4569</v>
      </c>
      <c r="FF525" t="s">
        <v>4569</v>
      </c>
    </row>
    <row r="526" spans="1:183" x14ac:dyDescent="0.2">
      <c r="A526" t="str">
        <f t="shared" si="17"/>
        <v>Geläutert sei Erz und Goldgestein</v>
      </c>
      <c r="C526" t="s">
        <v>1321</v>
      </c>
      <c r="D526" t="s">
        <v>1321</v>
      </c>
      <c r="E526" t="s">
        <v>1321</v>
      </c>
      <c r="F526" t="s">
        <v>1321</v>
      </c>
      <c r="AS526" t="s">
        <v>4569</v>
      </c>
      <c r="AT526" t="s">
        <v>4569</v>
      </c>
      <c r="AU526" t="s">
        <v>4569</v>
      </c>
      <c r="AV526" t="s">
        <v>4569</v>
      </c>
      <c r="BJ526" t="s">
        <v>4569</v>
      </c>
      <c r="BK526" t="s">
        <v>4569</v>
      </c>
      <c r="BM526" t="s">
        <v>4569</v>
      </c>
      <c r="BN526" t="s">
        <v>4569</v>
      </c>
      <c r="BO526" t="s">
        <v>4569</v>
      </c>
      <c r="BP526" t="s">
        <v>4569</v>
      </c>
      <c r="BQ526" t="s">
        <v>4569</v>
      </c>
      <c r="BR526" t="s">
        <v>4569</v>
      </c>
      <c r="BS526" t="s">
        <v>4569</v>
      </c>
      <c r="DA526" t="s">
        <v>4569</v>
      </c>
      <c r="DB526" t="s">
        <v>4569</v>
      </c>
      <c r="DC526" t="s">
        <v>4569</v>
      </c>
      <c r="DW526" t="s">
        <v>1321</v>
      </c>
      <c r="EH526" t="s">
        <v>1321</v>
      </c>
      <c r="FF526" t="s">
        <v>4569</v>
      </c>
    </row>
    <row r="527" spans="1:183" x14ac:dyDescent="0.2">
      <c r="A527" t="str">
        <f t="shared" si="17"/>
        <v>Gilborns heilige Aura</v>
      </c>
      <c r="AS527" t="s">
        <v>4569</v>
      </c>
      <c r="AT527" t="s">
        <v>4569</v>
      </c>
      <c r="AU527" t="s">
        <v>4569</v>
      </c>
      <c r="AV527" t="s">
        <v>4569</v>
      </c>
      <c r="BJ527" t="s">
        <v>4569</v>
      </c>
      <c r="BK527" t="s">
        <v>4569</v>
      </c>
      <c r="BM527" t="s">
        <v>4569</v>
      </c>
      <c r="BN527" t="s">
        <v>4569</v>
      </c>
      <c r="BO527" t="s">
        <v>4569</v>
      </c>
      <c r="BP527" t="s">
        <v>4569</v>
      </c>
      <c r="BQ527" t="s">
        <v>4569</v>
      </c>
      <c r="BR527" t="s">
        <v>4569</v>
      </c>
      <c r="BS527" t="s">
        <v>4569</v>
      </c>
      <c r="CB527" t="s">
        <v>1321</v>
      </c>
      <c r="CC527" t="s">
        <v>1321</v>
      </c>
      <c r="CE527" t="s">
        <v>1321</v>
      </c>
      <c r="DA527" t="s">
        <v>4569</v>
      </c>
      <c r="DB527" t="s">
        <v>4569</v>
      </c>
      <c r="DC527" t="s">
        <v>4569</v>
      </c>
      <c r="FF527" t="s">
        <v>4569</v>
      </c>
      <c r="FO527" t="s">
        <v>1321</v>
      </c>
      <c r="FP527" t="s">
        <v>1321</v>
      </c>
      <c r="FQ527" t="s">
        <v>1321</v>
      </c>
      <c r="FR527" t="s">
        <v>1321</v>
      </c>
    </row>
    <row r="528" spans="1:183" x14ac:dyDescent="0.2">
      <c r="A528" t="str">
        <f t="shared" si="17"/>
        <v>Goldener Blick</v>
      </c>
      <c r="C528" t="s">
        <v>1321</v>
      </c>
      <c r="D528" t="s">
        <v>1752</v>
      </c>
      <c r="E528" t="s">
        <v>1321</v>
      </c>
      <c r="F528" t="s">
        <v>1321</v>
      </c>
      <c r="AS528" t="s">
        <v>4569</v>
      </c>
      <c r="AT528" t="s">
        <v>4569</v>
      </c>
      <c r="AU528" t="s">
        <v>4569</v>
      </c>
      <c r="AV528" t="s">
        <v>4569</v>
      </c>
      <c r="BJ528" t="s">
        <v>1321</v>
      </c>
      <c r="BK528" t="s">
        <v>1321</v>
      </c>
      <c r="BM528" t="s">
        <v>4569</v>
      </c>
      <c r="BN528" t="s">
        <v>4569</v>
      </c>
      <c r="BO528" t="s">
        <v>4569</v>
      </c>
      <c r="BP528" t="s">
        <v>4569</v>
      </c>
      <c r="BQ528" t="s">
        <v>4569</v>
      </c>
      <c r="BR528" t="s">
        <v>4569</v>
      </c>
      <c r="BS528" t="s">
        <v>4569</v>
      </c>
      <c r="DA528" t="s">
        <v>4569</v>
      </c>
      <c r="DB528" t="s">
        <v>4569</v>
      </c>
      <c r="DC528" t="s">
        <v>4569</v>
      </c>
      <c r="DW528" t="s">
        <v>1321</v>
      </c>
      <c r="EH528" t="s">
        <v>1321</v>
      </c>
      <c r="FE528" t="s">
        <v>1321</v>
      </c>
      <c r="FF528" t="s">
        <v>1321</v>
      </c>
    </row>
    <row r="529" spans="1:183" x14ac:dyDescent="0.2">
      <c r="A529" t="str">
        <f t="shared" si="17"/>
        <v>Graues Siegel</v>
      </c>
      <c r="AS529" t="s">
        <v>4569</v>
      </c>
      <c r="AT529" t="s">
        <v>4569</v>
      </c>
      <c r="AU529" t="s">
        <v>4569</v>
      </c>
      <c r="AV529" t="s">
        <v>4569</v>
      </c>
      <c r="BJ529" t="s">
        <v>4569</v>
      </c>
      <c r="BK529" t="s">
        <v>4569</v>
      </c>
      <c r="BM529" t="s">
        <v>4569</v>
      </c>
      <c r="BN529" t="s">
        <v>4569</v>
      </c>
      <c r="BO529" t="s">
        <v>4569</v>
      </c>
      <c r="BP529" t="s">
        <v>4569</v>
      </c>
      <c r="BQ529" t="s">
        <v>4569</v>
      </c>
      <c r="BR529" t="s">
        <v>4569</v>
      </c>
      <c r="BS529" t="s">
        <v>4569</v>
      </c>
      <c r="BT529" t="s">
        <v>1321</v>
      </c>
      <c r="BU529" t="s">
        <v>1321</v>
      </c>
      <c r="BV529" t="s">
        <v>1321</v>
      </c>
      <c r="BW529" t="s">
        <v>1321</v>
      </c>
      <c r="BX529" t="s">
        <v>1321</v>
      </c>
      <c r="BY529" t="s">
        <v>1321</v>
      </c>
      <c r="BZ529" t="s">
        <v>4588</v>
      </c>
      <c r="CA529" t="s">
        <v>1321</v>
      </c>
      <c r="DA529" t="s">
        <v>4569</v>
      </c>
      <c r="DB529" t="s">
        <v>4569</v>
      </c>
      <c r="DC529" t="s">
        <v>4569</v>
      </c>
      <c r="FF529" t="s">
        <v>4569</v>
      </c>
      <c r="FK529" t="s">
        <v>1321</v>
      </c>
      <c r="FL529" t="s">
        <v>1321</v>
      </c>
      <c r="FM529" t="s">
        <v>1321</v>
      </c>
      <c r="FN529" t="s">
        <v>1321</v>
      </c>
    </row>
    <row r="530" spans="1:183" x14ac:dyDescent="0.2">
      <c r="A530" t="str">
        <f t="shared" si="17"/>
        <v>Grispelz' Ackersegen</v>
      </c>
      <c r="AS530" t="s">
        <v>4569</v>
      </c>
      <c r="AT530" t="s">
        <v>4569</v>
      </c>
      <c r="AU530" t="s">
        <v>4569</v>
      </c>
      <c r="AV530" t="s">
        <v>4569</v>
      </c>
      <c r="BJ530" t="s">
        <v>4569</v>
      </c>
      <c r="BK530" t="s">
        <v>4569</v>
      </c>
      <c r="BM530" t="s">
        <v>4569</v>
      </c>
      <c r="BN530" t="s">
        <v>4569</v>
      </c>
      <c r="BO530" t="s">
        <v>4569</v>
      </c>
      <c r="BP530" t="s">
        <v>4569</v>
      </c>
      <c r="BQ530" t="s">
        <v>4569</v>
      </c>
      <c r="BR530" t="s">
        <v>4569</v>
      </c>
      <c r="BS530" t="s">
        <v>4569</v>
      </c>
      <c r="DA530" t="s">
        <v>4569</v>
      </c>
      <c r="DB530" t="s">
        <v>4569</v>
      </c>
      <c r="DC530" t="s">
        <v>4569</v>
      </c>
      <c r="FF530" t="s">
        <v>4569</v>
      </c>
    </row>
    <row r="531" spans="1:183" x14ac:dyDescent="0.2">
      <c r="A531" t="str">
        <f t="shared" si="17"/>
        <v>Große Seelenwaschung</v>
      </c>
      <c r="AS531" t="s">
        <v>4569</v>
      </c>
      <c r="AT531" t="s">
        <v>4569</v>
      </c>
      <c r="AU531" t="s">
        <v>4569</v>
      </c>
      <c r="AV531" t="s">
        <v>4569</v>
      </c>
      <c r="BJ531" t="s">
        <v>4569</v>
      </c>
      <c r="BK531" t="s">
        <v>4569</v>
      </c>
      <c r="BM531" t="s">
        <v>4569</v>
      </c>
      <c r="BN531" t="s">
        <v>4569</v>
      </c>
      <c r="BO531" t="s">
        <v>4569</v>
      </c>
      <c r="BP531" t="s">
        <v>4569</v>
      </c>
      <c r="BQ531" t="s">
        <v>1321</v>
      </c>
      <c r="BR531" t="s">
        <v>1321</v>
      </c>
      <c r="BS531" t="s">
        <v>1321</v>
      </c>
      <c r="DA531" t="s">
        <v>4569</v>
      </c>
      <c r="DB531" t="s">
        <v>4569</v>
      </c>
      <c r="DC531" t="s">
        <v>4569</v>
      </c>
      <c r="FF531" t="s">
        <v>4569</v>
      </c>
      <c r="FI531" t="s">
        <v>1321</v>
      </c>
      <c r="FJ531" t="s">
        <v>1321</v>
      </c>
    </row>
    <row r="532" spans="1:183" x14ac:dyDescent="0.2">
      <c r="A532" t="str">
        <f t="shared" si="17"/>
        <v>Großer Eidsegen</v>
      </c>
      <c r="C532" t="s">
        <v>1321</v>
      </c>
      <c r="D532" t="s">
        <v>1321</v>
      </c>
      <c r="E532" t="s">
        <v>1321</v>
      </c>
      <c r="F532" t="s">
        <v>1321</v>
      </c>
      <c r="I532" t="s">
        <v>1321</v>
      </c>
      <c r="J532" t="s">
        <v>1321</v>
      </c>
      <c r="K532" t="s">
        <v>1321</v>
      </c>
      <c r="L532" t="s">
        <v>1321</v>
      </c>
      <c r="M532" t="s">
        <v>1321</v>
      </c>
      <c r="N532" t="s">
        <v>1321</v>
      </c>
      <c r="O532" t="s">
        <v>1321</v>
      </c>
      <c r="P532" t="s">
        <v>1321</v>
      </c>
      <c r="Q532" t="s">
        <v>1321</v>
      </c>
      <c r="R532" t="s">
        <v>1321</v>
      </c>
      <c r="S532" t="s">
        <v>1321</v>
      </c>
      <c r="T532" t="s">
        <v>1321</v>
      </c>
      <c r="U532" t="s">
        <v>1321</v>
      </c>
      <c r="V532" t="s">
        <v>1321</v>
      </c>
      <c r="W532" t="s">
        <v>1321</v>
      </c>
      <c r="X532" t="s">
        <v>1321</v>
      </c>
      <c r="Y532" t="s">
        <v>1321</v>
      </c>
      <c r="Z532" t="s">
        <v>1321</v>
      </c>
      <c r="AA532" t="s">
        <v>1321</v>
      </c>
      <c r="AB532" t="s">
        <v>1321</v>
      </c>
      <c r="AC532" t="s">
        <v>1321</v>
      </c>
      <c r="AD532" t="s">
        <v>1321</v>
      </c>
      <c r="AE532" t="s">
        <v>1321</v>
      </c>
      <c r="AG532" t="s">
        <v>1321</v>
      </c>
      <c r="AI532" t="s">
        <v>1321</v>
      </c>
      <c r="AO532" t="s">
        <v>1321</v>
      </c>
      <c r="AP532" t="s">
        <v>1321</v>
      </c>
      <c r="AQ532" t="s">
        <v>1321</v>
      </c>
      <c r="AR532" t="s">
        <v>1321</v>
      </c>
      <c r="AS532" t="s">
        <v>1321</v>
      </c>
      <c r="AT532" t="s">
        <v>1321</v>
      </c>
      <c r="AU532" t="s">
        <v>1321</v>
      </c>
      <c r="AV532" t="s">
        <v>1321</v>
      </c>
      <c r="AZ532" t="s">
        <v>1321</v>
      </c>
      <c r="BA532" t="s">
        <v>1321</v>
      </c>
      <c r="BB532" t="s">
        <v>1321</v>
      </c>
      <c r="BC532" t="s">
        <v>1321</v>
      </c>
      <c r="BD532" t="s">
        <v>1321</v>
      </c>
      <c r="BH532" t="s">
        <v>1321</v>
      </c>
      <c r="BI532" t="s">
        <v>1321</v>
      </c>
      <c r="BJ532" t="s">
        <v>1321</v>
      </c>
      <c r="BK532" t="s">
        <v>1321</v>
      </c>
      <c r="BL532" t="s">
        <v>1321</v>
      </c>
      <c r="BM532" t="s">
        <v>1321</v>
      </c>
      <c r="BN532" t="s">
        <v>1321</v>
      </c>
      <c r="BO532" t="s">
        <v>1321</v>
      </c>
      <c r="BP532" t="s">
        <v>1321</v>
      </c>
      <c r="BQ532" t="s">
        <v>1321</v>
      </c>
      <c r="BR532" t="s">
        <v>1321</v>
      </c>
      <c r="BS532" t="s">
        <v>1321</v>
      </c>
      <c r="BT532" t="s">
        <v>1752</v>
      </c>
      <c r="BU532" t="s">
        <v>1321</v>
      </c>
      <c r="BV532" t="s">
        <v>1321</v>
      </c>
      <c r="BW532" t="s">
        <v>1321</v>
      </c>
      <c r="BX532" t="s">
        <v>1752</v>
      </c>
      <c r="BY532" t="s">
        <v>1752</v>
      </c>
      <c r="BZ532" t="s">
        <v>1321</v>
      </c>
      <c r="CA532" t="s">
        <v>1752</v>
      </c>
      <c r="CB532" t="s">
        <v>1752</v>
      </c>
      <c r="CC532" t="s">
        <v>4588</v>
      </c>
      <c r="CE532" t="s">
        <v>1752</v>
      </c>
      <c r="CF532" t="s">
        <v>1321</v>
      </c>
      <c r="CG532" t="s">
        <v>1321</v>
      </c>
      <c r="CH532" t="s">
        <v>1321</v>
      </c>
      <c r="CI532" t="s">
        <v>1321</v>
      </c>
      <c r="CL532" t="s">
        <v>1321</v>
      </c>
      <c r="CM532" t="s">
        <v>1321</v>
      </c>
      <c r="CN532" t="s">
        <v>1321</v>
      </c>
      <c r="CO532" t="s">
        <v>1752</v>
      </c>
      <c r="CP532" t="s">
        <v>1321</v>
      </c>
      <c r="CV532" t="s">
        <v>1321</v>
      </c>
      <c r="CW532" t="s">
        <v>1321</v>
      </c>
      <c r="CX532" t="s">
        <v>1752</v>
      </c>
      <c r="CY532" t="s">
        <v>1752</v>
      </c>
      <c r="DA532" t="s">
        <v>1321</v>
      </c>
      <c r="DB532" t="s">
        <v>1321</v>
      </c>
      <c r="DC532" t="s">
        <v>1321</v>
      </c>
      <c r="EH532" t="s">
        <v>1321</v>
      </c>
      <c r="EJ532" t="s">
        <v>1321</v>
      </c>
      <c r="EK532" t="s">
        <v>1321</v>
      </c>
      <c r="EL532" t="s">
        <v>1321</v>
      </c>
      <c r="EM532" t="s">
        <v>1321</v>
      </c>
      <c r="EN532" t="s">
        <v>1321</v>
      </c>
      <c r="EO532" t="s">
        <v>1321</v>
      </c>
      <c r="EP532" t="s">
        <v>1321</v>
      </c>
      <c r="EQ532" t="s">
        <v>1321</v>
      </c>
      <c r="ER532" t="s">
        <v>1321</v>
      </c>
      <c r="ET532" t="s">
        <v>1321</v>
      </c>
      <c r="EU532" t="s">
        <v>1321</v>
      </c>
      <c r="EV532" t="s">
        <v>1321</v>
      </c>
      <c r="EX532" t="s">
        <v>1321</v>
      </c>
      <c r="EZ532" t="s">
        <v>1321</v>
      </c>
      <c r="FA532" t="s">
        <v>1321</v>
      </c>
      <c r="FE532" t="s">
        <v>1321</v>
      </c>
      <c r="FF532" t="s">
        <v>1321</v>
      </c>
      <c r="FG532" t="s">
        <v>1321</v>
      </c>
      <c r="FH532" t="s">
        <v>1321</v>
      </c>
      <c r="FI532" t="s">
        <v>1321</v>
      </c>
      <c r="FJ532" t="s">
        <v>1321</v>
      </c>
      <c r="FK532" t="s">
        <v>1321</v>
      </c>
      <c r="FL532" t="s">
        <v>1321</v>
      </c>
      <c r="FM532" t="s">
        <v>1321</v>
      </c>
      <c r="FN532" t="s">
        <v>1321</v>
      </c>
      <c r="FO532" t="s">
        <v>1321</v>
      </c>
      <c r="FP532" t="s">
        <v>1321</v>
      </c>
      <c r="FQ532" t="s">
        <v>1321</v>
      </c>
      <c r="FR532" t="s">
        <v>1321</v>
      </c>
      <c r="FS532" t="s">
        <v>1321</v>
      </c>
      <c r="FT532" t="s">
        <v>1321</v>
      </c>
      <c r="FU532" t="s">
        <v>1321</v>
      </c>
      <c r="FW532" t="s">
        <v>1321</v>
      </c>
      <c r="FX532" t="s">
        <v>1321</v>
      </c>
      <c r="FY532" t="s">
        <v>1321</v>
      </c>
      <c r="FZ532" t="s">
        <v>1321</v>
      </c>
      <c r="GA532" t="s">
        <v>1321</v>
      </c>
    </row>
    <row r="533" spans="1:183" x14ac:dyDescent="0.2">
      <c r="A533" t="str">
        <f t="shared" si="17"/>
        <v>Großer Giftbann</v>
      </c>
      <c r="C533" t="s">
        <v>784</v>
      </c>
      <c r="D533" t="s">
        <v>784</v>
      </c>
      <c r="E533" t="s">
        <v>784</v>
      </c>
      <c r="F533" t="s">
        <v>784</v>
      </c>
      <c r="AS533" t="s">
        <v>4569</v>
      </c>
      <c r="AT533" t="s">
        <v>4569</v>
      </c>
      <c r="AU533" t="s">
        <v>4569</v>
      </c>
      <c r="AV533" t="s">
        <v>4569</v>
      </c>
      <c r="BJ533" t="s">
        <v>4569</v>
      </c>
      <c r="BK533" t="s">
        <v>4569</v>
      </c>
      <c r="BM533" t="s">
        <v>4569</v>
      </c>
      <c r="BN533" t="s">
        <v>4569</v>
      </c>
      <c r="BO533" t="s">
        <v>4569</v>
      </c>
      <c r="BP533" t="s">
        <v>4569</v>
      </c>
      <c r="BQ533" t="s">
        <v>1321</v>
      </c>
      <c r="BR533" t="s">
        <v>1321</v>
      </c>
      <c r="BS533" t="s">
        <v>1321</v>
      </c>
      <c r="DA533" t="s">
        <v>4569</v>
      </c>
      <c r="DB533" t="s">
        <v>4569</v>
      </c>
      <c r="DC533" t="s">
        <v>4569</v>
      </c>
      <c r="EH533" t="s">
        <v>784</v>
      </c>
      <c r="FF533" t="s">
        <v>4569</v>
      </c>
      <c r="FI533" t="s">
        <v>1321</v>
      </c>
      <c r="FJ533" t="s">
        <v>1321</v>
      </c>
    </row>
    <row r="534" spans="1:183" x14ac:dyDescent="0.2">
      <c r="A534" t="str">
        <f t="shared" si="17"/>
        <v>Großer Reisesegen</v>
      </c>
      <c r="G534" t="s">
        <v>1321</v>
      </c>
      <c r="AS534" t="s">
        <v>4569</v>
      </c>
      <c r="AT534" t="s">
        <v>4569</v>
      </c>
      <c r="AU534" t="s">
        <v>4569</v>
      </c>
      <c r="AV534" t="s">
        <v>4569</v>
      </c>
      <c r="BJ534" t="s">
        <v>4569</v>
      </c>
      <c r="BK534" t="s">
        <v>4569</v>
      </c>
      <c r="BM534" t="s">
        <v>4569</v>
      </c>
      <c r="BN534" t="s">
        <v>4569</v>
      </c>
      <c r="BO534" t="s">
        <v>4569</v>
      </c>
      <c r="BP534" t="s">
        <v>4569</v>
      </c>
      <c r="BQ534" t="s">
        <v>4569</v>
      </c>
      <c r="BR534" t="s">
        <v>4569</v>
      </c>
      <c r="BS534" t="s">
        <v>4569</v>
      </c>
      <c r="CX534" t="s">
        <v>1321</v>
      </c>
      <c r="CY534" t="s">
        <v>1321</v>
      </c>
      <c r="DA534" t="s">
        <v>4569</v>
      </c>
      <c r="DB534" t="s">
        <v>4569</v>
      </c>
      <c r="DC534" t="s">
        <v>4569</v>
      </c>
      <c r="EI534" t="s">
        <v>1321</v>
      </c>
      <c r="FF534" t="s">
        <v>4569</v>
      </c>
      <c r="FX534" t="s">
        <v>1321</v>
      </c>
      <c r="FY534" t="s">
        <v>1321</v>
      </c>
      <c r="FZ534" t="s">
        <v>1321</v>
      </c>
    </row>
    <row r="535" spans="1:183" x14ac:dyDescent="0.2">
      <c r="A535" t="str">
        <f t="shared" si="17"/>
        <v>Großer Speisesegen</v>
      </c>
      <c r="AS535" t="s">
        <v>4569</v>
      </c>
      <c r="AT535" t="s">
        <v>4569</v>
      </c>
      <c r="AU535" t="s">
        <v>4569</v>
      </c>
      <c r="AV535" t="s">
        <v>4569</v>
      </c>
      <c r="BJ535" t="s">
        <v>4569</v>
      </c>
      <c r="BK535" t="s">
        <v>4569</v>
      </c>
      <c r="BM535" t="s">
        <v>4569</v>
      </c>
      <c r="BN535" t="s">
        <v>4569</v>
      </c>
      <c r="BO535" t="s">
        <v>4569</v>
      </c>
      <c r="BP535" t="s">
        <v>4569</v>
      </c>
      <c r="CX535" t="s">
        <v>1752</v>
      </c>
      <c r="CY535" t="s">
        <v>1752</v>
      </c>
      <c r="DA535" t="s">
        <v>4569</v>
      </c>
      <c r="DB535" t="s">
        <v>4569</v>
      </c>
      <c r="DC535" t="s">
        <v>4569</v>
      </c>
      <c r="FF535" t="s">
        <v>4569</v>
      </c>
      <c r="FI535" t="s">
        <v>1321</v>
      </c>
      <c r="FJ535" t="s">
        <v>1321</v>
      </c>
      <c r="FX535" t="s">
        <v>1321</v>
      </c>
      <c r="FY535" t="s">
        <v>1321</v>
      </c>
      <c r="FZ535" t="s">
        <v>1321</v>
      </c>
    </row>
    <row r="536" spans="1:183" x14ac:dyDescent="0.2">
      <c r="A536" t="str">
        <f t="shared" si="17"/>
        <v>Hauch Borons</v>
      </c>
      <c r="H536" t="s">
        <v>1752</v>
      </c>
      <c r="I536" t="s">
        <v>1752</v>
      </c>
      <c r="J536" t="s">
        <v>1752</v>
      </c>
      <c r="K536" t="s">
        <v>1752</v>
      </c>
      <c r="L536" t="s">
        <v>1752</v>
      </c>
      <c r="M536" t="s">
        <v>1752</v>
      </c>
      <c r="N536" t="s">
        <v>1752</v>
      </c>
      <c r="O536" t="s">
        <v>1752</v>
      </c>
      <c r="P536" t="s">
        <v>1752</v>
      </c>
      <c r="Q536" t="s">
        <v>1752</v>
      </c>
      <c r="R536" t="s">
        <v>1752</v>
      </c>
      <c r="S536" t="s">
        <v>1752</v>
      </c>
      <c r="T536" t="s">
        <v>1752</v>
      </c>
      <c r="U536" t="s">
        <v>1752</v>
      </c>
      <c r="V536" t="s">
        <v>1752</v>
      </c>
      <c r="W536" t="s">
        <v>1752</v>
      </c>
      <c r="X536" t="s">
        <v>1752</v>
      </c>
      <c r="Y536" t="s">
        <v>1752</v>
      </c>
      <c r="Z536" t="s">
        <v>1752</v>
      </c>
      <c r="AA536" t="s">
        <v>1752</v>
      </c>
      <c r="AB536" t="s">
        <v>1752</v>
      </c>
      <c r="AC536" t="s">
        <v>1752</v>
      </c>
      <c r="AD536" t="s">
        <v>1752</v>
      </c>
      <c r="AE536" t="s">
        <v>1752</v>
      </c>
      <c r="AG536" t="s">
        <v>1752</v>
      </c>
      <c r="AI536" t="s">
        <v>1752</v>
      </c>
      <c r="AS536" t="s">
        <v>4569</v>
      </c>
      <c r="AT536" t="s">
        <v>4569</v>
      </c>
      <c r="AU536" t="s">
        <v>4569</v>
      </c>
      <c r="AV536" t="s">
        <v>4569</v>
      </c>
      <c r="BJ536" t="s">
        <v>4569</v>
      </c>
      <c r="BK536" t="s">
        <v>4569</v>
      </c>
      <c r="BM536" t="s">
        <v>4569</v>
      </c>
      <c r="BN536" t="s">
        <v>4569</v>
      </c>
      <c r="BO536" t="s">
        <v>4569</v>
      </c>
      <c r="BP536" t="s">
        <v>4569</v>
      </c>
      <c r="BQ536" t="s">
        <v>4569</v>
      </c>
      <c r="BR536" t="s">
        <v>4569</v>
      </c>
      <c r="BS536" t="s">
        <v>4569</v>
      </c>
      <c r="DA536" t="s">
        <v>4569</v>
      </c>
      <c r="DB536" t="s">
        <v>4569</v>
      </c>
      <c r="DC536" t="s">
        <v>4569</v>
      </c>
      <c r="EJ536" t="s">
        <v>1321</v>
      </c>
      <c r="EK536" t="s">
        <v>1321</v>
      </c>
      <c r="EL536" t="s">
        <v>1321</v>
      </c>
      <c r="EM536" t="s">
        <v>1321</v>
      </c>
      <c r="EN536" t="s">
        <v>1321</v>
      </c>
      <c r="EO536" t="s">
        <v>1321</v>
      </c>
      <c r="EP536" t="s">
        <v>1321</v>
      </c>
      <c r="EQ536" t="s">
        <v>1321</v>
      </c>
      <c r="ER536" t="s">
        <v>1321</v>
      </c>
      <c r="FF536" t="s">
        <v>4569</v>
      </c>
    </row>
    <row r="537" spans="1:183" x14ac:dyDescent="0.2">
      <c r="A537" t="str">
        <f t="shared" si="17"/>
        <v>Hausfrieden</v>
      </c>
      <c r="AS537" t="s">
        <v>4569</v>
      </c>
      <c r="AT537" t="s">
        <v>4569</v>
      </c>
      <c r="AU537" t="s">
        <v>4569</v>
      </c>
      <c r="AV537" t="s">
        <v>4569</v>
      </c>
      <c r="BJ537" t="s">
        <v>4569</v>
      </c>
      <c r="BK537" t="s">
        <v>4569</v>
      </c>
      <c r="BM537" t="s">
        <v>4569</v>
      </c>
      <c r="BN537" t="s">
        <v>4569</v>
      </c>
      <c r="BO537" t="s">
        <v>4569</v>
      </c>
      <c r="BP537" t="s">
        <v>4569</v>
      </c>
      <c r="BQ537" t="s">
        <v>4569</v>
      </c>
      <c r="BR537" t="s">
        <v>4569</v>
      </c>
      <c r="BS537" t="s">
        <v>4569</v>
      </c>
      <c r="CX537" t="s">
        <v>1321</v>
      </c>
      <c r="CY537" t="s">
        <v>1321</v>
      </c>
      <c r="DA537" t="s">
        <v>4569</v>
      </c>
      <c r="DB537" t="s">
        <v>4569</v>
      </c>
      <c r="DC537" t="s">
        <v>4569</v>
      </c>
      <c r="FF537" t="s">
        <v>4569</v>
      </c>
      <c r="FX537" t="s">
        <v>1321</v>
      </c>
      <c r="FY537" t="s">
        <v>1321</v>
      </c>
      <c r="FZ537" t="s">
        <v>1321</v>
      </c>
    </row>
    <row r="538" spans="1:183" x14ac:dyDescent="0.2">
      <c r="A538" t="str">
        <f t="shared" si="17"/>
        <v>Haut der Chamäleons</v>
      </c>
      <c r="AS538" t="s">
        <v>4569</v>
      </c>
      <c r="AT538" t="s">
        <v>4569</v>
      </c>
      <c r="AU538" t="s">
        <v>4569</v>
      </c>
      <c r="AV538" t="s">
        <v>4569</v>
      </c>
      <c r="BJ538" t="s">
        <v>4569</v>
      </c>
      <c r="BK538" t="s">
        <v>4569</v>
      </c>
      <c r="BM538" t="s">
        <v>4569</v>
      </c>
      <c r="BN538" t="s">
        <v>4569</v>
      </c>
      <c r="BO538" t="s">
        <v>4569</v>
      </c>
      <c r="BP538" t="s">
        <v>4569</v>
      </c>
      <c r="BQ538" t="s">
        <v>4569</v>
      </c>
      <c r="BR538" t="s">
        <v>4569</v>
      </c>
      <c r="BS538" t="s">
        <v>4569</v>
      </c>
      <c r="DA538" t="s">
        <v>1321</v>
      </c>
      <c r="DB538" t="s">
        <v>1321</v>
      </c>
      <c r="DC538" t="s">
        <v>1321</v>
      </c>
      <c r="FF538" t="s">
        <v>4569</v>
      </c>
      <c r="GA538" t="s">
        <v>1321</v>
      </c>
    </row>
    <row r="539" spans="1:183" x14ac:dyDescent="0.2">
      <c r="A539" t="str">
        <f t="shared" si="17"/>
        <v>Heilung des Tapams</v>
      </c>
      <c r="AS539" t="s">
        <v>4569</v>
      </c>
      <c r="AT539" t="s">
        <v>4569</v>
      </c>
      <c r="AU539" t="s">
        <v>4569</v>
      </c>
      <c r="AV539" t="s">
        <v>4569</v>
      </c>
      <c r="BJ539" t="s">
        <v>4569</v>
      </c>
      <c r="BK539" t="s">
        <v>4569</v>
      </c>
      <c r="BM539" t="s">
        <v>4569</v>
      </c>
      <c r="BN539" t="s">
        <v>4569</v>
      </c>
      <c r="BO539" t="s">
        <v>4569</v>
      </c>
      <c r="BP539" t="s">
        <v>4569</v>
      </c>
      <c r="BQ539" t="s">
        <v>4569</v>
      </c>
      <c r="BR539" t="s">
        <v>4569</v>
      </c>
      <c r="BS539" t="s">
        <v>4569</v>
      </c>
      <c r="DA539" t="s">
        <v>4569</v>
      </c>
      <c r="DB539" t="s">
        <v>4569</v>
      </c>
      <c r="DC539" t="s">
        <v>4569</v>
      </c>
      <c r="FF539" t="s">
        <v>4569</v>
      </c>
    </row>
    <row r="540" spans="1:183" x14ac:dyDescent="0.2">
      <c r="A540" t="str">
        <f t="shared" si="17"/>
        <v>Herbeirufung der Heerscharen des Rattenkindes</v>
      </c>
    </row>
    <row r="541" spans="1:183" x14ac:dyDescent="0.2">
      <c r="A541" t="str">
        <f t="shared" si="17"/>
        <v>Hesindes Fingerzeig</v>
      </c>
      <c r="AS541" t="s">
        <v>4569</v>
      </c>
      <c r="AT541" t="s">
        <v>4569</v>
      </c>
      <c r="AU541" t="s">
        <v>4569</v>
      </c>
      <c r="AV541" t="s">
        <v>4569</v>
      </c>
      <c r="AZ541" t="s">
        <v>1321</v>
      </c>
      <c r="BA541" t="s">
        <v>1321</v>
      </c>
      <c r="BB541" t="s">
        <v>1321</v>
      </c>
      <c r="BC541" t="s">
        <v>1321</v>
      </c>
      <c r="BD541" t="s">
        <v>1321</v>
      </c>
      <c r="BJ541" t="s">
        <v>4569</v>
      </c>
      <c r="BK541" t="s">
        <v>4569</v>
      </c>
      <c r="BM541" t="s">
        <v>1321</v>
      </c>
      <c r="BN541" t="s">
        <v>1321</v>
      </c>
      <c r="BO541" t="s">
        <v>1321</v>
      </c>
      <c r="BP541" t="s">
        <v>1321</v>
      </c>
      <c r="BQ541" t="s">
        <v>4569</v>
      </c>
      <c r="BR541" t="s">
        <v>4569</v>
      </c>
      <c r="BS541" t="s">
        <v>4569</v>
      </c>
      <c r="DA541" t="s">
        <v>4569</v>
      </c>
      <c r="DB541" t="s">
        <v>4569</v>
      </c>
      <c r="DC541" t="s">
        <v>4569</v>
      </c>
      <c r="EX541" t="s">
        <v>1321</v>
      </c>
      <c r="EZ541" t="s">
        <v>1321</v>
      </c>
      <c r="FA541" t="s">
        <v>1321</v>
      </c>
      <c r="FF541" t="s">
        <v>4569</v>
      </c>
      <c r="FH541" t="s">
        <v>1321</v>
      </c>
    </row>
    <row r="542" spans="1:183" x14ac:dyDescent="0.2">
      <c r="A542" t="str">
        <f t="shared" si="17"/>
        <v>Jagdglück</v>
      </c>
      <c r="AS542" t="s">
        <v>1321</v>
      </c>
      <c r="AT542" t="s">
        <v>1321</v>
      </c>
      <c r="AU542" t="s">
        <v>1752</v>
      </c>
      <c r="AV542" t="s">
        <v>1321</v>
      </c>
      <c r="BH542" t="s">
        <v>1321</v>
      </c>
      <c r="BI542" t="s">
        <v>1321</v>
      </c>
      <c r="BJ542" t="s">
        <v>4569</v>
      </c>
      <c r="BK542" t="s">
        <v>4569</v>
      </c>
      <c r="BM542" t="s">
        <v>4569</v>
      </c>
      <c r="BN542" t="s">
        <v>4569</v>
      </c>
      <c r="BO542" t="s">
        <v>4569</v>
      </c>
      <c r="BP542" t="s">
        <v>4569</v>
      </c>
      <c r="BQ542" t="s">
        <v>4569</v>
      </c>
      <c r="BR542" t="s">
        <v>4569</v>
      </c>
      <c r="BS542" t="s">
        <v>4569</v>
      </c>
      <c r="DA542" t="s">
        <v>4569</v>
      </c>
      <c r="DB542" t="s">
        <v>4569</v>
      </c>
      <c r="DC542" t="s">
        <v>4569</v>
      </c>
      <c r="EV542" t="s">
        <v>1321</v>
      </c>
      <c r="FF542" t="s">
        <v>4569</v>
      </c>
    </row>
    <row r="543" spans="1:183" x14ac:dyDescent="0.2">
      <c r="A543" t="str">
        <f t="shared" si="17"/>
        <v>Kamaluqs unerbittlicher Speer</v>
      </c>
      <c r="AS543" t="s">
        <v>4569</v>
      </c>
      <c r="AT543" t="s">
        <v>4569</v>
      </c>
      <c r="AU543" t="s">
        <v>4569</v>
      </c>
      <c r="AV543" t="s">
        <v>4569</v>
      </c>
      <c r="BJ543" t="s">
        <v>4569</v>
      </c>
      <c r="BK543" t="s">
        <v>4569</v>
      </c>
      <c r="BM543" t="s">
        <v>4569</v>
      </c>
      <c r="BN543" t="s">
        <v>4569</v>
      </c>
      <c r="BO543" t="s">
        <v>4569</v>
      </c>
      <c r="BP543" t="s">
        <v>4569</v>
      </c>
      <c r="BQ543" t="s">
        <v>4569</v>
      </c>
      <c r="BR543" t="s">
        <v>4569</v>
      </c>
      <c r="BS543" t="s">
        <v>4569</v>
      </c>
      <c r="DA543" t="s">
        <v>4569</v>
      </c>
      <c r="DB543" t="s">
        <v>4569</v>
      </c>
      <c r="DC543" t="s">
        <v>4569</v>
      </c>
      <c r="FF543" t="s">
        <v>4569</v>
      </c>
    </row>
    <row r="544" spans="1:183" x14ac:dyDescent="0.2">
      <c r="A544" t="str">
        <f t="shared" si="17"/>
        <v>Khablas Jugend</v>
      </c>
      <c r="AS544" t="s">
        <v>4569</v>
      </c>
      <c r="AT544" t="s">
        <v>4569</v>
      </c>
      <c r="AU544" t="s">
        <v>4569</v>
      </c>
      <c r="AV544" t="s">
        <v>4569</v>
      </c>
      <c r="BJ544" t="s">
        <v>4569</v>
      </c>
      <c r="BK544" t="s">
        <v>4569</v>
      </c>
      <c r="BM544" t="s">
        <v>4569</v>
      </c>
      <c r="BN544" t="s">
        <v>4569</v>
      </c>
      <c r="BO544" t="s">
        <v>4569</v>
      </c>
      <c r="BP544" t="s">
        <v>4569</v>
      </c>
      <c r="BQ544" t="s">
        <v>4569</v>
      </c>
      <c r="BR544" t="s">
        <v>4569</v>
      </c>
      <c r="BS544" t="s">
        <v>4569</v>
      </c>
      <c r="CF544" t="s">
        <v>1321</v>
      </c>
      <c r="CG544" t="s">
        <v>1321</v>
      </c>
      <c r="CH544" t="s">
        <v>1321</v>
      </c>
      <c r="CI544" t="s">
        <v>1321</v>
      </c>
      <c r="CL544" t="s">
        <v>1321</v>
      </c>
      <c r="CM544" t="s">
        <v>1321</v>
      </c>
      <c r="DA544" t="s">
        <v>4569</v>
      </c>
      <c r="DB544" t="s">
        <v>4569</v>
      </c>
      <c r="DC544" t="s">
        <v>4569</v>
      </c>
      <c r="FF544" t="s">
        <v>4569</v>
      </c>
      <c r="FS544" t="s">
        <v>1321</v>
      </c>
      <c r="FT544" t="s">
        <v>1321</v>
      </c>
    </row>
    <row r="545" spans="1:179" x14ac:dyDescent="0.2">
      <c r="A545" t="str">
        <f t="shared" si="17"/>
        <v>Levthans Fesseln</v>
      </c>
      <c r="AS545" t="s">
        <v>4569</v>
      </c>
      <c r="AT545" t="s">
        <v>4569</v>
      </c>
      <c r="AU545" t="s">
        <v>4569</v>
      </c>
      <c r="AV545" t="s">
        <v>4569</v>
      </c>
      <c r="BJ545" t="s">
        <v>4569</v>
      </c>
      <c r="BK545" t="s">
        <v>4569</v>
      </c>
      <c r="BM545" t="s">
        <v>4569</v>
      </c>
      <c r="BN545" t="s">
        <v>4569</v>
      </c>
      <c r="BO545" t="s">
        <v>4569</v>
      </c>
      <c r="BP545" t="s">
        <v>4569</v>
      </c>
      <c r="BQ545" t="s">
        <v>4569</v>
      </c>
      <c r="BR545" t="s">
        <v>4569</v>
      </c>
      <c r="BS545" t="s">
        <v>4569</v>
      </c>
      <c r="CF545" t="s">
        <v>1321</v>
      </c>
      <c r="CG545" t="s">
        <v>1321</v>
      </c>
      <c r="CH545" t="s">
        <v>1321</v>
      </c>
      <c r="CI545" t="s">
        <v>1321</v>
      </c>
      <c r="CL545" t="s">
        <v>1321</v>
      </c>
      <c r="CM545" t="s">
        <v>1321</v>
      </c>
      <c r="DA545" t="s">
        <v>4569</v>
      </c>
      <c r="DB545" t="s">
        <v>4569</v>
      </c>
      <c r="DC545" t="s">
        <v>4569</v>
      </c>
      <c r="FF545" t="s">
        <v>4569</v>
      </c>
      <c r="FS545" t="s">
        <v>1321</v>
      </c>
      <c r="FT545" t="s">
        <v>1321</v>
      </c>
    </row>
    <row r="546" spans="1:179" x14ac:dyDescent="0.2">
      <c r="A546" t="str">
        <f t="shared" si="17"/>
        <v xml:space="preserve">Licht des Herrn </v>
      </c>
      <c r="AS546" t="s">
        <v>4569</v>
      </c>
      <c r="AT546" t="s">
        <v>4569</v>
      </c>
      <c r="AU546" t="s">
        <v>4569</v>
      </c>
      <c r="AV546" t="s">
        <v>4569</v>
      </c>
      <c r="BJ546" t="s">
        <v>4569</v>
      </c>
      <c r="BK546" t="s">
        <v>4569</v>
      </c>
      <c r="BM546" t="s">
        <v>4569</v>
      </c>
      <c r="BN546" t="s">
        <v>4569</v>
      </c>
      <c r="BO546" t="s">
        <v>4569</v>
      </c>
      <c r="BP546" t="s">
        <v>4569</v>
      </c>
      <c r="BQ546" t="s">
        <v>4569</v>
      </c>
      <c r="BR546" t="s">
        <v>4569</v>
      </c>
      <c r="BS546" t="s">
        <v>4569</v>
      </c>
      <c r="CB546" t="s">
        <v>4588</v>
      </c>
      <c r="CC546" t="s">
        <v>1321</v>
      </c>
      <c r="CE546" t="s">
        <v>4588</v>
      </c>
      <c r="DA546" t="s">
        <v>4569</v>
      </c>
      <c r="DB546" t="s">
        <v>4569</v>
      </c>
      <c r="DC546" t="s">
        <v>4569</v>
      </c>
      <c r="FF546" t="s">
        <v>4569</v>
      </c>
      <c r="FO546" t="s">
        <v>1321</v>
      </c>
      <c r="FP546" t="s">
        <v>1321</v>
      </c>
      <c r="FQ546" t="s">
        <v>1321</v>
      </c>
      <c r="FR546" t="s">
        <v>1321</v>
      </c>
    </row>
    <row r="547" spans="1:179" x14ac:dyDescent="0.2">
      <c r="A547" t="str">
        <f t="shared" si="17"/>
        <v>Lindaris Herz</v>
      </c>
    </row>
    <row r="548" spans="1:179" x14ac:dyDescent="0.2">
      <c r="A548" t="str">
        <f t="shared" si="17"/>
        <v>Lug und Trug</v>
      </c>
      <c r="AS548" t="s">
        <v>4569</v>
      </c>
      <c r="AT548" t="s">
        <v>4569</v>
      </c>
      <c r="AU548" t="s">
        <v>4569</v>
      </c>
      <c r="AV548" t="s">
        <v>4569</v>
      </c>
      <c r="BJ548" t="s">
        <v>4569</v>
      </c>
      <c r="BK548" t="s">
        <v>4569</v>
      </c>
      <c r="BM548" t="s">
        <v>4569</v>
      </c>
      <c r="BN548" t="s">
        <v>4569</v>
      </c>
      <c r="BO548" t="s">
        <v>4569</v>
      </c>
      <c r="BP548" t="s">
        <v>4569</v>
      </c>
      <c r="BQ548" t="s">
        <v>4569</v>
      </c>
      <c r="BR548" t="s">
        <v>4569</v>
      </c>
      <c r="BS548" t="s">
        <v>4569</v>
      </c>
      <c r="BT548" t="s">
        <v>1321</v>
      </c>
      <c r="BU548" t="s">
        <v>1321</v>
      </c>
      <c r="BV548" t="s">
        <v>1321</v>
      </c>
      <c r="BW548" t="s">
        <v>1321</v>
      </c>
      <c r="BX548" t="s">
        <v>1321</v>
      </c>
      <c r="BY548" t="s">
        <v>1321</v>
      </c>
      <c r="BZ548" t="s">
        <v>4588</v>
      </c>
      <c r="CA548" t="s">
        <v>1321</v>
      </c>
      <c r="DA548" t="s">
        <v>4569</v>
      </c>
      <c r="DB548" t="s">
        <v>4569</v>
      </c>
      <c r="DC548" t="s">
        <v>4569</v>
      </c>
      <c r="FF548" t="s">
        <v>4569</v>
      </c>
      <c r="FK548" t="s">
        <v>1321</v>
      </c>
      <c r="FL548" t="s">
        <v>1321</v>
      </c>
      <c r="FM548" t="s">
        <v>1321</v>
      </c>
      <c r="FN548" t="s">
        <v>1321</v>
      </c>
    </row>
    <row r="549" spans="1:179" x14ac:dyDescent="0.2">
      <c r="A549" t="str">
        <f t="shared" si="17"/>
        <v>Mannschaftssegen</v>
      </c>
      <c r="AO549" t="s">
        <v>1321</v>
      </c>
      <c r="AP549" t="s">
        <v>1321</v>
      </c>
      <c r="AQ549" t="s">
        <v>4588</v>
      </c>
      <c r="AR549" t="s">
        <v>1321</v>
      </c>
      <c r="AS549" t="s">
        <v>4569</v>
      </c>
      <c r="AT549" t="s">
        <v>4569</v>
      </c>
      <c r="AU549" t="s">
        <v>4569</v>
      </c>
      <c r="AV549" t="s">
        <v>4569</v>
      </c>
      <c r="BJ549" t="s">
        <v>4569</v>
      </c>
      <c r="BK549" t="s">
        <v>4569</v>
      </c>
      <c r="BM549" t="s">
        <v>4569</v>
      </c>
      <c r="BN549" t="s">
        <v>4569</v>
      </c>
      <c r="BO549" t="s">
        <v>4569</v>
      </c>
      <c r="BP549" t="s">
        <v>4569</v>
      </c>
      <c r="BQ549" t="s">
        <v>4569</v>
      </c>
      <c r="BR549" t="s">
        <v>4569</v>
      </c>
      <c r="BS549" t="s">
        <v>4569</v>
      </c>
      <c r="CV549" t="s">
        <v>1321</v>
      </c>
      <c r="CW549" t="s">
        <v>1321</v>
      </c>
      <c r="DA549" t="s">
        <v>4569</v>
      </c>
      <c r="DB549" t="s">
        <v>4569</v>
      </c>
      <c r="DC549" t="s">
        <v>4569</v>
      </c>
      <c r="ET549" t="s">
        <v>1321</v>
      </c>
      <c r="EU549" t="s">
        <v>1321</v>
      </c>
      <c r="FF549" t="s">
        <v>4569</v>
      </c>
      <c r="FW549" t="s">
        <v>1321</v>
      </c>
    </row>
    <row r="550" spans="1:179" x14ac:dyDescent="0.2">
      <c r="A550" t="str">
        <f t="shared" si="17"/>
        <v>Marbos Gnade</v>
      </c>
    </row>
    <row r="551" spans="1:179" x14ac:dyDescent="0.2">
      <c r="A551" t="str">
        <f t="shared" si="17"/>
        <v>Mikailspfeil</v>
      </c>
    </row>
    <row r="552" spans="1:179" x14ac:dyDescent="0.2">
      <c r="A552" t="str">
        <f t="shared" si="17"/>
        <v>Mondsilberzunge</v>
      </c>
      <c r="G552" t="s">
        <v>4588</v>
      </c>
      <c r="AS552" t="s">
        <v>4569</v>
      </c>
      <c r="AT552" t="s">
        <v>4569</v>
      </c>
      <c r="AU552" t="s">
        <v>4569</v>
      </c>
      <c r="AV552" t="s">
        <v>4569</v>
      </c>
      <c r="BJ552" t="s">
        <v>4569</v>
      </c>
      <c r="BK552" t="s">
        <v>4569</v>
      </c>
      <c r="BM552" t="s">
        <v>4569</v>
      </c>
      <c r="BN552" t="s">
        <v>4569</v>
      </c>
      <c r="BO552" t="s">
        <v>4569</v>
      </c>
      <c r="BP552" t="s">
        <v>4569</v>
      </c>
      <c r="BQ552" t="s">
        <v>4569</v>
      </c>
      <c r="BR552" t="s">
        <v>4569</v>
      </c>
      <c r="BS552" t="s">
        <v>4569</v>
      </c>
      <c r="BT552" t="s">
        <v>4588</v>
      </c>
      <c r="BU552" t="s">
        <v>4588</v>
      </c>
      <c r="BV552" t="s">
        <v>1321</v>
      </c>
      <c r="BW552" t="s">
        <v>1321</v>
      </c>
      <c r="BX552" t="s">
        <v>4588</v>
      </c>
      <c r="BY552" t="s">
        <v>4588</v>
      </c>
      <c r="BZ552" t="s">
        <v>4588</v>
      </c>
      <c r="CA552" t="s">
        <v>4588</v>
      </c>
      <c r="DA552" t="s">
        <v>4569</v>
      </c>
      <c r="DB552" t="s">
        <v>4569</v>
      </c>
      <c r="DC552" t="s">
        <v>4569</v>
      </c>
      <c r="EI552" t="s">
        <v>1321</v>
      </c>
      <c r="FF552" t="s">
        <v>4569</v>
      </c>
      <c r="FK552" t="s">
        <v>1321</v>
      </c>
      <c r="FL552" t="s">
        <v>1321</v>
      </c>
      <c r="FM552" t="s">
        <v>1321</v>
      </c>
      <c r="FN552" t="s">
        <v>1321</v>
      </c>
    </row>
    <row r="553" spans="1:179" x14ac:dyDescent="0.2">
      <c r="A553" t="str">
        <f t="shared" si="17"/>
        <v>Nandus' Schriftkenntnis</v>
      </c>
      <c r="C553" t="s">
        <v>784</v>
      </c>
      <c r="D553" t="s">
        <v>784</v>
      </c>
      <c r="E553" t="s">
        <v>784</v>
      </c>
      <c r="F553" t="s">
        <v>784</v>
      </c>
      <c r="AS553" t="s">
        <v>4569</v>
      </c>
      <c r="AT553" t="s">
        <v>4569</v>
      </c>
      <c r="AU553" t="s">
        <v>4569</v>
      </c>
      <c r="AV553" t="s">
        <v>4569</v>
      </c>
      <c r="BJ553" t="s">
        <v>4569</v>
      </c>
      <c r="BK553" t="s">
        <v>4569</v>
      </c>
      <c r="BM553" t="s">
        <v>1752</v>
      </c>
      <c r="BN553" t="s">
        <v>1321</v>
      </c>
      <c r="BO553" t="s">
        <v>1321</v>
      </c>
      <c r="BP553" t="s">
        <v>1752</v>
      </c>
      <c r="BQ553" t="s">
        <v>4569</v>
      </c>
      <c r="BR553" t="s">
        <v>4569</v>
      </c>
      <c r="BS553" t="s">
        <v>4569</v>
      </c>
      <c r="BT553" t="s">
        <v>1321</v>
      </c>
      <c r="BU553" t="s">
        <v>1321</v>
      </c>
      <c r="BV553" t="s">
        <v>1321</v>
      </c>
      <c r="BW553" t="s">
        <v>1321</v>
      </c>
      <c r="BX553" t="s">
        <v>1321</v>
      </c>
      <c r="BY553" t="s">
        <v>1321</v>
      </c>
      <c r="BZ553" t="s">
        <v>1321</v>
      </c>
      <c r="CA553" t="s">
        <v>1321</v>
      </c>
      <c r="DA553" t="s">
        <v>4569</v>
      </c>
      <c r="DB553" t="s">
        <v>4569</v>
      </c>
      <c r="DC553" t="s">
        <v>4569</v>
      </c>
      <c r="EH553" t="s">
        <v>784</v>
      </c>
      <c r="FF553" t="s">
        <v>4569</v>
      </c>
      <c r="FH553" t="s">
        <v>1321</v>
      </c>
      <c r="FK553" t="s">
        <v>1321</v>
      </c>
      <c r="FL553" t="s">
        <v>1321</v>
      </c>
      <c r="FM553" t="s">
        <v>1321</v>
      </c>
      <c r="FN553" t="s">
        <v>1321</v>
      </c>
    </row>
    <row r="554" spans="1:179" x14ac:dyDescent="0.2">
      <c r="A554" t="str">
        <f t="shared" si="17"/>
        <v>Nemekaths Bannfluch</v>
      </c>
      <c r="I554" t="s">
        <v>1321</v>
      </c>
      <c r="J554" t="s">
        <v>1321</v>
      </c>
      <c r="K554" t="s">
        <v>1321</v>
      </c>
      <c r="L554" t="s">
        <v>1321</v>
      </c>
      <c r="M554" t="s">
        <v>1321</v>
      </c>
      <c r="N554" t="s">
        <v>1321</v>
      </c>
      <c r="O554" t="s">
        <v>1321</v>
      </c>
      <c r="P554" t="s">
        <v>1321</v>
      </c>
      <c r="Q554" t="s">
        <v>1321</v>
      </c>
      <c r="R554" t="s">
        <v>1321</v>
      </c>
      <c r="S554" t="s">
        <v>1321</v>
      </c>
      <c r="T554" t="s">
        <v>1321</v>
      </c>
      <c r="U554" t="s">
        <v>1321</v>
      </c>
      <c r="V554" t="s">
        <v>1321</v>
      </c>
      <c r="W554" t="s">
        <v>1321</v>
      </c>
      <c r="X554" t="s">
        <v>1321</v>
      </c>
      <c r="Y554" t="s">
        <v>1321</v>
      </c>
      <c r="Z554" t="s">
        <v>1321</v>
      </c>
      <c r="AA554" t="s">
        <v>1321</v>
      </c>
      <c r="AB554" t="s">
        <v>1321</v>
      </c>
      <c r="AC554" t="s">
        <v>1321</v>
      </c>
      <c r="AD554" t="s">
        <v>1321</v>
      </c>
      <c r="AE554" t="s">
        <v>1321</v>
      </c>
      <c r="AG554" t="s">
        <v>1321</v>
      </c>
      <c r="AI554" t="s">
        <v>1321</v>
      </c>
      <c r="AS554" t="s">
        <v>4569</v>
      </c>
      <c r="AT554" t="s">
        <v>4569</v>
      </c>
      <c r="AU554" t="s">
        <v>4569</v>
      </c>
      <c r="AV554" t="s">
        <v>4569</v>
      </c>
      <c r="BJ554" t="s">
        <v>4569</v>
      </c>
      <c r="BK554" t="s">
        <v>4569</v>
      </c>
      <c r="BM554" t="s">
        <v>4569</v>
      </c>
      <c r="BN554" t="s">
        <v>4569</v>
      </c>
      <c r="BO554" t="s">
        <v>4569</v>
      </c>
      <c r="BP554" t="s">
        <v>4569</v>
      </c>
      <c r="BQ554" t="s">
        <v>4569</v>
      </c>
      <c r="BR554" t="s">
        <v>4569</v>
      </c>
      <c r="BS554" t="s">
        <v>4569</v>
      </c>
      <c r="DA554" t="s">
        <v>4569</v>
      </c>
      <c r="DB554" t="s">
        <v>4569</v>
      </c>
      <c r="DC554" t="s">
        <v>4569</v>
      </c>
      <c r="EJ554" t="s">
        <v>1321</v>
      </c>
      <c r="EO554" t="s">
        <v>1321</v>
      </c>
      <c r="FF554" t="s">
        <v>4569</v>
      </c>
    </row>
    <row r="555" spans="1:179" x14ac:dyDescent="0.2">
      <c r="A555" t="str">
        <f t="shared" si="17"/>
        <v>Noionas Zuspruch</v>
      </c>
      <c r="AS555" t="s">
        <v>4569</v>
      </c>
      <c r="AT555" t="s">
        <v>4569</v>
      </c>
      <c r="AU555" t="s">
        <v>4569</v>
      </c>
      <c r="AV555" t="s">
        <v>4569</v>
      </c>
      <c r="BJ555" t="s">
        <v>4569</v>
      </c>
      <c r="BK555" t="s">
        <v>4569</v>
      </c>
      <c r="BM555" t="s">
        <v>4569</v>
      </c>
      <c r="BN555" t="s">
        <v>4569</v>
      </c>
      <c r="BO555" t="s">
        <v>4569</v>
      </c>
      <c r="BP555" t="s">
        <v>4569</v>
      </c>
      <c r="BQ555" t="s">
        <v>4569</v>
      </c>
      <c r="BR555" t="s">
        <v>4569</v>
      </c>
      <c r="BS555" t="s">
        <v>4569</v>
      </c>
      <c r="DA555" t="s">
        <v>4569</v>
      </c>
      <c r="DB555" t="s">
        <v>4569</v>
      </c>
      <c r="DC555" t="s">
        <v>4569</v>
      </c>
      <c r="EK555" t="s">
        <v>1321</v>
      </c>
      <c r="EL555" t="s">
        <v>1321</v>
      </c>
      <c r="EM555" t="s">
        <v>1321</v>
      </c>
      <c r="EN555" t="s">
        <v>1321</v>
      </c>
      <c r="EP555" t="s">
        <v>1321</v>
      </c>
      <c r="EQ555" t="s">
        <v>1321</v>
      </c>
      <c r="ER555" t="s">
        <v>1321</v>
      </c>
      <c r="FF555" t="s">
        <v>4569</v>
      </c>
    </row>
    <row r="556" spans="1:179" x14ac:dyDescent="0.2">
      <c r="A556" t="str">
        <f t="shared" si="17"/>
        <v>Parinors Vermächtnis</v>
      </c>
      <c r="AS556" t="s">
        <v>4569</v>
      </c>
      <c r="AT556" t="s">
        <v>4569</v>
      </c>
      <c r="AU556" t="s">
        <v>4569</v>
      </c>
      <c r="AV556" t="s">
        <v>4569</v>
      </c>
      <c r="BJ556" t="s">
        <v>4569</v>
      </c>
      <c r="BK556" t="s">
        <v>4569</v>
      </c>
      <c r="BM556" t="s">
        <v>4569</v>
      </c>
      <c r="BN556" t="s">
        <v>4569</v>
      </c>
      <c r="BO556" t="s">
        <v>4569</v>
      </c>
      <c r="BP556" t="s">
        <v>4569</v>
      </c>
      <c r="BQ556" t="s">
        <v>1321</v>
      </c>
      <c r="BR556" t="s">
        <v>1321</v>
      </c>
      <c r="BS556" t="s">
        <v>1321</v>
      </c>
      <c r="DA556" t="s">
        <v>4569</v>
      </c>
      <c r="DB556" t="s">
        <v>4569</v>
      </c>
      <c r="DC556" t="s">
        <v>4569</v>
      </c>
      <c r="FF556" t="s">
        <v>4569</v>
      </c>
      <c r="FI556" t="s">
        <v>1321</v>
      </c>
      <c r="FJ556" t="s">
        <v>1321</v>
      </c>
    </row>
    <row r="557" spans="1:179" x14ac:dyDescent="0.2">
      <c r="A557" t="str">
        <f t="shared" si="17"/>
        <v>Phexens Augenzwinkern</v>
      </c>
      <c r="AS557" t="s">
        <v>4569</v>
      </c>
      <c r="AT557" t="s">
        <v>4569</v>
      </c>
      <c r="AU557" t="s">
        <v>4569</v>
      </c>
      <c r="AV557" t="s">
        <v>4569</v>
      </c>
      <c r="BJ557" t="s">
        <v>4569</v>
      </c>
      <c r="BK557" t="s">
        <v>4569</v>
      </c>
      <c r="BM557" t="s">
        <v>4569</v>
      </c>
      <c r="BN557" t="s">
        <v>4569</v>
      </c>
      <c r="BO557" t="s">
        <v>4569</v>
      </c>
      <c r="BP557" t="s">
        <v>4569</v>
      </c>
      <c r="BQ557" t="s">
        <v>4569</v>
      </c>
      <c r="BR557" t="s">
        <v>4569</v>
      </c>
      <c r="BS557" t="s">
        <v>4569</v>
      </c>
      <c r="BT557" t="s">
        <v>4588</v>
      </c>
      <c r="BU557" t="s">
        <v>4588</v>
      </c>
      <c r="BV557" t="s">
        <v>4588</v>
      </c>
      <c r="BW557" t="s">
        <v>4588</v>
      </c>
      <c r="BX557" t="s">
        <v>1321</v>
      </c>
      <c r="BY557" t="s">
        <v>1321</v>
      </c>
      <c r="BZ557" t="s">
        <v>1321</v>
      </c>
      <c r="CA557" t="s">
        <v>4588</v>
      </c>
      <c r="DA557" t="s">
        <v>4569</v>
      </c>
      <c r="DB557" t="s">
        <v>4569</v>
      </c>
      <c r="DC557" t="s">
        <v>4569</v>
      </c>
      <c r="FF557" t="s">
        <v>4569</v>
      </c>
      <c r="FK557" t="s">
        <v>1321</v>
      </c>
      <c r="FL557" t="s">
        <v>1321</v>
      </c>
      <c r="FM557" t="s">
        <v>1321</v>
      </c>
      <c r="FN557" t="s">
        <v>1321</v>
      </c>
    </row>
    <row r="558" spans="1:179" x14ac:dyDescent="0.2">
      <c r="A558" t="str">
        <f t="shared" si="17"/>
        <v>Phexens Elsterflug</v>
      </c>
      <c r="C558" t="s">
        <v>784</v>
      </c>
      <c r="D558" t="s">
        <v>784</v>
      </c>
      <c r="E558" t="s">
        <v>784</v>
      </c>
      <c r="F558" t="s">
        <v>784</v>
      </c>
      <c r="AS558" t="s">
        <v>4569</v>
      </c>
      <c r="AT558" t="s">
        <v>4569</v>
      </c>
      <c r="AU558" t="s">
        <v>4569</v>
      </c>
      <c r="AV558" t="s">
        <v>4569</v>
      </c>
      <c r="BJ558" t="s">
        <v>4569</v>
      </c>
      <c r="BK558" t="s">
        <v>4569</v>
      </c>
      <c r="BM558" t="s">
        <v>4569</v>
      </c>
      <c r="BN558" t="s">
        <v>4569</v>
      </c>
      <c r="BO558" t="s">
        <v>4569</v>
      </c>
      <c r="BP558" t="s">
        <v>4569</v>
      </c>
      <c r="BQ558" t="s">
        <v>4569</v>
      </c>
      <c r="BR558" t="s">
        <v>4569</v>
      </c>
      <c r="BS558" t="s">
        <v>4569</v>
      </c>
      <c r="BT558" t="s">
        <v>1321</v>
      </c>
      <c r="BU558" t="s">
        <v>1321</v>
      </c>
      <c r="BV558" t="s">
        <v>1321</v>
      </c>
      <c r="BW558" t="s">
        <v>4588</v>
      </c>
      <c r="BX558" t="s">
        <v>1321</v>
      </c>
      <c r="BY558" t="s">
        <v>1321</v>
      </c>
      <c r="BZ558" t="s">
        <v>1321</v>
      </c>
      <c r="CA558" t="s">
        <v>1321</v>
      </c>
      <c r="DA558" t="s">
        <v>4569</v>
      </c>
      <c r="DB558" t="s">
        <v>4569</v>
      </c>
      <c r="DC558" t="s">
        <v>4569</v>
      </c>
      <c r="EH558" t="s">
        <v>784</v>
      </c>
      <c r="FF558" t="s">
        <v>4569</v>
      </c>
      <c r="FK558" t="s">
        <v>1321</v>
      </c>
      <c r="FL558" t="s">
        <v>1321</v>
      </c>
      <c r="FM558" t="s">
        <v>1321</v>
      </c>
      <c r="FN558" t="s">
        <v>1321</v>
      </c>
    </row>
    <row r="559" spans="1:179" x14ac:dyDescent="0.2">
      <c r="A559" t="str">
        <f t="shared" si="17"/>
        <v>Praios' Mahnung</v>
      </c>
      <c r="AS559" t="s">
        <v>4569</v>
      </c>
      <c r="AT559" t="s">
        <v>4569</v>
      </c>
      <c r="AU559" t="s">
        <v>4569</v>
      </c>
      <c r="AV559" t="s">
        <v>4569</v>
      </c>
      <c r="BK559" t="s">
        <v>4569</v>
      </c>
      <c r="BM559" t="s">
        <v>4569</v>
      </c>
      <c r="BN559" t="s">
        <v>4569</v>
      </c>
      <c r="BO559" t="s">
        <v>4569</v>
      </c>
      <c r="BP559" t="s">
        <v>4569</v>
      </c>
      <c r="BQ559" t="s">
        <v>4569</v>
      </c>
      <c r="BR559" t="s">
        <v>4569</v>
      </c>
      <c r="BS559" t="s">
        <v>4569</v>
      </c>
      <c r="CB559" t="s">
        <v>1321</v>
      </c>
      <c r="CC559" t="s">
        <v>1321</v>
      </c>
      <c r="CE559" t="s">
        <v>1321</v>
      </c>
      <c r="DA559" t="s">
        <v>4569</v>
      </c>
      <c r="DB559" t="s">
        <v>4569</v>
      </c>
      <c r="DC559" t="s">
        <v>4569</v>
      </c>
      <c r="FF559" t="s">
        <v>4569</v>
      </c>
      <c r="FO559" t="s">
        <v>1321</v>
      </c>
      <c r="FP559" t="s">
        <v>1321</v>
      </c>
      <c r="FQ559" t="s">
        <v>1321</v>
      </c>
      <c r="FR559" t="s">
        <v>1321</v>
      </c>
    </row>
    <row r="560" spans="1:179" x14ac:dyDescent="0.2">
      <c r="A560" t="str">
        <f t="shared" si="17"/>
        <v>Purgation</v>
      </c>
      <c r="AS560" t="s">
        <v>4569</v>
      </c>
      <c r="AT560" t="s">
        <v>4569</v>
      </c>
      <c r="AU560" t="s">
        <v>4569</v>
      </c>
      <c r="AV560" t="s">
        <v>4569</v>
      </c>
      <c r="AZ560" t="s">
        <v>1321</v>
      </c>
      <c r="BA560" t="s">
        <v>1321</v>
      </c>
      <c r="BB560" t="s">
        <v>1321</v>
      </c>
      <c r="BC560" t="s">
        <v>1321</v>
      </c>
      <c r="BD560" t="s">
        <v>1321</v>
      </c>
      <c r="BG560" t="s">
        <v>1321</v>
      </c>
      <c r="BJ560" t="s">
        <v>1321</v>
      </c>
      <c r="BK560" t="s">
        <v>1321</v>
      </c>
      <c r="BM560" t="s">
        <v>4569</v>
      </c>
      <c r="BN560" t="s">
        <v>4569</v>
      </c>
      <c r="BO560" t="s">
        <v>4569</v>
      </c>
      <c r="BP560" t="s">
        <v>4569</v>
      </c>
      <c r="BQ560" t="s">
        <v>4569</v>
      </c>
      <c r="BR560" t="s">
        <v>4569</v>
      </c>
      <c r="BS560" t="s">
        <v>4569</v>
      </c>
      <c r="CB560" t="s">
        <v>1321</v>
      </c>
      <c r="CC560" t="s">
        <v>1321</v>
      </c>
      <c r="CE560" t="s">
        <v>1321</v>
      </c>
      <c r="CN560" t="s">
        <v>1321</v>
      </c>
      <c r="CO560" t="s">
        <v>1321</v>
      </c>
      <c r="CP560" t="s">
        <v>1321</v>
      </c>
      <c r="DA560" t="s">
        <v>4569</v>
      </c>
      <c r="DB560" t="s">
        <v>4569</v>
      </c>
      <c r="DC560" t="s">
        <v>4569</v>
      </c>
      <c r="EX560" t="s">
        <v>1321</v>
      </c>
      <c r="EZ560" t="s">
        <v>1321</v>
      </c>
      <c r="FA560" t="s">
        <v>1321</v>
      </c>
      <c r="FE560" t="s">
        <v>1321</v>
      </c>
      <c r="FF560" t="s">
        <v>1321</v>
      </c>
      <c r="FO560" t="s">
        <v>1321</v>
      </c>
      <c r="FP560" t="s">
        <v>1321</v>
      </c>
      <c r="FQ560" t="s">
        <v>1321</v>
      </c>
      <c r="FR560" t="s">
        <v>1321</v>
      </c>
      <c r="FU560" t="s">
        <v>1321</v>
      </c>
    </row>
    <row r="561" spans="1:183" x14ac:dyDescent="0.2">
      <c r="A561" t="str">
        <f t="shared" si="17"/>
        <v>Quellsegen</v>
      </c>
      <c r="AO561" t="s">
        <v>1321</v>
      </c>
      <c r="AP561" t="s">
        <v>1752</v>
      </c>
      <c r="AQ561" t="s">
        <v>1321</v>
      </c>
      <c r="AR561" t="s">
        <v>1321</v>
      </c>
      <c r="AS561" t="s">
        <v>4569</v>
      </c>
      <c r="AT561" t="s">
        <v>4569</v>
      </c>
      <c r="AU561" t="s">
        <v>4569</v>
      </c>
      <c r="AV561" t="s">
        <v>4569</v>
      </c>
      <c r="BJ561" t="s">
        <v>4569</v>
      </c>
      <c r="BK561" t="s">
        <v>4569</v>
      </c>
      <c r="BM561" t="s">
        <v>4569</v>
      </c>
      <c r="BN561" t="s">
        <v>4569</v>
      </c>
      <c r="BO561" t="s">
        <v>4569</v>
      </c>
      <c r="BP561" t="s">
        <v>4569</v>
      </c>
      <c r="BQ561" t="s">
        <v>4569</v>
      </c>
      <c r="BR561" t="s">
        <v>4569</v>
      </c>
      <c r="BS561" t="s">
        <v>4569</v>
      </c>
      <c r="DA561" t="s">
        <v>4569</v>
      </c>
      <c r="DB561" t="s">
        <v>4569</v>
      </c>
      <c r="DC561" t="s">
        <v>4569</v>
      </c>
      <c r="ET561" t="s">
        <v>1321</v>
      </c>
      <c r="EU561" t="s">
        <v>1321</v>
      </c>
      <c r="FF561" t="s">
        <v>4569</v>
      </c>
    </row>
    <row r="562" spans="1:183" x14ac:dyDescent="0.2">
      <c r="A562" t="str">
        <f t="shared" si="17"/>
        <v>Rahjabund</v>
      </c>
    </row>
    <row r="563" spans="1:183" x14ac:dyDescent="0.2">
      <c r="A563" t="str">
        <f t="shared" si="17"/>
        <v>Rahjalinas Weinranke</v>
      </c>
      <c r="AS563" t="s">
        <v>4569</v>
      </c>
      <c r="AT563" t="s">
        <v>4569</v>
      </c>
      <c r="AU563" t="s">
        <v>4569</v>
      </c>
      <c r="AV563" t="s">
        <v>4569</v>
      </c>
      <c r="BJ563" t="s">
        <v>4569</v>
      </c>
      <c r="BK563" t="s">
        <v>4569</v>
      </c>
      <c r="BM563" t="s">
        <v>4569</v>
      </c>
      <c r="BN563" t="s">
        <v>4569</v>
      </c>
      <c r="BO563" t="s">
        <v>4569</v>
      </c>
      <c r="BP563" t="s">
        <v>4569</v>
      </c>
      <c r="BQ563" t="s">
        <v>4569</v>
      </c>
      <c r="BR563" t="s">
        <v>4569</v>
      </c>
      <c r="BS563" t="s">
        <v>4569</v>
      </c>
      <c r="CF563" t="s">
        <v>1321</v>
      </c>
      <c r="CG563" t="s">
        <v>1321</v>
      </c>
      <c r="CH563" t="s">
        <v>1321</v>
      </c>
      <c r="CI563" t="s">
        <v>1321</v>
      </c>
      <c r="CL563" t="s">
        <v>1752</v>
      </c>
      <c r="CM563" t="s">
        <v>1752</v>
      </c>
      <c r="DA563" t="s">
        <v>4569</v>
      </c>
      <c r="DB563" t="s">
        <v>4569</v>
      </c>
      <c r="DC563" t="s">
        <v>4569</v>
      </c>
      <c r="FF563" t="s">
        <v>4569</v>
      </c>
      <c r="FS563" t="s">
        <v>1321</v>
      </c>
      <c r="FT563" t="s">
        <v>1321</v>
      </c>
    </row>
    <row r="564" spans="1:183" x14ac:dyDescent="0.2">
      <c r="A564" t="str">
        <f t="shared" si="17"/>
        <v>Rahjas Begehren</v>
      </c>
    </row>
    <row r="565" spans="1:183" x14ac:dyDescent="0.2">
      <c r="A565" t="str">
        <f t="shared" si="17"/>
        <v>Rahjas Fest der Freude</v>
      </c>
      <c r="AS565" t="s">
        <v>4569</v>
      </c>
      <c r="AT565" t="s">
        <v>4569</v>
      </c>
      <c r="AU565" t="s">
        <v>4569</v>
      </c>
      <c r="AV565" t="s">
        <v>4569</v>
      </c>
      <c r="BJ565" t="s">
        <v>4569</v>
      </c>
      <c r="BK565" t="s">
        <v>4569</v>
      </c>
      <c r="BM565" t="s">
        <v>4569</v>
      </c>
      <c r="BN565" t="s">
        <v>4569</v>
      </c>
      <c r="BO565" t="s">
        <v>4569</v>
      </c>
      <c r="BP565" t="s">
        <v>4569</v>
      </c>
      <c r="BQ565" t="s">
        <v>4569</v>
      </c>
      <c r="BR565" t="s">
        <v>4569</v>
      </c>
      <c r="BS565" t="s">
        <v>4569</v>
      </c>
      <c r="CF565" t="s">
        <v>4588</v>
      </c>
      <c r="CG565" t="s">
        <v>4588</v>
      </c>
      <c r="CH565" t="s">
        <v>4588</v>
      </c>
      <c r="CI565" t="s">
        <v>4588</v>
      </c>
      <c r="CL565" t="s">
        <v>4588</v>
      </c>
      <c r="CM565" t="s">
        <v>4588</v>
      </c>
      <c r="DA565" t="s">
        <v>4569</v>
      </c>
      <c r="DB565" t="s">
        <v>4569</v>
      </c>
      <c r="DC565" t="s">
        <v>4569</v>
      </c>
      <c r="FF565" t="s">
        <v>4569</v>
      </c>
      <c r="FS565" t="s">
        <v>1321</v>
      </c>
      <c r="FT565" t="s">
        <v>1321</v>
      </c>
    </row>
    <row r="566" spans="1:183" x14ac:dyDescent="0.2">
      <c r="A566" t="str">
        <f t="shared" si="17"/>
        <v>Rahjas heitere Gelassenheit</v>
      </c>
      <c r="AS566" t="s">
        <v>4569</v>
      </c>
      <c r="AT566" t="s">
        <v>4569</v>
      </c>
      <c r="AU566" t="s">
        <v>4569</v>
      </c>
      <c r="AV566" t="s">
        <v>4569</v>
      </c>
      <c r="BJ566" t="s">
        <v>4569</v>
      </c>
      <c r="BK566" t="s">
        <v>4569</v>
      </c>
      <c r="BM566" t="s">
        <v>4569</v>
      </c>
      <c r="BN566" t="s">
        <v>4569</v>
      </c>
      <c r="BO566" t="s">
        <v>4569</v>
      </c>
      <c r="BP566" t="s">
        <v>4569</v>
      </c>
      <c r="BQ566" t="s">
        <v>4569</v>
      </c>
      <c r="BR566" t="s">
        <v>4569</v>
      </c>
      <c r="BS566" t="s">
        <v>4569</v>
      </c>
      <c r="CF566" t="s">
        <v>1321</v>
      </c>
      <c r="CG566" t="s">
        <v>1321</v>
      </c>
      <c r="CH566" t="s">
        <v>1321</v>
      </c>
      <c r="CI566" t="s">
        <v>1321</v>
      </c>
      <c r="CL566" t="s">
        <v>1321</v>
      </c>
      <c r="CM566" t="s">
        <v>1321</v>
      </c>
      <c r="DA566" t="s">
        <v>4569</v>
      </c>
      <c r="DB566" t="s">
        <v>4569</v>
      </c>
      <c r="DC566" t="s">
        <v>4569</v>
      </c>
      <c r="FF566" t="s">
        <v>4569</v>
      </c>
      <c r="FS566" t="s">
        <v>1321</v>
      </c>
      <c r="FT566" t="s">
        <v>1321</v>
      </c>
    </row>
    <row r="567" spans="1:183" x14ac:dyDescent="0.2">
      <c r="A567" t="str">
        <f t="shared" si="17"/>
        <v>Revolution der Gedanken</v>
      </c>
    </row>
    <row r="568" spans="1:183" x14ac:dyDescent="0.2">
      <c r="A568" t="str">
        <f t="shared" si="17"/>
        <v>Salbung der Heiligen Noiona</v>
      </c>
      <c r="I568" t="s">
        <v>1321</v>
      </c>
      <c r="J568" t="s">
        <v>1321</v>
      </c>
      <c r="K568" t="s">
        <v>1321</v>
      </c>
      <c r="L568" t="s">
        <v>1321</v>
      </c>
      <c r="M568" t="s">
        <v>1321</v>
      </c>
      <c r="N568" t="s">
        <v>1321</v>
      </c>
      <c r="O568" t="s">
        <v>1321</v>
      </c>
      <c r="P568" t="s">
        <v>1321</v>
      </c>
      <c r="Q568" t="s">
        <v>1321</v>
      </c>
      <c r="R568" t="s">
        <v>1321</v>
      </c>
      <c r="S568" t="s">
        <v>1321</v>
      </c>
      <c r="T568" t="s">
        <v>1321</v>
      </c>
      <c r="U568" t="s">
        <v>1321</v>
      </c>
      <c r="V568" t="s">
        <v>1321</v>
      </c>
      <c r="W568" t="s">
        <v>1321</v>
      </c>
      <c r="X568" t="s">
        <v>1321</v>
      </c>
      <c r="Y568" t="s">
        <v>1321</v>
      </c>
      <c r="Z568" t="s">
        <v>1321</v>
      </c>
      <c r="AA568" t="s">
        <v>1321</v>
      </c>
      <c r="AB568" t="s">
        <v>1321</v>
      </c>
      <c r="AC568" t="s">
        <v>1321</v>
      </c>
      <c r="AD568" t="s">
        <v>1321</v>
      </c>
      <c r="AE568" t="s">
        <v>1321</v>
      </c>
      <c r="AG568" t="s">
        <v>1321</v>
      </c>
      <c r="AI568" t="s">
        <v>1321</v>
      </c>
      <c r="AS568" t="s">
        <v>4569</v>
      </c>
      <c r="AT568" t="s">
        <v>4569</v>
      </c>
      <c r="AU568" t="s">
        <v>4569</v>
      </c>
      <c r="AV568" t="s">
        <v>4569</v>
      </c>
      <c r="BJ568" t="s">
        <v>4569</v>
      </c>
      <c r="BK568" t="s">
        <v>4569</v>
      </c>
      <c r="BM568" t="s">
        <v>4569</v>
      </c>
      <c r="BN568" t="s">
        <v>4569</v>
      </c>
      <c r="BO568" t="s">
        <v>4569</v>
      </c>
      <c r="BP568" t="s">
        <v>4569</v>
      </c>
      <c r="BQ568" t="s">
        <v>4569</v>
      </c>
      <c r="BR568" t="s">
        <v>4569</v>
      </c>
      <c r="BS568" t="s">
        <v>4569</v>
      </c>
      <c r="DA568" t="s">
        <v>4569</v>
      </c>
      <c r="DB568" t="s">
        <v>4569</v>
      </c>
      <c r="DC568" t="s">
        <v>4569</v>
      </c>
      <c r="EJ568" t="s">
        <v>1321</v>
      </c>
      <c r="EK568" t="s">
        <v>1321</v>
      </c>
      <c r="EL568" t="s">
        <v>1321</v>
      </c>
      <c r="EM568" t="s">
        <v>1321</v>
      </c>
      <c r="EN568" t="s">
        <v>1321</v>
      </c>
      <c r="EO568" t="s">
        <v>1321</v>
      </c>
      <c r="EP568" t="s">
        <v>1321</v>
      </c>
      <c r="EQ568" t="s">
        <v>1321</v>
      </c>
      <c r="ER568" t="s">
        <v>1321</v>
      </c>
      <c r="FF568" t="s">
        <v>4569</v>
      </c>
    </row>
    <row r="569" spans="1:183" x14ac:dyDescent="0.2">
      <c r="A569" t="str">
        <f t="shared" si="17"/>
        <v>Schrifttum ferner Lande</v>
      </c>
      <c r="AS569" t="s">
        <v>4569</v>
      </c>
      <c r="AT569" t="s">
        <v>4569</v>
      </c>
      <c r="AU569" t="s">
        <v>4569</v>
      </c>
      <c r="AV569" t="s">
        <v>4569</v>
      </c>
      <c r="AZ569" t="s">
        <v>1321</v>
      </c>
      <c r="BA569" t="s">
        <v>1321</v>
      </c>
      <c r="BB569" t="s">
        <v>1321</v>
      </c>
      <c r="BC569" t="s">
        <v>1321</v>
      </c>
      <c r="BD569" t="s">
        <v>1321</v>
      </c>
      <c r="BG569" t="s">
        <v>1321</v>
      </c>
      <c r="BJ569" t="s">
        <v>4569</v>
      </c>
      <c r="BK569" t="s">
        <v>4569</v>
      </c>
      <c r="BM569" t="s">
        <v>4569</v>
      </c>
      <c r="BN569" t="s">
        <v>4569</v>
      </c>
      <c r="BO569" t="s">
        <v>4569</v>
      </c>
      <c r="BP569" t="s">
        <v>4569</v>
      </c>
      <c r="BQ569" t="s">
        <v>4569</v>
      </c>
      <c r="BR569" t="s">
        <v>4569</v>
      </c>
      <c r="BS569" t="s">
        <v>4569</v>
      </c>
      <c r="DA569" t="s">
        <v>4569</v>
      </c>
      <c r="DB569" t="s">
        <v>4569</v>
      </c>
      <c r="DC569" t="s">
        <v>4569</v>
      </c>
      <c r="EX569" t="s">
        <v>1321</v>
      </c>
      <c r="EZ569" t="s">
        <v>1321</v>
      </c>
      <c r="FA569" t="s">
        <v>1321</v>
      </c>
      <c r="FF569" t="s">
        <v>4569</v>
      </c>
    </row>
    <row r="570" spans="1:183" x14ac:dyDescent="0.2">
      <c r="A570" t="str">
        <f t="shared" si="17"/>
        <v>Seelenprüfung</v>
      </c>
      <c r="C570" t="s">
        <v>1321</v>
      </c>
      <c r="D570" t="s">
        <v>1321</v>
      </c>
      <c r="E570" t="s">
        <v>1321</v>
      </c>
      <c r="F570" t="s">
        <v>1321</v>
      </c>
      <c r="G570" t="s">
        <v>1321</v>
      </c>
      <c r="I570" t="s">
        <v>1321</v>
      </c>
      <c r="J570" t="s">
        <v>1321</v>
      </c>
      <c r="K570" t="s">
        <v>1321</v>
      </c>
      <c r="L570" t="s">
        <v>1321</v>
      </c>
      <c r="M570" t="s">
        <v>1321</v>
      </c>
      <c r="N570" t="s">
        <v>1321</v>
      </c>
      <c r="O570" t="s">
        <v>1321</v>
      </c>
      <c r="P570" t="s">
        <v>1321</v>
      </c>
      <c r="Q570" t="s">
        <v>1321</v>
      </c>
      <c r="R570" t="s">
        <v>1321</v>
      </c>
      <c r="S570" t="s">
        <v>1321</v>
      </c>
      <c r="T570" t="s">
        <v>1321</v>
      </c>
      <c r="U570" t="s">
        <v>1321</v>
      </c>
      <c r="V570" t="s">
        <v>1321</v>
      </c>
      <c r="W570" t="s">
        <v>1321</v>
      </c>
      <c r="X570" t="s">
        <v>1321</v>
      </c>
      <c r="Y570" t="s">
        <v>1321</v>
      </c>
      <c r="Z570" t="s">
        <v>1321</v>
      </c>
      <c r="AA570" t="s">
        <v>1321</v>
      </c>
      <c r="AB570" t="s">
        <v>1321</v>
      </c>
      <c r="AC570" t="s">
        <v>1321</v>
      </c>
      <c r="AD570" t="s">
        <v>1321</v>
      </c>
      <c r="AE570" t="s">
        <v>1321</v>
      </c>
      <c r="AG570" t="s">
        <v>1321</v>
      </c>
      <c r="AI570" t="s">
        <v>1321</v>
      </c>
      <c r="AO570" t="s">
        <v>1321</v>
      </c>
      <c r="AP570" t="s">
        <v>1321</v>
      </c>
      <c r="AQ570" t="s">
        <v>1321</v>
      </c>
      <c r="AR570" t="s">
        <v>1321</v>
      </c>
      <c r="AS570" t="s">
        <v>1321</v>
      </c>
      <c r="AT570" t="s">
        <v>1321</v>
      </c>
      <c r="AU570" t="s">
        <v>1321</v>
      </c>
      <c r="AV570" t="s">
        <v>1321</v>
      </c>
      <c r="AZ570" t="s">
        <v>1321</v>
      </c>
      <c r="BA570" t="s">
        <v>1321</v>
      </c>
      <c r="BB570" t="s">
        <v>1321</v>
      </c>
      <c r="BC570" t="s">
        <v>1321</v>
      </c>
      <c r="BD570" t="s">
        <v>1321</v>
      </c>
      <c r="BH570" t="s">
        <v>1321</v>
      </c>
      <c r="BI570" t="s">
        <v>1321</v>
      </c>
      <c r="BJ570" t="s">
        <v>1321</v>
      </c>
      <c r="BK570" t="s">
        <v>1321</v>
      </c>
      <c r="BL570" t="s">
        <v>1321</v>
      </c>
      <c r="BM570" t="s">
        <v>1321</v>
      </c>
      <c r="BN570" t="s">
        <v>1321</v>
      </c>
      <c r="BO570" t="s">
        <v>1321</v>
      </c>
      <c r="BP570" t="s">
        <v>1321</v>
      </c>
      <c r="BQ570" t="s">
        <v>1321</v>
      </c>
      <c r="BR570" t="s">
        <v>1321</v>
      </c>
      <c r="BS570" t="s">
        <v>1321</v>
      </c>
      <c r="BT570" t="s">
        <v>1321</v>
      </c>
      <c r="BU570" t="s">
        <v>1321</v>
      </c>
      <c r="BV570" t="s">
        <v>1321</v>
      </c>
      <c r="BW570" t="s">
        <v>1321</v>
      </c>
      <c r="BX570" t="s">
        <v>1321</v>
      </c>
      <c r="BY570" t="s">
        <v>1321</v>
      </c>
      <c r="BZ570" t="s">
        <v>1321</v>
      </c>
      <c r="CA570" t="s">
        <v>1321</v>
      </c>
      <c r="CB570" t="s">
        <v>1321</v>
      </c>
      <c r="CC570" t="s">
        <v>1321</v>
      </c>
      <c r="CE570" t="s">
        <v>1321</v>
      </c>
      <c r="CF570" t="s">
        <v>1321</v>
      </c>
      <c r="CG570" t="s">
        <v>1321</v>
      </c>
      <c r="CH570" t="s">
        <v>1321</v>
      </c>
      <c r="CI570" t="s">
        <v>1321</v>
      </c>
      <c r="CL570" t="s">
        <v>1321</v>
      </c>
      <c r="CM570" t="s">
        <v>1321</v>
      </c>
      <c r="CN570" t="s">
        <v>1321</v>
      </c>
      <c r="CO570" t="s">
        <v>1321</v>
      </c>
      <c r="CP570" t="s">
        <v>1321</v>
      </c>
      <c r="CV570" t="s">
        <v>1321</v>
      </c>
      <c r="CW570" t="s">
        <v>1321</v>
      </c>
      <c r="CX570" t="s">
        <v>1321</v>
      </c>
      <c r="CY570" t="s">
        <v>1321</v>
      </c>
      <c r="DA570" t="s">
        <v>1321</v>
      </c>
      <c r="DB570" t="s">
        <v>1321</v>
      </c>
      <c r="DC570" t="s">
        <v>1321</v>
      </c>
      <c r="EH570" t="s">
        <v>1321</v>
      </c>
      <c r="EI570" t="s">
        <v>1321</v>
      </c>
      <c r="EJ570" t="s">
        <v>1321</v>
      </c>
      <c r="EK570" t="s">
        <v>1321</v>
      </c>
      <c r="EL570" t="s">
        <v>1321</v>
      </c>
      <c r="EM570" t="s">
        <v>1321</v>
      </c>
      <c r="EN570" t="s">
        <v>1321</v>
      </c>
      <c r="EO570" t="s">
        <v>1321</v>
      </c>
      <c r="EP570" t="s">
        <v>1321</v>
      </c>
      <c r="EQ570" t="s">
        <v>1321</v>
      </c>
      <c r="ER570" t="s">
        <v>1321</v>
      </c>
      <c r="ET570" t="s">
        <v>1321</v>
      </c>
      <c r="EU570" t="s">
        <v>1321</v>
      </c>
      <c r="EV570" t="s">
        <v>1321</v>
      </c>
      <c r="EX570" t="s">
        <v>1321</v>
      </c>
      <c r="EZ570" t="s">
        <v>1321</v>
      </c>
      <c r="FA570" t="s">
        <v>1321</v>
      </c>
      <c r="FE570" t="s">
        <v>1321</v>
      </c>
      <c r="FF570" t="s">
        <v>1321</v>
      </c>
      <c r="FG570" t="s">
        <v>1321</v>
      </c>
      <c r="FH570" t="s">
        <v>1321</v>
      </c>
      <c r="FI570" t="s">
        <v>1321</v>
      </c>
      <c r="FJ570" t="s">
        <v>1321</v>
      </c>
      <c r="FK570" t="s">
        <v>1321</v>
      </c>
      <c r="FL570" t="s">
        <v>1321</v>
      </c>
      <c r="FM570" t="s">
        <v>1321</v>
      </c>
      <c r="FN570" t="s">
        <v>1321</v>
      </c>
      <c r="FO570" t="s">
        <v>1321</v>
      </c>
      <c r="FP570" t="s">
        <v>1321</v>
      </c>
      <c r="FQ570" t="s">
        <v>1321</v>
      </c>
      <c r="FR570" t="s">
        <v>1321</v>
      </c>
      <c r="FS570" t="s">
        <v>1321</v>
      </c>
      <c r="FT570" t="s">
        <v>1321</v>
      </c>
      <c r="FU570" t="s">
        <v>1321</v>
      </c>
      <c r="FW570" t="s">
        <v>1321</v>
      </c>
      <c r="FX570" t="s">
        <v>1321</v>
      </c>
      <c r="FY570" t="s">
        <v>1321</v>
      </c>
      <c r="FZ570" t="s">
        <v>1321</v>
      </c>
      <c r="GA570" t="s">
        <v>1321</v>
      </c>
    </row>
    <row r="571" spans="1:183" x14ac:dyDescent="0.2">
      <c r="A571" t="str">
        <f t="shared" si="17"/>
        <v>Segen der Gabetaj</v>
      </c>
      <c r="AS571" t="s">
        <v>4569</v>
      </c>
      <c r="AT571" t="s">
        <v>4569</v>
      </c>
      <c r="AU571" t="s">
        <v>4569</v>
      </c>
      <c r="AV571" t="s">
        <v>4569</v>
      </c>
      <c r="BJ571" t="s">
        <v>4569</v>
      </c>
      <c r="BK571" t="s">
        <v>4569</v>
      </c>
      <c r="BM571" t="s">
        <v>4569</v>
      </c>
      <c r="BN571" t="s">
        <v>4569</v>
      </c>
      <c r="BO571" t="s">
        <v>4569</v>
      </c>
      <c r="BP571" t="s">
        <v>4569</v>
      </c>
      <c r="BQ571" t="s">
        <v>4569</v>
      </c>
      <c r="BR571" t="s">
        <v>4569</v>
      </c>
      <c r="BS571" t="s">
        <v>4569</v>
      </c>
      <c r="DA571" t="s">
        <v>4569</v>
      </c>
      <c r="DB571" t="s">
        <v>4569</v>
      </c>
      <c r="DC571" t="s">
        <v>4569</v>
      </c>
      <c r="FF571" t="s">
        <v>4569</v>
      </c>
    </row>
    <row r="572" spans="1:183" x14ac:dyDescent="0.2">
      <c r="A572" t="str">
        <f t="shared" si="17"/>
        <v>Segen der Heiligen Noiona</v>
      </c>
      <c r="I572" t="s">
        <v>1321</v>
      </c>
      <c r="J572" t="s">
        <v>1321</v>
      </c>
      <c r="K572" t="s">
        <v>1321</v>
      </c>
      <c r="L572" t="s">
        <v>1321</v>
      </c>
      <c r="M572" t="s">
        <v>1321</v>
      </c>
      <c r="N572" t="s">
        <v>1321</v>
      </c>
      <c r="O572" t="s">
        <v>1321</v>
      </c>
      <c r="P572" t="s">
        <v>1321</v>
      </c>
      <c r="Q572" t="s">
        <v>1321</v>
      </c>
      <c r="R572" t="s">
        <v>1321</v>
      </c>
      <c r="S572" t="s">
        <v>1321</v>
      </c>
      <c r="T572" t="s">
        <v>1321</v>
      </c>
      <c r="U572" t="s">
        <v>1321</v>
      </c>
      <c r="V572" t="s">
        <v>1321</v>
      </c>
      <c r="W572" t="s">
        <v>1321</v>
      </c>
      <c r="X572" t="s">
        <v>1321</v>
      </c>
      <c r="Y572" t="s">
        <v>1321</v>
      </c>
      <c r="Z572" t="s">
        <v>1321</v>
      </c>
      <c r="AA572" t="s">
        <v>1321</v>
      </c>
      <c r="AB572" t="s">
        <v>1321</v>
      </c>
      <c r="AC572" t="s">
        <v>1321</v>
      </c>
      <c r="AD572" t="s">
        <v>1321</v>
      </c>
      <c r="AE572" t="s">
        <v>1321</v>
      </c>
      <c r="AG572" t="s">
        <v>1321</v>
      </c>
      <c r="AI572" t="s">
        <v>1321</v>
      </c>
      <c r="AS572" t="s">
        <v>4569</v>
      </c>
      <c r="AT572" t="s">
        <v>4569</v>
      </c>
      <c r="AU572" t="s">
        <v>4569</v>
      </c>
      <c r="AV572" t="s">
        <v>4569</v>
      </c>
      <c r="BJ572" t="s">
        <v>4569</v>
      </c>
      <c r="BK572" t="s">
        <v>4569</v>
      </c>
      <c r="BM572" t="s">
        <v>4569</v>
      </c>
      <c r="BN572" t="s">
        <v>4569</v>
      </c>
      <c r="BO572" t="s">
        <v>4569</v>
      </c>
      <c r="BP572" t="s">
        <v>4569</v>
      </c>
      <c r="BQ572" t="s">
        <v>1321</v>
      </c>
      <c r="BR572" t="s">
        <v>4588</v>
      </c>
      <c r="BS572" t="s">
        <v>1321</v>
      </c>
      <c r="DA572" t="s">
        <v>4569</v>
      </c>
      <c r="DB572" t="s">
        <v>4569</v>
      </c>
      <c r="DC572" t="s">
        <v>4569</v>
      </c>
      <c r="EJ572" t="s">
        <v>1321</v>
      </c>
      <c r="EK572" t="s">
        <v>1321</v>
      </c>
      <c r="EL572" t="s">
        <v>1321</v>
      </c>
      <c r="EM572" t="s">
        <v>1321</v>
      </c>
      <c r="EN572" t="s">
        <v>1321</v>
      </c>
      <c r="EO572" t="s">
        <v>1321</v>
      </c>
      <c r="EP572" t="s">
        <v>1321</v>
      </c>
      <c r="EQ572" t="s">
        <v>1321</v>
      </c>
      <c r="ER572" t="s">
        <v>1321</v>
      </c>
      <c r="FF572" t="s">
        <v>4569</v>
      </c>
      <c r="FI572" t="s">
        <v>1321</v>
      </c>
      <c r="FJ572" t="s">
        <v>1321</v>
      </c>
    </row>
    <row r="573" spans="1:183" x14ac:dyDescent="0.2">
      <c r="A573" t="str">
        <f t="shared" si="17"/>
        <v>Segen der Heiligen Velvenya</v>
      </c>
      <c r="I573" t="s">
        <v>1752</v>
      </c>
      <c r="K573" t="s">
        <v>1752</v>
      </c>
      <c r="L573" t="s">
        <v>1752</v>
      </c>
      <c r="M573" t="s">
        <v>1752</v>
      </c>
      <c r="N573" t="s">
        <v>1752</v>
      </c>
      <c r="O573" t="s">
        <v>1752</v>
      </c>
      <c r="P573" t="s">
        <v>1752</v>
      </c>
      <c r="Q573" t="s">
        <v>1752</v>
      </c>
      <c r="R573" t="s">
        <v>1752</v>
      </c>
      <c r="S573" t="s">
        <v>1752</v>
      </c>
      <c r="AS573" t="s">
        <v>4569</v>
      </c>
      <c r="AT573" t="s">
        <v>4569</v>
      </c>
      <c r="AU573" t="s">
        <v>4569</v>
      </c>
      <c r="AV573" t="s">
        <v>4569</v>
      </c>
      <c r="BJ573" t="s">
        <v>4569</v>
      </c>
      <c r="BK573" t="s">
        <v>4569</v>
      </c>
      <c r="BM573" t="s">
        <v>4569</v>
      </c>
      <c r="BN573" t="s">
        <v>4569</v>
      </c>
      <c r="BO573" t="s">
        <v>4569</v>
      </c>
      <c r="BP573" t="s">
        <v>4569</v>
      </c>
      <c r="BQ573" t="s">
        <v>4569</v>
      </c>
      <c r="BR573" t="s">
        <v>4569</v>
      </c>
      <c r="BS573" t="s">
        <v>4569</v>
      </c>
      <c r="DA573" t="s">
        <v>4569</v>
      </c>
      <c r="DB573" t="s">
        <v>4569</v>
      </c>
      <c r="DC573" t="s">
        <v>4569</v>
      </c>
      <c r="EJ573" t="s">
        <v>1321</v>
      </c>
      <c r="EO573" t="s">
        <v>1321</v>
      </c>
      <c r="FF573" t="s">
        <v>4569</v>
      </c>
    </row>
    <row r="574" spans="1:183" x14ac:dyDescent="0.2">
      <c r="A574" t="str">
        <f t="shared" si="17"/>
        <v>Segen des Heiligen Badilak</v>
      </c>
      <c r="AS574" t="s">
        <v>4569</v>
      </c>
      <c r="AT574" t="s">
        <v>4569</v>
      </c>
      <c r="AU574" t="s">
        <v>4569</v>
      </c>
      <c r="AV574" t="s">
        <v>4569</v>
      </c>
      <c r="BJ574" t="s">
        <v>4569</v>
      </c>
      <c r="BK574" t="s">
        <v>4569</v>
      </c>
      <c r="BM574" t="s">
        <v>4569</v>
      </c>
      <c r="BN574" t="s">
        <v>4569</v>
      </c>
      <c r="BO574" t="s">
        <v>4569</v>
      </c>
      <c r="BP574" t="s">
        <v>4569</v>
      </c>
      <c r="BQ574" t="s">
        <v>4569</v>
      </c>
      <c r="BR574" t="s">
        <v>4569</v>
      </c>
      <c r="BS574" t="s">
        <v>4569</v>
      </c>
      <c r="CX574" t="s">
        <v>1321</v>
      </c>
      <c r="CY574" t="s">
        <v>1321</v>
      </c>
      <c r="DA574" t="s">
        <v>4569</v>
      </c>
      <c r="DB574" t="s">
        <v>4569</v>
      </c>
      <c r="DC574" t="s">
        <v>4569</v>
      </c>
      <c r="FF574" t="s">
        <v>4569</v>
      </c>
      <c r="FX574" t="s">
        <v>1321</v>
      </c>
      <c r="FY574" t="s">
        <v>1321</v>
      </c>
      <c r="FZ574" t="s">
        <v>1321</v>
      </c>
    </row>
    <row r="575" spans="1:183" x14ac:dyDescent="0.2">
      <c r="A575" t="str">
        <f t="shared" si="17"/>
        <v>Segnung des Heimes</v>
      </c>
      <c r="AS575" t="s">
        <v>4569</v>
      </c>
      <c r="AT575" t="s">
        <v>4569</v>
      </c>
      <c r="AU575" t="s">
        <v>4569</v>
      </c>
      <c r="AV575" t="s">
        <v>4569</v>
      </c>
      <c r="BJ575" t="s">
        <v>4569</v>
      </c>
      <c r="BK575" t="s">
        <v>4569</v>
      </c>
      <c r="BM575" t="s">
        <v>4569</v>
      </c>
      <c r="BN575" t="s">
        <v>4569</v>
      </c>
      <c r="BO575" t="s">
        <v>4569</v>
      </c>
      <c r="BP575" t="s">
        <v>4569</v>
      </c>
      <c r="BQ575" t="s">
        <v>4569</v>
      </c>
      <c r="BR575" t="s">
        <v>4569</v>
      </c>
      <c r="BS575" t="s">
        <v>4569</v>
      </c>
      <c r="CX575" t="s">
        <v>1752</v>
      </c>
      <c r="CY575" t="s">
        <v>1752</v>
      </c>
      <c r="DA575" t="s">
        <v>4569</v>
      </c>
      <c r="DB575" t="s">
        <v>4569</v>
      </c>
      <c r="DC575" t="s">
        <v>4569</v>
      </c>
      <c r="FF575" t="s">
        <v>4569</v>
      </c>
      <c r="FX575" t="s">
        <v>1321</v>
      </c>
      <c r="FY575" t="s">
        <v>1321</v>
      </c>
      <c r="FZ575" t="s">
        <v>1321</v>
      </c>
    </row>
    <row r="576" spans="1:183" x14ac:dyDescent="0.2">
      <c r="A576" t="str">
        <f t="shared" si="17"/>
        <v>Siegel Borons</v>
      </c>
      <c r="J576" t="s">
        <v>1752</v>
      </c>
      <c r="T576" t="s">
        <v>1752</v>
      </c>
      <c r="U576" t="s">
        <v>1752</v>
      </c>
      <c r="V576" t="s">
        <v>1752</v>
      </c>
      <c r="W576" t="s">
        <v>1752</v>
      </c>
      <c r="X576" t="s">
        <v>1752</v>
      </c>
      <c r="Y576" t="s">
        <v>1752</v>
      </c>
      <c r="Z576" t="s">
        <v>1752</v>
      </c>
      <c r="AA576" t="s">
        <v>1752</v>
      </c>
      <c r="AB576" t="s">
        <v>1752</v>
      </c>
      <c r="AC576" t="s">
        <v>1752</v>
      </c>
      <c r="AD576" t="s">
        <v>1752</v>
      </c>
      <c r="AE576" t="s">
        <v>1752</v>
      </c>
      <c r="AG576" t="s">
        <v>4588</v>
      </c>
      <c r="AI576" t="s">
        <v>1752</v>
      </c>
      <c r="AS576" t="s">
        <v>4569</v>
      </c>
      <c r="AT576" t="s">
        <v>4569</v>
      </c>
      <c r="AU576" t="s">
        <v>4569</v>
      </c>
      <c r="AV576" t="s">
        <v>4569</v>
      </c>
      <c r="BJ576" t="s">
        <v>4569</v>
      </c>
      <c r="BK576" t="s">
        <v>4569</v>
      </c>
      <c r="BM576" t="s">
        <v>4569</v>
      </c>
      <c r="BN576" t="s">
        <v>4569</v>
      </c>
      <c r="BO576" t="s">
        <v>4569</v>
      </c>
      <c r="BP576" t="s">
        <v>4569</v>
      </c>
      <c r="BQ576" t="s">
        <v>4569</v>
      </c>
      <c r="BR576" t="s">
        <v>4569</v>
      </c>
      <c r="BS576" t="s">
        <v>4569</v>
      </c>
      <c r="DA576" t="s">
        <v>4569</v>
      </c>
      <c r="DB576" t="s">
        <v>4569</v>
      </c>
      <c r="DC576" t="s">
        <v>4569</v>
      </c>
      <c r="EK576" t="s">
        <v>1321</v>
      </c>
      <c r="EL576" t="s">
        <v>1321</v>
      </c>
      <c r="EM576" t="s">
        <v>1321</v>
      </c>
      <c r="EN576" t="s">
        <v>1321</v>
      </c>
      <c r="EP576" t="s">
        <v>1321</v>
      </c>
      <c r="EQ576" t="s">
        <v>1321</v>
      </c>
      <c r="ER576" t="s">
        <v>1321</v>
      </c>
      <c r="FF576" t="s">
        <v>4569</v>
      </c>
    </row>
    <row r="577" spans="1:183" x14ac:dyDescent="0.2">
      <c r="A577" t="str">
        <f t="shared" si="17"/>
        <v>Tabu</v>
      </c>
      <c r="AS577" t="s">
        <v>4569</v>
      </c>
      <c r="AT577" t="s">
        <v>4569</v>
      </c>
      <c r="AU577" t="s">
        <v>4569</v>
      </c>
      <c r="AV577" t="s">
        <v>4569</v>
      </c>
      <c r="BJ577" t="s">
        <v>4569</v>
      </c>
      <c r="BK577" t="s">
        <v>4569</v>
      </c>
      <c r="BM577" t="s">
        <v>4569</v>
      </c>
      <c r="BN577" t="s">
        <v>4569</v>
      </c>
      <c r="BO577" t="s">
        <v>4569</v>
      </c>
      <c r="BP577" t="s">
        <v>4569</v>
      </c>
      <c r="BQ577" t="s">
        <v>4569</v>
      </c>
      <c r="BR577" t="s">
        <v>4569</v>
      </c>
      <c r="BS577" t="s">
        <v>4569</v>
      </c>
      <c r="DA577" t="s">
        <v>4569</v>
      </c>
      <c r="DB577" t="s">
        <v>4569</v>
      </c>
      <c r="DC577" t="s">
        <v>4569</v>
      </c>
      <c r="FF577" t="s">
        <v>4569</v>
      </c>
    </row>
    <row r="578" spans="1:183" x14ac:dyDescent="0.2">
      <c r="A578" t="str">
        <f t="shared" si="17"/>
        <v>Thalionmels Schlachtgesang</v>
      </c>
      <c r="AS578" t="s">
        <v>4569</v>
      </c>
      <c r="AT578" t="s">
        <v>4569</v>
      </c>
      <c r="AU578" t="s">
        <v>4569</v>
      </c>
      <c r="AV578" t="s">
        <v>4569</v>
      </c>
      <c r="BJ578" t="s">
        <v>4569</v>
      </c>
      <c r="BK578" t="s">
        <v>4569</v>
      </c>
      <c r="BM578" t="s">
        <v>4569</v>
      </c>
      <c r="BN578" t="s">
        <v>4569</v>
      </c>
      <c r="BO578" t="s">
        <v>4569</v>
      </c>
      <c r="BP578" t="s">
        <v>4569</v>
      </c>
      <c r="BQ578" t="s">
        <v>4569</v>
      </c>
      <c r="BR578" t="s">
        <v>4569</v>
      </c>
      <c r="BS578" t="s">
        <v>4569</v>
      </c>
      <c r="CN578" t="s">
        <v>1321</v>
      </c>
      <c r="CO578" t="s">
        <v>1321</v>
      </c>
      <c r="CP578" t="s">
        <v>1321</v>
      </c>
      <c r="DA578" t="s">
        <v>4569</v>
      </c>
      <c r="DB578" t="s">
        <v>4569</v>
      </c>
      <c r="DC578" t="s">
        <v>4569</v>
      </c>
      <c r="FF578" t="s">
        <v>4569</v>
      </c>
      <c r="FU578" t="s">
        <v>1321</v>
      </c>
    </row>
    <row r="579" spans="1:183" x14ac:dyDescent="0.2">
      <c r="A579" t="str">
        <f t="shared" ref="A579:A657" si="18">INDEX(Liturgien,ROW()-IDX_L+1)</f>
        <v>Tiergestalt</v>
      </c>
      <c r="G579" t="s">
        <v>1321</v>
      </c>
      <c r="I579" t="s">
        <v>1321</v>
      </c>
      <c r="J579" t="s">
        <v>1321</v>
      </c>
      <c r="K579" t="s">
        <v>1321</v>
      </c>
      <c r="L579" t="s">
        <v>1321</v>
      </c>
      <c r="M579" t="s">
        <v>1321</v>
      </c>
      <c r="N579" t="s">
        <v>1321</v>
      </c>
      <c r="O579" t="s">
        <v>1321</v>
      </c>
      <c r="P579" t="s">
        <v>1321</v>
      </c>
      <c r="Q579" t="s">
        <v>1321</v>
      </c>
      <c r="R579" t="s">
        <v>1321</v>
      </c>
      <c r="S579" t="s">
        <v>1321</v>
      </c>
      <c r="T579" t="s">
        <v>1321</v>
      </c>
      <c r="U579" t="s">
        <v>1321</v>
      </c>
      <c r="V579" t="s">
        <v>1321</v>
      </c>
      <c r="W579" t="s">
        <v>1321</v>
      </c>
      <c r="X579" t="s">
        <v>1321</v>
      </c>
      <c r="Y579" t="s">
        <v>1321</v>
      </c>
      <c r="Z579" t="s">
        <v>1321</v>
      </c>
      <c r="AA579" t="s">
        <v>1321</v>
      </c>
      <c r="AB579" t="s">
        <v>1321</v>
      </c>
      <c r="AC579" t="s">
        <v>1321</v>
      </c>
      <c r="AD579" t="s">
        <v>1321</v>
      </c>
      <c r="AE579" t="s">
        <v>1321</v>
      </c>
      <c r="AG579" t="s">
        <v>1321</v>
      </c>
      <c r="AI579" t="s">
        <v>1321</v>
      </c>
      <c r="AO579" t="s">
        <v>1321</v>
      </c>
      <c r="AP579" t="s">
        <v>1321</v>
      </c>
      <c r="AQ579" t="s">
        <v>1321</v>
      </c>
      <c r="AR579" t="s">
        <v>1321</v>
      </c>
      <c r="AS579" t="s">
        <v>1321</v>
      </c>
      <c r="AT579" t="s">
        <v>1321</v>
      </c>
      <c r="AU579" t="s">
        <v>1321</v>
      </c>
      <c r="AV579" t="s">
        <v>1321</v>
      </c>
      <c r="AZ579" t="s">
        <v>1321</v>
      </c>
      <c r="BA579" t="s">
        <v>1321</v>
      </c>
      <c r="BB579" t="s">
        <v>1321</v>
      </c>
      <c r="BC579" t="s">
        <v>1321</v>
      </c>
      <c r="BD579" t="s">
        <v>1321</v>
      </c>
      <c r="BH579" t="s">
        <v>1321</v>
      </c>
      <c r="BI579" t="s">
        <v>1321</v>
      </c>
      <c r="BJ579" t="s">
        <v>4569</v>
      </c>
      <c r="BK579" t="s">
        <v>4569</v>
      </c>
      <c r="BL579" t="s">
        <v>1321</v>
      </c>
      <c r="BM579" t="s">
        <v>1321</v>
      </c>
      <c r="BN579" t="s">
        <v>1321</v>
      </c>
      <c r="BO579" t="s">
        <v>1321</v>
      </c>
      <c r="BP579" t="s">
        <v>1321</v>
      </c>
      <c r="BQ579" t="s">
        <v>1321</v>
      </c>
      <c r="BR579" t="s">
        <v>1321</v>
      </c>
      <c r="BS579" t="s">
        <v>1321</v>
      </c>
      <c r="BT579" t="s">
        <v>1321</v>
      </c>
      <c r="BU579" t="s">
        <v>1321</v>
      </c>
      <c r="BV579" t="s">
        <v>1321</v>
      </c>
      <c r="BW579" t="s">
        <v>1321</v>
      </c>
      <c r="BX579" t="s">
        <v>1321</v>
      </c>
      <c r="BY579" t="s">
        <v>1321</v>
      </c>
      <c r="BZ579" t="s">
        <v>1321</v>
      </c>
      <c r="CA579" t="s">
        <v>1321</v>
      </c>
      <c r="CF579" t="s">
        <v>1321</v>
      </c>
      <c r="CG579" t="s">
        <v>1321</v>
      </c>
      <c r="CH579" t="s">
        <v>1321</v>
      </c>
      <c r="CI579" t="s">
        <v>1321</v>
      </c>
      <c r="CL579" t="s">
        <v>1321</v>
      </c>
      <c r="CM579" t="s">
        <v>1321</v>
      </c>
      <c r="CN579" t="s">
        <v>1321</v>
      </c>
      <c r="CO579" t="s">
        <v>1321</v>
      </c>
      <c r="CP579" t="s">
        <v>1321</v>
      </c>
      <c r="CV579" t="s">
        <v>1321</v>
      </c>
      <c r="CW579" t="s">
        <v>1321</v>
      </c>
      <c r="CX579" t="s">
        <v>1321</v>
      </c>
      <c r="CY579" t="s">
        <v>1321</v>
      </c>
      <c r="DA579" t="s">
        <v>1321</v>
      </c>
      <c r="DB579" t="s">
        <v>1321</v>
      </c>
      <c r="DC579" t="s">
        <v>1321</v>
      </c>
      <c r="EI579" t="s">
        <v>1321</v>
      </c>
      <c r="EJ579" t="s">
        <v>1321</v>
      </c>
      <c r="EK579" t="s">
        <v>1321</v>
      </c>
      <c r="EL579" t="s">
        <v>1321</v>
      </c>
      <c r="EM579" t="s">
        <v>1321</v>
      </c>
      <c r="EN579" t="s">
        <v>1321</v>
      </c>
      <c r="EO579" t="s">
        <v>1321</v>
      </c>
      <c r="EP579" t="s">
        <v>1321</v>
      </c>
      <c r="EQ579" t="s">
        <v>1321</v>
      </c>
      <c r="ER579" t="s">
        <v>1321</v>
      </c>
      <c r="ET579" t="s">
        <v>1321</v>
      </c>
      <c r="EU579" t="s">
        <v>1321</v>
      </c>
      <c r="EV579" t="s">
        <v>1321</v>
      </c>
      <c r="EX579" t="s">
        <v>1321</v>
      </c>
      <c r="EZ579" t="s">
        <v>1321</v>
      </c>
      <c r="FA579" t="s">
        <v>1321</v>
      </c>
      <c r="FF579" t="s">
        <v>4569</v>
      </c>
      <c r="FG579" t="s">
        <v>1321</v>
      </c>
      <c r="FH579" t="s">
        <v>1321</v>
      </c>
      <c r="FI579" t="s">
        <v>1321</v>
      </c>
      <c r="FJ579" t="s">
        <v>1321</v>
      </c>
      <c r="FK579" t="s">
        <v>1321</v>
      </c>
      <c r="FL579" t="s">
        <v>1321</v>
      </c>
      <c r="FM579" t="s">
        <v>1321</v>
      </c>
      <c r="FN579" t="s">
        <v>1321</v>
      </c>
      <c r="FS579" t="s">
        <v>1321</v>
      </c>
      <c r="FT579" t="s">
        <v>1321</v>
      </c>
      <c r="FU579" t="s">
        <v>1321</v>
      </c>
      <c r="FW579" t="s">
        <v>1321</v>
      </c>
      <c r="FX579" t="s">
        <v>1321</v>
      </c>
      <c r="FY579" t="s">
        <v>1321</v>
      </c>
      <c r="FZ579" t="s">
        <v>1321</v>
      </c>
      <c r="GA579" t="s">
        <v>1321</v>
      </c>
    </row>
    <row r="580" spans="1:183" x14ac:dyDescent="0.2">
      <c r="A580" t="str">
        <f t="shared" si="18"/>
        <v>Tiersprache</v>
      </c>
      <c r="AS580" t="s">
        <v>4569</v>
      </c>
      <c r="AT580" t="s">
        <v>4569</v>
      </c>
      <c r="AU580" t="s">
        <v>4569</v>
      </c>
      <c r="AV580" t="s">
        <v>4569</v>
      </c>
      <c r="BJ580" t="s">
        <v>4569</v>
      </c>
      <c r="BK580" t="s">
        <v>4569</v>
      </c>
      <c r="BM580" t="s">
        <v>4569</v>
      </c>
      <c r="BN580" t="s">
        <v>4569</v>
      </c>
      <c r="BO580" t="s">
        <v>4569</v>
      </c>
      <c r="BP580" t="s">
        <v>4569</v>
      </c>
      <c r="BQ580" t="s">
        <v>4569</v>
      </c>
      <c r="BR580" t="s">
        <v>4569</v>
      </c>
      <c r="BS580" t="s">
        <v>4569</v>
      </c>
      <c r="DA580" t="s">
        <v>4569</v>
      </c>
      <c r="DB580" t="s">
        <v>4569</v>
      </c>
      <c r="DC580" t="s">
        <v>4569</v>
      </c>
      <c r="FF580" t="s">
        <v>4569</v>
      </c>
    </row>
    <row r="581" spans="1:183" x14ac:dyDescent="0.2">
      <c r="A581" t="str">
        <f t="shared" si="18"/>
        <v>Traviabund</v>
      </c>
      <c r="AS581" t="s">
        <v>4569</v>
      </c>
      <c r="AT581" t="s">
        <v>4569</v>
      </c>
      <c r="AU581" t="s">
        <v>4569</v>
      </c>
      <c r="AV581" t="s">
        <v>4569</v>
      </c>
      <c r="BJ581" t="s">
        <v>4569</v>
      </c>
      <c r="BK581" t="s">
        <v>4569</v>
      </c>
      <c r="BM581" t="s">
        <v>4569</v>
      </c>
      <c r="BN581" t="s">
        <v>4569</v>
      </c>
      <c r="BO581" t="s">
        <v>4569</v>
      </c>
      <c r="BP581" t="s">
        <v>4569</v>
      </c>
      <c r="BQ581" t="s">
        <v>4569</v>
      </c>
      <c r="BR581" t="s">
        <v>4569</v>
      </c>
      <c r="BS581" t="s">
        <v>4569</v>
      </c>
      <c r="DA581" t="s">
        <v>4569</v>
      </c>
      <c r="DB581" t="s">
        <v>4569</v>
      </c>
      <c r="DC581" t="s">
        <v>4569</v>
      </c>
      <c r="FF581" t="s">
        <v>4569</v>
      </c>
    </row>
    <row r="582" spans="1:183" x14ac:dyDescent="0.2">
      <c r="A582" t="str">
        <f t="shared" si="18"/>
        <v>Travinians Segen der Schwelle</v>
      </c>
      <c r="AS582" t="s">
        <v>4569</v>
      </c>
      <c r="AT582" t="s">
        <v>4569</v>
      </c>
      <c r="AU582" t="s">
        <v>4569</v>
      </c>
      <c r="AV582" t="s">
        <v>4569</v>
      </c>
      <c r="BJ582" t="s">
        <v>4569</v>
      </c>
      <c r="BK582" t="s">
        <v>4569</v>
      </c>
      <c r="BM582" t="s">
        <v>4569</v>
      </c>
      <c r="BN582" t="s">
        <v>4569</v>
      </c>
      <c r="BO582" t="s">
        <v>4569</v>
      </c>
      <c r="BP582" t="s">
        <v>4569</v>
      </c>
      <c r="BQ582" t="s">
        <v>4569</v>
      </c>
      <c r="BR582" t="s">
        <v>4569</v>
      </c>
      <c r="BS582" t="s">
        <v>4569</v>
      </c>
      <c r="CX582" t="s">
        <v>1321</v>
      </c>
      <c r="CY582" t="s">
        <v>1321</v>
      </c>
      <c r="DA582" t="s">
        <v>4569</v>
      </c>
      <c r="DB582" t="s">
        <v>4569</v>
      </c>
      <c r="DC582" t="s">
        <v>4569</v>
      </c>
      <c r="FF582" t="s">
        <v>4569</v>
      </c>
      <c r="FW582" t="s">
        <v>1321</v>
      </c>
      <c r="FX582" t="s">
        <v>1321</v>
      </c>
      <c r="FY582" t="s">
        <v>1321</v>
      </c>
      <c r="FZ582" t="s">
        <v>1321</v>
      </c>
    </row>
    <row r="583" spans="1:183" x14ac:dyDescent="0.2">
      <c r="A583" t="str">
        <f t="shared" si="18"/>
        <v>Unverstellter Blick</v>
      </c>
      <c r="AS583" t="s">
        <v>4569</v>
      </c>
      <c r="AT583" t="s">
        <v>4569</v>
      </c>
      <c r="AU583" t="s">
        <v>4569</v>
      </c>
      <c r="AV583" t="s">
        <v>4569</v>
      </c>
      <c r="AZ583" t="s">
        <v>1321</v>
      </c>
      <c r="BA583" t="s">
        <v>1321</v>
      </c>
      <c r="BB583" t="s">
        <v>1321</v>
      </c>
      <c r="BC583" t="s">
        <v>1752</v>
      </c>
      <c r="BD583" t="s">
        <v>1321</v>
      </c>
      <c r="BG583" t="s">
        <v>1321</v>
      </c>
      <c r="BJ583" t="s">
        <v>4569</v>
      </c>
      <c r="BK583" t="s">
        <v>4569</v>
      </c>
      <c r="BM583" t="s">
        <v>1321</v>
      </c>
      <c r="BN583" t="s">
        <v>1321</v>
      </c>
      <c r="BO583" t="s">
        <v>1752</v>
      </c>
      <c r="BP583" t="s">
        <v>1321</v>
      </c>
      <c r="BQ583" t="s">
        <v>4569</v>
      </c>
      <c r="BR583" t="s">
        <v>4569</v>
      </c>
      <c r="BS583" t="s">
        <v>4569</v>
      </c>
      <c r="DA583" t="s">
        <v>4569</v>
      </c>
      <c r="DB583" t="s">
        <v>4569</v>
      </c>
      <c r="DC583" t="s">
        <v>4569</v>
      </c>
      <c r="EX583" t="s">
        <v>1321</v>
      </c>
      <c r="EZ583" t="s">
        <v>1321</v>
      </c>
      <c r="FA583" t="s">
        <v>1321</v>
      </c>
      <c r="FF583" t="s">
        <v>4569</v>
      </c>
      <c r="FH583" t="s">
        <v>1321</v>
      </c>
    </row>
    <row r="584" spans="1:183" x14ac:dyDescent="0.2">
      <c r="A584" t="str">
        <f t="shared" si="18"/>
        <v>Urischars ordnender Blick</v>
      </c>
      <c r="AS584" t="s">
        <v>4569</v>
      </c>
      <c r="AT584" t="s">
        <v>4569</v>
      </c>
      <c r="AU584" t="s">
        <v>4569</v>
      </c>
      <c r="AV584" t="s">
        <v>4569</v>
      </c>
      <c r="BJ584" t="s">
        <v>4569</v>
      </c>
      <c r="BK584" t="s">
        <v>4569</v>
      </c>
      <c r="BM584" t="s">
        <v>1321</v>
      </c>
      <c r="BN584" t="s">
        <v>1321</v>
      </c>
      <c r="BO584" t="s">
        <v>1321</v>
      </c>
      <c r="BP584" t="s">
        <v>1321</v>
      </c>
      <c r="BQ584" t="s">
        <v>4569</v>
      </c>
      <c r="BR584" t="s">
        <v>4569</v>
      </c>
      <c r="BS584" t="s">
        <v>4569</v>
      </c>
      <c r="CB584" t="s">
        <v>1321</v>
      </c>
      <c r="CC584" t="s">
        <v>1321</v>
      </c>
      <c r="CE584" t="s">
        <v>1752</v>
      </c>
      <c r="DA584" t="s">
        <v>4569</v>
      </c>
      <c r="DB584" t="s">
        <v>4569</v>
      </c>
      <c r="DC584" t="s">
        <v>4569</v>
      </c>
      <c r="FF584" t="s">
        <v>4569</v>
      </c>
      <c r="FH584" t="s">
        <v>1321</v>
      </c>
      <c r="FO584" t="s">
        <v>1321</v>
      </c>
      <c r="FP584" t="s">
        <v>1321</v>
      </c>
      <c r="FQ584" t="s">
        <v>1321</v>
      </c>
      <c r="FR584" t="s">
        <v>1321</v>
      </c>
    </row>
    <row r="585" spans="1:183" x14ac:dyDescent="0.2">
      <c r="A585" t="str">
        <f t="shared" si="18"/>
        <v>Verborgen wie der Neumond</v>
      </c>
      <c r="AS585" t="s">
        <v>4569</v>
      </c>
      <c r="AT585" t="s">
        <v>4569</v>
      </c>
      <c r="AU585" t="s">
        <v>4569</v>
      </c>
      <c r="AV585" t="s">
        <v>4569</v>
      </c>
      <c r="BJ585" t="s">
        <v>4569</v>
      </c>
      <c r="BK585" t="s">
        <v>4569</v>
      </c>
      <c r="BM585" t="s">
        <v>4569</v>
      </c>
      <c r="BN585" t="s">
        <v>4569</v>
      </c>
      <c r="BO585" t="s">
        <v>4569</v>
      </c>
      <c r="BP585" t="s">
        <v>4569</v>
      </c>
      <c r="BQ585" t="s">
        <v>4569</v>
      </c>
      <c r="BR585" t="s">
        <v>4569</v>
      </c>
      <c r="BS585" t="s">
        <v>4569</v>
      </c>
      <c r="BT585" t="s">
        <v>1321</v>
      </c>
      <c r="BU585" t="s">
        <v>4588</v>
      </c>
      <c r="BV585" t="s">
        <v>4588</v>
      </c>
      <c r="BW585" t="s">
        <v>4588</v>
      </c>
      <c r="BX585" t="s">
        <v>1321</v>
      </c>
      <c r="BY585" t="s">
        <v>4588</v>
      </c>
      <c r="BZ585" t="s">
        <v>1321</v>
      </c>
      <c r="CA585" t="s">
        <v>1321</v>
      </c>
      <c r="DA585" t="s">
        <v>4569</v>
      </c>
      <c r="DB585" t="s">
        <v>4569</v>
      </c>
      <c r="DC585" t="s">
        <v>4569</v>
      </c>
      <c r="FF585" t="s">
        <v>4569</v>
      </c>
      <c r="FK585" t="s">
        <v>1321</v>
      </c>
      <c r="FL585" t="s">
        <v>1321</v>
      </c>
      <c r="FM585" t="s">
        <v>1321</v>
      </c>
      <c r="FN585" t="s">
        <v>1321</v>
      </c>
    </row>
    <row r="586" spans="1:183" x14ac:dyDescent="0.2">
      <c r="A586" t="str">
        <f t="shared" si="18"/>
        <v>Versiegeltes Wissen</v>
      </c>
      <c r="AS586" t="s">
        <v>4569</v>
      </c>
      <c r="AT586" t="s">
        <v>4569</v>
      </c>
      <c r="AU586" t="s">
        <v>4569</v>
      </c>
      <c r="AV586" t="s">
        <v>4569</v>
      </c>
      <c r="AZ586" t="s">
        <v>1321</v>
      </c>
      <c r="BA586" t="s">
        <v>1321</v>
      </c>
      <c r="BB586" t="s">
        <v>1321</v>
      </c>
      <c r="BC586" t="s">
        <v>1321</v>
      </c>
      <c r="BD586" t="s">
        <v>1321</v>
      </c>
      <c r="BJ586" t="s">
        <v>4569</v>
      </c>
      <c r="BK586" t="s">
        <v>4569</v>
      </c>
      <c r="BM586" t="s">
        <v>1321</v>
      </c>
      <c r="BN586" t="s">
        <v>1321</v>
      </c>
      <c r="BO586" t="s">
        <v>1321</v>
      </c>
      <c r="BP586" t="s">
        <v>1321</v>
      </c>
      <c r="BQ586" t="s">
        <v>4569</v>
      </c>
      <c r="BR586" t="s">
        <v>4569</v>
      </c>
      <c r="BS586" t="s">
        <v>4569</v>
      </c>
      <c r="DA586" t="s">
        <v>4569</v>
      </c>
      <c r="DB586" t="s">
        <v>4569</v>
      </c>
      <c r="DC586" t="s">
        <v>4569</v>
      </c>
      <c r="EX586" t="s">
        <v>1321</v>
      </c>
      <c r="EZ586" t="s">
        <v>1321</v>
      </c>
      <c r="FA586" t="s">
        <v>1321</v>
      </c>
      <c r="FF586" t="s">
        <v>4569</v>
      </c>
      <c r="FH586" t="s">
        <v>1321</v>
      </c>
    </row>
    <row r="587" spans="1:183" x14ac:dyDescent="0.2">
      <c r="A587" t="str">
        <f t="shared" si="18"/>
        <v>Visionssuche</v>
      </c>
      <c r="C587" t="s">
        <v>1321</v>
      </c>
      <c r="D587" t="s">
        <v>1321</v>
      </c>
      <c r="E587" t="s">
        <v>1321</v>
      </c>
      <c r="F587" t="s">
        <v>1321</v>
      </c>
      <c r="G587" t="s">
        <v>1321</v>
      </c>
      <c r="I587" t="s">
        <v>1321</v>
      </c>
      <c r="J587" t="s">
        <v>1321</v>
      </c>
      <c r="K587" t="s">
        <v>1321</v>
      </c>
      <c r="L587" t="s">
        <v>1321</v>
      </c>
      <c r="M587" t="s">
        <v>1321</v>
      </c>
      <c r="N587" t="s">
        <v>1321</v>
      </c>
      <c r="O587" t="s">
        <v>1321</v>
      </c>
      <c r="P587" t="s">
        <v>1321</v>
      </c>
      <c r="Q587" t="s">
        <v>1321</v>
      </c>
      <c r="R587" t="s">
        <v>1321</v>
      </c>
      <c r="S587" t="s">
        <v>1321</v>
      </c>
      <c r="T587" t="s">
        <v>1321</v>
      </c>
      <c r="U587" t="s">
        <v>1321</v>
      </c>
      <c r="V587" t="s">
        <v>1321</v>
      </c>
      <c r="W587" t="s">
        <v>1321</v>
      </c>
      <c r="X587" t="s">
        <v>1321</v>
      </c>
      <c r="Y587" t="s">
        <v>1321</v>
      </c>
      <c r="Z587" t="s">
        <v>1321</v>
      </c>
      <c r="AA587" t="s">
        <v>1321</v>
      </c>
      <c r="AB587" t="s">
        <v>1321</v>
      </c>
      <c r="AC587" t="s">
        <v>1321</v>
      </c>
      <c r="AD587" t="s">
        <v>1321</v>
      </c>
      <c r="AE587" t="s">
        <v>1321</v>
      </c>
      <c r="AG587" t="s">
        <v>1321</v>
      </c>
      <c r="AI587" t="s">
        <v>1321</v>
      </c>
      <c r="AO587" t="s">
        <v>1321</v>
      </c>
      <c r="AP587" t="s">
        <v>1321</v>
      </c>
      <c r="AQ587" t="s">
        <v>1321</v>
      </c>
      <c r="AR587" t="s">
        <v>1321</v>
      </c>
      <c r="AS587" t="s">
        <v>1321</v>
      </c>
      <c r="AT587" t="s">
        <v>1321</v>
      </c>
      <c r="AU587" t="s">
        <v>1321</v>
      </c>
      <c r="AV587" t="s">
        <v>1321</v>
      </c>
      <c r="AZ587" t="s">
        <v>1321</v>
      </c>
      <c r="BA587" t="s">
        <v>1321</v>
      </c>
      <c r="BB587" t="s">
        <v>1321</v>
      </c>
      <c r="BC587" t="s">
        <v>1321</v>
      </c>
      <c r="BD587" t="s">
        <v>1321</v>
      </c>
      <c r="BH587" t="s">
        <v>1321</v>
      </c>
      <c r="BI587" t="s">
        <v>1321</v>
      </c>
      <c r="BJ587" t="s">
        <v>1321</v>
      </c>
      <c r="BK587" t="s">
        <v>1321</v>
      </c>
      <c r="BL587" t="s">
        <v>1321</v>
      </c>
      <c r="BM587" t="s">
        <v>1321</v>
      </c>
      <c r="BN587" t="s">
        <v>1321</v>
      </c>
      <c r="BO587" t="s">
        <v>1321</v>
      </c>
      <c r="BP587" t="s">
        <v>1321</v>
      </c>
      <c r="BQ587" t="s">
        <v>1321</v>
      </c>
      <c r="BR587" t="s">
        <v>1321</v>
      </c>
      <c r="BS587" t="s">
        <v>1321</v>
      </c>
      <c r="BT587" t="s">
        <v>1321</v>
      </c>
      <c r="BU587" t="s">
        <v>1321</v>
      </c>
      <c r="BV587" t="s">
        <v>1321</v>
      </c>
      <c r="BW587" t="s">
        <v>1321</v>
      </c>
      <c r="BX587" t="s">
        <v>1321</v>
      </c>
      <c r="BY587" t="s">
        <v>1321</v>
      </c>
      <c r="BZ587" t="s">
        <v>1321</v>
      </c>
      <c r="CA587" t="s">
        <v>1321</v>
      </c>
      <c r="CB587" t="s">
        <v>1321</v>
      </c>
      <c r="CC587" t="s">
        <v>1321</v>
      </c>
      <c r="CE587" t="s">
        <v>1321</v>
      </c>
      <c r="CF587" t="s">
        <v>1321</v>
      </c>
      <c r="CG587" t="s">
        <v>1321</v>
      </c>
      <c r="CH587" t="s">
        <v>1321</v>
      </c>
      <c r="CI587" t="s">
        <v>1321</v>
      </c>
      <c r="CL587" t="s">
        <v>1321</v>
      </c>
      <c r="CM587" t="s">
        <v>1321</v>
      </c>
      <c r="CN587" t="s">
        <v>1321</v>
      </c>
      <c r="CO587" t="s">
        <v>1321</v>
      </c>
      <c r="CP587" t="s">
        <v>1321</v>
      </c>
      <c r="CV587" t="s">
        <v>1321</v>
      </c>
      <c r="CW587" t="s">
        <v>1321</v>
      </c>
      <c r="CX587" t="s">
        <v>1321</v>
      </c>
      <c r="CY587" t="s">
        <v>1321</v>
      </c>
      <c r="DA587" t="s">
        <v>1321</v>
      </c>
      <c r="DB587" t="s">
        <v>1321</v>
      </c>
      <c r="DC587" t="s">
        <v>1321</v>
      </c>
      <c r="DW587" t="s">
        <v>1321</v>
      </c>
      <c r="EH587" t="s">
        <v>1321</v>
      </c>
      <c r="EI587" t="s">
        <v>1321</v>
      </c>
      <c r="EJ587" t="s">
        <v>1321</v>
      </c>
      <c r="EK587" t="s">
        <v>1321</v>
      </c>
      <c r="EL587" t="s">
        <v>1321</v>
      </c>
      <c r="EM587" t="s">
        <v>1321</v>
      </c>
      <c r="EN587" t="s">
        <v>1321</v>
      </c>
      <c r="EO587" t="s">
        <v>1321</v>
      </c>
      <c r="EP587" t="s">
        <v>1321</v>
      </c>
      <c r="EQ587" t="s">
        <v>1321</v>
      </c>
      <c r="ER587" t="s">
        <v>1321</v>
      </c>
      <c r="EV587" t="s">
        <v>1321</v>
      </c>
      <c r="EX587" t="s">
        <v>1321</v>
      </c>
      <c r="EZ587" t="s">
        <v>1321</v>
      </c>
      <c r="FA587" t="s">
        <v>1321</v>
      </c>
      <c r="FE587" t="s">
        <v>1321</v>
      </c>
      <c r="FF587" t="s">
        <v>1321</v>
      </c>
      <c r="FG587" t="s">
        <v>1321</v>
      </c>
      <c r="FH587" t="s">
        <v>1321</v>
      </c>
      <c r="FI587" t="s">
        <v>1321</v>
      </c>
      <c r="FJ587" t="s">
        <v>1321</v>
      </c>
      <c r="FK587" t="s">
        <v>1321</v>
      </c>
      <c r="FL587" t="s">
        <v>1321</v>
      </c>
      <c r="FM587" t="s">
        <v>1321</v>
      </c>
      <c r="FN587" t="s">
        <v>1321</v>
      </c>
      <c r="FO587" t="s">
        <v>1321</v>
      </c>
      <c r="FP587" t="s">
        <v>1321</v>
      </c>
      <c r="FQ587" t="s">
        <v>1321</v>
      </c>
      <c r="FR587" t="s">
        <v>1321</v>
      </c>
      <c r="FS587" t="s">
        <v>1321</v>
      </c>
      <c r="FT587" t="s">
        <v>1321</v>
      </c>
      <c r="FU587" t="s">
        <v>1321</v>
      </c>
      <c r="FX587" t="s">
        <v>1321</v>
      </c>
      <c r="FY587" t="s">
        <v>1321</v>
      </c>
      <c r="FZ587" t="s">
        <v>1321</v>
      </c>
      <c r="GA587" t="s">
        <v>1321</v>
      </c>
    </row>
    <row r="588" spans="1:183" x14ac:dyDescent="0.2">
      <c r="A588" t="str">
        <f t="shared" si="18"/>
        <v>Waffenfluch</v>
      </c>
    </row>
    <row r="589" spans="1:183" x14ac:dyDescent="0.2">
      <c r="A589" t="str">
        <f t="shared" si="18"/>
        <v>Waliburias Wehr</v>
      </c>
      <c r="AS589" t="s">
        <v>4569</v>
      </c>
      <c r="AT589" t="s">
        <v>4569</v>
      </c>
      <c r="AU589" t="s">
        <v>4569</v>
      </c>
      <c r="AV589" t="s">
        <v>4569</v>
      </c>
      <c r="BJ589" t="s">
        <v>1321</v>
      </c>
      <c r="BK589" t="s">
        <v>1752</v>
      </c>
      <c r="BM589" t="s">
        <v>4569</v>
      </c>
      <c r="BN589" t="s">
        <v>4569</v>
      </c>
      <c r="BO589" t="s">
        <v>4569</v>
      </c>
      <c r="BP589" t="s">
        <v>4569</v>
      </c>
      <c r="BQ589" t="s">
        <v>4569</v>
      </c>
      <c r="BR589" t="s">
        <v>4569</v>
      </c>
      <c r="BS589" t="s">
        <v>4569</v>
      </c>
      <c r="DA589" t="s">
        <v>4569</v>
      </c>
      <c r="DB589" t="s">
        <v>4569</v>
      </c>
      <c r="DC589" t="s">
        <v>4569</v>
      </c>
      <c r="FE589" t="s">
        <v>1321</v>
      </c>
      <c r="FF589" t="s">
        <v>1321</v>
      </c>
      <c r="FU589" t="s">
        <v>1321</v>
      </c>
    </row>
    <row r="590" spans="1:183" x14ac:dyDescent="0.2">
      <c r="A590" t="str">
        <f t="shared" si="18"/>
        <v>Wunderbarer Geschlechterwandel</v>
      </c>
      <c r="AS590" t="s">
        <v>4569</v>
      </c>
      <c r="AT590" t="s">
        <v>4569</v>
      </c>
      <c r="AU590" t="s">
        <v>4569</v>
      </c>
      <c r="AV590" t="s">
        <v>4569</v>
      </c>
      <c r="BG590" t="s">
        <v>1321</v>
      </c>
      <c r="BJ590" t="s">
        <v>4569</v>
      </c>
      <c r="BK590" t="s">
        <v>4569</v>
      </c>
      <c r="BM590" t="s">
        <v>4569</v>
      </c>
      <c r="BN590" t="s">
        <v>4569</v>
      </c>
      <c r="BO590" t="s">
        <v>4569</v>
      </c>
      <c r="BP590" t="s">
        <v>4569</v>
      </c>
      <c r="BQ590" t="s">
        <v>4569</v>
      </c>
      <c r="BR590" t="s">
        <v>4569</v>
      </c>
      <c r="BS590" t="s">
        <v>4569</v>
      </c>
      <c r="DA590" t="s">
        <v>4569</v>
      </c>
      <c r="DB590" t="s">
        <v>4569</v>
      </c>
      <c r="DC590" t="s">
        <v>4569</v>
      </c>
      <c r="DD590" t="s">
        <v>4588</v>
      </c>
      <c r="FF590" t="s">
        <v>4569</v>
      </c>
    </row>
    <row r="591" spans="1:183" x14ac:dyDescent="0.2">
      <c r="A591" t="str">
        <f t="shared" si="18"/>
        <v>Aller Welt Freund</v>
      </c>
      <c r="G591" t="s">
        <v>1321</v>
      </c>
      <c r="AS591" t="s">
        <v>4569</v>
      </c>
      <c r="AT591" t="s">
        <v>4569</v>
      </c>
      <c r="AU591" t="s">
        <v>4569</v>
      </c>
      <c r="AV591" t="s">
        <v>4569</v>
      </c>
      <c r="BJ591" t="s">
        <v>4569</v>
      </c>
      <c r="BK591" t="s">
        <v>4569</v>
      </c>
      <c r="BM591" t="s">
        <v>4569</v>
      </c>
      <c r="BN591" t="s">
        <v>4569</v>
      </c>
      <c r="BO591" t="s">
        <v>4569</v>
      </c>
      <c r="BP591" t="s">
        <v>4569</v>
      </c>
      <c r="BQ591" t="s">
        <v>4569</v>
      </c>
      <c r="BR591" t="s">
        <v>4569</v>
      </c>
      <c r="BS591" t="s">
        <v>4569</v>
      </c>
      <c r="DA591" t="s">
        <v>4569</v>
      </c>
      <c r="DB591" t="s">
        <v>4569</v>
      </c>
      <c r="DC591" t="s">
        <v>4569</v>
      </c>
      <c r="DE591" t="s">
        <v>4121</v>
      </c>
      <c r="EG591" t="s">
        <v>4121</v>
      </c>
      <c r="EI591" t="s">
        <v>1321</v>
      </c>
      <c r="FF591" t="s">
        <v>4569</v>
      </c>
    </row>
    <row r="592" spans="1:183" x14ac:dyDescent="0.2">
      <c r="A592" t="str">
        <f t="shared" si="18"/>
        <v>Argelions Spiegel</v>
      </c>
      <c r="B592" t="s">
        <v>4121</v>
      </c>
      <c r="AS592" t="s">
        <v>4569</v>
      </c>
      <c r="AT592" t="s">
        <v>4569</v>
      </c>
      <c r="AU592" t="s">
        <v>4569</v>
      </c>
      <c r="AV592" t="s">
        <v>4569</v>
      </c>
      <c r="AZ592" t="s">
        <v>1321</v>
      </c>
      <c r="BA592" t="s">
        <v>1321</v>
      </c>
      <c r="BB592" t="s">
        <v>1321</v>
      </c>
      <c r="BC592" t="s">
        <v>1321</v>
      </c>
      <c r="BD592" t="s">
        <v>1321</v>
      </c>
      <c r="BG592" t="s">
        <v>1321</v>
      </c>
      <c r="BJ592" t="s">
        <v>4569</v>
      </c>
      <c r="BK592" t="s">
        <v>4569</v>
      </c>
      <c r="BM592" t="s">
        <v>4569</v>
      </c>
      <c r="BN592" t="s">
        <v>4569</v>
      </c>
      <c r="BO592" t="s">
        <v>4569</v>
      </c>
      <c r="BP592" t="s">
        <v>4569</v>
      </c>
      <c r="BQ592" t="s">
        <v>4569</v>
      </c>
      <c r="BR592" t="s">
        <v>4569</v>
      </c>
      <c r="BS592" t="s">
        <v>4569</v>
      </c>
      <c r="DA592" t="s">
        <v>4569</v>
      </c>
      <c r="DB592" t="s">
        <v>4569</v>
      </c>
      <c r="DC592" t="s">
        <v>4569</v>
      </c>
      <c r="EX592" t="s">
        <v>1321</v>
      </c>
      <c r="EZ592" t="s">
        <v>1321</v>
      </c>
      <c r="FA592" t="s">
        <v>1321</v>
      </c>
      <c r="FF592" t="s">
        <v>4569</v>
      </c>
    </row>
    <row r="593" spans="1:174" x14ac:dyDescent="0.2">
      <c r="A593" t="str">
        <f t="shared" si="18"/>
        <v>Bann der Geisterkräfte</v>
      </c>
      <c r="AS593" t="s">
        <v>4569</v>
      </c>
      <c r="AT593" t="s">
        <v>4569</v>
      </c>
      <c r="AU593" t="s">
        <v>4569</v>
      </c>
      <c r="AV593" t="s">
        <v>4569</v>
      </c>
      <c r="BJ593" t="s">
        <v>4569</v>
      </c>
      <c r="BK593" t="s">
        <v>4569</v>
      </c>
      <c r="BM593" t="s">
        <v>4569</v>
      </c>
      <c r="BN593" t="s">
        <v>4569</v>
      </c>
      <c r="BO593" t="s">
        <v>4569</v>
      </c>
      <c r="BP593" t="s">
        <v>4569</v>
      </c>
      <c r="BQ593" t="s">
        <v>4569</v>
      </c>
      <c r="BR593" t="s">
        <v>4569</v>
      </c>
      <c r="BS593" t="s">
        <v>4569</v>
      </c>
      <c r="DA593" t="s">
        <v>4569</v>
      </c>
      <c r="DB593" t="s">
        <v>4569</v>
      </c>
      <c r="DC593" t="s">
        <v>4569</v>
      </c>
      <c r="FF593" t="s">
        <v>4569</v>
      </c>
    </row>
    <row r="594" spans="1:174" x14ac:dyDescent="0.2">
      <c r="A594" t="str">
        <f t="shared" si="18"/>
        <v>Belemans Hochzeit</v>
      </c>
      <c r="AS594" t="s">
        <v>4569</v>
      </c>
      <c r="AT594" t="s">
        <v>4569</v>
      </c>
      <c r="AU594" t="s">
        <v>4569</v>
      </c>
      <c r="AV594" t="s">
        <v>4569</v>
      </c>
      <c r="BJ594" t="s">
        <v>4569</v>
      </c>
      <c r="BK594" t="s">
        <v>4569</v>
      </c>
      <c r="BM594" t="s">
        <v>4569</v>
      </c>
      <c r="BN594" t="s">
        <v>4569</v>
      </c>
      <c r="BO594" t="s">
        <v>4569</v>
      </c>
      <c r="BP594" t="s">
        <v>4569</v>
      </c>
      <c r="BQ594" t="s">
        <v>4569</v>
      </c>
      <c r="BR594" t="s">
        <v>4569</v>
      </c>
      <c r="BS594" t="s">
        <v>4569</v>
      </c>
      <c r="DA594" t="s">
        <v>4569</v>
      </c>
      <c r="DB594" t="s">
        <v>4569</v>
      </c>
      <c r="DC594" t="s">
        <v>4569</v>
      </c>
      <c r="FF594" t="s">
        <v>4569</v>
      </c>
    </row>
    <row r="595" spans="1:174" x14ac:dyDescent="0.2">
      <c r="A595" t="str">
        <f t="shared" si="18"/>
        <v>Borons süße Gnade</v>
      </c>
      <c r="I595" t="s">
        <v>1321</v>
      </c>
      <c r="J595" t="s">
        <v>1321</v>
      </c>
      <c r="K595" t="s">
        <v>1321</v>
      </c>
      <c r="L595" t="s">
        <v>1321</v>
      </c>
      <c r="M595" t="s">
        <v>1321</v>
      </c>
      <c r="N595" t="s">
        <v>1321</v>
      </c>
      <c r="O595" t="s">
        <v>1321</v>
      </c>
      <c r="P595" t="s">
        <v>1321</v>
      </c>
      <c r="Q595" t="s">
        <v>1321</v>
      </c>
      <c r="R595" t="s">
        <v>1321</v>
      </c>
      <c r="S595" t="s">
        <v>1321</v>
      </c>
      <c r="T595" t="s">
        <v>1321</v>
      </c>
      <c r="U595" t="s">
        <v>1321</v>
      </c>
      <c r="V595" t="s">
        <v>1321</v>
      </c>
      <c r="W595" t="s">
        <v>1321</v>
      </c>
      <c r="X595" t="s">
        <v>1321</v>
      </c>
      <c r="Y595" t="s">
        <v>1321</v>
      </c>
      <c r="Z595" t="s">
        <v>1321</v>
      </c>
      <c r="AA595" t="s">
        <v>1321</v>
      </c>
      <c r="AB595" t="s">
        <v>1321</v>
      </c>
      <c r="AC595" t="s">
        <v>1321</v>
      </c>
      <c r="AD595" t="s">
        <v>1321</v>
      </c>
      <c r="AE595" t="s">
        <v>1321</v>
      </c>
      <c r="AG595" t="s">
        <v>1321</v>
      </c>
      <c r="AI595" t="s">
        <v>1321</v>
      </c>
      <c r="AS595" t="s">
        <v>4569</v>
      </c>
      <c r="AT595" t="s">
        <v>4569</v>
      </c>
      <c r="AU595" t="s">
        <v>4569</v>
      </c>
      <c r="AV595" t="s">
        <v>4569</v>
      </c>
      <c r="BJ595" t="s">
        <v>4569</v>
      </c>
      <c r="BK595" t="s">
        <v>4569</v>
      </c>
      <c r="BM595" t="s">
        <v>4569</v>
      </c>
      <c r="BN595" t="s">
        <v>4569</v>
      </c>
      <c r="BO595" t="s">
        <v>4569</v>
      </c>
      <c r="BP595" t="s">
        <v>4569</v>
      </c>
      <c r="BQ595" t="s">
        <v>4569</v>
      </c>
      <c r="BR595" t="s">
        <v>4569</v>
      </c>
      <c r="BS595" t="s">
        <v>4569</v>
      </c>
      <c r="DA595" t="s">
        <v>4569</v>
      </c>
      <c r="DB595" t="s">
        <v>4569</v>
      </c>
      <c r="DC595" t="s">
        <v>4569</v>
      </c>
      <c r="EJ595" t="s">
        <v>1321</v>
      </c>
      <c r="EK595" t="s">
        <v>1321</v>
      </c>
      <c r="EL595" t="s">
        <v>1321</v>
      </c>
      <c r="EM595" t="s">
        <v>1321</v>
      </c>
      <c r="EN595" t="s">
        <v>1321</v>
      </c>
      <c r="EO595" t="s">
        <v>1321</v>
      </c>
      <c r="EP595" t="s">
        <v>1321</v>
      </c>
      <c r="EQ595" t="s">
        <v>1321</v>
      </c>
      <c r="ER595" t="s">
        <v>1321</v>
      </c>
      <c r="FF595" t="s">
        <v>4569</v>
      </c>
    </row>
    <row r="596" spans="1:174" x14ac:dyDescent="0.2">
      <c r="A596" t="str">
        <f t="shared" si="18"/>
        <v>Canyzeths Weisheit</v>
      </c>
    </row>
    <row r="597" spans="1:174" x14ac:dyDescent="0.2">
      <c r="A597" t="str">
        <f t="shared" si="18"/>
        <v>Daradors Bann der Schatten</v>
      </c>
      <c r="AS597" t="s">
        <v>4569</v>
      </c>
      <c r="AT597" t="s">
        <v>4569</v>
      </c>
      <c r="AU597" t="s">
        <v>4569</v>
      </c>
      <c r="AV597" t="s">
        <v>4569</v>
      </c>
      <c r="BJ597" t="s">
        <v>4569</v>
      </c>
      <c r="BK597" t="s">
        <v>4569</v>
      </c>
      <c r="BM597" t="s">
        <v>4569</v>
      </c>
      <c r="BN597" t="s">
        <v>4569</v>
      </c>
      <c r="BO597" t="s">
        <v>4569</v>
      </c>
      <c r="BP597" t="s">
        <v>4569</v>
      </c>
      <c r="BQ597" t="s">
        <v>4569</v>
      </c>
      <c r="BR597" t="s">
        <v>4569</v>
      </c>
      <c r="BS597" t="s">
        <v>4569</v>
      </c>
      <c r="CB597" t="s">
        <v>1321</v>
      </c>
      <c r="CC597" t="s">
        <v>1321</v>
      </c>
      <c r="CE597" t="s">
        <v>1321</v>
      </c>
      <c r="DA597" t="s">
        <v>4569</v>
      </c>
      <c r="DB597" t="s">
        <v>4569</v>
      </c>
      <c r="DC597" t="s">
        <v>4569</v>
      </c>
      <c r="FF597" t="s">
        <v>4569</v>
      </c>
      <c r="FO597" t="s">
        <v>1321</v>
      </c>
      <c r="FP597" t="s">
        <v>1321</v>
      </c>
      <c r="FQ597" t="s">
        <v>1321</v>
      </c>
      <c r="FR597" t="s">
        <v>1321</v>
      </c>
    </row>
    <row r="598" spans="1:174" x14ac:dyDescent="0.2">
      <c r="A598" t="str">
        <f t="shared" si="18"/>
        <v>Ein Freund in Zeiten der Not</v>
      </c>
      <c r="G598" t="s">
        <v>1321</v>
      </c>
      <c r="AS598" t="s">
        <v>4569</v>
      </c>
      <c r="AT598" t="s">
        <v>4569</v>
      </c>
      <c r="AU598" t="s">
        <v>4569</v>
      </c>
      <c r="AV598" t="s">
        <v>4569</v>
      </c>
      <c r="BJ598" t="s">
        <v>4569</v>
      </c>
      <c r="BK598" t="s">
        <v>4569</v>
      </c>
      <c r="BM598" t="s">
        <v>4569</v>
      </c>
      <c r="BN598" t="s">
        <v>4569</v>
      </c>
      <c r="BO598" t="s">
        <v>4569</v>
      </c>
      <c r="BP598" t="s">
        <v>4569</v>
      </c>
      <c r="BQ598" t="s">
        <v>4569</v>
      </c>
      <c r="BR598" t="s">
        <v>4569</v>
      </c>
      <c r="BS598" t="s">
        <v>4569</v>
      </c>
      <c r="DA598" t="s">
        <v>4569</v>
      </c>
      <c r="DB598" t="s">
        <v>4569</v>
      </c>
      <c r="DC598" t="s">
        <v>4569</v>
      </c>
      <c r="EI598" t="s">
        <v>1321</v>
      </c>
      <c r="FF598" t="s">
        <v>4569</v>
      </c>
    </row>
    <row r="599" spans="1:174" x14ac:dyDescent="0.2">
      <c r="A599" t="str">
        <f t="shared" si="18"/>
        <v>Eisherz</v>
      </c>
    </row>
    <row r="600" spans="1:174" x14ac:dyDescent="0.2">
      <c r="A600" t="str">
        <f t="shared" si="18"/>
        <v>Erlösung des Tapams</v>
      </c>
      <c r="AS600" t="s">
        <v>4569</v>
      </c>
      <c r="AT600" t="s">
        <v>4569</v>
      </c>
      <c r="AU600" t="s">
        <v>4569</v>
      </c>
      <c r="AV600" t="s">
        <v>4569</v>
      </c>
      <c r="BJ600" t="s">
        <v>4569</v>
      </c>
      <c r="BK600" t="s">
        <v>4569</v>
      </c>
      <c r="BM600" t="s">
        <v>4569</v>
      </c>
      <c r="BN600" t="s">
        <v>4569</v>
      </c>
      <c r="BO600" t="s">
        <v>4569</v>
      </c>
      <c r="BP600" t="s">
        <v>4569</v>
      </c>
      <c r="BQ600" t="s">
        <v>4569</v>
      </c>
      <c r="BR600" t="s">
        <v>4569</v>
      </c>
      <c r="BS600" t="s">
        <v>4569</v>
      </c>
      <c r="DA600" t="s">
        <v>4569</v>
      </c>
      <c r="DB600" t="s">
        <v>4569</v>
      </c>
      <c r="DC600" t="s">
        <v>4569</v>
      </c>
      <c r="FF600" t="s">
        <v>4569</v>
      </c>
    </row>
    <row r="601" spans="1:174" x14ac:dyDescent="0.2">
      <c r="A601" t="str">
        <f t="shared" si="18"/>
        <v>Feuertaufe</v>
      </c>
      <c r="C601" t="s">
        <v>1321</v>
      </c>
      <c r="D601" t="s">
        <v>1321</v>
      </c>
      <c r="E601" t="s">
        <v>4588</v>
      </c>
      <c r="F601" t="s">
        <v>1321</v>
      </c>
      <c r="AS601" t="s">
        <v>4569</v>
      </c>
      <c r="AT601" t="s">
        <v>4569</v>
      </c>
      <c r="AU601" t="s">
        <v>4569</v>
      </c>
      <c r="AV601" t="s">
        <v>4569</v>
      </c>
      <c r="BJ601" t="s">
        <v>4569</v>
      </c>
      <c r="BK601" t="s">
        <v>4569</v>
      </c>
      <c r="BM601" t="s">
        <v>4569</v>
      </c>
      <c r="BN601" t="s">
        <v>4569</v>
      </c>
      <c r="BO601" t="s">
        <v>4569</v>
      </c>
      <c r="BP601" t="s">
        <v>4569</v>
      </c>
      <c r="BQ601" t="s">
        <v>4569</v>
      </c>
      <c r="BR601" t="s">
        <v>4569</v>
      </c>
      <c r="BS601" t="s">
        <v>4569</v>
      </c>
      <c r="DA601" t="s">
        <v>4569</v>
      </c>
      <c r="DB601" t="s">
        <v>4569</v>
      </c>
      <c r="DC601" t="s">
        <v>4569</v>
      </c>
      <c r="EH601" t="s">
        <v>1321</v>
      </c>
      <c r="FF601" t="s">
        <v>4569</v>
      </c>
    </row>
    <row r="602" spans="1:174" x14ac:dyDescent="0.2">
      <c r="A602" t="str">
        <f t="shared" si="18"/>
        <v>Firuns Einsicht</v>
      </c>
      <c r="AS602" t="s">
        <v>1321</v>
      </c>
      <c r="AT602" t="s">
        <v>1321</v>
      </c>
      <c r="AU602" t="s">
        <v>1321</v>
      </c>
      <c r="AV602" t="s">
        <v>1321</v>
      </c>
      <c r="BJ602" t="s">
        <v>4569</v>
      </c>
      <c r="BK602" t="s">
        <v>4569</v>
      </c>
      <c r="BM602" t="s">
        <v>4569</v>
      </c>
      <c r="BN602" t="s">
        <v>4569</v>
      </c>
      <c r="BO602" t="s">
        <v>4569</v>
      </c>
      <c r="BP602" t="s">
        <v>4569</v>
      </c>
      <c r="BQ602" t="s">
        <v>4569</v>
      </c>
      <c r="BR602" t="s">
        <v>4569</v>
      </c>
      <c r="BS602" t="s">
        <v>4569</v>
      </c>
      <c r="DA602" t="s">
        <v>4569</v>
      </c>
      <c r="DB602" t="s">
        <v>4569</v>
      </c>
      <c r="DC602" t="s">
        <v>4569</v>
      </c>
      <c r="EV602" t="s">
        <v>1321</v>
      </c>
      <c r="FF602" t="s">
        <v>4569</v>
      </c>
    </row>
    <row r="603" spans="1:174" x14ac:dyDescent="0.2">
      <c r="A603" t="str">
        <f t="shared" si="18"/>
        <v>Gorfangs Fluch</v>
      </c>
      <c r="AS603" t="s">
        <v>4569</v>
      </c>
      <c r="AT603" t="s">
        <v>4569</v>
      </c>
      <c r="AU603" t="s">
        <v>4569</v>
      </c>
      <c r="AV603" t="s">
        <v>4569</v>
      </c>
      <c r="BJ603" t="s">
        <v>4569</v>
      </c>
      <c r="BK603" t="s">
        <v>4569</v>
      </c>
      <c r="BM603" t="s">
        <v>4569</v>
      </c>
      <c r="BN603" t="s">
        <v>4569</v>
      </c>
      <c r="BO603" t="s">
        <v>4569</v>
      </c>
      <c r="BP603" t="s">
        <v>4569</v>
      </c>
      <c r="BQ603" t="s">
        <v>4569</v>
      </c>
      <c r="BR603" t="s">
        <v>4569</v>
      </c>
      <c r="BS603" t="s">
        <v>4569</v>
      </c>
      <c r="DA603" t="s">
        <v>4569</v>
      </c>
      <c r="DB603" t="s">
        <v>4569</v>
      </c>
      <c r="DC603" t="s">
        <v>4569</v>
      </c>
      <c r="FF603" t="s">
        <v>4569</v>
      </c>
    </row>
    <row r="604" spans="1:174" x14ac:dyDescent="0.2">
      <c r="A604" t="str">
        <f t="shared" si="18"/>
        <v>Göttliche Strafe</v>
      </c>
    </row>
    <row r="605" spans="1:174" x14ac:dyDescent="0.2">
      <c r="A605" t="str">
        <f t="shared" si="18"/>
        <v>Grispelz' Fruchtbarkeit</v>
      </c>
      <c r="AS605" t="s">
        <v>4569</v>
      </c>
      <c r="AT605" t="s">
        <v>4569</v>
      </c>
      <c r="AU605" t="s">
        <v>4569</v>
      </c>
      <c r="AV605" t="s">
        <v>4569</v>
      </c>
      <c r="BJ605" t="s">
        <v>4569</v>
      </c>
      <c r="BK605" t="s">
        <v>4569</v>
      </c>
      <c r="BM605" t="s">
        <v>4569</v>
      </c>
      <c r="BN605" t="s">
        <v>4569</v>
      </c>
      <c r="BO605" t="s">
        <v>4569</v>
      </c>
      <c r="BP605" t="s">
        <v>4569</v>
      </c>
      <c r="BQ605" t="s">
        <v>4569</v>
      </c>
      <c r="BR605" t="s">
        <v>4569</v>
      </c>
      <c r="BS605" t="s">
        <v>4569</v>
      </c>
      <c r="DA605" t="s">
        <v>4569</v>
      </c>
      <c r="DB605" t="s">
        <v>4569</v>
      </c>
      <c r="DC605" t="s">
        <v>4569</v>
      </c>
      <c r="FF605" t="s">
        <v>4569</v>
      </c>
    </row>
    <row r="606" spans="1:174" x14ac:dyDescent="0.2">
      <c r="A606" t="str">
        <f t="shared" si="18"/>
        <v>Gruß des Versunkenen</v>
      </c>
      <c r="AO606" t="s">
        <v>1321</v>
      </c>
      <c r="AP606" t="s">
        <v>1321</v>
      </c>
      <c r="AQ606" t="s">
        <v>1321</v>
      </c>
      <c r="AR606" t="s">
        <v>1321</v>
      </c>
      <c r="AS606" t="s">
        <v>4569</v>
      </c>
      <c r="AT606" t="s">
        <v>4569</v>
      </c>
      <c r="AU606" t="s">
        <v>4569</v>
      </c>
      <c r="AV606" t="s">
        <v>4569</v>
      </c>
      <c r="BJ606" t="s">
        <v>4569</v>
      </c>
      <c r="BK606" t="s">
        <v>4569</v>
      </c>
      <c r="BM606" t="s">
        <v>4569</v>
      </c>
      <c r="BN606" t="s">
        <v>4569</v>
      </c>
      <c r="BO606" t="s">
        <v>4569</v>
      </c>
      <c r="BP606" t="s">
        <v>4569</v>
      </c>
      <c r="BQ606" t="s">
        <v>4569</v>
      </c>
      <c r="BR606" t="s">
        <v>4569</v>
      </c>
      <c r="BS606" t="s">
        <v>4569</v>
      </c>
      <c r="DA606" t="s">
        <v>4569</v>
      </c>
      <c r="DB606" t="s">
        <v>4569</v>
      </c>
      <c r="DC606" t="s">
        <v>4569</v>
      </c>
      <c r="ET606" t="s">
        <v>1321</v>
      </c>
      <c r="EU606" t="s">
        <v>1321</v>
      </c>
      <c r="FF606" t="s">
        <v>4569</v>
      </c>
    </row>
    <row r="607" spans="1:174" x14ac:dyDescent="0.2">
      <c r="A607" t="str">
        <f t="shared" si="18"/>
        <v>Herr über Feuer und Glut</v>
      </c>
      <c r="C607" t="s">
        <v>1321</v>
      </c>
      <c r="D607" t="s">
        <v>1321</v>
      </c>
      <c r="E607" t="s">
        <v>1321</v>
      </c>
      <c r="F607" t="s">
        <v>1321</v>
      </c>
      <c r="AS607" t="s">
        <v>4569</v>
      </c>
      <c r="AT607" t="s">
        <v>4569</v>
      </c>
      <c r="AU607" t="s">
        <v>4569</v>
      </c>
      <c r="AV607" t="s">
        <v>4569</v>
      </c>
      <c r="BJ607" t="s">
        <v>1321</v>
      </c>
      <c r="BK607" t="s">
        <v>1321</v>
      </c>
      <c r="BM607" t="s">
        <v>4569</v>
      </c>
      <c r="BN607" t="s">
        <v>4569</v>
      </c>
      <c r="BO607" t="s">
        <v>4569</v>
      </c>
      <c r="BP607" t="s">
        <v>4569</v>
      </c>
      <c r="BQ607" t="s">
        <v>4569</v>
      </c>
      <c r="BR607" t="s">
        <v>4569</v>
      </c>
      <c r="BS607" t="s">
        <v>4569</v>
      </c>
      <c r="DA607" t="s">
        <v>4569</v>
      </c>
      <c r="DB607" t="s">
        <v>4569</v>
      </c>
      <c r="DC607" t="s">
        <v>4569</v>
      </c>
      <c r="DW607" t="s">
        <v>1321</v>
      </c>
      <c r="EH607" t="s">
        <v>1321</v>
      </c>
      <c r="FE607" t="s">
        <v>1321</v>
      </c>
      <c r="FF607" t="s">
        <v>1321</v>
      </c>
    </row>
    <row r="608" spans="1:174" x14ac:dyDescent="0.2">
      <c r="A608" t="str">
        <f t="shared" si="18"/>
        <v>Hoftag der Sprachen</v>
      </c>
      <c r="AS608" t="s">
        <v>4569</v>
      </c>
      <c r="AT608" t="s">
        <v>4569</v>
      </c>
      <c r="AU608" t="s">
        <v>4569</v>
      </c>
      <c r="AV608" t="s">
        <v>4569</v>
      </c>
      <c r="BJ608" t="s">
        <v>4569</v>
      </c>
      <c r="BK608" t="s">
        <v>4569</v>
      </c>
      <c r="BM608" t="s">
        <v>1321</v>
      </c>
      <c r="BN608" t="s">
        <v>1321</v>
      </c>
      <c r="BO608" t="s">
        <v>1321</v>
      </c>
      <c r="BP608" t="s">
        <v>1321</v>
      </c>
      <c r="BQ608" t="s">
        <v>4569</v>
      </c>
      <c r="BR608" t="s">
        <v>4569</v>
      </c>
      <c r="BS608" t="s">
        <v>4569</v>
      </c>
      <c r="DA608" t="s">
        <v>4569</v>
      </c>
      <c r="DB608" t="s">
        <v>4569</v>
      </c>
      <c r="DC608" t="s">
        <v>4569</v>
      </c>
      <c r="FF608" t="s">
        <v>4569</v>
      </c>
      <c r="FH608" t="s">
        <v>1321</v>
      </c>
    </row>
    <row r="609" spans="1:183" x14ac:dyDescent="0.2">
      <c r="A609" t="str">
        <f t="shared" si="18"/>
        <v>Indoktrination</v>
      </c>
      <c r="C609" t="s">
        <v>1321</v>
      </c>
      <c r="D609" t="s">
        <v>1321</v>
      </c>
      <c r="E609" t="s">
        <v>1321</v>
      </c>
      <c r="F609" t="s">
        <v>1321</v>
      </c>
      <c r="G609" t="s">
        <v>1321</v>
      </c>
      <c r="I609" t="s">
        <v>1321</v>
      </c>
      <c r="J609" t="s">
        <v>1321</v>
      </c>
      <c r="K609" t="s">
        <v>1321</v>
      </c>
      <c r="L609" t="s">
        <v>1321</v>
      </c>
      <c r="M609" t="s">
        <v>1321</v>
      </c>
      <c r="N609" t="s">
        <v>1321</v>
      </c>
      <c r="O609" t="s">
        <v>1321</v>
      </c>
      <c r="P609" t="s">
        <v>1321</v>
      </c>
      <c r="Q609" t="s">
        <v>1321</v>
      </c>
      <c r="R609" t="s">
        <v>1321</v>
      </c>
      <c r="S609" t="s">
        <v>1321</v>
      </c>
      <c r="T609" t="s">
        <v>1321</v>
      </c>
      <c r="U609" t="s">
        <v>1321</v>
      </c>
      <c r="V609" t="s">
        <v>1321</v>
      </c>
      <c r="W609" t="s">
        <v>1321</v>
      </c>
      <c r="X609" t="s">
        <v>1321</v>
      </c>
      <c r="Y609" t="s">
        <v>1321</v>
      </c>
      <c r="Z609" t="s">
        <v>1321</v>
      </c>
      <c r="AA609" t="s">
        <v>1321</v>
      </c>
      <c r="AB609" t="s">
        <v>1321</v>
      </c>
      <c r="AC609" t="s">
        <v>1321</v>
      </c>
      <c r="AD609" t="s">
        <v>1321</v>
      </c>
      <c r="AE609" t="s">
        <v>1321</v>
      </c>
      <c r="AG609" t="s">
        <v>1321</v>
      </c>
      <c r="AI609" t="s">
        <v>1321</v>
      </c>
      <c r="AO609" t="s">
        <v>1321</v>
      </c>
      <c r="AP609" t="s">
        <v>1321</v>
      </c>
      <c r="AQ609" t="s">
        <v>1321</v>
      </c>
      <c r="AR609" t="s">
        <v>1321</v>
      </c>
      <c r="AS609" t="s">
        <v>1321</v>
      </c>
      <c r="AT609" t="s">
        <v>1321</v>
      </c>
      <c r="AU609" t="s">
        <v>1321</v>
      </c>
      <c r="AV609" t="s">
        <v>1321</v>
      </c>
      <c r="AZ609" t="s">
        <v>1321</v>
      </c>
      <c r="BA609" t="s">
        <v>1321</v>
      </c>
      <c r="BB609" t="s">
        <v>1321</v>
      </c>
      <c r="BC609" t="s">
        <v>1321</v>
      </c>
      <c r="BD609" t="s">
        <v>1321</v>
      </c>
      <c r="BG609" t="s">
        <v>1321</v>
      </c>
      <c r="BH609" t="s">
        <v>1321</v>
      </c>
      <c r="BI609" t="s">
        <v>1321</v>
      </c>
      <c r="BJ609" t="s">
        <v>1321</v>
      </c>
      <c r="BK609" t="s">
        <v>1321</v>
      </c>
      <c r="BL609" t="s">
        <v>1321</v>
      </c>
      <c r="BM609" t="s">
        <v>1321</v>
      </c>
      <c r="BN609" t="s">
        <v>1321</v>
      </c>
      <c r="BO609" t="s">
        <v>1321</v>
      </c>
      <c r="BP609" t="s">
        <v>1321</v>
      </c>
      <c r="BQ609" t="s">
        <v>1321</v>
      </c>
      <c r="BR609" t="s">
        <v>1321</v>
      </c>
      <c r="BS609" t="s">
        <v>1321</v>
      </c>
      <c r="BT609" t="s">
        <v>1321</v>
      </c>
      <c r="BU609" t="s">
        <v>1321</v>
      </c>
      <c r="BV609" t="s">
        <v>1321</v>
      </c>
      <c r="BW609" t="s">
        <v>1321</v>
      </c>
      <c r="BX609" t="s">
        <v>1321</v>
      </c>
      <c r="BY609" t="s">
        <v>1321</v>
      </c>
      <c r="BZ609" t="s">
        <v>1321</v>
      </c>
      <c r="CA609" t="s">
        <v>1321</v>
      </c>
      <c r="CB609" t="s">
        <v>1321</v>
      </c>
      <c r="CC609" t="s">
        <v>1321</v>
      </c>
      <c r="CE609" t="s">
        <v>1321</v>
      </c>
      <c r="CF609" t="s">
        <v>1321</v>
      </c>
      <c r="CG609" t="s">
        <v>1321</v>
      </c>
      <c r="CH609" t="s">
        <v>1321</v>
      </c>
      <c r="CI609" t="s">
        <v>1321</v>
      </c>
      <c r="CL609" t="s">
        <v>1321</v>
      </c>
      <c r="CM609" t="s">
        <v>1321</v>
      </c>
      <c r="CN609" t="s">
        <v>1321</v>
      </c>
      <c r="CO609" t="s">
        <v>1321</v>
      </c>
      <c r="CP609" t="s">
        <v>1321</v>
      </c>
      <c r="CV609" t="s">
        <v>1321</v>
      </c>
      <c r="CW609" t="s">
        <v>1321</v>
      </c>
      <c r="CX609" t="s">
        <v>1321</v>
      </c>
      <c r="CY609" t="s">
        <v>1321</v>
      </c>
      <c r="DA609" t="s">
        <v>1321</v>
      </c>
      <c r="DB609" t="s">
        <v>1321</v>
      </c>
      <c r="DC609" t="s">
        <v>1321</v>
      </c>
      <c r="DD609" t="s">
        <v>1321</v>
      </c>
      <c r="DW609" t="s">
        <v>1321</v>
      </c>
      <c r="EH609" t="s">
        <v>1321</v>
      </c>
      <c r="EI609" t="s">
        <v>1321</v>
      </c>
      <c r="EJ609" t="s">
        <v>1321</v>
      </c>
      <c r="EK609" t="s">
        <v>1321</v>
      </c>
      <c r="EL609" t="s">
        <v>1321</v>
      </c>
      <c r="EM609" t="s">
        <v>1321</v>
      </c>
      <c r="EN609" t="s">
        <v>1321</v>
      </c>
      <c r="EO609" t="s">
        <v>1321</v>
      </c>
      <c r="EP609" t="s">
        <v>1321</v>
      </c>
      <c r="EQ609" t="s">
        <v>1321</v>
      </c>
      <c r="ER609" t="s">
        <v>1321</v>
      </c>
      <c r="ET609" t="s">
        <v>1321</v>
      </c>
      <c r="EU609" t="s">
        <v>1321</v>
      </c>
      <c r="EV609" t="s">
        <v>1321</v>
      </c>
      <c r="EX609" t="s">
        <v>1321</v>
      </c>
      <c r="EZ609" t="s">
        <v>1321</v>
      </c>
      <c r="FA609" t="s">
        <v>1321</v>
      </c>
      <c r="FE609" t="s">
        <v>1321</v>
      </c>
      <c r="FF609" t="s">
        <v>1321</v>
      </c>
      <c r="FG609" t="s">
        <v>1321</v>
      </c>
      <c r="FH609" t="s">
        <v>1321</v>
      </c>
      <c r="FI609" t="s">
        <v>1321</v>
      </c>
      <c r="FJ609" t="s">
        <v>1321</v>
      </c>
      <c r="FK609" t="s">
        <v>1321</v>
      </c>
      <c r="FL609" t="s">
        <v>1321</v>
      </c>
      <c r="FM609" t="s">
        <v>1321</v>
      </c>
      <c r="FN609" t="s">
        <v>1321</v>
      </c>
      <c r="FO609" t="s">
        <v>1321</v>
      </c>
      <c r="FP609" t="s">
        <v>1321</v>
      </c>
      <c r="FQ609" t="s">
        <v>1321</v>
      </c>
      <c r="FR609" t="s">
        <v>1321</v>
      </c>
      <c r="FS609" t="s">
        <v>1321</v>
      </c>
      <c r="FT609" t="s">
        <v>1321</v>
      </c>
      <c r="FU609" t="s">
        <v>1321</v>
      </c>
      <c r="FW609" t="s">
        <v>1321</v>
      </c>
      <c r="FX609" t="s">
        <v>1321</v>
      </c>
      <c r="FY609" t="s">
        <v>1321</v>
      </c>
      <c r="FZ609" t="s">
        <v>1321</v>
      </c>
      <c r="GA609" t="s">
        <v>1321</v>
      </c>
    </row>
    <row r="610" spans="1:183" x14ac:dyDescent="0.2">
      <c r="A610" t="str">
        <f t="shared" si="18"/>
        <v>Ingalfs Alchimie</v>
      </c>
      <c r="AS610" t="s">
        <v>4569</v>
      </c>
      <c r="AT610" t="s">
        <v>4569</v>
      </c>
      <c r="AU610" t="s">
        <v>4569</v>
      </c>
      <c r="AV610" t="s">
        <v>4569</v>
      </c>
      <c r="AZ610" t="s">
        <v>1321</v>
      </c>
      <c r="BA610" t="s">
        <v>1321</v>
      </c>
      <c r="BB610" t="s">
        <v>1321</v>
      </c>
      <c r="BC610" t="s">
        <v>1321</v>
      </c>
      <c r="BD610" t="s">
        <v>1321</v>
      </c>
      <c r="BJ610" t="s">
        <v>4569</v>
      </c>
      <c r="BK610" t="s">
        <v>4569</v>
      </c>
      <c r="BM610" t="s">
        <v>4569</v>
      </c>
      <c r="BN610" t="s">
        <v>4569</v>
      </c>
      <c r="BO610" t="s">
        <v>4569</v>
      </c>
      <c r="BP610" t="s">
        <v>4569</v>
      </c>
      <c r="BQ610" t="s">
        <v>4569</v>
      </c>
      <c r="BR610" t="s">
        <v>4569</v>
      </c>
      <c r="BS610" t="s">
        <v>4569</v>
      </c>
      <c r="DA610" t="s">
        <v>4569</v>
      </c>
      <c r="DB610" t="s">
        <v>4569</v>
      </c>
      <c r="DC610" t="s">
        <v>4569</v>
      </c>
      <c r="EX610" t="s">
        <v>1321</v>
      </c>
      <c r="EZ610" t="s">
        <v>1321</v>
      </c>
      <c r="FA610" t="s">
        <v>1321</v>
      </c>
      <c r="FF610" t="s">
        <v>4569</v>
      </c>
    </row>
    <row r="611" spans="1:183" x14ac:dyDescent="0.2">
      <c r="A611" t="str">
        <f t="shared" si="18"/>
        <v>Kamaluqs Fluch</v>
      </c>
      <c r="AS611" t="s">
        <v>4569</v>
      </c>
      <c r="AT611" t="s">
        <v>4569</v>
      </c>
      <c r="AU611" t="s">
        <v>4569</v>
      </c>
      <c r="AV611" t="s">
        <v>4569</v>
      </c>
      <c r="BJ611" t="s">
        <v>4569</v>
      </c>
      <c r="BK611" t="s">
        <v>4569</v>
      </c>
      <c r="BM611" t="s">
        <v>4569</v>
      </c>
      <c r="BN611" t="s">
        <v>4569</v>
      </c>
      <c r="BO611" t="s">
        <v>4569</v>
      </c>
      <c r="BP611" t="s">
        <v>4569</v>
      </c>
      <c r="BQ611" t="s">
        <v>4569</v>
      </c>
      <c r="BR611" t="s">
        <v>4569</v>
      </c>
      <c r="BS611" t="s">
        <v>4569</v>
      </c>
      <c r="DA611" t="s">
        <v>4569</v>
      </c>
      <c r="DB611" t="s">
        <v>4569</v>
      </c>
      <c r="DC611" t="s">
        <v>4569</v>
      </c>
      <c r="FF611" t="s">
        <v>4569</v>
      </c>
    </row>
    <row r="612" spans="1:183" x14ac:dyDescent="0.2">
      <c r="A612" t="str">
        <f t="shared" si="18"/>
        <v>Namenloser Zweifel, Namenlose Erleuchtung</v>
      </c>
    </row>
    <row r="613" spans="1:183" x14ac:dyDescent="0.2">
      <c r="A613" t="str">
        <f t="shared" si="18"/>
        <v>Nemekaths Zwiesprache</v>
      </c>
      <c r="I613" t="s">
        <v>1321</v>
      </c>
      <c r="K613" t="s">
        <v>1321</v>
      </c>
      <c r="L613" t="s">
        <v>1321</v>
      </c>
      <c r="M613" t="s">
        <v>1321</v>
      </c>
      <c r="N613" t="s">
        <v>1321</v>
      </c>
      <c r="O613" t="s">
        <v>1321</v>
      </c>
      <c r="P613" t="s">
        <v>1321</v>
      </c>
      <c r="Q613" t="s">
        <v>1321</v>
      </c>
      <c r="R613" t="s">
        <v>1321</v>
      </c>
      <c r="S613" t="s">
        <v>1321</v>
      </c>
      <c r="AS613" t="s">
        <v>4569</v>
      </c>
      <c r="AT613" t="s">
        <v>4569</v>
      </c>
      <c r="AU613" t="s">
        <v>4569</v>
      </c>
      <c r="AV613" t="s">
        <v>4569</v>
      </c>
      <c r="BJ613" t="s">
        <v>4569</v>
      </c>
      <c r="BK613" t="s">
        <v>4569</v>
      </c>
      <c r="BM613" t="s">
        <v>4569</v>
      </c>
      <c r="BN613" t="s">
        <v>4569</v>
      </c>
      <c r="BO613" t="s">
        <v>4569</v>
      </c>
      <c r="BP613" t="s">
        <v>4569</v>
      </c>
      <c r="BQ613" t="s">
        <v>4569</v>
      </c>
      <c r="BR613" t="s">
        <v>4569</v>
      </c>
      <c r="BS613" t="s">
        <v>4569</v>
      </c>
      <c r="DA613" t="s">
        <v>4569</v>
      </c>
      <c r="DB613" t="s">
        <v>4569</v>
      </c>
      <c r="DC613" t="s">
        <v>4569</v>
      </c>
      <c r="EJ613" t="s">
        <v>1321</v>
      </c>
      <c r="EK613" t="s">
        <v>1321</v>
      </c>
      <c r="EL613" t="s">
        <v>1321</v>
      </c>
      <c r="EM613" t="s">
        <v>1321</v>
      </c>
      <c r="EN613" t="s">
        <v>1321</v>
      </c>
      <c r="EO613" t="s">
        <v>1321</v>
      </c>
      <c r="EP613" t="s">
        <v>1321</v>
      </c>
      <c r="EQ613" t="s">
        <v>1321</v>
      </c>
      <c r="ER613" t="s">
        <v>1321</v>
      </c>
      <c r="FF613" t="s">
        <v>4569</v>
      </c>
    </row>
    <row r="614" spans="1:183" x14ac:dyDescent="0.2">
      <c r="A614" t="str">
        <f t="shared" si="18"/>
        <v>Ordination</v>
      </c>
      <c r="C614" t="s">
        <v>1321</v>
      </c>
      <c r="D614" t="s">
        <v>1321</v>
      </c>
      <c r="E614" t="s">
        <v>1321</v>
      </c>
      <c r="F614" t="s">
        <v>1321</v>
      </c>
      <c r="G614" t="s">
        <v>1321</v>
      </c>
      <c r="I614" t="s">
        <v>1321</v>
      </c>
      <c r="J614" t="s">
        <v>1321</v>
      </c>
      <c r="K614" t="s">
        <v>1321</v>
      </c>
      <c r="L614" t="s">
        <v>1321</v>
      </c>
      <c r="M614" t="s">
        <v>1321</v>
      </c>
      <c r="N614" t="s">
        <v>1321</v>
      </c>
      <c r="O614" t="s">
        <v>1321</v>
      </c>
      <c r="P614" t="s">
        <v>1321</v>
      </c>
      <c r="Q614" t="s">
        <v>1321</v>
      </c>
      <c r="R614" t="s">
        <v>1321</v>
      </c>
      <c r="S614" t="s">
        <v>1321</v>
      </c>
      <c r="T614" t="s">
        <v>1321</v>
      </c>
      <c r="U614" t="s">
        <v>1321</v>
      </c>
      <c r="V614" t="s">
        <v>1321</v>
      </c>
      <c r="W614" t="s">
        <v>1321</v>
      </c>
      <c r="X614" t="s">
        <v>1321</v>
      </c>
      <c r="Y614" t="s">
        <v>1321</v>
      </c>
      <c r="Z614" t="s">
        <v>1321</v>
      </c>
      <c r="AA614" t="s">
        <v>1321</v>
      </c>
      <c r="AB614" t="s">
        <v>1321</v>
      </c>
      <c r="AC614" t="s">
        <v>1321</v>
      </c>
      <c r="AD614" t="s">
        <v>1321</v>
      </c>
      <c r="AE614" t="s">
        <v>1321</v>
      </c>
      <c r="AG614" t="s">
        <v>1321</v>
      </c>
      <c r="AI614" t="s">
        <v>1321</v>
      </c>
      <c r="AO614" t="s">
        <v>1321</v>
      </c>
      <c r="AP614" t="s">
        <v>1321</v>
      </c>
      <c r="AQ614" t="s">
        <v>1321</v>
      </c>
      <c r="AR614" t="s">
        <v>1321</v>
      </c>
      <c r="AS614" t="s">
        <v>1321</v>
      </c>
      <c r="AT614" t="s">
        <v>1321</v>
      </c>
      <c r="AU614" t="s">
        <v>1321</v>
      </c>
      <c r="AV614" t="s">
        <v>1321</v>
      </c>
      <c r="AZ614" t="s">
        <v>1321</v>
      </c>
      <c r="BA614" t="s">
        <v>1321</v>
      </c>
      <c r="BB614" t="s">
        <v>1321</v>
      </c>
      <c r="BC614" t="s">
        <v>1321</v>
      </c>
      <c r="BD614" t="s">
        <v>1321</v>
      </c>
      <c r="BG614" t="s">
        <v>1321</v>
      </c>
      <c r="BH614" t="s">
        <v>1321</v>
      </c>
      <c r="BI614" t="s">
        <v>1321</v>
      </c>
      <c r="BJ614" t="s">
        <v>1321</v>
      </c>
      <c r="BK614" t="s">
        <v>1321</v>
      </c>
      <c r="BL614" t="s">
        <v>1321</v>
      </c>
      <c r="BM614" t="s">
        <v>1321</v>
      </c>
      <c r="BN614" t="s">
        <v>1321</v>
      </c>
      <c r="BO614" t="s">
        <v>1321</v>
      </c>
      <c r="BP614" t="s">
        <v>1321</v>
      </c>
      <c r="BQ614" t="s">
        <v>1321</v>
      </c>
      <c r="BR614" t="s">
        <v>1321</v>
      </c>
      <c r="BS614" t="s">
        <v>1321</v>
      </c>
      <c r="BT614" t="s">
        <v>1321</v>
      </c>
      <c r="BU614" t="s">
        <v>1321</v>
      </c>
      <c r="BV614" t="s">
        <v>1321</v>
      </c>
      <c r="BW614" t="s">
        <v>1321</v>
      </c>
      <c r="BX614" t="s">
        <v>1321</v>
      </c>
      <c r="BY614" t="s">
        <v>1321</v>
      </c>
      <c r="BZ614" t="s">
        <v>1321</v>
      </c>
      <c r="CA614" t="s">
        <v>1321</v>
      </c>
      <c r="CB614" t="s">
        <v>1321</v>
      </c>
      <c r="CC614" t="s">
        <v>1321</v>
      </c>
      <c r="CE614" t="s">
        <v>1321</v>
      </c>
      <c r="CF614" t="s">
        <v>1321</v>
      </c>
      <c r="CG614" t="s">
        <v>1321</v>
      </c>
      <c r="CH614" t="s">
        <v>1321</v>
      </c>
      <c r="CI614" t="s">
        <v>1321</v>
      </c>
      <c r="CL614" t="s">
        <v>1321</v>
      </c>
      <c r="CM614" t="s">
        <v>1321</v>
      </c>
      <c r="CN614" t="s">
        <v>1321</v>
      </c>
      <c r="CO614" t="s">
        <v>1321</v>
      </c>
      <c r="CP614" t="s">
        <v>1321</v>
      </c>
      <c r="CV614" t="s">
        <v>1321</v>
      </c>
      <c r="CW614" t="s">
        <v>1321</v>
      </c>
      <c r="CX614" t="s">
        <v>1321</v>
      </c>
      <c r="CY614" t="s">
        <v>1321</v>
      </c>
      <c r="DA614" t="s">
        <v>1321</v>
      </c>
      <c r="DB614" t="s">
        <v>1321</v>
      </c>
      <c r="DC614" t="s">
        <v>1321</v>
      </c>
      <c r="DD614" t="s">
        <v>1321</v>
      </c>
      <c r="DW614" t="s">
        <v>1321</v>
      </c>
      <c r="EH614" t="s">
        <v>1321</v>
      </c>
      <c r="EI614" t="s">
        <v>1321</v>
      </c>
      <c r="EJ614" t="s">
        <v>1321</v>
      </c>
      <c r="EO614" t="s">
        <v>1321</v>
      </c>
      <c r="ET614" t="s">
        <v>1321</v>
      </c>
      <c r="EU614" t="s">
        <v>1321</v>
      </c>
      <c r="EV614" t="s">
        <v>1321</v>
      </c>
      <c r="EX614" t="s">
        <v>1321</v>
      </c>
      <c r="EZ614" t="s">
        <v>1321</v>
      </c>
      <c r="FA614" t="s">
        <v>1321</v>
      </c>
      <c r="FE614" t="s">
        <v>1321</v>
      </c>
      <c r="FF614" t="s">
        <v>1321</v>
      </c>
      <c r="FG614" t="s">
        <v>1321</v>
      </c>
      <c r="FH614" t="s">
        <v>1321</v>
      </c>
      <c r="FI614" t="s">
        <v>1321</v>
      </c>
      <c r="FJ614" t="s">
        <v>1321</v>
      </c>
      <c r="FK614" t="s">
        <v>1321</v>
      </c>
      <c r="FL614" t="s">
        <v>1321</v>
      </c>
      <c r="FM614" t="s">
        <v>1321</v>
      </c>
      <c r="FN614" t="s">
        <v>1321</v>
      </c>
      <c r="FO614" t="s">
        <v>1321</v>
      </c>
      <c r="FP614" t="s">
        <v>1321</v>
      </c>
      <c r="FQ614" t="s">
        <v>1321</v>
      </c>
      <c r="FR614" t="s">
        <v>1321</v>
      </c>
      <c r="FS614" t="s">
        <v>1321</v>
      </c>
      <c r="FT614" t="s">
        <v>1321</v>
      </c>
      <c r="FU614" t="s">
        <v>1321</v>
      </c>
      <c r="FW614" t="s">
        <v>1321</v>
      </c>
      <c r="FX614" t="s">
        <v>1321</v>
      </c>
      <c r="FY614" t="s">
        <v>1321</v>
      </c>
      <c r="FZ614" t="s">
        <v>1321</v>
      </c>
      <c r="GA614" t="s">
        <v>1321</v>
      </c>
    </row>
    <row r="615" spans="1:183" x14ac:dyDescent="0.2">
      <c r="A615" t="str">
        <f t="shared" si="18"/>
        <v>Phexens Nebelleib</v>
      </c>
      <c r="AS615" t="s">
        <v>4569</v>
      </c>
      <c r="AT615" t="s">
        <v>4569</v>
      </c>
      <c r="AU615" t="s">
        <v>4569</v>
      </c>
      <c r="AV615" t="s">
        <v>4569</v>
      </c>
      <c r="BJ615" t="s">
        <v>4569</v>
      </c>
      <c r="BK615" t="s">
        <v>4569</v>
      </c>
      <c r="BM615" t="s">
        <v>4569</v>
      </c>
      <c r="BN615" t="s">
        <v>4569</v>
      </c>
      <c r="BO615" t="s">
        <v>4569</v>
      </c>
      <c r="BP615" t="s">
        <v>4569</v>
      </c>
      <c r="BQ615" t="s">
        <v>4569</v>
      </c>
      <c r="BR615" t="s">
        <v>4569</v>
      </c>
      <c r="BS615" t="s">
        <v>4569</v>
      </c>
      <c r="BT615" t="s">
        <v>1321</v>
      </c>
      <c r="BU615" t="s">
        <v>1321</v>
      </c>
      <c r="BV615" t="s">
        <v>1321</v>
      </c>
      <c r="BW615" t="s">
        <v>1321</v>
      </c>
      <c r="BX615" t="s">
        <v>1321</v>
      </c>
      <c r="BY615" t="s">
        <v>1321</v>
      </c>
      <c r="BZ615" t="s">
        <v>1321</v>
      </c>
      <c r="CA615" t="s">
        <v>1321</v>
      </c>
      <c r="DA615" t="s">
        <v>4569</v>
      </c>
      <c r="DB615" t="s">
        <v>4569</v>
      </c>
      <c r="DC615" t="s">
        <v>4569</v>
      </c>
      <c r="FF615" t="s">
        <v>4569</v>
      </c>
      <c r="FK615" t="s">
        <v>1321</v>
      </c>
      <c r="FL615" t="s">
        <v>1321</v>
      </c>
      <c r="FM615" t="s">
        <v>1321</v>
      </c>
      <c r="FN615" t="s">
        <v>1321</v>
      </c>
    </row>
    <row r="616" spans="1:183" x14ac:dyDescent="0.2">
      <c r="A616" t="str">
        <f t="shared" si="18"/>
        <v>Phexens Sternenwurf</v>
      </c>
      <c r="AS616" t="s">
        <v>4569</v>
      </c>
      <c r="AT616" t="s">
        <v>4569</v>
      </c>
      <c r="AU616" t="s">
        <v>4569</v>
      </c>
      <c r="AV616" t="s">
        <v>4569</v>
      </c>
      <c r="BJ616" t="s">
        <v>4569</v>
      </c>
      <c r="BK616" t="s">
        <v>4569</v>
      </c>
      <c r="BM616" t="s">
        <v>4569</v>
      </c>
      <c r="BN616" t="s">
        <v>4569</v>
      </c>
      <c r="BO616" t="s">
        <v>4569</v>
      </c>
      <c r="BP616" t="s">
        <v>4569</v>
      </c>
      <c r="BQ616" t="s">
        <v>4569</v>
      </c>
      <c r="BR616" t="s">
        <v>4569</v>
      </c>
      <c r="BS616" t="s">
        <v>4569</v>
      </c>
      <c r="BT616" t="s">
        <v>1321</v>
      </c>
      <c r="BU616" t="s">
        <v>1321</v>
      </c>
      <c r="BV616" t="s">
        <v>1321</v>
      </c>
      <c r="BW616" t="s">
        <v>1321</v>
      </c>
      <c r="BX616" t="s">
        <v>1321</v>
      </c>
      <c r="BY616" t="s">
        <v>1321</v>
      </c>
      <c r="BZ616" t="s">
        <v>1321</v>
      </c>
      <c r="CA616" t="s">
        <v>1321</v>
      </c>
      <c r="DA616" t="s">
        <v>4569</v>
      </c>
      <c r="DB616" t="s">
        <v>4569</v>
      </c>
      <c r="DC616" t="s">
        <v>4569</v>
      </c>
      <c r="FF616" t="s">
        <v>4569</v>
      </c>
      <c r="FK616" t="s">
        <v>1321</v>
      </c>
      <c r="FL616" t="s">
        <v>1321</v>
      </c>
      <c r="FM616" t="s">
        <v>1321</v>
      </c>
      <c r="FN616" t="s">
        <v>1321</v>
      </c>
    </row>
    <row r="617" spans="1:183" x14ac:dyDescent="0.2">
      <c r="A617" t="str">
        <f t="shared" si="18"/>
        <v>Praios' Magiebann</v>
      </c>
      <c r="AS617" t="s">
        <v>4569</v>
      </c>
      <c r="AT617" t="s">
        <v>4569</v>
      </c>
      <c r="AU617" t="s">
        <v>4569</v>
      </c>
      <c r="AV617" t="s">
        <v>4569</v>
      </c>
      <c r="BJ617" t="s">
        <v>4569</v>
      </c>
      <c r="BK617" t="s">
        <v>4569</v>
      </c>
      <c r="BM617" t="s">
        <v>4569</v>
      </c>
      <c r="BN617" t="s">
        <v>4569</v>
      </c>
      <c r="BO617" t="s">
        <v>4569</v>
      </c>
      <c r="BP617" t="s">
        <v>4569</v>
      </c>
      <c r="BQ617" t="s">
        <v>4569</v>
      </c>
      <c r="BR617" t="s">
        <v>4569</v>
      </c>
      <c r="BS617" t="s">
        <v>4569</v>
      </c>
      <c r="CB617" t="s">
        <v>1321</v>
      </c>
      <c r="CC617" t="s">
        <v>1321</v>
      </c>
      <c r="CE617" t="s">
        <v>1321</v>
      </c>
      <c r="DA617" t="s">
        <v>4569</v>
      </c>
      <c r="DB617" t="s">
        <v>4569</v>
      </c>
      <c r="DC617" t="s">
        <v>4569</v>
      </c>
      <c r="FF617" t="s">
        <v>4569</v>
      </c>
      <c r="FO617" t="s">
        <v>1321</v>
      </c>
      <c r="FP617" t="s">
        <v>1321</v>
      </c>
      <c r="FQ617" t="s">
        <v>1321</v>
      </c>
      <c r="FR617" t="s">
        <v>1321</v>
      </c>
    </row>
    <row r="618" spans="1:183" x14ac:dyDescent="0.2">
      <c r="A618" t="str">
        <f t="shared" si="18"/>
        <v>Rahjalinas Kuss</v>
      </c>
      <c r="AS618" t="s">
        <v>4569</v>
      </c>
      <c r="AT618" t="s">
        <v>4569</v>
      </c>
      <c r="AU618" t="s">
        <v>4569</v>
      </c>
      <c r="AV618" t="s">
        <v>4569</v>
      </c>
      <c r="BJ618" t="s">
        <v>4569</v>
      </c>
      <c r="BK618" t="s">
        <v>4569</v>
      </c>
      <c r="BM618" t="s">
        <v>4569</v>
      </c>
      <c r="BN618" t="s">
        <v>4569</v>
      </c>
      <c r="BO618" t="s">
        <v>4569</v>
      </c>
      <c r="BP618" t="s">
        <v>4569</v>
      </c>
      <c r="BQ618" t="s">
        <v>4569</v>
      </c>
      <c r="BR618" t="s">
        <v>4569</v>
      </c>
      <c r="BS618" t="s">
        <v>4569</v>
      </c>
      <c r="CF618" t="s">
        <v>1321</v>
      </c>
      <c r="CG618" t="s">
        <v>1321</v>
      </c>
      <c r="CH618" t="s">
        <v>1321</v>
      </c>
      <c r="CI618" t="s">
        <v>1321</v>
      </c>
      <c r="CL618" t="s">
        <v>1321</v>
      </c>
      <c r="CM618" t="s">
        <v>1321</v>
      </c>
      <c r="DA618" t="s">
        <v>4569</v>
      </c>
      <c r="DB618" t="s">
        <v>4569</v>
      </c>
      <c r="DC618" t="s">
        <v>4569</v>
      </c>
      <c r="FF618" t="s">
        <v>4569</v>
      </c>
      <c r="FS618" t="s">
        <v>1321</v>
      </c>
      <c r="FT618" t="s">
        <v>1321</v>
      </c>
    </row>
    <row r="619" spans="1:183" x14ac:dyDescent="0.2">
      <c r="A619" t="str">
        <f t="shared" si="18"/>
        <v>Rahjas Freiheit</v>
      </c>
      <c r="G619" t="s">
        <v>4588</v>
      </c>
      <c r="AS619" t="s">
        <v>4569</v>
      </c>
      <c r="AT619" t="s">
        <v>4569</v>
      </c>
      <c r="AU619" t="s">
        <v>4569</v>
      </c>
      <c r="AV619" t="s">
        <v>4569</v>
      </c>
      <c r="BJ619" t="s">
        <v>4569</v>
      </c>
      <c r="BK619" t="s">
        <v>4569</v>
      </c>
      <c r="BM619" t="s">
        <v>4569</v>
      </c>
      <c r="BN619" t="s">
        <v>4569</v>
      </c>
      <c r="BO619" t="s">
        <v>4569</v>
      </c>
      <c r="BP619" t="s">
        <v>4569</v>
      </c>
      <c r="BQ619" t="s">
        <v>4569</v>
      </c>
      <c r="BR619" t="s">
        <v>4569</v>
      </c>
      <c r="BS619" t="s">
        <v>4569</v>
      </c>
      <c r="CF619" t="s">
        <v>1321</v>
      </c>
      <c r="CG619" t="s">
        <v>1321</v>
      </c>
      <c r="CH619" t="s">
        <v>1321</v>
      </c>
      <c r="CI619" t="s">
        <v>1321</v>
      </c>
      <c r="CL619" t="s">
        <v>1321</v>
      </c>
      <c r="CM619" t="s">
        <v>1321</v>
      </c>
      <c r="DA619" t="s">
        <v>1321</v>
      </c>
      <c r="DB619" t="s">
        <v>1321</v>
      </c>
      <c r="DC619" t="s">
        <v>1321</v>
      </c>
      <c r="EI619" t="s">
        <v>1321</v>
      </c>
      <c r="FF619" t="s">
        <v>4569</v>
      </c>
      <c r="FS619" t="s">
        <v>1321</v>
      </c>
      <c r="FT619" t="s">
        <v>1321</v>
      </c>
      <c r="GA619" t="s">
        <v>1321</v>
      </c>
    </row>
    <row r="620" spans="1:183" x14ac:dyDescent="0.2">
      <c r="A620" t="str">
        <f t="shared" si="18"/>
        <v>Rahjas geheiligter Wein</v>
      </c>
      <c r="AS620" t="s">
        <v>4569</v>
      </c>
      <c r="AT620" t="s">
        <v>4569</v>
      </c>
      <c r="AU620" t="s">
        <v>4569</v>
      </c>
      <c r="AV620" t="s">
        <v>4569</v>
      </c>
      <c r="BJ620" t="s">
        <v>4569</v>
      </c>
      <c r="BK620" t="s">
        <v>4569</v>
      </c>
      <c r="BM620" t="s">
        <v>4569</v>
      </c>
      <c r="BN620" t="s">
        <v>4569</v>
      </c>
      <c r="BO620" t="s">
        <v>4569</v>
      </c>
      <c r="BP620" t="s">
        <v>4569</v>
      </c>
      <c r="BQ620" t="s">
        <v>4569</v>
      </c>
      <c r="BR620" t="s">
        <v>4569</v>
      </c>
      <c r="BS620" t="s">
        <v>4569</v>
      </c>
      <c r="CF620" t="s">
        <v>1321</v>
      </c>
      <c r="CG620" t="s">
        <v>1321</v>
      </c>
      <c r="CH620" t="s">
        <v>1321</v>
      </c>
      <c r="CI620" t="s">
        <v>1321</v>
      </c>
      <c r="CL620" t="s">
        <v>1321</v>
      </c>
      <c r="CM620" t="s">
        <v>1321</v>
      </c>
      <c r="DA620" t="s">
        <v>4569</v>
      </c>
      <c r="DB620" t="s">
        <v>4569</v>
      </c>
      <c r="DC620" t="s">
        <v>4569</v>
      </c>
      <c r="FF620" t="s">
        <v>4569</v>
      </c>
      <c r="FS620" t="s">
        <v>1321</v>
      </c>
      <c r="FT620" t="s">
        <v>1321</v>
      </c>
    </row>
    <row r="621" spans="1:183" x14ac:dyDescent="0.2">
      <c r="A621" t="str">
        <f t="shared" si="18"/>
        <v>Rahjas Schoß</v>
      </c>
      <c r="AS621" t="s">
        <v>4569</v>
      </c>
      <c r="AT621" t="s">
        <v>4569</v>
      </c>
      <c r="AU621" t="s">
        <v>4569</v>
      </c>
      <c r="AV621" t="s">
        <v>4569</v>
      </c>
      <c r="BJ621" t="s">
        <v>4569</v>
      </c>
      <c r="BK621" t="s">
        <v>4569</v>
      </c>
      <c r="BM621" t="s">
        <v>4569</v>
      </c>
      <c r="BN621" t="s">
        <v>4569</v>
      </c>
      <c r="BO621" t="s">
        <v>4569</v>
      </c>
      <c r="BP621" t="s">
        <v>4569</v>
      </c>
      <c r="BQ621" t="s">
        <v>4569</v>
      </c>
      <c r="BR621" t="s">
        <v>4569</v>
      </c>
      <c r="BS621" t="s">
        <v>4569</v>
      </c>
      <c r="CF621" t="s">
        <v>1321</v>
      </c>
      <c r="CG621" t="s">
        <v>1321</v>
      </c>
      <c r="CH621" t="s">
        <v>1321</v>
      </c>
      <c r="CI621" t="s">
        <v>1321</v>
      </c>
      <c r="CL621" t="s">
        <v>1321</v>
      </c>
      <c r="CM621" t="s">
        <v>1321</v>
      </c>
      <c r="DA621" t="s">
        <v>4569</v>
      </c>
      <c r="DB621" t="s">
        <v>4569</v>
      </c>
      <c r="DC621" t="s">
        <v>4569</v>
      </c>
      <c r="FF621" t="s">
        <v>4569</v>
      </c>
      <c r="FS621" t="s">
        <v>1321</v>
      </c>
      <c r="FT621" t="s">
        <v>1321</v>
      </c>
    </row>
    <row r="622" spans="1:183" x14ac:dyDescent="0.2">
      <c r="A622" t="str">
        <f t="shared" si="18"/>
        <v>Rondras Hochzeit</v>
      </c>
      <c r="AS622" t="s">
        <v>4569</v>
      </c>
      <c r="AT622" t="s">
        <v>4569</v>
      </c>
      <c r="AU622" t="s">
        <v>4569</v>
      </c>
      <c r="AV622" t="s">
        <v>4569</v>
      </c>
      <c r="BJ622" t="s">
        <v>4569</v>
      </c>
      <c r="BK622" t="s">
        <v>4569</v>
      </c>
      <c r="BM622" t="s">
        <v>4569</v>
      </c>
      <c r="BN622" t="s">
        <v>4569</v>
      </c>
      <c r="BO622" t="s">
        <v>4569</v>
      </c>
      <c r="BP622" t="s">
        <v>4569</v>
      </c>
      <c r="BQ622" t="s">
        <v>4569</v>
      </c>
      <c r="BR622" t="s">
        <v>4569</v>
      </c>
      <c r="BS622" t="s">
        <v>4569</v>
      </c>
      <c r="CN622" t="s">
        <v>1321</v>
      </c>
      <c r="CO622" t="s">
        <v>1321</v>
      </c>
      <c r="CP622" t="s">
        <v>1321</v>
      </c>
      <c r="DA622" t="s">
        <v>4569</v>
      </c>
      <c r="DB622" t="s">
        <v>4569</v>
      </c>
      <c r="DC622" t="s">
        <v>4569</v>
      </c>
      <c r="FF622" t="s">
        <v>4569</v>
      </c>
      <c r="FU622" t="s">
        <v>1321</v>
      </c>
    </row>
    <row r="623" spans="1:183" x14ac:dyDescent="0.2">
      <c r="A623" t="str">
        <f t="shared" si="18"/>
        <v>Schiffssegen</v>
      </c>
      <c r="AO623" t="s">
        <v>1321</v>
      </c>
      <c r="AP623" t="s">
        <v>1321</v>
      </c>
      <c r="AQ623" t="s">
        <v>1321</v>
      </c>
      <c r="AR623" t="s">
        <v>1321</v>
      </c>
      <c r="AS623" t="s">
        <v>4569</v>
      </c>
      <c r="AT623" t="s">
        <v>4569</v>
      </c>
      <c r="AU623" t="s">
        <v>4569</v>
      </c>
      <c r="AV623" t="s">
        <v>4569</v>
      </c>
      <c r="BJ623" t="s">
        <v>4569</v>
      </c>
      <c r="BK623" t="s">
        <v>4569</v>
      </c>
      <c r="BM623" t="s">
        <v>4569</v>
      </c>
      <c r="BN623" t="s">
        <v>4569</v>
      </c>
      <c r="BO623" t="s">
        <v>4569</v>
      </c>
      <c r="BP623" t="s">
        <v>4569</v>
      </c>
      <c r="BQ623" t="s">
        <v>4569</v>
      </c>
      <c r="BR623" t="s">
        <v>4569</v>
      </c>
      <c r="BS623" t="s">
        <v>4569</v>
      </c>
      <c r="CV623" t="s">
        <v>1321</v>
      </c>
      <c r="CW623" t="s">
        <v>1321</v>
      </c>
      <c r="DA623" t="s">
        <v>4569</v>
      </c>
      <c r="DB623" t="s">
        <v>4569</v>
      </c>
      <c r="DC623" t="s">
        <v>4569</v>
      </c>
      <c r="ET623" t="s">
        <v>1321</v>
      </c>
      <c r="EU623" t="s">
        <v>1321</v>
      </c>
      <c r="FF623" t="s">
        <v>4569</v>
      </c>
      <c r="FW623" t="s">
        <v>1321</v>
      </c>
    </row>
    <row r="624" spans="1:183" x14ac:dyDescent="0.2">
      <c r="A624" t="str">
        <f t="shared" si="18"/>
        <v>Schleichende Fäulnis</v>
      </c>
    </row>
    <row r="625" spans="1:183" x14ac:dyDescent="0.2">
      <c r="A625" t="str">
        <f t="shared" si="18"/>
        <v>Schwindende Zauberkraft</v>
      </c>
    </row>
    <row r="626" spans="1:183" x14ac:dyDescent="0.2">
      <c r="A626" t="str">
        <f t="shared" si="18"/>
        <v>Seelenbannung</v>
      </c>
    </row>
    <row r="627" spans="1:183" x14ac:dyDescent="0.2">
      <c r="A627" t="str">
        <f t="shared" si="18"/>
        <v>Seelenrudel</v>
      </c>
    </row>
    <row r="628" spans="1:183" x14ac:dyDescent="0.2">
      <c r="A628" t="str">
        <f t="shared" si="18"/>
        <v>Seelenschatten</v>
      </c>
    </row>
    <row r="629" spans="1:183" x14ac:dyDescent="0.2">
      <c r="A629" t="str">
        <f t="shared" si="18"/>
        <v>Segen der Heiligen Ardare</v>
      </c>
      <c r="AS629" t="s">
        <v>4569</v>
      </c>
      <c r="AT629" t="s">
        <v>4569</v>
      </c>
      <c r="AU629" t="s">
        <v>4569</v>
      </c>
      <c r="AV629" t="s">
        <v>4569</v>
      </c>
      <c r="BJ629" t="s">
        <v>4569</v>
      </c>
      <c r="BK629" t="s">
        <v>4569</v>
      </c>
      <c r="BM629" t="s">
        <v>4569</v>
      </c>
      <c r="BN629" t="s">
        <v>4569</v>
      </c>
      <c r="BO629" t="s">
        <v>4569</v>
      </c>
      <c r="BP629" t="s">
        <v>4569</v>
      </c>
      <c r="BQ629" t="s">
        <v>4569</v>
      </c>
      <c r="BR629" t="s">
        <v>4569</v>
      </c>
      <c r="BS629" t="s">
        <v>4569</v>
      </c>
      <c r="CN629" t="s">
        <v>1321</v>
      </c>
      <c r="CO629" t="s">
        <v>1321</v>
      </c>
      <c r="CP629" t="s">
        <v>1321</v>
      </c>
      <c r="DA629" t="s">
        <v>4569</v>
      </c>
      <c r="DB629" t="s">
        <v>4569</v>
      </c>
      <c r="DC629" t="s">
        <v>4569</v>
      </c>
      <c r="FF629" t="s">
        <v>4569</v>
      </c>
      <c r="FU629" t="s">
        <v>1321</v>
      </c>
    </row>
    <row r="630" spans="1:183" x14ac:dyDescent="0.2">
      <c r="A630" t="str">
        <f t="shared" si="18"/>
        <v>Segen des Heiligen Hlûthar</v>
      </c>
      <c r="AS630" t="s">
        <v>4569</v>
      </c>
      <c r="AT630" t="s">
        <v>4569</v>
      </c>
      <c r="AU630" t="s">
        <v>4569</v>
      </c>
      <c r="AV630" t="s">
        <v>4569</v>
      </c>
      <c r="BJ630" t="s">
        <v>4569</v>
      </c>
      <c r="BK630" t="s">
        <v>4569</v>
      </c>
      <c r="BM630" t="s">
        <v>4569</v>
      </c>
      <c r="BN630" t="s">
        <v>4569</v>
      </c>
      <c r="BO630" t="s">
        <v>4569</v>
      </c>
      <c r="BP630" t="s">
        <v>4569</v>
      </c>
      <c r="BQ630" t="s">
        <v>4569</v>
      </c>
      <c r="BR630" t="s">
        <v>4569</v>
      </c>
      <c r="BS630" t="s">
        <v>4569</v>
      </c>
      <c r="CN630" t="s">
        <v>1321</v>
      </c>
      <c r="CO630" t="s">
        <v>1321</v>
      </c>
      <c r="CP630" t="s">
        <v>1321</v>
      </c>
      <c r="DA630" t="s">
        <v>4569</v>
      </c>
      <c r="DB630" t="s">
        <v>4569</v>
      </c>
      <c r="DC630" t="s">
        <v>4569</v>
      </c>
      <c r="FF630" t="s">
        <v>4569</v>
      </c>
      <c r="FU630" t="s">
        <v>1321</v>
      </c>
    </row>
    <row r="631" spans="1:183" x14ac:dyDescent="0.2">
      <c r="A631" t="str">
        <f t="shared" si="18"/>
        <v>Segensreiches Wasser</v>
      </c>
      <c r="AU631" t="s">
        <v>4569</v>
      </c>
      <c r="BQ631" t="s">
        <v>1321</v>
      </c>
      <c r="BR631" t="s">
        <v>1321</v>
      </c>
      <c r="BS631" t="s">
        <v>1321</v>
      </c>
      <c r="FI631" t="s">
        <v>1321</v>
      </c>
      <c r="FJ631" t="s">
        <v>1321</v>
      </c>
    </row>
    <row r="632" spans="1:183" x14ac:dyDescent="0.2">
      <c r="A632" t="str">
        <f t="shared" si="18"/>
        <v>Sicherer Weg durch Fels</v>
      </c>
      <c r="C632" t="s">
        <v>1321</v>
      </c>
      <c r="D632" t="s">
        <v>1321</v>
      </c>
      <c r="E632" t="s">
        <v>1321</v>
      </c>
      <c r="F632" t="s">
        <v>1321</v>
      </c>
      <c r="AS632" t="s">
        <v>4569</v>
      </c>
      <c r="AT632" t="s">
        <v>4569</v>
      </c>
      <c r="AU632" t="s">
        <v>4569</v>
      </c>
      <c r="AV632" t="s">
        <v>4569</v>
      </c>
      <c r="BJ632" t="s">
        <v>1321</v>
      </c>
      <c r="BK632" t="s">
        <v>1321</v>
      </c>
      <c r="BM632" t="s">
        <v>4569</v>
      </c>
      <c r="BN632" t="s">
        <v>4569</v>
      </c>
      <c r="BO632" t="s">
        <v>4569</v>
      </c>
      <c r="BP632" t="s">
        <v>4569</v>
      </c>
      <c r="BQ632" t="s">
        <v>4569</v>
      </c>
      <c r="BR632" t="s">
        <v>4569</v>
      </c>
      <c r="BS632" t="s">
        <v>4569</v>
      </c>
      <c r="DA632" t="s">
        <v>4569</v>
      </c>
      <c r="DB632" t="s">
        <v>4569</v>
      </c>
      <c r="DC632" t="s">
        <v>4569</v>
      </c>
      <c r="EH632" t="s">
        <v>1321</v>
      </c>
      <c r="FE632" t="s">
        <v>1321</v>
      </c>
      <c r="FF632" t="s">
        <v>1321</v>
      </c>
    </row>
    <row r="633" spans="1:183" x14ac:dyDescent="0.2">
      <c r="A633" t="str">
        <f t="shared" si="18"/>
        <v>Sippenfluch</v>
      </c>
      <c r="AS633" t="s">
        <v>4569</v>
      </c>
      <c r="AT633" t="s">
        <v>4569</v>
      </c>
      <c r="AU633" t="s">
        <v>4569</v>
      </c>
      <c r="AV633" t="s">
        <v>4569</v>
      </c>
      <c r="BJ633" t="s">
        <v>4569</v>
      </c>
      <c r="BK633" t="s">
        <v>4569</v>
      </c>
      <c r="BM633" t="s">
        <v>4569</v>
      </c>
      <c r="BN633" t="s">
        <v>4569</v>
      </c>
      <c r="BO633" t="s">
        <v>4569</v>
      </c>
      <c r="BP633" t="s">
        <v>4569</v>
      </c>
      <c r="BQ633" t="s">
        <v>4569</v>
      </c>
      <c r="BR633" t="s">
        <v>4569</v>
      </c>
      <c r="BS633" t="s">
        <v>4569</v>
      </c>
      <c r="DA633" t="s">
        <v>4569</v>
      </c>
      <c r="DB633" t="s">
        <v>4569</v>
      </c>
      <c r="DC633" t="s">
        <v>4569</v>
      </c>
      <c r="FF633" t="s">
        <v>4569</v>
      </c>
    </row>
    <row r="634" spans="1:183" x14ac:dyDescent="0.2">
      <c r="A634" t="str">
        <f t="shared" si="18"/>
        <v xml:space="preserve">Tairachs Fluch </v>
      </c>
      <c r="AS634" t="s">
        <v>4569</v>
      </c>
      <c r="AT634" t="s">
        <v>4569</v>
      </c>
      <c r="AU634" t="s">
        <v>4569</v>
      </c>
      <c r="AV634" t="s">
        <v>4569</v>
      </c>
      <c r="BJ634" t="s">
        <v>4569</v>
      </c>
      <c r="BK634" t="s">
        <v>4569</v>
      </c>
      <c r="BM634" t="s">
        <v>4569</v>
      </c>
      <c r="BN634" t="s">
        <v>4569</v>
      </c>
      <c r="BO634" t="s">
        <v>4569</v>
      </c>
      <c r="BP634" t="s">
        <v>4569</v>
      </c>
      <c r="BQ634" t="s">
        <v>4569</v>
      </c>
      <c r="BR634" t="s">
        <v>4569</v>
      </c>
      <c r="BS634" t="s">
        <v>4569</v>
      </c>
      <c r="DA634" t="s">
        <v>4569</v>
      </c>
      <c r="DB634" t="s">
        <v>4569</v>
      </c>
      <c r="DC634" t="s">
        <v>4569</v>
      </c>
      <c r="FF634" t="s">
        <v>4569</v>
      </c>
    </row>
    <row r="635" spans="1:183" x14ac:dyDescent="0.2">
      <c r="A635" t="str">
        <f t="shared" si="18"/>
        <v>Tsas Lebensschutz</v>
      </c>
      <c r="AS635" t="s">
        <v>4569</v>
      </c>
      <c r="AT635" t="s">
        <v>4569</v>
      </c>
      <c r="AU635" t="s">
        <v>4569</v>
      </c>
      <c r="AV635" t="s">
        <v>4569</v>
      </c>
      <c r="BJ635" t="s">
        <v>4569</v>
      </c>
      <c r="BK635" t="s">
        <v>4569</v>
      </c>
      <c r="BM635" t="s">
        <v>4569</v>
      </c>
      <c r="BN635" t="s">
        <v>4569</v>
      </c>
      <c r="BO635" t="s">
        <v>4569</v>
      </c>
      <c r="BP635" t="s">
        <v>4569</v>
      </c>
      <c r="BQ635" t="s">
        <v>4569</v>
      </c>
      <c r="BR635" t="s">
        <v>4569</v>
      </c>
      <c r="BS635" t="s">
        <v>4569</v>
      </c>
      <c r="DA635" t="s">
        <v>1321</v>
      </c>
      <c r="DB635" t="s">
        <v>1321</v>
      </c>
      <c r="DC635" t="s">
        <v>1321</v>
      </c>
      <c r="DD635" t="s">
        <v>1321</v>
      </c>
      <c r="FF635" t="s">
        <v>4569</v>
      </c>
      <c r="GA635" t="s">
        <v>1321</v>
      </c>
    </row>
    <row r="636" spans="1:183" x14ac:dyDescent="0.2">
      <c r="A636" t="str">
        <f t="shared" si="18"/>
        <v>Tsas wundersame Fruchtbarkeit</v>
      </c>
      <c r="AS636" t="s">
        <v>4569</v>
      </c>
      <c r="AT636" t="s">
        <v>4569</v>
      </c>
      <c r="AU636" t="s">
        <v>4569</v>
      </c>
      <c r="AV636" t="s">
        <v>4569</v>
      </c>
      <c r="BJ636" t="s">
        <v>4569</v>
      </c>
      <c r="BK636" t="s">
        <v>4569</v>
      </c>
      <c r="BM636" t="s">
        <v>4569</v>
      </c>
      <c r="BN636" t="s">
        <v>4569</v>
      </c>
      <c r="BO636" t="s">
        <v>4569</v>
      </c>
      <c r="BP636" t="s">
        <v>4569</v>
      </c>
      <c r="BQ636" t="s">
        <v>4569</v>
      </c>
      <c r="BR636" t="s">
        <v>4569</v>
      </c>
      <c r="BS636" t="s">
        <v>4569</v>
      </c>
      <c r="DA636" t="s">
        <v>1321</v>
      </c>
      <c r="DB636" t="s">
        <v>1321</v>
      </c>
      <c r="DC636" t="s">
        <v>1321</v>
      </c>
      <c r="DD636" t="s">
        <v>1321</v>
      </c>
      <c r="FF636" t="s">
        <v>4569</v>
      </c>
      <c r="GA636" t="s">
        <v>1321</v>
      </c>
    </row>
    <row r="637" spans="1:183" x14ac:dyDescent="0.2">
      <c r="A637" t="str">
        <f t="shared" si="18"/>
        <v>Unterpfand des Heiligen Rhÿs</v>
      </c>
      <c r="AS637" t="s">
        <v>4569</v>
      </c>
      <c r="AT637" t="s">
        <v>4569</v>
      </c>
      <c r="AU637" t="s">
        <v>4569</v>
      </c>
      <c r="AV637" t="s">
        <v>4569</v>
      </c>
      <c r="BJ637" t="s">
        <v>1321</v>
      </c>
      <c r="BK637" t="s">
        <v>1321</v>
      </c>
      <c r="BM637" t="s">
        <v>4569</v>
      </c>
      <c r="BN637" t="s">
        <v>4569</v>
      </c>
      <c r="BO637" t="s">
        <v>4569</v>
      </c>
      <c r="BP637" t="s">
        <v>4569</v>
      </c>
      <c r="BQ637" t="s">
        <v>4569</v>
      </c>
      <c r="BR637" t="s">
        <v>4569</v>
      </c>
      <c r="BS637" t="s">
        <v>4569</v>
      </c>
      <c r="DA637" t="s">
        <v>4569</v>
      </c>
      <c r="DB637" t="s">
        <v>4569</v>
      </c>
      <c r="DC637" t="s">
        <v>4569</v>
      </c>
      <c r="FE637" t="s">
        <v>1321</v>
      </c>
      <c r="FF637" t="s">
        <v>1321</v>
      </c>
    </row>
    <row r="638" spans="1:183" x14ac:dyDescent="0.2">
      <c r="A638" t="str">
        <f t="shared" si="18"/>
        <v>Vaês Tränen</v>
      </c>
      <c r="AS638" t="s">
        <v>4569</v>
      </c>
      <c r="AT638" t="s">
        <v>4569</v>
      </c>
      <c r="AU638" t="s">
        <v>4569</v>
      </c>
      <c r="AV638" t="s">
        <v>4569</v>
      </c>
      <c r="BJ638" t="s">
        <v>4569</v>
      </c>
      <c r="BK638" t="s">
        <v>4569</v>
      </c>
      <c r="BM638" t="s">
        <v>4569</v>
      </c>
      <c r="BN638" t="s">
        <v>4569</v>
      </c>
      <c r="BO638" t="s">
        <v>4569</v>
      </c>
      <c r="BP638" t="s">
        <v>4569</v>
      </c>
      <c r="BQ638" t="s">
        <v>4569</v>
      </c>
      <c r="BR638" t="s">
        <v>4569</v>
      </c>
      <c r="BS638" t="s">
        <v>4569</v>
      </c>
      <c r="DA638" t="s">
        <v>4569</v>
      </c>
      <c r="DB638" t="s">
        <v>4569</v>
      </c>
      <c r="DC638" t="s">
        <v>4569</v>
      </c>
      <c r="FF638" t="s">
        <v>4569</v>
      </c>
    </row>
    <row r="639" spans="1:183" x14ac:dyDescent="0.2">
      <c r="A639" t="str">
        <f t="shared" si="18"/>
        <v>Vertreibung des Dunkelsinns</v>
      </c>
      <c r="AS639" t="s">
        <v>4569</v>
      </c>
      <c r="AT639" t="s">
        <v>4569</v>
      </c>
      <c r="AU639" t="s">
        <v>4569</v>
      </c>
      <c r="AV639" t="s">
        <v>4569</v>
      </c>
      <c r="AZ639" t="s">
        <v>1321</v>
      </c>
      <c r="BA639" t="s">
        <v>1321</v>
      </c>
      <c r="BB639" t="s">
        <v>1321</v>
      </c>
      <c r="BC639" t="s">
        <v>1321</v>
      </c>
      <c r="BD639" t="s">
        <v>1321</v>
      </c>
      <c r="BJ639" t="s">
        <v>4569</v>
      </c>
      <c r="BK639" t="s">
        <v>4569</v>
      </c>
      <c r="BM639" t="s">
        <v>4569</v>
      </c>
      <c r="BN639" t="s">
        <v>4569</v>
      </c>
      <c r="BO639" t="s">
        <v>4569</v>
      </c>
      <c r="BP639" t="s">
        <v>4569</v>
      </c>
      <c r="BQ639" t="s">
        <v>4569</v>
      </c>
      <c r="BR639" t="s">
        <v>4569</v>
      </c>
      <c r="BS639" t="s">
        <v>4569</v>
      </c>
      <c r="CB639" t="s">
        <v>1321</v>
      </c>
      <c r="CC639" t="s">
        <v>1321</v>
      </c>
      <c r="CE639" t="s">
        <v>1321</v>
      </c>
      <c r="DA639" t="s">
        <v>4569</v>
      </c>
      <c r="DB639" t="s">
        <v>4569</v>
      </c>
      <c r="DC639" t="s">
        <v>4569</v>
      </c>
      <c r="EX639" t="s">
        <v>1321</v>
      </c>
      <c r="EZ639" t="s">
        <v>1321</v>
      </c>
      <c r="FA639" t="s">
        <v>1321</v>
      </c>
      <c r="FF639" t="s">
        <v>4569</v>
      </c>
      <c r="FO639" t="s">
        <v>1321</v>
      </c>
      <c r="FP639" t="s">
        <v>1321</v>
      </c>
      <c r="FQ639" t="s">
        <v>1321</v>
      </c>
      <c r="FR639" t="s">
        <v>1321</v>
      </c>
    </row>
    <row r="640" spans="1:183" x14ac:dyDescent="0.2">
      <c r="A640" t="str">
        <f t="shared" si="18"/>
        <v>Weihe der Ewigen Flamme</v>
      </c>
      <c r="AS640" t="s">
        <v>4569</v>
      </c>
      <c r="AT640" t="s">
        <v>4569</v>
      </c>
      <c r="AU640" t="s">
        <v>4569</v>
      </c>
      <c r="AV640" t="s">
        <v>4569</v>
      </c>
      <c r="BJ640" t="s">
        <v>1321</v>
      </c>
      <c r="BK640" t="s">
        <v>1321</v>
      </c>
      <c r="BM640" t="s">
        <v>4569</v>
      </c>
      <c r="BN640" t="s">
        <v>4569</v>
      </c>
      <c r="BO640" t="s">
        <v>4569</v>
      </c>
      <c r="BP640" t="s">
        <v>4569</v>
      </c>
      <c r="BQ640" t="s">
        <v>4569</v>
      </c>
      <c r="BR640" t="s">
        <v>4569</v>
      </c>
      <c r="BS640" t="s">
        <v>4569</v>
      </c>
      <c r="DA640" t="s">
        <v>4569</v>
      </c>
      <c r="DB640" t="s">
        <v>4569</v>
      </c>
      <c r="DC640" t="s">
        <v>4569</v>
      </c>
      <c r="FE640" t="s">
        <v>1321</v>
      </c>
      <c r="FF640" t="s">
        <v>1321</v>
      </c>
    </row>
    <row r="641" spans="1:183" x14ac:dyDescent="0.2">
      <c r="A641" t="str">
        <f t="shared" si="18"/>
        <v>Wille zur Wahrheit</v>
      </c>
      <c r="AS641" t="s">
        <v>4569</v>
      </c>
      <c r="AT641" t="s">
        <v>4569</v>
      </c>
      <c r="AU641" t="s">
        <v>1321</v>
      </c>
      <c r="AV641" t="s">
        <v>4569</v>
      </c>
      <c r="BI641" t="s">
        <v>1321</v>
      </c>
      <c r="BJ641" t="s">
        <v>4569</v>
      </c>
      <c r="BK641" t="s">
        <v>4569</v>
      </c>
      <c r="BM641" t="s">
        <v>4569</v>
      </c>
      <c r="BN641" t="s">
        <v>4569</v>
      </c>
      <c r="BO641" t="s">
        <v>4569</v>
      </c>
      <c r="BP641" t="s">
        <v>4569</v>
      </c>
      <c r="BQ641" t="s">
        <v>4569</v>
      </c>
      <c r="BR641" t="s">
        <v>4569</v>
      </c>
      <c r="BS641" t="s">
        <v>4569</v>
      </c>
      <c r="CB641" t="s">
        <v>1321</v>
      </c>
      <c r="CC641" t="s">
        <v>1321</v>
      </c>
      <c r="CE641" t="s">
        <v>1321</v>
      </c>
      <c r="DA641" t="s">
        <v>4569</v>
      </c>
      <c r="DB641" t="s">
        <v>4569</v>
      </c>
      <c r="DC641" t="s">
        <v>4569</v>
      </c>
      <c r="FF641" t="s">
        <v>4569</v>
      </c>
      <c r="FO641" t="s">
        <v>1321</v>
      </c>
      <c r="FP641" t="s">
        <v>1321</v>
      </c>
      <c r="FQ641" t="s">
        <v>1321</v>
      </c>
      <c r="FR641" t="s">
        <v>1321</v>
      </c>
    </row>
    <row r="642" spans="1:183" x14ac:dyDescent="0.2">
      <c r="A642" t="str">
        <f t="shared" si="18"/>
        <v>Winterschlaf</v>
      </c>
      <c r="AS642" t="s">
        <v>1321</v>
      </c>
      <c r="AT642" t="s">
        <v>1321</v>
      </c>
      <c r="AU642" t="s">
        <v>1321</v>
      </c>
      <c r="AV642" t="s">
        <v>1321</v>
      </c>
      <c r="BH642" t="s">
        <v>1321</v>
      </c>
      <c r="BI642" t="s">
        <v>1321</v>
      </c>
      <c r="BK642" t="s">
        <v>4569</v>
      </c>
      <c r="BM642" t="s">
        <v>4569</v>
      </c>
      <c r="BN642" t="s">
        <v>4569</v>
      </c>
      <c r="BO642" t="s">
        <v>4569</v>
      </c>
      <c r="BP642" t="s">
        <v>4569</v>
      </c>
      <c r="BQ642" t="s">
        <v>4569</v>
      </c>
      <c r="BR642" t="s">
        <v>4569</v>
      </c>
      <c r="BS642" t="s">
        <v>4569</v>
      </c>
      <c r="CL642" t="s">
        <v>1321</v>
      </c>
      <c r="CM642" t="s">
        <v>1321</v>
      </c>
      <c r="DA642" t="s">
        <v>4569</v>
      </c>
      <c r="DB642" t="s">
        <v>4569</v>
      </c>
      <c r="DC642" t="s">
        <v>4569</v>
      </c>
      <c r="EV642" t="s">
        <v>1321</v>
      </c>
      <c r="FF642" t="s">
        <v>4569</v>
      </c>
    </row>
    <row r="643" spans="1:183" x14ac:dyDescent="0.2">
      <c r="A643" t="str">
        <f t="shared" si="18"/>
        <v>Wundersames Teilen des Martyriums</v>
      </c>
    </row>
    <row r="644" spans="1:183" x14ac:dyDescent="0.2">
      <c r="A644" t="str">
        <f t="shared" si="18"/>
        <v>Anathema</v>
      </c>
      <c r="B644" t="s">
        <v>4588</v>
      </c>
      <c r="C644" t="s">
        <v>1321</v>
      </c>
      <c r="D644" t="s">
        <v>1321</v>
      </c>
      <c r="E644" t="s">
        <v>1321</v>
      </c>
      <c r="F644" t="s">
        <v>1321</v>
      </c>
      <c r="G644" t="s">
        <v>1321</v>
      </c>
      <c r="I644" t="s">
        <v>1321</v>
      </c>
      <c r="J644" t="s">
        <v>1321</v>
      </c>
      <c r="K644" t="s">
        <v>1321</v>
      </c>
      <c r="L644" t="s">
        <v>1321</v>
      </c>
      <c r="M644" t="s">
        <v>1321</v>
      </c>
      <c r="N644" t="s">
        <v>1321</v>
      </c>
      <c r="O644" t="s">
        <v>1321</v>
      </c>
      <c r="P644" t="s">
        <v>1321</v>
      </c>
      <c r="Q644" t="s">
        <v>1321</v>
      </c>
      <c r="R644" t="s">
        <v>1321</v>
      </c>
      <c r="S644" t="s">
        <v>1321</v>
      </c>
      <c r="T644" t="s">
        <v>1321</v>
      </c>
      <c r="U644" t="s">
        <v>1321</v>
      </c>
      <c r="V644" t="s">
        <v>1321</v>
      </c>
      <c r="W644" t="s">
        <v>1321</v>
      </c>
      <c r="X644" t="s">
        <v>1321</v>
      </c>
      <c r="Y644" t="s">
        <v>1321</v>
      </c>
      <c r="Z644" t="s">
        <v>1321</v>
      </c>
      <c r="AA644" t="s">
        <v>1321</v>
      </c>
      <c r="AB644" t="s">
        <v>1321</v>
      </c>
      <c r="AC644" t="s">
        <v>1321</v>
      </c>
      <c r="AD644" t="s">
        <v>1321</v>
      </c>
      <c r="AE644" t="s">
        <v>1321</v>
      </c>
      <c r="AG644" t="s">
        <v>1321</v>
      </c>
      <c r="AI644" t="s">
        <v>1321</v>
      </c>
      <c r="AO644" t="s">
        <v>1321</v>
      </c>
      <c r="AP644" t="s">
        <v>1321</v>
      </c>
      <c r="AQ644" t="s">
        <v>1321</v>
      </c>
      <c r="AR644" t="s">
        <v>1321</v>
      </c>
      <c r="AS644" t="s">
        <v>1321</v>
      </c>
      <c r="AT644" t="s">
        <v>1321</v>
      </c>
      <c r="AU644" t="s">
        <v>4569</v>
      </c>
      <c r="AV644" t="s">
        <v>1321</v>
      </c>
      <c r="AZ644" t="s">
        <v>1321</v>
      </c>
      <c r="BA644" t="s">
        <v>1321</v>
      </c>
      <c r="BB644" t="s">
        <v>1321</v>
      </c>
      <c r="BC644" t="s">
        <v>1321</v>
      </c>
      <c r="BD644" t="s">
        <v>1321</v>
      </c>
      <c r="BG644" t="s">
        <v>1321</v>
      </c>
      <c r="BH644" t="s">
        <v>1321</v>
      </c>
      <c r="BJ644" t="s">
        <v>1321</v>
      </c>
      <c r="BK644" t="s">
        <v>1321</v>
      </c>
      <c r="BL644" t="s">
        <v>1321</v>
      </c>
      <c r="BM644" t="s">
        <v>1321</v>
      </c>
      <c r="BN644" t="s">
        <v>1321</v>
      </c>
      <c r="BO644" t="s">
        <v>1321</v>
      </c>
      <c r="BP644" t="s">
        <v>1321</v>
      </c>
      <c r="BQ644" t="s">
        <v>1321</v>
      </c>
      <c r="BR644" t="s">
        <v>1321</v>
      </c>
      <c r="BS644" t="s">
        <v>1321</v>
      </c>
      <c r="BT644" t="s">
        <v>1321</v>
      </c>
      <c r="BU644" t="s">
        <v>1321</v>
      </c>
      <c r="BV644" t="s">
        <v>1321</v>
      </c>
      <c r="BW644" t="s">
        <v>1321</v>
      </c>
      <c r="BX644" t="s">
        <v>1321</v>
      </c>
      <c r="BY644" t="s">
        <v>1321</v>
      </c>
      <c r="BZ644" t="s">
        <v>1321</v>
      </c>
      <c r="CA644" t="s">
        <v>1321</v>
      </c>
      <c r="CB644" t="s">
        <v>1321</v>
      </c>
      <c r="CC644" t="s">
        <v>1321</v>
      </c>
      <c r="CE644" t="s">
        <v>1321</v>
      </c>
      <c r="CF644" t="s">
        <v>1321</v>
      </c>
      <c r="CG644" t="s">
        <v>1321</v>
      </c>
      <c r="CH644" t="s">
        <v>1321</v>
      </c>
      <c r="CI644" t="s">
        <v>1321</v>
      </c>
      <c r="CN644" t="s">
        <v>1321</v>
      </c>
      <c r="CO644" t="s">
        <v>1321</v>
      </c>
      <c r="CP644" t="s">
        <v>1321</v>
      </c>
      <c r="CV644" t="s">
        <v>1321</v>
      </c>
      <c r="CW644" t="s">
        <v>1321</v>
      </c>
      <c r="CX644" t="s">
        <v>1321</v>
      </c>
      <c r="CY644" t="s">
        <v>1321</v>
      </c>
      <c r="DA644" t="s">
        <v>1321</v>
      </c>
      <c r="DB644" t="s">
        <v>1321</v>
      </c>
      <c r="DC644" t="s">
        <v>1321</v>
      </c>
      <c r="DD644" t="s">
        <v>1321</v>
      </c>
      <c r="DE644" t="s">
        <v>4588</v>
      </c>
      <c r="EG644" t="s">
        <v>4588</v>
      </c>
      <c r="EH644" t="s">
        <v>1321</v>
      </c>
      <c r="EI644" t="s">
        <v>1321</v>
      </c>
      <c r="EJ644" t="s">
        <v>1321</v>
      </c>
      <c r="EK644" t="s">
        <v>1321</v>
      </c>
      <c r="EL644" t="s">
        <v>1321</v>
      </c>
      <c r="EM644" t="s">
        <v>1321</v>
      </c>
      <c r="EN644" t="s">
        <v>1321</v>
      </c>
      <c r="EO644" t="s">
        <v>1321</v>
      </c>
      <c r="EP644" t="s">
        <v>1321</v>
      </c>
      <c r="EQ644" t="s">
        <v>1321</v>
      </c>
      <c r="ER644" t="s">
        <v>1321</v>
      </c>
      <c r="ET644" t="s">
        <v>1321</v>
      </c>
      <c r="EU644" t="s">
        <v>1321</v>
      </c>
      <c r="EV644" t="s">
        <v>1321</v>
      </c>
      <c r="EX644" t="s">
        <v>1321</v>
      </c>
      <c r="EZ644" t="s">
        <v>1321</v>
      </c>
      <c r="FA644" t="s">
        <v>1321</v>
      </c>
      <c r="FE644" t="s">
        <v>1321</v>
      </c>
      <c r="FF644" t="s">
        <v>1321</v>
      </c>
      <c r="FG644" t="s">
        <v>1321</v>
      </c>
      <c r="FH644" t="s">
        <v>1321</v>
      </c>
      <c r="FI644" t="s">
        <v>1321</v>
      </c>
      <c r="FJ644" t="s">
        <v>1321</v>
      </c>
      <c r="FK644" t="s">
        <v>1321</v>
      </c>
      <c r="FL644" t="s">
        <v>1321</v>
      </c>
      <c r="FM644" t="s">
        <v>1321</v>
      </c>
      <c r="FN644" t="s">
        <v>1321</v>
      </c>
      <c r="FO644" t="s">
        <v>1321</v>
      </c>
      <c r="FP644" t="s">
        <v>1321</v>
      </c>
      <c r="FQ644" t="s">
        <v>1321</v>
      </c>
      <c r="FR644" t="s">
        <v>1321</v>
      </c>
      <c r="FS644" t="s">
        <v>1321</v>
      </c>
      <c r="FT644" t="s">
        <v>1321</v>
      </c>
      <c r="FU644" t="s">
        <v>1321</v>
      </c>
      <c r="FW644" t="s">
        <v>1321</v>
      </c>
      <c r="FX644" t="s">
        <v>1321</v>
      </c>
      <c r="FY644" t="s">
        <v>1321</v>
      </c>
      <c r="FZ644" t="s">
        <v>1321</v>
      </c>
      <c r="GA644" t="s">
        <v>1321</v>
      </c>
    </row>
    <row r="645" spans="1:183" x14ac:dyDescent="0.2">
      <c r="A645" t="str">
        <f t="shared" si="18"/>
        <v>Argelions bannende Hand</v>
      </c>
      <c r="AS645" t="s">
        <v>4569</v>
      </c>
      <c r="AT645" t="s">
        <v>4569</v>
      </c>
      <c r="AU645" t="s">
        <v>4569</v>
      </c>
      <c r="AV645" t="s">
        <v>4569</v>
      </c>
      <c r="AZ645" t="s">
        <v>1321</v>
      </c>
      <c r="BA645" t="s">
        <v>1321</v>
      </c>
      <c r="BB645" t="s">
        <v>1321</v>
      </c>
      <c r="BC645" t="s">
        <v>1321</v>
      </c>
      <c r="BD645" t="s">
        <v>1321</v>
      </c>
      <c r="BJ645" t="s">
        <v>4569</v>
      </c>
      <c r="BK645" t="s">
        <v>4569</v>
      </c>
      <c r="BM645" t="s">
        <v>4569</v>
      </c>
      <c r="BN645" t="s">
        <v>4569</v>
      </c>
      <c r="BO645" t="s">
        <v>4569</v>
      </c>
      <c r="BP645" t="s">
        <v>4569</v>
      </c>
      <c r="BQ645" t="s">
        <v>4569</v>
      </c>
      <c r="BR645" t="s">
        <v>4569</v>
      </c>
      <c r="BS645" t="s">
        <v>4569</v>
      </c>
      <c r="DA645" t="s">
        <v>4569</v>
      </c>
      <c r="DB645" t="s">
        <v>4569</v>
      </c>
      <c r="DC645" t="s">
        <v>4569</v>
      </c>
      <c r="EX645" t="s">
        <v>1321</v>
      </c>
      <c r="EZ645" t="s">
        <v>1321</v>
      </c>
      <c r="FA645" t="s">
        <v>1321</v>
      </c>
      <c r="FF645" t="s">
        <v>4569</v>
      </c>
    </row>
    <row r="646" spans="1:183" x14ac:dyDescent="0.2">
      <c r="A646" t="str">
        <f t="shared" si="18"/>
        <v>Auge Xeledons, Xeledons Helles Licht</v>
      </c>
    </row>
    <row r="647" spans="1:183" x14ac:dyDescent="0.2">
      <c r="A647" t="str">
        <f t="shared" si="18"/>
        <v>Ewige Jugend</v>
      </c>
    </row>
    <row r="648" spans="1:183" x14ac:dyDescent="0.2">
      <c r="A648" t="str">
        <f t="shared" si="18"/>
        <v>Ewiger Wächter</v>
      </c>
      <c r="AS648" t="s">
        <v>4569</v>
      </c>
      <c r="AT648" t="s">
        <v>4569</v>
      </c>
      <c r="AU648" t="s">
        <v>4569</v>
      </c>
      <c r="AV648" t="s">
        <v>4569</v>
      </c>
      <c r="BJ648" t="s">
        <v>4569</v>
      </c>
      <c r="BK648" t="s">
        <v>4569</v>
      </c>
      <c r="BM648" t="s">
        <v>4569</v>
      </c>
      <c r="BN648" t="s">
        <v>4569</v>
      </c>
      <c r="BO648" t="s">
        <v>4569</v>
      </c>
      <c r="BP648" t="s">
        <v>4569</v>
      </c>
      <c r="BQ648" t="s">
        <v>4569</v>
      </c>
      <c r="BR648" t="s">
        <v>4569</v>
      </c>
      <c r="BS648" t="s">
        <v>4569</v>
      </c>
      <c r="DA648" t="s">
        <v>4569</v>
      </c>
      <c r="DB648" t="s">
        <v>4569</v>
      </c>
      <c r="DC648" t="s">
        <v>4569</v>
      </c>
      <c r="FF648" t="s">
        <v>4569</v>
      </c>
    </row>
    <row r="649" spans="1:183" x14ac:dyDescent="0.2">
      <c r="A649" t="str">
        <f t="shared" si="18"/>
        <v>Ewiges Wissen</v>
      </c>
      <c r="AS649" t="s">
        <v>4569</v>
      </c>
      <c r="AT649" t="s">
        <v>4569</v>
      </c>
      <c r="AU649" t="s">
        <v>4569</v>
      </c>
      <c r="AV649" t="s">
        <v>4569</v>
      </c>
      <c r="BI649" t="s">
        <v>1321</v>
      </c>
      <c r="BJ649" t="s">
        <v>4569</v>
      </c>
      <c r="BK649" t="s">
        <v>4569</v>
      </c>
      <c r="BM649" t="s">
        <v>4569</v>
      </c>
      <c r="BN649" t="s">
        <v>4569</v>
      </c>
      <c r="BO649" t="s">
        <v>4569</v>
      </c>
      <c r="BP649" t="s">
        <v>4569</v>
      </c>
      <c r="BQ649" t="s">
        <v>4569</v>
      </c>
      <c r="BR649" t="s">
        <v>4569</v>
      </c>
      <c r="BS649" t="s">
        <v>4569</v>
      </c>
      <c r="DA649" t="s">
        <v>4569</v>
      </c>
      <c r="DB649" t="s">
        <v>4569</v>
      </c>
      <c r="DC649" t="s">
        <v>4569</v>
      </c>
      <c r="FF649" t="s">
        <v>4569</v>
      </c>
    </row>
    <row r="650" spans="1:183" x14ac:dyDescent="0.2">
      <c r="A650" t="str">
        <f t="shared" si="18"/>
        <v>Fluch wider die Ungläubigen</v>
      </c>
    </row>
    <row r="651" spans="1:183" x14ac:dyDescent="0.2">
      <c r="A651" t="str">
        <f t="shared" si="18"/>
        <v>Fünfte Lobpreisung des Frühlings</v>
      </c>
      <c r="AS651" t="s">
        <v>4569</v>
      </c>
      <c r="AT651" t="s">
        <v>4569</v>
      </c>
      <c r="AU651" t="s">
        <v>4569</v>
      </c>
      <c r="AV651" t="s">
        <v>4569</v>
      </c>
      <c r="BJ651" t="s">
        <v>4569</v>
      </c>
      <c r="BK651" t="s">
        <v>4569</v>
      </c>
      <c r="BM651" t="s">
        <v>4569</v>
      </c>
      <c r="BN651" t="s">
        <v>4569</v>
      </c>
      <c r="BO651" t="s">
        <v>4569</v>
      </c>
      <c r="BP651" t="s">
        <v>4569</v>
      </c>
      <c r="BQ651" t="s">
        <v>1321</v>
      </c>
      <c r="BR651" t="s">
        <v>1321</v>
      </c>
      <c r="BS651" t="s">
        <v>1321</v>
      </c>
      <c r="DA651" t="s">
        <v>4569</v>
      </c>
      <c r="DB651" t="s">
        <v>4569</v>
      </c>
      <c r="DC651" t="s">
        <v>4569</v>
      </c>
      <c r="FF651" t="s">
        <v>4569</v>
      </c>
      <c r="FI651" t="s">
        <v>1321</v>
      </c>
      <c r="FJ651" t="s">
        <v>1321</v>
      </c>
    </row>
    <row r="652" spans="1:183" x14ac:dyDescent="0.2">
      <c r="A652" t="str">
        <f t="shared" si="18"/>
        <v>Garafans Gleißende Schwingen</v>
      </c>
      <c r="AS652" t="s">
        <v>4569</v>
      </c>
      <c r="AT652" t="s">
        <v>4569</v>
      </c>
      <c r="AU652" t="s">
        <v>4569</v>
      </c>
      <c r="AV652" t="s">
        <v>4569</v>
      </c>
      <c r="BJ652" t="s">
        <v>4569</v>
      </c>
      <c r="BK652" t="s">
        <v>4569</v>
      </c>
      <c r="BM652" t="s">
        <v>4569</v>
      </c>
      <c r="BN652" t="s">
        <v>4569</v>
      </c>
      <c r="BO652" t="s">
        <v>4569</v>
      </c>
      <c r="BP652" t="s">
        <v>4569</v>
      </c>
      <c r="BQ652" t="s">
        <v>4569</v>
      </c>
      <c r="BR652" t="s">
        <v>4569</v>
      </c>
      <c r="BS652" t="s">
        <v>4569</v>
      </c>
      <c r="CB652" t="s">
        <v>1321</v>
      </c>
      <c r="CC652" t="s">
        <v>1321</v>
      </c>
      <c r="CE652" t="s">
        <v>1321</v>
      </c>
      <c r="DA652" t="s">
        <v>4569</v>
      </c>
      <c r="DB652" t="s">
        <v>4569</v>
      </c>
      <c r="DC652" t="s">
        <v>4569</v>
      </c>
      <c r="FF652" t="s">
        <v>4569</v>
      </c>
      <c r="FO652" t="s">
        <v>1321</v>
      </c>
      <c r="FP652" t="s">
        <v>1321</v>
      </c>
      <c r="FQ652" t="s">
        <v>1321</v>
      </c>
      <c r="FR652" t="s">
        <v>1321</v>
      </c>
    </row>
    <row r="653" spans="1:183" x14ac:dyDescent="0.2">
      <c r="A653" t="str">
        <f t="shared" si="18"/>
        <v>Gebieter der Lava</v>
      </c>
      <c r="AS653" t="s">
        <v>4569</v>
      </c>
      <c r="AT653" t="s">
        <v>4569</v>
      </c>
      <c r="AU653" t="s">
        <v>4569</v>
      </c>
      <c r="AV653" t="s">
        <v>4569</v>
      </c>
      <c r="BJ653" t="s">
        <v>1321</v>
      </c>
      <c r="BK653" t="s">
        <v>1321</v>
      </c>
      <c r="BM653" t="s">
        <v>4569</v>
      </c>
      <c r="BN653" t="s">
        <v>4569</v>
      </c>
      <c r="BO653" t="s">
        <v>4569</v>
      </c>
      <c r="BP653" t="s">
        <v>4569</v>
      </c>
      <c r="BQ653" t="s">
        <v>4569</v>
      </c>
      <c r="BR653" t="s">
        <v>4569</v>
      </c>
      <c r="BS653" t="s">
        <v>4569</v>
      </c>
      <c r="DA653" t="s">
        <v>4569</v>
      </c>
      <c r="DB653" t="s">
        <v>4569</v>
      </c>
      <c r="DC653" t="s">
        <v>4569</v>
      </c>
      <c r="FE653" t="s">
        <v>1321</v>
      </c>
      <c r="FF653" t="s">
        <v>1321</v>
      </c>
    </row>
    <row r="654" spans="1:183" x14ac:dyDescent="0.2">
      <c r="A654" t="str">
        <f t="shared" si="18"/>
        <v>Großes Tabu</v>
      </c>
      <c r="AS654" t="s">
        <v>4569</v>
      </c>
      <c r="AT654" t="s">
        <v>4569</v>
      </c>
      <c r="AU654" t="s">
        <v>4569</v>
      </c>
      <c r="AV654" t="s">
        <v>4569</v>
      </c>
      <c r="BJ654" t="s">
        <v>4569</v>
      </c>
      <c r="BK654" t="s">
        <v>4569</v>
      </c>
      <c r="BM654" t="s">
        <v>4569</v>
      </c>
      <c r="BN654" t="s">
        <v>4569</v>
      </c>
      <c r="BO654" t="s">
        <v>4569</v>
      </c>
      <c r="BP654" t="s">
        <v>4569</v>
      </c>
      <c r="BQ654" t="s">
        <v>4569</v>
      </c>
      <c r="BR654" t="s">
        <v>4569</v>
      </c>
      <c r="BS654" t="s">
        <v>4569</v>
      </c>
      <c r="DA654" t="s">
        <v>4569</v>
      </c>
      <c r="DB654" t="s">
        <v>4569</v>
      </c>
      <c r="DC654" t="s">
        <v>4569</v>
      </c>
      <c r="FF654" t="s">
        <v>4569</v>
      </c>
    </row>
    <row r="655" spans="1:183" x14ac:dyDescent="0.2">
      <c r="A655" t="str">
        <f t="shared" si="18"/>
        <v>Heilige Salbung der Peraine</v>
      </c>
      <c r="AS655" t="s">
        <v>4569</v>
      </c>
      <c r="AT655" t="s">
        <v>4569</v>
      </c>
      <c r="AU655" t="s">
        <v>4569</v>
      </c>
      <c r="AV655" t="s">
        <v>4569</v>
      </c>
      <c r="BJ655" t="s">
        <v>4569</v>
      </c>
      <c r="BK655" t="s">
        <v>4569</v>
      </c>
      <c r="BM655" t="s">
        <v>4569</v>
      </c>
      <c r="BN655" t="s">
        <v>4569</v>
      </c>
      <c r="BO655" t="s">
        <v>4569</v>
      </c>
      <c r="BP655" t="s">
        <v>4569</v>
      </c>
      <c r="BQ655" t="s">
        <v>1321</v>
      </c>
      <c r="BR655" t="s">
        <v>1321</v>
      </c>
      <c r="BS655" t="s">
        <v>1321</v>
      </c>
      <c r="DA655" t="s">
        <v>4569</v>
      </c>
      <c r="DB655" t="s">
        <v>4569</v>
      </c>
      <c r="DC655" t="s">
        <v>4569</v>
      </c>
      <c r="FF655" t="s">
        <v>4569</v>
      </c>
      <c r="FI655" t="s">
        <v>1321</v>
      </c>
      <c r="FJ655" t="s">
        <v>1321</v>
      </c>
    </row>
    <row r="656" spans="1:183" x14ac:dyDescent="0.2">
      <c r="A656" t="str">
        <f t="shared" si="18"/>
        <v>Ingerimms Zorn verschone uns</v>
      </c>
      <c r="C656" t="s">
        <v>1321</v>
      </c>
      <c r="D656" t="s">
        <v>1321</v>
      </c>
      <c r="E656" t="s">
        <v>1321</v>
      </c>
      <c r="F656" t="s">
        <v>1321</v>
      </c>
      <c r="AS656" t="s">
        <v>4569</v>
      </c>
      <c r="AT656" t="s">
        <v>4569</v>
      </c>
      <c r="AU656" t="s">
        <v>4569</v>
      </c>
      <c r="AV656" t="s">
        <v>4569</v>
      </c>
      <c r="BJ656" t="s">
        <v>1321</v>
      </c>
      <c r="BK656" t="s">
        <v>1321</v>
      </c>
      <c r="BM656" t="s">
        <v>4569</v>
      </c>
      <c r="BN656" t="s">
        <v>4569</v>
      </c>
      <c r="BO656" t="s">
        <v>4569</v>
      </c>
      <c r="BP656" t="s">
        <v>4569</v>
      </c>
      <c r="BQ656" t="s">
        <v>4569</v>
      </c>
      <c r="BR656" t="s">
        <v>4569</v>
      </c>
      <c r="BS656" t="s">
        <v>4569</v>
      </c>
      <c r="CL656" t="s">
        <v>1321</v>
      </c>
      <c r="CM656" t="s">
        <v>1321</v>
      </c>
      <c r="DA656" t="s">
        <v>4569</v>
      </c>
      <c r="DB656" t="s">
        <v>4569</v>
      </c>
      <c r="DC656" t="s">
        <v>4569</v>
      </c>
      <c r="DW656" t="s">
        <v>1321</v>
      </c>
      <c r="EH656" t="s">
        <v>1321</v>
      </c>
      <c r="FE656" t="s">
        <v>1321</v>
      </c>
      <c r="FF656" t="s">
        <v>1321</v>
      </c>
    </row>
    <row r="657" spans="1:183" x14ac:dyDescent="0.2">
      <c r="A657" t="str">
        <f t="shared" si="18"/>
        <v>Khablas makelloser Leib</v>
      </c>
      <c r="AS657" t="s">
        <v>4569</v>
      </c>
      <c r="AT657" t="s">
        <v>4569</v>
      </c>
      <c r="AU657" t="s">
        <v>1321</v>
      </c>
      <c r="AV657" t="s">
        <v>4569</v>
      </c>
      <c r="BI657" t="s">
        <v>1321</v>
      </c>
      <c r="BJ657" t="s">
        <v>4569</v>
      </c>
      <c r="BK657" t="s">
        <v>4569</v>
      </c>
      <c r="BM657" t="s">
        <v>4569</v>
      </c>
      <c r="BN657" t="s">
        <v>4569</v>
      </c>
      <c r="BO657" t="s">
        <v>4569</v>
      </c>
      <c r="BP657" t="s">
        <v>4569</v>
      </c>
      <c r="BQ657" t="s">
        <v>4569</v>
      </c>
      <c r="BR657" t="s">
        <v>4569</v>
      </c>
      <c r="BS657" t="s">
        <v>4569</v>
      </c>
      <c r="CF657" t="s">
        <v>1321</v>
      </c>
      <c r="CG657" t="s">
        <v>1321</v>
      </c>
      <c r="CH657" t="s">
        <v>1321</v>
      </c>
      <c r="CI657" t="s">
        <v>1321</v>
      </c>
      <c r="CL657" t="s">
        <v>1321</v>
      </c>
      <c r="CM657" t="s">
        <v>1321</v>
      </c>
      <c r="DA657" t="s">
        <v>4569</v>
      </c>
      <c r="DB657" t="s">
        <v>4569</v>
      </c>
      <c r="DC657" t="s">
        <v>4569</v>
      </c>
      <c r="FF657" t="s">
        <v>4569</v>
      </c>
      <c r="FS657" t="s">
        <v>1321</v>
      </c>
      <c r="FT657" t="s">
        <v>1321</v>
      </c>
    </row>
    <row r="658" spans="1:183" x14ac:dyDescent="0.2">
      <c r="A658" t="str">
        <f t="shared" ref="A658:A691" si="19">INDEX(Liturgien,ROW()-IDX_L+1)</f>
        <v>Konsekration</v>
      </c>
      <c r="C658" t="s">
        <v>1321</v>
      </c>
      <c r="D658" t="s">
        <v>1321</v>
      </c>
      <c r="E658" t="s">
        <v>1321</v>
      </c>
      <c r="F658" t="s">
        <v>1321</v>
      </c>
      <c r="G658" t="s">
        <v>1321</v>
      </c>
      <c r="I658" t="s">
        <v>1321</v>
      </c>
      <c r="J658" t="s">
        <v>1321</v>
      </c>
      <c r="K658" t="s">
        <v>1321</v>
      </c>
      <c r="L658" t="s">
        <v>1321</v>
      </c>
      <c r="M658" t="s">
        <v>1321</v>
      </c>
      <c r="N658" t="s">
        <v>1321</v>
      </c>
      <c r="O658" t="s">
        <v>1321</v>
      </c>
      <c r="P658" t="s">
        <v>1321</v>
      </c>
      <c r="Q658" t="s">
        <v>1321</v>
      </c>
      <c r="R658" t="s">
        <v>1321</v>
      </c>
      <c r="S658" t="s">
        <v>1321</v>
      </c>
      <c r="T658" t="s">
        <v>1321</v>
      </c>
      <c r="U658" t="s">
        <v>1321</v>
      </c>
      <c r="V658" t="s">
        <v>1321</v>
      </c>
      <c r="W658" t="s">
        <v>1321</v>
      </c>
      <c r="X658" t="s">
        <v>1321</v>
      </c>
      <c r="Y658" t="s">
        <v>1321</v>
      </c>
      <c r="Z658" t="s">
        <v>1321</v>
      </c>
      <c r="AA658" t="s">
        <v>1321</v>
      </c>
      <c r="AB658" t="s">
        <v>1321</v>
      </c>
      <c r="AC658" t="s">
        <v>1321</v>
      </c>
      <c r="AD658" t="s">
        <v>1321</v>
      </c>
      <c r="AE658" t="s">
        <v>1321</v>
      </c>
      <c r="AG658" t="s">
        <v>1321</v>
      </c>
      <c r="AI658" t="s">
        <v>1321</v>
      </c>
      <c r="AO658" t="s">
        <v>1321</v>
      </c>
      <c r="AP658" t="s">
        <v>1321</v>
      </c>
      <c r="AQ658" t="s">
        <v>1321</v>
      </c>
      <c r="AR658" t="s">
        <v>1321</v>
      </c>
      <c r="AS658" t="s">
        <v>1321</v>
      </c>
      <c r="AT658" t="s">
        <v>1321</v>
      </c>
      <c r="AU658" t="s">
        <v>4569</v>
      </c>
      <c r="AV658" t="s">
        <v>1321</v>
      </c>
      <c r="AZ658" t="s">
        <v>1321</v>
      </c>
      <c r="BA658" t="s">
        <v>1321</v>
      </c>
      <c r="BB658" t="s">
        <v>1321</v>
      </c>
      <c r="BC658" t="s">
        <v>1321</v>
      </c>
      <c r="BD658" t="s">
        <v>1321</v>
      </c>
      <c r="BG658" t="s">
        <v>1321</v>
      </c>
      <c r="BH658" t="s">
        <v>1321</v>
      </c>
      <c r="BJ658" t="s">
        <v>1321</v>
      </c>
      <c r="BK658" t="s">
        <v>1321</v>
      </c>
      <c r="BL658" t="s">
        <v>1321</v>
      </c>
      <c r="BM658" t="s">
        <v>1321</v>
      </c>
      <c r="BN658" t="s">
        <v>1321</v>
      </c>
      <c r="BO658" t="s">
        <v>1321</v>
      </c>
      <c r="BP658" t="s">
        <v>1321</v>
      </c>
      <c r="BQ658" t="s">
        <v>1321</v>
      </c>
      <c r="BR658" t="s">
        <v>1321</v>
      </c>
      <c r="BS658" t="s">
        <v>1321</v>
      </c>
      <c r="BT658" t="s">
        <v>1321</v>
      </c>
      <c r="BU658" t="s">
        <v>1321</v>
      </c>
      <c r="BV658" t="s">
        <v>1321</v>
      </c>
      <c r="BW658" t="s">
        <v>1321</v>
      </c>
      <c r="BX658" t="s">
        <v>1321</v>
      </c>
      <c r="BY658" t="s">
        <v>1321</v>
      </c>
      <c r="BZ658" t="s">
        <v>1321</v>
      </c>
      <c r="CA658" t="s">
        <v>1321</v>
      </c>
      <c r="CB658" t="s">
        <v>1321</v>
      </c>
      <c r="CC658" t="s">
        <v>1321</v>
      </c>
      <c r="CE658" t="s">
        <v>1321</v>
      </c>
      <c r="CF658" t="s">
        <v>1321</v>
      </c>
      <c r="CG658" t="s">
        <v>1321</v>
      </c>
      <c r="CH658" t="s">
        <v>1321</v>
      </c>
      <c r="CI658" t="s">
        <v>1321</v>
      </c>
      <c r="CN658" t="s">
        <v>1321</v>
      </c>
      <c r="CO658" t="s">
        <v>1321</v>
      </c>
      <c r="CP658" t="s">
        <v>1321</v>
      </c>
      <c r="CV658" t="s">
        <v>1321</v>
      </c>
      <c r="CW658" t="s">
        <v>1321</v>
      </c>
      <c r="CX658" t="s">
        <v>1321</v>
      </c>
      <c r="CY658" t="s">
        <v>1321</v>
      </c>
      <c r="DA658" t="s">
        <v>1321</v>
      </c>
      <c r="DB658" t="s">
        <v>1321</v>
      </c>
      <c r="DC658" t="s">
        <v>1321</v>
      </c>
      <c r="DD658" t="s">
        <v>1321</v>
      </c>
      <c r="DW658" t="s">
        <v>1321</v>
      </c>
      <c r="EH658" t="s">
        <v>1321</v>
      </c>
      <c r="EI658" t="s">
        <v>1321</v>
      </c>
      <c r="EJ658" t="s">
        <v>1321</v>
      </c>
      <c r="EK658" t="s">
        <v>1321</v>
      </c>
      <c r="EL658" t="s">
        <v>1321</v>
      </c>
      <c r="EM658" t="s">
        <v>1321</v>
      </c>
      <c r="EN658" t="s">
        <v>1321</v>
      </c>
      <c r="EO658" t="s">
        <v>1321</v>
      </c>
      <c r="EP658" t="s">
        <v>1321</v>
      </c>
      <c r="EQ658" t="s">
        <v>1321</v>
      </c>
      <c r="ER658" t="s">
        <v>1321</v>
      </c>
      <c r="ET658" t="s">
        <v>1321</v>
      </c>
      <c r="EU658" t="s">
        <v>1321</v>
      </c>
      <c r="EV658" t="s">
        <v>1321</v>
      </c>
      <c r="EX658" t="s">
        <v>1321</v>
      </c>
      <c r="EZ658" t="s">
        <v>1321</v>
      </c>
      <c r="FA658" t="s">
        <v>1321</v>
      </c>
      <c r="FE658" t="s">
        <v>1321</v>
      </c>
      <c r="FF658" t="s">
        <v>1321</v>
      </c>
      <c r="FG658" t="s">
        <v>1321</v>
      </c>
      <c r="FH658" t="s">
        <v>1321</v>
      </c>
      <c r="FI658" t="s">
        <v>1321</v>
      </c>
      <c r="FJ658" t="s">
        <v>1321</v>
      </c>
      <c r="FK658" t="s">
        <v>1321</v>
      </c>
      <c r="FL658" t="s">
        <v>1321</v>
      </c>
      <c r="FM658" t="s">
        <v>1321</v>
      </c>
      <c r="FN658" t="s">
        <v>1321</v>
      </c>
      <c r="FO658" t="s">
        <v>1321</v>
      </c>
      <c r="FP658" t="s">
        <v>1321</v>
      </c>
      <c r="FQ658" t="s">
        <v>1321</v>
      </c>
      <c r="FR658" t="s">
        <v>1321</v>
      </c>
      <c r="FS658" t="s">
        <v>1321</v>
      </c>
      <c r="FT658" t="s">
        <v>1321</v>
      </c>
      <c r="FU658" t="s">
        <v>1321</v>
      </c>
      <c r="FW658" t="s">
        <v>1321</v>
      </c>
      <c r="FX658" t="s">
        <v>1321</v>
      </c>
      <c r="FY658" t="s">
        <v>1321</v>
      </c>
      <c r="FZ658" t="s">
        <v>1321</v>
      </c>
      <c r="GA658" t="s">
        <v>1321</v>
      </c>
    </row>
    <row r="659" spans="1:183" x14ac:dyDescent="0.2">
      <c r="A659" t="str">
        <f t="shared" si="19"/>
        <v>Kräftigung der Schwachen und Versehrten</v>
      </c>
      <c r="AS659" t="s">
        <v>4569</v>
      </c>
      <c r="AT659" t="s">
        <v>4569</v>
      </c>
      <c r="AU659" t="s">
        <v>4569</v>
      </c>
      <c r="AV659" t="s">
        <v>4569</v>
      </c>
      <c r="BJ659" t="s">
        <v>4569</v>
      </c>
      <c r="BK659" t="s">
        <v>4569</v>
      </c>
      <c r="BM659" t="s">
        <v>4569</v>
      </c>
      <c r="BN659" t="s">
        <v>4569</v>
      </c>
      <c r="BO659" t="s">
        <v>4569</v>
      </c>
      <c r="BP659" t="s">
        <v>4569</v>
      </c>
      <c r="BQ659" t="s">
        <v>1321</v>
      </c>
      <c r="BR659" t="s">
        <v>1321</v>
      </c>
      <c r="BS659" t="s">
        <v>1321</v>
      </c>
      <c r="DA659" t="s">
        <v>4569</v>
      </c>
      <c r="DB659" t="s">
        <v>4569</v>
      </c>
      <c r="DC659" t="s">
        <v>4569</v>
      </c>
      <c r="FF659" t="s">
        <v>4569</v>
      </c>
      <c r="FI659" t="s">
        <v>1321</v>
      </c>
      <c r="FJ659" t="s">
        <v>1321</v>
      </c>
    </row>
    <row r="660" spans="1:183" x14ac:dyDescent="0.2">
      <c r="A660" t="str">
        <f t="shared" si="19"/>
        <v>Lagorax' Hammer rufen</v>
      </c>
      <c r="C660" t="s">
        <v>1321</v>
      </c>
      <c r="D660" t="s">
        <v>1321</v>
      </c>
      <c r="E660" t="s">
        <v>1321</v>
      </c>
      <c r="F660" t="s">
        <v>1321</v>
      </c>
      <c r="AS660" t="s">
        <v>4569</v>
      </c>
      <c r="AT660" t="s">
        <v>4569</v>
      </c>
      <c r="AU660" t="s">
        <v>4569</v>
      </c>
      <c r="AV660" t="s">
        <v>4569</v>
      </c>
      <c r="BJ660" t="s">
        <v>4569</v>
      </c>
      <c r="BK660" t="s">
        <v>4569</v>
      </c>
      <c r="BM660" t="s">
        <v>4569</v>
      </c>
      <c r="BN660" t="s">
        <v>4569</v>
      </c>
      <c r="BO660" t="s">
        <v>4569</v>
      </c>
      <c r="BP660" t="s">
        <v>4569</v>
      </c>
      <c r="BQ660" t="s">
        <v>4569</v>
      </c>
      <c r="BR660" t="s">
        <v>4569</v>
      </c>
      <c r="BS660" t="s">
        <v>4569</v>
      </c>
      <c r="DA660" t="s">
        <v>4569</v>
      </c>
      <c r="DB660" t="s">
        <v>4569</v>
      </c>
      <c r="DC660" t="s">
        <v>4569</v>
      </c>
      <c r="EH660" t="s">
        <v>1321</v>
      </c>
      <c r="FF660" t="s">
        <v>4569</v>
      </c>
    </row>
    <row r="661" spans="1:183" x14ac:dyDescent="0.2">
      <c r="A661" t="str">
        <f t="shared" si="19"/>
        <v>Marbos Geleit</v>
      </c>
      <c r="AI661" t="s">
        <v>1321</v>
      </c>
      <c r="AS661" t="s">
        <v>4569</v>
      </c>
      <c r="AT661" t="s">
        <v>4569</v>
      </c>
      <c r="AU661" t="s">
        <v>4569</v>
      </c>
      <c r="AV661" t="s">
        <v>4569</v>
      </c>
      <c r="BJ661" t="s">
        <v>4569</v>
      </c>
      <c r="BK661" t="s">
        <v>4569</v>
      </c>
      <c r="BM661" t="s">
        <v>4569</v>
      </c>
      <c r="BN661" t="s">
        <v>4569</v>
      </c>
      <c r="BO661" t="s">
        <v>4569</v>
      </c>
      <c r="BP661" t="s">
        <v>4569</v>
      </c>
      <c r="BQ661" t="s">
        <v>4569</v>
      </c>
      <c r="BR661" t="s">
        <v>4569</v>
      </c>
      <c r="BS661" t="s">
        <v>4569</v>
      </c>
      <c r="DA661" t="s">
        <v>4569</v>
      </c>
      <c r="DB661" t="s">
        <v>4569</v>
      </c>
      <c r="DC661" t="s">
        <v>4569</v>
      </c>
      <c r="FF661" t="s">
        <v>4569</v>
      </c>
    </row>
    <row r="662" spans="1:183" x14ac:dyDescent="0.2">
      <c r="A662" t="str">
        <f t="shared" si="19"/>
        <v>Meisterstück</v>
      </c>
      <c r="AS662" t="s">
        <v>4569</v>
      </c>
      <c r="AT662" t="s">
        <v>4569</v>
      </c>
      <c r="AU662" t="s">
        <v>4569</v>
      </c>
      <c r="AV662" t="s">
        <v>4569</v>
      </c>
      <c r="BJ662" t="s">
        <v>1321</v>
      </c>
      <c r="BK662" t="s">
        <v>1321</v>
      </c>
      <c r="BM662" t="s">
        <v>4569</v>
      </c>
      <c r="BN662" t="s">
        <v>4569</v>
      </c>
      <c r="BO662" t="s">
        <v>4569</v>
      </c>
      <c r="BP662" t="s">
        <v>4569</v>
      </c>
      <c r="BQ662" t="s">
        <v>4569</v>
      </c>
      <c r="BR662" t="s">
        <v>4569</v>
      </c>
      <c r="BS662" t="s">
        <v>4569</v>
      </c>
      <c r="DA662" t="s">
        <v>4569</v>
      </c>
      <c r="DB662" t="s">
        <v>4569</v>
      </c>
      <c r="DC662" t="s">
        <v>4569</v>
      </c>
      <c r="FE662" t="s">
        <v>1321</v>
      </c>
      <c r="FF662" t="s">
        <v>1321</v>
      </c>
    </row>
    <row r="663" spans="1:183" x14ac:dyDescent="0.2">
      <c r="A663" t="str">
        <f t="shared" si="19"/>
        <v>Obarans Bannstrahl</v>
      </c>
      <c r="AS663" t="s">
        <v>4569</v>
      </c>
      <c r="AT663" t="s">
        <v>4569</v>
      </c>
      <c r="AU663" t="s">
        <v>4569</v>
      </c>
      <c r="AV663" t="s">
        <v>4569</v>
      </c>
      <c r="BJ663" t="s">
        <v>4569</v>
      </c>
      <c r="BK663" t="s">
        <v>4569</v>
      </c>
      <c r="BM663" t="s">
        <v>4569</v>
      </c>
      <c r="BN663" t="s">
        <v>4569</v>
      </c>
      <c r="BO663" t="s">
        <v>4569</v>
      </c>
      <c r="BP663" t="s">
        <v>4569</v>
      </c>
      <c r="BQ663" t="s">
        <v>4569</v>
      </c>
      <c r="BR663" t="s">
        <v>4569</v>
      </c>
      <c r="BS663" t="s">
        <v>4569</v>
      </c>
      <c r="DA663" t="s">
        <v>4569</v>
      </c>
      <c r="DB663" t="s">
        <v>4569</v>
      </c>
      <c r="DC663" t="s">
        <v>4569</v>
      </c>
      <c r="FF663" t="s">
        <v>4569</v>
      </c>
    </row>
    <row r="664" spans="1:183" x14ac:dyDescent="0.2">
      <c r="A664" t="str">
        <f t="shared" si="19"/>
        <v>Phexens Meisterschlüssel</v>
      </c>
      <c r="AS664" t="s">
        <v>4569</v>
      </c>
      <c r="AT664" t="s">
        <v>4569</v>
      </c>
      <c r="AU664" t="s">
        <v>4569</v>
      </c>
      <c r="AV664" t="s">
        <v>4569</v>
      </c>
      <c r="BJ664" t="s">
        <v>4569</v>
      </c>
      <c r="BK664" t="s">
        <v>4569</v>
      </c>
      <c r="BM664" t="s">
        <v>4569</v>
      </c>
      <c r="BN664" t="s">
        <v>4569</v>
      </c>
      <c r="BO664" t="s">
        <v>4569</v>
      </c>
      <c r="BP664" t="s">
        <v>4569</v>
      </c>
      <c r="BQ664" t="s">
        <v>4569</v>
      </c>
      <c r="BR664" t="s">
        <v>4569</v>
      </c>
      <c r="BS664" t="s">
        <v>4569</v>
      </c>
      <c r="BT664" t="s">
        <v>1321</v>
      </c>
      <c r="BU664" t="s">
        <v>1321</v>
      </c>
      <c r="BV664" t="s">
        <v>1321</v>
      </c>
      <c r="BW664" t="s">
        <v>1321</v>
      </c>
      <c r="BX664" t="s">
        <v>1321</v>
      </c>
      <c r="BY664" t="s">
        <v>1321</v>
      </c>
      <c r="BZ664" t="s">
        <v>1321</v>
      </c>
      <c r="CA664" t="s">
        <v>1321</v>
      </c>
      <c r="DA664" t="s">
        <v>4569</v>
      </c>
      <c r="DB664" t="s">
        <v>4569</v>
      </c>
      <c r="DC664" t="s">
        <v>4569</v>
      </c>
      <c r="FF664" t="s">
        <v>4569</v>
      </c>
      <c r="FK664" t="s">
        <v>1321</v>
      </c>
      <c r="FL664" t="s">
        <v>1321</v>
      </c>
      <c r="FM664" t="s">
        <v>1321</v>
      </c>
      <c r="FN664" t="s">
        <v>1321</v>
      </c>
    </row>
    <row r="665" spans="1:183" x14ac:dyDescent="0.2">
      <c r="A665" t="str">
        <f t="shared" si="19"/>
        <v>Phexens Schatten</v>
      </c>
      <c r="AS665" t="s">
        <v>4569</v>
      </c>
      <c r="AT665" t="s">
        <v>4569</v>
      </c>
      <c r="AU665" t="s">
        <v>4569</v>
      </c>
      <c r="AV665" t="s">
        <v>4569</v>
      </c>
      <c r="BJ665" t="s">
        <v>4569</v>
      </c>
      <c r="BK665" t="s">
        <v>4569</v>
      </c>
      <c r="BM665" t="s">
        <v>4569</v>
      </c>
      <c r="BN665" t="s">
        <v>4569</v>
      </c>
      <c r="BO665" t="s">
        <v>4569</v>
      </c>
      <c r="BP665" t="s">
        <v>4569</v>
      </c>
      <c r="BQ665" t="s">
        <v>4569</v>
      </c>
      <c r="BR665" t="s">
        <v>4569</v>
      </c>
      <c r="BS665" t="s">
        <v>4569</v>
      </c>
      <c r="BT665" t="s">
        <v>1321</v>
      </c>
      <c r="BU665" t="s">
        <v>1321</v>
      </c>
      <c r="BV665" t="s">
        <v>1321</v>
      </c>
      <c r="BW665" t="s">
        <v>1321</v>
      </c>
      <c r="BX665" t="s">
        <v>1321</v>
      </c>
      <c r="BY665" t="s">
        <v>1321</v>
      </c>
      <c r="BZ665" t="s">
        <v>1321</v>
      </c>
      <c r="CA665" t="s">
        <v>1321</v>
      </c>
      <c r="DA665" t="s">
        <v>4569</v>
      </c>
      <c r="DB665" t="s">
        <v>4569</v>
      </c>
      <c r="DC665" t="s">
        <v>4569</v>
      </c>
      <c r="FF665" t="s">
        <v>4569</v>
      </c>
      <c r="FK665" t="s">
        <v>1321</v>
      </c>
      <c r="FL665" t="s">
        <v>1321</v>
      </c>
      <c r="FM665" t="s">
        <v>1321</v>
      </c>
      <c r="FN665" t="s">
        <v>1321</v>
      </c>
    </row>
    <row r="666" spans="1:183" x14ac:dyDescent="0.2">
      <c r="A666" t="str">
        <f t="shared" si="19"/>
        <v>Ritus der Schlachthilfe</v>
      </c>
    </row>
    <row r="667" spans="1:183" x14ac:dyDescent="0.2">
      <c r="A667" t="str">
        <f t="shared" si="19"/>
        <v>Rondras wundersame Rüstung</v>
      </c>
      <c r="AS667" t="s">
        <v>4569</v>
      </c>
      <c r="AT667" t="s">
        <v>4569</v>
      </c>
      <c r="AU667" t="s">
        <v>4569</v>
      </c>
      <c r="AV667" t="s">
        <v>4569</v>
      </c>
      <c r="BJ667" t="s">
        <v>4569</v>
      </c>
      <c r="BK667" t="s">
        <v>4569</v>
      </c>
      <c r="BM667" t="s">
        <v>4569</v>
      </c>
      <c r="BN667" t="s">
        <v>4569</v>
      </c>
      <c r="BO667" t="s">
        <v>4569</v>
      </c>
      <c r="BP667" t="s">
        <v>4569</v>
      </c>
      <c r="BQ667" t="s">
        <v>4569</v>
      </c>
      <c r="BR667" t="s">
        <v>4569</v>
      </c>
      <c r="BS667" t="s">
        <v>4569</v>
      </c>
      <c r="CN667" t="s">
        <v>1321</v>
      </c>
      <c r="CO667" t="s">
        <v>1321</v>
      </c>
      <c r="CP667" t="s">
        <v>1321</v>
      </c>
      <c r="DA667" t="s">
        <v>4569</v>
      </c>
      <c r="DB667" t="s">
        <v>4569</v>
      </c>
      <c r="DC667" t="s">
        <v>4569</v>
      </c>
      <c r="FF667" t="s">
        <v>4569</v>
      </c>
      <c r="FU667" t="s">
        <v>1321</v>
      </c>
    </row>
    <row r="668" spans="1:183" x14ac:dyDescent="0.2">
      <c r="A668" t="str">
        <f t="shared" si="19"/>
        <v>Sankt Gilborns Bannfluch</v>
      </c>
      <c r="AS668" t="s">
        <v>4569</v>
      </c>
      <c r="AT668" t="s">
        <v>4569</v>
      </c>
      <c r="AU668" t="s">
        <v>1321</v>
      </c>
      <c r="AV668" t="s">
        <v>4569</v>
      </c>
      <c r="BJ668" t="s">
        <v>4569</v>
      </c>
      <c r="BK668" t="s">
        <v>4569</v>
      </c>
      <c r="BM668" t="s">
        <v>4569</v>
      </c>
      <c r="BN668" t="s">
        <v>4569</v>
      </c>
      <c r="BO668" t="s">
        <v>4569</v>
      </c>
      <c r="BP668" t="s">
        <v>4569</v>
      </c>
      <c r="BQ668" t="s">
        <v>4569</v>
      </c>
      <c r="BR668" t="s">
        <v>4569</v>
      </c>
      <c r="BS668" t="s">
        <v>4569</v>
      </c>
      <c r="CB668" t="s">
        <v>1321</v>
      </c>
      <c r="CC668" t="s">
        <v>1321</v>
      </c>
      <c r="CE668" t="s">
        <v>1321</v>
      </c>
      <c r="DA668" t="s">
        <v>4569</v>
      </c>
      <c r="DB668" t="s">
        <v>4569</v>
      </c>
      <c r="DC668" t="s">
        <v>4569</v>
      </c>
      <c r="FF668" t="s">
        <v>4569</v>
      </c>
      <c r="FO668" t="s">
        <v>1321</v>
      </c>
      <c r="FP668" t="s">
        <v>1321</v>
      </c>
      <c r="FQ668" t="s">
        <v>1321</v>
      </c>
      <c r="FR668" t="s">
        <v>1321</v>
      </c>
    </row>
    <row r="669" spans="1:183" x14ac:dyDescent="0.2">
      <c r="A669" t="str">
        <f t="shared" si="19"/>
        <v>Schneesturm/Eissturm</v>
      </c>
      <c r="AS669" t="s">
        <v>1321</v>
      </c>
      <c r="AT669" t="s">
        <v>1321</v>
      </c>
      <c r="AU669" t="s">
        <v>4569</v>
      </c>
      <c r="AV669" t="s">
        <v>1321</v>
      </c>
      <c r="BJ669" t="s">
        <v>4569</v>
      </c>
      <c r="BK669" t="s">
        <v>4569</v>
      </c>
      <c r="BM669" t="s">
        <v>4569</v>
      </c>
      <c r="BN669" t="s">
        <v>4569</v>
      </c>
      <c r="BO669" t="s">
        <v>4569</v>
      </c>
      <c r="BP669" t="s">
        <v>4569</v>
      </c>
      <c r="BQ669" t="s">
        <v>4569</v>
      </c>
      <c r="BR669" t="s">
        <v>4569</v>
      </c>
      <c r="BS669" t="s">
        <v>4569</v>
      </c>
      <c r="DA669" t="s">
        <v>4569</v>
      </c>
      <c r="DB669" t="s">
        <v>4569</v>
      </c>
      <c r="DC669" t="s">
        <v>4569</v>
      </c>
      <c r="EV669" t="s">
        <v>1321</v>
      </c>
      <c r="FF669" t="s">
        <v>4569</v>
      </c>
    </row>
    <row r="670" spans="1:183" x14ac:dyDescent="0.2">
      <c r="A670" t="str">
        <f t="shared" si="19"/>
        <v>Schwitzhütte</v>
      </c>
      <c r="AS670" t="s">
        <v>4569</v>
      </c>
      <c r="AT670" t="s">
        <v>4569</v>
      </c>
      <c r="AU670" t="s">
        <v>4569</v>
      </c>
      <c r="AV670" t="s">
        <v>4569</v>
      </c>
      <c r="BJ670" t="s">
        <v>4569</v>
      </c>
      <c r="BK670" t="s">
        <v>4569</v>
      </c>
      <c r="BM670" t="s">
        <v>4569</v>
      </c>
      <c r="BN670" t="s">
        <v>4569</v>
      </c>
      <c r="BO670" t="s">
        <v>4569</v>
      </c>
      <c r="BP670" t="s">
        <v>4569</v>
      </c>
      <c r="BQ670" t="s">
        <v>4569</v>
      </c>
      <c r="BR670" t="s">
        <v>4569</v>
      </c>
      <c r="BS670" t="s">
        <v>4569</v>
      </c>
      <c r="DA670" t="s">
        <v>4569</v>
      </c>
      <c r="DB670" t="s">
        <v>4569</v>
      </c>
      <c r="DC670" t="s">
        <v>4569</v>
      </c>
      <c r="FF670" t="s">
        <v>4569</v>
      </c>
    </row>
    <row r="671" spans="1:183" x14ac:dyDescent="0.2">
      <c r="A671" t="str">
        <f t="shared" si="19"/>
        <v>Segnung der Schlacht</v>
      </c>
      <c r="AS671" t="s">
        <v>4569</v>
      </c>
      <c r="AT671" t="s">
        <v>4569</v>
      </c>
      <c r="AU671" t="s">
        <v>4569</v>
      </c>
      <c r="AV671" t="s">
        <v>4569</v>
      </c>
      <c r="BJ671" t="s">
        <v>4569</v>
      </c>
      <c r="BK671" t="s">
        <v>4569</v>
      </c>
      <c r="BM671" t="s">
        <v>4569</v>
      </c>
      <c r="BN671" t="s">
        <v>4569</v>
      </c>
      <c r="BO671" t="s">
        <v>4569</v>
      </c>
      <c r="BP671" t="s">
        <v>4569</v>
      </c>
      <c r="BQ671" t="s">
        <v>4569</v>
      </c>
      <c r="BR671" t="s">
        <v>4569</v>
      </c>
      <c r="BS671" t="s">
        <v>4569</v>
      </c>
      <c r="CN671" t="s">
        <v>1321</v>
      </c>
      <c r="CO671" t="s">
        <v>1321</v>
      </c>
      <c r="CP671" t="s">
        <v>1321</v>
      </c>
      <c r="DA671" t="s">
        <v>4569</v>
      </c>
      <c r="DB671" t="s">
        <v>4569</v>
      </c>
      <c r="DC671" t="s">
        <v>4569</v>
      </c>
      <c r="FF671" t="s">
        <v>4569</v>
      </c>
      <c r="FU671" t="s">
        <v>1321</v>
      </c>
    </row>
    <row r="672" spans="1:183" x14ac:dyDescent="0.2">
      <c r="A672" t="str">
        <f t="shared" si="19"/>
        <v>Swafnirs Fluke</v>
      </c>
      <c r="AO672" t="s">
        <v>1321</v>
      </c>
      <c r="AP672" t="s">
        <v>1321</v>
      </c>
      <c r="AQ672" t="s">
        <v>1321</v>
      </c>
      <c r="AR672" t="s">
        <v>1321</v>
      </c>
      <c r="AS672" t="s">
        <v>4569</v>
      </c>
      <c r="AT672" t="s">
        <v>4569</v>
      </c>
      <c r="AU672" t="s">
        <v>4569</v>
      </c>
      <c r="AV672" t="s">
        <v>4569</v>
      </c>
      <c r="BJ672" t="s">
        <v>4569</v>
      </c>
      <c r="BK672" t="s">
        <v>4569</v>
      </c>
      <c r="BM672" t="s">
        <v>4569</v>
      </c>
      <c r="BN672" t="s">
        <v>4569</v>
      </c>
      <c r="BO672" t="s">
        <v>4569</v>
      </c>
      <c r="BP672" t="s">
        <v>4569</v>
      </c>
      <c r="BQ672" t="s">
        <v>4569</v>
      </c>
      <c r="BR672" t="s">
        <v>4569</v>
      </c>
      <c r="BS672" t="s">
        <v>4569</v>
      </c>
      <c r="CV672" t="s">
        <v>1321</v>
      </c>
      <c r="CW672" t="s">
        <v>1321</v>
      </c>
      <c r="DA672" t="s">
        <v>4569</v>
      </c>
      <c r="DB672" t="s">
        <v>4569</v>
      </c>
      <c r="DC672" t="s">
        <v>4569</v>
      </c>
      <c r="ET672" t="s">
        <v>1321</v>
      </c>
      <c r="EU672" t="s">
        <v>1321</v>
      </c>
      <c r="FF672" t="s">
        <v>4569</v>
      </c>
      <c r="FW672" t="s">
        <v>1321</v>
      </c>
    </row>
    <row r="673" spans="1:183" x14ac:dyDescent="0.2">
      <c r="A673" t="str">
        <f t="shared" si="19"/>
        <v>Travias Gebet der sicheren Zuflucht</v>
      </c>
      <c r="AS673" t="s">
        <v>4569</v>
      </c>
      <c r="AT673" t="s">
        <v>4569</v>
      </c>
      <c r="AU673" t="s">
        <v>4569</v>
      </c>
      <c r="AV673" t="s">
        <v>4569</v>
      </c>
      <c r="BJ673" t="s">
        <v>4569</v>
      </c>
      <c r="BK673" t="s">
        <v>4569</v>
      </c>
      <c r="BM673" t="s">
        <v>4569</v>
      </c>
      <c r="BN673" t="s">
        <v>4569</v>
      </c>
      <c r="BO673" t="s">
        <v>4569</v>
      </c>
      <c r="BP673" t="s">
        <v>4569</v>
      </c>
      <c r="BQ673" t="s">
        <v>4569</v>
      </c>
      <c r="BR673" t="s">
        <v>4569</v>
      </c>
      <c r="BS673" t="s">
        <v>4569</v>
      </c>
      <c r="CX673" t="s">
        <v>1321</v>
      </c>
      <c r="CY673" t="s">
        <v>1321</v>
      </c>
      <c r="DA673" t="s">
        <v>4569</v>
      </c>
      <c r="DB673" t="s">
        <v>4569</v>
      </c>
      <c r="DC673" t="s">
        <v>4569</v>
      </c>
      <c r="FF673" t="s">
        <v>4569</v>
      </c>
      <c r="FX673" t="s">
        <v>1321</v>
      </c>
      <c r="FY673" t="s">
        <v>1321</v>
      </c>
      <c r="FZ673" t="s">
        <v>1321</v>
      </c>
    </row>
    <row r="674" spans="1:183" x14ac:dyDescent="0.2">
      <c r="A674" t="str">
        <f t="shared" si="19"/>
        <v>Tsas Heiliges Lebensgeschenk</v>
      </c>
      <c r="AS674" t="s">
        <v>4569</v>
      </c>
      <c r="AT674" t="s">
        <v>4569</v>
      </c>
      <c r="AU674" t="s">
        <v>4569</v>
      </c>
      <c r="AV674" t="s">
        <v>4569</v>
      </c>
      <c r="BJ674" t="s">
        <v>4569</v>
      </c>
      <c r="BK674" t="s">
        <v>4569</v>
      </c>
      <c r="BM674" t="s">
        <v>4569</v>
      </c>
      <c r="BN674" t="s">
        <v>4569</v>
      </c>
      <c r="BO674" t="s">
        <v>4569</v>
      </c>
      <c r="BP674" t="s">
        <v>4569</v>
      </c>
      <c r="BQ674" t="s">
        <v>4569</v>
      </c>
      <c r="BR674" t="s">
        <v>4569</v>
      </c>
      <c r="BS674" t="s">
        <v>4569</v>
      </c>
      <c r="DA674" t="s">
        <v>1321</v>
      </c>
      <c r="DB674" t="s">
        <v>1321</v>
      </c>
      <c r="DC674" t="s">
        <v>1321</v>
      </c>
      <c r="FF674" t="s">
        <v>4569</v>
      </c>
      <c r="GA674" t="s">
        <v>1321</v>
      </c>
    </row>
    <row r="675" spans="1:183" x14ac:dyDescent="0.2">
      <c r="A675" t="str">
        <f t="shared" si="19"/>
        <v>Tsas wunderbare Erneuerung</v>
      </c>
      <c r="AS675" t="s">
        <v>4569</v>
      </c>
      <c r="AT675" t="s">
        <v>4569</v>
      </c>
      <c r="AU675" t="s">
        <v>4569</v>
      </c>
      <c r="AV675" t="s">
        <v>4569</v>
      </c>
      <c r="BJ675" t="s">
        <v>4569</v>
      </c>
      <c r="BK675" t="s">
        <v>4569</v>
      </c>
      <c r="BM675" t="s">
        <v>4569</v>
      </c>
      <c r="BN675" t="s">
        <v>4569</v>
      </c>
      <c r="BO675" t="s">
        <v>4569</v>
      </c>
      <c r="BP675" t="s">
        <v>4569</v>
      </c>
      <c r="BQ675" t="s">
        <v>4569</v>
      </c>
      <c r="BR675" t="s">
        <v>4569</v>
      </c>
      <c r="BS675" t="s">
        <v>4569</v>
      </c>
      <c r="DA675" t="s">
        <v>1321</v>
      </c>
      <c r="DB675" t="s">
        <v>1321</v>
      </c>
      <c r="DC675" t="s">
        <v>1321</v>
      </c>
      <c r="DD675" t="s">
        <v>1321</v>
      </c>
      <c r="FF675" t="s">
        <v>4569</v>
      </c>
      <c r="GA675" t="s">
        <v>1321</v>
      </c>
    </row>
    <row r="676" spans="1:183" x14ac:dyDescent="0.2">
      <c r="A676" t="str">
        <f t="shared" si="19"/>
        <v>Über die Wolken</v>
      </c>
      <c r="G676" t="s">
        <v>1321</v>
      </c>
      <c r="AS676" t="s">
        <v>4569</v>
      </c>
      <c r="AT676" t="s">
        <v>4569</v>
      </c>
      <c r="AU676" t="s">
        <v>4569</v>
      </c>
      <c r="AV676" t="s">
        <v>4569</v>
      </c>
      <c r="BJ676" t="s">
        <v>4569</v>
      </c>
      <c r="BK676" t="s">
        <v>4569</v>
      </c>
      <c r="BM676" t="s">
        <v>4569</v>
      </c>
      <c r="BN676" t="s">
        <v>4569</v>
      </c>
      <c r="BO676" t="s">
        <v>4569</v>
      </c>
      <c r="BP676" t="s">
        <v>4569</v>
      </c>
      <c r="BQ676" t="s">
        <v>4569</v>
      </c>
      <c r="BR676" t="s">
        <v>4569</v>
      </c>
      <c r="BS676" t="s">
        <v>4569</v>
      </c>
      <c r="DA676" t="s">
        <v>4569</v>
      </c>
      <c r="DB676" t="s">
        <v>4569</v>
      </c>
      <c r="DC676" t="s">
        <v>4569</v>
      </c>
      <c r="EI676" t="s">
        <v>1321</v>
      </c>
      <c r="FF676" t="s">
        <v>4569</v>
      </c>
    </row>
    <row r="677" spans="1:183" x14ac:dyDescent="0.2">
      <c r="A677" t="str">
        <f t="shared" si="19"/>
        <v>Wandeln in Hesindes Hain</v>
      </c>
      <c r="AS677" t="s">
        <v>4569</v>
      </c>
      <c r="AT677" t="s">
        <v>4569</v>
      </c>
      <c r="AU677" t="s">
        <v>4569</v>
      </c>
      <c r="AV677" t="s">
        <v>4569</v>
      </c>
      <c r="AZ677" t="s">
        <v>1321</v>
      </c>
      <c r="BA677" t="s">
        <v>1321</v>
      </c>
      <c r="BB677" t="s">
        <v>1321</v>
      </c>
      <c r="BC677" t="s">
        <v>1321</v>
      </c>
      <c r="BD677" t="s">
        <v>1321</v>
      </c>
      <c r="BJ677" t="s">
        <v>4569</v>
      </c>
      <c r="BK677" t="s">
        <v>4569</v>
      </c>
      <c r="BM677" t="s">
        <v>4569</v>
      </c>
      <c r="BN677" t="s">
        <v>4569</v>
      </c>
      <c r="BO677" t="s">
        <v>4569</v>
      </c>
      <c r="BP677" t="s">
        <v>4569</v>
      </c>
      <c r="BQ677" t="s">
        <v>4569</v>
      </c>
      <c r="BR677" t="s">
        <v>4569</v>
      </c>
      <c r="BS677" t="s">
        <v>4569</v>
      </c>
      <c r="DA677" t="s">
        <v>4569</v>
      </c>
      <c r="DB677" t="s">
        <v>4569</v>
      </c>
      <c r="DC677" t="s">
        <v>4569</v>
      </c>
      <c r="EX677" t="s">
        <v>1321</v>
      </c>
      <c r="EZ677" t="s">
        <v>1321</v>
      </c>
      <c r="FA677" t="s">
        <v>1321</v>
      </c>
      <c r="FF677" t="s">
        <v>4569</v>
      </c>
    </row>
    <row r="678" spans="1:183" x14ac:dyDescent="0.2">
      <c r="A678" t="str">
        <f t="shared" si="19"/>
        <v>Weihegesang der Heiligen Elida</v>
      </c>
      <c r="AS678" t="s">
        <v>4569</v>
      </c>
      <c r="AT678" t="s">
        <v>4569</v>
      </c>
      <c r="AU678" t="s">
        <v>4569</v>
      </c>
      <c r="AV678" t="s">
        <v>4569</v>
      </c>
      <c r="BJ678" t="s">
        <v>4569</v>
      </c>
      <c r="BK678" t="s">
        <v>4569</v>
      </c>
      <c r="BM678" t="s">
        <v>4569</v>
      </c>
      <c r="BN678" t="s">
        <v>4569</v>
      </c>
      <c r="BO678" t="s">
        <v>4569</v>
      </c>
      <c r="BP678" t="s">
        <v>4569</v>
      </c>
      <c r="BQ678" t="s">
        <v>4569</v>
      </c>
      <c r="BR678" t="s">
        <v>4569</v>
      </c>
      <c r="BS678" t="s">
        <v>4569</v>
      </c>
      <c r="DA678" t="s">
        <v>4569</v>
      </c>
      <c r="DB678" t="s">
        <v>4569</v>
      </c>
      <c r="DC678" t="s">
        <v>4569</v>
      </c>
      <c r="FF678" t="s">
        <v>4569</v>
      </c>
    </row>
    <row r="679" spans="1:183" x14ac:dyDescent="0.2">
      <c r="A679" t="str">
        <f t="shared" si="19"/>
        <v>Zerschmetternder Bannstrahl</v>
      </c>
      <c r="AS679" t="s">
        <v>4569</v>
      </c>
      <c r="AT679" t="s">
        <v>4569</v>
      </c>
      <c r="AU679" t="s">
        <v>4569</v>
      </c>
      <c r="AV679" t="s">
        <v>4569</v>
      </c>
      <c r="BJ679" t="s">
        <v>4569</v>
      </c>
      <c r="BK679" t="s">
        <v>4569</v>
      </c>
      <c r="BM679" t="s">
        <v>4569</v>
      </c>
      <c r="BN679" t="s">
        <v>4569</v>
      </c>
      <c r="BO679" t="s">
        <v>4569</v>
      </c>
      <c r="BP679" t="s">
        <v>4569</v>
      </c>
      <c r="BQ679" t="s">
        <v>4569</v>
      </c>
      <c r="BR679" t="s">
        <v>4569</v>
      </c>
      <c r="BS679" t="s">
        <v>4569</v>
      </c>
      <c r="CB679" t="s">
        <v>1321</v>
      </c>
      <c r="CC679" t="s">
        <v>1321</v>
      </c>
      <c r="CE679" t="s">
        <v>1321</v>
      </c>
      <c r="DA679" t="s">
        <v>4569</v>
      </c>
      <c r="DB679" t="s">
        <v>4569</v>
      </c>
      <c r="DC679" t="s">
        <v>4569</v>
      </c>
      <c r="FF679" t="s">
        <v>4569</v>
      </c>
      <c r="FO679" t="s">
        <v>1321</v>
      </c>
      <c r="FP679" t="s">
        <v>1321</v>
      </c>
      <c r="FQ679" t="s">
        <v>1321</v>
      </c>
      <c r="FR679" t="s">
        <v>1321</v>
      </c>
    </row>
    <row r="680" spans="1:183" x14ac:dyDescent="0.2">
      <c r="A680" t="str">
        <f t="shared" si="19"/>
        <v>Achmad'ayan ankhrellah al'nurach Shaitanim</v>
      </c>
      <c r="B680" t="s">
        <v>3124</v>
      </c>
      <c r="AS680" t="s">
        <v>4569</v>
      </c>
      <c r="AT680" t="s">
        <v>4569</v>
      </c>
      <c r="AU680" t="s">
        <v>4569</v>
      </c>
      <c r="AV680" t="s">
        <v>4569</v>
      </c>
      <c r="BJ680" t="s">
        <v>4569</v>
      </c>
      <c r="BK680" t="s">
        <v>4569</v>
      </c>
      <c r="BM680" t="s">
        <v>4569</v>
      </c>
      <c r="BN680" t="s">
        <v>4569</v>
      </c>
      <c r="BO680" t="s">
        <v>4569</v>
      </c>
      <c r="BP680" t="s">
        <v>4569</v>
      </c>
      <c r="BQ680" t="s">
        <v>4569</v>
      </c>
      <c r="BR680" t="s">
        <v>4569</v>
      </c>
      <c r="BS680" t="s">
        <v>4569</v>
      </c>
      <c r="CN680" t="s">
        <v>1321</v>
      </c>
      <c r="CO680" t="s">
        <v>1321</v>
      </c>
      <c r="CP680" t="s">
        <v>1321</v>
      </c>
      <c r="DA680" t="s">
        <v>4569</v>
      </c>
      <c r="DB680" t="s">
        <v>4569</v>
      </c>
      <c r="DC680" t="s">
        <v>4569</v>
      </c>
      <c r="DE680" t="s">
        <v>3124</v>
      </c>
      <c r="EG680" t="s">
        <v>3124</v>
      </c>
      <c r="FF680" t="s">
        <v>4569</v>
      </c>
      <c r="FU680" t="s">
        <v>1321</v>
      </c>
    </row>
    <row r="681" spans="1:183" x14ac:dyDescent="0.2">
      <c r="A681" t="str">
        <f t="shared" si="19"/>
        <v>Arcanum Interdictum</v>
      </c>
      <c r="AS681" t="s">
        <v>4569</v>
      </c>
      <c r="AT681" t="s">
        <v>4569</v>
      </c>
      <c r="AU681" t="s">
        <v>4569</v>
      </c>
      <c r="AV681" t="s">
        <v>4569</v>
      </c>
      <c r="BJ681" t="s">
        <v>4569</v>
      </c>
      <c r="BK681" t="s">
        <v>4569</v>
      </c>
      <c r="BM681" t="s">
        <v>4569</v>
      </c>
      <c r="BN681" t="s">
        <v>4569</v>
      </c>
      <c r="BO681" t="s">
        <v>4569</v>
      </c>
      <c r="BP681" t="s">
        <v>4569</v>
      </c>
      <c r="BQ681" t="s">
        <v>4569</v>
      </c>
      <c r="BR681" t="s">
        <v>4569</v>
      </c>
      <c r="BS681" t="s">
        <v>4569</v>
      </c>
      <c r="CB681" t="s">
        <v>1321</v>
      </c>
      <c r="CC681" t="s">
        <v>1321</v>
      </c>
      <c r="CE681" t="s">
        <v>1321</v>
      </c>
      <c r="CL681" t="s">
        <v>1321</v>
      </c>
      <c r="CM681" t="s">
        <v>1321</v>
      </c>
      <c r="DA681" t="s">
        <v>4569</v>
      </c>
      <c r="DB681" t="s">
        <v>4569</v>
      </c>
      <c r="DC681" t="s">
        <v>4569</v>
      </c>
      <c r="FF681" t="s">
        <v>4569</v>
      </c>
      <c r="FO681" t="s">
        <v>1321</v>
      </c>
      <c r="FP681" t="s">
        <v>1321</v>
      </c>
      <c r="FQ681" t="s">
        <v>1321</v>
      </c>
      <c r="FR681" t="s">
        <v>1321</v>
      </c>
    </row>
    <row r="682" spans="1:183" x14ac:dyDescent="0.2">
      <c r="A682" t="str">
        <f t="shared" si="19"/>
        <v>Dorlens Verbrüderung</v>
      </c>
      <c r="AS682" t="s">
        <v>4569</v>
      </c>
      <c r="AT682" t="s">
        <v>4569</v>
      </c>
      <c r="AU682" t="s">
        <v>4569</v>
      </c>
      <c r="AV682" t="s">
        <v>4569</v>
      </c>
      <c r="BJ682" t="s">
        <v>4569</v>
      </c>
      <c r="BK682" t="s">
        <v>4569</v>
      </c>
      <c r="BM682" t="s">
        <v>4569</v>
      </c>
      <c r="BN682" t="s">
        <v>4569</v>
      </c>
      <c r="BO682" t="s">
        <v>4569</v>
      </c>
      <c r="BP682" t="s">
        <v>4569</v>
      </c>
      <c r="BQ682" t="s">
        <v>4569</v>
      </c>
      <c r="BR682" t="s">
        <v>4569</v>
      </c>
      <c r="BS682" t="s">
        <v>4569</v>
      </c>
      <c r="CF682" t="s">
        <v>1321</v>
      </c>
      <c r="CG682" t="s">
        <v>1321</v>
      </c>
      <c r="CH682" t="s">
        <v>1321</v>
      </c>
      <c r="CI682" t="s">
        <v>1321</v>
      </c>
      <c r="DA682" t="s">
        <v>4569</v>
      </c>
      <c r="DB682" t="s">
        <v>4569</v>
      </c>
      <c r="DC682" t="s">
        <v>4569</v>
      </c>
      <c r="FF682" t="s">
        <v>4569</v>
      </c>
      <c r="FS682" t="s">
        <v>1321</v>
      </c>
      <c r="FT682" t="s">
        <v>1321</v>
      </c>
    </row>
    <row r="683" spans="1:183" x14ac:dyDescent="0.2">
      <c r="A683" t="str">
        <f t="shared" si="19"/>
        <v>Eherne Kraft - lodernder Zorn</v>
      </c>
      <c r="C683" t="s">
        <v>1321</v>
      </c>
      <c r="D683" t="s">
        <v>1321</v>
      </c>
      <c r="E683" t="s">
        <v>1321</v>
      </c>
      <c r="F683" t="s">
        <v>1321</v>
      </c>
      <c r="AS683" t="s">
        <v>4569</v>
      </c>
      <c r="AT683" t="s">
        <v>4569</v>
      </c>
      <c r="AU683" t="s">
        <v>4569</v>
      </c>
      <c r="AV683" t="s">
        <v>4569</v>
      </c>
      <c r="BJ683" t="s">
        <v>1321</v>
      </c>
      <c r="BK683" t="s">
        <v>1321</v>
      </c>
      <c r="BM683" t="s">
        <v>4569</v>
      </c>
      <c r="BN683" t="s">
        <v>4569</v>
      </c>
      <c r="BO683" t="s">
        <v>4569</v>
      </c>
      <c r="BP683" t="s">
        <v>4569</v>
      </c>
      <c r="BQ683" t="s">
        <v>4569</v>
      </c>
      <c r="BR683" t="s">
        <v>4569</v>
      </c>
      <c r="BS683" t="s">
        <v>4569</v>
      </c>
      <c r="DA683" t="s">
        <v>4569</v>
      </c>
      <c r="DB683" t="s">
        <v>4569</v>
      </c>
      <c r="DC683" t="s">
        <v>4569</v>
      </c>
      <c r="EH683" t="s">
        <v>1321</v>
      </c>
      <c r="FE683" t="s">
        <v>1321</v>
      </c>
      <c r="FF683" t="s">
        <v>1321</v>
      </c>
    </row>
    <row r="684" spans="1:183" x14ac:dyDescent="0.2">
      <c r="A684" t="str">
        <f t="shared" si="19"/>
        <v>Große Weihe des Heimsteins</v>
      </c>
      <c r="AS684" t="s">
        <v>4569</v>
      </c>
      <c r="AT684" t="s">
        <v>4569</v>
      </c>
      <c r="AU684" t="s">
        <v>4569</v>
      </c>
      <c r="AV684" t="s">
        <v>4569</v>
      </c>
      <c r="BJ684" t="s">
        <v>4569</v>
      </c>
      <c r="BK684" t="s">
        <v>4569</v>
      </c>
      <c r="BM684" t="s">
        <v>4569</v>
      </c>
      <c r="BN684" t="s">
        <v>4569</v>
      </c>
      <c r="BO684" t="s">
        <v>4569</v>
      </c>
      <c r="BP684" t="s">
        <v>4569</v>
      </c>
      <c r="BQ684" t="s">
        <v>4569</v>
      </c>
      <c r="BR684" t="s">
        <v>4569</v>
      </c>
      <c r="BS684" t="s">
        <v>4569</v>
      </c>
      <c r="CX684" t="s">
        <v>1321</v>
      </c>
      <c r="CY684" t="s">
        <v>1321</v>
      </c>
      <c r="DA684" t="s">
        <v>4569</v>
      </c>
      <c r="DB684" t="s">
        <v>4569</v>
      </c>
      <c r="DC684" t="s">
        <v>4569</v>
      </c>
      <c r="FF684" t="s">
        <v>4569</v>
      </c>
      <c r="FX684" t="s">
        <v>1321</v>
      </c>
      <c r="FY684" t="s">
        <v>1321</v>
      </c>
      <c r="FZ684" t="s">
        <v>1321</v>
      </c>
    </row>
    <row r="685" spans="1:183" x14ac:dyDescent="0.2">
      <c r="A685" t="str">
        <f t="shared" si="19"/>
        <v>Großer Weihesegen der Waffe</v>
      </c>
      <c r="AS685" t="s">
        <v>4569</v>
      </c>
      <c r="AT685" t="s">
        <v>4569</v>
      </c>
      <c r="AU685" t="s">
        <v>4569</v>
      </c>
      <c r="AV685" t="s">
        <v>4569</v>
      </c>
      <c r="BJ685" t="s">
        <v>4569</v>
      </c>
      <c r="BK685" t="s">
        <v>4569</v>
      </c>
      <c r="BL685" t="s">
        <v>1321</v>
      </c>
      <c r="BM685" t="s">
        <v>4569</v>
      </c>
      <c r="BN685" t="s">
        <v>4569</v>
      </c>
      <c r="BO685" t="s">
        <v>4569</v>
      </c>
      <c r="BP685" t="s">
        <v>4569</v>
      </c>
      <c r="BQ685" t="s">
        <v>4569</v>
      </c>
      <c r="BR685" t="s">
        <v>4569</v>
      </c>
      <c r="BS685" t="s">
        <v>4569</v>
      </c>
      <c r="CL685" t="s">
        <v>1321</v>
      </c>
      <c r="CM685" t="s">
        <v>1321</v>
      </c>
      <c r="CN685" t="s">
        <v>1321</v>
      </c>
      <c r="CO685" t="s">
        <v>1321</v>
      </c>
      <c r="CP685" t="s">
        <v>1321</v>
      </c>
      <c r="DA685" t="s">
        <v>4569</v>
      </c>
      <c r="DB685" t="s">
        <v>4569</v>
      </c>
      <c r="DC685" t="s">
        <v>4569</v>
      </c>
      <c r="FF685" t="s">
        <v>4569</v>
      </c>
      <c r="FG685" t="s">
        <v>1321</v>
      </c>
      <c r="FU685" t="s">
        <v>1321</v>
      </c>
    </row>
    <row r="686" spans="1:183" x14ac:dyDescent="0.2">
      <c r="A686" t="str">
        <f t="shared" si="19"/>
        <v>Rahjas Sinnlichkeit</v>
      </c>
      <c r="AS686" t="s">
        <v>4569</v>
      </c>
      <c r="AT686" t="s">
        <v>4569</v>
      </c>
      <c r="AU686" t="s">
        <v>4569</v>
      </c>
      <c r="AV686" t="s">
        <v>4569</v>
      </c>
      <c r="BJ686" t="s">
        <v>4569</v>
      </c>
      <c r="BK686" t="s">
        <v>4569</v>
      </c>
      <c r="BM686" t="s">
        <v>4569</v>
      </c>
      <c r="BN686" t="s">
        <v>4569</v>
      </c>
      <c r="BO686" t="s">
        <v>4569</v>
      </c>
      <c r="BP686" t="s">
        <v>4569</v>
      </c>
      <c r="BQ686" t="s">
        <v>4569</v>
      </c>
      <c r="BR686" t="s">
        <v>4569</v>
      </c>
      <c r="BS686" t="s">
        <v>4569</v>
      </c>
      <c r="CF686" t="s">
        <v>1321</v>
      </c>
      <c r="CG686" t="s">
        <v>1321</v>
      </c>
      <c r="CH686" t="s">
        <v>1321</v>
      </c>
      <c r="CI686" t="s">
        <v>1321</v>
      </c>
      <c r="DA686" t="s">
        <v>4569</v>
      </c>
      <c r="DB686" t="s">
        <v>4569</v>
      </c>
      <c r="DC686" t="s">
        <v>4569</v>
      </c>
      <c r="FF686" t="s">
        <v>4569</v>
      </c>
      <c r="FS686" t="s">
        <v>1321</v>
      </c>
      <c r="FT686" t="s">
        <v>1321</v>
      </c>
    </row>
    <row r="687" spans="1:183" x14ac:dyDescent="0.2">
      <c r="A687" t="str">
        <f t="shared" si="19"/>
        <v>Ruf Zum Bund wider die Mächte der Finsternis</v>
      </c>
    </row>
    <row r="688" spans="1:183" x14ac:dyDescent="0.2">
      <c r="A688" t="str">
        <f t="shared" si="19"/>
        <v>Schattenlarve</v>
      </c>
      <c r="AS688" t="s">
        <v>4569</v>
      </c>
      <c r="AT688" t="s">
        <v>4569</v>
      </c>
      <c r="AU688" t="s">
        <v>4569</v>
      </c>
      <c r="AV688" t="s">
        <v>4569</v>
      </c>
      <c r="BJ688" t="s">
        <v>4569</v>
      </c>
      <c r="BK688" t="s">
        <v>4569</v>
      </c>
      <c r="BM688" t="s">
        <v>4569</v>
      </c>
      <c r="BN688" t="s">
        <v>4569</v>
      </c>
      <c r="BO688" t="s">
        <v>4569</v>
      </c>
      <c r="BP688" t="s">
        <v>4569</v>
      </c>
      <c r="BQ688" t="s">
        <v>4569</v>
      </c>
      <c r="BR688" t="s">
        <v>4569</v>
      </c>
      <c r="BS688" t="s">
        <v>4569</v>
      </c>
      <c r="BT688" t="s">
        <v>1321</v>
      </c>
      <c r="BU688" t="s">
        <v>1321</v>
      </c>
      <c r="BV688" t="s">
        <v>1321</v>
      </c>
      <c r="BW688" t="s">
        <v>1321</v>
      </c>
      <c r="BX688" t="s">
        <v>1321</v>
      </c>
      <c r="BY688" t="s">
        <v>1321</v>
      </c>
      <c r="BZ688" t="s">
        <v>1321</v>
      </c>
      <c r="CA688" t="s">
        <v>1321</v>
      </c>
      <c r="DA688" t="s">
        <v>4569</v>
      </c>
      <c r="DB688" t="s">
        <v>4569</v>
      </c>
      <c r="DC688" t="s">
        <v>4569</v>
      </c>
      <c r="FF688" t="s">
        <v>4569</v>
      </c>
      <c r="FK688" t="s">
        <v>1321</v>
      </c>
      <c r="FL688" t="s">
        <v>1321</v>
      </c>
      <c r="FM688" t="s">
        <v>1321</v>
      </c>
      <c r="FN688" t="s">
        <v>1321</v>
      </c>
    </row>
    <row r="689" spans="1:183" x14ac:dyDescent="0.2">
      <c r="A689" t="str">
        <f t="shared" si="19"/>
        <v>Segen der Heiligen Theria</v>
      </c>
      <c r="AS689" t="s">
        <v>4569</v>
      </c>
      <c r="AT689" t="s">
        <v>4569</v>
      </c>
      <c r="AU689" t="s">
        <v>4569</v>
      </c>
      <c r="AV689" t="s">
        <v>4569</v>
      </c>
      <c r="BJ689" t="s">
        <v>4569</v>
      </c>
      <c r="BK689" t="s">
        <v>4569</v>
      </c>
      <c r="BM689" t="s">
        <v>4569</v>
      </c>
      <c r="BN689" t="s">
        <v>4569</v>
      </c>
      <c r="BO689" t="s">
        <v>4569</v>
      </c>
      <c r="BP689" t="s">
        <v>4569</v>
      </c>
      <c r="BQ689" t="s">
        <v>1321</v>
      </c>
      <c r="BR689" t="s">
        <v>1321</v>
      </c>
      <c r="BS689" t="s">
        <v>1321</v>
      </c>
      <c r="DA689" t="s">
        <v>4569</v>
      </c>
      <c r="DB689" t="s">
        <v>4569</v>
      </c>
      <c r="DC689" t="s">
        <v>4569</v>
      </c>
      <c r="FF689" t="s">
        <v>4569</v>
      </c>
      <c r="FI689" t="s">
        <v>1321</v>
      </c>
      <c r="FJ689" t="s">
        <v>1321</v>
      </c>
    </row>
    <row r="690" spans="1:183" x14ac:dyDescent="0.2">
      <c r="A690" t="str">
        <f t="shared" si="19"/>
        <v>Travias Gebet der verborgenen Halle</v>
      </c>
      <c r="AS690" t="s">
        <v>4569</v>
      </c>
      <c r="AT690" t="s">
        <v>4569</v>
      </c>
      <c r="AU690" t="s">
        <v>4569</v>
      </c>
      <c r="AV690" t="s">
        <v>4569</v>
      </c>
      <c r="BJ690" t="s">
        <v>4569</v>
      </c>
      <c r="BK690" t="s">
        <v>4569</v>
      </c>
      <c r="BM690" t="s">
        <v>4569</v>
      </c>
      <c r="BN690" t="s">
        <v>4569</v>
      </c>
      <c r="BO690" t="s">
        <v>4569</v>
      </c>
      <c r="BP690" t="s">
        <v>4569</v>
      </c>
      <c r="BQ690" t="s">
        <v>4569</v>
      </c>
      <c r="BR690" t="s">
        <v>4569</v>
      </c>
      <c r="BS690" t="s">
        <v>4569</v>
      </c>
      <c r="CX690" t="s">
        <v>1321</v>
      </c>
      <c r="CY690" t="s">
        <v>1321</v>
      </c>
      <c r="DA690" t="s">
        <v>4569</v>
      </c>
      <c r="DB690" t="s">
        <v>4569</v>
      </c>
      <c r="DC690" t="s">
        <v>4569</v>
      </c>
      <c r="FF690" t="s">
        <v>4569</v>
      </c>
      <c r="FX690" t="s">
        <v>1321</v>
      </c>
      <c r="FY690" t="s">
        <v>1321</v>
      </c>
      <c r="FZ690" t="s">
        <v>1321</v>
      </c>
    </row>
    <row r="691" spans="1:183" x14ac:dyDescent="0.2">
      <c r="A691" t="str">
        <f t="shared" si="19"/>
        <v>Tsas ewige Jugend</v>
      </c>
      <c r="AS691" t="s">
        <v>4569</v>
      </c>
      <c r="AT691" t="s">
        <v>4569</v>
      </c>
      <c r="AV691" t="s">
        <v>4569</v>
      </c>
      <c r="BJ691" t="s">
        <v>4569</v>
      </c>
      <c r="BK691" t="s">
        <v>4569</v>
      </c>
      <c r="BM691" t="s">
        <v>4569</v>
      </c>
      <c r="BN691" t="s">
        <v>4569</v>
      </c>
      <c r="BO691" t="s">
        <v>4569</v>
      </c>
      <c r="BP691" t="s">
        <v>4569</v>
      </c>
      <c r="BQ691" t="s">
        <v>4569</v>
      </c>
      <c r="BR691" t="s">
        <v>4569</v>
      </c>
      <c r="BS691" t="s">
        <v>4569</v>
      </c>
      <c r="DA691" t="s">
        <v>1321</v>
      </c>
      <c r="DB691" t="s">
        <v>1321</v>
      </c>
      <c r="DC691" t="s">
        <v>1321</v>
      </c>
      <c r="DD691" t="s">
        <v>1321</v>
      </c>
      <c r="FF691" t="s">
        <v>4569</v>
      </c>
      <c r="GA691" t="s">
        <v>1321</v>
      </c>
    </row>
    <row r="696" spans="1:183" x14ac:dyDescent="0.2">
      <c r="A696" t="s">
        <v>4299</v>
      </c>
      <c r="DF696" t="s">
        <v>2132</v>
      </c>
      <c r="DG696" t="s">
        <v>2132</v>
      </c>
      <c r="DH696" t="s">
        <v>2132</v>
      </c>
      <c r="DI696" t="s">
        <v>2132</v>
      </c>
      <c r="DJ696" t="s">
        <v>2132</v>
      </c>
      <c r="DK696" t="s">
        <v>2132</v>
      </c>
      <c r="DL696" t="s">
        <v>2132</v>
      </c>
      <c r="DM696" t="s">
        <v>2132</v>
      </c>
      <c r="DN696" t="s">
        <v>2132</v>
      </c>
      <c r="DO696" t="s">
        <v>2132</v>
      </c>
      <c r="DP696" t="s">
        <v>2132</v>
      </c>
      <c r="DX696" t="s">
        <v>2132</v>
      </c>
      <c r="DZ696" t="s">
        <v>2132</v>
      </c>
      <c r="EA696" t="s">
        <v>2132</v>
      </c>
      <c r="EB696" t="s">
        <v>2132</v>
      </c>
      <c r="EC696" t="s">
        <v>2132</v>
      </c>
      <c r="ED696" t="s">
        <v>2132</v>
      </c>
      <c r="EE696" t="s">
        <v>2132</v>
      </c>
      <c r="EF696" t="s">
        <v>2132</v>
      </c>
    </row>
    <row r="706" spans="1:137" x14ac:dyDescent="0.2">
      <c r="A706" t="s">
        <v>4420</v>
      </c>
      <c r="DF706" t="s">
        <v>3279</v>
      </c>
      <c r="DG706" t="s">
        <v>7233</v>
      </c>
      <c r="DH706" t="s">
        <v>7233</v>
      </c>
      <c r="DI706" t="s">
        <v>7233</v>
      </c>
      <c r="DJ706" t="s">
        <v>7233</v>
      </c>
      <c r="DK706" t="s">
        <v>7233</v>
      </c>
      <c r="DL706" t="s">
        <v>7233</v>
      </c>
      <c r="DM706" t="s">
        <v>7233</v>
      </c>
      <c r="DN706" t="s">
        <v>7233</v>
      </c>
      <c r="DO706" t="s">
        <v>7233</v>
      </c>
      <c r="DP706" t="s">
        <v>7233</v>
      </c>
      <c r="DX706" t="s">
        <v>7233</v>
      </c>
      <c r="DZ706" t="s">
        <v>7233</v>
      </c>
      <c r="EA706" t="s">
        <v>7233</v>
      </c>
      <c r="EB706" t="s">
        <v>7233</v>
      </c>
      <c r="EC706" t="s">
        <v>7233</v>
      </c>
      <c r="ED706" t="s">
        <v>7233</v>
      </c>
      <c r="EE706" t="s">
        <v>7233</v>
      </c>
      <c r="EF706" t="s">
        <v>7233</v>
      </c>
    </row>
    <row r="707" spans="1:137" x14ac:dyDescent="0.2">
      <c r="A707" t="s">
        <v>1675</v>
      </c>
    </row>
    <row r="708" spans="1:137" x14ac:dyDescent="0.2">
      <c r="A708" t="s">
        <v>2887</v>
      </c>
    </row>
    <row r="716" spans="1:137" x14ac:dyDescent="0.2">
      <c r="A716" t="str">
        <f t="shared" ref="A716:A748" si="20">INDEX(Schamanen_Rituale,ROW()-IDX_SCHA+1)</f>
        <v xml:space="preserve">Abvenum </v>
      </c>
      <c r="B716">
        <f>ROW()</f>
        <v>716</v>
      </c>
      <c r="DE716" t="s">
        <v>1433</v>
      </c>
      <c r="DF716" t="s">
        <v>1321</v>
      </c>
      <c r="DG716" t="s">
        <v>1321</v>
      </c>
      <c r="DH716" t="s">
        <v>1321</v>
      </c>
      <c r="DI716" t="s">
        <v>1321</v>
      </c>
      <c r="DJ716" t="s">
        <v>1321</v>
      </c>
      <c r="DK716" t="s">
        <v>1321</v>
      </c>
      <c r="DL716" t="s">
        <v>1321</v>
      </c>
      <c r="DM716" t="s">
        <v>1321</v>
      </c>
      <c r="DN716" t="s">
        <v>1321</v>
      </c>
      <c r="DO716" t="s">
        <v>1321</v>
      </c>
      <c r="DP716" t="s">
        <v>1321</v>
      </c>
      <c r="DX716" t="s">
        <v>1321</v>
      </c>
      <c r="DZ716" t="s">
        <v>1321</v>
      </c>
      <c r="EA716" t="s">
        <v>1321</v>
      </c>
      <c r="EB716" t="s">
        <v>1321</v>
      </c>
      <c r="EC716" t="s">
        <v>1321</v>
      </c>
      <c r="ED716" t="s">
        <v>1321</v>
      </c>
      <c r="EE716" t="s">
        <v>1321</v>
      </c>
      <c r="EF716" t="s">
        <v>1321</v>
      </c>
      <c r="EG716" t="s">
        <v>1433</v>
      </c>
    </row>
    <row r="717" spans="1:137" x14ac:dyDescent="0.2">
      <c r="A717" t="str">
        <f t="shared" si="20"/>
        <v xml:space="preserve">Adlerschwinge </v>
      </c>
      <c r="B717" t="s">
        <v>1433</v>
      </c>
      <c r="DF717" t="s">
        <v>1321</v>
      </c>
      <c r="DG717" t="s">
        <v>1321</v>
      </c>
      <c r="DH717" t="s">
        <v>1321</v>
      </c>
      <c r="DI717" t="s">
        <v>1321</v>
      </c>
      <c r="DJ717" t="s">
        <v>1321</v>
      </c>
      <c r="DK717" t="s">
        <v>1321</v>
      </c>
      <c r="DL717" t="s">
        <v>1321</v>
      </c>
      <c r="DM717" t="s">
        <v>1321</v>
      </c>
      <c r="DN717" t="s">
        <v>1321</v>
      </c>
      <c r="DO717" t="s">
        <v>1321</v>
      </c>
      <c r="DP717" t="s">
        <v>1321</v>
      </c>
      <c r="DX717" t="s">
        <v>1321</v>
      </c>
      <c r="DZ717" t="s">
        <v>1321</v>
      </c>
      <c r="EA717" t="s">
        <v>1321</v>
      </c>
      <c r="EB717" t="s">
        <v>1321</v>
      </c>
      <c r="EC717" t="s">
        <v>1321</v>
      </c>
      <c r="ED717" t="s">
        <v>1321</v>
      </c>
      <c r="EE717" t="s">
        <v>1321</v>
      </c>
      <c r="EF717" t="s">
        <v>1321</v>
      </c>
    </row>
    <row r="718" spans="1:137" x14ac:dyDescent="0.2">
      <c r="A718" t="str">
        <f t="shared" si="20"/>
        <v xml:space="preserve">Arngrims Höhle </v>
      </c>
      <c r="DF718" t="s">
        <v>1321</v>
      </c>
      <c r="DG718" t="s">
        <v>1321</v>
      </c>
      <c r="DH718" t="s">
        <v>1321</v>
      </c>
      <c r="DI718" t="s">
        <v>1321</v>
      </c>
      <c r="DJ718" t="s">
        <v>1321</v>
      </c>
      <c r="DK718" t="s">
        <v>1321</v>
      </c>
    </row>
    <row r="719" spans="1:137" x14ac:dyDescent="0.2">
      <c r="A719" t="str">
        <f t="shared" si="20"/>
        <v xml:space="preserve">Attributo </v>
      </c>
      <c r="DF719" t="s">
        <v>1321</v>
      </c>
      <c r="DG719" t="s">
        <v>1321</v>
      </c>
      <c r="DH719" t="s">
        <v>1321</v>
      </c>
      <c r="DI719" t="s">
        <v>1321</v>
      </c>
      <c r="DJ719" t="s">
        <v>1321</v>
      </c>
      <c r="DK719" t="s">
        <v>1321</v>
      </c>
      <c r="DL719" t="s">
        <v>1321</v>
      </c>
      <c r="DM719" t="s">
        <v>1321</v>
      </c>
      <c r="DN719" t="s">
        <v>1321</v>
      </c>
      <c r="DO719" t="s">
        <v>1321</v>
      </c>
      <c r="DP719" t="s">
        <v>1321</v>
      </c>
      <c r="DX719" t="s">
        <v>1321</v>
      </c>
      <c r="DZ719" t="s">
        <v>1321</v>
      </c>
      <c r="EA719" t="s">
        <v>1321</v>
      </c>
      <c r="EB719" t="s">
        <v>1321</v>
      </c>
      <c r="EC719" t="s">
        <v>1321</v>
      </c>
      <c r="ED719" t="s">
        <v>1321</v>
      </c>
      <c r="EE719" t="s">
        <v>1321</v>
      </c>
      <c r="EF719" t="s">
        <v>1321</v>
      </c>
    </row>
    <row r="720" spans="1:137" x14ac:dyDescent="0.2">
      <c r="A720" t="str">
        <f t="shared" si="20"/>
        <v xml:space="preserve">Aufmerksamer Wächter </v>
      </c>
      <c r="DH720" t="s">
        <v>1752</v>
      </c>
      <c r="DI720" t="s">
        <v>1752</v>
      </c>
      <c r="DJ720" t="s">
        <v>1752</v>
      </c>
      <c r="DZ720" t="s">
        <v>1321</v>
      </c>
      <c r="EA720" t="s">
        <v>1752</v>
      </c>
      <c r="EB720" t="s">
        <v>1321</v>
      </c>
      <c r="EC720" t="s">
        <v>1321</v>
      </c>
      <c r="EE720" t="s">
        <v>1321</v>
      </c>
      <c r="EF720" t="s">
        <v>1321</v>
      </c>
    </row>
    <row r="721" spans="1:137" x14ac:dyDescent="0.2">
      <c r="A721" t="str">
        <f t="shared" si="20"/>
        <v xml:space="preserve">Blick in die Vergangenheit </v>
      </c>
      <c r="B721" t="s">
        <v>1321</v>
      </c>
      <c r="DE721" t="s">
        <v>1321</v>
      </c>
      <c r="DX721" t="s">
        <v>1321</v>
      </c>
      <c r="EG721" t="s">
        <v>1321</v>
      </c>
    </row>
    <row r="722" spans="1:137" x14ac:dyDescent="0.2">
      <c r="A722" t="str">
        <f t="shared" si="20"/>
        <v xml:space="preserve">Blick in Liskas Auge </v>
      </c>
      <c r="DF722" t="s">
        <v>1321</v>
      </c>
      <c r="DG722" t="s">
        <v>1321</v>
      </c>
      <c r="DH722" t="s">
        <v>1321</v>
      </c>
      <c r="DI722" t="s">
        <v>1321</v>
      </c>
      <c r="DJ722" t="s">
        <v>1321</v>
      </c>
      <c r="DK722" t="s">
        <v>1752</v>
      </c>
      <c r="DL722" t="s">
        <v>1321</v>
      </c>
      <c r="DM722" t="s">
        <v>1321</v>
      </c>
      <c r="DN722" t="s">
        <v>1321</v>
      </c>
      <c r="DO722" t="s">
        <v>1321</v>
      </c>
      <c r="DP722" t="s">
        <v>1321</v>
      </c>
      <c r="DX722" t="s">
        <v>1321</v>
      </c>
      <c r="DZ722" t="s">
        <v>1321</v>
      </c>
      <c r="EA722" t="s">
        <v>1321</v>
      </c>
      <c r="EB722" t="s">
        <v>1321</v>
      </c>
      <c r="EC722" t="s">
        <v>1321</v>
      </c>
      <c r="ED722" t="s">
        <v>1321</v>
      </c>
      <c r="EE722" t="s">
        <v>1321</v>
      </c>
      <c r="EF722" t="s">
        <v>1321</v>
      </c>
    </row>
    <row r="723" spans="1:137" x14ac:dyDescent="0.2">
      <c r="A723" t="str">
        <f t="shared" si="20"/>
        <v xml:space="preserve">Blick ins Geisterreich </v>
      </c>
      <c r="DF723" t="s">
        <v>1752</v>
      </c>
      <c r="DG723" t="s">
        <v>1752</v>
      </c>
      <c r="DH723" t="s">
        <v>1752</v>
      </c>
      <c r="DI723" t="s">
        <v>1752</v>
      </c>
      <c r="DJ723" t="s">
        <v>1752</v>
      </c>
      <c r="DK723" t="s">
        <v>1752</v>
      </c>
      <c r="DL723" t="s">
        <v>1752</v>
      </c>
      <c r="DM723" t="s">
        <v>1752</v>
      </c>
      <c r="DN723" t="s">
        <v>1752</v>
      </c>
      <c r="DO723" t="s">
        <v>1752</v>
      </c>
      <c r="DP723" t="s">
        <v>1752</v>
      </c>
      <c r="DX723" t="s">
        <v>1752</v>
      </c>
      <c r="DZ723" t="s">
        <v>1752</v>
      </c>
      <c r="EA723" t="s">
        <v>1752</v>
      </c>
      <c r="EB723" t="s">
        <v>1752</v>
      </c>
      <c r="EC723" t="s">
        <v>1752</v>
      </c>
      <c r="ED723" t="s">
        <v>1752</v>
      </c>
      <c r="EE723" t="s">
        <v>1752</v>
      </c>
      <c r="EF723" t="s">
        <v>1752</v>
      </c>
    </row>
    <row r="724" spans="1:137" x14ac:dyDescent="0.2">
      <c r="A724" t="str">
        <f t="shared" si="20"/>
        <v xml:space="preserve">Blutsbund </v>
      </c>
      <c r="DG724" t="s">
        <v>1752</v>
      </c>
      <c r="DK724" t="s">
        <v>1321</v>
      </c>
      <c r="DL724" t="s">
        <v>1321</v>
      </c>
      <c r="DM724" t="s">
        <v>1321</v>
      </c>
      <c r="DN724" t="s">
        <v>1321</v>
      </c>
      <c r="DO724" t="s">
        <v>1321</v>
      </c>
      <c r="DP724" t="s">
        <v>1752</v>
      </c>
      <c r="DX724" t="s">
        <v>1321</v>
      </c>
    </row>
    <row r="725" spans="1:137" x14ac:dyDescent="0.2">
      <c r="A725" t="str">
        <f t="shared" si="20"/>
        <v xml:space="preserve">Brazoragh Ghorkai - Brazoraghs Hieb </v>
      </c>
      <c r="DL725" t="s">
        <v>1321</v>
      </c>
      <c r="DM725" t="s">
        <v>1321</v>
      </c>
      <c r="DN725" t="s">
        <v>1321</v>
      </c>
      <c r="DO725" t="s">
        <v>1321</v>
      </c>
      <c r="DX725" t="s">
        <v>1752</v>
      </c>
    </row>
    <row r="726" spans="1:137" x14ac:dyDescent="0.2">
      <c r="A726" t="str">
        <f t="shared" si="20"/>
        <v xml:space="preserve">Ergochai Tairachi </v>
      </c>
      <c r="B726" t="s">
        <v>1828</v>
      </c>
      <c r="DE726" t="s">
        <v>1828</v>
      </c>
      <c r="DX726" t="s">
        <v>4588</v>
      </c>
      <c r="EG726" t="s">
        <v>1828</v>
      </c>
    </row>
    <row r="727" spans="1:137" x14ac:dyDescent="0.2">
      <c r="A727" t="str">
        <f t="shared" si="20"/>
        <v xml:space="preserve">Exorzismus </v>
      </c>
      <c r="DF727" t="s">
        <v>1752</v>
      </c>
      <c r="DG727" t="s">
        <v>1752</v>
      </c>
      <c r="DH727" t="s">
        <v>1752</v>
      </c>
      <c r="DI727" t="s">
        <v>1752</v>
      </c>
      <c r="DJ727" t="s">
        <v>1752</v>
      </c>
      <c r="DK727" t="s">
        <v>1752</v>
      </c>
      <c r="DL727" t="s">
        <v>1752</v>
      </c>
      <c r="DM727" t="s">
        <v>1752</v>
      </c>
      <c r="DN727" t="s">
        <v>1752</v>
      </c>
      <c r="DO727" t="s">
        <v>1752</v>
      </c>
      <c r="DP727" t="s">
        <v>1752</v>
      </c>
      <c r="DX727" t="s">
        <v>1752</v>
      </c>
      <c r="DZ727" t="s">
        <v>1752</v>
      </c>
      <c r="EA727" t="s">
        <v>1752</v>
      </c>
      <c r="EB727" t="s">
        <v>1752</v>
      </c>
      <c r="EC727" t="s">
        <v>1752</v>
      </c>
      <c r="ED727" t="s">
        <v>1752</v>
      </c>
      <c r="EE727" t="s">
        <v>1752</v>
      </c>
      <c r="EF727" t="s">
        <v>1752</v>
      </c>
    </row>
    <row r="728" spans="1:137" x14ac:dyDescent="0.2">
      <c r="A728" t="str">
        <f t="shared" si="20"/>
        <v xml:space="preserve">Farben des Krieges </v>
      </c>
      <c r="B728" t="s">
        <v>3916</v>
      </c>
      <c r="DE728" t="s">
        <v>3916</v>
      </c>
      <c r="DH728" t="s">
        <v>1321</v>
      </c>
      <c r="DI728" t="s">
        <v>1321</v>
      </c>
      <c r="DJ728" t="s">
        <v>1321</v>
      </c>
      <c r="DP728" t="s">
        <v>1321</v>
      </c>
      <c r="DZ728" t="s">
        <v>1321</v>
      </c>
      <c r="EA728" t="s">
        <v>1752</v>
      </c>
      <c r="EB728" t="s">
        <v>4588</v>
      </c>
      <c r="EC728" t="s">
        <v>1321</v>
      </c>
      <c r="ED728" t="s">
        <v>1321</v>
      </c>
      <c r="EE728" t="s">
        <v>1321</v>
      </c>
      <c r="EF728" t="s">
        <v>1321</v>
      </c>
      <c r="EG728" t="s">
        <v>3916</v>
      </c>
    </row>
    <row r="729" spans="1:137" x14ac:dyDescent="0.2">
      <c r="A729" t="str">
        <f t="shared" si="20"/>
        <v xml:space="preserve">Fluch der Pestilenz </v>
      </c>
      <c r="DZ729" t="s">
        <v>1321</v>
      </c>
      <c r="EA729" t="s">
        <v>1321</v>
      </c>
      <c r="EB729" t="s">
        <v>1321</v>
      </c>
      <c r="EC729" t="s">
        <v>1321</v>
      </c>
      <c r="ED729" t="s">
        <v>1321</v>
      </c>
      <c r="EE729" t="s">
        <v>1321</v>
      </c>
      <c r="EF729" t="s">
        <v>1321</v>
      </c>
    </row>
    <row r="730" spans="1:137" x14ac:dyDescent="0.2">
      <c r="A730" t="str">
        <f t="shared" si="20"/>
        <v xml:space="preserve">Fluch der Verwirrung </v>
      </c>
    </row>
    <row r="731" spans="1:137" x14ac:dyDescent="0.2">
      <c r="A731" t="str">
        <f t="shared" si="20"/>
        <v xml:space="preserve">Freie Seelenfahrt </v>
      </c>
      <c r="DF731" t="s">
        <v>1321</v>
      </c>
      <c r="DG731" t="s">
        <v>1321</v>
      </c>
      <c r="DH731" t="s">
        <v>1321</v>
      </c>
      <c r="DI731" t="s">
        <v>1321</v>
      </c>
      <c r="DJ731" t="s">
        <v>1321</v>
      </c>
      <c r="DK731" t="s">
        <v>1321</v>
      </c>
      <c r="DL731" t="s">
        <v>1321</v>
      </c>
      <c r="DM731" t="s">
        <v>1321</v>
      </c>
      <c r="DN731" t="s">
        <v>1321</v>
      </c>
      <c r="DO731" t="s">
        <v>1321</v>
      </c>
      <c r="DP731" t="s">
        <v>1321</v>
      </c>
      <c r="DX731" t="s">
        <v>1321</v>
      </c>
      <c r="DZ731" t="s">
        <v>1321</v>
      </c>
      <c r="EA731" t="s">
        <v>1321</v>
      </c>
      <c r="EB731" t="s">
        <v>1321</v>
      </c>
      <c r="EC731" t="s">
        <v>1321</v>
      </c>
      <c r="ED731" t="s">
        <v>1321</v>
      </c>
      <c r="EE731" t="s">
        <v>1321</v>
      </c>
      <c r="EF731" t="s">
        <v>1321</v>
      </c>
    </row>
    <row r="732" spans="1:137" x14ac:dyDescent="0.2">
      <c r="A732" t="str">
        <f t="shared" si="20"/>
        <v xml:space="preserve">Gaben der Erde </v>
      </c>
      <c r="B732" t="s">
        <v>4116</v>
      </c>
      <c r="DE732" t="s">
        <v>4116</v>
      </c>
      <c r="DH732" t="s">
        <v>1321</v>
      </c>
      <c r="DI732" t="s">
        <v>1321</v>
      </c>
      <c r="DJ732" t="s">
        <v>1321</v>
      </c>
      <c r="EG732" t="s">
        <v>4116</v>
      </c>
    </row>
    <row r="733" spans="1:137" x14ac:dyDescent="0.2">
      <c r="A733" t="str">
        <f t="shared" si="20"/>
        <v xml:space="preserve">Geisterbote </v>
      </c>
      <c r="DF733" t="s">
        <v>1321</v>
      </c>
      <c r="DG733" t="s">
        <v>1321</v>
      </c>
      <c r="DH733" t="s">
        <v>1321</v>
      </c>
      <c r="DI733" t="s">
        <v>1321</v>
      </c>
      <c r="DJ733" t="s">
        <v>1321</v>
      </c>
      <c r="DK733" t="s">
        <v>1321</v>
      </c>
      <c r="DL733" t="s">
        <v>1321</v>
      </c>
      <c r="DM733" t="s">
        <v>1321</v>
      </c>
      <c r="DN733" t="s">
        <v>1321</v>
      </c>
      <c r="DO733" t="s">
        <v>1321</v>
      </c>
      <c r="DP733" t="s">
        <v>1752</v>
      </c>
      <c r="DX733" t="s">
        <v>1321</v>
      </c>
      <c r="DZ733" t="s">
        <v>1321</v>
      </c>
      <c r="EA733" t="s">
        <v>1321</v>
      </c>
      <c r="EB733" t="s">
        <v>1321</v>
      </c>
      <c r="EC733" t="s">
        <v>1321</v>
      </c>
      <c r="ED733" t="s">
        <v>1321</v>
      </c>
      <c r="EE733" t="s">
        <v>1321</v>
      </c>
      <c r="EF733" t="s">
        <v>1321</v>
      </c>
    </row>
    <row r="734" spans="1:137" x14ac:dyDescent="0.2">
      <c r="A734" t="str">
        <f t="shared" si="20"/>
        <v xml:space="preserve">Geisterkerker </v>
      </c>
      <c r="DF734" t="s">
        <v>1321</v>
      </c>
      <c r="DG734" t="s">
        <v>1321</v>
      </c>
      <c r="DH734" t="s">
        <v>1752</v>
      </c>
      <c r="DI734" t="s">
        <v>1752</v>
      </c>
      <c r="DJ734" t="s">
        <v>1752</v>
      </c>
      <c r="DK734" t="s">
        <v>1321</v>
      </c>
      <c r="DL734" t="s">
        <v>1321</v>
      </c>
      <c r="DM734" t="s">
        <v>1321</v>
      </c>
      <c r="DN734" t="s">
        <v>1321</v>
      </c>
      <c r="DO734" t="s">
        <v>1321</v>
      </c>
      <c r="DP734" t="s">
        <v>1321</v>
      </c>
      <c r="DX734" t="s">
        <v>1321</v>
      </c>
      <c r="DZ734" t="s">
        <v>1752</v>
      </c>
      <c r="EA734" t="s">
        <v>1752</v>
      </c>
      <c r="EB734" t="s">
        <v>1752</v>
      </c>
      <c r="EC734" t="s">
        <v>1752</v>
      </c>
      <c r="ED734" t="s">
        <v>1752</v>
      </c>
      <c r="EE734" t="s">
        <v>1752</v>
      </c>
      <c r="EF734" t="s">
        <v>1752</v>
      </c>
    </row>
    <row r="735" spans="1:137" x14ac:dyDescent="0.2">
      <c r="A735" t="str">
        <f t="shared" si="20"/>
        <v xml:space="preserve">Geistheilung </v>
      </c>
      <c r="DF735" t="s">
        <v>1752</v>
      </c>
      <c r="DG735" t="s">
        <v>1752</v>
      </c>
      <c r="DH735" t="s">
        <v>1752</v>
      </c>
      <c r="DI735" t="s">
        <v>1752</v>
      </c>
      <c r="DJ735" t="s">
        <v>1752</v>
      </c>
      <c r="DK735" t="s">
        <v>1752</v>
      </c>
      <c r="DL735" t="s">
        <v>1752</v>
      </c>
      <c r="DM735" t="s">
        <v>1752</v>
      </c>
      <c r="DN735" t="s">
        <v>1752</v>
      </c>
      <c r="DO735" t="s">
        <v>1752</v>
      </c>
      <c r="DP735" t="s">
        <v>1752</v>
      </c>
      <c r="DX735" t="s">
        <v>1752</v>
      </c>
      <c r="DZ735" t="s">
        <v>1752</v>
      </c>
      <c r="EA735" t="s">
        <v>1752</v>
      </c>
      <c r="EB735" t="s">
        <v>1752</v>
      </c>
      <c r="EC735" t="s">
        <v>1752</v>
      </c>
      <c r="ED735" t="s">
        <v>1752</v>
      </c>
      <c r="EE735" t="s">
        <v>1752</v>
      </c>
      <c r="EF735" t="s">
        <v>1752</v>
      </c>
    </row>
    <row r="736" spans="1:137" x14ac:dyDescent="0.2">
      <c r="A736" t="str">
        <f t="shared" si="20"/>
        <v xml:space="preserve">Geleit des Nipakau </v>
      </c>
      <c r="DZ736" t="s">
        <v>1752</v>
      </c>
      <c r="EA736" t="s">
        <v>1752</v>
      </c>
      <c r="EB736" t="s">
        <v>1752</v>
      </c>
      <c r="EC736" t="s">
        <v>1752</v>
      </c>
      <c r="ED736" t="s">
        <v>1752</v>
      </c>
      <c r="EE736" t="s">
        <v>1752</v>
      </c>
      <c r="EF736" t="s">
        <v>1752</v>
      </c>
    </row>
    <row r="737" spans="1:137" x14ac:dyDescent="0.2">
      <c r="A737" t="str">
        <f t="shared" si="20"/>
        <v xml:space="preserve">Gesang der Wölfe </v>
      </c>
      <c r="DK737" t="s">
        <v>1752</v>
      </c>
    </row>
    <row r="738" spans="1:137" x14ac:dyDescent="0.2">
      <c r="A738" t="str">
        <f t="shared" si="20"/>
        <v xml:space="preserve">Gharyak Maruki </v>
      </c>
      <c r="DX738" t="s">
        <v>4588</v>
      </c>
    </row>
    <row r="739" spans="1:137" x14ac:dyDescent="0.2">
      <c r="A739" t="str">
        <f t="shared" si="20"/>
        <v>Großer Geisterbann</v>
      </c>
      <c r="DG739" t="s">
        <v>1321</v>
      </c>
      <c r="DH739" t="s">
        <v>1321</v>
      </c>
      <c r="DI739" t="s">
        <v>1321</v>
      </c>
      <c r="DJ739" t="s">
        <v>1321</v>
      </c>
      <c r="DK739" t="s">
        <v>1321</v>
      </c>
      <c r="DL739" t="s">
        <v>1321</v>
      </c>
      <c r="DM739" t="s">
        <v>1321</v>
      </c>
      <c r="DN739" t="s">
        <v>1321</v>
      </c>
      <c r="DO739" t="s">
        <v>1321</v>
      </c>
      <c r="DP739" t="s">
        <v>1321</v>
      </c>
      <c r="DX739" t="s">
        <v>1321</v>
      </c>
      <c r="DZ739" t="s">
        <v>1321</v>
      </c>
      <c r="EA739" t="s">
        <v>1321</v>
      </c>
      <c r="EB739" t="s">
        <v>1321</v>
      </c>
      <c r="EC739" t="s">
        <v>1321</v>
      </c>
      <c r="ED739" t="s">
        <v>1321</v>
      </c>
      <c r="EE739" t="s">
        <v>1321</v>
      </c>
      <c r="EF739" t="s">
        <v>1321</v>
      </c>
    </row>
    <row r="740" spans="1:137" x14ac:dyDescent="0.2">
      <c r="A740" t="str">
        <f t="shared" si="20"/>
        <v xml:space="preserve">Hairuf </v>
      </c>
      <c r="B740" t="s">
        <v>4001</v>
      </c>
      <c r="DE740" t="s">
        <v>4001</v>
      </c>
      <c r="ED740" t="s">
        <v>1321</v>
      </c>
      <c r="EG740" t="s">
        <v>4001</v>
      </c>
    </row>
    <row r="741" spans="1:137" x14ac:dyDescent="0.2">
      <c r="A741" t="str">
        <f t="shared" si="20"/>
        <v xml:space="preserve">Halluzination </v>
      </c>
      <c r="DL741" t="s">
        <v>1321</v>
      </c>
      <c r="DM741" t="s">
        <v>1321</v>
      </c>
      <c r="DN741" t="s">
        <v>1321</v>
      </c>
      <c r="DO741" t="s">
        <v>1321</v>
      </c>
      <c r="DP741" t="s">
        <v>1321</v>
      </c>
      <c r="DZ741" t="s">
        <v>1321</v>
      </c>
      <c r="EA741" t="s">
        <v>1321</v>
      </c>
      <c r="EB741" t="s">
        <v>1321</v>
      </c>
      <c r="EC741" t="s">
        <v>1321</v>
      </c>
      <c r="EE741" t="s">
        <v>1321</v>
      </c>
      <c r="EF741" t="s">
        <v>1321</v>
      </c>
    </row>
    <row r="742" spans="1:137" x14ac:dyDescent="0.2">
      <c r="A742" t="str">
        <f t="shared" si="20"/>
        <v xml:space="preserve">Harmlose Gestalt </v>
      </c>
      <c r="DF742" t="s">
        <v>1321</v>
      </c>
      <c r="DH742" t="s">
        <v>1321</v>
      </c>
      <c r="DI742" t="s">
        <v>1321</v>
      </c>
      <c r="DJ742" t="s">
        <v>1321</v>
      </c>
      <c r="DX742" t="s">
        <v>1321</v>
      </c>
    </row>
    <row r="743" spans="1:137" x14ac:dyDescent="0.2">
      <c r="A743" t="str">
        <f t="shared" si="20"/>
        <v xml:space="preserve">Haselbusch </v>
      </c>
      <c r="DF743" t="s">
        <v>1321</v>
      </c>
    </row>
    <row r="744" spans="1:137" x14ac:dyDescent="0.2">
      <c r="A744" t="str">
        <f t="shared" si="20"/>
        <v xml:space="preserve">Hauch des Elements </v>
      </c>
      <c r="DF744" t="s">
        <v>1321</v>
      </c>
      <c r="DG744" t="s">
        <v>1321</v>
      </c>
      <c r="DH744" t="s">
        <v>1321</v>
      </c>
      <c r="DI744" t="s">
        <v>1321</v>
      </c>
      <c r="DJ744" t="s">
        <v>1321</v>
      </c>
      <c r="DK744" t="s">
        <v>1321</v>
      </c>
      <c r="DL744" t="s">
        <v>1321</v>
      </c>
      <c r="DM744" t="s">
        <v>1321</v>
      </c>
      <c r="DN744" t="s">
        <v>1321</v>
      </c>
      <c r="DO744" t="s">
        <v>1321</v>
      </c>
      <c r="DP744" t="s">
        <v>1321</v>
      </c>
      <c r="DX744" t="s">
        <v>1321</v>
      </c>
      <c r="DZ744" t="s">
        <v>1321</v>
      </c>
      <c r="EA744" t="s">
        <v>1321</v>
      </c>
      <c r="EB744" t="s">
        <v>1321</v>
      </c>
      <c r="EC744" t="s">
        <v>1321</v>
      </c>
      <c r="ED744" t="s">
        <v>1321</v>
      </c>
      <c r="EE744" t="s">
        <v>1752</v>
      </c>
      <c r="EF744" t="s">
        <v>1321</v>
      </c>
    </row>
    <row r="745" spans="1:137" x14ac:dyDescent="0.2">
      <c r="A745" t="str">
        <f t="shared" si="20"/>
        <v xml:space="preserve">Heimführung der Herde </v>
      </c>
      <c r="DH745" t="s">
        <v>1321</v>
      </c>
      <c r="DI745" t="s">
        <v>1321</v>
      </c>
      <c r="DJ745" t="s">
        <v>1321</v>
      </c>
      <c r="DK745" t="s">
        <v>1321</v>
      </c>
      <c r="DL745" t="s">
        <v>1752</v>
      </c>
      <c r="DM745" t="s">
        <v>1752</v>
      </c>
      <c r="DN745" t="s">
        <v>1752</v>
      </c>
      <c r="DO745" t="s">
        <v>1752</v>
      </c>
      <c r="DX745" t="s">
        <v>1321</v>
      </c>
    </row>
    <row r="746" spans="1:137" x14ac:dyDescent="0.2">
      <c r="A746" t="str">
        <f t="shared" si="20"/>
        <v xml:space="preserve">Herr über das Tierreich </v>
      </c>
      <c r="DF746" t="s">
        <v>1321</v>
      </c>
      <c r="DG746" t="s">
        <v>1321</v>
      </c>
      <c r="DL746" t="s">
        <v>1321</v>
      </c>
      <c r="DM746" t="s">
        <v>1321</v>
      </c>
      <c r="DN746" t="s">
        <v>1321</v>
      </c>
      <c r="DO746" t="s">
        <v>1321</v>
      </c>
      <c r="DP746" t="s">
        <v>1321</v>
      </c>
      <c r="DX746" t="s">
        <v>1321</v>
      </c>
      <c r="DZ746" t="s">
        <v>1321</v>
      </c>
      <c r="EA746" t="s">
        <v>1321</v>
      </c>
      <c r="EB746" t="s">
        <v>1321</v>
      </c>
      <c r="EC746" t="s">
        <v>1321</v>
      </c>
      <c r="ED746" t="s">
        <v>1321</v>
      </c>
      <c r="EE746" t="s">
        <v>1321</v>
      </c>
      <c r="EF746" t="s">
        <v>1321</v>
      </c>
    </row>
    <row r="747" spans="1:137" x14ac:dyDescent="0.2">
      <c r="A747" t="str">
        <f t="shared" si="20"/>
        <v xml:space="preserve">Herz des Tieres </v>
      </c>
      <c r="DG747" t="s">
        <v>4588</v>
      </c>
      <c r="DL747" t="s">
        <v>1321</v>
      </c>
      <c r="DM747" t="s">
        <v>1321</v>
      </c>
      <c r="DN747" t="s">
        <v>1321</v>
      </c>
      <c r="DO747" t="s">
        <v>1321</v>
      </c>
      <c r="DP747" t="s">
        <v>4588</v>
      </c>
      <c r="DX747" t="s">
        <v>1321</v>
      </c>
      <c r="DZ747" t="s">
        <v>1321</v>
      </c>
      <c r="EA747" t="s">
        <v>1321</v>
      </c>
      <c r="EB747" t="s">
        <v>1321</v>
      </c>
      <c r="EC747" t="s">
        <v>1321</v>
      </c>
      <c r="EE747" t="s">
        <v>1321</v>
      </c>
      <c r="EF747" t="s">
        <v>1321</v>
      </c>
    </row>
    <row r="748" spans="1:137" x14ac:dyDescent="0.2">
      <c r="A748" t="str">
        <f t="shared" si="20"/>
        <v xml:space="preserve">Hilferuf </v>
      </c>
      <c r="DF748" t="s">
        <v>1752</v>
      </c>
      <c r="DG748" t="s">
        <v>1321</v>
      </c>
      <c r="DH748" t="s">
        <v>1321</v>
      </c>
      <c r="DI748" t="s">
        <v>1321</v>
      </c>
      <c r="DJ748" t="s">
        <v>1321</v>
      </c>
      <c r="DK748" t="s">
        <v>1321</v>
      </c>
      <c r="DL748" t="s">
        <v>1321</v>
      </c>
      <c r="DM748" t="s">
        <v>1321</v>
      </c>
      <c r="DN748" t="s">
        <v>1321</v>
      </c>
      <c r="DO748" t="s">
        <v>1321</v>
      </c>
      <c r="DP748" t="s">
        <v>1321</v>
      </c>
      <c r="DX748" t="s">
        <v>1321</v>
      </c>
      <c r="DZ748" t="s">
        <v>1321</v>
      </c>
      <c r="EA748" t="s">
        <v>1321</v>
      </c>
      <c r="EB748" t="s">
        <v>1321</v>
      </c>
      <c r="EC748" t="s">
        <v>1321</v>
      </c>
      <c r="ED748" t="s">
        <v>1321</v>
      </c>
      <c r="EE748" t="s">
        <v>1752</v>
      </c>
      <c r="EF748" t="s">
        <v>1321</v>
      </c>
    </row>
    <row r="749" spans="1:137" x14ac:dyDescent="0.2">
      <c r="A749" t="str">
        <f t="shared" ref="A749:A780" si="21">INDEX(Schamanen_Rituale,ROW()-IDX_SCHA+1)</f>
        <v xml:space="preserve">Invicatio Minor </v>
      </c>
      <c r="B749" t="s">
        <v>4483</v>
      </c>
      <c r="DE749" t="s">
        <v>4483</v>
      </c>
      <c r="DF749" t="s">
        <v>1321</v>
      </c>
      <c r="DX749" t="s">
        <v>1321</v>
      </c>
      <c r="EF749" t="s">
        <v>1321</v>
      </c>
      <c r="EG749" t="s">
        <v>4483</v>
      </c>
    </row>
    <row r="750" spans="1:137" x14ac:dyDescent="0.2">
      <c r="A750" t="str">
        <f t="shared" si="21"/>
        <v xml:space="preserve">Jagdfieber </v>
      </c>
      <c r="B750" t="s">
        <v>3125</v>
      </c>
      <c r="DE750" t="s">
        <v>3125</v>
      </c>
      <c r="DL750" t="s">
        <v>1321</v>
      </c>
      <c r="DM750" t="s">
        <v>1321</v>
      </c>
      <c r="DN750" t="s">
        <v>1321</v>
      </c>
      <c r="DO750" t="s">
        <v>1321</v>
      </c>
      <c r="DP750" t="s">
        <v>1752</v>
      </c>
      <c r="EG750" t="s">
        <v>3125</v>
      </c>
    </row>
    <row r="751" spans="1:137" x14ac:dyDescent="0.2">
      <c r="A751" t="str">
        <f t="shared" si="21"/>
        <v xml:space="preserve">Khurkachai Tairachi -Tairachs Krieger </v>
      </c>
      <c r="B751" t="s">
        <v>3126</v>
      </c>
      <c r="DE751" t="s">
        <v>3126</v>
      </c>
      <c r="DX751" t="s">
        <v>1752</v>
      </c>
      <c r="EG751" t="s">
        <v>3126</v>
      </c>
    </row>
    <row r="752" spans="1:137" x14ac:dyDescent="0.2">
      <c r="A752" t="str">
        <f t="shared" si="21"/>
        <v xml:space="preserve">Kraft des Thayas </v>
      </c>
      <c r="DZ752" t="s">
        <v>4588</v>
      </c>
      <c r="EA752" t="s">
        <v>4588</v>
      </c>
      <c r="EB752" t="s">
        <v>4588</v>
      </c>
      <c r="EC752" t="s">
        <v>4588</v>
      </c>
      <c r="ED752" t="s">
        <v>4588</v>
      </c>
      <c r="EE752" t="s">
        <v>4588</v>
      </c>
      <c r="EF752" t="s">
        <v>4588</v>
      </c>
    </row>
    <row r="753" spans="1:137" x14ac:dyDescent="0.2">
      <c r="A753" t="str">
        <f t="shared" si="21"/>
        <v xml:space="preserve">Kraft des Tieres </v>
      </c>
      <c r="DG753" t="s">
        <v>1752</v>
      </c>
      <c r="DK753" t="s">
        <v>1321</v>
      </c>
      <c r="DL753" t="s">
        <v>1752</v>
      </c>
      <c r="DM753" t="s">
        <v>1752</v>
      </c>
      <c r="DN753" t="s">
        <v>1752</v>
      </c>
      <c r="DO753" t="s">
        <v>1752</v>
      </c>
      <c r="DP753" t="s">
        <v>4588</v>
      </c>
      <c r="DZ753" t="s">
        <v>1321</v>
      </c>
      <c r="EA753" t="s">
        <v>1321</v>
      </c>
      <c r="EB753" t="s">
        <v>1321</v>
      </c>
      <c r="EC753" t="s">
        <v>1321</v>
      </c>
      <c r="EE753" t="s">
        <v>1321</v>
      </c>
    </row>
    <row r="754" spans="1:137" x14ac:dyDescent="0.2">
      <c r="A754" t="str">
        <f t="shared" si="21"/>
        <v>Kristall der Herrschaft</v>
      </c>
    </row>
    <row r="755" spans="1:137" x14ac:dyDescent="0.2">
      <c r="A755" t="str">
        <f t="shared" si="21"/>
        <v xml:space="preserve">Kristallkraft bündeln </v>
      </c>
      <c r="DF755" t="s">
        <v>1752</v>
      </c>
    </row>
    <row r="756" spans="1:137" x14ac:dyDescent="0.2">
      <c r="A756" t="str">
        <f t="shared" si="21"/>
        <v xml:space="preserve">M´char Utrak Rikaii - Rikaiis Alchimie </v>
      </c>
      <c r="B756" t="s">
        <v>339</v>
      </c>
      <c r="DE756" t="s">
        <v>339</v>
      </c>
      <c r="DH756" t="s">
        <v>1321</v>
      </c>
      <c r="DI756" t="s">
        <v>1321</v>
      </c>
      <c r="DJ756" t="s">
        <v>1321</v>
      </c>
      <c r="DX756" t="s">
        <v>1752</v>
      </c>
      <c r="EG756" t="s">
        <v>339</v>
      </c>
    </row>
    <row r="757" spans="1:137" x14ac:dyDescent="0.2">
      <c r="A757" t="str">
        <f t="shared" si="21"/>
        <v xml:space="preserve">Macht der Elemente </v>
      </c>
      <c r="DF757" t="s">
        <v>1752</v>
      </c>
      <c r="DG757" t="s">
        <v>1752</v>
      </c>
      <c r="DH757" t="s">
        <v>1752</v>
      </c>
      <c r="DI757" t="s">
        <v>1752</v>
      </c>
      <c r="DJ757" t="s">
        <v>1752</v>
      </c>
      <c r="DK757" t="s">
        <v>1752</v>
      </c>
      <c r="DL757" t="s">
        <v>1752</v>
      </c>
      <c r="DM757" t="s">
        <v>1752</v>
      </c>
      <c r="DN757" t="s">
        <v>1752</v>
      </c>
      <c r="DO757" t="s">
        <v>1752</v>
      </c>
      <c r="DP757" t="s">
        <v>1752</v>
      </c>
      <c r="DX757" t="s">
        <v>1752</v>
      </c>
      <c r="DZ757" t="s">
        <v>1752</v>
      </c>
      <c r="EA757" t="s">
        <v>1752</v>
      </c>
      <c r="EB757" t="s">
        <v>1752</v>
      </c>
      <c r="EC757" t="s">
        <v>1752</v>
      </c>
      <c r="ED757" t="s">
        <v>1752</v>
      </c>
      <c r="EE757" t="s">
        <v>1752</v>
      </c>
      <c r="EF757" t="s">
        <v>1752</v>
      </c>
    </row>
    <row r="758" spans="1:137" x14ac:dyDescent="0.2">
      <c r="A758" t="str">
        <f t="shared" si="21"/>
        <v xml:space="preserve">Macht des Blutes </v>
      </c>
      <c r="DP758" t="s">
        <v>1752</v>
      </c>
    </row>
    <row r="759" spans="1:137" x14ac:dyDescent="0.2">
      <c r="A759" t="str">
        <f t="shared" si="21"/>
        <v xml:space="preserve">Magischer Raub </v>
      </c>
      <c r="DL759" t="s">
        <v>1321</v>
      </c>
      <c r="DM759" t="s">
        <v>1321</v>
      </c>
      <c r="DN759" t="s">
        <v>1321</v>
      </c>
      <c r="DO759" t="s">
        <v>1321</v>
      </c>
      <c r="DP759" t="s">
        <v>1321</v>
      </c>
      <c r="DX759" t="s">
        <v>1321</v>
      </c>
    </row>
    <row r="760" spans="1:137" x14ac:dyDescent="0.2">
      <c r="A760" t="str">
        <f t="shared" si="21"/>
        <v xml:space="preserve">Mailam Rekdais Segen </v>
      </c>
      <c r="DH760" t="s">
        <v>4588</v>
      </c>
      <c r="DI760" t="s">
        <v>4588</v>
      </c>
      <c r="DJ760" t="s">
        <v>4588</v>
      </c>
    </row>
    <row r="761" spans="1:137" x14ac:dyDescent="0.2">
      <c r="A761" t="str">
        <f t="shared" si="21"/>
        <v xml:space="preserve">Mammutruf </v>
      </c>
      <c r="DG761" t="s">
        <v>1321</v>
      </c>
    </row>
    <row r="762" spans="1:137" x14ac:dyDescent="0.2">
      <c r="A762" t="str">
        <f t="shared" si="21"/>
        <v xml:space="preserve">Manifesto </v>
      </c>
      <c r="DF762" t="s">
        <v>1321</v>
      </c>
      <c r="DG762" t="s">
        <v>1321</v>
      </c>
      <c r="DH762" t="s">
        <v>1321</v>
      </c>
      <c r="DI762" t="s">
        <v>1321</v>
      </c>
      <c r="DJ762" t="s">
        <v>1321</v>
      </c>
      <c r="DK762" t="s">
        <v>1321</v>
      </c>
      <c r="DL762" t="s">
        <v>1321</v>
      </c>
      <c r="DM762" t="s">
        <v>1321</v>
      </c>
      <c r="DN762" t="s">
        <v>1321</v>
      </c>
      <c r="DO762" t="s">
        <v>1321</v>
      </c>
      <c r="DP762" t="s">
        <v>1321</v>
      </c>
      <c r="DX762" t="s">
        <v>1321</v>
      </c>
      <c r="DZ762" t="s">
        <v>1321</v>
      </c>
      <c r="EA762" t="s">
        <v>1321</v>
      </c>
      <c r="EB762" t="s">
        <v>1321</v>
      </c>
      <c r="EC762" t="s">
        <v>1321</v>
      </c>
      <c r="ED762" t="s">
        <v>1321</v>
      </c>
      <c r="EE762" t="s">
        <v>1321</v>
      </c>
      <c r="EF762" t="s">
        <v>1321</v>
      </c>
    </row>
    <row r="763" spans="1:137" x14ac:dyDescent="0.2">
      <c r="A763" t="str">
        <f t="shared" si="21"/>
        <v>Miniatur der Herrschaft</v>
      </c>
    </row>
    <row r="764" spans="1:137" x14ac:dyDescent="0.2">
      <c r="A764" t="str">
        <f t="shared" si="21"/>
        <v xml:space="preserve">Ogerruf </v>
      </c>
      <c r="B764" t="s">
        <v>4174</v>
      </c>
      <c r="DE764" t="s">
        <v>4174</v>
      </c>
      <c r="DX764" t="s">
        <v>1321</v>
      </c>
      <c r="EG764" t="s">
        <v>4174</v>
      </c>
    </row>
    <row r="765" spans="1:137" x14ac:dyDescent="0.2">
      <c r="A765" t="str">
        <f t="shared" si="21"/>
        <v xml:space="preserve">Pfad der Blutrache </v>
      </c>
      <c r="B765" t="s">
        <v>1320</v>
      </c>
      <c r="DE765" t="s">
        <v>1320</v>
      </c>
      <c r="DL765" t="s">
        <v>4588</v>
      </c>
      <c r="DM765" t="s">
        <v>4588</v>
      </c>
      <c r="DN765" t="s">
        <v>4588</v>
      </c>
      <c r="DO765" t="s">
        <v>4588</v>
      </c>
      <c r="EG765" t="s">
        <v>1320</v>
      </c>
    </row>
    <row r="766" spans="1:137" x14ac:dyDescent="0.2">
      <c r="A766" t="str">
        <f t="shared" si="21"/>
        <v xml:space="preserve">Rangild und Riskas Hochzeit </v>
      </c>
      <c r="DK766" t="s">
        <v>1752</v>
      </c>
    </row>
    <row r="767" spans="1:137" x14ac:dyDescent="0.2">
      <c r="A767" t="str">
        <f t="shared" si="21"/>
        <v xml:space="preserve">Rat der Ahnen </v>
      </c>
      <c r="B767" t="s">
        <v>3589</v>
      </c>
      <c r="DE767" t="s">
        <v>3589</v>
      </c>
      <c r="DF767" t="s">
        <v>1752</v>
      </c>
      <c r="DG767" t="s">
        <v>1321</v>
      </c>
      <c r="DK767" t="s">
        <v>1752</v>
      </c>
      <c r="DL767" t="s">
        <v>1752</v>
      </c>
      <c r="DM767" t="s">
        <v>1752</v>
      </c>
      <c r="DN767" t="s">
        <v>1752</v>
      </c>
      <c r="DO767" t="s">
        <v>1752</v>
      </c>
      <c r="DP767" t="s">
        <v>1752</v>
      </c>
      <c r="DX767" t="s">
        <v>1752</v>
      </c>
      <c r="DZ767" t="s">
        <v>1752</v>
      </c>
      <c r="EA767" t="s">
        <v>1752</v>
      </c>
      <c r="EB767" t="s">
        <v>1752</v>
      </c>
      <c r="EC767" t="s">
        <v>1752</v>
      </c>
      <c r="ED767" t="s">
        <v>1752</v>
      </c>
      <c r="EE767" t="s">
        <v>1752</v>
      </c>
      <c r="EF767" t="s">
        <v>1752</v>
      </c>
      <c r="EG767" t="s">
        <v>3589</v>
      </c>
    </row>
    <row r="768" spans="1:137" x14ac:dyDescent="0.2">
      <c r="A768" t="str">
        <f t="shared" si="21"/>
        <v xml:space="preserve">Regentanz </v>
      </c>
      <c r="DH768" t="s">
        <v>1321</v>
      </c>
      <c r="DI768" t="s">
        <v>1321</v>
      </c>
      <c r="DJ768" t="s">
        <v>1321</v>
      </c>
      <c r="DL768" t="s">
        <v>4588</v>
      </c>
      <c r="DM768" t="s">
        <v>4588</v>
      </c>
      <c r="DN768" t="s">
        <v>4588</v>
      </c>
      <c r="DO768" t="s">
        <v>4588</v>
      </c>
      <c r="DP768" t="s">
        <v>1321</v>
      </c>
      <c r="DX768" t="s">
        <v>1321</v>
      </c>
      <c r="DZ768" t="s">
        <v>1321</v>
      </c>
      <c r="EA768" t="s">
        <v>4588</v>
      </c>
      <c r="EB768" t="s">
        <v>4588</v>
      </c>
      <c r="EC768" t="s">
        <v>4588</v>
      </c>
      <c r="EE768" t="s">
        <v>1321</v>
      </c>
      <c r="EF768" t="s">
        <v>1321</v>
      </c>
    </row>
    <row r="769" spans="1:137" x14ac:dyDescent="0.2">
      <c r="A769" t="str">
        <f t="shared" si="21"/>
        <v xml:space="preserve">Reinigen des Wassers </v>
      </c>
      <c r="DG769" t="s">
        <v>1321</v>
      </c>
      <c r="ED769" t="s">
        <v>1752</v>
      </c>
    </row>
    <row r="770" spans="1:137" x14ac:dyDescent="0.2">
      <c r="A770" t="str">
        <f t="shared" si="21"/>
        <v xml:space="preserve">Reißgrams Fährte </v>
      </c>
      <c r="DK770" t="s">
        <v>1321</v>
      </c>
    </row>
    <row r="771" spans="1:137" x14ac:dyDescent="0.2">
      <c r="A771" t="str">
        <f t="shared" si="21"/>
        <v xml:space="preserve">Reitender Geist </v>
      </c>
      <c r="DG771" t="s">
        <v>1321</v>
      </c>
      <c r="DH771" t="s">
        <v>1752</v>
      </c>
      <c r="DI771" t="s">
        <v>1752</v>
      </c>
      <c r="DJ771" t="s">
        <v>1752</v>
      </c>
      <c r="DL771" t="s">
        <v>1321</v>
      </c>
      <c r="DM771" t="s">
        <v>1321</v>
      </c>
      <c r="DN771" t="s">
        <v>1321</v>
      </c>
      <c r="DO771" t="s">
        <v>1321</v>
      </c>
      <c r="DP771" t="s">
        <v>1321</v>
      </c>
      <c r="DX771" t="s">
        <v>1321</v>
      </c>
    </row>
    <row r="772" spans="1:137" x14ac:dyDescent="0.2">
      <c r="A772" t="str">
        <f t="shared" si="21"/>
        <v xml:space="preserve">Rikais Verderben </v>
      </c>
      <c r="DH772" t="s">
        <v>1321</v>
      </c>
      <c r="DI772" t="s">
        <v>1321</v>
      </c>
      <c r="DJ772" t="s">
        <v>1321</v>
      </c>
      <c r="DX772" t="s">
        <v>1321</v>
      </c>
    </row>
    <row r="773" spans="1:137" x14ac:dyDescent="0.2">
      <c r="A773" t="str">
        <f t="shared" si="21"/>
        <v xml:space="preserve">Rinderruf </v>
      </c>
      <c r="DL773" t="s">
        <v>1321</v>
      </c>
      <c r="DM773" t="s">
        <v>1321</v>
      </c>
      <c r="DN773" t="s">
        <v>1321</v>
      </c>
      <c r="DO773" t="s">
        <v>1752</v>
      </c>
    </row>
    <row r="774" spans="1:137" x14ac:dyDescent="0.2">
      <c r="A774" t="str">
        <f t="shared" si="21"/>
        <v xml:space="preserve">Ruf der Schamanen </v>
      </c>
      <c r="DF774" t="s">
        <v>4588</v>
      </c>
    </row>
    <row r="775" spans="1:137" x14ac:dyDescent="0.2">
      <c r="A775" t="str">
        <f t="shared" si="21"/>
        <v xml:space="preserve">Sanftmut </v>
      </c>
      <c r="B775" t="s">
        <v>1827</v>
      </c>
      <c r="DE775" t="s">
        <v>1827</v>
      </c>
      <c r="DH775" t="s">
        <v>1321</v>
      </c>
      <c r="DI775" t="s">
        <v>1321</v>
      </c>
      <c r="DJ775" t="s">
        <v>1321</v>
      </c>
      <c r="DK775" t="s">
        <v>1321</v>
      </c>
      <c r="EG775" t="s">
        <v>1827</v>
      </c>
    </row>
    <row r="776" spans="1:137" x14ac:dyDescent="0.2">
      <c r="A776" t="str">
        <f t="shared" si="21"/>
        <v xml:space="preserve">Schlangenfluch </v>
      </c>
      <c r="DF776" t="s">
        <v>1321</v>
      </c>
      <c r="DL776" t="s">
        <v>1321</v>
      </c>
      <c r="DM776" t="s">
        <v>1321</v>
      </c>
      <c r="DN776" t="s">
        <v>1321</v>
      </c>
      <c r="DO776" t="s">
        <v>1321</v>
      </c>
      <c r="DZ776" t="s">
        <v>1321</v>
      </c>
      <c r="EA776" t="s">
        <v>1321</v>
      </c>
      <c r="EB776" t="s">
        <v>4588</v>
      </c>
      <c r="EC776" t="s">
        <v>1321</v>
      </c>
      <c r="EE776" t="s">
        <v>1321</v>
      </c>
      <c r="EF776" t="s">
        <v>1321</v>
      </c>
    </row>
    <row r="777" spans="1:137" x14ac:dyDescent="0.2">
      <c r="A777" t="str">
        <f t="shared" si="21"/>
        <v xml:space="preserve">Schlangengeist </v>
      </c>
      <c r="DF777" t="s">
        <v>1321</v>
      </c>
      <c r="DG777" t="s">
        <v>1321</v>
      </c>
      <c r="DL777" t="s">
        <v>1321</v>
      </c>
      <c r="DM777" t="s">
        <v>1321</v>
      </c>
      <c r="DN777" t="s">
        <v>1321</v>
      </c>
      <c r="DO777" t="s">
        <v>1321</v>
      </c>
      <c r="DP777" t="s">
        <v>1321</v>
      </c>
      <c r="DZ777" t="s">
        <v>1321</v>
      </c>
      <c r="EA777" t="s">
        <v>4588</v>
      </c>
      <c r="EB777" t="s">
        <v>1752</v>
      </c>
      <c r="EC777" t="s">
        <v>1752</v>
      </c>
      <c r="EE777" t="s">
        <v>1321</v>
      </c>
      <c r="EF777" t="s">
        <v>1321</v>
      </c>
    </row>
    <row r="778" spans="1:137" x14ac:dyDescent="0.2">
      <c r="A778" t="str">
        <f t="shared" si="21"/>
        <v xml:space="preserve">Schlingerruf </v>
      </c>
      <c r="DF778" t="s">
        <v>1321</v>
      </c>
    </row>
    <row r="779" spans="1:137" x14ac:dyDescent="0.2">
      <c r="A779" t="str">
        <f t="shared" si="21"/>
        <v xml:space="preserve">Schomas Kraft </v>
      </c>
      <c r="DP779" t="s">
        <v>1752</v>
      </c>
    </row>
    <row r="780" spans="1:137" x14ac:dyDescent="0.2">
      <c r="A780" t="str">
        <f t="shared" si="21"/>
        <v xml:space="preserve">Schutz der Jurte </v>
      </c>
      <c r="DG780" t="s">
        <v>1752</v>
      </c>
      <c r="DH780" t="s">
        <v>1321</v>
      </c>
      <c r="DI780" t="s">
        <v>1321</v>
      </c>
      <c r="DJ780" t="s">
        <v>1321</v>
      </c>
      <c r="DK780" t="s">
        <v>1752</v>
      </c>
      <c r="DX780" t="s">
        <v>1321</v>
      </c>
    </row>
    <row r="781" spans="1:137" x14ac:dyDescent="0.2">
      <c r="A781" t="str">
        <f t="shared" ref="A781:A805" si="22">INDEX(Schamanen_Rituale,ROW()-IDX_SCHA+1)</f>
        <v xml:space="preserve">Schützende Rotte </v>
      </c>
      <c r="DF781" t="s">
        <v>1321</v>
      </c>
      <c r="DH781" t="s">
        <v>1752</v>
      </c>
      <c r="DI781" t="s">
        <v>1752</v>
      </c>
      <c r="DJ781" t="s">
        <v>1752</v>
      </c>
      <c r="DK781" t="s">
        <v>1321</v>
      </c>
      <c r="DX781" t="s">
        <v>1321</v>
      </c>
    </row>
    <row r="782" spans="1:137" x14ac:dyDescent="0.2">
      <c r="A782" t="str">
        <f t="shared" si="22"/>
        <v xml:space="preserve">Seelenwanderung </v>
      </c>
      <c r="DF782" t="s">
        <v>1321</v>
      </c>
      <c r="DL782" t="s">
        <v>1321</v>
      </c>
      <c r="DM782" t="s">
        <v>1321</v>
      </c>
      <c r="DN782" t="s">
        <v>1321</v>
      </c>
      <c r="DO782" t="s">
        <v>1321</v>
      </c>
      <c r="DZ782" t="s">
        <v>1321</v>
      </c>
      <c r="EA782" t="s">
        <v>1321</v>
      </c>
      <c r="EB782" t="s">
        <v>1321</v>
      </c>
      <c r="EC782" t="s">
        <v>1321</v>
      </c>
      <c r="EE782" t="s">
        <v>1321</v>
      </c>
    </row>
    <row r="783" spans="1:137" x14ac:dyDescent="0.2">
      <c r="A783" t="str">
        <f t="shared" si="22"/>
        <v xml:space="preserve">Seeschlangenruf </v>
      </c>
      <c r="DF783" t="s">
        <v>1321</v>
      </c>
    </row>
    <row r="784" spans="1:137" x14ac:dyDescent="0.2">
      <c r="A784" t="str">
        <f t="shared" si="22"/>
        <v xml:space="preserve">Stimme des Nipakau </v>
      </c>
      <c r="DZ784" t="s">
        <v>1752</v>
      </c>
      <c r="EA784" t="s">
        <v>1752</v>
      </c>
      <c r="EB784" t="s">
        <v>1752</v>
      </c>
      <c r="EC784" t="s">
        <v>1752</v>
      </c>
      <c r="ED784" t="s">
        <v>1752</v>
      </c>
      <c r="EE784" t="s">
        <v>1752</v>
      </c>
      <c r="EF784" t="s">
        <v>1752</v>
      </c>
    </row>
    <row r="785" spans="1:137" x14ac:dyDescent="0.2">
      <c r="A785" t="str">
        <f t="shared" si="22"/>
        <v xml:space="preserve">Tabuzone </v>
      </c>
      <c r="B785" t="s">
        <v>4173</v>
      </c>
      <c r="DE785" t="s">
        <v>4173</v>
      </c>
      <c r="DF785" t="s">
        <v>1321</v>
      </c>
      <c r="DL785" t="s">
        <v>1321</v>
      </c>
      <c r="DM785" t="s">
        <v>1321</v>
      </c>
      <c r="DN785" t="s">
        <v>1321</v>
      </c>
      <c r="DO785" t="s">
        <v>1321</v>
      </c>
      <c r="DZ785" t="s">
        <v>1321</v>
      </c>
      <c r="EA785" t="s">
        <v>1752</v>
      </c>
      <c r="EB785" t="s">
        <v>1752</v>
      </c>
      <c r="EC785" t="s">
        <v>1752</v>
      </c>
      <c r="EE785" t="s">
        <v>1321</v>
      </c>
      <c r="EF785" t="s">
        <v>1752</v>
      </c>
      <c r="EG785" t="s">
        <v>4173</v>
      </c>
    </row>
    <row r="786" spans="1:137" x14ac:dyDescent="0.2">
      <c r="A786" t="str">
        <f t="shared" si="22"/>
        <v xml:space="preserve">Tauschplatz </v>
      </c>
      <c r="DZ786" t="s">
        <v>1321</v>
      </c>
      <c r="EA786" t="s">
        <v>1321</v>
      </c>
      <c r="EB786" t="s">
        <v>4588</v>
      </c>
      <c r="EC786" t="s">
        <v>1321</v>
      </c>
      <c r="ED786" t="s">
        <v>4588</v>
      </c>
      <c r="EE786" t="s">
        <v>1321</v>
      </c>
    </row>
    <row r="787" spans="1:137" x14ac:dyDescent="0.2">
      <c r="A787" t="str">
        <f t="shared" si="22"/>
        <v xml:space="preserve">Tiere aus Farben </v>
      </c>
      <c r="DH787" t="s">
        <v>1321</v>
      </c>
      <c r="DI787" t="s">
        <v>4588</v>
      </c>
      <c r="DJ787" t="s">
        <v>1321</v>
      </c>
    </row>
    <row r="788" spans="1:137" x14ac:dyDescent="0.2">
      <c r="A788" t="str">
        <f t="shared" si="22"/>
        <v xml:space="preserve">Tiergedanken </v>
      </c>
      <c r="DG788" t="s">
        <v>1321</v>
      </c>
      <c r="DL788" t="s">
        <v>1321</v>
      </c>
      <c r="DM788" t="s">
        <v>1321</v>
      </c>
      <c r="DN788" t="s">
        <v>1321</v>
      </c>
      <c r="DO788" t="s">
        <v>1321</v>
      </c>
      <c r="DP788" t="s">
        <v>1321</v>
      </c>
    </row>
    <row r="789" spans="1:137" x14ac:dyDescent="0.2">
      <c r="A789" t="str">
        <f t="shared" si="22"/>
        <v xml:space="preserve">Tränke meine Herde </v>
      </c>
      <c r="DH789" t="s">
        <v>1321</v>
      </c>
      <c r="DI789" t="s">
        <v>1321</v>
      </c>
      <c r="DJ789" t="s">
        <v>1321</v>
      </c>
      <c r="DK789" t="s">
        <v>1321</v>
      </c>
      <c r="DL789" t="s">
        <v>1321</v>
      </c>
      <c r="DM789" t="s">
        <v>1321</v>
      </c>
      <c r="DN789" t="s">
        <v>1321</v>
      </c>
      <c r="DO789" t="s">
        <v>1321</v>
      </c>
      <c r="DX789" t="s">
        <v>1321</v>
      </c>
    </row>
    <row r="790" spans="1:137" x14ac:dyDescent="0.2">
      <c r="A790" t="str">
        <f t="shared" si="22"/>
        <v>Wachs der Herrschaft</v>
      </c>
      <c r="B790" t="s">
        <v>4171</v>
      </c>
      <c r="DE790" t="s">
        <v>4171</v>
      </c>
      <c r="EG790" t="s">
        <v>4171</v>
      </c>
    </row>
    <row r="791" spans="1:137" x14ac:dyDescent="0.2">
      <c r="A791" t="str">
        <f t="shared" si="22"/>
        <v xml:space="preserve">Weckruf </v>
      </c>
      <c r="DF791" t="s">
        <v>1321</v>
      </c>
    </row>
    <row r="792" spans="1:137" x14ac:dyDescent="0.2">
      <c r="A792" t="str">
        <f t="shared" si="22"/>
        <v xml:space="preserve">Weg des Windes </v>
      </c>
      <c r="DG792" t="s">
        <v>1321</v>
      </c>
      <c r="DK792" t="s">
        <v>4588</v>
      </c>
      <c r="DP792" t="s">
        <v>1321</v>
      </c>
    </row>
    <row r="793" spans="1:137" x14ac:dyDescent="0.2">
      <c r="A793" t="str">
        <f t="shared" si="22"/>
        <v xml:space="preserve">Wegzeichen </v>
      </c>
      <c r="DG793" t="s">
        <v>1321</v>
      </c>
      <c r="DK793" t="s">
        <v>1752</v>
      </c>
    </row>
    <row r="794" spans="1:137" x14ac:dyDescent="0.2">
      <c r="A794" t="str">
        <f t="shared" si="22"/>
        <v xml:space="preserve">Weidegründe finden </v>
      </c>
      <c r="DH794" t="s">
        <v>1321</v>
      </c>
      <c r="DI794" t="s">
        <v>1321</v>
      </c>
      <c r="DJ794" t="s">
        <v>1321</v>
      </c>
      <c r="DK794" t="s">
        <v>1321</v>
      </c>
      <c r="DL794" t="s">
        <v>1752</v>
      </c>
      <c r="DM794" t="s">
        <v>1752</v>
      </c>
      <c r="DN794" t="s">
        <v>1752</v>
      </c>
      <c r="DO794" t="s">
        <v>1321</v>
      </c>
      <c r="DX794" t="s">
        <v>1321</v>
      </c>
    </row>
    <row r="795" spans="1:137" x14ac:dyDescent="0.2">
      <c r="A795" t="str">
        <f t="shared" si="22"/>
        <v xml:space="preserve">Wettermeisterschaft </v>
      </c>
      <c r="DF795" t="s">
        <v>1321</v>
      </c>
      <c r="DG795" t="s">
        <v>1321</v>
      </c>
      <c r="DH795" t="s">
        <v>1321</v>
      </c>
      <c r="DI795" t="s">
        <v>1321</v>
      </c>
      <c r="DJ795" t="s">
        <v>1321</v>
      </c>
      <c r="DK795" t="s">
        <v>1321</v>
      </c>
      <c r="DL795" t="s">
        <v>1321</v>
      </c>
      <c r="DM795" t="s">
        <v>1321</v>
      </c>
      <c r="DN795" t="s">
        <v>1321</v>
      </c>
      <c r="DO795" t="s">
        <v>1321</v>
      </c>
      <c r="DP795" t="s">
        <v>1321</v>
      </c>
      <c r="DX795" t="s">
        <v>1321</v>
      </c>
      <c r="DZ795" t="s">
        <v>1321</v>
      </c>
      <c r="EA795" t="s">
        <v>1321</v>
      </c>
      <c r="EB795" t="s">
        <v>1321</v>
      </c>
      <c r="EC795" t="s">
        <v>1321</v>
      </c>
      <c r="ED795" t="s">
        <v>1321</v>
      </c>
      <c r="EE795" t="s">
        <v>1321</v>
      </c>
      <c r="EF795" t="s">
        <v>1321</v>
      </c>
    </row>
    <row r="796" spans="1:137" x14ac:dyDescent="0.2">
      <c r="A796" t="str">
        <f t="shared" si="22"/>
        <v xml:space="preserve">Wild finden </v>
      </c>
      <c r="DG796" t="s">
        <v>4588</v>
      </c>
      <c r="DH796" t="s">
        <v>1321</v>
      </c>
      <c r="DI796" t="s">
        <v>1752</v>
      </c>
      <c r="DJ796" t="s">
        <v>1321</v>
      </c>
      <c r="DX796" t="s">
        <v>1321</v>
      </c>
    </row>
    <row r="797" spans="1:137" x14ac:dyDescent="0.2">
      <c r="A797" t="str">
        <f t="shared" si="22"/>
        <v xml:space="preserve">Wildschweinruf </v>
      </c>
      <c r="DH797" t="s">
        <v>1321</v>
      </c>
      <c r="DI797" t="s">
        <v>1321</v>
      </c>
      <c r="DJ797" t="s">
        <v>1321</v>
      </c>
    </row>
    <row r="798" spans="1:137" x14ac:dyDescent="0.2">
      <c r="A798" t="str">
        <f t="shared" si="22"/>
        <v xml:space="preserve">Wolfsfluch </v>
      </c>
      <c r="DK798" t="s">
        <v>1321</v>
      </c>
    </row>
    <row r="799" spans="1:137" x14ac:dyDescent="0.2">
      <c r="A799" t="str">
        <f t="shared" si="22"/>
        <v xml:space="preserve">Wolfsruf </v>
      </c>
      <c r="DK799" t="s">
        <v>1752</v>
      </c>
    </row>
    <row r="800" spans="1:137" x14ac:dyDescent="0.2">
      <c r="A800" t="str">
        <f t="shared" si="22"/>
        <v>Wurzel des Blutes</v>
      </c>
    </row>
    <row r="801" spans="1:137" x14ac:dyDescent="0.2">
      <c r="A801" t="str">
        <f t="shared" si="22"/>
        <v xml:space="preserve">Zauberklinge </v>
      </c>
      <c r="B801" t="s">
        <v>4484</v>
      </c>
      <c r="DE801" t="s">
        <v>4484</v>
      </c>
      <c r="DF801" t="s">
        <v>1321</v>
      </c>
      <c r="DG801" t="s">
        <v>1321</v>
      </c>
      <c r="DH801" t="s">
        <v>1321</v>
      </c>
      <c r="DI801" t="s">
        <v>1321</v>
      </c>
      <c r="DJ801" t="s">
        <v>1321</v>
      </c>
      <c r="DK801" t="s">
        <v>1321</v>
      </c>
      <c r="DL801" t="s">
        <v>1321</v>
      </c>
      <c r="DM801" t="s">
        <v>1321</v>
      </c>
      <c r="DN801" t="s">
        <v>1321</v>
      </c>
      <c r="DO801" t="s">
        <v>1321</v>
      </c>
      <c r="DP801" t="s">
        <v>1321</v>
      </c>
      <c r="DX801" t="s">
        <v>1321</v>
      </c>
      <c r="DZ801" t="s">
        <v>1321</v>
      </c>
      <c r="EA801" t="s">
        <v>1321</v>
      </c>
      <c r="EB801" t="s">
        <v>1321</v>
      </c>
      <c r="EC801" t="s">
        <v>1321</v>
      </c>
      <c r="ED801" t="s">
        <v>1321</v>
      </c>
      <c r="EE801" t="s">
        <v>1321</v>
      </c>
      <c r="EF801" t="s">
        <v>1321</v>
      </c>
      <c r="EG801" t="s">
        <v>4484</v>
      </c>
    </row>
    <row r="802" spans="1:137" x14ac:dyDescent="0.2">
      <c r="A802" t="str">
        <f t="shared" si="22"/>
        <v xml:space="preserve">Zeichen setzen </v>
      </c>
      <c r="ED802" t="s">
        <v>1752</v>
      </c>
    </row>
    <row r="803" spans="1:137" x14ac:dyDescent="0.2">
      <c r="A803" t="str">
        <f t="shared" si="22"/>
        <v xml:space="preserve">Zorn des Berglöwen </v>
      </c>
      <c r="DG803" t="s">
        <v>1321</v>
      </c>
      <c r="DK803" t="s">
        <v>1321</v>
      </c>
      <c r="DL803" t="s">
        <v>1321</v>
      </c>
      <c r="DM803" t="s">
        <v>1321</v>
      </c>
      <c r="DN803" t="s">
        <v>1321</v>
      </c>
      <c r="DO803" t="s">
        <v>1321</v>
      </c>
      <c r="DP803" t="s">
        <v>1752</v>
      </c>
    </row>
    <row r="804" spans="1:137" x14ac:dyDescent="0.2">
      <c r="A804" t="str">
        <f t="shared" si="22"/>
        <v xml:space="preserve">Zorn des Schneelaurers </v>
      </c>
      <c r="DG804" t="s">
        <v>1752</v>
      </c>
    </row>
    <row r="805" spans="1:137" x14ac:dyDescent="0.2">
      <c r="A805" t="str">
        <f t="shared" si="22"/>
        <v xml:space="preserve">Zwingtanz </v>
      </c>
      <c r="DL805" t="s">
        <v>1321</v>
      </c>
      <c r="DM805" t="s">
        <v>1321</v>
      </c>
      <c r="DN805" t="s">
        <v>1321</v>
      </c>
      <c r="DO805" t="s">
        <v>1321</v>
      </c>
      <c r="DP805" t="s">
        <v>1321</v>
      </c>
    </row>
    <row r="812" spans="1:137" x14ac:dyDescent="0.2">
      <c r="A812" t="s">
        <v>3046</v>
      </c>
    </row>
    <row r="813" spans="1:137" x14ac:dyDescent="0.2">
      <c r="A813" t="s">
        <v>3918</v>
      </c>
      <c r="BF813" t="s">
        <v>7068</v>
      </c>
      <c r="DQ813" t="s">
        <v>7101</v>
      </c>
      <c r="DR813" t="s">
        <v>8359</v>
      </c>
      <c r="DS813" t="s">
        <v>8360</v>
      </c>
      <c r="DT813" t="s">
        <v>8361</v>
      </c>
      <c r="DU813" t="s">
        <v>8362</v>
      </c>
      <c r="ED813" t="s">
        <v>8363</v>
      </c>
    </row>
    <row r="817" spans="1:163" x14ac:dyDescent="0.2">
      <c r="A817" t="s">
        <v>3996</v>
      </c>
      <c r="DH817" t="s">
        <v>8364</v>
      </c>
      <c r="DI817" t="s">
        <v>8364</v>
      </c>
      <c r="DJ817" t="s">
        <v>8364</v>
      </c>
      <c r="DK817" t="s">
        <v>8365</v>
      </c>
      <c r="EF817" t="s">
        <v>8366</v>
      </c>
    </row>
    <row r="820" spans="1:163" x14ac:dyDescent="0.2">
      <c r="A820" t="s">
        <v>1646</v>
      </c>
      <c r="C820" t="s">
        <v>7082</v>
      </c>
      <c r="D820" t="s">
        <v>7082</v>
      </c>
      <c r="E820" t="s">
        <v>7082</v>
      </c>
      <c r="F820" t="s">
        <v>7082</v>
      </c>
      <c r="AU820" t="s">
        <v>8262</v>
      </c>
      <c r="AV820" t="s">
        <v>8262</v>
      </c>
      <c r="CJ820" t="s">
        <v>8263</v>
      </c>
      <c r="CK820" t="s">
        <v>8818</v>
      </c>
      <c r="CQ820" t="s">
        <v>8264</v>
      </c>
      <c r="CR820" t="s">
        <v>8264</v>
      </c>
      <c r="DB820" t="s">
        <v>8265</v>
      </c>
      <c r="DK820" t="s">
        <v>7135</v>
      </c>
      <c r="DL820" t="s">
        <v>6663</v>
      </c>
      <c r="DM820" t="s">
        <v>6663</v>
      </c>
      <c r="DN820" t="s">
        <v>6663</v>
      </c>
      <c r="DO820" t="s">
        <v>6663</v>
      </c>
      <c r="DP820" t="s">
        <v>8367</v>
      </c>
    </row>
    <row r="821" spans="1:163" x14ac:dyDescent="0.2">
      <c r="A821" t="s">
        <v>2663</v>
      </c>
      <c r="C821" t="s">
        <v>8266</v>
      </c>
      <c r="D821" t="s">
        <v>8267</v>
      </c>
      <c r="E821" t="s">
        <v>8268</v>
      </c>
      <c r="F821" t="s">
        <v>8266</v>
      </c>
      <c r="G821" t="s">
        <v>8269</v>
      </c>
      <c r="H821" t="s">
        <v>6674</v>
      </c>
      <c r="I821" t="s">
        <v>6674</v>
      </c>
      <c r="J821" t="s">
        <v>8270</v>
      </c>
      <c r="K821" t="s">
        <v>6674</v>
      </c>
      <c r="L821" t="s">
        <v>6674</v>
      </c>
      <c r="M821" t="s">
        <v>6674</v>
      </c>
      <c r="N821" t="s">
        <v>6674</v>
      </c>
      <c r="O821" t="s">
        <v>6674</v>
      </c>
      <c r="P821" t="s">
        <v>6674</v>
      </c>
      <c r="Q821" t="s">
        <v>6674</v>
      </c>
      <c r="R821" t="s">
        <v>6674</v>
      </c>
      <c r="S821" t="s">
        <v>6674</v>
      </c>
      <c r="T821" t="s">
        <v>8270</v>
      </c>
      <c r="U821" t="s">
        <v>8270</v>
      </c>
      <c r="V821" t="s">
        <v>8270</v>
      </c>
      <c r="W821" t="s">
        <v>8270</v>
      </c>
      <c r="X821" t="s">
        <v>8270</v>
      </c>
      <c r="Y821" t="s">
        <v>8270</v>
      </c>
      <c r="Z821" t="s">
        <v>8270</v>
      </c>
      <c r="AA821" t="s">
        <v>8270</v>
      </c>
      <c r="AB821" t="s">
        <v>8270</v>
      </c>
      <c r="AC821" t="s">
        <v>8270</v>
      </c>
      <c r="AD821" t="s">
        <v>8270</v>
      </c>
      <c r="AE821" t="s">
        <v>8270</v>
      </c>
      <c r="AH821" t="s">
        <v>8271</v>
      </c>
      <c r="AI821" t="s">
        <v>8270</v>
      </c>
      <c r="AJ821" t="s">
        <v>8272</v>
      </c>
      <c r="AK821" t="s">
        <v>8272</v>
      </c>
      <c r="AL821" t="s">
        <v>8272</v>
      </c>
      <c r="AM821" t="s">
        <v>8273</v>
      </c>
      <c r="AN821" t="s">
        <v>8274</v>
      </c>
      <c r="AP821" t="s">
        <v>8275</v>
      </c>
      <c r="AS821" t="s">
        <v>8276</v>
      </c>
      <c r="AT821" t="s">
        <v>8276</v>
      </c>
      <c r="AU821" t="s">
        <v>9271</v>
      </c>
      <c r="AV821" t="s">
        <v>8277</v>
      </c>
      <c r="AX821" t="s">
        <v>7084</v>
      </c>
      <c r="AZ821" t="s">
        <v>8278</v>
      </c>
      <c r="BA821" t="s">
        <v>8279</v>
      </c>
      <c r="BB821" t="s">
        <v>8280</v>
      </c>
      <c r="BC821" t="s">
        <v>8279</v>
      </c>
      <c r="BD821" t="s">
        <v>8278</v>
      </c>
      <c r="BG821" t="s">
        <v>8281</v>
      </c>
      <c r="BH821" t="s">
        <v>8282</v>
      </c>
      <c r="BI821" t="s">
        <v>9275</v>
      </c>
      <c r="BJ821" t="s">
        <v>8283</v>
      </c>
      <c r="BK821" t="s">
        <v>8284</v>
      </c>
      <c r="BM821" t="s">
        <v>7085</v>
      </c>
      <c r="BN821" t="s">
        <v>7086</v>
      </c>
      <c r="BO821" t="s">
        <v>8285</v>
      </c>
      <c r="BP821" t="s">
        <v>7086</v>
      </c>
      <c r="BQ821" t="s">
        <v>8286</v>
      </c>
      <c r="BR821" t="s">
        <v>8287</v>
      </c>
      <c r="BS821" t="s">
        <v>8287</v>
      </c>
      <c r="BU821" t="s">
        <v>6321</v>
      </c>
      <c r="BX821" t="s">
        <v>8288</v>
      </c>
      <c r="BZ821" t="s">
        <v>6821</v>
      </c>
      <c r="CA821" t="s">
        <v>6319</v>
      </c>
      <c r="CE821" t="s">
        <v>6822</v>
      </c>
      <c r="CF821" t="s">
        <v>6823</v>
      </c>
      <c r="CG821" t="s">
        <v>6824</v>
      </c>
      <c r="CH821" t="s">
        <v>8289</v>
      </c>
      <c r="CI821" t="s">
        <v>8290</v>
      </c>
      <c r="CJ821" t="s">
        <v>8291</v>
      </c>
      <c r="CK821" t="s">
        <v>8292</v>
      </c>
      <c r="CL821" t="s">
        <v>9278</v>
      </c>
      <c r="CM821" t="s">
        <v>6823</v>
      </c>
      <c r="CN821" t="s">
        <v>8293</v>
      </c>
      <c r="CO821" t="s">
        <v>8294</v>
      </c>
      <c r="CP821" t="s">
        <v>8295</v>
      </c>
      <c r="CQ821" t="s">
        <v>8296</v>
      </c>
      <c r="CR821" t="s">
        <v>8296</v>
      </c>
      <c r="CS821" t="s">
        <v>8297</v>
      </c>
      <c r="CT821" t="s">
        <v>8297</v>
      </c>
      <c r="CU821" t="s">
        <v>8298</v>
      </c>
      <c r="CV821" t="s">
        <v>6810</v>
      </c>
      <c r="CX821" t="s">
        <v>8299</v>
      </c>
      <c r="CY821" t="s">
        <v>8299</v>
      </c>
      <c r="DA821" t="s">
        <v>8300</v>
      </c>
      <c r="DB821" t="s">
        <v>8300</v>
      </c>
      <c r="DC821" t="s">
        <v>8301</v>
      </c>
      <c r="DD821" t="s">
        <v>8302</v>
      </c>
      <c r="DF821" t="s">
        <v>8368</v>
      </c>
      <c r="DH821" t="s">
        <v>8369</v>
      </c>
      <c r="DI821" t="s">
        <v>8369</v>
      </c>
      <c r="DJ821" t="s">
        <v>8369</v>
      </c>
      <c r="DL821" t="s">
        <v>8370</v>
      </c>
      <c r="DN821" t="s">
        <v>8370</v>
      </c>
      <c r="DO821" t="s">
        <v>8370</v>
      </c>
      <c r="DQ821" t="s">
        <v>8371</v>
      </c>
      <c r="DR821" t="s">
        <v>8371</v>
      </c>
      <c r="DS821" t="s">
        <v>8371</v>
      </c>
      <c r="DT821" t="s">
        <v>8371</v>
      </c>
      <c r="DU821" t="s">
        <v>8371</v>
      </c>
      <c r="DV821" t="s">
        <v>8372</v>
      </c>
      <c r="DW821" t="s">
        <v>8372</v>
      </c>
      <c r="DX821" t="s">
        <v>8373</v>
      </c>
      <c r="DY821" t="s">
        <v>8374</v>
      </c>
      <c r="FG821" t="s">
        <v>8773</v>
      </c>
    </row>
    <row r="822" spans="1:163" x14ac:dyDescent="0.2">
      <c r="A822" t="s">
        <v>1515</v>
      </c>
      <c r="G822" t="s">
        <v>6675</v>
      </c>
      <c r="I822" t="s">
        <v>6676</v>
      </c>
      <c r="K822" t="s">
        <v>6676</v>
      </c>
      <c r="L822" t="s">
        <v>6676</v>
      </c>
      <c r="M822" t="s">
        <v>6676</v>
      </c>
      <c r="N822" t="s">
        <v>6676</v>
      </c>
      <c r="O822" t="s">
        <v>6676</v>
      </c>
      <c r="P822" t="s">
        <v>6676</v>
      </c>
      <c r="Q822" t="s">
        <v>6676</v>
      </c>
      <c r="R822" t="s">
        <v>6676</v>
      </c>
      <c r="S822" t="s">
        <v>6676</v>
      </c>
      <c r="AM822" t="s">
        <v>8003</v>
      </c>
      <c r="AN822" t="s">
        <v>8303</v>
      </c>
      <c r="AR822" t="s">
        <v>8304</v>
      </c>
      <c r="AT822" t="s">
        <v>8305</v>
      </c>
      <c r="AV822" t="s">
        <v>8136</v>
      </c>
      <c r="AZ822" t="s">
        <v>8306</v>
      </c>
      <c r="BA822" t="s">
        <v>8306</v>
      </c>
      <c r="BB822" t="s">
        <v>8307</v>
      </c>
      <c r="BC822" t="s">
        <v>8306</v>
      </c>
      <c r="BD822" t="s">
        <v>8306</v>
      </c>
      <c r="BE822" t="s">
        <v>8308</v>
      </c>
      <c r="BG822" t="s">
        <v>8309</v>
      </c>
      <c r="BH822" t="s">
        <v>8310</v>
      </c>
      <c r="BI822" t="s">
        <v>8305</v>
      </c>
      <c r="BJ822" t="s">
        <v>8311</v>
      </c>
      <c r="BK822" t="s">
        <v>8311</v>
      </c>
      <c r="BL822" t="s">
        <v>6825</v>
      </c>
      <c r="BM822" t="s">
        <v>6826</v>
      </c>
      <c r="BN822" t="s">
        <v>6827</v>
      </c>
      <c r="BO822" t="s">
        <v>6826</v>
      </c>
      <c r="BP822" t="s">
        <v>6826</v>
      </c>
      <c r="BQ822" t="s">
        <v>8312</v>
      </c>
      <c r="BR822" t="s">
        <v>6828</v>
      </c>
      <c r="BS822" t="s">
        <v>8312</v>
      </c>
      <c r="BT822" t="s">
        <v>6829</v>
      </c>
      <c r="BU822" t="s">
        <v>6829</v>
      </c>
      <c r="BV822" t="s">
        <v>6829</v>
      </c>
      <c r="BW822" t="s">
        <v>6829</v>
      </c>
      <c r="BX822" t="s">
        <v>6829</v>
      </c>
      <c r="BY822" t="s">
        <v>6829</v>
      </c>
      <c r="BZ822" t="s">
        <v>8313</v>
      </c>
      <c r="CA822" t="s">
        <v>6830</v>
      </c>
      <c r="CB822" t="s">
        <v>6831</v>
      </c>
      <c r="CE822" t="s">
        <v>6832</v>
      </c>
      <c r="CF822" t="s">
        <v>8314</v>
      </c>
      <c r="CG822" t="s">
        <v>8314</v>
      </c>
      <c r="CH822" t="s">
        <v>8314</v>
      </c>
      <c r="CI822" t="s">
        <v>8314</v>
      </c>
      <c r="CJ822" t="s">
        <v>8315</v>
      </c>
      <c r="CK822" t="s">
        <v>3831</v>
      </c>
      <c r="CL822" t="s">
        <v>8314</v>
      </c>
      <c r="CM822" t="s">
        <v>8314</v>
      </c>
      <c r="CN822" t="s">
        <v>8316</v>
      </c>
      <c r="CO822" t="s">
        <v>8317</v>
      </c>
      <c r="CP822" t="s">
        <v>8318</v>
      </c>
      <c r="CQ822" t="s">
        <v>6811</v>
      </c>
      <c r="CR822" t="s">
        <v>6811</v>
      </c>
      <c r="CS822" t="s">
        <v>6812</v>
      </c>
      <c r="CT822" t="s">
        <v>6812</v>
      </c>
      <c r="CX822" t="s">
        <v>6813</v>
      </c>
      <c r="CY822" t="s">
        <v>6813</v>
      </c>
      <c r="DA822" t="s">
        <v>8319</v>
      </c>
      <c r="DB822" t="s">
        <v>8319</v>
      </c>
      <c r="DC822" t="s">
        <v>8319</v>
      </c>
      <c r="DD822" t="s">
        <v>8320</v>
      </c>
      <c r="DH822" t="s">
        <v>5116</v>
      </c>
      <c r="DI822" t="s">
        <v>5116</v>
      </c>
      <c r="DJ822" t="s">
        <v>5116</v>
      </c>
      <c r="DN822" t="s">
        <v>8375</v>
      </c>
      <c r="DX822" t="s">
        <v>8376</v>
      </c>
      <c r="EC822" t="s">
        <v>8133</v>
      </c>
    </row>
    <row r="823" spans="1:163" x14ac:dyDescent="0.2">
      <c r="A823" t="s">
        <v>2664</v>
      </c>
    </row>
    <row r="824" spans="1:163" x14ac:dyDescent="0.2">
      <c r="A824" t="s">
        <v>4245</v>
      </c>
    </row>
    <row r="825" spans="1:163" x14ac:dyDescent="0.2">
      <c r="A825" t="s">
        <v>2665</v>
      </c>
      <c r="FG825" t="s">
        <v>8774</v>
      </c>
    </row>
    <row r="826" spans="1:163" x14ac:dyDescent="0.2">
      <c r="A826" t="s">
        <v>4246</v>
      </c>
      <c r="AS826" t="s">
        <v>8321</v>
      </c>
      <c r="AT826" t="s">
        <v>8321</v>
      </c>
      <c r="AU826" t="s">
        <v>9272</v>
      </c>
      <c r="AV826" t="s">
        <v>8321</v>
      </c>
      <c r="AX826" t="s">
        <v>8322</v>
      </c>
      <c r="BH826" t="s">
        <v>8321</v>
      </c>
      <c r="BI826" t="s">
        <v>8321</v>
      </c>
      <c r="BT826" t="s">
        <v>6596</v>
      </c>
      <c r="BU826" t="s">
        <v>6596</v>
      </c>
      <c r="BV826" t="s">
        <v>6596</v>
      </c>
      <c r="BW826" t="s">
        <v>6596</v>
      </c>
      <c r="BX826" t="s">
        <v>6596</v>
      </c>
      <c r="BY826" t="s">
        <v>6596</v>
      </c>
      <c r="BZ826" t="s">
        <v>6596</v>
      </c>
      <c r="CU826" t="s">
        <v>6814</v>
      </c>
    </row>
    <row r="827" spans="1:163" x14ac:dyDescent="0.2">
      <c r="A827" t="s">
        <v>2666</v>
      </c>
      <c r="EF827" t="s">
        <v>8377</v>
      </c>
    </row>
    <row r="828" spans="1:163" x14ac:dyDescent="0.2">
      <c r="A828" t="s">
        <v>2667</v>
      </c>
    </row>
    <row r="829" spans="1:163" x14ac:dyDescent="0.2">
      <c r="A829" t="s">
        <v>2755</v>
      </c>
    </row>
    <row r="830" spans="1:163" x14ac:dyDescent="0.2">
      <c r="A830" t="s">
        <v>6614</v>
      </c>
    </row>
    <row r="831" spans="1:163" x14ac:dyDescent="0.2">
      <c r="A831" t="s">
        <v>6615</v>
      </c>
    </row>
    <row r="832" spans="1:163" x14ac:dyDescent="0.2">
      <c r="A832" t="s">
        <v>6616</v>
      </c>
    </row>
    <row r="833" spans="1:107" x14ac:dyDescent="0.2">
      <c r="A833" t="s">
        <v>6617</v>
      </c>
    </row>
    <row r="834" spans="1:107" x14ac:dyDescent="0.2">
      <c r="A834" t="s">
        <v>6618</v>
      </c>
    </row>
    <row r="835" spans="1:107" x14ac:dyDescent="0.2">
      <c r="A835" t="s">
        <v>6619</v>
      </c>
    </row>
    <row r="836" spans="1:107" x14ac:dyDescent="0.2">
      <c r="A836" t="s">
        <v>6620</v>
      </c>
    </row>
    <row r="837" spans="1:107" x14ac:dyDescent="0.2">
      <c r="A837" t="s">
        <v>4247</v>
      </c>
    </row>
    <row r="838" spans="1:107" x14ac:dyDescent="0.2">
      <c r="A838" t="s">
        <v>4248</v>
      </c>
    </row>
    <row r="839" spans="1:107" x14ac:dyDescent="0.2">
      <c r="A839" t="s">
        <v>4976</v>
      </c>
      <c r="AZ839" t="s">
        <v>8323</v>
      </c>
      <c r="BA839" t="s">
        <v>8323</v>
      </c>
      <c r="BB839" t="s">
        <v>8323</v>
      </c>
      <c r="BD839" t="s">
        <v>8323</v>
      </c>
      <c r="BG839" t="s">
        <v>8324</v>
      </c>
      <c r="BH839" t="s">
        <v>8325</v>
      </c>
      <c r="BI839" t="s">
        <v>8325</v>
      </c>
      <c r="BM839" t="s">
        <v>7070</v>
      </c>
      <c r="BN839" t="s">
        <v>7070</v>
      </c>
      <c r="BO839" t="s">
        <v>7070</v>
      </c>
      <c r="BP839" t="s">
        <v>7070</v>
      </c>
      <c r="CV839" t="s">
        <v>7071</v>
      </c>
      <c r="CW839" t="s">
        <v>8326</v>
      </c>
      <c r="DA839" t="s">
        <v>7072</v>
      </c>
      <c r="DB839" t="s">
        <v>7072</v>
      </c>
      <c r="DC839" t="s">
        <v>7072</v>
      </c>
    </row>
    <row r="840" spans="1:107" x14ac:dyDescent="0.2">
      <c r="A840" t="s">
        <v>3596</v>
      </c>
    </row>
    <row r="843" spans="1:107" x14ac:dyDescent="0.2">
      <c r="A843" t="s">
        <v>6711</v>
      </c>
    </row>
    <row r="844" spans="1:107" x14ac:dyDescent="0.2">
      <c r="A844" t="s">
        <v>4852</v>
      </c>
    </row>
    <row r="845" spans="1:107" x14ac:dyDescent="0.2">
      <c r="A845" t="s">
        <v>6740</v>
      </c>
    </row>
    <row r="846" spans="1:107" x14ac:dyDescent="0.2">
      <c r="A846" t="s">
        <v>7075</v>
      </c>
    </row>
    <row r="847" spans="1:107" x14ac:dyDescent="0.2">
      <c r="A847" t="s">
        <v>6479</v>
      </c>
    </row>
    <row r="848" spans="1:107" x14ac:dyDescent="0.2">
      <c r="A848" t="s">
        <v>2668</v>
      </c>
    </row>
    <row r="849" spans="1:190" x14ac:dyDescent="0.2">
      <c r="A849" t="s">
        <v>4194</v>
      </c>
    </row>
    <row r="850" spans="1:190" x14ac:dyDescent="0.2">
      <c r="A850" t="s">
        <v>3882</v>
      </c>
      <c r="C850" t="s">
        <v>3884</v>
      </c>
      <c r="D850" t="s">
        <v>3884</v>
      </c>
      <c r="E850" t="s">
        <v>3884</v>
      </c>
      <c r="F850" t="s">
        <v>3884</v>
      </c>
      <c r="G850" t="s">
        <v>3884</v>
      </c>
      <c r="H850" t="s">
        <v>3884</v>
      </c>
      <c r="I850" t="s">
        <v>3884</v>
      </c>
      <c r="J850" t="s">
        <v>3884</v>
      </c>
      <c r="K850" t="s">
        <v>3884</v>
      </c>
      <c r="L850" t="s">
        <v>3884</v>
      </c>
      <c r="M850" t="s">
        <v>3884</v>
      </c>
      <c r="N850" t="s">
        <v>3884</v>
      </c>
      <c r="O850" t="s">
        <v>3884</v>
      </c>
      <c r="P850" t="s">
        <v>3884</v>
      </c>
      <c r="Q850" t="s">
        <v>3884</v>
      </c>
      <c r="R850" t="s">
        <v>3884</v>
      </c>
      <c r="S850" t="s">
        <v>3884</v>
      </c>
      <c r="T850" t="s">
        <v>3884</v>
      </c>
      <c r="U850" t="s">
        <v>3884</v>
      </c>
      <c r="V850" t="s">
        <v>3884</v>
      </c>
      <c r="W850" t="s">
        <v>3884</v>
      </c>
      <c r="X850" t="s">
        <v>3884</v>
      </c>
      <c r="Y850" t="s">
        <v>3884</v>
      </c>
      <c r="Z850" t="s">
        <v>3884</v>
      </c>
      <c r="AA850" t="s">
        <v>3884</v>
      </c>
      <c r="AB850" t="s">
        <v>3884</v>
      </c>
      <c r="AC850" t="s">
        <v>3884</v>
      </c>
      <c r="AD850" t="s">
        <v>3884</v>
      </c>
      <c r="AE850" t="s">
        <v>3884</v>
      </c>
      <c r="AF850" t="s">
        <v>3884</v>
      </c>
      <c r="AG850" t="s">
        <v>3884</v>
      </c>
      <c r="AH850" t="s">
        <v>3884</v>
      </c>
      <c r="AI850" t="s">
        <v>3884</v>
      </c>
      <c r="AJ850" t="s">
        <v>3884</v>
      </c>
      <c r="AK850" t="s">
        <v>3884</v>
      </c>
      <c r="AL850" t="s">
        <v>3884</v>
      </c>
      <c r="AM850" t="s">
        <v>3884</v>
      </c>
      <c r="AN850" t="s">
        <v>3884</v>
      </c>
      <c r="AO850" t="s">
        <v>3884</v>
      </c>
      <c r="AP850" t="s">
        <v>3884</v>
      </c>
      <c r="AQ850" t="s">
        <v>3884</v>
      </c>
      <c r="AR850" t="s">
        <v>3884</v>
      </c>
      <c r="AS850" t="s">
        <v>3884</v>
      </c>
      <c r="AT850" t="s">
        <v>3884</v>
      </c>
      <c r="AU850" t="s">
        <v>3883</v>
      </c>
      <c r="AV850" t="s">
        <v>3884</v>
      </c>
      <c r="AW850" t="s">
        <v>3884</v>
      </c>
      <c r="AX850" t="s">
        <v>3884</v>
      </c>
      <c r="AY850" t="s">
        <v>3884</v>
      </c>
      <c r="AZ850" t="s">
        <v>3884</v>
      </c>
      <c r="BA850" t="s">
        <v>3884</v>
      </c>
      <c r="BB850" t="s">
        <v>3884</v>
      </c>
      <c r="BC850" t="s">
        <v>3884</v>
      </c>
      <c r="BD850" t="s">
        <v>3884</v>
      </c>
      <c r="BE850" t="s">
        <v>3884</v>
      </c>
      <c r="BF850" t="s">
        <v>3884</v>
      </c>
      <c r="BG850" t="s">
        <v>3884</v>
      </c>
      <c r="BH850" t="s">
        <v>3884</v>
      </c>
      <c r="BI850" t="s">
        <v>3884</v>
      </c>
      <c r="BJ850" t="s">
        <v>3884</v>
      </c>
      <c r="BK850" t="s">
        <v>3884</v>
      </c>
      <c r="BL850" t="s">
        <v>3884</v>
      </c>
      <c r="BM850" t="s">
        <v>3884</v>
      </c>
      <c r="BN850" t="s">
        <v>3884</v>
      </c>
      <c r="BO850" t="s">
        <v>3884</v>
      </c>
      <c r="BP850" t="s">
        <v>3884</v>
      </c>
      <c r="BQ850" t="s">
        <v>3884</v>
      </c>
      <c r="BR850" t="s">
        <v>3884</v>
      </c>
      <c r="BS850" t="s">
        <v>3884</v>
      </c>
      <c r="BT850" t="s">
        <v>3884</v>
      </c>
      <c r="BU850" t="s">
        <v>3884</v>
      </c>
      <c r="BV850" t="s">
        <v>3884</v>
      </c>
      <c r="BW850" t="s">
        <v>3884</v>
      </c>
      <c r="BX850" t="s">
        <v>3884</v>
      </c>
      <c r="BY850" t="s">
        <v>3884</v>
      </c>
      <c r="BZ850" t="s">
        <v>3884</v>
      </c>
      <c r="CA850" t="s">
        <v>3884</v>
      </c>
      <c r="CB850" t="s">
        <v>3884</v>
      </c>
      <c r="CC850" t="s">
        <v>3884</v>
      </c>
      <c r="CD850" t="s">
        <v>3884</v>
      </c>
      <c r="CE850" t="s">
        <v>3884</v>
      </c>
      <c r="CF850" t="s">
        <v>3884</v>
      </c>
      <c r="CG850" t="s">
        <v>3884</v>
      </c>
      <c r="CH850" t="s">
        <v>3884</v>
      </c>
      <c r="CI850" t="s">
        <v>3884</v>
      </c>
      <c r="CJ850" t="s">
        <v>3884</v>
      </c>
      <c r="CK850" t="s">
        <v>3884</v>
      </c>
      <c r="CL850" t="s">
        <v>3884</v>
      </c>
      <c r="CM850" t="s">
        <v>3884</v>
      </c>
      <c r="CN850" t="s">
        <v>3884</v>
      </c>
      <c r="CO850" t="s">
        <v>3884</v>
      </c>
      <c r="CP850" t="s">
        <v>3884</v>
      </c>
      <c r="CQ850" t="s">
        <v>3884</v>
      </c>
      <c r="CR850" t="s">
        <v>3884</v>
      </c>
      <c r="CS850" t="s">
        <v>3884</v>
      </c>
      <c r="CT850" t="s">
        <v>3884</v>
      </c>
      <c r="CU850" t="s">
        <v>3884</v>
      </c>
      <c r="CV850" t="s">
        <v>3884</v>
      </c>
      <c r="CW850" t="s">
        <v>3884</v>
      </c>
      <c r="CX850" t="s">
        <v>3884</v>
      </c>
      <c r="CY850" t="s">
        <v>3884</v>
      </c>
      <c r="CZ850" t="s">
        <v>3884</v>
      </c>
      <c r="DA850" t="s">
        <v>3884</v>
      </c>
      <c r="DB850" t="s">
        <v>3884</v>
      </c>
      <c r="DC850" t="s">
        <v>3884</v>
      </c>
      <c r="DD850" t="s">
        <v>3884</v>
      </c>
      <c r="DF850" t="s">
        <v>3884</v>
      </c>
      <c r="DG850" t="s">
        <v>3884</v>
      </c>
      <c r="DH850" t="s">
        <v>3884</v>
      </c>
      <c r="DI850" t="s">
        <v>3884</v>
      </c>
      <c r="DJ850" t="s">
        <v>3884</v>
      </c>
      <c r="DK850" t="s">
        <v>3884</v>
      </c>
      <c r="DL850" t="s">
        <v>3884</v>
      </c>
      <c r="DM850" t="s">
        <v>3884</v>
      </c>
      <c r="DN850" t="s">
        <v>3884</v>
      </c>
      <c r="DO850" t="s">
        <v>3884</v>
      </c>
      <c r="DP850" t="s">
        <v>3884</v>
      </c>
      <c r="DQ850" t="s">
        <v>3884</v>
      </c>
      <c r="DR850" t="s">
        <v>3884</v>
      </c>
      <c r="DS850" t="s">
        <v>3884</v>
      </c>
      <c r="DT850" t="s">
        <v>3884</v>
      </c>
      <c r="DU850" t="s">
        <v>3884</v>
      </c>
      <c r="DV850" t="s">
        <v>3884</v>
      </c>
      <c r="DW850" t="s">
        <v>3884</v>
      </c>
      <c r="DX850" t="s">
        <v>3884</v>
      </c>
      <c r="DY850" t="s">
        <v>3884</v>
      </c>
      <c r="DZ850" t="s">
        <v>3884</v>
      </c>
      <c r="EA850" t="s">
        <v>3884</v>
      </c>
      <c r="EB850" t="s">
        <v>3884</v>
      </c>
      <c r="EC850" t="s">
        <v>3884</v>
      </c>
      <c r="ED850" t="s">
        <v>3884</v>
      </c>
      <c r="EE850" t="s">
        <v>3884</v>
      </c>
      <c r="EF850" t="s">
        <v>3884</v>
      </c>
      <c r="EH850" t="s">
        <v>3883</v>
      </c>
      <c r="EI850" t="s">
        <v>3883</v>
      </c>
      <c r="EJ850" t="s">
        <v>3883</v>
      </c>
      <c r="EK850" t="s">
        <v>3883</v>
      </c>
      <c r="EL850" t="s">
        <v>3883</v>
      </c>
      <c r="EM850" t="s">
        <v>3883</v>
      </c>
      <c r="EN850" t="s">
        <v>3883</v>
      </c>
      <c r="EO850" t="s">
        <v>3883</v>
      </c>
      <c r="EP850" t="s">
        <v>3883</v>
      </c>
      <c r="EQ850" t="s">
        <v>3883</v>
      </c>
      <c r="ER850" t="s">
        <v>3883</v>
      </c>
      <c r="ES850" t="s">
        <v>3883</v>
      </c>
      <c r="ET850" t="s">
        <v>3883</v>
      </c>
      <c r="EU850" t="s">
        <v>3883</v>
      </c>
      <c r="EV850" t="s">
        <v>3883</v>
      </c>
      <c r="EW850" t="s">
        <v>3883</v>
      </c>
      <c r="EX850" t="s">
        <v>3883</v>
      </c>
      <c r="EY850" t="s">
        <v>3883</v>
      </c>
      <c r="EZ850" t="s">
        <v>3883</v>
      </c>
      <c r="FA850" t="s">
        <v>3883</v>
      </c>
      <c r="FB850" t="s">
        <v>3883</v>
      </c>
      <c r="FC850" t="s">
        <v>3883</v>
      </c>
      <c r="FD850" t="s">
        <v>3883</v>
      </c>
      <c r="FE850" t="s">
        <v>3883</v>
      </c>
      <c r="FF850" t="s">
        <v>3883</v>
      </c>
      <c r="FG850" t="s">
        <v>3883</v>
      </c>
      <c r="FH850" t="s">
        <v>3883</v>
      </c>
      <c r="FI850" t="s">
        <v>3883</v>
      </c>
      <c r="FJ850" t="s">
        <v>3883</v>
      </c>
      <c r="FK850" t="s">
        <v>3883</v>
      </c>
      <c r="FL850" t="s">
        <v>3883</v>
      </c>
      <c r="FM850" t="s">
        <v>3883</v>
      </c>
      <c r="FN850" t="s">
        <v>3883</v>
      </c>
      <c r="FO850" t="s">
        <v>3883</v>
      </c>
      <c r="FP850" t="s">
        <v>3883</v>
      </c>
      <c r="FQ850" t="s">
        <v>3883</v>
      </c>
      <c r="FR850" t="s">
        <v>3883</v>
      </c>
      <c r="FS850" t="s">
        <v>3883</v>
      </c>
      <c r="FT850" t="s">
        <v>3883</v>
      </c>
      <c r="FU850" t="s">
        <v>3883</v>
      </c>
      <c r="FV850" t="s">
        <v>3883</v>
      </c>
      <c r="FW850" t="s">
        <v>3883</v>
      </c>
      <c r="FX850" t="s">
        <v>3883</v>
      </c>
      <c r="FY850" t="s">
        <v>3883</v>
      </c>
      <c r="FZ850" t="s">
        <v>3883</v>
      </c>
      <c r="GA850" t="s">
        <v>3883</v>
      </c>
      <c r="GB850" t="s">
        <v>3883</v>
      </c>
      <c r="GC850" t="s">
        <v>3883</v>
      </c>
      <c r="GD850" t="s">
        <v>3883</v>
      </c>
      <c r="GE850" t="s">
        <v>3883</v>
      </c>
      <c r="GF850" t="s">
        <v>3883</v>
      </c>
      <c r="GH850" t="s">
        <v>3883</v>
      </c>
    </row>
    <row r="851" spans="1:190" x14ac:dyDescent="0.2">
      <c r="A851" t="s">
        <v>7073</v>
      </c>
      <c r="C851" t="s">
        <v>7079</v>
      </c>
      <c r="D851" t="s">
        <v>7079</v>
      </c>
      <c r="E851" t="s">
        <v>7079</v>
      </c>
      <c r="F851" t="s">
        <v>7079</v>
      </c>
      <c r="G851" t="s">
        <v>6677</v>
      </c>
      <c r="I851" t="s">
        <v>6678</v>
      </c>
      <c r="J851" t="s">
        <v>6678</v>
      </c>
      <c r="K851" t="s">
        <v>6678</v>
      </c>
      <c r="L851" t="s">
        <v>6678</v>
      </c>
      <c r="M851" t="s">
        <v>6678</v>
      </c>
      <c r="N851" t="s">
        <v>6678</v>
      </c>
      <c r="O851" t="s">
        <v>6678</v>
      </c>
      <c r="P851" t="s">
        <v>6678</v>
      </c>
      <c r="Q851" t="s">
        <v>6678</v>
      </c>
      <c r="R851" t="s">
        <v>6678</v>
      </c>
      <c r="S851" t="s">
        <v>6678</v>
      </c>
      <c r="T851" t="s">
        <v>6678</v>
      </c>
      <c r="U851" t="s">
        <v>6678</v>
      </c>
      <c r="V851" t="s">
        <v>6678</v>
      </c>
      <c r="W851" t="s">
        <v>6678</v>
      </c>
      <c r="X851" t="s">
        <v>6678</v>
      </c>
      <c r="Y851" t="s">
        <v>6678</v>
      </c>
      <c r="Z851" t="s">
        <v>6678</v>
      </c>
      <c r="AA851" t="s">
        <v>6678</v>
      </c>
      <c r="AB851" t="s">
        <v>6678</v>
      </c>
      <c r="AC851" t="s">
        <v>6678</v>
      </c>
      <c r="AD851" t="s">
        <v>6678</v>
      </c>
      <c r="AE851" t="s">
        <v>6678</v>
      </c>
      <c r="AF851" t="s">
        <v>6678</v>
      </c>
      <c r="AG851" t="s">
        <v>6678</v>
      </c>
      <c r="AH851" t="s">
        <v>6678</v>
      </c>
      <c r="AI851" t="s">
        <v>6678</v>
      </c>
      <c r="AO851" t="s">
        <v>8327</v>
      </c>
      <c r="AP851" t="s">
        <v>8327</v>
      </c>
      <c r="AQ851" t="s">
        <v>8327</v>
      </c>
      <c r="AR851" t="s">
        <v>8327</v>
      </c>
      <c r="AS851" t="s">
        <v>8328</v>
      </c>
      <c r="AT851" t="s">
        <v>8328</v>
      </c>
      <c r="AU851" t="s">
        <v>8328</v>
      </c>
      <c r="AV851" t="s">
        <v>8328</v>
      </c>
      <c r="AZ851" t="s">
        <v>8329</v>
      </c>
      <c r="BA851" t="s">
        <v>8329</v>
      </c>
      <c r="BB851" t="s">
        <v>8329</v>
      </c>
      <c r="BC851" t="s">
        <v>8329</v>
      </c>
      <c r="BD851" t="s">
        <v>8329</v>
      </c>
      <c r="BG851" t="s">
        <v>8330</v>
      </c>
      <c r="BH851" t="s">
        <v>8331</v>
      </c>
      <c r="BI851" t="s">
        <v>8331</v>
      </c>
      <c r="BJ851" t="s">
        <v>8332</v>
      </c>
      <c r="BK851" t="s">
        <v>8332</v>
      </c>
      <c r="BL851" t="s">
        <v>8333</v>
      </c>
      <c r="BM851" t="s">
        <v>8334</v>
      </c>
      <c r="BN851" t="s">
        <v>8334</v>
      </c>
      <c r="BO851" t="s">
        <v>8334</v>
      </c>
      <c r="BP851" t="s">
        <v>8334</v>
      </c>
      <c r="BQ851" t="s">
        <v>7077</v>
      </c>
      <c r="BR851" t="s">
        <v>7077</v>
      </c>
      <c r="BS851" t="s">
        <v>7077</v>
      </c>
      <c r="BT851" t="s">
        <v>7078</v>
      </c>
      <c r="BU851" t="s">
        <v>7078</v>
      </c>
      <c r="BV851" t="s">
        <v>7078</v>
      </c>
      <c r="BW851" t="s">
        <v>7078</v>
      </c>
      <c r="BX851" t="s">
        <v>7078</v>
      </c>
      <c r="BY851" t="s">
        <v>7078</v>
      </c>
      <c r="BZ851" t="s">
        <v>7078</v>
      </c>
      <c r="CA851" t="s">
        <v>7078</v>
      </c>
      <c r="CB851" t="s">
        <v>7080</v>
      </c>
      <c r="CC851" t="s">
        <v>7080</v>
      </c>
      <c r="CE851" t="s">
        <v>7080</v>
      </c>
      <c r="CF851" t="s">
        <v>8335</v>
      </c>
      <c r="CG851" t="s">
        <v>8335</v>
      </c>
      <c r="CH851" t="s">
        <v>8335</v>
      </c>
      <c r="CI851" t="s">
        <v>8335</v>
      </c>
      <c r="CL851" t="s">
        <v>8335</v>
      </c>
      <c r="CM851" t="s">
        <v>8335</v>
      </c>
      <c r="CN851" t="s">
        <v>7076</v>
      </c>
      <c r="CO851" t="s">
        <v>7076</v>
      </c>
      <c r="CP851" t="s">
        <v>7076</v>
      </c>
      <c r="CV851" t="s">
        <v>8336</v>
      </c>
      <c r="CW851" t="s">
        <v>8336</v>
      </c>
      <c r="DA851" t="s">
        <v>8337</v>
      </c>
      <c r="DB851" t="s">
        <v>8337</v>
      </c>
      <c r="DC851" t="s">
        <v>8337</v>
      </c>
      <c r="DD851" t="s">
        <v>8338</v>
      </c>
    </row>
    <row r="852" spans="1:190" x14ac:dyDescent="0.2">
      <c r="A852" t="s">
        <v>3885</v>
      </c>
      <c r="C852" t="s">
        <v>7081</v>
      </c>
      <c r="D852" t="s">
        <v>7081</v>
      </c>
      <c r="E852" t="s">
        <v>8339</v>
      </c>
      <c r="F852" t="s">
        <v>7083</v>
      </c>
      <c r="H852" t="s">
        <v>8175</v>
      </c>
      <c r="I852" t="s">
        <v>8340</v>
      </c>
      <c r="J852" t="s">
        <v>8175</v>
      </c>
      <c r="K852" t="s">
        <v>8341</v>
      </c>
      <c r="L852" t="s">
        <v>8341</v>
      </c>
      <c r="M852" t="s">
        <v>8341</v>
      </c>
      <c r="N852" t="s">
        <v>8341</v>
      </c>
      <c r="O852" t="s">
        <v>8341</v>
      </c>
      <c r="P852" t="s">
        <v>8341</v>
      </c>
      <c r="Q852" t="s">
        <v>8341</v>
      </c>
      <c r="R852" t="s">
        <v>8341</v>
      </c>
      <c r="S852" t="s">
        <v>8341</v>
      </c>
      <c r="T852" t="s">
        <v>8175</v>
      </c>
      <c r="U852" t="s">
        <v>8175</v>
      </c>
      <c r="V852" t="s">
        <v>8342</v>
      </c>
      <c r="W852" t="s">
        <v>8175</v>
      </c>
      <c r="X852" t="s">
        <v>8175</v>
      </c>
      <c r="Y852" t="s">
        <v>8175</v>
      </c>
      <c r="Z852" t="s">
        <v>8342</v>
      </c>
      <c r="AA852" t="s">
        <v>8175</v>
      </c>
      <c r="AB852" t="s">
        <v>8175</v>
      </c>
      <c r="AC852" t="s">
        <v>8342</v>
      </c>
      <c r="AD852" t="s">
        <v>8175</v>
      </c>
      <c r="AE852" t="s">
        <v>8175</v>
      </c>
      <c r="AF852" t="s">
        <v>8175</v>
      </c>
      <c r="AG852" t="s">
        <v>8175</v>
      </c>
      <c r="AH852" t="s">
        <v>8175</v>
      </c>
      <c r="AI852" t="s">
        <v>8175</v>
      </c>
      <c r="AT852" t="s">
        <v>8343</v>
      </c>
      <c r="AU852" t="s">
        <v>9273</v>
      </c>
      <c r="AV852" t="s">
        <v>8344</v>
      </c>
      <c r="AW852" t="s">
        <v>8345</v>
      </c>
      <c r="AX852" t="s">
        <v>8345</v>
      </c>
      <c r="AY852" t="s">
        <v>8345</v>
      </c>
      <c r="BD852" t="s">
        <v>8346</v>
      </c>
      <c r="BF852" t="s">
        <v>7069</v>
      </c>
      <c r="BG852" t="s">
        <v>8347</v>
      </c>
      <c r="BI852" t="s">
        <v>9273</v>
      </c>
      <c r="BL852" t="s">
        <v>8348</v>
      </c>
      <c r="BM852" t="s">
        <v>8349</v>
      </c>
      <c r="BN852" t="s">
        <v>8349</v>
      </c>
      <c r="BO852" t="s">
        <v>8349</v>
      </c>
      <c r="BP852" t="s">
        <v>8349</v>
      </c>
      <c r="BU852" t="s">
        <v>8350</v>
      </c>
      <c r="BZ852" t="s">
        <v>8350</v>
      </c>
      <c r="CO852" t="s">
        <v>8351</v>
      </c>
      <c r="CQ852" t="s">
        <v>8352</v>
      </c>
      <c r="CR852" t="s">
        <v>8353</v>
      </c>
      <c r="CS852" t="s">
        <v>8353</v>
      </c>
      <c r="CT852" t="s">
        <v>8352</v>
      </c>
      <c r="CU852" t="s">
        <v>8354</v>
      </c>
      <c r="CV852" t="s">
        <v>7074</v>
      </c>
      <c r="CW852" t="s">
        <v>7074</v>
      </c>
      <c r="DD852" t="s">
        <v>8347</v>
      </c>
      <c r="DF852" t="s">
        <v>8378</v>
      </c>
      <c r="DG852" t="s">
        <v>8379</v>
      </c>
      <c r="DH852" t="s">
        <v>6661</v>
      </c>
      <c r="DI852" t="s">
        <v>8380</v>
      </c>
      <c r="DJ852" t="s">
        <v>6662</v>
      </c>
      <c r="DK852" t="s">
        <v>8381</v>
      </c>
      <c r="DL852" t="s">
        <v>8382</v>
      </c>
      <c r="DM852" t="s">
        <v>8382</v>
      </c>
      <c r="DN852" t="s">
        <v>8382</v>
      </c>
      <c r="DO852" t="s">
        <v>8382</v>
      </c>
      <c r="DP852" t="s">
        <v>8383</v>
      </c>
      <c r="DQ852" t="s">
        <v>8384</v>
      </c>
      <c r="DR852" t="s">
        <v>8384</v>
      </c>
      <c r="DS852" t="s">
        <v>8384</v>
      </c>
      <c r="DT852" t="s">
        <v>8384</v>
      </c>
      <c r="DU852" t="s">
        <v>8384</v>
      </c>
      <c r="DV852" t="s">
        <v>8385</v>
      </c>
      <c r="DW852" t="s">
        <v>8385</v>
      </c>
      <c r="DX852" t="s">
        <v>8385</v>
      </c>
      <c r="DY852" t="s">
        <v>8385</v>
      </c>
      <c r="DZ852" t="s">
        <v>8386</v>
      </c>
      <c r="EA852" t="s">
        <v>8387</v>
      </c>
      <c r="EB852" t="s">
        <v>8388</v>
      </c>
      <c r="EC852" t="s">
        <v>8389</v>
      </c>
      <c r="ED852" t="s">
        <v>8386</v>
      </c>
      <c r="EE852" t="s">
        <v>8390</v>
      </c>
      <c r="EF852" t="s">
        <v>8391</v>
      </c>
    </row>
  </sheetData>
  <sheetProtection algorithmName="SHA-512" hashValue="SQZt3buYRVmznZV4OG99m1EGbeHwoETjxCeS9kgVtstb2J05VZ3z037iH5/NbLx4gH0i3DFLN7xg9kutmnJ3zA==" saltValue="bqhRy4ec36vs4J3NtIjUKw==" spinCount="100000" sheet="1" objects="1" scenarios="1" selectLockedCells="1" selectUnlockedCells="1"/>
  <phoneticPr fontId="5" type="noConversion"/>
  <dataValidations count="16">
    <dataValidation type="list" allowBlank="1" showInputMessage="1" showErrorMessage="1" sqref="GC706:GF706 C706:DD706 CA319:CA320">
      <formula1>REPRAES</formula1>
    </dataValidation>
    <dataValidation type="list" allowBlank="1" showInputMessage="1" showErrorMessage="1" sqref="GC708:GF714 DF696:EF705 C696:DD705 C708:DD714 GC696:GF705 DF708:EF714">
      <formula1>RITUALE</formula1>
    </dataValidation>
    <dataValidation type="list" allowBlank="1" showInputMessage="1" showErrorMessage="1" sqref="DF706:EF706">
      <formula1>RITUALKENNTNIS</formula1>
    </dataValidation>
    <dataValidation type="list" allowBlank="1" showInputMessage="1" showErrorMessage="1" sqref="ER39:ER42 FQ39:FR42 DF39:DO42 C39:AG40 C41:AD42 CJ39:CP42 AH39:BU42 BW39:CE42 DQ39:EF42">
      <formula1>BASISINKLGRP</formula1>
    </dataValidation>
    <dataValidation type="list" allowBlank="1" showInputMessage="1" showErrorMessage="1" sqref="FQ36:FQ38 FW34:GB34 FS34:FU34 EX34:FQ34 EH34:EV34 BG34:DD35 AH35:AM38 ER36:ER38 FR34:FR38 DL35:DO36 DA36:DC36 CQ36:CW36 DB37:DC37 AN34:BF38 CJ37:CM38 BG36:BU38 CN36:CO38 CF36:CM36 C37 BW36:CE38 DJ35:DK37">
      <formula1>NACHTEILE</formula1>
    </dataValidation>
    <dataValidation type="list" allowBlank="1" showInputMessage="1" showErrorMessage="1" sqref="EX334:FA334 ET334 CV334:DC334 CO334:CP334 C334:AM334 AP334:AS335 AZ334:BE334 AT334:AV334 BH334:CA334 CN334:CN337">
      <formula1>SF_KARMAL</formula1>
    </dataValidation>
    <dataValidation type="list" allowBlank="1" showInputMessage="1" showErrorMessage="1" sqref="CU285:CU298 CU253:CU254 CZ253 CZ286 CZ285:DC285 CV285:CW287 CV253:CW262 CW288 E285:E286 CD253:CD255 CK253:CN262 CK285:CM298 CJ285:CJ287 CJ253:CJ255 C253:AI262 AI285:AI287 CC253 CO253:CO257 CO285:CP287 AH285 AK285:AL285 AK253:AL257 AL286 AW253:AY257 AX289:AX298 AN285:AO285 AY285:AY289 AW285:AX288 BV285 BY285 CA285:CA298">
      <formula1>KPFNAHSON</formula1>
    </dataValidation>
    <dataValidation type="list" allowBlank="1" showInputMessage="1" showErrorMessage="1" sqref="CV263:CW265 CA299:CA302 CN263:CN265 CK299:CM302 AT263:AV263 BH299:BI299 C263:AG265">
      <formula1>KPFFERNSON</formula1>
    </dataValidation>
    <dataValidation type="list" allowBlank="1" showInputMessage="1" showErrorMessage="1" sqref="DC27 CJ26 DP26:DV26 DO28:DR28 DS28:DV30 DQ29:DR29 DK27:DV27 CU26:CU27 AV26:AV33 CF27:CI29 CJ27:CM27 BJ27 AV324 BM27:BM30 BN27:BP27 AW26:AX26 BU27">
      <formula1>VORTEILE</formula1>
    </dataValidation>
    <dataValidation type="list" allowBlank="1" showInputMessage="1" showErrorMessage="1" sqref="DR308 DS271:DV271 DQ271 DJ271 DK271:DO272 CK308:CM315 CA308:CA315">
      <formula1>SF_MAGIE</formula1>
    </dataValidation>
    <dataValidation type="list" allowBlank="1" showInputMessage="1" showErrorMessage="1" sqref="CU282 CW250 CV250:CV252 CN250:CN252 CK282:CM284 CJ250 CA282:CA284">
      <formula1>SF_WLOS</formula1>
    </dataValidation>
    <dataValidation type="list" allowBlank="1" showInputMessage="1" showErrorMessage="1" sqref="CR267:CT267 CS268:CS270 CQ266:CT266 CV266:CW270 CN266:CN270 D266 BQ303:BS303 BJ303:BK303 CK303:CM307 BM266:BP266 AQ266:AS266 AW266:BE266 CA303:CA307">
      <formula1>SF_ANDERE</formula1>
    </dataValidation>
    <dataValidation type="list" allowBlank="1" showInputMessage="1" showErrorMessage="1" sqref="C250:AG252">
      <formula1>WFLOSALLE</formula1>
    </dataValidation>
    <dataValidation type="list" allowBlank="1" showInputMessage="1" showErrorMessage="1" sqref="D267:D281 C266:C281 E266:AG281">
      <formula1>SFANDERE</formula1>
    </dataValidation>
    <dataValidation type="list" allowBlank="1" showInputMessage="1" showErrorMessage="1" sqref="BB321:BC321 AV321 CA321">
      <formula1>TALENTE</formula1>
    </dataValidation>
    <dataValidation type="list" allowBlank="1" showInputMessage="1" showErrorMessage="1" sqref="CA316:CA318">
      <formula1>MERKMALE</formula1>
    </dataValidation>
  </dataValidations>
  <pageMargins left="0.78740157499999996" right="0.78740157499999996" top="0.984251969" bottom="0.984251969" header="0.4921259845" footer="0.4921259845"/>
  <pageSetup paperSize="9" orientation="portrait" horizontalDpi="360" verticalDpi="36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theme="0"/>
    <pageSetUpPr fitToPage="1"/>
  </sheetPr>
  <dimension ref="A1:AN151"/>
  <sheetViews>
    <sheetView topLeftCell="E1" zoomScale="70" zoomScaleNormal="70" workbookViewId="0">
      <pane ySplit="1" topLeftCell="A2" activePane="bottomLeft" state="frozen"/>
      <selection activeCell="P22" sqref="P22"/>
      <selection pane="bottomLeft" activeCell="J10" sqref="J10"/>
    </sheetView>
  </sheetViews>
  <sheetFormatPr baseColWidth="10" defaultColWidth="5.7109375" defaultRowHeight="12.75" x14ac:dyDescent="0.2"/>
  <cols>
    <col min="1" max="1" width="60" customWidth="1"/>
    <col min="2" max="2" width="22" customWidth="1"/>
    <col min="3" max="3" width="47.42578125" customWidth="1"/>
    <col min="4" max="4" width="46.28515625" customWidth="1"/>
    <col min="5" max="5" width="25.42578125" customWidth="1"/>
    <col min="6" max="6" width="26.42578125" customWidth="1"/>
    <col min="8" max="8" width="41.42578125" customWidth="1"/>
    <col min="22" max="23" width="5.7109375" customWidth="1"/>
    <col min="35" max="35" width="29.5703125" customWidth="1"/>
    <col min="42" max="42" width="26.42578125" customWidth="1"/>
  </cols>
  <sheetData>
    <row r="1" spans="1:40" ht="92.25" customHeight="1" x14ac:dyDescent="0.2">
      <c r="A1" t="s">
        <v>8468</v>
      </c>
      <c r="C1" t="s">
        <v>8469</v>
      </c>
      <c r="F1" t="str">
        <f>Tabellen_Rassen!D1</f>
        <v>Mittelländer</v>
      </c>
      <c r="G1" t="str">
        <f>Tabellen_Rassen!E1</f>
        <v>Tulamide</v>
      </c>
      <c r="H1" t="s">
        <v>3405</v>
      </c>
      <c r="I1" t="str">
        <f>Tabellen_Rassen!G1</f>
        <v>Nivese</v>
      </c>
      <c r="J1" t="str">
        <f>Tabellen_Rassen!H1</f>
        <v>Norbarde</v>
      </c>
      <c r="K1" t="str">
        <f>Tabellen_Rassen!I1</f>
        <v>Trollzacker</v>
      </c>
      <c r="L1" t="str">
        <f>Tabellen_Rassen!J1</f>
        <v>Rochshaz</v>
      </c>
      <c r="M1" t="str">
        <f>Tabellen_Rassen!K1</f>
        <v>Waldmensch</v>
      </c>
      <c r="N1" t="str">
        <f>Tabellen_Rassen!L1</f>
        <v>Tocomuyac</v>
      </c>
      <c r="O1" t="str">
        <f>Tabellen_Rassen!M1</f>
        <v>Utulus</v>
      </c>
      <c r="P1" t="str">
        <f>Tabellen_Rassen!N1</f>
        <v>Brilliantzwerg</v>
      </c>
      <c r="Q1" t="str">
        <f>Tabellen_Rassen!O1</f>
        <v>Erz- und Hügelzwerg</v>
      </c>
      <c r="R1" t="str">
        <f>Tabellen_Rassen!P1</f>
        <v>Ambosszwerg</v>
      </c>
      <c r="S1" t="str">
        <f>Tabellen_Rassen!Q1</f>
        <v>Wilde Zwerge</v>
      </c>
      <c r="T1" t="str">
        <f>Tabellen_Rassen!R1</f>
        <v>Auelf</v>
      </c>
      <c r="U1" t="str">
        <f>Tabellen_Rassen!S1</f>
        <v>Waldelf</v>
      </c>
      <c r="V1" t="str">
        <f>Tabellen_Rassen!T1</f>
        <v>Firnelf</v>
      </c>
      <c r="W1" t="str">
        <f>Tabellen_Rassen!U1</f>
        <v>Wüstenelf</v>
      </c>
      <c r="X1" t="str">
        <f>Tabellen_Rassen!V1</f>
        <v>Halbelf</v>
      </c>
      <c r="Y1" t="str">
        <f>Tabellen_Rassen!W1</f>
        <v>Halbelf (Firnelf. Abstammung)</v>
      </c>
      <c r="Z1" t="str">
        <f>Tabellen_Rassen!X1</f>
        <v>Halbelf (Nivesische Abstammung)</v>
      </c>
      <c r="AA1" t="str">
        <f>Tabellen_Rassen!Y1</f>
        <v>Halbelf (Thorwalsche Abstammung)</v>
      </c>
      <c r="AB1" t="str">
        <f>Tabellen_Rassen!Z1</f>
        <v>Halbelf mit elfischer Ausbildung</v>
      </c>
      <c r="AC1" t="str">
        <f>Tabellen_Rassen!AA1</f>
        <v>Halbelf mit elfischer Ausbildung (firnelfisch)</v>
      </c>
      <c r="AD1" t="str">
        <f>Tabellen_Rassen!AB1</f>
        <v>Halbelf mit elfischer Ausbildung (nivesisch)</v>
      </c>
      <c r="AE1" t="str">
        <f>Tabellen_Rassen!AC1</f>
        <v>Halbelf mit elfischer Ausbildung (thorwalsch)</v>
      </c>
      <c r="AF1" t="str">
        <f>Tabellen_Rassen!AD1</f>
        <v>Ork</v>
      </c>
      <c r="AG1" t="str">
        <f>Tabellen_Rassen!AE1</f>
        <v>Orkfrau</v>
      </c>
      <c r="AH1" t="str">
        <f>Tabellen_Rassen!AF1</f>
        <v>Halbork</v>
      </c>
      <c r="AI1" t="str">
        <f>Tabellen_Rassen!AG1</f>
        <v>Goblin, männlich</v>
      </c>
      <c r="AJ1" t="str">
        <f>Tabellen_Rassen!AH1</f>
        <v>Goblin, weiblich</v>
      </c>
      <c r="AK1" t="str">
        <f>Tabellen_Rassen!AI1</f>
        <v>Echsensumpf- &amp; Regenwald-Achaz</v>
      </c>
      <c r="AL1" t="str">
        <f>Tabellen_Rassen!AJ1</f>
        <v>Orklandachaz</v>
      </c>
      <c r="AM1" t="str">
        <f>Tabellen_Rassen!AK1</f>
        <v>Maraskan-Achaz</v>
      </c>
      <c r="AN1" t="str">
        <f>Tabellen_Rassen!AL1</f>
        <v>Waldinselachaz</v>
      </c>
    </row>
    <row r="2" spans="1:40" x14ac:dyDescent="0.2">
      <c r="A2" t="str">
        <f>IF(OR(ISBLANK(RASSEGENE),RASSEGENE="LEER"),"",IF(HLOOKUP(RASSEGENE,LIST_R_K,ROW(),FALSE)="","",HLOOKUP(RASSEGENE,LIST_R_K,ROW(),FALSE)))</f>
        <v/>
      </c>
      <c r="C2" t="str">
        <f>IF(LEN(D2)&gt;2,LEFT(D2,FIND(";",D2,1)-1),"")</f>
        <v/>
      </c>
      <c r="D2" t="str">
        <f>KULTUREN_PROFSTR</f>
        <v/>
      </c>
      <c r="E2" t="s">
        <v>784</v>
      </c>
      <c r="F2" t="s">
        <v>8396</v>
      </c>
      <c r="G2" t="s">
        <v>8396</v>
      </c>
      <c r="H2" t="s">
        <v>8396</v>
      </c>
      <c r="I2" t="s">
        <v>8396</v>
      </c>
      <c r="J2" t="s">
        <v>8396</v>
      </c>
      <c r="K2" t="s">
        <v>8396</v>
      </c>
      <c r="L2" t="s">
        <v>8396</v>
      </c>
      <c r="M2" t="s">
        <v>8396</v>
      </c>
      <c r="N2" t="s">
        <v>8396</v>
      </c>
      <c r="O2" t="s">
        <v>8396</v>
      </c>
      <c r="P2" t="s">
        <v>8396</v>
      </c>
      <c r="Q2" t="s">
        <v>8396</v>
      </c>
      <c r="R2" t="s">
        <v>8396</v>
      </c>
      <c r="S2" t="s">
        <v>8396</v>
      </c>
      <c r="T2" t="s">
        <v>8396</v>
      </c>
      <c r="U2" t="s">
        <v>8396</v>
      </c>
      <c r="V2" t="s">
        <v>8396</v>
      </c>
      <c r="W2" t="s">
        <v>8396</v>
      </c>
      <c r="X2" t="s">
        <v>8396</v>
      </c>
      <c r="Y2" t="s">
        <v>8396</v>
      </c>
      <c r="Z2" t="s">
        <v>8396</v>
      </c>
      <c r="AA2" t="s">
        <v>8396</v>
      </c>
      <c r="AB2" t="s">
        <v>8396</v>
      </c>
      <c r="AC2" t="s">
        <v>8396</v>
      </c>
      <c r="AD2" t="s">
        <v>8396</v>
      </c>
      <c r="AE2" t="s">
        <v>8396</v>
      </c>
      <c r="AF2" t="s">
        <v>8396</v>
      </c>
      <c r="AG2" t="s">
        <v>8396</v>
      </c>
      <c r="AH2" t="s">
        <v>8396</v>
      </c>
      <c r="AI2" t="s">
        <v>8396</v>
      </c>
      <c r="AJ2" t="s">
        <v>8396</v>
      </c>
      <c r="AK2" t="s">
        <v>8396</v>
      </c>
      <c r="AL2" t="s">
        <v>8396</v>
      </c>
      <c r="AM2" t="s">
        <v>8396</v>
      </c>
      <c r="AN2" t="s">
        <v>8396</v>
      </c>
    </row>
    <row r="3" spans="1:40" x14ac:dyDescent="0.2">
      <c r="A3" t="str">
        <f t="shared" ref="A3:A33" si="0">IF(OR(ISBLANK(RASSEGENE),RASSEGENE="LEER"),"",IF(HLOOKUP(RASSEGENE,LIST_R_K,ROW(),FALSE)="","",HLOOKUP(RASSEGENE,LIST_R_K,ROW(),FALSE)))</f>
        <v/>
      </c>
      <c r="C3" t="str">
        <f t="shared" ref="C3:C66" si="1">IF(LEN(D3)&gt;2,LEFT(D3,FIND(";",D3,1)-1),"")</f>
        <v/>
      </c>
      <c r="D3" t="str">
        <f>IF(LEN(D2)-LEN(C2)&gt;2,RIGHT(D2,LEN(D2)-LEN(C2)-1),"")</f>
        <v/>
      </c>
      <c r="E3" t="s">
        <v>784</v>
      </c>
    </row>
    <row r="4" spans="1:40" x14ac:dyDescent="0.2">
      <c r="A4" t="str">
        <f t="shared" si="0"/>
        <v/>
      </c>
      <c r="C4" t="str">
        <f t="shared" si="1"/>
        <v/>
      </c>
      <c r="D4" t="str">
        <f t="shared" ref="D4:D67" si="2">IF(LEN(D3)-LEN(C3)&gt;2,RIGHT(D3,LEN(D3)-LEN(C3)-1),"")</f>
        <v/>
      </c>
      <c r="E4" t="s">
        <v>784</v>
      </c>
      <c r="F4" t="s">
        <v>5943</v>
      </c>
      <c r="G4" t="s">
        <v>4038</v>
      </c>
      <c r="H4" t="s">
        <v>3050</v>
      </c>
      <c r="I4" t="s">
        <v>2898</v>
      </c>
      <c r="J4" t="s">
        <v>2899</v>
      </c>
      <c r="K4" t="s">
        <v>2900</v>
      </c>
      <c r="L4" t="s">
        <v>2900</v>
      </c>
      <c r="M4" t="s">
        <v>2265</v>
      </c>
      <c r="N4" t="s">
        <v>5986</v>
      </c>
      <c r="O4" t="s">
        <v>2265</v>
      </c>
      <c r="P4" t="s">
        <v>2901</v>
      </c>
      <c r="Q4" t="s">
        <v>2147</v>
      </c>
      <c r="R4" t="s">
        <v>2902</v>
      </c>
      <c r="S4" t="s">
        <v>6015</v>
      </c>
      <c r="T4" t="s">
        <v>1374</v>
      </c>
      <c r="U4" t="s">
        <v>307</v>
      </c>
      <c r="V4" t="s">
        <v>308</v>
      </c>
      <c r="W4" t="s">
        <v>9168</v>
      </c>
      <c r="X4" t="s">
        <v>5943</v>
      </c>
      <c r="Y4" t="s">
        <v>5943</v>
      </c>
      <c r="Z4" t="s">
        <v>5943</v>
      </c>
      <c r="AA4" t="s">
        <v>5943</v>
      </c>
      <c r="AB4" t="s">
        <v>1375</v>
      </c>
      <c r="AC4" t="s">
        <v>1375</v>
      </c>
      <c r="AD4" t="s">
        <v>1375</v>
      </c>
      <c r="AE4" t="s">
        <v>1375</v>
      </c>
      <c r="AF4" t="s">
        <v>6027</v>
      </c>
      <c r="AG4" t="s">
        <v>6027</v>
      </c>
      <c r="AH4" t="s">
        <v>6060</v>
      </c>
      <c r="AI4" t="s">
        <v>4480</v>
      </c>
      <c r="AJ4" t="s">
        <v>4480</v>
      </c>
      <c r="AK4" t="s">
        <v>4481</v>
      </c>
      <c r="AL4" t="s">
        <v>4482</v>
      </c>
      <c r="AM4" t="s">
        <v>4481</v>
      </c>
      <c r="AN4" t="s">
        <v>4481</v>
      </c>
    </row>
    <row r="5" spans="1:40" x14ac:dyDescent="0.2">
      <c r="A5" t="str">
        <f t="shared" si="0"/>
        <v/>
      </c>
      <c r="C5" t="str">
        <f t="shared" si="1"/>
        <v/>
      </c>
      <c r="D5" t="str">
        <f t="shared" si="2"/>
        <v/>
      </c>
      <c r="E5" t="s">
        <v>784</v>
      </c>
      <c r="F5" t="s">
        <v>5947</v>
      </c>
      <c r="G5" t="s">
        <v>5963</v>
      </c>
      <c r="H5" t="s">
        <v>5977</v>
      </c>
      <c r="I5" t="s">
        <v>6006</v>
      </c>
      <c r="J5" t="s">
        <v>9307</v>
      </c>
      <c r="M5" t="s">
        <v>5981</v>
      </c>
      <c r="O5" t="s">
        <v>5978</v>
      </c>
      <c r="Q5" t="s">
        <v>2148</v>
      </c>
      <c r="T5" t="s">
        <v>3424</v>
      </c>
      <c r="V5" t="s">
        <v>6014</v>
      </c>
      <c r="X5" t="s">
        <v>5947</v>
      </c>
      <c r="Y5" t="s">
        <v>5947</v>
      </c>
      <c r="Z5" t="s">
        <v>5947</v>
      </c>
      <c r="AA5" t="s">
        <v>5947</v>
      </c>
      <c r="AB5" t="s">
        <v>6013</v>
      </c>
      <c r="AC5" t="s">
        <v>6013</v>
      </c>
      <c r="AD5" t="s">
        <v>6013</v>
      </c>
      <c r="AE5" t="s">
        <v>6013</v>
      </c>
      <c r="AF5" t="s">
        <v>6025</v>
      </c>
      <c r="AG5" t="s">
        <v>6025</v>
      </c>
      <c r="AI5" t="s">
        <v>6075</v>
      </c>
      <c r="AJ5" t="s">
        <v>6075</v>
      </c>
      <c r="AK5" t="s">
        <v>4482</v>
      </c>
      <c r="AL5" t="s">
        <v>6078</v>
      </c>
      <c r="AM5" t="s">
        <v>4482</v>
      </c>
      <c r="AN5" t="s">
        <v>4482</v>
      </c>
    </row>
    <row r="6" spans="1:40" x14ac:dyDescent="0.2">
      <c r="A6" t="str">
        <f t="shared" si="0"/>
        <v/>
      </c>
      <c r="C6" t="str">
        <f t="shared" si="1"/>
        <v/>
      </c>
      <c r="D6" t="str">
        <f t="shared" si="2"/>
        <v/>
      </c>
      <c r="E6" t="s">
        <v>784</v>
      </c>
      <c r="F6" t="s">
        <v>5948</v>
      </c>
      <c r="G6" t="s">
        <v>5961</v>
      </c>
      <c r="H6" t="s">
        <v>5976</v>
      </c>
      <c r="I6" t="s">
        <v>569</v>
      </c>
      <c r="J6" t="s">
        <v>8397</v>
      </c>
      <c r="K6" t="s">
        <v>8397</v>
      </c>
      <c r="M6" t="s">
        <v>3051</v>
      </c>
      <c r="N6" t="s">
        <v>8397</v>
      </c>
      <c r="O6" t="s">
        <v>2264</v>
      </c>
      <c r="P6" t="s">
        <v>8397</v>
      </c>
      <c r="R6" t="s">
        <v>8397</v>
      </c>
      <c r="T6" t="s">
        <v>7254</v>
      </c>
      <c r="U6" t="s">
        <v>8397</v>
      </c>
      <c r="V6" t="s">
        <v>7253</v>
      </c>
      <c r="X6" t="s">
        <v>5948</v>
      </c>
      <c r="Y6" t="s">
        <v>5948</v>
      </c>
      <c r="Z6" t="s">
        <v>5948</v>
      </c>
      <c r="AA6" t="s">
        <v>5948</v>
      </c>
      <c r="AB6" t="s">
        <v>6011</v>
      </c>
      <c r="AC6" t="s">
        <v>6011</v>
      </c>
      <c r="AD6" t="s">
        <v>6011</v>
      </c>
      <c r="AE6" t="s">
        <v>6011</v>
      </c>
      <c r="AF6" t="s">
        <v>6026</v>
      </c>
      <c r="AG6" t="s">
        <v>6026</v>
      </c>
      <c r="AI6" t="s">
        <v>6067</v>
      </c>
      <c r="AJ6" t="s">
        <v>6068</v>
      </c>
      <c r="AK6" t="s">
        <v>6078</v>
      </c>
      <c r="AL6" t="s">
        <v>6079</v>
      </c>
      <c r="AM6" t="s">
        <v>6078</v>
      </c>
      <c r="AN6" t="s">
        <v>6076</v>
      </c>
    </row>
    <row r="7" spans="1:40" x14ac:dyDescent="0.2">
      <c r="A7" t="str">
        <f t="shared" si="0"/>
        <v/>
      </c>
      <c r="C7" t="str">
        <f t="shared" si="1"/>
        <v/>
      </c>
      <c r="D7" t="str">
        <f t="shared" si="2"/>
        <v/>
      </c>
      <c r="E7" t="s">
        <v>784</v>
      </c>
      <c r="F7" t="s">
        <v>5949</v>
      </c>
      <c r="G7" t="s">
        <v>5959</v>
      </c>
      <c r="H7" t="s">
        <v>4646</v>
      </c>
      <c r="I7" t="s">
        <v>6007</v>
      </c>
      <c r="M7" t="s">
        <v>5979</v>
      </c>
      <c r="O7" t="s">
        <v>6004</v>
      </c>
      <c r="Q7" t="s">
        <v>8397</v>
      </c>
      <c r="T7" t="s">
        <v>1375</v>
      </c>
      <c r="X7" t="s">
        <v>5949</v>
      </c>
      <c r="Y7" t="s">
        <v>5949</v>
      </c>
      <c r="Z7" t="s">
        <v>5949</v>
      </c>
      <c r="AA7" t="s">
        <v>5949</v>
      </c>
      <c r="AB7" t="s">
        <v>6010</v>
      </c>
      <c r="AC7" t="s">
        <v>6010</v>
      </c>
      <c r="AD7" t="s">
        <v>6010</v>
      </c>
      <c r="AE7" t="s">
        <v>6010</v>
      </c>
      <c r="AF7" t="s">
        <v>6028</v>
      </c>
      <c r="AG7" t="s">
        <v>6028</v>
      </c>
      <c r="AH7" t="s">
        <v>8397</v>
      </c>
      <c r="AI7" t="s">
        <v>6069</v>
      </c>
      <c r="AJ7" t="s">
        <v>6070</v>
      </c>
      <c r="AK7" t="s">
        <v>6079</v>
      </c>
      <c r="AL7" t="s">
        <v>6076</v>
      </c>
      <c r="AM7" t="s">
        <v>6079</v>
      </c>
      <c r="AN7" t="s">
        <v>6077</v>
      </c>
    </row>
    <row r="8" spans="1:40" x14ac:dyDescent="0.2">
      <c r="A8" t="str">
        <f t="shared" si="0"/>
        <v/>
      </c>
      <c r="C8" t="str">
        <f t="shared" si="1"/>
        <v/>
      </c>
      <c r="D8" t="str">
        <f t="shared" si="2"/>
        <v/>
      </c>
      <c r="E8" t="s">
        <v>784</v>
      </c>
      <c r="F8" t="s">
        <v>5944</v>
      </c>
      <c r="G8" t="s">
        <v>4037</v>
      </c>
      <c r="H8" t="s">
        <v>9171</v>
      </c>
      <c r="J8" t="s">
        <v>2530</v>
      </c>
      <c r="K8" t="s">
        <v>4038</v>
      </c>
      <c r="M8" t="s">
        <v>5980</v>
      </c>
      <c r="N8" t="s">
        <v>4038</v>
      </c>
      <c r="O8" t="s">
        <v>6003</v>
      </c>
      <c r="P8" t="s">
        <v>5943</v>
      </c>
      <c r="R8" t="s">
        <v>5943</v>
      </c>
      <c r="T8" t="s">
        <v>6013</v>
      </c>
      <c r="U8" t="s">
        <v>1374</v>
      </c>
      <c r="V8" t="s">
        <v>8397</v>
      </c>
      <c r="W8" t="s">
        <v>8397</v>
      </c>
      <c r="X8" t="s">
        <v>5944</v>
      </c>
      <c r="Y8" t="s">
        <v>5944</v>
      </c>
      <c r="Z8" t="s">
        <v>5944</v>
      </c>
      <c r="AA8" t="s">
        <v>5944</v>
      </c>
      <c r="AB8" t="s">
        <v>6009</v>
      </c>
      <c r="AC8" t="s">
        <v>6009</v>
      </c>
      <c r="AD8" t="s">
        <v>6009</v>
      </c>
      <c r="AE8" t="s">
        <v>6009</v>
      </c>
      <c r="AF8" t="s">
        <v>6029</v>
      </c>
      <c r="AG8" t="s">
        <v>6029</v>
      </c>
      <c r="AI8" t="s">
        <v>6071</v>
      </c>
      <c r="AJ8" t="s">
        <v>6072</v>
      </c>
      <c r="AK8" t="s">
        <v>6076</v>
      </c>
      <c r="AL8" t="s">
        <v>6077</v>
      </c>
      <c r="AM8" t="s">
        <v>6076</v>
      </c>
      <c r="AN8" t="s">
        <v>6078</v>
      </c>
    </row>
    <row r="9" spans="1:40" x14ac:dyDescent="0.2">
      <c r="A9" t="str">
        <f t="shared" si="0"/>
        <v/>
      </c>
      <c r="C9" t="str">
        <f t="shared" si="1"/>
        <v/>
      </c>
      <c r="D9" t="str">
        <f t="shared" si="2"/>
        <v/>
      </c>
      <c r="E9" t="s">
        <v>784</v>
      </c>
      <c r="F9" t="s">
        <v>5945</v>
      </c>
      <c r="G9" t="s">
        <v>5964</v>
      </c>
      <c r="H9" t="s">
        <v>9172</v>
      </c>
      <c r="I9" t="s">
        <v>8397</v>
      </c>
      <c r="J9" t="s">
        <v>5935</v>
      </c>
      <c r="K9" t="s">
        <v>5963</v>
      </c>
      <c r="M9" t="s">
        <v>5978</v>
      </c>
      <c r="N9" t="s">
        <v>5963</v>
      </c>
      <c r="O9" t="s">
        <v>6005</v>
      </c>
      <c r="P9" t="s">
        <v>5947</v>
      </c>
      <c r="Q9" t="s">
        <v>5943</v>
      </c>
      <c r="R9" t="s">
        <v>5947</v>
      </c>
      <c r="T9" t="s">
        <v>6011</v>
      </c>
      <c r="U9" t="s">
        <v>3424</v>
      </c>
      <c r="W9" t="s">
        <v>1375</v>
      </c>
      <c r="X9" t="s">
        <v>5945</v>
      </c>
      <c r="Y9" t="s">
        <v>5945</v>
      </c>
      <c r="Z9" t="s">
        <v>5945</v>
      </c>
      <c r="AA9" t="s">
        <v>5945</v>
      </c>
      <c r="AB9" t="s">
        <v>6008</v>
      </c>
      <c r="AC9" t="s">
        <v>6008</v>
      </c>
      <c r="AD9" t="s">
        <v>6008</v>
      </c>
      <c r="AE9" t="s">
        <v>6008</v>
      </c>
      <c r="AF9" t="s">
        <v>6032</v>
      </c>
      <c r="AG9" t="s">
        <v>6032</v>
      </c>
      <c r="AH9" t="s">
        <v>5928</v>
      </c>
      <c r="AI9" t="s">
        <v>6073</v>
      </c>
      <c r="AJ9" t="s">
        <v>6074</v>
      </c>
      <c r="AK9" t="s">
        <v>6077</v>
      </c>
      <c r="AL9" t="s">
        <v>6080</v>
      </c>
      <c r="AM9" t="s">
        <v>6077</v>
      </c>
      <c r="AN9" t="s">
        <v>6079</v>
      </c>
    </row>
    <row r="10" spans="1:40" x14ac:dyDescent="0.2">
      <c r="A10" t="str">
        <f t="shared" si="0"/>
        <v/>
      </c>
      <c r="C10" t="str">
        <f t="shared" si="1"/>
        <v/>
      </c>
      <c r="D10" t="str">
        <f t="shared" si="2"/>
        <v/>
      </c>
      <c r="E10" t="s">
        <v>784</v>
      </c>
      <c r="F10" t="s">
        <v>5946</v>
      </c>
      <c r="G10" t="s">
        <v>5962</v>
      </c>
      <c r="H10" t="s">
        <v>9173</v>
      </c>
      <c r="J10" t="s">
        <v>5936</v>
      </c>
      <c r="K10" t="s">
        <v>5961</v>
      </c>
      <c r="M10" t="s">
        <v>2263</v>
      </c>
      <c r="N10" t="s">
        <v>5961</v>
      </c>
      <c r="O10" t="s">
        <v>5995</v>
      </c>
      <c r="P10" t="s">
        <v>5948</v>
      </c>
      <c r="Q10" t="s">
        <v>5947</v>
      </c>
      <c r="R10" t="s">
        <v>5948</v>
      </c>
      <c r="T10" t="s">
        <v>6010</v>
      </c>
      <c r="U10" t="s">
        <v>7254</v>
      </c>
      <c r="V10" t="s">
        <v>1374</v>
      </c>
      <c r="W10" t="s">
        <v>6013</v>
      </c>
      <c r="X10" t="s">
        <v>5946</v>
      </c>
      <c r="Y10" t="s">
        <v>5946</v>
      </c>
      <c r="Z10" t="s">
        <v>5946</v>
      </c>
      <c r="AA10" t="s">
        <v>5946</v>
      </c>
      <c r="AB10" t="s">
        <v>7255</v>
      </c>
      <c r="AC10" t="s">
        <v>7255</v>
      </c>
      <c r="AD10" t="s">
        <v>7255</v>
      </c>
      <c r="AE10" t="s">
        <v>7255</v>
      </c>
      <c r="AF10" t="s">
        <v>6030</v>
      </c>
      <c r="AG10" t="s">
        <v>6030</v>
      </c>
      <c r="AH10" t="s">
        <v>5931</v>
      </c>
      <c r="AI10" t="s">
        <v>5915</v>
      </c>
      <c r="AJ10" t="s">
        <v>5915</v>
      </c>
      <c r="AK10" t="s">
        <v>6080</v>
      </c>
      <c r="AM10" t="s">
        <v>6080</v>
      </c>
      <c r="AN10" t="s">
        <v>6080</v>
      </c>
    </row>
    <row r="11" spans="1:40" x14ac:dyDescent="0.2">
      <c r="A11" t="str">
        <f t="shared" si="0"/>
        <v/>
      </c>
      <c r="C11" t="str">
        <f t="shared" si="1"/>
        <v/>
      </c>
      <c r="D11" t="str">
        <f t="shared" si="2"/>
        <v/>
      </c>
      <c r="E11" t="s">
        <v>784</v>
      </c>
      <c r="F11" t="s">
        <v>5928</v>
      </c>
      <c r="G11" t="s">
        <v>5960</v>
      </c>
      <c r="H11" t="s">
        <v>9174</v>
      </c>
      <c r="I11" t="s">
        <v>2530</v>
      </c>
      <c r="J11" t="s">
        <v>5934</v>
      </c>
      <c r="K11" t="s">
        <v>5959</v>
      </c>
      <c r="M11" t="s">
        <v>2264</v>
      </c>
      <c r="N11" t="s">
        <v>5959</v>
      </c>
      <c r="O11" t="s">
        <v>5996</v>
      </c>
      <c r="P11" t="s">
        <v>5949</v>
      </c>
      <c r="Q11" t="s">
        <v>5948</v>
      </c>
      <c r="R11" t="s">
        <v>5949</v>
      </c>
      <c r="T11" t="s">
        <v>6009</v>
      </c>
      <c r="U11" t="s">
        <v>1375</v>
      </c>
      <c r="V11" t="s">
        <v>3424</v>
      </c>
      <c r="X11" t="s">
        <v>5928</v>
      </c>
      <c r="Y11" t="s">
        <v>5928</v>
      </c>
      <c r="Z11" t="s">
        <v>5928</v>
      </c>
      <c r="AA11" t="s">
        <v>5928</v>
      </c>
      <c r="AB11" t="s">
        <v>6012</v>
      </c>
      <c r="AC11" t="s">
        <v>6012</v>
      </c>
      <c r="AD11" t="s">
        <v>6012</v>
      </c>
      <c r="AE11" t="s">
        <v>6012</v>
      </c>
      <c r="AF11" t="s">
        <v>6031</v>
      </c>
      <c r="AG11" t="s">
        <v>6031</v>
      </c>
      <c r="AH11" t="s">
        <v>5932</v>
      </c>
    </row>
    <row r="12" spans="1:40" x14ac:dyDescent="0.2">
      <c r="A12" t="str">
        <f t="shared" si="0"/>
        <v/>
      </c>
      <c r="C12" t="str">
        <f t="shared" si="1"/>
        <v/>
      </c>
      <c r="D12" t="str">
        <f t="shared" si="2"/>
        <v/>
      </c>
      <c r="E12" t="s">
        <v>784</v>
      </c>
      <c r="F12" t="s">
        <v>5931</v>
      </c>
      <c r="G12" t="s">
        <v>2265</v>
      </c>
      <c r="H12" t="s">
        <v>9175</v>
      </c>
      <c r="I12" t="s">
        <v>5935</v>
      </c>
      <c r="J12" t="s">
        <v>5977</v>
      </c>
      <c r="K12" t="s">
        <v>4037</v>
      </c>
      <c r="M12" t="s">
        <v>6004</v>
      </c>
      <c r="N12" t="s">
        <v>4037</v>
      </c>
      <c r="O12" t="s">
        <v>5997</v>
      </c>
      <c r="P12" t="s">
        <v>5944</v>
      </c>
      <c r="Q12" t="s">
        <v>5949</v>
      </c>
      <c r="R12" t="s">
        <v>5944</v>
      </c>
      <c r="T12" t="s">
        <v>6008</v>
      </c>
      <c r="U12" t="s">
        <v>6013</v>
      </c>
      <c r="V12" t="s">
        <v>7254</v>
      </c>
      <c r="X12" t="s">
        <v>5931</v>
      </c>
      <c r="Y12" t="s">
        <v>5931</v>
      </c>
      <c r="Z12" t="s">
        <v>5931</v>
      </c>
      <c r="AA12" t="s">
        <v>5931</v>
      </c>
      <c r="AF12" t="s">
        <v>6033</v>
      </c>
      <c r="AG12" t="s">
        <v>6033</v>
      </c>
      <c r="AH12" t="s">
        <v>5930</v>
      </c>
      <c r="AI12" t="s">
        <v>8397</v>
      </c>
      <c r="AJ12" t="s">
        <v>8397</v>
      </c>
      <c r="AK12" t="s">
        <v>8397</v>
      </c>
    </row>
    <row r="13" spans="1:40" x14ac:dyDescent="0.2">
      <c r="A13" t="str">
        <f t="shared" si="0"/>
        <v/>
      </c>
      <c r="C13" t="str">
        <f t="shared" si="1"/>
        <v/>
      </c>
      <c r="D13" t="str">
        <f t="shared" si="2"/>
        <v/>
      </c>
      <c r="E13" t="s">
        <v>784</v>
      </c>
      <c r="F13" t="s">
        <v>5932</v>
      </c>
      <c r="G13" t="s">
        <v>2145</v>
      </c>
      <c r="H13" t="s">
        <v>9176</v>
      </c>
      <c r="I13" t="s">
        <v>5936</v>
      </c>
      <c r="J13" t="s">
        <v>5919</v>
      </c>
      <c r="K13" t="s">
        <v>5964</v>
      </c>
      <c r="M13" t="s">
        <v>6003</v>
      </c>
      <c r="N13" t="s">
        <v>5964</v>
      </c>
      <c r="O13" t="s">
        <v>6002</v>
      </c>
      <c r="P13" t="s">
        <v>5945</v>
      </c>
      <c r="Q13" t="s">
        <v>5944</v>
      </c>
      <c r="R13" t="s">
        <v>5945</v>
      </c>
      <c r="T13" t="s">
        <v>7255</v>
      </c>
      <c r="U13" t="s">
        <v>6011</v>
      </c>
      <c r="V13" t="s">
        <v>1375</v>
      </c>
      <c r="X13" t="s">
        <v>5932</v>
      </c>
      <c r="Y13" t="s">
        <v>5932</v>
      </c>
      <c r="Z13" t="s">
        <v>5932</v>
      </c>
      <c r="AA13" t="s">
        <v>5932</v>
      </c>
      <c r="AB13" t="s">
        <v>8397</v>
      </c>
      <c r="AC13" t="s">
        <v>8397</v>
      </c>
      <c r="AD13" t="s">
        <v>8397</v>
      </c>
      <c r="AE13" t="s">
        <v>8397</v>
      </c>
      <c r="AF13" t="s">
        <v>6034</v>
      </c>
      <c r="AG13" t="s">
        <v>6034</v>
      </c>
      <c r="AH13" t="s">
        <v>5929</v>
      </c>
      <c r="AM13" t="s">
        <v>8397</v>
      </c>
      <c r="AN13" t="s">
        <v>8397</v>
      </c>
    </row>
    <row r="14" spans="1:40" x14ac:dyDescent="0.2">
      <c r="A14" t="str">
        <f t="shared" si="0"/>
        <v/>
      </c>
      <c r="C14" t="str">
        <f t="shared" si="1"/>
        <v/>
      </c>
      <c r="D14" t="str">
        <f t="shared" si="2"/>
        <v/>
      </c>
      <c r="E14" t="s">
        <v>784</v>
      </c>
      <c r="F14" t="s">
        <v>5930</v>
      </c>
      <c r="G14" t="s">
        <v>5987</v>
      </c>
      <c r="I14" t="s">
        <v>5934</v>
      </c>
      <c r="J14" t="s">
        <v>5921</v>
      </c>
      <c r="K14" t="s">
        <v>5962</v>
      </c>
      <c r="M14" t="s">
        <v>6005</v>
      </c>
      <c r="N14" t="s">
        <v>5962</v>
      </c>
      <c r="O14" t="s">
        <v>6001</v>
      </c>
      <c r="P14" t="s">
        <v>5946</v>
      </c>
      <c r="Q14" t="s">
        <v>5945</v>
      </c>
      <c r="R14" t="s">
        <v>5946</v>
      </c>
      <c r="T14" t="s">
        <v>6012</v>
      </c>
      <c r="U14" t="s">
        <v>6010</v>
      </c>
      <c r="V14" t="s">
        <v>6013</v>
      </c>
      <c r="X14" t="s">
        <v>5930</v>
      </c>
      <c r="Y14" t="s">
        <v>5930</v>
      </c>
      <c r="Z14" t="s">
        <v>5930</v>
      </c>
      <c r="AA14" t="s">
        <v>5930</v>
      </c>
      <c r="AF14" t="s">
        <v>6037</v>
      </c>
      <c r="AG14" t="s">
        <v>6037</v>
      </c>
      <c r="AH14" t="s">
        <v>5933</v>
      </c>
      <c r="AI14" t="s">
        <v>5928</v>
      </c>
      <c r="AJ14" t="s">
        <v>5928</v>
      </c>
      <c r="AK14" t="s">
        <v>5987</v>
      </c>
    </row>
    <row r="15" spans="1:40" x14ac:dyDescent="0.2">
      <c r="A15" t="str">
        <f t="shared" si="0"/>
        <v/>
      </c>
      <c r="C15" t="str">
        <f t="shared" si="1"/>
        <v/>
      </c>
      <c r="D15" t="str">
        <f t="shared" si="2"/>
        <v/>
      </c>
      <c r="E15" t="s">
        <v>784</v>
      </c>
      <c r="F15" t="s">
        <v>5929</v>
      </c>
      <c r="G15" t="s">
        <v>5988</v>
      </c>
      <c r="H15" t="s">
        <v>8397</v>
      </c>
      <c r="I15" t="s">
        <v>3050</v>
      </c>
      <c r="J15" t="s">
        <v>5927</v>
      </c>
      <c r="K15" t="s">
        <v>5960</v>
      </c>
      <c r="M15" t="s">
        <v>5995</v>
      </c>
      <c r="N15" t="s">
        <v>5960</v>
      </c>
      <c r="O15" t="s">
        <v>5999</v>
      </c>
      <c r="P15" t="s">
        <v>2902</v>
      </c>
      <c r="Q15" t="s">
        <v>5946</v>
      </c>
      <c r="R15" t="s">
        <v>5928</v>
      </c>
      <c r="T15" t="s">
        <v>1376</v>
      </c>
      <c r="U15" t="s">
        <v>6009</v>
      </c>
      <c r="V15" t="s">
        <v>6011</v>
      </c>
      <c r="X15" t="s">
        <v>5929</v>
      </c>
      <c r="Y15" t="s">
        <v>5929</v>
      </c>
      <c r="Z15" t="s">
        <v>5929</v>
      </c>
      <c r="AA15" t="s">
        <v>5929</v>
      </c>
      <c r="AB15" t="s">
        <v>1374</v>
      </c>
      <c r="AC15" t="s">
        <v>1374</v>
      </c>
      <c r="AD15" t="s">
        <v>1374</v>
      </c>
      <c r="AE15" t="s">
        <v>1374</v>
      </c>
      <c r="AF15" t="s">
        <v>6035</v>
      </c>
      <c r="AG15" t="s">
        <v>6035</v>
      </c>
      <c r="AH15" t="s">
        <v>5977</v>
      </c>
      <c r="AI15" t="s">
        <v>5931</v>
      </c>
      <c r="AJ15" t="s">
        <v>5931</v>
      </c>
      <c r="AK15" t="s">
        <v>5988</v>
      </c>
      <c r="AM15" t="s">
        <v>5987</v>
      </c>
      <c r="AN15" t="s">
        <v>5987</v>
      </c>
    </row>
    <row r="16" spans="1:40" x14ac:dyDescent="0.2">
      <c r="A16" t="str">
        <f t="shared" si="0"/>
        <v/>
      </c>
      <c r="C16" t="str">
        <f t="shared" si="1"/>
        <v/>
      </c>
      <c r="D16" t="str">
        <f t="shared" si="2"/>
        <v/>
      </c>
      <c r="E16" t="s">
        <v>784</v>
      </c>
      <c r="F16" t="s">
        <v>5933</v>
      </c>
      <c r="G16" t="s">
        <v>5989</v>
      </c>
      <c r="I16" t="s">
        <v>5977</v>
      </c>
      <c r="J16" t="s">
        <v>5924</v>
      </c>
      <c r="K16" t="s">
        <v>2145</v>
      </c>
      <c r="M16" t="s">
        <v>5996</v>
      </c>
      <c r="N16" t="s">
        <v>2265</v>
      </c>
      <c r="O16" t="s">
        <v>5998</v>
      </c>
      <c r="P16" t="s">
        <v>2147</v>
      </c>
      <c r="Q16" t="s">
        <v>2902</v>
      </c>
      <c r="R16" t="s">
        <v>5931</v>
      </c>
      <c r="U16" t="s">
        <v>6008</v>
      </c>
      <c r="V16" t="s">
        <v>6010</v>
      </c>
      <c r="X16" t="s">
        <v>5933</v>
      </c>
      <c r="Y16" t="s">
        <v>5933</v>
      </c>
      <c r="Z16" t="s">
        <v>5933</v>
      </c>
      <c r="AA16" t="s">
        <v>5933</v>
      </c>
      <c r="AB16" t="s">
        <v>3424</v>
      </c>
      <c r="AC16" t="s">
        <v>3424</v>
      </c>
      <c r="AD16" t="s">
        <v>3424</v>
      </c>
      <c r="AE16" t="s">
        <v>3424</v>
      </c>
      <c r="AF16" t="s">
        <v>6036</v>
      </c>
      <c r="AG16" t="s">
        <v>6036</v>
      </c>
      <c r="AH16" t="s">
        <v>5915</v>
      </c>
      <c r="AI16" t="s">
        <v>5932</v>
      </c>
      <c r="AJ16" t="s">
        <v>5932</v>
      </c>
      <c r="AK16" t="s">
        <v>5989</v>
      </c>
      <c r="AM16" t="s">
        <v>5988</v>
      </c>
      <c r="AN16" t="s">
        <v>5988</v>
      </c>
    </row>
    <row r="17" spans="1:40" x14ac:dyDescent="0.2">
      <c r="A17" t="str">
        <f t="shared" si="0"/>
        <v/>
      </c>
      <c r="C17" t="str">
        <f t="shared" si="1"/>
        <v/>
      </c>
      <c r="D17" t="str">
        <f t="shared" si="2"/>
        <v/>
      </c>
      <c r="E17" t="s">
        <v>784</v>
      </c>
      <c r="F17" t="s">
        <v>2530</v>
      </c>
      <c r="G17" t="s">
        <v>5990</v>
      </c>
      <c r="H17" t="s">
        <v>5928</v>
      </c>
      <c r="I17" t="s">
        <v>5919</v>
      </c>
      <c r="J17" t="s">
        <v>5923</v>
      </c>
      <c r="K17" t="s">
        <v>5919</v>
      </c>
      <c r="M17" t="s">
        <v>5997</v>
      </c>
      <c r="N17" t="s">
        <v>3051</v>
      </c>
      <c r="O17" t="s">
        <v>6000</v>
      </c>
      <c r="P17" t="s">
        <v>5950</v>
      </c>
      <c r="Q17" t="s">
        <v>5928</v>
      </c>
      <c r="R17" t="s">
        <v>5932</v>
      </c>
      <c r="T17" t="s">
        <v>8397</v>
      </c>
      <c r="U17" t="s">
        <v>7255</v>
      </c>
      <c r="V17" t="s">
        <v>6009</v>
      </c>
      <c r="X17" t="s">
        <v>1375</v>
      </c>
      <c r="Y17" t="s">
        <v>1375</v>
      </c>
      <c r="Z17" t="s">
        <v>1375</v>
      </c>
      <c r="AA17" t="s">
        <v>1375</v>
      </c>
      <c r="AB17" t="s">
        <v>7254</v>
      </c>
      <c r="AC17" t="s">
        <v>7254</v>
      </c>
      <c r="AD17" t="s">
        <v>7254</v>
      </c>
      <c r="AE17" t="s">
        <v>7254</v>
      </c>
      <c r="AF17" t="s">
        <v>6038</v>
      </c>
      <c r="AG17" t="s">
        <v>6038</v>
      </c>
      <c r="AH17" t="s">
        <v>5937</v>
      </c>
      <c r="AI17" t="s">
        <v>5930</v>
      </c>
      <c r="AJ17" t="s">
        <v>5930</v>
      </c>
      <c r="AK17" t="s">
        <v>5990</v>
      </c>
      <c r="AM17" t="s">
        <v>5989</v>
      </c>
      <c r="AN17" t="s">
        <v>5989</v>
      </c>
    </row>
    <row r="18" spans="1:40" x14ac:dyDescent="0.2">
      <c r="A18" t="str">
        <f t="shared" si="0"/>
        <v/>
      </c>
      <c r="C18" t="str">
        <f t="shared" si="1"/>
        <v/>
      </c>
      <c r="D18" t="str">
        <f t="shared" si="2"/>
        <v/>
      </c>
      <c r="E18" t="s">
        <v>784</v>
      </c>
      <c r="F18" t="s">
        <v>5935</v>
      </c>
      <c r="G18" t="s">
        <v>5993</v>
      </c>
      <c r="H18" t="s">
        <v>5931</v>
      </c>
      <c r="I18" t="s">
        <v>5921</v>
      </c>
      <c r="J18" t="s">
        <v>5926</v>
      </c>
      <c r="K18" t="s">
        <v>5921</v>
      </c>
      <c r="M18" t="s">
        <v>6002</v>
      </c>
      <c r="N18" t="s">
        <v>5979</v>
      </c>
      <c r="O18" t="s">
        <v>5994</v>
      </c>
      <c r="P18" t="s">
        <v>5955</v>
      </c>
      <c r="Q18" t="s">
        <v>5931</v>
      </c>
      <c r="R18" t="s">
        <v>5930</v>
      </c>
      <c r="U18" t="s">
        <v>6012</v>
      </c>
      <c r="V18" t="s">
        <v>6008</v>
      </c>
      <c r="X18" t="s">
        <v>6013</v>
      </c>
      <c r="Y18" t="s">
        <v>6013</v>
      </c>
      <c r="Z18" t="s">
        <v>6013</v>
      </c>
      <c r="AA18" t="s">
        <v>6013</v>
      </c>
      <c r="AB18" t="s">
        <v>308</v>
      </c>
      <c r="AC18" t="s">
        <v>308</v>
      </c>
      <c r="AD18" t="s">
        <v>308</v>
      </c>
      <c r="AE18" t="s">
        <v>308</v>
      </c>
      <c r="AF18" t="s">
        <v>6039</v>
      </c>
      <c r="AG18" t="s">
        <v>6039</v>
      </c>
      <c r="AH18" t="s">
        <v>5941</v>
      </c>
      <c r="AI18" t="s">
        <v>5929</v>
      </c>
      <c r="AJ18" t="s">
        <v>5929</v>
      </c>
      <c r="AK18" t="s">
        <v>5993</v>
      </c>
      <c r="AM18" t="s">
        <v>5990</v>
      </c>
      <c r="AN18" t="s">
        <v>5990</v>
      </c>
    </row>
    <row r="19" spans="1:40" x14ac:dyDescent="0.2">
      <c r="A19" t="str">
        <f t="shared" si="0"/>
        <v/>
      </c>
      <c r="C19" t="str">
        <f t="shared" si="1"/>
        <v/>
      </c>
      <c r="D19" t="str">
        <f t="shared" si="2"/>
        <v/>
      </c>
      <c r="E19" t="s">
        <v>784</v>
      </c>
      <c r="F19" t="s">
        <v>5936</v>
      </c>
      <c r="G19" t="s">
        <v>5992</v>
      </c>
      <c r="H19" t="s">
        <v>5932</v>
      </c>
      <c r="I19" t="s">
        <v>5927</v>
      </c>
      <c r="J19" t="s">
        <v>5920</v>
      </c>
      <c r="K19" t="s">
        <v>5927</v>
      </c>
      <c r="M19" t="s">
        <v>6001</v>
      </c>
      <c r="N19" t="s">
        <v>5980</v>
      </c>
      <c r="O19" t="s">
        <v>5983</v>
      </c>
      <c r="P19" t="s">
        <v>5954</v>
      </c>
      <c r="Q19" t="s">
        <v>5932</v>
      </c>
      <c r="R19" t="s">
        <v>5929</v>
      </c>
      <c r="T19" t="s">
        <v>5943</v>
      </c>
      <c r="U19" t="s">
        <v>5919</v>
      </c>
      <c r="V19" t="s">
        <v>7255</v>
      </c>
      <c r="X19" t="s">
        <v>6011</v>
      </c>
      <c r="Y19" t="s">
        <v>6011</v>
      </c>
      <c r="Z19" t="s">
        <v>6011</v>
      </c>
      <c r="AA19" t="s">
        <v>6011</v>
      </c>
      <c r="AB19" t="s">
        <v>6014</v>
      </c>
      <c r="AC19" t="s">
        <v>6014</v>
      </c>
      <c r="AD19" t="s">
        <v>6014</v>
      </c>
      <c r="AE19" t="s">
        <v>6014</v>
      </c>
      <c r="AF19" t="s">
        <v>6042</v>
      </c>
      <c r="AG19" t="s">
        <v>6042</v>
      </c>
      <c r="AH19" t="s">
        <v>5942</v>
      </c>
      <c r="AI19" t="s">
        <v>5933</v>
      </c>
      <c r="AJ19" t="s">
        <v>5933</v>
      </c>
      <c r="AK19" t="s">
        <v>5992</v>
      </c>
      <c r="AM19" t="s">
        <v>5993</v>
      </c>
      <c r="AN19" t="s">
        <v>5993</v>
      </c>
    </row>
    <row r="20" spans="1:40" x14ac:dyDescent="0.2">
      <c r="A20" t="str">
        <f t="shared" si="0"/>
        <v/>
      </c>
      <c r="C20" t="str">
        <f t="shared" si="1"/>
        <v/>
      </c>
      <c r="D20" t="str">
        <f t="shared" si="2"/>
        <v/>
      </c>
      <c r="E20" t="s">
        <v>784</v>
      </c>
      <c r="F20" t="s">
        <v>5934</v>
      </c>
      <c r="G20" t="s">
        <v>5991</v>
      </c>
      <c r="H20" t="s">
        <v>5930</v>
      </c>
      <c r="I20" t="s">
        <v>5924</v>
      </c>
      <c r="J20" t="s">
        <v>5925</v>
      </c>
      <c r="K20" t="s">
        <v>5924</v>
      </c>
      <c r="M20" t="s">
        <v>5999</v>
      </c>
      <c r="N20" t="s">
        <v>5978</v>
      </c>
      <c r="O20" t="s">
        <v>5985</v>
      </c>
      <c r="P20" t="s">
        <v>5957</v>
      </c>
      <c r="Q20" t="s">
        <v>5930</v>
      </c>
      <c r="R20" t="s">
        <v>5933</v>
      </c>
      <c r="T20" t="s">
        <v>5947</v>
      </c>
      <c r="U20" t="s">
        <v>5921</v>
      </c>
      <c r="V20" t="s">
        <v>6012</v>
      </c>
      <c r="X20" t="s">
        <v>6010</v>
      </c>
      <c r="Y20" t="s">
        <v>6010</v>
      </c>
      <c r="Z20" t="s">
        <v>6010</v>
      </c>
      <c r="AA20" t="s">
        <v>6010</v>
      </c>
      <c r="AB20" t="s">
        <v>7253</v>
      </c>
      <c r="AC20" t="s">
        <v>7253</v>
      </c>
      <c r="AD20" t="s">
        <v>7253</v>
      </c>
      <c r="AE20" t="s">
        <v>7253</v>
      </c>
      <c r="AF20" t="s">
        <v>6040</v>
      </c>
      <c r="AG20" t="s">
        <v>6040</v>
      </c>
      <c r="AH20" t="s">
        <v>5939</v>
      </c>
      <c r="AI20" t="s">
        <v>5919</v>
      </c>
      <c r="AJ20" t="s">
        <v>5919</v>
      </c>
      <c r="AK20" t="s">
        <v>5991</v>
      </c>
      <c r="AM20" t="s">
        <v>5992</v>
      </c>
      <c r="AN20" t="s">
        <v>5992</v>
      </c>
    </row>
    <row r="21" spans="1:40" x14ac:dyDescent="0.2">
      <c r="A21" t="str">
        <f t="shared" si="0"/>
        <v/>
      </c>
      <c r="C21" t="str">
        <f t="shared" si="1"/>
        <v/>
      </c>
      <c r="D21" t="str">
        <f t="shared" si="2"/>
        <v/>
      </c>
      <c r="E21" t="s">
        <v>784</v>
      </c>
      <c r="F21" t="s">
        <v>2265</v>
      </c>
      <c r="G21" t="s">
        <v>2144</v>
      </c>
      <c r="H21" t="s">
        <v>5929</v>
      </c>
      <c r="I21" t="s">
        <v>5923</v>
      </c>
      <c r="J21" t="s">
        <v>5922</v>
      </c>
      <c r="K21" t="s">
        <v>5923</v>
      </c>
      <c r="M21" t="s">
        <v>5998</v>
      </c>
      <c r="N21" t="s">
        <v>5950</v>
      </c>
      <c r="P21" t="s">
        <v>5956</v>
      </c>
      <c r="Q21" t="s">
        <v>5929</v>
      </c>
      <c r="R21" t="s">
        <v>2901</v>
      </c>
      <c r="T21" t="s">
        <v>5948</v>
      </c>
      <c r="U21" t="s">
        <v>5927</v>
      </c>
      <c r="V21" t="s">
        <v>3050</v>
      </c>
      <c r="X21" t="s">
        <v>6009</v>
      </c>
      <c r="Y21" t="s">
        <v>6009</v>
      </c>
      <c r="Z21" t="s">
        <v>6009</v>
      </c>
      <c r="AA21" t="s">
        <v>6009</v>
      </c>
      <c r="AB21" t="s">
        <v>307</v>
      </c>
      <c r="AC21" t="s">
        <v>307</v>
      </c>
      <c r="AD21" t="s">
        <v>307</v>
      </c>
      <c r="AE21" t="s">
        <v>307</v>
      </c>
      <c r="AF21" t="s">
        <v>6041</v>
      </c>
      <c r="AG21" t="s">
        <v>6041</v>
      </c>
      <c r="AH21" t="s">
        <v>5940</v>
      </c>
      <c r="AI21" t="s">
        <v>5921</v>
      </c>
      <c r="AJ21" t="s">
        <v>5921</v>
      </c>
      <c r="AK21" t="s">
        <v>2264</v>
      </c>
      <c r="AM21" t="s">
        <v>5991</v>
      </c>
      <c r="AN21" t="s">
        <v>5991</v>
      </c>
    </row>
    <row r="22" spans="1:40" x14ac:dyDescent="0.2">
      <c r="A22" t="str">
        <f t="shared" si="0"/>
        <v/>
      </c>
      <c r="C22" t="str">
        <f t="shared" si="1"/>
        <v/>
      </c>
      <c r="D22" t="str">
        <f t="shared" si="2"/>
        <v/>
      </c>
      <c r="E22" t="s">
        <v>784</v>
      </c>
      <c r="F22" t="s">
        <v>5950</v>
      </c>
      <c r="G22" t="s">
        <v>5965</v>
      </c>
      <c r="H22" t="s">
        <v>5933</v>
      </c>
      <c r="I22" t="s">
        <v>5926</v>
      </c>
      <c r="J22" t="s">
        <v>5918</v>
      </c>
      <c r="K22" t="s">
        <v>5926</v>
      </c>
      <c r="M22" t="s">
        <v>6000</v>
      </c>
      <c r="N22" t="s">
        <v>5955</v>
      </c>
      <c r="O22" t="s">
        <v>8397</v>
      </c>
      <c r="P22" t="s">
        <v>5951</v>
      </c>
      <c r="Q22" t="s">
        <v>5933</v>
      </c>
      <c r="R22" t="s">
        <v>2147</v>
      </c>
      <c r="T22" t="s">
        <v>5949</v>
      </c>
      <c r="U22" t="s">
        <v>5924</v>
      </c>
      <c r="V22" t="s">
        <v>5977</v>
      </c>
      <c r="X22" t="s">
        <v>6008</v>
      </c>
      <c r="Y22" t="s">
        <v>6008</v>
      </c>
      <c r="Z22" t="s">
        <v>6008</v>
      </c>
      <c r="AA22" t="s">
        <v>6008</v>
      </c>
      <c r="AF22" t="s">
        <v>6043</v>
      </c>
      <c r="AG22" t="s">
        <v>6043</v>
      </c>
      <c r="AH22" t="s">
        <v>5938</v>
      </c>
      <c r="AI22" t="s">
        <v>5927</v>
      </c>
      <c r="AJ22" t="s">
        <v>5927</v>
      </c>
      <c r="AK22" t="s">
        <v>6004</v>
      </c>
      <c r="AM22" t="s">
        <v>2264</v>
      </c>
      <c r="AN22" t="s">
        <v>2264</v>
      </c>
    </row>
    <row r="23" spans="1:40" x14ac:dyDescent="0.2">
      <c r="A23" t="str">
        <f t="shared" si="0"/>
        <v/>
      </c>
      <c r="C23" t="str">
        <f t="shared" si="1"/>
        <v/>
      </c>
      <c r="D23" t="str">
        <f t="shared" si="2"/>
        <v/>
      </c>
      <c r="E23" t="s">
        <v>784</v>
      </c>
      <c r="F23" t="s">
        <v>5955</v>
      </c>
      <c r="G23" t="s">
        <v>5966</v>
      </c>
      <c r="H23" t="s">
        <v>2530</v>
      </c>
      <c r="I23" t="s">
        <v>5920</v>
      </c>
      <c r="J23" t="s">
        <v>5913</v>
      </c>
      <c r="K23" t="s">
        <v>5920</v>
      </c>
      <c r="M23" t="s">
        <v>5994</v>
      </c>
      <c r="N23" t="s">
        <v>5954</v>
      </c>
      <c r="P23" t="s">
        <v>5958</v>
      </c>
      <c r="Q23" t="s">
        <v>2901</v>
      </c>
      <c r="R23" t="s">
        <v>5950</v>
      </c>
      <c r="T23" t="s">
        <v>5944</v>
      </c>
      <c r="U23" t="s">
        <v>5923</v>
      </c>
      <c r="V23" t="s">
        <v>2898</v>
      </c>
      <c r="X23" t="s">
        <v>7255</v>
      </c>
      <c r="Y23" t="s">
        <v>7255</v>
      </c>
      <c r="Z23" t="s">
        <v>7255</v>
      </c>
      <c r="AA23" t="s">
        <v>7255</v>
      </c>
      <c r="AF23" t="s">
        <v>6044</v>
      </c>
      <c r="AG23" t="s">
        <v>6044</v>
      </c>
      <c r="AH23" t="s">
        <v>6064</v>
      </c>
      <c r="AI23" t="s">
        <v>5924</v>
      </c>
      <c r="AJ23" t="s">
        <v>5924</v>
      </c>
      <c r="AK23" t="s">
        <v>6003</v>
      </c>
      <c r="AM23" t="s">
        <v>6004</v>
      </c>
      <c r="AN23" t="s">
        <v>6004</v>
      </c>
    </row>
    <row r="24" spans="1:40" x14ac:dyDescent="0.2">
      <c r="A24" t="str">
        <f t="shared" si="0"/>
        <v/>
      </c>
      <c r="C24" t="str">
        <f t="shared" si="1"/>
        <v/>
      </c>
      <c r="D24" t="str">
        <f t="shared" si="2"/>
        <v/>
      </c>
      <c r="E24" t="s">
        <v>784</v>
      </c>
      <c r="F24" t="s">
        <v>5954</v>
      </c>
      <c r="G24" t="s">
        <v>5969</v>
      </c>
      <c r="H24" t="s">
        <v>5935</v>
      </c>
      <c r="I24" t="s">
        <v>5925</v>
      </c>
      <c r="J24" t="s">
        <v>5917</v>
      </c>
      <c r="K24" t="s">
        <v>5925</v>
      </c>
      <c r="M24" t="s">
        <v>5982</v>
      </c>
      <c r="N24" t="s">
        <v>5957</v>
      </c>
      <c r="O24" t="s">
        <v>4038</v>
      </c>
      <c r="P24" t="s">
        <v>5952</v>
      </c>
      <c r="Q24" t="s">
        <v>5950</v>
      </c>
      <c r="R24" t="s">
        <v>5955</v>
      </c>
      <c r="T24" t="s">
        <v>5945</v>
      </c>
      <c r="U24" t="s">
        <v>5926</v>
      </c>
      <c r="V24" t="s">
        <v>6006</v>
      </c>
      <c r="X24" t="s">
        <v>6012</v>
      </c>
      <c r="Y24" t="s">
        <v>6012</v>
      </c>
      <c r="Z24" t="s">
        <v>6012</v>
      </c>
      <c r="AA24" t="s">
        <v>6012</v>
      </c>
      <c r="AF24" t="s">
        <v>6047</v>
      </c>
      <c r="AG24" t="s">
        <v>6047</v>
      </c>
      <c r="AH24" t="s">
        <v>6062</v>
      </c>
      <c r="AI24" t="s">
        <v>5923</v>
      </c>
      <c r="AJ24" t="s">
        <v>5923</v>
      </c>
      <c r="AK24" t="s">
        <v>6005</v>
      </c>
      <c r="AM24" t="s">
        <v>6003</v>
      </c>
      <c r="AN24" t="s">
        <v>6003</v>
      </c>
    </row>
    <row r="25" spans="1:40" x14ac:dyDescent="0.2">
      <c r="A25" t="str">
        <f t="shared" si="0"/>
        <v/>
      </c>
      <c r="C25" t="str">
        <f t="shared" si="1"/>
        <v/>
      </c>
      <c r="D25" t="str">
        <f t="shared" si="2"/>
        <v/>
      </c>
      <c r="E25" t="s">
        <v>784</v>
      </c>
      <c r="F25" t="s">
        <v>5957</v>
      </c>
      <c r="G25" t="s">
        <v>5967</v>
      </c>
      <c r="H25" t="s">
        <v>5936</v>
      </c>
      <c r="I25" t="s">
        <v>5922</v>
      </c>
      <c r="J25" t="s">
        <v>5912</v>
      </c>
      <c r="K25" t="s">
        <v>5922</v>
      </c>
      <c r="M25" t="s">
        <v>5984</v>
      </c>
      <c r="N25" t="s">
        <v>5956</v>
      </c>
      <c r="O25" t="s">
        <v>5963</v>
      </c>
      <c r="P25" t="s">
        <v>5953</v>
      </c>
      <c r="Q25" t="s">
        <v>5955</v>
      </c>
      <c r="R25" t="s">
        <v>5954</v>
      </c>
      <c r="T25" t="s">
        <v>5946</v>
      </c>
      <c r="U25" t="s">
        <v>5920</v>
      </c>
      <c r="V25" t="s">
        <v>2899</v>
      </c>
      <c r="X25" t="s">
        <v>5919</v>
      </c>
      <c r="Y25" t="s">
        <v>5919</v>
      </c>
      <c r="Z25" t="s">
        <v>5919</v>
      </c>
      <c r="AA25" t="s">
        <v>5919</v>
      </c>
      <c r="AF25" t="s">
        <v>6045</v>
      </c>
      <c r="AG25" t="s">
        <v>6045</v>
      </c>
      <c r="AH25" t="s">
        <v>6063</v>
      </c>
      <c r="AI25" t="s">
        <v>5926</v>
      </c>
      <c r="AJ25" t="s">
        <v>5926</v>
      </c>
      <c r="AK25" t="s">
        <v>5995</v>
      </c>
      <c r="AM25" t="s">
        <v>6005</v>
      </c>
      <c r="AN25" t="s">
        <v>6005</v>
      </c>
    </row>
    <row r="26" spans="1:40" x14ac:dyDescent="0.2">
      <c r="A26" t="str">
        <f t="shared" si="0"/>
        <v/>
      </c>
      <c r="C26" t="str">
        <f t="shared" si="1"/>
        <v/>
      </c>
      <c r="D26" t="str">
        <f t="shared" si="2"/>
        <v/>
      </c>
      <c r="E26" t="s">
        <v>784</v>
      </c>
      <c r="F26" t="s">
        <v>5956</v>
      </c>
      <c r="G26" t="s">
        <v>5968</v>
      </c>
      <c r="H26" t="s">
        <v>5934</v>
      </c>
      <c r="I26" t="s">
        <v>5915</v>
      </c>
      <c r="J26" t="s">
        <v>5915</v>
      </c>
      <c r="M26" t="s">
        <v>5983</v>
      </c>
      <c r="N26" t="s">
        <v>5951</v>
      </c>
      <c r="O26" t="s">
        <v>5961</v>
      </c>
      <c r="P26" t="s">
        <v>2148</v>
      </c>
      <c r="Q26" t="s">
        <v>5954</v>
      </c>
      <c r="R26" t="s">
        <v>5957</v>
      </c>
      <c r="T26" t="s">
        <v>5928</v>
      </c>
      <c r="U26" t="s">
        <v>5925</v>
      </c>
      <c r="V26" t="s">
        <v>1376</v>
      </c>
      <c r="X26" t="s">
        <v>5921</v>
      </c>
      <c r="Y26" t="s">
        <v>5921</v>
      </c>
      <c r="Z26" t="s">
        <v>5921</v>
      </c>
      <c r="AA26" t="s">
        <v>5921</v>
      </c>
      <c r="AF26" t="s">
        <v>6046</v>
      </c>
      <c r="AG26" t="s">
        <v>6046</v>
      </c>
      <c r="AH26" t="s">
        <v>6065</v>
      </c>
      <c r="AI26" t="s">
        <v>5920</v>
      </c>
      <c r="AJ26" t="s">
        <v>5920</v>
      </c>
      <c r="AK26" t="s">
        <v>5996</v>
      </c>
      <c r="AM26" t="s">
        <v>5995</v>
      </c>
      <c r="AN26" t="s">
        <v>5995</v>
      </c>
    </row>
    <row r="27" spans="1:40" x14ac:dyDescent="0.2">
      <c r="A27" t="str">
        <f t="shared" si="0"/>
        <v/>
      </c>
      <c r="C27" t="str">
        <f t="shared" si="1"/>
        <v/>
      </c>
      <c r="D27" t="str">
        <f t="shared" si="2"/>
        <v/>
      </c>
      <c r="E27" t="s">
        <v>784</v>
      </c>
      <c r="F27" t="s">
        <v>5951</v>
      </c>
      <c r="G27" t="s">
        <v>5972</v>
      </c>
      <c r="H27" t="s">
        <v>2265</v>
      </c>
      <c r="I27" t="s">
        <v>2899</v>
      </c>
      <c r="J27" t="s">
        <v>5914</v>
      </c>
      <c r="N27" t="s">
        <v>5958</v>
      </c>
      <c r="O27" t="s">
        <v>5959</v>
      </c>
      <c r="P27" t="s">
        <v>5919</v>
      </c>
      <c r="Q27" t="s">
        <v>5957</v>
      </c>
      <c r="R27" t="s">
        <v>5956</v>
      </c>
      <c r="T27" t="s">
        <v>5931</v>
      </c>
      <c r="U27" t="s">
        <v>5922</v>
      </c>
      <c r="V27" t="s">
        <v>5976</v>
      </c>
      <c r="X27" t="s">
        <v>5927</v>
      </c>
      <c r="Y27" t="s">
        <v>5927</v>
      </c>
      <c r="Z27" t="s">
        <v>5927</v>
      </c>
      <c r="AA27" t="s">
        <v>5927</v>
      </c>
      <c r="AF27" t="s">
        <v>6048</v>
      </c>
      <c r="AG27" t="s">
        <v>6048</v>
      </c>
      <c r="AH27" t="s">
        <v>6066</v>
      </c>
      <c r="AI27" t="s">
        <v>5925</v>
      </c>
      <c r="AJ27" t="s">
        <v>5925</v>
      </c>
      <c r="AK27" t="s">
        <v>5997</v>
      </c>
      <c r="AM27" t="s">
        <v>5996</v>
      </c>
      <c r="AN27" t="s">
        <v>5996</v>
      </c>
    </row>
    <row r="28" spans="1:40" x14ac:dyDescent="0.2">
      <c r="A28" t="str">
        <f t="shared" si="0"/>
        <v/>
      </c>
      <c r="C28" t="str">
        <f t="shared" si="1"/>
        <v/>
      </c>
      <c r="D28" t="str">
        <f t="shared" si="2"/>
        <v/>
      </c>
      <c r="E28" t="s">
        <v>784</v>
      </c>
      <c r="F28" t="s">
        <v>5958</v>
      </c>
      <c r="G28" t="s">
        <v>5973</v>
      </c>
      <c r="H28" t="s">
        <v>5919</v>
      </c>
      <c r="I28" t="s">
        <v>5937</v>
      </c>
      <c r="J28" t="s">
        <v>5916</v>
      </c>
      <c r="M28" t="s">
        <v>8397</v>
      </c>
      <c r="N28" t="s">
        <v>5952</v>
      </c>
      <c r="O28" t="s">
        <v>4037</v>
      </c>
      <c r="P28" t="s">
        <v>5921</v>
      </c>
      <c r="Q28" t="s">
        <v>5956</v>
      </c>
      <c r="R28" t="s">
        <v>5951</v>
      </c>
      <c r="T28" t="s">
        <v>5932</v>
      </c>
      <c r="U28" t="s">
        <v>5915</v>
      </c>
      <c r="V28" t="s">
        <v>4646</v>
      </c>
      <c r="X28" t="s">
        <v>5924</v>
      </c>
      <c r="Y28" t="s">
        <v>5924</v>
      </c>
      <c r="Z28" t="s">
        <v>5924</v>
      </c>
      <c r="AA28" t="s">
        <v>5924</v>
      </c>
      <c r="AF28" t="s">
        <v>6049</v>
      </c>
      <c r="AG28" t="s">
        <v>6049</v>
      </c>
      <c r="AI28" t="s">
        <v>5922</v>
      </c>
      <c r="AJ28" t="s">
        <v>5922</v>
      </c>
      <c r="AK28" t="s">
        <v>6002</v>
      </c>
      <c r="AM28" t="s">
        <v>5997</v>
      </c>
      <c r="AN28" t="s">
        <v>5997</v>
      </c>
    </row>
    <row r="29" spans="1:40" x14ac:dyDescent="0.2">
      <c r="A29" t="str">
        <f t="shared" si="0"/>
        <v/>
      </c>
      <c r="C29" t="str">
        <f t="shared" si="1"/>
        <v/>
      </c>
      <c r="D29" t="str">
        <f t="shared" si="2"/>
        <v/>
      </c>
      <c r="E29" t="s">
        <v>784</v>
      </c>
      <c r="F29" t="s">
        <v>5952</v>
      </c>
      <c r="G29" t="s">
        <v>5974</v>
      </c>
      <c r="H29" t="s">
        <v>5921</v>
      </c>
      <c r="I29" t="s">
        <v>5941</v>
      </c>
      <c r="J29" t="s">
        <v>2898</v>
      </c>
      <c r="N29" t="s">
        <v>5953</v>
      </c>
      <c r="O29" t="s">
        <v>5964</v>
      </c>
      <c r="P29" t="s">
        <v>5927</v>
      </c>
      <c r="Q29" t="s">
        <v>5951</v>
      </c>
      <c r="R29" t="s">
        <v>5958</v>
      </c>
      <c r="T29" t="s">
        <v>5930</v>
      </c>
      <c r="U29" t="s">
        <v>2899</v>
      </c>
      <c r="X29" t="s">
        <v>5923</v>
      </c>
      <c r="Y29" t="s">
        <v>5923</v>
      </c>
      <c r="Z29" t="s">
        <v>5923</v>
      </c>
      <c r="AA29" t="s">
        <v>5923</v>
      </c>
      <c r="AF29" t="s">
        <v>6052</v>
      </c>
      <c r="AG29" t="s">
        <v>6052</v>
      </c>
      <c r="AI29" t="s">
        <v>6027</v>
      </c>
      <c r="AJ29" t="s">
        <v>6027</v>
      </c>
      <c r="AK29" t="s">
        <v>6001</v>
      </c>
      <c r="AM29" t="s">
        <v>6002</v>
      </c>
      <c r="AN29" t="s">
        <v>6002</v>
      </c>
    </row>
    <row r="30" spans="1:40" x14ac:dyDescent="0.2">
      <c r="A30" t="str">
        <f t="shared" si="0"/>
        <v/>
      </c>
      <c r="C30" t="str">
        <f t="shared" si="1"/>
        <v/>
      </c>
      <c r="D30" t="str">
        <f t="shared" si="2"/>
        <v/>
      </c>
      <c r="E30" t="s">
        <v>784</v>
      </c>
      <c r="F30" t="s">
        <v>5953</v>
      </c>
      <c r="G30" t="s">
        <v>5975</v>
      </c>
      <c r="H30" t="s">
        <v>5927</v>
      </c>
      <c r="I30" t="s">
        <v>5942</v>
      </c>
      <c r="J30" t="s">
        <v>6006</v>
      </c>
      <c r="M30" t="s">
        <v>4038</v>
      </c>
      <c r="N30" t="s">
        <v>2263</v>
      </c>
      <c r="O30" t="s">
        <v>5962</v>
      </c>
      <c r="P30" t="s">
        <v>5924</v>
      </c>
      <c r="Q30" t="s">
        <v>5958</v>
      </c>
      <c r="R30" t="s">
        <v>5952</v>
      </c>
      <c r="T30" t="s">
        <v>5929</v>
      </c>
      <c r="U30" t="s">
        <v>1376</v>
      </c>
      <c r="X30" t="s">
        <v>5926</v>
      </c>
      <c r="Y30" t="s">
        <v>5926</v>
      </c>
      <c r="Z30" t="s">
        <v>5926</v>
      </c>
      <c r="AA30" t="s">
        <v>5926</v>
      </c>
      <c r="AF30" t="s">
        <v>6050</v>
      </c>
      <c r="AG30" t="s">
        <v>6050</v>
      </c>
      <c r="AI30" t="s">
        <v>6025</v>
      </c>
      <c r="AJ30" t="s">
        <v>6025</v>
      </c>
      <c r="AK30" t="s">
        <v>5999</v>
      </c>
      <c r="AM30" t="s">
        <v>6001</v>
      </c>
      <c r="AN30" t="s">
        <v>6001</v>
      </c>
    </row>
    <row r="31" spans="1:40" x14ac:dyDescent="0.2">
      <c r="A31" t="str">
        <f t="shared" si="0"/>
        <v/>
      </c>
      <c r="C31" t="str">
        <f t="shared" si="1"/>
        <v/>
      </c>
      <c r="D31" t="str">
        <f t="shared" si="2"/>
        <v/>
      </c>
      <c r="E31" t="s">
        <v>784</v>
      </c>
      <c r="F31" t="s">
        <v>5987</v>
      </c>
      <c r="G31" t="s">
        <v>2264</v>
      </c>
      <c r="H31" t="s">
        <v>5924</v>
      </c>
      <c r="I31" t="s">
        <v>5939</v>
      </c>
      <c r="J31" t="s">
        <v>5937</v>
      </c>
      <c r="M31" t="s">
        <v>5963</v>
      </c>
      <c r="N31" t="s">
        <v>2264</v>
      </c>
      <c r="O31" t="s">
        <v>5960</v>
      </c>
      <c r="P31" t="s">
        <v>5923</v>
      </c>
      <c r="Q31" t="s">
        <v>5952</v>
      </c>
      <c r="R31" t="s">
        <v>5953</v>
      </c>
      <c r="T31" t="s">
        <v>5933</v>
      </c>
      <c r="U31" t="s">
        <v>5937</v>
      </c>
      <c r="X31" t="s">
        <v>5920</v>
      </c>
      <c r="Y31" t="s">
        <v>5920</v>
      </c>
      <c r="Z31" t="s">
        <v>5920</v>
      </c>
      <c r="AA31" t="s">
        <v>5920</v>
      </c>
      <c r="AF31" t="s">
        <v>6051</v>
      </c>
      <c r="AG31" t="s">
        <v>6051</v>
      </c>
      <c r="AI31" t="s">
        <v>6026</v>
      </c>
      <c r="AJ31" t="s">
        <v>6026</v>
      </c>
      <c r="AK31" t="s">
        <v>5998</v>
      </c>
      <c r="AM31" t="s">
        <v>5999</v>
      </c>
      <c r="AN31" t="s">
        <v>5999</v>
      </c>
    </row>
    <row r="32" spans="1:40" x14ac:dyDescent="0.2">
      <c r="A32" t="str">
        <f t="shared" si="0"/>
        <v/>
      </c>
      <c r="C32" t="str">
        <f t="shared" si="1"/>
        <v/>
      </c>
      <c r="D32" t="str">
        <f t="shared" si="2"/>
        <v/>
      </c>
      <c r="E32" t="s">
        <v>784</v>
      </c>
      <c r="F32" t="s">
        <v>5988</v>
      </c>
      <c r="G32" t="s">
        <v>6004</v>
      </c>
      <c r="H32" t="s">
        <v>5923</v>
      </c>
      <c r="I32" t="s">
        <v>5940</v>
      </c>
      <c r="J32" t="s">
        <v>5941</v>
      </c>
      <c r="M32" t="s">
        <v>5961</v>
      </c>
      <c r="N32" t="s">
        <v>6004</v>
      </c>
      <c r="O32" t="s">
        <v>3051</v>
      </c>
      <c r="P32" t="s">
        <v>5926</v>
      </c>
      <c r="Q32" t="s">
        <v>5953</v>
      </c>
      <c r="R32" t="s">
        <v>2148</v>
      </c>
      <c r="T32" t="s">
        <v>2530</v>
      </c>
      <c r="U32" t="s">
        <v>5941</v>
      </c>
      <c r="X32" t="s">
        <v>5925</v>
      </c>
      <c r="Y32" t="s">
        <v>5925</v>
      </c>
      <c r="Z32" t="s">
        <v>5925</v>
      </c>
      <c r="AA32" t="s">
        <v>5925</v>
      </c>
      <c r="AF32" t="s">
        <v>6053</v>
      </c>
      <c r="AG32" t="s">
        <v>6053</v>
      </c>
      <c r="AI32" t="s">
        <v>6028</v>
      </c>
      <c r="AJ32" t="s">
        <v>6028</v>
      </c>
      <c r="AK32" t="s">
        <v>6000</v>
      </c>
      <c r="AM32" t="s">
        <v>5998</v>
      </c>
      <c r="AN32" t="s">
        <v>5998</v>
      </c>
    </row>
    <row r="33" spans="1:40" x14ac:dyDescent="0.2">
      <c r="A33" t="str">
        <f t="shared" si="0"/>
        <v/>
      </c>
      <c r="C33" t="str">
        <f t="shared" si="1"/>
        <v/>
      </c>
      <c r="D33" t="str">
        <f t="shared" si="2"/>
        <v/>
      </c>
      <c r="E33" t="s">
        <v>784</v>
      </c>
      <c r="F33" t="s">
        <v>5989</v>
      </c>
      <c r="G33" t="s">
        <v>6003</v>
      </c>
      <c r="H33" t="s">
        <v>5926</v>
      </c>
      <c r="I33" t="s">
        <v>5938</v>
      </c>
      <c r="J33" t="s">
        <v>5942</v>
      </c>
      <c r="M33" t="s">
        <v>5959</v>
      </c>
      <c r="N33" t="s">
        <v>6003</v>
      </c>
      <c r="O33" t="s">
        <v>5979</v>
      </c>
      <c r="P33" t="s">
        <v>5920</v>
      </c>
      <c r="Q33" t="s">
        <v>5919</v>
      </c>
      <c r="R33" t="s">
        <v>5919</v>
      </c>
      <c r="T33" t="s">
        <v>5935</v>
      </c>
      <c r="U33" t="s">
        <v>5942</v>
      </c>
      <c r="X33" t="s">
        <v>5922</v>
      </c>
      <c r="Y33" t="s">
        <v>5922</v>
      </c>
      <c r="Z33" t="s">
        <v>5922</v>
      </c>
      <c r="AA33" t="s">
        <v>5922</v>
      </c>
      <c r="AF33" t="s">
        <v>6054</v>
      </c>
      <c r="AG33" t="s">
        <v>6054</v>
      </c>
      <c r="AI33" t="s">
        <v>6029</v>
      </c>
      <c r="AJ33" t="s">
        <v>6029</v>
      </c>
      <c r="AK33" t="s">
        <v>5994</v>
      </c>
      <c r="AM33" t="s">
        <v>6000</v>
      </c>
      <c r="AN33" t="s">
        <v>6000</v>
      </c>
    </row>
    <row r="34" spans="1:40" x14ac:dyDescent="0.2">
      <c r="A34" t="str">
        <f t="shared" ref="A34:A65" si="3">IF(OR(ISBLANK(RASSEGENE),RASSEGENE="LEER"),"",IF(HLOOKUP(RASSEGENE,LIST_R_K,ROW(),FALSE)="","",HLOOKUP(RASSEGENE,LIST_R_K,ROW(),FALSE)))</f>
        <v/>
      </c>
      <c r="C34" t="str">
        <f t="shared" si="1"/>
        <v/>
      </c>
      <c r="D34" t="str">
        <f t="shared" si="2"/>
        <v/>
      </c>
      <c r="E34" t="s">
        <v>784</v>
      </c>
      <c r="F34" t="s">
        <v>5990</v>
      </c>
      <c r="G34" t="s">
        <v>6005</v>
      </c>
      <c r="H34" t="s">
        <v>5920</v>
      </c>
      <c r="I34" t="s">
        <v>5976</v>
      </c>
      <c r="J34" t="s">
        <v>5939</v>
      </c>
      <c r="M34" t="s">
        <v>4037</v>
      </c>
      <c r="N34" t="s">
        <v>6005</v>
      </c>
      <c r="O34" t="s">
        <v>5980</v>
      </c>
      <c r="P34" t="s">
        <v>5925</v>
      </c>
      <c r="Q34" t="s">
        <v>5921</v>
      </c>
      <c r="R34" t="s">
        <v>5921</v>
      </c>
      <c r="T34" t="s">
        <v>5936</v>
      </c>
      <c r="U34" t="s">
        <v>5939</v>
      </c>
      <c r="X34" t="s">
        <v>5918</v>
      </c>
      <c r="Y34" t="s">
        <v>5918</v>
      </c>
      <c r="Z34" t="s">
        <v>5918</v>
      </c>
      <c r="AA34" t="s">
        <v>5918</v>
      </c>
      <c r="AF34" t="s">
        <v>6057</v>
      </c>
      <c r="AG34" t="s">
        <v>6057</v>
      </c>
      <c r="AI34" t="s">
        <v>6032</v>
      </c>
      <c r="AJ34" t="s">
        <v>6032</v>
      </c>
      <c r="AM34" t="s">
        <v>5994</v>
      </c>
      <c r="AN34" t="s">
        <v>5994</v>
      </c>
    </row>
    <row r="35" spans="1:40" x14ac:dyDescent="0.2">
      <c r="A35" t="str">
        <f t="shared" si="3"/>
        <v/>
      </c>
      <c r="C35" t="str">
        <f t="shared" si="1"/>
        <v/>
      </c>
      <c r="D35" t="str">
        <f t="shared" si="2"/>
        <v/>
      </c>
      <c r="E35" t="s">
        <v>784</v>
      </c>
      <c r="F35" t="s">
        <v>5993</v>
      </c>
      <c r="G35" t="s">
        <v>5995</v>
      </c>
      <c r="H35" t="s">
        <v>5925</v>
      </c>
      <c r="I35" t="s">
        <v>4646</v>
      </c>
      <c r="J35" t="s">
        <v>5940</v>
      </c>
      <c r="M35" t="s">
        <v>5964</v>
      </c>
      <c r="N35" t="s">
        <v>5995</v>
      </c>
      <c r="O35" t="s">
        <v>5950</v>
      </c>
      <c r="P35" t="s">
        <v>5922</v>
      </c>
      <c r="Q35" t="s">
        <v>5927</v>
      </c>
      <c r="R35" t="s">
        <v>5927</v>
      </c>
      <c r="T35" t="s">
        <v>5934</v>
      </c>
      <c r="U35" t="s">
        <v>5940</v>
      </c>
      <c r="X35" t="s">
        <v>5913</v>
      </c>
      <c r="Y35" t="s">
        <v>5913</v>
      </c>
      <c r="Z35" t="s">
        <v>5913</v>
      </c>
      <c r="AA35" t="s">
        <v>5913</v>
      </c>
      <c r="AF35" t="s">
        <v>6055</v>
      </c>
      <c r="AG35" t="s">
        <v>6055</v>
      </c>
      <c r="AI35" t="s">
        <v>6030</v>
      </c>
      <c r="AJ35" t="s">
        <v>6030</v>
      </c>
    </row>
    <row r="36" spans="1:40" x14ac:dyDescent="0.2">
      <c r="A36" t="str">
        <f t="shared" si="3"/>
        <v/>
      </c>
      <c r="C36" t="str">
        <f t="shared" si="1"/>
        <v/>
      </c>
      <c r="D36" t="str">
        <f t="shared" si="2"/>
        <v/>
      </c>
      <c r="E36" t="s">
        <v>784</v>
      </c>
      <c r="F36" t="s">
        <v>5992</v>
      </c>
      <c r="G36" t="s">
        <v>5996</v>
      </c>
      <c r="H36" t="s">
        <v>5922</v>
      </c>
      <c r="J36" t="s">
        <v>5938</v>
      </c>
      <c r="M36" t="s">
        <v>5962</v>
      </c>
      <c r="N36" t="s">
        <v>5996</v>
      </c>
      <c r="O36" t="s">
        <v>5955</v>
      </c>
      <c r="P36" t="s">
        <v>5918</v>
      </c>
      <c r="Q36" t="s">
        <v>5924</v>
      </c>
      <c r="R36" t="s">
        <v>5924</v>
      </c>
      <c r="T36" t="s">
        <v>5919</v>
      </c>
      <c r="U36" t="s">
        <v>5938</v>
      </c>
      <c r="X36" t="s">
        <v>5917</v>
      </c>
      <c r="Y36" t="s">
        <v>5917</v>
      </c>
      <c r="Z36" t="s">
        <v>5917</v>
      </c>
      <c r="AA36" t="s">
        <v>5917</v>
      </c>
      <c r="AF36" t="s">
        <v>6056</v>
      </c>
      <c r="AG36" t="s">
        <v>6056</v>
      </c>
      <c r="AI36" t="s">
        <v>6031</v>
      </c>
      <c r="AJ36" t="s">
        <v>6031</v>
      </c>
    </row>
    <row r="37" spans="1:40" x14ac:dyDescent="0.2">
      <c r="A37" t="str">
        <f t="shared" si="3"/>
        <v/>
      </c>
      <c r="C37" t="str">
        <f t="shared" si="1"/>
        <v/>
      </c>
      <c r="D37" t="str">
        <f t="shared" si="2"/>
        <v/>
      </c>
      <c r="E37" t="s">
        <v>784</v>
      </c>
      <c r="F37" t="s">
        <v>5991</v>
      </c>
      <c r="G37" t="s">
        <v>5997</v>
      </c>
      <c r="H37" t="s">
        <v>5918</v>
      </c>
      <c r="J37" t="s">
        <v>5976</v>
      </c>
      <c r="M37" t="s">
        <v>5960</v>
      </c>
      <c r="N37" t="s">
        <v>5997</v>
      </c>
      <c r="O37" t="s">
        <v>5954</v>
      </c>
      <c r="P37" t="s">
        <v>5913</v>
      </c>
      <c r="Q37" t="s">
        <v>5923</v>
      </c>
      <c r="R37" t="s">
        <v>5923</v>
      </c>
      <c r="T37" t="s">
        <v>5921</v>
      </c>
      <c r="X37" t="s">
        <v>5912</v>
      </c>
      <c r="Y37" t="s">
        <v>5912</v>
      </c>
      <c r="Z37" t="s">
        <v>5912</v>
      </c>
      <c r="AA37" t="s">
        <v>5912</v>
      </c>
      <c r="AF37" t="s">
        <v>6058</v>
      </c>
      <c r="AG37" t="s">
        <v>6058</v>
      </c>
      <c r="AI37" t="s">
        <v>6033</v>
      </c>
      <c r="AJ37" t="s">
        <v>6033</v>
      </c>
    </row>
    <row r="38" spans="1:40" x14ac:dyDescent="0.2">
      <c r="A38" t="str">
        <f t="shared" si="3"/>
        <v/>
      </c>
      <c r="C38" t="str">
        <f t="shared" si="1"/>
        <v/>
      </c>
      <c r="D38" t="str">
        <f t="shared" si="2"/>
        <v/>
      </c>
      <c r="E38" t="s">
        <v>784</v>
      </c>
      <c r="F38" t="s">
        <v>5919</v>
      </c>
      <c r="G38" t="s">
        <v>6002</v>
      </c>
      <c r="H38" t="s">
        <v>5913</v>
      </c>
      <c r="J38" t="s">
        <v>4646</v>
      </c>
      <c r="M38" t="s">
        <v>5950</v>
      </c>
      <c r="N38" t="s">
        <v>6002</v>
      </c>
      <c r="O38" t="s">
        <v>5957</v>
      </c>
      <c r="P38" t="s">
        <v>5917</v>
      </c>
      <c r="Q38" t="s">
        <v>5926</v>
      </c>
      <c r="R38" t="s">
        <v>5926</v>
      </c>
      <c r="T38" t="s">
        <v>5927</v>
      </c>
      <c r="X38" t="s">
        <v>5915</v>
      </c>
      <c r="Y38" t="s">
        <v>5915</v>
      </c>
      <c r="Z38" t="s">
        <v>5915</v>
      </c>
      <c r="AA38" t="s">
        <v>5915</v>
      </c>
      <c r="AF38" t="s">
        <v>6059</v>
      </c>
      <c r="AG38" t="s">
        <v>6059</v>
      </c>
      <c r="AI38" t="s">
        <v>6034</v>
      </c>
      <c r="AJ38" t="s">
        <v>6034</v>
      </c>
    </row>
    <row r="39" spans="1:40" x14ac:dyDescent="0.2">
      <c r="A39" t="str">
        <f t="shared" si="3"/>
        <v/>
      </c>
      <c r="C39" t="str">
        <f t="shared" si="1"/>
        <v/>
      </c>
      <c r="D39" t="str">
        <f t="shared" si="2"/>
        <v/>
      </c>
      <c r="E39" t="s">
        <v>784</v>
      </c>
      <c r="F39" t="s">
        <v>5921</v>
      </c>
      <c r="G39" t="s">
        <v>6001</v>
      </c>
      <c r="H39" t="s">
        <v>5917</v>
      </c>
      <c r="M39" t="s">
        <v>5955</v>
      </c>
      <c r="N39" t="s">
        <v>6001</v>
      </c>
      <c r="O39" t="s">
        <v>5956</v>
      </c>
      <c r="P39" t="s">
        <v>5912</v>
      </c>
      <c r="Q39" t="s">
        <v>5920</v>
      </c>
      <c r="R39" t="s">
        <v>5920</v>
      </c>
      <c r="T39" t="s">
        <v>5924</v>
      </c>
      <c r="X39" t="s">
        <v>5914</v>
      </c>
      <c r="Y39" t="s">
        <v>5914</v>
      </c>
      <c r="Z39" t="s">
        <v>5914</v>
      </c>
      <c r="AA39" t="s">
        <v>5914</v>
      </c>
      <c r="AF39" t="s">
        <v>6064</v>
      </c>
      <c r="AG39" t="s">
        <v>6064</v>
      </c>
      <c r="AI39" t="s">
        <v>6037</v>
      </c>
      <c r="AJ39" t="s">
        <v>6037</v>
      </c>
    </row>
    <row r="40" spans="1:40" x14ac:dyDescent="0.2">
      <c r="A40" t="str">
        <f t="shared" si="3"/>
        <v/>
      </c>
      <c r="C40" t="str">
        <f t="shared" si="1"/>
        <v/>
      </c>
      <c r="D40" t="str">
        <f t="shared" si="2"/>
        <v/>
      </c>
      <c r="E40" t="s">
        <v>784</v>
      </c>
      <c r="F40" t="s">
        <v>5927</v>
      </c>
      <c r="G40" t="s">
        <v>5999</v>
      </c>
      <c r="H40" t="s">
        <v>5912</v>
      </c>
      <c r="M40" t="s">
        <v>5954</v>
      </c>
      <c r="N40" t="s">
        <v>5999</v>
      </c>
      <c r="O40" t="s">
        <v>5951</v>
      </c>
      <c r="P40" t="s">
        <v>5915</v>
      </c>
      <c r="Q40" t="s">
        <v>5925</v>
      </c>
      <c r="R40" t="s">
        <v>5925</v>
      </c>
      <c r="T40" t="s">
        <v>5923</v>
      </c>
      <c r="X40" t="s">
        <v>5916</v>
      </c>
      <c r="Y40" t="s">
        <v>5916</v>
      </c>
      <c r="Z40" t="s">
        <v>5916</v>
      </c>
      <c r="AA40" t="s">
        <v>5916</v>
      </c>
      <c r="AF40" t="s">
        <v>6062</v>
      </c>
      <c r="AG40" t="s">
        <v>6062</v>
      </c>
      <c r="AI40" t="s">
        <v>6035</v>
      </c>
      <c r="AJ40" t="s">
        <v>6035</v>
      </c>
    </row>
    <row r="41" spans="1:40" x14ac:dyDescent="0.2">
      <c r="A41" t="str">
        <f t="shared" si="3"/>
        <v/>
      </c>
      <c r="C41" t="str">
        <f t="shared" si="1"/>
        <v/>
      </c>
      <c r="D41" t="str">
        <f t="shared" si="2"/>
        <v/>
      </c>
      <c r="E41" t="s">
        <v>784</v>
      </c>
      <c r="F41" t="s">
        <v>5924</v>
      </c>
      <c r="G41" t="s">
        <v>5998</v>
      </c>
      <c r="H41" t="s">
        <v>5915</v>
      </c>
      <c r="M41" t="s">
        <v>5957</v>
      </c>
      <c r="N41" t="s">
        <v>5998</v>
      </c>
      <c r="O41" t="s">
        <v>5958</v>
      </c>
      <c r="P41" t="s">
        <v>5914</v>
      </c>
      <c r="Q41" t="s">
        <v>5922</v>
      </c>
      <c r="R41" t="s">
        <v>5922</v>
      </c>
      <c r="T41" t="s">
        <v>5926</v>
      </c>
      <c r="X41" t="s">
        <v>2898</v>
      </c>
      <c r="Y41" t="s">
        <v>2898</v>
      </c>
      <c r="Z41" t="s">
        <v>2898</v>
      </c>
      <c r="AA41" t="s">
        <v>2898</v>
      </c>
      <c r="AF41" t="s">
        <v>6063</v>
      </c>
      <c r="AG41" t="s">
        <v>6063</v>
      </c>
      <c r="AI41" t="s">
        <v>6036</v>
      </c>
      <c r="AJ41" t="s">
        <v>6036</v>
      </c>
    </row>
    <row r="42" spans="1:40" x14ac:dyDescent="0.2">
      <c r="A42" t="str">
        <f t="shared" si="3"/>
        <v/>
      </c>
      <c r="C42" t="str">
        <f t="shared" si="1"/>
        <v/>
      </c>
      <c r="D42" t="str">
        <f t="shared" si="2"/>
        <v/>
      </c>
      <c r="E42" t="s">
        <v>784</v>
      </c>
      <c r="F42" t="s">
        <v>5923</v>
      </c>
      <c r="G42" t="s">
        <v>6000</v>
      </c>
      <c r="H42" t="s">
        <v>5914</v>
      </c>
      <c r="M42" t="s">
        <v>5956</v>
      </c>
      <c r="N42" t="s">
        <v>6000</v>
      </c>
      <c r="O42" t="s">
        <v>5952</v>
      </c>
      <c r="P42" t="s">
        <v>5916</v>
      </c>
      <c r="Q42" t="s">
        <v>5918</v>
      </c>
      <c r="R42" t="s">
        <v>5918</v>
      </c>
      <c r="T42" t="s">
        <v>5920</v>
      </c>
      <c r="X42" t="s">
        <v>6006</v>
      </c>
      <c r="Y42" t="s">
        <v>6006</v>
      </c>
      <c r="Z42" t="s">
        <v>6006</v>
      </c>
      <c r="AA42" t="s">
        <v>6006</v>
      </c>
      <c r="AF42" t="s">
        <v>6065</v>
      </c>
      <c r="AG42" t="s">
        <v>6065</v>
      </c>
      <c r="AI42" t="s">
        <v>6038</v>
      </c>
      <c r="AJ42" t="s">
        <v>6038</v>
      </c>
    </row>
    <row r="43" spans="1:40" x14ac:dyDescent="0.2">
      <c r="A43" t="str">
        <f t="shared" si="3"/>
        <v/>
      </c>
      <c r="C43" t="str">
        <f t="shared" si="1"/>
        <v/>
      </c>
      <c r="D43" t="str">
        <f t="shared" si="2"/>
        <v/>
      </c>
      <c r="E43" t="s">
        <v>784</v>
      </c>
      <c r="F43" t="s">
        <v>5926</v>
      </c>
      <c r="G43" t="s">
        <v>5994</v>
      </c>
      <c r="H43" t="s">
        <v>5916</v>
      </c>
      <c r="M43" t="s">
        <v>5951</v>
      </c>
      <c r="N43" t="s">
        <v>5994</v>
      </c>
      <c r="O43" t="s">
        <v>5953</v>
      </c>
      <c r="P43" t="s">
        <v>2977</v>
      </c>
      <c r="Q43" t="s">
        <v>5913</v>
      </c>
      <c r="R43" t="s">
        <v>5913</v>
      </c>
      <c r="T43" t="s">
        <v>5925</v>
      </c>
      <c r="X43" t="s">
        <v>2899</v>
      </c>
      <c r="Y43" t="s">
        <v>2899</v>
      </c>
      <c r="Z43" t="s">
        <v>2899</v>
      </c>
      <c r="AA43" t="s">
        <v>2899</v>
      </c>
      <c r="AF43" t="s">
        <v>6066</v>
      </c>
      <c r="AG43" t="s">
        <v>6066</v>
      </c>
      <c r="AI43" t="s">
        <v>6039</v>
      </c>
      <c r="AJ43" t="s">
        <v>6039</v>
      </c>
    </row>
    <row r="44" spans="1:40" x14ac:dyDescent="0.2">
      <c r="A44" t="str">
        <f t="shared" si="3"/>
        <v/>
      </c>
      <c r="C44" t="str">
        <f t="shared" si="1"/>
        <v/>
      </c>
      <c r="D44" t="str">
        <f t="shared" si="2"/>
        <v/>
      </c>
      <c r="E44" t="s">
        <v>784</v>
      </c>
      <c r="F44" t="s">
        <v>5920</v>
      </c>
      <c r="G44" t="s">
        <v>2977</v>
      </c>
      <c r="H44" t="s">
        <v>2264</v>
      </c>
      <c r="M44" t="s">
        <v>5958</v>
      </c>
      <c r="N44" t="s">
        <v>2977</v>
      </c>
      <c r="O44" t="s">
        <v>5986</v>
      </c>
      <c r="P44" t="s">
        <v>5971</v>
      </c>
      <c r="Q44" t="s">
        <v>5917</v>
      </c>
      <c r="R44" t="s">
        <v>5917</v>
      </c>
      <c r="T44" t="s">
        <v>5922</v>
      </c>
      <c r="X44" t="s">
        <v>5937</v>
      </c>
      <c r="Y44" t="s">
        <v>5937</v>
      </c>
      <c r="Z44" t="s">
        <v>5937</v>
      </c>
      <c r="AA44" t="s">
        <v>5937</v>
      </c>
      <c r="AF44" t="s">
        <v>6060</v>
      </c>
      <c r="AG44" t="s">
        <v>6060</v>
      </c>
      <c r="AI44" t="s">
        <v>6042</v>
      </c>
      <c r="AJ44" t="s">
        <v>6042</v>
      </c>
    </row>
    <row r="45" spans="1:40" x14ac:dyDescent="0.2">
      <c r="A45" t="str">
        <f t="shared" si="3"/>
        <v/>
      </c>
      <c r="C45" t="str">
        <f t="shared" si="1"/>
        <v/>
      </c>
      <c r="D45" t="str">
        <f t="shared" si="2"/>
        <v/>
      </c>
      <c r="E45" t="s">
        <v>784</v>
      </c>
      <c r="F45" t="s">
        <v>5925</v>
      </c>
      <c r="G45" t="s">
        <v>5971</v>
      </c>
      <c r="H45" t="s">
        <v>6004</v>
      </c>
      <c r="M45" t="s">
        <v>5952</v>
      </c>
      <c r="N45" t="s">
        <v>5971</v>
      </c>
      <c r="O45" t="s">
        <v>2977</v>
      </c>
      <c r="P45" t="s">
        <v>5970</v>
      </c>
      <c r="Q45" t="s">
        <v>5912</v>
      </c>
      <c r="R45" t="s">
        <v>5912</v>
      </c>
      <c r="T45" t="s">
        <v>5918</v>
      </c>
      <c r="X45" t="s">
        <v>5941</v>
      </c>
      <c r="Y45" t="s">
        <v>5941</v>
      </c>
      <c r="Z45" t="s">
        <v>5941</v>
      </c>
      <c r="AA45" t="s">
        <v>5941</v>
      </c>
      <c r="AI45" t="s">
        <v>6040</v>
      </c>
      <c r="AJ45" t="s">
        <v>6040</v>
      </c>
    </row>
    <row r="46" spans="1:40" x14ac:dyDescent="0.2">
      <c r="A46" t="str">
        <f t="shared" si="3"/>
        <v/>
      </c>
      <c r="C46" t="str">
        <f t="shared" si="1"/>
        <v/>
      </c>
      <c r="D46" t="str">
        <f t="shared" si="2"/>
        <v/>
      </c>
      <c r="E46" t="s">
        <v>784</v>
      </c>
      <c r="F46" t="s">
        <v>5922</v>
      </c>
      <c r="G46" t="s">
        <v>5970</v>
      </c>
      <c r="H46" t="s">
        <v>6003</v>
      </c>
      <c r="M46" t="s">
        <v>5953</v>
      </c>
      <c r="N46" t="s">
        <v>5970</v>
      </c>
      <c r="O46" t="s">
        <v>5971</v>
      </c>
      <c r="Q46" t="s">
        <v>5915</v>
      </c>
      <c r="R46" t="s">
        <v>5915</v>
      </c>
      <c r="T46" t="s">
        <v>5913</v>
      </c>
      <c r="X46" t="s">
        <v>5942</v>
      </c>
      <c r="Y46" t="s">
        <v>5942</v>
      </c>
      <c r="Z46" t="s">
        <v>5942</v>
      </c>
      <c r="AA46" t="s">
        <v>5942</v>
      </c>
      <c r="AF46" t="s">
        <v>8397</v>
      </c>
      <c r="AG46" t="s">
        <v>8397</v>
      </c>
      <c r="AI46" t="s">
        <v>6041</v>
      </c>
      <c r="AJ46" t="s">
        <v>6041</v>
      </c>
    </row>
    <row r="47" spans="1:40" x14ac:dyDescent="0.2">
      <c r="A47" t="str">
        <f t="shared" si="3"/>
        <v/>
      </c>
      <c r="C47" t="str">
        <f t="shared" si="1"/>
        <v/>
      </c>
      <c r="D47" t="str">
        <f t="shared" si="2"/>
        <v/>
      </c>
      <c r="E47" t="s">
        <v>784</v>
      </c>
      <c r="F47" t="s">
        <v>5918</v>
      </c>
      <c r="G47" t="s">
        <v>2146</v>
      </c>
      <c r="H47" t="s">
        <v>6005</v>
      </c>
      <c r="M47" t="s">
        <v>5986</v>
      </c>
      <c r="N47" t="s">
        <v>5985</v>
      </c>
      <c r="O47" t="s">
        <v>5970</v>
      </c>
      <c r="Q47" t="s">
        <v>5914</v>
      </c>
      <c r="R47" t="s">
        <v>5914</v>
      </c>
      <c r="T47" t="s">
        <v>5917</v>
      </c>
      <c r="X47" t="s">
        <v>5939</v>
      </c>
      <c r="Y47" t="s">
        <v>5939</v>
      </c>
      <c r="Z47" t="s">
        <v>5939</v>
      </c>
      <c r="AA47" t="s">
        <v>5939</v>
      </c>
      <c r="AI47" t="s">
        <v>6043</v>
      </c>
      <c r="AJ47" t="s">
        <v>6043</v>
      </c>
    </row>
    <row r="48" spans="1:40" x14ac:dyDescent="0.2">
      <c r="A48" t="str">
        <f t="shared" si="3"/>
        <v/>
      </c>
      <c r="C48" t="str">
        <f t="shared" si="1"/>
        <v/>
      </c>
      <c r="D48" t="str">
        <f t="shared" si="2"/>
        <v/>
      </c>
      <c r="E48" t="s">
        <v>784</v>
      </c>
      <c r="F48" t="s">
        <v>5913</v>
      </c>
      <c r="H48" t="s">
        <v>5995</v>
      </c>
      <c r="M48" t="s">
        <v>2977</v>
      </c>
      <c r="O48" t="s">
        <v>5982</v>
      </c>
      <c r="Q48" t="s">
        <v>5916</v>
      </c>
      <c r="R48" t="s">
        <v>5916</v>
      </c>
      <c r="T48" t="s">
        <v>5912</v>
      </c>
      <c r="X48" t="s">
        <v>5940</v>
      </c>
      <c r="Y48" t="s">
        <v>5940</v>
      </c>
      <c r="Z48" t="s">
        <v>5940</v>
      </c>
      <c r="AA48" t="s">
        <v>5940</v>
      </c>
      <c r="AF48" t="s">
        <v>5928</v>
      </c>
      <c r="AG48" t="s">
        <v>5928</v>
      </c>
      <c r="AI48" t="s">
        <v>6044</v>
      </c>
      <c r="AJ48" t="s">
        <v>6044</v>
      </c>
    </row>
    <row r="49" spans="1:36" x14ac:dyDescent="0.2">
      <c r="A49" t="str">
        <f t="shared" si="3"/>
        <v/>
      </c>
      <c r="C49" t="str">
        <f t="shared" si="1"/>
        <v/>
      </c>
      <c r="D49" t="str">
        <f t="shared" si="2"/>
        <v/>
      </c>
      <c r="E49" t="s">
        <v>784</v>
      </c>
      <c r="F49" t="s">
        <v>5917</v>
      </c>
      <c r="G49" t="s">
        <v>8397</v>
      </c>
      <c r="H49" t="s">
        <v>5996</v>
      </c>
      <c r="M49" t="s">
        <v>5971</v>
      </c>
      <c r="O49" t="s">
        <v>5984</v>
      </c>
      <c r="Q49" t="s">
        <v>5937</v>
      </c>
      <c r="R49" t="s">
        <v>5937</v>
      </c>
      <c r="T49" t="s">
        <v>5915</v>
      </c>
      <c r="X49" t="s">
        <v>5938</v>
      </c>
      <c r="Y49" t="s">
        <v>5938</v>
      </c>
      <c r="Z49" t="s">
        <v>5938</v>
      </c>
      <c r="AA49" t="s">
        <v>5938</v>
      </c>
      <c r="AF49" t="s">
        <v>5931</v>
      </c>
      <c r="AG49" t="s">
        <v>5931</v>
      </c>
      <c r="AI49" t="s">
        <v>6047</v>
      </c>
      <c r="AJ49" t="s">
        <v>6047</v>
      </c>
    </row>
    <row r="50" spans="1:36" x14ac:dyDescent="0.2">
      <c r="A50" t="str">
        <f t="shared" si="3"/>
        <v/>
      </c>
      <c r="C50" t="str">
        <f t="shared" si="1"/>
        <v/>
      </c>
      <c r="D50" t="str">
        <f t="shared" si="2"/>
        <v/>
      </c>
      <c r="E50" t="s">
        <v>784</v>
      </c>
      <c r="F50" t="s">
        <v>5912</v>
      </c>
      <c r="H50" t="s">
        <v>5997</v>
      </c>
      <c r="M50" t="s">
        <v>5970</v>
      </c>
      <c r="Q50" t="s">
        <v>5941</v>
      </c>
      <c r="R50" t="s">
        <v>5941</v>
      </c>
      <c r="T50" t="s">
        <v>5914</v>
      </c>
      <c r="AF50" t="s">
        <v>5932</v>
      </c>
      <c r="AG50" t="s">
        <v>5932</v>
      </c>
      <c r="AI50" t="s">
        <v>6045</v>
      </c>
      <c r="AJ50" t="s">
        <v>6045</v>
      </c>
    </row>
    <row r="51" spans="1:36" x14ac:dyDescent="0.2">
      <c r="A51" t="str">
        <f t="shared" si="3"/>
        <v/>
      </c>
      <c r="C51" t="str">
        <f t="shared" si="1"/>
        <v/>
      </c>
      <c r="D51" t="str">
        <f t="shared" si="2"/>
        <v/>
      </c>
      <c r="E51" t="s">
        <v>784</v>
      </c>
      <c r="F51" t="s">
        <v>5915</v>
      </c>
      <c r="G51" t="s">
        <v>5943</v>
      </c>
      <c r="H51" t="s">
        <v>6002</v>
      </c>
      <c r="Q51" t="s">
        <v>5942</v>
      </c>
      <c r="R51" t="s">
        <v>5942</v>
      </c>
      <c r="T51" t="s">
        <v>5916</v>
      </c>
      <c r="X51" t="s">
        <v>8397</v>
      </c>
      <c r="Y51" t="s">
        <v>8397</v>
      </c>
      <c r="Z51" t="s">
        <v>8397</v>
      </c>
      <c r="AA51" t="s">
        <v>8397</v>
      </c>
      <c r="AF51" t="s">
        <v>5930</v>
      </c>
      <c r="AG51" t="s">
        <v>5930</v>
      </c>
      <c r="AI51" t="s">
        <v>6046</v>
      </c>
      <c r="AJ51" t="s">
        <v>6046</v>
      </c>
    </row>
    <row r="52" spans="1:36" x14ac:dyDescent="0.2">
      <c r="A52" t="str">
        <f t="shared" si="3"/>
        <v/>
      </c>
      <c r="C52" t="str">
        <f t="shared" si="1"/>
        <v/>
      </c>
      <c r="D52" t="str">
        <f t="shared" si="2"/>
        <v/>
      </c>
      <c r="E52" t="s">
        <v>784</v>
      </c>
      <c r="F52" t="s">
        <v>5914</v>
      </c>
      <c r="G52" t="s">
        <v>5947</v>
      </c>
      <c r="H52" t="s">
        <v>6001</v>
      </c>
      <c r="Q52" t="s">
        <v>5939</v>
      </c>
      <c r="R52" t="s">
        <v>5939</v>
      </c>
      <c r="T52" t="s">
        <v>2899</v>
      </c>
      <c r="AF52" t="s">
        <v>5929</v>
      </c>
      <c r="AG52" t="s">
        <v>5929</v>
      </c>
      <c r="AI52" t="s">
        <v>6048</v>
      </c>
      <c r="AJ52" t="s">
        <v>6048</v>
      </c>
    </row>
    <row r="53" spans="1:36" x14ac:dyDescent="0.2">
      <c r="A53" t="str">
        <f t="shared" si="3"/>
        <v/>
      </c>
      <c r="C53" t="str">
        <f t="shared" si="1"/>
        <v/>
      </c>
      <c r="D53" t="str">
        <f t="shared" si="2"/>
        <v/>
      </c>
      <c r="E53" t="s">
        <v>784</v>
      </c>
      <c r="F53" t="s">
        <v>5916</v>
      </c>
      <c r="G53" t="s">
        <v>5948</v>
      </c>
      <c r="H53" t="s">
        <v>5999</v>
      </c>
      <c r="Q53" t="s">
        <v>5940</v>
      </c>
      <c r="R53" t="s">
        <v>5940</v>
      </c>
      <c r="T53" t="s">
        <v>5937</v>
      </c>
      <c r="X53" t="s">
        <v>4038</v>
      </c>
      <c r="Y53" t="s">
        <v>4038</v>
      </c>
      <c r="Z53" t="s">
        <v>4038</v>
      </c>
      <c r="AA53" t="s">
        <v>4038</v>
      </c>
      <c r="AF53" t="s">
        <v>5933</v>
      </c>
      <c r="AG53" t="s">
        <v>5933</v>
      </c>
      <c r="AI53" t="s">
        <v>6049</v>
      </c>
      <c r="AJ53" t="s">
        <v>6049</v>
      </c>
    </row>
    <row r="54" spans="1:36" x14ac:dyDescent="0.2">
      <c r="A54" t="str">
        <f t="shared" si="3"/>
        <v/>
      </c>
      <c r="C54" t="str">
        <f t="shared" si="1"/>
        <v/>
      </c>
      <c r="D54" t="str">
        <f t="shared" si="2"/>
        <v/>
      </c>
      <c r="E54" t="s">
        <v>784</v>
      </c>
      <c r="F54" t="s">
        <v>2264</v>
      </c>
      <c r="G54" t="s">
        <v>5949</v>
      </c>
      <c r="H54" t="s">
        <v>5998</v>
      </c>
      <c r="Q54" t="s">
        <v>5938</v>
      </c>
      <c r="R54" t="s">
        <v>5938</v>
      </c>
      <c r="T54" t="s">
        <v>5941</v>
      </c>
      <c r="X54" t="s">
        <v>5963</v>
      </c>
      <c r="Y54" t="s">
        <v>5963</v>
      </c>
      <c r="Z54" t="s">
        <v>5963</v>
      </c>
      <c r="AA54" t="s">
        <v>5963</v>
      </c>
      <c r="AF54" t="s">
        <v>5913</v>
      </c>
      <c r="AG54" t="s">
        <v>5913</v>
      </c>
      <c r="AI54" t="s">
        <v>6052</v>
      </c>
      <c r="AJ54" t="s">
        <v>6052</v>
      </c>
    </row>
    <row r="55" spans="1:36" x14ac:dyDescent="0.2">
      <c r="A55" t="str">
        <f t="shared" si="3"/>
        <v/>
      </c>
      <c r="C55" t="str">
        <f t="shared" si="1"/>
        <v/>
      </c>
      <c r="D55" t="str">
        <f t="shared" si="2"/>
        <v/>
      </c>
      <c r="E55" t="s">
        <v>784</v>
      </c>
      <c r="F55" t="s">
        <v>6004</v>
      </c>
      <c r="G55" t="s">
        <v>5944</v>
      </c>
      <c r="H55" t="s">
        <v>6000</v>
      </c>
      <c r="Q55" t="s">
        <v>5976</v>
      </c>
      <c r="R55" t="s">
        <v>5976</v>
      </c>
      <c r="T55" t="s">
        <v>5942</v>
      </c>
      <c r="X55" t="s">
        <v>5961</v>
      </c>
      <c r="Y55" t="s">
        <v>5961</v>
      </c>
      <c r="Z55" t="s">
        <v>5961</v>
      </c>
      <c r="AA55" t="s">
        <v>5961</v>
      </c>
      <c r="AF55" t="s">
        <v>5915</v>
      </c>
      <c r="AG55" t="s">
        <v>5915</v>
      </c>
      <c r="AI55" t="s">
        <v>6050</v>
      </c>
      <c r="AJ55" t="s">
        <v>6050</v>
      </c>
    </row>
    <row r="56" spans="1:36" x14ac:dyDescent="0.2">
      <c r="A56" t="str">
        <f t="shared" si="3"/>
        <v/>
      </c>
      <c r="C56" t="str">
        <f t="shared" si="1"/>
        <v/>
      </c>
      <c r="D56" t="str">
        <f t="shared" si="2"/>
        <v/>
      </c>
      <c r="E56" t="s">
        <v>784</v>
      </c>
      <c r="F56" t="s">
        <v>6003</v>
      </c>
      <c r="G56" t="s">
        <v>5945</v>
      </c>
      <c r="H56" t="s">
        <v>5994</v>
      </c>
      <c r="Q56" t="s">
        <v>4646</v>
      </c>
      <c r="R56" t="s">
        <v>4646</v>
      </c>
      <c r="T56" t="s">
        <v>5939</v>
      </c>
      <c r="X56" t="s">
        <v>5959</v>
      </c>
      <c r="Y56" t="s">
        <v>5959</v>
      </c>
      <c r="Z56" t="s">
        <v>5959</v>
      </c>
      <c r="AA56" t="s">
        <v>5959</v>
      </c>
      <c r="AF56" t="s">
        <v>2264</v>
      </c>
      <c r="AG56" t="s">
        <v>2264</v>
      </c>
      <c r="AI56" t="s">
        <v>6051</v>
      </c>
      <c r="AJ56" t="s">
        <v>6051</v>
      </c>
    </row>
    <row r="57" spans="1:36" x14ac:dyDescent="0.2">
      <c r="A57" t="str">
        <f t="shared" si="3"/>
        <v/>
      </c>
      <c r="C57" t="str">
        <f t="shared" si="1"/>
        <v/>
      </c>
      <c r="D57" t="str">
        <f t="shared" si="2"/>
        <v/>
      </c>
      <c r="E57" t="s">
        <v>784</v>
      </c>
      <c r="F57" t="s">
        <v>6005</v>
      </c>
      <c r="G57" t="s">
        <v>5946</v>
      </c>
      <c r="H57" t="s">
        <v>5937</v>
      </c>
      <c r="Q57" t="s">
        <v>2977</v>
      </c>
      <c r="R57" t="s">
        <v>2977</v>
      </c>
      <c r="T57" t="s">
        <v>5940</v>
      </c>
      <c r="X57" t="s">
        <v>4037</v>
      </c>
      <c r="Y57" t="s">
        <v>4037</v>
      </c>
      <c r="Z57" t="s">
        <v>4037</v>
      </c>
      <c r="AA57" t="s">
        <v>4037</v>
      </c>
      <c r="AF57" t="s">
        <v>6004</v>
      </c>
      <c r="AG57" t="s">
        <v>6004</v>
      </c>
      <c r="AI57" t="s">
        <v>6053</v>
      </c>
      <c r="AJ57" t="s">
        <v>6053</v>
      </c>
    </row>
    <row r="58" spans="1:36" x14ac:dyDescent="0.2">
      <c r="A58" t="str">
        <f t="shared" si="3"/>
        <v/>
      </c>
      <c r="C58" t="str">
        <f t="shared" si="1"/>
        <v/>
      </c>
      <c r="D58" t="str">
        <f t="shared" si="2"/>
        <v/>
      </c>
      <c r="E58" t="s">
        <v>784</v>
      </c>
      <c r="F58" t="s">
        <v>5995</v>
      </c>
      <c r="G58" t="s">
        <v>5918</v>
      </c>
      <c r="H58" t="s">
        <v>5941</v>
      </c>
      <c r="Q58" t="s">
        <v>5971</v>
      </c>
      <c r="R58" t="s">
        <v>5971</v>
      </c>
      <c r="T58" t="s">
        <v>5938</v>
      </c>
      <c r="X58" t="s">
        <v>5964</v>
      </c>
      <c r="Y58" t="s">
        <v>5964</v>
      </c>
      <c r="Z58" t="s">
        <v>5964</v>
      </c>
      <c r="AA58" t="s">
        <v>5964</v>
      </c>
      <c r="AF58" t="s">
        <v>6003</v>
      </c>
      <c r="AG58" t="s">
        <v>6003</v>
      </c>
      <c r="AI58" t="s">
        <v>6054</v>
      </c>
      <c r="AJ58" t="s">
        <v>6054</v>
      </c>
    </row>
    <row r="59" spans="1:36" x14ac:dyDescent="0.2">
      <c r="A59" t="str">
        <f t="shared" si="3"/>
        <v/>
      </c>
      <c r="C59" t="str">
        <f t="shared" si="1"/>
        <v/>
      </c>
      <c r="D59" t="str">
        <f t="shared" si="2"/>
        <v/>
      </c>
      <c r="E59" t="s">
        <v>784</v>
      </c>
      <c r="F59" t="s">
        <v>5996</v>
      </c>
      <c r="G59" t="s">
        <v>5913</v>
      </c>
      <c r="H59" t="s">
        <v>5942</v>
      </c>
      <c r="Q59" t="s">
        <v>5970</v>
      </c>
      <c r="R59" t="s">
        <v>5970</v>
      </c>
      <c r="T59" t="s">
        <v>307</v>
      </c>
      <c r="X59" t="s">
        <v>5962</v>
      </c>
      <c r="Y59" t="s">
        <v>5962</v>
      </c>
      <c r="Z59" t="s">
        <v>5962</v>
      </c>
      <c r="AA59" t="s">
        <v>5962</v>
      </c>
      <c r="AF59" t="s">
        <v>6005</v>
      </c>
      <c r="AG59" t="s">
        <v>6005</v>
      </c>
      <c r="AI59" t="s">
        <v>6057</v>
      </c>
      <c r="AJ59" t="s">
        <v>6057</v>
      </c>
    </row>
    <row r="60" spans="1:36" x14ac:dyDescent="0.2">
      <c r="A60" t="str">
        <f t="shared" si="3"/>
        <v/>
      </c>
      <c r="C60" t="str">
        <f t="shared" si="1"/>
        <v/>
      </c>
      <c r="D60" t="str">
        <f t="shared" si="2"/>
        <v/>
      </c>
      <c r="E60" t="s">
        <v>784</v>
      </c>
      <c r="F60" t="s">
        <v>5997</v>
      </c>
      <c r="G60" t="s">
        <v>5917</v>
      </c>
      <c r="H60" t="s">
        <v>5939</v>
      </c>
      <c r="X60" t="s">
        <v>5960</v>
      </c>
      <c r="Y60" t="s">
        <v>5960</v>
      </c>
      <c r="Z60" t="s">
        <v>5960</v>
      </c>
      <c r="AA60" t="s">
        <v>5960</v>
      </c>
      <c r="AF60" t="s">
        <v>5995</v>
      </c>
      <c r="AG60" t="s">
        <v>5995</v>
      </c>
      <c r="AI60" t="s">
        <v>6055</v>
      </c>
      <c r="AJ60" t="s">
        <v>6055</v>
      </c>
    </row>
    <row r="61" spans="1:36" x14ac:dyDescent="0.2">
      <c r="A61" t="str">
        <f t="shared" si="3"/>
        <v/>
      </c>
      <c r="C61" t="str">
        <f t="shared" si="1"/>
        <v/>
      </c>
      <c r="D61" t="str">
        <f t="shared" si="2"/>
        <v/>
      </c>
      <c r="E61" t="s">
        <v>784</v>
      </c>
      <c r="F61" t="s">
        <v>6002</v>
      </c>
      <c r="G61" t="s">
        <v>5912</v>
      </c>
      <c r="H61" t="s">
        <v>5940</v>
      </c>
      <c r="X61" t="s">
        <v>1374</v>
      </c>
      <c r="Y61" t="s">
        <v>1374</v>
      </c>
      <c r="Z61" t="s">
        <v>1374</v>
      </c>
      <c r="AA61" t="s">
        <v>1374</v>
      </c>
      <c r="AF61" t="s">
        <v>5996</v>
      </c>
      <c r="AG61" t="s">
        <v>5996</v>
      </c>
      <c r="AI61" t="s">
        <v>6056</v>
      </c>
      <c r="AJ61" t="s">
        <v>6056</v>
      </c>
    </row>
    <row r="62" spans="1:36" x14ac:dyDescent="0.2">
      <c r="A62" t="str">
        <f t="shared" si="3"/>
        <v/>
      </c>
      <c r="C62" t="str">
        <f t="shared" si="1"/>
        <v/>
      </c>
      <c r="D62" t="str">
        <f t="shared" si="2"/>
        <v/>
      </c>
      <c r="E62" t="s">
        <v>784</v>
      </c>
      <c r="F62" t="s">
        <v>6001</v>
      </c>
      <c r="G62" t="s">
        <v>5915</v>
      </c>
      <c r="H62" t="s">
        <v>5938</v>
      </c>
      <c r="X62" t="s">
        <v>3424</v>
      </c>
      <c r="Y62" t="s">
        <v>3424</v>
      </c>
      <c r="Z62" t="s">
        <v>3424</v>
      </c>
      <c r="AA62" t="s">
        <v>3424</v>
      </c>
      <c r="AF62" t="s">
        <v>5997</v>
      </c>
      <c r="AG62" t="s">
        <v>5997</v>
      </c>
      <c r="AI62" t="s">
        <v>6058</v>
      </c>
      <c r="AJ62" t="s">
        <v>6058</v>
      </c>
    </row>
    <row r="63" spans="1:36" x14ac:dyDescent="0.2">
      <c r="A63" t="str">
        <f t="shared" si="3"/>
        <v/>
      </c>
      <c r="C63" t="str">
        <f t="shared" si="1"/>
        <v/>
      </c>
      <c r="D63" t="str">
        <f t="shared" si="2"/>
        <v/>
      </c>
      <c r="E63" t="s">
        <v>784</v>
      </c>
      <c r="F63" t="s">
        <v>5999</v>
      </c>
      <c r="G63" t="s">
        <v>5914</v>
      </c>
      <c r="H63" t="s">
        <v>2977</v>
      </c>
      <c r="X63" t="s">
        <v>7254</v>
      </c>
      <c r="Y63" t="s">
        <v>7254</v>
      </c>
      <c r="Z63" t="s">
        <v>7254</v>
      </c>
      <c r="AA63" t="s">
        <v>7254</v>
      </c>
      <c r="AF63" t="s">
        <v>6002</v>
      </c>
      <c r="AG63" t="s">
        <v>6002</v>
      </c>
      <c r="AI63" t="s">
        <v>6059</v>
      </c>
      <c r="AJ63" t="s">
        <v>6059</v>
      </c>
    </row>
    <row r="64" spans="1:36" x14ac:dyDescent="0.2">
      <c r="A64" t="str">
        <f t="shared" si="3"/>
        <v/>
      </c>
      <c r="C64" t="str">
        <f t="shared" si="1"/>
        <v/>
      </c>
      <c r="D64" t="str">
        <f t="shared" si="2"/>
        <v/>
      </c>
      <c r="E64" t="s">
        <v>784</v>
      </c>
      <c r="F64" t="s">
        <v>5998</v>
      </c>
      <c r="G64" t="s">
        <v>5916</v>
      </c>
      <c r="H64" t="s">
        <v>5971</v>
      </c>
      <c r="X64" t="s">
        <v>2530</v>
      </c>
      <c r="Y64" t="s">
        <v>2530</v>
      </c>
      <c r="Z64" t="s">
        <v>2530</v>
      </c>
      <c r="AA64" t="s">
        <v>2530</v>
      </c>
      <c r="AF64" t="s">
        <v>6001</v>
      </c>
      <c r="AG64" t="s">
        <v>6001</v>
      </c>
      <c r="AI64" t="s">
        <v>5937</v>
      </c>
      <c r="AJ64" t="s">
        <v>5937</v>
      </c>
    </row>
    <row r="65" spans="1:36" x14ac:dyDescent="0.2">
      <c r="A65" t="str">
        <f t="shared" si="3"/>
        <v/>
      </c>
      <c r="C65" t="str">
        <f t="shared" si="1"/>
        <v/>
      </c>
      <c r="D65" t="str">
        <f t="shared" si="2"/>
        <v/>
      </c>
      <c r="E65" t="s">
        <v>784</v>
      </c>
      <c r="F65" t="s">
        <v>6000</v>
      </c>
      <c r="H65" t="s">
        <v>5970</v>
      </c>
      <c r="X65" t="s">
        <v>5935</v>
      </c>
      <c r="Y65" t="s">
        <v>5935</v>
      </c>
      <c r="Z65" t="s">
        <v>5935</v>
      </c>
      <c r="AA65" t="s">
        <v>5935</v>
      </c>
      <c r="AF65" t="s">
        <v>5999</v>
      </c>
      <c r="AG65" t="s">
        <v>5999</v>
      </c>
      <c r="AI65" t="s">
        <v>5941</v>
      </c>
      <c r="AJ65" t="s">
        <v>5941</v>
      </c>
    </row>
    <row r="66" spans="1:36" x14ac:dyDescent="0.2">
      <c r="A66" t="str">
        <f t="shared" ref="A66:A97" si="4">IF(OR(ISBLANK(RASSEGENE),RASSEGENE="LEER"),"",IF(HLOOKUP(RASSEGENE,LIST_R_K,ROW(),FALSE)="","",HLOOKUP(RASSEGENE,LIST_R_K,ROW(),FALSE)))</f>
        <v/>
      </c>
      <c r="C66" t="str">
        <f t="shared" si="1"/>
        <v/>
      </c>
      <c r="D66" t="str">
        <f t="shared" si="2"/>
        <v/>
      </c>
      <c r="E66" t="s">
        <v>784</v>
      </c>
      <c r="F66" t="s">
        <v>5994</v>
      </c>
      <c r="X66" t="s">
        <v>5936</v>
      </c>
      <c r="Y66" t="s">
        <v>5936</v>
      </c>
      <c r="Z66" t="s">
        <v>5936</v>
      </c>
      <c r="AA66" t="s">
        <v>5936</v>
      </c>
      <c r="AF66" t="s">
        <v>5998</v>
      </c>
      <c r="AG66" t="s">
        <v>5998</v>
      </c>
      <c r="AI66" t="s">
        <v>5942</v>
      </c>
      <c r="AJ66" t="s">
        <v>5942</v>
      </c>
    </row>
    <row r="67" spans="1:36" x14ac:dyDescent="0.2">
      <c r="A67" t="str">
        <f t="shared" si="4"/>
        <v/>
      </c>
      <c r="C67" t="str">
        <f t="shared" ref="C67:C130" si="5">IF(LEN(D67)&gt;2,LEFT(D67,FIND(";",D67,1)-1),"")</f>
        <v/>
      </c>
      <c r="D67" t="str">
        <f t="shared" si="2"/>
        <v/>
      </c>
      <c r="E67" t="s">
        <v>784</v>
      </c>
      <c r="F67" t="s">
        <v>5937</v>
      </c>
      <c r="X67" t="s">
        <v>5934</v>
      </c>
      <c r="Y67" t="s">
        <v>5934</v>
      </c>
      <c r="Z67" t="s">
        <v>5934</v>
      </c>
      <c r="AA67" t="s">
        <v>5934</v>
      </c>
      <c r="AF67" t="s">
        <v>6000</v>
      </c>
      <c r="AG67" t="s">
        <v>6000</v>
      </c>
      <c r="AI67" t="s">
        <v>5939</v>
      </c>
      <c r="AJ67" t="s">
        <v>5939</v>
      </c>
    </row>
    <row r="68" spans="1:36" x14ac:dyDescent="0.2">
      <c r="A68" t="str">
        <f t="shared" si="4"/>
        <v/>
      </c>
      <c r="C68" t="str">
        <f t="shared" si="5"/>
        <v/>
      </c>
      <c r="D68" t="str">
        <f t="shared" ref="D68:D131" si="6">IF(LEN(D67)-LEN(C67)&gt;2,RIGHT(D67,LEN(D67)-LEN(C67)-1),"")</f>
        <v/>
      </c>
      <c r="E68" t="s">
        <v>784</v>
      </c>
      <c r="F68" t="s">
        <v>5941</v>
      </c>
      <c r="X68" t="s">
        <v>308</v>
      </c>
      <c r="Y68" t="s">
        <v>308</v>
      </c>
      <c r="Z68" t="s">
        <v>308</v>
      </c>
      <c r="AA68" t="s">
        <v>308</v>
      </c>
      <c r="AF68" t="s">
        <v>5994</v>
      </c>
      <c r="AG68" t="s">
        <v>5994</v>
      </c>
      <c r="AI68" t="s">
        <v>5940</v>
      </c>
      <c r="AJ68" t="s">
        <v>5940</v>
      </c>
    </row>
    <row r="69" spans="1:36" x14ac:dyDescent="0.2">
      <c r="A69" t="str">
        <f t="shared" si="4"/>
        <v/>
      </c>
      <c r="C69" t="str">
        <f t="shared" si="5"/>
        <v/>
      </c>
      <c r="D69" t="str">
        <f t="shared" si="6"/>
        <v/>
      </c>
      <c r="E69" t="s">
        <v>784</v>
      </c>
      <c r="F69" t="s">
        <v>5942</v>
      </c>
      <c r="X69" t="s">
        <v>6014</v>
      </c>
      <c r="Y69" t="s">
        <v>6014</v>
      </c>
      <c r="Z69" t="s">
        <v>6014</v>
      </c>
      <c r="AA69" t="s">
        <v>6014</v>
      </c>
      <c r="AF69" t="s">
        <v>5937</v>
      </c>
      <c r="AG69" t="s">
        <v>5937</v>
      </c>
      <c r="AI69" t="s">
        <v>5938</v>
      </c>
      <c r="AJ69" t="s">
        <v>5938</v>
      </c>
    </row>
    <row r="70" spans="1:36" x14ac:dyDescent="0.2">
      <c r="A70" t="str">
        <f t="shared" si="4"/>
        <v/>
      </c>
      <c r="C70" t="str">
        <f t="shared" si="5"/>
        <v/>
      </c>
      <c r="D70" t="str">
        <f t="shared" si="6"/>
        <v/>
      </c>
      <c r="E70" t="s">
        <v>784</v>
      </c>
      <c r="F70" t="s">
        <v>5939</v>
      </c>
      <c r="X70" t="s">
        <v>7253</v>
      </c>
      <c r="Y70" t="s">
        <v>7253</v>
      </c>
      <c r="Z70" t="s">
        <v>7253</v>
      </c>
      <c r="AA70" t="s">
        <v>7253</v>
      </c>
      <c r="AF70" t="s">
        <v>5941</v>
      </c>
      <c r="AG70" t="s">
        <v>5941</v>
      </c>
      <c r="AI70" t="s">
        <v>6060</v>
      </c>
      <c r="AJ70" t="s">
        <v>6060</v>
      </c>
    </row>
    <row r="71" spans="1:36" x14ac:dyDescent="0.2">
      <c r="A71" t="str">
        <f t="shared" si="4"/>
        <v/>
      </c>
      <c r="C71" t="str">
        <f t="shared" si="5"/>
        <v/>
      </c>
      <c r="D71" t="str">
        <f t="shared" si="6"/>
        <v/>
      </c>
      <c r="E71" t="s">
        <v>784</v>
      </c>
      <c r="F71" t="s">
        <v>5940</v>
      </c>
      <c r="X71" t="s">
        <v>3050</v>
      </c>
      <c r="Y71" t="s">
        <v>3050</v>
      </c>
      <c r="Z71" t="s">
        <v>3050</v>
      </c>
      <c r="AA71" t="s">
        <v>3050</v>
      </c>
      <c r="AF71" t="s">
        <v>5942</v>
      </c>
      <c r="AG71" t="s">
        <v>5942</v>
      </c>
    </row>
    <row r="72" spans="1:36" x14ac:dyDescent="0.2">
      <c r="A72" t="str">
        <f t="shared" si="4"/>
        <v/>
      </c>
      <c r="C72" t="str">
        <f t="shared" si="5"/>
        <v/>
      </c>
      <c r="D72" t="str">
        <f t="shared" si="6"/>
        <v/>
      </c>
      <c r="E72" t="s">
        <v>784</v>
      </c>
      <c r="F72" t="s">
        <v>5938</v>
      </c>
      <c r="X72" t="s">
        <v>5977</v>
      </c>
      <c r="Y72" t="s">
        <v>5977</v>
      </c>
      <c r="Z72" t="s">
        <v>5977</v>
      </c>
      <c r="AA72" t="s">
        <v>5977</v>
      </c>
      <c r="AF72" t="s">
        <v>5939</v>
      </c>
      <c r="AG72" t="s">
        <v>5939</v>
      </c>
    </row>
    <row r="73" spans="1:36" x14ac:dyDescent="0.2">
      <c r="A73" t="str">
        <f t="shared" si="4"/>
        <v/>
      </c>
      <c r="C73" t="str">
        <f t="shared" si="5"/>
        <v/>
      </c>
      <c r="D73" t="str">
        <f t="shared" si="6"/>
        <v/>
      </c>
      <c r="E73" t="s">
        <v>784</v>
      </c>
      <c r="F73" t="s">
        <v>2142</v>
      </c>
      <c r="X73" t="s">
        <v>5950</v>
      </c>
      <c r="Y73" t="s">
        <v>5950</v>
      </c>
      <c r="Z73" t="s">
        <v>5950</v>
      </c>
      <c r="AA73" t="s">
        <v>5950</v>
      </c>
      <c r="AF73" t="s">
        <v>5940</v>
      </c>
      <c r="AG73" t="s">
        <v>5940</v>
      </c>
    </row>
    <row r="74" spans="1:36" x14ac:dyDescent="0.2">
      <c r="A74" t="str">
        <f t="shared" si="4"/>
        <v/>
      </c>
      <c r="C74" t="str">
        <f t="shared" si="5"/>
        <v/>
      </c>
      <c r="D74" t="str">
        <f t="shared" si="6"/>
        <v/>
      </c>
      <c r="E74" t="s">
        <v>784</v>
      </c>
      <c r="F74" t="s">
        <v>4187</v>
      </c>
      <c r="X74" t="s">
        <v>5955</v>
      </c>
      <c r="Y74" t="s">
        <v>5955</v>
      </c>
      <c r="Z74" t="s">
        <v>5955</v>
      </c>
      <c r="AA74" t="s">
        <v>5955</v>
      </c>
      <c r="AF74" t="s">
        <v>5938</v>
      </c>
      <c r="AG74" t="s">
        <v>5938</v>
      </c>
    </row>
    <row r="75" spans="1:36" x14ac:dyDescent="0.2">
      <c r="A75" t="str">
        <f t="shared" si="4"/>
        <v/>
      </c>
      <c r="C75" t="str">
        <f t="shared" si="5"/>
        <v/>
      </c>
      <c r="D75" t="str">
        <f t="shared" si="6"/>
        <v/>
      </c>
      <c r="E75" t="s">
        <v>784</v>
      </c>
      <c r="X75" t="s">
        <v>5954</v>
      </c>
      <c r="Y75" t="s">
        <v>5954</v>
      </c>
      <c r="Z75" t="s">
        <v>5954</v>
      </c>
      <c r="AA75" t="s">
        <v>5954</v>
      </c>
      <c r="AF75" t="s">
        <v>5976</v>
      </c>
      <c r="AG75" t="s">
        <v>5976</v>
      </c>
    </row>
    <row r="76" spans="1:36" x14ac:dyDescent="0.2">
      <c r="A76" t="str">
        <f t="shared" si="4"/>
        <v/>
      </c>
      <c r="C76" t="str">
        <f t="shared" si="5"/>
        <v/>
      </c>
      <c r="D76" t="str">
        <f t="shared" si="6"/>
        <v/>
      </c>
      <c r="E76" t="s">
        <v>784</v>
      </c>
      <c r="F76" t="s">
        <v>8397</v>
      </c>
      <c r="X76" t="s">
        <v>5957</v>
      </c>
      <c r="Y76" t="s">
        <v>5957</v>
      </c>
      <c r="Z76" t="s">
        <v>5957</v>
      </c>
      <c r="AA76" t="s">
        <v>5957</v>
      </c>
      <c r="AF76" t="s">
        <v>4646</v>
      </c>
      <c r="AG76" t="s">
        <v>4646</v>
      </c>
    </row>
    <row r="77" spans="1:36" x14ac:dyDescent="0.2">
      <c r="A77" t="str">
        <f t="shared" si="4"/>
        <v/>
      </c>
      <c r="C77" t="str">
        <f t="shared" si="5"/>
        <v/>
      </c>
      <c r="D77" t="str">
        <f t="shared" si="6"/>
        <v/>
      </c>
      <c r="E77" t="s">
        <v>784</v>
      </c>
      <c r="X77" t="s">
        <v>5956</v>
      </c>
      <c r="Y77" t="s">
        <v>5956</v>
      </c>
      <c r="Z77" t="s">
        <v>5956</v>
      </c>
      <c r="AA77" t="s">
        <v>5956</v>
      </c>
    </row>
    <row r="78" spans="1:36" x14ac:dyDescent="0.2">
      <c r="A78" t="str">
        <f t="shared" si="4"/>
        <v/>
      </c>
      <c r="C78" t="str">
        <f t="shared" si="5"/>
        <v/>
      </c>
      <c r="D78" t="str">
        <f t="shared" si="6"/>
        <v/>
      </c>
      <c r="E78" t="s">
        <v>784</v>
      </c>
      <c r="F78" t="s">
        <v>2143</v>
      </c>
      <c r="X78" t="s">
        <v>5951</v>
      </c>
      <c r="Y78" t="s">
        <v>5951</v>
      </c>
      <c r="Z78" t="s">
        <v>5951</v>
      </c>
      <c r="AA78" t="s">
        <v>5951</v>
      </c>
    </row>
    <row r="79" spans="1:36" x14ac:dyDescent="0.2">
      <c r="A79" t="str">
        <f t="shared" si="4"/>
        <v/>
      </c>
      <c r="C79" t="str">
        <f t="shared" si="5"/>
        <v/>
      </c>
      <c r="D79" t="str">
        <f t="shared" si="6"/>
        <v/>
      </c>
      <c r="E79" t="s">
        <v>784</v>
      </c>
      <c r="F79" t="s">
        <v>4038</v>
      </c>
      <c r="X79" t="s">
        <v>5958</v>
      </c>
      <c r="Y79" t="s">
        <v>5958</v>
      </c>
      <c r="Z79" t="s">
        <v>5958</v>
      </c>
      <c r="AA79" t="s">
        <v>5958</v>
      </c>
    </row>
    <row r="80" spans="1:36" x14ac:dyDescent="0.2">
      <c r="A80" t="str">
        <f t="shared" si="4"/>
        <v/>
      </c>
      <c r="C80" t="str">
        <f t="shared" si="5"/>
        <v/>
      </c>
      <c r="D80" t="str">
        <f t="shared" si="6"/>
        <v/>
      </c>
      <c r="E80" t="s">
        <v>784</v>
      </c>
      <c r="F80" t="s">
        <v>5963</v>
      </c>
      <c r="X80" t="s">
        <v>5952</v>
      </c>
      <c r="Y80" t="s">
        <v>5952</v>
      </c>
      <c r="Z80" t="s">
        <v>5952</v>
      </c>
      <c r="AA80" t="s">
        <v>5952</v>
      </c>
    </row>
    <row r="81" spans="1:27" x14ac:dyDescent="0.2">
      <c r="A81" t="str">
        <f t="shared" si="4"/>
        <v/>
      </c>
      <c r="C81" t="str">
        <f t="shared" si="5"/>
        <v/>
      </c>
      <c r="D81" t="str">
        <f t="shared" si="6"/>
        <v/>
      </c>
      <c r="E81" t="s">
        <v>784</v>
      </c>
      <c r="F81" t="s">
        <v>5961</v>
      </c>
      <c r="X81" t="s">
        <v>5953</v>
      </c>
      <c r="Y81" t="s">
        <v>5953</v>
      </c>
      <c r="Z81" t="s">
        <v>5953</v>
      </c>
      <c r="AA81" t="s">
        <v>5953</v>
      </c>
    </row>
    <row r="82" spans="1:27" x14ac:dyDescent="0.2">
      <c r="A82" t="str">
        <f t="shared" si="4"/>
        <v/>
      </c>
      <c r="C82" t="str">
        <f t="shared" si="5"/>
        <v/>
      </c>
      <c r="D82" t="str">
        <f t="shared" si="6"/>
        <v/>
      </c>
      <c r="E82" t="s">
        <v>784</v>
      </c>
      <c r="F82" t="s">
        <v>5959</v>
      </c>
      <c r="X82" t="s">
        <v>5976</v>
      </c>
      <c r="Y82" t="s">
        <v>5976</v>
      </c>
      <c r="Z82" t="s">
        <v>5976</v>
      </c>
      <c r="AA82" t="s">
        <v>5976</v>
      </c>
    </row>
    <row r="83" spans="1:27" x14ac:dyDescent="0.2">
      <c r="A83" t="str">
        <f t="shared" si="4"/>
        <v/>
      </c>
      <c r="C83" t="str">
        <f t="shared" si="5"/>
        <v/>
      </c>
      <c r="D83" t="str">
        <f t="shared" si="6"/>
        <v/>
      </c>
      <c r="E83" t="s">
        <v>784</v>
      </c>
      <c r="F83" t="s">
        <v>4037</v>
      </c>
      <c r="X83" t="s">
        <v>4646</v>
      </c>
      <c r="Y83" t="s">
        <v>4646</v>
      </c>
      <c r="Z83" t="s">
        <v>4646</v>
      </c>
      <c r="AA83" t="s">
        <v>4646</v>
      </c>
    </row>
    <row r="84" spans="1:27" x14ac:dyDescent="0.2">
      <c r="A84" t="str">
        <f t="shared" si="4"/>
        <v/>
      </c>
      <c r="C84" t="str">
        <f t="shared" si="5"/>
        <v/>
      </c>
      <c r="D84" t="str">
        <f t="shared" si="6"/>
        <v/>
      </c>
      <c r="E84" t="s">
        <v>784</v>
      </c>
      <c r="F84" t="s">
        <v>5964</v>
      </c>
      <c r="X84" t="s">
        <v>307</v>
      </c>
      <c r="Y84" t="s">
        <v>307</v>
      </c>
      <c r="Z84" t="s">
        <v>307</v>
      </c>
      <c r="AA84" t="s">
        <v>307</v>
      </c>
    </row>
    <row r="85" spans="1:27" x14ac:dyDescent="0.2">
      <c r="A85" t="str">
        <f t="shared" si="4"/>
        <v/>
      </c>
      <c r="C85" t="str">
        <f t="shared" si="5"/>
        <v/>
      </c>
      <c r="D85" t="str">
        <f t="shared" si="6"/>
        <v/>
      </c>
      <c r="E85" t="s">
        <v>784</v>
      </c>
      <c r="F85" t="s">
        <v>5962</v>
      </c>
    </row>
    <row r="86" spans="1:27" x14ac:dyDescent="0.2">
      <c r="A86" t="str">
        <f t="shared" si="4"/>
        <v/>
      </c>
      <c r="C86" t="str">
        <f t="shared" si="5"/>
        <v/>
      </c>
      <c r="D86" t="str">
        <f t="shared" si="6"/>
        <v/>
      </c>
      <c r="E86" t="s">
        <v>784</v>
      </c>
      <c r="F86" t="s">
        <v>5960</v>
      </c>
    </row>
    <row r="87" spans="1:27" x14ac:dyDescent="0.2">
      <c r="A87" t="str">
        <f t="shared" si="4"/>
        <v/>
      </c>
      <c r="C87" t="str">
        <f t="shared" si="5"/>
        <v/>
      </c>
      <c r="D87" t="str">
        <f t="shared" si="6"/>
        <v/>
      </c>
      <c r="E87" t="s">
        <v>784</v>
      </c>
      <c r="F87" t="s">
        <v>2144</v>
      </c>
    </row>
    <row r="88" spans="1:27" x14ac:dyDescent="0.2">
      <c r="A88" t="str">
        <f t="shared" si="4"/>
        <v/>
      </c>
      <c r="C88" t="str">
        <f t="shared" si="5"/>
        <v/>
      </c>
      <c r="D88" t="str">
        <f t="shared" si="6"/>
        <v/>
      </c>
      <c r="E88" t="s">
        <v>784</v>
      </c>
      <c r="F88" t="s">
        <v>5965</v>
      </c>
    </row>
    <row r="89" spans="1:27" x14ac:dyDescent="0.2">
      <c r="A89" t="str">
        <f t="shared" si="4"/>
        <v/>
      </c>
      <c r="C89" t="str">
        <f t="shared" si="5"/>
        <v/>
      </c>
      <c r="D89" t="str">
        <f t="shared" si="6"/>
        <v/>
      </c>
      <c r="E89" t="s">
        <v>784</v>
      </c>
      <c r="F89" t="s">
        <v>5966</v>
      </c>
    </row>
    <row r="90" spans="1:27" x14ac:dyDescent="0.2">
      <c r="A90" t="str">
        <f t="shared" si="4"/>
        <v/>
      </c>
      <c r="C90" t="str">
        <f t="shared" si="5"/>
        <v/>
      </c>
      <c r="D90" t="str">
        <f t="shared" si="6"/>
        <v/>
      </c>
      <c r="E90" t="s">
        <v>784</v>
      </c>
      <c r="F90" t="s">
        <v>5969</v>
      </c>
    </row>
    <row r="91" spans="1:27" x14ac:dyDescent="0.2">
      <c r="A91" t="str">
        <f t="shared" si="4"/>
        <v/>
      </c>
      <c r="C91" t="str">
        <f t="shared" si="5"/>
        <v/>
      </c>
      <c r="D91" t="str">
        <f t="shared" si="6"/>
        <v/>
      </c>
      <c r="E91" t="s">
        <v>784</v>
      </c>
      <c r="F91" t="s">
        <v>5967</v>
      </c>
    </row>
    <row r="92" spans="1:27" x14ac:dyDescent="0.2">
      <c r="A92" t="str">
        <f t="shared" si="4"/>
        <v/>
      </c>
      <c r="C92" t="str">
        <f t="shared" si="5"/>
        <v/>
      </c>
      <c r="D92" t="str">
        <f t="shared" si="6"/>
        <v/>
      </c>
      <c r="E92" t="s">
        <v>784</v>
      </c>
      <c r="F92" t="s">
        <v>5968</v>
      </c>
    </row>
    <row r="93" spans="1:27" x14ac:dyDescent="0.2">
      <c r="A93" t="str">
        <f t="shared" si="4"/>
        <v/>
      </c>
      <c r="C93" t="str">
        <f t="shared" si="5"/>
        <v/>
      </c>
      <c r="D93" t="str">
        <f t="shared" si="6"/>
        <v/>
      </c>
      <c r="E93" t="s">
        <v>784</v>
      </c>
      <c r="F93" t="s">
        <v>5976</v>
      </c>
    </row>
    <row r="94" spans="1:27" x14ac:dyDescent="0.2">
      <c r="A94" t="str">
        <f t="shared" si="4"/>
        <v/>
      </c>
      <c r="C94" t="str">
        <f t="shared" si="5"/>
        <v/>
      </c>
      <c r="D94" t="str">
        <f t="shared" si="6"/>
        <v/>
      </c>
      <c r="E94" t="s">
        <v>784</v>
      </c>
      <c r="F94" t="s">
        <v>4646</v>
      </c>
    </row>
    <row r="95" spans="1:27" x14ac:dyDescent="0.2">
      <c r="A95" t="str">
        <f t="shared" si="4"/>
        <v/>
      </c>
      <c r="C95" t="str">
        <f t="shared" si="5"/>
        <v/>
      </c>
      <c r="D95" t="str">
        <f t="shared" si="6"/>
        <v/>
      </c>
      <c r="E95" t="s">
        <v>784</v>
      </c>
      <c r="F95" t="s">
        <v>2977</v>
      </c>
    </row>
    <row r="96" spans="1:27" x14ac:dyDescent="0.2">
      <c r="A96" t="str">
        <f t="shared" si="4"/>
        <v/>
      </c>
      <c r="C96" t="str">
        <f t="shared" si="5"/>
        <v/>
      </c>
      <c r="D96" t="str">
        <f t="shared" si="6"/>
        <v/>
      </c>
      <c r="E96" t="s">
        <v>784</v>
      </c>
      <c r="F96" t="s">
        <v>5971</v>
      </c>
    </row>
    <row r="97" spans="1:6" x14ac:dyDescent="0.2">
      <c r="A97" t="str">
        <f t="shared" si="4"/>
        <v/>
      </c>
      <c r="C97" t="str">
        <f t="shared" si="5"/>
        <v/>
      </c>
      <c r="D97" t="str">
        <f t="shared" si="6"/>
        <v/>
      </c>
      <c r="E97" t="s">
        <v>784</v>
      </c>
      <c r="F97" t="s">
        <v>5970</v>
      </c>
    </row>
    <row r="98" spans="1:6" x14ac:dyDescent="0.2">
      <c r="C98" t="str">
        <f t="shared" si="5"/>
        <v/>
      </c>
      <c r="D98" t="str">
        <f t="shared" si="6"/>
        <v/>
      </c>
    </row>
    <row r="99" spans="1:6" x14ac:dyDescent="0.2">
      <c r="C99" t="str">
        <f t="shared" si="5"/>
        <v/>
      </c>
      <c r="D99" t="str">
        <f t="shared" si="6"/>
        <v/>
      </c>
    </row>
    <row r="100" spans="1:6" x14ac:dyDescent="0.2">
      <c r="C100" t="str">
        <f t="shared" si="5"/>
        <v/>
      </c>
      <c r="D100" t="str">
        <f t="shared" si="6"/>
        <v/>
      </c>
    </row>
    <row r="101" spans="1:6" x14ac:dyDescent="0.2">
      <c r="C101" t="str">
        <f t="shared" si="5"/>
        <v/>
      </c>
      <c r="D101" t="str">
        <f t="shared" si="6"/>
        <v/>
      </c>
    </row>
    <row r="102" spans="1:6" x14ac:dyDescent="0.2">
      <c r="C102" t="str">
        <f t="shared" si="5"/>
        <v/>
      </c>
      <c r="D102" t="str">
        <f t="shared" si="6"/>
        <v/>
      </c>
    </row>
    <row r="103" spans="1:6" x14ac:dyDescent="0.2">
      <c r="C103" t="str">
        <f t="shared" si="5"/>
        <v/>
      </c>
      <c r="D103" t="str">
        <f t="shared" si="6"/>
        <v/>
      </c>
    </row>
    <row r="104" spans="1:6" x14ac:dyDescent="0.2">
      <c r="C104" t="str">
        <f t="shared" si="5"/>
        <v/>
      </c>
      <c r="D104" t="str">
        <f t="shared" si="6"/>
        <v/>
      </c>
    </row>
    <row r="105" spans="1:6" x14ac:dyDescent="0.2">
      <c r="C105" t="str">
        <f t="shared" si="5"/>
        <v/>
      </c>
      <c r="D105" t="str">
        <f t="shared" si="6"/>
        <v/>
      </c>
    </row>
    <row r="106" spans="1:6" x14ac:dyDescent="0.2">
      <c r="C106" t="str">
        <f t="shared" si="5"/>
        <v/>
      </c>
      <c r="D106" t="str">
        <f t="shared" si="6"/>
        <v/>
      </c>
    </row>
    <row r="107" spans="1:6" x14ac:dyDescent="0.2">
      <c r="C107" t="str">
        <f t="shared" si="5"/>
        <v/>
      </c>
      <c r="D107" t="str">
        <f t="shared" si="6"/>
        <v/>
      </c>
    </row>
    <row r="108" spans="1:6" x14ac:dyDescent="0.2">
      <c r="C108" t="str">
        <f t="shared" si="5"/>
        <v/>
      </c>
      <c r="D108" t="str">
        <f t="shared" si="6"/>
        <v/>
      </c>
    </row>
    <row r="109" spans="1:6" x14ac:dyDescent="0.2">
      <c r="C109" t="str">
        <f t="shared" si="5"/>
        <v/>
      </c>
      <c r="D109" t="str">
        <f t="shared" si="6"/>
        <v/>
      </c>
    </row>
    <row r="110" spans="1:6" x14ac:dyDescent="0.2">
      <c r="C110" t="str">
        <f t="shared" si="5"/>
        <v/>
      </c>
      <c r="D110" t="str">
        <f t="shared" si="6"/>
        <v/>
      </c>
    </row>
    <row r="111" spans="1:6" x14ac:dyDescent="0.2">
      <c r="C111" t="str">
        <f t="shared" si="5"/>
        <v/>
      </c>
      <c r="D111" t="str">
        <f t="shared" si="6"/>
        <v/>
      </c>
    </row>
    <row r="112" spans="1:6" x14ac:dyDescent="0.2">
      <c r="C112" t="str">
        <f t="shared" si="5"/>
        <v/>
      </c>
      <c r="D112" t="str">
        <f t="shared" si="6"/>
        <v/>
      </c>
    </row>
    <row r="113" spans="3:4" x14ac:dyDescent="0.2">
      <c r="C113" t="str">
        <f t="shared" si="5"/>
        <v/>
      </c>
      <c r="D113" t="str">
        <f t="shared" si="6"/>
        <v/>
      </c>
    </row>
    <row r="114" spans="3:4" x14ac:dyDescent="0.2">
      <c r="C114" t="str">
        <f t="shared" si="5"/>
        <v/>
      </c>
      <c r="D114" t="str">
        <f t="shared" si="6"/>
        <v/>
      </c>
    </row>
    <row r="115" spans="3:4" x14ac:dyDescent="0.2">
      <c r="C115" t="str">
        <f t="shared" si="5"/>
        <v/>
      </c>
      <c r="D115" t="str">
        <f t="shared" si="6"/>
        <v/>
      </c>
    </row>
    <row r="116" spans="3:4" x14ac:dyDescent="0.2">
      <c r="C116" t="str">
        <f t="shared" si="5"/>
        <v/>
      </c>
      <c r="D116" t="str">
        <f t="shared" si="6"/>
        <v/>
      </c>
    </row>
    <row r="117" spans="3:4" x14ac:dyDescent="0.2">
      <c r="C117" t="str">
        <f t="shared" si="5"/>
        <v/>
      </c>
      <c r="D117" t="str">
        <f t="shared" si="6"/>
        <v/>
      </c>
    </row>
    <row r="118" spans="3:4" x14ac:dyDescent="0.2">
      <c r="C118" t="str">
        <f t="shared" si="5"/>
        <v/>
      </c>
      <c r="D118" t="str">
        <f t="shared" si="6"/>
        <v/>
      </c>
    </row>
    <row r="119" spans="3:4" x14ac:dyDescent="0.2">
      <c r="C119" t="str">
        <f t="shared" si="5"/>
        <v/>
      </c>
      <c r="D119" t="str">
        <f t="shared" si="6"/>
        <v/>
      </c>
    </row>
    <row r="120" spans="3:4" x14ac:dyDescent="0.2">
      <c r="C120" t="str">
        <f t="shared" si="5"/>
        <v/>
      </c>
      <c r="D120" t="str">
        <f t="shared" si="6"/>
        <v/>
      </c>
    </row>
    <row r="121" spans="3:4" x14ac:dyDescent="0.2">
      <c r="C121" t="str">
        <f t="shared" si="5"/>
        <v/>
      </c>
      <c r="D121" t="str">
        <f t="shared" si="6"/>
        <v/>
      </c>
    </row>
    <row r="122" spans="3:4" x14ac:dyDescent="0.2">
      <c r="C122" t="str">
        <f t="shared" si="5"/>
        <v/>
      </c>
      <c r="D122" t="str">
        <f t="shared" si="6"/>
        <v/>
      </c>
    </row>
    <row r="123" spans="3:4" x14ac:dyDescent="0.2">
      <c r="C123" t="str">
        <f t="shared" si="5"/>
        <v/>
      </c>
      <c r="D123" t="str">
        <f t="shared" si="6"/>
        <v/>
      </c>
    </row>
    <row r="124" spans="3:4" x14ac:dyDescent="0.2">
      <c r="C124" t="str">
        <f t="shared" si="5"/>
        <v/>
      </c>
      <c r="D124" t="str">
        <f t="shared" si="6"/>
        <v/>
      </c>
    </row>
    <row r="125" spans="3:4" x14ac:dyDescent="0.2">
      <c r="C125" t="str">
        <f t="shared" si="5"/>
        <v/>
      </c>
      <c r="D125" t="str">
        <f t="shared" si="6"/>
        <v/>
      </c>
    </row>
    <row r="126" spans="3:4" x14ac:dyDescent="0.2">
      <c r="C126" t="str">
        <f t="shared" si="5"/>
        <v/>
      </c>
      <c r="D126" t="str">
        <f t="shared" si="6"/>
        <v/>
      </c>
    </row>
    <row r="127" spans="3:4" x14ac:dyDescent="0.2">
      <c r="C127" t="str">
        <f t="shared" si="5"/>
        <v/>
      </c>
      <c r="D127" t="str">
        <f t="shared" si="6"/>
        <v/>
      </c>
    </row>
    <row r="128" spans="3:4" x14ac:dyDescent="0.2">
      <c r="C128" t="str">
        <f t="shared" si="5"/>
        <v/>
      </c>
      <c r="D128" t="str">
        <f t="shared" si="6"/>
        <v/>
      </c>
    </row>
    <row r="129" spans="3:4" x14ac:dyDescent="0.2">
      <c r="C129" t="str">
        <f t="shared" si="5"/>
        <v/>
      </c>
      <c r="D129" t="str">
        <f t="shared" si="6"/>
        <v/>
      </c>
    </row>
    <row r="130" spans="3:4" x14ac:dyDescent="0.2">
      <c r="C130" t="str">
        <f t="shared" si="5"/>
        <v/>
      </c>
      <c r="D130" t="str">
        <f t="shared" si="6"/>
        <v/>
      </c>
    </row>
    <row r="131" spans="3:4" x14ac:dyDescent="0.2">
      <c r="C131" t="str">
        <f t="shared" ref="C131:C146" si="7">IF(LEN(D131)&gt;2,LEFT(D131,FIND(";",D131,1)-1),"")</f>
        <v/>
      </c>
      <c r="D131" t="str">
        <f t="shared" si="6"/>
        <v/>
      </c>
    </row>
    <row r="132" spans="3:4" x14ac:dyDescent="0.2">
      <c r="C132" t="str">
        <f t="shared" si="7"/>
        <v/>
      </c>
      <c r="D132" t="str">
        <f t="shared" ref="D132:D146" si="8">IF(LEN(D131)-LEN(C131)&gt;2,RIGHT(D131,LEN(D131)-LEN(C131)-1),"")</f>
        <v/>
      </c>
    </row>
    <row r="133" spans="3:4" x14ac:dyDescent="0.2">
      <c r="C133" t="str">
        <f t="shared" si="7"/>
        <v/>
      </c>
      <c r="D133" t="str">
        <f t="shared" si="8"/>
        <v/>
      </c>
    </row>
    <row r="134" spans="3:4" x14ac:dyDescent="0.2">
      <c r="C134" t="str">
        <f t="shared" si="7"/>
        <v/>
      </c>
      <c r="D134" t="str">
        <f t="shared" si="8"/>
        <v/>
      </c>
    </row>
    <row r="135" spans="3:4" x14ac:dyDescent="0.2">
      <c r="C135" t="str">
        <f t="shared" si="7"/>
        <v/>
      </c>
      <c r="D135" t="str">
        <f t="shared" si="8"/>
        <v/>
      </c>
    </row>
    <row r="136" spans="3:4" x14ac:dyDescent="0.2">
      <c r="C136" t="str">
        <f t="shared" si="7"/>
        <v/>
      </c>
      <c r="D136" t="str">
        <f t="shared" si="8"/>
        <v/>
      </c>
    </row>
    <row r="137" spans="3:4" x14ac:dyDescent="0.2">
      <c r="C137" t="str">
        <f t="shared" si="7"/>
        <v/>
      </c>
      <c r="D137" t="str">
        <f t="shared" si="8"/>
        <v/>
      </c>
    </row>
    <row r="138" spans="3:4" x14ac:dyDescent="0.2">
      <c r="C138" t="str">
        <f t="shared" si="7"/>
        <v/>
      </c>
      <c r="D138" t="str">
        <f t="shared" si="8"/>
        <v/>
      </c>
    </row>
    <row r="139" spans="3:4" x14ac:dyDescent="0.2">
      <c r="C139" t="str">
        <f t="shared" si="7"/>
        <v/>
      </c>
      <c r="D139" t="str">
        <f t="shared" si="8"/>
        <v/>
      </c>
    </row>
    <row r="140" spans="3:4" x14ac:dyDescent="0.2">
      <c r="C140" t="str">
        <f t="shared" si="7"/>
        <v/>
      </c>
      <c r="D140" t="str">
        <f t="shared" si="8"/>
        <v/>
      </c>
    </row>
    <row r="141" spans="3:4" x14ac:dyDescent="0.2">
      <c r="C141" t="str">
        <f t="shared" si="7"/>
        <v/>
      </c>
      <c r="D141" t="str">
        <f t="shared" si="8"/>
        <v/>
      </c>
    </row>
    <row r="142" spans="3:4" x14ac:dyDescent="0.2">
      <c r="C142" t="str">
        <f t="shared" si="7"/>
        <v/>
      </c>
      <c r="D142" t="str">
        <f t="shared" si="8"/>
        <v/>
      </c>
    </row>
    <row r="143" spans="3:4" x14ac:dyDescent="0.2">
      <c r="C143" t="str">
        <f t="shared" si="7"/>
        <v/>
      </c>
      <c r="D143" t="str">
        <f t="shared" si="8"/>
        <v/>
      </c>
    </row>
    <row r="144" spans="3:4" x14ac:dyDescent="0.2">
      <c r="C144" t="str">
        <f t="shared" si="7"/>
        <v/>
      </c>
      <c r="D144" t="str">
        <f t="shared" si="8"/>
        <v/>
      </c>
    </row>
    <row r="145" spans="1:40" x14ac:dyDescent="0.2">
      <c r="C145" t="str">
        <f t="shared" si="7"/>
        <v/>
      </c>
      <c r="D145" t="str">
        <f t="shared" si="8"/>
        <v/>
      </c>
    </row>
    <row r="146" spans="1:40" x14ac:dyDescent="0.2">
      <c r="C146" t="str">
        <f t="shared" si="7"/>
        <v/>
      </c>
      <c r="D146" t="str">
        <f t="shared" si="8"/>
        <v/>
      </c>
    </row>
    <row r="147" spans="1:40" x14ac:dyDescent="0.2">
      <c r="E147" t="s">
        <v>784</v>
      </c>
    </row>
    <row r="148" spans="1:40" ht="47.25" customHeight="1" x14ac:dyDescent="0.2"/>
    <row r="149" spans="1:40" x14ac:dyDescent="0.2">
      <c r="A149" t="s">
        <v>7676</v>
      </c>
      <c r="F149" t="str">
        <f>IF(OR(Generierung!$P$4,ISBLANK(KULTURGENE),KULTURGENE="LEER"),"",IF(ISERROR(MATCH(KULTURGENE,F2:F147,0)),"",F1))</f>
        <v/>
      </c>
      <c r="G149" t="str">
        <f>IF(OR(Generierung!$P$4,ISBLANK(KULTURGENE),KULTURGENE="LEER"),"",IF(ISERROR(MATCH(KULTURGENE,G2:G147,0)),"",G1))</f>
        <v/>
      </c>
      <c r="H149" t="str">
        <f>IF(OR(Generierung!$P$4,ISBLANK(KULTURGENE),KULTURGENE="LEER"),"",IF(ISERROR(MATCH(KULTURGENE,H2:H147,0)),"",H1))</f>
        <v/>
      </c>
      <c r="I149" t="str">
        <f>IF(OR(Generierung!$P$4,ISBLANK(KULTURGENE),KULTURGENE="LEER"),"",IF(ISERROR(MATCH(KULTURGENE,I2:I147,0)),"",I1))</f>
        <v/>
      </c>
      <c r="J149" t="str">
        <f>IF(OR(Generierung!$P$4,ISBLANK(KULTURGENE),KULTURGENE="LEER"),"",IF(ISERROR(MATCH(KULTURGENE,J2:J147,0)),"",J1))</f>
        <v/>
      </c>
      <c r="K149" t="str">
        <f>IF(OR(Generierung!$P$4,ISBLANK(KULTURGENE),KULTURGENE="LEER"),"",IF(ISERROR(MATCH(KULTURGENE,K2:K147,0)),"",K1))</f>
        <v/>
      </c>
      <c r="L149" t="str">
        <f>IF(OR(Generierung!$P$4,ISBLANK(KULTURGENE),KULTURGENE="LEER"),"",IF(ISERROR(MATCH(KULTURGENE,L2:L147,0)),"",L1))</f>
        <v/>
      </c>
      <c r="M149" t="str">
        <f>IF(OR(Generierung!$P$4,ISBLANK(KULTURGENE),KULTURGENE="LEER"),"",IF(ISERROR(MATCH(KULTURGENE,M2:M147,0)),"",M1))</f>
        <v/>
      </c>
      <c r="N149" t="str">
        <f>IF(OR(Generierung!$P$4,ISBLANK(KULTURGENE),KULTURGENE="LEER"),"",IF(ISERROR(MATCH(KULTURGENE,N2:N147,0)),"",N1))</f>
        <v/>
      </c>
      <c r="O149" t="str">
        <f>IF(OR(Generierung!$P$4,ISBLANK(KULTURGENE),KULTURGENE="LEER"),"",IF(ISERROR(MATCH(KULTURGENE,O2:O147,0)),"",O1))</f>
        <v/>
      </c>
      <c r="P149" t="str">
        <f>IF(OR(Generierung!$P$4,ISBLANK(KULTURGENE),KULTURGENE="LEER"),"",IF(ISERROR(MATCH(KULTURGENE,P2:P147,0)),"",P1))</f>
        <v/>
      </c>
      <c r="Q149" t="str">
        <f>IF(OR(Generierung!$P$4,ISBLANK(KULTURGENE),KULTURGENE="LEER"),"",IF(ISERROR(MATCH(KULTURGENE,Q2:Q147,0)),"",Q1))</f>
        <v/>
      </c>
      <c r="R149" t="str">
        <f>IF(OR(Generierung!$P$4,ISBLANK(KULTURGENE),KULTURGENE="LEER"),"",IF(ISERROR(MATCH(KULTURGENE,R2:R147,0)),"",R1))</f>
        <v/>
      </c>
      <c r="S149" t="str">
        <f>IF(OR(Generierung!$P$4,ISBLANK(KULTURGENE),KULTURGENE="LEER"),"",IF(ISERROR(MATCH(KULTURGENE,S2:S147,0)),"",S1))</f>
        <v/>
      </c>
      <c r="T149" t="str">
        <f>IF(OR(Generierung!$P$4,ISBLANK(KULTURGENE),KULTURGENE="LEER"),"",IF(ISERROR(MATCH(KULTURGENE,T2:T147,0)),"",T1))</f>
        <v/>
      </c>
      <c r="U149" t="str">
        <f>IF(OR(Generierung!$P$4,ISBLANK(KULTURGENE),KULTURGENE="LEER"),"",IF(ISERROR(MATCH(KULTURGENE,U2:U147,0)),"",U1))</f>
        <v/>
      </c>
      <c r="V149" t="str">
        <f>IF(OR(Generierung!$P$4,ISBLANK(KULTURGENE),KULTURGENE="LEER"),"",IF(ISERROR(MATCH(KULTURGENE,V2:V147,0)),"",V1))</f>
        <v/>
      </c>
      <c r="W149" t="str">
        <f>IF(OR(Generierung!$P$4,ISBLANK(KULTURGENE),KULTURGENE="LEER"),"",IF(ISERROR(MATCH(KULTURGENE,W2:W147,0)),"",W1))</f>
        <v/>
      </c>
      <c r="X149" t="str">
        <f>IF(OR(Generierung!$P$4,ISBLANK(KULTURGENE),KULTURGENE="LEER"),"",IF(ISERROR(MATCH(KULTURGENE,X2:X147,0)),"",X1))</f>
        <v/>
      </c>
      <c r="Y149" t="str">
        <f>IF(OR(Generierung!$P$4,ISBLANK(KULTURGENE),KULTURGENE="LEER"),"",IF(ISERROR(MATCH(KULTURGENE,Y2:Y147,0)),"",Y1))</f>
        <v/>
      </c>
      <c r="Z149" t="str">
        <f>IF(OR(Generierung!$P$4,ISBLANK(KULTURGENE),KULTURGENE="LEER"),"",IF(ISERROR(MATCH(KULTURGENE,Z2:Z147,0)),"",Z1))</f>
        <v/>
      </c>
      <c r="AA149" t="str">
        <f>IF(OR(Generierung!$P$4,ISBLANK(KULTURGENE),KULTURGENE="LEER"),"",IF(ISERROR(MATCH(KULTURGENE,AA2:AA147,0)),"",AA1))</f>
        <v/>
      </c>
      <c r="AB149" t="str">
        <f>IF(OR(Generierung!$P$4,ISBLANK(KULTURGENE),KULTURGENE="LEER"),"",IF(ISERROR(MATCH(KULTURGENE,AB2:AB147,0)),"",AB1))</f>
        <v/>
      </c>
      <c r="AC149" t="str">
        <f>IF(OR(Generierung!$P$4,ISBLANK(KULTURGENE),KULTURGENE="LEER"),"",IF(ISERROR(MATCH(KULTURGENE,AC2:AC147,0)),"",AC1))</f>
        <v/>
      </c>
      <c r="AD149" t="str">
        <f>IF(OR(Generierung!$P$4,ISBLANK(KULTURGENE),KULTURGENE="LEER"),"",IF(ISERROR(MATCH(KULTURGENE,AD2:AD147,0)),"",AD1))</f>
        <v/>
      </c>
      <c r="AE149" t="str">
        <f>IF(OR(Generierung!$P$4,ISBLANK(KULTURGENE),KULTURGENE="LEER"),"",IF(ISERROR(MATCH(KULTURGENE,AE2:AE147,0)),"",AE1))</f>
        <v/>
      </c>
      <c r="AF149" t="str">
        <f>IF(OR(Generierung!$P$4,ISBLANK(KULTURGENE),KULTURGENE="LEER"),"",IF(ISERROR(MATCH(KULTURGENE,AF2:AF147,0)),"",AF1))</f>
        <v/>
      </c>
      <c r="AG149" t="str">
        <f>IF(OR(Generierung!$P$4,ISBLANK(KULTURGENE),KULTURGENE="LEER"),"",IF(ISERROR(MATCH(KULTURGENE,AG2:AG147,0)),"",AG1))</f>
        <v/>
      </c>
      <c r="AH149" t="str">
        <f>IF(OR(Generierung!$P$4,ISBLANK(KULTURGENE),KULTURGENE="LEER"),"",IF(ISERROR(MATCH(KULTURGENE,AH2:AH147,0)),"",AH1))</f>
        <v/>
      </c>
      <c r="AI149" t="str">
        <f>IF(OR(Generierung!$P$4,ISBLANK(KULTURGENE),KULTURGENE="LEER"),"",IF(ISERROR(MATCH(KULTURGENE,AI2:AI147,0)),"",AI1))</f>
        <v/>
      </c>
      <c r="AJ149" t="str">
        <f>IF(OR(Generierung!$P$4,ISBLANK(KULTURGENE),KULTURGENE="LEER"),"",IF(ISERROR(MATCH(KULTURGENE,AJ2:AJ147,0)),"",AJ1))</f>
        <v/>
      </c>
      <c r="AK149" t="str">
        <f>IF(OR(Generierung!$P$4,ISBLANK(KULTURGENE),KULTURGENE="LEER"),"",IF(ISERROR(MATCH(KULTURGENE,AK2:AK147,0)),"",AK1))</f>
        <v/>
      </c>
      <c r="AL149" t="str">
        <f>IF(OR(Generierung!$P$4,ISBLANK(KULTURGENE),KULTURGENE="LEER"),"",IF(ISERROR(MATCH(KULTURGENE,AL2:AL147,0)),"",AL1))</f>
        <v/>
      </c>
      <c r="AM149" t="str">
        <f>IF(OR(Generierung!$P$4,ISBLANK(KULTURGENE),KULTURGENE="LEER"),"",IF(ISERROR(MATCH(KULTURGENE,AM2:AM147,0)),"",AM1))</f>
        <v/>
      </c>
      <c r="AN149" t="str">
        <f>IF(OR(Generierung!$P$4,ISBLANK(KULTURGENE),KULTURGENE="LEER"),"",IF(ISERROR(MATCH(KULTURGENE,AN2:AN147,0)),"",AN1))</f>
        <v/>
      </c>
    </row>
    <row r="150" spans="1:40" x14ac:dyDescent="0.2">
      <c r="A150" t="s">
        <v>7678</v>
      </c>
      <c r="E150" t="str">
        <f>"F"&amp;ROW()-1&amp;":AM"&amp;ROW()-1</f>
        <v>F149:AM149</v>
      </c>
    </row>
    <row r="151" spans="1:40" x14ac:dyDescent="0.2">
      <c r="F151" t="str">
        <f t="array" aca="1" ref="F151" ca="1">IF(Generierung!$P$4,"",IF(COLUMNS($F151:F151)&lt;=COUNTIF(INDIRECT($E$150),"?*"),INDEX(INDIRECT($E$150),MATCH(SMALL(IF(INDIRECT($E$150)&lt;&gt;"",COUNTIF(INDIRECT($E$150),"&lt;"&amp;INDIRECT($E$150))),COLUMNS($F151:F151)),IF(INDIRECT($E$150)&lt;&gt;"",COUNTIF(INDIRECT($E$150),"&lt;"&amp;INDIRECT($E$150))),0)),""))</f>
        <v/>
      </c>
      <c r="G151" t="str">
        <f t="array" aca="1" ref="G151" ca="1">IF(Generierung!$P$4,"",IF(COLUMNS($F151:G151)&lt;=COUNTIF(INDIRECT($E$150),"?*"),INDEX(INDIRECT($E$150),MATCH(SMALL(IF(INDIRECT($E$150)&lt;&gt;"",COUNTIF(INDIRECT($E$150),"&lt;"&amp;INDIRECT($E$150))),COLUMNS($F151:G151)),IF(INDIRECT($E$150)&lt;&gt;"",COUNTIF(INDIRECT($E$150),"&lt;"&amp;INDIRECT($E$150))),0)),""))</f>
        <v/>
      </c>
      <c r="H151" t="str">
        <f t="array" aca="1" ref="H151" ca="1">IF(Generierung!$P$4,"",IF(COLUMNS($F151:H151)&lt;=COUNTIF(INDIRECT($E$150),"?*"),INDEX(INDIRECT($E$150),MATCH(SMALL(IF(INDIRECT($E$150)&lt;&gt;"",COUNTIF(INDIRECT($E$150),"&lt;"&amp;INDIRECT($E$150))),COLUMNS($F151:H151)),IF(INDIRECT($E$150)&lt;&gt;"",COUNTIF(INDIRECT($E$150),"&lt;"&amp;INDIRECT($E$150))),0)),""))</f>
        <v/>
      </c>
      <c r="I151" t="str">
        <f t="array" aca="1" ref="I151" ca="1">IF(Generierung!$P$4,"",IF(COLUMNS($F151:I151)&lt;=COUNTIF(INDIRECT($E$150),"?*"),INDEX(INDIRECT($E$150),MATCH(SMALL(IF(INDIRECT($E$150)&lt;&gt;"",COUNTIF(INDIRECT($E$150),"&lt;"&amp;INDIRECT($E$150))),COLUMNS($F151:I151)),IF(INDIRECT($E$150)&lt;&gt;"",COUNTIF(INDIRECT($E$150),"&lt;"&amp;INDIRECT($E$150))),0)),""))</f>
        <v/>
      </c>
      <c r="J151" t="str">
        <f t="array" aca="1" ref="J151" ca="1">IF(Generierung!$P$4,"",IF(COLUMNS($F151:J151)&lt;=COUNTIF(INDIRECT($E$150),"?*"),INDEX(INDIRECT($E$150),MATCH(SMALL(IF(INDIRECT($E$150)&lt;&gt;"",COUNTIF(INDIRECT($E$150),"&lt;"&amp;INDIRECT($E$150))),COLUMNS($F151:J151)),IF(INDIRECT($E$150)&lt;&gt;"",COUNTIF(INDIRECT($E$150),"&lt;"&amp;INDIRECT($E$150))),0)),""))</f>
        <v/>
      </c>
      <c r="K151" t="str">
        <f t="array" aca="1" ref="K151" ca="1">IF(Generierung!$P$4,"",IF(COLUMNS($F151:K151)&lt;=COUNTIF(INDIRECT($E$150),"?*"),INDEX(INDIRECT($E$150),MATCH(SMALL(IF(INDIRECT($E$150)&lt;&gt;"",COUNTIF(INDIRECT($E$150),"&lt;"&amp;INDIRECT($E$150))),COLUMNS($F151:K151)),IF(INDIRECT($E$150)&lt;&gt;"",COUNTIF(INDIRECT($E$150),"&lt;"&amp;INDIRECT($E$150))),0)),""))</f>
        <v/>
      </c>
      <c r="L151" t="str">
        <f t="array" aca="1" ref="L151" ca="1">IF(Generierung!$P$4,"",IF(COLUMNS($F151:L151)&lt;=COUNTIF(INDIRECT($E$150),"?*"),INDEX(INDIRECT($E$150),MATCH(SMALL(IF(INDIRECT($E$150)&lt;&gt;"",COUNTIF(INDIRECT($E$150),"&lt;"&amp;INDIRECT($E$150))),COLUMNS($F151:L151)),IF(INDIRECT($E$150)&lt;&gt;"",COUNTIF(INDIRECT($E$150),"&lt;"&amp;INDIRECT($E$150))),0)),""))</f>
        <v/>
      </c>
      <c r="M151" t="str">
        <f t="array" aca="1" ref="M151" ca="1">IF(Generierung!$P$4,"",IF(COLUMNS($F151:M151)&lt;=COUNTIF(INDIRECT($E$150),"?*"),INDEX(INDIRECT($E$150),MATCH(SMALL(IF(INDIRECT($E$150)&lt;&gt;"",COUNTIF(INDIRECT($E$150),"&lt;"&amp;INDIRECT($E$150))),COLUMNS($F151:M151)),IF(INDIRECT($E$150)&lt;&gt;"",COUNTIF(INDIRECT($E$150),"&lt;"&amp;INDIRECT($E$150))),0)),""))</f>
        <v/>
      </c>
      <c r="N151" t="str">
        <f t="array" aca="1" ref="N151" ca="1">IF(Generierung!$P$4,"",IF(COLUMNS($F151:N151)&lt;=COUNTIF(INDIRECT($E$150),"?*"),INDEX(INDIRECT($E$150),MATCH(SMALL(IF(INDIRECT($E$150)&lt;&gt;"",COUNTIF(INDIRECT($E$150),"&lt;"&amp;INDIRECT($E$150))),COLUMNS($F151:N151)),IF(INDIRECT($E$150)&lt;&gt;"",COUNTIF(INDIRECT($E$150),"&lt;"&amp;INDIRECT($E$150))),0)),""))</f>
        <v/>
      </c>
      <c r="O151" t="str">
        <f t="array" aca="1" ref="O151" ca="1">IF(Generierung!$P$4,"",IF(COLUMNS($F151:O151)&lt;=COUNTIF(INDIRECT($E$150),"?*"),INDEX(INDIRECT($E$150),MATCH(SMALL(IF(INDIRECT($E$150)&lt;&gt;"",COUNTIF(INDIRECT($E$150),"&lt;"&amp;INDIRECT($E$150))),COLUMNS($F151:O151)),IF(INDIRECT($E$150)&lt;&gt;"",COUNTIF(INDIRECT($E$150),"&lt;"&amp;INDIRECT($E$150))),0)),""))</f>
        <v/>
      </c>
      <c r="P151" t="str">
        <f t="array" aca="1" ref="P151" ca="1">IF(Generierung!$P$4,"",IF(COLUMNS($F151:P151)&lt;=COUNTIF(INDIRECT($E$150),"?*"),INDEX(INDIRECT($E$150),MATCH(SMALL(IF(INDIRECT($E$150)&lt;&gt;"",COUNTIF(INDIRECT($E$150),"&lt;"&amp;INDIRECT($E$150))),COLUMNS($F151:P151)),IF(INDIRECT($E$150)&lt;&gt;"",COUNTIF(INDIRECT($E$150),"&lt;"&amp;INDIRECT($E$150))),0)),""))</f>
        <v/>
      </c>
      <c r="Q151" t="str">
        <f t="array" aca="1" ref="Q151" ca="1">IF(Generierung!$P$4,"",IF(COLUMNS($F151:Q151)&lt;=COUNTIF(INDIRECT($E$150),"?*"),INDEX(INDIRECT($E$150),MATCH(SMALL(IF(INDIRECT($E$150)&lt;&gt;"",COUNTIF(INDIRECT($E$150),"&lt;"&amp;INDIRECT($E$150))),COLUMNS($F151:Q151)),IF(INDIRECT($E$150)&lt;&gt;"",COUNTIF(INDIRECT($E$150),"&lt;"&amp;INDIRECT($E$150))),0)),""))</f>
        <v/>
      </c>
      <c r="R151" t="str">
        <f t="array" aca="1" ref="R151" ca="1">IF(Generierung!$P$4,"",IF(COLUMNS($F151:R151)&lt;=COUNTIF(INDIRECT($E$150),"?*"),INDEX(INDIRECT($E$150),MATCH(SMALL(IF(INDIRECT($E$150)&lt;&gt;"",COUNTIF(INDIRECT($E$150),"&lt;"&amp;INDIRECT($E$150))),COLUMNS($F151:R151)),IF(INDIRECT($E$150)&lt;&gt;"",COUNTIF(INDIRECT($E$150),"&lt;"&amp;INDIRECT($E$150))),0)),""))</f>
        <v/>
      </c>
      <c r="S151" t="str">
        <f t="array" aca="1" ref="S151" ca="1">IF(Generierung!$P$4,"",IF(COLUMNS($F151:S151)&lt;=COUNTIF(INDIRECT($E$150),"?*"),INDEX(INDIRECT($E$150),MATCH(SMALL(IF(INDIRECT($E$150)&lt;&gt;"",COUNTIF(INDIRECT($E$150),"&lt;"&amp;INDIRECT($E$150))),COLUMNS($F151:S151)),IF(INDIRECT($E$150)&lt;&gt;"",COUNTIF(INDIRECT($E$150),"&lt;"&amp;INDIRECT($E$150))),0)),""))</f>
        <v/>
      </c>
      <c r="T151" t="str">
        <f t="array" aca="1" ref="T151" ca="1">IF(Generierung!$P$4,"",IF(COLUMNS($F151:T151)&lt;=COUNTIF(INDIRECT($E$150),"?*"),INDEX(INDIRECT($E$150),MATCH(SMALL(IF(INDIRECT($E$150)&lt;&gt;"",COUNTIF(INDIRECT($E$150),"&lt;"&amp;INDIRECT($E$150))),COLUMNS($F151:T151)),IF(INDIRECT($E$150)&lt;&gt;"",COUNTIF(INDIRECT($E$150),"&lt;"&amp;INDIRECT($E$150))),0)),""))</f>
        <v/>
      </c>
      <c r="U151" t="str">
        <f t="array" aca="1" ref="U151" ca="1">IF(Generierung!$P$4,"",IF(COLUMNS($F151:U151)&lt;=COUNTIF(INDIRECT($E$150),"?*"),INDEX(INDIRECT($E$150),MATCH(SMALL(IF(INDIRECT($E$150)&lt;&gt;"",COUNTIF(INDIRECT($E$150),"&lt;"&amp;INDIRECT($E$150))),COLUMNS($F151:U151)),IF(INDIRECT($E$150)&lt;&gt;"",COUNTIF(INDIRECT($E$150),"&lt;"&amp;INDIRECT($E$150))),0)),""))</f>
        <v/>
      </c>
      <c r="V151" t="str">
        <f t="array" aca="1" ref="V151" ca="1">IF(Generierung!$P$4,"",IF(COLUMNS($F151:V151)&lt;=COUNTIF(INDIRECT($E$150),"?*"),INDEX(INDIRECT($E$150),MATCH(SMALL(IF(INDIRECT($E$150)&lt;&gt;"",COUNTIF(INDIRECT($E$150),"&lt;"&amp;INDIRECT($E$150))),COLUMNS($F151:V151)),IF(INDIRECT($E$150)&lt;&gt;"",COUNTIF(INDIRECT($E$150),"&lt;"&amp;INDIRECT($E$150))),0)),""))</f>
        <v/>
      </c>
      <c r="W151" t="str">
        <f t="array" aca="1" ref="W151" ca="1">IF(Generierung!$P$4,"",IF(COLUMNS($F151:W151)&lt;=COUNTIF(INDIRECT($E$150),"?*"),INDEX(INDIRECT($E$150),MATCH(SMALL(IF(INDIRECT($E$150)&lt;&gt;"",COUNTIF(INDIRECT($E$150),"&lt;"&amp;INDIRECT($E$150))),COLUMNS($F151:W151)),IF(INDIRECT($E$150)&lt;&gt;"",COUNTIF(INDIRECT($E$150),"&lt;"&amp;INDIRECT($E$150))),0)),""))</f>
        <v/>
      </c>
      <c r="X151" t="str">
        <f t="array" aca="1" ref="X151" ca="1">IF(Generierung!$P$4,"",IF(COLUMNS($F151:X151)&lt;=COUNTIF(INDIRECT($E$150),"?*"),INDEX(INDIRECT($E$150),MATCH(SMALL(IF(INDIRECT($E$150)&lt;&gt;"",COUNTIF(INDIRECT($E$150),"&lt;"&amp;INDIRECT($E$150))),COLUMNS($F151:X151)),IF(INDIRECT($E$150)&lt;&gt;"",COUNTIF(INDIRECT($E$150),"&lt;"&amp;INDIRECT($E$150))),0)),""))</f>
        <v/>
      </c>
      <c r="Y151" t="str">
        <f t="array" aca="1" ref="Y151" ca="1">IF(Generierung!$P$4,"",IF(COLUMNS($F151:Y151)&lt;=COUNTIF(INDIRECT($E$150),"?*"),INDEX(INDIRECT($E$150),MATCH(SMALL(IF(INDIRECT($E$150)&lt;&gt;"",COUNTIF(INDIRECT($E$150),"&lt;"&amp;INDIRECT($E$150))),COLUMNS($F151:Y151)),IF(INDIRECT($E$150)&lt;&gt;"",COUNTIF(INDIRECT($E$150),"&lt;"&amp;INDIRECT($E$150))),0)),""))</f>
        <v/>
      </c>
      <c r="Z151" t="str">
        <f t="array" aca="1" ref="Z151" ca="1">IF(Generierung!$P$4,"",IF(COLUMNS($F151:Z151)&lt;=COUNTIF(INDIRECT($E$150),"?*"),INDEX(INDIRECT($E$150),MATCH(SMALL(IF(INDIRECT($E$150)&lt;&gt;"",COUNTIF(INDIRECT($E$150),"&lt;"&amp;INDIRECT($E$150))),COLUMNS($F151:Z151)),IF(INDIRECT($E$150)&lt;&gt;"",COUNTIF(INDIRECT($E$150),"&lt;"&amp;INDIRECT($E$150))),0)),""))</f>
        <v/>
      </c>
      <c r="AA151" t="str">
        <f t="array" aca="1" ref="AA151" ca="1">IF(Generierung!$P$4,"",IF(COLUMNS($F151:AA151)&lt;=COUNTIF(INDIRECT($E$150),"?*"),INDEX(INDIRECT($E$150),MATCH(SMALL(IF(INDIRECT($E$150)&lt;&gt;"",COUNTIF(INDIRECT($E$150),"&lt;"&amp;INDIRECT($E$150))),COLUMNS($F151:AA151)),IF(INDIRECT($E$150)&lt;&gt;"",COUNTIF(INDIRECT($E$150),"&lt;"&amp;INDIRECT($E$150))),0)),""))</f>
        <v/>
      </c>
      <c r="AB151" t="str">
        <f t="array" aca="1" ref="AB151" ca="1">IF(Generierung!$P$4,"",IF(COLUMNS($F151:AB151)&lt;=COUNTIF(INDIRECT($E$150),"?*"),INDEX(INDIRECT($E$150),MATCH(SMALL(IF(INDIRECT($E$150)&lt;&gt;"",COUNTIF(INDIRECT($E$150),"&lt;"&amp;INDIRECT($E$150))),COLUMNS($F151:AB151)),IF(INDIRECT($E$150)&lt;&gt;"",COUNTIF(INDIRECT($E$150),"&lt;"&amp;INDIRECT($E$150))),0)),""))</f>
        <v/>
      </c>
      <c r="AC151" t="str">
        <f t="array" aca="1" ref="AC151" ca="1">IF(Generierung!$P$4,"",IF(COLUMNS($F151:AC151)&lt;=COUNTIF(INDIRECT($E$150),"?*"),INDEX(INDIRECT($E$150),MATCH(SMALL(IF(INDIRECT($E$150)&lt;&gt;"",COUNTIF(INDIRECT($E$150),"&lt;"&amp;INDIRECT($E$150))),COLUMNS($F151:AC151)),IF(INDIRECT($E$150)&lt;&gt;"",COUNTIF(INDIRECT($E$150),"&lt;"&amp;INDIRECT($E$150))),0)),""))</f>
        <v/>
      </c>
      <c r="AD151" t="str">
        <f t="array" aca="1" ref="AD151" ca="1">IF(Generierung!$P$4,"",IF(COLUMNS($F151:AD151)&lt;=COUNTIF(INDIRECT($E$150),"?*"),INDEX(INDIRECT($E$150),MATCH(SMALL(IF(INDIRECT($E$150)&lt;&gt;"",COUNTIF(INDIRECT($E$150),"&lt;"&amp;INDIRECT($E$150))),COLUMNS($F151:AD151)),IF(INDIRECT($E$150)&lt;&gt;"",COUNTIF(INDIRECT($E$150),"&lt;"&amp;INDIRECT($E$150))),0)),""))</f>
        <v/>
      </c>
      <c r="AE151" t="str">
        <f t="array" aca="1" ref="AE151" ca="1">IF(Generierung!$P$4,"",IF(COLUMNS($F151:AE151)&lt;=COUNTIF(INDIRECT($E$150),"?*"),INDEX(INDIRECT($E$150),MATCH(SMALL(IF(INDIRECT($E$150)&lt;&gt;"",COUNTIF(INDIRECT($E$150),"&lt;"&amp;INDIRECT($E$150))),COLUMNS($F151:AE151)),IF(INDIRECT($E$150)&lt;&gt;"",COUNTIF(INDIRECT($E$150),"&lt;"&amp;INDIRECT($E$150))),0)),""))</f>
        <v/>
      </c>
      <c r="AF151" t="str">
        <f t="array" aca="1" ref="AF151" ca="1">IF(Generierung!$P$4,"",IF(COLUMNS($F151:AF151)&lt;=COUNTIF(INDIRECT($E$150),"?*"),INDEX(INDIRECT($E$150),MATCH(SMALL(IF(INDIRECT($E$150)&lt;&gt;"",COUNTIF(INDIRECT($E$150),"&lt;"&amp;INDIRECT($E$150))),COLUMNS($F151:AF151)),IF(INDIRECT($E$150)&lt;&gt;"",COUNTIF(INDIRECT($E$150),"&lt;"&amp;INDIRECT($E$150))),0)),""))</f>
        <v/>
      </c>
      <c r="AG151" t="str">
        <f t="array" aca="1" ref="AG151" ca="1">IF(Generierung!$P$4,"",IF(COLUMNS($F151:AG151)&lt;=COUNTIF(INDIRECT($E$150),"?*"),INDEX(INDIRECT($E$150),MATCH(SMALL(IF(INDIRECT($E$150)&lt;&gt;"",COUNTIF(INDIRECT($E$150),"&lt;"&amp;INDIRECT($E$150))),COLUMNS($F151:AG151)),IF(INDIRECT($E$150)&lt;&gt;"",COUNTIF(INDIRECT($E$150),"&lt;"&amp;INDIRECT($E$150))),0)),""))</f>
        <v/>
      </c>
      <c r="AH151" t="str">
        <f t="array" aca="1" ref="AH151" ca="1">IF(Generierung!$P$4,"",IF(COLUMNS($F151:AH151)&lt;=COUNTIF(INDIRECT($E$150),"?*"),INDEX(INDIRECT($E$150),MATCH(SMALL(IF(INDIRECT($E$150)&lt;&gt;"",COUNTIF(INDIRECT($E$150),"&lt;"&amp;INDIRECT($E$150))),COLUMNS($F151:AH151)),IF(INDIRECT($E$150)&lt;&gt;"",COUNTIF(INDIRECT($E$150),"&lt;"&amp;INDIRECT($E$150))),0)),""))</f>
        <v/>
      </c>
      <c r="AI151" t="str">
        <f t="array" aca="1" ref="AI151" ca="1">IF(Generierung!$P$4,"",IF(COLUMNS($F151:AI151)&lt;=COUNTIF(INDIRECT($E$150),"?*"),INDEX(INDIRECT($E$150),MATCH(SMALL(IF(INDIRECT($E$150)&lt;&gt;"",COUNTIF(INDIRECT($E$150),"&lt;"&amp;INDIRECT($E$150))),COLUMNS($F151:AI151)),IF(INDIRECT($E$150)&lt;&gt;"",COUNTIF(INDIRECT($E$150),"&lt;"&amp;INDIRECT($E$150))),0)),""))</f>
        <v/>
      </c>
      <c r="AJ151" t="str">
        <f t="array" aca="1" ref="AJ151" ca="1">IF(Generierung!$P$4,"",IF(COLUMNS($F151:AJ151)&lt;=COUNTIF(INDIRECT($E$150),"?*"),INDEX(INDIRECT($E$150),MATCH(SMALL(IF(INDIRECT($E$150)&lt;&gt;"",COUNTIF(INDIRECT($E$150),"&lt;"&amp;INDIRECT($E$150))),COLUMNS($F151:AJ151)),IF(INDIRECT($E$150)&lt;&gt;"",COUNTIF(INDIRECT($E$150),"&lt;"&amp;INDIRECT($E$150))),0)),""))</f>
        <v/>
      </c>
      <c r="AK151" t="str">
        <f t="array" aca="1" ref="AK151" ca="1">IF(Generierung!$P$4,"",IF(COLUMNS($F151:AK151)&lt;=COUNTIF(INDIRECT($E$150),"?*"),INDEX(INDIRECT($E$150),MATCH(SMALL(IF(INDIRECT($E$150)&lt;&gt;"",COUNTIF(INDIRECT($E$150),"&lt;"&amp;INDIRECT($E$150))),COLUMNS($F151:AK151)),IF(INDIRECT($E$150)&lt;&gt;"",COUNTIF(INDIRECT($E$150),"&lt;"&amp;INDIRECT($E$150))),0)),""))</f>
        <v/>
      </c>
      <c r="AL151" t="str">
        <f t="array" aca="1" ref="AL151" ca="1">IF(Generierung!$P$4,"",IF(COLUMNS($F151:AL151)&lt;=COUNTIF(INDIRECT($E$150),"?*"),INDEX(INDIRECT($E$150),MATCH(SMALL(IF(INDIRECT($E$150)&lt;&gt;"",COUNTIF(INDIRECT($E$150),"&lt;"&amp;INDIRECT($E$150))),COLUMNS($F151:AL151)),IF(INDIRECT($E$150)&lt;&gt;"",COUNTIF(INDIRECT($E$150),"&lt;"&amp;INDIRECT($E$150))),0)),""))</f>
        <v/>
      </c>
      <c r="AM151" t="str">
        <f t="array" aca="1" ref="AM151" ca="1">IF(Generierung!$P$4,"",IF(COLUMNS($F151:AM151)&lt;=COUNTIF(INDIRECT($E$150),"?*"),INDEX(INDIRECT($E$150),MATCH(SMALL(IF(INDIRECT($E$150)&lt;&gt;"",COUNTIF(INDIRECT($E$150),"&lt;"&amp;INDIRECT($E$150))),COLUMNS($F151:AM151)),IF(INDIRECT($E$150)&lt;&gt;"",COUNTIF(INDIRECT($E$150),"&lt;"&amp;INDIRECT($E$150))),0)),""))</f>
        <v/>
      </c>
      <c r="AN151" t="str">
        <f t="array" aca="1" ref="AN151" ca="1">IF(Generierung!$P$4,"",IF(COLUMNS($F151:AN151)&lt;=COUNTIF(INDIRECT($E$150),"?*"),INDEX(INDIRECT($E$150),MATCH(SMALL(IF(INDIRECT($E$150)&lt;&gt;"",COUNTIF(INDIRECT($E$150),"&lt;"&amp;INDIRECT($E$150))),COLUMNS($F151:AN151)),IF(INDIRECT($E$150)&lt;&gt;"",COUNTIF(INDIRECT($E$150),"&lt;"&amp;INDIRECT($E$150))),0)),""))</f>
        <v/>
      </c>
    </row>
  </sheetData>
  <pageMargins left="0.39370078740157483" right="0.39370078740157483" top="0.39370078740157483" bottom="0.39370078740157483" header="0.31496062992125984" footer="0.31496062992125984"/>
  <pageSetup paperSize="9" scale="26" fitToHeight="0" orientation="landscape"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tabColor theme="0"/>
    <pageSetUpPr fitToPage="1"/>
  </sheetPr>
  <dimension ref="A1:HB156"/>
  <sheetViews>
    <sheetView zoomScaleNormal="100" workbookViewId="0">
      <pane xSplit="5" ySplit="1" topLeftCell="BW2" activePane="bottomRight" state="frozen"/>
      <selection activeCell="P22" sqref="P22"/>
      <selection pane="topRight" activeCell="P22" sqref="P22"/>
      <selection pane="bottomLeft" activeCell="P22" sqref="P22"/>
      <selection pane="bottomRight" activeCell="CP13" sqref="CP13"/>
    </sheetView>
  </sheetViews>
  <sheetFormatPr baseColWidth="10" defaultRowHeight="12.75" x14ac:dyDescent="0.2"/>
  <cols>
    <col min="2" max="2" width="6.140625" customWidth="1"/>
    <col min="4" max="4" width="6" customWidth="1"/>
    <col min="5" max="6" width="34.85546875" customWidth="1"/>
    <col min="7" max="7" width="6" customWidth="1"/>
    <col min="8" max="8" width="3.28515625" bestFit="1" customWidth="1"/>
    <col min="9" max="9" width="5.7109375" bestFit="1" customWidth="1"/>
    <col min="10" max="11" width="3.28515625" bestFit="1" customWidth="1"/>
    <col min="12" max="12" width="5.7109375" bestFit="1" customWidth="1"/>
    <col min="13" max="13" width="8.140625" bestFit="1" customWidth="1"/>
    <col min="14" max="17" width="3.28515625" bestFit="1" customWidth="1"/>
    <col min="18" max="18" width="5.7109375" bestFit="1" customWidth="1"/>
    <col min="19" max="19" width="3.28515625" bestFit="1" customWidth="1"/>
    <col min="20" max="20" width="9.5703125" bestFit="1" customWidth="1"/>
    <col min="21" max="21" width="5.7109375" bestFit="1" customWidth="1"/>
    <col min="22" max="23" width="3.28515625" bestFit="1" customWidth="1"/>
    <col min="24" max="25" width="5.7109375" bestFit="1" customWidth="1"/>
    <col min="26" max="27" width="3.28515625" bestFit="1" customWidth="1"/>
    <col min="28" max="29" width="5.7109375" bestFit="1" customWidth="1"/>
    <col min="30" max="32" width="3.28515625" bestFit="1" customWidth="1"/>
    <col min="33" max="33" width="8.140625" bestFit="1" customWidth="1"/>
    <col min="34" max="38" width="3.28515625" bestFit="1" customWidth="1"/>
    <col min="39" max="39" width="5.7109375" bestFit="1" customWidth="1"/>
    <col min="40" max="43" width="3.28515625" bestFit="1" customWidth="1"/>
    <col min="44" max="46" width="5.7109375" bestFit="1" customWidth="1"/>
    <col min="47" max="47" width="3.28515625" bestFit="1" customWidth="1"/>
    <col min="48" max="48" width="8.140625" bestFit="1" customWidth="1"/>
    <col min="49" max="49" width="3.28515625" bestFit="1" customWidth="1"/>
    <col min="50" max="50" width="8.140625" bestFit="1" customWidth="1"/>
    <col min="51" max="54" width="3.28515625" bestFit="1" customWidth="1"/>
    <col min="55" max="57" width="5.7109375" bestFit="1" customWidth="1"/>
    <col min="58" max="58" width="8.140625" bestFit="1" customWidth="1"/>
    <col min="59" max="59" width="3.28515625" bestFit="1" customWidth="1"/>
    <col min="60" max="60" width="5.7109375" bestFit="1" customWidth="1"/>
    <col min="61" max="62" width="3.28515625" bestFit="1" customWidth="1"/>
    <col min="63" max="64" width="5.7109375" bestFit="1" customWidth="1"/>
    <col min="65" max="66" width="3.28515625" bestFit="1" customWidth="1"/>
    <col min="67" max="67" width="8.140625" bestFit="1" customWidth="1"/>
    <col min="68" max="68" width="10.5703125" bestFit="1" customWidth="1"/>
    <col min="69" max="71" width="5.7109375" bestFit="1" customWidth="1"/>
    <col min="72" max="72" width="8.140625" bestFit="1" customWidth="1"/>
    <col min="73" max="74" width="5.7109375" bestFit="1" customWidth="1"/>
    <col min="75" max="75" width="11.28515625" customWidth="1"/>
    <col min="76" max="77" width="10.5703125" bestFit="1" customWidth="1"/>
    <col min="78" max="78" width="5.7109375" bestFit="1" customWidth="1"/>
    <col min="79" max="80" width="10.5703125" bestFit="1" customWidth="1"/>
    <col min="81" max="81" width="5.7109375" bestFit="1" customWidth="1"/>
    <col min="82" max="82" width="3.28515625" bestFit="1" customWidth="1"/>
    <col min="83" max="83" width="5.7109375" bestFit="1" customWidth="1"/>
    <col min="84" max="84" width="3.28515625" bestFit="1" customWidth="1"/>
    <col min="85" max="85" width="3.28515625" customWidth="1"/>
    <col min="86" max="86" width="3.28515625" bestFit="1" customWidth="1"/>
    <col min="87" max="87" width="5.7109375" bestFit="1" customWidth="1"/>
    <col min="88" max="92" width="3.28515625" bestFit="1" customWidth="1"/>
    <col min="93" max="93" width="10.5703125" bestFit="1" customWidth="1"/>
    <col min="94" max="94" width="5.7109375" bestFit="1" customWidth="1"/>
    <col min="95" max="95" width="3.28515625" bestFit="1" customWidth="1"/>
    <col min="96" max="104" width="5.7109375" bestFit="1" customWidth="1"/>
    <col min="105" max="105" width="3.28515625" bestFit="1" customWidth="1"/>
    <col min="106" max="107" width="5.7109375" bestFit="1" customWidth="1"/>
    <col min="108" max="108" width="8.140625" bestFit="1" customWidth="1"/>
    <col min="109" max="110" width="5.7109375" bestFit="1" customWidth="1"/>
    <col min="111" max="112" width="3.28515625" bestFit="1" customWidth="1"/>
    <col min="113" max="118" width="3.28515625" customWidth="1"/>
    <col min="119" max="121" width="3.28515625" bestFit="1" customWidth="1"/>
    <col min="122" max="123" width="5.7109375" bestFit="1" customWidth="1"/>
    <col min="124" max="134" width="3.28515625" bestFit="1" customWidth="1"/>
    <col min="135" max="136" width="5.7109375" bestFit="1" customWidth="1"/>
    <col min="137" max="137" width="8.140625" bestFit="1" customWidth="1"/>
    <col min="138" max="138" width="10.5703125" bestFit="1" customWidth="1"/>
    <col min="139" max="139" width="8.140625" bestFit="1" customWidth="1"/>
    <col min="140" max="140" width="10.5703125" bestFit="1" customWidth="1"/>
    <col min="141" max="144" width="3.28515625" bestFit="1" customWidth="1"/>
    <col min="145" max="145" width="5.7109375" bestFit="1" customWidth="1"/>
    <col min="146" max="146" width="5.7109375" customWidth="1"/>
    <col min="147" max="152" width="3.28515625" bestFit="1" customWidth="1"/>
    <col min="153" max="155" width="5.7109375" bestFit="1" customWidth="1"/>
    <col min="156" max="157" width="8.140625" bestFit="1" customWidth="1"/>
    <col min="158" max="160" width="5.7109375" bestFit="1" customWidth="1"/>
    <col min="161" max="162" width="8.140625" bestFit="1" customWidth="1"/>
    <col min="163" max="165" width="5.7109375" bestFit="1" customWidth="1"/>
    <col min="166" max="167" width="8.140625" bestFit="1" customWidth="1"/>
    <col min="168" max="170" width="5.7109375" bestFit="1" customWidth="1"/>
    <col min="171" max="172" width="8.140625" bestFit="1" customWidth="1"/>
    <col min="173" max="175" width="5.7109375" bestFit="1" customWidth="1"/>
    <col min="176" max="177" width="8.140625" bestFit="1" customWidth="1"/>
    <col min="178" max="180" width="5.7109375" bestFit="1" customWidth="1"/>
    <col min="181" max="182" width="8.140625" bestFit="1" customWidth="1"/>
    <col min="183" max="185" width="5.7109375" bestFit="1" customWidth="1"/>
    <col min="186" max="187" width="8.140625" bestFit="1" customWidth="1"/>
    <col min="188" max="188" width="3.28515625" bestFit="1" customWidth="1"/>
    <col min="189" max="189" width="8.140625" bestFit="1" customWidth="1"/>
    <col min="190" max="192" width="5.7109375" bestFit="1" customWidth="1"/>
    <col min="193" max="193" width="8.140625" bestFit="1" customWidth="1"/>
    <col min="194" max="199" width="3.28515625" bestFit="1" customWidth="1"/>
    <col min="200" max="201" width="5.7109375" bestFit="1" customWidth="1"/>
    <col min="202" max="209" width="3.28515625" bestFit="1" customWidth="1"/>
    <col min="210" max="210" width="5.7109375" bestFit="1" customWidth="1"/>
  </cols>
  <sheetData>
    <row r="1" spans="1:210" ht="170.25" customHeight="1" x14ac:dyDescent="0.2">
      <c r="A1" t="s">
        <v>7663</v>
      </c>
      <c r="C1" t="s">
        <v>7675</v>
      </c>
      <c r="E1" t="s">
        <v>7661</v>
      </c>
      <c r="F1" t="s">
        <v>7665</v>
      </c>
      <c r="G1" t="s">
        <v>8470</v>
      </c>
      <c r="H1" t="str">
        <f>Tabellen_Rassen!BU1</f>
        <v>Almada</v>
      </c>
      <c r="I1" t="str">
        <f>Tabellen_Rassen!BY1</f>
        <v>Almada (An einer wichtigen Handelsroute)</v>
      </c>
      <c r="J1" t="str">
        <f>Tabellen_Rassen!BZ1</f>
        <v>Almada (Gebirge)</v>
      </c>
      <c r="K1" t="str">
        <f>Tabellen_Rassen!CA1</f>
        <v>Almada (Landadel)</v>
      </c>
      <c r="L1" t="str">
        <f>Tabellen_Rassen!BV1</f>
        <v>Almada (Städte am Yaquir (z.B. Punin, Ragath))</v>
      </c>
      <c r="M1" t="str">
        <f>Tabellen_Rassen!BW1</f>
        <v>Almada (Städte mit wichtigem Tempel / Pilgerstätte (z.B. Punin, Brig-Lo))</v>
      </c>
      <c r="N1" t="str">
        <f>Tabellen_Rassen!BX1</f>
        <v>Almada (Städtischer Adel)</v>
      </c>
      <c r="O1" t="str">
        <f>Tabellen_Rassen!CM1</f>
        <v>Amazonenburg</v>
      </c>
      <c r="P1" t="str">
        <f>Tabellen_Rassen!BE1</f>
        <v>Andergast und Nostria</v>
      </c>
      <c r="Q1" t="str">
        <f>Tabellen_Rassen!BH1</f>
        <v>Andergast und Nostria (Gebirge)</v>
      </c>
      <c r="R1" t="str">
        <f>Tabellen_Rassen!BI1</f>
        <v>Andergast und Nostria (Küstengebiete)</v>
      </c>
      <c r="S1" t="str">
        <f>Tabellen_Rassen!BG1</f>
        <v>Andergast und Nostria (Landadel)</v>
      </c>
      <c r="T1" t="str">
        <f>Tabellen_Rassen!BF1</f>
        <v>Andergast und Nostria (Stadt (nur Andergast, Nostria, Salza, Joborn))</v>
      </c>
      <c r="U1" t="str">
        <f>Tabellen_Rassen!BJ1</f>
        <v>Andergast und Nostria (Teshkalien, nordöstliches Andergast)</v>
      </c>
      <c r="V1" t="str">
        <f>Tabellen_Rassen!CN1</f>
        <v>Aranien (M)</v>
      </c>
      <c r="W1" t="str">
        <f>Tabellen_Rassen!CT1</f>
        <v>Aranien (M) (Adel)</v>
      </c>
      <c r="X1" t="str">
        <f>Tabellen_Rassen!CR1</f>
        <v>Aranien (M) (Küstengebiete oder am Barun-Ulah)</v>
      </c>
      <c r="Y1" t="str">
        <f>Tabellen_Rassen!CP1</f>
        <v>Aranien (M) (Stadt z.B. Anchopal, Baburin, Zorgan, Elburum, Llanka)</v>
      </c>
      <c r="Z1" t="str">
        <f>Tabellen_Rassen!CO1</f>
        <v>Aranien (W)</v>
      </c>
      <c r="AA1" t="str">
        <f>Tabellen_Rassen!CU1</f>
        <v>Aranien (W) (Adel)</v>
      </c>
      <c r="AB1" t="str">
        <f>Tabellen_Rassen!CS1</f>
        <v>Aranien (W) (Küstengebiete oder am Barun-Ulah)</v>
      </c>
      <c r="AC1" t="str">
        <f>Tabellen_Rassen!CQ1</f>
        <v>Aranien (W) (Stadt z.B. Anchopal, Baburin, Zorgan, Elburum, Llanka)</v>
      </c>
      <c r="AD1" t="str">
        <f>Tabellen_Rassen!BK1</f>
        <v>Bornland</v>
      </c>
      <c r="AE1" t="str">
        <f>Tabellen_Rassen!BM1</f>
        <v>Bornland (Küstengebiete)</v>
      </c>
      <c r="AF1" t="str">
        <f>Tabellen_Rassen!BN1</f>
        <v>Bornland (Landadel, Bronnjar)</v>
      </c>
      <c r="AG1" t="str">
        <f>Tabellen_Rassen!BL1</f>
        <v>Bornland (Landstädte (Firunen, Norburg, Notmark, Ouvenmas, Rodebrannt))</v>
      </c>
      <c r="AH1" t="str">
        <f>Tabellen_Rassen!EZ1</f>
        <v>Bukanier</v>
      </c>
      <c r="AI1" t="str">
        <f>Tabellen_Rassen!DY1</f>
        <v>Darna</v>
      </c>
      <c r="AJ1" t="str">
        <f>Tabellen_Rassen!DU1</f>
        <v>Dschungelstämme</v>
      </c>
      <c r="AK1" t="str">
        <f>Tabellen_Rassen!DW1</f>
        <v>Dschungelstämme (Bergstämme)</v>
      </c>
      <c r="AL1" t="str">
        <f>Tabellen_Rassen!DX1</f>
        <v>Dschungelstämme (Haipu)</v>
      </c>
      <c r="AM1" t="str">
        <f>Tabellen_Rassen!DV1</f>
        <v>Dschungelstämme (Tschopukikuha)</v>
      </c>
      <c r="AN1" t="str">
        <f>Tabellen_Rassen!DI1</f>
        <v>Ferkina</v>
      </c>
      <c r="AO1" t="str">
        <f>Tabellen_Rassen!DT1</f>
        <v>Fjarninger</v>
      </c>
      <c r="AP1" t="str">
        <f>Tabellen_Rassen!DS1</f>
        <v>Gjalskerland</v>
      </c>
      <c r="AQ1" t="str">
        <f>Tabellen_Rassen!CB1</f>
        <v>Horasreich</v>
      </c>
      <c r="AR1" t="str">
        <f>Tabellen_Rassen!CG1</f>
        <v>Horasreich (An einer wichtigen Handelsroute)</v>
      </c>
      <c r="AS1" t="str">
        <f>Tabellen_Rassen!CF1</f>
        <v>Horasreich (Dörfer an der Küste oder an großen Flüssen)</v>
      </c>
      <c r="AT1" t="str">
        <f>Tabellen_Rassen!CI1</f>
        <v>Horasreich (Fernab der Zivilisation, Chababien)</v>
      </c>
      <c r="AU1" t="str">
        <f>Tabellen_Rassen!CH1</f>
        <v>Horasreich (Gebirge)</v>
      </c>
      <c r="AV1" t="str">
        <f>Tabellen_Rassen!CC1</f>
        <v>Horasreich (Hafenstädte / Städte an großen Flüssen (z.B. Kuslik, Grangor, Vinsalt))</v>
      </c>
      <c r="AW1" t="str">
        <f>Tabellen_Rassen!CJ1</f>
        <v>Horasreich (Landadel)</v>
      </c>
      <c r="AX1" t="str">
        <f>Tabellen_Rassen!CD1</f>
        <v>Horasreich (Städte mit wichtigem Tempel / Pilgerstätte (z.B. Kuslik, Bethana, Arivor, Neetha))</v>
      </c>
      <c r="AY1" t="str">
        <f>Tabellen_Rassen!CE1</f>
        <v>Horasreich (Städtischer Adel)</v>
      </c>
      <c r="AZ1" t="str">
        <f>Tabellen_Rassen!EF1</f>
        <v>Maraskaner</v>
      </c>
      <c r="BA1" t="str">
        <f>Tabellen_Rassen!EG1</f>
        <v>Maraskaner (Dschungel)</v>
      </c>
      <c r="BB1" t="str">
        <f>Tabellen_Rassen!EH1</f>
        <v>Maraskaner (Küstengebiete)</v>
      </c>
      <c r="BC1" t="str">
        <f>Tabellen_Rassen!EI1</f>
        <v>Maraskaner (Maraskanische Städte)</v>
      </c>
      <c r="BD1" t="str">
        <f>Tabellen_Rassen!EL1</f>
        <v>Maraskanische Exilanten aus Al´anfa/Südaventurien</v>
      </c>
      <c r="BE1" t="str">
        <f>Tabellen_Rassen!EK1</f>
        <v>Maraskanische Exilanten aus Festum/Mittelländischen Städten</v>
      </c>
      <c r="BF1" t="str">
        <f>Tabellen_Rassen!EJ1</f>
        <v>Maraskanische Exilanten aus Khunchom/Tulamidischen Stadtstaaten</v>
      </c>
      <c r="BG1" t="str">
        <f>Tabellen_Rassen!CV1</f>
        <v>Mhanadistan</v>
      </c>
      <c r="BH1" t="str">
        <f>Tabellen_Rassen!CW1</f>
        <v>Mhanadistan (An wichtigen Handelsrouten)</v>
      </c>
      <c r="BI1" t="str">
        <f>Tabellen_Rassen!CX1</f>
        <v>Mhanadistan (Fern der Zivilisation)</v>
      </c>
      <c r="BJ1" t="str">
        <f>Tabellen_Rassen!DA1</f>
        <v>Mhanadistan (Kasimiten)</v>
      </c>
      <c r="BK1" t="str">
        <f>Tabellen_Rassen!CY1</f>
        <v>Mhanadistan (Küstengebiete oder an großen Flüssen)</v>
      </c>
      <c r="BL1" t="str">
        <f>Tabellen_Rassen!CZ1</f>
        <v>Mhanadistan (Tulamidische Nomadenstämme)</v>
      </c>
      <c r="BM1" t="str">
        <f>Tabellen_Rassen!ED1</f>
        <v>Miniwatu</v>
      </c>
      <c r="BN1" t="str">
        <f>Tabellen_Rassen!AV1</f>
        <v>Mittelländische Landbevölkerung</v>
      </c>
      <c r="BO1" t="str">
        <f>Tabellen_Rassen!AX1</f>
        <v>Mittelländische Landbevölkerung (An einer wichtigen Handelsroute / Reichsstraße)</v>
      </c>
      <c r="BP1" t="str">
        <f>Tabellen_Rassen!BD1</f>
        <v>Mittelländische Landbevölkerung (Borbaradianisch besetzte Gebiete (Tobrien, Ost-Darpatien, Warunk, Beilunk))</v>
      </c>
      <c r="BQ1" t="str">
        <f>Tabellen_Rassen!BA1</f>
        <v>Mittelländische Landbevölkerung (Fern der Zivilisation)</v>
      </c>
      <c r="BR1" t="str">
        <f>Tabellen_Rassen!AZ1</f>
        <v>Mittelländische Landbevölkerung (Gebirge)</v>
      </c>
      <c r="BS1" t="str">
        <f>Tabellen_Rassen!BC1</f>
        <v>Mittelländische Landbevölkerung (Jilaskan)</v>
      </c>
      <c r="BT1" t="str">
        <f>Tabellen_Rassen!AW1</f>
        <v>Mittelländische Landbevölkerung (Küstengebiete oder an großen Flüssen)</v>
      </c>
      <c r="BU1" t="str">
        <f>Tabellen_Rassen!BB1</f>
        <v>Mittelländische Landbevölkerung (Landadel)</v>
      </c>
      <c r="BV1" t="str">
        <f>Tabellen_Rassen!AY1</f>
        <v>Mittelländische Landbevölkerung (Regionen Weiden und Greifenfurt)</v>
      </c>
      <c r="BW1" t="str">
        <f>Tabellen_Rassen!AO1</f>
        <v>Mittelländische Städte (Kleinstädte)</v>
      </c>
      <c r="BX1" t="str">
        <f>Tabellen_Rassen!AU1</f>
        <v>Mittelländische Städte (Flüchtlinge aus borbaradianisch besetzten Städten (z.B. Ysilia, Mendena, Ilsur, Warunk, Beilunk))</v>
      </c>
      <c r="BY1" t="str">
        <f>Tabellen_Rassen!AP1</f>
        <v>Mittelländische Städte (Hafenstädte und Städte an großen Flüssen (z.B. Elenvina, Ferdok, Festum, Harben, Havena, Perricum))</v>
      </c>
      <c r="BZ1" t="str">
        <f>Tabellen_Rassen!AT1</f>
        <v>Mittelländische Städte (Kannemünde / Mhanerhaven)</v>
      </c>
      <c r="CA1" t="str">
        <f>Tabellen_Rassen!AR1</f>
        <v>Mittelländische Städte (Siedlerstädte des Nordens (z.B. Uhdenberg, Donnerbach, Riva, Lowangen, Norburg))</v>
      </c>
      <c r="CB1" t="str">
        <f>Tabellen_Rassen!AQ1</f>
        <v>Mittelländische Städte (Städte mit wichtigem Tempel / Pilgerstätte (z.B. Angbar, Gareth/Neu-Gareth, Rommilys))</v>
      </c>
      <c r="CC1" t="str">
        <f>Tabellen_Rassen!AS1</f>
        <v>Mittelländische Städte (Städtischer Adel)</v>
      </c>
      <c r="CD1" t="str">
        <f>Tabellen_Rassen!FA1</f>
        <v>Nivesenstämme</v>
      </c>
      <c r="CE1" t="str">
        <f>Tabellen_Rassen!FB1</f>
        <v>Nivesenstämme (Halbsesshafte Küstenstämme)</v>
      </c>
      <c r="CF1" t="str">
        <f>Tabellen_Rassen!FE1</f>
        <v>Norbardensippe</v>
      </c>
      <c r="CG1" t="s">
        <v>9307</v>
      </c>
      <c r="CH1" t="str">
        <f>Tabellen_Rassen!DE1</f>
        <v>Novadis (M) oder Achmad´Sunni</v>
      </c>
      <c r="CI1" t="str">
        <f>Tabellen_Rassen!DF1</f>
        <v>Novadis (M) oder Achmad´Sunni (Wüstenoase)</v>
      </c>
      <c r="CJ1" t="str">
        <f>Tabellen_Rassen!DG1</f>
        <v>Novadis (W)</v>
      </c>
      <c r="CK1" t="str">
        <f>Tabellen_Rassen!DH1</f>
        <v>Novadis (W) (Wüstenoase)</v>
      </c>
      <c r="CL1" t="str">
        <f>Tabellen_Rassen!FC1</f>
        <v>Nuanaä-Lie</v>
      </c>
      <c r="CM1" t="str">
        <f>Tabellen_Rassen!FD1</f>
        <v>Nuanaä-Lie (Nauoke)</v>
      </c>
      <c r="CN1" t="str">
        <f>Tabellen_Rassen!EM1</f>
        <v>Südaventurien</v>
      </c>
      <c r="CO1" t="str">
        <f>Tabellen_Rassen!EW1</f>
        <v>Südaventurien (Kolonialhäfen (Waldinsel-Kolonien des Bornlandes, des Horasreichs und Al´anfa))</v>
      </c>
      <c r="CP1" t="str">
        <f>Tabellen_Rassen!EX1</f>
        <v>Südaventurien (Dschungeldorf/Plantage)</v>
      </c>
      <c r="CQ1" t="str">
        <f>Tabellen_Rassen!EY1</f>
        <v>Südaventurien (Selem)</v>
      </c>
      <c r="CR1" t="str">
        <f>Tabellen_Rassen!EN1</f>
        <v>Südaventurien (Südliche Stadtstaaten)</v>
      </c>
      <c r="CS1" t="str">
        <f>Tabellen_Rassen!EO1</f>
        <v>Südaventurien (Südliche Stadtstaaten (Al´anfa))</v>
      </c>
      <c r="CT1" t="str">
        <f>Tabellen_Rassen!EP1</f>
        <v>Südaventurien (Südliche Stadtstaaten (Brabak))</v>
      </c>
      <c r="CU1" t="str">
        <f>Tabellen_Rassen!EQ1</f>
        <v>Südaventurien (Südliche Stadtstaaten (Charypso, Sylla))</v>
      </c>
      <c r="CV1" t="str">
        <f>Tabellen_Rassen!ER1</f>
        <v>Südaventurien (Südliche Stadtstaaten (Mengbilla))</v>
      </c>
      <c r="CW1" t="str">
        <f>Tabellen_Rassen!ES1</f>
        <v>Südaventurien (Südliche Stadtstaaten (Khefu))</v>
      </c>
      <c r="CX1" t="str">
        <f>Tabellen_Rassen!ET1</f>
        <v>Südaventurien (Südliche Stadtstaaten (Mirham))</v>
      </c>
      <c r="CY1" t="str">
        <f>Tabellen_Rassen!EU1</f>
        <v>Südaventurien (Südliche Stadtstaaten (Hót-Alem))</v>
      </c>
      <c r="CZ1" t="str">
        <f>Tabellen_Rassen!EV1</f>
        <v>Südaventurien (Südliche Stadtstaaten (Chorhop))</v>
      </c>
      <c r="DA1" t="str">
        <f>Tabellen_Rassen!BO1</f>
        <v>Svellttal und Nordlande</v>
      </c>
      <c r="DB1" t="str">
        <f>Tabellen_Rassen!BP1</f>
        <v>Svellttal und Nordlande (Stadt (nur Gashok, Tiefhusen, Tjolmar))</v>
      </c>
      <c r="DC1" t="str">
        <f>Tabellen_Rassen!BQ1</f>
        <v>Svellttal und Nordlande (Kleinstädte)</v>
      </c>
      <c r="DD1" t="str">
        <f>Tabellen_Rassen!BR1</f>
        <v>Svellttal und Nordlande (Küstengebiete oder an großen Flüssen)</v>
      </c>
      <c r="DE1" t="str">
        <f>Tabellen_Rassen!BS1</f>
        <v>Svellttal und Nordlande (Fern der Zivilisation)</v>
      </c>
      <c r="DF1" t="str">
        <f>Tabellen_Rassen!BT1</f>
        <v>Svellttal und Nordlande (Flüchtlinge aus Glorania)</v>
      </c>
      <c r="DG1" t="str">
        <f>Tabellen_Rassen!DK1</f>
        <v>Thorwal</v>
      </c>
      <c r="DH1" t="str">
        <f>Tabellen_Rassen!DL1</f>
        <v>Thorwal (Binnenland)</v>
      </c>
      <c r="DI1" t="s">
        <v>9171</v>
      </c>
      <c r="DJ1" t="s">
        <v>9172</v>
      </c>
      <c r="DK1" t="s">
        <v>9173</v>
      </c>
      <c r="DL1" t="s">
        <v>9174</v>
      </c>
      <c r="DM1" t="s">
        <v>9175</v>
      </c>
      <c r="DN1" t="s">
        <v>9176</v>
      </c>
      <c r="DO1" t="str">
        <f>Tabellen_Rassen!EE1</f>
        <v>Tocamuyac</v>
      </c>
      <c r="DP1" t="str">
        <f>Tabellen_Rassen!FG1</f>
        <v>Trollzacken</v>
      </c>
      <c r="DQ1" t="str">
        <f>Tabellen_Rassen!DB1</f>
        <v>Tulamidische Stadtstaaten</v>
      </c>
      <c r="DR1" t="str">
        <f>Tabellen_Rassen!DC1</f>
        <v>Tulamidische Stadtstaaten (See- oder Mhanadihafen)</v>
      </c>
      <c r="DS1" t="str">
        <f>Tabellen_Rassen!DD1</f>
        <v>Tulamidische Stadtstaaten (Kasimiten)</v>
      </c>
      <c r="DT1" t="str">
        <f>Tabellen_Rassen!DZ1</f>
        <v>Verlorene Stämme</v>
      </c>
      <c r="DU1" t="str">
        <f>Tabellen_Rassen!EA1</f>
        <v>Verlorene Stämme (Shokubunga)</v>
      </c>
      <c r="DV1" t="str">
        <f>Tabellen_Rassen!EB1</f>
        <v>Verlorene Stämme (Chirakah)</v>
      </c>
      <c r="DW1" t="str">
        <f>Tabellen_Rassen!EC1</f>
        <v>Waldinsel-Utulus</v>
      </c>
      <c r="DX1" t="str">
        <f>Tabellen_Rassen!DJ1</f>
        <v>Zahori</v>
      </c>
      <c r="DY1" t="str">
        <f>Tabellen_Rassen!CK1</f>
        <v>Zyklopeninseln</v>
      </c>
      <c r="DZ1" t="str">
        <f>Tabellen_Rassen!CL1</f>
        <v>Zyklopeninseln (Landadel)</v>
      </c>
      <c r="EA1" t="str">
        <f>Tabellen_Rassen!FH1</f>
        <v>Auelfische Sippe</v>
      </c>
      <c r="EB1" t="str">
        <f>Tabellen_Rassen!FI1</f>
        <v>Auelfische Sippe (Hoher Norden)</v>
      </c>
      <c r="EC1" t="str">
        <f>Tabellen_Rassen!FJ1</f>
        <v>Auelfische Sippe (Verweltlicht)</v>
      </c>
      <c r="ED1" t="str">
        <f>Tabellen_Rassen!FK1</f>
        <v>Elfische Siedlung</v>
      </c>
      <c r="EE1" t="str">
        <f>Tabellen_Rassen!FL1</f>
        <v>Elfische Siedlung (Südliche Mittellande (Almada, Garetien))</v>
      </c>
      <c r="EF1" t="str">
        <f>Tabellen_Rassen!FM1</f>
        <v>Elfische Siedlung (Großstadt (Lowangen, Punin))</v>
      </c>
      <c r="EG1" t="str">
        <f>Tabellen_Rassen!FN1</f>
        <v>Elfische Siedlung (Firnelfisch beeinflusste Siedlung (Olport, Keamonmund))</v>
      </c>
      <c r="EH1" t="str">
        <f>Tabellen_Rassen!FO1</f>
        <v>Elfische Siedlung (Firnelfisch beeinflusste Siedlung (Olport, Keamonmund) mit Auswahl aus Firnelfischer Sippe )</v>
      </c>
      <c r="EI1" t="str">
        <f>Tabellen_Rassen!FP1</f>
        <v>Elfische Siedlung (Waldelfisch beeinflusste Siedlung (Donnerbach, Gerasim, Kwirasim))</v>
      </c>
      <c r="EJ1" t="str">
        <f>Tabellen_Rassen!FQ1</f>
        <v>Elfische Siedlung (Elfen mit menschlicher Profession (keine elfische Profession, keine magische menschliche Profession))</v>
      </c>
      <c r="EK1" t="str">
        <f>Tabellen_Rassen!FR1</f>
        <v>Elfische Siedlung (Verweltlicht)</v>
      </c>
      <c r="EL1" t="str">
        <f>Tabellen_Rassen!FS1</f>
        <v>Steppenelfische Sippe</v>
      </c>
      <c r="EM1" t="str">
        <f>Tabellen_Rassen!FT1</f>
        <v>Waldelfische Sippe</v>
      </c>
      <c r="EN1" t="str">
        <f>Tabellen_Rassen!FU1</f>
        <v>Firnelfische Sippe</v>
      </c>
      <c r="EO1" t="str">
        <f>Tabellen_Rassen!FV1</f>
        <v>Firnelfische Sippe (Küsten und Inseln)</v>
      </c>
      <c r="EP1" t="str">
        <f>Tabellen_Rassen!FW1</f>
        <v>Firnelfische Sippe (Verweltlicht)</v>
      </c>
      <c r="EQ1" t="str">
        <f>Tabellen_Rassen!FX1</f>
        <v>Wüstenelfische Sippe</v>
      </c>
      <c r="ER1" t="str">
        <f>Tabellen_Rassen!FY1</f>
        <v>Ambosszwerge</v>
      </c>
      <c r="ES1" t="str">
        <f>Tabellen_Rassen!FZ1</f>
        <v>Erzzwerge</v>
      </c>
      <c r="ET1" t="str">
        <f>Tabellen_Rassen!GA1</f>
        <v>Hügelzwerge</v>
      </c>
      <c r="EU1" t="str">
        <f>Tabellen_Rassen!GB1</f>
        <v>Brilliantzwerge</v>
      </c>
      <c r="EV1" t="str">
        <f>Tabellen_Rassen!GC1</f>
        <v>Brobim</v>
      </c>
      <c r="EW1" t="str">
        <f>Tabellen_Rassen!GD1</f>
        <v>Orkland-Orks (Stamm Korogai Kaste Ergoch (Sklaven))</v>
      </c>
      <c r="EX1" t="str">
        <f>Tabellen_Rassen!GE1</f>
        <v>Orkland-Orks (Stamm Korogai Kaste Grishik (Bauern))</v>
      </c>
      <c r="EY1" t="str">
        <f>Tabellen_Rassen!GF1</f>
        <v>Orkland-Orks (Stamm Korogai Kaste Drasdech (Handwerker))</v>
      </c>
      <c r="EZ1" t="str">
        <f>Tabellen_Rassen!GG1</f>
        <v>Orkland-Orks (Stamm Korogai Kaste Khurkach (Krieger und Jäger))</v>
      </c>
      <c r="FA1" t="str">
        <f>Tabellen_Rassen!GH1</f>
        <v>Orkland-Orks (Stamm Korogai Kaste Okwach (Elite-Krieger, Priester, Schamanen))</v>
      </c>
      <c r="FB1" t="str">
        <f>Tabellen_Rassen!GI1</f>
        <v>Orkland-Orks (Stamm Mokolash Kaste Ergoch (Sklaven))</v>
      </c>
      <c r="FC1" t="str">
        <f>Tabellen_Rassen!GJ1</f>
        <v>Orkland-Orks (Stamm Mokolash Kaste Grishik (Bauern))</v>
      </c>
      <c r="FD1" t="str">
        <f>Tabellen_Rassen!GK1</f>
        <v>Orkland-Orks (Stamm Mokolash Kaste Drasdech (Handwerker))</v>
      </c>
      <c r="FE1" t="str">
        <f>Tabellen_Rassen!GL1</f>
        <v>Orkland-Orks (Stamm Mokolash Kaste Khurkach (Krieger und Jäger))</v>
      </c>
      <c r="FF1" t="str">
        <f>Tabellen_Rassen!GM1</f>
        <v>Orkland-Orks (Stamm Mokolash Kaste Okwach (Elite-Krieger, Priester, Schamanen))</v>
      </c>
      <c r="FG1" t="str">
        <f>Tabellen_Rassen!GN1</f>
        <v>Orkland-Orks (Stamm Olochtai Kaste Ergoch (Sklaven))</v>
      </c>
      <c r="FH1" t="str">
        <f>Tabellen_Rassen!GO1</f>
        <v>Orkland-Orks (Stamm Olochtai Kaste Grishik (Bauern))</v>
      </c>
      <c r="FI1" t="str">
        <f>Tabellen_Rassen!GP1</f>
        <v>Orkland-Orks (Stamm Olochtai Kaste Drasdech (Handwerker))</v>
      </c>
      <c r="FJ1" t="str">
        <f>Tabellen_Rassen!GQ1</f>
        <v>Orkland-Orks (Stamm Olochtai Kaste Khurkach (Krieger und Jäger))</v>
      </c>
      <c r="FK1" t="str">
        <f>Tabellen_Rassen!GR1</f>
        <v>Orkland-Orks (Stamm Olochtai Kaste Okwach (Elite-Krieger, Priester, Schamanen))</v>
      </c>
      <c r="FL1" t="str">
        <f>Tabellen_Rassen!GS1</f>
        <v>Orkland-Orks (Stamm Orichai Kaste Ergoch (Sklaven))</v>
      </c>
      <c r="FM1" t="str">
        <f>Tabellen_Rassen!GT1</f>
        <v>Orkland-Orks (Stamm Orichai Kaste Grishik (Bauern))</v>
      </c>
      <c r="FN1" t="str">
        <f>Tabellen_Rassen!GU1</f>
        <v>Orkland-Orks (Stamm Orichai Kaste Drasdech (Handwerker))</v>
      </c>
      <c r="FO1" t="str">
        <f>Tabellen_Rassen!GV1</f>
        <v>Orkland-Orks (Stamm Orichai Kaste Khurkach (Krieger und Jäger))</v>
      </c>
      <c r="FP1" t="str">
        <f>Tabellen_Rassen!GW1</f>
        <v>Orkland-Orks (Stamm Orichai Kaste Okwach (Elite-Krieger, Priester, Schamanen))</v>
      </c>
      <c r="FQ1" t="str">
        <f>Tabellen_Rassen!GX1</f>
        <v>Orkland-Orks (Stamm Trunzhai Kaste Ergoch (Sklaven))</v>
      </c>
      <c r="FR1" t="str">
        <f>Tabellen_Rassen!GY1</f>
        <v>Orkland-Orks (Stamm Trunzhai Kaste Grishik (Bauern))</v>
      </c>
      <c r="FS1" t="str">
        <f>Tabellen_Rassen!GZ1</f>
        <v>Orkland-Orks (Stamm Trunzhai Kaste Drasdech (Handwerker))</v>
      </c>
      <c r="FT1" t="str">
        <f>Tabellen_Rassen!HA1</f>
        <v>Orkland-Orks (Stamm Trunzhai Kaste Khurkach (Krieger und Jäger))</v>
      </c>
      <c r="FU1" t="str">
        <f>Tabellen_Rassen!HB1</f>
        <v>Orkland-Orks (Stamm Trunzhai Kaste Okwach (Elite-Krieger, Priester, Schamanen))</v>
      </c>
      <c r="FV1" t="str">
        <f>Tabellen_Rassen!HC1</f>
        <v>Orkland-Orks (Stamm Tscharshai Kaste Ergoch (Sklaven))</v>
      </c>
      <c r="FW1" t="str">
        <f>Tabellen_Rassen!HD1</f>
        <v>Orkland-Orks (Stamm Tscharshai Kaste Grishik (Bauern))</v>
      </c>
      <c r="FX1" t="str">
        <f>Tabellen_Rassen!HE1</f>
        <v>Orkland-Orks (Stamm Tscharshai Kaste Drasdech (Handwerker))</v>
      </c>
      <c r="FY1" t="str">
        <f>Tabellen_Rassen!HF1</f>
        <v>Orkland-Orks (Stamm Tscharshai Kaste Khurkach (Krieger und Jäger))</v>
      </c>
      <c r="FZ1" t="str">
        <f>Tabellen_Rassen!HG1</f>
        <v>Orkland-Orks (Stamm Tscharshai Kaste Okwach (Elite-Krieger, Priester, Schamanen))</v>
      </c>
      <c r="GA1" t="str">
        <f>Tabellen_Rassen!HH1</f>
        <v>Orkland-Orks (Stamm Zholochai Kaste Ergoch (Sklaven))</v>
      </c>
      <c r="GB1" t="str">
        <f>Tabellen_Rassen!HI1</f>
        <v>Orkland-Orks (Stamm Zholochai Kaste Grishik (Bauern))</v>
      </c>
      <c r="GC1" t="str">
        <f>Tabellen_Rassen!HJ1</f>
        <v>Orkland-Orks (Stamm Zholochai Kaste Drasdech (Handwerker))</v>
      </c>
      <c r="GD1" t="str">
        <f>Tabellen_Rassen!HK1</f>
        <v>Orkland-Orks (Stamm Zholochai Kaste Khurkach (Krieger und Jäger))</v>
      </c>
      <c r="GE1" t="str">
        <f>Tabellen_Rassen!HL1</f>
        <v>Orkland-Orks (Stamm Zholochai Kaste Okwach (Elite-Krieger, Priester, Schamanen))</v>
      </c>
      <c r="GF1" t="str">
        <f>Tabellen_Rassen!HM1</f>
        <v>Yurach-Orks (Ausgestoßene)</v>
      </c>
      <c r="GG1" t="str">
        <f>Tabellen_Rassen!HN1</f>
        <v>Svellttal-Besatzer Orks (Kaste Ergoch (Sklaven, häufig Menschen))</v>
      </c>
      <c r="GH1" t="str">
        <f>Tabellen_Rassen!HO1</f>
        <v>Svellttal-Besatzer Orks (Kaste Grishik (Bauern))</v>
      </c>
      <c r="GI1" t="str">
        <f>Tabellen_Rassen!HP1</f>
        <v>Svellttal-Besatzer Orks (Kaste Drasdech (Handwerker))</v>
      </c>
      <c r="GJ1" t="str">
        <f>Tabellen_Rassen!HQ1</f>
        <v>Svellttal-Besatzer Orks (Kaste Khurkach (Krieger und Jäger))</v>
      </c>
      <c r="GK1" t="str">
        <f>Tabellen_Rassen!HR1</f>
        <v>Svellttal-Besatzer Orks (Kaste Okwach (Elite-Krieger, Priester, Schamanen))</v>
      </c>
      <c r="GL1" t="str">
        <f>Tabellen_Rassen!HS1</f>
        <v>Goblinstamm (Männer)</v>
      </c>
      <c r="GM1" t="str">
        <f>Tabellen_Rassen!HT1</f>
        <v>Goblinstamm (Frauen)</v>
      </c>
      <c r="GN1" t="str">
        <f>Tabellen_Rassen!HU1</f>
        <v>Goblinstamm (Männer, Ebene)</v>
      </c>
      <c r="GO1" t="str">
        <f>Tabellen_Rassen!HV1</f>
        <v>Goblinstamm (Frauen, Ebene)</v>
      </c>
      <c r="GP1" t="str">
        <f>Tabellen_Rassen!HW1</f>
        <v>Goblinstamm (Männer, Gebirge)</v>
      </c>
      <c r="GQ1" t="str">
        <f>Tabellen_Rassen!HX1</f>
        <v>Goblinstamm (Frauen, Gebirge)</v>
      </c>
      <c r="GR1" t="str">
        <f>Tabellen_Rassen!HY1</f>
        <v>Goblinstamm (Männer, Schneegoblins)</v>
      </c>
      <c r="GS1" t="str">
        <f>Tabellen_Rassen!HZ1</f>
        <v>Goblinstamm (Frauen, Schneegoblins)</v>
      </c>
      <c r="GT1" t="str">
        <f>Tabellen_Rassen!IA1</f>
        <v>Goblinbande</v>
      </c>
      <c r="GU1" t="str">
        <f>Tabellen_Rassen!IB1</f>
        <v>Goblins aus dem Festumer Ghetto</v>
      </c>
      <c r="GV1" t="str">
        <f>Tabellen_Rassen!IC1</f>
        <v>Archaische Achaz</v>
      </c>
      <c r="GW1" t="str">
        <f>Tabellen_Rassen!ID1</f>
        <v>Stammes-Achaz</v>
      </c>
      <c r="GX1" t="str">
        <f>Tabellen_Rassen!IE1</f>
        <v>Stammes-Achaz (Maraskan)</v>
      </c>
      <c r="GY1" t="str">
        <f>Tabellen_Rassen!IF1</f>
        <v>Stammes-Achaz (Orkland)</v>
      </c>
      <c r="GZ1" t="str">
        <f>Tabellen_Rassen!IG1</f>
        <v>Stammes-Achaz (Echsensümpfe)</v>
      </c>
      <c r="HA1" t="str">
        <f>Tabellen_Rassen!IH1</f>
        <v>Stammes-Achaz (Loch Harodrol)</v>
      </c>
      <c r="HB1" t="str">
        <f>Tabellen_Rassen!II1</f>
        <v>Stammes-Achaz (Waldinseln/Südaventurien)</v>
      </c>
    </row>
    <row r="2" spans="1:210" x14ac:dyDescent="0.2">
      <c r="A2" t="str">
        <f>IF(Generierung!$D$4="Nach WdH - Start mit Rasse","C"&amp;IDX_P_GESELL+1&amp;":C"&amp;IDX_P_GESELL+17,"E"&amp;IDX_P_GESELL+1&amp;":E"&amp;IDX_P_GESELL+17)</f>
        <v>E3:E19</v>
      </c>
      <c r="E2" t="s">
        <v>7671</v>
      </c>
      <c r="G2">
        <f>ROW()</f>
        <v>2</v>
      </c>
      <c r="H2">
        <f t="shared" ref="H2:AM2" si="0">IF(COUNTIF(H3:H19,1)=0,"",1)</f>
        <v>1</v>
      </c>
      <c r="I2">
        <f t="shared" si="0"/>
        <v>1</v>
      </c>
      <c r="J2">
        <f t="shared" si="0"/>
        <v>1</v>
      </c>
      <c r="K2">
        <f t="shared" si="0"/>
        <v>1</v>
      </c>
      <c r="L2">
        <f t="shared" si="0"/>
        <v>1</v>
      </c>
      <c r="M2">
        <f t="shared" si="0"/>
        <v>1</v>
      </c>
      <c r="N2">
        <f t="shared" si="0"/>
        <v>1</v>
      </c>
      <c r="O2" t="str">
        <f t="shared" si="0"/>
        <v/>
      </c>
      <c r="P2">
        <f t="shared" si="0"/>
        <v>1</v>
      </c>
      <c r="Q2">
        <f t="shared" si="0"/>
        <v>1</v>
      </c>
      <c r="R2">
        <f t="shared" si="0"/>
        <v>1</v>
      </c>
      <c r="S2">
        <f t="shared" si="0"/>
        <v>1</v>
      </c>
      <c r="T2">
        <f t="shared" si="0"/>
        <v>1</v>
      </c>
      <c r="U2">
        <f t="shared" si="0"/>
        <v>1</v>
      </c>
      <c r="V2">
        <f t="shared" si="0"/>
        <v>1</v>
      </c>
      <c r="W2">
        <f t="shared" si="0"/>
        <v>1</v>
      </c>
      <c r="X2">
        <f t="shared" si="0"/>
        <v>1</v>
      </c>
      <c r="Y2">
        <f t="shared" si="0"/>
        <v>1</v>
      </c>
      <c r="Z2">
        <f t="shared" si="0"/>
        <v>1</v>
      </c>
      <c r="AA2">
        <f t="shared" si="0"/>
        <v>1</v>
      </c>
      <c r="AB2">
        <f t="shared" si="0"/>
        <v>1</v>
      </c>
      <c r="AC2">
        <f t="shared" si="0"/>
        <v>1</v>
      </c>
      <c r="AD2">
        <f t="shared" si="0"/>
        <v>1</v>
      </c>
      <c r="AE2">
        <f t="shared" si="0"/>
        <v>1</v>
      </c>
      <c r="AF2">
        <f t="shared" si="0"/>
        <v>1</v>
      </c>
      <c r="AG2">
        <f t="shared" si="0"/>
        <v>1</v>
      </c>
      <c r="AH2">
        <f t="shared" si="0"/>
        <v>1</v>
      </c>
      <c r="AI2">
        <f t="shared" si="0"/>
        <v>1</v>
      </c>
      <c r="AJ2">
        <f t="shared" si="0"/>
        <v>1</v>
      </c>
      <c r="AK2">
        <f t="shared" si="0"/>
        <v>1</v>
      </c>
      <c r="AL2">
        <f t="shared" si="0"/>
        <v>1</v>
      </c>
      <c r="AM2">
        <f t="shared" si="0"/>
        <v>1</v>
      </c>
      <c r="AN2">
        <f t="shared" ref="AN2:BS2" si="1">IF(COUNTIF(AN3:AN19,1)=0,"",1)</f>
        <v>1</v>
      </c>
      <c r="AO2">
        <f t="shared" si="1"/>
        <v>1</v>
      </c>
      <c r="AP2">
        <f t="shared" si="1"/>
        <v>1</v>
      </c>
      <c r="AQ2">
        <f t="shared" si="1"/>
        <v>1</v>
      </c>
      <c r="AR2">
        <f t="shared" si="1"/>
        <v>1</v>
      </c>
      <c r="AS2">
        <f t="shared" si="1"/>
        <v>1</v>
      </c>
      <c r="AT2">
        <f t="shared" si="1"/>
        <v>1</v>
      </c>
      <c r="AU2">
        <f t="shared" si="1"/>
        <v>1</v>
      </c>
      <c r="AV2">
        <f t="shared" si="1"/>
        <v>1</v>
      </c>
      <c r="AW2">
        <f t="shared" si="1"/>
        <v>1</v>
      </c>
      <c r="AX2">
        <f t="shared" si="1"/>
        <v>1</v>
      </c>
      <c r="AY2">
        <f t="shared" si="1"/>
        <v>1</v>
      </c>
      <c r="AZ2">
        <f t="shared" si="1"/>
        <v>1</v>
      </c>
      <c r="BA2">
        <f t="shared" si="1"/>
        <v>1</v>
      </c>
      <c r="BB2">
        <f t="shared" si="1"/>
        <v>1</v>
      </c>
      <c r="BC2">
        <f t="shared" si="1"/>
        <v>1</v>
      </c>
      <c r="BD2">
        <f t="shared" si="1"/>
        <v>1</v>
      </c>
      <c r="BE2">
        <f t="shared" si="1"/>
        <v>1</v>
      </c>
      <c r="BF2">
        <f t="shared" si="1"/>
        <v>1</v>
      </c>
      <c r="BG2">
        <f t="shared" si="1"/>
        <v>1</v>
      </c>
      <c r="BH2">
        <f t="shared" si="1"/>
        <v>1</v>
      </c>
      <c r="BI2">
        <f t="shared" si="1"/>
        <v>1</v>
      </c>
      <c r="BJ2">
        <f t="shared" si="1"/>
        <v>1</v>
      </c>
      <c r="BK2">
        <f t="shared" si="1"/>
        <v>1</v>
      </c>
      <c r="BL2">
        <f t="shared" si="1"/>
        <v>1</v>
      </c>
      <c r="BM2">
        <f t="shared" si="1"/>
        <v>1</v>
      </c>
      <c r="BN2">
        <f t="shared" si="1"/>
        <v>1</v>
      </c>
      <c r="BO2">
        <f t="shared" si="1"/>
        <v>1</v>
      </c>
      <c r="BP2">
        <f t="shared" si="1"/>
        <v>1</v>
      </c>
      <c r="BQ2">
        <f t="shared" si="1"/>
        <v>1</v>
      </c>
      <c r="BR2">
        <f t="shared" si="1"/>
        <v>1</v>
      </c>
      <c r="BS2">
        <f t="shared" si="1"/>
        <v>1</v>
      </c>
      <c r="BT2">
        <f t="shared" ref="BT2:CZ2" si="2">IF(COUNTIF(BT3:BT19,1)=0,"",1)</f>
        <v>1</v>
      </c>
      <c r="BU2">
        <f t="shared" si="2"/>
        <v>1</v>
      </c>
      <c r="BV2">
        <f t="shared" si="2"/>
        <v>1</v>
      </c>
      <c r="BW2">
        <f t="shared" si="2"/>
        <v>1</v>
      </c>
      <c r="BX2">
        <f t="shared" si="2"/>
        <v>1</v>
      </c>
      <c r="BY2">
        <f t="shared" si="2"/>
        <v>1</v>
      </c>
      <c r="BZ2">
        <f t="shared" si="2"/>
        <v>1</v>
      </c>
      <c r="CA2">
        <f t="shared" si="2"/>
        <v>1</v>
      </c>
      <c r="CB2">
        <f t="shared" si="2"/>
        <v>1</v>
      </c>
      <c r="CC2">
        <f t="shared" si="2"/>
        <v>1</v>
      </c>
      <c r="CD2">
        <f t="shared" si="2"/>
        <v>1</v>
      </c>
      <c r="CE2">
        <f t="shared" si="2"/>
        <v>1</v>
      </c>
      <c r="CF2">
        <f t="shared" si="2"/>
        <v>1</v>
      </c>
      <c r="CG2">
        <v>1</v>
      </c>
      <c r="CH2">
        <f t="shared" si="2"/>
        <v>1</v>
      </c>
      <c r="CI2">
        <f t="shared" si="2"/>
        <v>1</v>
      </c>
      <c r="CJ2">
        <f t="shared" si="2"/>
        <v>1</v>
      </c>
      <c r="CK2">
        <f t="shared" si="2"/>
        <v>1</v>
      </c>
      <c r="CL2">
        <f t="shared" si="2"/>
        <v>1</v>
      </c>
      <c r="CM2">
        <f t="shared" si="2"/>
        <v>1</v>
      </c>
      <c r="CN2">
        <f t="shared" si="2"/>
        <v>1</v>
      </c>
      <c r="CO2">
        <f t="shared" si="2"/>
        <v>1</v>
      </c>
      <c r="CP2">
        <f t="shared" si="2"/>
        <v>1</v>
      </c>
      <c r="CQ2">
        <f t="shared" si="2"/>
        <v>1</v>
      </c>
      <c r="CR2">
        <f t="shared" si="2"/>
        <v>1</v>
      </c>
      <c r="CS2">
        <f t="shared" si="2"/>
        <v>1</v>
      </c>
      <c r="CT2">
        <f t="shared" si="2"/>
        <v>1</v>
      </c>
      <c r="CU2">
        <f t="shared" si="2"/>
        <v>1</v>
      </c>
      <c r="CV2">
        <f t="shared" si="2"/>
        <v>1</v>
      </c>
      <c r="CW2">
        <f t="shared" si="2"/>
        <v>1</v>
      </c>
      <c r="CX2">
        <f t="shared" si="2"/>
        <v>1</v>
      </c>
      <c r="CY2">
        <f t="shared" si="2"/>
        <v>1</v>
      </c>
      <c r="CZ2">
        <f t="shared" si="2"/>
        <v>1</v>
      </c>
      <c r="DA2">
        <f t="shared" ref="DA2:DZ2" si="3">IF(COUNTIF(DA3:DA19,1)=0,"",1)</f>
        <v>1</v>
      </c>
      <c r="DB2">
        <f t="shared" si="3"/>
        <v>1</v>
      </c>
      <c r="DC2">
        <f t="shared" si="3"/>
        <v>1</v>
      </c>
      <c r="DD2">
        <f t="shared" si="3"/>
        <v>1</v>
      </c>
      <c r="DE2">
        <f t="shared" si="3"/>
        <v>1</v>
      </c>
      <c r="DF2">
        <f t="shared" si="3"/>
        <v>1</v>
      </c>
      <c r="DG2">
        <f t="shared" si="3"/>
        <v>1</v>
      </c>
      <c r="DH2">
        <f t="shared" si="3"/>
        <v>1</v>
      </c>
      <c r="DI2">
        <v>1</v>
      </c>
      <c r="DJ2">
        <v>1</v>
      </c>
      <c r="DK2">
        <v>1</v>
      </c>
      <c r="DL2">
        <v>1</v>
      </c>
      <c r="DM2">
        <v>1</v>
      </c>
      <c r="DN2">
        <v>1</v>
      </c>
      <c r="DO2">
        <f t="shared" si="3"/>
        <v>1</v>
      </c>
      <c r="DP2">
        <f t="shared" si="3"/>
        <v>1</v>
      </c>
      <c r="DQ2">
        <f t="shared" si="3"/>
        <v>1</v>
      </c>
      <c r="DR2">
        <f t="shared" si="3"/>
        <v>1</v>
      </c>
      <c r="DS2">
        <f t="shared" si="3"/>
        <v>1</v>
      </c>
      <c r="DT2">
        <f t="shared" si="3"/>
        <v>1</v>
      </c>
      <c r="DU2">
        <f t="shared" si="3"/>
        <v>1</v>
      </c>
      <c r="DV2">
        <f t="shared" si="3"/>
        <v>1</v>
      </c>
      <c r="DW2">
        <f t="shared" si="3"/>
        <v>1</v>
      </c>
      <c r="DX2">
        <f t="shared" si="3"/>
        <v>1</v>
      </c>
      <c r="DY2">
        <f t="shared" si="3"/>
        <v>1</v>
      </c>
      <c r="DZ2">
        <f t="shared" si="3"/>
        <v>1</v>
      </c>
      <c r="EA2" t="str">
        <f t="shared" ref="EA2:EM2" si="4">IF(COUNTIF(EA3:EA19,1)=0,"",1)</f>
        <v/>
      </c>
      <c r="EB2" t="str">
        <f t="shared" si="4"/>
        <v/>
      </c>
      <c r="EC2" t="str">
        <f t="shared" si="4"/>
        <v/>
      </c>
      <c r="ED2">
        <f t="shared" si="4"/>
        <v>1</v>
      </c>
      <c r="EE2">
        <f t="shared" si="4"/>
        <v>1</v>
      </c>
      <c r="EF2">
        <f t="shared" si="4"/>
        <v>1</v>
      </c>
      <c r="EG2">
        <f t="shared" si="4"/>
        <v>1</v>
      </c>
      <c r="EH2">
        <f t="shared" si="4"/>
        <v>1</v>
      </c>
      <c r="EI2">
        <f t="shared" si="4"/>
        <v>1</v>
      </c>
      <c r="EJ2">
        <f t="shared" si="4"/>
        <v>1</v>
      </c>
      <c r="EK2">
        <f t="shared" si="4"/>
        <v>1</v>
      </c>
      <c r="EL2" t="str">
        <f t="shared" si="4"/>
        <v/>
      </c>
      <c r="EM2" t="str">
        <f t="shared" si="4"/>
        <v/>
      </c>
      <c r="EN2" t="str">
        <f t="shared" ref="EN2:GZ2" si="5">IF(COUNTIF(EN3:EN19,1)=0,"",1)</f>
        <v/>
      </c>
      <c r="EO2" t="str">
        <f t="shared" si="5"/>
        <v/>
      </c>
      <c r="EP2" t="str">
        <f t="shared" ref="EP2" si="6">IF(COUNTIF(EP3:EP19,1)=0,"",1)</f>
        <v/>
      </c>
      <c r="EQ2" t="str">
        <f t="shared" si="5"/>
        <v/>
      </c>
      <c r="ER2">
        <f t="shared" si="5"/>
        <v>1</v>
      </c>
      <c r="ES2">
        <f t="shared" si="5"/>
        <v>1</v>
      </c>
      <c r="ET2">
        <f t="shared" si="5"/>
        <v>1</v>
      </c>
      <c r="EU2">
        <f t="shared" si="5"/>
        <v>1</v>
      </c>
      <c r="EV2">
        <f t="shared" si="5"/>
        <v>1</v>
      </c>
      <c r="EW2" t="str">
        <f t="shared" si="5"/>
        <v/>
      </c>
      <c r="EX2" t="str">
        <f t="shared" si="5"/>
        <v/>
      </c>
      <c r="EY2">
        <f t="shared" si="5"/>
        <v>1</v>
      </c>
      <c r="EZ2" t="str">
        <f t="shared" si="5"/>
        <v/>
      </c>
      <c r="FA2" t="str">
        <f t="shared" si="5"/>
        <v/>
      </c>
      <c r="FB2" t="str">
        <f t="shared" si="5"/>
        <v/>
      </c>
      <c r="FC2" t="str">
        <f t="shared" si="5"/>
        <v/>
      </c>
      <c r="FD2">
        <f t="shared" si="5"/>
        <v>1</v>
      </c>
      <c r="FE2" t="str">
        <f t="shared" si="5"/>
        <v/>
      </c>
      <c r="FF2" t="str">
        <f t="shared" si="5"/>
        <v/>
      </c>
      <c r="FG2" t="str">
        <f t="shared" si="5"/>
        <v/>
      </c>
      <c r="FH2" t="str">
        <f t="shared" si="5"/>
        <v/>
      </c>
      <c r="FI2">
        <f t="shared" si="5"/>
        <v>1</v>
      </c>
      <c r="FJ2" t="str">
        <f t="shared" si="5"/>
        <v/>
      </c>
      <c r="FK2" t="str">
        <f t="shared" si="5"/>
        <v/>
      </c>
      <c r="FL2" t="str">
        <f t="shared" si="5"/>
        <v/>
      </c>
      <c r="FM2" t="str">
        <f t="shared" si="5"/>
        <v/>
      </c>
      <c r="FN2">
        <f t="shared" si="5"/>
        <v>1</v>
      </c>
      <c r="FO2" t="str">
        <f t="shared" si="5"/>
        <v/>
      </c>
      <c r="FP2" t="str">
        <f t="shared" si="5"/>
        <v/>
      </c>
      <c r="FQ2" t="str">
        <f t="shared" si="5"/>
        <v/>
      </c>
      <c r="FR2" t="str">
        <f t="shared" si="5"/>
        <v/>
      </c>
      <c r="FS2">
        <f t="shared" si="5"/>
        <v>1</v>
      </c>
      <c r="FT2" t="str">
        <f t="shared" si="5"/>
        <v/>
      </c>
      <c r="FU2" t="str">
        <f t="shared" si="5"/>
        <v/>
      </c>
      <c r="FV2" t="str">
        <f t="shared" si="5"/>
        <v/>
      </c>
      <c r="FW2" t="str">
        <f t="shared" si="5"/>
        <v/>
      </c>
      <c r="FX2">
        <f t="shared" si="5"/>
        <v>1</v>
      </c>
      <c r="FY2" t="str">
        <f t="shared" si="5"/>
        <v/>
      </c>
      <c r="FZ2" t="str">
        <f t="shared" si="5"/>
        <v/>
      </c>
      <c r="GA2" t="str">
        <f t="shared" si="5"/>
        <v/>
      </c>
      <c r="GB2" t="str">
        <f t="shared" si="5"/>
        <v/>
      </c>
      <c r="GC2">
        <f t="shared" si="5"/>
        <v>1</v>
      </c>
      <c r="GD2" t="str">
        <f t="shared" si="5"/>
        <v/>
      </c>
      <c r="GE2" t="str">
        <f t="shared" si="5"/>
        <v/>
      </c>
      <c r="GF2" t="str">
        <f t="shared" si="5"/>
        <v/>
      </c>
      <c r="GG2" t="str">
        <f t="shared" si="5"/>
        <v/>
      </c>
      <c r="GH2" t="str">
        <f t="shared" si="5"/>
        <v/>
      </c>
      <c r="GI2">
        <f t="shared" si="5"/>
        <v>1</v>
      </c>
      <c r="GJ2" t="str">
        <f t="shared" si="5"/>
        <v/>
      </c>
      <c r="GK2" t="str">
        <f t="shared" si="5"/>
        <v/>
      </c>
      <c r="GL2">
        <f t="shared" si="5"/>
        <v>1</v>
      </c>
      <c r="GM2">
        <f t="shared" si="5"/>
        <v>1</v>
      </c>
      <c r="GN2">
        <f t="shared" si="5"/>
        <v>1</v>
      </c>
      <c r="GO2">
        <f t="shared" si="5"/>
        <v>1</v>
      </c>
      <c r="GP2">
        <f t="shared" si="5"/>
        <v>1</v>
      </c>
      <c r="GQ2">
        <f t="shared" si="5"/>
        <v>1</v>
      </c>
      <c r="GR2">
        <f t="shared" si="5"/>
        <v>1</v>
      </c>
      <c r="GS2">
        <f t="shared" si="5"/>
        <v>1</v>
      </c>
      <c r="GT2">
        <f t="shared" si="5"/>
        <v>1</v>
      </c>
      <c r="GU2">
        <f t="shared" si="5"/>
        <v>1</v>
      </c>
      <c r="GV2" t="str">
        <f t="shared" si="5"/>
        <v/>
      </c>
      <c r="GW2">
        <f t="shared" si="5"/>
        <v>1</v>
      </c>
      <c r="GX2">
        <f t="shared" si="5"/>
        <v>1</v>
      </c>
      <c r="GY2">
        <f t="shared" si="5"/>
        <v>1</v>
      </c>
      <c r="GZ2">
        <f t="shared" si="5"/>
        <v>1</v>
      </c>
      <c r="HA2">
        <f>IF(COUNTIF(HA3:HA19,1)=0,"",1)</f>
        <v>1</v>
      </c>
      <c r="HB2">
        <f>IF(COUNTIF(HB3:HB19,1)=0,"",1)</f>
        <v>1</v>
      </c>
    </row>
    <row r="3" spans="1:210" x14ac:dyDescent="0.2">
      <c r="A3" t="str">
        <f t="array" aca="1" ref="A3" ca="1">IF(ROWS(A$1:A1)&lt;=COUNTIF(INDIRECT($A$2),"?*"),INDEX(INDIRECT($A$2),MATCH(SMALL(IF(INDIRECT($A$2)&lt;&gt;"",COUNTIF(INDIRECT($A$2),"&lt;"&amp;INDIRECT($A$2))),ROWS(A$1:A1)),IF(INDIRECT($A$2)&lt;&gt;"",COUNTIF(INDIRECT($A$2),"&lt;"&amp;INDIRECT($A$2))),0)),"")</f>
        <v>Ausrufer</v>
      </c>
      <c r="C3" t="str">
        <f t="shared" ref="C3:C19" si="7">IF(OR(ISBLANK(KULTURGENE),KULTURGENE="LEER"),"",IF(HLOOKUP(KULTURGENE,LIST_K_G,ROW(),FALSE)&gt;0,E3,""))</f>
        <v/>
      </c>
      <c r="E3" t="s">
        <v>4089</v>
      </c>
      <c r="F3" t="s">
        <v>935</v>
      </c>
      <c r="H3">
        <v>1</v>
      </c>
      <c r="I3">
        <v>1</v>
      </c>
      <c r="J3">
        <v>1</v>
      </c>
      <c r="K3">
        <v>1</v>
      </c>
      <c r="L3">
        <v>1</v>
      </c>
      <c r="M3">
        <v>1</v>
      </c>
      <c r="N3">
        <v>1</v>
      </c>
      <c r="P3">
        <v>1</v>
      </c>
      <c r="Q3">
        <v>1</v>
      </c>
      <c r="R3">
        <v>1</v>
      </c>
      <c r="S3">
        <v>1</v>
      </c>
      <c r="T3">
        <v>1</v>
      </c>
      <c r="U3">
        <v>1</v>
      </c>
      <c r="V3">
        <v>1</v>
      </c>
      <c r="W3">
        <v>1</v>
      </c>
      <c r="X3">
        <v>1</v>
      </c>
      <c r="Y3">
        <v>1</v>
      </c>
      <c r="Z3">
        <v>1</v>
      </c>
      <c r="AA3">
        <v>1</v>
      </c>
      <c r="AB3">
        <v>1</v>
      </c>
      <c r="AC3">
        <v>1</v>
      </c>
      <c r="AD3">
        <v>1</v>
      </c>
      <c r="AE3">
        <v>1</v>
      </c>
      <c r="AF3">
        <v>1</v>
      </c>
      <c r="AG3">
        <v>1</v>
      </c>
      <c r="AQ3">
        <v>1</v>
      </c>
      <c r="AR3">
        <v>1</v>
      </c>
      <c r="AS3">
        <v>1</v>
      </c>
      <c r="AT3">
        <v>1</v>
      </c>
      <c r="AU3">
        <v>1</v>
      </c>
      <c r="AV3">
        <v>1</v>
      </c>
      <c r="AW3">
        <v>1</v>
      </c>
      <c r="AX3">
        <v>1</v>
      </c>
      <c r="AY3">
        <v>1</v>
      </c>
      <c r="AZ3">
        <v>1</v>
      </c>
      <c r="BA3">
        <v>1</v>
      </c>
      <c r="BB3">
        <v>1</v>
      </c>
      <c r="BC3">
        <v>1</v>
      </c>
      <c r="BD3">
        <v>1</v>
      </c>
      <c r="BE3">
        <v>1</v>
      </c>
      <c r="BF3">
        <v>1</v>
      </c>
      <c r="BG3">
        <v>1</v>
      </c>
      <c r="BH3">
        <v>1</v>
      </c>
      <c r="BI3">
        <v>1</v>
      </c>
      <c r="BJ3">
        <v>1</v>
      </c>
      <c r="BK3">
        <v>1</v>
      </c>
      <c r="BL3">
        <v>1</v>
      </c>
      <c r="BN3">
        <v>1</v>
      </c>
      <c r="BO3">
        <v>1</v>
      </c>
      <c r="BP3">
        <v>1</v>
      </c>
      <c r="BQ3">
        <v>1</v>
      </c>
      <c r="BR3">
        <v>1</v>
      </c>
      <c r="BS3">
        <v>1</v>
      </c>
      <c r="BT3">
        <v>1</v>
      </c>
      <c r="BU3">
        <v>1</v>
      </c>
      <c r="BV3">
        <v>1</v>
      </c>
      <c r="BW3">
        <v>1</v>
      </c>
      <c r="BX3">
        <v>1</v>
      </c>
      <c r="BY3">
        <v>1</v>
      </c>
      <c r="BZ3">
        <v>1</v>
      </c>
      <c r="CA3">
        <v>1</v>
      </c>
      <c r="CB3">
        <v>1</v>
      </c>
      <c r="CC3">
        <v>1</v>
      </c>
      <c r="CF3">
        <v>1</v>
      </c>
      <c r="CG3">
        <v>1</v>
      </c>
      <c r="CN3">
        <v>1</v>
      </c>
      <c r="CO3">
        <v>1</v>
      </c>
      <c r="CP3">
        <v>1</v>
      </c>
      <c r="CQ3">
        <v>1</v>
      </c>
      <c r="CR3">
        <v>1</v>
      </c>
      <c r="CS3">
        <v>1</v>
      </c>
      <c r="CT3">
        <v>1</v>
      </c>
      <c r="CU3">
        <v>1</v>
      </c>
      <c r="CV3">
        <v>1</v>
      </c>
      <c r="CW3">
        <v>1</v>
      </c>
      <c r="CX3">
        <v>1</v>
      </c>
      <c r="CY3">
        <v>1</v>
      </c>
      <c r="CZ3">
        <v>1</v>
      </c>
      <c r="DA3">
        <v>1</v>
      </c>
      <c r="DB3">
        <v>1</v>
      </c>
      <c r="DC3">
        <v>1</v>
      </c>
      <c r="DD3">
        <v>1</v>
      </c>
      <c r="DE3">
        <v>1</v>
      </c>
      <c r="DF3">
        <v>1</v>
      </c>
      <c r="DG3">
        <v>1</v>
      </c>
      <c r="DH3">
        <v>1</v>
      </c>
      <c r="DI3">
        <v>1</v>
      </c>
      <c r="DJ3">
        <v>1</v>
      </c>
      <c r="DK3">
        <v>1</v>
      </c>
      <c r="DL3">
        <v>1</v>
      </c>
      <c r="DM3">
        <v>1</v>
      </c>
      <c r="DN3">
        <v>1</v>
      </c>
      <c r="DQ3">
        <v>1</v>
      </c>
      <c r="DR3">
        <v>1</v>
      </c>
      <c r="DS3">
        <v>1</v>
      </c>
      <c r="DX3">
        <v>1</v>
      </c>
      <c r="DY3">
        <v>1</v>
      </c>
      <c r="DZ3">
        <v>1</v>
      </c>
      <c r="ET3">
        <v>1</v>
      </c>
      <c r="EU3">
        <v>1</v>
      </c>
    </row>
    <row r="4" spans="1:210" x14ac:dyDescent="0.2">
      <c r="A4" t="str">
        <f t="array" aca="1" ref="A4" ca="1">IF(ROWS(A$1:A2)&lt;=COUNTIF(INDIRECT($A$2),"?*"),INDEX(INDIRECT($A$2),MATCH(SMALL(IF(INDIRECT($A$2)&lt;&gt;"",COUNTIF(INDIRECT($A$2),"&lt;"&amp;INDIRECT($A$2))),ROWS(A$1:A2)),IF(INDIRECT($A$2)&lt;&gt;"",COUNTIF(INDIRECT($A$2),"&lt;"&amp;INDIRECT($A$2))),0)),"")</f>
        <v>Barde</v>
      </c>
      <c r="C4" t="str">
        <f t="shared" si="7"/>
        <v/>
      </c>
      <c r="E4" t="s">
        <v>4095</v>
      </c>
      <c r="F4" t="s">
        <v>936</v>
      </c>
      <c r="H4">
        <v>1</v>
      </c>
      <c r="I4">
        <v>1</v>
      </c>
      <c r="J4">
        <v>1</v>
      </c>
      <c r="K4">
        <v>1</v>
      </c>
      <c r="L4">
        <v>1</v>
      </c>
      <c r="M4">
        <v>1</v>
      </c>
      <c r="N4">
        <v>1</v>
      </c>
      <c r="P4">
        <v>1</v>
      </c>
      <c r="Q4">
        <v>1</v>
      </c>
      <c r="R4">
        <v>1</v>
      </c>
      <c r="S4">
        <v>1</v>
      </c>
      <c r="T4">
        <v>1</v>
      </c>
      <c r="U4">
        <v>1</v>
      </c>
      <c r="V4">
        <v>1</v>
      </c>
      <c r="W4">
        <v>1</v>
      </c>
      <c r="X4">
        <v>1</v>
      </c>
      <c r="Y4">
        <v>1</v>
      </c>
      <c r="Z4">
        <v>1</v>
      </c>
      <c r="AA4">
        <v>1</v>
      </c>
      <c r="AB4">
        <v>1</v>
      </c>
      <c r="AC4">
        <v>1</v>
      </c>
      <c r="AD4">
        <v>1</v>
      </c>
      <c r="AE4">
        <v>1</v>
      </c>
      <c r="AF4">
        <v>1</v>
      </c>
      <c r="AG4">
        <v>1</v>
      </c>
      <c r="AN4">
        <v>1</v>
      </c>
      <c r="AP4">
        <v>1</v>
      </c>
      <c r="AQ4">
        <v>1</v>
      </c>
      <c r="AR4">
        <v>1</v>
      </c>
      <c r="AS4">
        <v>1</v>
      </c>
      <c r="AT4">
        <v>1</v>
      </c>
      <c r="AU4">
        <v>1</v>
      </c>
      <c r="AV4">
        <v>1</v>
      </c>
      <c r="AW4">
        <v>1</v>
      </c>
      <c r="AX4">
        <v>1</v>
      </c>
      <c r="AY4">
        <v>1</v>
      </c>
      <c r="AZ4">
        <v>1</v>
      </c>
      <c r="BA4">
        <v>1</v>
      </c>
      <c r="BB4">
        <v>1</v>
      </c>
      <c r="BC4">
        <v>1</v>
      </c>
      <c r="BD4">
        <v>1</v>
      </c>
      <c r="BE4">
        <v>1</v>
      </c>
      <c r="BF4">
        <v>1</v>
      </c>
      <c r="BG4">
        <v>1</v>
      </c>
      <c r="BH4">
        <v>1</v>
      </c>
      <c r="BI4">
        <v>1</v>
      </c>
      <c r="BJ4">
        <v>1</v>
      </c>
      <c r="BK4">
        <v>1</v>
      </c>
      <c r="BL4">
        <v>1</v>
      </c>
      <c r="BN4">
        <v>1</v>
      </c>
      <c r="BO4">
        <v>1</v>
      </c>
      <c r="BP4">
        <v>1</v>
      </c>
      <c r="BQ4">
        <v>1</v>
      </c>
      <c r="BR4">
        <v>1</v>
      </c>
      <c r="BS4">
        <v>1</v>
      </c>
      <c r="BT4">
        <v>1</v>
      </c>
      <c r="BU4">
        <v>1</v>
      </c>
      <c r="BV4">
        <v>1</v>
      </c>
      <c r="BW4">
        <v>1</v>
      </c>
      <c r="BX4">
        <v>1</v>
      </c>
      <c r="BY4">
        <v>1</v>
      </c>
      <c r="BZ4">
        <v>1</v>
      </c>
      <c r="CA4">
        <v>1</v>
      </c>
      <c r="CB4">
        <v>1</v>
      </c>
      <c r="CC4">
        <v>1</v>
      </c>
      <c r="CF4">
        <v>1</v>
      </c>
      <c r="CG4">
        <v>1</v>
      </c>
      <c r="CH4">
        <v>1</v>
      </c>
      <c r="CI4">
        <v>1</v>
      </c>
      <c r="CJ4">
        <v>1</v>
      </c>
      <c r="CK4">
        <v>1</v>
      </c>
      <c r="CN4">
        <v>1</v>
      </c>
      <c r="CO4">
        <v>1</v>
      </c>
      <c r="CP4">
        <v>1</v>
      </c>
      <c r="CQ4">
        <v>1</v>
      </c>
      <c r="CR4">
        <v>1</v>
      </c>
      <c r="CS4">
        <v>1</v>
      </c>
      <c r="CT4">
        <v>1</v>
      </c>
      <c r="CU4">
        <v>1</v>
      </c>
      <c r="CV4">
        <v>1</v>
      </c>
      <c r="CW4">
        <v>1</v>
      </c>
      <c r="CX4">
        <v>1</v>
      </c>
      <c r="CY4">
        <v>1</v>
      </c>
      <c r="CZ4">
        <v>1</v>
      </c>
      <c r="DA4">
        <v>1</v>
      </c>
      <c r="DB4">
        <v>1</v>
      </c>
      <c r="DC4">
        <v>1</v>
      </c>
      <c r="DD4">
        <v>1</v>
      </c>
      <c r="DE4">
        <v>1</v>
      </c>
      <c r="DF4">
        <v>1</v>
      </c>
      <c r="DG4">
        <f t="shared" ref="DG4:DN4" si="8">IF(RASSE_ORK,"",1)</f>
        <v>1</v>
      </c>
      <c r="DH4">
        <f t="shared" si="8"/>
        <v>1</v>
      </c>
      <c r="DI4">
        <f t="shared" si="8"/>
        <v>1</v>
      </c>
      <c r="DJ4">
        <f t="shared" si="8"/>
        <v>1</v>
      </c>
      <c r="DK4">
        <f t="shared" si="8"/>
        <v>1</v>
      </c>
      <c r="DL4">
        <f t="shared" si="8"/>
        <v>1</v>
      </c>
      <c r="DM4">
        <f t="shared" si="8"/>
        <v>1</v>
      </c>
      <c r="DN4">
        <f t="shared" si="8"/>
        <v>1</v>
      </c>
      <c r="DQ4">
        <v>1</v>
      </c>
      <c r="DR4">
        <v>1</v>
      </c>
      <c r="DS4">
        <v>1</v>
      </c>
      <c r="DX4">
        <v>1</v>
      </c>
      <c r="DY4">
        <v>1</v>
      </c>
      <c r="DZ4">
        <v>1</v>
      </c>
      <c r="ED4">
        <v>1</v>
      </c>
      <c r="EE4">
        <v>1</v>
      </c>
      <c r="EF4">
        <v>1</v>
      </c>
      <c r="EG4">
        <v>1</v>
      </c>
      <c r="EH4">
        <v>1</v>
      </c>
      <c r="EI4">
        <v>1</v>
      </c>
      <c r="EJ4">
        <v>1</v>
      </c>
      <c r="EK4">
        <v>1</v>
      </c>
      <c r="ER4">
        <v>1</v>
      </c>
      <c r="ES4">
        <v>1</v>
      </c>
      <c r="ET4">
        <v>1</v>
      </c>
      <c r="EU4">
        <v>1</v>
      </c>
      <c r="EV4">
        <v>1</v>
      </c>
    </row>
    <row r="5" spans="1:210" x14ac:dyDescent="0.2">
      <c r="A5" t="str">
        <f t="array" aca="1" ref="A5" ca="1">IF(ROWS(A$1:A3)&lt;=COUNTIF(INDIRECT($A$2),"?*"),INDEX(INDIRECT($A$2),MATCH(SMALL(IF(INDIRECT($A$2)&lt;&gt;"",COUNTIF(INDIRECT($A$2),"&lt;"&amp;INDIRECT($A$2))),ROWS(A$1:A3)),IF(INDIRECT($A$2)&lt;&gt;"",COUNTIF(INDIRECT($A$2),"&lt;"&amp;INDIRECT($A$2))),0)),"")</f>
        <v>Bettler</v>
      </c>
      <c r="C5" t="str">
        <f t="shared" si="7"/>
        <v/>
      </c>
      <c r="E5" t="s">
        <v>4097</v>
      </c>
      <c r="F5" t="s">
        <v>937</v>
      </c>
      <c r="H5">
        <v>1</v>
      </c>
      <c r="I5">
        <v>1</v>
      </c>
      <c r="J5">
        <v>1</v>
      </c>
      <c r="K5">
        <v>1</v>
      </c>
      <c r="L5">
        <v>1</v>
      </c>
      <c r="M5">
        <v>1</v>
      </c>
      <c r="N5">
        <v>1</v>
      </c>
      <c r="P5">
        <v>1</v>
      </c>
      <c r="Q5">
        <v>1</v>
      </c>
      <c r="R5">
        <v>1</v>
      </c>
      <c r="S5">
        <v>1</v>
      </c>
      <c r="T5">
        <v>1</v>
      </c>
      <c r="U5">
        <v>1</v>
      </c>
      <c r="V5">
        <v>1</v>
      </c>
      <c r="W5">
        <v>1</v>
      </c>
      <c r="X5">
        <v>1</v>
      </c>
      <c r="Y5">
        <v>1</v>
      </c>
      <c r="Z5">
        <v>1</v>
      </c>
      <c r="AA5">
        <v>1</v>
      </c>
      <c r="AB5">
        <v>1</v>
      </c>
      <c r="AC5">
        <v>1</v>
      </c>
      <c r="AD5">
        <v>1</v>
      </c>
      <c r="AE5">
        <v>1</v>
      </c>
      <c r="AF5">
        <v>1</v>
      </c>
      <c r="AG5">
        <v>1</v>
      </c>
      <c r="AH5">
        <v>1</v>
      </c>
      <c r="AQ5">
        <v>1</v>
      </c>
      <c r="AR5">
        <v>1</v>
      </c>
      <c r="AS5">
        <v>1</v>
      </c>
      <c r="AT5">
        <v>1</v>
      </c>
      <c r="AU5">
        <v>1</v>
      </c>
      <c r="AV5">
        <v>1</v>
      </c>
      <c r="AW5">
        <v>1</v>
      </c>
      <c r="AX5">
        <v>1</v>
      </c>
      <c r="AY5">
        <v>1</v>
      </c>
      <c r="AZ5">
        <v>1</v>
      </c>
      <c r="BA5">
        <v>1</v>
      </c>
      <c r="BB5">
        <v>1</v>
      </c>
      <c r="BC5">
        <v>1</v>
      </c>
      <c r="BD5">
        <v>1</v>
      </c>
      <c r="BE5">
        <v>1</v>
      </c>
      <c r="BF5">
        <v>1</v>
      </c>
      <c r="BG5">
        <v>1</v>
      </c>
      <c r="BH5">
        <v>1</v>
      </c>
      <c r="BI5">
        <v>1</v>
      </c>
      <c r="BJ5">
        <v>1</v>
      </c>
      <c r="BK5">
        <v>1</v>
      </c>
      <c r="BL5">
        <v>1</v>
      </c>
      <c r="BW5">
        <v>1</v>
      </c>
      <c r="BX5">
        <v>1</v>
      </c>
      <c r="BY5">
        <v>1</v>
      </c>
      <c r="BZ5">
        <v>1</v>
      </c>
      <c r="CA5">
        <v>1</v>
      </c>
      <c r="CB5">
        <v>1</v>
      </c>
      <c r="CC5">
        <v>1</v>
      </c>
      <c r="CN5">
        <v>1</v>
      </c>
      <c r="CO5">
        <v>1</v>
      </c>
      <c r="CP5">
        <v>1</v>
      </c>
      <c r="CQ5">
        <v>1</v>
      </c>
      <c r="CR5">
        <v>1</v>
      </c>
      <c r="CS5">
        <v>1</v>
      </c>
      <c r="CT5">
        <v>1</v>
      </c>
      <c r="CU5">
        <v>1</v>
      </c>
      <c r="CV5">
        <v>1</v>
      </c>
      <c r="CW5">
        <v>1</v>
      </c>
      <c r="CX5">
        <v>1</v>
      </c>
      <c r="CY5">
        <v>1</v>
      </c>
      <c r="CZ5">
        <v>1</v>
      </c>
      <c r="DA5">
        <v>1</v>
      </c>
      <c r="DB5">
        <v>1</v>
      </c>
      <c r="DC5">
        <v>1</v>
      </c>
      <c r="DD5">
        <v>1</v>
      </c>
      <c r="DE5">
        <v>1</v>
      </c>
      <c r="DF5">
        <v>1</v>
      </c>
      <c r="DQ5">
        <v>1</v>
      </c>
      <c r="DR5">
        <v>1</v>
      </c>
      <c r="DS5">
        <v>1</v>
      </c>
      <c r="DX5">
        <v>1</v>
      </c>
      <c r="DY5">
        <v>1</v>
      </c>
      <c r="DZ5">
        <v>1</v>
      </c>
      <c r="GT5">
        <v>1</v>
      </c>
      <c r="GU5">
        <v>1</v>
      </c>
    </row>
    <row r="6" spans="1:210" x14ac:dyDescent="0.2">
      <c r="A6" t="str">
        <f t="array" aca="1" ref="A6" ca="1">IF(ROWS(A$1:A4)&lt;=COUNTIF(INDIRECT($A$2),"?*"),INDEX(INDIRECT($A$2),MATCH(SMALL(IF(INDIRECT($A$2)&lt;&gt;"",COUNTIF(INDIRECT($A$2),"&lt;"&amp;INDIRECT($A$2))),ROWS(A$1:A4)),IF(INDIRECT($A$2)&lt;&gt;"",COUNTIF(INDIRECT($A$2),"&lt;"&amp;INDIRECT($A$2))),0)),"")</f>
        <v>Dieb</v>
      </c>
      <c r="C6" t="str">
        <f t="shared" si="7"/>
        <v/>
      </c>
      <c r="E6" t="s">
        <v>633</v>
      </c>
      <c r="F6" t="s">
        <v>938</v>
      </c>
      <c r="H6">
        <v>1</v>
      </c>
      <c r="I6">
        <v>1</v>
      </c>
      <c r="J6">
        <v>1</v>
      </c>
      <c r="K6">
        <v>1</v>
      </c>
      <c r="L6">
        <v>1</v>
      </c>
      <c r="M6">
        <v>1</v>
      </c>
      <c r="N6">
        <v>1</v>
      </c>
      <c r="P6">
        <v>1</v>
      </c>
      <c r="Q6">
        <v>1</v>
      </c>
      <c r="R6">
        <v>1</v>
      </c>
      <c r="S6">
        <v>1</v>
      </c>
      <c r="T6">
        <v>1</v>
      </c>
      <c r="U6">
        <v>1</v>
      </c>
      <c r="V6">
        <v>1</v>
      </c>
      <c r="W6">
        <v>1</v>
      </c>
      <c r="X6">
        <v>1</v>
      </c>
      <c r="Y6">
        <v>1</v>
      </c>
      <c r="Z6">
        <v>1</v>
      </c>
      <c r="AA6">
        <v>1</v>
      </c>
      <c r="AB6">
        <v>1</v>
      </c>
      <c r="AC6">
        <v>1</v>
      </c>
      <c r="AD6">
        <v>1</v>
      </c>
      <c r="AE6">
        <v>1</v>
      </c>
      <c r="AF6">
        <v>1</v>
      </c>
      <c r="AG6">
        <v>1</v>
      </c>
      <c r="AH6">
        <v>1</v>
      </c>
      <c r="AN6">
        <v>1</v>
      </c>
      <c r="AQ6">
        <v>1</v>
      </c>
      <c r="AR6">
        <v>1</v>
      </c>
      <c r="AS6">
        <v>1</v>
      </c>
      <c r="AT6">
        <v>1</v>
      </c>
      <c r="AU6">
        <v>1</v>
      </c>
      <c r="AV6">
        <v>1</v>
      </c>
      <c r="AW6">
        <v>1</v>
      </c>
      <c r="AX6">
        <v>1</v>
      </c>
      <c r="AY6">
        <v>1</v>
      </c>
      <c r="AZ6">
        <v>1</v>
      </c>
      <c r="BA6">
        <v>1</v>
      </c>
      <c r="BB6">
        <v>1</v>
      </c>
      <c r="BC6">
        <v>1</v>
      </c>
      <c r="BD6">
        <v>1</v>
      </c>
      <c r="BE6">
        <v>1</v>
      </c>
      <c r="BF6">
        <v>1</v>
      </c>
      <c r="BG6">
        <v>1</v>
      </c>
      <c r="BH6">
        <v>1</v>
      </c>
      <c r="BI6">
        <v>1</v>
      </c>
      <c r="BJ6">
        <v>1</v>
      </c>
      <c r="BK6">
        <v>1</v>
      </c>
      <c r="BL6">
        <v>1</v>
      </c>
      <c r="BN6">
        <v>1</v>
      </c>
      <c r="BO6">
        <v>1</v>
      </c>
      <c r="BP6">
        <v>1</v>
      </c>
      <c r="BQ6">
        <v>1</v>
      </c>
      <c r="BR6">
        <v>1</v>
      </c>
      <c r="BS6">
        <v>1</v>
      </c>
      <c r="BT6">
        <v>1</v>
      </c>
      <c r="BU6">
        <v>1</v>
      </c>
      <c r="BV6">
        <v>1</v>
      </c>
      <c r="BW6">
        <v>1</v>
      </c>
      <c r="BX6">
        <v>1</v>
      </c>
      <c r="BY6">
        <v>1</v>
      </c>
      <c r="BZ6">
        <v>1</v>
      </c>
      <c r="CA6">
        <v>1</v>
      </c>
      <c r="CB6">
        <v>1</v>
      </c>
      <c r="CC6">
        <v>1</v>
      </c>
      <c r="CN6">
        <v>1</v>
      </c>
      <c r="CO6">
        <v>1</v>
      </c>
      <c r="CP6">
        <v>1</v>
      </c>
      <c r="CQ6">
        <v>1</v>
      </c>
      <c r="CR6">
        <v>1</v>
      </c>
      <c r="CS6">
        <v>1</v>
      </c>
      <c r="CT6">
        <v>1</v>
      </c>
      <c r="CU6">
        <v>1</v>
      </c>
      <c r="CV6">
        <v>1</v>
      </c>
      <c r="CW6">
        <v>1</v>
      </c>
      <c r="CX6">
        <v>1</v>
      </c>
      <c r="CY6">
        <v>1</v>
      </c>
      <c r="CZ6">
        <v>1</v>
      </c>
      <c r="DA6">
        <v>1</v>
      </c>
      <c r="DB6">
        <v>1</v>
      </c>
      <c r="DC6">
        <v>1</v>
      </c>
      <c r="DD6">
        <v>1</v>
      </c>
      <c r="DE6">
        <v>1</v>
      </c>
      <c r="DF6">
        <v>1</v>
      </c>
      <c r="DQ6">
        <v>1</v>
      </c>
      <c r="DR6">
        <v>1</v>
      </c>
      <c r="DS6">
        <v>1</v>
      </c>
      <c r="DX6">
        <v>1</v>
      </c>
      <c r="DY6">
        <v>1</v>
      </c>
      <c r="DZ6">
        <v>1</v>
      </c>
      <c r="ET6">
        <v>1</v>
      </c>
      <c r="EU6">
        <v>1</v>
      </c>
      <c r="GT6">
        <v>1</v>
      </c>
      <c r="GU6">
        <v>1</v>
      </c>
    </row>
    <row r="7" spans="1:210" x14ac:dyDescent="0.2">
      <c r="A7" t="str">
        <f t="array" aca="1" ref="A7" ca="1">IF(ROWS(A$1:A5)&lt;=COUNTIF(INDIRECT($A$2),"?*"),INDEX(INDIRECT($A$2),MATCH(SMALL(IF(INDIRECT($A$2)&lt;&gt;"",COUNTIF(INDIRECT($A$2),"&lt;"&amp;INDIRECT($A$2))),ROWS(A$1:A5)),IF(INDIRECT($A$2)&lt;&gt;"",COUNTIF(INDIRECT($A$2),"&lt;"&amp;INDIRECT($A$2))),0)),"")</f>
        <v>Einbrecher</v>
      </c>
      <c r="C7" t="str">
        <f t="shared" si="7"/>
        <v/>
      </c>
      <c r="E7" t="s">
        <v>634</v>
      </c>
      <c r="F7" t="s">
        <v>939</v>
      </c>
      <c r="H7">
        <v>1</v>
      </c>
      <c r="I7">
        <v>1</v>
      </c>
      <c r="J7">
        <v>1</v>
      </c>
      <c r="K7">
        <v>1</v>
      </c>
      <c r="L7">
        <v>1</v>
      </c>
      <c r="M7">
        <v>1</v>
      </c>
      <c r="N7">
        <v>1</v>
      </c>
      <c r="P7">
        <v>1</v>
      </c>
      <c r="Q7">
        <v>1</v>
      </c>
      <c r="R7">
        <v>1</v>
      </c>
      <c r="S7">
        <v>1</v>
      </c>
      <c r="T7">
        <v>1</v>
      </c>
      <c r="U7">
        <v>1</v>
      </c>
      <c r="V7">
        <v>1</v>
      </c>
      <c r="W7">
        <v>1</v>
      </c>
      <c r="X7">
        <v>1</v>
      </c>
      <c r="Y7">
        <v>1</v>
      </c>
      <c r="Z7">
        <v>1</v>
      </c>
      <c r="AA7">
        <v>1</v>
      </c>
      <c r="AB7">
        <v>1</v>
      </c>
      <c r="AC7">
        <v>1</v>
      </c>
      <c r="AD7">
        <v>1</v>
      </c>
      <c r="AE7">
        <v>1</v>
      </c>
      <c r="AF7">
        <v>1</v>
      </c>
      <c r="AG7">
        <v>1</v>
      </c>
      <c r="AH7">
        <v>1</v>
      </c>
      <c r="AQ7">
        <v>1</v>
      </c>
      <c r="AR7">
        <v>1</v>
      </c>
      <c r="AS7">
        <v>1</v>
      </c>
      <c r="AT7">
        <v>1</v>
      </c>
      <c r="AU7">
        <v>1</v>
      </c>
      <c r="AV7">
        <v>1</v>
      </c>
      <c r="AW7">
        <v>1</v>
      </c>
      <c r="AX7">
        <v>1</v>
      </c>
      <c r="AY7">
        <v>1</v>
      </c>
      <c r="AZ7">
        <v>1</v>
      </c>
      <c r="BA7">
        <v>1</v>
      </c>
      <c r="BB7">
        <v>1</v>
      </c>
      <c r="BC7">
        <v>1</v>
      </c>
      <c r="BD7">
        <v>1</v>
      </c>
      <c r="BE7">
        <v>1</v>
      </c>
      <c r="BF7">
        <v>1</v>
      </c>
      <c r="BG7">
        <v>1</v>
      </c>
      <c r="BH7">
        <v>1</v>
      </c>
      <c r="BI7">
        <v>1</v>
      </c>
      <c r="BJ7">
        <v>1</v>
      </c>
      <c r="BK7">
        <v>1</v>
      </c>
      <c r="BL7">
        <v>1</v>
      </c>
      <c r="BW7">
        <v>1</v>
      </c>
      <c r="BX7">
        <v>1</v>
      </c>
      <c r="BY7">
        <v>1</v>
      </c>
      <c r="BZ7">
        <v>1</v>
      </c>
      <c r="CA7">
        <v>1</v>
      </c>
      <c r="CB7">
        <v>1</v>
      </c>
      <c r="CC7">
        <v>1</v>
      </c>
      <c r="CN7">
        <v>1</v>
      </c>
      <c r="CO7">
        <v>1</v>
      </c>
      <c r="CP7">
        <v>1</v>
      </c>
      <c r="CQ7">
        <v>1</v>
      </c>
      <c r="CR7">
        <v>1</v>
      </c>
      <c r="CS7">
        <v>1</v>
      </c>
      <c r="CT7">
        <v>1</v>
      </c>
      <c r="CU7">
        <v>1</v>
      </c>
      <c r="CV7">
        <v>1</v>
      </c>
      <c r="CW7">
        <v>1</v>
      </c>
      <c r="CX7">
        <v>1</v>
      </c>
      <c r="CY7">
        <v>1</v>
      </c>
      <c r="CZ7">
        <v>1</v>
      </c>
      <c r="DA7">
        <v>1</v>
      </c>
      <c r="DB7">
        <v>1</v>
      </c>
      <c r="DC7">
        <v>1</v>
      </c>
      <c r="DD7">
        <v>1</v>
      </c>
      <c r="DE7">
        <v>1</v>
      </c>
      <c r="DF7">
        <v>1</v>
      </c>
      <c r="DQ7">
        <v>1</v>
      </c>
      <c r="DR7">
        <v>1</v>
      </c>
      <c r="DS7">
        <v>1</v>
      </c>
      <c r="DX7">
        <v>1</v>
      </c>
      <c r="DY7">
        <v>1</v>
      </c>
      <c r="DZ7">
        <v>1</v>
      </c>
      <c r="EF7">
        <v>1</v>
      </c>
      <c r="ER7">
        <v>1</v>
      </c>
      <c r="ES7">
        <v>1</v>
      </c>
      <c r="GT7">
        <v>1</v>
      </c>
      <c r="GU7">
        <v>1</v>
      </c>
    </row>
    <row r="8" spans="1:210" x14ac:dyDescent="0.2">
      <c r="A8" t="str">
        <f t="array" aca="1" ref="A8" ca="1">IF(ROWS(A$1:A6)&lt;=COUNTIF(INDIRECT($A$2),"?*"),INDEX(INDIRECT($A$2),MATCH(SMALL(IF(INDIRECT($A$2)&lt;&gt;"",COUNTIF(INDIRECT($A$2),"&lt;"&amp;INDIRECT($A$2))),ROWS(A$1:A6)),IF(INDIRECT($A$2)&lt;&gt;"",COUNTIF(INDIRECT($A$2),"&lt;"&amp;INDIRECT($A$2))),0)),"")</f>
        <v>Gaukler</v>
      </c>
      <c r="C8" t="str">
        <f t="shared" si="7"/>
        <v/>
      </c>
      <c r="E8" t="s">
        <v>641</v>
      </c>
      <c r="F8" t="s">
        <v>940</v>
      </c>
      <c r="H8">
        <v>1</v>
      </c>
      <c r="I8">
        <v>1</v>
      </c>
      <c r="J8">
        <v>1</v>
      </c>
      <c r="K8">
        <v>1</v>
      </c>
      <c r="L8">
        <v>1</v>
      </c>
      <c r="M8">
        <v>1</v>
      </c>
      <c r="N8">
        <v>1</v>
      </c>
      <c r="P8">
        <v>1</v>
      </c>
      <c r="Q8">
        <v>1</v>
      </c>
      <c r="R8">
        <v>1</v>
      </c>
      <c r="S8">
        <v>1</v>
      </c>
      <c r="T8">
        <v>1</v>
      </c>
      <c r="U8">
        <v>1</v>
      </c>
      <c r="V8">
        <v>1</v>
      </c>
      <c r="W8">
        <v>1</v>
      </c>
      <c r="X8">
        <v>1</v>
      </c>
      <c r="Y8">
        <v>1</v>
      </c>
      <c r="Z8">
        <v>1</v>
      </c>
      <c r="AA8">
        <v>1</v>
      </c>
      <c r="AB8">
        <v>1</v>
      </c>
      <c r="AC8">
        <v>1</v>
      </c>
      <c r="AD8">
        <v>1</v>
      </c>
      <c r="AE8">
        <v>1</v>
      </c>
      <c r="AF8">
        <v>1</v>
      </c>
      <c r="AG8">
        <v>1</v>
      </c>
      <c r="AQ8">
        <v>1</v>
      </c>
      <c r="AR8">
        <v>1</v>
      </c>
      <c r="AS8">
        <v>1</v>
      </c>
      <c r="AT8">
        <v>1</v>
      </c>
      <c r="AU8">
        <v>1</v>
      </c>
      <c r="AV8">
        <v>1</v>
      </c>
      <c r="AW8">
        <v>1</v>
      </c>
      <c r="AX8">
        <v>1</v>
      </c>
      <c r="AY8">
        <v>1</v>
      </c>
      <c r="AZ8">
        <v>1</v>
      </c>
      <c r="BA8">
        <v>1</v>
      </c>
      <c r="BB8">
        <v>1</v>
      </c>
      <c r="BC8">
        <v>1</v>
      </c>
      <c r="BD8">
        <v>1</v>
      </c>
      <c r="BE8">
        <v>1</v>
      </c>
      <c r="BF8">
        <v>1</v>
      </c>
      <c r="BG8">
        <v>1</v>
      </c>
      <c r="BH8">
        <v>1</v>
      </c>
      <c r="BI8">
        <v>1</v>
      </c>
      <c r="BJ8">
        <v>1</v>
      </c>
      <c r="BK8">
        <v>1</v>
      </c>
      <c r="BL8">
        <v>1</v>
      </c>
      <c r="BN8">
        <v>1</v>
      </c>
      <c r="BO8">
        <v>1</v>
      </c>
      <c r="BP8">
        <v>1</v>
      </c>
      <c r="BQ8">
        <v>1</v>
      </c>
      <c r="BR8">
        <v>1</v>
      </c>
      <c r="BS8">
        <v>1</v>
      </c>
      <c r="BT8">
        <v>1</v>
      </c>
      <c r="BU8">
        <v>1</v>
      </c>
      <c r="BV8">
        <v>1</v>
      </c>
      <c r="BW8">
        <v>1</v>
      </c>
      <c r="BX8">
        <v>1</v>
      </c>
      <c r="BY8">
        <v>1</v>
      </c>
      <c r="BZ8">
        <v>1</v>
      </c>
      <c r="CA8">
        <v>1</v>
      </c>
      <c r="CB8">
        <v>1</v>
      </c>
      <c r="CC8">
        <v>1</v>
      </c>
      <c r="CF8">
        <v>1</v>
      </c>
      <c r="CG8">
        <v>1</v>
      </c>
      <c r="CJ8">
        <v>1</v>
      </c>
      <c r="CK8">
        <v>1</v>
      </c>
      <c r="CN8">
        <v>1</v>
      </c>
      <c r="CO8">
        <v>1</v>
      </c>
      <c r="CP8">
        <v>1</v>
      </c>
      <c r="CQ8">
        <v>1</v>
      </c>
      <c r="CR8">
        <v>1</v>
      </c>
      <c r="CS8">
        <v>1</v>
      </c>
      <c r="CT8">
        <v>1</v>
      </c>
      <c r="CU8">
        <v>1</v>
      </c>
      <c r="CV8">
        <v>1</v>
      </c>
      <c r="CW8">
        <v>1</v>
      </c>
      <c r="CX8">
        <v>1</v>
      </c>
      <c r="CY8">
        <v>1</v>
      </c>
      <c r="CZ8">
        <v>1</v>
      </c>
      <c r="DA8">
        <v>1</v>
      </c>
      <c r="DB8">
        <v>1</v>
      </c>
      <c r="DC8">
        <v>1</v>
      </c>
      <c r="DD8">
        <v>1</v>
      </c>
      <c r="DE8">
        <v>1</v>
      </c>
      <c r="DF8">
        <v>1</v>
      </c>
      <c r="DG8">
        <v>1</v>
      </c>
      <c r="DH8">
        <v>1</v>
      </c>
      <c r="DI8">
        <v>1</v>
      </c>
      <c r="DJ8">
        <v>1</v>
      </c>
      <c r="DK8">
        <v>1</v>
      </c>
      <c r="DL8">
        <v>1</v>
      </c>
      <c r="DM8">
        <v>1</v>
      </c>
      <c r="DN8">
        <v>1</v>
      </c>
      <c r="DQ8">
        <v>1</v>
      </c>
      <c r="DR8">
        <v>1</v>
      </c>
      <c r="DS8">
        <v>1</v>
      </c>
      <c r="DX8">
        <v>1</v>
      </c>
      <c r="DY8">
        <v>1</v>
      </c>
      <c r="DZ8">
        <v>1</v>
      </c>
      <c r="ED8">
        <v>1</v>
      </c>
      <c r="EE8">
        <v>1</v>
      </c>
      <c r="EF8">
        <v>1</v>
      </c>
      <c r="EI8">
        <v>1</v>
      </c>
      <c r="EJ8">
        <v>1</v>
      </c>
      <c r="EK8">
        <v>1</v>
      </c>
      <c r="ET8">
        <v>1</v>
      </c>
      <c r="EU8">
        <v>1</v>
      </c>
      <c r="GU8">
        <v>1</v>
      </c>
      <c r="GW8">
        <v>1</v>
      </c>
      <c r="GX8">
        <v>1</v>
      </c>
      <c r="GY8">
        <v>1</v>
      </c>
      <c r="GZ8">
        <v>1</v>
      </c>
      <c r="HA8">
        <v>1</v>
      </c>
      <c r="HB8">
        <v>1</v>
      </c>
    </row>
    <row r="9" spans="1:210" x14ac:dyDescent="0.2">
      <c r="A9" t="str">
        <f t="array" aca="1" ref="A9" ca="1">IF(ROWS(A$1:A7)&lt;=COUNTIF(INDIRECT($A$2),"?*"),INDEX(INDIRECT($A$2),MATCH(SMALL(IF(INDIRECT($A$2)&lt;&gt;"",COUNTIF(INDIRECT($A$2),"&lt;"&amp;INDIRECT($A$2))),ROWS(A$1:A7)),IF(INDIRECT($A$2)&lt;&gt;"",COUNTIF(INDIRECT($A$2),"&lt;"&amp;INDIRECT($A$2))),0)),"")</f>
        <v>Händler</v>
      </c>
      <c r="C9" t="str">
        <f t="shared" si="7"/>
        <v/>
      </c>
      <c r="E9" t="s">
        <v>941</v>
      </c>
      <c r="F9" t="s">
        <v>942</v>
      </c>
      <c r="H9">
        <v>1</v>
      </c>
      <c r="I9">
        <v>1</v>
      </c>
      <c r="J9">
        <v>1</v>
      </c>
      <c r="K9">
        <v>1</v>
      </c>
      <c r="L9">
        <v>1</v>
      </c>
      <c r="M9">
        <v>1</v>
      </c>
      <c r="N9">
        <v>1</v>
      </c>
      <c r="P9">
        <v>1</v>
      </c>
      <c r="Q9">
        <v>1</v>
      </c>
      <c r="R9">
        <v>1</v>
      </c>
      <c r="S9">
        <v>1</v>
      </c>
      <c r="T9">
        <v>1</v>
      </c>
      <c r="U9">
        <v>1</v>
      </c>
      <c r="V9">
        <v>1</v>
      </c>
      <c r="W9">
        <v>1</v>
      </c>
      <c r="X9">
        <v>1</v>
      </c>
      <c r="Y9">
        <v>1</v>
      </c>
      <c r="Z9">
        <v>1</v>
      </c>
      <c r="AA9">
        <v>1</v>
      </c>
      <c r="AB9">
        <v>1</v>
      </c>
      <c r="AC9">
        <v>1</v>
      </c>
      <c r="AD9">
        <v>1</v>
      </c>
      <c r="AE9">
        <v>1</v>
      </c>
      <c r="AF9">
        <v>1</v>
      </c>
      <c r="AG9">
        <v>1</v>
      </c>
      <c r="AH9">
        <v>1</v>
      </c>
      <c r="AI9">
        <v>1</v>
      </c>
      <c r="AJ9">
        <v>1</v>
      </c>
      <c r="AK9">
        <v>1</v>
      </c>
      <c r="AL9">
        <v>1</v>
      </c>
      <c r="AM9">
        <v>1</v>
      </c>
      <c r="AN9">
        <v>1</v>
      </c>
      <c r="AO9">
        <v>1</v>
      </c>
      <c r="AP9">
        <v>1</v>
      </c>
      <c r="AQ9">
        <v>1</v>
      </c>
      <c r="AR9">
        <v>1</v>
      </c>
      <c r="AS9">
        <v>1</v>
      </c>
      <c r="AT9">
        <v>1</v>
      </c>
      <c r="AU9">
        <v>1</v>
      </c>
      <c r="AV9">
        <v>1</v>
      </c>
      <c r="AW9">
        <v>1</v>
      </c>
      <c r="AX9">
        <v>1</v>
      </c>
      <c r="AY9">
        <v>1</v>
      </c>
      <c r="AZ9">
        <v>1</v>
      </c>
      <c r="BA9">
        <v>1</v>
      </c>
      <c r="BB9">
        <v>1</v>
      </c>
      <c r="BC9">
        <v>1</v>
      </c>
      <c r="BD9">
        <v>1</v>
      </c>
      <c r="BE9">
        <v>1</v>
      </c>
      <c r="BF9">
        <v>1</v>
      </c>
      <c r="BG9">
        <v>1</v>
      </c>
      <c r="BH9">
        <v>1</v>
      </c>
      <c r="BI9">
        <v>1</v>
      </c>
      <c r="BJ9">
        <v>1</v>
      </c>
      <c r="BK9">
        <v>1</v>
      </c>
      <c r="BL9">
        <v>1</v>
      </c>
      <c r="BM9">
        <v>1</v>
      </c>
      <c r="BN9">
        <v>1</v>
      </c>
      <c r="BO9">
        <v>1</v>
      </c>
      <c r="BP9">
        <v>1</v>
      </c>
      <c r="BQ9">
        <v>1</v>
      </c>
      <c r="BR9">
        <v>1</v>
      </c>
      <c r="BS9">
        <v>1</v>
      </c>
      <c r="BT9">
        <v>1</v>
      </c>
      <c r="BU9">
        <v>1</v>
      </c>
      <c r="BV9">
        <v>1</v>
      </c>
      <c r="BW9">
        <v>1</v>
      </c>
      <c r="BX9">
        <v>1</v>
      </c>
      <c r="BY9">
        <v>1</v>
      </c>
      <c r="BZ9">
        <v>1</v>
      </c>
      <c r="CA9">
        <v>1</v>
      </c>
      <c r="CB9">
        <v>1</v>
      </c>
      <c r="CC9">
        <v>1</v>
      </c>
      <c r="CD9">
        <v>1</v>
      </c>
      <c r="CE9">
        <v>1</v>
      </c>
      <c r="CF9">
        <v>1</v>
      </c>
      <c r="CG9">
        <v>1</v>
      </c>
      <c r="CH9">
        <v>1</v>
      </c>
      <c r="CI9">
        <v>1</v>
      </c>
      <c r="CJ9">
        <v>1</v>
      </c>
      <c r="CK9">
        <v>1</v>
      </c>
      <c r="CL9">
        <v>1</v>
      </c>
      <c r="CM9">
        <v>1</v>
      </c>
      <c r="CN9">
        <v>1</v>
      </c>
      <c r="CO9">
        <v>1</v>
      </c>
      <c r="CP9">
        <v>1</v>
      </c>
      <c r="CQ9">
        <v>1</v>
      </c>
      <c r="CR9">
        <v>1</v>
      </c>
      <c r="CS9">
        <v>1</v>
      </c>
      <c r="CT9">
        <v>1</v>
      </c>
      <c r="CU9">
        <v>1</v>
      </c>
      <c r="CV9">
        <v>1</v>
      </c>
      <c r="CW9">
        <v>1</v>
      </c>
      <c r="CX9">
        <v>1</v>
      </c>
      <c r="CY9">
        <v>1</v>
      </c>
      <c r="CZ9">
        <v>1</v>
      </c>
      <c r="DA9">
        <v>1</v>
      </c>
      <c r="DB9">
        <v>1</v>
      </c>
      <c r="DC9">
        <v>1</v>
      </c>
      <c r="DD9">
        <v>1</v>
      </c>
      <c r="DE9">
        <v>1</v>
      </c>
      <c r="DF9">
        <v>1</v>
      </c>
      <c r="DG9">
        <f t="shared" ref="DG9:DN9" si="9">IF(RASSE_ORK,"",1)</f>
        <v>1</v>
      </c>
      <c r="DH9">
        <f t="shared" si="9"/>
        <v>1</v>
      </c>
      <c r="DI9">
        <f t="shared" si="9"/>
        <v>1</v>
      </c>
      <c r="DJ9">
        <f t="shared" si="9"/>
        <v>1</v>
      </c>
      <c r="DK9">
        <f t="shared" si="9"/>
        <v>1</v>
      </c>
      <c r="DL9">
        <f t="shared" si="9"/>
        <v>1</v>
      </c>
      <c r="DM9">
        <f t="shared" si="9"/>
        <v>1</v>
      </c>
      <c r="DN9">
        <f t="shared" si="9"/>
        <v>1</v>
      </c>
      <c r="DO9">
        <v>1</v>
      </c>
      <c r="DP9">
        <v>1</v>
      </c>
      <c r="DQ9">
        <v>1</v>
      </c>
      <c r="DR9">
        <v>1</v>
      </c>
      <c r="DS9">
        <v>1</v>
      </c>
      <c r="DT9">
        <v>1</v>
      </c>
      <c r="DU9">
        <v>1</v>
      </c>
      <c r="DV9">
        <v>1</v>
      </c>
      <c r="DW9">
        <v>1</v>
      </c>
      <c r="DX9">
        <v>1</v>
      </c>
      <c r="DY9">
        <v>1</v>
      </c>
      <c r="DZ9">
        <v>1</v>
      </c>
      <c r="EF9">
        <v>1</v>
      </c>
      <c r="ER9">
        <v>1</v>
      </c>
      <c r="ES9">
        <v>1</v>
      </c>
      <c r="ET9">
        <v>1</v>
      </c>
      <c r="EU9">
        <v>1</v>
      </c>
      <c r="EV9">
        <v>1</v>
      </c>
      <c r="EY9">
        <v>1</v>
      </c>
      <c r="FD9">
        <v>1</v>
      </c>
      <c r="FI9">
        <v>1</v>
      </c>
      <c r="FN9">
        <v>1</v>
      </c>
      <c r="FS9">
        <v>1</v>
      </c>
      <c r="FX9">
        <v>1</v>
      </c>
      <c r="GC9">
        <v>1</v>
      </c>
      <c r="GI9">
        <v>1</v>
      </c>
      <c r="GL9">
        <v>1</v>
      </c>
      <c r="GM9">
        <v>1</v>
      </c>
      <c r="GN9">
        <v>1</v>
      </c>
      <c r="GO9">
        <v>1</v>
      </c>
      <c r="GP9">
        <v>1</v>
      </c>
      <c r="GQ9">
        <v>1</v>
      </c>
      <c r="GR9">
        <v>1</v>
      </c>
      <c r="GS9">
        <v>1</v>
      </c>
      <c r="GU9">
        <v>1</v>
      </c>
      <c r="GW9">
        <v>1</v>
      </c>
      <c r="GX9">
        <v>1</v>
      </c>
      <c r="GY9">
        <v>1</v>
      </c>
      <c r="GZ9">
        <v>1</v>
      </c>
      <c r="HA9">
        <v>1</v>
      </c>
      <c r="HB9">
        <v>1</v>
      </c>
    </row>
    <row r="10" spans="1:210" x14ac:dyDescent="0.2">
      <c r="A10" t="str">
        <f t="array" aca="1" ref="A10" ca="1">IF(ROWS(A$1:A8)&lt;=COUNTIF(INDIRECT($A$2),"?*"),INDEX(INDIRECT($A$2),MATCH(SMALL(IF(INDIRECT($A$2)&lt;&gt;"",COUNTIF(INDIRECT($A$2),"&lt;"&amp;INDIRECT($A$2))),ROWS(A$1:A8)),IF(INDIRECT($A$2)&lt;&gt;"",COUNTIF(INDIRECT($A$2),"&lt;"&amp;INDIRECT($A$2))),0)),"")</f>
        <v>Herold</v>
      </c>
      <c r="C10" t="str">
        <f t="shared" si="7"/>
        <v/>
      </c>
      <c r="E10" t="s">
        <v>643</v>
      </c>
      <c r="F10" t="s">
        <v>943</v>
      </c>
      <c r="H10">
        <v>1</v>
      </c>
      <c r="I10">
        <v>1</v>
      </c>
      <c r="J10">
        <v>1</v>
      </c>
      <c r="K10">
        <v>1</v>
      </c>
      <c r="L10">
        <v>1</v>
      </c>
      <c r="M10">
        <v>1</v>
      </c>
      <c r="N10">
        <v>1</v>
      </c>
      <c r="P10">
        <v>1</v>
      </c>
      <c r="Q10">
        <v>1</v>
      </c>
      <c r="R10">
        <v>1</v>
      </c>
      <c r="S10">
        <v>1</v>
      </c>
      <c r="T10">
        <v>1</v>
      </c>
      <c r="U10">
        <v>1</v>
      </c>
      <c r="V10">
        <v>1</v>
      </c>
      <c r="W10">
        <v>1</v>
      </c>
      <c r="X10">
        <v>1</v>
      </c>
      <c r="Y10">
        <v>1</v>
      </c>
      <c r="Z10">
        <v>1</v>
      </c>
      <c r="AA10">
        <v>1</v>
      </c>
      <c r="AB10">
        <v>1</v>
      </c>
      <c r="AC10">
        <v>1</v>
      </c>
      <c r="AD10">
        <v>1</v>
      </c>
      <c r="AE10">
        <v>1</v>
      </c>
      <c r="AF10">
        <v>1</v>
      </c>
      <c r="AG10">
        <v>1</v>
      </c>
      <c r="AQ10">
        <v>1</v>
      </c>
      <c r="AR10">
        <v>1</v>
      </c>
      <c r="AS10">
        <v>1</v>
      </c>
      <c r="AT10">
        <v>1</v>
      </c>
      <c r="AU10">
        <v>1</v>
      </c>
      <c r="AV10">
        <v>1</v>
      </c>
      <c r="AW10">
        <v>1</v>
      </c>
      <c r="AX10">
        <v>1</v>
      </c>
      <c r="AY10">
        <v>1</v>
      </c>
      <c r="AZ10">
        <v>1</v>
      </c>
      <c r="BA10">
        <v>1</v>
      </c>
      <c r="BB10">
        <v>1</v>
      </c>
      <c r="BC10">
        <v>1</v>
      </c>
      <c r="BD10">
        <v>1</v>
      </c>
      <c r="BE10">
        <v>1</v>
      </c>
      <c r="BF10">
        <v>1</v>
      </c>
      <c r="BN10">
        <v>1</v>
      </c>
      <c r="BO10">
        <v>1</v>
      </c>
      <c r="BP10">
        <v>1</v>
      </c>
      <c r="BQ10">
        <v>1</v>
      </c>
      <c r="BR10">
        <v>1</v>
      </c>
      <c r="BS10">
        <v>1</v>
      </c>
      <c r="BT10">
        <v>1</v>
      </c>
      <c r="BU10">
        <v>1</v>
      </c>
      <c r="BV10">
        <v>1</v>
      </c>
      <c r="BW10">
        <v>1</v>
      </c>
      <c r="BX10">
        <v>1</v>
      </c>
      <c r="BY10">
        <v>1</v>
      </c>
      <c r="BZ10">
        <v>1</v>
      </c>
      <c r="CA10">
        <v>1</v>
      </c>
      <c r="CB10">
        <v>1</v>
      </c>
      <c r="CC10">
        <v>1</v>
      </c>
      <c r="CN10">
        <v>1</v>
      </c>
      <c r="CO10">
        <v>1</v>
      </c>
      <c r="CP10">
        <v>1</v>
      </c>
      <c r="CQ10">
        <v>1</v>
      </c>
      <c r="CR10">
        <v>1</v>
      </c>
      <c r="CS10">
        <v>1</v>
      </c>
      <c r="CT10">
        <v>1</v>
      </c>
      <c r="CU10">
        <v>1</v>
      </c>
      <c r="CV10">
        <v>1</v>
      </c>
      <c r="CW10">
        <v>1</v>
      </c>
      <c r="CX10">
        <v>1</v>
      </c>
      <c r="CY10">
        <v>1</v>
      </c>
      <c r="CZ10">
        <v>1</v>
      </c>
      <c r="DQ10">
        <v>1</v>
      </c>
      <c r="DR10">
        <v>1</v>
      </c>
      <c r="DS10">
        <v>1</v>
      </c>
      <c r="DY10">
        <v>1</v>
      </c>
      <c r="DZ10">
        <v>1</v>
      </c>
      <c r="EU10">
        <v>1</v>
      </c>
    </row>
    <row r="11" spans="1:210" x14ac:dyDescent="0.2">
      <c r="A11" t="str">
        <f t="array" aca="1" ref="A11" ca="1">IF(ROWS(A$1:A9)&lt;=COUNTIF(INDIRECT($A$2),"?*"),INDEX(INDIRECT($A$2),MATCH(SMALL(IF(INDIRECT($A$2)&lt;&gt;"",COUNTIF(INDIRECT($A$2),"&lt;"&amp;INDIRECT($A$2))),ROWS(A$1:A9)),IF(INDIRECT($A$2)&lt;&gt;"",COUNTIF(INDIRECT($A$2),"&lt;"&amp;INDIRECT($A$2))),0)),"")</f>
        <v>Hofkünstler</v>
      </c>
      <c r="C11" t="str">
        <f t="shared" si="7"/>
        <v/>
      </c>
      <c r="E11" t="s">
        <v>944</v>
      </c>
      <c r="F11" t="s">
        <v>945</v>
      </c>
      <c r="H11">
        <v>1</v>
      </c>
      <c r="I11">
        <v>1</v>
      </c>
      <c r="J11">
        <v>1</v>
      </c>
      <c r="K11">
        <v>1</v>
      </c>
      <c r="L11">
        <v>1</v>
      </c>
      <c r="M11">
        <v>1</v>
      </c>
      <c r="N11">
        <v>1</v>
      </c>
      <c r="P11">
        <v>1</v>
      </c>
      <c r="Q11">
        <v>1</v>
      </c>
      <c r="R11">
        <v>1</v>
      </c>
      <c r="S11">
        <v>1</v>
      </c>
      <c r="T11">
        <v>1</v>
      </c>
      <c r="U11">
        <v>1</v>
      </c>
      <c r="V11">
        <v>1</v>
      </c>
      <c r="W11">
        <v>1</v>
      </c>
      <c r="X11">
        <v>1</v>
      </c>
      <c r="Y11">
        <v>1</v>
      </c>
      <c r="Z11">
        <v>1</v>
      </c>
      <c r="AA11">
        <v>1</v>
      </c>
      <c r="AB11">
        <v>1</v>
      </c>
      <c r="AC11">
        <v>1</v>
      </c>
      <c r="AD11">
        <v>1</v>
      </c>
      <c r="AE11">
        <v>1</v>
      </c>
      <c r="AF11">
        <v>1</v>
      </c>
      <c r="AG11">
        <v>1</v>
      </c>
      <c r="AQ11">
        <v>1</v>
      </c>
      <c r="AR11">
        <v>1</v>
      </c>
      <c r="AS11">
        <v>1</v>
      </c>
      <c r="AT11">
        <v>1</v>
      </c>
      <c r="AU11">
        <v>1</v>
      </c>
      <c r="AV11">
        <v>1</v>
      </c>
      <c r="AW11">
        <v>1</v>
      </c>
      <c r="AX11">
        <v>1</v>
      </c>
      <c r="AY11">
        <v>1</v>
      </c>
      <c r="AZ11">
        <v>1</v>
      </c>
      <c r="BA11">
        <v>1</v>
      </c>
      <c r="BB11">
        <v>1</v>
      </c>
      <c r="BC11">
        <v>1</v>
      </c>
      <c r="BD11">
        <v>1</v>
      </c>
      <c r="BE11">
        <v>1</v>
      </c>
      <c r="BF11">
        <v>1</v>
      </c>
      <c r="BG11">
        <v>1</v>
      </c>
      <c r="BH11">
        <v>1</v>
      </c>
      <c r="BI11">
        <v>1</v>
      </c>
      <c r="BJ11">
        <v>1</v>
      </c>
      <c r="BK11">
        <v>1</v>
      </c>
      <c r="BL11">
        <v>1</v>
      </c>
      <c r="BN11">
        <v>1</v>
      </c>
      <c r="BO11">
        <v>1</v>
      </c>
      <c r="BP11">
        <v>1</v>
      </c>
      <c r="BQ11">
        <v>1</v>
      </c>
      <c r="BR11">
        <v>1</v>
      </c>
      <c r="BS11">
        <v>1</v>
      </c>
      <c r="BT11">
        <v>1</v>
      </c>
      <c r="BU11">
        <v>1</v>
      </c>
      <c r="BV11">
        <v>1</v>
      </c>
      <c r="BW11">
        <v>1</v>
      </c>
      <c r="BX11">
        <v>1</v>
      </c>
      <c r="BY11">
        <v>1</v>
      </c>
      <c r="BZ11">
        <v>1</v>
      </c>
      <c r="CA11">
        <v>1</v>
      </c>
      <c r="CB11">
        <v>1</v>
      </c>
      <c r="CC11">
        <v>1</v>
      </c>
      <c r="CN11">
        <v>1</v>
      </c>
      <c r="CO11">
        <v>1</v>
      </c>
      <c r="CP11">
        <v>1</v>
      </c>
      <c r="CQ11">
        <v>1</v>
      </c>
      <c r="CR11">
        <v>1</v>
      </c>
      <c r="CS11">
        <v>1</v>
      </c>
      <c r="CT11">
        <v>1</v>
      </c>
      <c r="CU11">
        <v>1</v>
      </c>
      <c r="CV11">
        <v>1</v>
      </c>
      <c r="CW11">
        <v>1</v>
      </c>
      <c r="CX11">
        <v>1</v>
      </c>
      <c r="CY11">
        <v>1</v>
      </c>
      <c r="CZ11">
        <v>1</v>
      </c>
      <c r="DQ11">
        <v>1</v>
      </c>
      <c r="DR11">
        <v>1</v>
      </c>
      <c r="DS11">
        <v>1</v>
      </c>
      <c r="DX11">
        <v>1</v>
      </c>
      <c r="DY11">
        <v>1</v>
      </c>
      <c r="DZ11">
        <v>1</v>
      </c>
      <c r="ED11">
        <v>1</v>
      </c>
      <c r="EE11">
        <v>1</v>
      </c>
      <c r="EF11">
        <v>1</v>
      </c>
      <c r="EJ11">
        <v>1</v>
      </c>
      <c r="EK11">
        <v>1</v>
      </c>
      <c r="EU11">
        <v>1</v>
      </c>
    </row>
    <row r="12" spans="1:210" x14ac:dyDescent="0.2">
      <c r="A12" t="str">
        <f t="array" aca="1" ref="A12" ca="1">IF(ROWS(A$1:A10)&lt;=COUNTIF(INDIRECT($A$2),"?*"),INDEX(INDIRECT($A$2),MATCH(SMALL(IF(INDIRECT($A$2)&lt;&gt;"",COUNTIF(INDIRECT($A$2),"&lt;"&amp;INDIRECT($A$2))),ROWS(A$1:A10)),IF(INDIRECT($A$2)&lt;&gt;"",COUNTIF(INDIRECT($A$2),"&lt;"&amp;INDIRECT($A$2))),0)),"")</f>
        <v>Höfling</v>
      </c>
      <c r="C12" t="str">
        <f t="shared" si="7"/>
        <v/>
      </c>
      <c r="E12" t="s">
        <v>382</v>
      </c>
      <c r="F12" t="s">
        <v>946</v>
      </c>
      <c r="H12">
        <v>1</v>
      </c>
      <c r="I12">
        <v>1</v>
      </c>
      <c r="J12">
        <v>1</v>
      </c>
      <c r="K12">
        <v>1</v>
      </c>
      <c r="L12">
        <v>1</v>
      </c>
      <c r="M12">
        <v>1</v>
      </c>
      <c r="N12">
        <v>1</v>
      </c>
      <c r="P12">
        <v>1</v>
      </c>
      <c r="Q12">
        <v>1</v>
      </c>
      <c r="R12">
        <v>1</v>
      </c>
      <c r="S12">
        <v>1</v>
      </c>
      <c r="T12">
        <v>1</v>
      </c>
      <c r="U12">
        <v>1</v>
      </c>
      <c r="V12">
        <v>1</v>
      </c>
      <c r="W12">
        <v>1</v>
      </c>
      <c r="X12">
        <v>1</v>
      </c>
      <c r="Y12">
        <v>1</v>
      </c>
      <c r="Z12">
        <v>1</v>
      </c>
      <c r="AA12">
        <v>1</v>
      </c>
      <c r="AB12">
        <v>1</v>
      </c>
      <c r="AC12">
        <v>1</v>
      </c>
      <c r="AD12">
        <v>1</v>
      </c>
      <c r="AE12">
        <v>1</v>
      </c>
      <c r="AF12">
        <v>1</v>
      </c>
      <c r="AG12">
        <v>1</v>
      </c>
      <c r="AQ12">
        <v>1</v>
      </c>
      <c r="AR12">
        <v>1</v>
      </c>
      <c r="AS12">
        <v>1</v>
      </c>
      <c r="AT12">
        <v>1</v>
      </c>
      <c r="AU12">
        <v>1</v>
      </c>
      <c r="AV12">
        <v>1</v>
      </c>
      <c r="AW12">
        <v>1</v>
      </c>
      <c r="AX12">
        <v>1</v>
      </c>
      <c r="AY12">
        <v>1</v>
      </c>
      <c r="AZ12">
        <v>1</v>
      </c>
      <c r="BA12">
        <v>1</v>
      </c>
      <c r="BB12">
        <v>1</v>
      </c>
      <c r="BC12">
        <v>1</v>
      </c>
      <c r="BD12">
        <v>1</v>
      </c>
      <c r="BE12">
        <v>1</v>
      </c>
      <c r="BF12">
        <v>1</v>
      </c>
      <c r="BG12">
        <v>1</v>
      </c>
      <c r="BH12">
        <v>1</v>
      </c>
      <c r="BI12">
        <v>1</v>
      </c>
      <c r="BJ12">
        <v>1</v>
      </c>
      <c r="BK12">
        <v>1</v>
      </c>
      <c r="BL12">
        <v>1</v>
      </c>
      <c r="BN12">
        <v>1</v>
      </c>
      <c r="BO12">
        <v>1</v>
      </c>
      <c r="BP12">
        <v>1</v>
      </c>
      <c r="BQ12">
        <v>1</v>
      </c>
      <c r="BR12">
        <v>1</v>
      </c>
      <c r="BS12">
        <v>1</v>
      </c>
      <c r="BT12">
        <v>1</v>
      </c>
      <c r="BU12">
        <v>1</v>
      </c>
      <c r="BV12">
        <v>1</v>
      </c>
      <c r="BW12">
        <v>1</v>
      </c>
      <c r="BX12">
        <v>1</v>
      </c>
      <c r="BY12">
        <v>1</v>
      </c>
      <c r="BZ12">
        <v>1</v>
      </c>
      <c r="CA12">
        <v>1</v>
      </c>
      <c r="CB12">
        <v>1</v>
      </c>
      <c r="CC12">
        <v>1</v>
      </c>
      <c r="CN12">
        <v>1</v>
      </c>
      <c r="CO12">
        <v>1</v>
      </c>
      <c r="CP12">
        <v>1</v>
      </c>
      <c r="CQ12">
        <v>1</v>
      </c>
      <c r="CR12">
        <v>1</v>
      </c>
      <c r="CS12">
        <v>1</v>
      </c>
      <c r="CT12">
        <v>1</v>
      </c>
      <c r="CU12">
        <v>1</v>
      </c>
      <c r="CV12">
        <v>1</v>
      </c>
      <c r="CW12">
        <v>1</v>
      </c>
      <c r="CX12">
        <v>1</v>
      </c>
      <c r="CY12">
        <v>1</v>
      </c>
      <c r="CZ12">
        <v>1</v>
      </c>
      <c r="DQ12">
        <v>1</v>
      </c>
      <c r="DR12">
        <v>1</v>
      </c>
      <c r="DS12">
        <v>1</v>
      </c>
      <c r="DY12">
        <v>1</v>
      </c>
      <c r="DZ12">
        <v>1</v>
      </c>
    </row>
    <row r="13" spans="1:210" x14ac:dyDescent="0.2">
      <c r="A13" t="str">
        <f t="array" aca="1" ref="A13" ca="1">IF(ROWS(A$1:A11)&lt;=COUNTIF(INDIRECT($A$2),"?*"),INDEX(INDIRECT($A$2),MATCH(SMALL(IF(INDIRECT($A$2)&lt;&gt;"",COUNTIF(INDIRECT($A$2),"&lt;"&amp;INDIRECT($A$2))),ROWS(A$1:A11)),IF(INDIRECT($A$2)&lt;&gt;"",COUNTIF(INDIRECT($A$2),"&lt;"&amp;INDIRECT($A$2))),0)),"")</f>
        <v>Kurtisane/Gesellschafter</v>
      </c>
      <c r="C13" t="str">
        <f t="shared" si="7"/>
        <v/>
      </c>
      <c r="E13" t="s">
        <v>3435</v>
      </c>
      <c r="F13" t="s">
        <v>947</v>
      </c>
      <c r="H13">
        <v>1</v>
      </c>
      <c r="I13">
        <v>1</v>
      </c>
      <c r="J13">
        <v>1</v>
      </c>
      <c r="K13">
        <v>1</v>
      </c>
      <c r="L13">
        <v>1</v>
      </c>
      <c r="M13">
        <v>1</v>
      </c>
      <c r="N13">
        <v>1</v>
      </c>
      <c r="P13">
        <v>1</v>
      </c>
      <c r="Q13">
        <v>1</v>
      </c>
      <c r="R13">
        <v>1</v>
      </c>
      <c r="S13">
        <v>1</v>
      </c>
      <c r="T13">
        <v>1</v>
      </c>
      <c r="U13">
        <v>1</v>
      </c>
      <c r="V13">
        <v>1</v>
      </c>
      <c r="W13">
        <v>1</v>
      </c>
      <c r="X13">
        <v>1</v>
      </c>
      <c r="Y13">
        <v>1</v>
      </c>
      <c r="Z13">
        <v>1</v>
      </c>
      <c r="AA13">
        <v>1</v>
      </c>
      <c r="AB13">
        <v>1</v>
      </c>
      <c r="AC13">
        <v>1</v>
      </c>
      <c r="AD13">
        <v>1</v>
      </c>
      <c r="AE13">
        <v>1</v>
      </c>
      <c r="AF13">
        <v>1</v>
      </c>
      <c r="AG13">
        <v>1</v>
      </c>
      <c r="AQ13">
        <v>1</v>
      </c>
      <c r="AR13">
        <v>1</v>
      </c>
      <c r="AS13">
        <v>1</v>
      </c>
      <c r="AT13">
        <v>1</v>
      </c>
      <c r="AU13">
        <v>1</v>
      </c>
      <c r="AV13">
        <v>1</v>
      </c>
      <c r="AW13">
        <v>1</v>
      </c>
      <c r="AX13">
        <v>1</v>
      </c>
      <c r="AY13">
        <v>1</v>
      </c>
      <c r="AZ13">
        <v>1</v>
      </c>
      <c r="BA13">
        <v>1</v>
      </c>
      <c r="BB13">
        <v>1</v>
      </c>
      <c r="BC13">
        <v>1</v>
      </c>
      <c r="BD13">
        <v>1</v>
      </c>
      <c r="BE13">
        <v>1</v>
      </c>
      <c r="BF13">
        <v>1</v>
      </c>
      <c r="BG13">
        <v>1</v>
      </c>
      <c r="BH13">
        <v>1</v>
      </c>
      <c r="BI13">
        <v>1</v>
      </c>
      <c r="BJ13">
        <v>1</v>
      </c>
      <c r="BK13">
        <v>1</v>
      </c>
      <c r="BL13">
        <v>1</v>
      </c>
      <c r="BN13">
        <v>1</v>
      </c>
      <c r="BO13">
        <v>1</v>
      </c>
      <c r="BP13">
        <v>1</v>
      </c>
      <c r="BQ13">
        <v>1</v>
      </c>
      <c r="BR13">
        <v>1</v>
      </c>
      <c r="BS13">
        <v>1</v>
      </c>
      <c r="BT13">
        <v>1</v>
      </c>
      <c r="BU13">
        <v>1</v>
      </c>
      <c r="BV13">
        <v>1</v>
      </c>
      <c r="BW13">
        <v>1</v>
      </c>
      <c r="BX13">
        <v>1</v>
      </c>
      <c r="BY13">
        <v>1</v>
      </c>
      <c r="BZ13">
        <v>1</v>
      </c>
      <c r="CA13">
        <v>1</v>
      </c>
      <c r="CB13">
        <v>1</v>
      </c>
      <c r="CC13">
        <v>1</v>
      </c>
      <c r="CN13">
        <v>1</v>
      </c>
      <c r="CO13">
        <v>1</v>
      </c>
      <c r="CP13">
        <v>1</v>
      </c>
      <c r="CQ13">
        <v>1</v>
      </c>
      <c r="CR13">
        <v>1</v>
      </c>
      <c r="CS13">
        <v>1</v>
      </c>
      <c r="CT13">
        <v>1</v>
      </c>
      <c r="CU13">
        <v>1</v>
      </c>
      <c r="CV13">
        <v>1</v>
      </c>
      <c r="CW13">
        <v>1</v>
      </c>
      <c r="CX13">
        <v>1</v>
      </c>
      <c r="CY13">
        <v>1</v>
      </c>
      <c r="CZ13">
        <v>1</v>
      </c>
      <c r="DA13">
        <v>1</v>
      </c>
      <c r="DB13">
        <v>1</v>
      </c>
      <c r="DC13">
        <v>1</v>
      </c>
      <c r="DD13">
        <v>1</v>
      </c>
      <c r="DE13">
        <v>1</v>
      </c>
      <c r="DF13">
        <v>1</v>
      </c>
      <c r="DQ13">
        <v>1</v>
      </c>
      <c r="DR13">
        <v>1</v>
      </c>
      <c r="DS13">
        <v>1</v>
      </c>
      <c r="DX13">
        <v>1</v>
      </c>
      <c r="DY13">
        <v>1</v>
      </c>
      <c r="DZ13">
        <v>1</v>
      </c>
      <c r="EF13">
        <v>1</v>
      </c>
    </row>
    <row r="14" spans="1:210" x14ac:dyDescent="0.2">
      <c r="A14" t="str">
        <f t="array" aca="1" ref="A14" ca="1">IF(ROWS(A$1:A12)&lt;=COUNTIF(INDIRECT($A$2),"?*"),INDEX(INDIRECT($A$2),MATCH(SMALL(IF(INDIRECT($A$2)&lt;&gt;"",COUNTIF(INDIRECT($A$2),"&lt;"&amp;INDIRECT($A$2))),ROWS(A$1:A12)),IF(INDIRECT($A$2)&lt;&gt;"",COUNTIF(INDIRECT($A$2),"&lt;"&amp;INDIRECT($A$2))),0)),"")</f>
        <v>Privatlehrer</v>
      </c>
      <c r="C14" t="str">
        <f t="shared" si="7"/>
        <v/>
      </c>
      <c r="E14" t="s">
        <v>388</v>
      </c>
      <c r="F14" t="s">
        <v>1877</v>
      </c>
      <c r="H14">
        <v>1</v>
      </c>
      <c r="I14">
        <v>1</v>
      </c>
      <c r="J14">
        <v>1</v>
      </c>
      <c r="K14">
        <v>1</v>
      </c>
      <c r="L14">
        <v>1</v>
      </c>
      <c r="M14">
        <v>1</v>
      </c>
      <c r="N14">
        <v>1</v>
      </c>
      <c r="P14">
        <v>1</v>
      </c>
      <c r="Q14">
        <v>1</v>
      </c>
      <c r="R14">
        <v>1</v>
      </c>
      <c r="S14">
        <v>1</v>
      </c>
      <c r="T14">
        <v>1</v>
      </c>
      <c r="U14">
        <v>1</v>
      </c>
      <c r="V14">
        <v>1</v>
      </c>
      <c r="W14">
        <v>1</v>
      </c>
      <c r="X14">
        <v>1</v>
      </c>
      <c r="Y14">
        <v>1</v>
      </c>
      <c r="Z14">
        <v>1</v>
      </c>
      <c r="AA14">
        <v>1</v>
      </c>
      <c r="AB14">
        <v>1</v>
      </c>
      <c r="AC14">
        <v>1</v>
      </c>
      <c r="AD14">
        <v>1</v>
      </c>
      <c r="AE14">
        <v>1</v>
      </c>
      <c r="AF14">
        <v>1</v>
      </c>
      <c r="AG14">
        <v>1</v>
      </c>
      <c r="AQ14">
        <v>1</v>
      </c>
      <c r="AR14">
        <v>1</v>
      </c>
      <c r="AS14">
        <v>1</v>
      </c>
      <c r="AT14">
        <v>1</v>
      </c>
      <c r="AU14">
        <v>1</v>
      </c>
      <c r="AV14">
        <v>1</v>
      </c>
      <c r="AW14">
        <v>1</v>
      </c>
      <c r="AX14">
        <v>1</v>
      </c>
      <c r="AY14">
        <v>1</v>
      </c>
      <c r="AZ14">
        <v>1</v>
      </c>
      <c r="BA14">
        <v>1</v>
      </c>
      <c r="BB14">
        <v>1</v>
      </c>
      <c r="BC14">
        <v>1</v>
      </c>
      <c r="BD14">
        <v>1</v>
      </c>
      <c r="BE14">
        <v>1</v>
      </c>
      <c r="BF14">
        <v>1</v>
      </c>
      <c r="BG14">
        <v>1</v>
      </c>
      <c r="BH14">
        <v>1</v>
      </c>
      <c r="BI14">
        <v>1</v>
      </c>
      <c r="BJ14">
        <v>1</v>
      </c>
      <c r="BK14">
        <v>1</v>
      </c>
      <c r="BL14">
        <v>1</v>
      </c>
      <c r="BN14">
        <v>1</v>
      </c>
      <c r="BO14">
        <v>1</v>
      </c>
      <c r="BP14">
        <v>1</v>
      </c>
      <c r="BQ14">
        <v>1</v>
      </c>
      <c r="BR14">
        <v>1</v>
      </c>
      <c r="BS14">
        <v>1</v>
      </c>
      <c r="BT14">
        <v>1</v>
      </c>
      <c r="BU14">
        <v>1</v>
      </c>
      <c r="BV14">
        <v>1</v>
      </c>
      <c r="BW14">
        <v>1</v>
      </c>
      <c r="BX14">
        <v>1</v>
      </c>
      <c r="BY14">
        <v>1</v>
      </c>
      <c r="BZ14">
        <v>1</v>
      </c>
      <c r="CA14">
        <v>1</v>
      </c>
      <c r="CB14">
        <v>1</v>
      </c>
      <c r="CC14">
        <v>1</v>
      </c>
      <c r="CN14">
        <v>1</v>
      </c>
      <c r="CO14">
        <v>1</v>
      </c>
      <c r="CP14">
        <v>1</v>
      </c>
      <c r="CQ14">
        <v>1</v>
      </c>
      <c r="CR14">
        <v>1</v>
      </c>
      <c r="CS14">
        <v>1</v>
      </c>
      <c r="CT14">
        <v>1</v>
      </c>
      <c r="CU14">
        <v>1</v>
      </c>
      <c r="CV14">
        <v>1</v>
      </c>
      <c r="CW14">
        <v>1</v>
      </c>
      <c r="CX14">
        <v>1</v>
      </c>
      <c r="CY14">
        <v>1</v>
      </c>
      <c r="CZ14">
        <v>1</v>
      </c>
      <c r="DA14">
        <v>1</v>
      </c>
      <c r="DB14">
        <v>1</v>
      </c>
      <c r="DC14">
        <v>1</v>
      </c>
      <c r="DD14">
        <v>1</v>
      </c>
      <c r="DE14">
        <v>1</v>
      </c>
      <c r="DF14">
        <v>1</v>
      </c>
      <c r="DQ14">
        <v>1</v>
      </c>
      <c r="DR14">
        <v>1</v>
      </c>
      <c r="DS14">
        <v>1</v>
      </c>
      <c r="DY14">
        <v>1</v>
      </c>
      <c r="DZ14">
        <v>1</v>
      </c>
      <c r="ES14">
        <v>1</v>
      </c>
      <c r="ET14">
        <v>1</v>
      </c>
      <c r="EU14">
        <v>1</v>
      </c>
    </row>
    <row r="15" spans="1:210" x14ac:dyDescent="0.2">
      <c r="A15" t="str">
        <f t="array" aca="1" ref="A15" ca="1">IF(ROWS(A$1:A13)&lt;=COUNTIF(INDIRECT($A$2),"?*"),INDEX(INDIRECT($A$2),MATCH(SMALL(IF(INDIRECT($A$2)&lt;&gt;"",COUNTIF(INDIRECT($A$2),"&lt;"&amp;INDIRECT($A$2))),ROWS(A$1:A13)),IF(INDIRECT($A$2)&lt;&gt;"",COUNTIF(INDIRECT($A$2),"&lt;"&amp;INDIRECT($A$2))),0)),"")</f>
        <v>Schriftsteller</v>
      </c>
      <c r="C15" t="str">
        <f t="shared" si="7"/>
        <v/>
      </c>
      <c r="E15" t="s">
        <v>292</v>
      </c>
      <c r="F15" t="s">
        <v>948</v>
      </c>
      <c r="H15">
        <v>1</v>
      </c>
      <c r="I15">
        <v>1</v>
      </c>
      <c r="J15">
        <v>1</v>
      </c>
      <c r="K15">
        <v>1</v>
      </c>
      <c r="L15">
        <v>1</v>
      </c>
      <c r="M15">
        <v>1</v>
      </c>
      <c r="N15">
        <v>1</v>
      </c>
      <c r="P15">
        <v>1</v>
      </c>
      <c r="Q15">
        <v>1</v>
      </c>
      <c r="R15">
        <v>1</v>
      </c>
      <c r="S15">
        <v>1</v>
      </c>
      <c r="T15">
        <v>1</v>
      </c>
      <c r="U15">
        <v>1</v>
      </c>
      <c r="V15">
        <v>1</v>
      </c>
      <c r="W15">
        <v>1</v>
      </c>
      <c r="X15">
        <v>1</v>
      </c>
      <c r="Y15">
        <v>1</v>
      </c>
      <c r="Z15">
        <v>1</v>
      </c>
      <c r="AA15">
        <v>1</v>
      </c>
      <c r="AB15">
        <v>1</v>
      </c>
      <c r="AC15">
        <v>1</v>
      </c>
      <c r="AD15">
        <v>1</v>
      </c>
      <c r="AE15">
        <v>1</v>
      </c>
      <c r="AF15">
        <v>1</v>
      </c>
      <c r="AG15">
        <v>1</v>
      </c>
      <c r="AQ15">
        <v>1</v>
      </c>
      <c r="AR15">
        <v>1</v>
      </c>
      <c r="AS15">
        <v>1</v>
      </c>
      <c r="AT15">
        <v>1</v>
      </c>
      <c r="AU15">
        <v>1</v>
      </c>
      <c r="AV15">
        <v>1</v>
      </c>
      <c r="AW15">
        <v>1</v>
      </c>
      <c r="AX15">
        <v>1</v>
      </c>
      <c r="AY15">
        <v>1</v>
      </c>
      <c r="AZ15">
        <v>1</v>
      </c>
      <c r="BA15">
        <v>1</v>
      </c>
      <c r="BB15">
        <v>1</v>
      </c>
      <c r="BC15">
        <v>1</v>
      </c>
      <c r="BD15">
        <v>1</v>
      </c>
      <c r="BE15">
        <v>1</v>
      </c>
      <c r="BF15">
        <v>1</v>
      </c>
      <c r="BN15">
        <v>1</v>
      </c>
      <c r="BO15">
        <v>1</v>
      </c>
      <c r="BP15">
        <v>1</v>
      </c>
      <c r="BQ15">
        <v>1</v>
      </c>
      <c r="BR15">
        <v>1</v>
      </c>
      <c r="BS15">
        <v>1</v>
      </c>
      <c r="BT15">
        <v>1</v>
      </c>
      <c r="BU15">
        <v>1</v>
      </c>
      <c r="BV15">
        <v>1</v>
      </c>
      <c r="BW15">
        <v>1</v>
      </c>
      <c r="BX15">
        <v>1</v>
      </c>
      <c r="BY15">
        <v>1</v>
      </c>
      <c r="BZ15">
        <v>1</v>
      </c>
      <c r="CA15">
        <v>1</v>
      </c>
      <c r="CB15">
        <v>1</v>
      </c>
      <c r="CC15">
        <v>1</v>
      </c>
      <c r="CN15">
        <v>1</v>
      </c>
      <c r="CO15">
        <v>1</v>
      </c>
      <c r="CP15">
        <v>1</v>
      </c>
      <c r="CQ15">
        <v>1</v>
      </c>
      <c r="CR15">
        <v>1</v>
      </c>
      <c r="CS15">
        <v>1</v>
      </c>
      <c r="CT15">
        <v>1</v>
      </c>
      <c r="CU15">
        <v>1</v>
      </c>
      <c r="CV15">
        <v>1</v>
      </c>
      <c r="CW15">
        <v>1</v>
      </c>
      <c r="CX15">
        <v>1</v>
      </c>
      <c r="CY15">
        <v>1</v>
      </c>
      <c r="CZ15">
        <v>1</v>
      </c>
      <c r="DA15">
        <v>1</v>
      </c>
      <c r="DB15">
        <v>1</v>
      </c>
      <c r="DC15">
        <v>1</v>
      </c>
      <c r="DD15">
        <v>1</v>
      </c>
      <c r="DE15">
        <v>1</v>
      </c>
      <c r="DF15">
        <v>1</v>
      </c>
      <c r="DQ15">
        <v>1</v>
      </c>
      <c r="DR15">
        <v>1</v>
      </c>
      <c r="DS15">
        <v>1</v>
      </c>
      <c r="DY15">
        <v>1</v>
      </c>
      <c r="DZ15">
        <v>1</v>
      </c>
      <c r="ET15">
        <v>1</v>
      </c>
      <c r="EU15">
        <v>1</v>
      </c>
    </row>
    <row r="16" spans="1:210" x14ac:dyDescent="0.2">
      <c r="A16" t="str">
        <f t="array" aca="1" ref="A16" ca="1">IF(ROWS(A$1:A14)&lt;=COUNTIF(INDIRECT($A$2),"?*"),INDEX(INDIRECT($A$2),MATCH(SMALL(IF(INDIRECT($A$2)&lt;&gt;"",COUNTIF(INDIRECT($A$2),"&lt;"&amp;INDIRECT($A$2))),ROWS(A$1:A14)),IF(INDIRECT($A$2)&lt;&gt;"",COUNTIF(INDIRECT($A$2),"&lt;"&amp;INDIRECT($A$2))),0)),"")</f>
        <v>Spitzel</v>
      </c>
      <c r="C16" t="str">
        <f t="shared" si="7"/>
        <v/>
      </c>
      <c r="E16" t="s">
        <v>949</v>
      </c>
      <c r="F16" t="s">
        <v>950</v>
      </c>
      <c r="H16">
        <v>1</v>
      </c>
      <c r="I16">
        <v>1</v>
      </c>
      <c r="J16">
        <v>1</v>
      </c>
      <c r="K16">
        <v>1</v>
      </c>
      <c r="L16">
        <v>1</v>
      </c>
      <c r="M16">
        <v>1</v>
      </c>
      <c r="N16">
        <v>1</v>
      </c>
      <c r="P16">
        <v>1</v>
      </c>
      <c r="Q16">
        <v>1</v>
      </c>
      <c r="R16">
        <v>1</v>
      </c>
      <c r="S16">
        <v>1</v>
      </c>
      <c r="T16">
        <v>1</v>
      </c>
      <c r="U16">
        <v>1</v>
      </c>
      <c r="V16">
        <v>1</v>
      </c>
      <c r="W16">
        <v>1</v>
      </c>
      <c r="X16">
        <v>1</v>
      </c>
      <c r="Y16">
        <v>1</v>
      </c>
      <c r="Z16">
        <v>1</v>
      </c>
      <c r="AA16">
        <v>1</v>
      </c>
      <c r="AB16">
        <v>1</v>
      </c>
      <c r="AC16">
        <v>1</v>
      </c>
      <c r="AD16">
        <v>1</v>
      </c>
      <c r="AE16">
        <v>1</v>
      </c>
      <c r="AF16">
        <v>1</v>
      </c>
      <c r="AG16">
        <v>1</v>
      </c>
      <c r="AQ16">
        <v>1</v>
      </c>
      <c r="AR16">
        <v>1</v>
      </c>
      <c r="AS16">
        <v>1</v>
      </c>
      <c r="AT16">
        <v>1</v>
      </c>
      <c r="AU16">
        <v>1</v>
      </c>
      <c r="AV16">
        <v>1</v>
      </c>
      <c r="AW16">
        <v>1</v>
      </c>
      <c r="AX16">
        <v>1</v>
      </c>
      <c r="AY16">
        <v>1</v>
      </c>
      <c r="AZ16">
        <v>1</v>
      </c>
      <c r="BA16">
        <v>1</v>
      </c>
      <c r="BB16">
        <v>1</v>
      </c>
      <c r="BC16">
        <v>1</v>
      </c>
      <c r="BD16">
        <v>1</v>
      </c>
      <c r="BE16">
        <v>1</v>
      </c>
      <c r="BF16">
        <v>1</v>
      </c>
      <c r="BG16">
        <v>1</v>
      </c>
      <c r="BH16">
        <v>1</v>
      </c>
      <c r="BI16">
        <v>1</v>
      </c>
      <c r="BJ16">
        <v>1</v>
      </c>
      <c r="BK16">
        <v>1</v>
      </c>
      <c r="BL16">
        <v>1</v>
      </c>
      <c r="BW16">
        <v>1</v>
      </c>
      <c r="BX16">
        <v>1</v>
      </c>
      <c r="BY16">
        <v>1</v>
      </c>
      <c r="BZ16">
        <v>1</v>
      </c>
      <c r="CA16">
        <v>1</v>
      </c>
      <c r="CB16">
        <v>1</v>
      </c>
      <c r="CC16">
        <v>1</v>
      </c>
      <c r="CN16">
        <v>1</v>
      </c>
      <c r="CO16">
        <v>1</v>
      </c>
      <c r="CP16">
        <v>1</v>
      </c>
      <c r="CQ16">
        <v>1</v>
      </c>
      <c r="CR16">
        <v>1</v>
      </c>
      <c r="CS16">
        <v>1</v>
      </c>
      <c r="CT16">
        <v>1</v>
      </c>
      <c r="CU16">
        <v>1</v>
      </c>
      <c r="CV16">
        <v>1</v>
      </c>
      <c r="CW16">
        <v>1</v>
      </c>
      <c r="CX16">
        <v>1</v>
      </c>
      <c r="CY16">
        <v>1</v>
      </c>
      <c r="CZ16">
        <v>1</v>
      </c>
      <c r="DA16">
        <v>1</v>
      </c>
      <c r="DB16">
        <v>1</v>
      </c>
      <c r="DC16">
        <v>1</v>
      </c>
      <c r="DD16">
        <v>1</v>
      </c>
      <c r="DE16">
        <v>1</v>
      </c>
      <c r="DF16">
        <v>1</v>
      </c>
      <c r="DQ16">
        <v>1</v>
      </c>
      <c r="DR16">
        <v>1</v>
      </c>
      <c r="DS16">
        <v>1</v>
      </c>
      <c r="DY16">
        <v>1</v>
      </c>
      <c r="DZ16">
        <v>1</v>
      </c>
      <c r="EU16">
        <v>1</v>
      </c>
    </row>
    <row r="17" spans="1:210" x14ac:dyDescent="0.2">
      <c r="A17" t="str">
        <f t="array" aca="1" ref="A17" ca="1">IF(ROWS(A$1:A15)&lt;=COUNTIF(INDIRECT($A$2),"?*"),INDEX(INDIRECT($A$2),MATCH(SMALL(IF(INDIRECT($A$2)&lt;&gt;"",COUNTIF(INDIRECT($A$2),"&lt;"&amp;INDIRECT($A$2))),ROWS(A$1:A15)),IF(INDIRECT($A$2)&lt;&gt;"",COUNTIF(INDIRECT($A$2),"&lt;"&amp;INDIRECT($A$2))),0)),"")</f>
        <v>Streuner</v>
      </c>
      <c r="C17" t="str">
        <f t="shared" si="7"/>
        <v/>
      </c>
      <c r="E17" t="s">
        <v>4679</v>
      </c>
      <c r="F17" t="s">
        <v>951</v>
      </c>
      <c r="H17">
        <v>1</v>
      </c>
      <c r="I17">
        <v>1</v>
      </c>
      <c r="J17">
        <v>1</v>
      </c>
      <c r="K17">
        <v>1</v>
      </c>
      <c r="L17">
        <v>1</v>
      </c>
      <c r="M17">
        <v>1</v>
      </c>
      <c r="N17">
        <v>1</v>
      </c>
      <c r="P17">
        <v>1</v>
      </c>
      <c r="Q17">
        <v>1</v>
      </c>
      <c r="R17">
        <v>1</v>
      </c>
      <c r="S17">
        <v>1</v>
      </c>
      <c r="T17">
        <v>1</v>
      </c>
      <c r="U17">
        <v>1</v>
      </c>
      <c r="V17">
        <v>1</v>
      </c>
      <c r="W17">
        <v>1</v>
      </c>
      <c r="X17">
        <v>1</v>
      </c>
      <c r="Y17">
        <v>1</v>
      </c>
      <c r="Z17">
        <v>1</v>
      </c>
      <c r="AA17">
        <v>1</v>
      </c>
      <c r="AB17">
        <v>1</v>
      </c>
      <c r="AC17">
        <v>1</v>
      </c>
      <c r="AD17">
        <v>1</v>
      </c>
      <c r="AE17">
        <v>1</v>
      </c>
      <c r="AF17">
        <v>1</v>
      </c>
      <c r="AG17">
        <v>1</v>
      </c>
      <c r="AH17">
        <v>1</v>
      </c>
      <c r="AN17">
        <v>1</v>
      </c>
      <c r="AQ17">
        <v>1</v>
      </c>
      <c r="AR17">
        <v>1</v>
      </c>
      <c r="AS17">
        <v>1</v>
      </c>
      <c r="AT17">
        <v>1</v>
      </c>
      <c r="AU17">
        <v>1</v>
      </c>
      <c r="AV17">
        <v>1</v>
      </c>
      <c r="AW17">
        <v>1</v>
      </c>
      <c r="AX17">
        <v>1</v>
      </c>
      <c r="AY17">
        <v>1</v>
      </c>
      <c r="AZ17">
        <v>1</v>
      </c>
      <c r="BA17">
        <v>1</v>
      </c>
      <c r="BB17">
        <v>1</v>
      </c>
      <c r="BC17">
        <v>1</v>
      </c>
      <c r="BD17">
        <v>1</v>
      </c>
      <c r="BE17">
        <v>1</v>
      </c>
      <c r="BF17">
        <v>1</v>
      </c>
      <c r="BG17">
        <v>1</v>
      </c>
      <c r="BH17">
        <v>1</v>
      </c>
      <c r="BI17">
        <v>1</v>
      </c>
      <c r="BJ17">
        <v>1</v>
      </c>
      <c r="BK17">
        <v>1</v>
      </c>
      <c r="BL17">
        <v>1</v>
      </c>
      <c r="BN17">
        <v>1</v>
      </c>
      <c r="BO17">
        <v>1</v>
      </c>
      <c r="BP17">
        <v>1</v>
      </c>
      <c r="BQ17">
        <v>1</v>
      </c>
      <c r="BR17">
        <v>1</v>
      </c>
      <c r="BS17">
        <v>1</v>
      </c>
      <c r="BT17">
        <v>1</v>
      </c>
      <c r="BU17">
        <v>1</v>
      </c>
      <c r="BV17">
        <v>1</v>
      </c>
      <c r="BW17">
        <v>1</v>
      </c>
      <c r="BX17">
        <v>1</v>
      </c>
      <c r="BY17">
        <v>1</v>
      </c>
      <c r="BZ17">
        <v>1</v>
      </c>
      <c r="CA17">
        <v>1</v>
      </c>
      <c r="CB17">
        <v>1</v>
      </c>
      <c r="CC17">
        <v>1</v>
      </c>
      <c r="CF17">
        <v>1</v>
      </c>
      <c r="CG17">
        <v>1</v>
      </c>
      <c r="CJ17">
        <v>1</v>
      </c>
      <c r="CK17">
        <v>1</v>
      </c>
      <c r="CN17">
        <v>1</v>
      </c>
      <c r="CO17">
        <v>1</v>
      </c>
      <c r="CP17">
        <v>1</v>
      </c>
      <c r="CQ17">
        <v>1</v>
      </c>
      <c r="CR17">
        <v>1</v>
      </c>
      <c r="CS17">
        <v>1</v>
      </c>
      <c r="CT17">
        <v>1</v>
      </c>
      <c r="CU17">
        <v>1</v>
      </c>
      <c r="CV17">
        <v>1</v>
      </c>
      <c r="CW17">
        <v>1</v>
      </c>
      <c r="CX17">
        <v>1</v>
      </c>
      <c r="CY17">
        <v>1</v>
      </c>
      <c r="CZ17">
        <v>1</v>
      </c>
      <c r="DA17">
        <v>1</v>
      </c>
      <c r="DB17">
        <v>1</v>
      </c>
      <c r="DC17">
        <v>1</v>
      </c>
      <c r="DD17">
        <v>1</v>
      </c>
      <c r="DE17">
        <v>1</v>
      </c>
      <c r="DF17">
        <v>1</v>
      </c>
      <c r="DQ17">
        <v>1</v>
      </c>
      <c r="DR17">
        <v>1</v>
      </c>
      <c r="DS17">
        <v>1</v>
      </c>
      <c r="DX17">
        <v>1</v>
      </c>
      <c r="DY17">
        <v>1</v>
      </c>
      <c r="DZ17">
        <v>1</v>
      </c>
      <c r="ET17">
        <v>1</v>
      </c>
      <c r="EU17">
        <v>1</v>
      </c>
      <c r="GI17">
        <v>1</v>
      </c>
      <c r="GU17">
        <v>1</v>
      </c>
    </row>
    <row r="18" spans="1:210" x14ac:dyDescent="0.2">
      <c r="A18" t="str">
        <f t="array" aca="1" ref="A18" ca="1">IF(ROWS(A$1:A16)&lt;=COUNTIF(INDIRECT($A$2),"?*"),INDEX(INDIRECT($A$2),MATCH(SMALL(IF(INDIRECT($A$2)&lt;&gt;"",COUNTIF(INDIRECT($A$2),"&lt;"&amp;INDIRECT($A$2))),ROWS(A$1:A16)),IF(INDIRECT($A$2)&lt;&gt;"",COUNTIF(INDIRECT($A$2),"&lt;"&amp;INDIRECT($A$2))),0)),"")</f>
        <v>Taugenichts</v>
      </c>
      <c r="C18" t="str">
        <f t="shared" si="7"/>
        <v/>
      </c>
      <c r="E18" t="s">
        <v>2973</v>
      </c>
      <c r="F18" t="s">
        <v>1878</v>
      </c>
      <c r="H18">
        <v>1</v>
      </c>
      <c r="I18">
        <v>1</v>
      </c>
      <c r="J18">
        <v>1</v>
      </c>
      <c r="K18">
        <v>1</v>
      </c>
      <c r="L18">
        <v>1</v>
      </c>
      <c r="M18">
        <v>1</v>
      </c>
      <c r="N18">
        <v>1</v>
      </c>
      <c r="P18">
        <v>1</v>
      </c>
      <c r="Q18">
        <v>1</v>
      </c>
      <c r="R18">
        <v>1</v>
      </c>
      <c r="S18">
        <v>1</v>
      </c>
      <c r="T18">
        <v>1</v>
      </c>
      <c r="U18">
        <v>1</v>
      </c>
      <c r="V18">
        <v>1</v>
      </c>
      <c r="W18">
        <v>1</v>
      </c>
      <c r="X18">
        <v>1</v>
      </c>
      <c r="Y18">
        <v>1</v>
      </c>
      <c r="Z18">
        <v>1</v>
      </c>
      <c r="AA18">
        <v>1</v>
      </c>
      <c r="AB18">
        <v>1</v>
      </c>
      <c r="AC18">
        <v>1</v>
      </c>
      <c r="AD18">
        <v>1</v>
      </c>
      <c r="AE18">
        <v>1</v>
      </c>
      <c r="AF18">
        <v>1</v>
      </c>
      <c r="AG18">
        <v>1</v>
      </c>
      <c r="AQ18">
        <v>1</v>
      </c>
      <c r="AR18">
        <v>1</v>
      </c>
      <c r="AS18">
        <v>1</v>
      </c>
      <c r="AT18">
        <v>1</v>
      </c>
      <c r="AU18">
        <v>1</v>
      </c>
      <c r="AV18">
        <v>1</v>
      </c>
      <c r="AW18">
        <v>1</v>
      </c>
      <c r="AX18">
        <v>1</v>
      </c>
      <c r="AY18">
        <v>1</v>
      </c>
      <c r="AZ18">
        <v>1</v>
      </c>
      <c r="BA18">
        <v>1</v>
      </c>
      <c r="BB18">
        <v>1</v>
      </c>
      <c r="BC18">
        <v>1</v>
      </c>
      <c r="BD18">
        <v>1</v>
      </c>
      <c r="BE18">
        <v>1</v>
      </c>
      <c r="BF18">
        <v>1</v>
      </c>
      <c r="BG18">
        <v>1</v>
      </c>
      <c r="BH18">
        <v>1</v>
      </c>
      <c r="BI18">
        <v>1</v>
      </c>
      <c r="BJ18">
        <v>1</v>
      </c>
      <c r="BK18">
        <v>1</v>
      </c>
      <c r="BL18">
        <v>1</v>
      </c>
      <c r="BW18">
        <v>1</v>
      </c>
      <c r="BX18">
        <v>1</v>
      </c>
      <c r="BY18">
        <v>1</v>
      </c>
      <c r="BZ18">
        <v>1</v>
      </c>
      <c r="CA18">
        <v>1</v>
      </c>
      <c r="CB18">
        <v>1</v>
      </c>
      <c r="CC18">
        <v>1</v>
      </c>
      <c r="CN18">
        <v>1</v>
      </c>
      <c r="CO18">
        <v>1</v>
      </c>
      <c r="CP18">
        <v>1</v>
      </c>
      <c r="CQ18">
        <v>1</v>
      </c>
      <c r="CR18">
        <v>1</v>
      </c>
      <c r="CS18">
        <v>1</v>
      </c>
      <c r="CT18">
        <v>1</v>
      </c>
      <c r="CU18">
        <v>1</v>
      </c>
      <c r="CV18">
        <v>1</v>
      </c>
      <c r="CW18">
        <v>1</v>
      </c>
      <c r="CX18">
        <v>1</v>
      </c>
      <c r="CY18">
        <v>1</v>
      </c>
      <c r="CZ18">
        <v>1</v>
      </c>
      <c r="DQ18">
        <v>1</v>
      </c>
      <c r="DR18">
        <v>1</v>
      </c>
      <c r="DS18">
        <v>1</v>
      </c>
      <c r="DY18">
        <v>1</v>
      </c>
      <c r="DZ18">
        <v>1</v>
      </c>
      <c r="ED18">
        <v>1</v>
      </c>
      <c r="EE18">
        <v>1</v>
      </c>
      <c r="EF18">
        <v>1</v>
      </c>
      <c r="EJ18">
        <v>1</v>
      </c>
      <c r="EK18">
        <v>1</v>
      </c>
      <c r="EU18">
        <v>1</v>
      </c>
    </row>
    <row r="19" spans="1:210" x14ac:dyDescent="0.2">
      <c r="A19" t="str">
        <f t="array" aca="1" ref="A19" ca="1">IF(ROWS(A$1:A17)&lt;=COUNTIF(INDIRECT($A$2),"?*"),INDEX(INDIRECT($A$2),MATCH(SMALL(IF(INDIRECT($A$2)&lt;&gt;"",COUNTIF(INDIRECT($A$2),"&lt;"&amp;INDIRECT($A$2))),ROWS(A$1:A17)),IF(INDIRECT($A$2)&lt;&gt;"",COUNTIF(INDIRECT($A$2),"&lt;"&amp;INDIRECT($A$2))),0)),"")</f>
        <v>Wirt</v>
      </c>
      <c r="C19" t="str">
        <f t="shared" si="7"/>
        <v/>
      </c>
      <c r="E19" t="s">
        <v>2975</v>
      </c>
      <c r="F19" t="s">
        <v>5796</v>
      </c>
      <c r="H19">
        <v>1</v>
      </c>
      <c r="I19">
        <v>1</v>
      </c>
      <c r="J19">
        <v>1</v>
      </c>
      <c r="K19">
        <v>1</v>
      </c>
      <c r="L19">
        <v>1</v>
      </c>
      <c r="M19">
        <v>1</v>
      </c>
      <c r="N19">
        <v>1</v>
      </c>
      <c r="P19">
        <v>1</v>
      </c>
      <c r="Q19">
        <v>1</v>
      </c>
      <c r="R19">
        <v>1</v>
      </c>
      <c r="S19">
        <v>1</v>
      </c>
      <c r="T19">
        <v>1</v>
      </c>
      <c r="U19">
        <v>1</v>
      </c>
      <c r="V19">
        <v>1</v>
      </c>
      <c r="W19">
        <v>1</v>
      </c>
      <c r="X19">
        <v>1</v>
      </c>
      <c r="Y19">
        <v>1</v>
      </c>
      <c r="Z19">
        <v>1</v>
      </c>
      <c r="AA19">
        <v>1</v>
      </c>
      <c r="AB19">
        <v>1</v>
      </c>
      <c r="AC19">
        <v>1</v>
      </c>
      <c r="AD19">
        <v>1</v>
      </c>
      <c r="AE19">
        <v>1</v>
      </c>
      <c r="AF19">
        <v>1</v>
      </c>
      <c r="AG19">
        <v>1</v>
      </c>
      <c r="AQ19">
        <v>1</v>
      </c>
      <c r="AR19">
        <v>1</v>
      </c>
      <c r="AS19">
        <v>1</v>
      </c>
      <c r="AT19">
        <v>1</v>
      </c>
      <c r="AU19">
        <v>1</v>
      </c>
      <c r="AV19">
        <v>1</v>
      </c>
      <c r="AW19">
        <v>1</v>
      </c>
      <c r="AX19">
        <v>1</v>
      </c>
      <c r="AY19">
        <v>1</v>
      </c>
      <c r="AZ19">
        <v>1</v>
      </c>
      <c r="BA19">
        <v>1</v>
      </c>
      <c r="BB19">
        <v>1</v>
      </c>
      <c r="BC19">
        <v>1</v>
      </c>
      <c r="BD19">
        <v>1</v>
      </c>
      <c r="BE19">
        <v>1</v>
      </c>
      <c r="BF19">
        <v>1</v>
      </c>
      <c r="BG19">
        <v>1</v>
      </c>
      <c r="BH19">
        <v>1</v>
      </c>
      <c r="BI19">
        <v>1</v>
      </c>
      <c r="BJ19">
        <v>1</v>
      </c>
      <c r="BK19">
        <v>1</v>
      </c>
      <c r="BL19">
        <v>1</v>
      </c>
      <c r="BN19">
        <v>1</v>
      </c>
      <c r="BO19">
        <v>1</v>
      </c>
      <c r="BP19">
        <v>1</v>
      </c>
      <c r="BQ19">
        <v>1</v>
      </c>
      <c r="BR19">
        <v>1</v>
      </c>
      <c r="BS19">
        <v>1</v>
      </c>
      <c r="BT19">
        <v>1</v>
      </c>
      <c r="BU19">
        <v>1</v>
      </c>
      <c r="BV19">
        <v>1</v>
      </c>
      <c r="BW19">
        <v>1</v>
      </c>
      <c r="BX19">
        <v>1</v>
      </c>
      <c r="BY19">
        <v>1</v>
      </c>
      <c r="BZ19">
        <v>1</v>
      </c>
      <c r="CA19">
        <v>1</v>
      </c>
      <c r="CB19">
        <v>1</v>
      </c>
      <c r="CC19">
        <v>1</v>
      </c>
      <c r="CN19">
        <v>1</v>
      </c>
      <c r="CO19">
        <v>1</v>
      </c>
      <c r="CP19">
        <v>1</v>
      </c>
      <c r="CQ19">
        <v>1</v>
      </c>
      <c r="CR19">
        <v>1</v>
      </c>
      <c r="CS19">
        <v>1</v>
      </c>
      <c r="CT19">
        <v>1</v>
      </c>
      <c r="CU19">
        <v>1</v>
      </c>
      <c r="CV19">
        <v>1</v>
      </c>
      <c r="CW19">
        <v>1</v>
      </c>
      <c r="CX19">
        <v>1</v>
      </c>
      <c r="CY19">
        <v>1</v>
      </c>
      <c r="CZ19">
        <v>1</v>
      </c>
      <c r="DA19">
        <v>1</v>
      </c>
      <c r="DB19">
        <v>1</v>
      </c>
      <c r="DC19">
        <v>1</v>
      </c>
      <c r="DD19">
        <v>1</v>
      </c>
      <c r="DE19">
        <v>1</v>
      </c>
      <c r="DF19">
        <v>1</v>
      </c>
      <c r="DG19">
        <v>1</v>
      </c>
      <c r="DH19">
        <v>1</v>
      </c>
      <c r="DI19">
        <v>1</v>
      </c>
      <c r="DJ19">
        <v>1</v>
      </c>
      <c r="DK19">
        <v>1</v>
      </c>
      <c r="DL19">
        <v>1</v>
      </c>
      <c r="DM19">
        <v>1</v>
      </c>
      <c r="DN19">
        <v>1</v>
      </c>
      <c r="DQ19">
        <v>1</v>
      </c>
      <c r="DR19">
        <v>1</v>
      </c>
      <c r="DS19">
        <v>1</v>
      </c>
      <c r="DY19">
        <v>1</v>
      </c>
      <c r="DZ19">
        <v>1</v>
      </c>
    </row>
    <row r="20" spans="1:210" x14ac:dyDescent="0.2">
      <c r="A20" t="str">
        <f>IF(OR(ISBLANK(KULTURGENE),KULTURGENE="LEER"),"",IF(HLOOKUP(KULTURGENE,LIST_K_G,ROW(),FALSE)="","",HLOOKUP(KULTURGENE,LIST_K_G,ROW(),FALSE)))</f>
        <v/>
      </c>
      <c r="AH20" t="s">
        <v>7679</v>
      </c>
      <c r="AI20" t="s">
        <v>7679</v>
      </c>
      <c r="AJ20" t="s">
        <v>7679</v>
      </c>
      <c r="AK20" t="s">
        <v>7679</v>
      </c>
      <c r="AL20" t="s">
        <v>7679</v>
      </c>
      <c r="AM20" t="s">
        <v>7679</v>
      </c>
      <c r="AN20" t="s">
        <v>7679</v>
      </c>
      <c r="AO20" t="s">
        <v>7679</v>
      </c>
      <c r="AP20" t="s">
        <v>7685</v>
      </c>
      <c r="BG20" t="s">
        <v>7679</v>
      </c>
      <c r="BH20" t="s">
        <v>7679</v>
      </c>
      <c r="BI20" t="s">
        <v>7679</v>
      </c>
      <c r="BJ20" t="s">
        <v>7680</v>
      </c>
      <c r="BK20" t="s">
        <v>7679</v>
      </c>
      <c r="BL20" t="s">
        <v>7679</v>
      </c>
      <c r="BM20" t="s">
        <v>7679</v>
      </c>
      <c r="CD20" t="s">
        <v>7679</v>
      </c>
      <c r="CE20" t="s">
        <v>7679</v>
      </c>
      <c r="CF20" t="s">
        <v>7679</v>
      </c>
      <c r="CG20" t="s">
        <v>7679</v>
      </c>
      <c r="CH20" t="s">
        <v>7682</v>
      </c>
      <c r="CI20" t="s">
        <v>7682</v>
      </c>
      <c r="CL20" t="s">
        <v>7679</v>
      </c>
      <c r="CM20" t="s">
        <v>7679</v>
      </c>
      <c r="DA20" t="s">
        <v>7679</v>
      </c>
      <c r="DB20" t="s">
        <v>7679</v>
      </c>
      <c r="DC20" t="s">
        <v>7679</v>
      </c>
      <c r="DD20" t="s">
        <v>7679</v>
      </c>
      <c r="DE20" t="s">
        <v>7679</v>
      </c>
      <c r="DF20" t="s">
        <v>7679</v>
      </c>
      <c r="DG20" t="s">
        <v>7684</v>
      </c>
      <c r="DH20" t="s">
        <v>7684</v>
      </c>
      <c r="DI20" t="s">
        <v>7684</v>
      </c>
      <c r="DJ20" t="s">
        <v>7684</v>
      </c>
      <c r="DK20" t="s">
        <v>7684</v>
      </c>
      <c r="DL20" t="s">
        <v>7684</v>
      </c>
      <c r="DM20" t="s">
        <v>7684</v>
      </c>
      <c r="DN20" t="s">
        <v>7684</v>
      </c>
      <c r="DO20" t="s">
        <v>7679</v>
      </c>
      <c r="DP20" t="s">
        <v>7679</v>
      </c>
      <c r="DS20" t="s">
        <v>7681</v>
      </c>
      <c r="DT20" t="s">
        <v>7679</v>
      </c>
      <c r="DU20" t="s">
        <v>7679</v>
      </c>
      <c r="DV20" t="s">
        <v>7679</v>
      </c>
      <c r="DW20" t="s">
        <v>7679</v>
      </c>
      <c r="DX20" t="s">
        <v>7683</v>
      </c>
      <c r="EF20" t="s">
        <v>7686</v>
      </c>
      <c r="ER20" t="s">
        <v>7687</v>
      </c>
      <c r="ES20" t="s">
        <v>7687</v>
      </c>
      <c r="ET20" t="s">
        <v>7688</v>
      </c>
      <c r="EU20" t="s">
        <v>7682</v>
      </c>
      <c r="EV20" t="s">
        <v>7689</v>
      </c>
      <c r="EY20" t="s">
        <v>7679</v>
      </c>
      <c r="FD20" t="s">
        <v>7679</v>
      </c>
      <c r="FI20" t="s">
        <v>7679</v>
      </c>
      <c r="FN20" t="s">
        <v>7679</v>
      </c>
      <c r="FS20" t="s">
        <v>7679</v>
      </c>
      <c r="FX20" t="s">
        <v>7679</v>
      </c>
      <c r="GC20" t="s">
        <v>7679</v>
      </c>
      <c r="GI20" t="s">
        <v>7679</v>
      </c>
      <c r="GL20" t="s">
        <v>7679</v>
      </c>
      <c r="GM20" t="s">
        <v>7679</v>
      </c>
      <c r="GN20" t="s">
        <v>7679</v>
      </c>
      <c r="GO20" t="s">
        <v>7679</v>
      </c>
      <c r="GP20" t="s">
        <v>7679</v>
      </c>
      <c r="GQ20" t="s">
        <v>7679</v>
      </c>
      <c r="GR20" t="s">
        <v>7679</v>
      </c>
      <c r="GS20" t="s">
        <v>7679</v>
      </c>
      <c r="GU20" t="s">
        <v>7690</v>
      </c>
      <c r="GW20" t="s">
        <v>7679</v>
      </c>
      <c r="GX20" t="s">
        <v>7679</v>
      </c>
      <c r="GY20" t="s">
        <v>7679</v>
      </c>
      <c r="GZ20" t="s">
        <v>7679</v>
      </c>
      <c r="HA20" t="s">
        <v>7679</v>
      </c>
      <c r="HB20" t="s">
        <v>7679</v>
      </c>
    </row>
    <row r="21" spans="1:210" x14ac:dyDescent="0.2">
      <c r="A21" t="str">
        <f>IF(Generierung!$D$4="Nach WdH - Start mit Rasse","C"&amp;IDX_P_WILD+1&amp;":C"&amp;IDX_P_WILD+16,"E"&amp;IDX_P_WILD+1&amp;":E"&amp;IDX_P_WILD+16)</f>
        <v>E22:E37</v>
      </c>
      <c r="E21" t="s">
        <v>7670</v>
      </c>
      <c r="G21">
        <f>ROW()</f>
        <v>21</v>
      </c>
      <c r="H21">
        <f t="shared" ref="H21:AM21" si="10">IF(COUNTIF(H22:H37,1)=0,"",1)</f>
        <v>1</v>
      </c>
      <c r="I21">
        <f t="shared" si="10"/>
        <v>1</v>
      </c>
      <c r="J21">
        <f t="shared" si="10"/>
        <v>1</v>
      </c>
      <c r="K21">
        <f t="shared" si="10"/>
        <v>1</v>
      </c>
      <c r="L21">
        <f t="shared" si="10"/>
        <v>1</v>
      </c>
      <c r="M21">
        <f t="shared" si="10"/>
        <v>1</v>
      </c>
      <c r="N21">
        <f t="shared" si="10"/>
        <v>1</v>
      </c>
      <c r="O21">
        <f t="shared" si="10"/>
        <v>1</v>
      </c>
      <c r="P21">
        <f t="shared" si="10"/>
        <v>1</v>
      </c>
      <c r="Q21">
        <f t="shared" si="10"/>
        <v>1</v>
      </c>
      <c r="R21">
        <f t="shared" si="10"/>
        <v>1</v>
      </c>
      <c r="S21">
        <f t="shared" si="10"/>
        <v>1</v>
      </c>
      <c r="T21">
        <f t="shared" si="10"/>
        <v>1</v>
      </c>
      <c r="U21">
        <f t="shared" si="10"/>
        <v>1</v>
      </c>
      <c r="V21">
        <f t="shared" si="10"/>
        <v>1</v>
      </c>
      <c r="W21">
        <f t="shared" si="10"/>
        <v>1</v>
      </c>
      <c r="X21">
        <f t="shared" si="10"/>
        <v>1</v>
      </c>
      <c r="Y21">
        <f t="shared" si="10"/>
        <v>1</v>
      </c>
      <c r="Z21">
        <f t="shared" si="10"/>
        <v>1</v>
      </c>
      <c r="AA21">
        <f t="shared" si="10"/>
        <v>1</v>
      </c>
      <c r="AB21">
        <f t="shared" si="10"/>
        <v>1</v>
      </c>
      <c r="AC21">
        <f t="shared" si="10"/>
        <v>1</v>
      </c>
      <c r="AD21">
        <f t="shared" si="10"/>
        <v>1</v>
      </c>
      <c r="AE21">
        <f t="shared" si="10"/>
        <v>1</v>
      </c>
      <c r="AF21">
        <f t="shared" si="10"/>
        <v>1</v>
      </c>
      <c r="AG21">
        <f t="shared" si="10"/>
        <v>1</v>
      </c>
      <c r="AH21">
        <f t="shared" si="10"/>
        <v>1</v>
      </c>
      <c r="AI21">
        <f t="shared" si="10"/>
        <v>1</v>
      </c>
      <c r="AJ21">
        <f t="shared" si="10"/>
        <v>1</v>
      </c>
      <c r="AK21">
        <f t="shared" si="10"/>
        <v>1</v>
      </c>
      <c r="AL21">
        <f t="shared" si="10"/>
        <v>1</v>
      </c>
      <c r="AM21">
        <f t="shared" si="10"/>
        <v>1</v>
      </c>
      <c r="AN21">
        <f t="shared" ref="AN21:BS21" si="11">IF(COUNTIF(AN22:AN37,1)=0,"",1)</f>
        <v>1</v>
      </c>
      <c r="AO21">
        <f t="shared" si="11"/>
        <v>1</v>
      </c>
      <c r="AP21">
        <f t="shared" si="11"/>
        <v>1</v>
      </c>
      <c r="AQ21">
        <f t="shared" si="11"/>
        <v>1</v>
      </c>
      <c r="AR21">
        <f t="shared" si="11"/>
        <v>1</v>
      </c>
      <c r="AS21">
        <f t="shared" si="11"/>
        <v>1</v>
      </c>
      <c r="AT21">
        <f t="shared" si="11"/>
        <v>1</v>
      </c>
      <c r="AU21">
        <f t="shared" si="11"/>
        <v>1</v>
      </c>
      <c r="AV21">
        <f t="shared" si="11"/>
        <v>1</v>
      </c>
      <c r="AW21">
        <f t="shared" si="11"/>
        <v>1</v>
      </c>
      <c r="AX21">
        <f t="shared" si="11"/>
        <v>1</v>
      </c>
      <c r="AY21">
        <f t="shared" si="11"/>
        <v>1</v>
      </c>
      <c r="AZ21">
        <f t="shared" si="11"/>
        <v>1</v>
      </c>
      <c r="BA21">
        <f t="shared" si="11"/>
        <v>1</v>
      </c>
      <c r="BB21">
        <f t="shared" si="11"/>
        <v>1</v>
      </c>
      <c r="BC21">
        <f t="shared" si="11"/>
        <v>1</v>
      </c>
      <c r="BD21">
        <f t="shared" si="11"/>
        <v>1</v>
      </c>
      <c r="BE21">
        <f t="shared" si="11"/>
        <v>1</v>
      </c>
      <c r="BF21">
        <f t="shared" si="11"/>
        <v>1</v>
      </c>
      <c r="BG21">
        <f t="shared" si="11"/>
        <v>1</v>
      </c>
      <c r="BH21">
        <f t="shared" si="11"/>
        <v>1</v>
      </c>
      <c r="BI21">
        <f t="shared" si="11"/>
        <v>1</v>
      </c>
      <c r="BJ21">
        <f t="shared" si="11"/>
        <v>1</v>
      </c>
      <c r="BK21">
        <f t="shared" si="11"/>
        <v>1</v>
      </c>
      <c r="BL21">
        <f t="shared" si="11"/>
        <v>1</v>
      </c>
      <c r="BM21">
        <f t="shared" si="11"/>
        <v>1</v>
      </c>
      <c r="BN21">
        <f t="shared" si="11"/>
        <v>1</v>
      </c>
      <c r="BO21">
        <f t="shared" si="11"/>
        <v>1</v>
      </c>
      <c r="BP21">
        <f t="shared" si="11"/>
        <v>1</v>
      </c>
      <c r="BQ21">
        <f t="shared" si="11"/>
        <v>1</v>
      </c>
      <c r="BR21">
        <f t="shared" si="11"/>
        <v>1</v>
      </c>
      <c r="BS21">
        <f t="shared" si="11"/>
        <v>1</v>
      </c>
      <c r="BT21">
        <f t="shared" ref="BT21:CZ21" si="12">IF(COUNTIF(BT22:BT37,1)=0,"",1)</f>
        <v>1</v>
      </c>
      <c r="BU21">
        <f t="shared" si="12"/>
        <v>1</v>
      </c>
      <c r="BV21">
        <f t="shared" si="12"/>
        <v>1</v>
      </c>
      <c r="BW21">
        <f t="shared" si="12"/>
        <v>1</v>
      </c>
      <c r="BX21">
        <f t="shared" si="12"/>
        <v>1</v>
      </c>
      <c r="BY21">
        <f t="shared" si="12"/>
        <v>1</v>
      </c>
      <c r="BZ21">
        <f t="shared" si="12"/>
        <v>1</v>
      </c>
      <c r="CA21">
        <f t="shared" si="12"/>
        <v>1</v>
      </c>
      <c r="CB21">
        <f t="shared" si="12"/>
        <v>1</v>
      </c>
      <c r="CC21">
        <f t="shared" si="12"/>
        <v>1</v>
      </c>
      <c r="CD21">
        <f t="shared" si="12"/>
        <v>1</v>
      </c>
      <c r="CE21">
        <f t="shared" si="12"/>
        <v>1</v>
      </c>
      <c r="CF21">
        <f t="shared" si="12"/>
        <v>1</v>
      </c>
      <c r="CG21">
        <v>1</v>
      </c>
      <c r="CH21">
        <f t="shared" si="12"/>
        <v>1</v>
      </c>
      <c r="CI21">
        <f t="shared" si="12"/>
        <v>1</v>
      </c>
      <c r="CJ21">
        <f t="shared" si="12"/>
        <v>1</v>
      </c>
      <c r="CK21">
        <f t="shared" si="12"/>
        <v>1</v>
      </c>
      <c r="CL21">
        <f t="shared" si="12"/>
        <v>1</v>
      </c>
      <c r="CM21">
        <f t="shared" si="12"/>
        <v>1</v>
      </c>
      <c r="CN21">
        <f t="shared" si="12"/>
        <v>1</v>
      </c>
      <c r="CO21">
        <f t="shared" si="12"/>
        <v>1</v>
      </c>
      <c r="CP21">
        <f t="shared" si="12"/>
        <v>1</v>
      </c>
      <c r="CQ21">
        <f t="shared" si="12"/>
        <v>1</v>
      </c>
      <c r="CR21">
        <f t="shared" si="12"/>
        <v>1</v>
      </c>
      <c r="CS21">
        <f t="shared" si="12"/>
        <v>1</v>
      </c>
      <c r="CT21">
        <f t="shared" si="12"/>
        <v>1</v>
      </c>
      <c r="CU21">
        <f t="shared" si="12"/>
        <v>1</v>
      </c>
      <c r="CV21">
        <f t="shared" si="12"/>
        <v>1</v>
      </c>
      <c r="CW21">
        <f t="shared" si="12"/>
        <v>1</v>
      </c>
      <c r="CX21">
        <f t="shared" si="12"/>
        <v>1</v>
      </c>
      <c r="CY21">
        <f t="shared" si="12"/>
        <v>1</v>
      </c>
      <c r="CZ21">
        <f t="shared" si="12"/>
        <v>1</v>
      </c>
      <c r="DA21">
        <f t="shared" ref="DA21:DZ21" si="13">IF(COUNTIF(DA22:DA37,1)=0,"",1)</f>
        <v>1</v>
      </c>
      <c r="DB21">
        <f t="shared" si="13"/>
        <v>1</v>
      </c>
      <c r="DC21">
        <f t="shared" si="13"/>
        <v>1</v>
      </c>
      <c r="DD21">
        <f t="shared" si="13"/>
        <v>1</v>
      </c>
      <c r="DE21">
        <f t="shared" si="13"/>
        <v>1</v>
      </c>
      <c r="DF21">
        <f t="shared" si="13"/>
        <v>1</v>
      </c>
      <c r="DG21">
        <f t="shared" si="13"/>
        <v>1</v>
      </c>
      <c r="DH21">
        <f t="shared" si="13"/>
        <v>1</v>
      </c>
      <c r="DI21">
        <v>1</v>
      </c>
      <c r="DJ21">
        <v>1</v>
      </c>
      <c r="DK21">
        <v>1</v>
      </c>
      <c r="DL21">
        <v>1</v>
      </c>
      <c r="DM21">
        <v>1</v>
      </c>
      <c r="DN21">
        <v>1</v>
      </c>
      <c r="DO21">
        <f t="shared" si="13"/>
        <v>1</v>
      </c>
      <c r="DP21">
        <f t="shared" si="13"/>
        <v>1</v>
      </c>
      <c r="DQ21">
        <f t="shared" si="13"/>
        <v>1</v>
      </c>
      <c r="DR21">
        <f t="shared" si="13"/>
        <v>1</v>
      </c>
      <c r="DS21">
        <f t="shared" si="13"/>
        <v>1</v>
      </c>
      <c r="DT21">
        <f t="shared" si="13"/>
        <v>1</v>
      </c>
      <c r="DU21">
        <f t="shared" si="13"/>
        <v>1</v>
      </c>
      <c r="DV21">
        <f t="shared" si="13"/>
        <v>1</v>
      </c>
      <c r="DW21">
        <f t="shared" si="13"/>
        <v>1</v>
      </c>
      <c r="DX21">
        <f t="shared" si="13"/>
        <v>1</v>
      </c>
      <c r="DY21">
        <f t="shared" si="13"/>
        <v>1</v>
      </c>
      <c r="DZ21">
        <f t="shared" si="13"/>
        <v>1</v>
      </c>
      <c r="EA21" t="str">
        <f t="shared" ref="EA21:EM21" si="14">IF(COUNTIF(EA22:EA37,1)=0,"",1)</f>
        <v/>
      </c>
      <c r="EB21" t="str">
        <f t="shared" si="14"/>
        <v/>
      </c>
      <c r="EC21" t="str">
        <f t="shared" si="14"/>
        <v/>
      </c>
      <c r="ED21">
        <f t="shared" si="14"/>
        <v>1</v>
      </c>
      <c r="EE21">
        <f t="shared" si="14"/>
        <v>1</v>
      </c>
      <c r="EF21">
        <f t="shared" si="14"/>
        <v>1</v>
      </c>
      <c r="EG21">
        <f t="shared" si="14"/>
        <v>1</v>
      </c>
      <c r="EH21">
        <f t="shared" si="14"/>
        <v>1</v>
      </c>
      <c r="EI21">
        <f t="shared" si="14"/>
        <v>1</v>
      </c>
      <c r="EJ21">
        <f t="shared" si="14"/>
        <v>1</v>
      </c>
      <c r="EK21">
        <f t="shared" si="14"/>
        <v>1</v>
      </c>
      <c r="EL21" t="str">
        <f t="shared" si="14"/>
        <v/>
      </c>
      <c r="EM21" t="str">
        <f t="shared" si="14"/>
        <v/>
      </c>
      <c r="EN21" t="str">
        <f t="shared" ref="EN21:GZ21" si="15">IF(COUNTIF(EN22:EN37,1)=0,"",1)</f>
        <v/>
      </c>
      <c r="EO21" t="str">
        <f t="shared" si="15"/>
        <v/>
      </c>
      <c r="EP21" t="str">
        <f t="shared" ref="EP21" si="16">IF(COUNTIF(EP22:EP37,1)=0,"",1)</f>
        <v/>
      </c>
      <c r="EQ21" t="str">
        <f t="shared" si="15"/>
        <v/>
      </c>
      <c r="ER21">
        <f t="shared" si="15"/>
        <v>1</v>
      </c>
      <c r="ES21">
        <f t="shared" si="15"/>
        <v>1</v>
      </c>
      <c r="ET21">
        <f t="shared" si="15"/>
        <v>1</v>
      </c>
      <c r="EU21">
        <f t="shared" si="15"/>
        <v>1</v>
      </c>
      <c r="EV21">
        <f t="shared" si="15"/>
        <v>1</v>
      </c>
      <c r="EW21" t="str">
        <f t="shared" si="15"/>
        <v/>
      </c>
      <c r="EX21">
        <f t="shared" si="15"/>
        <v>1</v>
      </c>
      <c r="EY21" t="str">
        <f t="shared" si="15"/>
        <v/>
      </c>
      <c r="EZ21">
        <f t="shared" si="15"/>
        <v>1</v>
      </c>
      <c r="FA21" t="str">
        <f t="shared" si="15"/>
        <v/>
      </c>
      <c r="FB21" t="str">
        <f t="shared" si="15"/>
        <v/>
      </c>
      <c r="FC21">
        <f t="shared" si="15"/>
        <v>1</v>
      </c>
      <c r="FD21" t="str">
        <f t="shared" si="15"/>
        <v/>
      </c>
      <c r="FE21">
        <f t="shared" si="15"/>
        <v>1</v>
      </c>
      <c r="FF21" t="str">
        <f t="shared" si="15"/>
        <v/>
      </c>
      <c r="FG21" t="str">
        <f t="shared" si="15"/>
        <v/>
      </c>
      <c r="FH21">
        <f t="shared" si="15"/>
        <v>1</v>
      </c>
      <c r="FI21" t="str">
        <f t="shared" si="15"/>
        <v/>
      </c>
      <c r="FJ21">
        <f t="shared" si="15"/>
        <v>1</v>
      </c>
      <c r="FK21" t="str">
        <f t="shared" si="15"/>
        <v/>
      </c>
      <c r="FL21" t="str">
        <f t="shared" si="15"/>
        <v/>
      </c>
      <c r="FM21">
        <f t="shared" si="15"/>
        <v>1</v>
      </c>
      <c r="FN21" t="str">
        <f t="shared" si="15"/>
        <v/>
      </c>
      <c r="FO21">
        <f t="shared" si="15"/>
        <v>1</v>
      </c>
      <c r="FP21" t="str">
        <f t="shared" si="15"/>
        <v/>
      </c>
      <c r="FQ21" t="str">
        <f t="shared" si="15"/>
        <v/>
      </c>
      <c r="FR21">
        <f t="shared" si="15"/>
        <v>1</v>
      </c>
      <c r="FS21" t="str">
        <f t="shared" si="15"/>
        <v/>
      </c>
      <c r="FT21">
        <f t="shared" si="15"/>
        <v>1</v>
      </c>
      <c r="FU21" t="str">
        <f t="shared" si="15"/>
        <v/>
      </c>
      <c r="FV21" t="str">
        <f t="shared" si="15"/>
        <v/>
      </c>
      <c r="FW21">
        <f t="shared" si="15"/>
        <v>1</v>
      </c>
      <c r="FX21">
        <f t="shared" si="15"/>
        <v>1</v>
      </c>
      <c r="FY21">
        <f t="shared" si="15"/>
        <v>1</v>
      </c>
      <c r="FZ21" t="str">
        <f t="shared" si="15"/>
        <v/>
      </c>
      <c r="GA21" t="str">
        <f t="shared" si="15"/>
        <v/>
      </c>
      <c r="GB21">
        <f t="shared" si="15"/>
        <v>1</v>
      </c>
      <c r="GC21" t="str">
        <f t="shared" si="15"/>
        <v/>
      </c>
      <c r="GD21">
        <f t="shared" si="15"/>
        <v>1</v>
      </c>
      <c r="GE21" t="str">
        <f t="shared" si="15"/>
        <v/>
      </c>
      <c r="GF21">
        <f t="shared" si="15"/>
        <v>1</v>
      </c>
      <c r="GG21" t="str">
        <f t="shared" si="15"/>
        <v/>
      </c>
      <c r="GH21">
        <f t="shared" si="15"/>
        <v>1</v>
      </c>
      <c r="GI21">
        <f t="shared" si="15"/>
        <v>1</v>
      </c>
      <c r="GJ21">
        <f t="shared" si="15"/>
        <v>1</v>
      </c>
      <c r="GK21" t="str">
        <f t="shared" si="15"/>
        <v/>
      </c>
      <c r="GL21">
        <f t="shared" si="15"/>
        <v>1</v>
      </c>
      <c r="GM21">
        <f t="shared" si="15"/>
        <v>1</v>
      </c>
      <c r="GN21">
        <f t="shared" si="15"/>
        <v>1</v>
      </c>
      <c r="GO21">
        <f t="shared" si="15"/>
        <v>1</v>
      </c>
      <c r="GP21">
        <f t="shared" si="15"/>
        <v>1</v>
      </c>
      <c r="GQ21">
        <f t="shared" si="15"/>
        <v>1</v>
      </c>
      <c r="GR21">
        <f t="shared" si="15"/>
        <v>1</v>
      </c>
      <c r="GS21">
        <f t="shared" si="15"/>
        <v>1</v>
      </c>
      <c r="GT21">
        <f t="shared" si="15"/>
        <v>1</v>
      </c>
      <c r="GU21">
        <f t="shared" si="15"/>
        <v>1</v>
      </c>
      <c r="GV21">
        <f t="shared" si="15"/>
        <v>1</v>
      </c>
      <c r="GW21">
        <f t="shared" si="15"/>
        <v>1</v>
      </c>
      <c r="GX21">
        <f t="shared" si="15"/>
        <v>1</v>
      </c>
      <c r="GY21">
        <f t="shared" si="15"/>
        <v>1</v>
      </c>
      <c r="GZ21">
        <f t="shared" si="15"/>
        <v>1</v>
      </c>
      <c r="HA21">
        <f>IF(COUNTIF(HA22:HA37,1)=0,"",1)</f>
        <v>1</v>
      </c>
      <c r="HB21">
        <f>IF(COUNTIF(HB22:HB37,1)=0,"",1)</f>
        <v>1</v>
      </c>
    </row>
    <row r="22" spans="1:210" x14ac:dyDescent="0.2">
      <c r="A22" t="str">
        <f t="array" aca="1" ref="A22" ca="1">IF(ROWS(A$1:A1)&lt;=COUNTIF(INDIRECT($A$21),"?*"),INDEX(INDIRECT($A$21),MATCH(SMALL(IF(INDIRECT($A$21)&lt;&gt;"",COUNTIF(INDIRECT($A$21),"&lt;"&amp;INDIRECT($A$21))),ROWS(A$1:A1)),IF(INDIRECT($A$21)&lt;&gt;"",COUNTIF(INDIRECT($A$21),"&lt;"&amp;INDIRECT($A$21))),0)),"")</f>
        <v>Botenreiter</v>
      </c>
      <c r="C22" t="str">
        <f t="shared" ref="C22:C37" si="17">IF(OR(ISBLANK(KULTURGENE),KULTURGENE="LEER"),"",IF(HLOOKUP(KULTURGENE,LIST_K_G,ROW(),FALSE)&gt;0,E22,""))</f>
        <v/>
      </c>
      <c r="E22" t="s">
        <v>632</v>
      </c>
      <c r="F22" t="s">
        <v>921</v>
      </c>
      <c r="P22">
        <v>1</v>
      </c>
      <c r="Q22">
        <v>1</v>
      </c>
      <c r="R22">
        <v>1</v>
      </c>
      <c r="S22">
        <v>1</v>
      </c>
      <c r="T22">
        <v>1</v>
      </c>
      <c r="U22">
        <v>1</v>
      </c>
      <c r="V22">
        <v>1</v>
      </c>
      <c r="W22">
        <v>1</v>
      </c>
      <c r="X22">
        <v>1</v>
      </c>
      <c r="Y22">
        <v>1</v>
      </c>
      <c r="Z22">
        <v>1</v>
      </c>
      <c r="AA22">
        <v>1</v>
      </c>
      <c r="AB22">
        <v>1</v>
      </c>
      <c r="AC22">
        <v>1</v>
      </c>
      <c r="AD22">
        <v>1</v>
      </c>
      <c r="AE22">
        <v>1</v>
      </c>
      <c r="AF22">
        <v>1</v>
      </c>
      <c r="AG22">
        <v>1</v>
      </c>
      <c r="AN22">
        <v>1</v>
      </c>
      <c r="AZ22">
        <v>1</v>
      </c>
      <c r="BA22">
        <v>1</v>
      </c>
      <c r="BB22">
        <v>1</v>
      </c>
      <c r="BC22">
        <v>1</v>
      </c>
      <c r="BD22">
        <v>1</v>
      </c>
      <c r="BE22">
        <v>1</v>
      </c>
      <c r="BF22">
        <v>1</v>
      </c>
      <c r="BG22">
        <v>1</v>
      </c>
      <c r="BH22">
        <v>1</v>
      </c>
      <c r="BI22">
        <v>1</v>
      </c>
      <c r="BJ22">
        <v>1</v>
      </c>
      <c r="BK22">
        <v>1</v>
      </c>
      <c r="BL22">
        <v>1</v>
      </c>
      <c r="BN22">
        <v>1</v>
      </c>
      <c r="BO22">
        <v>1</v>
      </c>
      <c r="BP22">
        <v>1</v>
      </c>
      <c r="BQ22">
        <v>1</v>
      </c>
      <c r="BR22">
        <v>1</v>
      </c>
      <c r="BS22">
        <v>1</v>
      </c>
      <c r="BT22">
        <v>1</v>
      </c>
      <c r="BU22">
        <v>1</v>
      </c>
      <c r="BV22">
        <v>1</v>
      </c>
      <c r="BW22">
        <v>1</v>
      </c>
      <c r="BX22">
        <v>1</v>
      </c>
      <c r="BY22">
        <v>1</v>
      </c>
      <c r="BZ22">
        <v>1</v>
      </c>
      <c r="CA22">
        <v>1</v>
      </c>
      <c r="CB22">
        <v>1</v>
      </c>
      <c r="CC22">
        <v>1</v>
      </c>
      <c r="CN22">
        <v>1</v>
      </c>
      <c r="CO22">
        <v>1</v>
      </c>
      <c r="CP22">
        <v>1</v>
      </c>
      <c r="CQ22">
        <v>1</v>
      </c>
      <c r="CR22">
        <v>1</v>
      </c>
      <c r="CS22">
        <v>1</v>
      </c>
      <c r="CT22">
        <v>1</v>
      </c>
      <c r="CU22">
        <v>1</v>
      </c>
      <c r="CV22">
        <v>1</v>
      </c>
      <c r="CW22">
        <v>1</v>
      </c>
      <c r="CX22">
        <v>1</v>
      </c>
      <c r="CY22">
        <v>1</v>
      </c>
      <c r="CZ22">
        <v>1</v>
      </c>
      <c r="DA22">
        <v>1</v>
      </c>
      <c r="DB22">
        <v>1</v>
      </c>
      <c r="DC22">
        <v>1</v>
      </c>
      <c r="DD22">
        <v>1</v>
      </c>
      <c r="DE22">
        <v>1</v>
      </c>
      <c r="DF22">
        <v>1</v>
      </c>
      <c r="DQ22">
        <v>1</v>
      </c>
      <c r="DR22">
        <v>1</v>
      </c>
      <c r="DS22">
        <v>1</v>
      </c>
      <c r="DY22">
        <v>1</v>
      </c>
      <c r="DZ22">
        <v>1</v>
      </c>
      <c r="ED22">
        <v>1</v>
      </c>
      <c r="EE22">
        <v>1</v>
      </c>
      <c r="EF22">
        <v>1</v>
      </c>
      <c r="EI22">
        <v>1</v>
      </c>
      <c r="EJ22">
        <v>1</v>
      </c>
      <c r="EK22">
        <v>1</v>
      </c>
    </row>
    <row r="23" spans="1:210" x14ac:dyDescent="0.2">
      <c r="A23" t="str">
        <f t="array" aca="1" ref="A23" ca="1">IF(ROWS(A$1:A2)&lt;=COUNTIF(INDIRECT($A$21),"?*"),INDEX(INDIRECT($A$21),MATCH(SMALL(IF(INDIRECT($A$21)&lt;&gt;"",COUNTIF(INDIRECT($A$21),"&lt;"&amp;INDIRECT($A$21))),ROWS(A$1:A2)),IF(INDIRECT($A$21)&lt;&gt;"",COUNTIF(INDIRECT($A$21),"&lt;"&amp;INDIRECT($A$21))),0)),"")</f>
        <v>Entdecker</v>
      </c>
      <c r="C23" t="str">
        <f t="shared" si="17"/>
        <v/>
      </c>
      <c r="E23" t="s">
        <v>635</v>
      </c>
      <c r="F23" t="s">
        <v>1882</v>
      </c>
      <c r="H23">
        <v>1</v>
      </c>
      <c r="I23">
        <v>1</v>
      </c>
      <c r="J23">
        <v>1</v>
      </c>
      <c r="K23">
        <v>1</v>
      </c>
      <c r="L23">
        <v>1</v>
      </c>
      <c r="M23">
        <v>1</v>
      </c>
      <c r="N23">
        <v>1</v>
      </c>
      <c r="P23">
        <v>1</v>
      </c>
      <c r="Q23">
        <v>1</v>
      </c>
      <c r="R23">
        <v>1</v>
      </c>
      <c r="S23">
        <v>1</v>
      </c>
      <c r="T23">
        <v>1</v>
      </c>
      <c r="U23">
        <v>1</v>
      </c>
      <c r="V23">
        <v>1</v>
      </c>
      <c r="W23">
        <v>1</v>
      </c>
      <c r="X23">
        <v>1</v>
      </c>
      <c r="Y23">
        <v>1</v>
      </c>
      <c r="Z23">
        <v>1</v>
      </c>
      <c r="AA23">
        <v>1</v>
      </c>
      <c r="AB23">
        <v>1</v>
      </c>
      <c r="AC23">
        <v>1</v>
      </c>
      <c r="AD23">
        <v>1</v>
      </c>
      <c r="AE23">
        <v>1</v>
      </c>
      <c r="AF23">
        <v>1</v>
      </c>
      <c r="AG23">
        <v>1</v>
      </c>
      <c r="AQ23">
        <v>1</v>
      </c>
      <c r="AR23">
        <v>1</v>
      </c>
      <c r="AS23">
        <v>1</v>
      </c>
      <c r="AT23">
        <v>1</v>
      </c>
      <c r="AU23">
        <v>1</v>
      </c>
      <c r="AV23">
        <v>1</v>
      </c>
      <c r="AW23">
        <v>1</v>
      </c>
      <c r="AX23">
        <v>1</v>
      </c>
      <c r="AY23">
        <v>1</v>
      </c>
      <c r="AZ23">
        <v>1</v>
      </c>
      <c r="BA23">
        <v>1</v>
      </c>
      <c r="BB23">
        <v>1</v>
      </c>
      <c r="BC23">
        <v>1</v>
      </c>
      <c r="BD23">
        <v>1</v>
      </c>
      <c r="BE23">
        <v>1</v>
      </c>
      <c r="BF23">
        <v>1</v>
      </c>
      <c r="BG23">
        <v>1</v>
      </c>
      <c r="BH23">
        <v>1</v>
      </c>
      <c r="BI23">
        <v>1</v>
      </c>
      <c r="BJ23">
        <v>1</v>
      </c>
      <c r="BK23">
        <v>1</v>
      </c>
      <c r="BL23">
        <v>1</v>
      </c>
      <c r="BN23">
        <v>1</v>
      </c>
      <c r="BO23">
        <v>1</v>
      </c>
      <c r="BP23">
        <v>1</v>
      </c>
      <c r="BQ23">
        <v>1</v>
      </c>
      <c r="BR23">
        <v>1</v>
      </c>
      <c r="BS23">
        <v>1</v>
      </c>
      <c r="BT23">
        <v>1</v>
      </c>
      <c r="BU23">
        <v>1</v>
      </c>
      <c r="BV23">
        <v>1</v>
      </c>
      <c r="BW23">
        <v>1</v>
      </c>
      <c r="BX23">
        <v>1</v>
      </c>
      <c r="BY23">
        <v>1</v>
      </c>
      <c r="BZ23">
        <v>1</v>
      </c>
      <c r="CA23">
        <v>1</v>
      </c>
      <c r="CB23">
        <v>1</v>
      </c>
      <c r="CC23">
        <v>1</v>
      </c>
      <c r="CF23">
        <v>1</v>
      </c>
      <c r="CG23">
        <v>1</v>
      </c>
      <c r="CH23">
        <v>1</v>
      </c>
      <c r="CI23">
        <v>1</v>
      </c>
      <c r="CJ23">
        <v>1</v>
      </c>
      <c r="CK23">
        <v>1</v>
      </c>
      <c r="CN23">
        <v>1</v>
      </c>
      <c r="CO23">
        <v>1</v>
      </c>
      <c r="CP23">
        <v>1</v>
      </c>
      <c r="CQ23">
        <v>1</v>
      </c>
      <c r="CR23">
        <v>1</v>
      </c>
      <c r="CS23">
        <v>1</v>
      </c>
      <c r="CT23">
        <v>1</v>
      </c>
      <c r="CU23">
        <v>1</v>
      </c>
      <c r="CV23">
        <v>1</v>
      </c>
      <c r="CW23">
        <v>1</v>
      </c>
      <c r="CX23">
        <v>1</v>
      </c>
      <c r="CY23">
        <v>1</v>
      </c>
      <c r="CZ23">
        <v>1</v>
      </c>
      <c r="DA23">
        <v>1</v>
      </c>
      <c r="DB23">
        <v>1</v>
      </c>
      <c r="DC23">
        <v>1</v>
      </c>
      <c r="DD23">
        <v>1</v>
      </c>
      <c r="DE23">
        <v>1</v>
      </c>
      <c r="DF23">
        <v>1</v>
      </c>
      <c r="DG23">
        <v>1</v>
      </c>
      <c r="DH23">
        <v>1</v>
      </c>
      <c r="DI23">
        <v>1</v>
      </c>
      <c r="DJ23">
        <v>1</v>
      </c>
      <c r="DK23">
        <v>1</v>
      </c>
      <c r="DL23">
        <v>1</v>
      </c>
      <c r="DM23">
        <v>1</v>
      </c>
      <c r="DN23">
        <v>1</v>
      </c>
      <c r="DQ23">
        <v>1</v>
      </c>
      <c r="DR23">
        <v>1</v>
      </c>
      <c r="DS23">
        <v>1</v>
      </c>
      <c r="DY23">
        <v>1</v>
      </c>
      <c r="DZ23">
        <v>1</v>
      </c>
      <c r="ET23">
        <v>1</v>
      </c>
      <c r="EU23">
        <v>1</v>
      </c>
    </row>
    <row r="24" spans="1:210" x14ac:dyDescent="0.2">
      <c r="A24" t="str">
        <f t="array" aca="1" ref="A24" ca="1">IF(ROWS(A$1:A3)&lt;=COUNTIF(INDIRECT($A$21),"?*"),INDEX(INDIRECT($A$21),MATCH(SMALL(IF(INDIRECT($A$21)&lt;&gt;"",COUNTIF(INDIRECT($A$21),"&lt;"&amp;INDIRECT($A$21))),ROWS(A$1:A3)),IF(INDIRECT($A$21)&lt;&gt;"",COUNTIF(INDIRECT($A$21),"&lt;"&amp;INDIRECT($A$21))),0)),"")</f>
        <v>Fernhändler</v>
      </c>
      <c r="C24" t="str">
        <f t="shared" si="17"/>
        <v/>
      </c>
      <c r="E24" t="s">
        <v>637</v>
      </c>
      <c r="F24" t="s">
        <v>922</v>
      </c>
      <c r="H24">
        <v>1</v>
      </c>
      <c r="I24">
        <v>1</v>
      </c>
      <c r="J24">
        <v>1</v>
      </c>
      <c r="K24">
        <v>1</v>
      </c>
      <c r="L24">
        <v>1</v>
      </c>
      <c r="M24">
        <v>1</v>
      </c>
      <c r="N24">
        <v>1</v>
      </c>
      <c r="P24">
        <v>1</v>
      </c>
      <c r="Q24">
        <v>1</v>
      </c>
      <c r="R24">
        <v>1</v>
      </c>
      <c r="S24">
        <v>1</v>
      </c>
      <c r="T24">
        <v>1</v>
      </c>
      <c r="U24">
        <v>1</v>
      </c>
      <c r="V24">
        <v>1</v>
      </c>
      <c r="W24">
        <v>1</v>
      </c>
      <c r="X24">
        <v>1</v>
      </c>
      <c r="Y24">
        <v>1</v>
      </c>
      <c r="Z24">
        <v>1</v>
      </c>
      <c r="AA24">
        <v>1</v>
      </c>
      <c r="AB24">
        <v>1</v>
      </c>
      <c r="AC24">
        <v>1</v>
      </c>
      <c r="AD24">
        <v>1</v>
      </c>
      <c r="AE24">
        <v>1</v>
      </c>
      <c r="AF24">
        <v>1</v>
      </c>
      <c r="AG24">
        <v>1</v>
      </c>
      <c r="AQ24">
        <v>1</v>
      </c>
      <c r="AR24">
        <v>1</v>
      </c>
      <c r="AS24">
        <v>1</v>
      </c>
      <c r="AT24">
        <v>1</v>
      </c>
      <c r="AU24">
        <v>1</v>
      </c>
      <c r="AV24">
        <v>1</v>
      </c>
      <c r="AW24">
        <v>1</v>
      </c>
      <c r="AX24">
        <v>1</v>
      </c>
      <c r="AY24">
        <v>1</v>
      </c>
      <c r="AZ24">
        <v>1</v>
      </c>
      <c r="BA24">
        <v>1</v>
      </c>
      <c r="BB24">
        <v>1</v>
      </c>
      <c r="BC24">
        <v>1</v>
      </c>
      <c r="BD24">
        <v>1</v>
      </c>
      <c r="BE24">
        <v>1</v>
      </c>
      <c r="BF24">
        <v>1</v>
      </c>
      <c r="BG24">
        <v>1</v>
      </c>
      <c r="BH24">
        <v>1</v>
      </c>
      <c r="BI24">
        <v>1</v>
      </c>
      <c r="BJ24">
        <v>1</v>
      </c>
      <c r="BK24">
        <v>1</v>
      </c>
      <c r="BL24">
        <v>1</v>
      </c>
      <c r="BN24">
        <v>1</v>
      </c>
      <c r="BO24">
        <v>1</v>
      </c>
      <c r="BP24">
        <v>1</v>
      </c>
      <c r="BQ24">
        <v>1</v>
      </c>
      <c r="BR24">
        <v>1</v>
      </c>
      <c r="BS24">
        <v>1</v>
      </c>
      <c r="BT24">
        <v>1</v>
      </c>
      <c r="BU24">
        <v>1</v>
      </c>
      <c r="BV24">
        <v>1</v>
      </c>
      <c r="BW24">
        <v>1</v>
      </c>
      <c r="BX24">
        <v>1</v>
      </c>
      <c r="BY24">
        <v>1</v>
      </c>
      <c r="BZ24">
        <v>1</v>
      </c>
      <c r="CA24">
        <v>1</v>
      </c>
      <c r="CB24">
        <v>1</v>
      </c>
      <c r="CC24">
        <v>1</v>
      </c>
      <c r="CF24">
        <v>1</v>
      </c>
      <c r="CG24">
        <v>1</v>
      </c>
      <c r="CH24">
        <v>1</v>
      </c>
      <c r="CI24">
        <v>1</v>
      </c>
      <c r="CJ24">
        <v>1</v>
      </c>
      <c r="CK24">
        <v>1</v>
      </c>
      <c r="CN24">
        <v>1</v>
      </c>
      <c r="CO24">
        <v>1</v>
      </c>
      <c r="CP24">
        <v>1</v>
      </c>
      <c r="CQ24">
        <v>1</v>
      </c>
      <c r="CR24">
        <v>1</v>
      </c>
      <c r="CS24">
        <v>1</v>
      </c>
      <c r="CT24">
        <v>1</v>
      </c>
      <c r="CU24">
        <v>1</v>
      </c>
      <c r="CV24">
        <v>1</v>
      </c>
      <c r="CW24">
        <v>1</v>
      </c>
      <c r="CX24">
        <v>1</v>
      </c>
      <c r="CY24">
        <v>1</v>
      </c>
      <c r="CZ24">
        <v>1</v>
      </c>
      <c r="DA24">
        <v>1</v>
      </c>
      <c r="DB24">
        <v>1</v>
      </c>
      <c r="DC24">
        <v>1</v>
      </c>
      <c r="DD24">
        <v>1</v>
      </c>
      <c r="DE24">
        <v>1</v>
      </c>
      <c r="DF24">
        <v>1</v>
      </c>
      <c r="DG24">
        <v>1</v>
      </c>
      <c r="DH24">
        <v>1</v>
      </c>
      <c r="DI24">
        <v>1</v>
      </c>
      <c r="DJ24">
        <v>1</v>
      </c>
      <c r="DK24">
        <v>1</v>
      </c>
      <c r="DL24">
        <v>1</v>
      </c>
      <c r="DM24">
        <v>1</v>
      </c>
      <c r="DN24">
        <v>1</v>
      </c>
      <c r="DQ24">
        <v>1</v>
      </c>
      <c r="DR24">
        <v>1</v>
      </c>
      <c r="DS24">
        <v>1</v>
      </c>
      <c r="DX24">
        <v>1</v>
      </c>
      <c r="DY24">
        <v>1</v>
      </c>
      <c r="DZ24">
        <v>1</v>
      </c>
      <c r="ES24">
        <v>1</v>
      </c>
      <c r="ET24">
        <v>1</v>
      </c>
      <c r="EU24">
        <v>1</v>
      </c>
    </row>
    <row r="25" spans="1:210" x14ac:dyDescent="0.2">
      <c r="A25" t="str">
        <f t="array" aca="1" ref="A25" ca="1">IF(ROWS(A$1:A4)&lt;=COUNTIF(INDIRECT($A$21),"?*"),INDEX(INDIRECT($A$21),MATCH(SMALL(IF(INDIRECT($A$21)&lt;&gt;"",COUNTIF(INDIRECT($A$21),"&lt;"&amp;INDIRECT($A$21))),ROWS(A$1:A4)),IF(INDIRECT($A$21)&lt;&gt;"",COUNTIF(INDIRECT($A$21),"&lt;"&amp;INDIRECT($A$21))),0)),"")</f>
        <v>Fischer</v>
      </c>
      <c r="C25" t="str">
        <f t="shared" si="17"/>
        <v/>
      </c>
      <c r="E25" t="s">
        <v>638</v>
      </c>
      <c r="F25" t="s">
        <v>923</v>
      </c>
      <c r="H25">
        <v>1</v>
      </c>
      <c r="I25">
        <v>1</v>
      </c>
      <c r="J25">
        <v>1</v>
      </c>
      <c r="K25">
        <v>1</v>
      </c>
      <c r="L25">
        <v>1</v>
      </c>
      <c r="M25">
        <v>1</v>
      </c>
      <c r="N25">
        <v>1</v>
      </c>
      <c r="P25">
        <v>1</v>
      </c>
      <c r="Q25">
        <v>1</v>
      </c>
      <c r="R25">
        <v>1</v>
      </c>
      <c r="S25">
        <v>1</v>
      </c>
      <c r="T25">
        <v>1</v>
      </c>
      <c r="U25">
        <v>1</v>
      </c>
      <c r="V25">
        <v>1</v>
      </c>
      <c r="W25">
        <v>1</v>
      </c>
      <c r="X25">
        <v>1</v>
      </c>
      <c r="Y25">
        <v>1</v>
      </c>
      <c r="Z25">
        <v>1</v>
      </c>
      <c r="AA25">
        <v>1</v>
      </c>
      <c r="AB25">
        <v>1</v>
      </c>
      <c r="AC25">
        <v>1</v>
      </c>
      <c r="AD25">
        <v>1</v>
      </c>
      <c r="AE25">
        <v>1</v>
      </c>
      <c r="AF25">
        <v>1</v>
      </c>
      <c r="AG25">
        <v>1</v>
      </c>
      <c r="AH25">
        <v>1</v>
      </c>
      <c r="AJ25">
        <v>1</v>
      </c>
      <c r="AK25">
        <v>1</v>
      </c>
      <c r="AL25">
        <v>1</v>
      </c>
      <c r="AM25">
        <v>1</v>
      </c>
      <c r="AP25">
        <v>1</v>
      </c>
      <c r="AQ25">
        <v>1</v>
      </c>
      <c r="AR25">
        <v>1</v>
      </c>
      <c r="AS25">
        <v>1</v>
      </c>
      <c r="AT25">
        <v>1</v>
      </c>
      <c r="AU25">
        <v>1</v>
      </c>
      <c r="AV25">
        <v>1</v>
      </c>
      <c r="AW25">
        <v>1</v>
      </c>
      <c r="AX25">
        <v>1</v>
      </c>
      <c r="AY25">
        <v>1</v>
      </c>
      <c r="AZ25">
        <v>1</v>
      </c>
      <c r="BA25">
        <v>1</v>
      </c>
      <c r="BB25">
        <v>1</v>
      </c>
      <c r="BC25">
        <v>1</v>
      </c>
      <c r="BD25">
        <v>1</v>
      </c>
      <c r="BE25">
        <v>1</v>
      </c>
      <c r="BF25">
        <v>1</v>
      </c>
      <c r="BG25">
        <v>1</v>
      </c>
      <c r="BH25">
        <v>1</v>
      </c>
      <c r="BI25">
        <v>1</v>
      </c>
      <c r="BJ25">
        <v>1</v>
      </c>
      <c r="BK25">
        <v>1</v>
      </c>
      <c r="BL25">
        <v>1</v>
      </c>
      <c r="BM25">
        <v>1</v>
      </c>
      <c r="BN25">
        <v>1</v>
      </c>
      <c r="BO25">
        <v>1</v>
      </c>
      <c r="BP25">
        <v>1</v>
      </c>
      <c r="BQ25">
        <v>1</v>
      </c>
      <c r="BR25">
        <v>1</v>
      </c>
      <c r="BS25">
        <v>1</v>
      </c>
      <c r="BT25">
        <v>1</v>
      </c>
      <c r="BU25">
        <v>1</v>
      </c>
      <c r="BV25">
        <v>1</v>
      </c>
      <c r="BW25">
        <v>1</v>
      </c>
      <c r="BX25">
        <v>1</v>
      </c>
      <c r="BY25">
        <v>1</v>
      </c>
      <c r="BZ25">
        <v>1</v>
      </c>
      <c r="CA25">
        <v>1</v>
      </c>
      <c r="CB25">
        <v>1</v>
      </c>
      <c r="CC25">
        <v>1</v>
      </c>
      <c r="CD25">
        <v>1</v>
      </c>
      <c r="CE25">
        <v>1</v>
      </c>
      <c r="CG25">
        <v>1</v>
      </c>
      <c r="CN25">
        <v>1</v>
      </c>
      <c r="CO25">
        <v>1</v>
      </c>
      <c r="CP25">
        <v>1</v>
      </c>
      <c r="CQ25">
        <v>1</v>
      </c>
      <c r="CR25">
        <v>1</v>
      </c>
      <c r="CS25">
        <v>1</v>
      </c>
      <c r="CT25">
        <v>1</v>
      </c>
      <c r="CU25">
        <v>1</v>
      </c>
      <c r="CV25">
        <v>1</v>
      </c>
      <c r="CW25">
        <v>1</v>
      </c>
      <c r="CX25">
        <v>1</v>
      </c>
      <c r="CY25">
        <v>1</v>
      </c>
      <c r="CZ25">
        <v>1</v>
      </c>
      <c r="DA25">
        <v>1</v>
      </c>
      <c r="DB25">
        <v>1</v>
      </c>
      <c r="DC25">
        <v>1</v>
      </c>
      <c r="DD25">
        <v>1</v>
      </c>
      <c r="DE25">
        <v>1</v>
      </c>
      <c r="DF25">
        <v>1</v>
      </c>
      <c r="DG25">
        <v>1</v>
      </c>
      <c r="DH25">
        <v>1</v>
      </c>
      <c r="DI25">
        <v>1</v>
      </c>
      <c r="DJ25">
        <v>1</v>
      </c>
      <c r="DK25">
        <v>1</v>
      </c>
      <c r="DL25">
        <v>1</v>
      </c>
      <c r="DM25">
        <v>1</v>
      </c>
      <c r="DN25">
        <v>1</v>
      </c>
      <c r="DO25">
        <v>1</v>
      </c>
      <c r="DQ25">
        <v>1</v>
      </c>
      <c r="DR25">
        <v>1</v>
      </c>
      <c r="DS25">
        <v>1</v>
      </c>
      <c r="DT25">
        <v>1</v>
      </c>
      <c r="DU25">
        <v>1</v>
      </c>
      <c r="DV25">
        <v>1</v>
      </c>
      <c r="DW25">
        <v>1</v>
      </c>
      <c r="DY25">
        <v>1</v>
      </c>
      <c r="DZ25">
        <v>1</v>
      </c>
      <c r="ED25">
        <v>1</v>
      </c>
      <c r="EE25">
        <v>1</v>
      </c>
      <c r="EF25">
        <v>1</v>
      </c>
      <c r="EG25">
        <v>1</v>
      </c>
      <c r="EH25">
        <v>1</v>
      </c>
      <c r="EI25">
        <v>1</v>
      </c>
      <c r="EJ25">
        <v>1</v>
      </c>
      <c r="EK25">
        <v>1</v>
      </c>
      <c r="ET25">
        <v>1</v>
      </c>
      <c r="EU25">
        <v>1</v>
      </c>
      <c r="EX25">
        <v>1</v>
      </c>
      <c r="FC25">
        <v>1</v>
      </c>
      <c r="FH25">
        <v>1</v>
      </c>
      <c r="FM25">
        <v>1</v>
      </c>
      <c r="FR25">
        <v>1</v>
      </c>
      <c r="FW25">
        <v>1</v>
      </c>
      <c r="GB25">
        <v>1</v>
      </c>
      <c r="GH25">
        <v>1</v>
      </c>
      <c r="GV25">
        <v>1</v>
      </c>
      <c r="GW25">
        <v>1</v>
      </c>
      <c r="GX25">
        <v>1</v>
      </c>
      <c r="GY25">
        <v>1</v>
      </c>
      <c r="GZ25">
        <v>1</v>
      </c>
      <c r="HA25">
        <v>1</v>
      </c>
      <c r="HB25">
        <v>1</v>
      </c>
    </row>
    <row r="26" spans="1:210" x14ac:dyDescent="0.2">
      <c r="A26" t="str">
        <f t="array" aca="1" ref="A26" ca="1">IF(ROWS(A$1:A5)&lt;=COUNTIF(INDIRECT($A$21),"?*"),INDEX(INDIRECT($A$21),MATCH(SMALL(IF(INDIRECT($A$21)&lt;&gt;"",COUNTIF(INDIRECT($A$21),"&lt;"&amp;INDIRECT($A$21))),ROWS(A$1:A5)),IF(INDIRECT($A$21)&lt;&gt;"",COUNTIF(INDIRECT($A$21),"&lt;"&amp;INDIRECT($A$21))),0)),"")</f>
        <v>Fuhrmann</v>
      </c>
      <c r="C26" t="str">
        <f t="shared" si="17"/>
        <v/>
      </c>
      <c r="E26" t="s">
        <v>639</v>
      </c>
      <c r="F26" t="s">
        <v>924</v>
      </c>
      <c r="P26">
        <v>1</v>
      </c>
      <c r="Q26">
        <v>1</v>
      </c>
      <c r="R26">
        <v>1</v>
      </c>
      <c r="S26">
        <v>1</v>
      </c>
      <c r="T26">
        <v>1</v>
      </c>
      <c r="U26">
        <v>1</v>
      </c>
      <c r="V26">
        <v>1</v>
      </c>
      <c r="W26">
        <v>1</v>
      </c>
      <c r="X26">
        <v>1</v>
      </c>
      <c r="Y26">
        <v>1</v>
      </c>
      <c r="Z26">
        <v>1</v>
      </c>
      <c r="AA26">
        <v>1</v>
      </c>
      <c r="AB26">
        <v>1</v>
      </c>
      <c r="AC26">
        <v>1</v>
      </c>
      <c r="AD26">
        <v>1</v>
      </c>
      <c r="AE26">
        <v>1</v>
      </c>
      <c r="AF26">
        <v>1</v>
      </c>
      <c r="AG26">
        <v>1</v>
      </c>
      <c r="AZ26">
        <v>1</v>
      </c>
      <c r="BA26">
        <v>1</v>
      </c>
      <c r="BB26">
        <v>1</v>
      </c>
      <c r="BC26">
        <v>1</v>
      </c>
      <c r="BD26">
        <v>1</v>
      </c>
      <c r="BE26">
        <v>1</v>
      </c>
      <c r="BF26">
        <v>1</v>
      </c>
      <c r="BG26">
        <v>1</v>
      </c>
      <c r="BH26">
        <v>1</v>
      </c>
      <c r="BI26">
        <v>1</v>
      </c>
      <c r="BJ26">
        <v>1</v>
      </c>
      <c r="BK26">
        <v>1</v>
      </c>
      <c r="BL26">
        <v>1</v>
      </c>
      <c r="BN26">
        <v>1</v>
      </c>
      <c r="BO26">
        <v>1</v>
      </c>
      <c r="BP26">
        <v>1</v>
      </c>
      <c r="BQ26">
        <v>1</v>
      </c>
      <c r="BR26">
        <v>1</v>
      </c>
      <c r="BS26">
        <v>1</v>
      </c>
      <c r="BT26">
        <v>1</v>
      </c>
      <c r="BU26">
        <v>1</v>
      </c>
      <c r="BV26">
        <v>1</v>
      </c>
      <c r="BW26">
        <v>1</v>
      </c>
      <c r="BX26">
        <v>1</v>
      </c>
      <c r="BY26">
        <v>1</v>
      </c>
      <c r="BZ26">
        <v>1</v>
      </c>
      <c r="CA26">
        <v>1</v>
      </c>
      <c r="CB26">
        <v>1</v>
      </c>
      <c r="CC26">
        <v>1</v>
      </c>
      <c r="CF26">
        <v>1</v>
      </c>
      <c r="CG26">
        <v>1</v>
      </c>
      <c r="CN26">
        <v>1</v>
      </c>
      <c r="CO26">
        <v>1</v>
      </c>
      <c r="CP26">
        <v>1</v>
      </c>
      <c r="CQ26">
        <v>1</v>
      </c>
      <c r="CR26">
        <v>1</v>
      </c>
      <c r="CS26">
        <v>1</v>
      </c>
      <c r="CT26">
        <v>1</v>
      </c>
      <c r="CU26">
        <v>1</v>
      </c>
      <c r="CV26">
        <v>1</v>
      </c>
      <c r="CW26">
        <v>1</v>
      </c>
      <c r="CX26">
        <v>1</v>
      </c>
      <c r="CY26">
        <v>1</v>
      </c>
      <c r="CZ26">
        <v>1</v>
      </c>
      <c r="DA26">
        <v>1</v>
      </c>
      <c r="DB26">
        <v>1</v>
      </c>
      <c r="DC26">
        <v>1</v>
      </c>
      <c r="DD26">
        <v>1</v>
      </c>
      <c r="DE26">
        <v>1</v>
      </c>
      <c r="DF26">
        <v>1</v>
      </c>
      <c r="DQ26">
        <v>1</v>
      </c>
      <c r="DR26">
        <v>1</v>
      </c>
      <c r="DS26">
        <v>1</v>
      </c>
      <c r="DX26">
        <v>1</v>
      </c>
      <c r="DY26">
        <v>1</v>
      </c>
      <c r="DZ26">
        <v>1</v>
      </c>
      <c r="ER26">
        <v>1</v>
      </c>
      <c r="ET26">
        <v>1</v>
      </c>
      <c r="EU26">
        <v>1</v>
      </c>
      <c r="FX26">
        <v>1</v>
      </c>
      <c r="GI26">
        <v>1</v>
      </c>
    </row>
    <row r="27" spans="1:210" x14ac:dyDescent="0.2">
      <c r="A27" t="str">
        <f t="array" aca="1" ref="A27" ca="1">IF(ROWS(A$1:A6)&lt;=COUNTIF(INDIRECT($A$21),"?*"),INDEX(INDIRECT($A$21),MATCH(SMALL(IF(INDIRECT($A$21)&lt;&gt;"",COUNTIF(INDIRECT($A$21),"&lt;"&amp;INDIRECT($A$21))),ROWS(A$1:A6)),IF(INDIRECT($A$21)&lt;&gt;"",COUNTIF(INDIRECT($A$21),"&lt;"&amp;INDIRECT($A$21))),0)),"")</f>
        <v>Grenzjäger</v>
      </c>
      <c r="C27" t="str">
        <f t="shared" si="17"/>
        <v/>
      </c>
      <c r="E27" t="s">
        <v>3812</v>
      </c>
      <c r="F27" t="s">
        <v>5795</v>
      </c>
      <c r="P27">
        <v>1</v>
      </c>
      <c r="Q27">
        <v>1</v>
      </c>
      <c r="R27">
        <v>1</v>
      </c>
      <c r="S27">
        <v>1</v>
      </c>
      <c r="T27">
        <v>1</v>
      </c>
      <c r="U27">
        <v>1</v>
      </c>
      <c r="V27">
        <v>1</v>
      </c>
      <c r="W27">
        <v>1</v>
      </c>
      <c r="X27">
        <v>1</v>
      </c>
      <c r="Y27">
        <v>1</v>
      </c>
      <c r="Z27">
        <v>1</v>
      </c>
      <c r="AA27">
        <v>1</v>
      </c>
      <c r="AB27">
        <v>1</v>
      </c>
      <c r="AC27">
        <v>1</v>
      </c>
      <c r="AD27">
        <v>1</v>
      </c>
      <c r="AE27">
        <v>1</v>
      </c>
      <c r="AF27">
        <v>1</v>
      </c>
      <c r="AG27">
        <v>1</v>
      </c>
      <c r="AZ27">
        <v>1</v>
      </c>
      <c r="BA27">
        <v>1</v>
      </c>
      <c r="BB27">
        <v>1</v>
      </c>
      <c r="BC27">
        <v>1</v>
      </c>
      <c r="BD27">
        <v>1</v>
      </c>
      <c r="BE27">
        <v>1</v>
      </c>
      <c r="BF27">
        <v>1</v>
      </c>
      <c r="BG27">
        <v>1</v>
      </c>
      <c r="BH27">
        <v>1</v>
      </c>
      <c r="BI27">
        <v>1</v>
      </c>
      <c r="BJ27">
        <v>1</v>
      </c>
      <c r="BK27">
        <v>1</v>
      </c>
      <c r="BL27">
        <v>1</v>
      </c>
      <c r="BN27">
        <v>1</v>
      </c>
      <c r="BO27">
        <v>1</v>
      </c>
      <c r="BP27">
        <v>1</v>
      </c>
      <c r="BQ27">
        <v>1</v>
      </c>
      <c r="BR27">
        <v>1</v>
      </c>
      <c r="BS27">
        <v>1</v>
      </c>
      <c r="BT27">
        <v>1</v>
      </c>
      <c r="BU27">
        <v>1</v>
      </c>
      <c r="BV27">
        <v>1</v>
      </c>
      <c r="BW27">
        <v>1</v>
      </c>
      <c r="BX27">
        <v>1</v>
      </c>
      <c r="BY27">
        <v>1</v>
      </c>
      <c r="BZ27">
        <v>1</v>
      </c>
      <c r="CA27">
        <v>1</v>
      </c>
      <c r="CB27">
        <v>1</v>
      </c>
      <c r="CC27">
        <v>1</v>
      </c>
      <c r="CN27">
        <v>1</v>
      </c>
      <c r="CO27">
        <v>1</v>
      </c>
      <c r="CP27">
        <v>1</v>
      </c>
      <c r="CQ27">
        <v>1</v>
      </c>
      <c r="CR27">
        <v>1</v>
      </c>
      <c r="CS27">
        <v>1</v>
      </c>
      <c r="CT27">
        <v>1</v>
      </c>
      <c r="CU27">
        <v>1</v>
      </c>
      <c r="CV27">
        <v>1</v>
      </c>
      <c r="CW27">
        <v>1</v>
      </c>
      <c r="CX27">
        <v>1</v>
      </c>
      <c r="CY27">
        <v>1</v>
      </c>
      <c r="CZ27">
        <v>1</v>
      </c>
      <c r="DA27">
        <v>1</v>
      </c>
      <c r="DB27">
        <v>1</v>
      </c>
      <c r="DC27">
        <v>1</v>
      </c>
      <c r="DD27">
        <v>1</v>
      </c>
      <c r="DE27">
        <v>1</v>
      </c>
      <c r="DF27">
        <v>1</v>
      </c>
      <c r="DQ27">
        <v>1</v>
      </c>
      <c r="DR27">
        <v>1</v>
      </c>
      <c r="DS27">
        <v>1</v>
      </c>
      <c r="DY27">
        <v>1</v>
      </c>
      <c r="DZ27">
        <v>1</v>
      </c>
      <c r="ET27">
        <v>1</v>
      </c>
      <c r="EU27">
        <v>1</v>
      </c>
    </row>
    <row r="28" spans="1:210" x14ac:dyDescent="0.2">
      <c r="A28" t="str">
        <f t="array" aca="1" ref="A28" ca="1">IF(ROWS(A$1:A7)&lt;=COUNTIF(INDIRECT($A$21),"?*"),INDEX(INDIRECT($A$21),MATCH(SMALL(IF(INDIRECT($A$21)&lt;&gt;"",COUNTIF(INDIRECT($A$21),"&lt;"&amp;INDIRECT($A$21))),ROWS(A$1:A7)),IF(INDIRECT($A$21)&lt;&gt;"",COUNTIF(INDIRECT($A$21),"&lt;"&amp;INDIRECT($A$21))),0)),"")</f>
        <v>Großwildjäger</v>
      </c>
      <c r="C28" t="str">
        <f t="shared" si="17"/>
        <v/>
      </c>
      <c r="E28" t="s">
        <v>642</v>
      </c>
      <c r="F28" t="s">
        <v>1883</v>
      </c>
      <c r="H28">
        <v>1</v>
      </c>
      <c r="I28">
        <v>1</v>
      </c>
      <c r="J28">
        <v>1</v>
      </c>
      <c r="K28">
        <v>1</v>
      </c>
      <c r="L28">
        <v>1</v>
      </c>
      <c r="M28">
        <v>1</v>
      </c>
      <c r="N28">
        <v>1</v>
      </c>
      <c r="V28">
        <v>1</v>
      </c>
      <c r="W28">
        <v>1</v>
      </c>
      <c r="X28">
        <v>1</v>
      </c>
      <c r="Y28">
        <v>1</v>
      </c>
      <c r="Z28">
        <v>1</v>
      </c>
      <c r="AA28">
        <v>1</v>
      </c>
      <c r="AB28">
        <v>1</v>
      </c>
      <c r="AC28">
        <v>1</v>
      </c>
      <c r="AD28">
        <v>1</v>
      </c>
      <c r="AE28">
        <v>1</v>
      </c>
      <c r="AF28">
        <v>1</v>
      </c>
      <c r="AG28">
        <v>1</v>
      </c>
      <c r="AH28">
        <v>1</v>
      </c>
      <c r="AN28">
        <v>1</v>
      </c>
      <c r="AP28">
        <v>1</v>
      </c>
      <c r="AQ28">
        <v>1</v>
      </c>
      <c r="AR28">
        <v>1</v>
      </c>
      <c r="AS28">
        <v>1</v>
      </c>
      <c r="AT28">
        <v>1</v>
      </c>
      <c r="AU28">
        <v>1</v>
      </c>
      <c r="AV28">
        <v>1</v>
      </c>
      <c r="AW28">
        <v>1</v>
      </c>
      <c r="AX28">
        <v>1</v>
      </c>
      <c r="AY28">
        <v>1</v>
      </c>
      <c r="AZ28">
        <v>1</v>
      </c>
      <c r="BA28">
        <v>1</v>
      </c>
      <c r="BB28">
        <v>1</v>
      </c>
      <c r="BC28">
        <v>1</v>
      </c>
      <c r="BD28">
        <v>1</v>
      </c>
      <c r="BE28">
        <v>1</v>
      </c>
      <c r="BF28">
        <v>1</v>
      </c>
      <c r="BG28">
        <v>1</v>
      </c>
      <c r="BH28">
        <v>1</v>
      </c>
      <c r="BI28">
        <v>1</v>
      </c>
      <c r="BJ28">
        <v>1</v>
      </c>
      <c r="BK28">
        <v>1</v>
      </c>
      <c r="BL28">
        <v>1</v>
      </c>
      <c r="BN28">
        <v>1</v>
      </c>
      <c r="BO28">
        <v>1</v>
      </c>
      <c r="BP28">
        <v>1</v>
      </c>
      <c r="BQ28">
        <v>1</v>
      </c>
      <c r="BR28">
        <v>1</v>
      </c>
      <c r="BS28">
        <v>1</v>
      </c>
      <c r="BT28">
        <v>1</v>
      </c>
      <c r="BU28">
        <v>1</v>
      </c>
      <c r="BV28">
        <v>1</v>
      </c>
      <c r="BW28">
        <v>1</v>
      </c>
      <c r="BX28">
        <v>1</v>
      </c>
      <c r="BY28">
        <v>1</v>
      </c>
      <c r="BZ28">
        <v>1</v>
      </c>
      <c r="CA28">
        <v>1</v>
      </c>
      <c r="CB28">
        <v>1</v>
      </c>
      <c r="CC28">
        <v>1</v>
      </c>
      <c r="CF28">
        <v>1</v>
      </c>
      <c r="CG28">
        <v>1</v>
      </c>
      <c r="CH28">
        <v>1</v>
      </c>
      <c r="CI28">
        <v>1</v>
      </c>
      <c r="CN28">
        <v>1</v>
      </c>
      <c r="CO28">
        <v>1</v>
      </c>
      <c r="CP28">
        <v>1</v>
      </c>
      <c r="CQ28">
        <v>1</v>
      </c>
      <c r="CR28">
        <v>1</v>
      </c>
      <c r="CS28">
        <v>1</v>
      </c>
      <c r="CT28">
        <v>1</v>
      </c>
      <c r="CU28">
        <v>1</v>
      </c>
      <c r="CV28">
        <v>1</v>
      </c>
      <c r="CW28">
        <v>1</v>
      </c>
      <c r="CX28">
        <v>1</v>
      </c>
      <c r="CY28">
        <v>1</v>
      </c>
      <c r="CZ28">
        <v>1</v>
      </c>
      <c r="DA28">
        <v>1</v>
      </c>
      <c r="DB28">
        <v>1</v>
      </c>
      <c r="DC28">
        <v>1</v>
      </c>
      <c r="DD28">
        <v>1</v>
      </c>
      <c r="DE28">
        <v>1</v>
      </c>
      <c r="DF28">
        <v>1</v>
      </c>
      <c r="DG28">
        <v>1</v>
      </c>
      <c r="DH28">
        <v>1</v>
      </c>
      <c r="DI28">
        <v>1</v>
      </c>
      <c r="DJ28">
        <v>1</v>
      </c>
      <c r="DK28">
        <v>1</v>
      </c>
      <c r="DL28">
        <v>1</v>
      </c>
      <c r="DM28">
        <v>1</v>
      </c>
      <c r="DN28">
        <v>1</v>
      </c>
      <c r="DQ28">
        <v>1</v>
      </c>
      <c r="DR28">
        <v>1</v>
      </c>
      <c r="DS28">
        <v>1</v>
      </c>
      <c r="DY28">
        <v>1</v>
      </c>
      <c r="DZ28">
        <v>1</v>
      </c>
      <c r="ED28">
        <v>1</v>
      </c>
      <c r="EE28">
        <v>1</v>
      </c>
      <c r="EF28">
        <v>1</v>
      </c>
      <c r="EG28">
        <v>1</v>
      </c>
      <c r="EH28">
        <v>1</v>
      </c>
      <c r="EI28">
        <v>1</v>
      </c>
      <c r="EJ28">
        <v>1</v>
      </c>
      <c r="EK28">
        <v>1</v>
      </c>
      <c r="ER28">
        <v>1</v>
      </c>
      <c r="ET28">
        <v>1</v>
      </c>
      <c r="EU28">
        <v>1</v>
      </c>
      <c r="EV28">
        <v>1</v>
      </c>
      <c r="EZ28">
        <v>1</v>
      </c>
      <c r="FE28">
        <v>1</v>
      </c>
      <c r="FJ28">
        <v>1</v>
      </c>
      <c r="FO28">
        <v>1</v>
      </c>
      <c r="FT28">
        <v>1</v>
      </c>
      <c r="FY28">
        <v>1</v>
      </c>
      <c r="GD28">
        <v>1</v>
      </c>
      <c r="GJ28">
        <v>1</v>
      </c>
      <c r="GV28">
        <v>1</v>
      </c>
      <c r="GW28">
        <v>1</v>
      </c>
      <c r="GX28">
        <v>1</v>
      </c>
      <c r="GY28">
        <v>1</v>
      </c>
      <c r="GZ28">
        <v>1</v>
      </c>
      <c r="HA28">
        <v>1</v>
      </c>
      <c r="HB28">
        <v>1</v>
      </c>
    </row>
    <row r="29" spans="1:210" x14ac:dyDescent="0.2">
      <c r="A29" t="str">
        <f t="array" aca="1" ref="A29" ca="1">IF(ROWS(A$1:A8)&lt;=COUNTIF(INDIRECT($A$21),"?*"),INDEX(INDIRECT($A$21),MATCH(SMALL(IF(INDIRECT($A$21)&lt;&gt;"",COUNTIF(INDIRECT($A$21),"&lt;"&amp;INDIRECT($A$21))),ROWS(A$1:A8)),IF(INDIRECT($A$21)&lt;&gt;"",COUNTIF(INDIRECT($A$21),"&lt;"&amp;INDIRECT($A$21))),0)),"")</f>
        <v>Hirte</v>
      </c>
      <c r="C29" t="str">
        <f t="shared" si="17"/>
        <v/>
      </c>
      <c r="E29" t="s">
        <v>381</v>
      </c>
      <c r="F29" t="s">
        <v>925</v>
      </c>
      <c r="H29">
        <v>1</v>
      </c>
      <c r="I29">
        <v>1</v>
      </c>
      <c r="J29">
        <v>1</v>
      </c>
      <c r="K29">
        <v>1</v>
      </c>
      <c r="L29">
        <v>1</v>
      </c>
      <c r="M29">
        <v>1</v>
      </c>
      <c r="N29">
        <v>1</v>
      </c>
      <c r="P29">
        <v>1</v>
      </c>
      <c r="Q29">
        <v>1</v>
      </c>
      <c r="R29">
        <v>1</v>
      </c>
      <c r="S29">
        <v>1</v>
      </c>
      <c r="T29">
        <v>1</v>
      </c>
      <c r="U29">
        <v>1</v>
      </c>
      <c r="V29">
        <v>1</v>
      </c>
      <c r="W29">
        <v>1</v>
      </c>
      <c r="X29">
        <v>1</v>
      </c>
      <c r="Y29">
        <v>1</v>
      </c>
      <c r="Z29">
        <v>1</v>
      </c>
      <c r="AA29">
        <v>1</v>
      </c>
      <c r="AB29">
        <v>1</v>
      </c>
      <c r="AC29">
        <v>1</v>
      </c>
      <c r="AD29">
        <v>1</v>
      </c>
      <c r="AE29">
        <v>1</v>
      </c>
      <c r="AF29">
        <v>1</v>
      </c>
      <c r="AG29">
        <v>1</v>
      </c>
      <c r="AI29">
        <v>1</v>
      </c>
      <c r="AJ29">
        <v>1</v>
      </c>
      <c r="AK29">
        <v>1</v>
      </c>
      <c r="AL29">
        <v>1</v>
      </c>
      <c r="AM29">
        <v>1</v>
      </c>
      <c r="AN29">
        <v>1</v>
      </c>
      <c r="AP29">
        <v>1</v>
      </c>
      <c r="AQ29">
        <v>1</v>
      </c>
      <c r="AR29">
        <v>1</v>
      </c>
      <c r="AS29">
        <v>1</v>
      </c>
      <c r="AT29">
        <v>1</v>
      </c>
      <c r="AU29">
        <v>1</v>
      </c>
      <c r="AV29">
        <v>1</v>
      </c>
      <c r="AW29">
        <v>1</v>
      </c>
      <c r="AX29">
        <v>1</v>
      </c>
      <c r="AY29">
        <v>1</v>
      </c>
      <c r="AZ29">
        <v>1</v>
      </c>
      <c r="BA29">
        <v>1</v>
      </c>
      <c r="BB29">
        <v>1</v>
      </c>
      <c r="BC29">
        <v>1</v>
      </c>
      <c r="BD29">
        <v>1</v>
      </c>
      <c r="BE29">
        <v>1</v>
      </c>
      <c r="BF29">
        <v>1</v>
      </c>
      <c r="BG29">
        <v>1</v>
      </c>
      <c r="BH29">
        <v>1</v>
      </c>
      <c r="BI29">
        <v>1</v>
      </c>
      <c r="BJ29">
        <v>1</v>
      </c>
      <c r="BK29">
        <v>1</v>
      </c>
      <c r="BL29">
        <v>1</v>
      </c>
      <c r="BM29">
        <v>1</v>
      </c>
      <c r="BN29">
        <v>1</v>
      </c>
      <c r="BO29">
        <v>1</v>
      </c>
      <c r="BP29">
        <v>1</v>
      </c>
      <c r="BQ29">
        <v>1</v>
      </c>
      <c r="BR29">
        <v>1</v>
      </c>
      <c r="BS29">
        <v>1</v>
      </c>
      <c r="BT29">
        <v>1</v>
      </c>
      <c r="BU29">
        <v>1</v>
      </c>
      <c r="BV29">
        <v>1</v>
      </c>
      <c r="BW29">
        <v>1</v>
      </c>
      <c r="BX29">
        <v>1</v>
      </c>
      <c r="BY29">
        <v>1</v>
      </c>
      <c r="BZ29">
        <v>1</v>
      </c>
      <c r="CA29">
        <v>1</v>
      </c>
      <c r="CB29">
        <v>1</v>
      </c>
      <c r="CC29">
        <v>1</v>
      </c>
      <c r="CD29">
        <v>1</v>
      </c>
      <c r="CE29">
        <v>1</v>
      </c>
      <c r="CH29">
        <v>1</v>
      </c>
      <c r="CI29">
        <v>1</v>
      </c>
      <c r="CJ29">
        <v>1</v>
      </c>
      <c r="CK29">
        <v>1</v>
      </c>
      <c r="CN29">
        <v>1</v>
      </c>
      <c r="CO29">
        <v>1</v>
      </c>
      <c r="CP29">
        <v>1</v>
      </c>
      <c r="CQ29">
        <v>1</v>
      </c>
      <c r="CR29">
        <v>1</v>
      </c>
      <c r="CS29">
        <v>1</v>
      </c>
      <c r="CT29">
        <v>1</v>
      </c>
      <c r="CU29">
        <v>1</v>
      </c>
      <c r="CV29">
        <v>1</v>
      </c>
      <c r="CW29">
        <v>1</v>
      </c>
      <c r="CX29">
        <v>1</v>
      </c>
      <c r="CY29">
        <v>1</v>
      </c>
      <c r="CZ29">
        <v>1</v>
      </c>
      <c r="DA29">
        <v>1</v>
      </c>
      <c r="DB29">
        <v>1</v>
      </c>
      <c r="DC29">
        <v>1</v>
      </c>
      <c r="DD29">
        <v>1</v>
      </c>
      <c r="DE29">
        <v>1</v>
      </c>
      <c r="DF29">
        <v>1</v>
      </c>
      <c r="DG29">
        <v>1</v>
      </c>
      <c r="DH29">
        <v>1</v>
      </c>
      <c r="DI29">
        <v>1</v>
      </c>
      <c r="DJ29">
        <v>1</v>
      </c>
      <c r="DK29">
        <v>1</v>
      </c>
      <c r="DL29">
        <v>1</v>
      </c>
      <c r="DM29">
        <v>1</v>
      </c>
      <c r="DN29">
        <v>1</v>
      </c>
      <c r="DP29">
        <v>1</v>
      </c>
      <c r="DQ29">
        <v>1</v>
      </c>
      <c r="DR29">
        <v>1</v>
      </c>
      <c r="DS29">
        <v>1</v>
      </c>
      <c r="DT29">
        <v>1</v>
      </c>
      <c r="DU29">
        <v>1</v>
      </c>
      <c r="DV29">
        <v>1</v>
      </c>
      <c r="DW29">
        <v>1</v>
      </c>
      <c r="DX29">
        <v>1</v>
      </c>
      <c r="DY29">
        <v>1</v>
      </c>
      <c r="DZ29">
        <v>1</v>
      </c>
      <c r="ED29">
        <v>1</v>
      </c>
      <c r="EE29">
        <v>1</v>
      </c>
      <c r="EF29">
        <v>1</v>
      </c>
      <c r="EJ29">
        <v>1</v>
      </c>
      <c r="EK29">
        <v>1</v>
      </c>
      <c r="ER29">
        <v>1</v>
      </c>
      <c r="ES29">
        <v>1</v>
      </c>
      <c r="ET29">
        <v>1</v>
      </c>
      <c r="EU29">
        <v>1</v>
      </c>
      <c r="EX29">
        <v>1</v>
      </c>
      <c r="FC29">
        <v>1</v>
      </c>
      <c r="FH29">
        <v>1</v>
      </c>
      <c r="FM29">
        <v>1</v>
      </c>
      <c r="FR29">
        <v>1</v>
      </c>
      <c r="FW29">
        <v>1</v>
      </c>
      <c r="GB29">
        <v>1</v>
      </c>
      <c r="GH29">
        <v>1</v>
      </c>
      <c r="GL29">
        <v>1</v>
      </c>
      <c r="GM29">
        <v>1</v>
      </c>
      <c r="GN29">
        <v>1</v>
      </c>
      <c r="GO29">
        <v>1</v>
      </c>
      <c r="GP29">
        <v>1</v>
      </c>
      <c r="GQ29">
        <v>1</v>
      </c>
      <c r="GR29">
        <v>1</v>
      </c>
      <c r="GS29">
        <v>1</v>
      </c>
      <c r="GV29">
        <v>1</v>
      </c>
      <c r="GW29">
        <v>1</v>
      </c>
      <c r="GX29">
        <v>1</v>
      </c>
      <c r="GY29">
        <v>1</v>
      </c>
      <c r="GZ29">
        <v>1</v>
      </c>
      <c r="HA29">
        <v>1</v>
      </c>
      <c r="HB29">
        <v>1</v>
      </c>
    </row>
    <row r="30" spans="1:210" x14ac:dyDescent="0.2">
      <c r="A30" t="str">
        <f t="array" aca="1" ref="A30" ca="1">IF(ROWS(A$1:A9)&lt;=COUNTIF(INDIRECT($A$21),"?*"),INDEX(INDIRECT($A$21),MATCH(SMALL(IF(INDIRECT($A$21)&lt;&gt;"",COUNTIF(INDIRECT($A$21),"&lt;"&amp;INDIRECT($A$21))),ROWS(A$1:A9)),IF(INDIRECT($A$21)&lt;&gt;"",COUNTIF(INDIRECT($A$21),"&lt;"&amp;INDIRECT($A$21))),0)),"")</f>
        <v>Jäger</v>
      </c>
      <c r="C30" t="str">
        <f t="shared" si="17"/>
        <v/>
      </c>
      <c r="E30" t="s">
        <v>383</v>
      </c>
      <c r="F30" t="s">
        <v>926</v>
      </c>
      <c r="H30">
        <v>1</v>
      </c>
      <c r="I30">
        <v>1</v>
      </c>
      <c r="J30">
        <v>1</v>
      </c>
      <c r="K30">
        <v>1</v>
      </c>
      <c r="L30">
        <v>1</v>
      </c>
      <c r="M30">
        <v>1</v>
      </c>
      <c r="N30">
        <v>1</v>
      </c>
      <c r="P30">
        <v>1</v>
      </c>
      <c r="Q30">
        <v>1</v>
      </c>
      <c r="R30">
        <v>1</v>
      </c>
      <c r="S30">
        <v>1</v>
      </c>
      <c r="T30">
        <v>1</v>
      </c>
      <c r="U30">
        <v>1</v>
      </c>
      <c r="V30">
        <v>1</v>
      </c>
      <c r="W30">
        <v>1</v>
      </c>
      <c r="X30">
        <v>1</v>
      </c>
      <c r="Y30">
        <v>1</v>
      </c>
      <c r="Z30">
        <v>1</v>
      </c>
      <c r="AA30">
        <v>1</v>
      </c>
      <c r="AB30">
        <v>1</v>
      </c>
      <c r="AC30">
        <v>1</v>
      </c>
      <c r="AD30">
        <v>1</v>
      </c>
      <c r="AE30">
        <v>1</v>
      </c>
      <c r="AF30">
        <v>1</v>
      </c>
      <c r="AG30">
        <v>1</v>
      </c>
      <c r="AH30">
        <v>1</v>
      </c>
      <c r="AI30">
        <v>1</v>
      </c>
      <c r="AJ30">
        <v>1</v>
      </c>
      <c r="AK30">
        <v>1</v>
      </c>
      <c r="AL30">
        <v>1</v>
      </c>
      <c r="AM30">
        <v>1</v>
      </c>
      <c r="AN30">
        <v>1</v>
      </c>
      <c r="AO30">
        <v>1</v>
      </c>
      <c r="AP30">
        <v>1</v>
      </c>
      <c r="AQ30">
        <v>1</v>
      </c>
      <c r="AR30">
        <v>1</v>
      </c>
      <c r="AS30">
        <v>1</v>
      </c>
      <c r="AT30">
        <v>1</v>
      </c>
      <c r="AU30">
        <v>1</v>
      </c>
      <c r="AV30">
        <v>1</v>
      </c>
      <c r="AW30">
        <v>1</v>
      </c>
      <c r="AX30">
        <v>1</v>
      </c>
      <c r="AY30">
        <v>1</v>
      </c>
      <c r="AZ30">
        <v>1</v>
      </c>
      <c r="BA30">
        <v>1</v>
      </c>
      <c r="BB30">
        <v>1</v>
      </c>
      <c r="BC30">
        <v>1</v>
      </c>
      <c r="BD30">
        <v>1</v>
      </c>
      <c r="BE30">
        <v>1</v>
      </c>
      <c r="BG30">
        <v>1</v>
      </c>
      <c r="BH30">
        <v>1</v>
      </c>
      <c r="BI30">
        <v>1</v>
      </c>
      <c r="BJ30">
        <v>1</v>
      </c>
      <c r="BK30">
        <v>1</v>
      </c>
      <c r="BL30">
        <v>1</v>
      </c>
      <c r="BM30">
        <v>1</v>
      </c>
      <c r="BN30">
        <v>1</v>
      </c>
      <c r="BO30">
        <v>1</v>
      </c>
      <c r="BP30">
        <v>1</v>
      </c>
      <c r="BQ30">
        <v>1</v>
      </c>
      <c r="BR30">
        <v>1</v>
      </c>
      <c r="BS30">
        <v>1</v>
      </c>
      <c r="BT30">
        <v>1</v>
      </c>
      <c r="BU30">
        <v>1</v>
      </c>
      <c r="BV30">
        <v>1</v>
      </c>
      <c r="BW30">
        <v>1</v>
      </c>
      <c r="BX30">
        <v>1</v>
      </c>
      <c r="BY30">
        <v>1</v>
      </c>
      <c r="BZ30">
        <v>1</v>
      </c>
      <c r="CA30">
        <v>1</v>
      </c>
      <c r="CB30">
        <v>1</v>
      </c>
      <c r="CC30">
        <v>1</v>
      </c>
      <c r="CD30">
        <v>1</v>
      </c>
      <c r="CE30">
        <v>1</v>
      </c>
      <c r="CF30">
        <v>1</v>
      </c>
      <c r="CG30">
        <v>1</v>
      </c>
      <c r="CH30">
        <v>1</v>
      </c>
      <c r="CI30">
        <v>1</v>
      </c>
      <c r="CL30">
        <v>1</v>
      </c>
      <c r="CM30">
        <v>1</v>
      </c>
      <c r="CN30">
        <v>1</v>
      </c>
      <c r="CO30">
        <v>1</v>
      </c>
      <c r="CP30">
        <v>1</v>
      </c>
      <c r="CQ30">
        <v>1</v>
      </c>
      <c r="CR30">
        <v>1</v>
      </c>
      <c r="CS30">
        <v>1</v>
      </c>
      <c r="CT30">
        <v>1</v>
      </c>
      <c r="CU30">
        <v>1</v>
      </c>
      <c r="CV30">
        <v>1</v>
      </c>
      <c r="CW30">
        <v>1</v>
      </c>
      <c r="CX30">
        <v>1</v>
      </c>
      <c r="CY30">
        <v>1</v>
      </c>
      <c r="CZ30">
        <v>1</v>
      </c>
      <c r="DA30">
        <v>1</v>
      </c>
      <c r="DB30">
        <v>1</v>
      </c>
      <c r="DC30">
        <v>1</v>
      </c>
      <c r="DD30">
        <v>1</v>
      </c>
      <c r="DE30">
        <v>1</v>
      </c>
      <c r="DF30">
        <v>1</v>
      </c>
      <c r="DG30">
        <v>1</v>
      </c>
      <c r="DH30">
        <v>1</v>
      </c>
      <c r="DI30">
        <v>1</v>
      </c>
      <c r="DJ30">
        <v>1</v>
      </c>
      <c r="DK30">
        <v>1</v>
      </c>
      <c r="DL30">
        <v>1</v>
      </c>
      <c r="DM30">
        <v>1</v>
      </c>
      <c r="DN30">
        <v>1</v>
      </c>
      <c r="DP30">
        <v>1</v>
      </c>
      <c r="DT30">
        <v>1</v>
      </c>
      <c r="DU30">
        <v>1</v>
      </c>
      <c r="DV30">
        <v>1</v>
      </c>
      <c r="DW30">
        <v>1</v>
      </c>
      <c r="DY30">
        <v>1</v>
      </c>
      <c r="DZ30">
        <v>1</v>
      </c>
      <c r="ET30">
        <v>1</v>
      </c>
      <c r="EU30">
        <v>1</v>
      </c>
      <c r="EZ30">
        <v>1</v>
      </c>
      <c r="FE30">
        <v>1</v>
      </c>
      <c r="FJ30">
        <v>1</v>
      </c>
      <c r="FO30">
        <v>1</v>
      </c>
      <c r="FT30">
        <v>1</v>
      </c>
      <c r="FY30">
        <v>1</v>
      </c>
      <c r="GD30">
        <v>1</v>
      </c>
      <c r="GF30">
        <v>1</v>
      </c>
      <c r="GJ30">
        <v>1</v>
      </c>
      <c r="GL30">
        <v>1</v>
      </c>
      <c r="GN30">
        <v>1</v>
      </c>
      <c r="GP30">
        <v>1</v>
      </c>
      <c r="GR30">
        <v>1</v>
      </c>
      <c r="GT30">
        <v>1</v>
      </c>
      <c r="GV30">
        <v>1</v>
      </c>
      <c r="GW30">
        <v>1</v>
      </c>
      <c r="GX30">
        <v>1</v>
      </c>
      <c r="GY30">
        <v>1</v>
      </c>
      <c r="GZ30">
        <v>1</v>
      </c>
      <c r="HA30">
        <v>1</v>
      </c>
      <c r="HB30">
        <v>1</v>
      </c>
    </row>
    <row r="31" spans="1:210" x14ac:dyDescent="0.2">
      <c r="A31" t="str">
        <f t="array" aca="1" ref="A31" ca="1">IF(ROWS(A$1:A10)&lt;=COUNTIF(INDIRECT($A$21),"?*"),INDEX(INDIRECT($A$21),MATCH(SMALL(IF(INDIRECT($A$21)&lt;&gt;"",COUNTIF(INDIRECT($A$21),"&lt;"&amp;INDIRECT($A$21))),ROWS(A$1:A10)),IF(INDIRECT($A$21)&lt;&gt;"",COUNTIF(INDIRECT($A$21),"&lt;"&amp;INDIRECT($A$21))),0)),"")</f>
        <v>Karawanenführer</v>
      </c>
      <c r="C31" t="str">
        <f t="shared" si="17"/>
        <v/>
      </c>
      <c r="E31" t="s">
        <v>384</v>
      </c>
      <c r="F31" t="s">
        <v>927</v>
      </c>
      <c r="P31">
        <v>1</v>
      </c>
      <c r="Q31">
        <v>1</v>
      </c>
      <c r="R31">
        <v>1</v>
      </c>
      <c r="S31">
        <v>1</v>
      </c>
      <c r="T31">
        <v>1</v>
      </c>
      <c r="U31">
        <v>1</v>
      </c>
      <c r="V31">
        <v>1</v>
      </c>
      <c r="W31">
        <v>1</v>
      </c>
      <c r="X31">
        <v>1</v>
      </c>
      <c r="Y31">
        <v>1</v>
      </c>
      <c r="Z31">
        <v>1</v>
      </c>
      <c r="AA31">
        <v>1</v>
      </c>
      <c r="AB31">
        <v>1</v>
      </c>
      <c r="AC31">
        <v>1</v>
      </c>
      <c r="AD31">
        <v>1</v>
      </c>
      <c r="AE31">
        <v>1</v>
      </c>
      <c r="AF31">
        <v>1</v>
      </c>
      <c r="AG31">
        <v>1</v>
      </c>
      <c r="AP31">
        <v>1</v>
      </c>
      <c r="AZ31">
        <v>1</v>
      </c>
      <c r="BA31">
        <v>1</v>
      </c>
      <c r="BB31">
        <v>1</v>
      </c>
      <c r="BC31">
        <v>1</v>
      </c>
      <c r="BD31">
        <v>1</v>
      </c>
      <c r="BE31">
        <v>1</v>
      </c>
      <c r="BF31">
        <v>1</v>
      </c>
      <c r="BG31">
        <v>1</v>
      </c>
      <c r="BH31">
        <v>1</v>
      </c>
      <c r="BI31">
        <v>1</v>
      </c>
      <c r="BJ31">
        <v>1</v>
      </c>
      <c r="BK31">
        <v>1</v>
      </c>
      <c r="BL31">
        <v>1</v>
      </c>
      <c r="BN31">
        <v>1</v>
      </c>
      <c r="BO31">
        <v>1</v>
      </c>
      <c r="BP31">
        <v>1</v>
      </c>
      <c r="BQ31">
        <v>1</v>
      </c>
      <c r="BR31">
        <v>1</v>
      </c>
      <c r="BS31">
        <v>1</v>
      </c>
      <c r="BT31">
        <v>1</v>
      </c>
      <c r="BU31">
        <v>1</v>
      </c>
      <c r="BV31">
        <v>1</v>
      </c>
      <c r="BW31">
        <v>1</v>
      </c>
      <c r="BX31">
        <v>1</v>
      </c>
      <c r="BY31">
        <v>1</v>
      </c>
      <c r="BZ31">
        <v>1</v>
      </c>
      <c r="CA31">
        <v>1</v>
      </c>
      <c r="CB31">
        <v>1</v>
      </c>
      <c r="CC31">
        <v>1</v>
      </c>
      <c r="CH31">
        <v>1</v>
      </c>
      <c r="CI31">
        <v>1</v>
      </c>
      <c r="CN31">
        <v>1</v>
      </c>
      <c r="CO31">
        <v>1</v>
      </c>
      <c r="CP31">
        <v>1</v>
      </c>
      <c r="CQ31">
        <v>1</v>
      </c>
      <c r="CR31">
        <v>1</v>
      </c>
      <c r="CS31">
        <v>1</v>
      </c>
      <c r="CT31">
        <v>1</v>
      </c>
      <c r="CU31">
        <v>1</v>
      </c>
      <c r="CV31">
        <v>1</v>
      </c>
      <c r="CW31">
        <v>1</v>
      </c>
      <c r="CX31">
        <v>1</v>
      </c>
      <c r="CY31">
        <v>1</v>
      </c>
      <c r="CZ31">
        <v>1</v>
      </c>
      <c r="DA31">
        <v>1</v>
      </c>
      <c r="DB31">
        <v>1</v>
      </c>
      <c r="DC31">
        <v>1</v>
      </c>
      <c r="DD31">
        <v>1</v>
      </c>
      <c r="DE31">
        <v>1</v>
      </c>
      <c r="DF31">
        <v>1</v>
      </c>
      <c r="DQ31">
        <v>1</v>
      </c>
      <c r="DR31">
        <v>1</v>
      </c>
      <c r="DS31">
        <v>1</v>
      </c>
      <c r="DX31">
        <v>1</v>
      </c>
      <c r="DY31">
        <v>1</v>
      </c>
      <c r="DZ31">
        <v>1</v>
      </c>
      <c r="ED31">
        <v>1</v>
      </c>
      <c r="EE31">
        <v>1</v>
      </c>
      <c r="EF31">
        <v>1</v>
      </c>
      <c r="EG31">
        <v>1</v>
      </c>
      <c r="EH31">
        <v>1</v>
      </c>
      <c r="EI31">
        <v>1</v>
      </c>
      <c r="EJ31">
        <v>1</v>
      </c>
      <c r="EK31">
        <v>1</v>
      </c>
    </row>
    <row r="32" spans="1:210" x14ac:dyDescent="0.2">
      <c r="A32" t="str">
        <f t="array" aca="1" ref="A32" ca="1">IF(ROWS(A$1:A11)&lt;=COUNTIF(INDIRECT($A$21),"?*"),INDEX(INDIRECT($A$21),MATCH(SMALL(IF(INDIRECT($A$21)&lt;&gt;"",COUNTIF(INDIRECT($A$21),"&lt;"&amp;INDIRECT($A$21))),ROWS(A$1:A11)),IF(INDIRECT($A$21)&lt;&gt;"",COUNTIF(INDIRECT($A$21),"&lt;"&amp;INDIRECT($A$21))),0)),"")</f>
        <v>Kundschafter</v>
      </c>
      <c r="C32" t="str">
        <f t="shared" si="17"/>
        <v/>
      </c>
      <c r="E32" t="s">
        <v>387</v>
      </c>
      <c r="F32" t="s">
        <v>928</v>
      </c>
      <c r="O32">
        <v>1</v>
      </c>
      <c r="P32">
        <v>1</v>
      </c>
      <c r="Q32">
        <v>1</v>
      </c>
      <c r="R32">
        <v>1</v>
      </c>
      <c r="S32">
        <v>1</v>
      </c>
      <c r="T32">
        <v>1</v>
      </c>
      <c r="U32">
        <v>1</v>
      </c>
      <c r="V32">
        <v>1</v>
      </c>
      <c r="W32">
        <v>1</v>
      </c>
      <c r="X32">
        <v>1</v>
      </c>
      <c r="Y32">
        <v>1</v>
      </c>
      <c r="Z32">
        <v>1</v>
      </c>
      <c r="AA32">
        <v>1</v>
      </c>
      <c r="AB32">
        <v>1</v>
      </c>
      <c r="AC32">
        <v>1</v>
      </c>
      <c r="AD32">
        <v>1</v>
      </c>
      <c r="AE32">
        <v>1</v>
      </c>
      <c r="AF32">
        <v>1</v>
      </c>
      <c r="AG32">
        <v>1</v>
      </c>
      <c r="AH32">
        <v>1</v>
      </c>
      <c r="AI32">
        <v>1</v>
      </c>
      <c r="AJ32">
        <v>1</v>
      </c>
      <c r="AK32">
        <v>1</v>
      </c>
      <c r="AL32">
        <v>1</v>
      </c>
      <c r="AM32">
        <v>1</v>
      </c>
      <c r="AO32">
        <v>1</v>
      </c>
      <c r="AP32">
        <v>1</v>
      </c>
      <c r="AZ32">
        <v>1</v>
      </c>
      <c r="BA32">
        <v>1</v>
      </c>
      <c r="BB32">
        <v>1</v>
      </c>
      <c r="BC32">
        <v>1</v>
      </c>
      <c r="BD32">
        <v>1</v>
      </c>
      <c r="BE32">
        <v>1</v>
      </c>
      <c r="BG32">
        <v>1</v>
      </c>
      <c r="BH32">
        <v>1</v>
      </c>
      <c r="BI32">
        <v>1</v>
      </c>
      <c r="BJ32">
        <v>1</v>
      </c>
      <c r="BK32">
        <v>1</v>
      </c>
      <c r="BL32">
        <v>1</v>
      </c>
      <c r="BM32">
        <v>1</v>
      </c>
      <c r="BN32">
        <v>1</v>
      </c>
      <c r="BO32">
        <v>1</v>
      </c>
      <c r="BP32">
        <v>1</v>
      </c>
      <c r="BQ32">
        <v>1</v>
      </c>
      <c r="BR32">
        <v>1</v>
      </c>
      <c r="BS32">
        <v>1</v>
      </c>
      <c r="BT32">
        <v>1</v>
      </c>
      <c r="BU32">
        <v>1</v>
      </c>
      <c r="BV32">
        <v>1</v>
      </c>
      <c r="BW32">
        <v>1</v>
      </c>
      <c r="BX32">
        <v>1</v>
      </c>
      <c r="BY32">
        <v>1</v>
      </c>
      <c r="BZ32">
        <v>1</v>
      </c>
      <c r="CA32">
        <v>1</v>
      </c>
      <c r="CB32">
        <v>1</v>
      </c>
      <c r="CC32">
        <v>1</v>
      </c>
      <c r="CD32">
        <v>1</v>
      </c>
      <c r="CE32">
        <v>1</v>
      </c>
      <c r="CF32">
        <v>1</v>
      </c>
      <c r="CG32">
        <v>1</v>
      </c>
      <c r="CH32">
        <v>1</v>
      </c>
      <c r="CI32">
        <v>1</v>
      </c>
      <c r="CJ32">
        <v>1</v>
      </c>
      <c r="CK32">
        <v>1</v>
      </c>
      <c r="CL32">
        <v>1</v>
      </c>
      <c r="CM32">
        <v>1</v>
      </c>
      <c r="CN32">
        <v>1</v>
      </c>
      <c r="CO32">
        <v>1</v>
      </c>
      <c r="CP32">
        <v>1</v>
      </c>
      <c r="CQ32">
        <v>1</v>
      </c>
      <c r="CR32">
        <v>1</v>
      </c>
      <c r="CS32">
        <v>1</v>
      </c>
      <c r="CT32">
        <v>1</v>
      </c>
      <c r="CU32">
        <v>1</v>
      </c>
      <c r="CV32">
        <v>1</v>
      </c>
      <c r="CW32">
        <v>1</v>
      </c>
      <c r="CX32">
        <v>1</v>
      </c>
      <c r="CY32">
        <v>1</v>
      </c>
      <c r="CZ32">
        <v>1</v>
      </c>
      <c r="DA32">
        <v>1</v>
      </c>
      <c r="DB32">
        <v>1</v>
      </c>
      <c r="DC32">
        <v>1</v>
      </c>
      <c r="DD32">
        <v>1</v>
      </c>
      <c r="DE32">
        <v>1</v>
      </c>
      <c r="DF32">
        <v>1</v>
      </c>
      <c r="DG32">
        <v>1</v>
      </c>
      <c r="DH32">
        <v>1</v>
      </c>
      <c r="DI32">
        <v>1</v>
      </c>
      <c r="DJ32">
        <v>1</v>
      </c>
      <c r="DK32">
        <v>1</v>
      </c>
      <c r="DL32">
        <v>1</v>
      </c>
      <c r="DM32">
        <v>1</v>
      </c>
      <c r="DN32">
        <v>1</v>
      </c>
      <c r="DP32">
        <v>1</v>
      </c>
      <c r="DT32">
        <v>1</v>
      </c>
      <c r="DU32">
        <v>1</v>
      </c>
      <c r="DV32">
        <v>1</v>
      </c>
      <c r="DW32">
        <v>1</v>
      </c>
      <c r="DY32">
        <v>1</v>
      </c>
      <c r="DZ32">
        <v>1</v>
      </c>
      <c r="ED32">
        <v>1</v>
      </c>
      <c r="EE32">
        <v>1</v>
      </c>
      <c r="EF32">
        <v>1</v>
      </c>
      <c r="EG32">
        <v>1</v>
      </c>
      <c r="EH32">
        <v>1</v>
      </c>
      <c r="EI32">
        <v>1</v>
      </c>
      <c r="EJ32">
        <v>1</v>
      </c>
      <c r="EK32">
        <v>1</v>
      </c>
      <c r="ET32">
        <v>1</v>
      </c>
      <c r="EU32">
        <v>1</v>
      </c>
      <c r="EV32">
        <v>1</v>
      </c>
      <c r="EZ32">
        <v>1</v>
      </c>
      <c r="FE32">
        <v>1</v>
      </c>
      <c r="FJ32">
        <v>1</v>
      </c>
      <c r="FO32">
        <v>1</v>
      </c>
      <c r="FT32">
        <v>1</v>
      </c>
      <c r="FY32">
        <v>1</v>
      </c>
      <c r="GD32">
        <v>1</v>
      </c>
      <c r="GF32">
        <v>1</v>
      </c>
      <c r="GJ32">
        <v>1</v>
      </c>
      <c r="GL32">
        <v>1</v>
      </c>
      <c r="GN32">
        <v>1</v>
      </c>
      <c r="GP32">
        <v>1</v>
      </c>
      <c r="GR32">
        <v>1</v>
      </c>
      <c r="GT32">
        <v>1</v>
      </c>
      <c r="GV32">
        <v>1</v>
      </c>
      <c r="GW32">
        <v>1</v>
      </c>
      <c r="GX32">
        <v>1</v>
      </c>
      <c r="GY32">
        <v>1</v>
      </c>
      <c r="GZ32">
        <v>1</v>
      </c>
      <c r="HA32">
        <v>1</v>
      </c>
      <c r="HB32">
        <v>1</v>
      </c>
    </row>
    <row r="33" spans="1:210" x14ac:dyDescent="0.2">
      <c r="A33" t="str">
        <f t="array" aca="1" ref="A33" ca="1">IF(ROWS(A$1:A12)&lt;=COUNTIF(INDIRECT($A$21),"?*"),INDEX(INDIRECT($A$21),MATCH(SMALL(IF(INDIRECT($A$21)&lt;&gt;"",COUNTIF(INDIRECT($A$21),"&lt;"&amp;INDIRECT($A$21))),ROWS(A$1:A12)),IF(INDIRECT($A$21)&lt;&gt;"",COUNTIF(INDIRECT($A$21),"&lt;"&amp;INDIRECT($A$21))),0)),"")</f>
        <v>Prospektor</v>
      </c>
      <c r="C33" t="str">
        <f t="shared" si="17"/>
        <v/>
      </c>
      <c r="E33" t="s">
        <v>389</v>
      </c>
      <c r="F33" t="s">
        <v>929</v>
      </c>
      <c r="H33">
        <v>1</v>
      </c>
      <c r="I33">
        <v>1</v>
      </c>
      <c r="J33">
        <v>1</v>
      </c>
      <c r="K33">
        <v>1</v>
      </c>
      <c r="L33">
        <v>1</v>
      </c>
      <c r="M33">
        <v>1</v>
      </c>
      <c r="N33">
        <v>1</v>
      </c>
      <c r="P33">
        <v>1</v>
      </c>
      <c r="Q33">
        <v>1</v>
      </c>
      <c r="R33">
        <v>1</v>
      </c>
      <c r="S33">
        <v>1</v>
      </c>
      <c r="T33">
        <v>1</v>
      </c>
      <c r="U33">
        <v>1</v>
      </c>
      <c r="V33">
        <v>1</v>
      </c>
      <c r="W33">
        <v>1</v>
      </c>
      <c r="X33">
        <v>1</v>
      </c>
      <c r="Y33">
        <v>1</v>
      </c>
      <c r="Z33">
        <v>1</v>
      </c>
      <c r="AA33">
        <v>1</v>
      </c>
      <c r="AB33">
        <v>1</v>
      </c>
      <c r="AC33">
        <v>1</v>
      </c>
      <c r="AD33">
        <v>1</v>
      </c>
      <c r="AE33">
        <v>1</v>
      </c>
      <c r="AF33">
        <v>1</v>
      </c>
      <c r="AG33">
        <v>1</v>
      </c>
      <c r="AH33">
        <v>1</v>
      </c>
      <c r="AI33">
        <v>1</v>
      </c>
      <c r="AJ33">
        <v>1</v>
      </c>
      <c r="AK33">
        <v>1</v>
      </c>
      <c r="AL33">
        <v>1</v>
      </c>
      <c r="AM33">
        <v>1</v>
      </c>
      <c r="AN33">
        <v>1</v>
      </c>
      <c r="AP33">
        <v>1</v>
      </c>
      <c r="AQ33">
        <v>1</v>
      </c>
      <c r="AR33">
        <v>1</v>
      </c>
      <c r="AS33">
        <v>1</v>
      </c>
      <c r="AT33">
        <v>1</v>
      </c>
      <c r="AU33">
        <v>1</v>
      </c>
      <c r="AV33">
        <v>1</v>
      </c>
      <c r="AW33">
        <v>1</v>
      </c>
      <c r="AX33">
        <v>1</v>
      </c>
      <c r="AY33">
        <v>1</v>
      </c>
      <c r="AZ33">
        <v>1</v>
      </c>
      <c r="BA33">
        <v>1</v>
      </c>
      <c r="BB33">
        <v>1</v>
      </c>
      <c r="BC33">
        <v>1</v>
      </c>
      <c r="BD33">
        <v>1</v>
      </c>
      <c r="BE33">
        <v>1</v>
      </c>
      <c r="BF33">
        <v>1</v>
      </c>
      <c r="BG33">
        <v>1</v>
      </c>
      <c r="BH33">
        <v>1</v>
      </c>
      <c r="BI33">
        <v>1</v>
      </c>
      <c r="BJ33">
        <v>1</v>
      </c>
      <c r="BK33">
        <v>1</v>
      </c>
      <c r="BL33">
        <v>1</v>
      </c>
      <c r="BM33">
        <v>1</v>
      </c>
      <c r="BN33">
        <v>1</v>
      </c>
      <c r="BO33">
        <v>1</v>
      </c>
      <c r="BP33">
        <v>1</v>
      </c>
      <c r="BQ33">
        <v>1</v>
      </c>
      <c r="BR33">
        <v>1</v>
      </c>
      <c r="BS33">
        <v>1</v>
      </c>
      <c r="BT33">
        <v>1</v>
      </c>
      <c r="BU33">
        <v>1</v>
      </c>
      <c r="BV33">
        <v>1</v>
      </c>
      <c r="BW33">
        <v>1</v>
      </c>
      <c r="BX33">
        <v>1</v>
      </c>
      <c r="BY33">
        <v>1</v>
      </c>
      <c r="BZ33">
        <v>1</v>
      </c>
      <c r="CA33">
        <v>1</v>
      </c>
      <c r="CB33">
        <v>1</v>
      </c>
      <c r="CC33">
        <v>1</v>
      </c>
      <c r="CD33">
        <v>1</v>
      </c>
      <c r="CE33">
        <v>1</v>
      </c>
      <c r="CF33">
        <v>1</v>
      </c>
      <c r="CH33">
        <v>1</v>
      </c>
      <c r="CI33">
        <v>1</v>
      </c>
      <c r="CJ33">
        <v>1</v>
      </c>
      <c r="CK33">
        <v>1</v>
      </c>
      <c r="CL33">
        <v>1</v>
      </c>
      <c r="CM33">
        <v>1</v>
      </c>
      <c r="CN33">
        <v>1</v>
      </c>
      <c r="CO33">
        <v>1</v>
      </c>
      <c r="CP33">
        <v>1</v>
      </c>
      <c r="CQ33">
        <v>1</v>
      </c>
      <c r="CR33">
        <v>1</v>
      </c>
      <c r="CS33">
        <v>1</v>
      </c>
      <c r="CT33">
        <v>1</v>
      </c>
      <c r="CU33">
        <v>1</v>
      </c>
      <c r="CV33">
        <v>1</v>
      </c>
      <c r="CW33">
        <v>1</v>
      </c>
      <c r="CX33">
        <v>1</v>
      </c>
      <c r="CY33">
        <v>1</v>
      </c>
      <c r="CZ33">
        <v>1</v>
      </c>
      <c r="DA33">
        <v>1</v>
      </c>
      <c r="DB33">
        <v>1</v>
      </c>
      <c r="DC33">
        <v>1</v>
      </c>
      <c r="DD33">
        <v>1</v>
      </c>
      <c r="DE33">
        <v>1</v>
      </c>
      <c r="DF33">
        <v>1</v>
      </c>
      <c r="DG33">
        <v>1</v>
      </c>
      <c r="DH33">
        <v>1</v>
      </c>
      <c r="DI33">
        <v>1</v>
      </c>
      <c r="DJ33">
        <v>1</v>
      </c>
      <c r="DK33">
        <v>1</v>
      </c>
      <c r="DL33">
        <v>1</v>
      </c>
      <c r="DM33">
        <v>1</v>
      </c>
      <c r="DN33">
        <v>1</v>
      </c>
      <c r="DQ33">
        <v>1</v>
      </c>
      <c r="DR33">
        <v>1</v>
      </c>
      <c r="DS33">
        <v>1</v>
      </c>
      <c r="DT33">
        <v>1</v>
      </c>
      <c r="DU33">
        <v>1</v>
      </c>
      <c r="DV33">
        <v>1</v>
      </c>
      <c r="DW33">
        <v>1</v>
      </c>
      <c r="DX33">
        <v>1</v>
      </c>
      <c r="DY33">
        <v>1</v>
      </c>
      <c r="DZ33">
        <v>1</v>
      </c>
      <c r="ED33">
        <v>1</v>
      </c>
      <c r="EE33">
        <v>1</v>
      </c>
      <c r="EF33">
        <v>1</v>
      </c>
      <c r="EG33">
        <v>1</v>
      </c>
      <c r="EH33">
        <v>1</v>
      </c>
      <c r="EI33">
        <v>1</v>
      </c>
      <c r="EJ33">
        <v>1</v>
      </c>
      <c r="EK33">
        <v>1</v>
      </c>
      <c r="ER33">
        <v>1</v>
      </c>
      <c r="ES33">
        <v>1</v>
      </c>
      <c r="ET33">
        <v>1</v>
      </c>
      <c r="EU33">
        <v>1</v>
      </c>
      <c r="EV33">
        <v>1</v>
      </c>
      <c r="EX33">
        <v>1</v>
      </c>
      <c r="FC33">
        <v>1</v>
      </c>
      <c r="FH33">
        <v>1</v>
      </c>
      <c r="FM33">
        <v>1</v>
      </c>
      <c r="FR33">
        <v>1</v>
      </c>
      <c r="FW33">
        <v>1</v>
      </c>
      <c r="GB33">
        <v>1</v>
      </c>
      <c r="GH33">
        <v>1</v>
      </c>
      <c r="GL33">
        <v>1</v>
      </c>
      <c r="GM33">
        <v>1</v>
      </c>
      <c r="GN33">
        <v>1</v>
      </c>
      <c r="GO33">
        <v>1</v>
      </c>
      <c r="GP33">
        <v>1</v>
      </c>
      <c r="GQ33">
        <v>1</v>
      </c>
      <c r="GR33">
        <v>1</v>
      </c>
      <c r="GS33">
        <v>1</v>
      </c>
      <c r="GU33">
        <v>1</v>
      </c>
      <c r="GV33">
        <v>1</v>
      </c>
    </row>
    <row r="34" spans="1:210" x14ac:dyDescent="0.2">
      <c r="A34" t="str">
        <f t="array" aca="1" ref="A34" ca="1">IF(ROWS(A$1:A13)&lt;=COUNTIF(INDIRECT($A$21),"?*"),INDEX(INDIRECT($A$21),MATCH(SMALL(IF(INDIRECT($A$21)&lt;&gt;"",COUNTIF(INDIRECT($A$21),"&lt;"&amp;INDIRECT($A$21))),ROWS(A$1:A13)),IF(INDIRECT($A$21)&lt;&gt;"",COUNTIF(INDIRECT($A$21),"&lt;"&amp;INDIRECT($A$21))),0)),"")</f>
        <v>Schiffer</v>
      </c>
      <c r="C34" t="str">
        <f t="shared" si="17"/>
        <v/>
      </c>
      <c r="E34" t="s">
        <v>930</v>
      </c>
      <c r="F34" t="s">
        <v>931</v>
      </c>
      <c r="H34">
        <v>1</v>
      </c>
      <c r="I34">
        <v>1</v>
      </c>
      <c r="J34">
        <v>1</v>
      </c>
      <c r="K34">
        <v>1</v>
      </c>
      <c r="L34">
        <v>1</v>
      </c>
      <c r="M34">
        <v>1</v>
      </c>
      <c r="N34">
        <v>1</v>
      </c>
      <c r="P34">
        <v>1</v>
      </c>
      <c r="Q34">
        <v>1</v>
      </c>
      <c r="R34">
        <v>1</v>
      </c>
      <c r="S34">
        <v>1</v>
      </c>
      <c r="T34">
        <v>1</v>
      </c>
      <c r="U34">
        <v>1</v>
      </c>
      <c r="V34">
        <v>1</v>
      </c>
      <c r="W34">
        <v>1</v>
      </c>
      <c r="X34">
        <v>1</v>
      </c>
      <c r="Y34">
        <v>1</v>
      </c>
      <c r="Z34">
        <v>1</v>
      </c>
      <c r="AA34">
        <v>1</v>
      </c>
      <c r="AB34">
        <v>1</v>
      </c>
      <c r="AC34">
        <v>1</v>
      </c>
      <c r="AD34">
        <v>1</v>
      </c>
      <c r="AE34">
        <v>1</v>
      </c>
      <c r="AF34">
        <v>1</v>
      </c>
      <c r="AG34">
        <v>1</v>
      </c>
      <c r="AH34">
        <v>1</v>
      </c>
      <c r="AQ34">
        <v>1</v>
      </c>
      <c r="AR34">
        <v>1</v>
      </c>
      <c r="AS34">
        <v>1</v>
      </c>
      <c r="AT34">
        <v>1</v>
      </c>
      <c r="AU34">
        <v>1</v>
      </c>
      <c r="AV34">
        <v>1</v>
      </c>
      <c r="AW34">
        <v>1</v>
      </c>
      <c r="AX34">
        <v>1</v>
      </c>
      <c r="AY34">
        <v>1</v>
      </c>
      <c r="AZ34">
        <v>1</v>
      </c>
      <c r="BA34">
        <v>1</v>
      </c>
      <c r="BB34">
        <v>1</v>
      </c>
      <c r="BC34">
        <v>1</v>
      </c>
      <c r="BD34">
        <v>1</v>
      </c>
      <c r="BE34">
        <v>1</v>
      </c>
      <c r="BF34">
        <v>1</v>
      </c>
      <c r="BG34">
        <v>1</v>
      </c>
      <c r="BH34">
        <v>1</v>
      </c>
      <c r="BI34">
        <v>1</v>
      </c>
      <c r="BJ34">
        <v>1</v>
      </c>
      <c r="BK34">
        <v>1</v>
      </c>
      <c r="BL34">
        <v>1</v>
      </c>
      <c r="BN34">
        <v>1</v>
      </c>
      <c r="BO34">
        <v>1</v>
      </c>
      <c r="BP34">
        <v>1</v>
      </c>
      <c r="BQ34">
        <v>1</v>
      </c>
      <c r="BR34">
        <v>1</v>
      </c>
      <c r="BS34">
        <v>1</v>
      </c>
      <c r="BT34">
        <v>1</v>
      </c>
      <c r="BU34">
        <v>1</v>
      </c>
      <c r="BV34">
        <v>1</v>
      </c>
      <c r="BW34">
        <v>1</v>
      </c>
      <c r="BX34">
        <v>1</v>
      </c>
      <c r="BY34">
        <v>1</v>
      </c>
      <c r="BZ34">
        <v>1</v>
      </c>
      <c r="CA34">
        <v>1</v>
      </c>
      <c r="CB34">
        <v>1</v>
      </c>
      <c r="CC34">
        <v>1</v>
      </c>
      <c r="CF34">
        <v>1</v>
      </c>
      <c r="CG34">
        <v>1</v>
      </c>
      <c r="CN34">
        <v>1</v>
      </c>
      <c r="CO34">
        <v>1</v>
      </c>
      <c r="CP34">
        <v>1</v>
      </c>
      <c r="CQ34">
        <v>1</v>
      </c>
      <c r="CR34">
        <v>1</v>
      </c>
      <c r="CS34">
        <v>1</v>
      </c>
      <c r="CT34">
        <v>1</v>
      </c>
      <c r="CU34">
        <v>1</v>
      </c>
      <c r="CV34">
        <v>1</v>
      </c>
      <c r="CW34">
        <v>1</v>
      </c>
      <c r="CX34">
        <v>1</v>
      </c>
      <c r="CY34">
        <v>1</v>
      </c>
      <c r="CZ34">
        <v>1</v>
      </c>
      <c r="DA34">
        <v>1</v>
      </c>
      <c r="DB34">
        <v>1</v>
      </c>
      <c r="DC34">
        <v>1</v>
      </c>
      <c r="DD34">
        <v>1</v>
      </c>
      <c r="DE34">
        <v>1</v>
      </c>
      <c r="DF34">
        <v>1</v>
      </c>
      <c r="DG34">
        <v>1</v>
      </c>
      <c r="DH34">
        <v>1</v>
      </c>
      <c r="DI34">
        <v>1</v>
      </c>
      <c r="DJ34">
        <v>1</v>
      </c>
      <c r="DK34">
        <v>1</v>
      </c>
      <c r="DL34">
        <v>1</v>
      </c>
      <c r="DM34">
        <v>1</v>
      </c>
      <c r="DN34">
        <v>1</v>
      </c>
      <c r="DQ34">
        <v>1</v>
      </c>
      <c r="DR34">
        <v>1</v>
      </c>
      <c r="DS34">
        <v>1</v>
      </c>
      <c r="DY34">
        <v>1</v>
      </c>
      <c r="DZ34">
        <v>1</v>
      </c>
      <c r="ED34">
        <v>1</v>
      </c>
      <c r="EE34">
        <v>1</v>
      </c>
      <c r="EF34">
        <v>1</v>
      </c>
      <c r="EG34">
        <v>1</v>
      </c>
      <c r="EH34">
        <v>1</v>
      </c>
      <c r="EI34">
        <v>1</v>
      </c>
      <c r="EJ34">
        <v>1</v>
      </c>
      <c r="EK34">
        <v>1</v>
      </c>
      <c r="ET34">
        <v>1</v>
      </c>
      <c r="EU34">
        <v>1</v>
      </c>
      <c r="GI34">
        <v>1</v>
      </c>
      <c r="GU34">
        <v>1</v>
      </c>
    </row>
    <row r="35" spans="1:210" x14ac:dyDescent="0.2">
      <c r="A35" t="str">
        <f t="array" aca="1" ref="A35" ca="1">IF(ROWS(A$1:A14)&lt;=COUNTIF(INDIRECT($A$21),"?*"),INDEX(INDIRECT($A$21),MATCH(SMALL(IF(INDIRECT($A$21)&lt;&gt;"",COUNTIF(INDIRECT($A$21),"&lt;"&amp;INDIRECT($A$21))),ROWS(A$1:A14)),IF(INDIRECT($A$21)&lt;&gt;"",COUNTIF(INDIRECT($A$21),"&lt;"&amp;INDIRECT($A$21))),0)),"")</f>
        <v>Schmuggler</v>
      </c>
      <c r="C35" t="str">
        <f t="shared" si="17"/>
        <v/>
      </c>
      <c r="E35" t="s">
        <v>2505</v>
      </c>
      <c r="F35" t="s">
        <v>932</v>
      </c>
      <c r="H35">
        <v>1</v>
      </c>
      <c r="I35">
        <v>1</v>
      </c>
      <c r="J35">
        <v>1</v>
      </c>
      <c r="K35">
        <v>1</v>
      </c>
      <c r="L35">
        <v>1</v>
      </c>
      <c r="M35">
        <v>1</v>
      </c>
      <c r="N35">
        <v>1</v>
      </c>
      <c r="P35">
        <v>1</v>
      </c>
      <c r="Q35">
        <v>1</v>
      </c>
      <c r="R35">
        <v>1</v>
      </c>
      <c r="S35">
        <v>1</v>
      </c>
      <c r="T35">
        <v>1</v>
      </c>
      <c r="U35">
        <v>1</v>
      </c>
      <c r="V35">
        <v>1</v>
      </c>
      <c r="W35">
        <v>1</v>
      </c>
      <c r="X35">
        <v>1</v>
      </c>
      <c r="Y35">
        <v>1</v>
      </c>
      <c r="Z35">
        <v>1</v>
      </c>
      <c r="AA35">
        <v>1</v>
      </c>
      <c r="AB35">
        <v>1</v>
      </c>
      <c r="AC35">
        <v>1</v>
      </c>
      <c r="AD35">
        <v>1</v>
      </c>
      <c r="AE35">
        <v>1</v>
      </c>
      <c r="AF35">
        <v>1</v>
      </c>
      <c r="AG35">
        <v>1</v>
      </c>
      <c r="AH35">
        <v>1</v>
      </c>
      <c r="AQ35">
        <v>1</v>
      </c>
      <c r="AR35">
        <v>1</v>
      </c>
      <c r="AS35">
        <v>1</v>
      </c>
      <c r="AT35">
        <v>1</v>
      </c>
      <c r="AU35">
        <v>1</v>
      </c>
      <c r="AV35">
        <v>1</v>
      </c>
      <c r="AW35">
        <v>1</v>
      </c>
      <c r="AX35">
        <v>1</v>
      </c>
      <c r="AY35">
        <v>1</v>
      </c>
      <c r="AZ35">
        <v>1</v>
      </c>
      <c r="BA35">
        <v>1</v>
      </c>
      <c r="BB35">
        <v>1</v>
      </c>
      <c r="BC35">
        <v>1</v>
      </c>
      <c r="BD35">
        <v>1</v>
      </c>
      <c r="BE35">
        <v>1</v>
      </c>
      <c r="BF35">
        <v>1</v>
      </c>
      <c r="BG35">
        <v>1</v>
      </c>
      <c r="BH35">
        <v>1</v>
      </c>
      <c r="BI35">
        <v>1</v>
      </c>
      <c r="BJ35">
        <v>1</v>
      </c>
      <c r="BK35">
        <v>1</v>
      </c>
      <c r="BL35">
        <v>1</v>
      </c>
      <c r="BN35">
        <v>1</v>
      </c>
      <c r="BO35">
        <v>1</v>
      </c>
      <c r="BP35">
        <v>1</v>
      </c>
      <c r="BQ35">
        <v>1</v>
      </c>
      <c r="BR35">
        <v>1</v>
      </c>
      <c r="BS35">
        <v>1</v>
      </c>
      <c r="BT35">
        <v>1</v>
      </c>
      <c r="BU35">
        <v>1</v>
      </c>
      <c r="BV35">
        <v>1</v>
      </c>
      <c r="BW35">
        <v>1</v>
      </c>
      <c r="BX35">
        <v>1</v>
      </c>
      <c r="BY35">
        <v>1</v>
      </c>
      <c r="BZ35">
        <v>1</v>
      </c>
      <c r="CA35">
        <v>1</v>
      </c>
      <c r="CB35">
        <v>1</v>
      </c>
      <c r="CC35">
        <v>1</v>
      </c>
      <c r="CF35">
        <v>1</v>
      </c>
      <c r="CG35">
        <v>1</v>
      </c>
      <c r="CN35">
        <v>1</v>
      </c>
      <c r="CO35">
        <v>1</v>
      </c>
      <c r="CP35">
        <v>1</v>
      </c>
      <c r="CQ35">
        <v>1</v>
      </c>
      <c r="CR35">
        <v>1</v>
      </c>
      <c r="CS35">
        <v>1</v>
      </c>
      <c r="CT35">
        <v>1</v>
      </c>
      <c r="CU35">
        <v>1</v>
      </c>
      <c r="CV35">
        <v>1</v>
      </c>
      <c r="CW35">
        <v>1</v>
      </c>
      <c r="CX35">
        <v>1</v>
      </c>
      <c r="CY35">
        <v>1</v>
      </c>
      <c r="CZ35">
        <v>1</v>
      </c>
      <c r="DA35">
        <v>1</v>
      </c>
      <c r="DB35">
        <v>1</v>
      </c>
      <c r="DC35">
        <v>1</v>
      </c>
      <c r="DD35">
        <v>1</v>
      </c>
      <c r="DE35">
        <v>1</v>
      </c>
      <c r="DF35">
        <v>1</v>
      </c>
      <c r="DQ35">
        <v>1</v>
      </c>
      <c r="DR35">
        <v>1</v>
      </c>
      <c r="DS35">
        <v>1</v>
      </c>
      <c r="DX35">
        <v>1</v>
      </c>
      <c r="DY35">
        <v>1</v>
      </c>
      <c r="DZ35">
        <v>1</v>
      </c>
      <c r="ED35">
        <v>1</v>
      </c>
      <c r="EE35">
        <v>1</v>
      </c>
      <c r="EF35">
        <v>1</v>
      </c>
      <c r="EG35">
        <v>1</v>
      </c>
      <c r="EH35">
        <v>1</v>
      </c>
      <c r="EI35">
        <v>1</v>
      </c>
      <c r="EJ35">
        <v>1</v>
      </c>
      <c r="EK35">
        <v>1</v>
      </c>
      <c r="ER35">
        <v>1</v>
      </c>
      <c r="ET35">
        <v>1</v>
      </c>
      <c r="EU35">
        <v>1</v>
      </c>
      <c r="GI35">
        <v>1</v>
      </c>
      <c r="GT35">
        <v>1</v>
      </c>
      <c r="GU35">
        <v>1</v>
      </c>
      <c r="GV35">
        <v>1</v>
      </c>
    </row>
    <row r="36" spans="1:210" x14ac:dyDescent="0.2">
      <c r="A36" t="str">
        <f t="array" aca="1" ref="A36" ca="1">IF(ROWS(A$1:A15)&lt;=COUNTIF(INDIRECT($A$21),"?*"),INDEX(INDIRECT($A$21),MATCH(SMALL(IF(INDIRECT($A$21)&lt;&gt;"",COUNTIF(INDIRECT($A$21),"&lt;"&amp;INDIRECT($A$21))),ROWS(A$1:A15)),IF(INDIRECT($A$21)&lt;&gt;"",COUNTIF(INDIRECT($A$21),"&lt;"&amp;INDIRECT($A$21))),0)),"")</f>
        <v>Seefahrer</v>
      </c>
      <c r="C36" t="str">
        <f t="shared" si="17"/>
        <v/>
      </c>
      <c r="E36" t="s">
        <v>6797</v>
      </c>
      <c r="F36" t="s">
        <v>933</v>
      </c>
      <c r="P36">
        <v>1</v>
      </c>
      <c r="Q36">
        <v>1</v>
      </c>
      <c r="R36">
        <v>1</v>
      </c>
      <c r="S36">
        <v>1</v>
      </c>
      <c r="T36">
        <v>1</v>
      </c>
      <c r="U36">
        <v>1</v>
      </c>
      <c r="V36">
        <v>1</v>
      </c>
      <c r="W36">
        <v>1</v>
      </c>
      <c r="X36">
        <v>1</v>
      </c>
      <c r="Y36">
        <v>1</v>
      </c>
      <c r="Z36">
        <v>1</v>
      </c>
      <c r="AA36">
        <v>1</v>
      </c>
      <c r="AB36">
        <v>1</v>
      </c>
      <c r="AC36">
        <v>1</v>
      </c>
      <c r="AD36">
        <v>1</v>
      </c>
      <c r="AE36">
        <v>1</v>
      </c>
      <c r="AF36">
        <v>1</v>
      </c>
      <c r="AG36">
        <v>1</v>
      </c>
      <c r="AH36">
        <v>1</v>
      </c>
      <c r="AQ36">
        <v>1</v>
      </c>
      <c r="AR36">
        <v>1</v>
      </c>
      <c r="AS36">
        <v>1</v>
      </c>
      <c r="AT36">
        <v>1</v>
      </c>
      <c r="AU36">
        <v>1</v>
      </c>
      <c r="AV36">
        <v>1</v>
      </c>
      <c r="AW36">
        <v>1</v>
      </c>
      <c r="AX36">
        <v>1</v>
      </c>
      <c r="AY36">
        <v>1</v>
      </c>
      <c r="AZ36">
        <v>1</v>
      </c>
      <c r="BA36">
        <v>1</v>
      </c>
      <c r="BB36">
        <v>1</v>
      </c>
      <c r="BC36">
        <v>1</v>
      </c>
      <c r="BD36">
        <v>1</v>
      </c>
      <c r="BE36">
        <v>1</v>
      </c>
      <c r="BF36">
        <v>1</v>
      </c>
      <c r="BG36">
        <v>1</v>
      </c>
      <c r="BH36">
        <v>1</v>
      </c>
      <c r="BI36">
        <v>1</v>
      </c>
      <c r="BJ36">
        <v>1</v>
      </c>
      <c r="BK36">
        <v>1</v>
      </c>
      <c r="BL36">
        <v>1</v>
      </c>
      <c r="BN36">
        <v>1</v>
      </c>
      <c r="BO36">
        <v>1</v>
      </c>
      <c r="BP36">
        <v>1</v>
      </c>
      <c r="BQ36">
        <v>1</v>
      </c>
      <c r="BR36">
        <v>1</v>
      </c>
      <c r="BS36">
        <v>1</v>
      </c>
      <c r="BT36">
        <v>1</v>
      </c>
      <c r="BU36">
        <v>1</v>
      </c>
      <c r="BV36">
        <v>1</v>
      </c>
      <c r="BW36">
        <v>1</v>
      </c>
      <c r="BX36">
        <v>1</v>
      </c>
      <c r="BY36">
        <v>1</v>
      </c>
      <c r="BZ36">
        <v>1</v>
      </c>
      <c r="CA36">
        <v>1</v>
      </c>
      <c r="CB36">
        <v>1</v>
      </c>
      <c r="CC36">
        <v>1</v>
      </c>
      <c r="CE36">
        <v>1</v>
      </c>
      <c r="CN36">
        <v>1</v>
      </c>
      <c r="CO36">
        <v>1</v>
      </c>
      <c r="CP36">
        <v>1</v>
      </c>
      <c r="CQ36">
        <v>1</v>
      </c>
      <c r="CR36">
        <v>1</v>
      </c>
      <c r="CS36">
        <v>1</v>
      </c>
      <c r="CT36">
        <v>1</v>
      </c>
      <c r="CU36">
        <v>1</v>
      </c>
      <c r="CV36">
        <v>1</v>
      </c>
      <c r="CW36">
        <v>1</v>
      </c>
      <c r="CX36">
        <v>1</v>
      </c>
      <c r="CY36">
        <v>1</v>
      </c>
      <c r="CZ36">
        <v>1</v>
      </c>
      <c r="DA36">
        <v>1</v>
      </c>
      <c r="DB36">
        <v>1</v>
      </c>
      <c r="DC36">
        <v>1</v>
      </c>
      <c r="DD36">
        <v>1</v>
      </c>
      <c r="DE36">
        <v>1</v>
      </c>
      <c r="DF36">
        <v>1</v>
      </c>
      <c r="DG36">
        <v>1</v>
      </c>
      <c r="DH36">
        <v>1</v>
      </c>
      <c r="DI36">
        <v>1</v>
      </c>
      <c r="DJ36">
        <v>1</v>
      </c>
      <c r="DK36">
        <v>1</v>
      </c>
      <c r="DL36">
        <v>1</v>
      </c>
      <c r="DM36">
        <v>1</v>
      </c>
      <c r="DN36">
        <v>1</v>
      </c>
      <c r="DQ36">
        <v>1</v>
      </c>
      <c r="DR36">
        <v>1</v>
      </c>
      <c r="DS36">
        <v>1</v>
      </c>
      <c r="DY36">
        <v>1</v>
      </c>
      <c r="DZ36">
        <v>1</v>
      </c>
      <c r="EG36">
        <v>1</v>
      </c>
      <c r="EH36">
        <v>1</v>
      </c>
      <c r="GR36">
        <v>1</v>
      </c>
      <c r="GS36">
        <v>1</v>
      </c>
      <c r="GU36">
        <v>1</v>
      </c>
      <c r="GV36">
        <v>1</v>
      </c>
      <c r="GW36">
        <v>1</v>
      </c>
      <c r="GX36">
        <v>1</v>
      </c>
      <c r="GY36">
        <v>1</v>
      </c>
      <c r="GZ36">
        <v>1</v>
      </c>
      <c r="HA36">
        <v>1</v>
      </c>
      <c r="HB36">
        <v>1</v>
      </c>
    </row>
    <row r="37" spans="1:210" x14ac:dyDescent="0.2">
      <c r="A37" t="str">
        <f t="array" aca="1" ref="A37" ca="1">IF(ROWS(A$1:A16)&lt;=COUNTIF(INDIRECT($A$21),"?*"),INDEX(INDIRECT($A$21),MATCH(SMALL(IF(INDIRECT($A$21)&lt;&gt;"",COUNTIF(INDIRECT($A$21),"&lt;"&amp;INDIRECT($A$21))),ROWS(A$1:A16)),IF(INDIRECT($A$21)&lt;&gt;"",COUNTIF(INDIRECT($A$21),"&lt;"&amp;INDIRECT($A$21))),0)),"")</f>
        <v>Straßenräuber</v>
      </c>
      <c r="C37" t="str">
        <f t="shared" si="17"/>
        <v/>
      </c>
      <c r="E37" t="s">
        <v>7662</v>
      </c>
      <c r="F37" t="s">
        <v>934</v>
      </c>
      <c r="H37">
        <v>1</v>
      </c>
      <c r="I37">
        <v>1</v>
      </c>
      <c r="J37">
        <v>1</v>
      </c>
      <c r="K37">
        <v>1</v>
      </c>
      <c r="L37">
        <v>1</v>
      </c>
      <c r="M37">
        <v>1</v>
      </c>
      <c r="N37">
        <v>1</v>
      </c>
      <c r="P37">
        <v>1</v>
      </c>
      <c r="Q37">
        <v>1</v>
      </c>
      <c r="R37">
        <v>1</v>
      </c>
      <c r="S37">
        <v>1</v>
      </c>
      <c r="T37">
        <v>1</v>
      </c>
      <c r="U37">
        <v>1</v>
      </c>
      <c r="V37">
        <v>1</v>
      </c>
      <c r="W37">
        <v>1</v>
      </c>
      <c r="X37">
        <v>1</v>
      </c>
      <c r="Y37">
        <v>1</v>
      </c>
      <c r="Z37">
        <v>1</v>
      </c>
      <c r="AA37">
        <v>1</v>
      </c>
      <c r="AB37">
        <v>1</v>
      </c>
      <c r="AC37">
        <v>1</v>
      </c>
      <c r="AD37">
        <v>1</v>
      </c>
      <c r="AE37">
        <v>1</v>
      </c>
      <c r="AF37">
        <v>1</v>
      </c>
      <c r="AG37">
        <v>1</v>
      </c>
      <c r="AH37">
        <v>1</v>
      </c>
      <c r="AN37">
        <v>1</v>
      </c>
      <c r="AZ37">
        <v>1</v>
      </c>
      <c r="BA37">
        <v>1</v>
      </c>
      <c r="BB37">
        <v>1</v>
      </c>
      <c r="BC37">
        <v>1</v>
      </c>
      <c r="BD37">
        <v>1</v>
      </c>
      <c r="BF37">
        <v>1</v>
      </c>
      <c r="BG37">
        <v>1</v>
      </c>
      <c r="BH37">
        <v>1</v>
      </c>
      <c r="BI37">
        <v>1</v>
      </c>
      <c r="BJ37">
        <v>1</v>
      </c>
      <c r="BK37">
        <v>1</v>
      </c>
      <c r="BL37">
        <v>1</v>
      </c>
      <c r="BN37">
        <v>1</v>
      </c>
      <c r="BO37">
        <v>1</v>
      </c>
      <c r="BP37">
        <v>1</v>
      </c>
      <c r="BQ37">
        <v>1</v>
      </c>
      <c r="BR37">
        <v>1</v>
      </c>
      <c r="BS37">
        <v>1</v>
      </c>
      <c r="BT37">
        <v>1</v>
      </c>
      <c r="BU37">
        <v>1</v>
      </c>
      <c r="BV37">
        <v>1</v>
      </c>
      <c r="CH37">
        <v>1</v>
      </c>
      <c r="CI37">
        <v>1</v>
      </c>
      <c r="CJ37">
        <v>1</v>
      </c>
      <c r="CK37">
        <v>1</v>
      </c>
      <c r="CN37">
        <v>1</v>
      </c>
      <c r="CO37">
        <v>1</v>
      </c>
      <c r="CP37">
        <v>1</v>
      </c>
      <c r="CQ37">
        <v>1</v>
      </c>
      <c r="CR37">
        <v>1</v>
      </c>
      <c r="CS37">
        <v>1</v>
      </c>
      <c r="CT37">
        <v>1</v>
      </c>
      <c r="CU37">
        <v>1</v>
      </c>
      <c r="CV37">
        <v>1</v>
      </c>
      <c r="CW37">
        <v>1</v>
      </c>
      <c r="CX37">
        <v>1</v>
      </c>
      <c r="CY37">
        <v>1</v>
      </c>
      <c r="CZ37">
        <v>1</v>
      </c>
      <c r="DA37">
        <v>1</v>
      </c>
      <c r="DB37">
        <v>1</v>
      </c>
      <c r="DC37">
        <v>1</v>
      </c>
      <c r="DD37">
        <v>1</v>
      </c>
      <c r="DE37">
        <v>1</v>
      </c>
      <c r="DF37">
        <v>1</v>
      </c>
      <c r="DP37">
        <v>1</v>
      </c>
      <c r="DQ37">
        <v>1</v>
      </c>
      <c r="DR37">
        <v>1</v>
      </c>
      <c r="DS37">
        <v>1</v>
      </c>
      <c r="DT37">
        <v>1</v>
      </c>
      <c r="DU37">
        <v>1</v>
      </c>
      <c r="DV37">
        <v>1</v>
      </c>
      <c r="DY37">
        <v>1</v>
      </c>
      <c r="DZ37">
        <v>1</v>
      </c>
      <c r="EU37">
        <v>1</v>
      </c>
      <c r="GF37">
        <v>1</v>
      </c>
      <c r="GJ37">
        <v>1</v>
      </c>
      <c r="GT37">
        <v>1</v>
      </c>
      <c r="GU37">
        <v>1</v>
      </c>
    </row>
    <row r="38" spans="1:210" x14ac:dyDescent="0.2">
      <c r="A38" t="str">
        <f>IF(OR(ISBLANK(KULTURGENE),KULTURGENE="LEER"),"",IF(HLOOKUP(KULTURGENE,LIST_K_G,ROW(),FALSE)="","",HLOOKUP(KULTURGENE,LIST_K_G,ROW(),FALSE)))</f>
        <v/>
      </c>
      <c r="AP38" t="s">
        <v>7696</v>
      </c>
      <c r="BG38" t="s">
        <v>7691</v>
      </c>
      <c r="BH38" t="s">
        <v>7691</v>
      </c>
      <c r="BI38" t="s">
        <v>7691</v>
      </c>
      <c r="BJ38" t="s">
        <v>7692</v>
      </c>
      <c r="BK38" t="s">
        <v>7691</v>
      </c>
      <c r="BL38" t="s">
        <v>7691</v>
      </c>
      <c r="CD38" t="s">
        <v>7697</v>
      </c>
      <c r="CE38" t="s">
        <v>7698</v>
      </c>
      <c r="CH38" t="s">
        <v>7693</v>
      </c>
      <c r="CI38" t="s">
        <v>7693</v>
      </c>
      <c r="CJ38" t="s">
        <v>7694</v>
      </c>
      <c r="CK38" t="s">
        <v>7694</v>
      </c>
      <c r="CL38" t="s">
        <v>7697</v>
      </c>
      <c r="CM38" t="s">
        <v>7697</v>
      </c>
      <c r="DG38" t="s">
        <v>8542</v>
      </c>
      <c r="DH38" t="s">
        <v>8542</v>
      </c>
      <c r="DI38" t="s">
        <v>8542</v>
      </c>
      <c r="DJ38" t="s">
        <v>8542</v>
      </c>
      <c r="DK38" t="s">
        <v>8542</v>
      </c>
      <c r="DL38" t="s">
        <v>8542</v>
      </c>
      <c r="DM38" t="s">
        <v>8542</v>
      </c>
      <c r="DN38" t="s">
        <v>8542</v>
      </c>
      <c r="DS38" t="s">
        <v>7692</v>
      </c>
      <c r="DX38" t="s">
        <v>7695</v>
      </c>
      <c r="ED38" t="s">
        <v>7699</v>
      </c>
      <c r="EE38" t="s">
        <v>7699</v>
      </c>
      <c r="EF38" t="s">
        <v>7699</v>
      </c>
      <c r="EG38" t="s">
        <v>7700</v>
      </c>
      <c r="EH38" t="s">
        <v>7700</v>
      </c>
      <c r="EI38" t="s">
        <v>7699</v>
      </c>
      <c r="EJ38" t="s">
        <v>7699</v>
      </c>
      <c r="EK38" t="s">
        <v>7699</v>
      </c>
      <c r="EV38" t="s">
        <v>7701</v>
      </c>
      <c r="EX38" t="s">
        <v>7702</v>
      </c>
      <c r="EZ38" t="s">
        <v>7703</v>
      </c>
      <c r="FC38" t="s">
        <v>7696</v>
      </c>
      <c r="FE38" t="s">
        <v>7703</v>
      </c>
      <c r="FH38" t="s">
        <v>7696</v>
      </c>
      <c r="FJ38" t="s">
        <v>7703</v>
      </c>
      <c r="FM38" t="s">
        <v>7696</v>
      </c>
      <c r="FO38" t="s">
        <v>7703</v>
      </c>
      <c r="FR38" t="s">
        <v>7696</v>
      </c>
      <c r="FT38" t="s">
        <v>7703</v>
      </c>
      <c r="FW38" t="s">
        <v>7696</v>
      </c>
      <c r="FY38" t="s">
        <v>7703</v>
      </c>
      <c r="GB38" t="s">
        <v>7696</v>
      </c>
      <c r="GD38" t="s">
        <v>7703</v>
      </c>
      <c r="GH38" t="s">
        <v>7696</v>
      </c>
      <c r="GJ38" t="s">
        <v>7703</v>
      </c>
      <c r="GL38" t="s">
        <v>7696</v>
      </c>
      <c r="GM38" t="s">
        <v>7696</v>
      </c>
      <c r="GN38" t="s">
        <v>7696</v>
      </c>
      <c r="GO38" t="s">
        <v>7696</v>
      </c>
      <c r="GP38" t="s">
        <v>7696</v>
      </c>
      <c r="GQ38" t="s">
        <v>7696</v>
      </c>
      <c r="GR38" t="s">
        <v>7704</v>
      </c>
      <c r="GS38" t="s">
        <v>7704</v>
      </c>
      <c r="GU38" t="s">
        <v>7695</v>
      </c>
      <c r="GV38" t="s">
        <v>7705</v>
      </c>
    </row>
    <row r="39" spans="1:210" x14ac:dyDescent="0.2">
      <c r="A39" t="str">
        <f>IF(Generierung!$D$4="Nach WdH - Start mit Rasse","C"&amp;IDX_P_HWK+1&amp;":C"&amp;IDX_P_HWK+16,"E"&amp;IDX_P_HWK+1&amp;":E"&amp;IDX_P_HWK+16)</f>
        <v>E40:E55</v>
      </c>
      <c r="E39" t="s">
        <v>7669</v>
      </c>
      <c r="G39">
        <f>ROW()</f>
        <v>39</v>
      </c>
      <c r="H39">
        <f t="shared" ref="H39:AM39" si="18">IF(COUNTIF(H40:H55,1)=0,"",1)</f>
        <v>1</v>
      </c>
      <c r="I39">
        <f t="shared" si="18"/>
        <v>1</v>
      </c>
      <c r="J39">
        <f t="shared" si="18"/>
        <v>1</v>
      </c>
      <c r="K39">
        <f t="shared" si="18"/>
        <v>1</v>
      </c>
      <c r="L39">
        <f t="shared" si="18"/>
        <v>1</v>
      </c>
      <c r="M39">
        <f t="shared" si="18"/>
        <v>1</v>
      </c>
      <c r="N39">
        <f t="shared" si="18"/>
        <v>1</v>
      </c>
      <c r="O39">
        <f t="shared" si="18"/>
        <v>1</v>
      </c>
      <c r="P39">
        <f t="shared" si="18"/>
        <v>1</v>
      </c>
      <c r="Q39">
        <f t="shared" si="18"/>
        <v>1</v>
      </c>
      <c r="R39">
        <f t="shared" si="18"/>
        <v>1</v>
      </c>
      <c r="S39">
        <f t="shared" si="18"/>
        <v>1</v>
      </c>
      <c r="T39">
        <f t="shared" si="18"/>
        <v>1</v>
      </c>
      <c r="U39">
        <f t="shared" si="18"/>
        <v>1</v>
      </c>
      <c r="V39">
        <f t="shared" si="18"/>
        <v>1</v>
      </c>
      <c r="W39">
        <f t="shared" si="18"/>
        <v>1</v>
      </c>
      <c r="X39">
        <f t="shared" si="18"/>
        <v>1</v>
      </c>
      <c r="Y39">
        <f t="shared" si="18"/>
        <v>1</v>
      </c>
      <c r="Z39">
        <f t="shared" si="18"/>
        <v>1</v>
      </c>
      <c r="AA39">
        <f t="shared" si="18"/>
        <v>1</v>
      </c>
      <c r="AB39">
        <f t="shared" si="18"/>
        <v>1</v>
      </c>
      <c r="AC39">
        <f t="shared" si="18"/>
        <v>1</v>
      </c>
      <c r="AD39">
        <f t="shared" si="18"/>
        <v>1</v>
      </c>
      <c r="AE39">
        <f t="shared" si="18"/>
        <v>1</v>
      </c>
      <c r="AF39">
        <f t="shared" si="18"/>
        <v>1</v>
      </c>
      <c r="AG39">
        <f t="shared" si="18"/>
        <v>1</v>
      </c>
      <c r="AH39">
        <f t="shared" si="18"/>
        <v>1</v>
      </c>
      <c r="AI39">
        <f t="shared" si="18"/>
        <v>1</v>
      </c>
      <c r="AJ39">
        <f t="shared" si="18"/>
        <v>1</v>
      </c>
      <c r="AK39">
        <f t="shared" si="18"/>
        <v>1</v>
      </c>
      <c r="AL39">
        <f t="shared" si="18"/>
        <v>1</v>
      </c>
      <c r="AM39">
        <f t="shared" si="18"/>
        <v>1</v>
      </c>
      <c r="AN39">
        <f t="shared" ref="AN39:BS39" si="19">IF(COUNTIF(AN40:AN55,1)=0,"",1)</f>
        <v>1</v>
      </c>
      <c r="AO39">
        <f t="shared" si="19"/>
        <v>1</v>
      </c>
      <c r="AP39">
        <f t="shared" si="19"/>
        <v>1</v>
      </c>
      <c r="AQ39">
        <f t="shared" si="19"/>
        <v>1</v>
      </c>
      <c r="AR39">
        <f t="shared" si="19"/>
        <v>1</v>
      </c>
      <c r="AS39">
        <f t="shared" si="19"/>
        <v>1</v>
      </c>
      <c r="AT39">
        <f t="shared" si="19"/>
        <v>1</v>
      </c>
      <c r="AU39">
        <f t="shared" si="19"/>
        <v>1</v>
      </c>
      <c r="AV39">
        <f t="shared" si="19"/>
        <v>1</v>
      </c>
      <c r="AW39">
        <f t="shared" si="19"/>
        <v>1</v>
      </c>
      <c r="AX39">
        <f t="shared" si="19"/>
        <v>1</v>
      </c>
      <c r="AY39">
        <f t="shared" si="19"/>
        <v>1</v>
      </c>
      <c r="AZ39">
        <f t="shared" si="19"/>
        <v>1</v>
      </c>
      <c r="BA39">
        <f t="shared" si="19"/>
        <v>1</v>
      </c>
      <c r="BB39">
        <f t="shared" si="19"/>
        <v>1</v>
      </c>
      <c r="BC39">
        <f t="shared" si="19"/>
        <v>1</v>
      </c>
      <c r="BD39">
        <f t="shared" si="19"/>
        <v>1</v>
      </c>
      <c r="BE39">
        <f t="shared" si="19"/>
        <v>1</v>
      </c>
      <c r="BF39">
        <f t="shared" si="19"/>
        <v>1</v>
      </c>
      <c r="BG39">
        <f t="shared" si="19"/>
        <v>1</v>
      </c>
      <c r="BH39">
        <f t="shared" si="19"/>
        <v>1</v>
      </c>
      <c r="BI39">
        <f t="shared" si="19"/>
        <v>1</v>
      </c>
      <c r="BJ39">
        <f t="shared" si="19"/>
        <v>1</v>
      </c>
      <c r="BK39">
        <f t="shared" si="19"/>
        <v>1</v>
      </c>
      <c r="BL39">
        <f t="shared" si="19"/>
        <v>1</v>
      </c>
      <c r="BM39">
        <f t="shared" si="19"/>
        <v>1</v>
      </c>
      <c r="BN39">
        <f t="shared" si="19"/>
        <v>1</v>
      </c>
      <c r="BO39">
        <f t="shared" si="19"/>
        <v>1</v>
      </c>
      <c r="BP39">
        <f t="shared" si="19"/>
        <v>1</v>
      </c>
      <c r="BQ39">
        <f t="shared" si="19"/>
        <v>1</v>
      </c>
      <c r="BR39">
        <f t="shared" si="19"/>
        <v>1</v>
      </c>
      <c r="BS39">
        <f t="shared" si="19"/>
        <v>1</v>
      </c>
      <c r="BT39">
        <f t="shared" ref="BT39:CZ39" si="20">IF(COUNTIF(BT40:BT55,1)=0,"",1)</f>
        <v>1</v>
      </c>
      <c r="BU39">
        <f t="shared" si="20"/>
        <v>1</v>
      </c>
      <c r="BV39">
        <f t="shared" si="20"/>
        <v>1</v>
      </c>
      <c r="BW39">
        <f t="shared" si="20"/>
        <v>1</v>
      </c>
      <c r="BX39">
        <f t="shared" si="20"/>
        <v>1</v>
      </c>
      <c r="BY39">
        <f t="shared" si="20"/>
        <v>1</v>
      </c>
      <c r="BZ39">
        <f t="shared" si="20"/>
        <v>1</v>
      </c>
      <c r="CA39">
        <f t="shared" si="20"/>
        <v>1</v>
      </c>
      <c r="CB39">
        <f t="shared" si="20"/>
        <v>1</v>
      </c>
      <c r="CC39">
        <f t="shared" si="20"/>
        <v>1</v>
      </c>
      <c r="CD39">
        <f t="shared" si="20"/>
        <v>1</v>
      </c>
      <c r="CE39">
        <f t="shared" si="20"/>
        <v>1</v>
      </c>
      <c r="CF39">
        <f t="shared" si="20"/>
        <v>1</v>
      </c>
      <c r="CG39">
        <v>1</v>
      </c>
      <c r="CH39">
        <f t="shared" si="20"/>
        <v>1</v>
      </c>
      <c r="CI39">
        <f t="shared" si="20"/>
        <v>1</v>
      </c>
      <c r="CJ39">
        <f t="shared" si="20"/>
        <v>1</v>
      </c>
      <c r="CK39">
        <f t="shared" si="20"/>
        <v>1</v>
      </c>
      <c r="CL39">
        <f t="shared" si="20"/>
        <v>1</v>
      </c>
      <c r="CM39">
        <f t="shared" si="20"/>
        <v>1</v>
      </c>
      <c r="CN39">
        <f t="shared" si="20"/>
        <v>1</v>
      </c>
      <c r="CO39">
        <f t="shared" si="20"/>
        <v>1</v>
      </c>
      <c r="CP39">
        <f t="shared" si="20"/>
        <v>1</v>
      </c>
      <c r="CQ39">
        <f t="shared" si="20"/>
        <v>1</v>
      </c>
      <c r="CR39">
        <f t="shared" si="20"/>
        <v>1</v>
      </c>
      <c r="CS39">
        <f t="shared" si="20"/>
        <v>1</v>
      </c>
      <c r="CT39">
        <f t="shared" si="20"/>
        <v>1</v>
      </c>
      <c r="CU39">
        <f t="shared" si="20"/>
        <v>1</v>
      </c>
      <c r="CV39">
        <f t="shared" si="20"/>
        <v>1</v>
      </c>
      <c r="CW39">
        <f t="shared" si="20"/>
        <v>1</v>
      </c>
      <c r="CX39">
        <f t="shared" si="20"/>
        <v>1</v>
      </c>
      <c r="CY39">
        <f t="shared" si="20"/>
        <v>1</v>
      </c>
      <c r="CZ39">
        <f t="shared" si="20"/>
        <v>1</v>
      </c>
      <c r="DA39">
        <f t="shared" ref="DA39:EL39" si="21">IF(COUNTIF(DA40:DA55,1)=0,"",1)</f>
        <v>1</v>
      </c>
      <c r="DB39">
        <f t="shared" si="21"/>
        <v>1</v>
      </c>
      <c r="DC39">
        <f t="shared" si="21"/>
        <v>1</v>
      </c>
      <c r="DD39">
        <f t="shared" si="21"/>
        <v>1</v>
      </c>
      <c r="DE39">
        <f t="shared" si="21"/>
        <v>1</v>
      </c>
      <c r="DF39">
        <f t="shared" si="21"/>
        <v>1</v>
      </c>
      <c r="DG39">
        <f t="shared" si="21"/>
        <v>1</v>
      </c>
      <c r="DH39">
        <f t="shared" si="21"/>
        <v>1</v>
      </c>
      <c r="DI39">
        <v>1</v>
      </c>
      <c r="DJ39">
        <v>1</v>
      </c>
      <c r="DK39">
        <v>1</v>
      </c>
      <c r="DL39">
        <v>1</v>
      </c>
      <c r="DM39">
        <v>1</v>
      </c>
      <c r="DN39">
        <v>1</v>
      </c>
      <c r="DO39">
        <f t="shared" si="21"/>
        <v>1</v>
      </c>
      <c r="DP39">
        <f t="shared" si="21"/>
        <v>1</v>
      </c>
      <c r="DQ39">
        <f t="shared" si="21"/>
        <v>1</v>
      </c>
      <c r="DR39">
        <f t="shared" si="21"/>
        <v>1</v>
      </c>
      <c r="DS39">
        <f t="shared" si="21"/>
        <v>1</v>
      </c>
      <c r="DT39">
        <f t="shared" si="21"/>
        <v>1</v>
      </c>
      <c r="DU39">
        <f t="shared" si="21"/>
        <v>1</v>
      </c>
      <c r="DV39">
        <f t="shared" si="21"/>
        <v>1</v>
      </c>
      <c r="DW39">
        <f t="shared" si="21"/>
        <v>1</v>
      </c>
      <c r="DX39">
        <f t="shared" si="21"/>
        <v>1</v>
      </c>
      <c r="DY39">
        <f t="shared" si="21"/>
        <v>1</v>
      </c>
      <c r="DZ39">
        <f t="shared" si="21"/>
        <v>1</v>
      </c>
      <c r="EA39" t="str">
        <f t="shared" si="21"/>
        <v/>
      </c>
      <c r="EB39" t="str">
        <f t="shared" si="21"/>
        <v/>
      </c>
      <c r="EC39" t="str">
        <f t="shared" si="21"/>
        <v/>
      </c>
      <c r="ED39">
        <f t="shared" si="21"/>
        <v>1</v>
      </c>
      <c r="EE39">
        <f t="shared" si="21"/>
        <v>1</v>
      </c>
      <c r="EF39">
        <f t="shared" si="21"/>
        <v>1</v>
      </c>
      <c r="EG39">
        <f t="shared" si="21"/>
        <v>1</v>
      </c>
      <c r="EH39">
        <f t="shared" si="21"/>
        <v>1</v>
      </c>
      <c r="EI39">
        <f t="shared" si="21"/>
        <v>1</v>
      </c>
      <c r="EJ39">
        <f t="shared" si="21"/>
        <v>1</v>
      </c>
      <c r="EK39">
        <f t="shared" si="21"/>
        <v>1</v>
      </c>
      <c r="EL39" t="str">
        <f t="shared" si="21"/>
        <v/>
      </c>
      <c r="EM39" t="str">
        <f t="shared" ref="EM39:FS39" si="22">IF(COUNTIF(EM40:EM55,1)=0,"",1)</f>
        <v/>
      </c>
      <c r="EN39" t="str">
        <f t="shared" si="22"/>
        <v/>
      </c>
      <c r="EO39" t="str">
        <f t="shared" si="22"/>
        <v/>
      </c>
      <c r="EP39" t="str">
        <f t="shared" ref="EP39" si="23">IF(COUNTIF(EP40:EP55,1)=0,"",1)</f>
        <v/>
      </c>
      <c r="EQ39" t="str">
        <f t="shared" si="22"/>
        <v/>
      </c>
      <c r="ER39">
        <f t="shared" si="22"/>
        <v>1</v>
      </c>
      <c r="ES39">
        <f t="shared" si="22"/>
        <v>1</v>
      </c>
      <c r="ET39">
        <f t="shared" si="22"/>
        <v>1</v>
      </c>
      <c r="EU39">
        <f t="shared" si="22"/>
        <v>1</v>
      </c>
      <c r="EV39">
        <f t="shared" si="22"/>
        <v>1</v>
      </c>
      <c r="EW39">
        <f t="shared" si="22"/>
        <v>1</v>
      </c>
      <c r="EX39">
        <f t="shared" si="22"/>
        <v>1</v>
      </c>
      <c r="EY39">
        <f t="shared" si="22"/>
        <v>1</v>
      </c>
      <c r="EZ39" t="str">
        <f t="shared" si="22"/>
        <v/>
      </c>
      <c r="FA39" t="str">
        <f t="shared" si="22"/>
        <v/>
      </c>
      <c r="FB39">
        <f t="shared" si="22"/>
        <v>1</v>
      </c>
      <c r="FC39">
        <f t="shared" si="22"/>
        <v>1</v>
      </c>
      <c r="FD39">
        <f t="shared" si="22"/>
        <v>1</v>
      </c>
      <c r="FE39" t="str">
        <f t="shared" si="22"/>
        <v/>
      </c>
      <c r="FF39" t="str">
        <f t="shared" si="22"/>
        <v/>
      </c>
      <c r="FG39">
        <f t="shared" si="22"/>
        <v>1</v>
      </c>
      <c r="FH39">
        <f t="shared" si="22"/>
        <v>1</v>
      </c>
      <c r="FI39">
        <f t="shared" si="22"/>
        <v>1</v>
      </c>
      <c r="FJ39" t="str">
        <f t="shared" si="22"/>
        <v/>
      </c>
      <c r="FK39" t="str">
        <f t="shared" si="22"/>
        <v/>
      </c>
      <c r="FL39">
        <f t="shared" si="22"/>
        <v>1</v>
      </c>
      <c r="FM39">
        <f t="shared" si="22"/>
        <v>1</v>
      </c>
      <c r="FN39">
        <f t="shared" si="22"/>
        <v>1</v>
      </c>
      <c r="FO39" t="str">
        <f t="shared" si="22"/>
        <v/>
      </c>
      <c r="FP39" t="str">
        <f t="shared" si="22"/>
        <v/>
      </c>
      <c r="FQ39">
        <f t="shared" si="22"/>
        <v>1</v>
      </c>
      <c r="FR39">
        <f t="shared" si="22"/>
        <v>1</v>
      </c>
      <c r="FS39">
        <f t="shared" si="22"/>
        <v>1</v>
      </c>
      <c r="FT39" t="str">
        <f t="shared" ref="FT39:GY39" si="24">IF(COUNTIF(FT40:FT55,1)=0,"",1)</f>
        <v/>
      </c>
      <c r="FU39" t="str">
        <f t="shared" si="24"/>
        <v/>
      </c>
      <c r="FV39">
        <f t="shared" si="24"/>
        <v>1</v>
      </c>
      <c r="FW39">
        <f t="shared" si="24"/>
        <v>1</v>
      </c>
      <c r="FX39">
        <f t="shared" si="24"/>
        <v>1</v>
      </c>
      <c r="FY39" t="str">
        <f t="shared" si="24"/>
        <v/>
      </c>
      <c r="FZ39" t="str">
        <f t="shared" si="24"/>
        <v/>
      </c>
      <c r="GA39">
        <f t="shared" si="24"/>
        <v>1</v>
      </c>
      <c r="GB39">
        <f t="shared" si="24"/>
        <v>1</v>
      </c>
      <c r="GC39">
        <f t="shared" si="24"/>
        <v>1</v>
      </c>
      <c r="GD39" t="str">
        <f t="shared" si="24"/>
        <v/>
      </c>
      <c r="GE39" t="str">
        <f t="shared" si="24"/>
        <v/>
      </c>
      <c r="GF39">
        <f t="shared" si="24"/>
        <v>1</v>
      </c>
      <c r="GG39">
        <f t="shared" si="24"/>
        <v>1</v>
      </c>
      <c r="GH39">
        <f t="shared" si="24"/>
        <v>1</v>
      </c>
      <c r="GI39">
        <f t="shared" si="24"/>
        <v>1</v>
      </c>
      <c r="GJ39" t="str">
        <f t="shared" si="24"/>
        <v/>
      </c>
      <c r="GK39" t="str">
        <f t="shared" si="24"/>
        <v/>
      </c>
      <c r="GL39" t="str">
        <f t="shared" si="24"/>
        <v/>
      </c>
      <c r="GM39">
        <f t="shared" si="24"/>
        <v>1</v>
      </c>
      <c r="GN39" t="str">
        <f t="shared" si="24"/>
        <v/>
      </c>
      <c r="GO39">
        <f t="shared" si="24"/>
        <v>1</v>
      </c>
      <c r="GP39" t="str">
        <f t="shared" si="24"/>
        <v/>
      </c>
      <c r="GQ39">
        <f t="shared" si="24"/>
        <v>1</v>
      </c>
      <c r="GR39" t="str">
        <f t="shared" si="24"/>
        <v/>
      </c>
      <c r="GS39">
        <f t="shared" si="24"/>
        <v>1</v>
      </c>
      <c r="GT39" t="str">
        <f t="shared" si="24"/>
        <v/>
      </c>
      <c r="GU39">
        <f t="shared" si="24"/>
        <v>1</v>
      </c>
      <c r="GV39">
        <f t="shared" si="24"/>
        <v>1</v>
      </c>
      <c r="GW39">
        <f t="shared" si="24"/>
        <v>1</v>
      </c>
      <c r="GX39">
        <f t="shared" si="24"/>
        <v>1</v>
      </c>
      <c r="GY39">
        <f t="shared" si="24"/>
        <v>1</v>
      </c>
      <c r="GZ39">
        <f>IF(COUNTIF(GZ40:GZ55,1)=0,"",1)</f>
        <v>1</v>
      </c>
      <c r="HA39">
        <f>IF(COUNTIF(HA40:HA55,1)=0,"",1)</f>
        <v>1</v>
      </c>
      <c r="HB39">
        <f>IF(COUNTIF(HB40:HB55,1)=0,"",1)</f>
        <v>1</v>
      </c>
    </row>
    <row r="40" spans="1:210" x14ac:dyDescent="0.2">
      <c r="A40" t="str">
        <f t="array" aca="1" ref="A40" ca="1">IF(ROWS(A$1:A1)&lt;=COUNTIF(INDIRECT($A$39),"?*"),INDEX(INDIRECT($A$39),MATCH(SMALL(IF(INDIRECT($A$39)&lt;&gt;"",COUNTIF(INDIRECT($A$39),"&lt;"&amp;INDIRECT($A$39))),ROWS(A$1:A1)),IF(INDIRECT($A$39)&lt;&gt;"",COUNTIF(INDIRECT($A$39),"&lt;"&amp;INDIRECT($A$39))),0)),"")</f>
        <v>Bader/Barbier</v>
      </c>
      <c r="C40" t="str">
        <f t="shared" ref="C40:C55" si="25">IF(OR(ISBLANK(KULTURGENE),KULTURGENE="LEER"),"",IF(HLOOKUP(KULTURGENE,LIST_K_G,ROW(),FALSE)&gt;0,E40,""))</f>
        <v/>
      </c>
      <c r="E40" t="s">
        <v>2057</v>
      </c>
      <c r="F40" t="s">
        <v>1879</v>
      </c>
      <c r="H40">
        <v>1</v>
      </c>
      <c r="I40">
        <v>1</v>
      </c>
      <c r="J40">
        <v>1</v>
      </c>
      <c r="K40">
        <v>1</v>
      </c>
      <c r="L40">
        <v>1</v>
      </c>
      <c r="M40">
        <v>1</v>
      </c>
      <c r="N40">
        <v>1</v>
      </c>
      <c r="P40">
        <v>1</v>
      </c>
      <c r="Q40">
        <v>1</v>
      </c>
      <c r="R40">
        <v>1</v>
      </c>
      <c r="S40">
        <v>1</v>
      </c>
      <c r="T40">
        <v>1</v>
      </c>
      <c r="U40">
        <v>1</v>
      </c>
      <c r="V40">
        <v>1</v>
      </c>
      <c r="W40">
        <v>1</v>
      </c>
      <c r="X40">
        <v>1</v>
      </c>
      <c r="Y40">
        <v>1</v>
      </c>
      <c r="Z40">
        <v>1</v>
      </c>
      <c r="AA40">
        <v>1</v>
      </c>
      <c r="AB40">
        <v>1</v>
      </c>
      <c r="AC40">
        <v>1</v>
      </c>
      <c r="AD40">
        <v>1</v>
      </c>
      <c r="AE40">
        <v>1</v>
      </c>
      <c r="AF40">
        <v>1</v>
      </c>
      <c r="AG40">
        <v>1</v>
      </c>
      <c r="AQ40">
        <v>1</v>
      </c>
      <c r="AR40">
        <v>1</v>
      </c>
      <c r="AS40">
        <v>1</v>
      </c>
      <c r="AT40">
        <v>1</v>
      </c>
      <c r="AU40">
        <v>1</v>
      </c>
      <c r="AV40">
        <v>1</v>
      </c>
      <c r="AW40">
        <v>1</v>
      </c>
      <c r="AX40">
        <v>1</v>
      </c>
      <c r="AY40">
        <v>1</v>
      </c>
      <c r="AZ40">
        <v>1</v>
      </c>
      <c r="BA40">
        <v>1</v>
      </c>
      <c r="BB40">
        <v>1</v>
      </c>
      <c r="BC40">
        <v>1</v>
      </c>
      <c r="BD40">
        <v>1</v>
      </c>
      <c r="BE40">
        <v>1</v>
      </c>
      <c r="BF40">
        <v>1</v>
      </c>
      <c r="BG40">
        <v>1</v>
      </c>
      <c r="BH40">
        <v>1</v>
      </c>
      <c r="BI40">
        <v>1</v>
      </c>
      <c r="BJ40">
        <v>1</v>
      </c>
      <c r="BK40">
        <v>1</v>
      </c>
      <c r="BL40">
        <v>1</v>
      </c>
      <c r="BN40">
        <v>1</v>
      </c>
      <c r="BO40">
        <v>1</v>
      </c>
      <c r="BP40">
        <v>1</v>
      </c>
      <c r="BQ40">
        <v>1</v>
      </c>
      <c r="BR40">
        <v>1</v>
      </c>
      <c r="BS40">
        <v>1</v>
      </c>
      <c r="BT40">
        <v>1</v>
      </c>
      <c r="BU40">
        <v>1</v>
      </c>
      <c r="BV40">
        <v>1</v>
      </c>
      <c r="BW40">
        <v>1</v>
      </c>
      <c r="BX40">
        <v>1</v>
      </c>
      <c r="BY40">
        <v>1</v>
      </c>
      <c r="BZ40">
        <v>1</v>
      </c>
      <c r="CA40">
        <v>1</v>
      </c>
      <c r="CB40">
        <v>1</v>
      </c>
      <c r="CC40">
        <v>1</v>
      </c>
      <c r="CF40">
        <v>1</v>
      </c>
      <c r="CG40">
        <v>1</v>
      </c>
      <c r="CN40">
        <v>1</v>
      </c>
      <c r="CO40">
        <v>1</v>
      </c>
      <c r="CP40">
        <v>1</v>
      </c>
      <c r="CQ40">
        <v>1</v>
      </c>
      <c r="CR40">
        <v>1</v>
      </c>
      <c r="CS40">
        <v>1</v>
      </c>
      <c r="CT40">
        <v>1</v>
      </c>
      <c r="CU40">
        <v>1</v>
      </c>
      <c r="CV40">
        <v>1</v>
      </c>
      <c r="CW40">
        <v>1</v>
      </c>
      <c r="CX40">
        <v>1</v>
      </c>
      <c r="CY40">
        <v>1</v>
      </c>
      <c r="CZ40">
        <v>1</v>
      </c>
      <c r="DA40">
        <v>1</v>
      </c>
      <c r="DB40">
        <v>1</v>
      </c>
      <c r="DC40">
        <v>1</v>
      </c>
      <c r="DD40">
        <v>1</v>
      </c>
      <c r="DE40">
        <v>1</v>
      </c>
      <c r="DF40">
        <v>1</v>
      </c>
      <c r="DG40">
        <v>1</v>
      </c>
      <c r="DH40">
        <v>1</v>
      </c>
      <c r="DI40">
        <v>1</v>
      </c>
      <c r="DJ40">
        <v>1</v>
      </c>
      <c r="DK40">
        <v>1</v>
      </c>
      <c r="DL40">
        <v>1</v>
      </c>
      <c r="DM40">
        <v>1</v>
      </c>
      <c r="DN40">
        <v>1</v>
      </c>
      <c r="DQ40">
        <v>1</v>
      </c>
      <c r="DR40">
        <v>1</v>
      </c>
      <c r="DS40">
        <v>1</v>
      </c>
      <c r="DX40">
        <v>1</v>
      </c>
      <c r="DY40">
        <v>1</v>
      </c>
      <c r="DZ40">
        <v>1</v>
      </c>
      <c r="EF40">
        <v>1</v>
      </c>
      <c r="ET40">
        <v>1</v>
      </c>
      <c r="EU40">
        <v>1</v>
      </c>
    </row>
    <row r="41" spans="1:210" x14ac:dyDescent="0.2">
      <c r="A41" t="str">
        <f t="array" aca="1" ref="A41" ca="1">IF(ROWS(A$1:A2)&lt;=COUNTIF(INDIRECT($A$39),"?*"),INDEX(INDIRECT($A$39),MATCH(SMALL(IF(INDIRECT($A$39)&lt;&gt;"",COUNTIF(INDIRECT($A$39),"&lt;"&amp;INDIRECT($A$39))),ROWS(A$1:A2)),IF(INDIRECT($A$39)&lt;&gt;"",COUNTIF(INDIRECT($A$39),"&lt;"&amp;INDIRECT($A$39))),0)),"")</f>
        <v>Bauer</v>
      </c>
      <c r="C41" t="str">
        <f t="shared" si="25"/>
        <v/>
      </c>
      <c r="E41" t="s">
        <v>952</v>
      </c>
      <c r="F41" t="s">
        <v>4275</v>
      </c>
      <c r="H41">
        <v>1</v>
      </c>
      <c r="I41">
        <v>1</v>
      </c>
      <c r="J41">
        <v>1</v>
      </c>
      <c r="K41">
        <v>1</v>
      </c>
      <c r="L41">
        <v>1</v>
      </c>
      <c r="M41">
        <v>1</v>
      </c>
      <c r="N41">
        <v>1</v>
      </c>
      <c r="P41">
        <v>1</v>
      </c>
      <c r="Q41">
        <v>1</v>
      </c>
      <c r="R41">
        <v>1</v>
      </c>
      <c r="S41">
        <v>1</v>
      </c>
      <c r="T41">
        <v>1</v>
      </c>
      <c r="U41">
        <v>1</v>
      </c>
      <c r="V41">
        <v>1</v>
      </c>
      <c r="W41">
        <v>1</v>
      </c>
      <c r="X41">
        <v>1</v>
      </c>
      <c r="Y41">
        <v>1</v>
      </c>
      <c r="Z41">
        <v>1</v>
      </c>
      <c r="AA41">
        <v>1</v>
      </c>
      <c r="AB41">
        <v>1</v>
      </c>
      <c r="AC41">
        <v>1</v>
      </c>
      <c r="AD41">
        <v>1</v>
      </c>
      <c r="AE41">
        <v>1</v>
      </c>
      <c r="AF41">
        <v>1</v>
      </c>
      <c r="AG41">
        <v>1</v>
      </c>
      <c r="AH41">
        <v>1</v>
      </c>
      <c r="AI41">
        <v>1</v>
      </c>
      <c r="AN41">
        <v>1</v>
      </c>
      <c r="AP41">
        <v>1</v>
      </c>
      <c r="AQ41">
        <v>1</v>
      </c>
      <c r="AR41">
        <v>1</v>
      </c>
      <c r="AS41">
        <v>1</v>
      </c>
      <c r="AT41">
        <v>1</v>
      </c>
      <c r="AU41">
        <v>1</v>
      </c>
      <c r="AV41">
        <v>1</v>
      </c>
      <c r="AW41">
        <v>1</v>
      </c>
      <c r="AX41">
        <v>1</v>
      </c>
      <c r="AY41">
        <v>1</v>
      </c>
      <c r="AZ41">
        <v>1</v>
      </c>
      <c r="BA41">
        <v>1</v>
      </c>
      <c r="BB41">
        <v>1</v>
      </c>
      <c r="BC41">
        <v>1</v>
      </c>
      <c r="BD41">
        <v>1</v>
      </c>
      <c r="BE41">
        <v>1</v>
      </c>
      <c r="BF41">
        <v>1</v>
      </c>
      <c r="BG41">
        <v>1</v>
      </c>
      <c r="BH41">
        <v>1</v>
      </c>
      <c r="BI41">
        <v>1</v>
      </c>
      <c r="BJ41">
        <v>1</v>
      </c>
      <c r="BK41">
        <v>1</v>
      </c>
      <c r="BL41">
        <v>1</v>
      </c>
      <c r="BN41">
        <v>1</v>
      </c>
      <c r="BO41">
        <v>1</v>
      </c>
      <c r="BP41">
        <v>1</v>
      </c>
      <c r="BQ41">
        <v>1</v>
      </c>
      <c r="BR41">
        <v>1</v>
      </c>
      <c r="BS41">
        <v>1</v>
      </c>
      <c r="BT41">
        <v>1</v>
      </c>
      <c r="BU41">
        <v>1</v>
      </c>
      <c r="BV41">
        <v>1</v>
      </c>
      <c r="BW41">
        <v>1</v>
      </c>
      <c r="BX41">
        <v>1</v>
      </c>
      <c r="BY41">
        <v>1</v>
      </c>
      <c r="BZ41">
        <v>1</v>
      </c>
      <c r="CA41">
        <v>1</v>
      </c>
      <c r="CB41">
        <v>1</v>
      </c>
      <c r="CC41">
        <v>1</v>
      </c>
      <c r="CG41">
        <v>1</v>
      </c>
      <c r="CH41">
        <v>1</v>
      </c>
      <c r="CI41">
        <v>1</v>
      </c>
      <c r="CJ41">
        <v>1</v>
      </c>
      <c r="CK41">
        <v>1</v>
      </c>
      <c r="CN41">
        <v>1</v>
      </c>
      <c r="CO41">
        <v>1</v>
      </c>
      <c r="CP41">
        <v>1</v>
      </c>
      <c r="CQ41">
        <v>1</v>
      </c>
      <c r="CR41">
        <v>1</v>
      </c>
      <c r="CS41">
        <v>1</v>
      </c>
      <c r="CT41">
        <v>1</v>
      </c>
      <c r="CU41">
        <v>1</v>
      </c>
      <c r="CV41">
        <v>1</v>
      </c>
      <c r="CW41">
        <v>1</v>
      </c>
      <c r="CX41">
        <v>1</v>
      </c>
      <c r="CY41">
        <v>1</v>
      </c>
      <c r="CZ41">
        <v>1</v>
      </c>
      <c r="DA41">
        <v>1</v>
      </c>
      <c r="DB41">
        <v>1</v>
      </c>
      <c r="DC41">
        <v>1</v>
      </c>
      <c r="DD41">
        <v>1</v>
      </c>
      <c r="DE41">
        <v>1</v>
      </c>
      <c r="DF41">
        <v>1</v>
      </c>
      <c r="DG41">
        <v>1</v>
      </c>
      <c r="DH41">
        <v>1</v>
      </c>
      <c r="DI41">
        <v>1</v>
      </c>
      <c r="DJ41">
        <v>1</v>
      </c>
      <c r="DK41">
        <v>1</v>
      </c>
      <c r="DL41">
        <v>1</v>
      </c>
      <c r="DM41">
        <v>1</v>
      </c>
      <c r="DN41">
        <v>1</v>
      </c>
      <c r="DP41">
        <v>1</v>
      </c>
      <c r="DQ41">
        <v>1</v>
      </c>
      <c r="DR41">
        <v>1</v>
      </c>
      <c r="DS41">
        <v>1</v>
      </c>
      <c r="DV41">
        <v>1</v>
      </c>
      <c r="DY41">
        <v>1</v>
      </c>
      <c r="DZ41">
        <v>1</v>
      </c>
      <c r="ED41">
        <v>1</v>
      </c>
      <c r="EE41">
        <v>1</v>
      </c>
      <c r="EF41">
        <v>1</v>
      </c>
      <c r="EI41">
        <v>1</v>
      </c>
      <c r="EJ41">
        <v>1</v>
      </c>
      <c r="EK41">
        <v>1</v>
      </c>
      <c r="ER41">
        <v>1</v>
      </c>
      <c r="ES41">
        <v>1</v>
      </c>
      <c r="ET41">
        <v>1</v>
      </c>
      <c r="EU41">
        <v>1</v>
      </c>
      <c r="EV41">
        <v>1</v>
      </c>
      <c r="EW41">
        <v>1</v>
      </c>
      <c r="EX41">
        <v>1</v>
      </c>
      <c r="FB41">
        <v>1</v>
      </c>
      <c r="FC41">
        <v>1</v>
      </c>
      <c r="FG41">
        <v>1</v>
      </c>
      <c r="FH41">
        <v>1</v>
      </c>
      <c r="FL41">
        <v>1</v>
      </c>
      <c r="FM41">
        <v>1</v>
      </c>
      <c r="FQ41">
        <v>1</v>
      </c>
      <c r="FR41">
        <v>1</v>
      </c>
      <c r="FV41">
        <v>1</v>
      </c>
      <c r="FW41">
        <v>1</v>
      </c>
      <c r="GA41">
        <v>1</v>
      </c>
      <c r="GB41">
        <v>1</v>
      </c>
      <c r="GF41">
        <v>1</v>
      </c>
      <c r="GG41">
        <v>1</v>
      </c>
      <c r="GH41">
        <v>1</v>
      </c>
    </row>
    <row r="42" spans="1:210" x14ac:dyDescent="0.2">
      <c r="A42" t="str">
        <f t="array" aca="1" ref="A42" ca="1">IF(ROWS(A$1:A3)&lt;=COUNTIF(INDIRECT($A$39),"?*"),INDEX(INDIRECT($A$39),MATCH(SMALL(IF(INDIRECT($A$39)&lt;&gt;"",COUNTIF(INDIRECT($A$39),"&lt;"&amp;INDIRECT($A$39))),ROWS(A$1:A3)),IF(INDIRECT($A$39)&lt;&gt;"",COUNTIF(INDIRECT($A$39),"&lt;"&amp;INDIRECT($A$39))),0)),"")</f>
        <v>Bergmann</v>
      </c>
      <c r="C42" t="str">
        <f t="shared" si="25"/>
        <v/>
      </c>
      <c r="E42" t="s">
        <v>4096</v>
      </c>
      <c r="F42" t="s">
        <v>4276</v>
      </c>
      <c r="H42">
        <v>1</v>
      </c>
      <c r="I42">
        <v>1</v>
      </c>
      <c r="J42">
        <v>1</v>
      </c>
      <c r="K42">
        <v>1</v>
      </c>
      <c r="L42">
        <v>1</v>
      </c>
      <c r="M42">
        <v>1</v>
      </c>
      <c r="N42">
        <v>1</v>
      </c>
      <c r="P42">
        <v>1</v>
      </c>
      <c r="Q42">
        <v>1</v>
      </c>
      <c r="R42">
        <v>1</v>
      </c>
      <c r="S42">
        <v>1</v>
      </c>
      <c r="T42">
        <v>1</v>
      </c>
      <c r="U42">
        <v>1</v>
      </c>
      <c r="V42">
        <v>1</v>
      </c>
      <c r="W42">
        <v>1</v>
      </c>
      <c r="X42">
        <v>1</v>
      </c>
      <c r="Y42">
        <v>1</v>
      </c>
      <c r="Z42">
        <v>1</v>
      </c>
      <c r="AA42">
        <v>1</v>
      </c>
      <c r="AB42">
        <v>1</v>
      </c>
      <c r="AC42">
        <v>1</v>
      </c>
      <c r="AD42">
        <v>1</v>
      </c>
      <c r="AE42">
        <v>1</v>
      </c>
      <c r="AF42">
        <v>1</v>
      </c>
      <c r="AG42">
        <v>1</v>
      </c>
      <c r="AQ42">
        <v>1</v>
      </c>
      <c r="AR42">
        <v>1</v>
      </c>
      <c r="AS42">
        <v>1</v>
      </c>
      <c r="AT42">
        <v>1</v>
      </c>
      <c r="AU42">
        <v>1</v>
      </c>
      <c r="AV42">
        <v>1</v>
      </c>
      <c r="AW42">
        <v>1</v>
      </c>
      <c r="AX42">
        <v>1</v>
      </c>
      <c r="AY42">
        <v>1</v>
      </c>
      <c r="AZ42">
        <v>1</v>
      </c>
      <c r="BA42">
        <v>1</v>
      </c>
      <c r="BB42">
        <v>1</v>
      </c>
      <c r="BC42">
        <v>1</v>
      </c>
      <c r="BD42">
        <v>1</v>
      </c>
      <c r="BE42">
        <v>1</v>
      </c>
      <c r="BF42">
        <v>1</v>
      </c>
      <c r="BG42">
        <v>1</v>
      </c>
      <c r="BH42">
        <v>1</v>
      </c>
      <c r="BI42">
        <v>1</v>
      </c>
      <c r="BJ42">
        <v>1</v>
      </c>
      <c r="BK42">
        <v>1</v>
      </c>
      <c r="BL42">
        <v>1</v>
      </c>
      <c r="BN42">
        <v>1</v>
      </c>
      <c r="BO42">
        <v>1</v>
      </c>
      <c r="BP42">
        <v>1</v>
      </c>
      <c r="BQ42">
        <v>1</v>
      </c>
      <c r="BR42">
        <v>1</v>
      </c>
      <c r="BS42">
        <v>1</v>
      </c>
      <c r="BT42">
        <v>1</v>
      </c>
      <c r="BU42">
        <v>1</v>
      </c>
      <c r="BV42">
        <v>1</v>
      </c>
      <c r="BW42">
        <v>1</v>
      </c>
      <c r="BX42">
        <v>1</v>
      </c>
      <c r="BY42">
        <v>1</v>
      </c>
      <c r="BZ42">
        <v>1</v>
      </c>
      <c r="CA42">
        <v>1</v>
      </c>
      <c r="CB42">
        <v>1</v>
      </c>
      <c r="CC42">
        <v>1</v>
      </c>
      <c r="CG42">
        <v>1</v>
      </c>
      <c r="CN42">
        <v>1</v>
      </c>
      <c r="CO42">
        <v>1</v>
      </c>
      <c r="CP42">
        <v>1</v>
      </c>
      <c r="CQ42">
        <v>1</v>
      </c>
      <c r="CR42">
        <v>1</v>
      </c>
      <c r="CS42">
        <v>1</v>
      </c>
      <c r="CT42">
        <v>1</v>
      </c>
      <c r="CU42">
        <v>1</v>
      </c>
      <c r="CV42">
        <v>1</v>
      </c>
      <c r="CW42">
        <v>1</v>
      </c>
      <c r="CX42">
        <v>1</v>
      </c>
      <c r="CY42">
        <v>1</v>
      </c>
      <c r="CZ42">
        <v>1</v>
      </c>
      <c r="DA42">
        <v>1</v>
      </c>
      <c r="DB42">
        <v>1</v>
      </c>
      <c r="DC42">
        <v>1</v>
      </c>
      <c r="DD42">
        <v>1</v>
      </c>
      <c r="DE42">
        <v>1</v>
      </c>
      <c r="DF42">
        <v>1</v>
      </c>
      <c r="DG42">
        <v>1</v>
      </c>
      <c r="DH42">
        <v>1</v>
      </c>
      <c r="DI42">
        <v>1</v>
      </c>
      <c r="DJ42">
        <v>1</v>
      </c>
      <c r="DK42">
        <v>1</v>
      </c>
      <c r="DL42">
        <v>1</v>
      </c>
      <c r="DM42">
        <v>1</v>
      </c>
      <c r="DN42">
        <v>1</v>
      </c>
      <c r="DQ42">
        <v>1</v>
      </c>
      <c r="DR42">
        <v>1</v>
      </c>
      <c r="DS42">
        <v>1</v>
      </c>
      <c r="DY42">
        <v>1</v>
      </c>
      <c r="DZ42">
        <v>1</v>
      </c>
      <c r="ER42">
        <v>1</v>
      </c>
      <c r="ES42">
        <v>1</v>
      </c>
      <c r="ET42">
        <v>1</v>
      </c>
      <c r="EU42">
        <v>1</v>
      </c>
      <c r="EV42">
        <v>1</v>
      </c>
      <c r="EX42">
        <v>1</v>
      </c>
      <c r="GH42">
        <v>1</v>
      </c>
    </row>
    <row r="43" spans="1:210" x14ac:dyDescent="0.2">
      <c r="A43" t="str">
        <f t="array" aca="1" ref="A43" ca="1">IF(ROWS(A$1:A4)&lt;=COUNTIF(INDIRECT($A$39),"?*"),INDEX(INDIRECT($A$39),MATCH(SMALL(IF(INDIRECT($A$39)&lt;&gt;"",COUNTIF(INDIRECT($A$39),"&lt;"&amp;INDIRECT($A$39))),ROWS(A$1:A4)),IF(INDIRECT($A$39)&lt;&gt;"",COUNTIF(INDIRECT($A$39),"&lt;"&amp;INDIRECT($A$39))),0)),"")</f>
        <v>Domestik</v>
      </c>
      <c r="C43" t="str">
        <f t="shared" si="25"/>
        <v/>
      </c>
      <c r="E43" t="s">
        <v>4277</v>
      </c>
      <c r="F43" t="s">
        <v>4278</v>
      </c>
      <c r="H43">
        <v>1</v>
      </c>
      <c r="I43">
        <v>1</v>
      </c>
      <c r="J43">
        <v>1</v>
      </c>
      <c r="K43">
        <v>1</v>
      </c>
      <c r="L43">
        <v>1</v>
      </c>
      <c r="M43">
        <v>1</v>
      </c>
      <c r="N43">
        <v>1</v>
      </c>
      <c r="P43">
        <v>1</v>
      </c>
      <c r="Q43">
        <v>1</v>
      </c>
      <c r="R43">
        <v>1</v>
      </c>
      <c r="S43">
        <v>1</v>
      </c>
      <c r="T43">
        <v>1</v>
      </c>
      <c r="U43">
        <v>1</v>
      </c>
      <c r="V43">
        <v>1</v>
      </c>
      <c r="W43">
        <v>1</v>
      </c>
      <c r="X43">
        <v>1</v>
      </c>
      <c r="Y43">
        <v>1</v>
      </c>
      <c r="Z43">
        <v>1</v>
      </c>
      <c r="AA43">
        <v>1</v>
      </c>
      <c r="AB43">
        <v>1</v>
      </c>
      <c r="AC43">
        <v>1</v>
      </c>
      <c r="AD43">
        <v>1</v>
      </c>
      <c r="AE43">
        <v>1</v>
      </c>
      <c r="AF43">
        <v>1</v>
      </c>
      <c r="AG43">
        <v>1</v>
      </c>
      <c r="AQ43">
        <v>1</v>
      </c>
      <c r="AR43">
        <v>1</v>
      </c>
      <c r="AS43">
        <v>1</v>
      </c>
      <c r="AT43">
        <v>1</v>
      </c>
      <c r="AU43">
        <v>1</v>
      </c>
      <c r="AV43">
        <v>1</v>
      </c>
      <c r="AW43">
        <v>1</v>
      </c>
      <c r="AX43">
        <v>1</v>
      </c>
      <c r="AY43">
        <v>1</v>
      </c>
      <c r="AZ43">
        <v>1</v>
      </c>
      <c r="BA43">
        <v>1</v>
      </c>
      <c r="BB43">
        <v>1</v>
      </c>
      <c r="BC43">
        <v>1</v>
      </c>
      <c r="BD43">
        <v>1</v>
      </c>
      <c r="BE43">
        <v>1</v>
      </c>
      <c r="BF43">
        <v>1</v>
      </c>
      <c r="BG43">
        <v>1</v>
      </c>
      <c r="BH43">
        <v>1</v>
      </c>
      <c r="BI43">
        <v>1</v>
      </c>
      <c r="BJ43">
        <v>1</v>
      </c>
      <c r="BK43">
        <v>1</v>
      </c>
      <c r="BL43">
        <v>1</v>
      </c>
      <c r="BN43">
        <v>1</v>
      </c>
      <c r="BO43">
        <v>1</v>
      </c>
      <c r="BP43">
        <v>1</v>
      </c>
      <c r="BQ43">
        <v>1</v>
      </c>
      <c r="BR43">
        <v>1</v>
      </c>
      <c r="BS43">
        <v>1</v>
      </c>
      <c r="BT43">
        <v>1</v>
      </c>
      <c r="BU43">
        <v>1</v>
      </c>
      <c r="BV43">
        <v>1</v>
      </c>
      <c r="BW43">
        <v>1</v>
      </c>
      <c r="BX43">
        <v>1</v>
      </c>
      <c r="BY43">
        <v>1</v>
      </c>
      <c r="BZ43">
        <v>1</v>
      </c>
      <c r="CA43">
        <v>1</v>
      </c>
      <c r="CB43">
        <v>1</v>
      </c>
      <c r="CC43">
        <v>1</v>
      </c>
      <c r="CH43">
        <v>1</v>
      </c>
      <c r="CI43">
        <v>1</v>
      </c>
      <c r="CJ43">
        <v>1</v>
      </c>
      <c r="CK43">
        <v>1</v>
      </c>
      <c r="CN43">
        <v>1</v>
      </c>
      <c r="CO43">
        <v>1</v>
      </c>
      <c r="CP43">
        <v>1</v>
      </c>
      <c r="CQ43">
        <v>1</v>
      </c>
      <c r="CR43">
        <v>1</v>
      </c>
      <c r="CS43">
        <v>1</v>
      </c>
      <c r="CT43">
        <v>1</v>
      </c>
      <c r="CU43">
        <v>1</v>
      </c>
      <c r="CV43">
        <v>1</v>
      </c>
      <c r="CW43">
        <v>1</v>
      </c>
      <c r="CX43">
        <v>1</v>
      </c>
      <c r="CY43">
        <v>1</v>
      </c>
      <c r="CZ43">
        <v>1</v>
      </c>
      <c r="DA43">
        <v>1</v>
      </c>
      <c r="DB43">
        <v>1</v>
      </c>
      <c r="DC43">
        <v>1</v>
      </c>
      <c r="DD43">
        <v>1</v>
      </c>
      <c r="DE43">
        <v>1</v>
      </c>
      <c r="DF43">
        <v>1</v>
      </c>
      <c r="DQ43">
        <v>1</v>
      </c>
      <c r="DR43">
        <v>1</v>
      </c>
      <c r="DS43">
        <v>1</v>
      </c>
      <c r="DY43">
        <v>1</v>
      </c>
      <c r="DZ43">
        <v>1</v>
      </c>
      <c r="ET43">
        <v>1</v>
      </c>
      <c r="EU43">
        <v>1</v>
      </c>
      <c r="GU43">
        <v>1</v>
      </c>
    </row>
    <row r="44" spans="1:210" x14ac:dyDescent="0.2">
      <c r="A44" t="str">
        <f t="array" aca="1" ref="A44" ca="1">IF(ROWS(A$1:A5)&lt;=COUNTIF(INDIRECT($A$39),"?*"),INDEX(INDIRECT($A$39),MATCH(SMALL(IF(INDIRECT($A$39)&lt;&gt;"",COUNTIF(INDIRECT($A$39),"&lt;"&amp;INDIRECT($A$39))),ROWS(A$1:A5)),IF(INDIRECT($A$39)&lt;&gt;"",COUNTIF(INDIRECT($A$39),"&lt;"&amp;INDIRECT($A$39))),0)),"")</f>
        <v>Edelhandwerker</v>
      </c>
      <c r="C44" t="str">
        <f t="shared" si="25"/>
        <v/>
      </c>
      <c r="E44" t="s">
        <v>107</v>
      </c>
      <c r="F44" t="s">
        <v>108</v>
      </c>
      <c r="H44">
        <v>1</v>
      </c>
      <c r="I44">
        <v>1</v>
      </c>
      <c r="J44">
        <v>1</v>
      </c>
      <c r="K44">
        <v>1</v>
      </c>
      <c r="L44">
        <v>1</v>
      </c>
      <c r="M44">
        <v>1</v>
      </c>
      <c r="N44">
        <v>1</v>
      </c>
      <c r="P44">
        <v>1</v>
      </c>
      <c r="Q44">
        <v>1</v>
      </c>
      <c r="R44">
        <v>1</v>
      </c>
      <c r="S44">
        <v>1</v>
      </c>
      <c r="T44">
        <v>1</v>
      </c>
      <c r="U44">
        <v>1</v>
      </c>
      <c r="V44">
        <v>1</v>
      </c>
      <c r="W44">
        <v>1</v>
      </c>
      <c r="X44">
        <v>1</v>
      </c>
      <c r="Y44">
        <v>1</v>
      </c>
      <c r="Z44">
        <v>1</v>
      </c>
      <c r="AA44">
        <v>1</v>
      </c>
      <c r="AB44">
        <v>1</v>
      </c>
      <c r="AC44">
        <v>1</v>
      </c>
      <c r="AD44">
        <v>1</v>
      </c>
      <c r="AE44">
        <v>1</v>
      </c>
      <c r="AF44">
        <v>1</v>
      </c>
      <c r="AG44">
        <v>1</v>
      </c>
      <c r="AQ44">
        <v>1</v>
      </c>
      <c r="AR44">
        <v>1</v>
      </c>
      <c r="AS44">
        <v>1</v>
      </c>
      <c r="AT44">
        <v>1</v>
      </c>
      <c r="AU44">
        <v>1</v>
      </c>
      <c r="AV44">
        <v>1</v>
      </c>
      <c r="AW44">
        <v>1</v>
      </c>
      <c r="AX44">
        <v>1</v>
      </c>
      <c r="AY44">
        <v>1</v>
      </c>
      <c r="AZ44">
        <v>1</v>
      </c>
      <c r="BA44">
        <v>1</v>
      </c>
      <c r="BB44">
        <v>1</v>
      </c>
      <c r="BC44">
        <v>1</v>
      </c>
      <c r="BD44">
        <v>1</v>
      </c>
      <c r="BE44">
        <v>1</v>
      </c>
      <c r="BF44">
        <v>1</v>
      </c>
      <c r="BW44">
        <v>1</v>
      </c>
      <c r="BX44">
        <v>1</v>
      </c>
      <c r="BY44">
        <v>1</v>
      </c>
      <c r="BZ44">
        <v>1</v>
      </c>
      <c r="CA44">
        <v>1</v>
      </c>
      <c r="CB44">
        <v>1</v>
      </c>
      <c r="CC44">
        <v>1</v>
      </c>
      <c r="CN44">
        <v>1</v>
      </c>
      <c r="CO44">
        <v>1</v>
      </c>
      <c r="CP44">
        <v>1</v>
      </c>
      <c r="CQ44">
        <v>1</v>
      </c>
      <c r="CR44">
        <v>1</v>
      </c>
      <c r="CS44">
        <v>1</v>
      </c>
      <c r="CT44">
        <v>1</v>
      </c>
      <c r="CU44">
        <v>1</v>
      </c>
      <c r="CV44">
        <v>1</v>
      </c>
      <c r="CW44">
        <v>1</v>
      </c>
      <c r="CX44">
        <v>1</v>
      </c>
      <c r="CY44">
        <v>1</v>
      </c>
      <c r="CZ44">
        <v>1</v>
      </c>
      <c r="DA44">
        <v>1</v>
      </c>
      <c r="DB44">
        <v>1</v>
      </c>
      <c r="DC44">
        <v>1</v>
      </c>
      <c r="DD44">
        <v>1</v>
      </c>
      <c r="DE44">
        <v>1</v>
      </c>
      <c r="DF44">
        <v>1</v>
      </c>
      <c r="DG44">
        <v>1</v>
      </c>
      <c r="DH44">
        <v>1</v>
      </c>
      <c r="DI44">
        <v>1</v>
      </c>
      <c r="DJ44">
        <v>1</v>
      </c>
      <c r="DK44">
        <v>1</v>
      </c>
      <c r="DL44">
        <v>1</v>
      </c>
      <c r="DM44">
        <v>1</v>
      </c>
      <c r="DN44">
        <v>1</v>
      </c>
      <c r="DQ44">
        <v>1</v>
      </c>
      <c r="DR44">
        <v>1</v>
      </c>
      <c r="DS44">
        <v>1</v>
      </c>
      <c r="DY44">
        <v>1</v>
      </c>
      <c r="DZ44">
        <v>1</v>
      </c>
      <c r="EF44">
        <v>1</v>
      </c>
      <c r="ER44">
        <v>1</v>
      </c>
      <c r="ES44">
        <v>1</v>
      </c>
      <c r="ET44">
        <v>1</v>
      </c>
      <c r="EU44">
        <v>1</v>
      </c>
      <c r="GV44">
        <v>1</v>
      </c>
    </row>
    <row r="45" spans="1:210" x14ac:dyDescent="0.2">
      <c r="A45" t="str">
        <f t="array" aca="1" ref="A45" ca="1">IF(ROWS(A$1:A6)&lt;=COUNTIF(INDIRECT($A$39),"?*"),INDEX(INDIRECT($A$39),MATCH(SMALL(IF(INDIRECT($A$39)&lt;&gt;"",COUNTIF(INDIRECT($A$39),"&lt;"&amp;INDIRECT($A$39))),ROWS(A$1:A6)),IF(INDIRECT($A$39)&lt;&gt;"",COUNTIF(INDIRECT($A$39),"&lt;"&amp;INDIRECT($A$39))),0)),"")</f>
        <v>Gelehrter</v>
      </c>
      <c r="C45" t="str">
        <f t="shared" si="25"/>
        <v/>
      </c>
      <c r="E45" t="s">
        <v>109</v>
      </c>
      <c r="F45" t="s">
        <v>110</v>
      </c>
      <c r="H45">
        <v>1</v>
      </c>
      <c r="I45">
        <v>1</v>
      </c>
      <c r="J45">
        <v>1</v>
      </c>
      <c r="K45">
        <v>1</v>
      </c>
      <c r="L45">
        <v>1</v>
      </c>
      <c r="M45">
        <v>1</v>
      </c>
      <c r="N45">
        <v>1</v>
      </c>
      <c r="V45">
        <v>1</v>
      </c>
      <c r="W45">
        <v>1</v>
      </c>
      <c r="X45">
        <v>1</v>
      </c>
      <c r="Y45">
        <v>1</v>
      </c>
      <c r="Z45">
        <v>1</v>
      </c>
      <c r="AA45">
        <v>1</v>
      </c>
      <c r="AB45">
        <v>1</v>
      </c>
      <c r="AC45">
        <v>1</v>
      </c>
      <c r="AD45">
        <v>1</v>
      </c>
      <c r="AE45">
        <v>1</v>
      </c>
      <c r="AF45">
        <v>1</v>
      </c>
      <c r="AG45">
        <v>1</v>
      </c>
      <c r="AQ45">
        <v>1</v>
      </c>
      <c r="AR45">
        <v>1</v>
      </c>
      <c r="AS45">
        <v>1</v>
      </c>
      <c r="AT45">
        <v>1</v>
      </c>
      <c r="AU45">
        <v>1</v>
      </c>
      <c r="AV45">
        <v>1</v>
      </c>
      <c r="AW45">
        <v>1</v>
      </c>
      <c r="AX45">
        <v>1</v>
      </c>
      <c r="AY45">
        <v>1</v>
      </c>
      <c r="AZ45">
        <v>1</v>
      </c>
      <c r="BA45">
        <v>1</v>
      </c>
      <c r="BB45">
        <v>1</v>
      </c>
      <c r="BC45">
        <v>1</v>
      </c>
      <c r="BD45">
        <v>1</v>
      </c>
      <c r="BE45">
        <v>1</v>
      </c>
      <c r="BF45">
        <v>1</v>
      </c>
      <c r="BW45">
        <v>1</v>
      </c>
      <c r="BX45">
        <v>1</v>
      </c>
      <c r="BY45">
        <v>1</v>
      </c>
      <c r="BZ45">
        <v>1</v>
      </c>
      <c r="CA45">
        <v>1</v>
      </c>
      <c r="CB45">
        <v>1</v>
      </c>
      <c r="CC45">
        <v>1</v>
      </c>
      <c r="CF45">
        <v>1</v>
      </c>
      <c r="CG45">
        <v>1</v>
      </c>
      <c r="CH45">
        <v>1</v>
      </c>
      <c r="CI45">
        <v>1</v>
      </c>
      <c r="CN45">
        <v>1</v>
      </c>
      <c r="CO45">
        <v>1</v>
      </c>
      <c r="CP45">
        <v>1</v>
      </c>
      <c r="CQ45">
        <v>1</v>
      </c>
      <c r="CR45">
        <v>1</v>
      </c>
      <c r="CS45">
        <v>1</v>
      </c>
      <c r="CT45">
        <v>1</v>
      </c>
      <c r="CU45">
        <v>1</v>
      </c>
      <c r="CV45">
        <v>1</v>
      </c>
      <c r="CW45">
        <v>1</v>
      </c>
      <c r="CX45">
        <v>1</v>
      </c>
      <c r="CY45">
        <v>1</v>
      </c>
      <c r="CZ45">
        <v>1</v>
      </c>
      <c r="DG45">
        <v>1</v>
      </c>
      <c r="DH45">
        <v>1</v>
      </c>
      <c r="DI45">
        <v>1</v>
      </c>
      <c r="DJ45">
        <v>1</v>
      </c>
      <c r="DK45">
        <v>1</v>
      </c>
      <c r="DL45">
        <v>1</v>
      </c>
      <c r="DM45">
        <v>1</v>
      </c>
      <c r="DN45">
        <v>1</v>
      </c>
      <c r="DQ45">
        <v>1</v>
      </c>
      <c r="DR45">
        <v>1</v>
      </c>
      <c r="DS45">
        <v>1</v>
      </c>
      <c r="DY45">
        <v>1</v>
      </c>
      <c r="DZ45">
        <v>1</v>
      </c>
      <c r="ER45">
        <v>1</v>
      </c>
      <c r="ES45">
        <v>1</v>
      </c>
      <c r="ET45">
        <v>1</v>
      </c>
      <c r="EU45">
        <v>1</v>
      </c>
      <c r="GV45">
        <v>1</v>
      </c>
    </row>
    <row r="46" spans="1:210" x14ac:dyDescent="0.2">
      <c r="A46" t="str">
        <f t="array" aca="1" ref="A46" ca="1">IF(ROWS(A$1:A7)&lt;=COUNTIF(INDIRECT($A$39),"?*"),INDEX(INDIRECT($A$39),MATCH(SMALL(IF(INDIRECT($A$39)&lt;&gt;"",COUNTIF(INDIRECT($A$39),"&lt;"&amp;INDIRECT($A$39))),ROWS(A$1:A7)),IF(INDIRECT($A$39)&lt;&gt;"",COUNTIF(INDIRECT($A$39),"&lt;"&amp;INDIRECT($A$39))),0)),"")</f>
        <v>Handwerker</v>
      </c>
      <c r="C46" t="str">
        <f t="shared" si="25"/>
        <v/>
      </c>
      <c r="E46" t="s">
        <v>111</v>
      </c>
      <c r="F46" t="s">
        <v>112</v>
      </c>
      <c r="H46">
        <v>1</v>
      </c>
      <c r="I46">
        <v>1</v>
      </c>
      <c r="J46">
        <v>1</v>
      </c>
      <c r="K46">
        <v>1</v>
      </c>
      <c r="L46">
        <v>1</v>
      </c>
      <c r="M46">
        <v>1</v>
      </c>
      <c r="N46">
        <v>1</v>
      </c>
      <c r="O46">
        <v>1</v>
      </c>
      <c r="P46">
        <v>1</v>
      </c>
      <c r="Q46">
        <v>1</v>
      </c>
      <c r="R46">
        <v>1</v>
      </c>
      <c r="S46">
        <v>1</v>
      </c>
      <c r="T46">
        <v>1</v>
      </c>
      <c r="U46">
        <v>1</v>
      </c>
      <c r="V46">
        <v>1</v>
      </c>
      <c r="W46">
        <v>1</v>
      </c>
      <c r="X46">
        <v>1</v>
      </c>
      <c r="Y46">
        <v>1</v>
      </c>
      <c r="Z46">
        <v>1</v>
      </c>
      <c r="AA46">
        <v>1</v>
      </c>
      <c r="AB46">
        <v>1</v>
      </c>
      <c r="AC46">
        <v>1</v>
      </c>
      <c r="AD46">
        <v>1</v>
      </c>
      <c r="AE46">
        <v>1</v>
      </c>
      <c r="AF46">
        <v>1</v>
      </c>
      <c r="AG46">
        <v>1</v>
      </c>
      <c r="AO46">
        <v>1</v>
      </c>
      <c r="AQ46">
        <v>1</v>
      </c>
      <c r="AR46">
        <v>1</v>
      </c>
      <c r="AS46">
        <v>1</v>
      </c>
      <c r="AT46">
        <v>1</v>
      </c>
      <c r="AU46">
        <v>1</v>
      </c>
      <c r="AV46">
        <v>1</v>
      </c>
      <c r="AW46">
        <v>1</v>
      </c>
      <c r="AX46">
        <v>1</v>
      </c>
      <c r="AY46">
        <v>1</v>
      </c>
      <c r="AZ46">
        <v>1</v>
      </c>
      <c r="BA46">
        <v>1</v>
      </c>
      <c r="BB46">
        <v>1</v>
      </c>
      <c r="BC46">
        <v>1</v>
      </c>
      <c r="BD46">
        <v>1</v>
      </c>
      <c r="BE46">
        <v>1</v>
      </c>
      <c r="BF46">
        <v>1</v>
      </c>
      <c r="BG46">
        <v>1</v>
      </c>
      <c r="BH46">
        <v>1</v>
      </c>
      <c r="BI46">
        <v>1</v>
      </c>
      <c r="BJ46">
        <v>1</v>
      </c>
      <c r="BK46">
        <v>1</v>
      </c>
      <c r="BL46">
        <v>1</v>
      </c>
      <c r="BN46">
        <v>1</v>
      </c>
      <c r="BO46">
        <v>1</v>
      </c>
      <c r="BP46">
        <v>1</v>
      </c>
      <c r="BQ46">
        <v>1</v>
      </c>
      <c r="BR46">
        <v>1</v>
      </c>
      <c r="BS46">
        <v>1</v>
      </c>
      <c r="BT46">
        <v>1</v>
      </c>
      <c r="BU46">
        <v>1</v>
      </c>
      <c r="BV46">
        <v>1</v>
      </c>
      <c r="BW46">
        <v>1</v>
      </c>
      <c r="BX46">
        <v>1</v>
      </c>
      <c r="BY46">
        <v>1</v>
      </c>
      <c r="BZ46">
        <v>1</v>
      </c>
      <c r="CA46">
        <v>1</v>
      </c>
      <c r="CB46">
        <v>1</v>
      </c>
      <c r="CC46">
        <v>1</v>
      </c>
      <c r="CF46">
        <v>1</v>
      </c>
      <c r="CG46">
        <v>1</v>
      </c>
      <c r="CH46">
        <v>1</v>
      </c>
      <c r="CI46">
        <v>1</v>
      </c>
      <c r="CN46">
        <v>1</v>
      </c>
      <c r="CO46">
        <v>1</v>
      </c>
      <c r="CP46">
        <v>1</v>
      </c>
      <c r="CQ46">
        <v>1</v>
      </c>
      <c r="CR46">
        <v>1</v>
      </c>
      <c r="CS46">
        <v>1</v>
      </c>
      <c r="CT46">
        <v>1</v>
      </c>
      <c r="CU46">
        <v>1</v>
      </c>
      <c r="CV46">
        <v>1</v>
      </c>
      <c r="CW46">
        <v>1</v>
      </c>
      <c r="CX46">
        <v>1</v>
      </c>
      <c r="CY46">
        <v>1</v>
      </c>
      <c r="CZ46">
        <v>1</v>
      </c>
      <c r="DA46">
        <v>1</v>
      </c>
      <c r="DB46">
        <v>1</v>
      </c>
      <c r="DC46">
        <v>1</v>
      </c>
      <c r="DD46">
        <v>1</v>
      </c>
      <c r="DE46">
        <v>1</v>
      </c>
      <c r="DF46">
        <v>1</v>
      </c>
      <c r="DG46">
        <v>1</v>
      </c>
      <c r="DH46">
        <v>1</v>
      </c>
      <c r="DI46">
        <v>1</v>
      </c>
      <c r="DJ46">
        <v>1</v>
      </c>
      <c r="DK46">
        <v>1</v>
      </c>
      <c r="DL46">
        <v>1</v>
      </c>
      <c r="DM46">
        <v>1</v>
      </c>
      <c r="DN46">
        <v>1</v>
      </c>
      <c r="DQ46">
        <v>1</v>
      </c>
      <c r="DR46">
        <v>1</v>
      </c>
      <c r="DS46">
        <v>1</v>
      </c>
      <c r="DX46">
        <v>1</v>
      </c>
      <c r="DY46">
        <v>1</v>
      </c>
      <c r="DZ46">
        <v>1</v>
      </c>
      <c r="ED46">
        <v>1</v>
      </c>
      <c r="EE46">
        <v>1</v>
      </c>
      <c r="EF46">
        <v>1</v>
      </c>
      <c r="EG46">
        <v>1</v>
      </c>
      <c r="EH46">
        <v>1</v>
      </c>
      <c r="EI46">
        <v>1</v>
      </c>
      <c r="EJ46">
        <v>1</v>
      </c>
      <c r="EK46">
        <v>1</v>
      </c>
      <c r="ER46">
        <v>1</v>
      </c>
      <c r="ES46">
        <v>1</v>
      </c>
      <c r="ET46">
        <v>1</v>
      </c>
      <c r="EU46">
        <v>1</v>
      </c>
      <c r="GU46">
        <v>1</v>
      </c>
      <c r="GV46">
        <v>1</v>
      </c>
      <c r="GW46">
        <v>1</v>
      </c>
      <c r="GX46">
        <v>1</v>
      </c>
      <c r="GY46">
        <v>1</v>
      </c>
      <c r="GZ46">
        <v>1</v>
      </c>
      <c r="HA46">
        <v>1</v>
      </c>
      <c r="HB46">
        <v>1</v>
      </c>
    </row>
    <row r="47" spans="1:210" x14ac:dyDescent="0.2">
      <c r="A47" t="str">
        <f t="array" aca="1" ref="A47" ca="1">IF(ROWS(A$1:A8)&lt;=COUNTIF(INDIRECT($A$39),"?*"),INDEX(INDIRECT($A$39),MATCH(SMALL(IF(INDIRECT($A$39)&lt;&gt;"",COUNTIF(INDIRECT($A$39),"&lt;"&amp;INDIRECT($A$39))),ROWS(A$1:A8)),IF(INDIRECT($A$39)&lt;&gt;"",COUNTIF(INDIRECT($A$39),"&lt;"&amp;INDIRECT($A$39))),0)),"")</f>
        <v>Handwerker archaisch Ferkinas</v>
      </c>
      <c r="C47" t="str">
        <f t="shared" si="25"/>
        <v/>
      </c>
      <c r="E47" t="s">
        <v>8471</v>
      </c>
      <c r="F47" t="s">
        <v>5908</v>
      </c>
      <c r="H47">
        <v>1</v>
      </c>
      <c r="I47">
        <v>1</v>
      </c>
      <c r="J47">
        <v>1</v>
      </c>
      <c r="K47">
        <v>1</v>
      </c>
      <c r="L47">
        <v>1</v>
      </c>
      <c r="M47">
        <v>1</v>
      </c>
      <c r="N47">
        <v>1</v>
      </c>
      <c r="P47">
        <v>1</v>
      </c>
      <c r="Q47">
        <v>1</v>
      </c>
      <c r="R47">
        <v>1</v>
      </c>
      <c r="S47">
        <v>1</v>
      </c>
      <c r="T47">
        <v>1</v>
      </c>
      <c r="U47">
        <v>1</v>
      </c>
      <c r="V47">
        <v>1</v>
      </c>
      <c r="W47">
        <v>1</v>
      </c>
      <c r="X47">
        <v>1</v>
      </c>
      <c r="Y47">
        <v>1</v>
      </c>
      <c r="Z47">
        <v>1</v>
      </c>
      <c r="AA47">
        <v>1</v>
      </c>
      <c r="AB47">
        <v>1</v>
      </c>
      <c r="AC47">
        <v>1</v>
      </c>
      <c r="AI47">
        <v>1</v>
      </c>
      <c r="AJ47">
        <v>1</v>
      </c>
      <c r="AK47">
        <v>1</v>
      </c>
      <c r="AL47">
        <v>1</v>
      </c>
      <c r="AM47">
        <v>1</v>
      </c>
      <c r="AQ47">
        <v>1</v>
      </c>
      <c r="AR47">
        <v>1</v>
      </c>
      <c r="AS47">
        <v>1</v>
      </c>
      <c r="AT47">
        <v>1</v>
      </c>
      <c r="AU47">
        <v>1</v>
      </c>
      <c r="AV47">
        <v>1</v>
      </c>
      <c r="AW47">
        <v>1</v>
      </c>
      <c r="AX47">
        <v>1</v>
      </c>
      <c r="AY47">
        <v>1</v>
      </c>
      <c r="AZ47">
        <v>1</v>
      </c>
      <c r="BA47">
        <v>1</v>
      </c>
      <c r="BB47">
        <v>1</v>
      </c>
      <c r="BC47">
        <v>1</v>
      </c>
      <c r="BD47">
        <v>1</v>
      </c>
      <c r="BE47">
        <v>1</v>
      </c>
      <c r="BF47">
        <v>1</v>
      </c>
      <c r="BG47">
        <v>1</v>
      </c>
      <c r="BH47">
        <v>1</v>
      </c>
      <c r="BI47">
        <v>1</v>
      </c>
      <c r="BJ47">
        <v>1</v>
      </c>
      <c r="BK47">
        <v>1</v>
      </c>
      <c r="BL47">
        <v>1</v>
      </c>
      <c r="BM47">
        <v>1</v>
      </c>
      <c r="CN47">
        <v>1</v>
      </c>
      <c r="CO47">
        <v>1</v>
      </c>
      <c r="CP47">
        <v>1</v>
      </c>
      <c r="CQ47">
        <v>1</v>
      </c>
      <c r="CR47">
        <v>1</v>
      </c>
      <c r="CS47">
        <v>1</v>
      </c>
      <c r="CT47">
        <v>1</v>
      </c>
      <c r="CU47">
        <v>1</v>
      </c>
      <c r="CV47">
        <v>1</v>
      </c>
      <c r="CW47">
        <v>1</v>
      </c>
      <c r="CX47">
        <v>1</v>
      </c>
      <c r="CY47">
        <v>1</v>
      </c>
      <c r="CZ47">
        <v>1</v>
      </c>
      <c r="DO47">
        <v>1</v>
      </c>
      <c r="DP47">
        <v>1</v>
      </c>
      <c r="DQ47">
        <v>1</v>
      </c>
      <c r="DR47">
        <v>1</v>
      </c>
      <c r="DS47">
        <v>1</v>
      </c>
      <c r="DT47">
        <v>1</v>
      </c>
      <c r="DU47">
        <v>1</v>
      </c>
      <c r="DV47">
        <v>1</v>
      </c>
      <c r="DW47">
        <v>1</v>
      </c>
      <c r="DY47">
        <v>1</v>
      </c>
      <c r="DZ47">
        <v>1</v>
      </c>
      <c r="GW47">
        <v>1</v>
      </c>
      <c r="GX47">
        <v>1</v>
      </c>
      <c r="GY47">
        <v>1</v>
      </c>
      <c r="GZ47">
        <v>1</v>
      </c>
      <c r="HA47">
        <v>1</v>
      </c>
      <c r="HB47">
        <v>1</v>
      </c>
    </row>
    <row r="48" spans="1:210" x14ac:dyDescent="0.2">
      <c r="A48" t="str">
        <f t="array" aca="1" ref="A48" ca="1">IF(ROWS(A$1:A9)&lt;=COUNTIF(INDIRECT($A$39),"?*"),INDEX(INDIRECT($A$39),MATCH(SMALL(IF(INDIRECT($A$39)&lt;&gt;"",COUNTIF(INDIRECT($A$39),"&lt;"&amp;INDIRECT($A$39))),ROWS(A$1:A9)),IF(INDIRECT($A$39)&lt;&gt;"",COUNTIF(INDIRECT($A$39),"&lt;"&amp;INDIRECT($A$39))),0)),"")</f>
        <v>Handwerker archaisch Norden</v>
      </c>
      <c r="C48" t="str">
        <f t="shared" si="25"/>
        <v/>
      </c>
      <c r="E48" t="s">
        <v>8472</v>
      </c>
      <c r="F48" t="s">
        <v>5911</v>
      </c>
      <c r="AN48">
        <v>1</v>
      </c>
    </row>
    <row r="49" spans="1:210" x14ac:dyDescent="0.2">
      <c r="A49" t="str">
        <f t="array" aca="1" ref="A49" ca="1">IF(ROWS(A$1:A10)&lt;=COUNTIF(INDIRECT($A$39),"?*"),INDEX(INDIRECT($A$39),MATCH(SMALL(IF(INDIRECT($A$39)&lt;&gt;"",COUNTIF(INDIRECT($A$39),"&lt;"&amp;INDIRECT($A$39))),ROWS(A$1:A10)),IF(INDIRECT($A$39)&lt;&gt;"",COUNTIF(INDIRECT($A$39),"&lt;"&amp;INDIRECT($A$39))),0)),"")</f>
        <v>Handwerker archaisch Orks</v>
      </c>
      <c r="C49" t="str">
        <f t="shared" si="25"/>
        <v/>
      </c>
      <c r="E49" t="s">
        <v>8473</v>
      </c>
      <c r="F49" t="s">
        <v>5910</v>
      </c>
      <c r="EY49">
        <v>1</v>
      </c>
      <c r="FD49">
        <v>1</v>
      </c>
      <c r="FI49">
        <v>1</v>
      </c>
      <c r="FN49">
        <v>1</v>
      </c>
      <c r="FS49">
        <v>1</v>
      </c>
      <c r="FX49">
        <v>1</v>
      </c>
      <c r="GC49">
        <v>1</v>
      </c>
      <c r="GI49">
        <v>1</v>
      </c>
    </row>
    <row r="50" spans="1:210" x14ac:dyDescent="0.2">
      <c r="A50" t="str">
        <f t="array" aca="1" ref="A50" ca="1">IF(ROWS(A$1:A11)&lt;=COUNTIF(INDIRECT($A$39),"?*"),INDEX(INDIRECT($A$39),MATCH(SMALL(IF(INDIRECT($A$39)&lt;&gt;"",COUNTIF(INDIRECT($A$39),"&lt;"&amp;INDIRECT($A$39))),ROWS(A$1:A11)),IF(INDIRECT($A$39)&lt;&gt;"",COUNTIF(INDIRECT($A$39),"&lt;"&amp;INDIRECT($A$39))),0)),"")</f>
        <v>Handwerker archaisch Süden &amp; Achaz</v>
      </c>
      <c r="C50" t="str">
        <f t="shared" si="25"/>
        <v/>
      </c>
      <c r="E50" t="s">
        <v>8474</v>
      </c>
      <c r="F50" t="s">
        <v>5909</v>
      </c>
      <c r="AD50">
        <v>1</v>
      </c>
      <c r="AE50">
        <v>1</v>
      </c>
      <c r="AF50">
        <v>1</v>
      </c>
      <c r="AG50">
        <v>1</v>
      </c>
      <c r="AO50">
        <v>1</v>
      </c>
      <c r="AP50">
        <v>1</v>
      </c>
      <c r="BN50">
        <v>1</v>
      </c>
      <c r="BO50">
        <v>1</v>
      </c>
      <c r="BP50">
        <v>1</v>
      </c>
      <c r="BQ50">
        <v>1</v>
      </c>
      <c r="BR50">
        <v>1</v>
      </c>
      <c r="BS50">
        <v>1</v>
      </c>
      <c r="BT50">
        <v>1</v>
      </c>
      <c r="BU50">
        <v>1</v>
      </c>
      <c r="BV50">
        <v>1</v>
      </c>
      <c r="BW50">
        <v>1</v>
      </c>
      <c r="BX50">
        <v>1</v>
      </c>
      <c r="BY50">
        <v>1</v>
      </c>
      <c r="BZ50">
        <v>1</v>
      </c>
      <c r="CA50">
        <v>1</v>
      </c>
      <c r="CB50">
        <v>1</v>
      </c>
      <c r="CC50">
        <v>1</v>
      </c>
      <c r="CD50">
        <v>1</v>
      </c>
      <c r="CE50">
        <v>1</v>
      </c>
      <c r="CG50">
        <v>1</v>
      </c>
      <c r="CL50">
        <v>1</v>
      </c>
      <c r="CM50">
        <v>1</v>
      </c>
      <c r="DA50">
        <v>1</v>
      </c>
      <c r="DB50">
        <v>1</v>
      </c>
      <c r="DC50">
        <v>1</v>
      </c>
      <c r="DD50">
        <v>1</v>
      </c>
      <c r="DE50">
        <v>1</v>
      </c>
      <c r="DF50">
        <v>1</v>
      </c>
      <c r="DG50">
        <v>1</v>
      </c>
      <c r="DH50">
        <v>1</v>
      </c>
      <c r="DI50">
        <v>1</v>
      </c>
      <c r="DJ50">
        <v>1</v>
      </c>
      <c r="DK50">
        <v>1</v>
      </c>
      <c r="DL50">
        <v>1</v>
      </c>
      <c r="DM50">
        <v>1</v>
      </c>
      <c r="DN50">
        <v>1</v>
      </c>
      <c r="GM50">
        <v>1</v>
      </c>
      <c r="GO50">
        <v>1</v>
      </c>
      <c r="GQ50">
        <v>1</v>
      </c>
      <c r="GS50">
        <v>1</v>
      </c>
    </row>
    <row r="51" spans="1:210" x14ac:dyDescent="0.2">
      <c r="A51" t="str">
        <f t="array" aca="1" ref="A51" ca="1">IF(ROWS(A$1:A12)&lt;=COUNTIF(INDIRECT($A$39),"?*"),INDEX(INDIRECT($A$39),MATCH(SMALL(IF(INDIRECT($A$39)&lt;&gt;"",COUNTIF(INDIRECT($A$39),"&lt;"&amp;INDIRECT($A$39))),ROWS(A$1:A12)),IF(INDIRECT($A$39)&lt;&gt;"",COUNTIF(INDIRECT($A$39),"&lt;"&amp;INDIRECT($A$39))),0)),"")</f>
        <v>Rattenfänger</v>
      </c>
      <c r="C51" t="str">
        <f t="shared" si="25"/>
        <v/>
      </c>
      <c r="E51" t="s">
        <v>2504</v>
      </c>
      <c r="F51" t="s">
        <v>113</v>
      </c>
      <c r="H51">
        <v>1</v>
      </c>
      <c r="I51">
        <v>1</v>
      </c>
      <c r="J51">
        <v>1</v>
      </c>
      <c r="K51">
        <v>1</v>
      </c>
      <c r="L51">
        <v>1</v>
      </c>
      <c r="M51">
        <v>1</v>
      </c>
      <c r="N51">
        <v>1</v>
      </c>
      <c r="P51">
        <v>1</v>
      </c>
      <c r="Q51">
        <v>1</v>
      </c>
      <c r="R51">
        <v>1</v>
      </c>
      <c r="S51">
        <v>1</v>
      </c>
      <c r="T51">
        <v>1</v>
      </c>
      <c r="U51">
        <v>1</v>
      </c>
      <c r="V51">
        <v>1</v>
      </c>
      <c r="W51">
        <v>1</v>
      </c>
      <c r="X51">
        <v>1</v>
      </c>
      <c r="Y51">
        <v>1</v>
      </c>
      <c r="Z51">
        <v>1</v>
      </c>
      <c r="AA51">
        <v>1</v>
      </c>
      <c r="AB51">
        <v>1</v>
      </c>
      <c r="AC51">
        <v>1</v>
      </c>
      <c r="AD51">
        <v>1</v>
      </c>
      <c r="AE51">
        <v>1</v>
      </c>
      <c r="AF51">
        <v>1</v>
      </c>
      <c r="AG51">
        <v>1</v>
      </c>
      <c r="AH51">
        <v>1</v>
      </c>
      <c r="AQ51">
        <v>1</v>
      </c>
      <c r="AR51">
        <v>1</v>
      </c>
      <c r="AS51">
        <v>1</v>
      </c>
      <c r="AT51">
        <v>1</v>
      </c>
      <c r="AU51">
        <v>1</v>
      </c>
      <c r="AV51">
        <v>1</v>
      </c>
      <c r="AW51">
        <v>1</v>
      </c>
      <c r="AX51">
        <v>1</v>
      </c>
      <c r="AY51">
        <v>1</v>
      </c>
      <c r="AZ51">
        <v>1</v>
      </c>
      <c r="BA51">
        <v>1</v>
      </c>
      <c r="BB51">
        <v>1</v>
      </c>
      <c r="BC51">
        <v>1</v>
      </c>
      <c r="BD51">
        <v>1</v>
      </c>
      <c r="BE51">
        <v>1</v>
      </c>
      <c r="BF51">
        <v>1</v>
      </c>
      <c r="BG51">
        <v>1</v>
      </c>
      <c r="BH51">
        <v>1</v>
      </c>
      <c r="BI51">
        <v>1</v>
      </c>
      <c r="BJ51">
        <v>1</v>
      </c>
      <c r="BK51">
        <v>1</v>
      </c>
      <c r="BL51">
        <v>1</v>
      </c>
      <c r="BN51">
        <v>1</v>
      </c>
      <c r="BO51">
        <v>1</v>
      </c>
      <c r="BP51">
        <v>1</v>
      </c>
      <c r="BQ51">
        <v>1</v>
      </c>
      <c r="BR51">
        <v>1</v>
      </c>
      <c r="BS51">
        <v>1</v>
      </c>
      <c r="BT51">
        <v>1</v>
      </c>
      <c r="BU51">
        <v>1</v>
      </c>
      <c r="BV51">
        <v>1</v>
      </c>
      <c r="BW51">
        <v>1</v>
      </c>
      <c r="BX51">
        <v>1</v>
      </c>
      <c r="BY51">
        <v>1</v>
      </c>
      <c r="BZ51">
        <v>1</v>
      </c>
      <c r="CA51">
        <v>1</v>
      </c>
      <c r="CB51">
        <v>1</v>
      </c>
      <c r="CC51">
        <v>1</v>
      </c>
      <c r="CN51">
        <v>1</v>
      </c>
      <c r="CO51">
        <v>1</v>
      </c>
      <c r="CP51">
        <v>1</v>
      </c>
      <c r="CQ51">
        <v>1</v>
      </c>
      <c r="CR51">
        <v>1</v>
      </c>
      <c r="CS51">
        <v>1</v>
      </c>
      <c r="CT51">
        <v>1</v>
      </c>
      <c r="CU51">
        <v>1</v>
      </c>
      <c r="CV51">
        <v>1</v>
      </c>
      <c r="CW51">
        <v>1</v>
      </c>
      <c r="CX51">
        <v>1</v>
      </c>
      <c r="CY51">
        <v>1</v>
      </c>
      <c r="CZ51">
        <v>1</v>
      </c>
      <c r="DA51">
        <v>1</v>
      </c>
      <c r="DB51">
        <v>1</v>
      </c>
      <c r="DC51">
        <v>1</v>
      </c>
      <c r="DD51">
        <v>1</v>
      </c>
      <c r="DE51">
        <v>1</v>
      </c>
      <c r="DF51">
        <v>1</v>
      </c>
      <c r="DQ51">
        <v>1</v>
      </c>
      <c r="DR51">
        <v>1</v>
      </c>
      <c r="DS51">
        <v>1</v>
      </c>
      <c r="DY51">
        <v>1</v>
      </c>
      <c r="DZ51">
        <v>1</v>
      </c>
      <c r="ET51">
        <v>1</v>
      </c>
      <c r="EU51">
        <v>1</v>
      </c>
      <c r="EV51">
        <v>1</v>
      </c>
      <c r="GF51">
        <v>1</v>
      </c>
      <c r="GU51">
        <v>1</v>
      </c>
    </row>
    <row r="52" spans="1:210" x14ac:dyDescent="0.2">
      <c r="A52" t="str">
        <f t="array" aca="1" ref="A52" ca="1">IF(ROWS(A$1:A13)&lt;=COUNTIF(INDIRECT($A$39),"?*"),INDEX(INDIRECT($A$39),MATCH(SMALL(IF(INDIRECT($A$39)&lt;&gt;"",COUNTIF(INDIRECT($A$39),"&lt;"&amp;INDIRECT($A$39))),ROWS(A$1:A13)),IF(INDIRECT($A$39)&lt;&gt;"",COUNTIF(INDIRECT($A$39),"&lt;"&amp;INDIRECT($A$39))),0)),"")</f>
        <v>Schreiber</v>
      </c>
      <c r="C52" t="str">
        <f t="shared" si="25"/>
        <v/>
      </c>
      <c r="E52" t="s">
        <v>2506</v>
      </c>
      <c r="F52" t="s">
        <v>114</v>
      </c>
      <c r="H52">
        <v>1</v>
      </c>
      <c r="I52">
        <v>1</v>
      </c>
      <c r="J52">
        <v>1</v>
      </c>
      <c r="K52">
        <v>1</v>
      </c>
      <c r="L52">
        <v>1</v>
      </c>
      <c r="M52">
        <v>1</v>
      </c>
      <c r="N52">
        <v>1</v>
      </c>
      <c r="P52">
        <v>1</v>
      </c>
      <c r="Q52">
        <v>1</v>
      </c>
      <c r="R52">
        <v>1</v>
      </c>
      <c r="S52">
        <v>1</v>
      </c>
      <c r="T52">
        <v>1</v>
      </c>
      <c r="U52">
        <v>1</v>
      </c>
      <c r="V52">
        <v>1</v>
      </c>
      <c r="W52">
        <v>1</v>
      </c>
      <c r="X52">
        <v>1</v>
      </c>
      <c r="Y52">
        <v>1</v>
      </c>
      <c r="Z52">
        <v>1</v>
      </c>
      <c r="AA52">
        <v>1</v>
      </c>
      <c r="AB52">
        <v>1</v>
      </c>
      <c r="AC52">
        <v>1</v>
      </c>
      <c r="AD52">
        <v>1</v>
      </c>
      <c r="AE52">
        <v>1</v>
      </c>
      <c r="AF52">
        <v>1</v>
      </c>
      <c r="AG52">
        <v>1</v>
      </c>
      <c r="AQ52">
        <v>1</v>
      </c>
      <c r="AR52">
        <v>1</v>
      </c>
      <c r="AS52">
        <v>1</v>
      </c>
      <c r="AT52">
        <v>1</v>
      </c>
      <c r="AU52">
        <v>1</v>
      </c>
      <c r="AV52">
        <v>1</v>
      </c>
      <c r="AW52">
        <v>1</v>
      </c>
      <c r="AX52">
        <v>1</v>
      </c>
      <c r="AY52">
        <v>1</v>
      </c>
      <c r="AZ52">
        <v>1</v>
      </c>
      <c r="BA52">
        <v>1</v>
      </c>
      <c r="BB52">
        <v>1</v>
      </c>
      <c r="BC52">
        <v>1</v>
      </c>
      <c r="BD52">
        <v>1</v>
      </c>
      <c r="BE52">
        <v>1</v>
      </c>
      <c r="BF52">
        <v>1</v>
      </c>
      <c r="BG52">
        <v>1</v>
      </c>
      <c r="BH52">
        <v>1</v>
      </c>
      <c r="BI52">
        <v>1</v>
      </c>
      <c r="BJ52">
        <v>1</v>
      </c>
      <c r="BK52">
        <v>1</v>
      </c>
      <c r="BL52">
        <v>1</v>
      </c>
      <c r="BN52">
        <v>1</v>
      </c>
      <c r="BO52">
        <v>1</v>
      </c>
      <c r="BP52">
        <v>1</v>
      </c>
      <c r="BQ52">
        <v>1</v>
      </c>
      <c r="BR52">
        <v>1</v>
      </c>
      <c r="BS52">
        <v>1</v>
      </c>
      <c r="BT52">
        <v>1</v>
      </c>
      <c r="BU52">
        <v>1</v>
      </c>
      <c r="BV52">
        <v>1</v>
      </c>
      <c r="BW52">
        <v>1</v>
      </c>
      <c r="BX52">
        <v>1</v>
      </c>
      <c r="BY52">
        <v>1</v>
      </c>
      <c r="BZ52">
        <v>1</v>
      </c>
      <c r="CA52">
        <v>1</v>
      </c>
      <c r="CB52">
        <v>1</v>
      </c>
      <c r="CC52">
        <v>1</v>
      </c>
      <c r="CN52">
        <v>1</v>
      </c>
      <c r="CO52">
        <v>1</v>
      </c>
      <c r="CP52">
        <v>1</v>
      </c>
      <c r="CQ52">
        <v>1</v>
      </c>
      <c r="CR52">
        <v>1</v>
      </c>
      <c r="CS52">
        <v>1</v>
      </c>
      <c r="CT52">
        <v>1</v>
      </c>
      <c r="CU52">
        <v>1</v>
      </c>
      <c r="CV52">
        <v>1</v>
      </c>
      <c r="CW52">
        <v>1</v>
      </c>
      <c r="CX52">
        <v>1</v>
      </c>
      <c r="CY52">
        <v>1</v>
      </c>
      <c r="CZ52">
        <v>1</v>
      </c>
      <c r="DA52">
        <v>1</v>
      </c>
      <c r="DB52">
        <v>1</v>
      </c>
      <c r="DC52">
        <v>1</v>
      </c>
      <c r="DD52">
        <v>1</v>
      </c>
      <c r="DE52">
        <v>1</v>
      </c>
      <c r="DF52">
        <v>1</v>
      </c>
      <c r="DG52">
        <v>1</v>
      </c>
      <c r="DH52">
        <v>1</v>
      </c>
      <c r="DI52">
        <v>1</v>
      </c>
      <c r="DJ52">
        <v>1</v>
      </c>
      <c r="DK52">
        <v>1</v>
      </c>
      <c r="DL52">
        <v>1</v>
      </c>
      <c r="DM52">
        <v>1</v>
      </c>
      <c r="DN52">
        <v>1</v>
      </c>
      <c r="DQ52">
        <v>1</v>
      </c>
      <c r="DR52">
        <v>1</v>
      </c>
      <c r="DS52">
        <v>1</v>
      </c>
      <c r="DY52">
        <v>1</v>
      </c>
      <c r="DZ52">
        <v>1</v>
      </c>
      <c r="ES52">
        <v>1</v>
      </c>
      <c r="ET52">
        <v>1</v>
      </c>
      <c r="EU52">
        <v>1</v>
      </c>
    </row>
    <row r="53" spans="1:210" ht="12" customHeight="1" x14ac:dyDescent="0.2">
      <c r="A53" t="str">
        <f t="array" aca="1" ref="A53" ca="1">IF(ROWS(A$1:A14)&lt;=COUNTIF(INDIRECT($A$39),"?*"),INDEX(INDIRECT($A$39),MATCH(SMALL(IF(INDIRECT($A$39)&lt;&gt;"",COUNTIF(INDIRECT($A$39),"&lt;"&amp;INDIRECT($A$39))),ROWS(A$1:A14)),IF(INDIRECT($A$39)&lt;&gt;"",COUNTIF(INDIRECT($A$39),"&lt;"&amp;INDIRECT($A$39))),0)),"")</f>
        <v>Tagelöhner</v>
      </c>
      <c r="C53" t="str">
        <f t="shared" si="25"/>
        <v/>
      </c>
      <c r="E53" t="s">
        <v>4680</v>
      </c>
      <c r="F53" t="s">
        <v>1875</v>
      </c>
      <c r="H53">
        <v>1</v>
      </c>
      <c r="I53">
        <v>1</v>
      </c>
      <c r="J53">
        <v>1</v>
      </c>
      <c r="K53">
        <v>1</v>
      </c>
      <c r="L53">
        <v>1</v>
      </c>
      <c r="M53">
        <v>1</v>
      </c>
      <c r="N53">
        <v>1</v>
      </c>
      <c r="P53">
        <v>1</v>
      </c>
      <c r="Q53">
        <v>1</v>
      </c>
      <c r="R53">
        <v>1</v>
      </c>
      <c r="S53">
        <v>1</v>
      </c>
      <c r="T53">
        <v>1</v>
      </c>
      <c r="U53">
        <v>1</v>
      </c>
      <c r="V53">
        <v>1</v>
      </c>
      <c r="W53">
        <v>1</v>
      </c>
      <c r="X53">
        <v>1</v>
      </c>
      <c r="Y53">
        <v>1</v>
      </c>
      <c r="Z53">
        <v>1</v>
      </c>
      <c r="AA53">
        <v>1</v>
      </c>
      <c r="AB53">
        <v>1</v>
      </c>
      <c r="AC53">
        <v>1</v>
      </c>
      <c r="AD53">
        <v>1</v>
      </c>
      <c r="AE53">
        <v>1</v>
      </c>
      <c r="AF53">
        <v>1</v>
      </c>
      <c r="AG53">
        <v>1</v>
      </c>
      <c r="AH53">
        <v>1</v>
      </c>
      <c r="AQ53">
        <v>1</v>
      </c>
      <c r="AR53">
        <v>1</v>
      </c>
      <c r="AS53">
        <v>1</v>
      </c>
      <c r="AT53">
        <v>1</v>
      </c>
      <c r="AU53">
        <v>1</v>
      </c>
      <c r="AV53">
        <v>1</v>
      </c>
      <c r="AW53">
        <v>1</v>
      </c>
      <c r="AX53">
        <v>1</v>
      </c>
      <c r="AY53">
        <v>1</v>
      </c>
      <c r="AZ53">
        <v>1</v>
      </c>
      <c r="BA53">
        <v>1</v>
      </c>
      <c r="BB53">
        <v>1</v>
      </c>
      <c r="BC53">
        <v>1</v>
      </c>
      <c r="BD53">
        <v>1</v>
      </c>
      <c r="BE53">
        <v>1</v>
      </c>
      <c r="BF53">
        <v>1</v>
      </c>
      <c r="BG53">
        <v>1</v>
      </c>
      <c r="BH53">
        <v>1</v>
      </c>
      <c r="BI53">
        <v>1</v>
      </c>
      <c r="BJ53">
        <v>1</v>
      </c>
      <c r="BK53">
        <v>1</v>
      </c>
      <c r="BL53">
        <v>1</v>
      </c>
      <c r="BN53">
        <v>1</v>
      </c>
      <c r="BO53">
        <v>1</v>
      </c>
      <c r="BP53">
        <v>1</v>
      </c>
      <c r="BQ53">
        <v>1</v>
      </c>
      <c r="BR53">
        <v>1</v>
      </c>
      <c r="BS53">
        <v>1</v>
      </c>
      <c r="BT53">
        <v>1</v>
      </c>
      <c r="BU53">
        <v>1</v>
      </c>
      <c r="BV53">
        <v>1</v>
      </c>
      <c r="BW53">
        <v>1</v>
      </c>
      <c r="BX53">
        <v>1</v>
      </c>
      <c r="BY53">
        <v>1</v>
      </c>
      <c r="BZ53">
        <v>1</v>
      </c>
      <c r="CA53">
        <v>1</v>
      </c>
      <c r="CB53">
        <v>1</v>
      </c>
      <c r="CC53">
        <v>1</v>
      </c>
      <c r="CG53">
        <v>1</v>
      </c>
      <c r="CH53">
        <v>1</v>
      </c>
      <c r="CI53">
        <v>1</v>
      </c>
      <c r="CJ53">
        <v>1</v>
      </c>
      <c r="CK53">
        <v>1</v>
      </c>
      <c r="CN53">
        <v>1</v>
      </c>
      <c r="CO53">
        <v>1</v>
      </c>
      <c r="CP53">
        <v>1</v>
      </c>
      <c r="CQ53">
        <v>1</v>
      </c>
      <c r="CR53">
        <v>1</v>
      </c>
      <c r="CS53">
        <v>1</v>
      </c>
      <c r="CT53">
        <v>1</v>
      </c>
      <c r="CU53">
        <v>1</v>
      </c>
      <c r="CV53">
        <v>1</v>
      </c>
      <c r="CW53">
        <v>1</v>
      </c>
      <c r="CX53">
        <v>1</v>
      </c>
      <c r="CY53">
        <v>1</v>
      </c>
      <c r="CZ53">
        <v>1</v>
      </c>
      <c r="DA53">
        <v>1</v>
      </c>
      <c r="DB53">
        <v>1</v>
      </c>
      <c r="DC53">
        <v>1</v>
      </c>
      <c r="DD53">
        <v>1</v>
      </c>
      <c r="DE53">
        <v>1</v>
      </c>
      <c r="DF53">
        <v>1</v>
      </c>
      <c r="DG53">
        <v>1</v>
      </c>
      <c r="DH53">
        <v>1</v>
      </c>
      <c r="DI53">
        <v>1</v>
      </c>
      <c r="DJ53">
        <v>1</v>
      </c>
      <c r="DK53">
        <v>1</v>
      </c>
      <c r="DL53">
        <v>1</v>
      </c>
      <c r="DM53">
        <v>1</v>
      </c>
      <c r="DN53">
        <v>1</v>
      </c>
      <c r="DQ53">
        <v>1</v>
      </c>
      <c r="DR53">
        <v>1</v>
      </c>
      <c r="DS53">
        <v>1</v>
      </c>
      <c r="DV53">
        <v>1</v>
      </c>
      <c r="DY53">
        <v>1</v>
      </c>
      <c r="DZ53">
        <v>1</v>
      </c>
      <c r="ER53">
        <v>1</v>
      </c>
      <c r="ES53">
        <v>1</v>
      </c>
      <c r="ET53">
        <v>1</v>
      </c>
      <c r="EU53">
        <v>1</v>
      </c>
      <c r="EV53">
        <v>1</v>
      </c>
      <c r="EW53">
        <v>1</v>
      </c>
      <c r="FB53">
        <v>1</v>
      </c>
      <c r="FG53">
        <v>1</v>
      </c>
      <c r="FL53">
        <v>1</v>
      </c>
      <c r="FQ53">
        <v>1</v>
      </c>
      <c r="FV53">
        <v>1</v>
      </c>
      <c r="GA53">
        <v>1</v>
      </c>
      <c r="GF53">
        <v>1</v>
      </c>
      <c r="GG53">
        <v>1</v>
      </c>
      <c r="GU53">
        <v>1</v>
      </c>
    </row>
    <row r="54" spans="1:210" x14ac:dyDescent="0.2">
      <c r="A54" t="str">
        <f t="array" aca="1" ref="A54" ca="1">IF(ROWS(A$1:A15)&lt;=COUNTIF(INDIRECT($A$39),"?*"),INDEX(INDIRECT($A$39),MATCH(SMALL(IF(INDIRECT($A$39)&lt;&gt;"",COUNTIF(INDIRECT($A$39),"&lt;"&amp;INDIRECT($A$39))),ROWS(A$1:A15)),IF(INDIRECT($A$39)&lt;&gt;"",COUNTIF(INDIRECT($A$39),"&lt;"&amp;INDIRECT($A$39))),0)),"")</f>
        <v>Tierbändiger</v>
      </c>
      <c r="C54" t="str">
        <f t="shared" si="25"/>
        <v/>
      </c>
      <c r="E54" t="s">
        <v>2974</v>
      </c>
      <c r="F54" t="s">
        <v>1880</v>
      </c>
      <c r="H54">
        <v>1</v>
      </c>
      <c r="I54">
        <v>1</v>
      </c>
      <c r="J54">
        <v>1</v>
      </c>
      <c r="K54">
        <v>1</v>
      </c>
      <c r="L54">
        <v>1</v>
      </c>
      <c r="M54">
        <v>1</v>
      </c>
      <c r="N54">
        <v>1</v>
      </c>
      <c r="O54">
        <v>1</v>
      </c>
      <c r="P54">
        <v>1</v>
      </c>
      <c r="Q54">
        <v>1</v>
      </c>
      <c r="R54">
        <v>1</v>
      </c>
      <c r="S54">
        <v>1</v>
      </c>
      <c r="T54">
        <v>1</v>
      </c>
      <c r="U54">
        <v>1</v>
      </c>
      <c r="V54">
        <v>1</v>
      </c>
      <c r="W54">
        <v>1</v>
      </c>
      <c r="X54">
        <v>1</v>
      </c>
      <c r="Y54">
        <v>1</v>
      </c>
      <c r="Z54">
        <v>1</v>
      </c>
      <c r="AA54">
        <v>1</v>
      </c>
      <c r="AB54">
        <v>1</v>
      </c>
      <c r="AC54">
        <v>1</v>
      </c>
      <c r="AD54">
        <v>1</v>
      </c>
      <c r="AE54">
        <v>1</v>
      </c>
      <c r="AF54">
        <v>1</v>
      </c>
      <c r="AG54">
        <v>1</v>
      </c>
      <c r="AI54">
        <v>1</v>
      </c>
      <c r="AJ54">
        <v>1</v>
      </c>
      <c r="AK54">
        <v>1</v>
      </c>
      <c r="AL54">
        <v>1</v>
      </c>
      <c r="AM54">
        <v>1</v>
      </c>
      <c r="AN54">
        <v>1</v>
      </c>
      <c r="AP54">
        <v>1</v>
      </c>
      <c r="AQ54">
        <v>1</v>
      </c>
      <c r="AR54">
        <v>1</v>
      </c>
      <c r="AS54">
        <v>1</v>
      </c>
      <c r="AT54">
        <v>1</v>
      </c>
      <c r="AU54">
        <v>1</v>
      </c>
      <c r="AV54">
        <v>1</v>
      </c>
      <c r="AW54">
        <v>1</v>
      </c>
      <c r="AX54">
        <v>1</v>
      </c>
      <c r="AY54">
        <v>1</v>
      </c>
      <c r="AZ54">
        <v>1</v>
      </c>
      <c r="BA54">
        <v>1</v>
      </c>
      <c r="BB54">
        <v>1</v>
      </c>
      <c r="BC54">
        <v>1</v>
      </c>
      <c r="BD54">
        <v>1</v>
      </c>
      <c r="BE54">
        <v>1</v>
      </c>
      <c r="BF54">
        <v>1</v>
      </c>
      <c r="BG54">
        <v>1</v>
      </c>
      <c r="BH54">
        <v>1</v>
      </c>
      <c r="BI54">
        <v>1</v>
      </c>
      <c r="BJ54">
        <v>1</v>
      </c>
      <c r="BK54">
        <v>1</v>
      </c>
      <c r="BL54">
        <v>1</v>
      </c>
      <c r="BM54">
        <v>1</v>
      </c>
      <c r="BN54">
        <v>1</v>
      </c>
      <c r="BO54">
        <v>1</v>
      </c>
      <c r="BP54">
        <v>1</v>
      </c>
      <c r="BQ54">
        <v>1</v>
      </c>
      <c r="BR54">
        <v>1</v>
      </c>
      <c r="BS54">
        <v>1</v>
      </c>
      <c r="BT54">
        <v>1</v>
      </c>
      <c r="BU54">
        <v>1</v>
      </c>
      <c r="BV54">
        <v>1</v>
      </c>
      <c r="BW54">
        <v>1</v>
      </c>
      <c r="BX54">
        <v>1</v>
      </c>
      <c r="BY54">
        <v>1</v>
      </c>
      <c r="BZ54">
        <v>1</v>
      </c>
      <c r="CA54">
        <v>1</v>
      </c>
      <c r="CB54">
        <v>1</v>
      </c>
      <c r="CC54">
        <v>1</v>
      </c>
      <c r="CD54">
        <v>1</v>
      </c>
      <c r="CE54">
        <v>1</v>
      </c>
      <c r="CF54">
        <v>1</v>
      </c>
      <c r="CG54">
        <v>1</v>
      </c>
      <c r="CH54">
        <v>1</v>
      </c>
      <c r="CI54">
        <v>1</v>
      </c>
      <c r="CJ54">
        <v>1</v>
      </c>
      <c r="CK54">
        <v>1</v>
      </c>
      <c r="CN54">
        <v>1</v>
      </c>
      <c r="CO54">
        <v>1</v>
      </c>
      <c r="CP54">
        <v>1</v>
      </c>
      <c r="CQ54">
        <v>1</v>
      </c>
      <c r="CR54">
        <v>1</v>
      </c>
      <c r="CS54">
        <v>1</v>
      </c>
      <c r="CT54">
        <v>1</v>
      </c>
      <c r="CU54">
        <v>1</v>
      </c>
      <c r="CV54">
        <v>1</v>
      </c>
      <c r="CW54">
        <v>1</v>
      </c>
      <c r="CX54">
        <v>1</v>
      </c>
      <c r="CY54">
        <v>1</v>
      </c>
      <c r="CZ54">
        <v>1</v>
      </c>
      <c r="DA54">
        <v>1</v>
      </c>
      <c r="DB54">
        <v>1</v>
      </c>
      <c r="DC54">
        <v>1</v>
      </c>
      <c r="DD54">
        <v>1</v>
      </c>
      <c r="DE54">
        <v>1</v>
      </c>
      <c r="DF54">
        <v>1</v>
      </c>
      <c r="DG54">
        <v>1</v>
      </c>
      <c r="DH54">
        <v>1</v>
      </c>
      <c r="DI54">
        <v>1</v>
      </c>
      <c r="DJ54">
        <v>1</v>
      </c>
      <c r="DK54">
        <v>1</v>
      </c>
      <c r="DL54">
        <v>1</v>
      </c>
      <c r="DM54">
        <v>1</v>
      </c>
      <c r="DN54">
        <v>1</v>
      </c>
      <c r="DO54">
        <v>1</v>
      </c>
      <c r="DQ54">
        <v>1</v>
      </c>
      <c r="DR54">
        <v>1</v>
      </c>
      <c r="DS54">
        <v>1</v>
      </c>
      <c r="DT54">
        <v>1</v>
      </c>
      <c r="DU54">
        <v>1</v>
      </c>
      <c r="DV54">
        <v>1</v>
      </c>
      <c r="DW54">
        <v>1</v>
      </c>
      <c r="DX54">
        <v>1</v>
      </c>
      <c r="DY54">
        <v>1</v>
      </c>
      <c r="DZ54">
        <v>1</v>
      </c>
      <c r="ED54">
        <v>1</v>
      </c>
      <c r="EE54">
        <v>1</v>
      </c>
      <c r="EF54">
        <v>1</v>
      </c>
      <c r="EG54">
        <v>1</v>
      </c>
      <c r="EH54">
        <v>1</v>
      </c>
      <c r="EI54">
        <v>1</v>
      </c>
      <c r="EJ54">
        <v>1</v>
      </c>
      <c r="EK54">
        <v>1</v>
      </c>
      <c r="ET54">
        <v>1</v>
      </c>
      <c r="EU54">
        <v>1</v>
      </c>
      <c r="EV54">
        <v>1</v>
      </c>
      <c r="EY54">
        <v>1</v>
      </c>
      <c r="FD54">
        <v>1</v>
      </c>
      <c r="FI54">
        <v>1</v>
      </c>
      <c r="FN54">
        <v>1</v>
      </c>
      <c r="FS54">
        <v>1</v>
      </c>
      <c r="FX54">
        <v>1</v>
      </c>
      <c r="GC54">
        <v>1</v>
      </c>
      <c r="GI54">
        <v>1</v>
      </c>
      <c r="GU54">
        <v>1</v>
      </c>
      <c r="GV54">
        <v>1</v>
      </c>
      <c r="GW54">
        <v>1</v>
      </c>
      <c r="GX54">
        <v>1</v>
      </c>
      <c r="GY54">
        <v>1</v>
      </c>
      <c r="GZ54">
        <v>1</v>
      </c>
      <c r="HA54">
        <v>1</v>
      </c>
      <c r="HB54">
        <v>1</v>
      </c>
    </row>
    <row r="55" spans="1:210" x14ac:dyDescent="0.2">
      <c r="A55" t="str">
        <f t="array" aca="1" ref="A55" ca="1">IF(ROWS(A$1:A17)&lt;=COUNTIF(INDIRECT($A$39),"?*"),INDEX(INDIRECT($A$39),MATCH(SMALL(IF(INDIRECT($A$39)&lt;&gt;"",COUNTIF(INDIRECT($A$39),"&lt;"&amp;INDIRECT($A$39))),ROWS(A$1:A17)),IF(INDIRECT($A$39)&lt;&gt;"",COUNTIF(INDIRECT($A$39),"&lt;"&amp;INDIRECT($A$39))),0)),"")</f>
        <v/>
      </c>
      <c r="C55" t="str">
        <f t="shared" si="25"/>
        <v/>
      </c>
      <c r="E55" t="s">
        <v>2976</v>
      </c>
      <c r="F55" t="s">
        <v>1876</v>
      </c>
      <c r="H55">
        <v>1</v>
      </c>
      <c r="I55">
        <v>1</v>
      </c>
      <c r="J55">
        <v>1</v>
      </c>
      <c r="K55">
        <v>1</v>
      </c>
      <c r="L55">
        <v>1</v>
      </c>
      <c r="M55">
        <v>1</v>
      </c>
      <c r="N55">
        <v>1</v>
      </c>
      <c r="O55">
        <v>1</v>
      </c>
      <c r="P55">
        <v>1</v>
      </c>
      <c r="Q55">
        <v>1</v>
      </c>
      <c r="R55">
        <v>1</v>
      </c>
      <c r="S55">
        <v>1</v>
      </c>
      <c r="T55">
        <v>1</v>
      </c>
      <c r="U55">
        <v>1</v>
      </c>
      <c r="V55">
        <v>1</v>
      </c>
      <c r="W55">
        <v>1</v>
      </c>
      <c r="X55">
        <v>1</v>
      </c>
      <c r="Y55">
        <v>1</v>
      </c>
      <c r="Z55">
        <v>1</v>
      </c>
      <c r="AA55">
        <v>1</v>
      </c>
      <c r="AB55">
        <v>1</v>
      </c>
      <c r="AC55">
        <v>1</v>
      </c>
      <c r="AD55">
        <v>1</v>
      </c>
      <c r="AE55">
        <v>1</v>
      </c>
      <c r="AF55">
        <v>1</v>
      </c>
      <c r="AG55">
        <v>1</v>
      </c>
      <c r="AH55">
        <v>1</v>
      </c>
      <c r="AN55">
        <v>1</v>
      </c>
      <c r="AP55">
        <v>1</v>
      </c>
      <c r="AQ55">
        <v>1</v>
      </c>
      <c r="AR55">
        <v>1</v>
      </c>
      <c r="AS55">
        <v>1</v>
      </c>
      <c r="AT55">
        <v>1</v>
      </c>
      <c r="AU55">
        <v>1</v>
      </c>
      <c r="AV55">
        <v>1</v>
      </c>
      <c r="AW55">
        <v>1</v>
      </c>
      <c r="AX55">
        <v>1</v>
      </c>
      <c r="AY55">
        <v>1</v>
      </c>
      <c r="AZ55">
        <v>1</v>
      </c>
      <c r="BA55">
        <v>1</v>
      </c>
      <c r="BB55">
        <v>1</v>
      </c>
      <c r="BC55">
        <v>1</v>
      </c>
      <c r="BD55">
        <v>1</v>
      </c>
      <c r="BE55">
        <v>1</v>
      </c>
      <c r="BF55">
        <v>1</v>
      </c>
      <c r="BG55">
        <v>1</v>
      </c>
      <c r="BH55">
        <v>1</v>
      </c>
      <c r="BI55">
        <v>1</v>
      </c>
      <c r="BJ55">
        <v>1</v>
      </c>
      <c r="BK55">
        <v>1</v>
      </c>
      <c r="BL55">
        <v>1</v>
      </c>
      <c r="BN55">
        <v>1</v>
      </c>
      <c r="BO55">
        <v>1</v>
      </c>
      <c r="BP55">
        <v>1</v>
      </c>
      <c r="BQ55">
        <v>1</v>
      </c>
      <c r="BR55">
        <v>1</v>
      </c>
      <c r="BS55">
        <v>1</v>
      </c>
      <c r="BT55">
        <v>1</v>
      </c>
      <c r="BU55">
        <v>1</v>
      </c>
      <c r="BV55">
        <v>1</v>
      </c>
      <c r="BW55">
        <v>1</v>
      </c>
      <c r="BX55">
        <v>1</v>
      </c>
      <c r="BY55">
        <v>1</v>
      </c>
      <c r="BZ55">
        <v>1</v>
      </c>
      <c r="CA55">
        <v>1</v>
      </c>
      <c r="CB55">
        <v>1</v>
      </c>
      <c r="CC55">
        <v>1</v>
      </c>
      <c r="CF55">
        <v>1</v>
      </c>
      <c r="CG55">
        <v>1</v>
      </c>
      <c r="CH55">
        <v>1</v>
      </c>
      <c r="CI55">
        <v>1</v>
      </c>
      <c r="CJ55">
        <v>1</v>
      </c>
      <c r="CK55">
        <v>1</v>
      </c>
      <c r="CN55">
        <v>1</v>
      </c>
      <c r="CO55">
        <v>1</v>
      </c>
      <c r="CP55">
        <v>1</v>
      </c>
      <c r="CQ55">
        <v>1</v>
      </c>
      <c r="CR55">
        <v>1</v>
      </c>
      <c r="CS55">
        <v>1</v>
      </c>
      <c r="CT55">
        <v>1</v>
      </c>
      <c r="CU55">
        <v>1</v>
      </c>
      <c r="CV55">
        <v>1</v>
      </c>
      <c r="CW55">
        <v>1</v>
      </c>
      <c r="CX55">
        <v>1</v>
      </c>
      <c r="CY55">
        <v>1</v>
      </c>
      <c r="CZ55">
        <v>1</v>
      </c>
      <c r="DA55">
        <v>1</v>
      </c>
      <c r="DB55">
        <v>1</v>
      </c>
      <c r="DC55">
        <v>1</v>
      </c>
      <c r="DD55">
        <v>1</v>
      </c>
      <c r="DE55">
        <v>1</v>
      </c>
      <c r="DF55">
        <v>1</v>
      </c>
      <c r="DG55">
        <v>1</v>
      </c>
      <c r="DH55">
        <v>1</v>
      </c>
      <c r="DI55">
        <v>1</v>
      </c>
      <c r="DJ55">
        <v>1</v>
      </c>
      <c r="DK55">
        <v>1</v>
      </c>
      <c r="DL55">
        <v>1</v>
      </c>
      <c r="DM55">
        <v>1</v>
      </c>
      <c r="DN55">
        <v>1</v>
      </c>
      <c r="DQ55">
        <v>1</v>
      </c>
      <c r="DR55">
        <v>1</v>
      </c>
      <c r="DS55">
        <v>1</v>
      </c>
      <c r="DX55">
        <v>1</v>
      </c>
      <c r="DY55">
        <v>1</v>
      </c>
      <c r="DZ55">
        <v>1</v>
      </c>
      <c r="ED55">
        <v>1</v>
      </c>
      <c r="EE55">
        <v>1</v>
      </c>
      <c r="EF55">
        <v>1</v>
      </c>
      <c r="EG55">
        <v>1</v>
      </c>
      <c r="EH55">
        <v>1</v>
      </c>
      <c r="EI55">
        <v>1</v>
      </c>
      <c r="EJ55">
        <v>1</v>
      </c>
      <c r="EK55">
        <v>1</v>
      </c>
      <c r="ER55">
        <v>1</v>
      </c>
      <c r="ES55">
        <v>1</v>
      </c>
      <c r="ET55">
        <v>1</v>
      </c>
      <c r="EU55">
        <v>1</v>
      </c>
      <c r="EV55">
        <v>1</v>
      </c>
      <c r="EY55">
        <v>1</v>
      </c>
      <c r="FD55">
        <v>1</v>
      </c>
      <c r="FI55">
        <v>1</v>
      </c>
      <c r="FN55">
        <v>1</v>
      </c>
      <c r="FS55">
        <v>1</v>
      </c>
      <c r="FX55">
        <v>1</v>
      </c>
      <c r="GC55">
        <v>1</v>
      </c>
      <c r="GI55">
        <v>1</v>
      </c>
      <c r="GU55">
        <v>1</v>
      </c>
      <c r="GV55">
        <v>1</v>
      </c>
      <c r="GW55">
        <v>1</v>
      </c>
      <c r="GX55">
        <v>1</v>
      </c>
      <c r="GY55">
        <v>1</v>
      </c>
      <c r="GZ55">
        <v>1</v>
      </c>
      <c r="HA55">
        <v>1</v>
      </c>
      <c r="HB55">
        <v>1</v>
      </c>
    </row>
    <row r="56" spans="1:210" x14ac:dyDescent="0.2">
      <c r="A56" t="str">
        <f>IF(OR(ISBLANK(KULTURGENE),KULTURGENE="LEER"),"",IF(HLOOKUP(KULTURGENE,LIST_K_G,ROW(),FALSE)="","",HLOOKUP(KULTURGENE,LIST_K_G,ROW(),FALSE)))</f>
        <v/>
      </c>
      <c r="O56" t="s">
        <v>7706</v>
      </c>
      <c r="AN56" t="s">
        <v>7709</v>
      </c>
      <c r="AO56" t="s">
        <v>7712</v>
      </c>
      <c r="AP56" t="s">
        <v>7711</v>
      </c>
      <c r="BJ56" t="s">
        <v>7707</v>
      </c>
      <c r="CD56" t="s">
        <v>7713</v>
      </c>
      <c r="CE56" t="s">
        <v>7713</v>
      </c>
      <c r="CF56" t="s">
        <v>7714</v>
      </c>
      <c r="CG56" t="s">
        <v>7714</v>
      </c>
      <c r="CH56" t="s">
        <v>7708</v>
      </c>
      <c r="CI56" t="s">
        <v>7708</v>
      </c>
      <c r="DS56" t="s">
        <v>7707</v>
      </c>
      <c r="DX56" t="s">
        <v>7710</v>
      </c>
      <c r="ED56" t="s">
        <v>7715</v>
      </c>
      <c r="EE56" t="s">
        <v>7715</v>
      </c>
      <c r="EF56" t="s">
        <v>7716</v>
      </c>
      <c r="EG56" t="s">
        <v>7715</v>
      </c>
      <c r="EH56" t="s">
        <v>7715</v>
      </c>
      <c r="EI56" t="s">
        <v>7715</v>
      </c>
      <c r="EJ56" t="s">
        <v>7715</v>
      </c>
      <c r="EK56" t="s">
        <v>7715</v>
      </c>
      <c r="ER56" t="s">
        <v>7717</v>
      </c>
      <c r="ES56" t="s">
        <v>7718</v>
      </c>
      <c r="ET56" t="s">
        <v>7719</v>
      </c>
      <c r="EU56" t="s">
        <v>7719</v>
      </c>
      <c r="EW56" t="s">
        <v>7720</v>
      </c>
      <c r="EX56" t="s">
        <v>7721</v>
      </c>
      <c r="EY56" t="s">
        <v>7722</v>
      </c>
      <c r="FB56" t="s">
        <v>7720</v>
      </c>
      <c r="FC56" t="s">
        <v>7721</v>
      </c>
      <c r="FD56" t="s">
        <v>7722</v>
      </c>
      <c r="FG56" t="s">
        <v>7720</v>
      </c>
      <c r="FH56" t="s">
        <v>7721</v>
      </c>
      <c r="FI56" t="s">
        <v>7722</v>
      </c>
      <c r="FL56" t="s">
        <v>7720</v>
      </c>
      <c r="FM56" t="s">
        <v>7721</v>
      </c>
      <c r="FN56" t="s">
        <v>7722</v>
      </c>
      <c r="FQ56" t="s">
        <v>7720</v>
      </c>
      <c r="FR56" t="s">
        <v>7721</v>
      </c>
      <c r="FS56" t="s">
        <v>7722</v>
      </c>
      <c r="FV56" t="s">
        <v>7720</v>
      </c>
      <c r="FW56" t="s">
        <v>7721</v>
      </c>
      <c r="FX56" t="s">
        <v>7722</v>
      </c>
      <c r="GA56" t="s">
        <v>7720</v>
      </c>
      <c r="GB56" t="s">
        <v>7721</v>
      </c>
      <c r="GC56" t="s">
        <v>7722</v>
      </c>
      <c r="GF56" t="s">
        <v>7723</v>
      </c>
      <c r="GG56" t="s">
        <v>7724</v>
      </c>
      <c r="GH56" t="s">
        <v>7725</v>
      </c>
      <c r="GU56" t="s">
        <v>7726</v>
      </c>
      <c r="GV56" t="s">
        <v>7727</v>
      </c>
      <c r="GW56" t="s">
        <v>7728</v>
      </c>
      <c r="GX56" t="s">
        <v>7728</v>
      </c>
      <c r="GY56" t="s">
        <v>7728</v>
      </c>
      <c r="GZ56" t="s">
        <v>7728</v>
      </c>
      <c r="HA56" t="s">
        <v>7728</v>
      </c>
      <c r="HB56" t="s">
        <v>7728</v>
      </c>
    </row>
    <row r="57" spans="1:210" x14ac:dyDescent="0.2">
      <c r="A57" t="str">
        <f>IF(Generierung!$D$4="Nach WdH - Start mit Rasse","C"&amp;IDX_P_KAMPF+1&amp;":C"&amp;IDX_P_KAMPF+11,"E"&amp;IDX_P_KAMPF+1&amp;":E"&amp;IDX_P_KAMPF+11)</f>
        <v>E58:E68</v>
      </c>
      <c r="E57" t="s">
        <v>7666</v>
      </c>
      <c r="G57">
        <f>ROW()</f>
        <v>57</v>
      </c>
      <c r="H57">
        <f t="shared" ref="H57:AM57" si="26">IF(COUNTIF(H58:H68,1)=0,"",1)</f>
        <v>1</v>
      </c>
      <c r="I57">
        <f t="shared" si="26"/>
        <v>1</v>
      </c>
      <c r="J57">
        <f t="shared" si="26"/>
        <v>1</v>
      </c>
      <c r="K57">
        <f t="shared" si="26"/>
        <v>1</v>
      </c>
      <c r="L57">
        <f t="shared" si="26"/>
        <v>1</v>
      </c>
      <c r="M57">
        <f t="shared" si="26"/>
        <v>1</v>
      </c>
      <c r="N57">
        <f t="shared" si="26"/>
        <v>1</v>
      </c>
      <c r="O57">
        <f t="shared" si="26"/>
        <v>1</v>
      </c>
      <c r="P57">
        <f t="shared" si="26"/>
        <v>1</v>
      </c>
      <c r="Q57">
        <f t="shared" si="26"/>
        <v>1</v>
      </c>
      <c r="R57">
        <f t="shared" si="26"/>
        <v>1</v>
      </c>
      <c r="S57">
        <f t="shared" si="26"/>
        <v>1</v>
      </c>
      <c r="T57">
        <f t="shared" si="26"/>
        <v>1</v>
      </c>
      <c r="U57">
        <f t="shared" si="26"/>
        <v>1</v>
      </c>
      <c r="V57">
        <f t="shared" si="26"/>
        <v>1</v>
      </c>
      <c r="W57">
        <f t="shared" si="26"/>
        <v>1</v>
      </c>
      <c r="X57">
        <f t="shared" si="26"/>
        <v>1</v>
      </c>
      <c r="Y57">
        <f t="shared" si="26"/>
        <v>1</v>
      </c>
      <c r="Z57">
        <f t="shared" si="26"/>
        <v>1</v>
      </c>
      <c r="AA57">
        <f t="shared" si="26"/>
        <v>1</v>
      </c>
      <c r="AB57">
        <f t="shared" si="26"/>
        <v>1</v>
      </c>
      <c r="AC57">
        <f t="shared" si="26"/>
        <v>1</v>
      </c>
      <c r="AD57">
        <f t="shared" si="26"/>
        <v>1</v>
      </c>
      <c r="AE57">
        <f t="shared" si="26"/>
        <v>1</v>
      </c>
      <c r="AF57">
        <f t="shared" si="26"/>
        <v>1</v>
      </c>
      <c r="AG57">
        <f t="shared" si="26"/>
        <v>1</v>
      </c>
      <c r="AH57">
        <f t="shared" si="26"/>
        <v>1</v>
      </c>
      <c r="AI57">
        <f t="shared" si="26"/>
        <v>1</v>
      </c>
      <c r="AJ57">
        <f t="shared" si="26"/>
        <v>1</v>
      </c>
      <c r="AK57">
        <f t="shared" si="26"/>
        <v>1</v>
      </c>
      <c r="AL57">
        <f t="shared" si="26"/>
        <v>1</v>
      </c>
      <c r="AM57">
        <f t="shared" si="26"/>
        <v>1</v>
      </c>
      <c r="AN57">
        <f t="shared" ref="AN57:BS57" si="27">IF(COUNTIF(AN58:AN68,1)=0,"",1)</f>
        <v>1</v>
      </c>
      <c r="AO57">
        <f t="shared" si="27"/>
        <v>1</v>
      </c>
      <c r="AP57">
        <f t="shared" si="27"/>
        <v>1</v>
      </c>
      <c r="AQ57">
        <f t="shared" si="27"/>
        <v>1</v>
      </c>
      <c r="AR57">
        <f t="shared" si="27"/>
        <v>1</v>
      </c>
      <c r="AS57">
        <f t="shared" si="27"/>
        <v>1</v>
      </c>
      <c r="AT57">
        <f t="shared" si="27"/>
        <v>1</v>
      </c>
      <c r="AU57">
        <f t="shared" si="27"/>
        <v>1</v>
      </c>
      <c r="AV57">
        <f t="shared" si="27"/>
        <v>1</v>
      </c>
      <c r="AW57">
        <f t="shared" si="27"/>
        <v>1</v>
      </c>
      <c r="AX57">
        <f t="shared" si="27"/>
        <v>1</v>
      </c>
      <c r="AY57">
        <f t="shared" si="27"/>
        <v>1</v>
      </c>
      <c r="AZ57">
        <f t="shared" si="27"/>
        <v>1</v>
      </c>
      <c r="BA57">
        <f t="shared" si="27"/>
        <v>1</v>
      </c>
      <c r="BB57">
        <f t="shared" si="27"/>
        <v>1</v>
      </c>
      <c r="BC57">
        <f t="shared" si="27"/>
        <v>1</v>
      </c>
      <c r="BD57">
        <f t="shared" si="27"/>
        <v>1</v>
      </c>
      <c r="BE57">
        <f t="shared" si="27"/>
        <v>1</v>
      </c>
      <c r="BF57">
        <f t="shared" si="27"/>
        <v>1</v>
      </c>
      <c r="BG57">
        <f t="shared" si="27"/>
        <v>1</v>
      </c>
      <c r="BH57">
        <f t="shared" si="27"/>
        <v>1</v>
      </c>
      <c r="BI57">
        <f t="shared" si="27"/>
        <v>1</v>
      </c>
      <c r="BJ57">
        <f t="shared" si="27"/>
        <v>1</v>
      </c>
      <c r="BK57">
        <f t="shared" si="27"/>
        <v>1</v>
      </c>
      <c r="BL57">
        <f t="shared" si="27"/>
        <v>1</v>
      </c>
      <c r="BM57">
        <f t="shared" si="27"/>
        <v>1</v>
      </c>
      <c r="BN57">
        <f t="shared" si="27"/>
        <v>1</v>
      </c>
      <c r="BO57">
        <f t="shared" si="27"/>
        <v>1</v>
      </c>
      <c r="BP57">
        <f t="shared" si="27"/>
        <v>1</v>
      </c>
      <c r="BQ57">
        <f t="shared" si="27"/>
        <v>1</v>
      </c>
      <c r="BR57">
        <f t="shared" si="27"/>
        <v>1</v>
      </c>
      <c r="BS57">
        <f t="shared" si="27"/>
        <v>1</v>
      </c>
      <c r="BT57">
        <f t="shared" ref="BT57:CZ57" si="28">IF(COUNTIF(BT58:BT68,1)=0,"",1)</f>
        <v>1</v>
      </c>
      <c r="BU57">
        <f t="shared" si="28"/>
        <v>1</v>
      </c>
      <c r="BV57">
        <f t="shared" si="28"/>
        <v>1</v>
      </c>
      <c r="BW57">
        <f t="shared" si="28"/>
        <v>1</v>
      </c>
      <c r="BX57">
        <f t="shared" si="28"/>
        <v>1</v>
      </c>
      <c r="BY57">
        <f t="shared" si="28"/>
        <v>1</v>
      </c>
      <c r="BZ57">
        <f t="shared" si="28"/>
        <v>1</v>
      </c>
      <c r="CA57">
        <f t="shared" si="28"/>
        <v>1</v>
      </c>
      <c r="CB57">
        <f t="shared" si="28"/>
        <v>1</v>
      </c>
      <c r="CC57">
        <f t="shared" si="28"/>
        <v>1</v>
      </c>
      <c r="CD57" t="str">
        <f t="shared" si="28"/>
        <v/>
      </c>
      <c r="CE57" t="str">
        <f t="shared" si="28"/>
        <v/>
      </c>
      <c r="CF57">
        <f t="shared" si="28"/>
        <v>1</v>
      </c>
      <c r="CG57">
        <v>1</v>
      </c>
      <c r="CH57">
        <f t="shared" si="28"/>
        <v>1</v>
      </c>
      <c r="CI57">
        <f t="shared" si="28"/>
        <v>1</v>
      </c>
      <c r="CJ57" t="str">
        <f t="shared" si="28"/>
        <v/>
      </c>
      <c r="CK57" t="str">
        <f t="shared" si="28"/>
        <v/>
      </c>
      <c r="CL57" t="str">
        <f t="shared" si="28"/>
        <v/>
      </c>
      <c r="CM57" t="str">
        <f t="shared" si="28"/>
        <v/>
      </c>
      <c r="CN57">
        <f t="shared" si="28"/>
        <v>1</v>
      </c>
      <c r="CO57">
        <f t="shared" si="28"/>
        <v>1</v>
      </c>
      <c r="CP57">
        <f t="shared" si="28"/>
        <v>1</v>
      </c>
      <c r="CQ57">
        <f t="shared" si="28"/>
        <v>1</v>
      </c>
      <c r="CR57">
        <f t="shared" si="28"/>
        <v>1</v>
      </c>
      <c r="CS57">
        <f t="shared" si="28"/>
        <v>1</v>
      </c>
      <c r="CT57">
        <f t="shared" si="28"/>
        <v>1</v>
      </c>
      <c r="CU57">
        <f t="shared" si="28"/>
        <v>1</v>
      </c>
      <c r="CV57">
        <f t="shared" si="28"/>
        <v>1</v>
      </c>
      <c r="CW57">
        <f t="shared" si="28"/>
        <v>1</v>
      </c>
      <c r="CX57">
        <f t="shared" si="28"/>
        <v>1</v>
      </c>
      <c r="CY57">
        <f t="shared" si="28"/>
        <v>1</v>
      </c>
      <c r="CZ57">
        <f t="shared" si="28"/>
        <v>1</v>
      </c>
      <c r="DA57">
        <f t="shared" ref="DA57:DZ57" si="29">IF(COUNTIF(DA58:DA68,1)=0,"",1)</f>
        <v>1</v>
      </c>
      <c r="DB57">
        <f t="shared" si="29"/>
        <v>1</v>
      </c>
      <c r="DC57">
        <f t="shared" si="29"/>
        <v>1</v>
      </c>
      <c r="DD57">
        <f t="shared" si="29"/>
        <v>1</v>
      </c>
      <c r="DE57">
        <f t="shared" si="29"/>
        <v>1</v>
      </c>
      <c r="DF57">
        <f t="shared" si="29"/>
        <v>1</v>
      </c>
      <c r="DG57">
        <f t="shared" si="29"/>
        <v>1</v>
      </c>
      <c r="DH57">
        <f t="shared" si="29"/>
        <v>1</v>
      </c>
      <c r="DI57">
        <v>1</v>
      </c>
      <c r="DJ57">
        <v>1</v>
      </c>
      <c r="DK57">
        <v>1</v>
      </c>
      <c r="DL57">
        <v>1</v>
      </c>
      <c r="DM57">
        <v>1</v>
      </c>
      <c r="DN57">
        <v>1</v>
      </c>
      <c r="DO57">
        <f t="shared" si="29"/>
        <v>1</v>
      </c>
      <c r="DP57">
        <f t="shared" si="29"/>
        <v>1</v>
      </c>
      <c r="DQ57">
        <f t="shared" si="29"/>
        <v>1</v>
      </c>
      <c r="DR57">
        <f t="shared" si="29"/>
        <v>1</v>
      </c>
      <c r="DS57">
        <f t="shared" si="29"/>
        <v>1</v>
      </c>
      <c r="DT57">
        <f t="shared" si="29"/>
        <v>1</v>
      </c>
      <c r="DU57">
        <f t="shared" si="29"/>
        <v>1</v>
      </c>
      <c r="DV57">
        <f t="shared" si="29"/>
        <v>1</v>
      </c>
      <c r="DW57">
        <f t="shared" si="29"/>
        <v>1</v>
      </c>
      <c r="DX57">
        <f t="shared" si="29"/>
        <v>1</v>
      </c>
      <c r="DY57">
        <f t="shared" si="29"/>
        <v>1</v>
      </c>
      <c r="DZ57">
        <f t="shared" si="29"/>
        <v>1</v>
      </c>
      <c r="EA57" t="str">
        <f t="shared" ref="EA57:EL57" si="30">IF(COUNTIF(EA58:EA68,1)=0,"",1)</f>
        <v/>
      </c>
      <c r="EB57" t="str">
        <f t="shared" si="30"/>
        <v/>
      </c>
      <c r="EC57" t="str">
        <f t="shared" si="30"/>
        <v/>
      </c>
      <c r="ED57" t="str">
        <f t="shared" si="30"/>
        <v/>
      </c>
      <c r="EE57" t="str">
        <f t="shared" si="30"/>
        <v/>
      </c>
      <c r="EF57" t="str">
        <f t="shared" si="30"/>
        <v/>
      </c>
      <c r="EG57" t="str">
        <f t="shared" si="30"/>
        <v/>
      </c>
      <c r="EH57" t="str">
        <f t="shared" si="30"/>
        <v/>
      </c>
      <c r="EI57" t="str">
        <f t="shared" si="30"/>
        <v/>
      </c>
      <c r="EJ57" t="str">
        <f t="shared" si="30"/>
        <v/>
      </c>
      <c r="EK57" t="str">
        <f t="shared" si="30"/>
        <v/>
      </c>
      <c r="EL57" t="str">
        <f t="shared" si="30"/>
        <v/>
      </c>
      <c r="EM57" t="str">
        <f t="shared" ref="EM57:FS57" si="31">IF(COUNTIF(EM58:EM68,1)=0,"",1)</f>
        <v/>
      </c>
      <c r="EN57" t="str">
        <f t="shared" si="31"/>
        <v/>
      </c>
      <c r="EO57" t="str">
        <f t="shared" si="31"/>
        <v/>
      </c>
      <c r="EP57" t="str">
        <f t="shared" ref="EP57" si="32">IF(COUNTIF(EP58:EP68,1)=0,"",1)</f>
        <v/>
      </c>
      <c r="EQ57" t="str">
        <f t="shared" si="31"/>
        <v/>
      </c>
      <c r="ER57">
        <f t="shared" si="31"/>
        <v>1</v>
      </c>
      <c r="ES57">
        <f t="shared" si="31"/>
        <v>1</v>
      </c>
      <c r="ET57">
        <f t="shared" si="31"/>
        <v>1</v>
      </c>
      <c r="EU57">
        <f t="shared" si="31"/>
        <v>1</v>
      </c>
      <c r="EV57">
        <f t="shared" si="31"/>
        <v>1</v>
      </c>
      <c r="EW57" t="str">
        <f t="shared" si="31"/>
        <v/>
      </c>
      <c r="EX57" t="str">
        <f t="shared" si="31"/>
        <v/>
      </c>
      <c r="EY57" t="str">
        <f t="shared" si="31"/>
        <v/>
      </c>
      <c r="EZ57">
        <f t="shared" si="31"/>
        <v>1</v>
      </c>
      <c r="FA57">
        <f t="shared" si="31"/>
        <v>1</v>
      </c>
      <c r="FB57" t="str">
        <f t="shared" si="31"/>
        <v/>
      </c>
      <c r="FC57" t="str">
        <f t="shared" si="31"/>
        <v/>
      </c>
      <c r="FD57" t="str">
        <f t="shared" si="31"/>
        <v/>
      </c>
      <c r="FE57">
        <f t="shared" si="31"/>
        <v>1</v>
      </c>
      <c r="FF57">
        <f t="shared" si="31"/>
        <v>1</v>
      </c>
      <c r="FG57" t="str">
        <f t="shared" si="31"/>
        <v/>
      </c>
      <c r="FH57" t="str">
        <f t="shared" si="31"/>
        <v/>
      </c>
      <c r="FI57" t="str">
        <f t="shared" si="31"/>
        <v/>
      </c>
      <c r="FJ57">
        <f t="shared" si="31"/>
        <v>1</v>
      </c>
      <c r="FK57">
        <f t="shared" si="31"/>
        <v>1</v>
      </c>
      <c r="FL57" t="str">
        <f t="shared" si="31"/>
        <v/>
      </c>
      <c r="FM57" t="str">
        <f t="shared" si="31"/>
        <v/>
      </c>
      <c r="FN57" t="str">
        <f t="shared" si="31"/>
        <v/>
      </c>
      <c r="FO57">
        <f t="shared" si="31"/>
        <v>1</v>
      </c>
      <c r="FP57">
        <f t="shared" si="31"/>
        <v>1</v>
      </c>
      <c r="FQ57" t="str">
        <f t="shared" si="31"/>
        <v/>
      </c>
      <c r="FR57" t="str">
        <f t="shared" si="31"/>
        <v/>
      </c>
      <c r="FS57" t="str">
        <f t="shared" si="31"/>
        <v/>
      </c>
      <c r="FT57">
        <f t="shared" ref="FT57:GY57" si="33">IF(COUNTIF(FT58:FT68,1)=0,"",1)</f>
        <v>1</v>
      </c>
      <c r="FU57">
        <f t="shared" si="33"/>
        <v>1</v>
      </c>
      <c r="FV57" t="str">
        <f t="shared" si="33"/>
        <v/>
      </c>
      <c r="FW57" t="str">
        <f t="shared" si="33"/>
        <v/>
      </c>
      <c r="FX57" t="str">
        <f t="shared" si="33"/>
        <v/>
      </c>
      <c r="FY57">
        <f t="shared" si="33"/>
        <v>1</v>
      </c>
      <c r="FZ57">
        <f t="shared" si="33"/>
        <v>1</v>
      </c>
      <c r="GA57" t="str">
        <f t="shared" si="33"/>
        <v/>
      </c>
      <c r="GB57" t="str">
        <f t="shared" si="33"/>
        <v/>
      </c>
      <c r="GC57" t="str">
        <f t="shared" si="33"/>
        <v/>
      </c>
      <c r="GD57">
        <f t="shared" si="33"/>
        <v>1</v>
      </c>
      <c r="GE57">
        <f t="shared" si="33"/>
        <v>1</v>
      </c>
      <c r="GF57">
        <f t="shared" si="33"/>
        <v>1</v>
      </c>
      <c r="GG57" t="str">
        <f t="shared" si="33"/>
        <v/>
      </c>
      <c r="GH57" t="str">
        <f t="shared" si="33"/>
        <v/>
      </c>
      <c r="GI57" t="str">
        <f t="shared" si="33"/>
        <v/>
      </c>
      <c r="GJ57">
        <f t="shared" si="33"/>
        <v>1</v>
      </c>
      <c r="GK57">
        <f t="shared" si="33"/>
        <v>1</v>
      </c>
      <c r="GL57">
        <f t="shared" si="33"/>
        <v>1</v>
      </c>
      <c r="GM57" t="str">
        <f t="shared" si="33"/>
        <v/>
      </c>
      <c r="GN57">
        <f t="shared" si="33"/>
        <v>1</v>
      </c>
      <c r="GO57" t="str">
        <f t="shared" si="33"/>
        <v/>
      </c>
      <c r="GP57">
        <f t="shared" si="33"/>
        <v>1</v>
      </c>
      <c r="GQ57" t="str">
        <f t="shared" si="33"/>
        <v/>
      </c>
      <c r="GR57">
        <f t="shared" si="33"/>
        <v>1</v>
      </c>
      <c r="GS57" t="str">
        <f t="shared" si="33"/>
        <v/>
      </c>
      <c r="GT57">
        <f t="shared" si="33"/>
        <v>1</v>
      </c>
      <c r="GU57">
        <f t="shared" si="33"/>
        <v>1</v>
      </c>
      <c r="GV57">
        <f t="shared" si="33"/>
        <v>1</v>
      </c>
      <c r="GW57">
        <f t="shared" si="33"/>
        <v>1</v>
      </c>
      <c r="GX57">
        <f t="shared" si="33"/>
        <v>1</v>
      </c>
      <c r="GY57">
        <f t="shared" si="33"/>
        <v>1</v>
      </c>
      <c r="GZ57">
        <f>IF(COUNTIF(GZ58:GZ68,1)=0,"",1)</f>
        <v>1</v>
      </c>
      <c r="HA57">
        <f>IF(COUNTIF(HA58:HA68,1)=0,"",1)</f>
        <v>1</v>
      </c>
      <c r="HB57">
        <f>IF(COUNTIF(HB58:HB68,1)=0,"",1)</f>
        <v>1</v>
      </c>
    </row>
    <row r="58" spans="1:210" x14ac:dyDescent="0.2">
      <c r="A58" t="str">
        <f t="array" aca="1" ref="A58" ca="1">IF(ROWS(A$1:A1)&lt;=COUNTIF(INDIRECT($A$57),"?*"),INDEX(INDIRECT($A$57),MATCH(SMALL(IF(INDIRECT($A$57)&lt;&gt;"",COUNTIF(INDIRECT($A$57),"&lt;"&amp;INDIRECT($A$57))),ROWS(A$1:A1)),IF(INDIRECT($A$57)&lt;&gt;"",COUNTIF(INDIRECT($A$57),"&lt;"&amp;INDIRECT($A$57))),0)),"")</f>
        <v>Amazone</v>
      </c>
      <c r="C58" t="str">
        <f t="shared" ref="C58:C68" si="34">IF(OR(ISBLANK(KULTURGENE),KULTURGENE="LEER"),"",IF(HLOOKUP(KULTURGENE,LIST_K_G,ROW(),FALSE)&gt;0,E58,""))</f>
        <v/>
      </c>
      <c r="E58" t="s">
        <v>4094</v>
      </c>
      <c r="F58" t="s">
        <v>4454</v>
      </c>
      <c r="H58">
        <v>1</v>
      </c>
      <c r="I58">
        <v>1</v>
      </c>
      <c r="J58">
        <v>1</v>
      </c>
      <c r="K58">
        <v>1</v>
      </c>
      <c r="L58">
        <v>1</v>
      </c>
      <c r="M58">
        <v>1</v>
      </c>
      <c r="N58">
        <v>1</v>
      </c>
      <c r="O58">
        <v>1</v>
      </c>
      <c r="Z58">
        <v>1</v>
      </c>
      <c r="AA58">
        <v>1</v>
      </c>
      <c r="AB58">
        <v>1</v>
      </c>
      <c r="AC58">
        <v>1</v>
      </c>
      <c r="AQ58">
        <v>1</v>
      </c>
      <c r="AR58">
        <v>1</v>
      </c>
      <c r="AS58">
        <v>1</v>
      </c>
      <c r="AT58">
        <v>1</v>
      </c>
      <c r="AU58">
        <v>1</v>
      </c>
      <c r="AV58">
        <v>1</v>
      </c>
      <c r="AW58">
        <v>1</v>
      </c>
      <c r="AX58">
        <v>1</v>
      </c>
      <c r="AY58">
        <v>1</v>
      </c>
      <c r="BE58">
        <v>1</v>
      </c>
      <c r="BF58">
        <v>1</v>
      </c>
      <c r="BG58">
        <v>1</v>
      </c>
      <c r="BH58">
        <v>1</v>
      </c>
      <c r="BI58">
        <v>1</v>
      </c>
      <c r="BK58">
        <v>1</v>
      </c>
      <c r="BL58">
        <v>1</v>
      </c>
      <c r="BN58">
        <v>1</v>
      </c>
      <c r="BO58">
        <v>1</v>
      </c>
      <c r="BP58">
        <v>1</v>
      </c>
      <c r="BQ58">
        <v>1</v>
      </c>
      <c r="BR58">
        <v>1</v>
      </c>
      <c r="BS58">
        <v>1</v>
      </c>
      <c r="BT58">
        <v>1</v>
      </c>
      <c r="BU58">
        <v>1</v>
      </c>
      <c r="BV58">
        <v>1</v>
      </c>
      <c r="BW58">
        <v>1</v>
      </c>
      <c r="BX58">
        <v>1</v>
      </c>
      <c r="BY58">
        <v>1</v>
      </c>
      <c r="BZ58">
        <v>1</v>
      </c>
      <c r="CA58">
        <v>1</v>
      </c>
      <c r="CB58">
        <v>1</v>
      </c>
      <c r="CC58">
        <v>1</v>
      </c>
      <c r="DQ58">
        <v>1</v>
      </c>
      <c r="DR58">
        <v>1</v>
      </c>
      <c r="DY58">
        <v>1</v>
      </c>
      <c r="DZ58">
        <v>1</v>
      </c>
    </row>
    <row r="59" spans="1:210" x14ac:dyDescent="0.2">
      <c r="A59" t="str">
        <f t="array" aca="1" ref="A59" ca="1">IF(ROWS(A$1:A2)&lt;=COUNTIF(INDIRECT($A$57),"?*"),INDEX(INDIRECT($A$57),MATCH(SMALL(IF(INDIRECT($A$57)&lt;&gt;"",COUNTIF(INDIRECT($A$57),"&lt;"&amp;INDIRECT($A$57))),ROWS(A$1:A2)),IF(INDIRECT($A$57)&lt;&gt;"",COUNTIF(INDIRECT($A$57),"&lt;"&amp;INDIRECT($A$57))),0)),"")</f>
        <v>Fähnrich</v>
      </c>
      <c r="C59" t="str">
        <f t="shared" si="34"/>
        <v/>
      </c>
      <c r="E59" t="s">
        <v>636</v>
      </c>
      <c r="F59" t="s">
        <v>1494</v>
      </c>
      <c r="H59">
        <v>1</v>
      </c>
      <c r="I59">
        <v>1</v>
      </c>
      <c r="J59">
        <v>1</v>
      </c>
      <c r="K59">
        <v>1</v>
      </c>
      <c r="L59">
        <v>1</v>
      </c>
      <c r="M59">
        <v>1</v>
      </c>
      <c r="N59">
        <v>1</v>
      </c>
      <c r="P59">
        <v>1</v>
      </c>
      <c r="Q59">
        <v>1</v>
      </c>
      <c r="R59">
        <v>1</v>
      </c>
      <c r="S59">
        <v>1</v>
      </c>
      <c r="T59">
        <v>1</v>
      </c>
      <c r="U59">
        <v>1</v>
      </c>
      <c r="Z59">
        <v>1</v>
      </c>
      <c r="AA59">
        <v>1</v>
      </c>
      <c r="AB59">
        <v>1</v>
      </c>
      <c r="AC59">
        <v>1</v>
      </c>
      <c r="AD59">
        <v>1</v>
      </c>
      <c r="AE59">
        <v>1</v>
      </c>
      <c r="AF59">
        <v>1</v>
      </c>
      <c r="AG59">
        <v>1</v>
      </c>
      <c r="AQ59">
        <v>1</v>
      </c>
      <c r="AR59">
        <v>1</v>
      </c>
      <c r="AS59">
        <v>1</v>
      </c>
      <c r="AT59">
        <v>1</v>
      </c>
      <c r="AU59">
        <v>1</v>
      </c>
      <c r="AV59">
        <v>1</v>
      </c>
      <c r="AW59">
        <v>1</v>
      </c>
      <c r="AX59">
        <v>1</v>
      </c>
      <c r="AY59">
        <v>1</v>
      </c>
      <c r="AZ59">
        <v>1</v>
      </c>
      <c r="BA59">
        <v>1</v>
      </c>
      <c r="BB59">
        <v>1</v>
      </c>
      <c r="BC59">
        <v>1</v>
      </c>
      <c r="BD59">
        <v>1</v>
      </c>
      <c r="BE59">
        <v>1</v>
      </c>
      <c r="BF59">
        <v>1</v>
      </c>
      <c r="BN59">
        <v>1</v>
      </c>
      <c r="BO59">
        <v>1</v>
      </c>
      <c r="BP59">
        <v>1</v>
      </c>
      <c r="BQ59">
        <v>1</v>
      </c>
      <c r="BR59">
        <v>1</v>
      </c>
      <c r="BS59">
        <v>1</v>
      </c>
      <c r="BT59">
        <v>1</v>
      </c>
      <c r="BU59">
        <v>1</v>
      </c>
      <c r="BV59">
        <v>1</v>
      </c>
      <c r="BW59">
        <v>1</v>
      </c>
      <c r="BX59">
        <v>1</v>
      </c>
      <c r="BY59">
        <v>1</v>
      </c>
      <c r="BZ59">
        <v>1</v>
      </c>
      <c r="CA59">
        <v>1</v>
      </c>
      <c r="CB59">
        <v>1</v>
      </c>
      <c r="CC59">
        <v>1</v>
      </c>
      <c r="CN59">
        <v>1</v>
      </c>
      <c r="CO59">
        <v>1</v>
      </c>
      <c r="CP59">
        <v>1</v>
      </c>
      <c r="CQ59">
        <v>1</v>
      </c>
      <c r="CR59">
        <v>1</v>
      </c>
      <c r="CS59">
        <v>1</v>
      </c>
      <c r="CT59">
        <v>1</v>
      </c>
      <c r="CU59">
        <v>1</v>
      </c>
      <c r="CV59">
        <v>1</v>
      </c>
      <c r="CW59">
        <v>1</v>
      </c>
      <c r="CX59">
        <v>1</v>
      </c>
      <c r="CY59">
        <v>1</v>
      </c>
      <c r="CZ59">
        <v>1</v>
      </c>
      <c r="DQ59">
        <v>1</v>
      </c>
      <c r="DR59">
        <v>1</v>
      </c>
      <c r="DY59">
        <v>1</v>
      </c>
      <c r="DZ59">
        <v>1</v>
      </c>
    </row>
    <row r="60" spans="1:210" x14ac:dyDescent="0.2">
      <c r="A60" t="str">
        <f t="array" aca="1" ref="A60" ca="1">IF(ROWS(A$1:A3)&lt;=COUNTIF(INDIRECT($A$57),"?*"),INDEX(INDIRECT($A$57),MATCH(SMALL(IF(INDIRECT($A$57)&lt;&gt;"",COUNTIF(INDIRECT($A$57),"&lt;"&amp;INDIRECT($A$57))),ROWS(A$1:A3)),IF(INDIRECT($A$57)&lt;&gt;"",COUNTIF(INDIRECT($A$57),"&lt;"&amp;INDIRECT($A$57))),0)),"")</f>
        <v>Gardist</v>
      </c>
      <c r="C60" t="str">
        <f t="shared" si="34"/>
        <v/>
      </c>
      <c r="E60" t="s">
        <v>640</v>
      </c>
      <c r="F60" t="s">
        <v>1495</v>
      </c>
      <c r="H60">
        <v>1</v>
      </c>
      <c r="I60">
        <v>1</v>
      </c>
      <c r="J60">
        <v>1</v>
      </c>
      <c r="K60">
        <v>1</v>
      </c>
      <c r="L60">
        <v>1</v>
      </c>
      <c r="M60">
        <v>1</v>
      </c>
      <c r="N60">
        <v>1</v>
      </c>
      <c r="P60">
        <v>1</v>
      </c>
      <c r="Q60">
        <v>1</v>
      </c>
      <c r="R60">
        <v>1</v>
      </c>
      <c r="S60">
        <v>1</v>
      </c>
      <c r="T60">
        <v>1</v>
      </c>
      <c r="U60">
        <v>1</v>
      </c>
      <c r="V60">
        <v>1</v>
      </c>
      <c r="W60">
        <v>1</v>
      </c>
      <c r="X60">
        <v>1</v>
      </c>
      <c r="Y60">
        <v>1</v>
      </c>
      <c r="Z60">
        <v>1</v>
      </c>
      <c r="AA60">
        <v>1</v>
      </c>
      <c r="AB60">
        <v>1</v>
      </c>
      <c r="AC60">
        <v>1</v>
      </c>
      <c r="AD60">
        <v>1</v>
      </c>
      <c r="AE60">
        <v>1</v>
      </c>
      <c r="AF60">
        <v>1</v>
      </c>
      <c r="AG60">
        <v>1</v>
      </c>
      <c r="AQ60">
        <v>1</v>
      </c>
      <c r="AR60">
        <v>1</v>
      </c>
      <c r="AS60">
        <v>1</v>
      </c>
      <c r="AT60">
        <v>1</v>
      </c>
      <c r="AU60">
        <v>1</v>
      </c>
      <c r="AV60">
        <v>1</v>
      </c>
      <c r="AW60">
        <v>1</v>
      </c>
      <c r="AX60">
        <v>1</v>
      </c>
      <c r="AY60">
        <v>1</v>
      </c>
      <c r="AZ60">
        <v>1</v>
      </c>
      <c r="BA60">
        <v>1</v>
      </c>
      <c r="BB60">
        <v>1</v>
      </c>
      <c r="BC60">
        <v>1</v>
      </c>
      <c r="BD60">
        <v>1</v>
      </c>
      <c r="BE60">
        <v>1</v>
      </c>
      <c r="BF60">
        <v>1</v>
      </c>
      <c r="BG60">
        <v>1</v>
      </c>
      <c r="BH60">
        <v>1</v>
      </c>
      <c r="BI60">
        <v>1</v>
      </c>
      <c r="BJ60">
        <v>1</v>
      </c>
      <c r="BK60">
        <v>1</v>
      </c>
      <c r="BL60">
        <v>1</v>
      </c>
      <c r="BN60">
        <v>1</v>
      </c>
      <c r="BO60">
        <v>1</v>
      </c>
      <c r="BP60">
        <v>1</v>
      </c>
      <c r="BQ60">
        <v>1</v>
      </c>
      <c r="BR60">
        <v>1</v>
      </c>
      <c r="BS60">
        <v>1</v>
      </c>
      <c r="BT60">
        <v>1</v>
      </c>
      <c r="BU60">
        <v>1</v>
      </c>
      <c r="BV60">
        <v>1</v>
      </c>
      <c r="BW60">
        <v>1</v>
      </c>
      <c r="BX60">
        <v>1</v>
      </c>
      <c r="BY60">
        <v>1</v>
      </c>
      <c r="BZ60">
        <v>1</v>
      </c>
      <c r="CA60">
        <v>1</v>
      </c>
      <c r="CB60">
        <v>1</v>
      </c>
      <c r="CC60">
        <v>1</v>
      </c>
      <c r="CG60">
        <v>1</v>
      </c>
      <c r="CN60">
        <v>1</v>
      </c>
      <c r="CO60">
        <v>1</v>
      </c>
      <c r="CP60">
        <v>1</v>
      </c>
      <c r="CQ60">
        <v>1</v>
      </c>
      <c r="CR60">
        <v>1</v>
      </c>
      <c r="CS60">
        <v>1</v>
      </c>
      <c r="CT60">
        <v>1</v>
      </c>
      <c r="CU60">
        <v>1</v>
      </c>
      <c r="CV60">
        <v>1</v>
      </c>
      <c r="CW60">
        <v>1</v>
      </c>
      <c r="CX60">
        <v>1</v>
      </c>
      <c r="CY60">
        <v>1</v>
      </c>
      <c r="CZ60">
        <v>1</v>
      </c>
      <c r="DA60">
        <v>1</v>
      </c>
      <c r="DB60">
        <v>1</v>
      </c>
      <c r="DC60">
        <v>1</v>
      </c>
      <c r="DD60">
        <v>1</v>
      </c>
      <c r="DE60">
        <v>1</v>
      </c>
      <c r="DF60">
        <v>1</v>
      </c>
      <c r="DI60">
        <v>1</v>
      </c>
      <c r="DJ60">
        <v>1</v>
      </c>
      <c r="DK60">
        <v>1</v>
      </c>
      <c r="DL60">
        <v>1</v>
      </c>
      <c r="DM60">
        <v>1</v>
      </c>
      <c r="DN60">
        <v>1</v>
      </c>
      <c r="DQ60">
        <v>1</v>
      </c>
      <c r="DR60">
        <v>1</v>
      </c>
      <c r="DS60">
        <v>1</v>
      </c>
      <c r="DY60">
        <v>1</v>
      </c>
      <c r="DZ60">
        <v>1</v>
      </c>
      <c r="ER60">
        <v>1</v>
      </c>
      <c r="ES60">
        <v>1</v>
      </c>
      <c r="ET60">
        <v>1</v>
      </c>
      <c r="EU60">
        <v>1</v>
      </c>
      <c r="GJ60">
        <v>1</v>
      </c>
      <c r="GU60">
        <v>1</v>
      </c>
    </row>
    <row r="61" spans="1:210" x14ac:dyDescent="0.2">
      <c r="A61" t="str">
        <f t="array" aca="1" ref="A61" ca="1">IF(ROWS(A$1:A4)&lt;=COUNTIF(INDIRECT($A$57),"?*"),INDEX(INDIRECT($A$57),MATCH(SMALL(IF(INDIRECT($A$57)&lt;&gt;"",COUNTIF(INDIRECT($A$57),"&lt;"&amp;INDIRECT($A$57))),ROWS(A$1:A4)),IF(INDIRECT($A$57)&lt;&gt;"",COUNTIF(INDIRECT($A$57),"&lt;"&amp;INDIRECT($A$57))),0)),"")</f>
        <v>Gladiator/Schau-/Jahrmarkts-Kämpfer</v>
      </c>
      <c r="C61" t="str">
        <f t="shared" si="34"/>
        <v/>
      </c>
      <c r="E61" t="s">
        <v>6687</v>
      </c>
      <c r="F61" t="s">
        <v>1493</v>
      </c>
      <c r="H61">
        <v>1</v>
      </c>
      <c r="I61">
        <v>1</v>
      </c>
      <c r="J61">
        <v>1</v>
      </c>
      <c r="K61">
        <v>1</v>
      </c>
      <c r="L61">
        <v>1</v>
      </c>
      <c r="M61">
        <v>1</v>
      </c>
      <c r="N61">
        <v>1</v>
      </c>
      <c r="V61">
        <v>1</v>
      </c>
      <c r="W61">
        <v>1</v>
      </c>
      <c r="X61">
        <v>1</v>
      </c>
      <c r="Y61">
        <v>1</v>
      </c>
      <c r="Z61">
        <v>1</v>
      </c>
      <c r="AA61">
        <v>1</v>
      </c>
      <c r="AB61">
        <v>1</v>
      </c>
      <c r="AC61">
        <v>1</v>
      </c>
      <c r="AH61">
        <v>1</v>
      </c>
      <c r="AN61">
        <v>1</v>
      </c>
      <c r="AP61">
        <v>1</v>
      </c>
      <c r="AQ61">
        <v>1</v>
      </c>
      <c r="AR61">
        <v>1</v>
      </c>
      <c r="AS61">
        <v>1</v>
      </c>
      <c r="AT61">
        <v>1</v>
      </c>
      <c r="AU61">
        <v>1</v>
      </c>
      <c r="AV61">
        <v>1</v>
      </c>
      <c r="AW61">
        <v>1</v>
      </c>
      <c r="AX61">
        <v>1</v>
      </c>
      <c r="AY61">
        <v>1</v>
      </c>
      <c r="AZ61">
        <v>1</v>
      </c>
      <c r="BA61">
        <v>1</v>
      </c>
      <c r="BB61">
        <v>1</v>
      </c>
      <c r="BC61">
        <v>1</v>
      </c>
      <c r="BD61">
        <v>1</v>
      </c>
      <c r="BE61">
        <v>1</v>
      </c>
      <c r="BF61">
        <v>1</v>
      </c>
      <c r="BG61">
        <v>1</v>
      </c>
      <c r="BH61">
        <v>1</v>
      </c>
      <c r="BI61">
        <v>1</v>
      </c>
      <c r="BK61">
        <v>1</v>
      </c>
      <c r="BL61">
        <v>1</v>
      </c>
      <c r="BW61">
        <v>1</v>
      </c>
      <c r="BX61">
        <v>1</v>
      </c>
      <c r="BY61">
        <v>1</v>
      </c>
      <c r="BZ61">
        <v>1</v>
      </c>
      <c r="CA61">
        <v>1</v>
      </c>
      <c r="CB61">
        <v>1</v>
      </c>
      <c r="CC61">
        <v>1</v>
      </c>
      <c r="CF61">
        <v>1</v>
      </c>
      <c r="CN61">
        <v>1</v>
      </c>
      <c r="CO61">
        <v>1</v>
      </c>
      <c r="CP61">
        <v>1</v>
      </c>
      <c r="CQ61">
        <v>1</v>
      </c>
      <c r="CR61">
        <v>1</v>
      </c>
      <c r="CS61">
        <v>1</v>
      </c>
      <c r="CT61">
        <v>1</v>
      </c>
      <c r="CU61">
        <v>1</v>
      </c>
      <c r="CV61">
        <v>1</v>
      </c>
      <c r="CW61">
        <v>1</v>
      </c>
      <c r="CX61">
        <v>1</v>
      </c>
      <c r="CY61">
        <v>1</v>
      </c>
      <c r="CZ61">
        <v>1</v>
      </c>
      <c r="DA61">
        <v>1</v>
      </c>
      <c r="DB61">
        <v>1</v>
      </c>
      <c r="DC61">
        <v>1</v>
      </c>
      <c r="DD61">
        <v>1</v>
      </c>
      <c r="DE61">
        <v>1</v>
      </c>
      <c r="DF61">
        <v>1</v>
      </c>
      <c r="DQ61">
        <v>1</v>
      </c>
      <c r="DR61">
        <v>1</v>
      </c>
      <c r="DW61">
        <v>1</v>
      </c>
      <c r="DX61">
        <v>1</v>
      </c>
      <c r="DY61">
        <v>1</v>
      </c>
      <c r="DZ61">
        <v>1</v>
      </c>
      <c r="GF61">
        <v>1</v>
      </c>
      <c r="GW61">
        <v>1</v>
      </c>
      <c r="GX61">
        <v>1</v>
      </c>
      <c r="GY61">
        <v>1</v>
      </c>
      <c r="GZ61">
        <v>1</v>
      </c>
      <c r="HA61">
        <v>1</v>
      </c>
      <c r="HB61">
        <v>1</v>
      </c>
    </row>
    <row r="62" spans="1:210" x14ac:dyDescent="0.2">
      <c r="A62" t="str">
        <f t="array" aca="1" ref="A62" ca="1">IF(ROWS(A$1:A5)&lt;=COUNTIF(INDIRECT($A$57),"?*"),INDEX(INDIRECT($A$57),MATCH(SMALL(IF(INDIRECT($A$57)&lt;&gt;"",COUNTIF(INDIRECT($A$57),"&lt;"&amp;INDIRECT($A$57))),ROWS(A$1:A5)),IF(INDIRECT($A$57)&lt;&gt;"",COUNTIF(INDIRECT($A$57),"&lt;"&amp;INDIRECT($A$57))),0)),"")</f>
        <v>Knappe</v>
      </c>
      <c r="C62" t="str">
        <f t="shared" si="34"/>
        <v/>
      </c>
      <c r="E62" t="s">
        <v>385</v>
      </c>
      <c r="F62" t="s">
        <v>1496</v>
      </c>
      <c r="H62">
        <v>1</v>
      </c>
      <c r="I62">
        <v>1</v>
      </c>
      <c r="J62">
        <v>1</v>
      </c>
      <c r="K62">
        <v>1</v>
      </c>
      <c r="L62">
        <v>1</v>
      </c>
      <c r="M62">
        <v>1</v>
      </c>
      <c r="N62">
        <v>1</v>
      </c>
      <c r="P62">
        <v>1</v>
      </c>
      <c r="Q62">
        <v>1</v>
      </c>
      <c r="R62">
        <v>1</v>
      </c>
      <c r="S62">
        <v>1</v>
      </c>
      <c r="T62">
        <v>1</v>
      </c>
      <c r="U62">
        <v>1</v>
      </c>
      <c r="V62">
        <v>1</v>
      </c>
      <c r="W62">
        <v>1</v>
      </c>
      <c r="X62">
        <v>1</v>
      </c>
      <c r="Y62">
        <v>1</v>
      </c>
      <c r="Z62">
        <v>1</v>
      </c>
      <c r="AA62">
        <v>1</v>
      </c>
      <c r="AB62">
        <v>1</v>
      </c>
      <c r="AC62">
        <v>1</v>
      </c>
      <c r="AQ62">
        <v>1</v>
      </c>
      <c r="AR62">
        <v>1</v>
      </c>
      <c r="AS62">
        <v>1</v>
      </c>
      <c r="AT62">
        <v>1</v>
      </c>
      <c r="AU62">
        <v>1</v>
      </c>
      <c r="AV62">
        <v>1</v>
      </c>
      <c r="AW62">
        <v>1</v>
      </c>
      <c r="AX62">
        <v>1</v>
      </c>
      <c r="AY62">
        <v>1</v>
      </c>
      <c r="AZ62">
        <v>1</v>
      </c>
      <c r="BA62">
        <v>1</v>
      </c>
      <c r="BB62">
        <v>1</v>
      </c>
      <c r="BC62">
        <v>1</v>
      </c>
      <c r="BD62">
        <v>1</v>
      </c>
      <c r="BE62">
        <v>1</v>
      </c>
      <c r="BF62">
        <v>1</v>
      </c>
      <c r="BG62">
        <v>1</v>
      </c>
      <c r="BH62">
        <v>1</v>
      </c>
      <c r="BI62">
        <v>1</v>
      </c>
      <c r="BK62">
        <v>1</v>
      </c>
      <c r="BL62">
        <v>1</v>
      </c>
      <c r="BN62">
        <v>1</v>
      </c>
      <c r="BO62">
        <v>1</v>
      </c>
      <c r="BP62">
        <v>1</v>
      </c>
      <c r="BQ62">
        <v>1</v>
      </c>
      <c r="BR62">
        <v>1</v>
      </c>
      <c r="BS62">
        <v>1</v>
      </c>
      <c r="BT62">
        <v>1</v>
      </c>
      <c r="BU62">
        <v>1</v>
      </c>
      <c r="BV62">
        <v>1</v>
      </c>
      <c r="BW62">
        <v>1</v>
      </c>
      <c r="BX62">
        <v>1</v>
      </c>
      <c r="BY62">
        <v>1</v>
      </c>
      <c r="BZ62">
        <v>1</v>
      </c>
      <c r="CA62">
        <v>1</v>
      </c>
      <c r="CB62">
        <v>1</v>
      </c>
      <c r="CC62">
        <v>1</v>
      </c>
      <c r="CN62">
        <v>1</v>
      </c>
      <c r="CO62">
        <v>1</v>
      </c>
      <c r="CP62">
        <v>1</v>
      </c>
      <c r="CQ62">
        <v>1</v>
      </c>
      <c r="CR62">
        <v>1</v>
      </c>
      <c r="CS62">
        <v>1</v>
      </c>
      <c r="CT62">
        <v>1</v>
      </c>
      <c r="CU62">
        <v>1</v>
      </c>
      <c r="CV62">
        <v>1</v>
      </c>
      <c r="CW62">
        <v>1</v>
      </c>
      <c r="CX62">
        <v>1</v>
      </c>
      <c r="CY62">
        <v>1</v>
      </c>
      <c r="CZ62">
        <v>1</v>
      </c>
      <c r="DQ62">
        <v>1</v>
      </c>
      <c r="DR62">
        <v>1</v>
      </c>
      <c r="DY62">
        <v>1</v>
      </c>
      <c r="DZ62">
        <v>1</v>
      </c>
    </row>
    <row r="63" spans="1:210" x14ac:dyDescent="0.2">
      <c r="A63" t="str">
        <f t="array" aca="1" ref="A63" ca="1">IF(ROWS(A$1:A6)&lt;=COUNTIF(INDIRECT($A$57),"?*"),INDEX(INDIRECT($A$57),MATCH(SMALL(IF(INDIRECT($A$57)&lt;&gt;"",COUNTIF(INDIRECT($A$57),"&lt;"&amp;INDIRECT($A$57))),ROWS(A$1:A6)),IF(INDIRECT($A$57)&lt;&gt;"",COUNTIF(INDIRECT($A$57),"&lt;"&amp;INDIRECT($A$57))),0)),"")</f>
        <v>Krieger</v>
      </c>
      <c r="C63" t="str">
        <f t="shared" si="34"/>
        <v/>
      </c>
      <c r="E63" t="s">
        <v>386</v>
      </c>
      <c r="F63" t="s">
        <v>1497</v>
      </c>
      <c r="H63">
        <v>1</v>
      </c>
      <c r="I63">
        <v>1</v>
      </c>
      <c r="J63">
        <v>1</v>
      </c>
      <c r="K63">
        <v>1</v>
      </c>
      <c r="L63">
        <v>1</v>
      </c>
      <c r="M63">
        <v>1</v>
      </c>
      <c r="N63">
        <v>1</v>
      </c>
      <c r="P63">
        <v>1</v>
      </c>
      <c r="Q63">
        <v>1</v>
      </c>
      <c r="R63">
        <v>1</v>
      </c>
      <c r="S63">
        <v>1</v>
      </c>
      <c r="T63">
        <v>1</v>
      </c>
      <c r="U63">
        <v>1</v>
      </c>
      <c r="V63">
        <v>1</v>
      </c>
      <c r="W63">
        <v>1</v>
      </c>
      <c r="X63">
        <v>1</v>
      </c>
      <c r="Y63">
        <v>1</v>
      </c>
      <c r="Z63">
        <v>1</v>
      </c>
      <c r="AA63">
        <v>1</v>
      </c>
      <c r="AB63">
        <v>1</v>
      </c>
      <c r="AC63">
        <v>1</v>
      </c>
      <c r="AD63">
        <v>1</v>
      </c>
      <c r="AE63">
        <v>1</v>
      </c>
      <c r="AF63">
        <v>1</v>
      </c>
      <c r="AG63">
        <v>1</v>
      </c>
      <c r="AQ63">
        <v>1</v>
      </c>
      <c r="AR63">
        <v>1</v>
      </c>
      <c r="AS63">
        <v>1</v>
      </c>
      <c r="AT63">
        <v>1</v>
      </c>
      <c r="AU63">
        <v>1</v>
      </c>
      <c r="AV63">
        <v>1</v>
      </c>
      <c r="AW63">
        <v>1</v>
      </c>
      <c r="AX63">
        <v>1</v>
      </c>
      <c r="AY63">
        <v>1</v>
      </c>
      <c r="AZ63">
        <v>1</v>
      </c>
      <c r="BA63">
        <v>1</v>
      </c>
      <c r="BB63">
        <v>1</v>
      </c>
      <c r="BC63">
        <v>1</v>
      </c>
      <c r="BD63">
        <v>1</v>
      </c>
      <c r="BE63">
        <v>1</v>
      </c>
      <c r="BF63">
        <v>1</v>
      </c>
      <c r="BG63">
        <v>1</v>
      </c>
      <c r="BH63">
        <v>1</v>
      </c>
      <c r="BI63">
        <v>1</v>
      </c>
      <c r="BK63">
        <v>1</v>
      </c>
      <c r="BL63">
        <v>1</v>
      </c>
      <c r="BN63">
        <v>1</v>
      </c>
      <c r="BO63">
        <v>1</v>
      </c>
      <c r="BP63">
        <v>1</v>
      </c>
      <c r="BQ63">
        <v>1</v>
      </c>
      <c r="BR63">
        <v>1</v>
      </c>
      <c r="BS63">
        <v>1</v>
      </c>
      <c r="BT63">
        <v>1</v>
      </c>
      <c r="BU63">
        <v>1</v>
      </c>
      <c r="BV63">
        <v>1</v>
      </c>
      <c r="BW63">
        <v>1</v>
      </c>
      <c r="BX63">
        <v>1</v>
      </c>
      <c r="BY63">
        <v>1</v>
      </c>
      <c r="BZ63">
        <v>1</v>
      </c>
      <c r="CA63">
        <v>1</v>
      </c>
      <c r="CB63">
        <v>1</v>
      </c>
      <c r="CC63">
        <v>1</v>
      </c>
      <c r="CN63">
        <v>1</v>
      </c>
      <c r="CO63">
        <v>1</v>
      </c>
      <c r="CP63">
        <v>1</v>
      </c>
      <c r="CQ63">
        <v>1</v>
      </c>
      <c r="CR63">
        <v>1</v>
      </c>
      <c r="CS63">
        <v>1</v>
      </c>
      <c r="CT63">
        <v>1</v>
      </c>
      <c r="CU63">
        <v>1</v>
      </c>
      <c r="CV63">
        <v>1</v>
      </c>
      <c r="CW63">
        <v>1</v>
      </c>
      <c r="CX63">
        <v>1</v>
      </c>
      <c r="CY63">
        <v>1</v>
      </c>
      <c r="CZ63">
        <v>1</v>
      </c>
      <c r="DG63">
        <v>1</v>
      </c>
      <c r="DH63">
        <v>1</v>
      </c>
      <c r="DI63">
        <v>1</v>
      </c>
      <c r="DJ63">
        <v>1</v>
      </c>
      <c r="DK63">
        <v>1</v>
      </c>
      <c r="DL63">
        <v>1</v>
      </c>
      <c r="DM63">
        <v>1</v>
      </c>
      <c r="DN63">
        <v>1</v>
      </c>
      <c r="DQ63">
        <v>1</v>
      </c>
      <c r="DR63">
        <v>1</v>
      </c>
      <c r="DY63">
        <v>1</v>
      </c>
      <c r="DZ63">
        <v>1</v>
      </c>
      <c r="ER63">
        <v>1</v>
      </c>
      <c r="ES63">
        <v>1</v>
      </c>
      <c r="ET63">
        <v>1</v>
      </c>
      <c r="EU63">
        <v>1</v>
      </c>
    </row>
    <row r="64" spans="1:210" x14ac:dyDescent="0.2">
      <c r="A64" t="str">
        <f t="array" aca="1" ref="A64" ca="1">IF(ROWS(A$1:A7)&lt;=COUNTIF(INDIRECT($A$57),"?*"),INDEX(INDIRECT($A$57),MATCH(SMALL(IF(INDIRECT($A$57)&lt;&gt;"",COUNTIF(INDIRECT($A$57),"&lt;"&amp;INDIRECT($A$57))),ROWS(A$1:A7)),IF(INDIRECT($A$57)&lt;&gt;"",COUNTIF(INDIRECT($A$57),"&lt;"&amp;INDIRECT($A$57))),0)),"")</f>
        <v>Ritter</v>
      </c>
      <c r="C64" t="str">
        <f t="shared" si="34"/>
        <v/>
      </c>
      <c r="E64" t="s">
        <v>6287</v>
      </c>
      <c r="F64" t="s">
        <v>1496</v>
      </c>
      <c r="P64">
        <v>1</v>
      </c>
      <c r="Q64">
        <v>1</v>
      </c>
      <c r="R64">
        <v>1</v>
      </c>
      <c r="S64">
        <v>1</v>
      </c>
      <c r="T64">
        <v>1</v>
      </c>
      <c r="U64">
        <v>1</v>
      </c>
      <c r="AF64">
        <v>1</v>
      </c>
      <c r="BE64">
        <v>1</v>
      </c>
      <c r="BN64">
        <v>1</v>
      </c>
      <c r="BO64">
        <v>1</v>
      </c>
      <c r="BP64">
        <v>1</v>
      </c>
      <c r="BQ64">
        <v>1</v>
      </c>
      <c r="BR64">
        <v>1</v>
      </c>
      <c r="BS64">
        <v>1</v>
      </c>
      <c r="BT64">
        <v>1</v>
      </c>
      <c r="BU64">
        <v>1</v>
      </c>
      <c r="BV64">
        <v>1</v>
      </c>
      <c r="BW64">
        <v>1</v>
      </c>
      <c r="BX64">
        <v>1</v>
      </c>
      <c r="BY64">
        <v>1</v>
      </c>
      <c r="BZ64">
        <v>1</v>
      </c>
      <c r="CA64">
        <v>1</v>
      </c>
      <c r="CB64">
        <v>1</v>
      </c>
      <c r="CC64">
        <v>1</v>
      </c>
    </row>
    <row r="65" spans="1:210" x14ac:dyDescent="0.2">
      <c r="A65" t="str">
        <f t="array" aca="1" ref="A65" ca="1">IF(ROWS(A$1:A8)&lt;=COUNTIF(INDIRECT($A$57),"?*"),INDEX(INDIRECT($A$57),MATCH(SMALL(IF(INDIRECT($A$57)&lt;&gt;"",COUNTIF(INDIRECT($A$57),"&lt;"&amp;INDIRECT($A$57))),ROWS(A$1:A8)),IF(INDIRECT($A$57)&lt;&gt;"",COUNTIF(INDIRECT($A$57),"&lt;"&amp;INDIRECT($A$57))),0)),"")</f>
        <v>Schwertgeselle</v>
      </c>
      <c r="C65" t="str">
        <f t="shared" si="34"/>
        <v/>
      </c>
      <c r="E65" t="s">
        <v>4727</v>
      </c>
      <c r="F65" t="s">
        <v>4319</v>
      </c>
      <c r="H65">
        <v>1</v>
      </c>
      <c r="I65">
        <v>1</v>
      </c>
      <c r="J65">
        <v>1</v>
      </c>
      <c r="K65">
        <v>1</v>
      </c>
      <c r="L65">
        <v>1</v>
      </c>
      <c r="M65">
        <v>1</v>
      </c>
      <c r="N65">
        <v>1</v>
      </c>
      <c r="V65">
        <v>1</v>
      </c>
      <c r="W65">
        <v>1</v>
      </c>
      <c r="X65">
        <v>1</v>
      </c>
      <c r="Y65">
        <v>1</v>
      </c>
      <c r="Z65">
        <v>1</v>
      </c>
      <c r="AA65">
        <v>1</v>
      </c>
      <c r="AB65">
        <v>1</v>
      </c>
      <c r="AC65">
        <v>1</v>
      </c>
      <c r="AQ65">
        <v>1</v>
      </c>
      <c r="AR65">
        <v>1</v>
      </c>
      <c r="AS65">
        <v>1</v>
      </c>
      <c r="AT65">
        <v>1</v>
      </c>
      <c r="AU65">
        <v>1</v>
      </c>
      <c r="AV65">
        <v>1</v>
      </c>
      <c r="AW65">
        <v>1</v>
      </c>
      <c r="AX65">
        <v>1</v>
      </c>
      <c r="AY65">
        <v>1</v>
      </c>
      <c r="AZ65">
        <v>1</v>
      </c>
      <c r="BA65">
        <v>1</v>
      </c>
      <c r="BB65">
        <v>1</v>
      </c>
      <c r="BC65">
        <v>1</v>
      </c>
      <c r="BD65">
        <v>1</v>
      </c>
      <c r="BE65">
        <v>1</v>
      </c>
      <c r="BF65">
        <v>1</v>
      </c>
      <c r="BG65">
        <v>1</v>
      </c>
      <c r="BH65">
        <v>1</v>
      </c>
      <c r="BI65">
        <v>1</v>
      </c>
      <c r="BK65">
        <v>1</v>
      </c>
      <c r="BL65">
        <v>1</v>
      </c>
      <c r="BW65">
        <v>1</v>
      </c>
      <c r="BX65">
        <v>1</v>
      </c>
      <c r="BY65">
        <v>1</v>
      </c>
      <c r="BZ65">
        <v>1</v>
      </c>
      <c r="CA65">
        <v>1</v>
      </c>
      <c r="CB65">
        <v>1</v>
      </c>
      <c r="CC65">
        <v>1</v>
      </c>
      <c r="CN65">
        <v>1</v>
      </c>
      <c r="CO65">
        <v>1</v>
      </c>
      <c r="CP65">
        <v>1</v>
      </c>
      <c r="CQ65">
        <v>1</v>
      </c>
      <c r="CR65">
        <v>1</v>
      </c>
      <c r="CS65">
        <v>1</v>
      </c>
      <c r="CT65">
        <v>1</v>
      </c>
      <c r="CU65">
        <v>1</v>
      </c>
      <c r="CV65">
        <v>1</v>
      </c>
      <c r="CW65">
        <v>1</v>
      </c>
      <c r="CX65">
        <v>1</v>
      </c>
      <c r="CY65">
        <v>1</v>
      </c>
      <c r="CZ65">
        <v>1</v>
      </c>
      <c r="DQ65">
        <v>1</v>
      </c>
      <c r="DR65">
        <v>1</v>
      </c>
      <c r="DY65">
        <v>1</v>
      </c>
      <c r="DZ65">
        <v>1</v>
      </c>
      <c r="EU65">
        <v>1</v>
      </c>
    </row>
    <row r="66" spans="1:210" x14ac:dyDescent="0.2">
      <c r="A66" t="str">
        <f t="array" aca="1" ref="A66" ca="1">IF(ROWS(A$1:A9)&lt;=COUNTIF(INDIRECT($A$57),"?*"),INDEX(INDIRECT($A$57),MATCH(SMALL(IF(INDIRECT($A$57)&lt;&gt;"",COUNTIF(INDIRECT($A$57),"&lt;"&amp;INDIRECT($A$57))),ROWS(A$1:A9)),IF(INDIRECT($A$57)&lt;&gt;"",COUNTIF(INDIRECT($A$57),"&lt;"&amp;INDIRECT($A$57))),0)),"")</f>
        <v>Soldat</v>
      </c>
      <c r="C66" t="str">
        <f t="shared" si="34"/>
        <v/>
      </c>
      <c r="E66" t="s">
        <v>1384</v>
      </c>
      <c r="F66" t="s">
        <v>4320</v>
      </c>
      <c r="H66">
        <v>1</v>
      </c>
      <c r="I66">
        <v>1</v>
      </c>
      <c r="J66">
        <v>1</v>
      </c>
      <c r="K66">
        <v>1</v>
      </c>
      <c r="L66">
        <v>1</v>
      </c>
      <c r="M66">
        <v>1</v>
      </c>
      <c r="N66">
        <v>1</v>
      </c>
      <c r="P66">
        <v>1</v>
      </c>
      <c r="Q66">
        <v>1</v>
      </c>
      <c r="R66">
        <v>1</v>
      </c>
      <c r="S66">
        <v>1</v>
      </c>
      <c r="T66">
        <v>1</v>
      </c>
      <c r="U66">
        <v>1</v>
      </c>
      <c r="V66">
        <v>1</v>
      </c>
      <c r="W66">
        <v>1</v>
      </c>
      <c r="X66">
        <v>1</v>
      </c>
      <c r="Y66">
        <v>1</v>
      </c>
      <c r="Z66">
        <v>1</v>
      </c>
      <c r="AA66">
        <v>1</v>
      </c>
      <c r="AB66">
        <v>1</v>
      </c>
      <c r="AC66">
        <v>1</v>
      </c>
      <c r="AD66">
        <v>1</v>
      </c>
      <c r="AE66">
        <v>1</v>
      </c>
      <c r="AF66">
        <v>1</v>
      </c>
      <c r="AG66">
        <v>1</v>
      </c>
      <c r="AQ66">
        <v>1</v>
      </c>
      <c r="AR66">
        <v>1</v>
      </c>
      <c r="AS66">
        <v>1</v>
      </c>
      <c r="AT66">
        <v>1</v>
      </c>
      <c r="AU66">
        <v>1</v>
      </c>
      <c r="AV66">
        <v>1</v>
      </c>
      <c r="AW66">
        <v>1</v>
      </c>
      <c r="AX66">
        <v>1</v>
      </c>
      <c r="AY66">
        <v>1</v>
      </c>
      <c r="AZ66">
        <v>1</v>
      </c>
      <c r="BA66">
        <v>1</v>
      </c>
      <c r="BB66">
        <v>1</v>
      </c>
      <c r="BC66">
        <v>1</v>
      </c>
      <c r="BD66">
        <v>1</v>
      </c>
      <c r="BE66">
        <v>1</v>
      </c>
      <c r="BF66">
        <v>1</v>
      </c>
      <c r="BG66">
        <v>1</v>
      </c>
      <c r="BH66">
        <v>1</v>
      </c>
      <c r="BI66">
        <v>1</v>
      </c>
      <c r="BK66">
        <v>1</v>
      </c>
      <c r="BL66">
        <v>1</v>
      </c>
      <c r="BN66">
        <v>1</v>
      </c>
      <c r="BO66">
        <v>1</v>
      </c>
      <c r="BP66">
        <v>1</v>
      </c>
      <c r="BQ66">
        <v>1</v>
      </c>
      <c r="BR66">
        <v>1</v>
      </c>
      <c r="BS66">
        <v>1</v>
      </c>
      <c r="BT66">
        <v>1</v>
      </c>
      <c r="BU66">
        <v>1</v>
      </c>
      <c r="BV66">
        <v>1</v>
      </c>
      <c r="BW66">
        <v>1</v>
      </c>
      <c r="BX66">
        <v>1</v>
      </c>
      <c r="BY66">
        <v>1</v>
      </c>
      <c r="BZ66">
        <v>1</v>
      </c>
      <c r="CA66">
        <v>1</v>
      </c>
      <c r="CB66">
        <v>1</v>
      </c>
      <c r="CC66">
        <v>1</v>
      </c>
      <c r="CG66">
        <v>1</v>
      </c>
      <c r="CN66">
        <v>1</v>
      </c>
      <c r="CO66">
        <v>1</v>
      </c>
      <c r="CP66">
        <v>1</v>
      </c>
      <c r="CQ66">
        <v>1</v>
      </c>
      <c r="CR66">
        <v>1</v>
      </c>
      <c r="CS66">
        <v>1</v>
      </c>
      <c r="CT66">
        <v>1</v>
      </c>
      <c r="CU66">
        <v>1</v>
      </c>
      <c r="CV66">
        <v>1</v>
      </c>
      <c r="CW66">
        <v>1</v>
      </c>
      <c r="CX66">
        <v>1</v>
      </c>
      <c r="CY66">
        <v>1</v>
      </c>
      <c r="CZ66">
        <v>1</v>
      </c>
      <c r="DA66">
        <v>1</v>
      </c>
      <c r="DB66">
        <v>1</v>
      </c>
      <c r="DC66">
        <v>1</v>
      </c>
      <c r="DD66">
        <v>1</v>
      </c>
      <c r="DE66">
        <v>1</v>
      </c>
      <c r="DF66">
        <v>1</v>
      </c>
      <c r="DG66">
        <v>1</v>
      </c>
      <c r="DH66">
        <v>1</v>
      </c>
      <c r="DI66">
        <v>1</v>
      </c>
      <c r="DJ66">
        <v>1</v>
      </c>
      <c r="DK66">
        <v>1</v>
      </c>
      <c r="DL66">
        <v>1</v>
      </c>
      <c r="DM66">
        <v>1</v>
      </c>
      <c r="DN66">
        <v>1</v>
      </c>
      <c r="DQ66">
        <v>1</v>
      </c>
      <c r="DR66">
        <v>1</v>
      </c>
      <c r="DV66">
        <v>1</v>
      </c>
      <c r="DY66">
        <v>1</v>
      </c>
      <c r="DZ66">
        <v>1</v>
      </c>
      <c r="ER66">
        <v>1</v>
      </c>
      <c r="ES66">
        <v>1</v>
      </c>
      <c r="ET66">
        <v>1</v>
      </c>
    </row>
    <row r="67" spans="1:210" x14ac:dyDescent="0.2">
      <c r="A67" t="str">
        <f t="array" aca="1" ref="A67" ca="1">IF(ROWS(A$1:A10)&lt;=COUNTIF(INDIRECT($A$57),"?*"),INDEX(INDIRECT($A$57),MATCH(SMALL(IF(INDIRECT($A$57)&lt;&gt;"",COUNTIF(INDIRECT($A$57),"&lt;"&amp;INDIRECT($A$57))),ROWS(A$1:A10)),IF(INDIRECT($A$57)&lt;&gt;"",COUNTIF(INDIRECT($A$57),"&lt;"&amp;INDIRECT($A$57))),0)),"")</f>
        <v>Söldner</v>
      </c>
      <c r="C67" t="str">
        <f t="shared" si="34"/>
        <v/>
      </c>
      <c r="E67" t="s">
        <v>1385</v>
      </c>
      <c r="F67" t="s">
        <v>4321</v>
      </c>
      <c r="H67">
        <v>1</v>
      </c>
      <c r="I67">
        <v>1</v>
      </c>
      <c r="J67">
        <v>1</v>
      </c>
      <c r="K67">
        <v>1</v>
      </c>
      <c r="L67">
        <v>1</v>
      </c>
      <c r="M67">
        <v>1</v>
      </c>
      <c r="N67">
        <v>1</v>
      </c>
      <c r="P67">
        <v>1</v>
      </c>
      <c r="Q67">
        <v>1</v>
      </c>
      <c r="R67">
        <v>1</v>
      </c>
      <c r="S67">
        <v>1</v>
      </c>
      <c r="T67">
        <v>1</v>
      </c>
      <c r="U67">
        <v>1</v>
      </c>
      <c r="V67">
        <v>1</v>
      </c>
      <c r="W67">
        <v>1</v>
      </c>
      <c r="X67">
        <v>1</v>
      </c>
      <c r="Y67">
        <v>1</v>
      </c>
      <c r="Z67">
        <v>1</v>
      </c>
      <c r="AA67">
        <v>1</v>
      </c>
      <c r="AB67">
        <v>1</v>
      </c>
      <c r="AC67">
        <v>1</v>
      </c>
      <c r="AD67">
        <v>1</v>
      </c>
      <c r="AE67">
        <v>1</v>
      </c>
      <c r="AF67">
        <v>1</v>
      </c>
      <c r="AG67">
        <v>1</v>
      </c>
      <c r="AH67">
        <v>1</v>
      </c>
      <c r="AN67">
        <v>1</v>
      </c>
      <c r="AO67">
        <v>1</v>
      </c>
      <c r="AP67">
        <v>1</v>
      </c>
      <c r="AQ67">
        <v>1</v>
      </c>
      <c r="AR67">
        <v>1</v>
      </c>
      <c r="AS67">
        <v>1</v>
      </c>
      <c r="AT67">
        <v>1</v>
      </c>
      <c r="AU67">
        <v>1</v>
      </c>
      <c r="AV67">
        <v>1</v>
      </c>
      <c r="AW67">
        <v>1</v>
      </c>
      <c r="AX67">
        <v>1</v>
      </c>
      <c r="AY67">
        <v>1</v>
      </c>
      <c r="AZ67">
        <v>1</v>
      </c>
      <c r="BA67">
        <v>1</v>
      </c>
      <c r="BB67">
        <v>1</v>
      </c>
      <c r="BC67">
        <v>1</v>
      </c>
      <c r="BD67">
        <v>1</v>
      </c>
      <c r="BE67">
        <v>1</v>
      </c>
      <c r="BF67">
        <v>1</v>
      </c>
      <c r="BG67">
        <v>1</v>
      </c>
      <c r="BH67">
        <v>1</v>
      </c>
      <c r="BI67">
        <v>1</v>
      </c>
      <c r="BJ67">
        <v>1</v>
      </c>
      <c r="BK67">
        <v>1</v>
      </c>
      <c r="BL67">
        <v>1</v>
      </c>
      <c r="BM67">
        <v>1</v>
      </c>
      <c r="BN67">
        <v>1</v>
      </c>
      <c r="BO67">
        <v>1</v>
      </c>
      <c r="BP67">
        <v>1</v>
      </c>
      <c r="BQ67">
        <v>1</v>
      </c>
      <c r="BR67">
        <v>1</v>
      </c>
      <c r="BS67">
        <v>1</v>
      </c>
      <c r="BT67">
        <v>1</v>
      </c>
      <c r="BU67">
        <v>1</v>
      </c>
      <c r="BV67">
        <v>1</v>
      </c>
      <c r="BW67">
        <v>1</v>
      </c>
      <c r="BX67">
        <v>1</v>
      </c>
      <c r="BY67">
        <v>1</v>
      </c>
      <c r="BZ67">
        <v>1</v>
      </c>
      <c r="CA67">
        <v>1</v>
      </c>
      <c r="CB67">
        <v>1</v>
      </c>
      <c r="CC67">
        <v>1</v>
      </c>
      <c r="CF67">
        <v>1</v>
      </c>
      <c r="CG67">
        <v>1</v>
      </c>
      <c r="CN67">
        <v>1</v>
      </c>
      <c r="CO67">
        <v>1</v>
      </c>
      <c r="CP67">
        <v>1</v>
      </c>
      <c r="CQ67">
        <v>1</v>
      </c>
      <c r="CR67">
        <v>1</v>
      </c>
      <c r="CS67">
        <v>1</v>
      </c>
      <c r="CT67">
        <v>1</v>
      </c>
      <c r="CU67">
        <v>1</v>
      </c>
      <c r="CV67">
        <v>1</v>
      </c>
      <c r="CW67">
        <v>1</v>
      </c>
      <c r="CX67">
        <v>1</v>
      </c>
      <c r="CY67">
        <v>1</v>
      </c>
      <c r="CZ67">
        <v>1</v>
      </c>
      <c r="DA67">
        <v>1</v>
      </c>
      <c r="DB67">
        <v>1</v>
      </c>
      <c r="DC67">
        <v>1</v>
      </c>
      <c r="DD67">
        <v>1</v>
      </c>
      <c r="DE67">
        <v>1</v>
      </c>
      <c r="DF67">
        <v>1</v>
      </c>
      <c r="DG67">
        <v>1</v>
      </c>
      <c r="DH67">
        <v>1</v>
      </c>
      <c r="DI67">
        <v>1</v>
      </c>
      <c r="DJ67">
        <v>1</v>
      </c>
      <c r="DK67">
        <v>1</v>
      </c>
      <c r="DL67">
        <v>1</v>
      </c>
      <c r="DM67">
        <v>1</v>
      </c>
      <c r="DN67">
        <v>1</v>
      </c>
      <c r="DQ67">
        <v>1</v>
      </c>
      <c r="DR67">
        <v>1</v>
      </c>
      <c r="DS67">
        <v>1</v>
      </c>
      <c r="DT67">
        <v>1</v>
      </c>
      <c r="DU67">
        <v>1</v>
      </c>
      <c r="DV67">
        <v>1</v>
      </c>
      <c r="DW67">
        <v>1</v>
      </c>
      <c r="DX67">
        <v>1</v>
      </c>
      <c r="DY67">
        <v>1</v>
      </c>
      <c r="DZ67">
        <v>1</v>
      </c>
      <c r="ER67">
        <v>1</v>
      </c>
      <c r="ES67">
        <v>1</v>
      </c>
      <c r="ET67">
        <v>1</v>
      </c>
      <c r="EU67">
        <v>1</v>
      </c>
      <c r="EZ67">
        <v>1</v>
      </c>
      <c r="FE67">
        <v>1</v>
      </c>
      <c r="FJ67">
        <v>1</v>
      </c>
      <c r="FO67">
        <v>1</v>
      </c>
      <c r="FT67">
        <v>1</v>
      </c>
      <c r="FY67">
        <v>1</v>
      </c>
      <c r="GD67">
        <v>1</v>
      </c>
      <c r="GF67">
        <v>1</v>
      </c>
      <c r="GJ67">
        <v>1</v>
      </c>
      <c r="GT67">
        <v>1</v>
      </c>
      <c r="GU67">
        <v>1</v>
      </c>
      <c r="GV67">
        <v>1</v>
      </c>
      <c r="GW67">
        <v>1</v>
      </c>
      <c r="GX67">
        <v>1</v>
      </c>
      <c r="GY67">
        <v>1</v>
      </c>
      <c r="GZ67">
        <v>1</v>
      </c>
      <c r="HA67">
        <v>1</v>
      </c>
      <c r="HB67">
        <v>1</v>
      </c>
    </row>
    <row r="68" spans="1:210" x14ac:dyDescent="0.2">
      <c r="A68" t="str">
        <f t="array" aca="1" ref="A68" ca="1">IF(ROWS(A$1:A11)&lt;=COUNTIF(INDIRECT($A$57),"?*"),INDEX(INDIRECT($A$57),MATCH(SMALL(IF(INDIRECT($A$57)&lt;&gt;"",COUNTIF(INDIRECT($A$57),"&lt;"&amp;INDIRECT($A$57))),ROWS(A$1:A11)),IF(INDIRECT($A$57)&lt;&gt;"",COUNTIF(INDIRECT($A$57),"&lt;"&amp;INDIRECT($A$57))),0)),"")</f>
        <v>Stammeskrieger</v>
      </c>
      <c r="C68" t="str">
        <f t="shared" si="34"/>
        <v/>
      </c>
      <c r="E68" t="s">
        <v>4678</v>
      </c>
      <c r="F68" t="s">
        <v>4873</v>
      </c>
      <c r="AI68">
        <v>1</v>
      </c>
      <c r="AJ68">
        <v>1</v>
      </c>
      <c r="AK68">
        <v>1</v>
      </c>
      <c r="AL68">
        <v>1</v>
      </c>
      <c r="AM68">
        <v>1</v>
      </c>
      <c r="AN68">
        <v>1</v>
      </c>
      <c r="AO68">
        <v>1</v>
      </c>
      <c r="AP68">
        <v>1</v>
      </c>
      <c r="BJ68">
        <v>1</v>
      </c>
      <c r="BM68">
        <v>1</v>
      </c>
      <c r="CH68">
        <v>1</v>
      </c>
      <c r="CI68">
        <v>1</v>
      </c>
      <c r="DO68">
        <v>1</v>
      </c>
      <c r="DP68">
        <v>1</v>
      </c>
      <c r="DS68">
        <v>1</v>
      </c>
      <c r="DT68">
        <v>1</v>
      </c>
      <c r="DU68">
        <v>1</v>
      </c>
      <c r="DV68">
        <v>1</v>
      </c>
      <c r="DW68">
        <v>1</v>
      </c>
      <c r="EV68">
        <v>1</v>
      </c>
      <c r="EZ68">
        <v>1</v>
      </c>
      <c r="FA68">
        <v>1</v>
      </c>
      <c r="FE68">
        <v>1</v>
      </c>
      <c r="FF68">
        <v>1</v>
      </c>
      <c r="FJ68">
        <v>1</v>
      </c>
      <c r="FK68">
        <v>1</v>
      </c>
      <c r="FO68">
        <v>1</v>
      </c>
      <c r="FP68">
        <v>1</v>
      </c>
      <c r="FT68">
        <v>1</v>
      </c>
      <c r="FU68">
        <v>1</v>
      </c>
      <c r="FY68">
        <v>1</v>
      </c>
      <c r="FZ68">
        <v>1</v>
      </c>
      <c r="GD68">
        <v>1</v>
      </c>
      <c r="GE68">
        <v>1</v>
      </c>
      <c r="GJ68">
        <v>1</v>
      </c>
      <c r="GK68">
        <v>1</v>
      </c>
      <c r="GL68">
        <v>1</v>
      </c>
      <c r="GN68">
        <v>1</v>
      </c>
      <c r="GP68">
        <v>1</v>
      </c>
      <c r="GR68">
        <v>1</v>
      </c>
      <c r="GV68">
        <v>1</v>
      </c>
      <c r="GW68">
        <v>1</v>
      </c>
      <c r="GX68">
        <v>1</v>
      </c>
      <c r="GY68">
        <v>1</v>
      </c>
      <c r="GZ68">
        <v>1</v>
      </c>
      <c r="HA68">
        <v>1</v>
      </c>
      <c r="HB68">
        <v>1</v>
      </c>
    </row>
    <row r="69" spans="1:210" x14ac:dyDescent="0.2">
      <c r="A69" t="str">
        <f>IF(OR(ISBLANK(KULTURGENE),KULTURGENE="LEER"),"",IF(HLOOKUP(KULTURGENE,LIST_K_G,ROW(),FALSE)="","",HLOOKUP(KULTURGENE,LIST_K_G,ROW(),FALSE)))</f>
        <v/>
      </c>
      <c r="AI69" t="s">
        <v>7737</v>
      </c>
      <c r="AJ69" t="s">
        <v>7737</v>
      </c>
      <c r="AK69" t="s">
        <v>7737</v>
      </c>
      <c r="AL69" t="s">
        <v>7737</v>
      </c>
      <c r="AM69" t="s">
        <v>7737</v>
      </c>
      <c r="AN69" t="s">
        <v>7733</v>
      </c>
      <c r="AO69" t="s">
        <v>7736</v>
      </c>
      <c r="AP69" t="s">
        <v>7735</v>
      </c>
      <c r="BF69" t="s">
        <v>7731</v>
      </c>
      <c r="BG69" t="s">
        <v>7729</v>
      </c>
      <c r="BH69" t="s">
        <v>7729</v>
      </c>
      <c r="BI69" t="s">
        <v>7729</v>
      </c>
      <c r="BJ69" t="s">
        <v>7730</v>
      </c>
      <c r="BK69" t="s">
        <v>7729</v>
      </c>
      <c r="BL69" t="s">
        <v>7729</v>
      </c>
      <c r="BM69" t="s">
        <v>7738</v>
      </c>
      <c r="CH69" t="s">
        <v>7732</v>
      </c>
      <c r="CI69" t="s">
        <v>7732</v>
      </c>
      <c r="DI69" t="s">
        <v>9185</v>
      </c>
      <c r="DJ69" t="s">
        <v>9185</v>
      </c>
      <c r="DK69" t="s">
        <v>9185</v>
      </c>
      <c r="DL69" t="s">
        <v>9185</v>
      </c>
      <c r="DM69" t="s">
        <v>9185</v>
      </c>
      <c r="DN69" t="s">
        <v>9185</v>
      </c>
      <c r="DO69" t="s">
        <v>7737</v>
      </c>
      <c r="DP69" t="s">
        <v>7739</v>
      </c>
      <c r="DQ69" t="s">
        <v>7731</v>
      </c>
      <c r="DR69" t="s">
        <v>7731</v>
      </c>
      <c r="DS69" t="s">
        <v>7730</v>
      </c>
      <c r="DT69" t="s">
        <v>7737</v>
      </c>
      <c r="DU69" t="s">
        <v>7737</v>
      </c>
      <c r="DV69" t="s">
        <v>7737</v>
      </c>
      <c r="DW69" t="s">
        <v>7737</v>
      </c>
      <c r="DX69" t="s">
        <v>7734</v>
      </c>
      <c r="ER69" t="s">
        <v>7740</v>
      </c>
      <c r="ES69" t="s">
        <v>7740</v>
      </c>
      <c r="ET69" t="s">
        <v>7740</v>
      </c>
      <c r="EV69" t="s">
        <v>7741</v>
      </c>
      <c r="EZ69" t="s">
        <v>7742</v>
      </c>
      <c r="FA69" t="s">
        <v>7743</v>
      </c>
      <c r="FE69" t="s">
        <v>7742</v>
      </c>
      <c r="FF69" t="s">
        <v>7743</v>
      </c>
      <c r="FJ69" t="s">
        <v>7742</v>
      </c>
      <c r="FK69" t="s">
        <v>7743</v>
      </c>
      <c r="FO69" t="s">
        <v>7742</v>
      </c>
      <c r="FP69" t="s">
        <v>7743</v>
      </c>
      <c r="FT69" t="s">
        <v>7742</v>
      </c>
      <c r="FU69" t="s">
        <v>7743</v>
      </c>
      <c r="FY69" t="s">
        <v>7742</v>
      </c>
      <c r="FZ69" t="s">
        <v>7743</v>
      </c>
      <c r="GD69" t="s">
        <v>7742</v>
      </c>
      <c r="GE69" t="s">
        <v>7743</v>
      </c>
      <c r="GF69" t="s">
        <v>7744</v>
      </c>
      <c r="GJ69" t="s">
        <v>7743</v>
      </c>
      <c r="GK69" t="s">
        <v>7743</v>
      </c>
      <c r="GL69" t="s">
        <v>7745</v>
      </c>
      <c r="GN69" t="s">
        <v>7745</v>
      </c>
      <c r="GP69" t="s">
        <v>7745</v>
      </c>
      <c r="GR69" t="s">
        <v>7745</v>
      </c>
      <c r="GV69" t="s">
        <v>7746</v>
      </c>
      <c r="GW69" t="s">
        <v>7746</v>
      </c>
      <c r="GX69" t="s">
        <v>7746</v>
      </c>
      <c r="GY69" t="s">
        <v>7746</v>
      </c>
      <c r="GZ69" t="s">
        <v>7746</v>
      </c>
      <c r="HA69" t="s">
        <v>7746</v>
      </c>
      <c r="HB69" t="s">
        <v>7746</v>
      </c>
    </row>
    <row r="70" spans="1:210" x14ac:dyDescent="0.2">
      <c r="A70" t="str">
        <f>IF(Generierung!$D$4="Nach WdH - Start mit Rasse","C"&amp;IDX_P_MAG+1&amp;":C"&amp;IDX_P_MAG+13,"E"&amp;IDX_P_MAG+1&amp;":E"&amp;IDX_P_MAG+13)</f>
        <v>E71:E83</v>
      </c>
      <c r="E70" t="s">
        <v>7667</v>
      </c>
      <c r="G70">
        <f>ROW()</f>
        <v>70</v>
      </c>
      <c r="H70">
        <f t="shared" ref="H70:AM70" si="35">IF(COUNTIF(H71:H83,1)=0,"",1)</f>
        <v>1</v>
      </c>
      <c r="I70">
        <f t="shared" si="35"/>
        <v>1</v>
      </c>
      <c r="J70">
        <f t="shared" si="35"/>
        <v>1</v>
      </c>
      <c r="K70">
        <f t="shared" si="35"/>
        <v>1</v>
      </c>
      <c r="L70">
        <f t="shared" si="35"/>
        <v>1</v>
      </c>
      <c r="M70">
        <f t="shared" si="35"/>
        <v>1</v>
      </c>
      <c r="N70">
        <f t="shared" si="35"/>
        <v>1</v>
      </c>
      <c r="O70" t="str">
        <f t="shared" si="35"/>
        <v/>
      </c>
      <c r="P70">
        <f t="shared" si="35"/>
        <v>1</v>
      </c>
      <c r="Q70">
        <f t="shared" si="35"/>
        <v>1</v>
      </c>
      <c r="R70">
        <f t="shared" si="35"/>
        <v>1</v>
      </c>
      <c r="S70">
        <f t="shared" si="35"/>
        <v>1</v>
      </c>
      <c r="T70">
        <f t="shared" si="35"/>
        <v>1</v>
      </c>
      <c r="U70">
        <f t="shared" si="35"/>
        <v>1</v>
      </c>
      <c r="V70">
        <f t="shared" si="35"/>
        <v>1</v>
      </c>
      <c r="W70">
        <f t="shared" si="35"/>
        <v>1</v>
      </c>
      <c r="X70">
        <f t="shared" si="35"/>
        <v>1</v>
      </c>
      <c r="Y70">
        <f t="shared" si="35"/>
        <v>1</v>
      </c>
      <c r="Z70">
        <f t="shared" si="35"/>
        <v>1</v>
      </c>
      <c r="AA70">
        <f t="shared" si="35"/>
        <v>1</v>
      </c>
      <c r="AB70">
        <f t="shared" si="35"/>
        <v>1</v>
      </c>
      <c r="AC70">
        <f t="shared" si="35"/>
        <v>1</v>
      </c>
      <c r="AD70">
        <f t="shared" si="35"/>
        <v>1</v>
      </c>
      <c r="AE70">
        <f t="shared" si="35"/>
        <v>1</v>
      </c>
      <c r="AF70">
        <f t="shared" si="35"/>
        <v>1</v>
      </c>
      <c r="AG70">
        <f t="shared" si="35"/>
        <v>1</v>
      </c>
      <c r="AH70">
        <f t="shared" si="35"/>
        <v>1</v>
      </c>
      <c r="AI70" t="str">
        <f t="shared" si="35"/>
        <v/>
      </c>
      <c r="AJ70" t="str">
        <f t="shared" si="35"/>
        <v/>
      </c>
      <c r="AK70" t="str">
        <f t="shared" si="35"/>
        <v/>
      </c>
      <c r="AL70" t="str">
        <f t="shared" si="35"/>
        <v/>
      </c>
      <c r="AM70" t="str">
        <f t="shared" si="35"/>
        <v/>
      </c>
      <c r="AN70">
        <f t="shared" ref="AN70:BS70" si="36">IF(COUNTIF(AN71:AN83,1)=0,"",1)</f>
        <v>1</v>
      </c>
      <c r="AO70" t="str">
        <f t="shared" si="36"/>
        <v/>
      </c>
      <c r="AP70">
        <f t="shared" si="36"/>
        <v>1</v>
      </c>
      <c r="AQ70">
        <f t="shared" si="36"/>
        <v>1</v>
      </c>
      <c r="AR70">
        <f t="shared" si="36"/>
        <v>1</v>
      </c>
      <c r="AS70">
        <f t="shared" si="36"/>
        <v>1</v>
      </c>
      <c r="AT70">
        <f t="shared" si="36"/>
        <v>1</v>
      </c>
      <c r="AU70">
        <f t="shared" si="36"/>
        <v>1</v>
      </c>
      <c r="AV70">
        <f t="shared" si="36"/>
        <v>1</v>
      </c>
      <c r="AW70">
        <f t="shared" si="36"/>
        <v>1</v>
      </c>
      <c r="AX70">
        <f t="shared" si="36"/>
        <v>1</v>
      </c>
      <c r="AY70">
        <f t="shared" si="36"/>
        <v>1</v>
      </c>
      <c r="AZ70">
        <f t="shared" si="36"/>
        <v>1</v>
      </c>
      <c r="BA70">
        <f t="shared" si="36"/>
        <v>1</v>
      </c>
      <c r="BB70">
        <f t="shared" si="36"/>
        <v>1</v>
      </c>
      <c r="BC70">
        <f t="shared" si="36"/>
        <v>1</v>
      </c>
      <c r="BD70">
        <f t="shared" si="36"/>
        <v>1</v>
      </c>
      <c r="BE70">
        <f t="shared" si="36"/>
        <v>1</v>
      </c>
      <c r="BF70">
        <f t="shared" si="36"/>
        <v>1</v>
      </c>
      <c r="BG70">
        <f t="shared" si="36"/>
        <v>1</v>
      </c>
      <c r="BH70">
        <f t="shared" si="36"/>
        <v>1</v>
      </c>
      <c r="BI70">
        <f t="shared" si="36"/>
        <v>1</v>
      </c>
      <c r="BJ70">
        <f t="shared" si="36"/>
        <v>1</v>
      </c>
      <c r="BK70">
        <f t="shared" si="36"/>
        <v>1</v>
      </c>
      <c r="BL70">
        <f t="shared" si="36"/>
        <v>1</v>
      </c>
      <c r="BM70" t="str">
        <f t="shared" si="36"/>
        <v/>
      </c>
      <c r="BN70">
        <f t="shared" si="36"/>
        <v>1</v>
      </c>
      <c r="BO70">
        <f t="shared" si="36"/>
        <v>1</v>
      </c>
      <c r="BP70">
        <f t="shared" si="36"/>
        <v>1</v>
      </c>
      <c r="BQ70">
        <f t="shared" si="36"/>
        <v>1</v>
      </c>
      <c r="BR70">
        <f t="shared" si="36"/>
        <v>1</v>
      </c>
      <c r="BS70">
        <f t="shared" si="36"/>
        <v>1</v>
      </c>
      <c r="BT70">
        <f t="shared" ref="BT70:CZ70" si="37">IF(COUNTIF(BT71:BT83,1)=0,"",1)</f>
        <v>1</v>
      </c>
      <c r="BU70">
        <f t="shared" si="37"/>
        <v>1</v>
      </c>
      <c r="BV70">
        <f t="shared" si="37"/>
        <v>1</v>
      </c>
      <c r="BW70">
        <f t="shared" si="37"/>
        <v>1</v>
      </c>
      <c r="BX70">
        <f t="shared" si="37"/>
        <v>1</v>
      </c>
      <c r="BY70">
        <f t="shared" si="37"/>
        <v>1</v>
      </c>
      <c r="BZ70">
        <f t="shared" si="37"/>
        <v>1</v>
      </c>
      <c r="CA70">
        <f t="shared" si="37"/>
        <v>1</v>
      </c>
      <c r="CB70">
        <f t="shared" si="37"/>
        <v>1</v>
      </c>
      <c r="CC70">
        <f t="shared" si="37"/>
        <v>1</v>
      </c>
      <c r="CD70" t="str">
        <f t="shared" si="37"/>
        <v/>
      </c>
      <c r="CE70" t="str">
        <f t="shared" si="37"/>
        <v/>
      </c>
      <c r="CF70">
        <f t="shared" si="37"/>
        <v>1</v>
      </c>
      <c r="CG70">
        <v>1</v>
      </c>
      <c r="CH70">
        <f t="shared" si="37"/>
        <v>1</v>
      </c>
      <c r="CI70">
        <f t="shared" si="37"/>
        <v>1</v>
      </c>
      <c r="CJ70">
        <f t="shared" si="37"/>
        <v>1</v>
      </c>
      <c r="CK70">
        <f t="shared" si="37"/>
        <v>1</v>
      </c>
      <c r="CL70" t="str">
        <f t="shared" si="37"/>
        <v/>
      </c>
      <c r="CM70" t="str">
        <f t="shared" si="37"/>
        <v/>
      </c>
      <c r="CN70">
        <f t="shared" si="37"/>
        <v>1</v>
      </c>
      <c r="CO70">
        <f t="shared" si="37"/>
        <v>1</v>
      </c>
      <c r="CP70">
        <f t="shared" si="37"/>
        <v>1</v>
      </c>
      <c r="CQ70">
        <f t="shared" si="37"/>
        <v>1</v>
      </c>
      <c r="CR70">
        <f t="shared" si="37"/>
        <v>1</v>
      </c>
      <c r="CS70">
        <f t="shared" si="37"/>
        <v>1</v>
      </c>
      <c r="CT70">
        <f t="shared" si="37"/>
        <v>1</v>
      </c>
      <c r="CU70">
        <f t="shared" si="37"/>
        <v>1</v>
      </c>
      <c r="CV70">
        <f t="shared" si="37"/>
        <v>1</v>
      </c>
      <c r="CW70">
        <f t="shared" si="37"/>
        <v>1</v>
      </c>
      <c r="CX70">
        <f t="shared" si="37"/>
        <v>1</v>
      </c>
      <c r="CY70">
        <f t="shared" si="37"/>
        <v>1</v>
      </c>
      <c r="CZ70">
        <f t="shared" si="37"/>
        <v>1</v>
      </c>
      <c r="DA70">
        <f t="shared" ref="DA70:DZ70" si="38">IF(COUNTIF(DA71:DA83,1)=0,"",1)</f>
        <v>1</v>
      </c>
      <c r="DB70">
        <f t="shared" si="38"/>
        <v>1</v>
      </c>
      <c r="DC70">
        <f t="shared" si="38"/>
        <v>1</v>
      </c>
      <c r="DD70">
        <f t="shared" si="38"/>
        <v>1</v>
      </c>
      <c r="DE70">
        <f t="shared" si="38"/>
        <v>1</v>
      </c>
      <c r="DF70">
        <f t="shared" si="38"/>
        <v>1</v>
      </c>
      <c r="DG70">
        <f t="shared" si="38"/>
        <v>1</v>
      </c>
      <c r="DH70">
        <f t="shared" si="38"/>
        <v>1</v>
      </c>
      <c r="DI70">
        <v>1</v>
      </c>
      <c r="DJ70">
        <v>1</v>
      </c>
      <c r="DK70">
        <v>1</v>
      </c>
      <c r="DL70">
        <v>1</v>
      </c>
      <c r="DM70">
        <v>1</v>
      </c>
      <c r="DN70">
        <v>1</v>
      </c>
      <c r="DO70" t="str">
        <f t="shared" si="38"/>
        <v/>
      </c>
      <c r="DP70">
        <f t="shared" si="38"/>
        <v>1</v>
      </c>
      <c r="DQ70">
        <f t="shared" si="38"/>
        <v>1</v>
      </c>
      <c r="DR70">
        <f t="shared" si="38"/>
        <v>1</v>
      </c>
      <c r="DS70">
        <f t="shared" si="38"/>
        <v>1</v>
      </c>
      <c r="DT70" t="str">
        <f t="shared" si="38"/>
        <v/>
      </c>
      <c r="DU70" t="str">
        <f t="shared" si="38"/>
        <v/>
      </c>
      <c r="DV70" t="str">
        <f t="shared" si="38"/>
        <v/>
      </c>
      <c r="DW70" t="str">
        <f t="shared" si="38"/>
        <v/>
      </c>
      <c r="DX70">
        <f t="shared" si="38"/>
        <v>1</v>
      </c>
      <c r="DY70">
        <f t="shared" si="38"/>
        <v>1</v>
      </c>
      <c r="DZ70">
        <f t="shared" si="38"/>
        <v>1</v>
      </c>
      <c r="EA70">
        <f t="shared" ref="EA70:EM70" si="39">IF(COUNTIF(EA71:EA83,1)=0,"",1)</f>
        <v>1</v>
      </c>
      <c r="EB70">
        <f t="shared" si="39"/>
        <v>1</v>
      </c>
      <c r="EC70">
        <f t="shared" si="39"/>
        <v>1</v>
      </c>
      <c r="ED70">
        <f t="shared" si="39"/>
        <v>1</v>
      </c>
      <c r="EE70">
        <f t="shared" si="39"/>
        <v>1</v>
      </c>
      <c r="EF70">
        <f t="shared" si="39"/>
        <v>1</v>
      </c>
      <c r="EG70">
        <f t="shared" si="39"/>
        <v>1</v>
      </c>
      <c r="EH70">
        <f t="shared" si="39"/>
        <v>1</v>
      </c>
      <c r="EI70">
        <f t="shared" si="39"/>
        <v>1</v>
      </c>
      <c r="EJ70" t="str">
        <f t="shared" si="39"/>
        <v/>
      </c>
      <c r="EK70">
        <f t="shared" si="39"/>
        <v>1</v>
      </c>
      <c r="EL70">
        <f t="shared" si="39"/>
        <v>1</v>
      </c>
      <c r="EM70">
        <f t="shared" si="39"/>
        <v>1</v>
      </c>
      <c r="EN70">
        <f t="shared" ref="EN70:GZ70" si="40">IF(COUNTIF(EN71:EN83,1)=0,"",1)</f>
        <v>1</v>
      </c>
      <c r="EO70">
        <f t="shared" si="40"/>
        <v>1</v>
      </c>
      <c r="EP70">
        <f t="shared" ref="EP70" si="41">IF(COUNTIF(EP71:EP83,1)=0,"",1)</f>
        <v>1</v>
      </c>
      <c r="EQ70">
        <f t="shared" si="40"/>
        <v>1</v>
      </c>
      <c r="ER70">
        <f t="shared" si="40"/>
        <v>1</v>
      </c>
      <c r="ES70">
        <f t="shared" si="40"/>
        <v>1</v>
      </c>
      <c r="ET70">
        <f t="shared" si="40"/>
        <v>1</v>
      </c>
      <c r="EU70">
        <f t="shared" si="40"/>
        <v>1</v>
      </c>
      <c r="EV70">
        <f t="shared" si="40"/>
        <v>1</v>
      </c>
      <c r="EW70" t="str">
        <f t="shared" si="40"/>
        <v/>
      </c>
      <c r="EX70" t="str">
        <f t="shared" si="40"/>
        <v/>
      </c>
      <c r="EY70" t="str">
        <f t="shared" si="40"/>
        <v/>
      </c>
      <c r="EZ70" t="str">
        <f t="shared" si="40"/>
        <v/>
      </c>
      <c r="FA70" t="str">
        <f t="shared" si="40"/>
        <v/>
      </c>
      <c r="FB70" t="str">
        <f t="shared" si="40"/>
        <v/>
      </c>
      <c r="FC70" t="str">
        <f t="shared" si="40"/>
        <v/>
      </c>
      <c r="FD70" t="str">
        <f t="shared" si="40"/>
        <v/>
      </c>
      <c r="FE70" t="str">
        <f t="shared" si="40"/>
        <v/>
      </c>
      <c r="FF70" t="str">
        <f t="shared" si="40"/>
        <v/>
      </c>
      <c r="FG70" t="str">
        <f t="shared" si="40"/>
        <v/>
      </c>
      <c r="FH70" t="str">
        <f t="shared" si="40"/>
        <v/>
      </c>
      <c r="FI70" t="str">
        <f t="shared" si="40"/>
        <v/>
      </c>
      <c r="FJ70" t="str">
        <f t="shared" si="40"/>
        <v/>
      </c>
      <c r="FK70" t="str">
        <f t="shared" si="40"/>
        <v/>
      </c>
      <c r="FL70" t="str">
        <f t="shared" si="40"/>
        <v/>
      </c>
      <c r="FM70" t="str">
        <f t="shared" si="40"/>
        <v/>
      </c>
      <c r="FN70" t="str">
        <f t="shared" si="40"/>
        <v/>
      </c>
      <c r="FO70" t="str">
        <f t="shared" si="40"/>
        <v/>
      </c>
      <c r="FP70" t="str">
        <f t="shared" si="40"/>
        <v/>
      </c>
      <c r="FQ70" t="str">
        <f t="shared" si="40"/>
        <v/>
      </c>
      <c r="FR70" t="str">
        <f t="shared" si="40"/>
        <v/>
      </c>
      <c r="FS70" t="str">
        <f t="shared" si="40"/>
        <v/>
      </c>
      <c r="FT70" t="str">
        <f t="shared" si="40"/>
        <v/>
      </c>
      <c r="FU70" t="str">
        <f t="shared" si="40"/>
        <v/>
      </c>
      <c r="FV70" t="str">
        <f t="shared" si="40"/>
        <v/>
      </c>
      <c r="FW70" t="str">
        <f t="shared" si="40"/>
        <v/>
      </c>
      <c r="FX70" t="str">
        <f t="shared" si="40"/>
        <v/>
      </c>
      <c r="FY70" t="str">
        <f t="shared" si="40"/>
        <v/>
      </c>
      <c r="FZ70" t="str">
        <f t="shared" si="40"/>
        <v/>
      </c>
      <c r="GA70" t="str">
        <f t="shared" si="40"/>
        <v/>
      </c>
      <c r="GB70" t="str">
        <f t="shared" si="40"/>
        <v/>
      </c>
      <c r="GC70" t="str">
        <f t="shared" si="40"/>
        <v/>
      </c>
      <c r="GD70" t="str">
        <f t="shared" si="40"/>
        <v/>
      </c>
      <c r="GE70" t="str">
        <f t="shared" si="40"/>
        <v/>
      </c>
      <c r="GF70" t="str">
        <f t="shared" si="40"/>
        <v/>
      </c>
      <c r="GG70" t="str">
        <f t="shared" si="40"/>
        <v/>
      </c>
      <c r="GH70" t="str">
        <f t="shared" si="40"/>
        <v/>
      </c>
      <c r="GI70" t="str">
        <f t="shared" si="40"/>
        <v/>
      </c>
      <c r="GJ70" t="str">
        <f t="shared" si="40"/>
        <v/>
      </c>
      <c r="GK70" t="str">
        <f t="shared" si="40"/>
        <v/>
      </c>
      <c r="GL70" t="str">
        <f t="shared" si="40"/>
        <v/>
      </c>
      <c r="GM70" t="str">
        <f t="shared" si="40"/>
        <v/>
      </c>
      <c r="GN70" t="str">
        <f t="shared" si="40"/>
        <v/>
      </c>
      <c r="GO70" t="str">
        <f t="shared" si="40"/>
        <v/>
      </c>
      <c r="GP70" t="str">
        <f t="shared" si="40"/>
        <v/>
      </c>
      <c r="GQ70" t="str">
        <f t="shared" si="40"/>
        <v/>
      </c>
      <c r="GR70" t="str">
        <f t="shared" si="40"/>
        <v/>
      </c>
      <c r="GS70" t="str">
        <f t="shared" si="40"/>
        <v/>
      </c>
      <c r="GT70" t="str">
        <f t="shared" si="40"/>
        <v/>
      </c>
      <c r="GU70" t="str">
        <f t="shared" si="40"/>
        <v/>
      </c>
      <c r="GV70">
        <f t="shared" si="40"/>
        <v>1</v>
      </c>
      <c r="GW70" t="str">
        <f t="shared" si="40"/>
        <v/>
      </c>
      <c r="GX70" t="str">
        <f t="shared" si="40"/>
        <v/>
      </c>
      <c r="GY70" t="str">
        <f t="shared" si="40"/>
        <v/>
      </c>
      <c r="GZ70" t="str">
        <f t="shared" si="40"/>
        <v/>
      </c>
      <c r="HA70" t="str">
        <f>IF(COUNTIF(HA71:HA83,1)=0,"",1)</f>
        <v/>
      </c>
      <c r="HB70" t="str">
        <f>IF(COUNTIF(HB71:HB83,1)=0,"",1)</f>
        <v/>
      </c>
    </row>
    <row r="71" spans="1:210" x14ac:dyDescent="0.2">
      <c r="A71" t="str">
        <f t="array" aca="1" ref="A71" ca="1">IF(ROWS(A$1:A1)&lt;=COUNTIF(INDIRECT($A$70),"?*"),INDEX(INDIRECT($A$70),MATCH(SMALL(IF(INDIRECT($A$70)&lt;&gt;"",COUNTIF(INDIRECT($A$70),"&lt;"&amp;INDIRECT($A$70))),ROWS(A$1:A1)),IF(INDIRECT($A$70)&lt;&gt;"",COUNTIF(INDIRECT($A$70),"&lt;"&amp;INDIRECT($A$70))),0)),"")</f>
        <v>Alchimist</v>
      </c>
      <c r="C71" t="str">
        <f t="shared" ref="C71:C83" si="42">IF(OR(ISBLANK(KULTURGENE),KULTURGENE="LEER"),"",IF(HLOOKUP(KULTURGENE,LIST_K_G,ROW(),FALSE)&gt;0,E71,""))</f>
        <v/>
      </c>
      <c r="E71" t="s">
        <v>3515</v>
      </c>
      <c r="F71" t="s">
        <v>1895</v>
      </c>
      <c r="H71">
        <v>1</v>
      </c>
      <c r="I71">
        <v>1</v>
      </c>
      <c r="J71">
        <v>1</v>
      </c>
      <c r="K71">
        <v>1</v>
      </c>
      <c r="L71">
        <v>1</v>
      </c>
      <c r="M71">
        <v>1</v>
      </c>
      <c r="N71">
        <v>1</v>
      </c>
      <c r="P71">
        <v>1</v>
      </c>
      <c r="Q71">
        <v>1</v>
      </c>
      <c r="R71">
        <v>1</v>
      </c>
      <c r="S71">
        <v>1</v>
      </c>
      <c r="T71">
        <v>1</v>
      </c>
      <c r="U71">
        <v>1</v>
      </c>
      <c r="V71">
        <v>1</v>
      </c>
      <c r="W71">
        <v>1</v>
      </c>
      <c r="X71">
        <v>1</v>
      </c>
      <c r="Y71">
        <v>1</v>
      </c>
      <c r="Z71">
        <v>1</v>
      </c>
      <c r="AA71">
        <v>1</v>
      </c>
      <c r="AB71">
        <v>1</v>
      </c>
      <c r="AC71">
        <v>1</v>
      </c>
      <c r="AQ71">
        <v>1</v>
      </c>
      <c r="AR71">
        <v>1</v>
      </c>
      <c r="AS71">
        <v>1</v>
      </c>
      <c r="AT71">
        <v>1</v>
      </c>
      <c r="AU71">
        <v>1</v>
      </c>
      <c r="AV71">
        <v>1</v>
      </c>
      <c r="AW71">
        <v>1</v>
      </c>
      <c r="AX71">
        <v>1</v>
      </c>
      <c r="AY71">
        <v>1</v>
      </c>
      <c r="AZ71">
        <v>1</v>
      </c>
      <c r="BA71">
        <v>1</v>
      </c>
      <c r="BB71">
        <v>1</v>
      </c>
      <c r="BC71">
        <v>1</v>
      </c>
      <c r="BD71">
        <v>1</v>
      </c>
      <c r="BE71">
        <v>1</v>
      </c>
      <c r="BF71">
        <v>1</v>
      </c>
      <c r="BJ71">
        <v>1</v>
      </c>
      <c r="BN71">
        <v>1</v>
      </c>
      <c r="BO71">
        <v>1</v>
      </c>
      <c r="BP71">
        <v>1</v>
      </c>
      <c r="BQ71">
        <v>1</v>
      </c>
      <c r="BR71">
        <v>1</v>
      </c>
      <c r="BS71">
        <v>1</v>
      </c>
      <c r="BT71">
        <v>1</v>
      </c>
      <c r="BU71">
        <v>1</v>
      </c>
      <c r="BV71">
        <v>1</v>
      </c>
      <c r="BW71">
        <v>1</v>
      </c>
      <c r="BX71">
        <v>1</v>
      </c>
      <c r="BY71">
        <v>1</v>
      </c>
      <c r="BZ71">
        <v>1</v>
      </c>
      <c r="CA71">
        <v>1</v>
      </c>
      <c r="CB71">
        <v>1</v>
      </c>
      <c r="CC71">
        <v>1</v>
      </c>
      <c r="CN71">
        <v>1</v>
      </c>
      <c r="CO71">
        <v>1</v>
      </c>
      <c r="CP71">
        <v>1</v>
      </c>
      <c r="CQ71">
        <v>1</v>
      </c>
      <c r="CR71">
        <v>1</v>
      </c>
      <c r="CS71">
        <v>1</v>
      </c>
      <c r="CT71">
        <v>1</v>
      </c>
      <c r="CU71">
        <v>1</v>
      </c>
      <c r="CV71">
        <v>1</v>
      </c>
      <c r="CW71">
        <v>1</v>
      </c>
      <c r="CX71">
        <v>1</v>
      </c>
      <c r="CY71">
        <v>1</v>
      </c>
      <c r="CZ71">
        <v>1</v>
      </c>
      <c r="DA71">
        <v>1</v>
      </c>
      <c r="DB71">
        <v>1</v>
      </c>
      <c r="DC71">
        <v>1</v>
      </c>
      <c r="DD71">
        <v>1</v>
      </c>
      <c r="DE71">
        <v>1</v>
      </c>
      <c r="DF71">
        <v>1</v>
      </c>
      <c r="DQ71">
        <v>1</v>
      </c>
      <c r="DR71">
        <v>1</v>
      </c>
      <c r="DS71">
        <v>1</v>
      </c>
      <c r="DY71">
        <v>1</v>
      </c>
      <c r="DZ71">
        <v>1</v>
      </c>
      <c r="ER71">
        <v>1</v>
      </c>
      <c r="ES71">
        <v>1</v>
      </c>
      <c r="ET71">
        <v>1</v>
      </c>
      <c r="EU71">
        <v>1</v>
      </c>
    </row>
    <row r="72" spans="1:210" x14ac:dyDescent="0.2">
      <c r="A72" t="str">
        <f t="array" aca="1" ref="A72" ca="1">IF(ROWS(A$1:A2)&lt;=COUNTIF(INDIRECT($A$70),"?*"),INDEX(INDIRECT($A$70),MATCH(SMALL(IF(INDIRECT($A$70)&lt;&gt;"",COUNTIF(INDIRECT($A$70),"&lt;"&amp;INDIRECT($A$70))),ROWS(A$1:A2)),IF(INDIRECT($A$70)&lt;&gt;"",COUNTIF(INDIRECT($A$70),"&lt;"&amp;INDIRECT($A$70))),0)),"")</f>
        <v>Dilettanten</v>
      </c>
      <c r="C72" t="str">
        <f t="shared" si="42"/>
        <v/>
      </c>
      <c r="E72" t="s">
        <v>4318</v>
      </c>
      <c r="F72" t="s">
        <v>4448</v>
      </c>
      <c r="AN72">
        <v>1</v>
      </c>
      <c r="AP72">
        <v>1</v>
      </c>
      <c r="BJ72">
        <v>1</v>
      </c>
      <c r="CG72">
        <v>1</v>
      </c>
      <c r="CH72">
        <v>1</v>
      </c>
      <c r="CI72">
        <v>1</v>
      </c>
      <c r="DG72">
        <v>1</v>
      </c>
      <c r="DH72">
        <v>1</v>
      </c>
      <c r="DI72">
        <v>1</v>
      </c>
      <c r="DJ72">
        <v>1</v>
      </c>
      <c r="DK72">
        <v>1</v>
      </c>
      <c r="DL72">
        <v>1</v>
      </c>
      <c r="DM72">
        <v>1</v>
      </c>
      <c r="DN72">
        <v>1</v>
      </c>
      <c r="DS72">
        <v>1</v>
      </c>
    </row>
    <row r="73" spans="1:210" x14ac:dyDescent="0.2">
      <c r="A73" t="str">
        <f t="array" aca="1" ref="A73" ca="1">IF(ROWS(A$1:A3)&lt;=COUNTIF(INDIRECT($A$70),"?*"),INDEX(INDIRECT($A$70),MATCH(SMALL(IF(INDIRECT($A$70)&lt;&gt;"",COUNTIF(INDIRECT($A$70),"&lt;"&amp;INDIRECT($A$70))),ROWS(A$1:A3)),IF(INDIRECT($A$70)&lt;&gt;"",COUNTIF(INDIRECT($A$70),"&lt;"&amp;INDIRECT($A$70))),0)),"")</f>
        <v>Druiden</v>
      </c>
      <c r="C73" t="str">
        <f t="shared" si="42"/>
        <v/>
      </c>
      <c r="E73" t="s">
        <v>563</v>
      </c>
      <c r="F73" t="s">
        <v>1674</v>
      </c>
      <c r="H73">
        <v>1</v>
      </c>
      <c r="I73">
        <v>1</v>
      </c>
      <c r="J73">
        <v>1</v>
      </c>
      <c r="K73">
        <v>1</v>
      </c>
      <c r="L73">
        <v>1</v>
      </c>
      <c r="M73">
        <v>1</v>
      </c>
      <c r="N73">
        <v>1</v>
      </c>
      <c r="P73">
        <v>1</v>
      </c>
      <c r="Q73">
        <v>1</v>
      </c>
      <c r="R73">
        <v>1</v>
      </c>
      <c r="S73">
        <v>1</v>
      </c>
      <c r="T73">
        <v>1</v>
      </c>
      <c r="U73">
        <v>1</v>
      </c>
      <c r="AD73">
        <v>1</v>
      </c>
      <c r="AE73">
        <v>1</v>
      </c>
      <c r="AF73">
        <v>1</v>
      </c>
      <c r="AG73">
        <v>1</v>
      </c>
      <c r="AH73">
        <v>1</v>
      </c>
      <c r="AN73">
        <v>1</v>
      </c>
      <c r="AQ73">
        <v>1</v>
      </c>
      <c r="AR73">
        <v>1</v>
      </c>
      <c r="AS73">
        <v>1</v>
      </c>
      <c r="AT73">
        <v>1</v>
      </c>
      <c r="AU73">
        <v>1</v>
      </c>
      <c r="AV73">
        <v>1</v>
      </c>
      <c r="AW73">
        <v>1</v>
      </c>
      <c r="AX73">
        <v>1</v>
      </c>
      <c r="AY73">
        <v>1</v>
      </c>
      <c r="BD73">
        <v>1</v>
      </c>
      <c r="BE73">
        <v>1</v>
      </c>
      <c r="BG73">
        <v>1</v>
      </c>
      <c r="BH73">
        <v>1</v>
      </c>
      <c r="BI73">
        <v>1</v>
      </c>
      <c r="BK73">
        <v>1</v>
      </c>
      <c r="BL73">
        <v>1</v>
      </c>
      <c r="BN73">
        <v>1</v>
      </c>
      <c r="BO73">
        <v>1</v>
      </c>
      <c r="BP73">
        <v>1</v>
      </c>
      <c r="BQ73">
        <v>1</v>
      </c>
      <c r="BR73">
        <v>1</v>
      </c>
      <c r="BS73">
        <v>1</v>
      </c>
      <c r="BT73">
        <v>1</v>
      </c>
      <c r="BU73">
        <v>1</v>
      </c>
      <c r="BV73">
        <v>1</v>
      </c>
      <c r="BW73">
        <v>1</v>
      </c>
      <c r="BX73">
        <v>1</v>
      </c>
      <c r="BY73">
        <v>1</v>
      </c>
      <c r="BZ73">
        <v>1</v>
      </c>
      <c r="CA73">
        <v>1</v>
      </c>
      <c r="CB73">
        <v>1</v>
      </c>
      <c r="CC73">
        <v>1</v>
      </c>
      <c r="CN73">
        <v>1</v>
      </c>
      <c r="CO73">
        <v>1</v>
      </c>
      <c r="CP73">
        <v>1</v>
      </c>
      <c r="CQ73">
        <v>1</v>
      </c>
      <c r="CR73">
        <v>1</v>
      </c>
      <c r="CS73">
        <v>1</v>
      </c>
      <c r="CT73">
        <v>1</v>
      </c>
      <c r="CU73">
        <v>1</v>
      </c>
      <c r="CV73">
        <v>1</v>
      </c>
      <c r="CW73">
        <v>1</v>
      </c>
      <c r="CX73">
        <v>1</v>
      </c>
      <c r="CY73">
        <v>1</v>
      </c>
      <c r="CZ73">
        <v>1</v>
      </c>
      <c r="DA73">
        <v>1</v>
      </c>
      <c r="DB73">
        <v>1</v>
      </c>
      <c r="DC73">
        <v>1</v>
      </c>
      <c r="DD73">
        <v>1</v>
      </c>
      <c r="DE73">
        <v>1</v>
      </c>
      <c r="DF73">
        <v>1</v>
      </c>
      <c r="DG73">
        <v>1</v>
      </c>
      <c r="DH73">
        <v>1</v>
      </c>
      <c r="DI73">
        <v>1</v>
      </c>
      <c r="DJ73">
        <v>1</v>
      </c>
      <c r="DK73">
        <v>1</v>
      </c>
      <c r="DL73">
        <v>1</v>
      </c>
      <c r="DM73">
        <v>1</v>
      </c>
      <c r="DN73">
        <v>1</v>
      </c>
      <c r="DP73">
        <v>1</v>
      </c>
      <c r="DY73">
        <v>1</v>
      </c>
      <c r="DZ73">
        <v>1</v>
      </c>
    </row>
    <row r="74" spans="1:210" x14ac:dyDescent="0.2">
      <c r="A74" t="str">
        <f t="array" aca="1" ref="A74" ca="1">IF(ROWS(A$1:A4)&lt;=COUNTIF(INDIRECT($A$70),"?*"),INDEX(INDIRECT($A$70),MATCH(SMALL(IF(INDIRECT($A$70)&lt;&gt;"",COUNTIF(INDIRECT($A$70),"&lt;"&amp;INDIRECT($A$70))),ROWS(A$1:A4)),IF(INDIRECT($A$70)&lt;&gt;"",COUNTIF(INDIRECT($A$70),"&lt;"&amp;INDIRECT($A$70))),0)),"")</f>
        <v>Elfen</v>
      </c>
      <c r="C74" t="str">
        <f t="shared" si="42"/>
        <v/>
      </c>
      <c r="E74" t="s">
        <v>4301</v>
      </c>
      <c r="F74" t="s">
        <v>4446</v>
      </c>
      <c r="EA74">
        <v>1</v>
      </c>
      <c r="EB74">
        <v>1</v>
      </c>
      <c r="EC74">
        <v>1</v>
      </c>
      <c r="ED74">
        <v>1</v>
      </c>
      <c r="EE74">
        <v>1</v>
      </c>
      <c r="EF74">
        <v>1</v>
      </c>
      <c r="EG74">
        <v>1</v>
      </c>
      <c r="EH74">
        <v>1</v>
      </c>
      <c r="EI74">
        <v>1</v>
      </c>
      <c r="EK74">
        <v>1</v>
      </c>
      <c r="EL74">
        <v>1</v>
      </c>
      <c r="EM74">
        <v>1</v>
      </c>
      <c r="EN74">
        <v>1</v>
      </c>
      <c r="EO74">
        <v>1</v>
      </c>
      <c r="EP74">
        <v>1</v>
      </c>
      <c r="EQ74">
        <v>1</v>
      </c>
    </row>
    <row r="75" spans="1:210" x14ac:dyDescent="0.2">
      <c r="A75" t="str">
        <f t="array" aca="1" ref="A75" ca="1">IF(ROWS(A$1:A5)&lt;=COUNTIF(INDIRECT($A$70),"?*"),INDEX(INDIRECT($A$70),MATCH(SMALL(IF(INDIRECT($A$70)&lt;&gt;"",COUNTIF(INDIRECT($A$70),"&lt;"&amp;INDIRECT($A$70))),ROWS(A$1:A5)),IF(INDIRECT($A$70)&lt;&gt;"",COUNTIF(INDIRECT($A$70),"&lt;"&amp;INDIRECT($A$70))),0)),"")</f>
        <v>Geoden</v>
      </c>
      <c r="C75" t="str">
        <f t="shared" si="42"/>
        <v/>
      </c>
      <c r="E75" t="s">
        <v>4304</v>
      </c>
      <c r="F75" t="s">
        <v>4445</v>
      </c>
      <c r="ER75">
        <v>1</v>
      </c>
      <c r="ES75">
        <v>1</v>
      </c>
      <c r="ET75">
        <v>1</v>
      </c>
      <c r="EU75">
        <v>1</v>
      </c>
      <c r="EV75">
        <v>1</v>
      </c>
    </row>
    <row r="76" spans="1:210" x14ac:dyDescent="0.2">
      <c r="A76" t="str">
        <f t="array" aca="1" ref="A76" ca="1">IF(ROWS(A$1:A6)&lt;=COUNTIF(INDIRECT($A$70),"?*"),INDEX(INDIRECT($A$70),MATCH(SMALL(IF(INDIRECT($A$70)&lt;&gt;"",COUNTIF(INDIRECT($A$70),"&lt;"&amp;INDIRECT($A$70))),ROWS(A$1:A6)),IF(INDIRECT($A$70)&lt;&gt;"",COUNTIF(INDIRECT($A$70),"&lt;"&amp;INDIRECT($A$70))),0)),"")</f>
        <v>Hexen</v>
      </c>
      <c r="C76" t="str">
        <f t="shared" si="42"/>
        <v/>
      </c>
      <c r="E76" t="s">
        <v>4305</v>
      </c>
      <c r="F76" t="s">
        <v>4444</v>
      </c>
      <c r="H76">
        <v>1</v>
      </c>
      <c r="I76">
        <v>1</v>
      </c>
      <c r="J76">
        <v>1</v>
      </c>
      <c r="K76">
        <v>1</v>
      </c>
      <c r="L76">
        <v>1</v>
      </c>
      <c r="M76">
        <v>1</v>
      </c>
      <c r="N76">
        <v>1</v>
      </c>
      <c r="P76">
        <v>1</v>
      </c>
      <c r="Q76">
        <v>1</v>
      </c>
      <c r="R76">
        <v>1</v>
      </c>
      <c r="S76">
        <v>1</v>
      </c>
      <c r="T76">
        <v>1</v>
      </c>
      <c r="U76">
        <v>1</v>
      </c>
      <c r="V76">
        <v>1</v>
      </c>
      <c r="W76">
        <v>1</v>
      </c>
      <c r="X76">
        <v>1</v>
      </c>
      <c r="Y76">
        <v>1</v>
      </c>
      <c r="Z76">
        <v>1</v>
      </c>
      <c r="AA76">
        <v>1</v>
      </c>
      <c r="AB76">
        <v>1</v>
      </c>
      <c r="AC76">
        <v>1</v>
      </c>
      <c r="AD76">
        <v>1</v>
      </c>
      <c r="AE76">
        <v>1</v>
      </c>
      <c r="AF76">
        <v>1</v>
      </c>
      <c r="AG76">
        <v>1</v>
      </c>
      <c r="AH76">
        <v>1</v>
      </c>
      <c r="AQ76">
        <v>1</v>
      </c>
      <c r="AR76">
        <v>1</v>
      </c>
      <c r="AS76">
        <v>1</v>
      </c>
      <c r="AT76">
        <v>1</v>
      </c>
      <c r="AU76">
        <v>1</v>
      </c>
      <c r="AV76">
        <v>1</v>
      </c>
      <c r="AW76">
        <v>1</v>
      </c>
      <c r="AX76">
        <v>1</v>
      </c>
      <c r="AY76">
        <v>1</v>
      </c>
      <c r="AZ76">
        <v>1</v>
      </c>
      <c r="BA76">
        <v>1</v>
      </c>
      <c r="BB76">
        <v>1</v>
      </c>
      <c r="BC76">
        <v>1</v>
      </c>
      <c r="BD76">
        <v>1</v>
      </c>
      <c r="BE76">
        <v>1</v>
      </c>
      <c r="BF76">
        <v>1</v>
      </c>
      <c r="BG76">
        <v>1</v>
      </c>
      <c r="BH76">
        <v>1</v>
      </c>
      <c r="BI76">
        <v>1</v>
      </c>
      <c r="BK76">
        <v>1</v>
      </c>
      <c r="BL76">
        <v>1</v>
      </c>
      <c r="BN76">
        <v>1</v>
      </c>
      <c r="BO76">
        <v>1</v>
      </c>
      <c r="BP76">
        <v>1</v>
      </c>
      <c r="BQ76">
        <v>1</v>
      </c>
      <c r="BR76">
        <v>1</v>
      </c>
      <c r="BS76">
        <v>1</v>
      </c>
      <c r="BT76">
        <v>1</v>
      </c>
      <c r="BU76">
        <v>1</v>
      </c>
      <c r="BV76">
        <v>1</v>
      </c>
      <c r="BW76">
        <v>1</v>
      </c>
      <c r="BX76">
        <v>1</v>
      </c>
      <c r="BY76">
        <v>1</v>
      </c>
      <c r="BZ76">
        <v>1</v>
      </c>
      <c r="CA76">
        <v>1</v>
      </c>
      <c r="CB76">
        <v>1</v>
      </c>
      <c r="CC76">
        <v>1</v>
      </c>
      <c r="CF76">
        <v>1</v>
      </c>
      <c r="CG76">
        <v>1</v>
      </c>
      <c r="CN76">
        <v>1</v>
      </c>
      <c r="CO76">
        <v>1</v>
      </c>
      <c r="CP76">
        <v>1</v>
      </c>
      <c r="CQ76">
        <v>1</v>
      </c>
      <c r="CR76">
        <v>1</v>
      </c>
      <c r="CS76">
        <v>1</v>
      </c>
      <c r="CT76">
        <v>1</v>
      </c>
      <c r="CU76">
        <v>1</v>
      </c>
      <c r="CV76">
        <v>1</v>
      </c>
      <c r="CW76">
        <v>1</v>
      </c>
      <c r="CX76">
        <v>1</v>
      </c>
      <c r="CY76">
        <v>1</v>
      </c>
      <c r="CZ76">
        <v>1</v>
      </c>
      <c r="DA76">
        <v>1</v>
      </c>
      <c r="DB76">
        <v>1</v>
      </c>
      <c r="DC76">
        <v>1</v>
      </c>
      <c r="DD76">
        <v>1</v>
      </c>
      <c r="DE76">
        <v>1</v>
      </c>
      <c r="DF76">
        <v>1</v>
      </c>
      <c r="DG76">
        <v>1</v>
      </c>
      <c r="DH76">
        <v>1</v>
      </c>
      <c r="DI76">
        <v>1</v>
      </c>
      <c r="DJ76">
        <v>1</v>
      </c>
      <c r="DK76">
        <v>1</v>
      </c>
      <c r="DL76">
        <v>1</v>
      </c>
      <c r="DM76">
        <v>1</v>
      </c>
      <c r="DN76">
        <v>1</v>
      </c>
      <c r="DQ76">
        <v>1</v>
      </c>
      <c r="DR76">
        <v>1</v>
      </c>
      <c r="DX76">
        <v>1</v>
      </c>
      <c r="DY76">
        <v>1</v>
      </c>
      <c r="DZ76">
        <v>1</v>
      </c>
    </row>
    <row r="77" spans="1:210" x14ac:dyDescent="0.2">
      <c r="A77" t="str">
        <f t="array" aca="1" ref="A77" ca="1">IF(ROWS(A$1:A7)&lt;=COUNTIF(INDIRECT($A$70),"?*"),INDEX(INDIRECT($A$70),MATCH(SMALL(IF(INDIRECT($A$70)&lt;&gt;"",COUNTIF(INDIRECT($A$70),"&lt;"&amp;INDIRECT($A$70))),ROWS(A$1:A7)),IF(INDIRECT($A$70)&lt;&gt;"",COUNTIF(INDIRECT($A$70),"&lt;"&amp;INDIRECT($A$70))),0)),"")</f>
        <v>Kristallomanten</v>
      </c>
      <c r="C77" t="str">
        <f t="shared" si="42"/>
        <v/>
      </c>
      <c r="E77" t="s">
        <v>4316</v>
      </c>
      <c r="F77" t="s">
        <v>4447</v>
      </c>
      <c r="GV77">
        <v>1</v>
      </c>
    </row>
    <row r="78" spans="1:210" x14ac:dyDescent="0.2">
      <c r="A78" t="str">
        <f t="array" aca="1" ref="A78" ca="1">IF(ROWS(A$1:A8)&lt;=COUNTIF(INDIRECT($A$70),"?*"),INDEX(INDIRECT($A$70),MATCH(SMALL(IF(INDIRECT($A$70)&lt;&gt;"",COUNTIF(INDIRECT($A$70),"&lt;"&amp;INDIRECT($A$70))),ROWS(A$1:A8)),IF(INDIRECT($A$70)&lt;&gt;"",COUNTIF(INDIRECT($A$70),"&lt;"&amp;INDIRECT($A$70))),0)),"")</f>
        <v>Lehrmeister</v>
      </c>
      <c r="C78" t="str">
        <f t="shared" si="42"/>
        <v/>
      </c>
      <c r="E78" t="s">
        <v>1557</v>
      </c>
      <c r="F78" t="s">
        <v>4449</v>
      </c>
      <c r="H78">
        <v>1</v>
      </c>
      <c r="I78">
        <v>1</v>
      </c>
      <c r="J78">
        <v>1</v>
      </c>
      <c r="K78">
        <v>1</v>
      </c>
      <c r="L78">
        <v>1</v>
      </c>
      <c r="M78">
        <v>1</v>
      </c>
      <c r="N78">
        <v>1</v>
      </c>
      <c r="P78">
        <v>1</v>
      </c>
      <c r="Q78">
        <v>1</v>
      </c>
      <c r="R78">
        <v>1</v>
      </c>
      <c r="S78">
        <v>1</v>
      </c>
      <c r="T78">
        <v>1</v>
      </c>
      <c r="U78">
        <v>1</v>
      </c>
      <c r="V78">
        <v>1</v>
      </c>
      <c r="W78">
        <v>1</v>
      </c>
      <c r="X78">
        <v>1</v>
      </c>
      <c r="Y78">
        <v>1</v>
      </c>
      <c r="Z78">
        <v>1</v>
      </c>
      <c r="AA78">
        <v>1</v>
      </c>
      <c r="AB78">
        <v>1</v>
      </c>
      <c r="AC78">
        <v>1</v>
      </c>
      <c r="AD78">
        <v>1</v>
      </c>
      <c r="AE78">
        <v>1</v>
      </c>
      <c r="AF78">
        <v>1</v>
      </c>
      <c r="AG78">
        <v>1</v>
      </c>
      <c r="AQ78">
        <v>1</v>
      </c>
      <c r="AR78">
        <v>1</v>
      </c>
      <c r="AS78">
        <v>1</v>
      </c>
      <c r="AT78">
        <v>1</v>
      </c>
      <c r="AU78">
        <v>1</v>
      </c>
      <c r="AV78">
        <v>1</v>
      </c>
      <c r="AW78">
        <v>1</v>
      </c>
      <c r="AX78">
        <v>1</v>
      </c>
      <c r="AY78">
        <v>1</v>
      </c>
      <c r="AZ78">
        <v>1</v>
      </c>
      <c r="BA78">
        <v>1</v>
      </c>
      <c r="BB78">
        <v>1</v>
      </c>
      <c r="BC78">
        <v>1</v>
      </c>
      <c r="BD78">
        <v>1</v>
      </c>
      <c r="BE78">
        <v>1</v>
      </c>
      <c r="BF78">
        <v>1</v>
      </c>
      <c r="BG78">
        <v>1</v>
      </c>
      <c r="BH78">
        <v>1</v>
      </c>
      <c r="BI78">
        <v>1</v>
      </c>
      <c r="BK78">
        <v>1</v>
      </c>
      <c r="BL78">
        <v>1</v>
      </c>
      <c r="BN78">
        <v>1</v>
      </c>
      <c r="BO78">
        <v>1</v>
      </c>
      <c r="BP78">
        <v>1</v>
      </c>
      <c r="BQ78">
        <v>1</v>
      </c>
      <c r="BR78">
        <v>1</v>
      </c>
      <c r="BS78">
        <v>1</v>
      </c>
      <c r="BT78">
        <v>1</v>
      </c>
      <c r="BU78">
        <v>1</v>
      </c>
      <c r="BV78">
        <v>1</v>
      </c>
      <c r="BW78">
        <v>1</v>
      </c>
      <c r="BX78">
        <v>1</v>
      </c>
      <c r="BY78">
        <v>1</v>
      </c>
      <c r="BZ78">
        <v>1</v>
      </c>
      <c r="CA78">
        <v>1</v>
      </c>
      <c r="CB78">
        <v>1</v>
      </c>
      <c r="CC78">
        <v>1</v>
      </c>
      <c r="CH78">
        <v>1</v>
      </c>
      <c r="CI78">
        <v>1</v>
      </c>
      <c r="CN78">
        <v>1</v>
      </c>
      <c r="CO78">
        <v>1</v>
      </c>
      <c r="CP78">
        <v>1</v>
      </c>
      <c r="CQ78">
        <v>1</v>
      </c>
      <c r="CR78">
        <v>1</v>
      </c>
      <c r="CS78">
        <v>1</v>
      </c>
      <c r="CT78">
        <v>1</v>
      </c>
      <c r="CU78">
        <v>1</v>
      </c>
      <c r="CV78">
        <v>1</v>
      </c>
      <c r="CW78">
        <v>1</v>
      </c>
      <c r="CX78">
        <v>1</v>
      </c>
      <c r="CY78">
        <v>1</v>
      </c>
      <c r="CZ78">
        <v>1</v>
      </c>
      <c r="DA78">
        <v>1</v>
      </c>
      <c r="DB78">
        <v>1</v>
      </c>
      <c r="DC78">
        <v>1</v>
      </c>
      <c r="DD78">
        <v>1</v>
      </c>
      <c r="DE78">
        <v>1</v>
      </c>
      <c r="DF78">
        <v>1</v>
      </c>
      <c r="DG78">
        <f t="shared" ref="DG78:DN79" si="43">IF(RASSE_ORK,"",1)</f>
        <v>1</v>
      </c>
      <c r="DH78">
        <f t="shared" si="43"/>
        <v>1</v>
      </c>
      <c r="DI78">
        <f t="shared" si="43"/>
        <v>1</v>
      </c>
      <c r="DJ78">
        <f t="shared" si="43"/>
        <v>1</v>
      </c>
      <c r="DK78">
        <f t="shared" si="43"/>
        <v>1</v>
      </c>
      <c r="DL78">
        <f t="shared" si="43"/>
        <v>1</v>
      </c>
      <c r="DM78">
        <f t="shared" si="43"/>
        <v>1</v>
      </c>
      <c r="DN78">
        <f t="shared" si="43"/>
        <v>1</v>
      </c>
      <c r="DQ78">
        <v>1</v>
      </c>
      <c r="DR78">
        <v>1</v>
      </c>
      <c r="DY78">
        <v>1</v>
      </c>
      <c r="DZ78">
        <v>1</v>
      </c>
      <c r="ER78">
        <v>1</v>
      </c>
      <c r="ET78">
        <v>1</v>
      </c>
      <c r="EU78">
        <v>1</v>
      </c>
    </row>
    <row r="79" spans="1:210" x14ac:dyDescent="0.2">
      <c r="A79" t="str">
        <f t="array" aca="1" ref="A79" ca="1">IF(ROWS(A$1:A9)&lt;=COUNTIF(INDIRECT($A$70),"?*"),INDEX(INDIRECT($A$70),MATCH(SMALL(IF(INDIRECT($A$70)&lt;&gt;"",COUNTIF(INDIRECT($A$70),"&lt;"&amp;INDIRECT($A$70))),ROWS(A$1:A9)),IF(INDIRECT($A$70)&lt;&gt;"",COUNTIF(INDIRECT($A$70),"&lt;"&amp;INDIRECT($A$70))),0)),"")</f>
        <v>Magier</v>
      </c>
      <c r="C79" t="str">
        <f t="shared" si="42"/>
        <v/>
      </c>
      <c r="E79" t="s">
        <v>4423</v>
      </c>
      <c r="F79" t="s">
        <v>5032</v>
      </c>
      <c r="H79">
        <v>1</v>
      </c>
      <c r="I79">
        <v>1</v>
      </c>
      <c r="J79">
        <v>1</v>
      </c>
      <c r="K79">
        <v>1</v>
      </c>
      <c r="L79">
        <v>1</v>
      </c>
      <c r="M79">
        <v>1</v>
      </c>
      <c r="N79">
        <v>1</v>
      </c>
      <c r="P79">
        <v>1</v>
      </c>
      <c r="Q79">
        <v>1</v>
      </c>
      <c r="R79">
        <v>1</v>
      </c>
      <c r="S79">
        <v>1</v>
      </c>
      <c r="T79">
        <v>1</v>
      </c>
      <c r="U79">
        <v>1</v>
      </c>
      <c r="V79">
        <v>1</v>
      </c>
      <c r="W79">
        <v>1</v>
      </c>
      <c r="X79">
        <v>1</v>
      </c>
      <c r="Y79">
        <v>1</v>
      </c>
      <c r="Z79">
        <v>1</v>
      </c>
      <c r="AA79">
        <v>1</v>
      </c>
      <c r="AB79">
        <v>1</v>
      </c>
      <c r="AC79">
        <v>1</v>
      </c>
      <c r="AD79">
        <v>1</v>
      </c>
      <c r="AE79">
        <v>1</v>
      </c>
      <c r="AF79">
        <v>1</v>
      </c>
      <c r="AG79">
        <v>1</v>
      </c>
      <c r="AQ79">
        <v>1</v>
      </c>
      <c r="AR79">
        <v>1</v>
      </c>
      <c r="AS79">
        <v>1</v>
      </c>
      <c r="AT79">
        <v>1</v>
      </c>
      <c r="AU79">
        <v>1</v>
      </c>
      <c r="AV79">
        <v>1</v>
      </c>
      <c r="AW79">
        <v>1</v>
      </c>
      <c r="AX79">
        <v>1</v>
      </c>
      <c r="AY79">
        <v>1</v>
      </c>
      <c r="AZ79">
        <v>1</v>
      </c>
      <c r="BA79">
        <v>1</v>
      </c>
      <c r="BB79">
        <v>1</v>
      </c>
      <c r="BC79">
        <v>1</v>
      </c>
      <c r="BD79">
        <v>1</v>
      </c>
      <c r="BE79">
        <v>1</v>
      </c>
      <c r="BF79">
        <v>1</v>
      </c>
      <c r="BG79">
        <v>1</v>
      </c>
      <c r="BH79">
        <v>1</v>
      </c>
      <c r="BI79">
        <v>1</v>
      </c>
      <c r="BK79">
        <v>1</v>
      </c>
      <c r="BL79">
        <v>1</v>
      </c>
      <c r="BN79">
        <v>1</v>
      </c>
      <c r="BO79">
        <v>1</v>
      </c>
      <c r="BP79">
        <v>1</v>
      </c>
      <c r="BQ79">
        <v>1</v>
      </c>
      <c r="BR79">
        <v>1</v>
      </c>
      <c r="BS79">
        <v>1</v>
      </c>
      <c r="BT79">
        <v>1</v>
      </c>
      <c r="BU79">
        <v>1</v>
      </c>
      <c r="BV79">
        <v>1</v>
      </c>
      <c r="BW79">
        <v>1</v>
      </c>
      <c r="BX79">
        <v>1</v>
      </c>
      <c r="BY79">
        <v>1</v>
      </c>
      <c r="BZ79">
        <v>1</v>
      </c>
      <c r="CA79">
        <v>1</v>
      </c>
      <c r="CB79">
        <v>1</v>
      </c>
      <c r="CC79">
        <v>1</v>
      </c>
      <c r="CH79">
        <v>1</v>
      </c>
      <c r="CI79">
        <v>1</v>
      </c>
      <c r="CN79">
        <v>1</v>
      </c>
      <c r="CO79">
        <v>1</v>
      </c>
      <c r="CP79">
        <v>1</v>
      </c>
      <c r="CQ79">
        <v>1</v>
      </c>
      <c r="CR79">
        <v>1</v>
      </c>
      <c r="CS79">
        <v>1</v>
      </c>
      <c r="CT79">
        <v>1</v>
      </c>
      <c r="CU79">
        <v>1</v>
      </c>
      <c r="CV79">
        <v>1</v>
      </c>
      <c r="CW79">
        <v>1</v>
      </c>
      <c r="CX79">
        <v>1</v>
      </c>
      <c r="CY79">
        <v>1</v>
      </c>
      <c r="CZ79">
        <v>1</v>
      </c>
      <c r="DA79">
        <v>1</v>
      </c>
      <c r="DB79">
        <v>1</v>
      </c>
      <c r="DC79">
        <v>1</v>
      </c>
      <c r="DD79">
        <v>1</v>
      </c>
      <c r="DE79">
        <v>1</v>
      </c>
      <c r="DF79">
        <v>1</v>
      </c>
      <c r="DG79">
        <f t="shared" si="43"/>
        <v>1</v>
      </c>
      <c r="DH79">
        <f t="shared" si="43"/>
        <v>1</v>
      </c>
      <c r="DI79">
        <f t="shared" si="43"/>
        <v>1</v>
      </c>
      <c r="DJ79">
        <f t="shared" si="43"/>
        <v>1</v>
      </c>
      <c r="DK79">
        <f t="shared" si="43"/>
        <v>1</v>
      </c>
      <c r="DL79">
        <f t="shared" si="43"/>
        <v>1</v>
      </c>
      <c r="DM79">
        <f t="shared" si="43"/>
        <v>1</v>
      </c>
      <c r="DN79">
        <f t="shared" si="43"/>
        <v>1</v>
      </c>
      <c r="DQ79">
        <v>1</v>
      </c>
      <c r="DR79">
        <v>1</v>
      </c>
      <c r="DY79">
        <v>1</v>
      </c>
      <c r="DZ79">
        <v>1</v>
      </c>
      <c r="ER79">
        <v>1</v>
      </c>
      <c r="ET79">
        <v>1</v>
      </c>
      <c r="EU79">
        <v>1</v>
      </c>
    </row>
    <row r="80" spans="1:210" x14ac:dyDescent="0.2">
      <c r="A80" t="str">
        <f t="array" aca="1" ref="A80" ca="1">IF(ROWS(A$1:A10)&lt;=COUNTIF(INDIRECT($A$70),"?*"),INDEX(INDIRECT($A$70),MATCH(SMALL(IF(INDIRECT($A$70)&lt;&gt;"",COUNTIF(INDIRECT($A$70),"&lt;"&amp;INDIRECT($A$70))),ROWS(A$1:A10)),IF(INDIRECT($A$70)&lt;&gt;"",COUNTIF(INDIRECT($A$70),"&lt;"&amp;INDIRECT($A$70))),0)),"")</f>
        <v>Scharlatane</v>
      </c>
      <c r="C80" t="str">
        <f t="shared" si="42"/>
        <v/>
      </c>
      <c r="E80" t="s">
        <v>4943</v>
      </c>
      <c r="F80" t="s">
        <v>4450</v>
      </c>
      <c r="H80">
        <v>1</v>
      </c>
      <c r="I80">
        <v>1</v>
      </c>
      <c r="J80">
        <v>1</v>
      </c>
      <c r="K80">
        <v>1</v>
      </c>
      <c r="L80">
        <v>1</v>
      </c>
      <c r="M80">
        <v>1</v>
      </c>
      <c r="N80">
        <v>1</v>
      </c>
      <c r="P80">
        <v>1</v>
      </c>
      <c r="Q80">
        <v>1</v>
      </c>
      <c r="R80">
        <v>1</v>
      </c>
      <c r="S80">
        <v>1</v>
      </c>
      <c r="T80">
        <v>1</v>
      </c>
      <c r="U80">
        <v>1</v>
      </c>
      <c r="V80">
        <v>1</v>
      </c>
      <c r="W80">
        <v>1</v>
      </c>
      <c r="X80">
        <v>1</v>
      </c>
      <c r="Y80">
        <v>1</v>
      </c>
      <c r="Z80">
        <v>1</v>
      </c>
      <c r="AA80">
        <v>1</v>
      </c>
      <c r="AB80">
        <v>1</v>
      </c>
      <c r="AC80">
        <v>1</v>
      </c>
      <c r="AD80">
        <v>1</v>
      </c>
      <c r="AE80">
        <v>1</v>
      </c>
      <c r="AF80">
        <v>1</v>
      </c>
      <c r="AG80">
        <v>1</v>
      </c>
      <c r="AQ80">
        <v>1</v>
      </c>
      <c r="AR80">
        <v>1</v>
      </c>
      <c r="AS80">
        <v>1</v>
      </c>
      <c r="AT80">
        <v>1</v>
      </c>
      <c r="AU80">
        <v>1</v>
      </c>
      <c r="AV80">
        <v>1</v>
      </c>
      <c r="AW80">
        <v>1</v>
      </c>
      <c r="AX80">
        <v>1</v>
      </c>
      <c r="AY80">
        <v>1</v>
      </c>
      <c r="AZ80">
        <v>1</v>
      </c>
      <c r="BA80">
        <v>1</v>
      </c>
      <c r="BB80">
        <v>1</v>
      </c>
      <c r="BC80">
        <v>1</v>
      </c>
      <c r="BD80">
        <v>1</v>
      </c>
      <c r="BE80">
        <v>1</v>
      </c>
      <c r="BF80">
        <v>1</v>
      </c>
      <c r="BG80">
        <v>1</v>
      </c>
      <c r="BH80">
        <v>1</v>
      </c>
      <c r="BI80">
        <v>1</v>
      </c>
      <c r="BK80">
        <v>1</v>
      </c>
      <c r="BL80">
        <v>1</v>
      </c>
      <c r="BN80">
        <v>1</v>
      </c>
      <c r="BO80">
        <v>1</v>
      </c>
      <c r="BP80">
        <v>1</v>
      </c>
      <c r="BQ80">
        <v>1</v>
      </c>
      <c r="BR80">
        <v>1</v>
      </c>
      <c r="BS80">
        <v>1</v>
      </c>
      <c r="BT80">
        <v>1</v>
      </c>
      <c r="BU80">
        <v>1</v>
      </c>
      <c r="BV80">
        <v>1</v>
      </c>
      <c r="BW80">
        <v>1</v>
      </c>
      <c r="BX80">
        <v>1</v>
      </c>
      <c r="BY80">
        <v>1</v>
      </c>
      <c r="BZ80">
        <v>1</v>
      </c>
      <c r="CA80">
        <v>1</v>
      </c>
      <c r="CB80">
        <v>1</v>
      </c>
      <c r="CC80">
        <v>1</v>
      </c>
      <c r="CF80">
        <v>1</v>
      </c>
      <c r="CG80">
        <v>1</v>
      </c>
      <c r="CN80">
        <v>1</v>
      </c>
      <c r="CO80">
        <v>1</v>
      </c>
      <c r="CP80">
        <v>1</v>
      </c>
      <c r="CQ80">
        <v>1</v>
      </c>
      <c r="CR80">
        <v>1</v>
      </c>
      <c r="CS80">
        <v>1</v>
      </c>
      <c r="CT80">
        <v>1</v>
      </c>
      <c r="CU80">
        <v>1</v>
      </c>
      <c r="CV80">
        <v>1</v>
      </c>
      <c r="CW80">
        <v>1</v>
      </c>
      <c r="CX80">
        <v>1</v>
      </c>
      <c r="CY80">
        <v>1</v>
      </c>
      <c r="CZ80">
        <v>1</v>
      </c>
      <c r="DA80">
        <v>1</v>
      </c>
      <c r="DB80">
        <v>1</v>
      </c>
      <c r="DC80">
        <v>1</v>
      </c>
      <c r="DD80">
        <v>1</v>
      </c>
      <c r="DE80">
        <v>1</v>
      </c>
      <c r="DF80">
        <v>1</v>
      </c>
      <c r="DG80">
        <v>1</v>
      </c>
      <c r="DH80">
        <v>1</v>
      </c>
      <c r="DI80">
        <v>1</v>
      </c>
      <c r="DJ80">
        <v>1</v>
      </c>
      <c r="DK80">
        <v>1</v>
      </c>
      <c r="DL80">
        <v>1</v>
      </c>
      <c r="DM80">
        <v>1</v>
      </c>
      <c r="DN80">
        <v>1</v>
      </c>
      <c r="DQ80">
        <v>1</v>
      </c>
      <c r="DR80">
        <v>1</v>
      </c>
      <c r="DX80">
        <v>1</v>
      </c>
      <c r="DY80">
        <v>1</v>
      </c>
      <c r="DZ80">
        <v>1</v>
      </c>
    </row>
    <row r="81" spans="1:210" x14ac:dyDescent="0.2">
      <c r="A81" t="str">
        <f t="array" aca="1" ref="A81" ca="1">IF(ROWS(A$1:A11)&lt;=COUNTIF(INDIRECT($A$70),"?*"),INDEX(INDIRECT($A$70),MATCH(SMALL(IF(INDIRECT($A$70)&lt;&gt;"",COUNTIF(INDIRECT($A$70),"&lt;"&amp;INDIRECT($A$70))),ROWS(A$1:A11)),IF(INDIRECT($A$70)&lt;&gt;"",COUNTIF(INDIRECT($A$70),"&lt;"&amp;INDIRECT($A$70))),0)),"")</f>
        <v>Schelme</v>
      </c>
      <c r="C81" t="str">
        <f t="shared" si="42"/>
        <v/>
      </c>
      <c r="E81" t="s">
        <v>2036</v>
      </c>
      <c r="F81" t="s">
        <v>4451</v>
      </c>
      <c r="H81">
        <v>1</v>
      </c>
      <c r="I81">
        <v>1</v>
      </c>
      <c r="J81">
        <v>1</v>
      </c>
      <c r="K81">
        <v>1</v>
      </c>
      <c r="L81">
        <v>1</v>
      </c>
      <c r="M81">
        <v>1</v>
      </c>
      <c r="N81">
        <v>1</v>
      </c>
      <c r="P81">
        <v>1</v>
      </c>
      <c r="Q81">
        <v>1</v>
      </c>
      <c r="R81">
        <v>1</v>
      </c>
      <c r="S81">
        <v>1</v>
      </c>
      <c r="T81">
        <v>1</v>
      </c>
      <c r="U81">
        <v>1</v>
      </c>
      <c r="V81">
        <v>1</v>
      </c>
      <c r="W81">
        <v>1</v>
      </c>
      <c r="X81">
        <v>1</v>
      </c>
      <c r="Y81">
        <v>1</v>
      </c>
      <c r="Z81">
        <v>1</v>
      </c>
      <c r="AA81">
        <v>1</v>
      </c>
      <c r="AB81">
        <v>1</v>
      </c>
      <c r="AC81">
        <v>1</v>
      </c>
      <c r="AD81">
        <v>1</v>
      </c>
      <c r="AE81">
        <v>1</v>
      </c>
      <c r="AF81">
        <v>1</v>
      </c>
      <c r="AG81">
        <v>1</v>
      </c>
      <c r="AQ81">
        <v>1</v>
      </c>
      <c r="AR81">
        <v>1</v>
      </c>
      <c r="AS81">
        <v>1</v>
      </c>
      <c r="AT81">
        <v>1</v>
      </c>
      <c r="AU81">
        <v>1</v>
      </c>
      <c r="AV81">
        <v>1</v>
      </c>
      <c r="AW81">
        <v>1</v>
      </c>
      <c r="AX81">
        <v>1</v>
      </c>
      <c r="AY81">
        <v>1</v>
      </c>
      <c r="BD81">
        <v>1</v>
      </c>
      <c r="BE81">
        <v>1</v>
      </c>
      <c r="BN81">
        <v>1</v>
      </c>
      <c r="BO81">
        <v>1</v>
      </c>
      <c r="BP81">
        <v>1</v>
      </c>
      <c r="BQ81">
        <v>1</v>
      </c>
      <c r="BR81">
        <v>1</v>
      </c>
      <c r="BS81">
        <v>1</v>
      </c>
      <c r="BT81">
        <v>1</v>
      </c>
      <c r="BU81">
        <v>1</v>
      </c>
      <c r="BV81">
        <v>1</v>
      </c>
      <c r="BW81">
        <v>1</v>
      </c>
      <c r="BX81">
        <v>1</v>
      </c>
      <c r="BY81">
        <v>1</v>
      </c>
      <c r="BZ81">
        <v>1</v>
      </c>
      <c r="CA81">
        <v>1</v>
      </c>
      <c r="CB81">
        <v>1</v>
      </c>
      <c r="CC81">
        <v>1</v>
      </c>
      <c r="CN81">
        <v>1</v>
      </c>
      <c r="CO81">
        <v>1</v>
      </c>
      <c r="CP81">
        <v>1</v>
      </c>
      <c r="CQ81">
        <v>1</v>
      </c>
      <c r="CR81">
        <v>1</v>
      </c>
      <c r="CS81">
        <v>1</v>
      </c>
      <c r="CT81">
        <v>1</v>
      </c>
      <c r="CU81">
        <v>1</v>
      </c>
      <c r="CV81">
        <v>1</v>
      </c>
      <c r="CW81">
        <v>1</v>
      </c>
      <c r="CX81">
        <v>1</v>
      </c>
      <c r="CY81">
        <v>1</v>
      </c>
      <c r="CZ81">
        <v>1</v>
      </c>
      <c r="DA81">
        <v>1</v>
      </c>
      <c r="DB81">
        <v>1</v>
      </c>
      <c r="DC81">
        <v>1</v>
      </c>
      <c r="DD81">
        <v>1</v>
      </c>
      <c r="DE81">
        <v>1</v>
      </c>
      <c r="DF81">
        <v>1</v>
      </c>
      <c r="DG81">
        <f t="shared" ref="DG81:DN81" si="44">IF(RASSE_ORK,"",1)</f>
        <v>1</v>
      </c>
      <c r="DH81">
        <f t="shared" si="44"/>
        <v>1</v>
      </c>
      <c r="DI81">
        <f t="shared" si="44"/>
        <v>1</v>
      </c>
      <c r="DJ81">
        <f t="shared" si="44"/>
        <v>1</v>
      </c>
      <c r="DK81">
        <f t="shared" si="44"/>
        <v>1</v>
      </c>
      <c r="DL81">
        <f t="shared" si="44"/>
        <v>1</v>
      </c>
      <c r="DM81">
        <f t="shared" si="44"/>
        <v>1</v>
      </c>
      <c r="DN81">
        <f t="shared" si="44"/>
        <v>1</v>
      </c>
      <c r="DY81">
        <v>1</v>
      </c>
      <c r="DZ81">
        <v>1</v>
      </c>
    </row>
    <row r="82" spans="1:210" x14ac:dyDescent="0.2">
      <c r="A82" t="str">
        <f t="array" aca="1" ref="A82" ca="1">IF(ROWS(A$1:A12)&lt;=COUNTIF(INDIRECT($A$70),"?*"),INDEX(INDIRECT($A$70),MATCH(SMALL(IF(INDIRECT($A$70)&lt;&gt;"",COUNTIF(INDIRECT($A$70),"&lt;"&amp;INDIRECT($A$70))),ROWS(A$1:A12)),IF(INDIRECT($A$70)&lt;&gt;"",COUNTIF(INDIRECT($A$70),"&lt;"&amp;INDIRECT($A$70))),0)),"")</f>
        <v>Zaubertänzer</v>
      </c>
      <c r="C82" t="str">
        <f t="shared" si="42"/>
        <v/>
      </c>
      <c r="E82" t="s">
        <v>1192</v>
      </c>
      <c r="F82" t="s">
        <v>4452</v>
      </c>
      <c r="V82">
        <v>1</v>
      </c>
      <c r="W82">
        <v>1</v>
      </c>
      <c r="X82">
        <v>1</v>
      </c>
      <c r="Y82">
        <v>1</v>
      </c>
      <c r="BD82">
        <v>1</v>
      </c>
      <c r="BF82">
        <v>1</v>
      </c>
      <c r="BG82">
        <v>1</v>
      </c>
      <c r="BH82">
        <v>1</v>
      </c>
      <c r="BI82">
        <v>1</v>
      </c>
      <c r="BJ82">
        <v>1</v>
      </c>
      <c r="BK82">
        <v>1</v>
      </c>
      <c r="BL82">
        <v>1</v>
      </c>
      <c r="CJ82">
        <v>1</v>
      </c>
      <c r="CK82">
        <v>1</v>
      </c>
      <c r="CN82">
        <v>1</v>
      </c>
      <c r="CO82">
        <v>1</v>
      </c>
      <c r="CP82">
        <v>1</v>
      </c>
      <c r="CQ82">
        <v>1</v>
      </c>
      <c r="CR82">
        <v>1</v>
      </c>
      <c r="CS82">
        <v>1</v>
      </c>
      <c r="CT82">
        <v>1</v>
      </c>
      <c r="CU82">
        <v>1</v>
      </c>
      <c r="CV82">
        <v>1</v>
      </c>
      <c r="CW82">
        <v>1</v>
      </c>
      <c r="CX82">
        <v>1</v>
      </c>
      <c r="CY82">
        <v>1</v>
      </c>
      <c r="CZ82">
        <v>1</v>
      </c>
      <c r="DQ82">
        <v>1</v>
      </c>
      <c r="DR82">
        <v>1</v>
      </c>
      <c r="DS82">
        <v>1</v>
      </c>
      <c r="DX82">
        <v>1</v>
      </c>
    </row>
    <row r="83" spans="1:210" x14ac:dyDescent="0.2">
      <c r="A83" t="str">
        <f t="array" aca="1" ref="A83" ca="1">IF(ROWS(A$1:A13)&lt;=COUNTIF(INDIRECT($A$70),"?*"),INDEX(INDIRECT($A$70),MATCH(SMALL(IF(INDIRECT($A$70)&lt;&gt;"",COUNTIF(INDIRECT($A$70),"&lt;"&amp;INDIRECT($A$70))),ROWS(A$1:A13)),IF(INDIRECT($A$70)&lt;&gt;"",COUNTIF(INDIRECT($A$70),"&lt;"&amp;INDIRECT($A$70))),0)),"")</f>
        <v>Zibilja</v>
      </c>
      <c r="C83" t="str">
        <f t="shared" si="42"/>
        <v/>
      </c>
      <c r="E83" t="s">
        <v>4721</v>
      </c>
      <c r="F83" t="s">
        <v>4453</v>
      </c>
      <c r="CF83">
        <v>1</v>
      </c>
      <c r="CG83">
        <v>1</v>
      </c>
    </row>
    <row r="84" spans="1:210" x14ac:dyDescent="0.2">
      <c r="A84" t="str">
        <f>IF(OR(ISBLANK(KULTURGENE),KULTURGENE="LEER"),"",IF(HLOOKUP(KULTURGENE,LIST_K_G,ROW(),FALSE)="","",HLOOKUP(KULTURGENE,LIST_K_G,ROW(),FALSE)))</f>
        <v/>
      </c>
      <c r="H84" t="s">
        <v>7751</v>
      </c>
      <c r="I84" t="s">
        <v>7751</v>
      </c>
      <c r="J84" t="s">
        <v>7751</v>
      </c>
      <c r="K84" t="s">
        <v>7751</v>
      </c>
      <c r="L84" t="s">
        <v>7751</v>
      </c>
      <c r="M84" t="s">
        <v>7751</v>
      </c>
      <c r="N84" t="s">
        <v>7751</v>
      </c>
      <c r="P84" t="s">
        <v>7749</v>
      </c>
      <c r="Q84" t="s">
        <v>7749</v>
      </c>
      <c r="R84" t="s">
        <v>7749</v>
      </c>
      <c r="S84" t="s">
        <v>7749</v>
      </c>
      <c r="T84" t="s">
        <v>7749</v>
      </c>
      <c r="U84" t="s">
        <v>7749</v>
      </c>
      <c r="V84" t="s">
        <v>7754</v>
      </c>
      <c r="W84" t="s">
        <v>7754</v>
      </c>
      <c r="X84" t="s">
        <v>7754</v>
      </c>
      <c r="Y84" t="s">
        <v>7754</v>
      </c>
      <c r="AD84" t="s">
        <v>7750</v>
      </c>
      <c r="AE84" t="s">
        <v>7750</v>
      </c>
      <c r="AF84" t="s">
        <v>7750</v>
      </c>
      <c r="AG84" t="s">
        <v>7750</v>
      </c>
      <c r="AH84" t="s">
        <v>7765</v>
      </c>
      <c r="AN84" t="s">
        <v>7760</v>
      </c>
      <c r="AP84" t="s">
        <v>7763</v>
      </c>
      <c r="AQ84" t="s">
        <v>7752</v>
      </c>
      <c r="AR84" t="s">
        <v>7752</v>
      </c>
      <c r="AS84" t="s">
        <v>7752</v>
      </c>
      <c r="AT84" t="s">
        <v>7752</v>
      </c>
      <c r="AU84" t="s">
        <v>7752</v>
      </c>
      <c r="AV84" t="s">
        <v>7752</v>
      </c>
      <c r="AW84" t="s">
        <v>7752</v>
      </c>
      <c r="AX84" t="s">
        <v>7752</v>
      </c>
      <c r="AY84" t="s">
        <v>7752</v>
      </c>
      <c r="BD84" t="s">
        <v>7764</v>
      </c>
      <c r="BE84" t="s">
        <v>7747</v>
      </c>
      <c r="BF84" t="s">
        <v>7757</v>
      </c>
      <c r="BG84" t="s">
        <v>7755</v>
      </c>
      <c r="BH84" t="s">
        <v>7755</v>
      </c>
      <c r="BI84" t="s">
        <v>7755</v>
      </c>
      <c r="BJ84" t="s">
        <v>7756</v>
      </c>
      <c r="BK84" t="s">
        <v>7755</v>
      </c>
      <c r="BL84" t="s">
        <v>7755</v>
      </c>
      <c r="BN84" t="s">
        <v>7748</v>
      </c>
      <c r="BO84" t="s">
        <v>7748</v>
      </c>
      <c r="BP84" t="s">
        <v>7748</v>
      </c>
      <c r="BQ84" t="s">
        <v>7748</v>
      </c>
      <c r="BR84" t="s">
        <v>7748</v>
      </c>
      <c r="BS84" t="s">
        <v>7748</v>
      </c>
      <c r="BT84" t="s">
        <v>7748</v>
      </c>
      <c r="BU84" t="s">
        <v>7748</v>
      </c>
      <c r="BV84" t="s">
        <v>7748</v>
      </c>
      <c r="BW84" t="s">
        <v>7747</v>
      </c>
      <c r="BX84" t="s">
        <v>7747</v>
      </c>
      <c r="BY84" t="s">
        <v>7747</v>
      </c>
      <c r="BZ84" t="s">
        <v>7747</v>
      </c>
      <c r="CA84" t="s">
        <v>7747</v>
      </c>
      <c r="CB84" t="s">
        <v>7747</v>
      </c>
      <c r="CC84" t="s">
        <v>7747</v>
      </c>
      <c r="CH84" t="s">
        <v>7758</v>
      </c>
      <c r="CI84" t="s">
        <v>7758</v>
      </c>
      <c r="CJ84" t="s">
        <v>7759</v>
      </c>
      <c r="CK84" t="s">
        <v>7759</v>
      </c>
      <c r="CN84" t="s">
        <v>7764</v>
      </c>
      <c r="CO84" t="s">
        <v>7764</v>
      </c>
      <c r="CP84" t="s">
        <v>7764</v>
      </c>
      <c r="CQ84" t="s">
        <v>7764</v>
      </c>
      <c r="CR84" t="s">
        <v>7764</v>
      </c>
      <c r="CS84" t="s">
        <v>7764</v>
      </c>
      <c r="CT84" t="s">
        <v>7764</v>
      </c>
      <c r="CU84" t="s">
        <v>7764</v>
      </c>
      <c r="CV84" t="s">
        <v>7764</v>
      </c>
      <c r="CW84" t="s">
        <v>7764</v>
      </c>
      <c r="CX84" t="s">
        <v>7764</v>
      </c>
      <c r="CY84" t="s">
        <v>7764</v>
      </c>
      <c r="CZ84" t="s">
        <v>7764</v>
      </c>
      <c r="DA84" t="s">
        <v>7749</v>
      </c>
      <c r="DB84" t="s">
        <v>7749</v>
      </c>
      <c r="DC84" t="s">
        <v>7749</v>
      </c>
      <c r="DD84" t="s">
        <v>7749</v>
      </c>
      <c r="DE84" t="s">
        <v>7749</v>
      </c>
      <c r="DF84" t="s">
        <v>7749</v>
      </c>
      <c r="DG84" t="s">
        <v>7762</v>
      </c>
      <c r="DH84" t="s">
        <v>7762</v>
      </c>
      <c r="DI84" t="s">
        <v>7762</v>
      </c>
      <c r="DJ84" t="s">
        <v>7762</v>
      </c>
      <c r="DK84" t="s">
        <v>7762</v>
      </c>
      <c r="DL84" t="s">
        <v>7762</v>
      </c>
      <c r="DM84" t="s">
        <v>7762</v>
      </c>
      <c r="DN84" t="s">
        <v>7762</v>
      </c>
      <c r="DP84" t="s">
        <v>7766</v>
      </c>
      <c r="DQ84" t="s">
        <v>7757</v>
      </c>
      <c r="DR84" t="s">
        <v>7757</v>
      </c>
      <c r="DS84" t="s">
        <v>7756</v>
      </c>
      <c r="DX84" t="s">
        <v>7761</v>
      </c>
      <c r="DY84" t="s">
        <v>7753</v>
      </c>
      <c r="DZ84" t="s">
        <v>7753</v>
      </c>
      <c r="EA84" t="s">
        <v>7767</v>
      </c>
      <c r="EB84" t="s">
        <v>7767</v>
      </c>
      <c r="EC84" t="s">
        <v>7767</v>
      </c>
      <c r="ED84" t="s">
        <v>7767</v>
      </c>
      <c r="EE84" t="s">
        <v>7767</v>
      </c>
      <c r="EF84" t="s">
        <v>7767</v>
      </c>
      <c r="EG84" t="s">
        <v>7767</v>
      </c>
      <c r="EH84" t="s">
        <v>7767</v>
      </c>
      <c r="EI84" t="s">
        <v>7767</v>
      </c>
      <c r="EJ84" t="s">
        <v>7767</v>
      </c>
      <c r="EK84" t="s">
        <v>7767</v>
      </c>
      <c r="EL84" t="s">
        <v>7767</v>
      </c>
      <c r="EM84" t="s">
        <v>7767</v>
      </c>
      <c r="EN84" t="s">
        <v>7767</v>
      </c>
      <c r="EO84" t="s">
        <v>7767</v>
      </c>
      <c r="EP84" t="s">
        <v>7767</v>
      </c>
      <c r="EQ84" t="s">
        <v>7767</v>
      </c>
      <c r="ER84" t="s">
        <v>7768</v>
      </c>
      <c r="ES84" t="s">
        <v>7768</v>
      </c>
      <c r="ET84" t="s">
        <v>7768</v>
      </c>
      <c r="EU84" t="s">
        <v>7768</v>
      </c>
      <c r="EV84" t="s">
        <v>7769</v>
      </c>
    </row>
    <row r="85" spans="1:210" x14ac:dyDescent="0.2">
      <c r="A85" t="str">
        <f>IF(Generierung!$D$4="Nach WdH - Start mit Rasse","C"&amp;IDX_P_GOETTER+1&amp;":C"&amp;IDX_P_GOETTER+2,"E"&amp;IDX_P_GOETTER+1&amp;":E"&amp;IDX_P_GOETTER+2)</f>
        <v>E86:E87</v>
      </c>
      <c r="E85" t="s">
        <v>7668</v>
      </c>
      <c r="G85">
        <f>ROW()</f>
        <v>85</v>
      </c>
      <c r="H85">
        <f t="shared" ref="H85:AM85" si="45">IF(COUNTIF(H86:H87,1)=0,"",1)</f>
        <v>1</v>
      </c>
      <c r="I85">
        <f t="shared" si="45"/>
        <v>1</v>
      </c>
      <c r="J85">
        <f t="shared" si="45"/>
        <v>1</v>
      </c>
      <c r="K85">
        <f t="shared" si="45"/>
        <v>1</v>
      </c>
      <c r="L85">
        <f t="shared" si="45"/>
        <v>1</v>
      </c>
      <c r="M85">
        <f t="shared" si="45"/>
        <v>1</v>
      </c>
      <c r="N85">
        <f t="shared" si="45"/>
        <v>1</v>
      </c>
      <c r="O85">
        <f t="shared" si="45"/>
        <v>1</v>
      </c>
      <c r="P85">
        <f t="shared" si="45"/>
        <v>1</v>
      </c>
      <c r="Q85">
        <f t="shared" si="45"/>
        <v>1</v>
      </c>
      <c r="R85">
        <f t="shared" si="45"/>
        <v>1</v>
      </c>
      <c r="S85">
        <f t="shared" si="45"/>
        <v>1</v>
      </c>
      <c r="T85">
        <f t="shared" si="45"/>
        <v>1</v>
      </c>
      <c r="U85">
        <f t="shared" si="45"/>
        <v>1</v>
      </c>
      <c r="V85">
        <f t="shared" si="45"/>
        <v>1</v>
      </c>
      <c r="W85">
        <f t="shared" si="45"/>
        <v>1</v>
      </c>
      <c r="X85">
        <f t="shared" si="45"/>
        <v>1</v>
      </c>
      <c r="Y85">
        <f t="shared" si="45"/>
        <v>1</v>
      </c>
      <c r="Z85">
        <f t="shared" si="45"/>
        <v>1</v>
      </c>
      <c r="AA85">
        <f t="shared" si="45"/>
        <v>1</v>
      </c>
      <c r="AB85">
        <f t="shared" si="45"/>
        <v>1</v>
      </c>
      <c r="AC85">
        <f t="shared" si="45"/>
        <v>1</v>
      </c>
      <c r="AD85">
        <f t="shared" si="45"/>
        <v>1</v>
      </c>
      <c r="AE85">
        <f t="shared" si="45"/>
        <v>1</v>
      </c>
      <c r="AF85">
        <f t="shared" si="45"/>
        <v>1</v>
      </c>
      <c r="AG85">
        <f t="shared" si="45"/>
        <v>1</v>
      </c>
      <c r="AH85">
        <f t="shared" si="45"/>
        <v>1</v>
      </c>
      <c r="AI85">
        <f t="shared" si="45"/>
        <v>1</v>
      </c>
      <c r="AJ85">
        <f t="shared" si="45"/>
        <v>1</v>
      </c>
      <c r="AK85">
        <f t="shared" si="45"/>
        <v>1</v>
      </c>
      <c r="AL85">
        <f t="shared" si="45"/>
        <v>1</v>
      </c>
      <c r="AM85">
        <f t="shared" si="45"/>
        <v>1</v>
      </c>
      <c r="AN85">
        <f t="shared" ref="AN85:BS85" si="46">IF(COUNTIF(AN86:AN87,1)=0,"",1)</f>
        <v>1</v>
      </c>
      <c r="AO85">
        <f t="shared" si="46"/>
        <v>1</v>
      </c>
      <c r="AP85">
        <f t="shared" si="46"/>
        <v>1</v>
      </c>
      <c r="AQ85">
        <f t="shared" si="46"/>
        <v>1</v>
      </c>
      <c r="AR85">
        <f t="shared" si="46"/>
        <v>1</v>
      </c>
      <c r="AS85">
        <f t="shared" si="46"/>
        <v>1</v>
      </c>
      <c r="AT85">
        <f t="shared" si="46"/>
        <v>1</v>
      </c>
      <c r="AU85">
        <f t="shared" si="46"/>
        <v>1</v>
      </c>
      <c r="AV85">
        <f t="shared" si="46"/>
        <v>1</v>
      </c>
      <c r="AW85">
        <f t="shared" si="46"/>
        <v>1</v>
      </c>
      <c r="AX85">
        <f t="shared" si="46"/>
        <v>1</v>
      </c>
      <c r="AY85">
        <f t="shared" si="46"/>
        <v>1</v>
      </c>
      <c r="AZ85">
        <f t="shared" si="46"/>
        <v>1</v>
      </c>
      <c r="BA85">
        <f t="shared" si="46"/>
        <v>1</v>
      </c>
      <c r="BB85">
        <f t="shared" si="46"/>
        <v>1</v>
      </c>
      <c r="BC85">
        <f t="shared" si="46"/>
        <v>1</v>
      </c>
      <c r="BD85">
        <f t="shared" si="46"/>
        <v>1</v>
      </c>
      <c r="BE85">
        <f t="shared" si="46"/>
        <v>1</v>
      </c>
      <c r="BF85">
        <f t="shared" si="46"/>
        <v>1</v>
      </c>
      <c r="BG85">
        <f t="shared" si="46"/>
        <v>1</v>
      </c>
      <c r="BH85">
        <f t="shared" si="46"/>
        <v>1</v>
      </c>
      <c r="BI85">
        <f t="shared" si="46"/>
        <v>1</v>
      </c>
      <c r="BJ85">
        <f t="shared" si="46"/>
        <v>1</v>
      </c>
      <c r="BK85">
        <f t="shared" si="46"/>
        <v>1</v>
      </c>
      <c r="BL85">
        <f t="shared" si="46"/>
        <v>1</v>
      </c>
      <c r="BM85">
        <f t="shared" si="46"/>
        <v>1</v>
      </c>
      <c r="BN85">
        <f t="shared" si="46"/>
        <v>1</v>
      </c>
      <c r="BO85">
        <f t="shared" si="46"/>
        <v>1</v>
      </c>
      <c r="BP85">
        <f t="shared" si="46"/>
        <v>1</v>
      </c>
      <c r="BQ85">
        <f t="shared" si="46"/>
        <v>1</v>
      </c>
      <c r="BR85">
        <f t="shared" si="46"/>
        <v>1</v>
      </c>
      <c r="BS85">
        <f t="shared" si="46"/>
        <v>1</v>
      </c>
      <c r="BT85">
        <f t="shared" ref="BT85:CZ85" si="47">IF(COUNTIF(BT86:BT87,1)=0,"",1)</f>
        <v>1</v>
      </c>
      <c r="BU85">
        <f t="shared" si="47"/>
        <v>1</v>
      </c>
      <c r="BV85">
        <f t="shared" si="47"/>
        <v>1</v>
      </c>
      <c r="BW85">
        <f t="shared" si="47"/>
        <v>1</v>
      </c>
      <c r="BX85">
        <f t="shared" si="47"/>
        <v>1</v>
      </c>
      <c r="BY85">
        <f t="shared" si="47"/>
        <v>1</v>
      </c>
      <c r="BZ85">
        <f t="shared" si="47"/>
        <v>1</v>
      </c>
      <c r="CA85">
        <f t="shared" si="47"/>
        <v>1</v>
      </c>
      <c r="CB85">
        <f t="shared" si="47"/>
        <v>1</v>
      </c>
      <c r="CC85">
        <f t="shared" si="47"/>
        <v>1</v>
      </c>
      <c r="CD85">
        <f t="shared" si="47"/>
        <v>1</v>
      </c>
      <c r="CE85">
        <f t="shared" si="47"/>
        <v>1</v>
      </c>
      <c r="CF85">
        <f t="shared" si="47"/>
        <v>1</v>
      </c>
      <c r="CG85">
        <v>1</v>
      </c>
      <c r="CH85">
        <f t="shared" si="47"/>
        <v>1</v>
      </c>
      <c r="CI85">
        <f t="shared" si="47"/>
        <v>1</v>
      </c>
      <c r="CJ85" t="str">
        <f t="shared" si="47"/>
        <v/>
      </c>
      <c r="CK85" t="str">
        <f t="shared" si="47"/>
        <v/>
      </c>
      <c r="CL85" t="str">
        <f t="shared" si="47"/>
        <v/>
      </c>
      <c r="CM85" t="str">
        <f t="shared" si="47"/>
        <v/>
      </c>
      <c r="CN85">
        <f t="shared" si="47"/>
        <v>1</v>
      </c>
      <c r="CO85">
        <f t="shared" si="47"/>
        <v>1</v>
      </c>
      <c r="CP85">
        <f t="shared" si="47"/>
        <v>1</v>
      </c>
      <c r="CQ85">
        <f t="shared" si="47"/>
        <v>1</v>
      </c>
      <c r="CR85">
        <f t="shared" si="47"/>
        <v>1</v>
      </c>
      <c r="CS85">
        <f t="shared" si="47"/>
        <v>1</v>
      </c>
      <c r="CT85">
        <f t="shared" si="47"/>
        <v>1</v>
      </c>
      <c r="CU85">
        <f t="shared" si="47"/>
        <v>1</v>
      </c>
      <c r="CV85">
        <f t="shared" si="47"/>
        <v>1</v>
      </c>
      <c r="CW85">
        <f t="shared" si="47"/>
        <v>1</v>
      </c>
      <c r="CX85">
        <f t="shared" si="47"/>
        <v>1</v>
      </c>
      <c r="CY85">
        <f t="shared" si="47"/>
        <v>1</v>
      </c>
      <c r="CZ85">
        <f t="shared" si="47"/>
        <v>1</v>
      </c>
      <c r="DA85">
        <f t="shared" ref="DA85:DZ85" si="48">IF(COUNTIF(DA86:DA87,1)=0,"",1)</f>
        <v>1</v>
      </c>
      <c r="DB85">
        <f t="shared" si="48"/>
        <v>1</v>
      </c>
      <c r="DC85">
        <f t="shared" si="48"/>
        <v>1</v>
      </c>
      <c r="DD85">
        <f t="shared" si="48"/>
        <v>1</v>
      </c>
      <c r="DE85">
        <f t="shared" si="48"/>
        <v>1</v>
      </c>
      <c r="DF85">
        <f t="shared" si="48"/>
        <v>1</v>
      </c>
      <c r="DG85">
        <f t="shared" si="48"/>
        <v>1</v>
      </c>
      <c r="DH85">
        <f t="shared" si="48"/>
        <v>1</v>
      </c>
      <c r="DI85">
        <v>1</v>
      </c>
      <c r="DJ85">
        <v>1</v>
      </c>
      <c r="DK85">
        <v>1</v>
      </c>
      <c r="DL85">
        <v>1</v>
      </c>
      <c r="DM85">
        <v>1</v>
      </c>
      <c r="DN85">
        <v>1</v>
      </c>
      <c r="DO85">
        <f t="shared" si="48"/>
        <v>1</v>
      </c>
      <c r="DP85">
        <f t="shared" si="48"/>
        <v>1</v>
      </c>
      <c r="DQ85">
        <f t="shared" si="48"/>
        <v>1</v>
      </c>
      <c r="DR85">
        <f t="shared" si="48"/>
        <v>1</v>
      </c>
      <c r="DS85">
        <f t="shared" si="48"/>
        <v>1</v>
      </c>
      <c r="DT85">
        <f t="shared" si="48"/>
        <v>1</v>
      </c>
      <c r="DU85">
        <f t="shared" si="48"/>
        <v>1</v>
      </c>
      <c r="DV85">
        <f t="shared" si="48"/>
        <v>1</v>
      </c>
      <c r="DW85">
        <f t="shared" si="48"/>
        <v>1</v>
      </c>
      <c r="DX85">
        <f t="shared" si="48"/>
        <v>1</v>
      </c>
      <c r="DY85">
        <f t="shared" si="48"/>
        <v>1</v>
      </c>
      <c r="DZ85">
        <f t="shared" si="48"/>
        <v>1</v>
      </c>
      <c r="EA85" t="str">
        <f t="shared" ref="EA85:EM85" si="49">IF(COUNTIF(EA86:EA87,1)=0,"",1)</f>
        <v/>
      </c>
      <c r="EB85" t="str">
        <f t="shared" si="49"/>
        <v/>
      </c>
      <c r="EC85" t="str">
        <f t="shared" si="49"/>
        <v/>
      </c>
      <c r="ED85" t="str">
        <f t="shared" si="49"/>
        <v/>
      </c>
      <c r="EE85" t="str">
        <f t="shared" si="49"/>
        <v/>
      </c>
      <c r="EF85" t="str">
        <f t="shared" si="49"/>
        <v/>
      </c>
      <c r="EG85" t="str">
        <f t="shared" si="49"/>
        <v/>
      </c>
      <c r="EH85" t="str">
        <f t="shared" si="49"/>
        <v/>
      </c>
      <c r="EI85" t="str">
        <f t="shared" si="49"/>
        <v/>
      </c>
      <c r="EJ85" t="str">
        <f t="shared" si="49"/>
        <v/>
      </c>
      <c r="EK85" t="str">
        <f t="shared" si="49"/>
        <v/>
      </c>
      <c r="EL85" t="str">
        <f t="shared" si="49"/>
        <v/>
      </c>
      <c r="EM85" t="str">
        <f t="shared" si="49"/>
        <v/>
      </c>
      <c r="EN85" t="str">
        <f t="shared" ref="EN85:GZ85" si="50">IF(COUNTIF(EN86:EN87,1)=0,"",1)</f>
        <v/>
      </c>
      <c r="EO85" t="str">
        <f t="shared" si="50"/>
        <v/>
      </c>
      <c r="EP85" t="str">
        <f t="shared" ref="EP85" si="51">IF(COUNTIF(EP86:EP87,1)=0,"",1)</f>
        <v/>
      </c>
      <c r="EQ85" t="str">
        <f t="shared" si="50"/>
        <v/>
      </c>
      <c r="ER85">
        <f t="shared" si="50"/>
        <v>1</v>
      </c>
      <c r="ES85">
        <f t="shared" si="50"/>
        <v>1</v>
      </c>
      <c r="ET85">
        <f t="shared" si="50"/>
        <v>1</v>
      </c>
      <c r="EU85">
        <f t="shared" si="50"/>
        <v>1</v>
      </c>
      <c r="EV85" t="str">
        <f t="shared" si="50"/>
        <v/>
      </c>
      <c r="EW85" t="str">
        <f t="shared" si="50"/>
        <v/>
      </c>
      <c r="EX85" t="str">
        <f t="shared" si="50"/>
        <v/>
      </c>
      <c r="EY85" t="str">
        <f t="shared" si="50"/>
        <v/>
      </c>
      <c r="EZ85" t="str">
        <f t="shared" si="50"/>
        <v/>
      </c>
      <c r="FA85">
        <f t="shared" si="50"/>
        <v>1</v>
      </c>
      <c r="FB85" t="str">
        <f t="shared" si="50"/>
        <v/>
      </c>
      <c r="FC85" t="str">
        <f t="shared" si="50"/>
        <v/>
      </c>
      <c r="FD85" t="str">
        <f t="shared" si="50"/>
        <v/>
      </c>
      <c r="FE85" t="str">
        <f t="shared" si="50"/>
        <v/>
      </c>
      <c r="FF85">
        <f t="shared" si="50"/>
        <v>1</v>
      </c>
      <c r="FG85" t="str">
        <f t="shared" si="50"/>
        <v/>
      </c>
      <c r="FH85" t="str">
        <f t="shared" si="50"/>
        <v/>
      </c>
      <c r="FI85" t="str">
        <f t="shared" si="50"/>
        <v/>
      </c>
      <c r="FJ85" t="str">
        <f t="shared" si="50"/>
        <v/>
      </c>
      <c r="FK85">
        <f t="shared" si="50"/>
        <v>1</v>
      </c>
      <c r="FL85" t="str">
        <f t="shared" si="50"/>
        <v/>
      </c>
      <c r="FM85" t="str">
        <f t="shared" si="50"/>
        <v/>
      </c>
      <c r="FN85" t="str">
        <f t="shared" si="50"/>
        <v/>
      </c>
      <c r="FO85" t="str">
        <f t="shared" si="50"/>
        <v/>
      </c>
      <c r="FP85">
        <f t="shared" si="50"/>
        <v>1</v>
      </c>
      <c r="FQ85" t="str">
        <f t="shared" si="50"/>
        <v/>
      </c>
      <c r="FR85" t="str">
        <f t="shared" si="50"/>
        <v/>
      </c>
      <c r="FS85" t="str">
        <f t="shared" si="50"/>
        <v/>
      </c>
      <c r="FT85" t="str">
        <f t="shared" si="50"/>
        <v/>
      </c>
      <c r="FU85">
        <f t="shared" si="50"/>
        <v>1</v>
      </c>
      <c r="FV85" t="str">
        <f t="shared" si="50"/>
        <v/>
      </c>
      <c r="FW85" t="str">
        <f t="shared" si="50"/>
        <v/>
      </c>
      <c r="FX85" t="str">
        <f t="shared" si="50"/>
        <v/>
      </c>
      <c r="FY85" t="str">
        <f t="shared" si="50"/>
        <v/>
      </c>
      <c r="FZ85">
        <f t="shared" si="50"/>
        <v>1</v>
      </c>
      <c r="GA85" t="str">
        <f t="shared" si="50"/>
        <v/>
      </c>
      <c r="GB85" t="str">
        <f t="shared" si="50"/>
        <v/>
      </c>
      <c r="GC85" t="str">
        <f t="shared" si="50"/>
        <v/>
      </c>
      <c r="GD85" t="str">
        <f t="shared" si="50"/>
        <v/>
      </c>
      <c r="GE85">
        <f t="shared" si="50"/>
        <v>1</v>
      </c>
      <c r="GF85" t="str">
        <f t="shared" si="50"/>
        <v/>
      </c>
      <c r="GG85" t="str">
        <f t="shared" si="50"/>
        <v/>
      </c>
      <c r="GH85" t="str">
        <f t="shared" si="50"/>
        <v/>
      </c>
      <c r="GI85" t="str">
        <f t="shared" si="50"/>
        <v/>
      </c>
      <c r="GJ85" t="str">
        <f t="shared" si="50"/>
        <v/>
      </c>
      <c r="GK85">
        <f t="shared" si="50"/>
        <v>1</v>
      </c>
      <c r="GL85" t="str">
        <f t="shared" si="50"/>
        <v/>
      </c>
      <c r="GM85">
        <f t="shared" si="50"/>
        <v>1</v>
      </c>
      <c r="GN85" t="str">
        <f t="shared" si="50"/>
        <v/>
      </c>
      <c r="GO85">
        <f t="shared" si="50"/>
        <v>1</v>
      </c>
      <c r="GP85" t="str">
        <f t="shared" si="50"/>
        <v/>
      </c>
      <c r="GQ85">
        <f t="shared" si="50"/>
        <v>1</v>
      </c>
      <c r="GR85" t="str">
        <f t="shared" si="50"/>
        <v/>
      </c>
      <c r="GS85">
        <f t="shared" si="50"/>
        <v>1</v>
      </c>
      <c r="GT85" t="str">
        <f t="shared" si="50"/>
        <v/>
      </c>
      <c r="GU85">
        <f t="shared" si="50"/>
        <v>1</v>
      </c>
      <c r="GV85">
        <f t="shared" si="50"/>
        <v>1</v>
      </c>
      <c r="GW85">
        <f t="shared" si="50"/>
        <v>1</v>
      </c>
      <c r="GX85">
        <f t="shared" si="50"/>
        <v>1</v>
      </c>
      <c r="GY85">
        <f t="shared" si="50"/>
        <v>1</v>
      </c>
      <c r="GZ85">
        <f t="shared" si="50"/>
        <v>1</v>
      </c>
      <c r="HA85">
        <f>IF(COUNTIF(HA86:HA87,1)=0,"",1)</f>
        <v>1</v>
      </c>
      <c r="HB85">
        <f>IF(COUNTIF(HB86:HB87,1)=0,"",1)</f>
        <v>1</v>
      </c>
    </row>
    <row r="86" spans="1:210" x14ac:dyDescent="0.2">
      <c r="A86" t="str">
        <f t="array" aca="1" ref="A86" ca="1">IF(ROWS(A$1:A1)&lt;=COUNTIF(INDIRECT($A$85),"?*"),INDEX(INDIRECT($A$85),MATCH(SMALL(IF(INDIRECT($A$85)&lt;&gt;"",COUNTIF(INDIRECT($A$85),"&lt;"&amp;INDIRECT($A$85))),ROWS(A$1:A1)),IF(INDIRECT($A$85)&lt;&gt;"",COUNTIF(INDIRECT($A$85),"&lt;"&amp;INDIRECT($A$85))),0)),"")</f>
        <v>Goetterdiener</v>
      </c>
      <c r="C86" t="str">
        <f>IF(OR(ISBLANK(KULTURGENE),KULTURGENE="LEER"),"",IF(HLOOKUP(KULTURGENE,LIST_K_G,ROW(),FALSE)&gt;0,E86,""))</f>
        <v/>
      </c>
      <c r="E86" t="s">
        <v>2960</v>
      </c>
      <c r="F86" t="s">
        <v>3128</v>
      </c>
      <c r="H86">
        <v>1</v>
      </c>
      <c r="I86">
        <v>1</v>
      </c>
      <c r="J86">
        <v>1</v>
      </c>
      <c r="K86">
        <v>1</v>
      </c>
      <c r="L86">
        <v>1</v>
      </c>
      <c r="M86">
        <v>1</v>
      </c>
      <c r="N86">
        <v>1</v>
      </c>
      <c r="O86">
        <v>1</v>
      </c>
      <c r="P86">
        <v>1</v>
      </c>
      <c r="Q86">
        <v>1</v>
      </c>
      <c r="R86">
        <v>1</v>
      </c>
      <c r="S86">
        <v>1</v>
      </c>
      <c r="T86">
        <v>1</v>
      </c>
      <c r="U86">
        <v>1</v>
      </c>
      <c r="V86">
        <v>1</v>
      </c>
      <c r="W86">
        <v>1</v>
      </c>
      <c r="X86">
        <v>1</v>
      </c>
      <c r="Y86">
        <v>1</v>
      </c>
      <c r="Z86">
        <v>1</v>
      </c>
      <c r="AA86">
        <v>1</v>
      </c>
      <c r="AB86">
        <v>1</v>
      </c>
      <c r="AC86">
        <v>1</v>
      </c>
      <c r="AD86">
        <v>1</v>
      </c>
      <c r="AE86">
        <v>1</v>
      </c>
      <c r="AF86">
        <v>1</v>
      </c>
      <c r="AG86">
        <v>1</v>
      </c>
      <c r="AH86">
        <v>1</v>
      </c>
      <c r="AN86">
        <v>1</v>
      </c>
      <c r="AQ86">
        <v>1</v>
      </c>
      <c r="AR86">
        <v>1</v>
      </c>
      <c r="AS86">
        <v>1</v>
      </c>
      <c r="AT86">
        <v>1</v>
      </c>
      <c r="AU86">
        <v>1</v>
      </c>
      <c r="AV86">
        <v>1</v>
      </c>
      <c r="AW86">
        <v>1</v>
      </c>
      <c r="AX86">
        <v>1</v>
      </c>
      <c r="AY86">
        <v>1</v>
      </c>
      <c r="AZ86">
        <v>1</v>
      </c>
      <c r="BA86">
        <v>1</v>
      </c>
      <c r="BB86">
        <v>1</v>
      </c>
      <c r="BC86">
        <v>1</v>
      </c>
      <c r="BD86">
        <v>1</v>
      </c>
      <c r="BE86">
        <v>1</v>
      </c>
      <c r="BF86">
        <v>1</v>
      </c>
      <c r="BG86">
        <v>1</v>
      </c>
      <c r="BH86">
        <v>1</v>
      </c>
      <c r="BI86">
        <v>1</v>
      </c>
      <c r="BJ86">
        <v>1</v>
      </c>
      <c r="BK86">
        <v>1</v>
      </c>
      <c r="BL86">
        <v>1</v>
      </c>
      <c r="BN86">
        <v>1</v>
      </c>
      <c r="BO86">
        <v>1</v>
      </c>
      <c r="BP86">
        <v>1</v>
      </c>
      <c r="BQ86">
        <v>1</v>
      </c>
      <c r="BR86">
        <v>1</v>
      </c>
      <c r="BS86">
        <v>1</v>
      </c>
      <c r="BT86">
        <v>1</v>
      </c>
      <c r="BU86">
        <v>1</v>
      </c>
      <c r="BV86">
        <v>1</v>
      </c>
      <c r="BW86">
        <v>1</v>
      </c>
      <c r="BX86">
        <v>1</v>
      </c>
      <c r="BY86">
        <v>1</v>
      </c>
      <c r="BZ86">
        <v>1</v>
      </c>
      <c r="CA86">
        <v>1</v>
      </c>
      <c r="CB86">
        <v>1</v>
      </c>
      <c r="CC86">
        <v>1</v>
      </c>
      <c r="CF86">
        <v>1</v>
      </c>
      <c r="CG86">
        <v>1</v>
      </c>
      <c r="CH86">
        <v>1</v>
      </c>
      <c r="CI86">
        <v>1</v>
      </c>
      <c r="CN86">
        <v>1</v>
      </c>
      <c r="CO86">
        <v>1</v>
      </c>
      <c r="CP86">
        <v>1</v>
      </c>
      <c r="CQ86">
        <v>1</v>
      </c>
      <c r="CR86">
        <v>1</v>
      </c>
      <c r="CS86">
        <v>1</v>
      </c>
      <c r="CT86">
        <v>1</v>
      </c>
      <c r="CU86">
        <v>1</v>
      </c>
      <c r="CV86">
        <v>1</v>
      </c>
      <c r="CW86">
        <v>1</v>
      </c>
      <c r="CX86">
        <v>1</v>
      </c>
      <c r="CY86">
        <v>1</v>
      </c>
      <c r="CZ86">
        <v>1</v>
      </c>
      <c r="DA86">
        <v>1</v>
      </c>
      <c r="DB86">
        <v>1</v>
      </c>
      <c r="DC86">
        <v>1</v>
      </c>
      <c r="DD86">
        <v>1</v>
      </c>
      <c r="DE86">
        <v>1</v>
      </c>
      <c r="DF86">
        <v>1</v>
      </c>
      <c r="DG86">
        <v>1</v>
      </c>
      <c r="DH86">
        <v>1</v>
      </c>
      <c r="DI86">
        <v>1</v>
      </c>
      <c r="DJ86">
        <v>1</v>
      </c>
      <c r="DK86">
        <v>1</v>
      </c>
      <c r="DL86">
        <v>1</v>
      </c>
      <c r="DM86">
        <v>1</v>
      </c>
      <c r="DN86">
        <v>1</v>
      </c>
      <c r="DQ86">
        <v>1</v>
      </c>
      <c r="DR86">
        <v>1</v>
      </c>
      <c r="DS86">
        <v>1</v>
      </c>
      <c r="DX86">
        <v>1</v>
      </c>
      <c r="DY86">
        <v>1</v>
      </c>
      <c r="DZ86">
        <v>1</v>
      </c>
      <c r="ER86">
        <v>1</v>
      </c>
      <c r="ES86">
        <v>1</v>
      </c>
      <c r="ET86">
        <v>1</v>
      </c>
      <c r="EU86">
        <v>1</v>
      </c>
      <c r="GK86">
        <v>1</v>
      </c>
      <c r="GU86">
        <v>1</v>
      </c>
      <c r="GV86">
        <v>1</v>
      </c>
    </row>
    <row r="87" spans="1:210" x14ac:dyDescent="0.2">
      <c r="A87" t="str">
        <f t="array" aca="1" ref="A87" ca="1">IF(ROWS(A$1:A2)&lt;=COUNTIF(INDIRECT($A$85),"?*"),INDEX(INDIRECT($A$85),MATCH(SMALL(IF(INDIRECT($A$85)&lt;&gt;"",COUNTIF(INDIRECT($A$85),"&lt;"&amp;INDIRECT($A$85))),ROWS(A$1:A2)),IF(INDIRECT($A$85)&lt;&gt;"",COUNTIF(INDIRECT($A$85),"&lt;"&amp;INDIRECT($A$85))),0)),"")</f>
        <v>Schamane</v>
      </c>
      <c r="C87" t="str">
        <f>IF(OR(ISBLANK(KULTURGENE),KULTURGENE="LEER"),"",IF(HLOOKUP(KULTURGENE,LIST_K_G,ROW(),FALSE)&gt;0,E87,""))</f>
        <v/>
      </c>
      <c r="E87" t="s">
        <v>3127</v>
      </c>
      <c r="F87" t="s">
        <v>3129</v>
      </c>
      <c r="AI87">
        <v>1</v>
      </c>
      <c r="AJ87">
        <v>1</v>
      </c>
      <c r="AK87">
        <v>1</v>
      </c>
      <c r="AL87">
        <v>1</v>
      </c>
      <c r="AM87">
        <v>1</v>
      </c>
      <c r="AN87">
        <v>1</v>
      </c>
      <c r="AO87">
        <v>1</v>
      </c>
      <c r="AP87">
        <v>1</v>
      </c>
      <c r="BM87">
        <v>1</v>
      </c>
      <c r="CD87">
        <v>1</v>
      </c>
      <c r="CE87">
        <v>1</v>
      </c>
      <c r="CG87">
        <v>1</v>
      </c>
      <c r="DG87">
        <v>1</v>
      </c>
      <c r="DH87">
        <v>1</v>
      </c>
      <c r="DI87" t="str">
        <f t="shared" ref="DI87:DN87" si="52">IF(RASSE_ORK,1,"")</f>
        <v/>
      </c>
      <c r="DJ87" t="str">
        <f t="shared" si="52"/>
        <v/>
      </c>
      <c r="DK87" t="str">
        <f t="shared" si="52"/>
        <v/>
      </c>
      <c r="DL87" t="str">
        <f t="shared" si="52"/>
        <v/>
      </c>
      <c r="DM87" t="str">
        <f t="shared" si="52"/>
        <v/>
      </c>
      <c r="DN87" t="str">
        <f t="shared" si="52"/>
        <v/>
      </c>
      <c r="DO87">
        <v>1</v>
      </c>
      <c r="DP87">
        <v>1</v>
      </c>
      <c r="DT87">
        <v>1</v>
      </c>
      <c r="DU87">
        <v>1</v>
      </c>
      <c r="DV87">
        <v>1</v>
      </c>
      <c r="DW87">
        <v>1</v>
      </c>
      <c r="FA87">
        <v>1</v>
      </c>
      <c r="FF87">
        <v>1</v>
      </c>
      <c r="FK87">
        <v>1</v>
      </c>
      <c r="FP87">
        <v>1</v>
      </c>
      <c r="FU87">
        <v>1</v>
      </c>
      <c r="FZ87">
        <v>1</v>
      </c>
      <c r="GE87">
        <v>1</v>
      </c>
      <c r="GK87">
        <v>1</v>
      </c>
      <c r="GM87">
        <v>1</v>
      </c>
      <c r="GO87">
        <v>1</v>
      </c>
      <c r="GQ87">
        <v>1</v>
      </c>
      <c r="GS87">
        <v>1</v>
      </c>
      <c r="GU87">
        <v>1</v>
      </c>
      <c r="GW87">
        <v>1</v>
      </c>
      <c r="GX87">
        <v>1</v>
      </c>
      <c r="GY87">
        <v>1</v>
      </c>
      <c r="GZ87">
        <v>1</v>
      </c>
      <c r="HA87">
        <v>1</v>
      </c>
      <c r="HB87">
        <v>1</v>
      </c>
    </row>
    <row r="88" spans="1:210" x14ac:dyDescent="0.2">
      <c r="A88" t="str">
        <f>IF(OR(ISBLANK(KULTURGENE),KULTURGENE="LEER"),"",IF(HLOOKUP(KULTURGENE,LIST_K_G,ROW(),FALSE)="","",HLOOKUP(KULTURGENE,LIST_K_G,ROW(),FALSE)))</f>
        <v/>
      </c>
      <c r="H88" t="s">
        <v>7774</v>
      </c>
      <c r="I88" t="s">
        <v>7774</v>
      </c>
      <c r="J88" t="s">
        <v>7774</v>
      </c>
      <c r="K88" t="s">
        <v>7774</v>
      </c>
      <c r="L88" t="s">
        <v>7774</v>
      </c>
      <c r="M88" t="s">
        <v>7774</v>
      </c>
      <c r="N88" t="s">
        <v>7774</v>
      </c>
      <c r="O88" t="s">
        <v>7777</v>
      </c>
      <c r="P88" t="s">
        <v>7771</v>
      </c>
      <c r="Q88" t="s">
        <v>7771</v>
      </c>
      <c r="R88" t="s">
        <v>7771</v>
      </c>
      <c r="S88" t="s">
        <v>7771</v>
      </c>
      <c r="T88" t="s">
        <v>7771</v>
      </c>
      <c r="U88" t="s">
        <v>7771</v>
      </c>
      <c r="V88" t="s">
        <v>7774</v>
      </c>
      <c r="W88" t="s">
        <v>7774</v>
      </c>
      <c r="X88" t="s">
        <v>7774</v>
      </c>
      <c r="Y88" t="s">
        <v>7774</v>
      </c>
      <c r="Z88" t="s">
        <v>7774</v>
      </c>
      <c r="AA88" t="s">
        <v>7774</v>
      </c>
      <c r="AB88" t="s">
        <v>7774</v>
      </c>
      <c r="AC88" t="s">
        <v>7774</v>
      </c>
      <c r="AD88" t="s">
        <v>7772</v>
      </c>
      <c r="AE88" t="s">
        <v>7772</v>
      </c>
      <c r="AF88" t="s">
        <v>7772</v>
      </c>
      <c r="AG88" t="s">
        <v>7772</v>
      </c>
      <c r="AH88" t="s">
        <v>7793</v>
      </c>
      <c r="AI88" t="s">
        <v>7787</v>
      </c>
      <c r="AJ88" t="s">
        <v>7787</v>
      </c>
      <c r="AK88" t="s">
        <v>7787</v>
      </c>
      <c r="AL88" t="s">
        <v>7787</v>
      </c>
      <c r="AM88" t="s">
        <v>7787</v>
      </c>
      <c r="AN88" t="s">
        <v>7782</v>
      </c>
      <c r="AO88" t="s">
        <v>7786</v>
      </c>
      <c r="AP88" t="s">
        <v>7785</v>
      </c>
      <c r="AQ88" t="s">
        <v>7775</v>
      </c>
      <c r="AR88" t="s">
        <v>7775</v>
      </c>
      <c r="AS88" t="s">
        <v>7775</v>
      </c>
      <c r="AT88" t="s">
        <v>7775</v>
      </c>
      <c r="AU88" t="s">
        <v>7775</v>
      </c>
      <c r="AV88" t="s">
        <v>7775</v>
      </c>
      <c r="AW88" t="s">
        <v>7775</v>
      </c>
      <c r="AX88" t="s">
        <v>7775</v>
      </c>
      <c r="AY88" t="s">
        <v>7775</v>
      </c>
      <c r="AZ88" t="s">
        <v>7788</v>
      </c>
      <c r="BA88" t="s">
        <v>7788</v>
      </c>
      <c r="BB88" t="s">
        <v>7788</v>
      </c>
      <c r="BC88" t="s">
        <v>7788</v>
      </c>
      <c r="BD88" t="s">
        <v>7791</v>
      </c>
      <c r="BE88" t="s">
        <v>7790</v>
      </c>
      <c r="BF88" t="s">
        <v>7789</v>
      </c>
      <c r="BG88" t="s">
        <v>7778</v>
      </c>
      <c r="BH88" t="s">
        <v>7778</v>
      </c>
      <c r="BI88" t="s">
        <v>7778</v>
      </c>
      <c r="BJ88" t="s">
        <v>7779</v>
      </c>
      <c r="BK88" t="s">
        <v>7778</v>
      </c>
      <c r="BL88" t="s">
        <v>7778</v>
      </c>
      <c r="BM88" t="s">
        <v>7787</v>
      </c>
      <c r="BN88" t="s">
        <v>7771</v>
      </c>
      <c r="BO88" t="s">
        <v>7771</v>
      </c>
      <c r="BP88" t="s">
        <v>7771</v>
      </c>
      <c r="BQ88" t="s">
        <v>7771</v>
      </c>
      <c r="BR88" t="s">
        <v>7771</v>
      </c>
      <c r="BS88" t="s">
        <v>7771</v>
      </c>
      <c r="BT88" t="s">
        <v>7771</v>
      </c>
      <c r="BU88" t="s">
        <v>7771</v>
      </c>
      <c r="BV88" t="s">
        <v>7771</v>
      </c>
      <c r="BW88" t="s">
        <v>7770</v>
      </c>
      <c r="BX88" t="s">
        <v>7770</v>
      </c>
      <c r="BY88" t="s">
        <v>7770</v>
      </c>
      <c r="BZ88" t="s">
        <v>7770</v>
      </c>
      <c r="CA88" t="s">
        <v>7770</v>
      </c>
      <c r="CB88" t="s">
        <v>7770</v>
      </c>
      <c r="CC88" t="s">
        <v>7770</v>
      </c>
      <c r="CD88" t="s">
        <v>7794</v>
      </c>
      <c r="CE88" t="s">
        <v>7794</v>
      </c>
      <c r="CF88" t="s">
        <v>7795</v>
      </c>
      <c r="CG88" t="s">
        <v>7795</v>
      </c>
      <c r="CH88" t="s">
        <v>7781</v>
      </c>
      <c r="CI88" t="s">
        <v>7781</v>
      </c>
      <c r="CN88" t="s">
        <v>7792</v>
      </c>
      <c r="CO88" t="s">
        <v>7792</v>
      </c>
      <c r="CP88" t="s">
        <v>7792</v>
      </c>
      <c r="CQ88" t="s">
        <v>7792</v>
      </c>
      <c r="CR88" t="s">
        <v>7792</v>
      </c>
      <c r="CS88" t="s">
        <v>7792</v>
      </c>
      <c r="CT88" t="s">
        <v>7792</v>
      </c>
      <c r="CU88" t="s">
        <v>7792</v>
      </c>
      <c r="CV88" t="s">
        <v>7792</v>
      </c>
      <c r="CW88" t="s">
        <v>7792</v>
      </c>
      <c r="CX88" t="s">
        <v>7792</v>
      </c>
      <c r="CY88" t="s">
        <v>7792</v>
      </c>
      <c r="CZ88" t="s">
        <v>7792</v>
      </c>
      <c r="DA88" t="s">
        <v>7773</v>
      </c>
      <c r="DB88" t="s">
        <v>7773</v>
      </c>
      <c r="DC88" t="s">
        <v>7773</v>
      </c>
      <c r="DD88" t="s">
        <v>7773</v>
      </c>
      <c r="DE88" t="s">
        <v>7773</v>
      </c>
      <c r="DF88" t="s">
        <v>7773</v>
      </c>
      <c r="DG88" t="s">
        <v>7784</v>
      </c>
      <c r="DH88" t="s">
        <v>7784</v>
      </c>
      <c r="DI88" t="s">
        <v>7784</v>
      </c>
      <c r="DJ88" t="s">
        <v>7784</v>
      </c>
      <c r="DK88" t="s">
        <v>7784</v>
      </c>
      <c r="DL88" t="s">
        <v>7784</v>
      </c>
      <c r="DM88" t="s">
        <v>7784</v>
      </c>
      <c r="DN88" t="s">
        <v>7784</v>
      </c>
      <c r="DO88" t="s">
        <v>7787</v>
      </c>
      <c r="DP88" t="s">
        <v>7796</v>
      </c>
      <c r="DQ88" t="s">
        <v>7780</v>
      </c>
      <c r="DR88" t="s">
        <v>7780</v>
      </c>
      <c r="DS88" t="s">
        <v>7779</v>
      </c>
      <c r="DT88" t="s">
        <v>7787</v>
      </c>
      <c r="DU88" t="s">
        <v>7787</v>
      </c>
      <c r="DV88" t="s">
        <v>7787</v>
      </c>
      <c r="DW88" t="s">
        <v>7787</v>
      </c>
      <c r="DX88" t="s">
        <v>7783</v>
      </c>
      <c r="DY88" t="s">
        <v>7776</v>
      </c>
      <c r="DZ88" t="s">
        <v>7776</v>
      </c>
      <c r="ER88" t="s">
        <v>7797</v>
      </c>
      <c r="ES88" t="s">
        <v>7798</v>
      </c>
      <c r="ET88" t="s">
        <v>7799</v>
      </c>
      <c r="EU88" t="s">
        <v>7800</v>
      </c>
      <c r="FA88" t="s">
        <v>7801</v>
      </c>
      <c r="FF88" t="s">
        <v>7801</v>
      </c>
      <c r="FK88" t="s">
        <v>7801</v>
      </c>
      <c r="FP88" t="s">
        <v>7801</v>
      </c>
      <c r="FU88" t="s">
        <v>7801</v>
      </c>
      <c r="FZ88" t="s">
        <v>7801</v>
      </c>
      <c r="GE88" t="s">
        <v>7801</v>
      </c>
      <c r="GK88" t="s">
        <v>7802</v>
      </c>
      <c r="GM88" t="s">
        <v>7803</v>
      </c>
      <c r="GO88" t="s">
        <v>7803</v>
      </c>
      <c r="GQ88" t="s">
        <v>7803</v>
      </c>
      <c r="GS88" t="s">
        <v>7803</v>
      </c>
      <c r="GU88" t="s">
        <v>7804</v>
      </c>
      <c r="GV88" t="s">
        <v>7805</v>
      </c>
      <c r="GW88" t="s">
        <v>7806</v>
      </c>
      <c r="GX88" t="s">
        <v>7806</v>
      </c>
      <c r="GY88" t="s">
        <v>7806</v>
      </c>
      <c r="GZ88" t="s">
        <v>7806</v>
      </c>
      <c r="HA88" t="s">
        <v>7806</v>
      </c>
      <c r="HB88" t="s">
        <v>7806</v>
      </c>
    </row>
    <row r="90" spans="1:210" x14ac:dyDescent="0.2">
      <c r="A90" t="s">
        <v>7677</v>
      </c>
      <c r="H90" t="str">
        <f>IF(Generierung!$P$4,"",IF(OR(PROFGRDGENE="",PROFGRDGENE="LEER"),"",IF(VLOOKUP(PROFGRDGENE,LIST_K_G,COLUMN(H:H)-COLUMN($D:$D),FALSE)&gt;0,H1,"")))</f>
        <v/>
      </c>
      <c r="I90" t="str">
        <f>IF(Generierung!$P$4,"",IF(OR(PROFGRDGENE="",PROFGRDGENE="LEER"),"",IF(VLOOKUP(PROFGRDGENE,LIST_K_G,COLUMN(I:I)-COLUMN($D:$D),FALSE)&gt;0,I1,"")))</f>
        <v/>
      </c>
      <c r="J90" t="str">
        <f>IF(Generierung!$P$4,"",IF(OR(PROFGRDGENE="",PROFGRDGENE="LEER"),"",IF(VLOOKUP(PROFGRDGENE,LIST_K_G,COLUMN(J:J)-COLUMN($D:$D),FALSE)&gt;0,J1,"")))</f>
        <v/>
      </c>
      <c r="K90" t="str">
        <f>IF(Generierung!$P$4,"",IF(OR(PROFGRDGENE="",PROFGRDGENE="LEER"),"",IF(VLOOKUP(PROFGRDGENE,LIST_K_G,COLUMN(K:K)-COLUMN($D:$D),FALSE)&gt;0,K1,"")))</f>
        <v/>
      </c>
      <c r="L90" t="str">
        <f>IF(Generierung!$P$4,"",IF(OR(PROFGRDGENE="",PROFGRDGENE="LEER"),"",IF(VLOOKUP(PROFGRDGENE,LIST_K_G,COLUMN(L:L)-COLUMN($D:$D),FALSE)&gt;0,L1,"")))</f>
        <v/>
      </c>
      <c r="M90" t="str">
        <f>IF(Generierung!$P$4,"",IF(OR(PROFGRDGENE="",PROFGRDGENE="LEER"),"",IF(VLOOKUP(PROFGRDGENE,LIST_K_G,COLUMN(M:M)-COLUMN($D:$D),FALSE)&gt;0,M1,"")))</f>
        <v/>
      </c>
      <c r="N90" t="str">
        <f>IF(Generierung!$P$4,"",IF(OR(PROFGRDGENE="",PROFGRDGENE="LEER"),"",IF(VLOOKUP(PROFGRDGENE,LIST_K_G,COLUMN(N:N)-COLUMN($D:$D),FALSE)&gt;0,N1,"")))</f>
        <v/>
      </c>
      <c r="O90" t="str">
        <f>IF(Generierung!$P$4,"",IF(OR(PROFGRDGENE="",PROFGRDGENE="LEER"),"",IF(VLOOKUP(PROFGRDGENE,LIST_K_G,COLUMN(O:O)-COLUMN($D:$D),FALSE)&gt;0,O1,"")))</f>
        <v/>
      </c>
      <c r="P90" t="str">
        <f>IF(Generierung!$P$4,"",IF(OR(PROFGRDGENE="",PROFGRDGENE="LEER"),"",IF(VLOOKUP(PROFGRDGENE,LIST_K_G,COLUMN(P:P)-COLUMN($D:$D),FALSE)&gt;0,P1,"")))</f>
        <v/>
      </c>
      <c r="Q90" t="str">
        <f>IF(Generierung!$P$4,"",IF(OR(PROFGRDGENE="",PROFGRDGENE="LEER"),"",IF(VLOOKUP(PROFGRDGENE,LIST_K_G,COLUMN(Q:Q)-COLUMN($D:$D),FALSE)&gt;0,Q1,"")))</f>
        <v/>
      </c>
      <c r="R90" t="str">
        <f>IF(Generierung!$P$4,"",IF(OR(PROFGRDGENE="",PROFGRDGENE="LEER"),"",IF(VLOOKUP(PROFGRDGENE,LIST_K_G,COLUMN(R:R)-COLUMN($D:$D),FALSE)&gt;0,R1,"")))</f>
        <v/>
      </c>
      <c r="S90" t="str">
        <f>IF(Generierung!$P$4,"",IF(OR(PROFGRDGENE="",PROFGRDGENE="LEER"),"",IF(VLOOKUP(PROFGRDGENE,LIST_K_G,COLUMN(S:S)-COLUMN($D:$D),FALSE)&gt;0,S1,"")))</f>
        <v/>
      </c>
      <c r="T90" t="str">
        <f>IF(Generierung!$P$4,"",IF(OR(PROFGRDGENE="",PROFGRDGENE="LEER"),"",IF(VLOOKUP(PROFGRDGENE,LIST_K_G,COLUMN(T:T)-COLUMN($D:$D),FALSE)&gt;0,T1,"")))</f>
        <v/>
      </c>
      <c r="U90" t="str">
        <f>IF(Generierung!$P$4,"",IF(OR(PROFGRDGENE="",PROFGRDGENE="LEER"),"",IF(VLOOKUP(PROFGRDGENE,LIST_K_G,COLUMN(U:U)-COLUMN($D:$D),FALSE)&gt;0,U1,"")))</f>
        <v/>
      </c>
      <c r="V90" t="str">
        <f>IF(Generierung!$P$4,"",IF(OR(PROFGRDGENE="",PROFGRDGENE="LEER"),"",IF(VLOOKUP(PROFGRDGENE,LIST_K_G,COLUMN(V:V)-COLUMN($D:$D),FALSE)&gt;0,V1,"")))</f>
        <v/>
      </c>
      <c r="W90" t="str">
        <f>IF(Generierung!$P$4,"",IF(OR(PROFGRDGENE="",PROFGRDGENE="LEER"),"",IF(VLOOKUP(PROFGRDGENE,LIST_K_G,COLUMN(W:W)-COLUMN($D:$D),FALSE)&gt;0,W1,"")))</f>
        <v/>
      </c>
      <c r="X90" t="str">
        <f>IF(Generierung!$P$4,"",IF(OR(PROFGRDGENE="",PROFGRDGENE="LEER"),"",IF(VLOOKUP(PROFGRDGENE,LIST_K_G,COLUMN(X:X)-COLUMN($D:$D),FALSE)&gt;0,X1,"")))</f>
        <v/>
      </c>
      <c r="Y90" t="str">
        <f>IF(Generierung!$P$4,"",IF(OR(PROFGRDGENE="",PROFGRDGENE="LEER"),"",IF(VLOOKUP(PROFGRDGENE,LIST_K_G,COLUMN(Y:Y)-COLUMN($D:$D),FALSE)&gt;0,Y1,"")))</f>
        <v/>
      </c>
      <c r="Z90" t="str">
        <f>IF(Generierung!$P$4,"",IF(OR(PROFGRDGENE="",PROFGRDGENE="LEER"),"",IF(VLOOKUP(PROFGRDGENE,LIST_K_G,COLUMN(Z:Z)-COLUMN($D:$D),FALSE)&gt;0,Z1,"")))</f>
        <v/>
      </c>
      <c r="AA90" t="str">
        <f>IF(Generierung!$P$4,"",IF(OR(PROFGRDGENE="",PROFGRDGENE="LEER"),"",IF(VLOOKUP(PROFGRDGENE,LIST_K_G,COLUMN(AA:AA)-COLUMN($D:$D),FALSE)&gt;0,AA1,"")))</f>
        <v/>
      </c>
      <c r="AB90" t="str">
        <f>IF(Generierung!$P$4,"",IF(OR(PROFGRDGENE="",PROFGRDGENE="LEER"),"",IF(VLOOKUP(PROFGRDGENE,LIST_K_G,COLUMN(AB:AB)-COLUMN($D:$D),FALSE)&gt;0,AB1,"")))</f>
        <v/>
      </c>
      <c r="AC90" t="str">
        <f>IF(Generierung!$P$4,"",IF(OR(PROFGRDGENE="",PROFGRDGENE="LEER"),"",IF(VLOOKUP(PROFGRDGENE,LIST_K_G,COLUMN(AC:AC)-COLUMN($D:$D),FALSE)&gt;0,AC1,"")))</f>
        <v/>
      </c>
      <c r="AD90" t="str">
        <f>IF(Generierung!$P$4,"",IF(OR(PROFGRDGENE="",PROFGRDGENE="LEER"),"",IF(VLOOKUP(PROFGRDGENE,LIST_K_G,COLUMN(AD:AD)-COLUMN($D:$D),FALSE)&gt;0,AD1,"")))</f>
        <v/>
      </c>
      <c r="AE90" t="str">
        <f>IF(Generierung!$P$4,"",IF(OR(PROFGRDGENE="",PROFGRDGENE="LEER"),"",IF(VLOOKUP(PROFGRDGENE,LIST_K_G,COLUMN(AE:AE)-COLUMN($D:$D),FALSE)&gt;0,AE1,"")))</f>
        <v/>
      </c>
      <c r="AF90" t="str">
        <f>IF(Generierung!$P$4,"",IF(OR(PROFGRDGENE="",PROFGRDGENE="LEER"),"",IF(VLOOKUP(PROFGRDGENE,LIST_K_G,COLUMN(AF:AF)-COLUMN($D:$D),FALSE)&gt;0,AF1,"")))</f>
        <v/>
      </c>
      <c r="AG90" t="str">
        <f>IF(Generierung!$P$4,"",IF(OR(PROFGRDGENE="",PROFGRDGENE="LEER"),"",IF(VLOOKUP(PROFGRDGENE,LIST_K_G,COLUMN(AG:AG)-COLUMN($D:$D),FALSE)&gt;0,AG1,"")))</f>
        <v/>
      </c>
      <c r="AH90" t="str">
        <f>IF(Generierung!$P$4,"",IF(OR(PROFGRDGENE="",PROFGRDGENE="LEER"),"",IF(VLOOKUP(PROFGRDGENE,LIST_K_G,COLUMN(AH:AH)-COLUMN($D:$D),FALSE)&gt;0,AH1,"")))</f>
        <v/>
      </c>
      <c r="AI90" t="str">
        <f>IF(Generierung!$P$4,"",IF(OR(PROFGRDGENE="",PROFGRDGENE="LEER"),"",IF(VLOOKUP(PROFGRDGENE,LIST_K_G,COLUMN(AI:AI)-COLUMN($D:$D),FALSE)&gt;0,AI1,"")))</f>
        <v/>
      </c>
      <c r="AJ90" t="str">
        <f>IF(Generierung!$P$4,"",IF(OR(PROFGRDGENE="",PROFGRDGENE="LEER"),"",IF(VLOOKUP(PROFGRDGENE,LIST_K_G,COLUMN(AJ:AJ)-COLUMN($D:$D),FALSE)&gt;0,AJ1,"")))</f>
        <v/>
      </c>
      <c r="AK90" t="str">
        <f>IF(Generierung!$P$4,"",IF(OR(PROFGRDGENE="",PROFGRDGENE="LEER"),"",IF(VLOOKUP(PROFGRDGENE,LIST_K_G,COLUMN(AK:AK)-COLUMN($D:$D),FALSE)&gt;0,AK1,"")))</f>
        <v/>
      </c>
      <c r="AL90" t="str">
        <f>IF(Generierung!$P$4,"",IF(OR(PROFGRDGENE="",PROFGRDGENE="LEER"),"",IF(VLOOKUP(PROFGRDGENE,LIST_K_G,COLUMN(AL:AL)-COLUMN($D:$D),FALSE)&gt;0,AL1,"")))</f>
        <v/>
      </c>
      <c r="AM90" t="str">
        <f>IF(Generierung!$P$4,"",IF(OR(PROFGRDGENE="",PROFGRDGENE="LEER"),"",IF(VLOOKUP(PROFGRDGENE,LIST_K_G,COLUMN(AM:AM)-COLUMN($D:$D),FALSE)&gt;0,AM1,"")))</f>
        <v/>
      </c>
      <c r="AN90" t="str">
        <f>IF(Generierung!$P$4,"",IF(OR(PROFGRDGENE="",PROFGRDGENE="LEER"),"",IF(VLOOKUP(PROFGRDGENE,LIST_K_G,COLUMN(AN:AN)-COLUMN($D:$D),FALSE)&gt;0,AN1,"")))</f>
        <v/>
      </c>
      <c r="AO90" t="str">
        <f>IF(Generierung!$P$4,"",IF(OR(PROFGRDGENE="",PROFGRDGENE="LEER"),"",IF(VLOOKUP(PROFGRDGENE,LIST_K_G,COLUMN(AO:AO)-COLUMN($D:$D),FALSE)&gt;0,AO1,"")))</f>
        <v/>
      </c>
      <c r="AP90" t="str">
        <f>IF(Generierung!$P$4,"",IF(OR(PROFGRDGENE="",PROFGRDGENE="LEER"),"",IF(VLOOKUP(PROFGRDGENE,LIST_K_G,COLUMN(AP:AP)-COLUMN($D:$D),FALSE)&gt;0,AP1,"")))</f>
        <v/>
      </c>
      <c r="AQ90" t="str">
        <f>IF(Generierung!$P$4,"",IF(OR(PROFGRDGENE="",PROFGRDGENE="LEER"),"",IF(VLOOKUP(PROFGRDGENE,LIST_K_G,COLUMN(AQ:AQ)-COLUMN($D:$D),FALSE)&gt;0,AQ1,"")))</f>
        <v/>
      </c>
      <c r="AR90" t="str">
        <f>IF(Generierung!$P$4,"",IF(OR(PROFGRDGENE="",PROFGRDGENE="LEER"),"",IF(VLOOKUP(PROFGRDGENE,LIST_K_G,COLUMN(AR:AR)-COLUMN($D:$D),FALSE)&gt;0,AR1,"")))</f>
        <v/>
      </c>
      <c r="AS90" t="str">
        <f>IF(Generierung!$P$4,"",IF(OR(PROFGRDGENE="",PROFGRDGENE="LEER"),"",IF(VLOOKUP(PROFGRDGENE,LIST_K_G,COLUMN(AS:AS)-COLUMN($D:$D),FALSE)&gt;0,AS1,"")))</f>
        <v/>
      </c>
      <c r="AT90" t="str">
        <f>IF(Generierung!$P$4,"",IF(OR(PROFGRDGENE="",PROFGRDGENE="LEER"),"",IF(VLOOKUP(PROFGRDGENE,LIST_K_G,COLUMN(AT:AT)-COLUMN($D:$D),FALSE)&gt;0,AT1,"")))</f>
        <v/>
      </c>
      <c r="AU90" t="str">
        <f>IF(Generierung!$P$4,"",IF(OR(PROFGRDGENE="",PROFGRDGENE="LEER"),"",IF(VLOOKUP(PROFGRDGENE,LIST_K_G,COLUMN(AU:AU)-COLUMN($D:$D),FALSE)&gt;0,AU1,"")))</f>
        <v/>
      </c>
      <c r="AV90" t="str">
        <f>IF(Generierung!$P$4,"",IF(OR(PROFGRDGENE="",PROFGRDGENE="LEER"),"",IF(VLOOKUP(PROFGRDGENE,LIST_K_G,COLUMN(AV:AV)-COLUMN($D:$D),FALSE)&gt;0,AV1,"")))</f>
        <v/>
      </c>
      <c r="AW90" t="str">
        <f>IF(Generierung!$P$4,"",IF(OR(PROFGRDGENE="",PROFGRDGENE="LEER"),"",IF(VLOOKUP(PROFGRDGENE,LIST_K_G,COLUMN(AW:AW)-COLUMN($D:$D),FALSE)&gt;0,AW1,"")))</f>
        <v/>
      </c>
      <c r="AX90" t="str">
        <f>IF(Generierung!$P$4,"",IF(OR(PROFGRDGENE="",PROFGRDGENE="LEER"),"",IF(VLOOKUP(PROFGRDGENE,LIST_K_G,COLUMN(AX:AX)-COLUMN($D:$D),FALSE)&gt;0,AX1,"")))</f>
        <v/>
      </c>
      <c r="AY90" t="str">
        <f>IF(Generierung!$P$4,"",IF(OR(PROFGRDGENE="",PROFGRDGENE="LEER"),"",IF(VLOOKUP(PROFGRDGENE,LIST_K_G,COLUMN(AY:AY)-COLUMN($D:$D),FALSE)&gt;0,AY1,"")))</f>
        <v/>
      </c>
      <c r="AZ90" t="str">
        <f>IF(Generierung!$P$4,"",IF(OR(PROFGRDGENE="",PROFGRDGENE="LEER"),"",IF(VLOOKUP(PROFGRDGENE,LIST_K_G,COLUMN(AZ:AZ)-COLUMN($D:$D),FALSE)&gt;0,AZ1,"")))</f>
        <v/>
      </c>
      <c r="BA90" t="str">
        <f>IF(Generierung!$P$4,"",IF(OR(PROFGRDGENE="",PROFGRDGENE="LEER"),"",IF(VLOOKUP(PROFGRDGENE,LIST_K_G,COLUMN(BA:BA)-COLUMN($D:$D),FALSE)&gt;0,BA1,"")))</f>
        <v/>
      </c>
      <c r="BB90" t="str">
        <f>IF(Generierung!$P$4,"",IF(OR(PROFGRDGENE="",PROFGRDGENE="LEER"),"",IF(VLOOKUP(PROFGRDGENE,LIST_K_G,COLUMN(BB:BB)-COLUMN($D:$D),FALSE)&gt;0,BB1,"")))</f>
        <v/>
      </c>
      <c r="BC90" t="str">
        <f>IF(Generierung!$P$4,"",IF(OR(PROFGRDGENE="",PROFGRDGENE="LEER"),"",IF(VLOOKUP(PROFGRDGENE,LIST_K_G,COLUMN(BC:BC)-COLUMN($D:$D),FALSE)&gt;0,BC1,"")))</f>
        <v/>
      </c>
      <c r="BD90" t="str">
        <f>IF(Generierung!$P$4,"",IF(OR(PROFGRDGENE="",PROFGRDGENE="LEER"),"",IF(VLOOKUP(PROFGRDGENE,LIST_K_G,COLUMN(BD:BD)-COLUMN($D:$D),FALSE)&gt;0,BD1,"")))</f>
        <v/>
      </c>
      <c r="BE90" t="str">
        <f>IF(Generierung!$P$4,"",IF(OR(PROFGRDGENE="",PROFGRDGENE="LEER"),"",IF(VLOOKUP(PROFGRDGENE,LIST_K_G,COLUMN(BE:BE)-COLUMN($D:$D),FALSE)&gt;0,BE1,"")))</f>
        <v/>
      </c>
      <c r="BF90" t="str">
        <f>IF(Generierung!$P$4,"",IF(OR(PROFGRDGENE="",PROFGRDGENE="LEER"),"",IF(VLOOKUP(PROFGRDGENE,LIST_K_G,COLUMN(BF:BF)-COLUMN($D:$D),FALSE)&gt;0,BF1,"")))</f>
        <v/>
      </c>
      <c r="BG90" t="str">
        <f>IF(Generierung!$P$4,"",IF(OR(PROFGRDGENE="",PROFGRDGENE="LEER"),"",IF(VLOOKUP(PROFGRDGENE,LIST_K_G,COLUMN(BG:BG)-COLUMN($D:$D),FALSE)&gt;0,BG1,"")))</f>
        <v/>
      </c>
      <c r="BH90" t="str">
        <f>IF(Generierung!$P$4,"",IF(OR(PROFGRDGENE="",PROFGRDGENE="LEER"),"",IF(VLOOKUP(PROFGRDGENE,LIST_K_G,COLUMN(BH:BH)-COLUMN($D:$D),FALSE)&gt;0,BH1,"")))</f>
        <v/>
      </c>
      <c r="BI90" t="str">
        <f>IF(Generierung!$P$4,"",IF(OR(PROFGRDGENE="",PROFGRDGENE="LEER"),"",IF(VLOOKUP(PROFGRDGENE,LIST_K_G,COLUMN(BI:BI)-COLUMN($D:$D),FALSE)&gt;0,BI1,"")))</f>
        <v/>
      </c>
      <c r="BJ90" t="str">
        <f>IF(Generierung!$P$4,"",IF(OR(PROFGRDGENE="",PROFGRDGENE="LEER"),"",IF(VLOOKUP(PROFGRDGENE,LIST_K_G,COLUMN(BJ:BJ)-COLUMN($D:$D),FALSE)&gt;0,BJ1,"")))</f>
        <v/>
      </c>
      <c r="BK90" t="str">
        <f>IF(Generierung!$P$4,"",IF(OR(PROFGRDGENE="",PROFGRDGENE="LEER"),"",IF(VLOOKUP(PROFGRDGENE,LIST_K_G,COLUMN(BK:BK)-COLUMN($D:$D),FALSE)&gt;0,BK1,"")))</f>
        <v/>
      </c>
      <c r="BL90" t="str">
        <f>IF(Generierung!$P$4,"",IF(OR(PROFGRDGENE="",PROFGRDGENE="LEER"),"",IF(VLOOKUP(PROFGRDGENE,LIST_K_G,COLUMN(BL:BL)-COLUMN($D:$D),FALSE)&gt;0,BL1,"")))</f>
        <v/>
      </c>
      <c r="BM90" t="str">
        <f>IF(Generierung!$P$4,"",IF(OR(PROFGRDGENE="",PROFGRDGENE="LEER"),"",IF(VLOOKUP(PROFGRDGENE,LIST_K_G,COLUMN(BM:BM)-COLUMN($D:$D),FALSE)&gt;0,BM1,"")))</f>
        <v/>
      </c>
      <c r="BN90" t="str">
        <f>IF(Generierung!$P$4,"",IF(OR(PROFGRDGENE="",PROFGRDGENE="LEER"),"",IF(VLOOKUP(PROFGRDGENE,LIST_K_G,COLUMN(BN:BN)-COLUMN($D:$D),FALSE)&gt;0,BN1,"")))</f>
        <v/>
      </c>
      <c r="BO90" t="str">
        <f>IF(Generierung!$P$4,"",IF(OR(PROFGRDGENE="",PROFGRDGENE="LEER"),"",IF(VLOOKUP(PROFGRDGENE,LIST_K_G,COLUMN(BO:BO)-COLUMN($D:$D),FALSE)&gt;0,BO1,"")))</f>
        <v/>
      </c>
      <c r="BP90" t="str">
        <f>IF(Generierung!$P$4,"",IF(OR(PROFGRDGENE="",PROFGRDGENE="LEER"),"",IF(VLOOKUP(PROFGRDGENE,LIST_K_G,COLUMN(BP:BP)-COLUMN($D:$D),FALSE)&gt;0,BP1,"")))</f>
        <v/>
      </c>
      <c r="BQ90" t="str">
        <f>IF(Generierung!$P$4,"",IF(OR(PROFGRDGENE="",PROFGRDGENE="LEER"),"",IF(VLOOKUP(PROFGRDGENE,LIST_K_G,COLUMN(BQ:BQ)-COLUMN($D:$D),FALSE)&gt;0,BQ1,"")))</f>
        <v/>
      </c>
      <c r="BR90" t="str">
        <f>IF(Generierung!$P$4,"",IF(OR(PROFGRDGENE="",PROFGRDGENE="LEER"),"",IF(VLOOKUP(PROFGRDGENE,LIST_K_G,COLUMN(BR:BR)-COLUMN($D:$D),FALSE)&gt;0,BR1,"")))</f>
        <v/>
      </c>
      <c r="BS90" t="str">
        <f>IF(Generierung!$P$4,"",IF(OR(PROFGRDGENE="",PROFGRDGENE="LEER"),"",IF(VLOOKUP(PROFGRDGENE,LIST_K_G,COLUMN(BS:BS)-COLUMN($D:$D),FALSE)&gt;0,BS1,"")))</f>
        <v/>
      </c>
      <c r="BT90" t="str">
        <f>IF(Generierung!$P$4,"",IF(OR(PROFGRDGENE="",PROFGRDGENE="LEER"),"",IF(VLOOKUP(PROFGRDGENE,LIST_K_G,COLUMN(BT:BT)-COLUMN($D:$D),FALSE)&gt;0,BT1,"")))</f>
        <v/>
      </c>
      <c r="BU90" t="str">
        <f>IF(Generierung!$P$4,"",IF(OR(PROFGRDGENE="",PROFGRDGENE="LEER"),"",IF(VLOOKUP(PROFGRDGENE,LIST_K_G,COLUMN(BU:BU)-COLUMN($D:$D),FALSE)&gt;0,BU1,"")))</f>
        <v/>
      </c>
      <c r="BV90" t="str">
        <f>IF(Generierung!$P$4,"",IF(OR(PROFGRDGENE="",PROFGRDGENE="LEER"),"",IF(VLOOKUP(PROFGRDGENE,LIST_K_G,COLUMN(BV:BV)-COLUMN($D:$D),FALSE)&gt;0,BV1,"")))</f>
        <v/>
      </c>
      <c r="BW90" t="str">
        <f>IF(Generierung!$P$4,"",IF(OR(PROFGRDGENE="",PROFGRDGENE="LEER"),"",IF(VLOOKUP(PROFGRDGENE,LIST_K_G,COLUMN(BW:BW)-COLUMN($D:$D),FALSE)&gt;0,BW1,"")))</f>
        <v/>
      </c>
      <c r="BX90" t="str">
        <f>IF(Generierung!$P$4,"",IF(OR(PROFGRDGENE="",PROFGRDGENE="LEER"),"",IF(VLOOKUP(PROFGRDGENE,LIST_K_G,COLUMN(BX:BX)-COLUMN($D:$D),FALSE)&gt;0,BX1,"")))</f>
        <v/>
      </c>
      <c r="BY90" t="str">
        <f>IF(Generierung!$P$4,"",IF(OR(PROFGRDGENE="",PROFGRDGENE="LEER"),"",IF(VLOOKUP(PROFGRDGENE,LIST_K_G,COLUMN(BY:BY)-COLUMN($D:$D),FALSE)&gt;0,BY1,"")))</f>
        <v/>
      </c>
      <c r="BZ90" t="str">
        <f>IF(Generierung!$P$4,"",IF(OR(PROFGRDGENE="",PROFGRDGENE="LEER"),"",IF(VLOOKUP(PROFGRDGENE,LIST_K_G,COLUMN(BZ:BZ)-COLUMN($D:$D),FALSE)&gt;0,BZ1,"")))</f>
        <v/>
      </c>
      <c r="CA90" t="str">
        <f>IF(Generierung!$P$4,"",IF(OR(PROFGRDGENE="",PROFGRDGENE="LEER"),"",IF(VLOOKUP(PROFGRDGENE,LIST_K_G,COLUMN(CA:CA)-COLUMN($D:$D),FALSE)&gt;0,CA1,"")))</f>
        <v/>
      </c>
      <c r="CB90" t="str">
        <f>IF(Generierung!$P$4,"",IF(OR(PROFGRDGENE="",PROFGRDGENE="LEER"),"",IF(VLOOKUP(PROFGRDGENE,LIST_K_G,COLUMN(CB:CB)-COLUMN($D:$D),FALSE)&gt;0,CB1,"")))</f>
        <v/>
      </c>
      <c r="CC90" t="str">
        <f>IF(Generierung!$P$4,"",IF(OR(PROFGRDGENE="",PROFGRDGENE="LEER"),"",IF(VLOOKUP(PROFGRDGENE,LIST_K_G,COLUMN(CC:CC)-COLUMN($D:$D),FALSE)&gt;0,CC1,"")))</f>
        <v/>
      </c>
      <c r="CD90" t="str">
        <f>IF(Generierung!$P$4,"",IF(OR(PROFGRDGENE="",PROFGRDGENE="LEER"),"",IF(VLOOKUP(PROFGRDGENE,LIST_K_G,COLUMN(CD:CD)-COLUMN($D:$D),FALSE)&gt;0,CD1,"")))</f>
        <v/>
      </c>
      <c r="CE90" t="str">
        <f>IF(Generierung!$P$4,"",IF(OR(PROFGRDGENE="",PROFGRDGENE="LEER"),"",IF(VLOOKUP(PROFGRDGENE,LIST_K_G,COLUMN(CE:CE)-COLUMN($D:$D),FALSE)&gt;0,CE1,"")))</f>
        <v/>
      </c>
      <c r="CF90" t="str">
        <f>IF(Generierung!$P$4,"",IF(OR(PROFGRDGENE="",PROFGRDGENE="LEER"),"",IF(VLOOKUP(PROFGRDGENE,LIST_K_G,COLUMN(CF:CF)-COLUMN($D:$D),FALSE)&gt;0,CF1,"")))</f>
        <v/>
      </c>
      <c r="CG90" t="str">
        <f>IF(Generierung!$P$4,"",IF(OR(PROFGRDGENE="",PROFGRDGENE="LEER"),"",IF(VLOOKUP(PROFGRDGENE,LIST_K_G,COLUMN(CG:CG)-COLUMN($D:$D),FALSE)&gt;0,CG1,"")))</f>
        <v/>
      </c>
      <c r="CH90" t="str">
        <f>IF(Generierung!$P$4,"",IF(OR(PROFGRDGENE="",PROFGRDGENE="LEER"),"",IF(VLOOKUP(PROFGRDGENE,LIST_K_G,COLUMN(CH:CH)-COLUMN($D:$D),FALSE)&gt;0,CH1,"")))</f>
        <v/>
      </c>
      <c r="CI90" t="str">
        <f>IF(Generierung!$P$4,"",IF(OR(PROFGRDGENE="",PROFGRDGENE="LEER"),"",IF(VLOOKUP(PROFGRDGENE,LIST_K_G,COLUMN(CI:CI)-COLUMN($D:$D),FALSE)&gt;0,CI1,"")))</f>
        <v/>
      </c>
      <c r="CJ90" t="str">
        <f>IF(Generierung!$P$4,"",IF(OR(PROFGRDGENE="",PROFGRDGENE="LEER"),"",IF(VLOOKUP(PROFGRDGENE,LIST_K_G,COLUMN(CJ:CJ)-COLUMN($D:$D),FALSE)&gt;0,CJ1,"")))</f>
        <v/>
      </c>
      <c r="CK90" t="str">
        <f>IF(Generierung!$P$4,"",IF(OR(PROFGRDGENE="",PROFGRDGENE="LEER"),"",IF(VLOOKUP(PROFGRDGENE,LIST_K_G,COLUMN(CK:CK)-COLUMN($D:$D),FALSE)&gt;0,CK1,"")))</f>
        <v/>
      </c>
      <c r="CL90" t="str">
        <f>IF(Generierung!$P$4,"",IF(OR(PROFGRDGENE="",PROFGRDGENE="LEER"),"",IF(VLOOKUP(PROFGRDGENE,LIST_K_G,COLUMN(CL:CL)-COLUMN($D:$D),FALSE)&gt;0,CL1,"")))</f>
        <v/>
      </c>
      <c r="CM90" t="str">
        <f>IF(Generierung!$P$4,"",IF(OR(PROFGRDGENE="",PROFGRDGENE="LEER"),"",IF(VLOOKUP(PROFGRDGENE,LIST_K_G,COLUMN(CM:CM)-COLUMN($D:$D),FALSE)&gt;0,CM1,"")))</f>
        <v/>
      </c>
      <c r="CN90" t="str">
        <f>IF(Generierung!$P$4,"",IF(OR(PROFGRDGENE="",PROFGRDGENE="LEER"),"",IF(VLOOKUP(PROFGRDGENE,LIST_K_G,COLUMN(CN:CN)-COLUMN($D:$D),FALSE)&gt;0,CN1,"")))</f>
        <v/>
      </c>
      <c r="CO90" t="str">
        <f>IF(Generierung!$P$4,"",IF(OR(PROFGRDGENE="",PROFGRDGENE="LEER"),"",IF(VLOOKUP(PROFGRDGENE,LIST_K_G,COLUMN(CO:CO)-COLUMN($D:$D),FALSE)&gt;0,CO1,"")))</f>
        <v/>
      </c>
      <c r="CP90" t="str">
        <f>IF(Generierung!$P$4,"",IF(OR(PROFGRDGENE="",PROFGRDGENE="LEER"),"",IF(VLOOKUP(PROFGRDGENE,LIST_K_G,COLUMN(CP:CP)-COLUMN($D:$D),FALSE)&gt;0,CP1,"")))</f>
        <v/>
      </c>
      <c r="CQ90" t="str">
        <f>IF(Generierung!$P$4,"",IF(OR(PROFGRDGENE="",PROFGRDGENE="LEER"),"",IF(VLOOKUP(PROFGRDGENE,LIST_K_G,COLUMN(CQ:CQ)-COLUMN($D:$D),FALSE)&gt;0,CQ1,"")))</f>
        <v/>
      </c>
      <c r="CR90" t="str">
        <f>IF(Generierung!$P$4,"",IF(OR(PROFGRDGENE="",PROFGRDGENE="LEER"),"",IF(VLOOKUP(PROFGRDGENE,LIST_K_G,COLUMN(CR:CR)-COLUMN($D:$D),FALSE)&gt;0,CR1,"")))</f>
        <v/>
      </c>
      <c r="CS90" t="str">
        <f>IF(Generierung!$P$4,"",IF(OR(PROFGRDGENE="",PROFGRDGENE="LEER"),"",IF(VLOOKUP(PROFGRDGENE,LIST_K_G,COLUMN(CS:CS)-COLUMN($D:$D),FALSE)&gt;0,CS1,"")))</f>
        <v/>
      </c>
      <c r="CT90" t="str">
        <f>IF(Generierung!$P$4,"",IF(OR(PROFGRDGENE="",PROFGRDGENE="LEER"),"",IF(VLOOKUP(PROFGRDGENE,LIST_K_G,COLUMN(CT:CT)-COLUMN($D:$D),FALSE)&gt;0,CT1,"")))</f>
        <v/>
      </c>
      <c r="CU90" t="str">
        <f>IF(Generierung!$P$4,"",IF(OR(PROFGRDGENE="",PROFGRDGENE="LEER"),"",IF(VLOOKUP(PROFGRDGENE,LIST_K_G,COLUMN(CU:CU)-COLUMN($D:$D),FALSE)&gt;0,CU1,"")))</f>
        <v/>
      </c>
      <c r="CV90" t="str">
        <f>IF(Generierung!$P$4,"",IF(OR(PROFGRDGENE="",PROFGRDGENE="LEER"),"",IF(VLOOKUP(PROFGRDGENE,LIST_K_G,COLUMN(CV:CV)-COLUMN($D:$D),FALSE)&gt;0,CV1,"")))</f>
        <v/>
      </c>
      <c r="CW90" t="str">
        <f>IF(Generierung!$P$4,"",IF(OR(PROFGRDGENE="",PROFGRDGENE="LEER"),"",IF(VLOOKUP(PROFGRDGENE,LIST_K_G,COLUMN(CW:CW)-COLUMN($D:$D),FALSE)&gt;0,CW1,"")))</f>
        <v/>
      </c>
      <c r="CX90" t="str">
        <f>IF(Generierung!$P$4,"",IF(OR(PROFGRDGENE="",PROFGRDGENE="LEER"),"",IF(VLOOKUP(PROFGRDGENE,LIST_K_G,COLUMN(CX:CX)-COLUMN($D:$D),FALSE)&gt;0,CX1,"")))</f>
        <v/>
      </c>
      <c r="CY90" t="str">
        <f>IF(Generierung!$P$4,"",IF(OR(PROFGRDGENE="",PROFGRDGENE="LEER"),"",IF(VLOOKUP(PROFGRDGENE,LIST_K_G,COLUMN(CY:CY)-COLUMN($D:$D),FALSE)&gt;0,CY1,"")))</f>
        <v/>
      </c>
      <c r="CZ90" t="str">
        <f>IF(Generierung!$P$4,"",IF(OR(PROFGRDGENE="",PROFGRDGENE="LEER"),"",IF(VLOOKUP(PROFGRDGENE,LIST_K_G,COLUMN(CZ:CZ)-COLUMN($D:$D),FALSE)&gt;0,CZ1,"")))</f>
        <v/>
      </c>
      <c r="DA90" t="str">
        <f>IF(Generierung!$P$4,"",IF(OR(PROFGRDGENE="",PROFGRDGENE="LEER"),"",IF(VLOOKUP(PROFGRDGENE,LIST_K_G,COLUMN(DA:DA)-COLUMN($D:$D),FALSE)&gt;0,DA1,"")))</f>
        <v/>
      </c>
      <c r="DB90" t="str">
        <f>IF(Generierung!$P$4,"",IF(OR(PROFGRDGENE="",PROFGRDGENE="LEER"),"",IF(VLOOKUP(PROFGRDGENE,LIST_K_G,COLUMN(DB:DB)-COLUMN($D:$D),FALSE)&gt;0,DB1,"")))</f>
        <v/>
      </c>
      <c r="DC90" t="str">
        <f>IF(Generierung!$P$4,"",IF(OR(PROFGRDGENE="",PROFGRDGENE="LEER"),"",IF(VLOOKUP(PROFGRDGENE,LIST_K_G,COLUMN(DC:DC)-COLUMN($D:$D),FALSE)&gt;0,DC1,"")))</f>
        <v/>
      </c>
      <c r="DD90" t="str">
        <f>IF(Generierung!$P$4,"",IF(OR(PROFGRDGENE="",PROFGRDGENE="LEER"),"",IF(VLOOKUP(PROFGRDGENE,LIST_K_G,COLUMN(DD:DD)-COLUMN($D:$D),FALSE)&gt;0,DD1,"")))</f>
        <v/>
      </c>
      <c r="DE90" t="str">
        <f>IF(Generierung!$P$4,"",IF(OR(PROFGRDGENE="",PROFGRDGENE="LEER"),"",IF(VLOOKUP(PROFGRDGENE,LIST_K_G,COLUMN(DE:DE)-COLUMN($D:$D),FALSE)&gt;0,DE1,"")))</f>
        <v/>
      </c>
      <c r="DF90" t="str">
        <f>IF(Generierung!$P$4,"",IF(OR(PROFGRDGENE="",PROFGRDGENE="LEER"),"",IF(VLOOKUP(PROFGRDGENE,LIST_K_G,COLUMN(DF:DF)-COLUMN($D:$D),FALSE)&gt;0,DF1,"")))</f>
        <v/>
      </c>
      <c r="DG90" t="str">
        <f>IF(Generierung!$P$4,"",IF(OR(PROFGRDGENE="",PROFGRDGENE="LEER"),"",IF(VLOOKUP(PROFGRDGENE,LIST_K_G,COLUMN(DG:DG)-COLUMN($D:$D),FALSE)&gt;0,DG1,"")))</f>
        <v/>
      </c>
      <c r="DH90" t="str">
        <f>IF(Generierung!$P$4,"",IF(OR(PROFGRDGENE="",PROFGRDGENE="LEER"),"",IF(VLOOKUP(PROFGRDGENE,LIST_K_G,COLUMN(DH:DH)-COLUMN($D:$D),FALSE)&gt;0,DH1,"")))</f>
        <v/>
      </c>
      <c r="DI90" t="str">
        <f>IF(Generierung!$P$4,"",IF(OR(PROFGRDGENE="",PROFGRDGENE="LEER"),"",IF(VLOOKUP(PROFGRDGENE,LIST_K_G,COLUMN(DI:DI)-COLUMN($D:$D),FALSE)&gt;0,DI1,"")))</f>
        <v/>
      </c>
      <c r="DJ90" t="str">
        <f>IF(Generierung!$P$4,"",IF(OR(PROFGRDGENE="",PROFGRDGENE="LEER"),"",IF(VLOOKUP(PROFGRDGENE,LIST_K_G,COLUMN(DJ:DJ)-COLUMN($D:$D),FALSE)&gt;0,DJ1,"")))</f>
        <v/>
      </c>
      <c r="DK90" t="str">
        <f>IF(Generierung!$P$4,"",IF(OR(PROFGRDGENE="",PROFGRDGENE="LEER"),"",IF(VLOOKUP(PROFGRDGENE,LIST_K_G,COLUMN(DK:DK)-COLUMN($D:$D),FALSE)&gt;0,DK1,"")))</f>
        <v/>
      </c>
      <c r="DL90" t="str">
        <f>IF(Generierung!$P$4,"",IF(OR(PROFGRDGENE="",PROFGRDGENE="LEER"),"",IF(VLOOKUP(PROFGRDGENE,LIST_K_G,COLUMN(DL:DL)-COLUMN($D:$D),FALSE)&gt;0,DL1,"")))</f>
        <v/>
      </c>
      <c r="DM90" t="str">
        <f>IF(Generierung!$P$4,"",IF(OR(PROFGRDGENE="",PROFGRDGENE="LEER"),"",IF(VLOOKUP(PROFGRDGENE,LIST_K_G,COLUMN(DM:DM)-COLUMN($D:$D),FALSE)&gt;0,DM1,"")))</f>
        <v/>
      </c>
      <c r="DN90" t="str">
        <f>IF(Generierung!$P$4,"",IF(OR(PROFGRDGENE="",PROFGRDGENE="LEER"),"",IF(VLOOKUP(PROFGRDGENE,LIST_K_G,COLUMN(DN:DN)-COLUMN($D:$D),FALSE)&gt;0,DN1,"")))</f>
        <v/>
      </c>
      <c r="DO90" t="str">
        <f>IF(Generierung!$P$4,"",IF(OR(PROFGRDGENE="",PROFGRDGENE="LEER"),"",IF(VLOOKUP(PROFGRDGENE,LIST_K_G,COLUMN(DO:DO)-COLUMN($D:$D),FALSE)&gt;0,DO1,"")))</f>
        <v/>
      </c>
      <c r="DP90" t="str">
        <f>IF(Generierung!$P$4,"",IF(OR(PROFGRDGENE="",PROFGRDGENE="LEER"),"",IF(VLOOKUP(PROFGRDGENE,LIST_K_G,COLUMN(DP:DP)-COLUMN($D:$D),FALSE)&gt;0,DP1,"")))</f>
        <v/>
      </c>
      <c r="DQ90" t="str">
        <f>IF(Generierung!$P$4,"",IF(OR(PROFGRDGENE="",PROFGRDGENE="LEER"),"",IF(VLOOKUP(PROFGRDGENE,LIST_K_G,COLUMN(DQ:DQ)-COLUMN($D:$D),FALSE)&gt;0,DQ1,"")))</f>
        <v/>
      </c>
      <c r="DR90" t="str">
        <f>IF(Generierung!$P$4,"",IF(OR(PROFGRDGENE="",PROFGRDGENE="LEER"),"",IF(VLOOKUP(PROFGRDGENE,LIST_K_G,COLUMN(DR:DR)-COLUMN($D:$D),FALSE)&gt;0,DR1,"")))</f>
        <v/>
      </c>
      <c r="DS90" t="str">
        <f>IF(Generierung!$P$4,"",IF(OR(PROFGRDGENE="",PROFGRDGENE="LEER"),"",IF(VLOOKUP(PROFGRDGENE,LIST_K_G,COLUMN(DS:DS)-COLUMN($D:$D),FALSE)&gt;0,DS1,"")))</f>
        <v/>
      </c>
      <c r="DT90" t="str">
        <f>IF(Generierung!$P$4,"",IF(OR(PROFGRDGENE="",PROFGRDGENE="LEER"),"",IF(VLOOKUP(PROFGRDGENE,LIST_K_G,COLUMN(DT:DT)-COLUMN($D:$D),FALSE)&gt;0,DT1,"")))</f>
        <v/>
      </c>
      <c r="DU90" t="str">
        <f>IF(Generierung!$P$4,"",IF(OR(PROFGRDGENE="",PROFGRDGENE="LEER"),"",IF(VLOOKUP(PROFGRDGENE,LIST_K_G,COLUMN(DU:DU)-COLUMN($D:$D),FALSE)&gt;0,DU1,"")))</f>
        <v/>
      </c>
      <c r="DV90" t="str">
        <f>IF(Generierung!$P$4,"",IF(OR(PROFGRDGENE="",PROFGRDGENE="LEER"),"",IF(VLOOKUP(PROFGRDGENE,LIST_K_G,COLUMN(DV:DV)-COLUMN($D:$D),FALSE)&gt;0,DV1,"")))</f>
        <v/>
      </c>
      <c r="DW90" t="str">
        <f>IF(Generierung!$P$4,"",IF(OR(PROFGRDGENE="",PROFGRDGENE="LEER"),"",IF(VLOOKUP(PROFGRDGENE,LIST_K_G,COLUMN(DW:DW)-COLUMN($D:$D),FALSE)&gt;0,DW1,"")))</f>
        <v/>
      </c>
      <c r="DX90" t="str">
        <f>IF(Generierung!$P$4,"",IF(OR(PROFGRDGENE="",PROFGRDGENE="LEER"),"",IF(VLOOKUP(PROFGRDGENE,LIST_K_G,COLUMN(DX:DX)-COLUMN($D:$D),FALSE)&gt;0,DX1,"")))</f>
        <v/>
      </c>
      <c r="DY90" t="str">
        <f>IF(Generierung!$P$4,"",IF(OR(PROFGRDGENE="",PROFGRDGENE="LEER"),"",IF(VLOOKUP(PROFGRDGENE,LIST_K_G,COLUMN(DY:DY)-COLUMN($D:$D),FALSE)&gt;0,DY1,"")))</f>
        <v/>
      </c>
      <c r="DZ90" t="str">
        <f>IF(Generierung!$P$4,"",IF(OR(PROFGRDGENE="",PROFGRDGENE="LEER"),"",IF(VLOOKUP(PROFGRDGENE,LIST_K_G,COLUMN(DZ:DZ)-COLUMN($D:$D),FALSE)&gt;0,DZ1,"")))</f>
        <v/>
      </c>
      <c r="EA90" t="str">
        <f>IF(Generierung!$P$4,"",IF(OR(PROFGRDGENE="",PROFGRDGENE="LEER"),"",IF(VLOOKUP(PROFGRDGENE,LIST_K_G,COLUMN(EA:EA)-COLUMN($D:$D),FALSE)&gt;0,EA1,"")))</f>
        <v/>
      </c>
      <c r="EB90" t="str">
        <f>IF(Generierung!$P$4,"",IF(OR(PROFGRDGENE="",PROFGRDGENE="LEER"),"",IF(VLOOKUP(PROFGRDGENE,LIST_K_G,COLUMN(EB:EB)-COLUMN($D:$D),FALSE)&gt;0,EB1,"")))</f>
        <v/>
      </c>
      <c r="EC90" t="str">
        <f>IF(Generierung!$P$4,"",IF(OR(PROFGRDGENE="",PROFGRDGENE="LEER"),"",IF(VLOOKUP(PROFGRDGENE,LIST_K_G,COLUMN(EC:EC)-COLUMN($D:$D),FALSE)&gt;0,EC1,"")))</f>
        <v/>
      </c>
      <c r="ED90" t="str">
        <f>IF(Generierung!$P$4,"",IF(OR(PROFGRDGENE="",PROFGRDGENE="LEER"),"",IF(VLOOKUP(PROFGRDGENE,LIST_K_G,COLUMN(ED:ED)-COLUMN($D:$D),FALSE)&gt;0,ED1,"")))</f>
        <v/>
      </c>
      <c r="EE90" t="str">
        <f>IF(Generierung!$P$4,"",IF(OR(PROFGRDGENE="",PROFGRDGENE="LEER"),"",IF(VLOOKUP(PROFGRDGENE,LIST_K_G,COLUMN(EE:EE)-COLUMN($D:$D),FALSE)&gt;0,EE1,"")))</f>
        <v/>
      </c>
      <c r="EF90" t="str">
        <f>IF(Generierung!$P$4,"",IF(OR(PROFGRDGENE="",PROFGRDGENE="LEER"),"",IF(VLOOKUP(PROFGRDGENE,LIST_K_G,COLUMN(EF:EF)-COLUMN($D:$D),FALSE)&gt;0,EF1,"")))</f>
        <v/>
      </c>
      <c r="EG90" t="str">
        <f>IF(Generierung!$P$4,"",IF(OR(PROFGRDGENE="",PROFGRDGENE="LEER"),"",IF(VLOOKUP(PROFGRDGENE,LIST_K_G,COLUMN(EG:EG)-COLUMN($D:$D),FALSE)&gt;0,EG1,"")))</f>
        <v/>
      </c>
      <c r="EH90" t="str">
        <f>IF(Generierung!$P$4,"",IF(OR(PROFGRDGENE="",PROFGRDGENE="LEER"),"",IF(VLOOKUP(PROFGRDGENE,LIST_K_G,COLUMN(EH:EH)-COLUMN($D:$D),FALSE)&gt;0,EH1,"")))</f>
        <v/>
      </c>
      <c r="EI90" t="str">
        <f>IF(Generierung!$P$4,"",IF(OR(PROFGRDGENE="",PROFGRDGENE="LEER"),"",IF(VLOOKUP(PROFGRDGENE,LIST_K_G,COLUMN(EI:EI)-COLUMN($D:$D),FALSE)&gt;0,EI1,"")))</f>
        <v/>
      </c>
      <c r="EJ90" t="str">
        <f>IF(Generierung!$P$4,"",IF(OR(PROFGRDGENE="",PROFGRDGENE="LEER"),"",IF(VLOOKUP(PROFGRDGENE,LIST_K_G,COLUMN(EJ:EJ)-COLUMN($D:$D),FALSE)&gt;0,EJ1,"")))</f>
        <v/>
      </c>
      <c r="EK90" t="str">
        <f>IF(Generierung!$P$4,"",IF(OR(PROFGRDGENE="",PROFGRDGENE="LEER"),"",IF(VLOOKUP(PROFGRDGENE,LIST_K_G,COLUMN(EK:EK)-COLUMN($D:$D),FALSE)&gt;0,EK1,"")))</f>
        <v/>
      </c>
      <c r="EL90" t="str">
        <f>IF(Generierung!$P$4,"",IF(OR(PROFGRDGENE="",PROFGRDGENE="LEER"),"",IF(VLOOKUP(PROFGRDGENE,LIST_K_G,COLUMN(EL:EL)-COLUMN($D:$D),FALSE)&gt;0,EL1,"")))</f>
        <v/>
      </c>
      <c r="EM90" t="str">
        <f>IF(Generierung!$P$4,"",IF(OR(PROFGRDGENE="",PROFGRDGENE="LEER"),"",IF(VLOOKUP(PROFGRDGENE,LIST_K_G,COLUMN(EM:EM)-COLUMN($D:$D),FALSE)&gt;0,EM1,"")))</f>
        <v/>
      </c>
      <c r="EN90" t="str">
        <f>IF(Generierung!$P$4,"",IF(OR(PROFGRDGENE="",PROFGRDGENE="LEER"),"",IF(VLOOKUP(PROFGRDGENE,LIST_K_G,COLUMN(EN:EN)-COLUMN($D:$D),FALSE)&gt;0,EN1,"")))</f>
        <v/>
      </c>
      <c r="EO90" t="str">
        <f>IF(Generierung!$P$4,"",IF(OR(PROFGRDGENE="",PROFGRDGENE="LEER"),"",IF(VLOOKUP(PROFGRDGENE,LIST_K_G,COLUMN(EO:EO)-COLUMN($D:$D),FALSE)&gt;0,EO1,"")))</f>
        <v/>
      </c>
      <c r="EP90" t="str">
        <f>IF(Generierung!$P$4,"",IF(OR(PROFGRDGENE="",PROFGRDGENE="LEER"),"",IF(VLOOKUP(PROFGRDGENE,LIST_K_G,COLUMN(EP:EP)-COLUMN($D:$D),FALSE)&gt;0,EP1,"")))</f>
        <v/>
      </c>
      <c r="EQ90" t="str">
        <f>IF(Generierung!$P$4,"",IF(OR(PROFGRDGENE="",PROFGRDGENE="LEER"),"",IF(VLOOKUP(PROFGRDGENE,LIST_K_G,COLUMN(EQ:EQ)-COLUMN($D:$D),FALSE)&gt;0,EQ1,"")))</f>
        <v/>
      </c>
      <c r="ER90" t="str">
        <f>IF(Generierung!$P$4,"",IF(OR(PROFGRDGENE="",PROFGRDGENE="LEER"),"",IF(VLOOKUP(PROFGRDGENE,LIST_K_G,COLUMN(ER:ER)-COLUMN($D:$D),FALSE)&gt;0,ER1,"")))</f>
        <v/>
      </c>
      <c r="ES90" t="str">
        <f>IF(Generierung!$P$4,"",IF(OR(PROFGRDGENE="",PROFGRDGENE="LEER"),"",IF(VLOOKUP(PROFGRDGENE,LIST_K_G,COLUMN(ES:ES)-COLUMN($D:$D),FALSE)&gt;0,ES1,"")))</f>
        <v/>
      </c>
      <c r="ET90" t="str">
        <f>IF(Generierung!$P$4,"",IF(OR(PROFGRDGENE="",PROFGRDGENE="LEER"),"",IF(VLOOKUP(PROFGRDGENE,LIST_K_G,COLUMN(ET:ET)-COLUMN($D:$D),FALSE)&gt;0,ET1,"")))</f>
        <v/>
      </c>
      <c r="EU90" t="str">
        <f>IF(Generierung!$P$4,"",IF(OR(PROFGRDGENE="",PROFGRDGENE="LEER"),"",IF(VLOOKUP(PROFGRDGENE,LIST_K_G,COLUMN(EU:EU)-COLUMN($D:$D),FALSE)&gt;0,EU1,"")))</f>
        <v/>
      </c>
      <c r="EV90" t="str">
        <f>IF(Generierung!$P$4,"",IF(OR(PROFGRDGENE="",PROFGRDGENE="LEER"),"",IF(VLOOKUP(PROFGRDGENE,LIST_K_G,COLUMN(EV:EV)-COLUMN($D:$D),FALSE)&gt;0,EV1,"")))</f>
        <v/>
      </c>
      <c r="EW90" t="str">
        <f>IF(Generierung!$P$4,"",IF(OR(PROFGRDGENE="",PROFGRDGENE="LEER"),"",IF(VLOOKUP(PROFGRDGENE,LIST_K_G,COLUMN(EW:EW)-COLUMN($D:$D),FALSE)&gt;0,EW1,"")))</f>
        <v/>
      </c>
      <c r="EX90" t="str">
        <f>IF(Generierung!$P$4,"",IF(OR(PROFGRDGENE="",PROFGRDGENE="LEER"),"",IF(VLOOKUP(PROFGRDGENE,LIST_K_G,COLUMN(EX:EX)-COLUMN($D:$D),FALSE)&gt;0,EX1,"")))</f>
        <v/>
      </c>
      <c r="EY90" t="str">
        <f>IF(Generierung!$P$4,"",IF(OR(PROFGRDGENE="",PROFGRDGENE="LEER"),"",IF(VLOOKUP(PROFGRDGENE,LIST_K_G,COLUMN(EY:EY)-COLUMN($D:$D),FALSE)&gt;0,EY1,"")))</f>
        <v/>
      </c>
      <c r="EZ90" t="str">
        <f>IF(Generierung!$P$4,"",IF(OR(PROFGRDGENE="",PROFGRDGENE="LEER"),"",IF(VLOOKUP(PROFGRDGENE,LIST_K_G,COLUMN(EZ:EZ)-COLUMN($D:$D),FALSE)&gt;0,EZ1,"")))</f>
        <v/>
      </c>
      <c r="FA90" t="str">
        <f>IF(Generierung!$P$4,"",IF(OR(PROFGRDGENE="",PROFGRDGENE="LEER"),"",IF(VLOOKUP(PROFGRDGENE,LIST_K_G,COLUMN(FA:FA)-COLUMN($D:$D),FALSE)&gt;0,FA1,"")))</f>
        <v/>
      </c>
      <c r="FB90" t="str">
        <f>IF(Generierung!$P$4,"",IF(OR(PROFGRDGENE="",PROFGRDGENE="LEER"),"",IF(VLOOKUP(PROFGRDGENE,LIST_K_G,COLUMN(FB:FB)-COLUMN($D:$D),FALSE)&gt;0,FB1,"")))</f>
        <v/>
      </c>
      <c r="FC90" t="str">
        <f>IF(Generierung!$P$4,"",IF(OR(PROFGRDGENE="",PROFGRDGENE="LEER"),"",IF(VLOOKUP(PROFGRDGENE,LIST_K_G,COLUMN(FC:FC)-COLUMN($D:$D),FALSE)&gt;0,FC1,"")))</f>
        <v/>
      </c>
      <c r="FD90" t="str">
        <f>IF(Generierung!$P$4,"",IF(OR(PROFGRDGENE="",PROFGRDGENE="LEER"),"",IF(VLOOKUP(PROFGRDGENE,LIST_K_G,COLUMN(FD:FD)-COLUMN($D:$D),FALSE)&gt;0,FD1,"")))</f>
        <v/>
      </c>
      <c r="FE90" t="str">
        <f>IF(Generierung!$P$4,"",IF(OR(PROFGRDGENE="",PROFGRDGENE="LEER"),"",IF(VLOOKUP(PROFGRDGENE,LIST_K_G,COLUMN(FE:FE)-COLUMN($D:$D),FALSE)&gt;0,FE1,"")))</f>
        <v/>
      </c>
      <c r="FF90" t="str">
        <f>IF(Generierung!$P$4,"",IF(OR(PROFGRDGENE="",PROFGRDGENE="LEER"),"",IF(VLOOKUP(PROFGRDGENE,LIST_K_G,COLUMN(FF:FF)-COLUMN($D:$D),FALSE)&gt;0,FF1,"")))</f>
        <v/>
      </c>
      <c r="FG90" t="str">
        <f>IF(Generierung!$P$4,"",IF(OR(PROFGRDGENE="",PROFGRDGENE="LEER"),"",IF(VLOOKUP(PROFGRDGENE,LIST_K_G,COLUMN(FG:FG)-COLUMN($D:$D),FALSE)&gt;0,FG1,"")))</f>
        <v/>
      </c>
      <c r="FH90" t="str">
        <f>IF(Generierung!$P$4,"",IF(OR(PROFGRDGENE="",PROFGRDGENE="LEER"),"",IF(VLOOKUP(PROFGRDGENE,LIST_K_G,COLUMN(FH:FH)-COLUMN($D:$D),FALSE)&gt;0,FH1,"")))</f>
        <v/>
      </c>
      <c r="FI90" t="str">
        <f>IF(Generierung!$P$4,"",IF(OR(PROFGRDGENE="",PROFGRDGENE="LEER"),"",IF(VLOOKUP(PROFGRDGENE,LIST_K_G,COLUMN(FI:FI)-COLUMN($D:$D),FALSE)&gt;0,FI1,"")))</f>
        <v/>
      </c>
      <c r="FJ90" t="str">
        <f>IF(Generierung!$P$4,"",IF(OR(PROFGRDGENE="",PROFGRDGENE="LEER"),"",IF(VLOOKUP(PROFGRDGENE,LIST_K_G,COLUMN(FJ:FJ)-COLUMN($D:$D),FALSE)&gt;0,FJ1,"")))</f>
        <v/>
      </c>
      <c r="FK90" t="str">
        <f>IF(Generierung!$P$4,"",IF(OR(PROFGRDGENE="",PROFGRDGENE="LEER"),"",IF(VLOOKUP(PROFGRDGENE,LIST_K_G,COLUMN(FK:FK)-COLUMN($D:$D),FALSE)&gt;0,FK1,"")))</f>
        <v/>
      </c>
      <c r="FL90" t="str">
        <f>IF(Generierung!$P$4,"",IF(OR(PROFGRDGENE="",PROFGRDGENE="LEER"),"",IF(VLOOKUP(PROFGRDGENE,LIST_K_G,COLUMN(FL:FL)-COLUMN($D:$D),FALSE)&gt;0,FL1,"")))</f>
        <v/>
      </c>
      <c r="FM90" t="str">
        <f>IF(Generierung!$P$4,"",IF(OR(PROFGRDGENE="",PROFGRDGENE="LEER"),"",IF(VLOOKUP(PROFGRDGENE,LIST_K_G,COLUMN(FM:FM)-COLUMN($D:$D),FALSE)&gt;0,FM1,"")))</f>
        <v/>
      </c>
      <c r="FN90" t="str">
        <f>IF(Generierung!$P$4,"",IF(OR(PROFGRDGENE="",PROFGRDGENE="LEER"),"",IF(VLOOKUP(PROFGRDGENE,LIST_K_G,COLUMN(FN:FN)-COLUMN($D:$D),FALSE)&gt;0,FN1,"")))</f>
        <v/>
      </c>
      <c r="FO90" t="str">
        <f>IF(Generierung!$P$4,"",IF(OR(PROFGRDGENE="",PROFGRDGENE="LEER"),"",IF(VLOOKUP(PROFGRDGENE,LIST_K_G,COLUMN(FO:FO)-COLUMN($D:$D),FALSE)&gt;0,FO1,"")))</f>
        <v/>
      </c>
      <c r="FP90" t="str">
        <f>IF(Generierung!$P$4,"",IF(OR(PROFGRDGENE="",PROFGRDGENE="LEER"),"",IF(VLOOKUP(PROFGRDGENE,LIST_K_G,COLUMN(FP:FP)-COLUMN($D:$D),FALSE)&gt;0,FP1,"")))</f>
        <v/>
      </c>
      <c r="FQ90" t="str">
        <f>IF(Generierung!$P$4,"",IF(OR(PROFGRDGENE="",PROFGRDGENE="LEER"),"",IF(VLOOKUP(PROFGRDGENE,LIST_K_G,COLUMN(FQ:FQ)-COLUMN($D:$D),FALSE)&gt;0,FQ1,"")))</f>
        <v/>
      </c>
      <c r="FR90" t="str">
        <f>IF(Generierung!$P$4,"",IF(OR(PROFGRDGENE="",PROFGRDGENE="LEER"),"",IF(VLOOKUP(PROFGRDGENE,LIST_K_G,COLUMN(FR:FR)-COLUMN($D:$D),FALSE)&gt;0,FR1,"")))</f>
        <v/>
      </c>
      <c r="FS90" t="str">
        <f>IF(Generierung!$P$4,"",IF(OR(PROFGRDGENE="",PROFGRDGENE="LEER"),"",IF(VLOOKUP(PROFGRDGENE,LIST_K_G,COLUMN(FS:FS)-COLUMN($D:$D),FALSE)&gt;0,FS1,"")))</f>
        <v/>
      </c>
      <c r="FT90" t="str">
        <f>IF(Generierung!$P$4,"",IF(OR(PROFGRDGENE="",PROFGRDGENE="LEER"),"",IF(VLOOKUP(PROFGRDGENE,LIST_K_G,COLUMN(FT:FT)-COLUMN($D:$D),FALSE)&gt;0,FT1,"")))</f>
        <v/>
      </c>
      <c r="FU90" t="str">
        <f>IF(Generierung!$P$4,"",IF(OR(PROFGRDGENE="",PROFGRDGENE="LEER"),"",IF(VLOOKUP(PROFGRDGENE,LIST_K_G,COLUMN(FU:FU)-COLUMN($D:$D),FALSE)&gt;0,FU1,"")))</f>
        <v/>
      </c>
      <c r="FV90" t="str">
        <f>IF(Generierung!$P$4,"",IF(OR(PROFGRDGENE="",PROFGRDGENE="LEER"),"",IF(VLOOKUP(PROFGRDGENE,LIST_K_G,COLUMN(FV:FV)-COLUMN($D:$D),FALSE)&gt;0,FV1,"")))</f>
        <v/>
      </c>
      <c r="FW90" t="str">
        <f>IF(Generierung!$P$4,"",IF(OR(PROFGRDGENE="",PROFGRDGENE="LEER"),"",IF(VLOOKUP(PROFGRDGENE,LIST_K_G,COLUMN(FW:FW)-COLUMN($D:$D),FALSE)&gt;0,FW1,"")))</f>
        <v/>
      </c>
      <c r="FX90" t="str">
        <f>IF(Generierung!$P$4,"",IF(OR(PROFGRDGENE="",PROFGRDGENE="LEER"),"",IF(VLOOKUP(PROFGRDGENE,LIST_K_G,COLUMN(FX:FX)-COLUMN($D:$D),FALSE)&gt;0,FX1,"")))</f>
        <v/>
      </c>
      <c r="FY90" t="str">
        <f>IF(Generierung!$P$4,"",IF(OR(PROFGRDGENE="",PROFGRDGENE="LEER"),"",IF(VLOOKUP(PROFGRDGENE,LIST_K_G,COLUMN(FY:FY)-COLUMN($D:$D),FALSE)&gt;0,FY1,"")))</f>
        <v/>
      </c>
      <c r="FZ90" t="str">
        <f>IF(Generierung!$P$4,"",IF(OR(PROFGRDGENE="",PROFGRDGENE="LEER"),"",IF(VLOOKUP(PROFGRDGENE,LIST_K_G,COLUMN(FZ:FZ)-COLUMN($D:$D),FALSE)&gt;0,FZ1,"")))</f>
        <v/>
      </c>
      <c r="GA90" t="str">
        <f>IF(Generierung!$P$4,"",IF(OR(PROFGRDGENE="",PROFGRDGENE="LEER"),"",IF(VLOOKUP(PROFGRDGENE,LIST_K_G,COLUMN(GA:GA)-COLUMN($D:$D),FALSE)&gt;0,GA1,"")))</f>
        <v/>
      </c>
      <c r="GB90" t="str">
        <f>IF(Generierung!$P$4,"",IF(OR(PROFGRDGENE="",PROFGRDGENE="LEER"),"",IF(VLOOKUP(PROFGRDGENE,LIST_K_G,COLUMN(GB:GB)-COLUMN($D:$D),FALSE)&gt;0,GB1,"")))</f>
        <v/>
      </c>
      <c r="GC90" t="str">
        <f>IF(Generierung!$P$4,"",IF(OR(PROFGRDGENE="",PROFGRDGENE="LEER"),"",IF(VLOOKUP(PROFGRDGENE,LIST_K_G,COLUMN(GC:GC)-COLUMN($D:$D),FALSE)&gt;0,GC1,"")))</f>
        <v/>
      </c>
      <c r="GD90" t="str">
        <f>IF(Generierung!$P$4,"",IF(OR(PROFGRDGENE="",PROFGRDGENE="LEER"),"",IF(VLOOKUP(PROFGRDGENE,LIST_K_G,COLUMN(GD:GD)-COLUMN($D:$D),FALSE)&gt;0,GD1,"")))</f>
        <v/>
      </c>
      <c r="GE90" t="str">
        <f>IF(Generierung!$P$4,"",IF(OR(PROFGRDGENE="",PROFGRDGENE="LEER"),"",IF(VLOOKUP(PROFGRDGENE,LIST_K_G,COLUMN(GE:GE)-COLUMN($D:$D),FALSE)&gt;0,GE1,"")))</f>
        <v/>
      </c>
      <c r="GF90" t="str">
        <f>IF(Generierung!$P$4,"",IF(OR(PROFGRDGENE="",PROFGRDGENE="LEER"),"",IF(VLOOKUP(PROFGRDGENE,LIST_K_G,COLUMN(GF:GF)-COLUMN($D:$D),FALSE)&gt;0,GF1,"")))</f>
        <v/>
      </c>
      <c r="GG90" t="str">
        <f>IF(Generierung!$P$4,"",IF(OR(PROFGRDGENE="",PROFGRDGENE="LEER"),"",IF(VLOOKUP(PROFGRDGENE,LIST_K_G,COLUMN(GG:GG)-COLUMN($D:$D),FALSE)&gt;0,GG1,"")))</f>
        <v/>
      </c>
      <c r="GH90" t="str">
        <f>IF(Generierung!$P$4,"",IF(OR(PROFGRDGENE="",PROFGRDGENE="LEER"),"",IF(VLOOKUP(PROFGRDGENE,LIST_K_G,COLUMN(GH:GH)-COLUMN($D:$D),FALSE)&gt;0,GH1,"")))</f>
        <v/>
      </c>
      <c r="GI90" t="str">
        <f>IF(Generierung!$P$4,"",IF(OR(PROFGRDGENE="",PROFGRDGENE="LEER"),"",IF(VLOOKUP(PROFGRDGENE,LIST_K_G,COLUMN(GI:GI)-COLUMN($D:$D),FALSE)&gt;0,GI1,"")))</f>
        <v/>
      </c>
      <c r="GJ90" t="str">
        <f>IF(Generierung!$P$4,"",IF(OR(PROFGRDGENE="",PROFGRDGENE="LEER"),"",IF(VLOOKUP(PROFGRDGENE,LIST_K_G,COLUMN(GJ:GJ)-COLUMN($D:$D),FALSE)&gt;0,GJ1,"")))</f>
        <v/>
      </c>
      <c r="GK90" t="str">
        <f>IF(Generierung!$P$4,"",IF(OR(PROFGRDGENE="",PROFGRDGENE="LEER"),"",IF(VLOOKUP(PROFGRDGENE,LIST_K_G,COLUMN(GK:GK)-COLUMN($D:$D),FALSE)&gt;0,GK1,"")))</f>
        <v/>
      </c>
      <c r="GL90" t="str">
        <f>IF(Generierung!$P$4,"",IF(OR(PROFGRDGENE="",PROFGRDGENE="LEER"),"",IF(VLOOKUP(PROFGRDGENE,LIST_K_G,COLUMN(GL:GL)-COLUMN($D:$D),FALSE)&gt;0,GL1,"")))</f>
        <v/>
      </c>
      <c r="GM90" t="str">
        <f>IF(Generierung!$P$4,"",IF(OR(PROFGRDGENE="",PROFGRDGENE="LEER"),"",IF(VLOOKUP(PROFGRDGENE,LIST_K_G,COLUMN(GM:GM)-COLUMN($D:$D),FALSE)&gt;0,GM1,"")))</f>
        <v/>
      </c>
      <c r="GN90" t="str">
        <f>IF(Generierung!$P$4,"",IF(OR(PROFGRDGENE="",PROFGRDGENE="LEER"),"",IF(VLOOKUP(PROFGRDGENE,LIST_K_G,COLUMN(GN:GN)-COLUMN($D:$D),FALSE)&gt;0,GN1,"")))</f>
        <v/>
      </c>
      <c r="GO90" t="str">
        <f>IF(Generierung!$P$4,"",IF(OR(PROFGRDGENE="",PROFGRDGENE="LEER"),"",IF(VLOOKUP(PROFGRDGENE,LIST_K_G,COLUMN(GO:GO)-COLUMN($D:$D),FALSE)&gt;0,GO1,"")))</f>
        <v/>
      </c>
      <c r="GP90" t="str">
        <f>IF(Generierung!$P$4,"",IF(OR(PROFGRDGENE="",PROFGRDGENE="LEER"),"",IF(VLOOKUP(PROFGRDGENE,LIST_K_G,COLUMN(GP:GP)-COLUMN($D:$D),FALSE)&gt;0,GP1,"")))</f>
        <v/>
      </c>
      <c r="GQ90" t="str">
        <f>IF(Generierung!$P$4,"",IF(OR(PROFGRDGENE="",PROFGRDGENE="LEER"),"",IF(VLOOKUP(PROFGRDGENE,LIST_K_G,COLUMN(GQ:GQ)-COLUMN($D:$D),FALSE)&gt;0,GQ1,"")))</f>
        <v/>
      </c>
      <c r="GR90" t="str">
        <f>IF(Generierung!$P$4,"",IF(OR(PROFGRDGENE="",PROFGRDGENE="LEER"),"",IF(VLOOKUP(PROFGRDGENE,LIST_K_G,COLUMN(GR:GR)-COLUMN($D:$D),FALSE)&gt;0,GR1,"")))</f>
        <v/>
      </c>
      <c r="GS90" t="str">
        <f>IF(Generierung!$P$4,"",IF(OR(PROFGRDGENE="",PROFGRDGENE="LEER"),"",IF(VLOOKUP(PROFGRDGENE,LIST_K_G,COLUMN(GS:GS)-COLUMN($D:$D),FALSE)&gt;0,GS1,"")))</f>
        <v/>
      </c>
      <c r="GT90" t="str">
        <f>IF(Generierung!$P$4,"",IF(OR(PROFGRDGENE="",PROFGRDGENE="LEER"),"",IF(VLOOKUP(PROFGRDGENE,LIST_K_G,COLUMN(GT:GT)-COLUMN($D:$D),FALSE)&gt;0,GT1,"")))</f>
        <v/>
      </c>
      <c r="GU90" t="str">
        <f>IF(Generierung!$P$4,"",IF(OR(PROFGRDGENE="",PROFGRDGENE="LEER"),"",IF(VLOOKUP(PROFGRDGENE,LIST_K_G,COLUMN(GU:GU)-COLUMN($D:$D),FALSE)&gt;0,GU1,"")))</f>
        <v/>
      </c>
      <c r="GV90" t="str">
        <f>IF(Generierung!$P$4,"",IF(OR(PROFGRDGENE="",PROFGRDGENE="LEER"),"",IF(VLOOKUP(PROFGRDGENE,LIST_K_G,COLUMN(GV:GV)-COLUMN($D:$D),FALSE)&gt;0,GV1,"")))</f>
        <v/>
      </c>
      <c r="GW90" t="str">
        <f>IF(Generierung!$P$4,"",IF(OR(PROFGRDGENE="",PROFGRDGENE="LEER"),"",IF(VLOOKUP(PROFGRDGENE,LIST_K_G,COLUMN(GW:GW)-COLUMN($D:$D),FALSE)&gt;0,GW1,"")))</f>
        <v/>
      </c>
      <c r="GX90" t="str">
        <f>IF(Generierung!$P$4,"",IF(OR(PROFGRDGENE="",PROFGRDGENE="LEER"),"",IF(VLOOKUP(PROFGRDGENE,LIST_K_G,COLUMN(GX:GX)-COLUMN($D:$D),FALSE)&gt;0,GX1,"")))</f>
        <v/>
      </c>
      <c r="GY90" t="str">
        <f>IF(Generierung!$P$4,"",IF(OR(PROFGRDGENE="",PROFGRDGENE="LEER"),"",IF(VLOOKUP(PROFGRDGENE,LIST_K_G,COLUMN(GY:GY)-COLUMN($D:$D),FALSE)&gt;0,GY1,"")))</f>
        <v/>
      </c>
      <c r="GZ90" t="str">
        <f>IF(Generierung!$P$4,"",IF(OR(PROFGRDGENE="",PROFGRDGENE="LEER"),"",IF(VLOOKUP(PROFGRDGENE,LIST_K_G,COLUMN(GZ:GZ)-COLUMN($D:$D),FALSE)&gt;0,GZ1,"")))</f>
        <v/>
      </c>
      <c r="HA90" t="str">
        <f>IF(Generierung!$P$4,"",IF(OR(PROFGRDGENE="",PROFGRDGENE="LEER"),"",IF(VLOOKUP(PROFGRDGENE,LIST_K_G,COLUMN(HA:HA)-COLUMN($D:$D),FALSE)&gt;0,HA1,"")))</f>
        <v/>
      </c>
      <c r="HB90" t="str">
        <f>IF(Generierung!$P$4,"",IF(OR(PROFGRDGENE="",PROFGRDGENE="LEER"),"",IF(VLOOKUP(PROFGRDGENE,LIST_K_G,COLUMN(HB:HB)-COLUMN($D:$D),FALSE)&gt;0,HB1,"")))</f>
        <v/>
      </c>
    </row>
    <row r="91" spans="1:210" x14ac:dyDescent="0.2">
      <c r="H91" t="str">
        <f>IF(H90="","",H90&amp;";")</f>
        <v/>
      </c>
      <c r="I91" t="str">
        <f t="shared" ref="I91:AN91" si="53">IF(I90="",H91,H91&amp;I90&amp;";")</f>
        <v/>
      </c>
      <c r="J91" t="str">
        <f t="shared" si="53"/>
        <v/>
      </c>
      <c r="K91" t="str">
        <f t="shared" si="53"/>
        <v/>
      </c>
      <c r="L91" t="str">
        <f t="shared" si="53"/>
        <v/>
      </c>
      <c r="M91" t="str">
        <f t="shared" si="53"/>
        <v/>
      </c>
      <c r="N91" t="str">
        <f t="shared" si="53"/>
        <v/>
      </c>
      <c r="O91" t="str">
        <f t="shared" si="53"/>
        <v/>
      </c>
      <c r="P91" t="str">
        <f t="shared" si="53"/>
        <v/>
      </c>
      <c r="Q91" t="str">
        <f t="shared" si="53"/>
        <v/>
      </c>
      <c r="R91" t="str">
        <f t="shared" si="53"/>
        <v/>
      </c>
      <c r="S91" t="str">
        <f t="shared" si="53"/>
        <v/>
      </c>
      <c r="T91" t="str">
        <f t="shared" si="53"/>
        <v/>
      </c>
      <c r="U91" t="str">
        <f t="shared" si="53"/>
        <v/>
      </c>
      <c r="V91" t="str">
        <f t="shared" si="53"/>
        <v/>
      </c>
      <c r="W91" t="str">
        <f t="shared" si="53"/>
        <v/>
      </c>
      <c r="X91" t="str">
        <f t="shared" si="53"/>
        <v/>
      </c>
      <c r="Y91" t="str">
        <f t="shared" si="53"/>
        <v/>
      </c>
      <c r="Z91" t="str">
        <f t="shared" si="53"/>
        <v/>
      </c>
      <c r="AA91" t="str">
        <f t="shared" si="53"/>
        <v/>
      </c>
      <c r="AB91" t="str">
        <f t="shared" si="53"/>
        <v/>
      </c>
      <c r="AC91" t="str">
        <f t="shared" si="53"/>
        <v/>
      </c>
      <c r="AD91" t="str">
        <f t="shared" si="53"/>
        <v/>
      </c>
      <c r="AE91" t="str">
        <f t="shared" si="53"/>
        <v/>
      </c>
      <c r="AF91" t="str">
        <f t="shared" si="53"/>
        <v/>
      </c>
      <c r="AG91" t="str">
        <f t="shared" si="53"/>
        <v/>
      </c>
      <c r="AH91" t="str">
        <f t="shared" si="53"/>
        <v/>
      </c>
      <c r="AI91" t="str">
        <f t="shared" si="53"/>
        <v/>
      </c>
      <c r="AJ91" t="str">
        <f t="shared" si="53"/>
        <v/>
      </c>
      <c r="AK91" t="str">
        <f t="shared" si="53"/>
        <v/>
      </c>
      <c r="AL91" t="str">
        <f t="shared" si="53"/>
        <v/>
      </c>
      <c r="AM91" t="str">
        <f t="shared" si="53"/>
        <v/>
      </c>
      <c r="AN91" t="str">
        <f t="shared" si="53"/>
        <v/>
      </c>
      <c r="AO91" t="str">
        <f t="shared" ref="AO91:BT91" si="54">IF(AO90="",AN91,AN91&amp;AO90&amp;";")</f>
        <v/>
      </c>
      <c r="AP91" t="str">
        <f t="shared" si="54"/>
        <v/>
      </c>
      <c r="AQ91" t="str">
        <f t="shared" si="54"/>
        <v/>
      </c>
      <c r="AR91" t="str">
        <f t="shared" si="54"/>
        <v/>
      </c>
      <c r="AS91" t="str">
        <f t="shared" si="54"/>
        <v/>
      </c>
      <c r="AT91" t="str">
        <f t="shared" si="54"/>
        <v/>
      </c>
      <c r="AU91" t="str">
        <f t="shared" si="54"/>
        <v/>
      </c>
      <c r="AV91" t="str">
        <f t="shared" si="54"/>
        <v/>
      </c>
      <c r="AW91" t="str">
        <f t="shared" si="54"/>
        <v/>
      </c>
      <c r="AX91" t="str">
        <f t="shared" si="54"/>
        <v/>
      </c>
      <c r="AY91" t="str">
        <f t="shared" si="54"/>
        <v/>
      </c>
      <c r="AZ91" t="str">
        <f t="shared" si="54"/>
        <v/>
      </c>
      <c r="BA91" t="str">
        <f t="shared" si="54"/>
        <v/>
      </c>
      <c r="BB91" t="str">
        <f t="shared" si="54"/>
        <v/>
      </c>
      <c r="BC91" t="str">
        <f t="shared" si="54"/>
        <v/>
      </c>
      <c r="BD91" t="str">
        <f t="shared" si="54"/>
        <v/>
      </c>
      <c r="BE91" t="str">
        <f t="shared" si="54"/>
        <v/>
      </c>
      <c r="BF91" t="str">
        <f t="shared" si="54"/>
        <v/>
      </c>
      <c r="BG91" t="str">
        <f t="shared" si="54"/>
        <v/>
      </c>
      <c r="BH91" t="str">
        <f t="shared" si="54"/>
        <v/>
      </c>
      <c r="BI91" t="str">
        <f t="shared" si="54"/>
        <v/>
      </c>
      <c r="BJ91" t="str">
        <f t="shared" si="54"/>
        <v/>
      </c>
      <c r="BK91" t="str">
        <f t="shared" si="54"/>
        <v/>
      </c>
      <c r="BL91" t="str">
        <f t="shared" si="54"/>
        <v/>
      </c>
      <c r="BM91" t="str">
        <f t="shared" si="54"/>
        <v/>
      </c>
      <c r="BN91" t="str">
        <f t="shared" si="54"/>
        <v/>
      </c>
      <c r="BO91" t="str">
        <f t="shared" si="54"/>
        <v/>
      </c>
      <c r="BP91" t="str">
        <f t="shared" si="54"/>
        <v/>
      </c>
      <c r="BQ91" t="str">
        <f t="shared" si="54"/>
        <v/>
      </c>
      <c r="BR91" t="str">
        <f t="shared" si="54"/>
        <v/>
      </c>
      <c r="BS91" t="str">
        <f t="shared" si="54"/>
        <v/>
      </c>
      <c r="BT91" t="str">
        <f t="shared" si="54"/>
        <v/>
      </c>
      <c r="BU91" t="str">
        <f t="shared" ref="BU91:DA91" si="55">IF(BU90="",BT91,BT91&amp;BU90&amp;";")</f>
        <v/>
      </c>
      <c r="BV91" t="str">
        <f t="shared" si="55"/>
        <v/>
      </c>
      <c r="BW91" t="str">
        <f t="shared" si="55"/>
        <v/>
      </c>
      <c r="BX91" t="str">
        <f t="shared" si="55"/>
        <v/>
      </c>
      <c r="BY91" t="str">
        <f t="shared" si="55"/>
        <v/>
      </c>
      <c r="BZ91" t="str">
        <f t="shared" si="55"/>
        <v/>
      </c>
      <c r="CA91" t="str">
        <f t="shared" si="55"/>
        <v/>
      </c>
      <c r="CB91" t="str">
        <f t="shared" si="55"/>
        <v/>
      </c>
      <c r="CC91" t="str">
        <f t="shared" si="55"/>
        <v/>
      </c>
      <c r="CD91" t="str">
        <f t="shared" si="55"/>
        <v/>
      </c>
      <c r="CE91" t="str">
        <f t="shared" si="55"/>
        <v/>
      </c>
      <c r="CF91" t="str">
        <f t="shared" si="55"/>
        <v/>
      </c>
      <c r="CG91" t="str">
        <f t="shared" si="55"/>
        <v/>
      </c>
      <c r="CH91" t="str">
        <f>IF(CH90="",CG91,CG91&amp;CH90&amp;";")</f>
        <v/>
      </c>
      <c r="CI91" t="str">
        <f t="shared" si="55"/>
        <v/>
      </c>
      <c r="CJ91" t="str">
        <f t="shared" si="55"/>
        <v/>
      </c>
      <c r="CK91" t="str">
        <f t="shared" si="55"/>
        <v/>
      </c>
      <c r="CL91" t="str">
        <f t="shared" si="55"/>
        <v/>
      </c>
      <c r="CM91" t="str">
        <f t="shared" si="55"/>
        <v/>
      </c>
      <c r="CN91" t="str">
        <f t="shared" si="55"/>
        <v/>
      </c>
      <c r="CO91" t="str">
        <f t="shared" si="55"/>
        <v/>
      </c>
      <c r="CP91" t="str">
        <f t="shared" si="55"/>
        <v/>
      </c>
      <c r="CQ91" t="str">
        <f t="shared" si="55"/>
        <v/>
      </c>
      <c r="CR91" t="str">
        <f t="shared" si="55"/>
        <v/>
      </c>
      <c r="CS91" t="str">
        <f t="shared" si="55"/>
        <v/>
      </c>
      <c r="CT91" t="str">
        <f t="shared" si="55"/>
        <v/>
      </c>
      <c r="CU91" t="str">
        <f t="shared" si="55"/>
        <v/>
      </c>
      <c r="CV91" t="str">
        <f t="shared" si="55"/>
        <v/>
      </c>
      <c r="CW91" t="str">
        <f t="shared" si="55"/>
        <v/>
      </c>
      <c r="CX91" t="str">
        <f t="shared" si="55"/>
        <v/>
      </c>
      <c r="CY91" t="str">
        <f t="shared" si="55"/>
        <v/>
      </c>
      <c r="CZ91" t="str">
        <f t="shared" si="55"/>
        <v/>
      </c>
      <c r="DA91" t="str">
        <f t="shared" si="55"/>
        <v/>
      </c>
      <c r="DB91" t="str">
        <f t="shared" ref="DB91:EM91" si="56">IF(DB90="",DA91,DA91&amp;DB90&amp;";")</f>
        <v/>
      </c>
      <c r="DC91" t="str">
        <f t="shared" si="56"/>
        <v/>
      </c>
      <c r="DD91" t="str">
        <f t="shared" si="56"/>
        <v/>
      </c>
      <c r="DE91" t="str">
        <f t="shared" si="56"/>
        <v/>
      </c>
      <c r="DF91" t="str">
        <f t="shared" si="56"/>
        <v/>
      </c>
      <c r="DG91" t="str">
        <f t="shared" si="56"/>
        <v/>
      </c>
      <c r="DH91" t="str">
        <f t="shared" si="56"/>
        <v/>
      </c>
      <c r="DI91" t="str">
        <f t="shared" ref="DI91" si="57">IF(DI90="",DH91,DH91&amp;DI90&amp;";")</f>
        <v/>
      </c>
      <c r="DJ91" t="str">
        <f t="shared" ref="DJ91" si="58">IF(DJ90="",DI91,DI91&amp;DJ90&amp;";")</f>
        <v/>
      </c>
      <c r="DK91" t="str">
        <f t="shared" ref="DK91" si="59">IF(DK90="",DJ91,DJ91&amp;DK90&amp;";")</f>
        <v/>
      </c>
      <c r="DL91" t="str">
        <f t="shared" ref="DL91" si="60">IF(DL90="",DK91,DK91&amp;DL90&amp;";")</f>
        <v/>
      </c>
      <c r="DM91" t="str">
        <f t="shared" ref="DM91" si="61">IF(DM90="",DL91,DL91&amp;DM90&amp;";")</f>
        <v/>
      </c>
      <c r="DN91" t="str">
        <f t="shared" ref="DN91:DO91" si="62">IF(DN90="",DM91,DM91&amp;DN90&amp;";")</f>
        <v/>
      </c>
      <c r="DO91" t="str">
        <f t="shared" si="62"/>
        <v/>
      </c>
      <c r="DP91" t="str">
        <f t="shared" si="56"/>
        <v/>
      </c>
      <c r="DQ91" t="str">
        <f t="shared" si="56"/>
        <v/>
      </c>
      <c r="DR91" t="str">
        <f t="shared" si="56"/>
        <v/>
      </c>
      <c r="DS91" t="str">
        <f t="shared" si="56"/>
        <v/>
      </c>
      <c r="DT91" t="str">
        <f t="shared" si="56"/>
        <v/>
      </c>
      <c r="DU91" t="str">
        <f t="shared" si="56"/>
        <v/>
      </c>
      <c r="DV91" t="str">
        <f t="shared" si="56"/>
        <v/>
      </c>
      <c r="DW91" t="str">
        <f t="shared" si="56"/>
        <v/>
      </c>
      <c r="DX91" t="str">
        <f t="shared" si="56"/>
        <v/>
      </c>
      <c r="DY91" t="str">
        <f t="shared" si="56"/>
        <v/>
      </c>
      <c r="DZ91" t="str">
        <f t="shared" si="56"/>
        <v/>
      </c>
      <c r="EA91" t="str">
        <f t="shared" si="56"/>
        <v/>
      </c>
      <c r="EB91" t="str">
        <f t="shared" si="56"/>
        <v/>
      </c>
      <c r="EC91" t="str">
        <f t="shared" si="56"/>
        <v/>
      </c>
      <c r="ED91" t="str">
        <f t="shared" si="56"/>
        <v/>
      </c>
      <c r="EE91" t="str">
        <f t="shared" si="56"/>
        <v/>
      </c>
      <c r="EF91" t="str">
        <f t="shared" si="56"/>
        <v/>
      </c>
      <c r="EG91" t="str">
        <f t="shared" si="56"/>
        <v/>
      </c>
      <c r="EH91" t="str">
        <f t="shared" si="56"/>
        <v/>
      </c>
      <c r="EI91" t="str">
        <f t="shared" si="56"/>
        <v/>
      </c>
      <c r="EJ91" t="str">
        <f t="shared" si="56"/>
        <v/>
      </c>
      <c r="EK91" t="str">
        <f t="shared" si="56"/>
        <v/>
      </c>
      <c r="EL91" t="str">
        <f t="shared" si="56"/>
        <v/>
      </c>
      <c r="EM91" t="str">
        <f t="shared" si="56"/>
        <v/>
      </c>
      <c r="EN91" t="str">
        <f t="shared" ref="EN91:FT91" si="63">IF(EN90="",EM91,EM91&amp;EN90&amp;";")</f>
        <v/>
      </c>
      <c r="EO91" t="str">
        <f t="shared" si="63"/>
        <v/>
      </c>
      <c r="EP91" t="str">
        <f>IF(EP90="",EN91,EN91&amp;EP90&amp;";")</f>
        <v/>
      </c>
      <c r="EQ91" t="str">
        <f>IF(EQ90="",EO91,EO91&amp;EQ90&amp;";")</f>
        <v/>
      </c>
      <c r="ER91" t="str">
        <f t="shared" si="63"/>
        <v/>
      </c>
      <c r="ES91" t="str">
        <f t="shared" si="63"/>
        <v/>
      </c>
      <c r="ET91" t="str">
        <f t="shared" si="63"/>
        <v/>
      </c>
      <c r="EU91" t="str">
        <f t="shared" si="63"/>
        <v/>
      </c>
      <c r="EV91" t="str">
        <f t="shared" si="63"/>
        <v/>
      </c>
      <c r="EW91" t="str">
        <f t="shared" si="63"/>
        <v/>
      </c>
      <c r="EX91" t="str">
        <f t="shared" si="63"/>
        <v/>
      </c>
      <c r="EY91" t="str">
        <f t="shared" si="63"/>
        <v/>
      </c>
      <c r="EZ91" t="str">
        <f t="shared" si="63"/>
        <v/>
      </c>
      <c r="FA91" t="str">
        <f t="shared" si="63"/>
        <v/>
      </c>
      <c r="FB91" t="str">
        <f t="shared" si="63"/>
        <v/>
      </c>
      <c r="FC91" t="str">
        <f t="shared" si="63"/>
        <v/>
      </c>
      <c r="FD91" t="str">
        <f t="shared" si="63"/>
        <v/>
      </c>
      <c r="FE91" t="str">
        <f t="shared" si="63"/>
        <v/>
      </c>
      <c r="FF91" t="str">
        <f t="shared" si="63"/>
        <v/>
      </c>
      <c r="FG91" t="str">
        <f t="shared" si="63"/>
        <v/>
      </c>
      <c r="FH91" t="str">
        <f t="shared" si="63"/>
        <v/>
      </c>
      <c r="FI91" t="str">
        <f t="shared" si="63"/>
        <v/>
      </c>
      <c r="FJ91" t="str">
        <f t="shared" si="63"/>
        <v/>
      </c>
      <c r="FK91" t="str">
        <f t="shared" si="63"/>
        <v/>
      </c>
      <c r="FL91" t="str">
        <f t="shared" si="63"/>
        <v/>
      </c>
      <c r="FM91" t="str">
        <f t="shared" si="63"/>
        <v/>
      </c>
      <c r="FN91" t="str">
        <f t="shared" si="63"/>
        <v/>
      </c>
      <c r="FO91" t="str">
        <f t="shared" si="63"/>
        <v/>
      </c>
      <c r="FP91" t="str">
        <f t="shared" si="63"/>
        <v/>
      </c>
      <c r="FQ91" t="str">
        <f t="shared" si="63"/>
        <v/>
      </c>
      <c r="FR91" t="str">
        <f t="shared" si="63"/>
        <v/>
      </c>
      <c r="FS91" t="str">
        <f t="shared" si="63"/>
        <v/>
      </c>
      <c r="FT91" t="str">
        <f t="shared" si="63"/>
        <v/>
      </c>
      <c r="FU91" t="str">
        <f t="shared" ref="FU91:GZ91" si="64">IF(FU90="",FT91,FT91&amp;FU90&amp;";")</f>
        <v/>
      </c>
      <c r="FV91" t="str">
        <f t="shared" si="64"/>
        <v/>
      </c>
      <c r="FW91" t="str">
        <f t="shared" si="64"/>
        <v/>
      </c>
      <c r="FX91" t="str">
        <f t="shared" si="64"/>
        <v/>
      </c>
      <c r="FY91" t="str">
        <f t="shared" si="64"/>
        <v/>
      </c>
      <c r="FZ91" t="str">
        <f t="shared" si="64"/>
        <v/>
      </c>
      <c r="GA91" t="str">
        <f t="shared" si="64"/>
        <v/>
      </c>
      <c r="GB91" t="str">
        <f t="shared" si="64"/>
        <v/>
      </c>
      <c r="GC91" t="str">
        <f t="shared" si="64"/>
        <v/>
      </c>
      <c r="GD91" t="str">
        <f t="shared" si="64"/>
        <v/>
      </c>
      <c r="GE91" t="str">
        <f t="shared" si="64"/>
        <v/>
      </c>
      <c r="GF91" t="str">
        <f t="shared" si="64"/>
        <v/>
      </c>
      <c r="GG91" t="str">
        <f t="shared" si="64"/>
        <v/>
      </c>
      <c r="GH91" t="str">
        <f t="shared" si="64"/>
        <v/>
      </c>
      <c r="GI91" t="str">
        <f t="shared" si="64"/>
        <v/>
      </c>
      <c r="GJ91" t="str">
        <f t="shared" si="64"/>
        <v/>
      </c>
      <c r="GK91" t="str">
        <f t="shared" si="64"/>
        <v/>
      </c>
      <c r="GL91" t="str">
        <f t="shared" si="64"/>
        <v/>
      </c>
      <c r="GM91" t="str">
        <f t="shared" si="64"/>
        <v/>
      </c>
      <c r="GN91" t="str">
        <f t="shared" si="64"/>
        <v/>
      </c>
      <c r="GO91" t="str">
        <f t="shared" si="64"/>
        <v/>
      </c>
      <c r="GP91" t="str">
        <f t="shared" si="64"/>
        <v/>
      </c>
      <c r="GQ91" t="str">
        <f t="shared" si="64"/>
        <v/>
      </c>
      <c r="GR91" t="str">
        <f t="shared" si="64"/>
        <v/>
      </c>
      <c r="GS91" t="str">
        <f t="shared" si="64"/>
        <v/>
      </c>
      <c r="GT91" t="str">
        <f t="shared" si="64"/>
        <v/>
      </c>
      <c r="GU91" t="str">
        <f t="shared" si="64"/>
        <v/>
      </c>
      <c r="GV91" t="str">
        <f t="shared" si="64"/>
        <v/>
      </c>
      <c r="GW91" t="str">
        <f t="shared" si="64"/>
        <v/>
      </c>
      <c r="GX91" t="str">
        <f t="shared" si="64"/>
        <v/>
      </c>
      <c r="GY91" t="str">
        <f t="shared" si="64"/>
        <v/>
      </c>
      <c r="GZ91" t="str">
        <f t="shared" si="64"/>
        <v/>
      </c>
      <c r="HA91" t="str">
        <f>IF(HA90="",GZ91,GZ91&amp;HA90&amp;";")</f>
        <v/>
      </c>
      <c r="HB91" t="str">
        <f>IF(HB90="",HA91,HA91&amp;HB90&amp;";")</f>
        <v/>
      </c>
    </row>
    <row r="94" spans="1:210" x14ac:dyDescent="0.2">
      <c r="E94" t="s">
        <v>7673</v>
      </c>
      <c r="F94" t="s">
        <v>7816</v>
      </c>
      <c r="H94" t="s">
        <v>8553</v>
      </c>
      <c r="I94" t="s">
        <v>8554</v>
      </c>
    </row>
    <row r="95" spans="1:210" x14ac:dyDescent="0.2">
      <c r="E95" t="s">
        <v>6722</v>
      </c>
      <c r="F95" t="str">
        <f t="array" ref="F95">IF(ROWS(A$1:A1)&lt;=COUNTIF($G$95:$G$101,"?*"),INDEX($G$95:$G$101,MATCH(SMALL(IF($G$95:$G$101&lt;&gt;"",COUNTIF($G$95:$G$101,"&lt;"&amp;$G$95:$G$101)),ROWS(A$1:A1)),IF($G$95:$G$101&lt;&gt;"",COUNTIF($G$95:$G$101,"&lt;"&amp;$G$95:$G$101)),0)),"")</f>
        <v>Eigene</v>
      </c>
      <c r="G95" t="str">
        <f>IF(OR(ISBLANK(KULTURGENE),KULTURGENE="LEER"),"",IF(HLOOKUP(KULTURGENE,LIST_K_G,IDX_P_GESELL,FALSE)="","","Gesellschaft"))</f>
        <v/>
      </c>
      <c r="H95" t="s">
        <v>8551</v>
      </c>
      <c r="I95" t="s">
        <v>8551</v>
      </c>
    </row>
    <row r="96" spans="1:210" x14ac:dyDescent="0.2">
      <c r="E96" t="s">
        <v>4666</v>
      </c>
      <c r="F96" t="str">
        <f t="array" ref="F96">IF(ROWS(A$1:A2)&lt;=COUNTIF($G$95:$G$101,"?*"),INDEX($G$95:$G$101,MATCH(SMALL(IF($G$95:$G$101&lt;&gt;"",COUNTIF($G$95:$G$101,"&lt;"&amp;$G$95:$G$101)),ROWS(A$1:A2)),IF($G$95:$G$101&lt;&gt;"",COUNTIF($G$95:$G$101,"&lt;"&amp;$G$95:$G$101)),0)),"")</f>
        <v/>
      </c>
      <c r="G96" t="str">
        <f>IF(OR(ISBLANK(KULTURGENE),KULTURGENE="LEER"),"",IF(HLOOKUP(KULTURGENE,LIST_K_G,IDX_P_WILD,FALSE)="","","Wildnis"))</f>
        <v/>
      </c>
      <c r="H96" t="s">
        <v>8550</v>
      </c>
      <c r="I96" t="s">
        <v>8555</v>
      </c>
    </row>
    <row r="97" spans="5:9" x14ac:dyDescent="0.2">
      <c r="E97" t="s">
        <v>7393</v>
      </c>
      <c r="F97" t="str">
        <f t="array" ref="F97">IF(ROWS(A$1:A3)&lt;=COUNTIF($G$95:$G$101,"?*"),INDEX($G$95:$G$101,MATCH(SMALL(IF($G$95:$G$101&lt;&gt;"",COUNTIF($G$95:$G$101,"&lt;"&amp;$G$95:$G$101)),ROWS(A$1:A3)),IF($G$95:$G$101&lt;&gt;"",COUNTIF($G$95:$G$101,"&lt;"&amp;$G$95:$G$101)),0)),"")</f>
        <v/>
      </c>
      <c r="G97" t="str">
        <f>IF(OR(ISBLANK(KULTURGENE),KULTURGENE="LEER"),"",IF(HLOOKUP(KULTURGENE,LIST_K_G,IDX_P_HWK,FALSE)="","","Handwerk"))</f>
        <v/>
      </c>
      <c r="H97" t="s">
        <v>8552</v>
      </c>
      <c r="I97" t="s">
        <v>8556</v>
      </c>
    </row>
    <row r="98" spans="5:9" x14ac:dyDescent="0.2">
      <c r="E98" t="s">
        <v>4036</v>
      </c>
      <c r="F98" t="str">
        <f t="array" ref="F98">IF(ROWS(A$1:A4)&lt;=COUNTIF($G$95:$G$101,"?*"),INDEX($G$95:$G$101,MATCH(SMALL(IF($G$95:$G$101&lt;&gt;"",COUNTIF($G$95:$G$101,"&lt;"&amp;$G$95:$G$101)),ROWS(A$1:A4)),IF($G$95:$G$101&lt;&gt;"",COUNTIF($G$95:$G$101,"&lt;"&amp;$G$95:$G$101)),0)),"")</f>
        <v/>
      </c>
      <c r="G98" t="str">
        <f>IF(OR(ISBLANK(KULTURGENE),KULTURGENE="LEER"),"",IF(HLOOKUP(KULTURGENE,LIST_K_G,IDX_P_KAMPF,FALSE)="","","Kampf"))</f>
        <v/>
      </c>
      <c r="H98" t="s">
        <v>8549</v>
      </c>
      <c r="I98" t="s">
        <v>8557</v>
      </c>
    </row>
    <row r="99" spans="5:9" x14ac:dyDescent="0.2">
      <c r="E99" t="s">
        <v>4667</v>
      </c>
      <c r="F99" t="str">
        <f t="array" ref="F99">IF(ROWS(A$1:A5)&lt;=COUNTIF($G$95:$G$101,"?*"),INDEX($G$95:$G$101,MATCH(SMALL(IF($G$95:$G$101&lt;&gt;"",COUNTIF($G$95:$G$101,"&lt;"&amp;$G$95:$G$101)),ROWS(A$1:A5)),IF($G$95:$G$101&lt;&gt;"",COUNTIF($G$95:$G$101,"&lt;"&amp;$G$95:$G$101)),0)),"")</f>
        <v/>
      </c>
      <c r="G99" t="str">
        <f>IF(OR(ISBLANK(KULTURGENE),KULTURGENE="LEER"),"",IF(HLOOKUP(KULTURGENE,LIST_K_G,IDX_P_MAG,FALSE)="","","Magie"))</f>
        <v/>
      </c>
      <c r="H99" t="s">
        <v>8546</v>
      </c>
      <c r="I99" t="s">
        <v>8558</v>
      </c>
    </row>
    <row r="100" spans="5:9" x14ac:dyDescent="0.2">
      <c r="E100" t="s">
        <v>7664</v>
      </c>
      <c r="F100" t="str">
        <f t="array" ref="F100">IF(ROWS(A$1:A6)&lt;=COUNTIF($G$95:$G$101,"?*"),INDEX($G$95:$G$101,MATCH(SMALL(IF($G$95:$G$101&lt;&gt;"",COUNTIF($G$95:$G$101,"&lt;"&amp;$G$95:$G$101)),ROWS(A$1:A6)),IF($G$95:$G$101&lt;&gt;"",COUNTIF($G$95:$G$101,"&lt;"&amp;$G$95:$G$101)),0)),"")</f>
        <v/>
      </c>
      <c r="G100" t="str">
        <f>IF(OR(ISBLANK(KULTURGENE),KULTURGENE="LEER"),"",IF(HLOOKUP(KULTURGENE,LIST_K_G,IDX_P_GOETTER,FALSE)="","","Goetter"))</f>
        <v/>
      </c>
      <c r="H100" t="s">
        <v>8547</v>
      </c>
      <c r="I100" t="s">
        <v>8559</v>
      </c>
    </row>
    <row r="101" spans="5:9" x14ac:dyDescent="0.2">
      <c r="E101" t="s">
        <v>1227</v>
      </c>
      <c r="F101" t="str">
        <f t="array" ref="F101">IF(ROWS(A$1:A7)&lt;=COUNTIF($G$95:$G$101,"?*"),INDEX($G$95:$G$101,MATCH(SMALL(IF($G$95:$G$101&lt;&gt;"",COUNTIF($G$95:$G$101,"&lt;"&amp;$G$95:$G$101)),ROWS(A$1:A7)),IF($G$95:$G$101&lt;&gt;"",COUNTIF($G$95:$G$101,"&lt;"&amp;$G$95:$G$101)),0)),"")</f>
        <v/>
      </c>
      <c r="G101" t="s">
        <v>6722</v>
      </c>
      <c r="H101" t="s">
        <v>8548</v>
      </c>
      <c r="I101" t="s">
        <v>8560</v>
      </c>
    </row>
    <row r="102" spans="5:9" x14ac:dyDescent="0.2">
      <c r="E102" t="s">
        <v>7674</v>
      </c>
      <c r="H102" t="s">
        <v>7674</v>
      </c>
      <c r="I102" t="s">
        <v>7674</v>
      </c>
    </row>
    <row r="104" spans="5:9" x14ac:dyDescent="0.2">
      <c r="E104" t="s">
        <v>7672</v>
      </c>
    </row>
    <row r="105" spans="5:9" x14ac:dyDescent="0.2">
      <c r="E105" t="s">
        <v>6722</v>
      </c>
    </row>
    <row r="106" spans="5:9" x14ac:dyDescent="0.2">
      <c r="E106" t="s">
        <v>4666</v>
      </c>
    </row>
    <row r="107" spans="5:9" x14ac:dyDescent="0.2">
      <c r="E107" t="s">
        <v>7514</v>
      </c>
    </row>
    <row r="108" spans="5:9" x14ac:dyDescent="0.2">
      <c r="E108" t="s">
        <v>4036</v>
      </c>
    </row>
    <row r="109" spans="5:9" x14ac:dyDescent="0.2">
      <c r="E109" t="s">
        <v>4667</v>
      </c>
    </row>
    <row r="110" spans="5:9" x14ac:dyDescent="0.2">
      <c r="E110" t="s">
        <v>7416</v>
      </c>
    </row>
    <row r="111" spans="5:9" x14ac:dyDescent="0.2">
      <c r="E111" t="s">
        <v>1227</v>
      </c>
    </row>
    <row r="114" spans="5:6" x14ac:dyDescent="0.2">
      <c r="E114" t="s">
        <v>7506</v>
      </c>
    </row>
    <row r="115" spans="5:6" x14ac:dyDescent="0.2">
      <c r="E115" t="s">
        <v>3515</v>
      </c>
      <c r="F115" t="s">
        <v>7419</v>
      </c>
    </row>
    <row r="116" spans="5:6" x14ac:dyDescent="0.2">
      <c r="E116" t="s">
        <v>1192</v>
      </c>
      <c r="F116" t="s">
        <v>7417</v>
      </c>
    </row>
    <row r="117" spans="5:6" x14ac:dyDescent="0.2">
      <c r="E117" t="s">
        <v>7507</v>
      </c>
    </row>
    <row r="118" spans="5:6" x14ac:dyDescent="0.2">
      <c r="E118" t="s">
        <v>7508</v>
      </c>
      <c r="F118" t="s">
        <v>7512</v>
      </c>
    </row>
    <row r="119" spans="5:6" x14ac:dyDescent="0.2">
      <c r="E119" t="s">
        <v>7511</v>
      </c>
      <c r="F119" t="s">
        <v>7513</v>
      </c>
    </row>
    <row r="122" spans="5:6" x14ac:dyDescent="0.2">
      <c r="E122" t="s">
        <v>7418</v>
      </c>
    </row>
    <row r="123" spans="5:6" x14ac:dyDescent="0.2">
      <c r="E123" t="str">
        <f>Tabellen_Magie!HA1</f>
        <v>Alchimist unmagisch (allgemein)</v>
      </c>
    </row>
    <row r="124" spans="5:6" x14ac:dyDescent="0.2">
      <c r="E124" t="str">
        <f>Tabellen_Magie!HE1</f>
        <v>Alchimist (Bund des Roten Salamanders, Festum, unmagisch)</v>
      </c>
    </row>
    <row r="125" spans="5:6" x14ac:dyDescent="0.2">
      <c r="E125" t="str">
        <f>Tabellen_Magie!HG1</f>
        <v>Alchimist (Bund des Roten Salamanders, Fasar, unmagisch)</v>
      </c>
    </row>
    <row r="126" spans="5:6" x14ac:dyDescent="0.2">
      <c r="E126" t="str">
        <f>Tabellen_Magie!HI1</f>
        <v>Alchimist (Bund des Roten Salamanders, Andergast, unmagisch)</v>
      </c>
    </row>
    <row r="127" spans="5:6" x14ac:dyDescent="0.2">
      <c r="E127" t="str">
        <f>Tabellen_Magie!HK1</f>
        <v>Alchimist (Bund des Roten Salamanders, Brabak, unmagisch)</v>
      </c>
    </row>
    <row r="128" spans="5:6" x14ac:dyDescent="0.2">
      <c r="E128" t="str">
        <f>Tabellen_Magie!HM1</f>
        <v>Alchimist Gilde der Alchimisten zu Mengbilla unmagisch</v>
      </c>
    </row>
    <row r="129" spans="5:5" x14ac:dyDescent="0.2">
      <c r="E129" t="str">
        <f>Tabellen_Magie!HO1</f>
        <v>Alchimist Alchimistische Fakultät der Universität von Al´Anfa unmagisch</v>
      </c>
    </row>
    <row r="130" spans="5:5" x14ac:dyDescent="0.2">
      <c r="E130" t="str">
        <f>Tabellen_Magie!HT1</f>
        <v>Alchimist Herzog-Eolan-Universität zu Methumis unmagisch (Quadrivium Arithmetik)</v>
      </c>
    </row>
    <row r="131" spans="5:5" x14ac:dyDescent="0.2">
      <c r="E131" t="str">
        <f>Tabellen_Magie!HV1</f>
        <v>Alchimist Herzog-Eolan-Universität zu Methumis unmagisch (Quadrivium Geometrie)</v>
      </c>
    </row>
    <row r="132" spans="5:5" x14ac:dyDescent="0.2">
      <c r="E132" t="str">
        <f>Tabellen_Magie!HX1</f>
        <v>Alchimist Herzog-Eolan-Universität zu Methumis unmagisch (Quadrivium Musiklehre)</v>
      </c>
    </row>
    <row r="133" spans="5:5" x14ac:dyDescent="0.2">
      <c r="E133" t="str">
        <f>Tabellen_Magie!HZ1</f>
        <v>Alchimist Herzog-Eolan-Universität zu Methumis unmagisch (Quadrivium Astronomie)</v>
      </c>
    </row>
    <row r="134" spans="5:5" x14ac:dyDescent="0.2">
      <c r="E134" t="str">
        <f>Tabellen_Magie!IB1</f>
        <v>Alchimist Spagyrischer Zweig der Halle des Lebens zu Norburg unmagisch</v>
      </c>
    </row>
    <row r="135" spans="5:5" x14ac:dyDescent="0.2">
      <c r="E135" t="str">
        <f>Tabellen_Magie!IE1</f>
        <v>Alchimist Zwergischer</v>
      </c>
    </row>
    <row r="136" spans="5:5" x14ac:dyDescent="0.2">
      <c r="E136" t="str">
        <f>Tabellen_Magie!IG1</f>
        <v>Alchemist - Kammerjäger magiebegabt</v>
      </c>
    </row>
    <row r="137" spans="5:5" x14ac:dyDescent="0.2">
      <c r="E137" t="str">
        <f>Tabellen_Magie!IH1</f>
        <v>Alchimist (Unau, unmagisch)</v>
      </c>
    </row>
    <row r="139" spans="5:5" x14ac:dyDescent="0.2">
      <c r="E139" t="s">
        <v>7509</v>
      </c>
    </row>
    <row r="140" spans="5:5" x14ac:dyDescent="0.2">
      <c r="E140" t="str">
        <f>Tabellen_Goetter!G1</f>
        <v>Aves-Geweihte</v>
      </c>
    </row>
    <row r="141" spans="5:5" x14ac:dyDescent="0.2">
      <c r="E141" t="str">
        <f>Tabellen_Goetter!BL1</f>
        <v>Kor-Geweihte (nur mittels BGB wählbar)</v>
      </c>
    </row>
    <row r="142" spans="5:5" x14ac:dyDescent="0.2">
      <c r="E142" t="str">
        <f>Tabellen_Goetter!BT1</f>
        <v>Phex-Geweihter</v>
      </c>
    </row>
    <row r="143" spans="5:5" x14ac:dyDescent="0.2">
      <c r="E143" t="str">
        <f>Tabellen_Goetter!CV1</f>
        <v>Swafnir-Geweihte</v>
      </c>
    </row>
    <row r="144" spans="5:5" x14ac:dyDescent="0.2">
      <c r="E144" t="str">
        <f>Tabellen_Goetter!CW1</f>
        <v>Swafnir-Geweihte: Hirte der Walwütigen</v>
      </c>
    </row>
    <row r="150" spans="5:5" x14ac:dyDescent="0.2">
      <c r="E150" t="s">
        <v>7510</v>
      </c>
    </row>
    <row r="151" spans="5:5" x14ac:dyDescent="0.2">
      <c r="E151" t="str">
        <f>Tabellen_Goetter!AK1</f>
        <v xml:space="preserve">Boron-Geweihte: Ordenskrieger des Schwarzen Raben, zu Land </v>
      </c>
    </row>
    <row r="152" spans="5:5" x14ac:dyDescent="0.2">
      <c r="E152" t="str">
        <f>Tabellen_Goetter!AL1</f>
        <v>Boron-Geweihte: Ordenskrieger des Schwarzen Raben, zur See</v>
      </c>
    </row>
    <row r="153" spans="5:5" x14ac:dyDescent="0.2">
      <c r="E153" t="str">
        <f>Tabellen_Goetter!AM1</f>
        <v>Boron-Geweihte: Ordenskrieger, Tempelgarde der Stadt des Schweigens</v>
      </c>
    </row>
    <row r="154" spans="5:5" x14ac:dyDescent="0.2">
      <c r="E154" t="str">
        <f>Tabellen_Goetter!CD1</f>
        <v>Praios-Geweihte: Ordenskrieger Bannstrahl-Orden, ungeweiht</v>
      </c>
    </row>
    <row r="155" spans="5:5" x14ac:dyDescent="0.2">
      <c r="E155" t="str">
        <f>Tabellen_Goetter!CJ1</f>
        <v>Rahja Geweihte: Orden der Säbeltänzer</v>
      </c>
    </row>
    <row r="156" spans="5:5" x14ac:dyDescent="0.2">
      <c r="E156" t="str">
        <f>Tabellen_Goetter!CK1</f>
        <v>Rahja Geweihte: Rahja-Kavalier</v>
      </c>
    </row>
  </sheetData>
  <pageMargins left="0.39370078740157483" right="0.39370078740157483" top="0.39370078740157483" bottom="0.39370078740157483" header="0.31496062992125984" footer="0.31496062992125984"/>
  <pageSetup paperSize="9" scale="26" fitToWidth="0" orientation="landscape"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tabColor theme="5"/>
  </sheetPr>
  <dimension ref="A1:AS2"/>
  <sheetViews>
    <sheetView workbookViewId="0">
      <selection activeCell="P22" sqref="P22"/>
    </sheetView>
  </sheetViews>
  <sheetFormatPr baseColWidth="10" defaultRowHeight="12.75" x14ac:dyDescent="0.2"/>
  <sheetData>
    <row r="1" spans="1:45" x14ac:dyDescent="0.2">
      <c r="A1" s="18" t="s">
        <v>403</v>
      </c>
      <c r="B1" s="18" t="s">
        <v>3899</v>
      </c>
      <c r="C1" s="18" t="s">
        <v>74</v>
      </c>
      <c r="D1" s="18" t="s">
        <v>75</v>
      </c>
      <c r="E1" s="18" t="s">
        <v>76</v>
      </c>
      <c r="F1" s="18" t="s">
        <v>77</v>
      </c>
      <c r="G1" s="18" t="s">
        <v>750</v>
      </c>
      <c r="H1" s="18" t="s">
        <v>751</v>
      </c>
      <c r="I1" s="18" t="s">
        <v>5030</v>
      </c>
      <c r="J1" s="18" t="s">
        <v>752</v>
      </c>
      <c r="K1" s="18" t="s">
        <v>715</v>
      </c>
      <c r="L1" s="18" t="s">
        <v>9016</v>
      </c>
      <c r="M1" s="18" t="s">
        <v>9017</v>
      </c>
      <c r="N1" s="18" t="s">
        <v>9018</v>
      </c>
      <c r="O1" s="18" t="s">
        <v>9019</v>
      </c>
      <c r="P1" s="18" t="s">
        <v>9020</v>
      </c>
      <c r="Q1" s="18" t="s">
        <v>9021</v>
      </c>
      <c r="R1" s="18" t="s">
        <v>9022</v>
      </c>
      <c r="S1" s="18" t="s">
        <v>9023</v>
      </c>
      <c r="T1" s="18" t="s">
        <v>9024</v>
      </c>
      <c r="U1" s="18" t="s">
        <v>9025</v>
      </c>
      <c r="V1" s="18" t="s">
        <v>698</v>
      </c>
      <c r="W1" s="18" t="s">
        <v>699</v>
      </c>
      <c r="X1" s="18" t="s">
        <v>6723</v>
      </c>
      <c r="Y1" s="1614" t="s">
        <v>9041</v>
      </c>
      <c r="Z1" s="1614" t="s">
        <v>9042</v>
      </c>
      <c r="AA1" s="1614" t="s">
        <v>9043</v>
      </c>
      <c r="AB1" s="18" t="s">
        <v>3189</v>
      </c>
      <c r="AC1" s="18" t="s">
        <v>9026</v>
      </c>
      <c r="AD1" s="18" t="s">
        <v>9027</v>
      </c>
      <c r="AE1" s="18" t="s">
        <v>9028</v>
      </c>
      <c r="AF1" s="18" t="s">
        <v>9029</v>
      </c>
      <c r="AG1" s="18" t="s">
        <v>9030</v>
      </c>
      <c r="AH1" s="18" t="s">
        <v>9031</v>
      </c>
      <c r="AI1" s="18" t="s">
        <v>9032</v>
      </c>
      <c r="AJ1" s="18" t="s">
        <v>9033</v>
      </c>
      <c r="AK1" s="18" t="s">
        <v>2139</v>
      </c>
      <c r="AL1" s="18" t="s">
        <v>955</v>
      </c>
      <c r="AM1" s="18" t="s">
        <v>9034</v>
      </c>
      <c r="AN1" s="18" t="s">
        <v>9035</v>
      </c>
      <c r="AO1" s="18"/>
      <c r="AP1" s="18"/>
      <c r="AQ1" s="18"/>
      <c r="AR1" s="18"/>
      <c r="AS1" s="18"/>
    </row>
    <row r="2" spans="1:45" x14ac:dyDescent="0.2">
      <c r="A2" s="18" t="str">
        <f>IF(HELDENNAME="","",HELDENNAME)</f>
        <v/>
      </c>
      <c r="B2" s="18" t="str">
        <f>IF(SPIELER="","",SPIELER)</f>
        <v/>
      </c>
      <c r="C2" s="18">
        <f ca="1">MU</f>
        <v>8</v>
      </c>
      <c r="D2" s="18">
        <f ca="1">KL</f>
        <v>8</v>
      </c>
      <c r="E2" s="18">
        <f ca="1">IN</f>
        <v>8</v>
      </c>
      <c r="F2" s="18">
        <f ca="1">CH</f>
        <v>8</v>
      </c>
      <c r="G2" s="18">
        <f ca="1">FF</f>
        <v>8</v>
      </c>
      <c r="H2" s="18">
        <f ca="1">GE</f>
        <v>8</v>
      </c>
      <c r="I2" s="18">
        <f ca="1">KO</f>
        <v>8</v>
      </c>
      <c r="J2" s="18">
        <f ca="1">KK</f>
        <v>8</v>
      </c>
      <c r="K2" s="18">
        <f ca="1">BE</f>
        <v>0</v>
      </c>
      <c r="L2" s="18">
        <f ca="1">SUM(IF(EXACT(KPFGESPÜR,""),0,2),IF(AND(IF(EXPERTE,EXPBE,BE)&lt;5,NOT(EXACT(KPFREFLEXE,""))),4,0),IF(Heldenbogen!Q34="",0,Heldenbogen!Q34), IF(HLOOKUP(RASSEGENE,RASSE,IDX_SF_KK,FALSE)="Goblin",2,0))</f>
        <v>0</v>
      </c>
      <c r="M2" s="18">
        <f ca="1">IF(OR(RASSEGENE="LEER",KULTURGENE="LEER",PROFGENE="LEER"),0,SUM(HLOOKUP(RASSEGENE,RASSE,3,FALSE),HLOOKUP(KULTURGENE,KULTUR,3,FALSE),ROUND((HLOOKUP(PROFGENE,INDIRECT(PROFGEBIET),3,FALSE)+IF(LEN(PROFZWEITE)&lt;1,0,HLOOKUP(PROFZWEITE,INDIRECT(PROFGEBIET2),3,FALSE)*0.5))*IF(VT_VETERAN,1.5,1),0),LEZU,IF(Heldenbogen!Q29="",0,Heldenbogen!Q29)))</f>
        <v>0</v>
      </c>
      <c r="N2" s="18">
        <f ca="1">LE</f>
        <v>12</v>
      </c>
      <c r="O2" s="18">
        <f ca="1">IF(OR(RASSEGENE="LEER",KULTURGENE="LEER",PROFGENE="LEER"),0,SUM(HLOOKUP(RASSEGENE,RASSE,5,FALSE),HLOOKUP(KULTURGENE,KULTUR,5,FALSE),ROUND((HLOOKUP(PROFGENE,INDIRECT(PROFGEBIET),5,FALSE)+IF(LEN(PROFZWEITE)&lt;1,0,HLOOKUP(PROFZWEITE,INDIRECT(PROFGEBIET2),5,FALSE)*0.5))*IF(VT_VETERAN,1.5,1),0),IF(VT_AU,VT_AU_WERT,0),AUZU,IF(Heldenbogen!Q30="",0,Heldenbogen!Q30)))</f>
        <v>0</v>
      </c>
      <c r="P2" s="18">
        <f ca="1">AU</f>
        <v>12</v>
      </c>
      <c r="Q2" s="18" t="str">
        <f ca="1">IF(MAGISCH,
ROUND(HLOOKUP(PROFGENE,INDIRECT(PROFGEBIET),4,FALSE)*IF(VT_VETERAN,1.5,1),0)+
IF(VT_VRTLZBR,-6,IF(VT_HALBZBR,6,IF(VT_VOLLZBR,12,0)))
+SUM(HLOOKUP(KULTURGENE,KULTUR,4,FALSE),ASPZU,IF(O31="",0,O31)),"")</f>
        <v/>
      </c>
      <c r="R2" s="18" t="str">
        <f ca="1">AsP</f>
        <v/>
      </c>
      <c r="S2" s="18">
        <f ca="1">SUM(IF(EXACT(PROFGRDGENE,"Goetterdiener"),HLOOKUP(PROFGENE,INDIRECT(PROFGEBIET),IDX_KE,FALSE),IF(AKTIV_GRGEIST="X",12,IF(PROFGEBZWEITE="Goetter (BGB)",HLOOKUP(PROFZWEITE,INDIRECT(PROFGEBIET2),IDX_KE,FALSE),0))),KEZU,IF(Heldenbogen!Q32="",0,Heldenbogen!Q32))</f>
        <v>0</v>
      </c>
      <c r="T2" s="18" t="str">
        <f>KE</f>
        <v/>
      </c>
      <c r="U2" s="18">
        <f ca="1">IF(OR(RASSEGENE="LEER",KULTURGENE="LEER",PROFGENE="LEER"),0,SUM(HLOOKUP(RASSEGENE,RASSE,6,FALSE),HLOOKUP(KULTURGENE,KULTUR,6,FALSE),HLOOKUP(PROFGENE,INDIRECT(PROFGEBIET),6,FALSE),IF(LEN(PROFZWEITE)&lt;1,0,HLOOKUP(PROFZWEITE,INDIRECT(PROFGEBIET2),6,FALSE)*0.5),IF(VT_MR,VT_MR_WERT,0),IF(EXACT(SF!$AT$53,""),0,IF(EXACT(SF!$AT$47,""),IF(EXACT(SF!$AT$46,""),0,3),7)),IF(VT_HALBZBR,IF(PROFGEBGENE="Magie",0,1),0),MRZU,IF(Heldenbogen!Q33="",0,Heldenbogen!Q33)))</f>
        <v>0</v>
      </c>
      <c r="V2" s="18">
        <f>Generierung!$D$5</f>
        <v>0</v>
      </c>
      <c r="W2" s="18">
        <f>Generierung!$D$6</f>
        <v>0</v>
      </c>
      <c r="X2" s="18">
        <f>Generierung!$D$9</f>
        <v>0</v>
      </c>
      <c r="Y2" s="18">
        <f ca="1">AT</f>
        <v>5</v>
      </c>
      <c r="Z2" s="18">
        <f ca="1">PA</f>
        <v>5</v>
      </c>
      <c r="AA2" s="18">
        <f ca="1">FK</f>
        <v>5</v>
      </c>
      <c r="AB2" s="18">
        <f>WUNDEN-1</f>
        <v>0</v>
      </c>
      <c r="AC2" s="18">
        <f>KOPF</f>
        <v>0</v>
      </c>
      <c r="AD2" s="18">
        <f>BRUST</f>
        <v>0</v>
      </c>
      <c r="AE2" s="18">
        <f>RUECKEN</f>
        <v>0</v>
      </c>
      <c r="AF2" s="18">
        <f>LARM</f>
        <v>0</v>
      </c>
      <c r="AG2" s="18">
        <f>RARM</f>
        <v>0</v>
      </c>
      <c r="AH2" s="18">
        <f>BAUCH</f>
        <v>0</v>
      </c>
      <c r="AI2" s="18">
        <f>BEINE</f>
        <v>0</v>
      </c>
      <c r="AJ2" s="18">
        <f>BEINE</f>
        <v>0</v>
      </c>
      <c r="AK2" s="18">
        <f ca="1">SO</f>
        <v>0</v>
      </c>
      <c r="AL2" s="1616">
        <f ca="1">Ausrüstung!B36*10+Ausrüstung!B37+IF(Ausrüstung!B38="",0,Ausrüstung!B38/10)+IF(Ausrüstung!B39="",0,Ausrüstung!B39/100)</f>
        <v>0.11</v>
      </c>
      <c r="AM2" s="18">
        <f ca="1">APGES+TL_GP+STARTAP2</f>
        <v>320</v>
      </c>
      <c r="AN2" s="18">
        <f ca="1">AM2-APGUT-TL_GP_UEBRIG-STARTAP2_UEBRIG</f>
        <v>0</v>
      </c>
      <c r="AO2" s="18"/>
      <c r="AP2" s="18"/>
      <c r="AQ2" s="18"/>
      <c r="AR2" s="18"/>
      <c r="AS2" s="18"/>
    </row>
  </sheetData>
  <pageMargins left="0.7" right="0.7" top="0.78740157499999996" bottom="0.78740157499999996"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tabColor theme="5"/>
  </sheetPr>
  <dimension ref="A1:F50"/>
  <sheetViews>
    <sheetView workbookViewId="0">
      <selection activeCell="P22" sqref="P22"/>
    </sheetView>
  </sheetViews>
  <sheetFormatPr baseColWidth="10" defaultRowHeight="12.75" x14ac:dyDescent="0.2"/>
  <cols>
    <col min="1" max="1" width="30" customWidth="1"/>
    <col min="2" max="2" width="39.5703125" customWidth="1"/>
    <col min="3" max="3" width="27.42578125" customWidth="1"/>
    <col min="5" max="5" width="36.140625" customWidth="1"/>
    <col min="6" max="6" width="17" customWidth="1"/>
  </cols>
  <sheetData>
    <row r="1" spans="1:6" x14ac:dyDescent="0.2">
      <c r="A1" s="1593" t="s">
        <v>403</v>
      </c>
      <c r="B1" s="1594" t="s">
        <v>4000</v>
      </c>
      <c r="C1" s="1595" t="s">
        <v>518</v>
      </c>
      <c r="E1" s="78" t="s">
        <v>9039</v>
      </c>
      <c r="F1" s="78" t="s">
        <v>9048</v>
      </c>
    </row>
    <row r="2" spans="1:6" x14ac:dyDescent="0.2">
      <c r="A2" s="1596" t="str">
        <f t="shared" ref="A2:A46" si="0">IF(ISERROR(LOOKUP(E2,VORTEILE)),"",LOOKUP(E2,VORTEILE))</f>
        <v>Ererbte Knochenkeule</v>
      </c>
      <c r="B2" s="18" t="str">
        <f>IF(A2="","",IF(LEN(E2)-LEN(A2)&gt;1,RIGHT(E2,LEN(E2)-LEN(A2)-1),""))</f>
        <v/>
      </c>
      <c r="C2" s="1597" t="b">
        <f>IF(E2="",FALSE,TRUE)</f>
        <v>1</v>
      </c>
      <c r="E2" s="886" t="str">
        <f>IF(NOT(VORTEILEGENE=""),LEFT(VORTEILEGENE,FIND(",",VORTEILEGENE)-1),"")</f>
        <v>Erst Rasse</v>
      </c>
      <c r="F2" s="1610" t="str">
        <f>IF(NOT(VORTEILEGENE=""),RIGHT(VORTEILEGENE,LEN(VORTEILEGENE)-LEN(E2)-2)&amp;", ","")</f>
        <v xml:space="preserve">Kultur &amp; Profession festlegen!, </v>
      </c>
    </row>
    <row r="3" spans="1:6" x14ac:dyDescent="0.2">
      <c r="A3" s="1596" t="str">
        <f t="shared" si="0"/>
        <v>Kräfteschub</v>
      </c>
      <c r="B3" s="18" t="str">
        <f t="shared" ref="B3:B46" si="1">IF(A3="","",IF(LEN(E3)-LEN(A3)&gt;1,RIGHT(E3,LEN(E3)-LEN(A3)-1),""))</f>
        <v>fession festlegen!</v>
      </c>
      <c r="C3" s="1597" t="b">
        <f t="shared" ref="C3:C46" si="2">IF(E3="",FALSE,TRUE)</f>
        <v>1</v>
      </c>
      <c r="E3" s="886" t="str">
        <f>IF(NOT(F2=""),LEFT(F2,FIND(",",F2)-1),"")</f>
        <v>Kultur &amp; Profession festlegen!</v>
      </c>
      <c r="F3" s="886" t="str">
        <f>IF(NOT(F2=""),RIGHT(F2,LEN(F2)-LEN(E3)-2),"")</f>
        <v/>
      </c>
    </row>
    <row r="4" spans="1:6" x14ac:dyDescent="0.2">
      <c r="A4" s="1596" t="str">
        <f t="shared" si="0"/>
        <v/>
      </c>
      <c r="B4" s="18" t="str">
        <f t="shared" si="1"/>
        <v/>
      </c>
      <c r="C4" s="1597" t="b">
        <f t="shared" si="2"/>
        <v>0</v>
      </c>
      <c r="E4" s="886" t="str">
        <f t="shared" ref="E4:E47" si="3">IF(NOT(F3=""),LEFT(F3,FIND(",",F3)-1),"")</f>
        <v/>
      </c>
      <c r="F4" s="886" t="str">
        <f t="shared" ref="F4:F47" si="4">IF(NOT(F3=""),RIGHT(F3,LEN(F3)-LEN(E4)-2),"")</f>
        <v/>
      </c>
    </row>
    <row r="5" spans="1:6" x14ac:dyDescent="0.2">
      <c r="A5" s="1596" t="str">
        <f t="shared" si="0"/>
        <v/>
      </c>
      <c r="B5" s="18" t="str">
        <f t="shared" si="1"/>
        <v/>
      </c>
      <c r="C5" s="1597" t="b">
        <f t="shared" si="2"/>
        <v>0</v>
      </c>
      <c r="E5" s="886" t="str">
        <f t="shared" si="3"/>
        <v/>
      </c>
      <c r="F5" s="886" t="str">
        <f t="shared" si="4"/>
        <v/>
      </c>
    </row>
    <row r="6" spans="1:6" x14ac:dyDescent="0.2">
      <c r="A6" s="1596" t="str">
        <f t="shared" si="0"/>
        <v/>
      </c>
      <c r="B6" s="18" t="str">
        <f t="shared" si="1"/>
        <v/>
      </c>
      <c r="C6" s="1597" t="b">
        <f t="shared" si="2"/>
        <v>0</v>
      </c>
      <c r="E6" s="886" t="str">
        <f t="shared" si="3"/>
        <v/>
      </c>
      <c r="F6" s="886" t="str">
        <f t="shared" si="4"/>
        <v/>
      </c>
    </row>
    <row r="7" spans="1:6" x14ac:dyDescent="0.2">
      <c r="A7" s="1596" t="str">
        <f t="shared" si="0"/>
        <v/>
      </c>
      <c r="B7" s="18" t="str">
        <f t="shared" si="1"/>
        <v/>
      </c>
      <c r="C7" s="1597" t="b">
        <f t="shared" si="2"/>
        <v>0</v>
      </c>
      <c r="E7" s="886" t="str">
        <f t="shared" si="3"/>
        <v/>
      </c>
      <c r="F7" s="886" t="str">
        <f t="shared" si="4"/>
        <v/>
      </c>
    </row>
    <row r="8" spans="1:6" x14ac:dyDescent="0.2">
      <c r="A8" s="1596" t="str">
        <f t="shared" si="0"/>
        <v/>
      </c>
      <c r="B8" s="18" t="str">
        <f t="shared" si="1"/>
        <v/>
      </c>
      <c r="C8" s="1597" t="b">
        <f t="shared" si="2"/>
        <v>0</v>
      </c>
      <c r="E8" s="886" t="str">
        <f t="shared" si="3"/>
        <v/>
      </c>
      <c r="F8" s="886" t="str">
        <f t="shared" si="4"/>
        <v/>
      </c>
    </row>
    <row r="9" spans="1:6" x14ac:dyDescent="0.2">
      <c r="A9" s="1596" t="str">
        <f t="shared" si="0"/>
        <v/>
      </c>
      <c r="B9" s="18" t="str">
        <f t="shared" si="1"/>
        <v/>
      </c>
      <c r="C9" s="1597" t="b">
        <f t="shared" si="2"/>
        <v>0</v>
      </c>
      <c r="E9" s="886" t="str">
        <f t="shared" si="3"/>
        <v/>
      </c>
      <c r="F9" s="886" t="str">
        <f t="shared" si="4"/>
        <v/>
      </c>
    </row>
    <row r="10" spans="1:6" x14ac:dyDescent="0.2">
      <c r="A10" s="1596" t="str">
        <f t="shared" si="0"/>
        <v/>
      </c>
      <c r="B10" s="18" t="str">
        <f t="shared" si="1"/>
        <v/>
      </c>
      <c r="C10" s="1597" t="b">
        <f t="shared" si="2"/>
        <v>0</v>
      </c>
      <c r="E10" s="886" t="str">
        <f t="shared" si="3"/>
        <v/>
      </c>
      <c r="F10" s="886" t="str">
        <f t="shared" si="4"/>
        <v/>
      </c>
    </row>
    <row r="11" spans="1:6" x14ac:dyDescent="0.2">
      <c r="A11" s="1596" t="str">
        <f t="shared" si="0"/>
        <v/>
      </c>
      <c r="B11" s="18" t="str">
        <f t="shared" si="1"/>
        <v/>
      </c>
      <c r="C11" s="1597" t="b">
        <f t="shared" si="2"/>
        <v>0</v>
      </c>
      <c r="E11" s="886" t="str">
        <f t="shared" si="3"/>
        <v/>
      </c>
      <c r="F11" s="886" t="str">
        <f t="shared" si="4"/>
        <v/>
      </c>
    </row>
    <row r="12" spans="1:6" x14ac:dyDescent="0.2">
      <c r="A12" s="1596" t="str">
        <f t="shared" si="0"/>
        <v/>
      </c>
      <c r="B12" s="18" t="str">
        <f t="shared" si="1"/>
        <v/>
      </c>
      <c r="C12" s="1597" t="b">
        <f t="shared" si="2"/>
        <v>0</v>
      </c>
      <c r="E12" s="886" t="str">
        <f t="shared" si="3"/>
        <v/>
      </c>
      <c r="F12" s="886" t="str">
        <f t="shared" si="4"/>
        <v/>
      </c>
    </row>
    <row r="13" spans="1:6" x14ac:dyDescent="0.2">
      <c r="A13" s="1596" t="str">
        <f t="shared" si="0"/>
        <v/>
      </c>
      <c r="B13" s="18" t="str">
        <f t="shared" si="1"/>
        <v/>
      </c>
      <c r="C13" s="1597" t="b">
        <f t="shared" si="2"/>
        <v>0</v>
      </c>
      <c r="E13" s="886" t="str">
        <f t="shared" si="3"/>
        <v/>
      </c>
      <c r="F13" s="886" t="str">
        <f t="shared" si="4"/>
        <v/>
      </c>
    </row>
    <row r="14" spans="1:6" x14ac:dyDescent="0.2">
      <c r="A14" s="1596" t="str">
        <f t="shared" si="0"/>
        <v/>
      </c>
      <c r="B14" s="18" t="str">
        <f t="shared" si="1"/>
        <v/>
      </c>
      <c r="C14" s="1597" t="b">
        <f t="shared" si="2"/>
        <v>0</v>
      </c>
      <c r="E14" s="886" t="str">
        <f t="shared" si="3"/>
        <v/>
      </c>
      <c r="F14" s="886" t="str">
        <f t="shared" si="4"/>
        <v/>
      </c>
    </row>
    <row r="15" spans="1:6" x14ac:dyDescent="0.2">
      <c r="A15" s="1596" t="str">
        <f t="shared" si="0"/>
        <v/>
      </c>
      <c r="B15" s="18" t="str">
        <f t="shared" si="1"/>
        <v/>
      </c>
      <c r="C15" s="1597" t="b">
        <f t="shared" si="2"/>
        <v>0</v>
      </c>
      <c r="E15" s="886" t="str">
        <f t="shared" si="3"/>
        <v/>
      </c>
      <c r="F15" s="886" t="str">
        <f t="shared" si="4"/>
        <v/>
      </c>
    </row>
    <row r="16" spans="1:6" x14ac:dyDescent="0.2">
      <c r="A16" s="1596" t="str">
        <f t="shared" si="0"/>
        <v/>
      </c>
      <c r="B16" s="18" t="str">
        <f t="shared" si="1"/>
        <v/>
      </c>
      <c r="C16" s="1597" t="b">
        <f t="shared" si="2"/>
        <v>0</v>
      </c>
      <c r="E16" s="886" t="str">
        <f t="shared" si="3"/>
        <v/>
      </c>
      <c r="F16" s="886" t="str">
        <f t="shared" si="4"/>
        <v/>
      </c>
    </row>
    <row r="17" spans="1:6" x14ac:dyDescent="0.2">
      <c r="A17" s="1596" t="str">
        <f t="shared" si="0"/>
        <v/>
      </c>
      <c r="B17" s="18" t="str">
        <f t="shared" si="1"/>
        <v/>
      </c>
      <c r="C17" s="1597" t="b">
        <f t="shared" si="2"/>
        <v>0</v>
      </c>
      <c r="E17" s="886" t="str">
        <f t="shared" si="3"/>
        <v/>
      </c>
      <c r="F17" s="886" t="str">
        <f t="shared" si="4"/>
        <v/>
      </c>
    </row>
    <row r="18" spans="1:6" x14ac:dyDescent="0.2">
      <c r="A18" s="1596" t="str">
        <f t="shared" si="0"/>
        <v/>
      </c>
      <c r="B18" s="18" t="str">
        <f t="shared" si="1"/>
        <v/>
      </c>
      <c r="C18" s="1597" t="b">
        <f t="shared" si="2"/>
        <v>0</v>
      </c>
      <c r="E18" s="886" t="str">
        <f t="shared" si="3"/>
        <v/>
      </c>
      <c r="F18" s="886" t="str">
        <f t="shared" si="4"/>
        <v/>
      </c>
    </row>
    <row r="19" spans="1:6" x14ac:dyDescent="0.2">
      <c r="A19" s="1596" t="str">
        <f t="shared" si="0"/>
        <v/>
      </c>
      <c r="B19" s="18" t="str">
        <f t="shared" si="1"/>
        <v/>
      </c>
      <c r="C19" s="1597" t="b">
        <f t="shared" si="2"/>
        <v>0</v>
      </c>
      <c r="E19" s="886" t="str">
        <f t="shared" si="3"/>
        <v/>
      </c>
      <c r="F19" s="886" t="str">
        <f t="shared" si="4"/>
        <v/>
      </c>
    </row>
    <row r="20" spans="1:6" x14ac:dyDescent="0.2">
      <c r="A20" s="1596" t="str">
        <f t="shared" si="0"/>
        <v/>
      </c>
      <c r="B20" s="18" t="str">
        <f t="shared" si="1"/>
        <v/>
      </c>
      <c r="C20" s="1597" t="b">
        <f t="shared" si="2"/>
        <v>0</v>
      </c>
      <c r="E20" s="886" t="str">
        <f t="shared" si="3"/>
        <v/>
      </c>
      <c r="F20" s="886" t="str">
        <f t="shared" si="4"/>
        <v/>
      </c>
    </row>
    <row r="21" spans="1:6" x14ac:dyDescent="0.2">
      <c r="A21" s="1596" t="str">
        <f t="shared" si="0"/>
        <v/>
      </c>
      <c r="B21" s="18" t="str">
        <f t="shared" si="1"/>
        <v/>
      </c>
      <c r="C21" s="1597" t="b">
        <f t="shared" si="2"/>
        <v>0</v>
      </c>
      <c r="E21" s="886" t="str">
        <f t="shared" si="3"/>
        <v/>
      </c>
      <c r="F21" s="886" t="str">
        <f t="shared" si="4"/>
        <v/>
      </c>
    </row>
    <row r="22" spans="1:6" x14ac:dyDescent="0.2">
      <c r="A22" s="1596" t="str">
        <f t="shared" si="0"/>
        <v/>
      </c>
      <c r="B22" s="18" t="str">
        <f t="shared" si="1"/>
        <v/>
      </c>
      <c r="C22" s="1597" t="b">
        <f t="shared" si="2"/>
        <v>0</v>
      </c>
      <c r="E22" s="886" t="str">
        <f t="shared" si="3"/>
        <v/>
      </c>
      <c r="F22" s="886" t="str">
        <f t="shared" si="4"/>
        <v/>
      </c>
    </row>
    <row r="23" spans="1:6" x14ac:dyDescent="0.2">
      <c r="A23" s="1596" t="str">
        <f t="shared" si="0"/>
        <v/>
      </c>
      <c r="B23" s="18" t="str">
        <f t="shared" si="1"/>
        <v/>
      </c>
      <c r="C23" s="1597" t="b">
        <f t="shared" si="2"/>
        <v>0</v>
      </c>
      <c r="E23" s="886" t="str">
        <f t="shared" si="3"/>
        <v/>
      </c>
      <c r="F23" s="886" t="str">
        <f t="shared" si="4"/>
        <v/>
      </c>
    </row>
    <row r="24" spans="1:6" x14ac:dyDescent="0.2">
      <c r="A24" s="1596" t="str">
        <f t="shared" si="0"/>
        <v/>
      </c>
      <c r="B24" s="18" t="str">
        <f t="shared" si="1"/>
        <v/>
      </c>
      <c r="C24" s="1597" t="b">
        <f t="shared" si="2"/>
        <v>0</v>
      </c>
      <c r="E24" s="886" t="str">
        <f t="shared" si="3"/>
        <v/>
      </c>
      <c r="F24" s="886" t="str">
        <f t="shared" si="4"/>
        <v/>
      </c>
    </row>
    <row r="25" spans="1:6" x14ac:dyDescent="0.2">
      <c r="A25" s="1596" t="str">
        <f t="shared" si="0"/>
        <v/>
      </c>
      <c r="B25" s="18" t="str">
        <f t="shared" si="1"/>
        <v/>
      </c>
      <c r="C25" s="1597" t="b">
        <f t="shared" si="2"/>
        <v>0</v>
      </c>
      <c r="E25" s="886" t="str">
        <f t="shared" si="3"/>
        <v/>
      </c>
      <c r="F25" s="886" t="str">
        <f t="shared" si="4"/>
        <v/>
      </c>
    </row>
    <row r="26" spans="1:6" x14ac:dyDescent="0.2">
      <c r="A26" s="1596" t="str">
        <f t="shared" si="0"/>
        <v/>
      </c>
      <c r="B26" s="18" t="str">
        <f t="shared" si="1"/>
        <v/>
      </c>
      <c r="C26" s="1597" t="b">
        <f t="shared" si="2"/>
        <v>0</v>
      </c>
      <c r="E26" s="886" t="str">
        <f t="shared" si="3"/>
        <v/>
      </c>
      <c r="F26" s="886" t="str">
        <f t="shared" si="4"/>
        <v/>
      </c>
    </row>
    <row r="27" spans="1:6" x14ac:dyDescent="0.2">
      <c r="A27" s="1596" t="str">
        <f t="shared" si="0"/>
        <v/>
      </c>
      <c r="B27" s="18" t="str">
        <f t="shared" si="1"/>
        <v/>
      </c>
      <c r="C27" s="1597" t="b">
        <f t="shared" si="2"/>
        <v>0</v>
      </c>
      <c r="E27" s="886" t="str">
        <f t="shared" si="3"/>
        <v/>
      </c>
      <c r="F27" s="886" t="str">
        <f t="shared" si="4"/>
        <v/>
      </c>
    </row>
    <row r="28" spans="1:6" x14ac:dyDescent="0.2">
      <c r="A28" s="1596" t="str">
        <f t="shared" si="0"/>
        <v/>
      </c>
      <c r="B28" s="18" t="str">
        <f t="shared" si="1"/>
        <v/>
      </c>
      <c r="C28" s="1597" t="b">
        <f t="shared" si="2"/>
        <v>0</v>
      </c>
      <c r="E28" s="886" t="str">
        <f t="shared" si="3"/>
        <v/>
      </c>
      <c r="F28" s="886" t="str">
        <f t="shared" si="4"/>
        <v/>
      </c>
    </row>
    <row r="29" spans="1:6" x14ac:dyDescent="0.2">
      <c r="A29" s="1596" t="str">
        <f t="shared" si="0"/>
        <v/>
      </c>
      <c r="B29" s="18" t="str">
        <f t="shared" si="1"/>
        <v/>
      </c>
      <c r="C29" s="1597" t="b">
        <f t="shared" si="2"/>
        <v>0</v>
      </c>
      <c r="E29" s="886" t="str">
        <f t="shared" si="3"/>
        <v/>
      </c>
      <c r="F29" s="886" t="str">
        <f t="shared" si="4"/>
        <v/>
      </c>
    </row>
    <row r="30" spans="1:6" x14ac:dyDescent="0.2">
      <c r="A30" s="1596" t="str">
        <f t="shared" si="0"/>
        <v/>
      </c>
      <c r="B30" s="18" t="str">
        <f t="shared" si="1"/>
        <v/>
      </c>
      <c r="C30" s="1597" t="b">
        <f t="shared" si="2"/>
        <v>0</v>
      </c>
      <c r="E30" s="886" t="str">
        <f t="shared" si="3"/>
        <v/>
      </c>
      <c r="F30" s="886" t="str">
        <f t="shared" si="4"/>
        <v/>
      </c>
    </row>
    <row r="31" spans="1:6" x14ac:dyDescent="0.2">
      <c r="A31" s="1596" t="str">
        <f t="shared" si="0"/>
        <v/>
      </c>
      <c r="B31" s="18" t="str">
        <f t="shared" si="1"/>
        <v/>
      </c>
      <c r="C31" s="1597" t="b">
        <f t="shared" si="2"/>
        <v>0</v>
      </c>
      <c r="E31" s="886" t="str">
        <f t="shared" si="3"/>
        <v/>
      </c>
      <c r="F31" s="886" t="str">
        <f t="shared" si="4"/>
        <v/>
      </c>
    </row>
    <row r="32" spans="1:6" x14ac:dyDescent="0.2">
      <c r="A32" s="1596" t="str">
        <f t="shared" si="0"/>
        <v/>
      </c>
      <c r="B32" s="18" t="str">
        <f t="shared" si="1"/>
        <v/>
      </c>
      <c r="C32" s="1597" t="b">
        <f t="shared" si="2"/>
        <v>0</v>
      </c>
      <c r="E32" s="886" t="str">
        <f t="shared" si="3"/>
        <v/>
      </c>
      <c r="F32" s="886" t="str">
        <f t="shared" si="4"/>
        <v/>
      </c>
    </row>
    <row r="33" spans="1:6" x14ac:dyDescent="0.2">
      <c r="A33" s="1596" t="str">
        <f t="shared" si="0"/>
        <v/>
      </c>
      <c r="B33" s="18" t="str">
        <f t="shared" si="1"/>
        <v/>
      </c>
      <c r="C33" s="1597" t="b">
        <f t="shared" si="2"/>
        <v>0</v>
      </c>
      <c r="E33" s="886" t="str">
        <f t="shared" si="3"/>
        <v/>
      </c>
      <c r="F33" s="886" t="str">
        <f t="shared" si="4"/>
        <v/>
      </c>
    </row>
    <row r="34" spans="1:6" x14ac:dyDescent="0.2">
      <c r="A34" s="1596" t="str">
        <f t="shared" si="0"/>
        <v/>
      </c>
      <c r="B34" s="18" t="str">
        <f t="shared" si="1"/>
        <v/>
      </c>
      <c r="C34" s="1597" t="b">
        <f t="shared" si="2"/>
        <v>0</v>
      </c>
      <c r="E34" s="886" t="str">
        <f t="shared" si="3"/>
        <v/>
      </c>
      <c r="F34" s="886" t="str">
        <f t="shared" si="4"/>
        <v/>
      </c>
    </row>
    <row r="35" spans="1:6" x14ac:dyDescent="0.2">
      <c r="A35" s="1596" t="str">
        <f t="shared" si="0"/>
        <v/>
      </c>
      <c r="B35" s="18" t="str">
        <f t="shared" si="1"/>
        <v/>
      </c>
      <c r="C35" s="1597" t="b">
        <f t="shared" si="2"/>
        <v>0</v>
      </c>
      <c r="E35" s="886" t="str">
        <f t="shared" si="3"/>
        <v/>
      </c>
      <c r="F35" s="886" t="str">
        <f t="shared" si="4"/>
        <v/>
      </c>
    </row>
    <row r="36" spans="1:6" x14ac:dyDescent="0.2">
      <c r="A36" s="1596" t="str">
        <f t="shared" si="0"/>
        <v/>
      </c>
      <c r="B36" s="18" t="str">
        <f t="shared" si="1"/>
        <v/>
      </c>
      <c r="C36" s="1597" t="b">
        <f t="shared" si="2"/>
        <v>0</v>
      </c>
      <c r="E36" s="886" t="str">
        <f t="shared" si="3"/>
        <v/>
      </c>
      <c r="F36" s="886" t="str">
        <f t="shared" si="4"/>
        <v/>
      </c>
    </row>
    <row r="37" spans="1:6" x14ac:dyDescent="0.2">
      <c r="A37" s="1596" t="str">
        <f t="shared" si="0"/>
        <v/>
      </c>
      <c r="B37" s="18" t="str">
        <f t="shared" si="1"/>
        <v/>
      </c>
      <c r="C37" s="1597" t="b">
        <f t="shared" si="2"/>
        <v>0</v>
      </c>
      <c r="E37" s="886" t="str">
        <f t="shared" si="3"/>
        <v/>
      </c>
      <c r="F37" s="886" t="str">
        <f t="shared" si="4"/>
        <v/>
      </c>
    </row>
    <row r="38" spans="1:6" x14ac:dyDescent="0.2">
      <c r="A38" s="1596" t="str">
        <f t="shared" si="0"/>
        <v/>
      </c>
      <c r="B38" s="18" t="str">
        <f t="shared" si="1"/>
        <v/>
      </c>
      <c r="C38" s="1597" t="b">
        <f t="shared" si="2"/>
        <v>0</v>
      </c>
      <c r="E38" s="886" t="str">
        <f t="shared" si="3"/>
        <v/>
      </c>
      <c r="F38" s="886" t="str">
        <f t="shared" si="4"/>
        <v/>
      </c>
    </row>
    <row r="39" spans="1:6" x14ac:dyDescent="0.2">
      <c r="A39" s="1596" t="str">
        <f t="shared" si="0"/>
        <v/>
      </c>
      <c r="B39" s="18" t="str">
        <f t="shared" si="1"/>
        <v/>
      </c>
      <c r="C39" s="1597" t="b">
        <f t="shared" si="2"/>
        <v>0</v>
      </c>
      <c r="E39" s="886" t="str">
        <f t="shared" si="3"/>
        <v/>
      </c>
      <c r="F39" s="886" t="str">
        <f t="shared" si="4"/>
        <v/>
      </c>
    </row>
    <row r="40" spans="1:6" x14ac:dyDescent="0.2">
      <c r="A40" s="1596" t="str">
        <f t="shared" si="0"/>
        <v/>
      </c>
      <c r="B40" s="18" t="str">
        <f t="shared" si="1"/>
        <v/>
      </c>
      <c r="C40" s="1597" t="b">
        <f t="shared" si="2"/>
        <v>0</v>
      </c>
      <c r="E40" s="886" t="str">
        <f t="shared" si="3"/>
        <v/>
      </c>
      <c r="F40" s="886" t="str">
        <f t="shared" si="4"/>
        <v/>
      </c>
    </row>
    <row r="41" spans="1:6" x14ac:dyDescent="0.2">
      <c r="A41" s="1596" t="str">
        <f t="shared" si="0"/>
        <v/>
      </c>
      <c r="B41" s="18" t="str">
        <f t="shared" si="1"/>
        <v/>
      </c>
      <c r="C41" s="1597" t="b">
        <f t="shared" si="2"/>
        <v>0</v>
      </c>
      <c r="E41" s="886" t="str">
        <f t="shared" si="3"/>
        <v/>
      </c>
      <c r="F41" s="886" t="str">
        <f t="shared" si="4"/>
        <v/>
      </c>
    </row>
    <row r="42" spans="1:6" x14ac:dyDescent="0.2">
      <c r="A42" s="1596" t="str">
        <f t="shared" si="0"/>
        <v/>
      </c>
      <c r="B42" s="18" t="str">
        <f t="shared" si="1"/>
        <v/>
      </c>
      <c r="C42" s="1597" t="b">
        <f t="shared" si="2"/>
        <v>0</v>
      </c>
      <c r="E42" s="886" t="str">
        <f t="shared" si="3"/>
        <v/>
      </c>
      <c r="F42" s="886" t="str">
        <f t="shared" si="4"/>
        <v/>
      </c>
    </row>
    <row r="43" spans="1:6" x14ac:dyDescent="0.2">
      <c r="A43" s="1596" t="str">
        <f t="shared" si="0"/>
        <v/>
      </c>
      <c r="B43" s="18" t="str">
        <f t="shared" si="1"/>
        <v/>
      </c>
      <c r="C43" s="1597" t="b">
        <f t="shared" si="2"/>
        <v>0</v>
      </c>
      <c r="E43" s="886" t="str">
        <f t="shared" si="3"/>
        <v/>
      </c>
      <c r="F43" s="886" t="str">
        <f t="shared" si="4"/>
        <v/>
      </c>
    </row>
    <row r="44" spans="1:6" x14ac:dyDescent="0.2">
      <c r="A44" s="1596" t="str">
        <f t="shared" si="0"/>
        <v/>
      </c>
      <c r="B44" s="18" t="str">
        <f t="shared" si="1"/>
        <v/>
      </c>
      <c r="C44" s="1597" t="b">
        <f t="shared" si="2"/>
        <v>0</v>
      </c>
      <c r="E44" s="886" t="str">
        <f t="shared" si="3"/>
        <v/>
      </c>
      <c r="F44" s="886" t="str">
        <f t="shared" si="4"/>
        <v/>
      </c>
    </row>
    <row r="45" spans="1:6" x14ac:dyDescent="0.2">
      <c r="A45" s="1596" t="str">
        <f t="shared" si="0"/>
        <v/>
      </c>
      <c r="B45" s="18" t="str">
        <f t="shared" si="1"/>
        <v/>
      </c>
      <c r="C45" s="1597" t="b">
        <f t="shared" si="2"/>
        <v>0</v>
      </c>
      <c r="E45" s="886" t="str">
        <f t="shared" si="3"/>
        <v/>
      </c>
      <c r="F45" s="886" t="str">
        <f t="shared" si="4"/>
        <v/>
      </c>
    </row>
    <row r="46" spans="1:6" x14ac:dyDescent="0.2">
      <c r="A46" s="1596" t="str">
        <f t="shared" si="0"/>
        <v/>
      </c>
      <c r="B46" s="18" t="str">
        <f t="shared" si="1"/>
        <v/>
      </c>
      <c r="C46" s="1597" t="b">
        <f t="shared" si="2"/>
        <v>0</v>
      </c>
      <c r="E46" s="886" t="str">
        <f t="shared" si="3"/>
        <v/>
      </c>
      <c r="F46" s="886" t="str">
        <f t="shared" si="4"/>
        <v/>
      </c>
    </row>
    <row r="47" spans="1:6" x14ac:dyDescent="0.2">
      <c r="A47" s="1596" t="str">
        <f>IF(ISERROR(LOOKUP(E47,VORTEILE)),"",LOOKUP(E47,VORTEILE))</f>
        <v/>
      </c>
      <c r="B47" s="18" t="str">
        <f>IF(A47="","",IF(LEN(E47)-LEN(A47)&gt;1,RIGHT(E47,LEN(E47)-LEN(A47)-1),""))</f>
        <v/>
      </c>
      <c r="C47" s="1597" t="b">
        <f>IF(E47="",FALSE,TRUE)</f>
        <v>0</v>
      </c>
      <c r="E47" s="886" t="str">
        <f t="shared" si="3"/>
        <v/>
      </c>
      <c r="F47" s="886" t="str">
        <f t="shared" si="4"/>
        <v/>
      </c>
    </row>
    <row r="48" spans="1:6" x14ac:dyDescent="0.2">
      <c r="A48" s="1596" t="str">
        <f>IF(ISERROR(LOOKUP(E48,VORTEILE)),"",LOOKUP(E48,VORTEILE))</f>
        <v/>
      </c>
      <c r="B48" s="18" t="str">
        <f>IF(A48="","",IF(LEN(E48)-LEN(A48)&gt;1,RIGHT(E48,LEN(E48)-LEN(A48)-1),""))</f>
        <v/>
      </c>
      <c r="C48" s="1597" t="b">
        <f>IF(E48="",FALSE,TRUE)</f>
        <v>0</v>
      </c>
    </row>
    <row r="49" spans="1:3" x14ac:dyDescent="0.2">
      <c r="A49" s="1596" t="str">
        <f>IF(ISERROR(LOOKUP(E49,VORTEILE)),"",LOOKUP(E49,VORTEILE))</f>
        <v/>
      </c>
      <c r="B49" s="18" t="str">
        <f>IF(A49="","",IF(LEN(E49)-LEN(A49)&gt;1,RIGHT(E49,LEN(E49)-LEN(A49)-1),""))</f>
        <v/>
      </c>
      <c r="C49" s="1597" t="b">
        <f>IF(E49="",FALSE,TRUE)</f>
        <v>0</v>
      </c>
    </row>
    <row r="50" spans="1:3" ht="13.5" thickBot="1" x14ac:dyDescent="0.25">
      <c r="A50" s="1598" t="str">
        <f>IF(ISERROR(LOOKUP(E50,VORTEILE)),"",LOOKUP(E50,VORTEILE))</f>
        <v/>
      </c>
      <c r="B50" s="1599" t="str">
        <f>IF(A50="","",IF(LEN(E50)-LEN(A50)&gt;1,RIGHT(E50,LEN(E50)-LEN(A50)-1),""))</f>
        <v/>
      </c>
      <c r="C50" s="1600" t="b">
        <f>IF(E50="",FALSE,TRUE)</f>
        <v>0</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tabColor theme="5"/>
  </sheetPr>
  <dimension ref="A1:F50"/>
  <sheetViews>
    <sheetView workbookViewId="0">
      <selection activeCell="P22" sqref="P22"/>
    </sheetView>
  </sheetViews>
  <sheetFormatPr baseColWidth="10" defaultRowHeight="12.75" x14ac:dyDescent="0.2"/>
  <cols>
    <col min="1" max="1" width="30" customWidth="1"/>
    <col min="2" max="2" width="19.140625" customWidth="1"/>
    <col min="5" max="5" width="46.42578125" customWidth="1"/>
  </cols>
  <sheetData>
    <row r="1" spans="1:6" x14ac:dyDescent="0.2">
      <c r="A1" s="1593" t="s">
        <v>403</v>
      </c>
      <c r="B1" s="1594" t="s">
        <v>4000</v>
      </c>
      <c r="C1" s="1595" t="s">
        <v>518</v>
      </c>
      <c r="E1" s="78" t="s">
        <v>9039</v>
      </c>
      <c r="F1" s="78" t="s">
        <v>9048</v>
      </c>
    </row>
    <row r="2" spans="1:6" x14ac:dyDescent="0.2">
      <c r="A2" s="1596" t="str">
        <f t="shared" ref="A2:A44" si="0">IF(ISERROR(FIND("Angst vor",E2)),
IF(ISERROR(FIND("Weltfremd",E2)),
IF(ISERROR(LOOKUP(E2,NACHTEILE)),"",LOOKUP(E2,NACHTEILE)),
"Weltfremd"),
"Angst vor")</f>
        <v>Elfische Weltsicht</v>
      </c>
      <c r="B2" s="18" t="str">
        <f>IF(A2="","",IF(LEN(E2)-LEN(A2)&gt;1,RIGHT(E2,LEN(E2)-LEN(A2)-1),""))</f>
        <v/>
      </c>
      <c r="C2" s="1597" t="b">
        <f>IF(E2="",FALSE,TRUE)</f>
        <v>1</v>
      </c>
      <c r="E2" s="886" t="str">
        <f>IF(ISERROR(FIND(",",NACHTEILEGENE)),NACHTEILEGENE,
IF(NOT(NACHTEILEGENE=""),LEFT(NACHTEILEGENE,FIND(",",NACHTEILEGENE)-1),""))</f>
        <v>Erst Rasse</v>
      </c>
      <c r="F2" s="1610" t="str">
        <f>IF(ISERROR(FIND(",",NACHTEILEGENE)),"",IF(NOT(NACHTEILEGENE=""),RIGHT(NACHTEILEGENE,LEN(NACHTEILEGENE)-LEN(E2)-2)&amp;", ",""))</f>
        <v xml:space="preserve">Kultur  &amp; Profession festlegen!, </v>
      </c>
    </row>
    <row r="3" spans="1:6" x14ac:dyDescent="0.2">
      <c r="A3" s="1596" t="str">
        <f t="shared" si="0"/>
        <v>Kristallgebunden</v>
      </c>
      <c r="B3" s="18" t="str">
        <f t="shared" ref="B3:B44" si="1">IF(A3="","",IF(LEN(E3)-LEN(A3)&gt;1,RIGHT(E3,LEN(E3)-LEN(A3)-1),""))</f>
        <v>ion festlegen!</v>
      </c>
      <c r="C3" s="1597" t="b">
        <f t="shared" ref="C3:C44" si="2">IF(E3="",FALSE,TRUE)</f>
        <v>1</v>
      </c>
      <c r="E3" s="886" t="str">
        <f>IF(NOT(F2=""),LEFT(F2,FIND(",",F2)-1),"")</f>
        <v>Kultur  &amp; Profession festlegen!</v>
      </c>
      <c r="F3" s="886" t="str">
        <f>IF(NOT(F2=""),RIGHT(F2,LEN(F2)-LEN(E3)-2),"")</f>
        <v/>
      </c>
    </row>
    <row r="4" spans="1:6" x14ac:dyDescent="0.2">
      <c r="A4" s="1596" t="str">
        <f t="shared" si="0"/>
        <v/>
      </c>
      <c r="B4" s="18" t="str">
        <f t="shared" si="1"/>
        <v/>
      </c>
      <c r="C4" s="1597" t="b">
        <f t="shared" si="2"/>
        <v>0</v>
      </c>
      <c r="E4" s="886" t="str">
        <f t="shared" ref="E4:E47" si="3">IF(NOT(F3=""),LEFT(F3,FIND(",",F3)-1),"")</f>
        <v/>
      </c>
      <c r="F4" s="886" t="str">
        <f t="shared" ref="F4:F47" si="4">IF(NOT(F3=""),RIGHT(F3,LEN(F3)-LEN(E4)-2),"")</f>
        <v/>
      </c>
    </row>
    <row r="5" spans="1:6" x14ac:dyDescent="0.2">
      <c r="A5" s="1596" t="str">
        <f t="shared" si="0"/>
        <v/>
      </c>
      <c r="B5" s="18" t="str">
        <f t="shared" si="1"/>
        <v/>
      </c>
      <c r="C5" s="1597" t="b">
        <f t="shared" si="2"/>
        <v>0</v>
      </c>
      <c r="E5" s="886" t="str">
        <f t="shared" si="3"/>
        <v/>
      </c>
      <c r="F5" s="886" t="str">
        <f t="shared" si="4"/>
        <v/>
      </c>
    </row>
    <row r="6" spans="1:6" x14ac:dyDescent="0.2">
      <c r="A6" s="1596" t="str">
        <f t="shared" si="0"/>
        <v/>
      </c>
      <c r="B6" s="18" t="str">
        <f t="shared" si="1"/>
        <v/>
      </c>
      <c r="C6" s="1597" t="b">
        <f t="shared" si="2"/>
        <v>0</v>
      </c>
      <c r="E6" s="886" t="str">
        <f t="shared" si="3"/>
        <v/>
      </c>
      <c r="F6" s="886" t="str">
        <f t="shared" si="4"/>
        <v/>
      </c>
    </row>
    <row r="7" spans="1:6" x14ac:dyDescent="0.2">
      <c r="A7" s="1596" t="str">
        <f t="shared" si="0"/>
        <v/>
      </c>
      <c r="B7" s="18" t="str">
        <f t="shared" si="1"/>
        <v/>
      </c>
      <c r="C7" s="1597" t="b">
        <f t="shared" si="2"/>
        <v>0</v>
      </c>
      <c r="E7" s="886" t="str">
        <f t="shared" si="3"/>
        <v/>
      </c>
      <c r="F7" s="886" t="str">
        <f t="shared" si="4"/>
        <v/>
      </c>
    </row>
    <row r="8" spans="1:6" x14ac:dyDescent="0.2">
      <c r="A8" s="1596" t="str">
        <f t="shared" si="0"/>
        <v/>
      </c>
      <c r="B8" s="18" t="str">
        <f t="shared" si="1"/>
        <v/>
      </c>
      <c r="C8" s="1597" t="b">
        <f t="shared" si="2"/>
        <v>0</v>
      </c>
      <c r="E8" s="886" t="str">
        <f t="shared" si="3"/>
        <v/>
      </c>
      <c r="F8" s="886" t="str">
        <f t="shared" si="4"/>
        <v/>
      </c>
    </row>
    <row r="9" spans="1:6" x14ac:dyDescent="0.2">
      <c r="A9" s="1596" t="str">
        <f t="shared" si="0"/>
        <v/>
      </c>
      <c r="B9" s="18" t="str">
        <f t="shared" si="1"/>
        <v/>
      </c>
      <c r="C9" s="1597" t="b">
        <f t="shared" si="2"/>
        <v>0</v>
      </c>
      <c r="E9" s="886" t="str">
        <f t="shared" si="3"/>
        <v/>
      </c>
      <c r="F9" s="886" t="str">
        <f t="shared" si="4"/>
        <v/>
      </c>
    </row>
    <row r="10" spans="1:6" x14ac:dyDescent="0.2">
      <c r="A10" s="1596" t="str">
        <f t="shared" si="0"/>
        <v/>
      </c>
      <c r="B10" s="18" t="str">
        <f t="shared" si="1"/>
        <v/>
      </c>
      <c r="C10" s="1597" t="b">
        <f t="shared" si="2"/>
        <v>0</v>
      </c>
      <c r="E10" s="886" t="str">
        <f t="shared" si="3"/>
        <v/>
      </c>
      <c r="F10" s="886" t="str">
        <f t="shared" si="4"/>
        <v/>
      </c>
    </row>
    <row r="11" spans="1:6" x14ac:dyDescent="0.2">
      <c r="A11" s="1596" t="str">
        <f t="shared" si="0"/>
        <v/>
      </c>
      <c r="B11" s="18" t="str">
        <f t="shared" si="1"/>
        <v/>
      </c>
      <c r="C11" s="1597" t="b">
        <f t="shared" si="2"/>
        <v>0</v>
      </c>
      <c r="E11" s="886" t="str">
        <f t="shared" si="3"/>
        <v/>
      </c>
      <c r="F11" s="886" t="str">
        <f t="shared" si="4"/>
        <v/>
      </c>
    </row>
    <row r="12" spans="1:6" x14ac:dyDescent="0.2">
      <c r="A12" s="1596" t="str">
        <f t="shared" si="0"/>
        <v/>
      </c>
      <c r="B12" s="18" t="str">
        <f t="shared" si="1"/>
        <v/>
      </c>
      <c r="C12" s="1597" t="b">
        <f t="shared" si="2"/>
        <v>0</v>
      </c>
      <c r="E12" s="886" t="str">
        <f t="shared" si="3"/>
        <v/>
      </c>
      <c r="F12" s="886" t="str">
        <f t="shared" si="4"/>
        <v/>
      </c>
    </row>
    <row r="13" spans="1:6" x14ac:dyDescent="0.2">
      <c r="A13" s="1596" t="str">
        <f t="shared" si="0"/>
        <v/>
      </c>
      <c r="B13" s="18" t="str">
        <f t="shared" si="1"/>
        <v/>
      </c>
      <c r="C13" s="1597" t="b">
        <f t="shared" si="2"/>
        <v>0</v>
      </c>
      <c r="E13" s="886" t="str">
        <f t="shared" si="3"/>
        <v/>
      </c>
      <c r="F13" s="886" t="str">
        <f t="shared" si="4"/>
        <v/>
      </c>
    </row>
    <row r="14" spans="1:6" x14ac:dyDescent="0.2">
      <c r="A14" s="1596" t="str">
        <f t="shared" si="0"/>
        <v/>
      </c>
      <c r="B14" s="18" t="str">
        <f t="shared" si="1"/>
        <v/>
      </c>
      <c r="C14" s="1597" t="b">
        <f t="shared" si="2"/>
        <v>0</v>
      </c>
      <c r="E14" s="886" t="str">
        <f t="shared" si="3"/>
        <v/>
      </c>
      <c r="F14" s="886" t="str">
        <f t="shared" si="4"/>
        <v/>
      </c>
    </row>
    <row r="15" spans="1:6" x14ac:dyDescent="0.2">
      <c r="A15" s="1596" t="str">
        <f t="shared" si="0"/>
        <v/>
      </c>
      <c r="B15" s="18" t="str">
        <f t="shared" si="1"/>
        <v/>
      </c>
      <c r="C15" s="1597" t="b">
        <f t="shared" si="2"/>
        <v>0</v>
      </c>
      <c r="E15" s="886" t="str">
        <f t="shared" si="3"/>
        <v/>
      </c>
      <c r="F15" s="886" t="str">
        <f t="shared" si="4"/>
        <v/>
      </c>
    </row>
    <row r="16" spans="1:6" x14ac:dyDescent="0.2">
      <c r="A16" s="1596" t="str">
        <f t="shared" si="0"/>
        <v/>
      </c>
      <c r="B16" s="18" t="str">
        <f t="shared" si="1"/>
        <v/>
      </c>
      <c r="C16" s="1597" t="b">
        <f t="shared" si="2"/>
        <v>0</v>
      </c>
      <c r="E16" s="886" t="str">
        <f t="shared" si="3"/>
        <v/>
      </c>
      <c r="F16" s="886" t="str">
        <f t="shared" si="4"/>
        <v/>
      </c>
    </row>
    <row r="17" spans="1:6" x14ac:dyDescent="0.2">
      <c r="A17" s="1596" t="str">
        <f t="shared" si="0"/>
        <v/>
      </c>
      <c r="B17" s="18" t="str">
        <f t="shared" si="1"/>
        <v/>
      </c>
      <c r="C17" s="1597" t="b">
        <f t="shared" si="2"/>
        <v>0</v>
      </c>
      <c r="E17" s="886" t="str">
        <f t="shared" si="3"/>
        <v/>
      </c>
      <c r="F17" s="886" t="str">
        <f t="shared" si="4"/>
        <v/>
      </c>
    </row>
    <row r="18" spans="1:6" x14ac:dyDescent="0.2">
      <c r="A18" s="1596" t="str">
        <f t="shared" si="0"/>
        <v/>
      </c>
      <c r="B18" s="18" t="str">
        <f t="shared" si="1"/>
        <v/>
      </c>
      <c r="C18" s="1597" t="b">
        <f t="shared" si="2"/>
        <v>0</v>
      </c>
      <c r="E18" s="886" t="str">
        <f t="shared" si="3"/>
        <v/>
      </c>
      <c r="F18" s="886" t="str">
        <f t="shared" si="4"/>
        <v/>
      </c>
    </row>
    <row r="19" spans="1:6" x14ac:dyDescent="0.2">
      <c r="A19" s="1596" t="str">
        <f t="shared" si="0"/>
        <v/>
      </c>
      <c r="B19" s="18" t="str">
        <f t="shared" si="1"/>
        <v/>
      </c>
      <c r="C19" s="1597" t="b">
        <f t="shared" si="2"/>
        <v>0</v>
      </c>
      <c r="E19" s="886" t="str">
        <f t="shared" si="3"/>
        <v/>
      </c>
      <c r="F19" s="886" t="str">
        <f t="shared" si="4"/>
        <v/>
      </c>
    </row>
    <row r="20" spans="1:6" x14ac:dyDescent="0.2">
      <c r="A20" s="1596" t="str">
        <f t="shared" si="0"/>
        <v/>
      </c>
      <c r="B20" s="18" t="str">
        <f t="shared" si="1"/>
        <v/>
      </c>
      <c r="C20" s="1597" t="b">
        <f t="shared" si="2"/>
        <v>0</v>
      </c>
      <c r="E20" s="886" t="str">
        <f t="shared" si="3"/>
        <v/>
      </c>
      <c r="F20" s="886" t="str">
        <f t="shared" si="4"/>
        <v/>
      </c>
    </row>
    <row r="21" spans="1:6" x14ac:dyDescent="0.2">
      <c r="A21" s="1596" t="str">
        <f t="shared" si="0"/>
        <v/>
      </c>
      <c r="B21" s="18" t="str">
        <f t="shared" si="1"/>
        <v/>
      </c>
      <c r="C21" s="1597" t="b">
        <f t="shared" si="2"/>
        <v>0</v>
      </c>
      <c r="E21" s="886" t="str">
        <f t="shared" si="3"/>
        <v/>
      </c>
      <c r="F21" s="886" t="str">
        <f t="shared" si="4"/>
        <v/>
      </c>
    </row>
    <row r="22" spans="1:6" x14ac:dyDescent="0.2">
      <c r="A22" s="1596" t="str">
        <f t="shared" si="0"/>
        <v/>
      </c>
      <c r="B22" s="18" t="str">
        <f t="shared" si="1"/>
        <v/>
      </c>
      <c r="C22" s="1597" t="b">
        <f t="shared" si="2"/>
        <v>0</v>
      </c>
      <c r="E22" s="886" t="str">
        <f t="shared" si="3"/>
        <v/>
      </c>
      <c r="F22" s="886" t="str">
        <f t="shared" si="4"/>
        <v/>
      </c>
    </row>
    <row r="23" spans="1:6" x14ac:dyDescent="0.2">
      <c r="A23" s="1596" t="str">
        <f t="shared" si="0"/>
        <v/>
      </c>
      <c r="B23" s="18" t="str">
        <f t="shared" si="1"/>
        <v/>
      </c>
      <c r="C23" s="1597" t="b">
        <f t="shared" si="2"/>
        <v>0</v>
      </c>
      <c r="E23" s="886" t="str">
        <f t="shared" si="3"/>
        <v/>
      </c>
      <c r="F23" s="886" t="str">
        <f t="shared" si="4"/>
        <v/>
      </c>
    </row>
    <row r="24" spans="1:6" x14ac:dyDescent="0.2">
      <c r="A24" s="1596" t="str">
        <f t="shared" si="0"/>
        <v/>
      </c>
      <c r="B24" s="18" t="str">
        <f t="shared" si="1"/>
        <v/>
      </c>
      <c r="C24" s="1597" t="b">
        <f t="shared" si="2"/>
        <v>0</v>
      </c>
      <c r="E24" s="886" t="str">
        <f t="shared" si="3"/>
        <v/>
      </c>
      <c r="F24" s="886" t="str">
        <f t="shared" si="4"/>
        <v/>
      </c>
    </row>
    <row r="25" spans="1:6" x14ac:dyDescent="0.2">
      <c r="A25" s="1596" t="str">
        <f t="shared" si="0"/>
        <v/>
      </c>
      <c r="B25" s="18" t="str">
        <f t="shared" si="1"/>
        <v/>
      </c>
      <c r="C25" s="1597" t="b">
        <f t="shared" si="2"/>
        <v>0</v>
      </c>
      <c r="E25" s="886" t="str">
        <f t="shared" si="3"/>
        <v/>
      </c>
      <c r="F25" s="886" t="str">
        <f t="shared" si="4"/>
        <v/>
      </c>
    </row>
    <row r="26" spans="1:6" x14ac:dyDescent="0.2">
      <c r="A26" s="1596" t="str">
        <f t="shared" si="0"/>
        <v/>
      </c>
      <c r="B26" s="18" t="str">
        <f t="shared" si="1"/>
        <v/>
      </c>
      <c r="C26" s="1597" t="b">
        <f t="shared" si="2"/>
        <v>0</v>
      </c>
      <c r="E26" s="886" t="str">
        <f t="shared" si="3"/>
        <v/>
      </c>
      <c r="F26" s="886" t="str">
        <f t="shared" si="4"/>
        <v/>
      </c>
    </row>
    <row r="27" spans="1:6" x14ac:dyDescent="0.2">
      <c r="A27" s="1596" t="str">
        <f t="shared" si="0"/>
        <v/>
      </c>
      <c r="B27" s="18" t="str">
        <f t="shared" si="1"/>
        <v/>
      </c>
      <c r="C27" s="1597" t="b">
        <f t="shared" si="2"/>
        <v>0</v>
      </c>
      <c r="E27" s="886" t="str">
        <f t="shared" si="3"/>
        <v/>
      </c>
      <c r="F27" s="886" t="str">
        <f t="shared" si="4"/>
        <v/>
      </c>
    </row>
    <row r="28" spans="1:6" x14ac:dyDescent="0.2">
      <c r="A28" s="1596" t="str">
        <f t="shared" si="0"/>
        <v/>
      </c>
      <c r="B28" s="18" t="str">
        <f t="shared" si="1"/>
        <v/>
      </c>
      <c r="C28" s="1597" t="b">
        <f t="shared" si="2"/>
        <v>0</v>
      </c>
      <c r="E28" s="886" t="str">
        <f t="shared" si="3"/>
        <v/>
      </c>
      <c r="F28" s="886" t="str">
        <f t="shared" si="4"/>
        <v/>
      </c>
    </row>
    <row r="29" spans="1:6" x14ac:dyDescent="0.2">
      <c r="A29" s="1596" t="str">
        <f t="shared" si="0"/>
        <v/>
      </c>
      <c r="B29" s="18" t="str">
        <f t="shared" si="1"/>
        <v/>
      </c>
      <c r="C29" s="1597" t="b">
        <f t="shared" si="2"/>
        <v>0</v>
      </c>
      <c r="E29" s="886" t="str">
        <f t="shared" si="3"/>
        <v/>
      </c>
      <c r="F29" s="886" t="str">
        <f t="shared" si="4"/>
        <v/>
      </c>
    </row>
    <row r="30" spans="1:6" x14ac:dyDescent="0.2">
      <c r="A30" s="1596" t="str">
        <f t="shared" si="0"/>
        <v/>
      </c>
      <c r="B30" s="18" t="str">
        <f t="shared" si="1"/>
        <v/>
      </c>
      <c r="C30" s="1597" t="b">
        <f t="shared" si="2"/>
        <v>0</v>
      </c>
      <c r="E30" s="886" t="str">
        <f t="shared" si="3"/>
        <v/>
      </c>
      <c r="F30" s="886" t="str">
        <f t="shared" si="4"/>
        <v/>
      </c>
    </row>
    <row r="31" spans="1:6" x14ac:dyDescent="0.2">
      <c r="A31" s="1596" t="str">
        <f t="shared" si="0"/>
        <v/>
      </c>
      <c r="B31" s="18" t="str">
        <f t="shared" si="1"/>
        <v/>
      </c>
      <c r="C31" s="1597" t="b">
        <f t="shared" si="2"/>
        <v>0</v>
      </c>
      <c r="E31" s="886" t="str">
        <f t="shared" si="3"/>
        <v/>
      </c>
      <c r="F31" s="886" t="str">
        <f t="shared" si="4"/>
        <v/>
      </c>
    </row>
    <row r="32" spans="1:6" x14ac:dyDescent="0.2">
      <c r="A32" s="1596" t="str">
        <f t="shared" si="0"/>
        <v/>
      </c>
      <c r="B32" s="18" t="str">
        <f t="shared" si="1"/>
        <v/>
      </c>
      <c r="C32" s="1597" t="b">
        <f t="shared" si="2"/>
        <v>0</v>
      </c>
      <c r="E32" s="886" t="str">
        <f t="shared" si="3"/>
        <v/>
      </c>
      <c r="F32" s="886" t="str">
        <f t="shared" si="4"/>
        <v/>
      </c>
    </row>
    <row r="33" spans="1:6" x14ac:dyDescent="0.2">
      <c r="A33" s="1596" t="str">
        <f t="shared" si="0"/>
        <v/>
      </c>
      <c r="B33" s="18" t="str">
        <f t="shared" si="1"/>
        <v/>
      </c>
      <c r="C33" s="1597" t="b">
        <f t="shared" si="2"/>
        <v>0</v>
      </c>
      <c r="E33" s="886" t="str">
        <f t="shared" si="3"/>
        <v/>
      </c>
      <c r="F33" s="886" t="str">
        <f t="shared" si="4"/>
        <v/>
      </c>
    </row>
    <row r="34" spans="1:6" x14ac:dyDescent="0.2">
      <c r="A34" s="1596" t="str">
        <f t="shared" si="0"/>
        <v/>
      </c>
      <c r="B34" s="18" t="str">
        <f t="shared" si="1"/>
        <v/>
      </c>
      <c r="C34" s="1597" t="b">
        <f t="shared" si="2"/>
        <v>0</v>
      </c>
      <c r="E34" s="886" t="str">
        <f t="shared" si="3"/>
        <v/>
      </c>
      <c r="F34" s="886" t="str">
        <f t="shared" si="4"/>
        <v/>
      </c>
    </row>
    <row r="35" spans="1:6" x14ac:dyDescent="0.2">
      <c r="A35" s="1596" t="str">
        <f t="shared" si="0"/>
        <v/>
      </c>
      <c r="B35" s="18" t="str">
        <f t="shared" si="1"/>
        <v/>
      </c>
      <c r="C35" s="1597" t="b">
        <f t="shared" si="2"/>
        <v>0</v>
      </c>
      <c r="E35" s="886" t="str">
        <f t="shared" si="3"/>
        <v/>
      </c>
      <c r="F35" s="886" t="str">
        <f t="shared" si="4"/>
        <v/>
      </c>
    </row>
    <row r="36" spans="1:6" x14ac:dyDescent="0.2">
      <c r="A36" s="1596" t="str">
        <f t="shared" si="0"/>
        <v/>
      </c>
      <c r="B36" s="18" t="str">
        <f t="shared" si="1"/>
        <v/>
      </c>
      <c r="C36" s="1597" t="b">
        <f t="shared" si="2"/>
        <v>0</v>
      </c>
      <c r="E36" s="886" t="str">
        <f t="shared" si="3"/>
        <v/>
      </c>
      <c r="F36" s="886" t="str">
        <f t="shared" si="4"/>
        <v/>
      </c>
    </row>
    <row r="37" spans="1:6" x14ac:dyDescent="0.2">
      <c r="A37" s="1596" t="str">
        <f t="shared" si="0"/>
        <v/>
      </c>
      <c r="B37" s="18" t="str">
        <f t="shared" si="1"/>
        <v/>
      </c>
      <c r="C37" s="1597" t="b">
        <f t="shared" si="2"/>
        <v>0</v>
      </c>
      <c r="E37" s="886" t="str">
        <f t="shared" si="3"/>
        <v/>
      </c>
      <c r="F37" s="886" t="str">
        <f t="shared" si="4"/>
        <v/>
      </c>
    </row>
    <row r="38" spans="1:6" x14ac:dyDescent="0.2">
      <c r="A38" s="1596" t="str">
        <f t="shared" si="0"/>
        <v/>
      </c>
      <c r="B38" s="18" t="str">
        <f t="shared" si="1"/>
        <v/>
      </c>
      <c r="C38" s="1597" t="b">
        <f t="shared" si="2"/>
        <v>0</v>
      </c>
      <c r="E38" s="886" t="str">
        <f t="shared" si="3"/>
        <v/>
      </c>
      <c r="F38" s="886" t="str">
        <f t="shared" si="4"/>
        <v/>
      </c>
    </row>
    <row r="39" spans="1:6" x14ac:dyDescent="0.2">
      <c r="A39" s="1596" t="str">
        <f t="shared" si="0"/>
        <v/>
      </c>
      <c r="B39" s="18" t="str">
        <f t="shared" si="1"/>
        <v/>
      </c>
      <c r="C39" s="1597" t="b">
        <f t="shared" si="2"/>
        <v>0</v>
      </c>
      <c r="E39" s="886" t="str">
        <f t="shared" si="3"/>
        <v/>
      </c>
      <c r="F39" s="886" t="str">
        <f t="shared" si="4"/>
        <v/>
      </c>
    </row>
    <row r="40" spans="1:6" x14ac:dyDescent="0.2">
      <c r="A40" s="1596" t="str">
        <f t="shared" si="0"/>
        <v/>
      </c>
      <c r="B40" s="18" t="str">
        <f t="shared" si="1"/>
        <v/>
      </c>
      <c r="C40" s="1597" t="b">
        <f t="shared" si="2"/>
        <v>0</v>
      </c>
      <c r="E40" s="886" t="str">
        <f t="shared" si="3"/>
        <v/>
      </c>
      <c r="F40" s="886" t="str">
        <f t="shared" si="4"/>
        <v/>
      </c>
    </row>
    <row r="41" spans="1:6" x14ac:dyDescent="0.2">
      <c r="A41" s="1596" t="str">
        <f t="shared" si="0"/>
        <v/>
      </c>
      <c r="B41" s="18" t="str">
        <f t="shared" si="1"/>
        <v/>
      </c>
      <c r="C41" s="1597" t="b">
        <f t="shared" si="2"/>
        <v>0</v>
      </c>
      <c r="E41" s="886" t="str">
        <f t="shared" si="3"/>
        <v/>
      </c>
      <c r="F41" s="886" t="str">
        <f t="shared" si="4"/>
        <v/>
      </c>
    </row>
    <row r="42" spans="1:6" x14ac:dyDescent="0.2">
      <c r="A42" s="1596" t="str">
        <f t="shared" si="0"/>
        <v/>
      </c>
      <c r="B42" s="18" t="str">
        <f t="shared" si="1"/>
        <v/>
      </c>
      <c r="C42" s="1597" t="b">
        <f t="shared" si="2"/>
        <v>0</v>
      </c>
      <c r="E42" s="886" t="str">
        <f t="shared" si="3"/>
        <v/>
      </c>
      <c r="F42" s="886" t="str">
        <f t="shared" si="4"/>
        <v/>
      </c>
    </row>
    <row r="43" spans="1:6" x14ac:dyDescent="0.2">
      <c r="A43" s="1596" t="str">
        <f t="shared" si="0"/>
        <v/>
      </c>
      <c r="B43" s="18" t="str">
        <f t="shared" si="1"/>
        <v/>
      </c>
      <c r="C43" s="1597" t="b">
        <f t="shared" si="2"/>
        <v>0</v>
      </c>
      <c r="E43" s="886" t="str">
        <f t="shared" si="3"/>
        <v/>
      </c>
      <c r="F43" s="886" t="str">
        <f t="shared" si="4"/>
        <v/>
      </c>
    </row>
    <row r="44" spans="1:6" x14ac:dyDescent="0.2">
      <c r="A44" s="1596" t="str">
        <f t="shared" si="0"/>
        <v/>
      </c>
      <c r="B44" s="18" t="str">
        <f t="shared" si="1"/>
        <v/>
      </c>
      <c r="C44" s="1597" t="b">
        <f t="shared" si="2"/>
        <v>0</v>
      </c>
      <c r="E44" s="886" t="str">
        <f t="shared" si="3"/>
        <v/>
      </c>
      <c r="F44" s="886" t="str">
        <f t="shared" si="4"/>
        <v/>
      </c>
    </row>
    <row r="45" spans="1:6" x14ac:dyDescent="0.2">
      <c r="A45" s="1596" t="str">
        <f t="shared" ref="A45:A50" si="5">IF(ISERROR(FIND("Angst vor",E45)),
IF(ISERROR(FIND("Weltfremd",E45)),
IF(ISERROR(LOOKUP(E45,NACHTEILE)),"",LOOKUP(E45,NACHTEILE)),
"Weltfremd"),
"Angst vor")</f>
        <v/>
      </c>
      <c r="B45" s="18" t="str">
        <f t="shared" ref="B45:B50" si="6">IF(A45="","",IF(LEN(E45)-LEN(A45)&gt;1,RIGHT(E45,LEN(E45)-LEN(A45)-1),""))</f>
        <v/>
      </c>
      <c r="C45" s="1597" t="b">
        <f t="shared" ref="C45:C50" si="7">IF(E45="",FALSE,TRUE)</f>
        <v>0</v>
      </c>
      <c r="E45" s="886" t="str">
        <f t="shared" si="3"/>
        <v/>
      </c>
      <c r="F45" s="886" t="str">
        <f t="shared" si="4"/>
        <v/>
      </c>
    </row>
    <row r="46" spans="1:6" x14ac:dyDescent="0.2">
      <c r="A46" s="1596" t="str">
        <f t="shared" si="5"/>
        <v/>
      </c>
      <c r="B46" s="18" t="str">
        <f t="shared" si="6"/>
        <v/>
      </c>
      <c r="C46" s="1597" t="b">
        <f t="shared" si="7"/>
        <v>0</v>
      </c>
      <c r="E46" s="886" t="str">
        <f t="shared" si="3"/>
        <v/>
      </c>
      <c r="F46" s="886" t="str">
        <f t="shared" si="4"/>
        <v/>
      </c>
    </row>
    <row r="47" spans="1:6" x14ac:dyDescent="0.2">
      <c r="A47" s="1596" t="str">
        <f t="shared" si="5"/>
        <v/>
      </c>
      <c r="B47" s="18" t="str">
        <f t="shared" si="6"/>
        <v/>
      </c>
      <c r="C47" s="1597" t="b">
        <f t="shared" si="7"/>
        <v>0</v>
      </c>
      <c r="E47" s="886" t="str">
        <f t="shared" si="3"/>
        <v/>
      </c>
      <c r="F47" s="886" t="str">
        <f t="shared" si="4"/>
        <v/>
      </c>
    </row>
    <row r="48" spans="1:6" x14ac:dyDescent="0.2">
      <c r="A48" s="1596" t="str">
        <f t="shared" si="5"/>
        <v/>
      </c>
      <c r="B48" s="18" t="str">
        <f t="shared" si="6"/>
        <v/>
      </c>
      <c r="C48" s="1597" t="b">
        <f t="shared" si="7"/>
        <v>0</v>
      </c>
    </row>
    <row r="49" spans="1:3" x14ac:dyDescent="0.2">
      <c r="A49" s="1596" t="str">
        <f t="shared" si="5"/>
        <v/>
      </c>
      <c r="B49" s="18" t="str">
        <f t="shared" si="6"/>
        <v/>
      </c>
      <c r="C49" s="1597" t="b">
        <f t="shared" si="7"/>
        <v>0</v>
      </c>
    </row>
    <row r="50" spans="1:3" ht="13.5" thickBot="1" x14ac:dyDescent="0.25">
      <c r="A50" s="1598" t="str">
        <f t="shared" si="5"/>
        <v/>
      </c>
      <c r="B50" s="1599" t="str">
        <f t="shared" si="6"/>
        <v/>
      </c>
      <c r="C50" s="1600" t="b">
        <f t="shared" si="7"/>
        <v>0</v>
      </c>
    </row>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tabColor theme="5"/>
  </sheetPr>
  <dimension ref="A1:I228"/>
  <sheetViews>
    <sheetView workbookViewId="0">
      <selection activeCell="P22" sqref="P22"/>
    </sheetView>
  </sheetViews>
  <sheetFormatPr baseColWidth="10" defaultRowHeight="12.75" x14ac:dyDescent="0.2"/>
  <cols>
    <col min="1" max="1" width="20.140625" customWidth="1"/>
    <col min="2" max="2" width="28.140625" customWidth="1"/>
    <col min="5" max="5" width="28.28515625" customWidth="1"/>
  </cols>
  <sheetData>
    <row r="1" spans="1:9" x14ac:dyDescent="0.2">
      <c r="A1" s="1611" t="s">
        <v>403</v>
      </c>
      <c r="B1" s="1612" t="s">
        <v>4000</v>
      </c>
      <c r="C1" s="1613" t="s">
        <v>518</v>
      </c>
      <c r="E1" s="30" t="s">
        <v>9039</v>
      </c>
      <c r="F1" s="30" t="s">
        <v>9048</v>
      </c>
      <c r="G1" s="30"/>
      <c r="H1" s="30"/>
      <c r="I1" s="30" t="s">
        <v>9047</v>
      </c>
    </row>
    <row r="2" spans="1:9" x14ac:dyDescent="0.2">
      <c r="A2" s="88" t="str">
        <f t="shared" ref="A2:A33" ca="1" si="0">IF(ISERROR(LOOKUP(E2,SF_ALLE_INDEX)),"",LOOKUP(E2,SF_ALLE_INDEX))</f>
        <v/>
      </c>
      <c r="B2" s="18" t="str">
        <f ca="1">IF(A2="","",IF(LEN(E2)-LEN(A2)&gt;1,RIGHT(E2,LEN(E2)-LEN(A2)-1),""))</f>
        <v/>
      </c>
      <c r="C2" s="1032" t="b">
        <f ca="1">IF(E2="",FALSE,TRUE)</f>
        <v>0</v>
      </c>
      <c r="E2" s="886" t="str">
        <f ca="1">IF(NOT($I$2=""),LEFT($I$2,FIND(",",$I$2)-1),"")</f>
        <v/>
      </c>
      <c r="F2" s="1610" t="str">
        <f ca="1">IF(NOT($I$2=""),RIGHT($I$2,LEN($I$2)-LEN(E2)-2)&amp;", ","")</f>
        <v xml:space="preserve">, Kulturkunde: , , , , </v>
      </c>
      <c r="I2" t="str">
        <f ca="1">CONCATENATE(SF_WLOS_LIST&amp;IF(RIGHT(SF_WLOS_LIST,2)=", ","",", "),SF_KAMPF_LIST&amp;IF(RIGHT(SF_KAMPF_LIST,2)=", ","",", "),SF_ALLGEMEIN_LIST&amp;IF(RIGHT(SF_ALLGEMEIN_LIST,2)=", ","",", "),SF_MAGIE_LIST&amp;IF(RIGHT(SF_MAGIE_LIST,2)=", ","",", "), SF_KARMAL_LIST&amp;IF(RIGHT(SF_KARMAL_LIST,2)=", ","",", "))</f>
        <v xml:space="preserve">, , Kulturkunde: , , , </v>
      </c>
    </row>
    <row r="3" spans="1:9" x14ac:dyDescent="0.2">
      <c r="A3" s="88" t="str">
        <f t="shared" ca="1" si="0"/>
        <v/>
      </c>
      <c r="B3" s="18" t="str">
        <f t="shared" ref="B3:B50" ca="1" si="1">IF(A3="","",IF(LEN(E3)-LEN(A3)&gt;1,RIGHT(E3,LEN(E3)-LEN(A3)-1),""))</f>
        <v/>
      </c>
      <c r="C3" s="1032" t="b">
        <f t="shared" ref="C3:C50" ca="1" si="2">IF(E3="",FALSE,TRUE)</f>
        <v>0</v>
      </c>
      <c r="E3" s="886" t="str">
        <f ca="1">IF(NOT(F2=""),LEFT(F2,FIND(",",F2)-1),"")</f>
        <v/>
      </c>
      <c r="F3" s="886" t="str">
        <f ca="1">IF(NOT(F2=""),RIGHT(F2,LEN(F2)-LEN(E3)-2),"")</f>
        <v xml:space="preserve">Kulturkunde: , , , , </v>
      </c>
      <c r="I3" t="s">
        <v>3671</v>
      </c>
    </row>
    <row r="4" spans="1:9" x14ac:dyDescent="0.2">
      <c r="A4" s="88" t="str">
        <f t="shared" ca="1" si="0"/>
        <v>Kulturkunde</v>
      </c>
      <c r="B4" s="18" t="str">
        <f t="shared" ca="1" si="1"/>
        <v xml:space="preserve"> </v>
      </c>
      <c r="C4" s="1032" t="b">
        <f t="shared" ca="1" si="2"/>
        <v>1</v>
      </c>
      <c r="E4" s="886" t="str">
        <f t="shared" ref="E4:E47" ca="1" si="3">IF(NOT(F3=""),LEFT(F3,FIND(",",F3)-1),"")</f>
        <v xml:space="preserve">Kulturkunde: </v>
      </c>
      <c r="F4" s="886" t="str">
        <f t="shared" ref="F4:F47" ca="1" si="4">IF(NOT(F3=""),RIGHT(F3,LEN(F3)-LEN(E4)-2),"")</f>
        <v xml:space="preserve">, , , </v>
      </c>
      <c r="I4" t="s">
        <v>3672</v>
      </c>
    </row>
    <row r="5" spans="1:9" x14ac:dyDescent="0.2">
      <c r="A5" s="88" t="str">
        <f t="shared" ca="1" si="0"/>
        <v/>
      </c>
      <c r="B5" s="18" t="str">
        <f t="shared" ca="1" si="1"/>
        <v/>
      </c>
      <c r="C5" s="1032" t="b">
        <f t="shared" ca="1" si="2"/>
        <v>0</v>
      </c>
      <c r="E5" s="886" t="str">
        <f t="shared" ca="1" si="3"/>
        <v/>
      </c>
      <c r="F5" s="886" t="str">
        <f t="shared" ca="1" si="4"/>
        <v xml:space="preserve">, , </v>
      </c>
      <c r="I5" t="s">
        <v>890</v>
      </c>
    </row>
    <row r="6" spans="1:9" x14ac:dyDescent="0.2">
      <c r="A6" s="88" t="str">
        <f t="shared" ca="1" si="0"/>
        <v/>
      </c>
      <c r="B6" s="18" t="str">
        <f t="shared" ca="1" si="1"/>
        <v/>
      </c>
      <c r="C6" s="1032" t="b">
        <f t="shared" ca="1" si="2"/>
        <v>0</v>
      </c>
      <c r="E6" s="886" t="str">
        <f t="shared" ca="1" si="3"/>
        <v/>
      </c>
      <c r="F6" s="886" t="str">
        <f t="shared" ca="1" si="4"/>
        <v xml:space="preserve">, </v>
      </c>
      <c r="I6" t="s">
        <v>2199</v>
      </c>
    </row>
    <row r="7" spans="1:9" x14ac:dyDescent="0.2">
      <c r="A7" s="88" t="str">
        <f t="shared" ca="1" si="0"/>
        <v/>
      </c>
      <c r="B7" s="18" t="str">
        <f t="shared" ca="1" si="1"/>
        <v/>
      </c>
      <c r="C7" s="1032" t="b">
        <f t="shared" ca="1" si="2"/>
        <v>0</v>
      </c>
      <c r="E7" s="886" t="str">
        <f t="shared" ca="1" si="3"/>
        <v/>
      </c>
      <c r="F7" s="886" t="str">
        <f t="shared" ca="1" si="4"/>
        <v/>
      </c>
      <c r="I7" t="s">
        <v>3254</v>
      </c>
    </row>
    <row r="8" spans="1:9" x14ac:dyDescent="0.2">
      <c r="A8" s="88" t="str">
        <f t="shared" ca="1" si="0"/>
        <v/>
      </c>
      <c r="B8" s="18" t="str">
        <f t="shared" ca="1" si="1"/>
        <v/>
      </c>
      <c r="C8" s="1032" t="b">
        <f t="shared" ca="1" si="2"/>
        <v>0</v>
      </c>
      <c r="E8" s="886" t="str">
        <f t="shared" ca="1" si="3"/>
        <v/>
      </c>
      <c r="F8" s="886" t="str">
        <f t="shared" ca="1" si="4"/>
        <v/>
      </c>
      <c r="I8" t="s">
        <v>8826</v>
      </c>
    </row>
    <row r="9" spans="1:9" x14ac:dyDescent="0.2">
      <c r="A9" s="88" t="str">
        <f t="shared" ca="1" si="0"/>
        <v/>
      </c>
      <c r="B9" s="18" t="str">
        <f t="shared" ca="1" si="1"/>
        <v/>
      </c>
      <c r="C9" s="1032" t="b">
        <f t="shared" ca="1" si="2"/>
        <v>0</v>
      </c>
      <c r="E9" s="886" t="str">
        <f t="shared" ca="1" si="3"/>
        <v/>
      </c>
      <c r="F9" s="886" t="str">
        <f t="shared" ca="1" si="4"/>
        <v/>
      </c>
      <c r="I9" t="s">
        <v>589</v>
      </c>
    </row>
    <row r="10" spans="1:9" x14ac:dyDescent="0.2">
      <c r="A10" s="88" t="str">
        <f t="shared" ca="1" si="0"/>
        <v/>
      </c>
      <c r="B10" s="18" t="str">
        <f t="shared" ca="1" si="1"/>
        <v/>
      </c>
      <c r="C10" s="1032" t="b">
        <f t="shared" ca="1" si="2"/>
        <v>0</v>
      </c>
      <c r="E10" s="886" t="str">
        <f t="shared" ca="1" si="3"/>
        <v/>
      </c>
      <c r="F10" s="886" t="str">
        <f t="shared" ca="1" si="4"/>
        <v/>
      </c>
      <c r="I10" t="s">
        <v>590</v>
      </c>
    </row>
    <row r="11" spans="1:9" x14ac:dyDescent="0.2">
      <c r="A11" s="88" t="str">
        <f t="shared" ca="1" si="0"/>
        <v/>
      </c>
      <c r="B11" s="18" t="str">
        <f t="shared" ca="1" si="1"/>
        <v/>
      </c>
      <c r="C11" s="1032" t="b">
        <f t="shared" ca="1" si="2"/>
        <v>0</v>
      </c>
      <c r="E11" s="886" t="str">
        <f t="shared" ca="1" si="3"/>
        <v/>
      </c>
      <c r="F11" s="886" t="str">
        <f t="shared" ca="1" si="4"/>
        <v/>
      </c>
      <c r="I11" t="s">
        <v>1395</v>
      </c>
    </row>
    <row r="12" spans="1:9" x14ac:dyDescent="0.2">
      <c r="A12" s="88" t="str">
        <f t="shared" ca="1" si="0"/>
        <v/>
      </c>
      <c r="B12" s="18" t="str">
        <f t="shared" ca="1" si="1"/>
        <v/>
      </c>
      <c r="C12" s="1032" t="b">
        <f t="shared" ca="1" si="2"/>
        <v>0</v>
      </c>
      <c r="E12" s="886" t="str">
        <f t="shared" ca="1" si="3"/>
        <v/>
      </c>
      <c r="F12" s="886" t="str">
        <f t="shared" ca="1" si="4"/>
        <v/>
      </c>
      <c r="I12" t="s">
        <v>4007</v>
      </c>
    </row>
    <row r="13" spans="1:9" x14ac:dyDescent="0.2">
      <c r="A13" s="88" t="str">
        <f t="shared" ca="1" si="0"/>
        <v/>
      </c>
      <c r="B13" s="18" t="str">
        <f t="shared" ca="1" si="1"/>
        <v/>
      </c>
      <c r="C13" s="1032" t="b">
        <f t="shared" ca="1" si="2"/>
        <v>0</v>
      </c>
      <c r="E13" s="886" t="str">
        <f t="shared" ca="1" si="3"/>
        <v/>
      </c>
      <c r="F13" s="886" t="str">
        <f t="shared" ca="1" si="4"/>
        <v/>
      </c>
      <c r="I13" t="s">
        <v>3249</v>
      </c>
    </row>
    <row r="14" spans="1:9" x14ac:dyDescent="0.2">
      <c r="A14" s="88" t="str">
        <f t="shared" ca="1" si="0"/>
        <v/>
      </c>
      <c r="B14" s="18" t="str">
        <f t="shared" ca="1" si="1"/>
        <v/>
      </c>
      <c r="C14" s="1032" t="b">
        <f t="shared" ca="1" si="2"/>
        <v>0</v>
      </c>
      <c r="E14" s="886" t="str">
        <f t="shared" ca="1" si="3"/>
        <v/>
      </c>
      <c r="F14" s="886" t="str">
        <f t="shared" ca="1" si="4"/>
        <v/>
      </c>
      <c r="I14" t="s">
        <v>91</v>
      </c>
    </row>
    <row r="15" spans="1:9" x14ac:dyDescent="0.2">
      <c r="A15" s="88" t="str">
        <f t="shared" ca="1" si="0"/>
        <v/>
      </c>
      <c r="B15" s="18" t="str">
        <f t="shared" ca="1" si="1"/>
        <v/>
      </c>
      <c r="C15" s="1032" t="b">
        <f t="shared" ca="1" si="2"/>
        <v>0</v>
      </c>
      <c r="E15" s="886" t="str">
        <f t="shared" ca="1" si="3"/>
        <v/>
      </c>
      <c r="F15" s="886" t="str">
        <f t="shared" ca="1" si="4"/>
        <v/>
      </c>
      <c r="I15" t="s">
        <v>92</v>
      </c>
    </row>
    <row r="16" spans="1:9" x14ac:dyDescent="0.2">
      <c r="A16" s="88" t="str">
        <f t="shared" ca="1" si="0"/>
        <v/>
      </c>
      <c r="B16" s="18" t="str">
        <f t="shared" ca="1" si="1"/>
        <v/>
      </c>
      <c r="C16" s="1032" t="b">
        <f t="shared" ca="1" si="2"/>
        <v>0</v>
      </c>
      <c r="E16" s="886" t="str">
        <f t="shared" ca="1" si="3"/>
        <v/>
      </c>
      <c r="F16" s="886" t="str">
        <f t="shared" ca="1" si="4"/>
        <v/>
      </c>
      <c r="I16" t="s">
        <v>8811</v>
      </c>
    </row>
    <row r="17" spans="1:9" x14ac:dyDescent="0.2">
      <c r="A17" s="88" t="str">
        <f t="shared" ca="1" si="0"/>
        <v/>
      </c>
      <c r="B17" s="18" t="str">
        <f t="shared" ca="1" si="1"/>
        <v/>
      </c>
      <c r="C17" s="1032" t="b">
        <f t="shared" ca="1" si="2"/>
        <v>0</v>
      </c>
      <c r="E17" s="886" t="str">
        <f t="shared" ca="1" si="3"/>
        <v/>
      </c>
      <c r="F17" s="886" t="str">
        <f t="shared" ca="1" si="4"/>
        <v/>
      </c>
      <c r="I17" t="s">
        <v>5002</v>
      </c>
    </row>
    <row r="18" spans="1:9" x14ac:dyDescent="0.2">
      <c r="A18" s="88" t="str">
        <f t="shared" ca="1" si="0"/>
        <v/>
      </c>
      <c r="B18" s="18" t="str">
        <f t="shared" ca="1" si="1"/>
        <v/>
      </c>
      <c r="C18" s="1032" t="b">
        <f t="shared" ca="1" si="2"/>
        <v>0</v>
      </c>
      <c r="E18" s="886" t="str">
        <f t="shared" ca="1" si="3"/>
        <v/>
      </c>
      <c r="F18" s="886" t="str">
        <f t="shared" ca="1" si="4"/>
        <v/>
      </c>
      <c r="I18" t="s">
        <v>5004</v>
      </c>
    </row>
    <row r="19" spans="1:9" x14ac:dyDescent="0.2">
      <c r="A19" s="88" t="str">
        <f t="shared" ca="1" si="0"/>
        <v/>
      </c>
      <c r="B19" s="18" t="str">
        <f t="shared" ca="1" si="1"/>
        <v/>
      </c>
      <c r="C19" s="1032" t="b">
        <f t="shared" ca="1" si="2"/>
        <v>0</v>
      </c>
      <c r="E19" s="886" t="str">
        <f t="shared" ca="1" si="3"/>
        <v/>
      </c>
      <c r="F19" s="886" t="str">
        <f t="shared" ca="1" si="4"/>
        <v/>
      </c>
      <c r="I19" t="s">
        <v>5005</v>
      </c>
    </row>
    <row r="20" spans="1:9" x14ac:dyDescent="0.2">
      <c r="A20" s="88" t="str">
        <f t="shared" ca="1" si="0"/>
        <v/>
      </c>
      <c r="B20" s="18" t="str">
        <f t="shared" ca="1" si="1"/>
        <v/>
      </c>
      <c r="C20" s="1032" t="b">
        <f t="shared" ca="1" si="2"/>
        <v>0</v>
      </c>
      <c r="E20" s="886" t="str">
        <f t="shared" ca="1" si="3"/>
        <v/>
      </c>
      <c r="F20" s="886" t="str">
        <f t="shared" ca="1" si="4"/>
        <v/>
      </c>
      <c r="I20" t="s">
        <v>787</v>
      </c>
    </row>
    <row r="21" spans="1:9" x14ac:dyDescent="0.2">
      <c r="A21" s="88" t="str">
        <f t="shared" ca="1" si="0"/>
        <v/>
      </c>
      <c r="B21" s="18" t="str">
        <f t="shared" ca="1" si="1"/>
        <v/>
      </c>
      <c r="C21" s="1032" t="b">
        <f t="shared" ca="1" si="2"/>
        <v>0</v>
      </c>
      <c r="E21" s="886" t="str">
        <f t="shared" ca="1" si="3"/>
        <v/>
      </c>
      <c r="F21" s="886" t="str">
        <f t="shared" ca="1" si="4"/>
        <v/>
      </c>
      <c r="I21" t="s">
        <v>1367</v>
      </c>
    </row>
    <row r="22" spans="1:9" x14ac:dyDescent="0.2">
      <c r="A22" s="88" t="str">
        <f t="shared" ca="1" si="0"/>
        <v/>
      </c>
      <c r="B22" s="18" t="str">
        <f t="shared" ca="1" si="1"/>
        <v/>
      </c>
      <c r="C22" s="1032" t="b">
        <f t="shared" ca="1" si="2"/>
        <v>0</v>
      </c>
      <c r="E22" s="886" t="str">
        <f t="shared" ca="1" si="3"/>
        <v/>
      </c>
      <c r="F22" s="886" t="str">
        <f t="shared" ca="1" si="4"/>
        <v/>
      </c>
      <c r="I22" t="s">
        <v>3673</v>
      </c>
    </row>
    <row r="23" spans="1:9" x14ac:dyDescent="0.2">
      <c r="A23" s="88" t="str">
        <f t="shared" ca="1" si="0"/>
        <v/>
      </c>
      <c r="B23" s="18" t="str">
        <f t="shared" ca="1" si="1"/>
        <v/>
      </c>
      <c r="C23" s="1032" t="b">
        <f t="shared" ca="1" si="2"/>
        <v>0</v>
      </c>
      <c r="E23" s="886" t="str">
        <f t="shared" ca="1" si="3"/>
        <v/>
      </c>
      <c r="F23" s="886" t="str">
        <f t="shared" ca="1" si="4"/>
        <v/>
      </c>
      <c r="I23" t="s">
        <v>5003</v>
      </c>
    </row>
    <row r="24" spans="1:9" x14ac:dyDescent="0.2">
      <c r="A24" s="88" t="str">
        <f t="shared" ca="1" si="0"/>
        <v/>
      </c>
      <c r="B24" s="18" t="str">
        <f t="shared" ca="1" si="1"/>
        <v/>
      </c>
      <c r="C24" s="1032" t="b">
        <f t="shared" ca="1" si="2"/>
        <v>0</v>
      </c>
      <c r="E24" s="886" t="str">
        <f t="shared" ca="1" si="3"/>
        <v/>
      </c>
      <c r="F24" s="886" t="str">
        <f t="shared" ca="1" si="4"/>
        <v/>
      </c>
      <c r="I24" t="s">
        <v>8857</v>
      </c>
    </row>
    <row r="25" spans="1:9" x14ac:dyDescent="0.2">
      <c r="A25" s="88" t="str">
        <f t="shared" ca="1" si="0"/>
        <v/>
      </c>
      <c r="B25" s="18" t="str">
        <f t="shared" ca="1" si="1"/>
        <v/>
      </c>
      <c r="C25" s="1032" t="b">
        <f t="shared" ca="1" si="2"/>
        <v>0</v>
      </c>
      <c r="E25" s="886" t="str">
        <f t="shared" ca="1" si="3"/>
        <v/>
      </c>
      <c r="F25" s="886" t="str">
        <f t="shared" ca="1" si="4"/>
        <v/>
      </c>
      <c r="I25" t="s">
        <v>5006</v>
      </c>
    </row>
    <row r="26" spans="1:9" x14ac:dyDescent="0.2">
      <c r="A26" s="88" t="str">
        <f t="shared" ca="1" si="0"/>
        <v/>
      </c>
      <c r="B26" s="18" t="str">
        <f t="shared" ca="1" si="1"/>
        <v/>
      </c>
      <c r="C26" s="1032" t="b">
        <f t="shared" ca="1" si="2"/>
        <v>0</v>
      </c>
      <c r="E26" s="886" t="str">
        <f t="shared" ca="1" si="3"/>
        <v/>
      </c>
      <c r="F26" s="886" t="str">
        <f t="shared" ca="1" si="4"/>
        <v/>
      </c>
      <c r="I26" t="s">
        <v>8848</v>
      </c>
    </row>
    <row r="27" spans="1:9" x14ac:dyDescent="0.2">
      <c r="A27" s="88" t="str">
        <f t="shared" ca="1" si="0"/>
        <v/>
      </c>
      <c r="B27" s="18" t="str">
        <f t="shared" ca="1" si="1"/>
        <v/>
      </c>
      <c r="C27" s="1032" t="b">
        <f t="shared" ca="1" si="2"/>
        <v>0</v>
      </c>
      <c r="E27" s="886" t="str">
        <f t="shared" ca="1" si="3"/>
        <v/>
      </c>
      <c r="F27" s="886" t="str">
        <f t="shared" ca="1" si="4"/>
        <v/>
      </c>
      <c r="I27" t="s">
        <v>788</v>
      </c>
    </row>
    <row r="28" spans="1:9" x14ac:dyDescent="0.2">
      <c r="A28" s="88" t="str">
        <f t="shared" ca="1" si="0"/>
        <v/>
      </c>
      <c r="B28" s="18" t="str">
        <f t="shared" ca="1" si="1"/>
        <v/>
      </c>
      <c r="C28" s="1032" t="b">
        <f t="shared" ca="1" si="2"/>
        <v>0</v>
      </c>
      <c r="E28" s="886" t="str">
        <f t="shared" ca="1" si="3"/>
        <v/>
      </c>
      <c r="F28" s="886" t="str">
        <f t="shared" ca="1" si="4"/>
        <v/>
      </c>
      <c r="I28" t="s">
        <v>5007</v>
      </c>
    </row>
    <row r="29" spans="1:9" x14ac:dyDescent="0.2">
      <c r="A29" s="88" t="str">
        <f t="shared" ca="1" si="0"/>
        <v/>
      </c>
      <c r="B29" s="18" t="str">
        <f t="shared" ca="1" si="1"/>
        <v/>
      </c>
      <c r="C29" s="1032" t="b">
        <f t="shared" ca="1" si="2"/>
        <v>0</v>
      </c>
      <c r="E29" s="886" t="str">
        <f t="shared" ca="1" si="3"/>
        <v/>
      </c>
      <c r="F29" s="886" t="str">
        <f t="shared" ca="1" si="4"/>
        <v/>
      </c>
      <c r="I29" t="s">
        <v>789</v>
      </c>
    </row>
    <row r="30" spans="1:9" x14ac:dyDescent="0.2">
      <c r="A30" s="88" t="str">
        <f t="shared" ca="1" si="0"/>
        <v/>
      </c>
      <c r="B30" s="18" t="str">
        <f t="shared" ca="1" si="1"/>
        <v/>
      </c>
      <c r="C30" s="1032" t="b">
        <f t="shared" ca="1" si="2"/>
        <v>0</v>
      </c>
      <c r="E30" s="886" t="str">
        <f t="shared" ca="1" si="3"/>
        <v/>
      </c>
      <c r="F30" s="886" t="str">
        <f t="shared" ca="1" si="4"/>
        <v/>
      </c>
      <c r="I30" t="s">
        <v>591</v>
      </c>
    </row>
    <row r="31" spans="1:9" x14ac:dyDescent="0.2">
      <c r="A31" s="88" t="str">
        <f t="shared" ca="1" si="0"/>
        <v/>
      </c>
      <c r="B31" s="18" t="str">
        <f t="shared" ca="1" si="1"/>
        <v/>
      </c>
      <c r="C31" s="1032" t="b">
        <f t="shared" ca="1" si="2"/>
        <v>0</v>
      </c>
      <c r="E31" s="886" t="str">
        <f t="shared" ca="1" si="3"/>
        <v/>
      </c>
      <c r="F31" s="886" t="str">
        <f t="shared" ca="1" si="4"/>
        <v/>
      </c>
      <c r="I31" t="s">
        <v>3677</v>
      </c>
    </row>
    <row r="32" spans="1:9" x14ac:dyDescent="0.2">
      <c r="A32" s="88" t="str">
        <f t="shared" ca="1" si="0"/>
        <v/>
      </c>
      <c r="B32" s="18" t="str">
        <f t="shared" ca="1" si="1"/>
        <v/>
      </c>
      <c r="C32" s="1032" t="b">
        <f t="shared" ca="1" si="2"/>
        <v>0</v>
      </c>
      <c r="E32" s="886" t="str">
        <f t="shared" ca="1" si="3"/>
        <v/>
      </c>
      <c r="F32" s="886" t="str">
        <f t="shared" ca="1" si="4"/>
        <v/>
      </c>
      <c r="I32" t="s">
        <v>4672</v>
      </c>
    </row>
    <row r="33" spans="1:9" x14ac:dyDescent="0.2">
      <c r="A33" s="88" t="str">
        <f t="shared" ca="1" si="0"/>
        <v/>
      </c>
      <c r="B33" s="18" t="str">
        <f t="shared" ca="1" si="1"/>
        <v/>
      </c>
      <c r="C33" s="1032" t="b">
        <f t="shared" ca="1" si="2"/>
        <v>0</v>
      </c>
      <c r="E33" s="886" t="str">
        <f t="shared" ca="1" si="3"/>
        <v/>
      </c>
      <c r="F33" s="886" t="str">
        <f t="shared" ca="1" si="4"/>
        <v/>
      </c>
      <c r="I33" t="s">
        <v>4673</v>
      </c>
    </row>
    <row r="34" spans="1:9" x14ac:dyDescent="0.2">
      <c r="A34" s="88" t="str">
        <f t="shared" ref="A34:A50" ca="1" si="5">IF(ISERROR(LOOKUP(E34,SF_ALLE_INDEX)),"",LOOKUP(E34,SF_ALLE_INDEX))</f>
        <v/>
      </c>
      <c r="B34" s="18" t="str">
        <f t="shared" ca="1" si="1"/>
        <v/>
      </c>
      <c r="C34" s="1032" t="b">
        <f t="shared" ca="1" si="2"/>
        <v>0</v>
      </c>
      <c r="E34" s="886" t="str">
        <f t="shared" ca="1" si="3"/>
        <v/>
      </c>
      <c r="F34" s="886" t="str">
        <f t="shared" ca="1" si="4"/>
        <v/>
      </c>
      <c r="I34" t="s">
        <v>5008</v>
      </c>
    </row>
    <row r="35" spans="1:9" x14ac:dyDescent="0.2">
      <c r="A35" s="88" t="str">
        <f t="shared" ca="1" si="5"/>
        <v/>
      </c>
      <c r="B35" s="18" t="str">
        <f t="shared" ca="1" si="1"/>
        <v/>
      </c>
      <c r="C35" s="1032" t="b">
        <f t="shared" ca="1" si="2"/>
        <v>0</v>
      </c>
      <c r="E35" s="886" t="str">
        <f t="shared" ca="1" si="3"/>
        <v/>
      </c>
      <c r="F35" s="886" t="str">
        <f t="shared" ca="1" si="4"/>
        <v/>
      </c>
      <c r="I35" t="s">
        <v>5009</v>
      </c>
    </row>
    <row r="36" spans="1:9" x14ac:dyDescent="0.2">
      <c r="A36" s="88" t="str">
        <f t="shared" ca="1" si="5"/>
        <v/>
      </c>
      <c r="B36" s="18" t="str">
        <f t="shared" ca="1" si="1"/>
        <v/>
      </c>
      <c r="C36" s="1032" t="b">
        <f t="shared" ca="1" si="2"/>
        <v>0</v>
      </c>
      <c r="E36" s="886" t="str">
        <f t="shared" ca="1" si="3"/>
        <v/>
      </c>
      <c r="F36" s="886" t="str">
        <f t="shared" ca="1" si="4"/>
        <v/>
      </c>
      <c r="I36" t="s">
        <v>790</v>
      </c>
    </row>
    <row r="37" spans="1:9" x14ac:dyDescent="0.2">
      <c r="A37" s="88" t="str">
        <f t="shared" ca="1" si="5"/>
        <v/>
      </c>
      <c r="B37" s="18" t="str">
        <f t="shared" ca="1" si="1"/>
        <v/>
      </c>
      <c r="C37" s="1032" t="b">
        <f t="shared" ca="1" si="2"/>
        <v>0</v>
      </c>
      <c r="E37" s="886" t="str">
        <f t="shared" ca="1" si="3"/>
        <v/>
      </c>
      <c r="F37" s="886" t="str">
        <f t="shared" ca="1" si="4"/>
        <v/>
      </c>
      <c r="I37" t="s">
        <v>2988</v>
      </c>
    </row>
    <row r="38" spans="1:9" x14ac:dyDescent="0.2">
      <c r="A38" s="88" t="str">
        <f t="shared" ca="1" si="5"/>
        <v/>
      </c>
      <c r="B38" s="18" t="str">
        <f t="shared" ca="1" si="1"/>
        <v/>
      </c>
      <c r="C38" s="1032" t="b">
        <f t="shared" ca="1" si="2"/>
        <v>0</v>
      </c>
      <c r="E38" s="886" t="str">
        <f t="shared" ca="1" si="3"/>
        <v/>
      </c>
      <c r="F38" s="886" t="str">
        <f t="shared" ca="1" si="4"/>
        <v/>
      </c>
      <c r="I38" t="s">
        <v>4581</v>
      </c>
    </row>
    <row r="39" spans="1:9" x14ac:dyDescent="0.2">
      <c r="A39" s="88" t="str">
        <f t="shared" ca="1" si="5"/>
        <v/>
      </c>
      <c r="B39" s="18" t="str">
        <f t="shared" ca="1" si="1"/>
        <v/>
      </c>
      <c r="C39" s="1032" t="b">
        <f t="shared" ca="1" si="2"/>
        <v>0</v>
      </c>
      <c r="E39" s="886" t="str">
        <f t="shared" ca="1" si="3"/>
        <v/>
      </c>
      <c r="F39" s="886" t="str">
        <f t="shared" ca="1" si="4"/>
        <v/>
      </c>
      <c r="I39" t="s">
        <v>8849</v>
      </c>
    </row>
    <row r="40" spans="1:9" x14ac:dyDescent="0.2">
      <c r="A40" s="88" t="str">
        <f t="shared" ca="1" si="5"/>
        <v/>
      </c>
      <c r="B40" s="18" t="str">
        <f t="shared" ca="1" si="1"/>
        <v/>
      </c>
      <c r="C40" s="1032" t="b">
        <f t="shared" ca="1" si="2"/>
        <v>0</v>
      </c>
      <c r="E40" s="886" t="str">
        <f t="shared" ca="1" si="3"/>
        <v/>
      </c>
      <c r="F40" s="886" t="str">
        <f t="shared" ca="1" si="4"/>
        <v/>
      </c>
      <c r="I40" t="s">
        <v>791</v>
      </c>
    </row>
    <row r="41" spans="1:9" x14ac:dyDescent="0.2">
      <c r="A41" s="88" t="str">
        <f t="shared" ca="1" si="5"/>
        <v/>
      </c>
      <c r="B41" s="18" t="str">
        <f t="shared" ca="1" si="1"/>
        <v/>
      </c>
      <c r="C41" s="1032" t="b">
        <f t="shared" ca="1" si="2"/>
        <v>0</v>
      </c>
      <c r="E41" s="886" t="str">
        <f t="shared" ca="1" si="3"/>
        <v/>
      </c>
      <c r="F41" s="886" t="str">
        <f t="shared" ca="1" si="4"/>
        <v/>
      </c>
      <c r="I41" t="s">
        <v>5010</v>
      </c>
    </row>
    <row r="42" spans="1:9" x14ac:dyDescent="0.2">
      <c r="A42" s="88" t="str">
        <f t="shared" ca="1" si="5"/>
        <v/>
      </c>
      <c r="B42" s="18" t="str">
        <f t="shared" ca="1" si="1"/>
        <v/>
      </c>
      <c r="C42" s="1032" t="b">
        <f t="shared" ca="1" si="2"/>
        <v>0</v>
      </c>
      <c r="E42" s="886" t="str">
        <f t="shared" ca="1" si="3"/>
        <v/>
      </c>
      <c r="F42" s="886" t="str">
        <f t="shared" ca="1" si="4"/>
        <v/>
      </c>
      <c r="I42" t="s">
        <v>592</v>
      </c>
    </row>
    <row r="43" spans="1:9" x14ac:dyDescent="0.2">
      <c r="A43" s="88" t="str">
        <f t="shared" ca="1" si="5"/>
        <v/>
      </c>
      <c r="B43" s="18" t="str">
        <f t="shared" ca="1" si="1"/>
        <v/>
      </c>
      <c r="C43" s="1032" t="b">
        <f t="shared" ca="1" si="2"/>
        <v>0</v>
      </c>
      <c r="E43" s="886" t="str">
        <f t="shared" ca="1" si="3"/>
        <v/>
      </c>
      <c r="F43" s="886" t="str">
        <f t="shared" ca="1" si="4"/>
        <v/>
      </c>
      <c r="I43" t="s">
        <v>2188</v>
      </c>
    </row>
    <row r="44" spans="1:9" x14ac:dyDescent="0.2">
      <c r="A44" s="88" t="str">
        <f t="shared" ca="1" si="5"/>
        <v/>
      </c>
      <c r="B44" s="18" t="str">
        <f t="shared" ca="1" si="1"/>
        <v/>
      </c>
      <c r="C44" s="1032" t="b">
        <f t="shared" ca="1" si="2"/>
        <v>0</v>
      </c>
      <c r="E44" s="886" t="str">
        <f t="shared" ca="1" si="3"/>
        <v/>
      </c>
      <c r="F44" s="886" t="str">
        <f t="shared" ca="1" si="4"/>
        <v/>
      </c>
      <c r="I44" t="s">
        <v>2065</v>
      </c>
    </row>
    <row r="45" spans="1:9" x14ac:dyDescent="0.2">
      <c r="A45" s="88" t="str">
        <f t="shared" ca="1" si="5"/>
        <v/>
      </c>
      <c r="B45" s="18" t="str">
        <f t="shared" ca="1" si="1"/>
        <v/>
      </c>
      <c r="C45" s="1032" t="b">
        <f t="shared" ca="1" si="2"/>
        <v>0</v>
      </c>
      <c r="E45" s="886" t="str">
        <f t="shared" ca="1" si="3"/>
        <v/>
      </c>
      <c r="F45" s="886" t="str">
        <f t="shared" ca="1" si="4"/>
        <v/>
      </c>
      <c r="I45" t="s">
        <v>8850</v>
      </c>
    </row>
    <row r="46" spans="1:9" x14ac:dyDescent="0.2">
      <c r="A46" s="88" t="str">
        <f t="shared" ca="1" si="5"/>
        <v/>
      </c>
      <c r="B46" s="18" t="str">
        <f t="shared" ca="1" si="1"/>
        <v/>
      </c>
      <c r="C46" s="1032" t="b">
        <f t="shared" ca="1" si="2"/>
        <v>0</v>
      </c>
      <c r="E46" s="886" t="str">
        <f t="shared" ca="1" si="3"/>
        <v/>
      </c>
      <c r="F46" s="886" t="str">
        <f t="shared" ca="1" si="4"/>
        <v/>
      </c>
      <c r="I46" t="s">
        <v>2189</v>
      </c>
    </row>
    <row r="47" spans="1:9" x14ac:dyDescent="0.2">
      <c r="A47" s="88" t="str">
        <f t="shared" ca="1" si="5"/>
        <v/>
      </c>
      <c r="B47" s="18" t="str">
        <f t="shared" ca="1" si="1"/>
        <v/>
      </c>
      <c r="C47" s="1032" t="b">
        <f t="shared" ca="1" si="2"/>
        <v>0</v>
      </c>
      <c r="E47" s="886" t="str">
        <f t="shared" ca="1" si="3"/>
        <v/>
      </c>
      <c r="F47" s="886" t="str">
        <f t="shared" ca="1" si="4"/>
        <v/>
      </c>
      <c r="I47" t="s">
        <v>8862</v>
      </c>
    </row>
    <row r="48" spans="1:9" x14ac:dyDescent="0.2">
      <c r="A48" s="88" t="str">
        <f t="shared" ca="1" si="5"/>
        <v/>
      </c>
      <c r="B48" s="18" t="str">
        <f t="shared" ca="1" si="1"/>
        <v/>
      </c>
      <c r="C48" s="1032" t="b">
        <f t="shared" ca="1" si="2"/>
        <v>0</v>
      </c>
      <c r="E48" s="886" t="str">
        <f t="shared" ref="E48:E60" ca="1" si="6">IF(NOT(F47=""),LEFT(F47,FIND(",",F47)-1),"")</f>
        <v/>
      </c>
      <c r="F48" s="886" t="str">
        <f t="shared" ref="F48:F60" ca="1" si="7">IF(NOT(F47=""),RIGHT(F47,LEN(F47)-LEN(E48)-2),"")</f>
        <v/>
      </c>
      <c r="I48" t="s">
        <v>1394</v>
      </c>
    </row>
    <row r="49" spans="1:9" x14ac:dyDescent="0.2">
      <c r="A49" s="88" t="str">
        <f t="shared" ca="1" si="5"/>
        <v/>
      </c>
      <c r="B49" s="18" t="str">
        <f t="shared" ca="1" si="1"/>
        <v/>
      </c>
      <c r="C49" s="1032" t="b">
        <f t="shared" ca="1" si="2"/>
        <v>0</v>
      </c>
      <c r="E49" s="886" t="str">
        <f t="shared" ca="1" si="6"/>
        <v/>
      </c>
      <c r="F49" s="886" t="str">
        <f t="shared" ca="1" si="7"/>
        <v/>
      </c>
      <c r="I49" t="s">
        <v>4674</v>
      </c>
    </row>
    <row r="50" spans="1:9" x14ac:dyDescent="0.2">
      <c r="A50" s="88" t="str">
        <f t="shared" ca="1" si="5"/>
        <v/>
      </c>
      <c r="B50" s="18" t="str">
        <f t="shared" ca="1" si="1"/>
        <v/>
      </c>
      <c r="C50" s="1032" t="b">
        <f t="shared" ca="1" si="2"/>
        <v>0</v>
      </c>
      <c r="E50" s="886" t="str">
        <f t="shared" ca="1" si="6"/>
        <v/>
      </c>
      <c r="F50" s="886" t="str">
        <f t="shared" ca="1" si="7"/>
        <v/>
      </c>
      <c r="I50" t="s">
        <v>3674</v>
      </c>
    </row>
    <row r="51" spans="1:9" x14ac:dyDescent="0.2">
      <c r="A51" s="88" t="str">
        <f t="shared" ref="A51:A60" ca="1" si="8">IF(ISERROR(LOOKUP(E51,SF_ALLE_INDEX)),"",LOOKUP(E51,SF_ALLE_INDEX))</f>
        <v/>
      </c>
      <c r="B51" s="18" t="str">
        <f t="shared" ref="B51:B60" ca="1" si="9">IF(A51="","",IF(LEN(E51)-LEN(A51)&gt;1,RIGHT(E51,LEN(E51)-LEN(A51)-1),""))</f>
        <v/>
      </c>
      <c r="C51" s="1032" t="b">
        <f t="shared" ref="C51:C60" ca="1" si="10">IF(E51="",FALSE,TRUE)</f>
        <v>0</v>
      </c>
      <c r="E51" s="886" t="str">
        <f t="shared" ca="1" si="6"/>
        <v/>
      </c>
      <c r="F51" s="886" t="str">
        <f t="shared" ca="1" si="7"/>
        <v/>
      </c>
      <c r="I51" t="s">
        <v>876</v>
      </c>
    </row>
    <row r="52" spans="1:9" x14ac:dyDescent="0.2">
      <c r="A52" s="88" t="str">
        <f t="shared" ca="1" si="8"/>
        <v/>
      </c>
      <c r="B52" s="18" t="str">
        <f t="shared" ca="1" si="9"/>
        <v/>
      </c>
      <c r="C52" s="1032" t="b">
        <f t="shared" ca="1" si="10"/>
        <v>0</v>
      </c>
      <c r="E52" s="886" t="str">
        <f t="shared" ca="1" si="6"/>
        <v/>
      </c>
      <c r="F52" s="886" t="str">
        <f t="shared" ca="1" si="7"/>
        <v/>
      </c>
      <c r="I52" t="s">
        <v>561</v>
      </c>
    </row>
    <row r="53" spans="1:9" x14ac:dyDescent="0.2">
      <c r="A53" s="88" t="str">
        <f t="shared" ca="1" si="8"/>
        <v/>
      </c>
      <c r="B53" s="18" t="str">
        <f t="shared" ca="1" si="9"/>
        <v/>
      </c>
      <c r="C53" s="1032" t="b">
        <f t="shared" ca="1" si="10"/>
        <v>0</v>
      </c>
      <c r="E53" s="886" t="str">
        <f t="shared" ca="1" si="6"/>
        <v/>
      </c>
      <c r="F53" s="886" t="str">
        <f t="shared" ca="1" si="7"/>
        <v/>
      </c>
      <c r="I53" t="s">
        <v>2211</v>
      </c>
    </row>
    <row r="54" spans="1:9" x14ac:dyDescent="0.2">
      <c r="A54" s="88" t="str">
        <f t="shared" ca="1" si="8"/>
        <v/>
      </c>
      <c r="B54" s="18" t="str">
        <f t="shared" ca="1" si="9"/>
        <v/>
      </c>
      <c r="C54" s="1032" t="b">
        <f t="shared" ca="1" si="10"/>
        <v>0</v>
      </c>
      <c r="E54" s="886" t="str">
        <f t="shared" ca="1" si="6"/>
        <v/>
      </c>
      <c r="F54" s="886" t="str">
        <f t="shared" ca="1" si="7"/>
        <v/>
      </c>
      <c r="I54" t="s">
        <v>8851</v>
      </c>
    </row>
    <row r="55" spans="1:9" x14ac:dyDescent="0.2">
      <c r="A55" s="88" t="str">
        <f t="shared" ca="1" si="8"/>
        <v/>
      </c>
      <c r="B55" s="18" t="str">
        <f t="shared" ca="1" si="9"/>
        <v/>
      </c>
      <c r="C55" s="1032" t="b">
        <f t="shared" ca="1" si="10"/>
        <v>0</v>
      </c>
      <c r="E55" s="886" t="str">
        <f t="shared" ca="1" si="6"/>
        <v/>
      </c>
      <c r="F55" s="886" t="str">
        <f t="shared" ca="1" si="7"/>
        <v/>
      </c>
      <c r="I55" t="s">
        <v>4675</v>
      </c>
    </row>
    <row r="56" spans="1:9" x14ac:dyDescent="0.2">
      <c r="A56" s="88" t="str">
        <f t="shared" ca="1" si="8"/>
        <v/>
      </c>
      <c r="B56" s="18" t="str">
        <f t="shared" ca="1" si="9"/>
        <v/>
      </c>
      <c r="C56" s="1032" t="b">
        <f t="shared" ca="1" si="10"/>
        <v>0</v>
      </c>
      <c r="E56" s="886" t="str">
        <f t="shared" ca="1" si="6"/>
        <v/>
      </c>
      <c r="F56" s="886" t="str">
        <f t="shared" ca="1" si="7"/>
        <v/>
      </c>
      <c r="I56" t="s">
        <v>5050</v>
      </c>
    </row>
    <row r="57" spans="1:9" x14ac:dyDescent="0.2">
      <c r="A57" s="88" t="str">
        <f t="shared" ca="1" si="8"/>
        <v/>
      </c>
      <c r="B57" s="18" t="str">
        <f t="shared" ca="1" si="9"/>
        <v/>
      </c>
      <c r="C57" s="1032" t="b">
        <f t="shared" ca="1" si="10"/>
        <v>0</v>
      </c>
      <c r="E57" s="886" t="str">
        <f t="shared" ca="1" si="6"/>
        <v/>
      </c>
      <c r="F57" s="886" t="str">
        <f t="shared" ca="1" si="7"/>
        <v/>
      </c>
      <c r="I57" t="s">
        <v>8858</v>
      </c>
    </row>
    <row r="58" spans="1:9" x14ac:dyDescent="0.2">
      <c r="A58" s="88" t="str">
        <f t="shared" ca="1" si="8"/>
        <v/>
      </c>
      <c r="B58" s="18" t="str">
        <f t="shared" ca="1" si="9"/>
        <v/>
      </c>
      <c r="C58" s="1032" t="b">
        <f t="shared" ca="1" si="10"/>
        <v>0</v>
      </c>
      <c r="E58" s="886" t="str">
        <f t="shared" ca="1" si="6"/>
        <v/>
      </c>
      <c r="F58" s="886" t="str">
        <f t="shared" ca="1" si="7"/>
        <v/>
      </c>
      <c r="I58" t="s">
        <v>792</v>
      </c>
    </row>
    <row r="59" spans="1:9" x14ac:dyDescent="0.2">
      <c r="A59" s="88" t="str">
        <f t="shared" ca="1" si="8"/>
        <v/>
      </c>
      <c r="B59" s="18" t="str">
        <f t="shared" ca="1" si="9"/>
        <v/>
      </c>
      <c r="C59" s="1032" t="b">
        <f t="shared" ca="1" si="10"/>
        <v>0</v>
      </c>
      <c r="E59" s="886" t="str">
        <f t="shared" ca="1" si="6"/>
        <v/>
      </c>
      <c r="F59" s="886" t="str">
        <f t="shared" ca="1" si="7"/>
        <v/>
      </c>
      <c r="I59" t="s">
        <v>4676</v>
      </c>
    </row>
    <row r="60" spans="1:9" x14ac:dyDescent="0.2">
      <c r="A60" s="338" t="str">
        <f t="shared" ca="1" si="8"/>
        <v/>
      </c>
      <c r="B60" s="1015" t="str">
        <f t="shared" ca="1" si="9"/>
        <v/>
      </c>
      <c r="C60" s="1075" t="b">
        <f t="shared" ca="1" si="10"/>
        <v>0</v>
      </c>
      <c r="E60" s="886" t="str">
        <f t="shared" ca="1" si="6"/>
        <v/>
      </c>
      <c r="F60" s="886" t="str">
        <f t="shared" ca="1" si="7"/>
        <v/>
      </c>
      <c r="I60" t="s">
        <v>8859</v>
      </c>
    </row>
    <row r="61" spans="1:9" x14ac:dyDescent="0.2">
      <c r="A61" s="373" t="str">
        <f ca="1">IF(C61,SF!A55,"")</f>
        <v/>
      </c>
      <c r="B61" s="1644"/>
      <c r="C61" s="1645" t="b">
        <f ca="1">IF(AKTIV_AUSW1="X",TRUE,FALSE)</f>
        <v>0</v>
      </c>
      <c r="I61" t="s">
        <v>8860</v>
      </c>
    </row>
    <row r="62" spans="1:9" x14ac:dyDescent="0.2">
      <c r="A62" s="88" t="str">
        <f ca="1">IF(C62,SF!A56,"")</f>
        <v/>
      </c>
      <c r="B62" s="19"/>
      <c r="C62" s="1032" t="b">
        <f ca="1">IF(AKTIV_AUSW2="X",TRUE,FALSE)</f>
        <v>0</v>
      </c>
      <c r="I62" t="s">
        <v>343</v>
      </c>
    </row>
    <row r="63" spans="1:9" x14ac:dyDescent="0.2">
      <c r="A63" s="88" t="str">
        <f ca="1">IF(C63,SF!A57,"")</f>
        <v/>
      </c>
      <c r="B63" s="18"/>
      <c r="C63" s="1032" t="b">
        <f ca="1">IF(AKTIV_AUSW3="X",TRUE,FALSE)</f>
        <v>0</v>
      </c>
      <c r="I63" t="s">
        <v>877</v>
      </c>
    </row>
    <row r="64" spans="1:9" x14ac:dyDescent="0.2">
      <c r="A64" s="88" t="str">
        <f ca="1">IF(C64,SF!A83,"")</f>
        <v/>
      </c>
      <c r="B64" s="18"/>
      <c r="C64" s="1032" t="b">
        <f ca="1">IF(AKTIV_LHAND="X",TRUE,FALSE)</f>
        <v>0</v>
      </c>
      <c r="I64" t="s">
        <v>878</v>
      </c>
    </row>
    <row r="65" spans="1:9" x14ac:dyDescent="0.2">
      <c r="A65" s="88" t="str">
        <f ca="1">IF(C65,SF!A87,"")</f>
        <v/>
      </c>
      <c r="B65" s="18"/>
      <c r="C65" s="1032" t="b">
        <f ca="1">IF(AKTIV_PAR1="X",TRUE,FALSE)</f>
        <v>0</v>
      </c>
      <c r="I65" t="s">
        <v>5011</v>
      </c>
    </row>
    <row r="66" spans="1:9" x14ac:dyDescent="0.2">
      <c r="A66" s="88" t="str">
        <f ca="1">IF(C66,SF!A88,"")</f>
        <v/>
      </c>
      <c r="B66" s="18"/>
      <c r="C66" s="1032" t="b">
        <f ca="1">IF(AKTIV_PAR2="X",TRUE,FALSE)</f>
        <v>0</v>
      </c>
      <c r="I66" t="s">
        <v>793</v>
      </c>
    </row>
    <row r="67" spans="1:9" x14ac:dyDescent="0.2">
      <c r="A67" s="88" t="str">
        <f ca="1">IF(C67,SF!A90,"")</f>
        <v/>
      </c>
      <c r="B67" s="18" t="str">
        <f ca="1">IF(C67,HBC_RGW_ART,"")</f>
        <v/>
      </c>
      <c r="C67" s="1032" t="b">
        <f ca="1">IF(AKTIV_RGW1="X",TRUE,FALSE)</f>
        <v>0</v>
      </c>
      <c r="I67" t="s">
        <v>3679</v>
      </c>
    </row>
    <row r="68" spans="1:9" x14ac:dyDescent="0.2">
      <c r="A68" s="88" t="str">
        <f ca="1">IF(C68,SF!A91,"")</f>
        <v/>
      </c>
      <c r="B68" s="18"/>
      <c r="C68" s="1032" t="b">
        <f ca="1">IF(AKTIV_RGW2="X",TRUE,FALSE)</f>
        <v>0</v>
      </c>
      <c r="I68" t="s">
        <v>5012</v>
      </c>
    </row>
    <row r="69" spans="1:9" x14ac:dyDescent="0.2">
      <c r="A69" s="88" t="str">
        <f ca="1">IF(C69,SF!A92,"")</f>
        <v/>
      </c>
      <c r="B69" s="18"/>
      <c r="C69" s="1032" t="b">
        <f ca="1">IF(AKTIV_RGW3="X",TRUE,FALSE)</f>
        <v>0</v>
      </c>
      <c r="I69" t="s">
        <v>3678</v>
      </c>
    </row>
    <row r="70" spans="1:9" x14ac:dyDescent="0.2">
      <c r="A70" s="88" t="str">
        <f ca="1">IF(C70,SF!A93,"")</f>
        <v/>
      </c>
      <c r="B70" s="18"/>
      <c r="C70" s="1032" t="b">
        <f ca="1">IF(AKTIV_SCHLD1="X",TRUE,FALSE)</f>
        <v>0</v>
      </c>
      <c r="I70" t="s">
        <v>3678</v>
      </c>
    </row>
    <row r="71" spans="1:9" x14ac:dyDescent="0.2">
      <c r="A71" s="338" t="str">
        <f ca="1">IF(C71,SF!A94,"")</f>
        <v/>
      </c>
      <c r="B71" s="1015"/>
      <c r="C71" s="1075" t="b">
        <f ca="1">IF(AKTIV_SCHLD2="X",TRUE,FALSE)</f>
        <v>0</v>
      </c>
      <c r="I71" t="s">
        <v>8852</v>
      </c>
    </row>
    <row r="72" spans="1:9" x14ac:dyDescent="0.2">
      <c r="A72" s="18"/>
      <c r="B72" s="18"/>
      <c r="C72" s="18"/>
      <c r="I72" t="s">
        <v>794</v>
      </c>
    </row>
    <row r="73" spans="1:9" x14ac:dyDescent="0.2">
      <c r="A73" s="18"/>
      <c r="B73" s="18"/>
      <c r="C73" s="18"/>
      <c r="I73" t="s">
        <v>319</v>
      </c>
    </row>
    <row r="74" spans="1:9" x14ac:dyDescent="0.2">
      <c r="A74" s="18"/>
      <c r="B74" s="18"/>
      <c r="C74" s="18"/>
      <c r="I74" t="s">
        <v>3680</v>
      </c>
    </row>
    <row r="75" spans="1:9" x14ac:dyDescent="0.2">
      <c r="A75" s="18"/>
      <c r="B75" s="18"/>
      <c r="C75" s="18"/>
      <c r="I75" t="s">
        <v>795</v>
      </c>
    </row>
    <row r="76" spans="1:9" x14ac:dyDescent="0.2">
      <c r="A76" s="18"/>
      <c r="B76" s="18"/>
      <c r="C76" s="18"/>
      <c r="I76" t="s">
        <v>5000</v>
      </c>
    </row>
    <row r="77" spans="1:9" x14ac:dyDescent="0.2">
      <c r="A77" s="18"/>
      <c r="B77" s="18"/>
      <c r="C77" s="18"/>
      <c r="I77" t="s">
        <v>796</v>
      </c>
    </row>
    <row r="78" spans="1:9" x14ac:dyDescent="0.2">
      <c r="I78" t="s">
        <v>8854</v>
      </c>
    </row>
    <row r="79" spans="1:9" x14ac:dyDescent="0.2">
      <c r="I79" t="s">
        <v>8855</v>
      </c>
    </row>
    <row r="80" spans="1:9" x14ac:dyDescent="0.2">
      <c r="I80" t="s">
        <v>8856</v>
      </c>
    </row>
    <row r="81" spans="9:9" x14ac:dyDescent="0.2">
      <c r="I81" t="s">
        <v>8861</v>
      </c>
    </row>
    <row r="82" spans="9:9" x14ac:dyDescent="0.2">
      <c r="I82" t="s">
        <v>797</v>
      </c>
    </row>
    <row r="83" spans="9:9" x14ac:dyDescent="0.2">
      <c r="I83" t="s">
        <v>3071</v>
      </c>
    </row>
    <row r="84" spans="9:9" x14ac:dyDescent="0.2">
      <c r="I84" t="s">
        <v>3001</v>
      </c>
    </row>
    <row r="85" spans="9:9" x14ac:dyDescent="0.2">
      <c r="I85" t="s">
        <v>2932</v>
      </c>
    </row>
    <row r="86" spans="9:9" x14ac:dyDescent="0.2">
      <c r="I86" t="s">
        <v>1060</v>
      </c>
    </row>
    <row r="87" spans="9:9" x14ac:dyDescent="0.2">
      <c r="I87" t="s">
        <v>6276</v>
      </c>
    </row>
    <row r="88" spans="9:9" x14ac:dyDescent="0.2">
      <c r="I88" t="s">
        <v>1393</v>
      </c>
    </row>
    <row r="89" spans="9:9" x14ac:dyDescent="0.2">
      <c r="I89" t="s">
        <v>5013</v>
      </c>
    </row>
    <row r="90" spans="9:9" x14ac:dyDescent="0.2">
      <c r="I90" t="s">
        <v>5052</v>
      </c>
    </row>
    <row r="91" spans="9:9" x14ac:dyDescent="0.2">
      <c r="I91" t="s">
        <v>2983</v>
      </c>
    </row>
    <row r="92" spans="9:9" x14ac:dyDescent="0.2">
      <c r="I92" t="s">
        <v>2629</v>
      </c>
    </row>
    <row r="93" spans="9:9" x14ac:dyDescent="0.2">
      <c r="I93" t="s">
        <v>2630</v>
      </c>
    </row>
    <row r="94" spans="9:9" x14ac:dyDescent="0.2">
      <c r="I94" t="s">
        <v>798</v>
      </c>
    </row>
    <row r="95" spans="9:9" x14ac:dyDescent="0.2">
      <c r="I95" t="s">
        <v>5014</v>
      </c>
    </row>
    <row r="96" spans="9:9" x14ac:dyDescent="0.2">
      <c r="I96" t="s">
        <v>3681</v>
      </c>
    </row>
    <row r="97" spans="9:9" x14ac:dyDescent="0.2">
      <c r="I97" t="s">
        <v>3159</v>
      </c>
    </row>
    <row r="98" spans="9:9" x14ac:dyDescent="0.2">
      <c r="I98" t="s">
        <v>799</v>
      </c>
    </row>
    <row r="99" spans="9:9" x14ac:dyDescent="0.2">
      <c r="I99" t="s">
        <v>800</v>
      </c>
    </row>
    <row r="100" spans="9:9" x14ac:dyDescent="0.2">
      <c r="I100" t="s">
        <v>4677</v>
      </c>
    </row>
    <row r="101" spans="9:9" x14ac:dyDescent="0.2">
      <c r="I101" t="s">
        <v>2933</v>
      </c>
    </row>
    <row r="102" spans="9:9" x14ac:dyDescent="0.2">
      <c r="I102" t="s">
        <v>801</v>
      </c>
    </row>
    <row r="103" spans="9:9" x14ac:dyDescent="0.2">
      <c r="I103" t="s">
        <v>2934</v>
      </c>
    </row>
    <row r="104" spans="9:9" x14ac:dyDescent="0.2">
      <c r="I104" t="s">
        <v>2935</v>
      </c>
    </row>
    <row r="105" spans="9:9" x14ac:dyDescent="0.2">
      <c r="I105" t="s">
        <v>2936</v>
      </c>
    </row>
    <row r="106" spans="9:9" x14ac:dyDescent="0.2">
      <c r="I106" t="s">
        <v>1275</v>
      </c>
    </row>
    <row r="107" spans="9:9" x14ac:dyDescent="0.2">
      <c r="I107" t="s">
        <v>802</v>
      </c>
    </row>
    <row r="108" spans="9:9" x14ac:dyDescent="0.2">
      <c r="I108" t="s">
        <v>5054</v>
      </c>
    </row>
    <row r="109" spans="9:9" x14ac:dyDescent="0.2">
      <c r="I109" t="s">
        <v>3675</v>
      </c>
    </row>
    <row r="110" spans="9:9" x14ac:dyDescent="0.2">
      <c r="I110" t="s">
        <v>3250</v>
      </c>
    </row>
    <row r="111" spans="9:9" x14ac:dyDescent="0.2">
      <c r="I111" t="s">
        <v>2937</v>
      </c>
    </row>
    <row r="112" spans="9:9" x14ac:dyDescent="0.2">
      <c r="I112" t="s">
        <v>2457</v>
      </c>
    </row>
    <row r="113" spans="9:9" x14ac:dyDescent="0.2">
      <c r="I113" t="s">
        <v>1276</v>
      </c>
    </row>
    <row r="114" spans="9:9" x14ac:dyDescent="0.2">
      <c r="I114" t="s">
        <v>2938</v>
      </c>
    </row>
    <row r="115" spans="9:9" x14ac:dyDescent="0.2">
      <c r="I115" t="s">
        <v>2939</v>
      </c>
    </row>
    <row r="116" spans="9:9" x14ac:dyDescent="0.2">
      <c r="I116" t="s">
        <v>4743</v>
      </c>
    </row>
    <row r="117" spans="9:9" x14ac:dyDescent="0.2">
      <c r="I117" t="s">
        <v>1399</v>
      </c>
    </row>
    <row r="118" spans="9:9" x14ac:dyDescent="0.2">
      <c r="I118" t="s">
        <v>2800</v>
      </c>
    </row>
    <row r="119" spans="9:9" x14ac:dyDescent="0.2">
      <c r="I119" t="s">
        <v>1490</v>
      </c>
    </row>
    <row r="120" spans="9:9" x14ac:dyDescent="0.2">
      <c r="I120" t="s">
        <v>8853</v>
      </c>
    </row>
    <row r="121" spans="9:9" x14ac:dyDescent="0.2">
      <c r="I121" t="s">
        <v>2597</v>
      </c>
    </row>
    <row r="122" spans="9:9" x14ac:dyDescent="0.2">
      <c r="I122" t="s">
        <v>2598</v>
      </c>
    </row>
    <row r="123" spans="9:9" x14ac:dyDescent="0.2">
      <c r="I123" t="s">
        <v>3160</v>
      </c>
    </row>
    <row r="124" spans="9:9" x14ac:dyDescent="0.2">
      <c r="I124" t="s">
        <v>2039</v>
      </c>
    </row>
    <row r="125" spans="9:9" x14ac:dyDescent="0.2">
      <c r="I125" t="s">
        <v>1368</v>
      </c>
    </row>
    <row r="126" spans="9:9" x14ac:dyDescent="0.2">
      <c r="I126" t="s">
        <v>2488</v>
      </c>
    </row>
    <row r="127" spans="9:9" x14ac:dyDescent="0.2">
      <c r="I127" t="s">
        <v>1853</v>
      </c>
    </row>
    <row r="128" spans="9:9" x14ac:dyDescent="0.2">
      <c r="I128" t="s">
        <v>1853</v>
      </c>
    </row>
    <row r="129" spans="9:9" x14ac:dyDescent="0.2">
      <c r="I129" t="s">
        <v>803</v>
      </c>
    </row>
    <row r="130" spans="9:9" x14ac:dyDescent="0.2">
      <c r="I130" t="s">
        <v>4999</v>
      </c>
    </row>
    <row r="131" spans="9:9" x14ac:dyDescent="0.2">
      <c r="I131" t="s">
        <v>2141</v>
      </c>
    </row>
    <row r="132" spans="9:9" x14ac:dyDescent="0.2">
      <c r="I132" t="s">
        <v>2599</v>
      </c>
    </row>
    <row r="133" spans="9:9" x14ac:dyDescent="0.2">
      <c r="I133" t="s">
        <v>5049</v>
      </c>
    </row>
    <row r="134" spans="9:9" x14ac:dyDescent="0.2">
      <c r="I134" t="s">
        <v>4998</v>
      </c>
    </row>
    <row r="135" spans="9:9" x14ac:dyDescent="0.2">
      <c r="I135" t="s">
        <v>8812</v>
      </c>
    </row>
    <row r="136" spans="9:9" x14ac:dyDescent="0.2">
      <c r="I136" t="s">
        <v>8813</v>
      </c>
    </row>
    <row r="137" spans="9:9" x14ac:dyDescent="0.2">
      <c r="I137" t="s">
        <v>4303</v>
      </c>
    </row>
    <row r="138" spans="9:9" x14ac:dyDescent="0.2">
      <c r="I138" t="s">
        <v>2600</v>
      </c>
    </row>
    <row r="139" spans="9:9" x14ac:dyDescent="0.2">
      <c r="I139" t="s">
        <v>3251</v>
      </c>
    </row>
    <row r="140" spans="9:9" x14ac:dyDescent="0.2">
      <c r="I140" t="s">
        <v>4279</v>
      </c>
    </row>
    <row r="141" spans="9:9" x14ac:dyDescent="0.2">
      <c r="I141" t="s">
        <v>3773</v>
      </c>
    </row>
    <row r="142" spans="9:9" x14ac:dyDescent="0.2">
      <c r="I142" t="s">
        <v>2601</v>
      </c>
    </row>
    <row r="143" spans="9:9" x14ac:dyDescent="0.2">
      <c r="I143" t="s">
        <v>3252</v>
      </c>
    </row>
    <row r="144" spans="9:9" x14ac:dyDescent="0.2">
      <c r="I144" t="s">
        <v>5053</v>
      </c>
    </row>
    <row r="145" spans="9:9" x14ac:dyDescent="0.2">
      <c r="I145" t="s">
        <v>3161</v>
      </c>
    </row>
    <row r="146" spans="9:9" x14ac:dyDescent="0.2">
      <c r="I146" t="s">
        <v>4300</v>
      </c>
    </row>
    <row r="147" spans="9:9" x14ac:dyDescent="0.2">
      <c r="I147" t="s">
        <v>1366</v>
      </c>
    </row>
    <row r="148" spans="9:9" x14ac:dyDescent="0.2">
      <c r="I148" t="s">
        <v>3253</v>
      </c>
    </row>
    <row r="149" spans="9:9" x14ac:dyDescent="0.2">
      <c r="I149" t="s">
        <v>93</v>
      </c>
    </row>
    <row r="150" spans="9:9" x14ac:dyDescent="0.2">
      <c r="I150" t="s">
        <v>5001</v>
      </c>
    </row>
    <row r="151" spans="9:9" x14ac:dyDescent="0.2">
      <c r="I151" t="s">
        <v>804</v>
      </c>
    </row>
    <row r="152" spans="9:9" x14ac:dyDescent="0.2">
      <c r="I152" t="s">
        <v>805</v>
      </c>
    </row>
    <row r="153" spans="9:9" x14ac:dyDescent="0.2">
      <c r="I153" t="s">
        <v>3162</v>
      </c>
    </row>
    <row r="154" spans="9:9" x14ac:dyDescent="0.2">
      <c r="I154" t="s">
        <v>1061</v>
      </c>
    </row>
    <row r="155" spans="9:9" x14ac:dyDescent="0.2">
      <c r="I155" t="s">
        <v>3682</v>
      </c>
    </row>
    <row r="156" spans="9:9" x14ac:dyDescent="0.2">
      <c r="I156" t="s">
        <v>4063</v>
      </c>
    </row>
    <row r="157" spans="9:9" x14ac:dyDescent="0.2">
      <c r="I157" t="s">
        <v>806</v>
      </c>
    </row>
    <row r="158" spans="9:9" x14ac:dyDescent="0.2">
      <c r="I158" t="s">
        <v>807</v>
      </c>
    </row>
    <row r="159" spans="9:9" x14ac:dyDescent="0.2">
      <c r="I159" t="s">
        <v>5084</v>
      </c>
    </row>
    <row r="160" spans="9:9" x14ac:dyDescent="0.2">
      <c r="I160" t="s">
        <v>5085</v>
      </c>
    </row>
    <row r="161" spans="9:9" x14ac:dyDescent="0.2">
      <c r="I161" t="s">
        <v>595</v>
      </c>
    </row>
    <row r="162" spans="9:9" x14ac:dyDescent="0.2">
      <c r="I162" t="s">
        <v>3799</v>
      </c>
    </row>
    <row r="163" spans="9:9" x14ac:dyDescent="0.2">
      <c r="I163" t="s">
        <v>2628</v>
      </c>
    </row>
    <row r="164" spans="9:9" x14ac:dyDescent="0.2">
      <c r="I164" t="s">
        <v>2426</v>
      </c>
    </row>
    <row r="165" spans="9:9" x14ac:dyDescent="0.2">
      <c r="I165" t="s">
        <v>4693</v>
      </c>
    </row>
    <row r="166" spans="9:9" x14ac:dyDescent="0.2">
      <c r="I166" t="s">
        <v>397</v>
      </c>
    </row>
    <row r="167" spans="9:9" x14ac:dyDescent="0.2">
      <c r="I167" t="s">
        <v>4702</v>
      </c>
    </row>
    <row r="168" spans="9:9" x14ac:dyDescent="0.2">
      <c r="I168" t="s">
        <v>3445</v>
      </c>
    </row>
    <row r="169" spans="9:9" x14ac:dyDescent="0.2">
      <c r="I169" t="s">
        <v>4692</v>
      </c>
    </row>
    <row r="170" spans="9:9" x14ac:dyDescent="0.2">
      <c r="I170" t="s">
        <v>3444</v>
      </c>
    </row>
    <row r="171" spans="9:9" x14ac:dyDescent="0.2">
      <c r="I171" t="s">
        <v>4698</v>
      </c>
    </row>
    <row r="172" spans="9:9" x14ac:dyDescent="0.2">
      <c r="I172" t="s">
        <v>4694</v>
      </c>
    </row>
    <row r="173" spans="9:9" x14ac:dyDescent="0.2">
      <c r="I173" t="s">
        <v>2981</v>
      </c>
    </row>
    <row r="174" spans="9:9" x14ac:dyDescent="0.2">
      <c r="I174" t="s">
        <v>4697</v>
      </c>
    </row>
    <row r="175" spans="9:9" x14ac:dyDescent="0.2">
      <c r="I175" t="s">
        <v>4695</v>
      </c>
    </row>
    <row r="176" spans="9:9" x14ac:dyDescent="0.2">
      <c r="I176" t="s">
        <v>1537</v>
      </c>
    </row>
    <row r="177" spans="9:9" x14ac:dyDescent="0.2">
      <c r="I177" t="s">
        <v>1536</v>
      </c>
    </row>
    <row r="178" spans="9:9" x14ac:dyDescent="0.2">
      <c r="I178" t="s">
        <v>4700</v>
      </c>
    </row>
    <row r="179" spans="9:9" x14ac:dyDescent="0.2">
      <c r="I179" t="s">
        <v>2982</v>
      </c>
    </row>
    <row r="180" spans="9:9" x14ac:dyDescent="0.2">
      <c r="I180" t="s">
        <v>4701</v>
      </c>
    </row>
    <row r="181" spans="9:9" x14ac:dyDescent="0.2">
      <c r="I181" t="s">
        <v>4696</v>
      </c>
    </row>
    <row r="182" spans="9:9" x14ac:dyDescent="0.2">
      <c r="I182" t="s">
        <v>396</v>
      </c>
    </row>
    <row r="183" spans="9:9" x14ac:dyDescent="0.2">
      <c r="I183" t="s">
        <v>1535</v>
      </c>
    </row>
    <row r="184" spans="9:9" x14ac:dyDescent="0.2">
      <c r="I184" t="s">
        <v>4699</v>
      </c>
    </row>
    <row r="185" spans="9:9" x14ac:dyDescent="0.2">
      <c r="I185" t="s">
        <v>3163</v>
      </c>
    </row>
    <row r="186" spans="9:9" x14ac:dyDescent="0.2">
      <c r="I186" t="s">
        <v>8814</v>
      </c>
    </row>
    <row r="187" spans="9:9" x14ac:dyDescent="0.2">
      <c r="I187" t="s">
        <v>8815</v>
      </c>
    </row>
    <row r="188" spans="9:9" x14ac:dyDescent="0.2">
      <c r="I188" t="s">
        <v>808</v>
      </c>
    </row>
    <row r="189" spans="9:9" x14ac:dyDescent="0.2">
      <c r="I189" t="s">
        <v>809</v>
      </c>
    </row>
    <row r="190" spans="9:9" x14ac:dyDescent="0.2">
      <c r="I190" t="s">
        <v>3676</v>
      </c>
    </row>
    <row r="191" spans="9:9" x14ac:dyDescent="0.2">
      <c r="I191" t="s">
        <v>596</v>
      </c>
    </row>
    <row r="192" spans="9:9" x14ac:dyDescent="0.2">
      <c r="I192" t="s">
        <v>593</v>
      </c>
    </row>
    <row r="193" spans="9:9" x14ac:dyDescent="0.2">
      <c r="I193" t="s">
        <v>4274</v>
      </c>
    </row>
    <row r="194" spans="9:9" x14ac:dyDescent="0.2">
      <c r="I194" t="s">
        <v>2064</v>
      </c>
    </row>
    <row r="195" spans="9:9" x14ac:dyDescent="0.2">
      <c r="I195" t="s">
        <v>597</v>
      </c>
    </row>
    <row r="196" spans="9:9" x14ac:dyDescent="0.2">
      <c r="I196" t="s">
        <v>6277</v>
      </c>
    </row>
    <row r="197" spans="9:9" x14ac:dyDescent="0.2">
      <c r="I197" t="s">
        <v>3453</v>
      </c>
    </row>
    <row r="198" spans="9:9" x14ac:dyDescent="0.2">
      <c r="I198" t="s">
        <v>3454</v>
      </c>
    </row>
    <row r="199" spans="9:9" x14ac:dyDescent="0.2">
      <c r="I199" t="s">
        <v>27</v>
      </c>
    </row>
    <row r="200" spans="9:9" x14ac:dyDescent="0.2">
      <c r="I200" t="s">
        <v>810</v>
      </c>
    </row>
    <row r="201" spans="9:9" x14ac:dyDescent="0.2">
      <c r="I201" t="s">
        <v>3455</v>
      </c>
    </row>
    <row r="202" spans="9:9" x14ac:dyDescent="0.2">
      <c r="I202" t="s">
        <v>3456</v>
      </c>
    </row>
    <row r="203" spans="9:9" x14ac:dyDescent="0.2">
      <c r="I203" t="s">
        <v>3457</v>
      </c>
    </row>
    <row r="204" spans="9:9" x14ac:dyDescent="0.2">
      <c r="I204" t="s">
        <v>28</v>
      </c>
    </row>
    <row r="205" spans="9:9" x14ac:dyDescent="0.2">
      <c r="I205" t="s">
        <v>811</v>
      </c>
    </row>
    <row r="206" spans="9:9" x14ac:dyDescent="0.2">
      <c r="I206" t="s">
        <v>29</v>
      </c>
    </row>
    <row r="207" spans="9:9" x14ac:dyDescent="0.2">
      <c r="I207" t="s">
        <v>5086</v>
      </c>
    </row>
    <row r="208" spans="9:9" x14ac:dyDescent="0.2">
      <c r="I208" t="s">
        <v>3458</v>
      </c>
    </row>
    <row r="209" spans="9:9" x14ac:dyDescent="0.2">
      <c r="I209" t="s">
        <v>3112</v>
      </c>
    </row>
    <row r="210" spans="9:9" x14ac:dyDescent="0.2">
      <c r="I210" t="s">
        <v>3113</v>
      </c>
    </row>
    <row r="211" spans="9:9" x14ac:dyDescent="0.2">
      <c r="I211" t="s">
        <v>3114</v>
      </c>
    </row>
    <row r="212" spans="9:9" x14ac:dyDescent="0.2">
      <c r="I212" t="s">
        <v>3115</v>
      </c>
    </row>
    <row r="213" spans="9:9" x14ac:dyDescent="0.2">
      <c r="I213" t="s">
        <v>3116</v>
      </c>
    </row>
    <row r="214" spans="9:9" x14ac:dyDescent="0.2">
      <c r="I214" t="s">
        <v>90</v>
      </c>
    </row>
    <row r="215" spans="9:9" x14ac:dyDescent="0.2">
      <c r="I215" t="s">
        <v>1274</v>
      </c>
    </row>
    <row r="216" spans="9:9" x14ac:dyDescent="0.2">
      <c r="I216" t="s">
        <v>3459</v>
      </c>
    </row>
    <row r="217" spans="9:9" x14ac:dyDescent="0.2">
      <c r="I217" t="s">
        <v>1712</v>
      </c>
    </row>
    <row r="218" spans="9:9" x14ac:dyDescent="0.2">
      <c r="I218" t="s">
        <v>3460</v>
      </c>
    </row>
    <row r="219" spans="9:9" x14ac:dyDescent="0.2">
      <c r="I219" t="s">
        <v>5051</v>
      </c>
    </row>
    <row r="220" spans="9:9" x14ac:dyDescent="0.2">
      <c r="I220" t="s">
        <v>3111</v>
      </c>
    </row>
    <row r="221" spans="9:9" x14ac:dyDescent="0.2">
      <c r="I221" t="s">
        <v>3110</v>
      </c>
    </row>
    <row r="222" spans="9:9" x14ac:dyDescent="0.2">
      <c r="I222" t="s">
        <v>342</v>
      </c>
    </row>
    <row r="223" spans="9:9" x14ac:dyDescent="0.2">
      <c r="I223" t="s">
        <v>30</v>
      </c>
    </row>
    <row r="224" spans="9:9" x14ac:dyDescent="0.2">
      <c r="I224" t="s">
        <v>4586</v>
      </c>
    </row>
    <row r="225" spans="9:9" x14ac:dyDescent="0.2">
      <c r="I225" t="s">
        <v>4587</v>
      </c>
    </row>
    <row r="226" spans="9:9" x14ac:dyDescent="0.2">
      <c r="I226" t="s">
        <v>2066</v>
      </c>
    </row>
    <row r="227" spans="9:9" x14ac:dyDescent="0.2">
      <c r="I227" t="s">
        <v>4585</v>
      </c>
    </row>
    <row r="228" spans="9:9" x14ac:dyDescent="0.2">
      <c r="I228" t="s">
        <v>1556</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tabColor indexed="51"/>
  </sheetPr>
  <dimension ref="A1:BV154"/>
  <sheetViews>
    <sheetView zoomScale="85" zoomScaleNormal="85" workbookViewId="0">
      <selection activeCell="A2" sqref="A2"/>
    </sheetView>
  </sheetViews>
  <sheetFormatPr baseColWidth="10" defaultRowHeight="12.75" x14ac:dyDescent="0.2"/>
  <cols>
    <col min="1" max="1" width="24.7109375" customWidth="1"/>
    <col min="2" max="4" width="4.7109375" customWidth="1"/>
    <col min="5" max="5" width="7.85546875" customWidth="1"/>
    <col min="6" max="9" width="4.7109375" customWidth="1"/>
    <col min="10" max="10" width="11.42578125" customWidth="1"/>
    <col min="11" max="11" width="12.7109375" customWidth="1"/>
    <col min="12" max="12" width="10.7109375" customWidth="1"/>
    <col min="13" max="13" width="34.28515625" customWidth="1"/>
    <col min="14" max="21" width="4.7109375" customWidth="1"/>
    <col min="22" max="24" width="10.7109375" customWidth="1"/>
    <col min="25" max="25" width="4.7109375" customWidth="1"/>
    <col min="26" max="26" width="8.42578125" customWidth="1"/>
    <col min="27" max="42" width="4.7109375" customWidth="1"/>
    <col min="43" max="43" width="8.85546875" customWidth="1"/>
    <col min="44" max="45" width="4.7109375" customWidth="1"/>
    <col min="46" max="46" width="19.140625" customWidth="1"/>
    <col min="47" max="47" width="7.7109375" customWidth="1"/>
    <col min="48" max="48" width="8.7109375" customWidth="1"/>
    <col min="49" max="49" width="10.5703125" customWidth="1"/>
    <col min="50" max="50" width="8.7109375" customWidth="1"/>
    <col min="51" max="51" width="8.28515625" customWidth="1"/>
    <col min="52" max="52" width="47.5703125" customWidth="1"/>
    <col min="53" max="72" width="4.7109375" customWidth="1"/>
  </cols>
  <sheetData>
    <row r="1" spans="1:74" ht="36" thickBot="1" x14ac:dyDescent="0.55000000000000004">
      <c r="A1" s="1113" t="s">
        <v>2502</v>
      </c>
    </row>
    <row r="2" spans="1:74" x14ac:dyDescent="0.2">
      <c r="J2" s="1870" t="s">
        <v>2405</v>
      </c>
      <c r="K2" s="1871"/>
      <c r="L2" s="314">
        <f>APGES</f>
        <v>0</v>
      </c>
    </row>
    <row r="3" spans="1:74" x14ac:dyDescent="0.2">
      <c r="J3" s="1872" t="s">
        <v>771</v>
      </c>
      <c r="K3" s="1873"/>
      <c r="L3" s="315">
        <f ca="1">APGUT</f>
        <v>0</v>
      </c>
    </row>
    <row r="4" spans="1:74" x14ac:dyDescent="0.2">
      <c r="J4" s="1872" t="s">
        <v>7389</v>
      </c>
      <c r="K4" s="1873"/>
      <c r="L4" s="534">
        <f ca="1">SUM(AB14:AB133,AQ14:AQ127)</f>
        <v>0</v>
      </c>
    </row>
    <row r="5" spans="1:74" x14ac:dyDescent="0.2">
      <c r="J5" s="1872" t="s">
        <v>3793</v>
      </c>
      <c r="K5" s="1873"/>
      <c r="L5" s="315">
        <f ca="1">TL_GP_UEBRIG</f>
        <v>320</v>
      </c>
    </row>
    <row r="6" spans="1:74" x14ac:dyDescent="0.2">
      <c r="J6" s="1872" t="s">
        <v>6536</v>
      </c>
      <c r="K6" s="1873"/>
      <c r="L6" s="315">
        <f>STARTAP2_UEBRIG</f>
        <v>0</v>
      </c>
    </row>
    <row r="7" spans="1:74" ht="13.5" thickBot="1" x14ac:dyDescent="0.25">
      <c r="J7" s="1874" t="s">
        <v>4643</v>
      </c>
      <c r="K7" s="1875"/>
      <c r="L7" s="330">
        <f ca="1">SUM(APGUT,IF(TL_GP_UEBRIG&lt;0,0,TL_GP_UEBRIG))</f>
        <v>320</v>
      </c>
    </row>
    <row r="8" spans="1:74" x14ac:dyDescent="0.2">
      <c r="AM8" s="47"/>
    </row>
    <row r="9" spans="1:74" ht="181.5" customHeight="1" x14ac:dyDescent="0.2">
      <c r="A9" s="1060"/>
      <c r="B9" s="308" t="s">
        <v>1400</v>
      </c>
      <c r="C9" s="390" t="s">
        <v>4633</v>
      </c>
      <c r="D9" s="1192" t="s">
        <v>6535</v>
      </c>
      <c r="E9" s="114"/>
      <c r="F9" s="1353" t="s">
        <v>294</v>
      </c>
      <c r="G9" s="328" t="s">
        <v>3792</v>
      </c>
      <c r="H9" s="548" t="s">
        <v>6522</v>
      </c>
      <c r="I9" s="382" t="s">
        <v>1071</v>
      </c>
      <c r="J9" s="290"/>
      <c r="K9" s="1868" t="s">
        <v>7390</v>
      </c>
      <c r="L9" s="1869"/>
      <c r="M9" s="1869"/>
      <c r="N9" s="308" t="s">
        <v>1400</v>
      </c>
      <c r="O9" s="390" t="s">
        <v>4633</v>
      </c>
      <c r="P9" s="1192" t="s">
        <v>6535</v>
      </c>
      <c r="Q9" s="114"/>
      <c r="R9" s="383" t="s">
        <v>294</v>
      </c>
      <c r="S9" s="328" t="s">
        <v>3792</v>
      </c>
      <c r="T9" s="548" t="s">
        <v>6523</v>
      </c>
      <c r="U9" s="382" t="s">
        <v>1071</v>
      </c>
      <c r="V9" s="111"/>
      <c r="W9" s="111"/>
      <c r="X9" s="111"/>
      <c r="Y9" s="390" t="s">
        <v>2406</v>
      </c>
      <c r="Z9" s="390" t="s">
        <v>3796</v>
      </c>
      <c r="AA9" s="390" t="s">
        <v>6524</v>
      </c>
      <c r="AB9" s="390" t="s">
        <v>692</v>
      </c>
      <c r="AC9" s="390" t="s">
        <v>7540</v>
      </c>
      <c r="AD9" s="377" t="s">
        <v>694</v>
      </c>
      <c r="AE9" s="390" t="s">
        <v>11</v>
      </c>
      <c r="AF9" s="390" t="s">
        <v>696</v>
      </c>
      <c r="AG9" s="390"/>
      <c r="AH9" s="390"/>
      <c r="AI9" s="390"/>
      <c r="AJ9" s="390"/>
      <c r="AK9" s="390"/>
      <c r="AL9" s="377" t="s">
        <v>7537</v>
      </c>
      <c r="AM9" s="1436" t="s">
        <v>7538</v>
      </c>
      <c r="AN9" s="1019" t="s">
        <v>2407</v>
      </c>
      <c r="AO9" s="1019" t="s">
        <v>3797</v>
      </c>
      <c r="AP9" s="1019" t="s">
        <v>6525</v>
      </c>
      <c r="AQ9" s="1019" t="s">
        <v>693</v>
      </c>
      <c r="AR9" s="1019" t="s">
        <v>7540</v>
      </c>
      <c r="AS9" s="1019" t="s">
        <v>12</v>
      </c>
      <c r="AT9" s="1019" t="s">
        <v>695</v>
      </c>
      <c r="AU9" s="1019" t="s">
        <v>697</v>
      </c>
      <c r="AV9" s="546"/>
      <c r="AW9" s="547"/>
      <c r="AX9" s="548"/>
      <c r="AY9" s="546"/>
      <c r="AZ9" s="547"/>
      <c r="BA9" s="548"/>
      <c r="BB9" s="328"/>
      <c r="BC9" s="328"/>
      <c r="BD9" s="328"/>
      <c r="BE9" s="328"/>
      <c r="BF9" s="328"/>
      <c r="BG9" s="328"/>
      <c r="BH9" s="328"/>
      <c r="BI9" s="328"/>
      <c r="BJ9" s="328"/>
      <c r="BK9" s="328"/>
      <c r="BL9" s="328"/>
      <c r="BM9" s="328"/>
      <c r="BN9" s="328"/>
      <c r="BO9" s="328"/>
      <c r="BP9" s="328"/>
      <c r="BQ9" s="328"/>
      <c r="BR9" s="328"/>
      <c r="BS9" s="328"/>
      <c r="BT9" s="328"/>
      <c r="BU9" s="328"/>
      <c r="BV9" s="328" t="s">
        <v>8846</v>
      </c>
    </row>
    <row r="10" spans="1:74" ht="15.75" x14ac:dyDescent="0.25">
      <c r="A10" s="300" t="s">
        <v>2502</v>
      </c>
      <c r="B10" s="108"/>
      <c r="C10" s="108"/>
      <c r="D10" s="108"/>
      <c r="E10" s="108"/>
      <c r="F10" s="25"/>
      <c r="G10" s="26"/>
      <c r="H10" s="26"/>
      <c r="I10" s="26"/>
      <c r="J10" s="1770" t="str">
        <f ca="1">IF(APGUT&lt;0,"Keine AP mehr übrig!",IF(TL_GP_UEBRIG&lt;0,"Keine Start-AP mehr übrig!",IF(STARTAP2_UEBRIG&lt;0,"Keine 2. Prof.-Start-AP mehr übrig!","▼ Fehlermeldungen ▼  "&amp;"(AP: "&amp;APGUT&amp;")")))</f>
        <v>▼ Fehlermeldungen ▼  (AP: 0)</v>
      </c>
      <c r="K10" s="1770"/>
      <c r="L10" s="1770"/>
      <c r="M10" s="108"/>
      <c r="N10" s="108"/>
      <c r="O10" s="108"/>
      <c r="P10" s="108"/>
      <c r="Q10" s="108"/>
      <c r="R10" s="108"/>
      <c r="S10" s="108"/>
      <c r="T10" s="108"/>
      <c r="U10" s="108"/>
      <c r="V10" s="1770" t="str">
        <f ca="1">IF(APGUT&lt;0,"Keine AP mehr übrig!",IF(TL_GP_UEBRIG&lt;0,"Keine Start-AP mehr übrig!",IF(STARTAP2_UEBRIG&lt;0,"Keine 2. Prof.-Start-AP mehr übrig!","▼ Fehlermeldungen ▼  "&amp;"(AP: "&amp;APGUT&amp;")")))</f>
        <v>▼ Fehlermeldungen ▼  (AP: 0)</v>
      </c>
      <c r="W10" s="1770"/>
      <c r="X10" s="1770"/>
      <c r="Y10" s="115"/>
      <c r="Z10" s="115"/>
      <c r="AA10" s="115"/>
      <c r="AB10" s="115"/>
      <c r="AC10" s="115"/>
      <c r="AD10" s="115"/>
      <c r="AE10" s="115"/>
      <c r="AF10" s="115"/>
      <c r="AG10" s="115"/>
      <c r="AH10" s="115"/>
      <c r="AI10" s="115"/>
      <c r="AJ10" s="115"/>
      <c r="AK10" s="115"/>
      <c r="AL10" s="1537">
        <f ca="1">IF(ISERROR(SUM(AL14:AL49,AL53:AL111,AL115:AL123,AM14:AM33,AM37:AM99,AL128:AL133)),0,SUM(AL14:AL49,AL53:AL111,AL115:AL123,AM14:AM33,AM37:AM99,AL128:AL133))</f>
        <v>0</v>
      </c>
      <c r="AM10" s="1538"/>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row>
    <row r="11" spans="1:74" x14ac:dyDescent="0.2">
      <c r="A11" s="1420" t="s">
        <v>2198</v>
      </c>
      <c r="B11" s="204"/>
      <c r="C11" s="204"/>
      <c r="D11" s="204"/>
      <c r="E11" s="204"/>
      <c r="F11" s="204"/>
      <c r="G11" s="204"/>
      <c r="H11" s="204"/>
      <c r="I11" s="204"/>
      <c r="J11" s="775" t="str">
        <f ca="1">IF(GP=0,CONCATENATE("noch ",APGUT," AP übrig"),IF(GP&lt;0,CONCATENATE("Du hast ",ABS(GP)," GP zuviel verteilt"),CONCATENATE("Eingesetzt: ",GPSTART-GP," von ",GPSTART," GP")))</f>
        <v>Du hast 64 GP zuviel verteilt</v>
      </c>
      <c r="K11" s="775"/>
      <c r="L11" s="1016"/>
      <c r="M11" s="1420" t="s">
        <v>3798</v>
      </c>
      <c r="N11" s="204"/>
      <c r="O11" s="204"/>
      <c r="P11" s="204"/>
      <c r="Q11" s="204"/>
      <c r="R11" s="964"/>
      <c r="S11" s="964"/>
      <c r="T11" s="964"/>
      <c r="U11" s="964"/>
      <c r="V11" s="775" t="str">
        <f ca="1">IF(GP=0,CONCATENATE("noch ",APGUT," AP übrig"),IF(GP&lt;0,CONCATENATE("Du hast ",ABS(GP)," GP zuviel verteilt"),CONCATENATE("Eingesetzt: ",GPSTART-GP," von ",GPSTART," GP")))</f>
        <v>Du hast 64 GP zuviel verteilt</v>
      </c>
      <c r="W11" s="775"/>
      <c r="X11" s="1016"/>
      <c r="Y11" s="1021" t="s">
        <v>4242</v>
      </c>
      <c r="Z11" s="1021"/>
      <c r="AA11" s="1021"/>
      <c r="AB11" s="1021"/>
      <c r="AC11" s="1021"/>
      <c r="AD11" s="1021"/>
      <c r="AE11" s="1021"/>
      <c r="AF11" s="1021"/>
      <c r="AG11" s="1085"/>
      <c r="AH11" s="1085" t="str">
        <f ca="1">CONCATENATE(AI11,AJ11,AK11)</f>
        <v>,,,,,,,,,</v>
      </c>
      <c r="AI11" s="1085" t="str">
        <f>CONCATENATE(HLOOKUP(RASSEGENE,RASSE,IDX_WL,FALSE)&amp;",",HLOOKUP(RASSEGENE,RASSE,IDX_WL+1,FALSE)&amp;",",HLOOKUP(RASSEGENE,RASSE,IDX_WL+2,FALSE)&amp;",")</f>
        <v>,,,</v>
      </c>
      <c r="AJ11" s="1085" t="str">
        <f>CONCATENATE(HLOOKUP(KULTURGENE,KULTUR,IDX_WL,FALSE)&amp;",",HLOOKUP(KULTURGENE,KULTUR,IDX_WL+1,FALSE)&amp;",",HLOOKUP(KULTURGENE,KULTUR,IDX_WL+2,FALSE)&amp;",")</f>
        <v>,,,</v>
      </c>
      <c r="AK11" s="1085" t="str">
        <f ca="1">CONCATENATE(HLOOKUP(PROFGENE,INDIRECT(PROFGEBIET),IDX_WL,FALSE)&amp;",",HLOOKUP(PROFGENE,INDIRECT(PROFGEBIET),IDX_WL+1,FALSE)&amp;",",HLOOKUP(PROFGENE,INDIRECT(PROFGEBIET),IDX_WL+2,FALSE)&amp;",")</f>
        <v>,,,</v>
      </c>
      <c r="AL11" s="1136" t="str">
        <f ca="1">IF(LEN(PROFZWEITE)&lt;1,"",CONCATENATE(HLOOKUP(PROFZWEITE,INDIRECT(PROFGEBIET2),IDX_WL,FALSE)&amp;",",HLOOKUP(PROFZWEITE,INDIRECT(PROFGEBIET2),IDX_WL+1,FALSE)&amp;",",HLOOKUP(PROFZWEITE,INDIRECT(PROFGEBIET2),IDX_WL+2,FALSE)&amp;","))</f>
        <v/>
      </c>
      <c r="AM11" s="1132"/>
      <c r="AN11" s="1017" t="s">
        <v>4241</v>
      </c>
      <c r="AO11" s="1017"/>
      <c r="AP11" s="1017"/>
      <c r="AQ11" s="1017"/>
      <c r="AR11" s="1017"/>
      <c r="AS11" s="1017"/>
      <c r="AT11" s="1017"/>
      <c r="AU11" s="1017"/>
      <c r="AV11" s="1133"/>
      <c r="AW11" s="1133" t="str">
        <f ca="1">CONCATENATE(AX11,AY11,AZ11,IF(OR(VT_BALANCE,VT_HBALANCE),"Standfest,",""))</f>
        <v>,,,,,,,,,,,,,,,</v>
      </c>
      <c r="AX11" s="1133" t="str">
        <f>CONCATENATE(HLOOKUP(RASSEGENE,RASSE,IDX_A,FALSE)&amp;",",HLOOKUP(RASSEGENE,RASSE,IDX_A+1,FALSE)&amp;",",HLOOKUP(RASSEGENE,RASSE,IDX_A+2,FALSE)&amp;",",HLOOKUP(RASSEGENE,RASSE,IDX_A+3,FALSE)&amp;",",HLOOKUP(RASSEGENE,RASSE,IDX_A+4,FALSE)&amp;",")</f>
        <v>,,,,,</v>
      </c>
      <c r="AY11" s="1133" t="str">
        <f>CONCATENATE(HLOOKUP(KULTURGENE,KULTUR,IDX_A,FALSE)&amp;",",HLOOKUP(KULTURGENE,KULTUR,IDX_A+1,FALSE)&amp;",",HLOOKUP(KULTURGENE,KULTUR,IDX_A+2,FALSE)&amp;",",HLOOKUP(KULTURGENE,KULTUR,IDX_A+3,FALSE)&amp;",",HLOOKUP(KULTURGENE,KULTUR,IDX_A+4,FALSE)&amp;",")</f>
        <v>,,,,,</v>
      </c>
      <c r="AZ11" s="1133" t="str">
        <f ca="1">CONCATENATE(HLOOKUP(PROFGENE,INDIRECT(PROFGEBIET),IDX_A,FALSE)&amp;",",HLOOKUP(PROFGENE,INDIRECT(PROFGEBIET),IDX_A+1,FALSE)&amp;",",HLOOKUP(PROFGENE,INDIRECT(PROFGEBIET),IDX_A+2,FALSE)&amp;",",HLOOKUP(PROFGENE,INDIRECT(PROFGEBIET),IDX_A+3,FALSE)&amp;",",HLOOKUP(PROFGENE,INDIRECT(PROFGEBIET),IDX_A+4,FALSE)&amp;",")</f>
        <v>,,,,,</v>
      </c>
      <c r="BA11" s="1133" t="str">
        <f ca="1">IF(LEN(PROFZWEITE)&lt;1,"",CONCATENATE(HLOOKUP(PROFZWEITE,INDIRECT(PROFGEBIET2),IDX_A,FALSE)&amp;",",HLOOKUP(PROFZWEITE,INDIRECT(PROFGEBIET2),IDX_A+1,FALSE)&amp;",",HLOOKUP(PROFZWEITE,INDIRECT(PROFGEBIET2),IDX_A+2,FALSE)&amp;",",HLOOKUP(PROFZWEITE,INDIRECT(PROFGEBIET2),IDX_A+3,FALSE)&amp;",",HLOOKUP(PROFZWEITE,INDIRECT(PROFGEBIET2),IDX_A+4,FALSE)&amp;","))</f>
        <v/>
      </c>
      <c r="BB11" s="1017"/>
      <c r="BC11" s="1017"/>
      <c r="BD11" s="1017"/>
      <c r="BE11" s="1017"/>
      <c r="BF11" s="1017"/>
      <c r="BG11" s="1017"/>
      <c r="BH11" s="1017"/>
      <c r="BI11" s="1017"/>
      <c r="BJ11" s="1017"/>
      <c r="BK11" s="1017"/>
      <c r="BL11" s="1017"/>
      <c r="BM11" s="1017"/>
      <c r="BN11" s="1017"/>
      <c r="BO11" s="1017"/>
      <c r="BP11" s="1017"/>
      <c r="BQ11" s="1160" t="s">
        <v>6511</v>
      </c>
      <c r="BR11" s="1017"/>
      <c r="BS11" s="1017"/>
      <c r="BT11" s="1021"/>
      <c r="BU11" s="1021"/>
      <c r="BV11" s="1106" t="str">
        <f ca="1">HLOOKUP(RASSEGENE,RASSE,IDX_WWLOS,FALSE)&amp;
HLOOKUP(KULTURGENE,KULTUR,IDX_WWLOS,FALSE)&amp;
HLOOKUP(PROFGENE,INDIRECT(PROFGEBIET),IDX_WWLOS,FALSE)&amp;
IF(LEN(PROFZWEITE)&lt;1,"",HLOOKUP(PROFZWEITE,INDIRECT(PROFGEBIET2),IDX_WWLOS,FALSE))</f>
        <v/>
      </c>
    </row>
    <row r="12" spans="1:74" x14ac:dyDescent="0.2">
      <c r="A12" s="1855" t="str">
        <f ca="1">IF(BV11="","","Wählbare SF Waffenlos: "&amp;BV11&amp;" ")&amp;
IF(BV12="","","Wählbare Verbilligte SF Waffenlos: "&amp;BV12)</f>
        <v/>
      </c>
      <c r="B12" s="1856"/>
      <c r="C12" s="1856"/>
      <c r="D12" s="1856"/>
      <c r="E12" s="1856"/>
      <c r="F12" s="1856"/>
      <c r="G12" s="1856"/>
      <c r="H12" s="1856"/>
      <c r="I12" s="1856"/>
      <c r="J12" s="1856"/>
      <c r="K12" s="1856"/>
      <c r="L12" s="1857"/>
      <c r="M12" s="1861" t="str">
        <f ca="1">IF(BV13="","","Wählbare SF Allgemein: "&amp;BV13&amp;" ")&amp;
IF(BV14="","","Wählbare Verbilligte SF Allgemein: "&amp;BV14)</f>
        <v/>
      </c>
      <c r="N12" s="1862"/>
      <c r="O12" s="1862"/>
      <c r="P12" s="1862"/>
      <c r="Q12" s="1862"/>
      <c r="R12" s="1862"/>
      <c r="S12" s="1862"/>
      <c r="T12" s="1862"/>
      <c r="U12" s="1862"/>
      <c r="V12" s="1862"/>
      <c r="W12" s="1862"/>
      <c r="X12" s="1863"/>
      <c r="Y12" s="1021" t="s">
        <v>4239</v>
      </c>
      <c r="Z12" s="1021"/>
      <c r="AA12" s="1021"/>
      <c r="AB12" s="1021"/>
      <c r="AC12" s="1021"/>
      <c r="AD12" s="1021"/>
      <c r="AE12" s="1021"/>
      <c r="AF12" s="1021"/>
      <c r="AG12" s="1085"/>
      <c r="AH12" s="1085" t="str">
        <f ca="1">CONCATENATE(AI12,AJ12,AK12,IF(VT_BBILDUNG,AL11&amp;AL12,""))</f>
        <v>,,,,,,,,,</v>
      </c>
      <c r="AI12" s="1085" t="str">
        <f>CONCATENATE(HLOOKUP(RASSEGENE,RASSE,IDX_VWL,FALSE)&amp;",",HLOOKUP(RASSEGENE,RASSE,IDX_VWL+1,FALSE)&amp;",",HLOOKUP(RASSEGENE,RASSE,IDX_VWL+2,FALSE)&amp;",")</f>
        <v>,,,</v>
      </c>
      <c r="AJ12" s="1085" t="str">
        <f>CONCATENATE(HLOOKUP(KULTURGENE,KULTUR,IDX_VWL,FALSE)&amp;",",HLOOKUP(KULTURGENE,KULTUR,IDX_VWL+1,FALSE)&amp;",",HLOOKUP(KULTURGENE,KULTUR,IDX_VWL+2,FALSE)&amp;",")</f>
        <v>,,,</v>
      </c>
      <c r="AK12" s="1085" t="str">
        <f ca="1">CONCATENATE(HLOOKUP(PROFGENE,INDIRECT(PROFGEBIET),IDX_VWL,FALSE)&amp;",",HLOOKUP(PROFGENE,INDIRECT(PROFGEBIET),IDX_VWL+1,FALSE)&amp;",",HLOOKUP(PROFGENE,INDIRECT(PROFGEBIET),IDX_VWL+2,FALSE)&amp;",")</f>
        <v>,,,</v>
      </c>
      <c r="AL12" s="1136" t="str">
        <f ca="1">IF(LEN(PROFZWEITE)&lt;1,"",CONCATENATE(HLOOKUP(PROFZWEITE,INDIRECT(PROFGEBIET2),IDX_VWL,FALSE)&amp;",",HLOOKUP(PROFZWEITE,INDIRECT(PROFGEBIET2),IDX_VWL+1,FALSE)&amp;",",HLOOKUP(PROFZWEITE,INDIRECT(PROFGEBIET2),IDX_VWL+2,FALSE)&amp;","))</f>
        <v/>
      </c>
      <c r="AM12" s="1135"/>
      <c r="AN12" s="1021" t="s">
        <v>4239</v>
      </c>
      <c r="AO12" s="1021"/>
      <c r="AP12" s="1021"/>
      <c r="AQ12" s="1021"/>
      <c r="AR12" s="1021"/>
      <c r="AS12" s="1021"/>
      <c r="AT12" s="1021"/>
      <c r="AU12" s="1021"/>
      <c r="AV12" s="1085"/>
      <c r="AW12" s="1085" t="str">
        <f ca="1">CONCATENATE(AX12,AY12,AZ12,,IF(VT_BBILDUNG,BA11&amp;BA12,""))</f>
        <v>,,,,,,,,,,,,,,,</v>
      </c>
      <c r="AX12" s="1085" t="str">
        <f>CONCATENATE(HLOOKUP(RASSEGENE,RASSE,IDX_VA,FALSE)&amp;",",HLOOKUP(RASSEGENE,RASSE,IDX_VA+1,FALSE)&amp;",",HLOOKUP(RASSEGENE,RASSE,IDX_VA+2,FALSE)&amp;",",HLOOKUP(RASSEGENE,RASSE,IDX_VA+3,FALSE)&amp;",",HLOOKUP(RASSEGENE,RASSE,IDX_VA+4,FALSE)&amp;",")</f>
        <v>,,,,,</v>
      </c>
      <c r="AY12" s="1085" t="str">
        <f>CONCATENATE(HLOOKUP(KULTURGENE,KULTUR,IDX_VA,FALSE)&amp;",",HLOOKUP(KULTURGENE,KULTUR,IDX_VA+1,FALSE)&amp;",",HLOOKUP(KULTURGENE,KULTUR,IDX_VA+2,FALSE)&amp;",",HLOOKUP(KULTURGENE,KULTUR,IDX_VA+3,FALSE)&amp;",",HLOOKUP(KULTURGENE,KULTUR,IDX_VA+4,FALSE)&amp;",")</f>
        <v>,,,,,</v>
      </c>
      <c r="AZ12" s="1085" t="str">
        <f ca="1">CONCATENATE(HLOOKUP(PROFGENE,INDIRECT(PROFGEBIET),IDX_VA,FALSE)&amp;",",HLOOKUP(PROFGENE,INDIRECT(PROFGEBIET),IDX_VA+1,FALSE)&amp;",",HLOOKUP(PROFGENE,INDIRECT(PROFGEBIET),IDX_VA+2,FALSE)&amp;",",HLOOKUP(PROFGENE,INDIRECT(PROFGEBIET),IDX_VA+3,FALSE)&amp;",",HLOOKUP(PROFGENE,INDIRECT(PROFGEBIET),IDX_VA+4,FALSE)&amp;",")</f>
        <v>,,,,,</v>
      </c>
      <c r="BA12" s="1085" t="str">
        <f ca="1">IF(LEN(PROFZWEITE)&lt;1,"",CONCATENATE(HLOOKUP(PROFZWEITE,INDIRECT(PROFGEBIET2),IDX_VA,FALSE)&amp;",",HLOOKUP(PROFZWEITE,INDIRECT(PROFGEBIET2),IDX_VA+1,FALSE)&amp;",",HLOOKUP(PROFZWEITE,INDIRECT(PROFGEBIET2),IDX_VA+2,FALSE)&amp;",",HLOOKUP(PROFZWEITE,INDIRECT(PROFGEBIET2),IDX_VA+3,FALSE)&amp;",",HLOOKUP(PROFZWEITE,INDIRECT(PROFGEBIET2),IDX_VA+4,FALSE)&amp;","))</f>
        <v/>
      </c>
      <c r="BB12" s="1021"/>
      <c r="BC12" s="1021"/>
      <c r="BD12" s="1021"/>
      <c r="BE12" s="1021"/>
      <c r="BF12" s="1021"/>
      <c r="BG12" s="1021"/>
      <c r="BH12" s="1021"/>
      <c r="BI12" s="1021"/>
      <c r="BJ12" s="1021"/>
      <c r="BK12" s="1021"/>
      <c r="BL12" s="1021"/>
      <c r="BM12" s="1021"/>
      <c r="BN12" s="1021"/>
      <c r="BO12" s="1021"/>
      <c r="BP12" s="1021"/>
      <c r="BQ12" s="1021"/>
      <c r="BR12" s="1021"/>
      <c r="BS12" s="1021"/>
      <c r="BT12" s="1021"/>
      <c r="BU12" s="1021"/>
      <c r="BV12" s="1107" t="str">
        <f ca="1">HLOOKUP(RASSEGENE,RASSE,IDX_WVWLOS,FALSE)&amp;
HLOOKUP(KULTURGENE,KULTUR,IDX_WVWLOS,FALSE)&amp;
HLOOKUP(PROFGENE,INDIRECT(PROFGEBIET),IDX_WVWLOS,FALSE)&amp;
IF(LEN(PROFZWEITE)&lt;1,"",HLOOKUP(PROFZWEITE,INDIRECT(PROFGEBIET2),IDX_WVWLOS,FALSE))</f>
        <v/>
      </c>
    </row>
    <row r="13" spans="1:74" x14ac:dyDescent="0.2">
      <c r="A13" s="1858"/>
      <c r="B13" s="1859"/>
      <c r="C13" s="1859"/>
      <c r="D13" s="1859"/>
      <c r="E13" s="1859"/>
      <c r="F13" s="1859"/>
      <c r="G13" s="1859"/>
      <c r="H13" s="1859"/>
      <c r="I13" s="1859"/>
      <c r="J13" s="1859"/>
      <c r="K13" s="1859"/>
      <c r="L13" s="1860"/>
      <c r="M13" s="1864"/>
      <c r="N13" s="1865"/>
      <c r="O13" s="1865"/>
      <c r="P13" s="1865"/>
      <c r="Q13" s="1865"/>
      <c r="R13" s="1865"/>
      <c r="S13" s="1865"/>
      <c r="T13" s="1865"/>
      <c r="U13" s="1865"/>
      <c r="V13" s="1865"/>
      <c r="W13" s="1865"/>
      <c r="X13" s="1866"/>
      <c r="Y13" s="1021"/>
      <c r="Z13" s="1021"/>
      <c r="AA13" s="1021"/>
      <c r="AB13" s="1021"/>
      <c r="AC13" s="1021"/>
      <c r="AD13" s="1021"/>
      <c r="AE13" s="1021"/>
      <c r="AF13" s="1021"/>
      <c r="AG13" s="1021"/>
      <c r="AH13" s="1021"/>
      <c r="AI13" s="1021"/>
      <c r="AJ13" s="1021"/>
      <c r="AK13" s="1021"/>
      <c r="AL13" s="1433"/>
      <c r="AM13" s="1135"/>
      <c r="AN13" s="1021"/>
      <c r="AO13" s="1021"/>
      <c r="AP13" s="1021"/>
      <c r="AQ13" s="1021"/>
      <c r="AR13" s="1021"/>
      <c r="AS13" s="1021"/>
      <c r="AT13" s="1021"/>
      <c r="AU13" s="1021"/>
      <c r="AV13" s="1021"/>
      <c r="AW13" s="1021"/>
      <c r="AX13" s="1021"/>
      <c r="AY13" s="1021"/>
      <c r="AZ13" s="1021"/>
      <c r="BA13" s="1021"/>
      <c r="BB13" s="1021"/>
      <c r="BC13" s="1021"/>
      <c r="BD13" s="1021"/>
      <c r="BE13" s="1021"/>
      <c r="BF13" s="1021"/>
      <c r="BG13" s="1021"/>
      <c r="BH13" s="1021"/>
      <c r="BI13" s="1021"/>
      <c r="BJ13" s="1021"/>
      <c r="BK13" s="1021"/>
      <c r="BL13" s="1021"/>
      <c r="BM13" s="1021"/>
      <c r="BN13" s="1021"/>
      <c r="BO13" s="1021"/>
      <c r="BP13" s="1021"/>
      <c r="BQ13" s="1021"/>
      <c r="BR13" s="1021"/>
      <c r="BS13" s="1021"/>
      <c r="BT13" s="1021"/>
      <c r="BU13" s="1021"/>
      <c r="BV13" s="1106" t="str">
        <f ca="1">HLOOKUP(RASSEGENE,RASSE,IDX_WA,FALSE)&amp;
HLOOKUP(KULTURGENE,KULTUR,IDX_WA,FALSE)&amp;
HLOOKUP(PROFGENE,INDIRECT(PROFGEBIET),IDX_WA,FALSE)&amp;
IF(LEN(PROFZWEITE)&lt;1,"",HLOOKUP(PROFZWEITE,INDIRECT(PROFGEBIET2),IDX_WA,FALSE))</f>
        <v/>
      </c>
    </row>
    <row r="14" spans="1:74" x14ac:dyDescent="0.2">
      <c r="A14" s="112" t="str">
        <f t="shared" ref="A14:A49" si="0">INDEX(SF_WLOS,$AF14)</f>
        <v>Auspendeln</v>
      </c>
      <c r="B14" s="391" t="str">
        <f t="shared" ref="B14:B49" ca="1" si="1">IF(NOT(ISERR(FIND(A14&amp;",",$AH$11,1))),"x",
IF(E14="X","x",
IF(D14="X","x","")))</f>
        <v/>
      </c>
      <c r="C14" s="387" t="str">
        <f t="shared" ref="C14:C49" ca="1" si="2">IF(NOT(ISERR(FIND(A14&amp;",",$AH$12,1))),"x",
IF(D14="V","x",""))</f>
        <v/>
      </c>
      <c r="D14" s="1127"/>
      <c r="E14" s="109" t="str">
        <f ca="1">IF(OR(AKTIV_WLOSBORN="X",AKTIV_WLOSGLADIATOR="X",AKTIV_WLOSHAMMER="X",AKTIV_WLOSHRURUZAT="X",AKTIV_WLOSMERC="X",AKTIV_WLOSUNAU="X"),"X","")</f>
        <v/>
      </c>
      <c r="F14" s="384"/>
      <c r="G14" s="960"/>
      <c r="H14" s="960"/>
      <c r="I14" s="324"/>
      <c r="J14" s="1739" t="str">
        <f t="shared" ref="J14:J43" ca="1" si="3">IF(AND(NOT(ISBLANK($F14)),NOT(ISBLANK($G14)),NOT(ISBLANK($H14)),NOT(ISBLANK($I14))),"Was denn nun? GP oder AP?",IF(AND(OR(NOT(ISBLANK($F14)),NOT(ISBLANK($G14)),NOT(ISBLANK($H14)),NOT(ISBLANK($I14))),OR(NOT(EXACT($B14,"")),NOT(EXACT($E14,"")))),"Diese SF hast Du schon!",IF(AND(ZS_SE_VIEW,B14="",C14="",NOT(ISERR(FIND(A14,ZS_SF_ALLE,1)))),"SF verbilligt aus Studium","")))</f>
        <v/>
      </c>
      <c r="K14" s="1740"/>
      <c r="L14" s="1741"/>
      <c r="M14" s="1012" t="str">
        <f t="shared" ref="M14:M33" si="4">INDEX(SF_ANDERE,$AU14)</f>
        <v>Akklimatisierung (Hitze)</v>
      </c>
      <c r="N14" s="391" t="str">
        <f t="shared" ref="N14:N21" ca="1" si="5">IF(NOT(ISERR(FIND(M14&amp;",",$AW$11,1))),"x",
IF(P14="X","x",""))</f>
        <v/>
      </c>
      <c r="O14" s="387" t="str">
        <f t="shared" ref="O14:O33" ca="1" si="6">IF(NOT(ISERR(FIND(M14&amp;",",$AW$12,1))),"x",
IF(P14="V","x",""))</f>
        <v/>
      </c>
      <c r="P14" s="1127"/>
      <c r="Q14" s="109"/>
      <c r="R14" s="384"/>
      <c r="S14" s="960"/>
      <c r="T14" s="960"/>
      <c r="U14" s="324"/>
      <c r="V14" s="1739" t="str">
        <f ca="1">IF(OR(NOT(ISBLANK($R14)),NOT(ISBLANK($S14)),NOT(ISBLANK($T14)),NOT(ISBLANK($U14))),IF(NOT(EXACT($N14,"")),"Diese SF hast Du schon!",IF(KO&lt;12,"KO min. 12","")),IF(AND(ZS_SE_VIEW,N14="",O14="",NOT(ISERR(FIND(M14,ZS_SF_ALLE,1)))),"SF verbilligt aus Studium",""))</f>
        <v/>
      </c>
      <c r="W14" s="1740"/>
      <c r="X14" s="1741"/>
      <c r="Y14" s="246">
        <f t="shared" ref="Y14:Y49" ca="1" si="7">IF(AND(NOT(ISBLANK($F14)),EXACT($J14,""),EXACT($B14,"")),IF(EXACT($C14,""),VLOOKUP($A14,SF_WLOSALLE,3,FALSE),ROUND(VLOOKUP($A14,SF_WLOSALLE,3,FALSE)/$AC14,0)),0)</f>
        <v>0</v>
      </c>
      <c r="Z14" s="212">
        <f t="shared" ref="Z14:Z29" ca="1" si="8">IF(AND(NOT(ISBLANK($G14)),EXACT($B14,"")),IF(EXACT($C14,""),VLOOKUP($A14,SF_WLOSALLE,2,FALSE),ROUND(VLOOKUP($A14,SF_WLOSALLE,2,FALSE)/$AC14,0)),0)</f>
        <v>0</v>
      </c>
      <c r="AA14" s="212">
        <f t="shared" ref="AA14:AA29" ca="1" si="9">IF(AND(NOT(ISBLANK($H14)),EXACT($B14,"")),IF(EXACT($C14,""),VLOOKUP($A14,SF_WLOSALLE,2,FALSE),ROUND(VLOOKUP($A14,SF_WLOSALLE,2,FALSE)/$AC14,0)),0)</f>
        <v>0</v>
      </c>
      <c r="AB14" s="212">
        <f t="shared" ref="AB14:AB29" ca="1" si="10">IF(AND(NOT(ISBLANK($I14)),EXACT($J14,""),EXACT($B14,"")),IF(EXACT($C14,""),VLOOKUP($A14,SF_WLOSALLE,2,FALSE),ROUND(VLOOKUP($A14,SF_WLOSALLE,2,FALSE)/$AC14,0)),0)</f>
        <v>0</v>
      </c>
      <c r="AC14" s="212">
        <f ca="1">IF((LEN($AH$12)-LEN(SUBSTITUTE($AH$12,$A14&amp;",","")))/LEN($A14&amp;",")&gt;1,4,2)</f>
        <v>2</v>
      </c>
      <c r="AD14" s="557" t="str">
        <f t="shared" ref="AD14:AD43" ca="1" si="11">IF(AND(EXACT($B14,""),EXACT($E14,""),ISBLANK($G14),ISBLANK($H14),ISBLANK($I14),ISBLANK($F14)),"",CONCATENATE($A14,", "))</f>
        <v/>
      </c>
      <c r="AE14" s="549" t="str">
        <f t="shared" ref="AE14:AE44" ca="1" si="12">IF(AND(EXACT($B14,""),EXACT($E14,""),ISBLANK($G14),ISBLANK($H14),ISBLANK($I14),ISBLANK($F14)),"",IF(EXACT($J14,""),"X",""))</f>
        <v/>
      </c>
      <c r="AF14" s="557">
        <v>1</v>
      </c>
      <c r="AG14" s="557"/>
      <c r="AH14" s="113"/>
      <c r="AI14" s="113"/>
      <c r="AJ14" s="113"/>
      <c r="AK14" s="113"/>
      <c r="AL14" s="559">
        <f t="shared" ref="AL14:AL49" ca="1" si="13">IF((LEN($AH$11)-LEN(SUBSTITUTE($AH$11,$A14&amp;",","")))/LEN($A14&amp;",")&gt;1,VLOOKUP($A14,SF_WLOSALLE,3,FALSE),0)+
IF(AND((LEN($AH$12)-LEN(SUBSTITUTE($AH$12,$A14&amp;",","")))/LEN($A14&amp;",")&gt;0,(LEN($AH$11)-LEN(SUBSTITUTE($AH$11,$A14&amp;",","")))/LEN($A14&amp;",")&gt;0),ROUND(VLOOKUP($A14,SF_WLOSALLE,3,FALSE)*0.5,0),0)</f>
        <v>0</v>
      </c>
      <c r="AM14" s="246">
        <f t="shared" ref="AM14:AM33" ca="1" si="14">IF((LEN($AW$11)-LEN(SUBSTITUTE($AW$11,$M14&amp;",","")))/LEN($M14&amp;",")&gt;1,VLOOKUP($M14,SF_ANDEREALLE,3,FALSE),0)+
IF(AND((LEN($AW$12)-LEN(SUBSTITUTE($AW$12,$M14&amp;",","")))/LEN($M14&amp;",")&gt;0,(LEN($AW$11)-LEN(SUBSTITUTE($AW$11,$M14&amp;",","")))/LEN($M14&amp;",")&gt;0),ROUND(VLOOKUP($M14,SF_ANDEREALLE,3,FALSE)*0.5,0),0)</f>
        <v>0</v>
      </c>
      <c r="AN14" s="212">
        <f ca="1">IF(AND(NOT(ISBLANK($R14)),EXACT($V14,""),EXACT($N14,"")),IF(EXACT($O14,""),VLOOKUP($M14,SF_ANDEREALLE,3,FALSE),ROUND(VLOOKUP($M14,SF_ANDEREALLE,3,FALSE)/$AR14,0)),0)</f>
        <v>0</v>
      </c>
      <c r="AO14" s="212">
        <f ca="1">IF(AND(NOT(ISBLANK($S14)),EXACT($N14,"")),IF(EXACT($O14,""),VLOOKUP($M14,SF_ANDEREALLE,2,FALSE),ROUND(VLOOKUP($M14,SF_ANDEREALLE,2,FALSE)/$AR14,0)),0)</f>
        <v>0</v>
      </c>
      <c r="AP14" s="212">
        <f ca="1">IF(AND(NOT(ISBLANK($T14)),EXACT($N14,"")),IF(EXACT($O14,""),VLOOKUP($M14,SF_ANDEREALLE,2,FALSE),ROUND(VLOOKUP($M14,SF_ANDEREALLE,2,FALSE)/$AR14,0)),0)</f>
        <v>0</v>
      </c>
      <c r="AQ14" s="212">
        <f ca="1">IF(AND(NOT(ISBLANK($U14)),EXACT($V14,""),EXACT($N14,"")),IF(EXACT($O14,""),VLOOKUP($M14,SF_ANDEREALLE,2,FALSE),ROUND(VLOOKUP($M14,SF_ANDEREALLE,2,FALSE)/$AR14,0)),0)</f>
        <v>0</v>
      </c>
      <c r="AR14" s="212">
        <f ca="1">IF((LEN($AW$12)-LEN(SUBSTITUTE($AW$12,$M14&amp;",","")))/LEN($M14&amp;",")&gt;1,4,2)</f>
        <v>2</v>
      </c>
      <c r="AS14" s="1020" t="str">
        <f t="shared" ref="AS14:AS33" ca="1" si="15">IF(AND(EXACT($N14,""),ISBLANK($R14),ISBLANK($S14),ISBLANK($T14),ISBLANK($U14)),"",IF(EXACT($V14,""),"X",""))</f>
        <v/>
      </c>
      <c r="AT14" s="557" t="str">
        <f t="shared" ref="AT14:AT21" ca="1" si="16">IF(AND(EXACT($N14,""),ISBLANK($R14),ISBLANK($S14),ISBLANK($T14),ISBLANK($U14)),"",CONCATENATE($M14,", "))</f>
        <v/>
      </c>
      <c r="AU14" s="557">
        <v>2</v>
      </c>
      <c r="AV14" s="557"/>
      <c r="AW14" s="18"/>
      <c r="AX14" s="18"/>
      <c r="AY14" s="18"/>
      <c r="AZ14" s="18"/>
      <c r="BA14" s="18"/>
      <c r="BB14" s="212"/>
      <c r="BC14" s="113"/>
      <c r="BD14" s="113"/>
      <c r="BE14" s="113"/>
      <c r="BF14" s="113"/>
      <c r="BG14" s="113"/>
      <c r="BH14" s="113"/>
      <c r="BI14" s="113"/>
      <c r="BJ14" s="113"/>
      <c r="BK14" s="190"/>
      <c r="BL14" s="190"/>
      <c r="BM14" s="190"/>
      <c r="BN14" s="190"/>
      <c r="BO14" s="190"/>
      <c r="BP14" s="190"/>
      <c r="BQ14" s="190"/>
      <c r="BR14" s="190"/>
      <c r="BS14" s="190"/>
      <c r="BT14" s="190"/>
      <c r="BU14" s="190"/>
      <c r="BV14" s="1107" t="str">
        <f ca="1">HLOOKUP(RASSEGENE,RASSE,IDX_WVA,FALSE)&amp;
HLOOKUP(KULTURGENE,KULTUR,IDX_WVA,FALSE)&amp;
HLOOKUP(PROFGENE,INDIRECT(PROFGEBIET),IDX_WVA,FALSE)&amp;
IF(LEN(PROFZWEITE)&lt;1,"",HLOOKUP(PROFZWEITE,INDIRECT(PROFGEBIET2),IDX_WVA,FALSE))</f>
        <v/>
      </c>
    </row>
    <row r="15" spans="1:74" x14ac:dyDescent="0.2">
      <c r="A15" s="112" t="str">
        <f t="shared" si="0"/>
        <v>Beinarbeit</v>
      </c>
      <c r="B15" s="391" t="str">
        <f t="shared" ca="1" si="1"/>
        <v/>
      </c>
      <c r="C15" s="387" t="str">
        <f t="shared" ca="1" si="2"/>
        <v/>
      </c>
      <c r="D15" s="1127"/>
      <c r="E15" s="109" t="str">
        <f ca="1">IF(OR(AKTIV_WLOSGLADIATOR="X",AKTIV_WLOSHRURUZAT="X",AKTIV_WLOSMERC="X",AKTIV_WLOSUNAU="X"),"X","")</f>
        <v/>
      </c>
      <c r="F15" s="384"/>
      <c r="G15" s="960"/>
      <c r="H15" s="960"/>
      <c r="I15" s="324"/>
      <c r="J15" s="1739" t="str">
        <f t="shared" ca="1" si="3"/>
        <v/>
      </c>
      <c r="K15" s="1740"/>
      <c r="L15" s="1741"/>
      <c r="M15" s="1012" t="str">
        <f t="shared" si="4"/>
        <v>Akklimatisierung (Kälte)</v>
      </c>
      <c r="N15" s="391" t="str">
        <f t="shared" ca="1" si="5"/>
        <v/>
      </c>
      <c r="O15" s="387" t="str">
        <f t="shared" ca="1" si="6"/>
        <v/>
      </c>
      <c r="P15" s="1127"/>
      <c r="Q15" s="109"/>
      <c r="R15" s="384"/>
      <c r="S15" s="960"/>
      <c r="T15" s="960"/>
      <c r="U15" s="324"/>
      <c r="V15" s="1739" t="str">
        <f ca="1">IF(OR(NOT(ISBLANK($R15)),NOT(ISBLANK($S15)),NOT(ISBLANK($T15)),NOT(ISBLANK($U15))),IF(NOT(EXACT($N15,"")),"Diese SF hast Du schon!",IF(KO&lt;12,"KO min. 12","")),IF(AND(ZS_SE_VIEW,N15="",O15="",NOT(ISERR(FIND(M15,ZS_SF_ALLE,1)))),"SF verbilligt aus Studium",""))</f>
        <v/>
      </c>
      <c r="W15" s="1740"/>
      <c r="X15" s="1741"/>
      <c r="Y15" s="246">
        <f t="shared" ca="1" si="7"/>
        <v>0</v>
      </c>
      <c r="Z15" s="212">
        <f t="shared" ca="1" si="8"/>
        <v>0</v>
      </c>
      <c r="AA15" s="212">
        <f t="shared" ca="1" si="9"/>
        <v>0</v>
      </c>
      <c r="AB15" s="212">
        <f t="shared" ca="1" si="10"/>
        <v>0</v>
      </c>
      <c r="AC15" s="212">
        <f t="shared" ref="AC15:AC49" ca="1" si="17">IF((LEN($AH$12)-LEN(SUBSTITUTE($AH$12,$A15&amp;",","")))/LEN($A15&amp;",")&gt;1,4,2)</f>
        <v>2</v>
      </c>
      <c r="AD15" s="557" t="str">
        <f t="shared" ca="1" si="11"/>
        <v/>
      </c>
      <c r="AE15" s="549" t="str">
        <f t="shared" ca="1" si="12"/>
        <v/>
      </c>
      <c r="AF15" s="557">
        <f t="shared" ref="AF15:AF49" si="18">$AF14+1</f>
        <v>2</v>
      </c>
      <c r="AG15" s="557"/>
      <c r="AH15" s="113"/>
      <c r="AI15" s="113"/>
      <c r="AJ15" s="113"/>
      <c r="AK15" s="113"/>
      <c r="AL15" s="559">
        <f t="shared" ca="1" si="13"/>
        <v>0</v>
      </c>
      <c r="AM15" s="246">
        <f t="shared" ca="1" si="14"/>
        <v>0</v>
      </c>
      <c r="AN15" s="212">
        <f ca="1">IF(AND(NOT(ISBLANK($R15)),EXACT($V15,""),EXACT($N15,"")),IF(EXACT($O15,""),VLOOKUP($M15,SF_ANDEREALLE,3,FALSE),ROUND(VLOOKUP($M15,SF_ANDEREALLE,3,FALSE)/$AR15,0)),0)</f>
        <v>0</v>
      </c>
      <c r="AO15" s="212">
        <f ca="1">IF(AND(NOT(ISBLANK($S15)),EXACT($N15,"")),IF(EXACT($O15,""),VLOOKUP($M15,SF_ANDEREALLE,2,FALSE),ROUND(VLOOKUP($M15,SF_ANDEREALLE,2,FALSE)/$AR15,0)),0)</f>
        <v>0</v>
      </c>
      <c r="AP15" s="212">
        <f ca="1">IF(AND(NOT(ISBLANK($T15)),EXACT($N15,"")),IF(EXACT($O15,""),VLOOKUP($M15,SF_ANDEREALLE,2,FALSE),ROUND(VLOOKUP($M15,SF_ANDEREALLE,2,FALSE)/$AR15,0)),0)</f>
        <v>0</v>
      </c>
      <c r="AQ15" s="212">
        <f ca="1">IF(AND(NOT(ISBLANK($U15)),EXACT($V15,""),EXACT($N15,"")),IF(EXACT($O15,""),VLOOKUP($M15,SF_ANDEREALLE,2,FALSE),ROUND(VLOOKUP($M15,SF_ANDEREALLE,2,FALSE)/$AR15,0)),0)</f>
        <v>0</v>
      </c>
      <c r="AR15" s="212">
        <f t="shared" ref="AR15:AR33" ca="1" si="19">IF((LEN($AW$12)-LEN(SUBSTITUTE($AW$12,$M15&amp;",","")))/LEN($M15&amp;",")&gt;1,4,2)</f>
        <v>2</v>
      </c>
      <c r="AS15" s="1020" t="str">
        <f t="shared" ca="1" si="15"/>
        <v/>
      </c>
      <c r="AT15" s="557" t="str">
        <f t="shared" ca="1" si="16"/>
        <v/>
      </c>
      <c r="AU15" s="557">
        <f t="shared" ref="AU15:AU33" si="20">$AU14+1</f>
        <v>3</v>
      </c>
      <c r="AV15" s="557"/>
      <c r="AW15" s="18"/>
      <c r="AX15" s="18"/>
      <c r="AY15" s="18"/>
      <c r="AZ15" s="18"/>
      <c r="BA15" s="18"/>
      <c r="BB15" s="212"/>
      <c r="BC15" s="113"/>
      <c r="BD15" s="113"/>
      <c r="BE15" s="113"/>
      <c r="BF15" s="113"/>
      <c r="BG15" s="113"/>
      <c r="BH15" s="113"/>
      <c r="BI15" s="113"/>
      <c r="BJ15" s="113"/>
      <c r="BK15" s="190"/>
      <c r="BL15" s="190"/>
      <c r="BM15" s="190"/>
      <c r="BN15" s="190"/>
      <c r="BO15" s="190"/>
      <c r="BP15" s="190"/>
      <c r="BQ15" s="190"/>
      <c r="BR15" s="190"/>
      <c r="BS15" s="190"/>
      <c r="BT15" s="190"/>
      <c r="BU15" s="190"/>
      <c r="BV15" s="234"/>
    </row>
    <row r="16" spans="1:74" x14ac:dyDescent="0.2">
      <c r="A16" s="112" t="str">
        <f t="shared" si="0"/>
        <v>Biss</v>
      </c>
      <c r="B16" s="391" t="str">
        <f t="shared" ca="1" si="1"/>
        <v/>
      </c>
      <c r="C16" s="387" t="str">
        <f t="shared" ca="1" si="2"/>
        <v/>
      </c>
      <c r="D16" s="1127"/>
      <c r="E16" s="109" t="str">
        <f ca="1">IF(OR(AKTIV_WLOSBORN="X"),"X","")</f>
        <v/>
      </c>
      <c r="F16" s="384"/>
      <c r="G16" s="960"/>
      <c r="H16" s="960"/>
      <c r="I16" s="324"/>
      <c r="J16" s="1739" t="str">
        <f t="shared" ca="1" si="3"/>
        <v/>
      </c>
      <c r="K16" s="1740"/>
      <c r="L16" s="1741"/>
      <c r="M16" s="1012" t="str">
        <f t="shared" si="4"/>
        <v>Berufsgeheimnis</v>
      </c>
      <c r="N16" s="391" t="str">
        <f t="shared" ca="1" si="5"/>
        <v/>
      </c>
      <c r="O16" s="387" t="str">
        <f t="shared" ca="1" si="6"/>
        <v/>
      </c>
      <c r="P16" s="1127"/>
      <c r="Q16" s="109"/>
      <c r="R16" s="384"/>
      <c r="S16" s="960"/>
      <c r="T16" s="960"/>
      <c r="U16" s="324"/>
      <c r="V16" s="1867"/>
      <c r="W16" s="1853"/>
      <c r="X16" s="1854"/>
      <c r="Y16" s="246">
        <f t="shared" ca="1" si="7"/>
        <v>0</v>
      </c>
      <c r="Z16" s="212">
        <f t="shared" ca="1" si="8"/>
        <v>0</v>
      </c>
      <c r="AA16" s="212">
        <f t="shared" ca="1" si="9"/>
        <v>0</v>
      </c>
      <c r="AB16" s="212">
        <f t="shared" ca="1" si="10"/>
        <v>0</v>
      </c>
      <c r="AC16" s="212">
        <f t="shared" ca="1" si="17"/>
        <v>2</v>
      </c>
      <c r="AD16" s="557" t="str">
        <f t="shared" ca="1" si="11"/>
        <v/>
      </c>
      <c r="AE16" s="549" t="str">
        <f t="shared" ca="1" si="12"/>
        <v/>
      </c>
      <c r="AF16" s="557">
        <f t="shared" si="18"/>
        <v>3</v>
      </c>
      <c r="AG16" s="557"/>
      <c r="AH16" s="113"/>
      <c r="AI16" s="113"/>
      <c r="AJ16" s="113"/>
      <c r="AK16" s="113"/>
      <c r="AL16" s="559">
        <f t="shared" ca="1" si="13"/>
        <v>0</v>
      </c>
      <c r="AM16" s="246">
        <f t="shared" ca="1" si="14"/>
        <v>0</v>
      </c>
      <c r="AN16" s="717">
        <f>IF(NOT(ISBLANK(R16)),IF(EXACT($O16,""),R16*VLOOKUP($M16,SF_ANDEREALLE,3,FALSE),ROUND(R16*VLOOKUP($M16,SF_ANDEREALLE,3,FALSE)/2,0)),0)</f>
        <v>0</v>
      </c>
      <c r="AO16" s="717">
        <f>IF(NOT(ISBLANK(S16)),IF(EXACT($O16,""),S16*VLOOKUP($M16,SF_ANDEREALLE,2,FALSE),ROUND(S16*VLOOKUP($M16,SF_ANDEREALLE,2,FALSE)/2,0)),0)</f>
        <v>0</v>
      </c>
      <c r="AP16" s="717">
        <f>IF(NOT(ISBLANK(T16)),IF(EXACT($O16,""),T16*VLOOKUP($M16,SF_ANDEREALLE,2,FALSE),ROUND(T16*VLOOKUP($M16,SF_ANDEREALLE,2,FALSE)/2,0)),0)</f>
        <v>0</v>
      </c>
      <c r="AQ16" s="1349">
        <f>IF(NOT(ISBLANK($U16)),IF(EXACT($O16,""),U16*VLOOKUP($M16,SF_ANDEREALLE,2,FALSE),ROUND(U16*VLOOKUP($M16,SF_ANDEREALLE,2,FALSE)/2,0)),0)</f>
        <v>0</v>
      </c>
      <c r="AR16" s="212">
        <v>2</v>
      </c>
      <c r="AS16" s="1020" t="str">
        <f t="shared" ca="1" si="15"/>
        <v/>
      </c>
      <c r="AT16" s="717" t="str">
        <f ca="1">IF(AND(EXACT($N16,""),ISBLANK($R16),ISBLANK($S16),ISBLANK($T16),ISBLANK($U16)),"",CONCATENATE($M16,": ",V16,", "))</f>
        <v/>
      </c>
      <c r="AU16" s="557">
        <f t="shared" si="20"/>
        <v>4</v>
      </c>
      <c r="AV16" s="557"/>
      <c r="AW16" s="18"/>
      <c r="AX16" s="18"/>
      <c r="AY16" s="18"/>
      <c r="AZ16" s="18"/>
      <c r="BA16" s="18"/>
      <c r="BB16" s="212"/>
      <c r="BC16" s="113"/>
      <c r="BD16" s="113"/>
      <c r="BE16" s="113"/>
      <c r="BF16" s="113"/>
      <c r="BG16" s="113"/>
      <c r="BH16" s="113"/>
      <c r="BI16" s="113"/>
      <c r="BJ16" s="113"/>
      <c r="BK16" s="190"/>
      <c r="BL16" s="190"/>
      <c r="BM16" s="190"/>
      <c r="BN16" s="190"/>
      <c r="BO16" s="190"/>
      <c r="BP16" s="190"/>
      <c r="BQ16" s="190"/>
      <c r="BR16" s="190"/>
      <c r="BS16" s="190"/>
      <c r="BT16" s="190"/>
      <c r="BU16" s="190"/>
      <c r="BV16" s="234"/>
    </row>
    <row r="17" spans="1:74" x14ac:dyDescent="0.2">
      <c r="A17" s="112" t="str">
        <f t="shared" si="0"/>
        <v>Block</v>
      </c>
      <c r="B17" s="391" t="str">
        <f t="shared" ca="1" si="1"/>
        <v/>
      </c>
      <c r="C17" s="387" t="str">
        <f t="shared" ca="1" si="2"/>
        <v/>
      </c>
      <c r="D17" s="1127"/>
      <c r="E17" s="109" t="str">
        <f ca="1">IF(OR(AKTIV_WLOSBORN="X",AKTIV_WLOSGLADIATOR="X",AKTIV_WLOSHAMMER="X",AKTIV_WLOSHRURUZAT="X",AKTIV_WLOSMERC="X"),"X","")</f>
        <v/>
      </c>
      <c r="F17" s="384"/>
      <c r="G17" s="960"/>
      <c r="H17" s="960"/>
      <c r="I17" s="324"/>
      <c r="J17" s="1739" t="str">
        <f t="shared" ca="1" si="3"/>
        <v/>
      </c>
      <c r="K17" s="1740"/>
      <c r="L17" s="1741"/>
      <c r="M17" s="1012" t="str">
        <f t="shared" si="4"/>
        <v>Dschungelkundig</v>
      </c>
      <c r="N17" s="391" t="str">
        <f t="shared" ca="1" si="5"/>
        <v/>
      </c>
      <c r="O17" s="387" t="str">
        <f t="shared" ca="1" si="6"/>
        <v/>
      </c>
      <c r="P17" s="1127"/>
      <c r="Q17" s="109"/>
      <c r="R17" s="384"/>
      <c r="S17" s="960"/>
      <c r="T17" s="960"/>
      <c r="U17" s="324"/>
      <c r="V17" s="1739" t="str">
        <f ca="1">IF(AND(NOT(ISBLANK($R17)),NOT(ISBLANK($S17)),NOT(ISBLANK($T17)),NOT(ISBLANK($U17))),"Was denn nun? GP oder AP?",IF(AND(NOT(ISBLANK($R17)),NOT(ISBLANK($S17)),NOT(ISBLANK($T17)),NOT(EXACT($N17,""))),"Diese SF hast Du schon!",IF(AND(ZS_SE_VIEW,N17="",O17="",NOT(ISERR(FIND(M17,ZS_SF_ALLE,1)))),"SF verbilligt aus Studium","")))</f>
        <v/>
      </c>
      <c r="W17" s="1740"/>
      <c r="X17" s="1741"/>
      <c r="Y17" s="246">
        <f t="shared" ca="1" si="7"/>
        <v>0</v>
      </c>
      <c r="Z17" s="212">
        <f t="shared" ca="1" si="8"/>
        <v>0</v>
      </c>
      <c r="AA17" s="212">
        <f t="shared" ca="1" si="9"/>
        <v>0</v>
      </c>
      <c r="AB17" s="212">
        <f t="shared" ca="1" si="10"/>
        <v>0</v>
      </c>
      <c r="AC17" s="212">
        <f t="shared" ca="1" si="17"/>
        <v>2</v>
      </c>
      <c r="AD17" s="557" t="str">
        <f t="shared" ca="1" si="11"/>
        <v/>
      </c>
      <c r="AE17" s="549" t="str">
        <f t="shared" ca="1" si="12"/>
        <v/>
      </c>
      <c r="AF17" s="557">
        <f t="shared" si="18"/>
        <v>4</v>
      </c>
      <c r="AG17" s="557"/>
      <c r="AH17" s="113"/>
      <c r="AI17" s="113"/>
      <c r="AJ17" s="113"/>
      <c r="AK17" s="113"/>
      <c r="AL17" s="559">
        <f t="shared" ca="1" si="13"/>
        <v>0</v>
      </c>
      <c r="AM17" s="246">
        <f t="shared" ca="1" si="14"/>
        <v>0</v>
      </c>
      <c r="AN17" s="717">
        <f ca="1">IF(AND(NOT(ISBLANK($R17)),EXACT($V17,""),EXACT($N17,"")),IF(EXACT($O17,""),VLOOKUP($M17,SF_ANDEREALLE,3,FALSE)+IF(AW17=50,1,0),ROUND((VLOOKUP($M17,SF_ANDEREALLE,3,FALSE)+IF(AW17=50,1,0))/$AR17,0)),0)</f>
        <v>0</v>
      </c>
      <c r="AO17" s="717">
        <f ca="1">IF(AND(NOT(ISBLANK($S17)),EXACT($N17,"")),IF(EXACT($O17,""),VLOOKUP($M17,SF_ANDEREALLE,2,FALSE)+AW17,ROUND((VLOOKUP($M17,SF_ANDEREALLE,2,FALSE)+AW17)/$AR17,0)),0)</f>
        <v>0</v>
      </c>
      <c r="AP17" s="717">
        <f ca="1">IF(AND(NOT(ISBLANK($T17)),EXACT($N17,"")),IF(EXACT($O17,""),VLOOKUP($M17,SF_ANDEREALLE,2,FALSE)+AW17,ROUND((VLOOKUP($M17,SF_ANDEREALLE,2,FALSE)+AW17)/$AR17,0)),0)</f>
        <v>0</v>
      </c>
      <c r="AQ17" s="717">
        <f ca="1">IF(AND(NOT(ISBLANK($U17)),EXACT($V17,""),EXACT($N17,"")),IF(EXACT($O17,""),VLOOKUP($M17,SF_ANDEREALLE,2,FALSE)+AW17,ROUND((VLOOKUP($M17,SF_ANDEREALLE,2,FALSE)+AW17)/$AR17,0)),0)</f>
        <v>0</v>
      </c>
      <c r="AR17" s="212">
        <f t="shared" ca="1" si="19"/>
        <v>2</v>
      </c>
      <c r="AS17" s="1020" t="str">
        <f t="shared" ca="1" si="15"/>
        <v/>
      </c>
      <c r="AT17" s="557" t="str">
        <f t="shared" ca="1" si="16"/>
        <v/>
      </c>
      <c r="AU17" s="557">
        <f t="shared" si="20"/>
        <v>5</v>
      </c>
      <c r="AV17" s="557"/>
      <c r="AW17" s="717">
        <f ca="1">IF($AY$18,0,IF($AY$17,IF(AX17,50,0),
IF(AS17="X",50,0))*IF(VT_EIDGED,0.5,IF(VT_GUTGED,0.75,1)))</f>
        <v>0</v>
      </c>
      <c r="AX17" s="717" t="b">
        <f>IF(OR(R17=1,S17=1,T17=1,U17=1),TRUE,FALSE)</f>
        <v>0</v>
      </c>
      <c r="AY17" s="717" t="b">
        <f>OR(AX17,AX18,AX20,AX21,AX23,AX24,AX30,AX31,AX32,AX33)</f>
        <v>0</v>
      </c>
      <c r="AZ17" s="18"/>
      <c r="BA17" s="18"/>
      <c r="BB17" s="212"/>
      <c r="BC17" s="113"/>
      <c r="BD17" s="113"/>
      <c r="BE17" s="113"/>
      <c r="BF17" s="113"/>
      <c r="BG17" s="113"/>
      <c r="BH17" s="113"/>
      <c r="BI17" s="113"/>
      <c r="BJ17" s="113"/>
      <c r="BK17" s="190"/>
      <c r="BL17" s="190"/>
      <c r="BM17" s="190"/>
      <c r="BN17" s="190"/>
      <c r="BO17" s="190"/>
      <c r="BP17" s="190"/>
      <c r="BQ17" s="190"/>
      <c r="BR17" s="190"/>
      <c r="BS17" s="190"/>
      <c r="BT17" s="190"/>
      <c r="BU17" s="190"/>
      <c r="BV17" s="234"/>
    </row>
    <row r="18" spans="1:74" x14ac:dyDescent="0.2">
      <c r="A18" s="112" t="str">
        <f t="shared" si="0"/>
        <v>Doppelschlag</v>
      </c>
      <c r="B18" s="391" t="str">
        <f t="shared" ca="1" si="1"/>
        <v/>
      </c>
      <c r="C18" s="387" t="str">
        <f t="shared" ca="1" si="2"/>
        <v/>
      </c>
      <c r="D18" s="1127"/>
      <c r="E18" s="109" t="str">
        <f ca="1">IF(OR(AKTIV_WLOSGLADIATOR="X",AKTIV_WLOSHAMMER="X",AKTIV_WLOSHRURUZAT="X"),"X","")</f>
        <v/>
      </c>
      <c r="F18" s="384"/>
      <c r="G18" s="960"/>
      <c r="H18" s="960"/>
      <c r="I18" s="324"/>
      <c r="J18" s="1739" t="str">
        <f t="shared" ca="1" si="3"/>
        <v/>
      </c>
      <c r="K18" s="1740"/>
      <c r="L18" s="1741"/>
      <c r="M18" s="1012" t="str">
        <f t="shared" si="4"/>
        <v>Eiskundig</v>
      </c>
      <c r="N18" s="391" t="str">
        <f t="shared" ca="1" si="5"/>
        <v/>
      </c>
      <c r="O18" s="387" t="str">
        <f t="shared" ca="1" si="6"/>
        <v/>
      </c>
      <c r="P18" s="1127"/>
      <c r="Q18" s="109"/>
      <c r="R18" s="384"/>
      <c r="S18" s="960"/>
      <c r="T18" s="960"/>
      <c r="U18" s="324"/>
      <c r="V18" s="1739" t="str">
        <f ca="1">IF(AND(NOT(ISBLANK($R18)),NOT(ISBLANK($S18)),NOT(ISBLANK($T18)),NOT(ISBLANK($U18))),"Was denn nun? GP oder AP?",IF(AND(NOT(ISBLANK($R18)),NOT(ISBLANK($S18)),NOT(ISBLANK($T18)),NOT(EXACT($N18,""))),"Diese SF hast Du schon!",IF(AND(ZS_SE_VIEW,N18="",O18="",NOT(ISERR(FIND(M18,ZS_SF_ALLE,1)))),"SF verbilligt aus Studium","")))</f>
        <v/>
      </c>
      <c r="W18" s="1740"/>
      <c r="X18" s="1741"/>
      <c r="Y18" s="246">
        <f t="shared" ca="1" si="7"/>
        <v>0</v>
      </c>
      <c r="Z18" s="212">
        <f t="shared" ca="1" si="8"/>
        <v>0</v>
      </c>
      <c r="AA18" s="212">
        <f t="shared" ca="1" si="9"/>
        <v>0</v>
      </c>
      <c r="AB18" s="212">
        <f t="shared" ca="1" si="10"/>
        <v>0</v>
      </c>
      <c r="AC18" s="212">
        <f t="shared" ca="1" si="17"/>
        <v>2</v>
      </c>
      <c r="AD18" s="557" t="str">
        <f t="shared" ca="1" si="11"/>
        <v/>
      </c>
      <c r="AE18" s="549" t="str">
        <f t="shared" ca="1" si="12"/>
        <v/>
      </c>
      <c r="AF18" s="557">
        <f t="shared" si="18"/>
        <v>5</v>
      </c>
      <c r="AG18" s="557"/>
      <c r="AH18" s="113"/>
      <c r="AI18" s="113"/>
      <c r="AJ18" s="113"/>
      <c r="AK18" s="113"/>
      <c r="AL18" s="559">
        <f t="shared" ca="1" si="13"/>
        <v>0</v>
      </c>
      <c r="AM18" s="246">
        <f t="shared" ca="1" si="14"/>
        <v>0</v>
      </c>
      <c r="AN18" s="717">
        <f ca="1">IF(AND(NOT(ISBLANK($R18)),EXACT($V18,""),EXACT($N18,"")),IF(EXACT($O18,""),VLOOKUP($M18,SF_ANDEREALLE,3,FALSE)+IF(AW18=50,1,0),ROUND((VLOOKUP($M18,SF_ANDEREALLE,3,FALSE)+IF(AW18=50,1,0))/$AR18,0)),0)</f>
        <v>0</v>
      </c>
      <c r="AO18" s="717">
        <f ca="1">IF(AND(NOT(ISBLANK($S18)),EXACT($N18,"")),IF(EXACT($O18,""),VLOOKUP($M18,SF_ANDEREALLE,2,FALSE)+AW18,ROUND((VLOOKUP($M18,SF_ANDEREALLE,2,FALSE)+AW18)/$AR18,0)),0)</f>
        <v>0</v>
      </c>
      <c r="AP18" s="717">
        <f ca="1">IF(AND(NOT(ISBLANK($T18)),EXACT($N18,"")),IF(EXACT($O18,""),VLOOKUP($M18,SF_ANDEREALLE,2,FALSE)+AW18,ROUND((VLOOKUP($M18,SF_ANDEREALLE,2,FALSE)+AW18)/$AR18,0)),0)</f>
        <v>0</v>
      </c>
      <c r="AQ18" s="717">
        <f ca="1">IF(AND(NOT(ISBLANK($U18)),EXACT($V18,""),EXACT($N18,"")),IF(EXACT($O18,""),VLOOKUP($M18,SF_ANDEREALLE,2,FALSE)+AW18,ROUND((VLOOKUP($M18,SF_ANDEREALLE,2,FALSE)+AW18)/$AR18,0)),0)</f>
        <v>0</v>
      </c>
      <c r="AR18" s="212">
        <f t="shared" ca="1" si="19"/>
        <v>2</v>
      </c>
      <c r="AS18" s="1020" t="str">
        <f t="shared" ca="1" si="15"/>
        <v/>
      </c>
      <c r="AT18" s="557" t="str">
        <f t="shared" ca="1" si="16"/>
        <v/>
      </c>
      <c r="AU18" s="557">
        <f t="shared" si="20"/>
        <v>6</v>
      </c>
      <c r="AV18" s="557"/>
      <c r="AW18" s="717">
        <f ca="1">IF($AY$18,0,IF($AY$17,IF(AX18,50,0),
IF(AND(AS18="X",AW17=0),50,0))*IF(VT_EIDGED,0.5,IF(VT_GUTGED,0.75,1)))</f>
        <v>0</v>
      </c>
      <c r="AX18" s="717" t="b">
        <f>IF(OR(R18=1,S18=1,T18=1,U18=1),TRUE,FALSE)</f>
        <v>0</v>
      </c>
      <c r="AY18" s="18" t="b">
        <f ca="1">IF(OR(N17="x",N18="x",N20="x",N21="x",N23="x",N24="x",N30="x",N31="x",N32="x",N33="x",P17="X",P18="X",P20="X",P21="X",P23="X",P24="X",P30="X",P31="X",P32="X",P33="X"),TRUE,FALSE)</f>
        <v>0</v>
      </c>
      <c r="AZ18" s="18"/>
      <c r="BA18" s="18"/>
      <c r="BB18" s="212"/>
      <c r="BC18" s="113"/>
      <c r="BD18" s="113"/>
      <c r="BE18" s="113"/>
      <c r="BF18" s="113"/>
      <c r="BG18" s="113"/>
      <c r="BH18" s="113"/>
      <c r="BI18" s="113"/>
      <c r="BJ18" s="113"/>
      <c r="BK18" s="190"/>
      <c r="BL18" s="190"/>
      <c r="BM18" s="190"/>
      <c r="BN18" s="190"/>
      <c r="BO18" s="190"/>
      <c r="BP18" s="190"/>
      <c r="BQ18" s="190"/>
      <c r="BR18" s="190"/>
      <c r="BS18" s="190"/>
      <c r="BT18" s="190"/>
      <c r="BU18" s="190"/>
      <c r="BV18" s="234"/>
    </row>
    <row r="19" spans="1:74" x14ac:dyDescent="0.2">
      <c r="A19" s="112" t="str">
        <f t="shared" si="0"/>
        <v>Eisenarm</v>
      </c>
      <c r="B19" s="391" t="str">
        <f t="shared" ca="1" si="1"/>
        <v/>
      </c>
      <c r="C19" s="387" t="str">
        <f t="shared" ca="1" si="2"/>
        <v/>
      </c>
      <c r="D19" s="1127"/>
      <c r="E19" s="109" t="str">
        <f ca="1">IF(OR(AKTIV_WLOSGLADIATOR="X",AKTIV_WLOSHAMMER="X",AKTIV_WLOSHRURUZAT="X",AKTIV_WLOSMERC="X",AKTIV_WLOSUNAU="X"),"X","")</f>
        <v/>
      </c>
      <c r="F19" s="384"/>
      <c r="G19" s="960"/>
      <c r="H19" s="960"/>
      <c r="I19" s="324"/>
      <c r="J19" s="1739" t="str">
        <f t="shared" ca="1" si="3"/>
        <v/>
      </c>
      <c r="K19" s="1740"/>
      <c r="L19" s="1741"/>
      <c r="M19" s="1012" t="str">
        <f t="shared" si="4"/>
        <v>Fälscher</v>
      </c>
      <c r="N19" s="391" t="str">
        <f t="shared" ca="1" si="5"/>
        <v/>
      </c>
      <c r="O19" s="387" t="str">
        <f t="shared" ca="1" si="6"/>
        <v/>
      </c>
      <c r="P19" s="1127"/>
      <c r="Q19" s="109"/>
      <c r="R19" s="384"/>
      <c r="S19" s="960"/>
      <c r="T19" s="960"/>
      <c r="U19" s="324"/>
      <c r="V19" s="1739" t="str">
        <f ca="1">IF(OR(NOT(ISBLANK($R19)),NOT(ISBLANK($S19)),NOT(ISBLANK($T19)),NOT(ISBLANK($U19))),IF(NOT(EXACT($N19,"")),"Diese SF hast Du schon!",IF(Talente!$O$109&lt;5,"Alchemie mind. 5",IF(Talente!$O$138&lt;7,"M/Z mind. 7",IF(Talente!$O$68&lt;5,"Schr. Ausdruck mind. 5","")))),IF(AND(ZS_SE_VIEW,N19="",O19="",NOT(ISERR(FIND(M19,ZS_SF_ALLE,1)))),"SF verbilligt aus Studium",""))</f>
        <v/>
      </c>
      <c r="W19" s="1740"/>
      <c r="X19" s="1741"/>
      <c r="Y19" s="246">
        <f t="shared" ca="1" si="7"/>
        <v>0</v>
      </c>
      <c r="Z19" s="212">
        <f t="shared" ca="1" si="8"/>
        <v>0</v>
      </c>
      <c r="AA19" s="212">
        <f t="shared" ca="1" si="9"/>
        <v>0</v>
      </c>
      <c r="AB19" s="212">
        <f t="shared" ca="1" si="10"/>
        <v>0</v>
      </c>
      <c r="AC19" s="212">
        <f t="shared" ca="1" si="17"/>
        <v>2</v>
      </c>
      <c r="AD19" s="557" t="str">
        <f t="shared" ca="1" si="11"/>
        <v/>
      </c>
      <c r="AE19" s="549" t="str">
        <f t="shared" ca="1" si="12"/>
        <v/>
      </c>
      <c r="AF19" s="557">
        <f t="shared" si="18"/>
        <v>6</v>
      </c>
      <c r="AG19" s="557"/>
      <c r="AH19" s="113"/>
      <c r="AI19" s="113"/>
      <c r="AJ19" s="113"/>
      <c r="AK19" s="113"/>
      <c r="AL19" s="559">
        <f t="shared" ca="1" si="13"/>
        <v>0</v>
      </c>
      <c r="AM19" s="246">
        <f t="shared" ca="1" si="14"/>
        <v>0</v>
      </c>
      <c r="AN19" s="212">
        <f ca="1">IF(AND(NOT(ISBLANK($R19)),EXACT($V19,""),EXACT($N19,"")),IF(EXACT($O19,""),VLOOKUP($M19,SF_ANDEREALLE,3,FALSE),ROUND(VLOOKUP($M19,SF_ANDEREALLE,3,FALSE)/$AR19,0)),0)</f>
        <v>0</v>
      </c>
      <c r="AO19" s="212">
        <f ca="1">IF(AND(NOT(ISBLANK($S19)),EXACT($N19,"")),IF(EXACT($O19,""),VLOOKUP($M19,SF_ANDEREALLE,2,FALSE),ROUND(VLOOKUP($M19,SF_ANDEREALLE,2,FALSE)/$AR19,0)),0)</f>
        <v>0</v>
      </c>
      <c r="AP19" s="212">
        <f ca="1">IF(AND(NOT(ISBLANK($T19)),EXACT($N19,"")),IF(EXACT($O19,""),VLOOKUP($M19,SF_ANDEREALLE,2,FALSE),ROUND(VLOOKUP($M19,SF_ANDEREALLE,2,FALSE)/$AR19,0)),0)</f>
        <v>0</v>
      </c>
      <c r="AQ19" s="212">
        <f ca="1">IF(AND(NOT(ISBLANK($U19)),EXACT($V19,""),EXACT($N19,"")),IF(EXACT($O19,""),VLOOKUP($M19,SF_ANDEREALLE,2,FALSE),ROUND(VLOOKUP($M19,SF_ANDEREALLE,2,FALSE)/$AR19,0)),0)</f>
        <v>0</v>
      </c>
      <c r="AR19" s="212">
        <f t="shared" ca="1" si="19"/>
        <v>2</v>
      </c>
      <c r="AS19" s="1020" t="str">
        <f t="shared" ca="1" si="15"/>
        <v/>
      </c>
      <c r="AT19" s="557" t="str">
        <f t="shared" ca="1" si="16"/>
        <v/>
      </c>
      <c r="AU19" s="557">
        <f t="shared" si="20"/>
        <v>7</v>
      </c>
      <c r="AV19" s="557"/>
      <c r="AW19" s="18"/>
      <c r="AX19" s="18"/>
      <c r="AY19" s="18"/>
      <c r="AZ19" s="18"/>
      <c r="BA19" s="18"/>
      <c r="BB19" s="212"/>
      <c r="BC19" s="113"/>
      <c r="BD19" s="113"/>
      <c r="BE19" s="113"/>
      <c r="BF19" s="113"/>
      <c r="BG19" s="113"/>
      <c r="BH19" s="113"/>
      <c r="BI19" s="113"/>
      <c r="BJ19" s="113"/>
      <c r="BK19" s="190"/>
      <c r="BL19" s="190"/>
      <c r="BM19" s="190"/>
      <c r="BN19" s="190"/>
      <c r="BO19" s="190"/>
      <c r="BP19" s="190"/>
      <c r="BQ19" s="190"/>
      <c r="BR19" s="190"/>
      <c r="BS19" s="190"/>
      <c r="BT19" s="190"/>
      <c r="BU19" s="190"/>
      <c r="BV19" s="234"/>
    </row>
    <row r="20" spans="1:74" x14ac:dyDescent="0.2">
      <c r="A20" s="112" t="str">
        <f t="shared" si="0"/>
        <v>Fußfeger</v>
      </c>
      <c r="B20" s="391" t="str">
        <f t="shared" ca="1" si="1"/>
        <v/>
      </c>
      <c r="C20" s="387" t="str">
        <f t="shared" ca="1" si="2"/>
        <v/>
      </c>
      <c r="D20" s="1127"/>
      <c r="E20" s="109" t="str">
        <f ca="1">IF(OR(AKTIV_WLOSBORN="X",AKTIV_WLOSGLADIATOR="X",AKTIV_WLOSHRURUZAT="X",AKTIV_WLOSMERC="X",AKTIV_WLOSUNAU="X"),"X","")</f>
        <v/>
      </c>
      <c r="F20" s="384"/>
      <c r="G20" s="960"/>
      <c r="H20" s="960"/>
      <c r="I20" s="324"/>
      <c r="J20" s="1739" t="str">
        <f t="shared" ca="1" si="3"/>
        <v/>
      </c>
      <c r="K20" s="1740"/>
      <c r="L20" s="1741"/>
      <c r="M20" s="1012" t="str">
        <f t="shared" si="4"/>
        <v>Gebirgskundig</v>
      </c>
      <c r="N20" s="391" t="str">
        <f t="shared" ca="1" si="5"/>
        <v/>
      </c>
      <c r="O20" s="387" t="str">
        <f t="shared" ca="1" si="6"/>
        <v/>
      </c>
      <c r="P20" s="1127"/>
      <c r="Q20" s="109"/>
      <c r="R20" s="384"/>
      <c r="S20" s="960"/>
      <c r="T20" s="960"/>
      <c r="U20" s="324"/>
      <c r="V20" s="1739" t="str">
        <f ca="1">IF(AND(NOT(ISBLANK($R20)),NOT(ISBLANK($S20)),NOT(ISBLANK($T20)),NOT(ISBLANK($U20))),"Was denn nun? GP oder AP?",IF(AND(NOT(ISBLANK($R20)),NOT(ISBLANK($S20)),NOT(ISBLANK($T20)),NOT(EXACT($N20,""))),"Diese SF hast Du schon!",IF(AND(ZS_SE_VIEW,N20="",O20="",NOT(ISERR(FIND(M20,ZS_SF_ALLE,1)))),"SF verbilligt aus Studium","")))</f>
        <v/>
      </c>
      <c r="W20" s="1740"/>
      <c r="X20" s="1741"/>
      <c r="Y20" s="246">
        <f t="shared" ca="1" si="7"/>
        <v>0</v>
      </c>
      <c r="Z20" s="212">
        <f t="shared" ca="1" si="8"/>
        <v>0</v>
      </c>
      <c r="AA20" s="212">
        <f t="shared" ca="1" si="9"/>
        <v>0</v>
      </c>
      <c r="AB20" s="212">
        <f t="shared" ca="1" si="10"/>
        <v>0</v>
      </c>
      <c r="AC20" s="212">
        <f t="shared" ca="1" si="17"/>
        <v>2</v>
      </c>
      <c r="AD20" s="557" t="str">
        <f t="shared" ca="1" si="11"/>
        <v/>
      </c>
      <c r="AE20" s="549" t="str">
        <f t="shared" ca="1" si="12"/>
        <v/>
      </c>
      <c r="AF20" s="557">
        <f t="shared" si="18"/>
        <v>7</v>
      </c>
      <c r="AG20" s="557"/>
      <c r="AH20" s="113"/>
      <c r="AI20" s="113"/>
      <c r="AJ20" s="113"/>
      <c r="AK20" s="113"/>
      <c r="AL20" s="559">
        <f t="shared" ca="1" si="13"/>
        <v>0</v>
      </c>
      <c r="AM20" s="246">
        <f t="shared" ca="1" si="14"/>
        <v>0</v>
      </c>
      <c r="AN20" s="717">
        <f ca="1">IF(AND(NOT(ISBLANK($R20)),EXACT($V20,""),EXACT($N20,"")),IF(EXACT($O20,""),VLOOKUP($M20,SF_ANDEREALLE,3,FALSE)+IF(AW20=50,1,0),ROUND((VLOOKUP($M20,SF_ANDEREALLE,3,FALSE)+IF(AW20=50,1,0))/$AR20,0)),0)</f>
        <v>0</v>
      </c>
      <c r="AO20" s="717">
        <f ca="1">IF(AND(NOT(ISBLANK($S20)),EXACT($N20,"")),IF(EXACT($O20,""),VLOOKUP($M20,SF_ANDEREALLE,2,FALSE)+AW20,ROUND((VLOOKUP($M20,SF_ANDEREALLE,2,FALSE)+AW20)/$AR20,0)),0)</f>
        <v>0</v>
      </c>
      <c r="AP20" s="717">
        <f ca="1">IF(AND(NOT(ISBLANK($T20)),EXACT($N20,"")),IF(EXACT($O20,""),VLOOKUP($M20,SF_ANDEREALLE,2,FALSE)+AW20,ROUND((VLOOKUP($M20,SF_ANDEREALLE,2,FALSE)+AW20)/$AR20,0)),0)</f>
        <v>0</v>
      </c>
      <c r="AQ20" s="717">
        <f ca="1">IF(AND(NOT(ISBLANK($U20)),EXACT($V20,""),EXACT($N20,"")),IF(EXACT($O20,""),VLOOKUP($M20,SF_ANDEREALLE,2,FALSE)+AW20,ROUND((VLOOKUP($M20,SF_ANDEREALLE,2,FALSE)+AW20)/$AR20,0)),0)</f>
        <v>0</v>
      </c>
      <c r="AR20" s="212">
        <f t="shared" ca="1" si="19"/>
        <v>2</v>
      </c>
      <c r="AS20" s="1020" t="str">
        <f t="shared" ca="1" si="15"/>
        <v/>
      </c>
      <c r="AT20" s="557" t="str">
        <f t="shared" ca="1" si="16"/>
        <v/>
      </c>
      <c r="AU20" s="557">
        <f t="shared" si="20"/>
        <v>8</v>
      </c>
      <c r="AV20" s="557"/>
      <c r="AW20" s="717">
        <f ca="1">IF($AY$18,0,IF($AY$17,IF(AX20,50,0),
IF(AND(AS20="X",SUM($AW$17:AW18)=0),50,0))*IF(VT_EIDGED,0.5,IF(VT_GUTGED,0.75,1)))</f>
        <v>0</v>
      </c>
      <c r="AX20" s="717" t="b">
        <f>IF(OR(R20=1,S20=1,T20=1,U20=1),TRUE,FALSE)</f>
        <v>0</v>
      </c>
      <c r="AY20" s="18"/>
      <c r="AZ20" s="18"/>
      <c r="BA20" s="18"/>
      <c r="BB20" s="212"/>
      <c r="BC20" s="113"/>
      <c r="BD20" s="113"/>
      <c r="BE20" s="113"/>
      <c r="BF20" s="113"/>
      <c r="BG20" s="113"/>
      <c r="BH20" s="113"/>
      <c r="BI20" s="113"/>
      <c r="BJ20" s="113"/>
      <c r="BK20" s="190"/>
      <c r="BL20" s="190"/>
      <c r="BM20" s="190"/>
      <c r="BN20" s="190"/>
      <c r="BO20" s="190"/>
      <c r="BP20" s="190"/>
      <c r="BQ20" s="190"/>
      <c r="BR20" s="190"/>
      <c r="BS20" s="190"/>
      <c r="BT20" s="190"/>
      <c r="BU20" s="190"/>
      <c r="BV20" s="234"/>
    </row>
    <row r="21" spans="1:74" x14ac:dyDescent="0.2">
      <c r="A21" s="112" t="str">
        <f t="shared" si="0"/>
        <v>Gerade</v>
      </c>
      <c r="B21" s="391" t="str">
        <f t="shared" ca="1" si="1"/>
        <v/>
      </c>
      <c r="C21" s="387" t="str">
        <f t="shared" ca="1" si="2"/>
        <v/>
      </c>
      <c r="D21" s="1127"/>
      <c r="E21" s="109" t="str">
        <f ca="1">IF(OR(AKTIV_WLOSGLADIATOR="X",AKTIV_WLOSHAMMER="X",AKTIV_WLOSHRURUZAT="X"),"X","")</f>
        <v/>
      </c>
      <c r="F21" s="384"/>
      <c r="G21" s="960"/>
      <c r="H21" s="960"/>
      <c r="I21" s="324"/>
      <c r="J21" s="1739" t="str">
        <f t="shared" ca="1" si="3"/>
        <v/>
      </c>
      <c r="K21" s="1740"/>
      <c r="L21" s="1741"/>
      <c r="M21" s="1012" t="str">
        <f t="shared" si="4"/>
        <v>Höhlenkundig</v>
      </c>
      <c r="N21" s="391" t="str">
        <f t="shared" ca="1" si="5"/>
        <v/>
      </c>
      <c r="O21" s="387" t="str">
        <f t="shared" ca="1" si="6"/>
        <v/>
      </c>
      <c r="P21" s="1127"/>
      <c r="Q21" s="109"/>
      <c r="R21" s="384"/>
      <c r="S21" s="960"/>
      <c r="T21" s="960"/>
      <c r="U21" s="324"/>
      <c r="V21" s="1739" t="str">
        <f ca="1">IF(AND(NOT(ISBLANK($R21)),NOT(ISBLANK($S21)),NOT(ISBLANK($T21)),NOT(ISBLANK($U21))),"Was denn nun? GP oder AP?",IF(AND(NOT(ISBLANK($R21)),NOT(ISBLANK($S21)),NOT(ISBLANK($T21)),NOT(EXACT($N21,""))),"Diese SF hast Du schon!",IF(AND(ZS_SE_VIEW,N21="",O21="",NOT(ISERR(FIND(M21,ZS_SF_ALLE,1)))),"SF verbilligt aus Studium","")))</f>
        <v/>
      </c>
      <c r="W21" s="1740"/>
      <c r="X21" s="1741"/>
      <c r="Y21" s="246">
        <f t="shared" ca="1" si="7"/>
        <v>0</v>
      </c>
      <c r="Z21" s="212">
        <f t="shared" ca="1" si="8"/>
        <v>0</v>
      </c>
      <c r="AA21" s="212">
        <f t="shared" ca="1" si="9"/>
        <v>0</v>
      </c>
      <c r="AB21" s="212">
        <f t="shared" ca="1" si="10"/>
        <v>0</v>
      </c>
      <c r="AC21" s="212">
        <f t="shared" ca="1" si="17"/>
        <v>2</v>
      </c>
      <c r="AD21" s="557" t="str">
        <f t="shared" ca="1" si="11"/>
        <v/>
      </c>
      <c r="AE21" s="549" t="str">
        <f t="shared" ca="1" si="12"/>
        <v/>
      </c>
      <c r="AF21" s="557">
        <f t="shared" si="18"/>
        <v>8</v>
      </c>
      <c r="AG21" s="557"/>
      <c r="AH21" s="113"/>
      <c r="AI21" s="113"/>
      <c r="AJ21" s="113"/>
      <c r="AK21" s="113"/>
      <c r="AL21" s="559">
        <f t="shared" ca="1" si="13"/>
        <v>0</v>
      </c>
      <c r="AM21" s="246">
        <f t="shared" ca="1" si="14"/>
        <v>0</v>
      </c>
      <c r="AN21" s="717">
        <f ca="1">IF(AND(NOT(ISBLANK($R21)),EXACT($V21,""),EXACT($N21,"")),IF(EXACT($O21,""),VLOOKUP($M21,SF_ANDEREALLE,3,FALSE)+IF(AW21=50,1,0),ROUND((VLOOKUP($M21,SF_ANDEREALLE,3,FALSE)+IF(AW21=50,1,0))/$AR21,0)),0)</f>
        <v>0</v>
      </c>
      <c r="AO21" s="717">
        <f ca="1">IF(AND(NOT(ISBLANK($S21)),EXACT($N21,"")),IF(EXACT($O21,""),VLOOKUP($M21,SF_ANDEREALLE,2,FALSE)+AW21,ROUND((VLOOKUP($M21,SF_ANDEREALLE,2,FALSE)+AW21)/$AR21,0)),0)</f>
        <v>0</v>
      </c>
      <c r="AP21" s="717">
        <f ca="1">IF(AND(NOT(ISBLANK($T21)),EXACT($N21,"")),IF(EXACT($O21,""),VLOOKUP($M21,SF_ANDEREALLE,2,FALSE)+AW21,ROUND((VLOOKUP($M21,SF_ANDEREALLE,2,FALSE)+AW21)/$AR21,0)),0)</f>
        <v>0</v>
      </c>
      <c r="AQ21" s="717">
        <f ca="1">IF(AND(NOT(ISBLANK($U21)),EXACT($V21,""),EXACT($N21,"")),IF(EXACT($O21,""),VLOOKUP($M21,SF_ANDEREALLE,2,FALSE)+AW21,ROUND((VLOOKUP($M21,SF_ANDEREALLE,2,FALSE)+AW21)/$AR21,0)),0)</f>
        <v>0</v>
      </c>
      <c r="AR21" s="212">
        <f t="shared" ca="1" si="19"/>
        <v>2</v>
      </c>
      <c r="AS21" s="1020" t="str">
        <f t="shared" ca="1" si="15"/>
        <v/>
      </c>
      <c r="AT21" s="557" t="str">
        <f t="shared" ca="1" si="16"/>
        <v/>
      </c>
      <c r="AU21" s="557">
        <f t="shared" si="20"/>
        <v>9</v>
      </c>
      <c r="AV21" s="557"/>
      <c r="AW21" s="717">
        <f ca="1">IF($AY$18,0,IF($AY$17,IF(AX21,50,0),
IF(AND(AS21="X",SUM($AW$17:AW20)=0),50,0))*IF(VT_EIDGED,0.5,IF(VT_GUTGED,0.75,1)))</f>
        <v>0</v>
      </c>
      <c r="AX21" s="717" t="b">
        <f>IF(OR(R21=1,S21=1,T21=1,U21=1),TRUE,FALSE)</f>
        <v>0</v>
      </c>
      <c r="AY21" s="18"/>
      <c r="AZ21" s="18"/>
      <c r="BA21" s="18"/>
      <c r="BB21" s="113"/>
      <c r="BC21" s="113"/>
      <c r="BD21" s="113"/>
      <c r="BE21" s="113"/>
      <c r="BF21" s="113"/>
      <c r="BG21" s="113"/>
      <c r="BH21" s="113"/>
      <c r="BI21" s="113"/>
      <c r="BJ21" s="113"/>
      <c r="BK21" s="190"/>
      <c r="BL21" s="190"/>
      <c r="BM21" s="190"/>
      <c r="BN21" s="190"/>
      <c r="BO21" s="190"/>
      <c r="BP21" s="190"/>
      <c r="BQ21" s="190"/>
      <c r="BR21" s="190"/>
      <c r="BS21" s="190"/>
      <c r="BT21" s="190"/>
      <c r="BU21" s="190"/>
      <c r="BV21" s="234"/>
    </row>
    <row r="22" spans="1:74" x14ac:dyDescent="0.2">
      <c r="A22" s="112" t="str">
        <f t="shared" si="0"/>
        <v>Griff</v>
      </c>
      <c r="B22" s="391" t="str">
        <f t="shared" ca="1" si="1"/>
        <v/>
      </c>
      <c r="C22" s="387" t="str">
        <f t="shared" ca="1" si="2"/>
        <v/>
      </c>
      <c r="D22" s="1127"/>
      <c r="E22" s="109" t="str">
        <f ca="1">IF(OR(AKTIV_WLOSBORN="X",AKTIV_WLOSGLADIATOR="X",AKTIV_WLOSHRURUZAT="X",AKTIV_WLOSMERC="X",AKTIV_WLOSUNAU="X"),"X","")</f>
        <v/>
      </c>
      <c r="F22" s="384"/>
      <c r="G22" s="960"/>
      <c r="H22" s="960"/>
      <c r="I22" s="324"/>
      <c r="J22" s="1739" t="str">
        <f t="shared" ca="1" si="3"/>
        <v/>
      </c>
      <c r="K22" s="1740"/>
      <c r="L22" s="1741"/>
      <c r="M22" s="1012" t="str">
        <f t="shared" si="4"/>
        <v>Kulturkunde</v>
      </c>
      <c r="N22" s="1092" t="s">
        <v>3215</v>
      </c>
      <c r="O22" s="387" t="str">
        <f t="shared" ca="1" si="6"/>
        <v/>
      </c>
      <c r="P22" s="1127"/>
      <c r="Q22" s="109"/>
      <c r="R22" s="384"/>
      <c r="S22" s="960"/>
      <c r="T22" s="960"/>
      <c r="U22" s="324"/>
      <c r="V22" s="1867"/>
      <c r="W22" s="1853"/>
      <c r="X22" s="1854"/>
      <c r="Y22" s="246">
        <f t="shared" ca="1" si="7"/>
        <v>0</v>
      </c>
      <c r="Z22" s="212">
        <f t="shared" ca="1" si="8"/>
        <v>0</v>
      </c>
      <c r="AA22" s="212">
        <f t="shared" ca="1" si="9"/>
        <v>0</v>
      </c>
      <c r="AB22" s="212">
        <f t="shared" ca="1" si="10"/>
        <v>0</v>
      </c>
      <c r="AC22" s="212">
        <f t="shared" ca="1" si="17"/>
        <v>2</v>
      </c>
      <c r="AD22" s="557" t="str">
        <f t="shared" ca="1" si="11"/>
        <v/>
      </c>
      <c r="AE22" s="549" t="str">
        <f t="shared" ca="1" si="12"/>
        <v/>
      </c>
      <c r="AF22" s="557">
        <f t="shared" si="18"/>
        <v>9</v>
      </c>
      <c r="AG22" s="557"/>
      <c r="AH22" s="113"/>
      <c r="AI22" s="113"/>
      <c r="AJ22" s="113"/>
      <c r="AK22" s="113"/>
      <c r="AL22" s="559">
        <f t="shared" ca="1" si="13"/>
        <v>0</v>
      </c>
      <c r="AM22" s="246">
        <f t="shared" ca="1" si="14"/>
        <v>0</v>
      </c>
      <c r="AN22" s="717">
        <f>IF(NOT(ISBLANK(R22)),IF(EXACT($O22,""),R22*VLOOKUP($M22,SF_ANDEREALLE,3,FALSE),ROUND(R22*VLOOKUP($M22,SF_ANDEREALLE,3,FALSE)/2,0)),0)</f>
        <v>0</v>
      </c>
      <c r="AO22" s="717">
        <f>IF(NOT(ISBLANK(S22)),IF(EXACT($O22,""),S22*VLOOKUP($M22,SF_ANDEREALLE,2,FALSE),ROUND(S22*VLOOKUP($M22,SF_ANDEREALLE,2,FALSE)/2,0)),0)</f>
        <v>0</v>
      </c>
      <c r="AP22" s="717">
        <f>IF(NOT(ISBLANK(T22)),IF(EXACT($O22,""),T22*VLOOKUP($M22,SF_ANDEREALLE,2,FALSE),ROUND(T22*VLOOKUP($M22,SF_ANDEREALLE,2,FALSE)/2,0)),0)</f>
        <v>0</v>
      </c>
      <c r="AQ22" s="1349">
        <f>IF(NOT(ISBLANK($U22)),IF(EXACT($O22,""),U22*VLOOKUP($M22,SF_ANDEREALLE,2,FALSE),ROUND(U22*VLOOKUP($M22,SF_ANDEREALLE,2,FALSE)/2,0)),0)</f>
        <v>0</v>
      </c>
      <c r="AR22" s="212">
        <v>2</v>
      </c>
      <c r="AS22" s="1020" t="str">
        <f t="shared" si="15"/>
        <v>X</v>
      </c>
      <c r="AT22" s="717" t="str">
        <f>IF(AND(EXACT($N22,""),ISBLANK($R22),ISBLANK($S22),ISBLANK($T22),ISBLANK($U22)),"",CONCATENATE($M22,": ",HLOOKUP(KULTURGENE,KULTUR,IDX_SF_KK,FALSE),", ",IF(V22="","",V22&amp;", ")))</f>
        <v xml:space="preserve">Kulturkunde: , </v>
      </c>
      <c r="AU22" s="557">
        <f t="shared" si="20"/>
        <v>10</v>
      </c>
      <c r="AV22" s="557"/>
      <c r="AW22" s="18"/>
      <c r="AX22" s="18"/>
      <c r="AY22" s="18"/>
      <c r="AZ22" s="18"/>
      <c r="BA22" s="18"/>
      <c r="BB22" s="212"/>
      <c r="BC22" s="113"/>
      <c r="BD22" s="113"/>
      <c r="BE22" s="113"/>
      <c r="BF22" s="113"/>
      <c r="BG22" s="113"/>
      <c r="BH22" s="113"/>
      <c r="BI22" s="113"/>
      <c r="BJ22" s="113"/>
      <c r="BK22" s="190"/>
      <c r="BL22" s="190"/>
      <c r="BM22" s="190"/>
      <c r="BN22" s="190"/>
      <c r="BO22" s="190"/>
      <c r="BP22" s="190"/>
      <c r="BQ22" s="190"/>
      <c r="BR22" s="190"/>
      <c r="BS22" s="190"/>
      <c r="BT22" s="190"/>
      <c r="BU22" s="190"/>
      <c r="BV22" s="234"/>
    </row>
    <row r="23" spans="1:74" x14ac:dyDescent="0.2">
      <c r="A23" s="112" t="str">
        <f t="shared" si="0"/>
        <v>Halten</v>
      </c>
      <c r="B23" s="391" t="str">
        <f t="shared" ca="1" si="1"/>
        <v/>
      </c>
      <c r="C23" s="387" t="str">
        <f t="shared" ca="1" si="2"/>
        <v/>
      </c>
      <c r="D23" s="1127"/>
      <c r="E23" s="109" t="str">
        <f ca="1">IF(OR(AKTIV_WLOSBORN="X",AKTIV_WLOSGLADIATOR="X",AKTIV_WLOSMERC="X",AKTIV_WLOSUNAU="X"),"X","")</f>
        <v/>
      </c>
      <c r="F23" s="384"/>
      <c r="G23" s="960"/>
      <c r="H23" s="960"/>
      <c r="I23" s="324"/>
      <c r="J23" s="1739" t="str">
        <f t="shared" ca="1" si="3"/>
        <v/>
      </c>
      <c r="K23" s="1740"/>
      <c r="L23" s="1741"/>
      <c r="M23" s="1012" t="str">
        <f t="shared" si="4"/>
        <v>Maraskankundig</v>
      </c>
      <c r="N23" s="391" t="str">
        <f t="shared" ref="N23:N33" ca="1" si="21">IF(NOT(ISERR(FIND(M23&amp;",",$AW$11,1))),"x",
IF(P23="X","x",""))</f>
        <v/>
      </c>
      <c r="O23" s="387" t="str">
        <f t="shared" ca="1" si="6"/>
        <v/>
      </c>
      <c r="P23" s="1127"/>
      <c r="Q23" s="109"/>
      <c r="R23" s="384"/>
      <c r="S23" s="960"/>
      <c r="T23" s="960"/>
      <c r="U23" s="324"/>
      <c r="V23" s="1739" t="str">
        <f ca="1">IF(AND(NOT(ISBLANK($R23)),NOT(ISBLANK($S23)),NOT(ISBLANK($T23)),NOT(ISBLANK($U23))),"Was denn nun? GP oder AP?",IF(AND(NOT(ISBLANK($R23)),NOT(ISBLANK($S23)),NOT(ISBLANK($T23)),NOT(EXACT($N23,""))),"Diese SF hast Du schon!",IF(AND(ZS_SE_VIEW,N23="",O23="",NOT(ISERR(FIND(M23,ZS_SF_ALLE,1)))),"SF verbilligt aus Studium","")))</f>
        <v/>
      </c>
      <c r="W23" s="1740"/>
      <c r="X23" s="1741"/>
      <c r="Y23" s="246">
        <f t="shared" ca="1" si="7"/>
        <v>0</v>
      </c>
      <c r="Z23" s="212">
        <f t="shared" ca="1" si="8"/>
        <v>0</v>
      </c>
      <c r="AA23" s="212">
        <f t="shared" ca="1" si="9"/>
        <v>0</v>
      </c>
      <c r="AB23" s="212">
        <f t="shared" ca="1" si="10"/>
        <v>0</v>
      </c>
      <c r="AC23" s="212">
        <f t="shared" ca="1" si="17"/>
        <v>2</v>
      </c>
      <c r="AD23" s="557" t="str">
        <f t="shared" ca="1" si="11"/>
        <v/>
      </c>
      <c r="AE23" s="549" t="str">
        <f t="shared" ca="1" si="12"/>
        <v/>
      </c>
      <c r="AF23" s="557">
        <f t="shared" si="18"/>
        <v>10</v>
      </c>
      <c r="AG23" s="557"/>
      <c r="AH23" s="113"/>
      <c r="AI23" s="113"/>
      <c r="AJ23" s="113"/>
      <c r="AK23" s="113"/>
      <c r="AL23" s="559">
        <f t="shared" ca="1" si="13"/>
        <v>0</v>
      </c>
      <c r="AM23" s="246">
        <f t="shared" ca="1" si="14"/>
        <v>0</v>
      </c>
      <c r="AN23" s="717">
        <f ca="1">IF(AND(NOT(ISBLANK($R23)),EXACT($V23,""),EXACT($N23,"")),IF(EXACT($O23,""),VLOOKUP($M23,SF_ANDEREALLE,3,FALSE)+IF(AW23=50,1,0),ROUND((VLOOKUP($M23,SF_ANDEREALLE,3,FALSE)+IF(AW23=50,1,0))/$AR23,0)),0)</f>
        <v>0</v>
      </c>
      <c r="AO23" s="717">
        <f ca="1">IF(AND(NOT(ISBLANK($S23)),EXACT($N23,"")),IF(EXACT($O23,""),VLOOKUP($M23,SF_ANDEREALLE,2,FALSE)+AW23,ROUND((VLOOKUP($M23,SF_ANDEREALLE,2,FALSE)+AW23)/$AR23,0)),0)</f>
        <v>0</v>
      </c>
      <c r="AP23" s="717">
        <f ca="1">IF(AND(NOT(ISBLANK($T23)),EXACT($N23,"")),IF(EXACT($O23,""),VLOOKUP($M23,SF_ANDEREALLE,2,FALSE)+AW23,ROUND((VLOOKUP($M23,SF_ANDEREALLE,2,FALSE)+AW23)/$AR23,0)),0)</f>
        <v>0</v>
      </c>
      <c r="AQ23" s="717">
        <f ca="1">IF(AND(NOT(ISBLANK($U23)),EXACT($V23,""),EXACT($N23,"")),IF(EXACT($O23,""),VLOOKUP($M23,SF_ANDEREALLE,2,FALSE)+AW23,ROUND((VLOOKUP($M23,SF_ANDEREALLE,2,FALSE)+AW23)/$AR23,0)),0)</f>
        <v>0</v>
      </c>
      <c r="AR23" s="212">
        <f t="shared" ca="1" si="19"/>
        <v>2</v>
      </c>
      <c r="AS23" s="1020" t="str">
        <f t="shared" ca="1" si="15"/>
        <v/>
      </c>
      <c r="AT23" s="557" t="str">
        <f ca="1">IF(AND(EXACT($N23,""),ISBLANK($R23),ISBLANK($S23),ISBLANK($T23),ISBLANK($U23)),"",CONCATENATE($M23,", "))</f>
        <v/>
      </c>
      <c r="AU23" s="557">
        <f t="shared" si="20"/>
        <v>11</v>
      </c>
      <c r="AV23" s="557"/>
      <c r="AW23" s="717">
        <f ca="1">IF($AY$18,0,IF($AY$17,IF(AX23,50,0),
IF(AND(AS23="X",SUM($AW$17:AW22)=0),50,0))*IF(VT_EIDGED,0.5,IF(VT_GUTGED,0.75,1)))</f>
        <v>0</v>
      </c>
      <c r="AX23" s="717" t="b">
        <f>IF(OR(R23=1,S23=1,T23=1,U23=1),TRUE,FALSE)</f>
        <v>0</v>
      </c>
      <c r="AY23" s="18"/>
      <c r="AZ23" s="18"/>
      <c r="BA23" s="18"/>
      <c r="BB23" s="113"/>
      <c r="BC23" s="113"/>
      <c r="BD23" s="113"/>
      <c r="BE23" s="113"/>
      <c r="BF23" s="113"/>
      <c r="BG23" s="113"/>
      <c r="BH23" s="113"/>
      <c r="BI23" s="113"/>
      <c r="BJ23" s="113"/>
      <c r="BK23" s="190"/>
      <c r="BL23" s="190"/>
      <c r="BM23" s="190"/>
      <c r="BN23" s="190"/>
      <c r="BO23" s="190"/>
      <c r="BP23" s="190"/>
      <c r="BQ23" s="190"/>
      <c r="BR23" s="190"/>
      <c r="BS23" s="190"/>
      <c r="BT23" s="190"/>
      <c r="BU23" s="190"/>
      <c r="BV23" s="234"/>
    </row>
    <row r="24" spans="1:74" x14ac:dyDescent="0.2">
      <c r="A24" s="112" t="str">
        <f t="shared" si="0"/>
        <v>Handkante</v>
      </c>
      <c r="B24" s="391" t="str">
        <f t="shared" ca="1" si="1"/>
        <v/>
      </c>
      <c r="C24" s="387" t="str">
        <f t="shared" ca="1" si="2"/>
        <v/>
      </c>
      <c r="D24" s="1127"/>
      <c r="E24" s="109" t="str">
        <f ca="1">IF(OR(AKTIV_WLOSHAMMER="X",AKTIV_WLOSHRURUZAT="X"),"X","")</f>
        <v/>
      </c>
      <c r="F24" s="384"/>
      <c r="G24" s="960"/>
      <c r="H24" s="960"/>
      <c r="I24" s="324"/>
      <c r="J24" s="1739" t="str">
        <f t="shared" ca="1" si="3"/>
        <v/>
      </c>
      <c r="K24" s="1740"/>
      <c r="L24" s="1741"/>
      <c r="M24" s="1012" t="str">
        <f t="shared" si="4"/>
        <v>Meereskundig</v>
      </c>
      <c r="N24" s="391" t="str">
        <f t="shared" ca="1" si="21"/>
        <v/>
      </c>
      <c r="O24" s="387" t="str">
        <f t="shared" ca="1" si="6"/>
        <v/>
      </c>
      <c r="P24" s="1127"/>
      <c r="Q24" s="109"/>
      <c r="R24" s="384"/>
      <c r="S24" s="960"/>
      <c r="T24" s="960"/>
      <c r="U24" s="324"/>
      <c r="V24" s="1739" t="str">
        <f ca="1">IF(AND(NOT(ISBLANK($R24)),NOT(ISBLANK($S24)),NOT(ISBLANK($T24)),NOT(ISBLANK($U24))),"Was denn nun? GP oder AP?",IF(AND(NOT(ISBLANK($R24)),NOT(ISBLANK($S24)),NOT(ISBLANK($T24)),NOT(EXACT($N24,""))),"Diese SF hast Du schon!",IF(AND(ZS_SE_VIEW,N24="",O24="",NOT(ISERR(FIND(M24,ZS_SF_ALLE,1)))),"SF verbilligt aus Studium","")))</f>
        <v/>
      </c>
      <c r="W24" s="1740"/>
      <c r="X24" s="1741"/>
      <c r="Y24" s="246">
        <f t="shared" ca="1" si="7"/>
        <v>0</v>
      </c>
      <c r="Z24" s="212">
        <f t="shared" ca="1" si="8"/>
        <v>0</v>
      </c>
      <c r="AA24" s="212">
        <f t="shared" ca="1" si="9"/>
        <v>0</v>
      </c>
      <c r="AB24" s="212">
        <f t="shared" ca="1" si="10"/>
        <v>0</v>
      </c>
      <c r="AC24" s="212">
        <f t="shared" ca="1" si="17"/>
        <v>2</v>
      </c>
      <c r="AD24" s="557" t="str">
        <f t="shared" ca="1" si="11"/>
        <v/>
      </c>
      <c r="AE24" s="549" t="str">
        <f t="shared" ca="1" si="12"/>
        <v/>
      </c>
      <c r="AF24" s="557">
        <f t="shared" si="18"/>
        <v>11</v>
      </c>
      <c r="AG24" s="557"/>
      <c r="AH24" s="113"/>
      <c r="AI24" s="113"/>
      <c r="AJ24" s="113"/>
      <c r="AK24" s="113"/>
      <c r="AL24" s="559">
        <f t="shared" ca="1" si="13"/>
        <v>0</v>
      </c>
      <c r="AM24" s="246">
        <f t="shared" ca="1" si="14"/>
        <v>0</v>
      </c>
      <c r="AN24" s="717">
        <f ca="1">IF(AND(NOT(ISBLANK($R24)),EXACT($V24,""),EXACT($N24,"")),IF(EXACT($O24,""),VLOOKUP($M24,SF_ANDEREALLE,3,FALSE)+IF(AW24=50,1,0),ROUND((VLOOKUP($M24,SF_ANDEREALLE,3,FALSE)+IF(AW24=50,1,0))/$AR24,0)),0)</f>
        <v>0</v>
      </c>
      <c r="AO24" s="717">
        <f ca="1">IF(AND(NOT(ISBLANK($S24)),EXACT($N24,"")),IF(EXACT($O24,""),VLOOKUP($M24,SF_ANDEREALLE,2,FALSE)+AW24,ROUND((VLOOKUP($M24,SF_ANDEREALLE,2,FALSE)+AW24)/$AR24,0)),0)</f>
        <v>0</v>
      </c>
      <c r="AP24" s="717">
        <f ca="1">IF(AND(NOT(ISBLANK($T24)),EXACT($N24,"")),IF(EXACT($O24,""),VLOOKUP($M24,SF_ANDEREALLE,2,FALSE)+AW24,ROUND((VLOOKUP($M24,SF_ANDEREALLE,2,FALSE)+AW24)/$AR24,0)),0)</f>
        <v>0</v>
      </c>
      <c r="AQ24" s="717">
        <f ca="1">IF(AND(NOT(ISBLANK($U24)),EXACT($V24,""),EXACT($N24,"")),IF(EXACT($O24,""),VLOOKUP($M24,SF_ANDEREALLE,2,FALSE)+AW24,ROUND((VLOOKUP($M24,SF_ANDEREALLE,2,FALSE)+AW24)/$AR24,0)),0)</f>
        <v>0</v>
      </c>
      <c r="AR24" s="212">
        <f t="shared" ca="1" si="19"/>
        <v>2</v>
      </c>
      <c r="AS24" s="1020" t="str">
        <f t="shared" ca="1" si="15"/>
        <v/>
      </c>
      <c r="AT24" s="557" t="str">
        <f ca="1">IF(AND(EXACT($N24,""),ISBLANK($R24),ISBLANK($S24),ISBLANK($T24),ISBLANK($U24)),"",CONCATENATE($M24,", "))</f>
        <v/>
      </c>
      <c r="AU24" s="557">
        <f t="shared" si="20"/>
        <v>12</v>
      </c>
      <c r="AV24" s="557"/>
      <c r="AW24" s="717">
        <f ca="1">IF($AY$18,0,IF($AY$17,IF(AX24,50,0),
IF(AND(AS24="X",SUM($AW$17:AW23)=0),50,0))*IF(VT_EIDGED,0.5,IF(VT_GUTGED,0.75,1)))</f>
        <v>0</v>
      </c>
      <c r="AX24" s="717" t="b">
        <f>IF(OR(R24=1,S24=1,T24=1,U24=1),TRUE,FALSE)</f>
        <v>0</v>
      </c>
      <c r="AY24" s="18"/>
      <c r="AZ24" s="18"/>
      <c r="BA24" s="18"/>
      <c r="BB24" s="113"/>
      <c r="BC24" s="113"/>
      <c r="BD24" s="113"/>
      <c r="BE24" s="113"/>
      <c r="BF24" s="113"/>
      <c r="BG24" s="113"/>
      <c r="BH24" s="113"/>
      <c r="BI24" s="113"/>
      <c r="BJ24" s="113"/>
      <c r="BK24" s="190"/>
      <c r="BL24" s="190"/>
      <c r="BM24" s="190"/>
      <c r="BN24" s="190"/>
      <c r="BO24" s="190"/>
      <c r="BP24" s="190"/>
      <c r="BQ24" s="190"/>
      <c r="BR24" s="190"/>
      <c r="BS24" s="190"/>
      <c r="BT24" s="190"/>
      <c r="BU24" s="190"/>
      <c r="BV24" s="234"/>
    </row>
    <row r="25" spans="1:74" x14ac:dyDescent="0.2">
      <c r="A25" s="112" t="str">
        <f t="shared" si="0"/>
        <v>Hoher Tritt</v>
      </c>
      <c r="B25" s="391" t="str">
        <f t="shared" ca="1" si="1"/>
        <v/>
      </c>
      <c r="C25" s="387" t="str">
        <f t="shared" ca="1" si="2"/>
        <v/>
      </c>
      <c r="D25" s="1127"/>
      <c r="E25" s="109" t="str">
        <f ca="1">IF(OR(AKTIV_WLOSGLADIATOR="X",AKTIV_WLOSHRURUZAT="X"),"X","")</f>
        <v/>
      </c>
      <c r="F25" s="384"/>
      <c r="G25" s="960"/>
      <c r="H25" s="960"/>
      <c r="I25" s="324"/>
      <c r="J25" s="1739" t="str">
        <f t="shared" ca="1" si="3"/>
        <v/>
      </c>
      <c r="K25" s="1740"/>
      <c r="L25" s="1741"/>
      <c r="M25" s="1012" t="str">
        <f t="shared" si="4"/>
        <v>Meister der Improvisation</v>
      </c>
      <c r="N25" s="391" t="str">
        <f t="shared" ca="1" si="21"/>
        <v/>
      </c>
      <c r="O25" s="387" t="str">
        <f t="shared" ca="1" si="6"/>
        <v/>
      </c>
      <c r="P25" s="1127"/>
      <c r="Q25" s="109"/>
      <c r="R25" s="384"/>
      <c r="S25" s="960"/>
      <c r="T25" s="960"/>
      <c r="U25" s="324"/>
      <c r="V25" s="1739" t="str">
        <f ca="1">IF(OR(NOT(ISBLANK($R25)),NOT(ISBLANK($S25)),NOT(ISBLANK($T25)),NOT(ISBLANK($U25))),IF(NOT(EXACT($N25,"")),"Diese SF hast Du schon!",IF(IN&lt;12,"IN min. 12",IF(FF&lt;12,"FF min. 12",""))),IF(AND(ZS_SE_VIEW,N25="",O25="",NOT(ISERR(FIND(M25,ZS_SF_ALLE,1)))),"SF verbilligt aus Studium",""))</f>
        <v/>
      </c>
      <c r="W25" s="1740"/>
      <c r="X25" s="1741"/>
      <c r="Y25" s="246">
        <f t="shared" ca="1" si="7"/>
        <v>0</v>
      </c>
      <c r="Z25" s="212">
        <f t="shared" ca="1" si="8"/>
        <v>0</v>
      </c>
      <c r="AA25" s="212">
        <f t="shared" ca="1" si="9"/>
        <v>0</v>
      </c>
      <c r="AB25" s="212">
        <f t="shared" ca="1" si="10"/>
        <v>0</v>
      </c>
      <c r="AC25" s="212">
        <f t="shared" ca="1" si="17"/>
        <v>2</v>
      </c>
      <c r="AD25" s="557" t="str">
        <f t="shared" ca="1" si="11"/>
        <v/>
      </c>
      <c r="AE25" s="549" t="str">
        <f t="shared" ca="1" si="12"/>
        <v/>
      </c>
      <c r="AF25" s="557">
        <f t="shared" si="18"/>
        <v>12</v>
      </c>
      <c r="AG25" s="557"/>
      <c r="AH25" s="113"/>
      <c r="AI25" s="113"/>
      <c r="AJ25" s="113"/>
      <c r="AK25" s="113"/>
      <c r="AL25" s="559">
        <f t="shared" ca="1" si="13"/>
        <v>0</v>
      </c>
      <c r="AM25" s="246">
        <f t="shared" ca="1" si="14"/>
        <v>0</v>
      </c>
      <c r="AN25" s="212">
        <f ca="1">IF(AND(NOT(ISBLANK($R25)),EXACT($V25,""),EXACT($N25,"")),IF(EXACT($O25,""),VLOOKUP($M25,SF_ANDEREALLE,3,FALSE),ROUND(VLOOKUP($M25,SF_ANDEREALLE,3,FALSE)/$AR25,0)),0)</f>
        <v>0</v>
      </c>
      <c r="AO25" s="212">
        <f ca="1">IF(AND(NOT(ISBLANK($S25)),EXACT($N25,"")),IF(EXACT($O25,""),VLOOKUP($M25,SF_ANDEREALLE,2,FALSE),ROUND(VLOOKUP($M25,SF_ANDEREALLE,2,FALSE)/$AR25,0)),0)</f>
        <v>0</v>
      </c>
      <c r="AP25" s="212">
        <f ca="1">IF(AND(NOT(ISBLANK($T25)),EXACT($N25,"")),IF(EXACT($O25,""),VLOOKUP($M25,SF_ANDEREALLE,2,FALSE),ROUND(VLOOKUP($M25,SF_ANDEREALLE,2,FALSE)/$AR25,0)),0)</f>
        <v>0</v>
      </c>
      <c r="AQ25" s="212">
        <f ca="1">IF(AND(NOT(ISBLANK($U25)),EXACT($V25,""),EXACT($N25,"")),IF(EXACT($O25,""),VLOOKUP($M25,SF_ANDEREALLE,2,FALSE),ROUND(VLOOKUP($M25,SF_ANDEREALLE,2,FALSE)/$AR25,0)),0)</f>
        <v>0</v>
      </c>
      <c r="AR25" s="212">
        <f t="shared" ca="1" si="19"/>
        <v>2</v>
      </c>
      <c r="AS25" s="1020" t="str">
        <f t="shared" ca="1" si="15"/>
        <v/>
      </c>
      <c r="AT25" s="557" t="str">
        <f ca="1">IF(AND(EXACT($N25,""),ISBLANK($R25),ISBLANK($S25),ISBLANK($T25),ISBLANK($U25)),"",CONCATENATE($M25,", "))</f>
        <v/>
      </c>
      <c r="AU25" s="557">
        <f t="shared" si="20"/>
        <v>13</v>
      </c>
      <c r="AV25" s="557"/>
      <c r="AW25" s="18"/>
      <c r="AX25" s="18"/>
      <c r="AY25" s="18"/>
      <c r="AZ25" s="18"/>
      <c r="BA25" s="18"/>
      <c r="BB25" s="212"/>
      <c r="BC25" s="113"/>
      <c r="BD25" s="113"/>
      <c r="BE25" s="113"/>
      <c r="BF25" s="113"/>
      <c r="BG25" s="113"/>
      <c r="BH25" s="113"/>
      <c r="BI25" s="113"/>
      <c r="BJ25" s="113"/>
      <c r="BK25" s="190"/>
      <c r="BL25" s="190"/>
      <c r="BM25" s="190"/>
      <c r="BN25" s="190"/>
      <c r="BO25" s="190"/>
      <c r="BP25" s="190"/>
      <c r="BQ25" s="190"/>
      <c r="BR25" s="190"/>
      <c r="BS25" s="190"/>
      <c r="BT25" s="190"/>
      <c r="BU25" s="190"/>
      <c r="BV25" s="234"/>
    </row>
    <row r="26" spans="1:74" x14ac:dyDescent="0.2">
      <c r="A26" s="112" t="str">
        <f t="shared" si="0"/>
        <v>Klammer</v>
      </c>
      <c r="B26" s="391" t="str">
        <f t="shared" ca="1" si="1"/>
        <v/>
      </c>
      <c r="C26" s="387" t="str">
        <f t="shared" ca="1" si="2"/>
        <v/>
      </c>
      <c r="D26" s="1127"/>
      <c r="E26" s="109" t="str">
        <f ca="1">IF(OR(AKTIV_WLOSBORN="X",AKTIV_WLOSGLADIATOR="X",AKTIV_WLOSMERC="X",AKTIV_WLOSUNAU="X"),"X","")</f>
        <v/>
      </c>
      <c r="F26" s="384"/>
      <c r="G26" s="960"/>
      <c r="H26" s="960"/>
      <c r="I26" s="324"/>
      <c r="J26" s="1739" t="str">
        <f t="shared" ca="1" si="3"/>
        <v/>
      </c>
      <c r="K26" s="1740"/>
      <c r="L26" s="1741"/>
      <c r="M26" s="1012" t="str">
        <f t="shared" si="4"/>
        <v>Nandusgefälliges Wissen</v>
      </c>
      <c r="N26" s="391" t="str">
        <f ca="1">IF(NOT(ISERR(FIND(M26&amp;",",$AW$11,1))),"x",
IF(P26="X","x",IF(VT_AKADGEL,"x","")))</f>
        <v/>
      </c>
      <c r="O26" s="387" t="str">
        <f t="shared" ca="1" si="6"/>
        <v/>
      </c>
      <c r="P26" s="1127"/>
      <c r="Q26" s="109"/>
      <c r="R26" s="384"/>
      <c r="S26" s="960"/>
      <c r="T26" s="960"/>
      <c r="U26" s="324"/>
      <c r="V26" s="1739" t="str">
        <f ca="1">IF(OR(NOT(ISBLANK($R26)),NOT(ISBLANK($S26)),NOT(ISBLANK($T26)),NOT(ISBLANK($U26))),IF(NOT(EXACT($N26,"")),"Diese SF hast Du schon!",IF(IN&lt;12,"IN min. 12",IF(KL&lt;12,"KL min. 12",""))),IF(AND(ZS_SE_VIEW,N26="",O26="",NOT(ISERR(FIND(M26,ZS_SF_ALLE,1)))),"SF verbilligt aus Studium",""))</f>
        <v/>
      </c>
      <c r="W26" s="1740"/>
      <c r="X26" s="1741"/>
      <c r="Y26" s="246">
        <f t="shared" ca="1" si="7"/>
        <v>0</v>
      </c>
      <c r="Z26" s="212">
        <f t="shared" ca="1" si="8"/>
        <v>0</v>
      </c>
      <c r="AA26" s="212">
        <f t="shared" ca="1" si="9"/>
        <v>0</v>
      </c>
      <c r="AB26" s="212">
        <f t="shared" ca="1" si="10"/>
        <v>0</v>
      </c>
      <c r="AC26" s="212">
        <f t="shared" ca="1" si="17"/>
        <v>2</v>
      </c>
      <c r="AD26" s="557" t="str">
        <f t="shared" ca="1" si="11"/>
        <v/>
      </c>
      <c r="AE26" s="549" t="str">
        <f t="shared" ca="1" si="12"/>
        <v/>
      </c>
      <c r="AF26" s="557">
        <f t="shared" si="18"/>
        <v>13</v>
      </c>
      <c r="AG26" s="557"/>
      <c r="AH26" s="550"/>
      <c r="AI26" s="212"/>
      <c r="AJ26" s="212"/>
      <c r="AK26" s="113"/>
      <c r="AL26" s="559">
        <f t="shared" ca="1" si="13"/>
        <v>0</v>
      </c>
      <c r="AM26" s="246">
        <f t="shared" ca="1" si="14"/>
        <v>0</v>
      </c>
      <c r="AN26" s="212">
        <f ca="1">IF(AND(NOT(ISBLANK($R26)),EXACT($V26,""),EXACT($N26,"")),IF(EXACT($O26,""),VLOOKUP($M26,SF_ANDEREALLE,3,FALSE),ROUND(VLOOKUP($M26,SF_ANDEREALLE,3,FALSE)/$AR26,0)),0)</f>
        <v>0</v>
      </c>
      <c r="AO26" s="212">
        <f ca="1">IF(AND(NOT(ISBLANK($S26)),EXACT($N26,"")),IF(EXACT($O26,""),VLOOKUP($M26,SF_ANDEREALLE,2,FALSE),ROUND(VLOOKUP($M26,SF_ANDEREALLE,2,FALSE)/$AR26,0)),0)</f>
        <v>0</v>
      </c>
      <c r="AP26" s="212">
        <f ca="1">IF(AND(NOT(ISBLANK($T26)),EXACT($N26,"")),IF(EXACT($O26,""),VLOOKUP($M26,SF_ANDEREALLE,2,FALSE),ROUND(VLOOKUP($M26,SF_ANDEREALLE,2,FALSE)/$AR26,0)),0)</f>
        <v>0</v>
      </c>
      <c r="AQ26" s="212">
        <f ca="1">IF(AND(NOT(ISBLANK($U26)),EXACT($V26,""),EXACT($N26,"")),IF(EXACT($O26,""),VLOOKUP($M26,SF_ANDEREALLE,2,FALSE),ROUND(VLOOKUP($M26,SF_ANDEREALLE,2,FALSE)/$AR26,0)),0)</f>
        <v>0</v>
      </c>
      <c r="AR26" s="212">
        <f t="shared" ca="1" si="19"/>
        <v>2</v>
      </c>
      <c r="AS26" s="1020" t="str">
        <f t="shared" ca="1" si="15"/>
        <v/>
      </c>
      <c r="AT26" s="557" t="str">
        <f ca="1">IF(AND(EXACT($N26,""),ISBLANK($R26),ISBLANK($S26),ISBLANK($T26),ISBLANK($U26)),"",CONCATENATE($M26,", "))</f>
        <v/>
      </c>
      <c r="AU26" s="557">
        <f t="shared" si="20"/>
        <v>14</v>
      </c>
      <c r="AV26" s="557"/>
      <c r="AW26" s="18"/>
      <c r="AX26" s="18"/>
      <c r="AY26" s="18"/>
      <c r="AZ26" s="18"/>
      <c r="BA26" s="18"/>
      <c r="BB26" s="212"/>
      <c r="BC26" s="113"/>
      <c r="BD26" s="113"/>
      <c r="BE26" s="113"/>
      <c r="BF26" s="113"/>
      <c r="BG26" s="113"/>
      <c r="BH26" s="113"/>
      <c r="BI26" s="113"/>
      <c r="BJ26" s="113"/>
      <c r="BK26" s="190"/>
      <c r="BL26" s="190"/>
      <c r="BM26" s="190"/>
      <c r="BN26" s="190"/>
      <c r="BO26" s="190"/>
      <c r="BP26" s="190"/>
      <c r="BQ26" s="190"/>
      <c r="BR26" s="190"/>
      <c r="BS26" s="190"/>
      <c r="BT26" s="190"/>
      <c r="BU26" s="190"/>
      <c r="BV26" s="234"/>
    </row>
    <row r="27" spans="1:74" x14ac:dyDescent="0.2">
      <c r="A27" s="112" t="str">
        <f t="shared" si="0"/>
        <v>Knaufschlag</v>
      </c>
      <c r="B27" s="391" t="str">
        <f t="shared" ca="1" si="1"/>
        <v/>
      </c>
      <c r="C27" s="387" t="str">
        <f t="shared" ca="1" si="2"/>
        <v/>
      </c>
      <c r="D27" s="1127"/>
      <c r="E27" s="109" t="str">
        <f ca="1">IF(OR(AKTIV_WLOSMERC="X"),"X","")</f>
        <v/>
      </c>
      <c r="F27" s="384"/>
      <c r="G27" s="960"/>
      <c r="H27" s="960"/>
      <c r="I27" s="324"/>
      <c r="J27" s="1739" t="str">
        <f t="shared" ca="1" si="3"/>
        <v/>
      </c>
      <c r="K27" s="1740"/>
      <c r="L27" s="1741"/>
      <c r="M27" s="1012" t="str">
        <f t="shared" si="4"/>
        <v>Ortskenntnis</v>
      </c>
      <c r="N27" s="391" t="str">
        <f t="shared" ca="1" si="21"/>
        <v/>
      </c>
      <c r="O27" s="387" t="str">
        <f t="shared" ca="1" si="6"/>
        <v/>
      </c>
      <c r="P27" s="1127"/>
      <c r="Q27" s="109"/>
      <c r="R27" s="384"/>
      <c r="S27" s="960"/>
      <c r="T27" s="960"/>
      <c r="U27" s="324"/>
      <c r="V27" s="1867"/>
      <c r="W27" s="1853"/>
      <c r="X27" s="1854"/>
      <c r="Y27" s="246">
        <f t="shared" ca="1" si="7"/>
        <v>0</v>
      </c>
      <c r="Z27" s="212">
        <f t="shared" ca="1" si="8"/>
        <v>0</v>
      </c>
      <c r="AA27" s="212">
        <f t="shared" ca="1" si="9"/>
        <v>0</v>
      </c>
      <c r="AB27" s="212">
        <f t="shared" ca="1" si="10"/>
        <v>0</v>
      </c>
      <c r="AC27" s="212">
        <f t="shared" ca="1" si="17"/>
        <v>2</v>
      </c>
      <c r="AD27" s="557" t="str">
        <f t="shared" ca="1" si="11"/>
        <v/>
      </c>
      <c r="AE27" s="549" t="str">
        <f t="shared" ca="1" si="12"/>
        <v/>
      </c>
      <c r="AF27" s="557">
        <f t="shared" si="18"/>
        <v>14</v>
      </c>
      <c r="AG27" s="557"/>
      <c r="AH27" s="550"/>
      <c r="AI27" s="212"/>
      <c r="AJ27" s="212"/>
      <c r="AK27" s="113"/>
      <c r="AL27" s="559">
        <f t="shared" ca="1" si="13"/>
        <v>0</v>
      </c>
      <c r="AM27" s="246">
        <f t="shared" ca="1" si="14"/>
        <v>0</v>
      </c>
      <c r="AN27" s="717">
        <f>ROUND(IF(NOT(ISBLANK(R27)),IF(EXACT($O27,""),R27*VLOOKUP($M27,SF_ANDEREALLE,3,FALSE)+IF(VT_EIDGED,0.5,IF(VT_GUTGED,0.75,1)),(R27*VLOOKUP($M27,SF_ANDEREALLE,3,FALSE)+IF(VT_EIDGED,0.5,IF(VT_GUTGED,0.75,1)))/$AR27),0),0)</f>
        <v>0</v>
      </c>
      <c r="AO27" s="717">
        <f>IF(NOT(ISBLANK(S27)),IF(EXACT($O27,""),S27*VLOOKUP($M27,SF_ANDEREALLE,2,FALSE)+IF(SUM(R27)=0,IF(VT_EIDGED,25,IF(VT_GUTGED,38,50)),0),ROUND(S27*VLOOKUP($M27,SF_ANDEREALLE,2,FALSE)/$AR27+IF(SUM(R27)=0,IF(VT_EIDGED,13,IF(VT_GUTGED,19,25)),0),0)),0)</f>
        <v>0</v>
      </c>
      <c r="AP27" s="717">
        <f>IF(NOT(ISBLANK(T27)),IF(EXACT($O27,""),T27*VLOOKUP($M27,SF_ANDEREALLE,2,FALSE)+IF(SUM(R27:S27)=0,IF(VT_EIDGED,25,IF(VT_GUTGED,38,50)),0),ROUND(T27*VLOOKUP($M27,SF_ANDEREALLE,2,FALSE)/$AR27+IF(SUM(R27:S27)=0,IF(VT_EIDGED,13,IF(VT_GUTGED,19,25)),0),0)),0)</f>
        <v>0</v>
      </c>
      <c r="AQ27" s="1349">
        <f>IF(NOT(ISBLANK($U27)),IF(EXACT($O27,""),U27*VLOOKUP($M27,SF_ANDEREALLE,2,FALSE)+IF(SUM(R27:T27)=0,IF(VT_EIDGED,25,IF(VT_GUTGED,38,50)),0),ROUND(U27*VLOOKUP($M27,SF_ANDEREALLE,2,FALSE)/$AR27+IF(SUM(R27:T27)=0,IF(VT_EIDGED,13,IF(VT_GUTGED,19,25)),0),0)),0)</f>
        <v>0</v>
      </c>
      <c r="AR27" s="212">
        <v>2</v>
      </c>
      <c r="AS27" s="1020" t="str">
        <f t="shared" ca="1" si="15"/>
        <v/>
      </c>
      <c r="AT27" s="717" t="str">
        <f ca="1">IF(AND(EXACT($N27,""),ISBLANK($R27),ISBLANK($S27),ISBLANK($T27),ISBLANK($U27)),"",CONCATENATE($M27,": ",V27,", "))</f>
        <v/>
      </c>
      <c r="AU27" s="557">
        <f t="shared" si="20"/>
        <v>15</v>
      </c>
      <c r="AV27" s="557"/>
      <c r="AW27" s="18"/>
      <c r="AX27" s="18"/>
      <c r="AY27" s="18"/>
      <c r="AZ27" s="18"/>
      <c r="BA27" s="18"/>
      <c r="BB27" s="212"/>
      <c r="BC27" s="113"/>
      <c r="BD27" s="113"/>
      <c r="BE27" s="113"/>
      <c r="BF27" s="113"/>
      <c r="BG27" s="113"/>
      <c r="BH27" s="113"/>
      <c r="BI27" s="113"/>
      <c r="BJ27" s="113"/>
      <c r="BK27" s="190"/>
      <c r="BL27" s="190"/>
      <c r="BM27" s="190"/>
      <c r="BN27" s="190"/>
      <c r="BO27" s="190"/>
      <c r="BP27" s="190"/>
      <c r="BQ27" s="190"/>
      <c r="BR27" s="190"/>
      <c r="BS27" s="190"/>
      <c r="BT27" s="190"/>
      <c r="BU27" s="190"/>
      <c r="BV27" s="234"/>
    </row>
    <row r="28" spans="1:74" x14ac:dyDescent="0.2">
      <c r="A28" s="112" t="str">
        <f t="shared" si="0"/>
        <v>Knie</v>
      </c>
      <c r="B28" s="391" t="str">
        <f t="shared" ca="1" si="1"/>
        <v/>
      </c>
      <c r="C28" s="387" t="str">
        <f t="shared" ca="1" si="2"/>
        <v/>
      </c>
      <c r="D28" s="1127"/>
      <c r="E28" s="109" t="str">
        <f ca="1">IF(OR(AKTIV_WLOSBORN="X",AKTIV_WLOSHRURUZAT="X",AKTIV_WLOSMERC="X"),"X","")</f>
        <v/>
      </c>
      <c r="F28" s="384"/>
      <c r="G28" s="960"/>
      <c r="H28" s="960"/>
      <c r="I28" s="324"/>
      <c r="J28" s="1739" t="str">
        <f t="shared" ca="1" si="3"/>
        <v/>
      </c>
      <c r="K28" s="1740"/>
      <c r="L28" s="1741"/>
      <c r="M28" s="1012" t="str">
        <f t="shared" si="4"/>
        <v>Rosstäuscher</v>
      </c>
      <c r="N28" s="391" t="str">
        <f t="shared" ca="1" si="21"/>
        <v/>
      </c>
      <c r="O28" s="387" t="str">
        <f t="shared" ca="1" si="6"/>
        <v/>
      </c>
      <c r="P28" s="1127"/>
      <c r="Q28" s="109"/>
      <c r="R28" s="384"/>
      <c r="S28" s="960"/>
      <c r="T28" s="960"/>
      <c r="U28" s="324"/>
      <c r="V28" s="1739" t="str">
        <f ca="1">IF(OR(NOT(ISBLANK($R28)),NOT(ISBLANK($S28)),NOT(ISBLANK($T28)),NOT(ISBLANK($U28))),IF(NOT(EXACT($N28,"")),"Diese SF hast Du schon!",IF(Talente!$O$48&lt;7,"Reiten mind. 7",IF(Talente!$O$69&lt;7,"Sich Verkleiden mind. 7",IF(Talente!$O$107&lt;7,"Abrichten mind. 7",IF(Talente!$O$70&lt;7,"Überreden mind. 7",""))))),IF(AND(ZS_SE_VIEW,N28="",O28="",NOT(ISERR(FIND(M28,ZS_SF_ALLE,1)))),"SF verbilligt aus Studium",""))</f>
        <v/>
      </c>
      <c r="W28" s="1740"/>
      <c r="X28" s="1741"/>
      <c r="Y28" s="246">
        <f t="shared" ca="1" si="7"/>
        <v>0</v>
      </c>
      <c r="Z28" s="212">
        <f t="shared" ca="1" si="8"/>
        <v>0</v>
      </c>
      <c r="AA28" s="212">
        <f t="shared" ca="1" si="9"/>
        <v>0</v>
      </c>
      <c r="AB28" s="212">
        <f t="shared" ca="1" si="10"/>
        <v>0</v>
      </c>
      <c r="AC28" s="212">
        <f t="shared" ca="1" si="17"/>
        <v>2</v>
      </c>
      <c r="AD28" s="557" t="str">
        <f t="shared" ca="1" si="11"/>
        <v/>
      </c>
      <c r="AE28" s="549" t="str">
        <f t="shared" ca="1" si="12"/>
        <v/>
      </c>
      <c r="AF28" s="557">
        <f t="shared" si="18"/>
        <v>15</v>
      </c>
      <c r="AG28" s="557"/>
      <c r="AH28" s="550"/>
      <c r="AI28" s="212"/>
      <c r="AJ28" s="212"/>
      <c r="AK28" s="113"/>
      <c r="AL28" s="559">
        <f t="shared" ca="1" si="13"/>
        <v>0</v>
      </c>
      <c r="AM28" s="246">
        <f t="shared" ca="1" si="14"/>
        <v>0</v>
      </c>
      <c r="AN28" s="212">
        <f ca="1">IF(AND(NOT(ISBLANK($R28)),EXACT($V28,""),EXACT($N28,"")),IF(EXACT($O28,""),VLOOKUP($M28,SF_ANDEREALLE,3,FALSE),ROUND(VLOOKUP($M28,SF_ANDEREALLE,3,FALSE)/$AR28,0)),0)</f>
        <v>0</v>
      </c>
      <c r="AO28" s="212">
        <f ca="1">IF(AND(NOT(ISBLANK($S28)),EXACT($N28,"")),IF(EXACT($O28,""),VLOOKUP($M28,SF_ANDEREALLE,2,FALSE),ROUND(VLOOKUP($M28,SF_ANDEREALLE,2,FALSE)/$AR28,0)),0)</f>
        <v>0</v>
      </c>
      <c r="AP28" s="212">
        <f ca="1">IF(AND(NOT(ISBLANK($T28)),EXACT($N28,"")),IF(EXACT($O28,""),VLOOKUP($M28,SF_ANDEREALLE,2,FALSE),ROUND(VLOOKUP($M28,SF_ANDEREALLE,2,FALSE)/$AR28,0)),0)</f>
        <v>0</v>
      </c>
      <c r="AQ28" s="212">
        <f ca="1">IF(AND(NOT(ISBLANK($U28)),EXACT($V28,""),EXACT($N28,"")),IF(EXACT($O28,""),VLOOKUP($M28,SF_ANDEREALLE,2,FALSE),ROUND(VLOOKUP($M28,SF_ANDEREALLE,2,FALSE)/$AR28,0)),0)</f>
        <v>0</v>
      </c>
      <c r="AR28" s="212">
        <f t="shared" ca="1" si="19"/>
        <v>2</v>
      </c>
      <c r="AS28" s="1020" t="str">
        <f t="shared" ca="1" si="15"/>
        <v/>
      </c>
      <c r="AT28" s="557" t="str">
        <f t="shared" ref="AT28:AT33" ca="1" si="22">IF(AND(EXACT($N28,""),ISBLANK($R28),ISBLANK($S28),ISBLANK($T28),ISBLANK($U28)),"",CONCATENATE($M28,", "))</f>
        <v/>
      </c>
      <c r="AU28" s="557">
        <f t="shared" si="20"/>
        <v>16</v>
      </c>
      <c r="AV28" s="557"/>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032"/>
    </row>
    <row r="29" spans="1:74" x14ac:dyDescent="0.2">
      <c r="A29" s="112" t="str">
        <f t="shared" si="0"/>
        <v>Kopfstoß</v>
      </c>
      <c r="B29" s="391" t="str">
        <f t="shared" ca="1" si="1"/>
        <v/>
      </c>
      <c r="C29" s="387" t="str">
        <f t="shared" ca="1" si="2"/>
        <v/>
      </c>
      <c r="D29" s="1127"/>
      <c r="E29" s="109" t="str">
        <f ca="1">IF(OR(AKTIV_WLOSBORN="X",AKTIV_WLOSGLADIATOR="X",AKTIV_WLOSHRURUZAT="X",AKTIV_WLOSMERC="X"),"X","")</f>
        <v/>
      </c>
      <c r="F29" s="384"/>
      <c r="G29" s="960"/>
      <c r="H29" s="960"/>
      <c r="I29" s="324"/>
      <c r="J29" s="1739" t="str">
        <f t="shared" ca="1" si="3"/>
        <v/>
      </c>
      <c r="K29" s="1740"/>
      <c r="L29" s="1741"/>
      <c r="M29" s="1012" t="str">
        <f t="shared" si="4"/>
        <v>Standfest</v>
      </c>
      <c r="N29" s="391" t="str">
        <f t="shared" ca="1" si="21"/>
        <v/>
      </c>
      <c r="O29" s="387" t="str">
        <f t="shared" ca="1" si="6"/>
        <v/>
      </c>
      <c r="P29" s="1127"/>
      <c r="Q29" s="109"/>
      <c r="R29" s="384"/>
      <c r="S29" s="960"/>
      <c r="T29" s="960"/>
      <c r="U29" s="324"/>
      <c r="V29" s="1739" t="str">
        <f ca="1">IF(OR(NOT(ISBLANK($R29)),NOT(ISBLANK($S29)),NOT(ISBLANK($T29)),NOT(ISBLANK($U29))),IF(NOT(EXACT($N29,"")),"Diese SF hast Du schon!",IF(GE&lt;12,"GE min. 12","")),IF(AND(ZS_SE_VIEW,N29="",O29="",NOT(ISERR(FIND(M29,ZS_SF_ALLE,1)))),"SF verbilligt aus Studium",""))</f>
        <v/>
      </c>
      <c r="W29" s="1740"/>
      <c r="X29" s="1741"/>
      <c r="Y29" s="246">
        <f t="shared" ca="1" si="7"/>
        <v>0</v>
      </c>
      <c r="Z29" s="212">
        <f t="shared" ca="1" si="8"/>
        <v>0</v>
      </c>
      <c r="AA29" s="212">
        <f t="shared" ca="1" si="9"/>
        <v>0</v>
      </c>
      <c r="AB29" s="212">
        <f t="shared" ca="1" si="10"/>
        <v>0</v>
      </c>
      <c r="AC29" s="212">
        <f t="shared" ca="1" si="17"/>
        <v>2</v>
      </c>
      <c r="AD29" s="557" t="str">
        <f t="shared" ca="1" si="11"/>
        <v/>
      </c>
      <c r="AE29" s="549" t="str">
        <f t="shared" ca="1" si="12"/>
        <v/>
      </c>
      <c r="AF29" s="557">
        <f t="shared" si="18"/>
        <v>16</v>
      </c>
      <c r="AG29" s="557"/>
      <c r="AH29" s="550"/>
      <c r="AI29" s="212"/>
      <c r="AJ29" s="212"/>
      <c r="AK29" s="113"/>
      <c r="AL29" s="559">
        <f t="shared" ca="1" si="13"/>
        <v>0</v>
      </c>
      <c r="AM29" s="246">
        <f t="shared" ca="1" si="14"/>
        <v>0</v>
      </c>
      <c r="AN29" s="212">
        <f ca="1">IF(AND(NOT(ISBLANK($R29)),EXACT($V29,""),EXACT($N29,"")),IF(EXACT($O29,""),VLOOKUP($M29,SF_ANDEREALLE,3,FALSE),ROUND(VLOOKUP($M29,SF_ANDEREALLE,3,FALSE)/$AR29,0)),0)</f>
        <v>0</v>
      </c>
      <c r="AO29" s="212">
        <f ca="1">IF(AND(NOT(ISBLANK($S29)),EXACT($N29,"")),IF(EXACT($O29,""),VLOOKUP($M29,SF_ANDEREALLE,2,FALSE),ROUND(VLOOKUP($M29,SF_ANDEREALLE,2,FALSE)/$AR29,0)),0)</f>
        <v>0</v>
      </c>
      <c r="AP29" s="212">
        <f ca="1">IF(AND(NOT(ISBLANK($T29)),EXACT($N29,"")),IF(EXACT($O29,""),VLOOKUP($M29,SF_ANDEREALLE,2,FALSE),ROUND(VLOOKUP($M29,SF_ANDEREALLE,2,FALSE)/$AR29,0)),0)</f>
        <v>0</v>
      </c>
      <c r="AQ29" s="212">
        <f ca="1">IF(AND(NOT(ISBLANK($U29)),EXACT($V29,""),EXACT($N29,"")),IF(EXACT($O29,""),VLOOKUP($M29,SF_ANDEREALLE,2,FALSE),ROUND(VLOOKUP($M29,SF_ANDEREALLE,2,FALSE)/$AR29,0)),0)</f>
        <v>0</v>
      </c>
      <c r="AR29" s="212">
        <f t="shared" ca="1" si="19"/>
        <v>2</v>
      </c>
      <c r="AS29" s="1020" t="str">
        <f t="shared" ca="1" si="15"/>
        <v/>
      </c>
      <c r="AT29" s="557" t="str">
        <f t="shared" ca="1" si="22"/>
        <v/>
      </c>
      <c r="AU29" s="557">
        <f t="shared" si="20"/>
        <v>17</v>
      </c>
      <c r="AV29" s="557"/>
      <c r="AW29" s="18"/>
      <c r="AX29" s="18"/>
      <c r="AY29" s="717" t="str">
        <f ca="1">IF(NOT(ISERR(FIND(M29&amp;",",CONCATENATE(AX11,AY11,AZ11),1))),"x",
IF(P29="X","x",""))</f>
        <v/>
      </c>
      <c r="AZ29" s="18"/>
      <c r="BA29" s="18"/>
      <c r="BB29" s="212"/>
      <c r="BC29" s="113"/>
      <c r="BD29" s="113"/>
      <c r="BE29" s="113"/>
      <c r="BF29" s="113"/>
      <c r="BG29" s="113"/>
      <c r="BH29" s="113"/>
      <c r="BI29" s="113"/>
      <c r="BJ29" s="113"/>
      <c r="BK29" s="190"/>
      <c r="BL29" s="190"/>
      <c r="BM29" s="190"/>
      <c r="BN29" s="190"/>
      <c r="BO29" s="190"/>
      <c r="BP29" s="190"/>
      <c r="BQ29" s="190"/>
      <c r="BR29" s="190"/>
      <c r="BS29" s="190"/>
      <c r="BT29" s="190"/>
      <c r="BU29" s="190"/>
      <c r="BV29" s="234"/>
    </row>
    <row r="30" spans="1:74" x14ac:dyDescent="0.2">
      <c r="A30" s="112" t="str">
        <f t="shared" si="0"/>
        <v>Kreuzblock</v>
      </c>
      <c r="B30" s="391" t="str">
        <f t="shared" ca="1" si="1"/>
        <v/>
      </c>
      <c r="C30" s="387" t="str">
        <f t="shared" ca="1" si="2"/>
        <v/>
      </c>
      <c r="D30" s="1127"/>
      <c r="E30" s="109" t="str">
        <f ca="1">IF(OR(AKTIV_WLOSGLADIATOR="X",AKTIV_WLOSHAMMER="X",AKTIV_WLOSHRURUZAT="X"),"X","")</f>
        <v/>
      </c>
      <c r="F30" s="384"/>
      <c r="G30" s="960"/>
      <c r="H30" s="960"/>
      <c r="I30" s="324"/>
      <c r="J30" s="1739" t="str">
        <f t="shared" ca="1" si="3"/>
        <v/>
      </c>
      <c r="K30" s="1740"/>
      <c r="L30" s="1741"/>
      <c r="M30" s="1012" t="str">
        <f t="shared" si="4"/>
        <v>Steppenkundig</v>
      </c>
      <c r="N30" s="391" t="str">
        <f t="shared" ca="1" si="21"/>
        <v/>
      </c>
      <c r="O30" s="387" t="str">
        <f t="shared" ca="1" si="6"/>
        <v/>
      </c>
      <c r="P30" s="1127"/>
      <c r="Q30" s="109"/>
      <c r="R30" s="384"/>
      <c r="S30" s="960"/>
      <c r="T30" s="960"/>
      <c r="U30" s="324"/>
      <c r="V30" s="1739" t="str">
        <f ca="1">IF(AND(NOT(ISBLANK($R30)),NOT(ISBLANK($S30)),NOT(ISBLANK($T30)),NOT(ISBLANK($U30))),"Was denn nun? GP oder AP?",IF(AND(NOT(ISBLANK($R30)),NOT(ISBLANK($S30)),NOT(ISBLANK($T30)),NOT(EXACT($N30,""))),"Diese SF hast Du schon!",IF(AND(ZS_SE_VIEW,N30="",O30="",NOT(ISERR(FIND(M30,ZS_SF_ALLE,1)))),"SF verbilligt aus Studium","")))</f>
        <v/>
      </c>
      <c r="W30" s="1740"/>
      <c r="X30" s="1741"/>
      <c r="Y30" s="716">
        <f t="shared" ca="1" si="7"/>
        <v>0</v>
      </c>
      <c r="Z30" s="717">
        <f ca="1">IF(AND(NOT(ISBLANK($G30)),EXACT($B30,"")),IF(EXACT($C30,""),VLOOKUP($A30,SF_WLOSALLE,2,FALSE)-IF(AD17="",0,12),ROUND((VLOOKUP($A30,SF_WLOSALLE,2,FALSE)-IF(AD17="",0,12))/$AC30,0)),0)</f>
        <v>0</v>
      </c>
      <c r="AA30" s="717">
        <f ca="1">IF(AND(NOT(ISBLANK($H30)),EXACT($B30,"")),IF(EXACT($C30,""),VLOOKUP($A30,SF_WLOSALLE,2,FALSE)-IF(AD17="",0,12),ROUND((VLOOKUP($A30,SF_WLOSALLE,2,FALSE)-IF(AD17="",0,12))/$AC30,0)),0)</f>
        <v>0</v>
      </c>
      <c r="AB30" s="717">
        <f ca="1">IF(AND(NOT(ISBLANK($I30)),EXACT($J30,""),EXACT($B30,"")),IF(EXACT($C30,""),VLOOKUP($A30,SF_WLOSALLE,2,FALSE)-IF(AD17="",0,12),ROUND((VLOOKUP($A30,SF_WLOSALLE,2,FALSE)-IF(AD17="",0,12))/$AC30,0)),0)</f>
        <v>0</v>
      </c>
      <c r="AC30" s="212">
        <f t="shared" ca="1" si="17"/>
        <v>2</v>
      </c>
      <c r="AD30" s="557" t="str">
        <f t="shared" ca="1" si="11"/>
        <v/>
      </c>
      <c r="AE30" s="549" t="str">
        <f t="shared" ca="1" si="12"/>
        <v/>
      </c>
      <c r="AF30" s="557">
        <f t="shared" si="18"/>
        <v>17</v>
      </c>
      <c r="AG30" s="557"/>
      <c r="AH30" s="550"/>
      <c r="AI30" s="212"/>
      <c r="AJ30" s="212"/>
      <c r="AK30" s="113"/>
      <c r="AL30" s="559">
        <f t="shared" ca="1" si="13"/>
        <v>0</v>
      </c>
      <c r="AM30" s="246">
        <f t="shared" ca="1" si="14"/>
        <v>0</v>
      </c>
      <c r="AN30" s="717">
        <f ca="1">IF(AND(NOT(ISBLANK($R30)),EXACT($V30,""),EXACT($N30,"")),IF(EXACT($O30,""),VLOOKUP($M30,SF_ANDEREALLE,3,FALSE)+IF(AW30=50,1,0),ROUND((VLOOKUP($M30,SF_ANDEREALLE,3,FALSE)+IF(AW30=50,1,0))/$AR30,0)),0)</f>
        <v>0</v>
      </c>
      <c r="AO30" s="717">
        <f ca="1">IF(AND(NOT(ISBLANK($S30)),EXACT($N30,"")),IF(EXACT($O30,""),VLOOKUP($M30,SF_ANDEREALLE,2,FALSE)+AW30,ROUND((VLOOKUP($M30,SF_ANDEREALLE,2,FALSE)+AW30)/$AR30,0)),0)</f>
        <v>0</v>
      </c>
      <c r="AP30" s="717">
        <f ca="1">IF(AND(NOT(ISBLANK($T30)),EXACT($N30,"")),IF(EXACT($O30,""),VLOOKUP($M30,SF_ANDEREALLE,2,FALSE)+AW30,ROUND((VLOOKUP($M30,SF_ANDEREALLE,2,FALSE)+AW30)/$AR30,0)),0)</f>
        <v>0</v>
      </c>
      <c r="AQ30" s="717">
        <f ca="1">IF(AND(NOT(ISBLANK($U30)),EXACT($V30,""),EXACT($N30,"")),IF(EXACT($O30,""),VLOOKUP($M30,SF_ANDEREALLE,2,FALSE)+AW30,ROUND((VLOOKUP($M30,SF_ANDEREALLE,2,FALSE)+AW30)/$AR30,0)),0)</f>
        <v>0</v>
      </c>
      <c r="AR30" s="212">
        <f t="shared" ca="1" si="19"/>
        <v>2</v>
      </c>
      <c r="AS30" s="1020" t="str">
        <f t="shared" ca="1" si="15"/>
        <v/>
      </c>
      <c r="AT30" s="557" t="str">
        <f t="shared" ca="1" si="22"/>
        <v/>
      </c>
      <c r="AU30" s="557">
        <f t="shared" si="20"/>
        <v>18</v>
      </c>
      <c r="AV30" s="557"/>
      <c r="AW30" s="717">
        <f ca="1">IF($AY$18,0,IF($AY$17,IF(AX30,50,0),
IF(AND(AS30="X",SUM($AW$17:AW29)=0),50,0))*IF(VT_EIDGED,0.5,IF(VT_GUTGED,0.75,1)))</f>
        <v>0</v>
      </c>
      <c r="AX30" s="717" t="b">
        <f>IF(OR(R30=1,S30=1,T30=1,U30=1),TRUE,FALSE)</f>
        <v>0</v>
      </c>
      <c r="AY30" s="18"/>
      <c r="AZ30" s="18"/>
      <c r="BA30" s="18"/>
      <c r="BB30" s="212"/>
      <c r="BC30" s="113"/>
      <c r="BD30" s="113"/>
      <c r="BE30" s="113"/>
      <c r="BF30" s="113"/>
      <c r="BG30" s="113"/>
      <c r="BH30" s="113"/>
      <c r="BI30" s="113"/>
      <c r="BJ30" s="113"/>
      <c r="BK30" s="190"/>
      <c r="BL30" s="190"/>
      <c r="BM30" s="190"/>
      <c r="BN30" s="190"/>
      <c r="BO30" s="190"/>
      <c r="BP30" s="190"/>
      <c r="BQ30" s="190"/>
      <c r="BR30" s="190"/>
      <c r="BS30" s="190"/>
      <c r="BT30" s="190"/>
      <c r="BU30" s="190"/>
      <c r="BV30" s="234"/>
    </row>
    <row r="31" spans="1:74" x14ac:dyDescent="0.2">
      <c r="A31" s="112" t="str">
        <f t="shared" si="0"/>
        <v>Niederringen</v>
      </c>
      <c r="B31" s="391" t="str">
        <f t="shared" ca="1" si="1"/>
        <v/>
      </c>
      <c r="C31" s="387" t="str">
        <f t="shared" ca="1" si="2"/>
        <v/>
      </c>
      <c r="D31" s="1127"/>
      <c r="E31" s="109" t="str">
        <f ca="1">IF(OR(AKTIV_WLOSBORN="X",AKTIV_WLOSGLADIATOR="X",AKTIV_WLOSMERC="X",AKTIV_WLOSUNAU="X"),"X","")</f>
        <v/>
      </c>
      <c r="F31" s="384"/>
      <c r="G31" s="960"/>
      <c r="H31" s="960"/>
      <c r="I31" s="324"/>
      <c r="J31" s="1739" t="str">
        <f t="shared" ca="1" si="3"/>
        <v/>
      </c>
      <c r="K31" s="1740"/>
      <c r="L31" s="1741"/>
      <c r="M31" s="1012" t="str">
        <f t="shared" si="4"/>
        <v>Sumpfkundig</v>
      </c>
      <c r="N31" s="391" t="str">
        <f t="shared" ca="1" si="21"/>
        <v/>
      </c>
      <c r="O31" s="387" t="str">
        <f t="shared" ca="1" si="6"/>
        <v/>
      </c>
      <c r="P31" s="1127"/>
      <c r="Q31" s="109"/>
      <c r="R31" s="384"/>
      <c r="S31" s="960"/>
      <c r="T31" s="960"/>
      <c r="U31" s="324"/>
      <c r="V31" s="1739" t="str">
        <f ca="1">IF(AND(NOT(ISBLANK($R31)),NOT(ISBLANK($S31)),NOT(ISBLANK($T31)),NOT(ISBLANK($U31))),"Was denn nun? GP oder AP?",IF(AND(NOT(ISBLANK($R31)),NOT(ISBLANK($S31)),NOT(ISBLANK($T31)),NOT(EXACT($N31,""))),"Diese SF hast Du schon!",IF(AND(ZS_SE_VIEW,N31="",O31="",NOT(ISERR(FIND(M31,ZS_SF_ALLE,1)))),"SF verbilligt aus Studium","")))</f>
        <v/>
      </c>
      <c r="W31" s="1740"/>
      <c r="X31" s="1741"/>
      <c r="Y31" s="246">
        <f t="shared" ca="1" si="7"/>
        <v>0</v>
      </c>
      <c r="Z31" s="212">
        <f t="shared" ref="Z31:Z49" ca="1" si="23">IF(AND(NOT(ISBLANK($G31)),EXACT($B31,"")),IF(EXACT($C31,""),VLOOKUP($A31,SF_WLOSALLE,2,FALSE),ROUND(VLOOKUP($A31,SF_WLOSALLE,2,FALSE)/$AC31,0)),0)</f>
        <v>0</v>
      </c>
      <c r="AA31" s="212">
        <f t="shared" ref="AA31:AA49" ca="1" si="24">IF(AND(NOT(ISBLANK($H31)),EXACT($B31,"")),IF(EXACT($C31,""),VLOOKUP($A31,SF_WLOSALLE,2,FALSE),ROUND(VLOOKUP($A31,SF_WLOSALLE,2,FALSE)/$AC31,0)),0)</f>
        <v>0</v>
      </c>
      <c r="AB31" s="212">
        <f t="shared" ref="AB31:AB49" ca="1" si="25">IF(AND(NOT(ISBLANK($I31)),EXACT($J31,""),EXACT($B31,"")),IF(EXACT($C31,""),VLOOKUP($A31,SF_WLOSALLE,2,FALSE),ROUND(VLOOKUP($A31,SF_WLOSALLE,2,FALSE)/$AC31,0)),0)</f>
        <v>0</v>
      </c>
      <c r="AC31" s="212">
        <f t="shared" ca="1" si="17"/>
        <v>2</v>
      </c>
      <c r="AD31" s="557" t="str">
        <f t="shared" ca="1" si="11"/>
        <v/>
      </c>
      <c r="AE31" s="549" t="str">
        <f t="shared" ca="1" si="12"/>
        <v/>
      </c>
      <c r="AF31" s="557">
        <f t="shared" si="18"/>
        <v>18</v>
      </c>
      <c r="AG31" s="557"/>
      <c r="AH31" s="550"/>
      <c r="AI31" s="212"/>
      <c r="AJ31" s="212"/>
      <c r="AK31" s="113"/>
      <c r="AL31" s="559">
        <f t="shared" ca="1" si="13"/>
        <v>0</v>
      </c>
      <c r="AM31" s="246">
        <f t="shared" ca="1" si="14"/>
        <v>0</v>
      </c>
      <c r="AN31" s="717">
        <f ca="1">IF(AND(NOT(ISBLANK($R31)),EXACT($V31,""),EXACT($N31,"")),IF(EXACT($O31,""),VLOOKUP($M31,SF_ANDEREALLE,3,FALSE)+IF(AW31=50,1,0),ROUND((VLOOKUP($M31,SF_ANDEREALLE,3,FALSE)+IF(AW31=50,1,0))/$AR31,0)),0)</f>
        <v>0</v>
      </c>
      <c r="AO31" s="717">
        <f ca="1">IF(AND(NOT(ISBLANK($S31)),EXACT($N31,"")),IF(EXACT($O31,""),VLOOKUP($M31,SF_ANDEREALLE,2,FALSE)+AW31,ROUND((VLOOKUP($M31,SF_ANDEREALLE,2,FALSE)+AW31)/$AR31,0)),0)</f>
        <v>0</v>
      </c>
      <c r="AP31" s="717">
        <f ca="1">IF(AND(NOT(ISBLANK($T31)),EXACT($N31,"")),IF(EXACT($O31,""),VLOOKUP($M31,SF_ANDEREALLE,2,FALSE)+AW31,ROUND((VLOOKUP($M31,SF_ANDEREALLE,2,FALSE)+AW31)/$AR31,0)),0)</f>
        <v>0</v>
      </c>
      <c r="AQ31" s="717">
        <f ca="1">IF(AND(NOT(ISBLANK($U31)),EXACT($V31,""),EXACT($N31,"")),IF(EXACT($O31,""),VLOOKUP($M31,SF_ANDEREALLE,2,FALSE)+AW31,ROUND((VLOOKUP($M31,SF_ANDEREALLE,2,FALSE)+AW31)/$AR31,0)),0)</f>
        <v>0</v>
      </c>
      <c r="AR31" s="212">
        <f t="shared" ca="1" si="19"/>
        <v>2</v>
      </c>
      <c r="AS31" s="1020" t="str">
        <f t="shared" ca="1" si="15"/>
        <v/>
      </c>
      <c r="AT31" s="557" t="str">
        <f t="shared" ca="1" si="22"/>
        <v/>
      </c>
      <c r="AU31" s="557">
        <f t="shared" si="20"/>
        <v>19</v>
      </c>
      <c r="AV31" s="557"/>
      <c r="AW31" s="717">
        <f ca="1">IF($AY$18,0,IF($AY$17,IF(AX31,50,0),
IF(AND(AS31="X",SUM($AW$17:AW30)=0),50,0))*IF(VT_EIDGED,0.5,IF(VT_GUTGED,0.75,1)))</f>
        <v>0</v>
      </c>
      <c r="AX31" s="717" t="b">
        <f>IF(OR(R31=1,S31=1,T31=1,U31=1),TRUE,FALSE)</f>
        <v>0</v>
      </c>
      <c r="AY31" s="18"/>
      <c r="AZ31" s="18"/>
      <c r="BA31" s="18"/>
      <c r="BB31" s="212"/>
      <c r="BC31" s="113"/>
      <c r="BD31" s="113"/>
      <c r="BE31" s="113"/>
      <c r="BF31" s="113"/>
      <c r="BG31" s="113"/>
      <c r="BH31" s="113"/>
      <c r="BI31" s="113"/>
      <c r="BJ31" s="113"/>
      <c r="BK31" s="190"/>
      <c r="BL31" s="190"/>
      <c r="BM31" s="190"/>
      <c r="BN31" s="190"/>
      <c r="BO31" s="190"/>
      <c r="BP31" s="190"/>
      <c r="BQ31" s="190"/>
      <c r="BR31" s="190"/>
      <c r="BS31" s="190"/>
      <c r="BT31" s="190"/>
      <c r="BU31" s="190"/>
      <c r="BV31" s="234"/>
    </row>
    <row r="32" spans="1:74" x14ac:dyDescent="0.2">
      <c r="A32" s="112" t="str">
        <f t="shared" si="0"/>
        <v>Schmetterschlag</v>
      </c>
      <c r="B32" s="391" t="str">
        <f t="shared" ca="1" si="1"/>
        <v/>
      </c>
      <c r="C32" s="387" t="str">
        <f t="shared" ca="1" si="2"/>
        <v/>
      </c>
      <c r="D32" s="1127"/>
      <c r="E32" s="109" t="str">
        <f ca="1">IF(OR(AKTIV_WLOSHAMMER="X"),"X","")</f>
        <v/>
      </c>
      <c r="F32" s="384"/>
      <c r="G32" s="960"/>
      <c r="H32" s="960"/>
      <c r="I32" s="324"/>
      <c r="J32" s="1739" t="str">
        <f t="shared" ca="1" si="3"/>
        <v/>
      </c>
      <c r="K32" s="1740"/>
      <c r="L32" s="1741"/>
      <c r="M32" s="1012" t="str">
        <f t="shared" si="4"/>
        <v>Waldkundig</v>
      </c>
      <c r="N32" s="391" t="str">
        <f t="shared" ca="1" si="21"/>
        <v/>
      </c>
      <c r="O32" s="387" t="str">
        <f t="shared" ca="1" si="6"/>
        <v/>
      </c>
      <c r="P32" s="1127"/>
      <c r="Q32" s="109"/>
      <c r="R32" s="384"/>
      <c r="S32" s="960"/>
      <c r="T32" s="960"/>
      <c r="U32" s="324"/>
      <c r="V32" s="1739" t="str">
        <f ca="1">IF(AND(NOT(ISBLANK($R32)),NOT(ISBLANK($S32)),NOT(ISBLANK($T32)),NOT(ISBLANK($U32))),"Was denn nun? GP oder AP?",IF(AND(NOT(ISBLANK($R32)),NOT(ISBLANK($S32)),NOT(ISBLANK($T32)),NOT(EXACT($N32,""))),"Diese SF hast Du schon!",IF(AND(ZS_SE_VIEW,N32="",O32="",NOT(ISERR(FIND(M32,ZS_SF_ALLE,1)))),"SF verbilligt aus Studium","")))</f>
        <v/>
      </c>
      <c r="W32" s="1740"/>
      <c r="X32" s="1741"/>
      <c r="Y32" s="246">
        <f t="shared" ca="1" si="7"/>
        <v>0</v>
      </c>
      <c r="Z32" s="212">
        <f t="shared" ca="1" si="23"/>
        <v>0</v>
      </c>
      <c r="AA32" s="212">
        <f t="shared" ca="1" si="24"/>
        <v>0</v>
      </c>
      <c r="AB32" s="212">
        <f t="shared" ca="1" si="25"/>
        <v>0</v>
      </c>
      <c r="AC32" s="212">
        <f t="shared" ca="1" si="17"/>
        <v>2</v>
      </c>
      <c r="AD32" s="557" t="str">
        <f t="shared" ca="1" si="11"/>
        <v/>
      </c>
      <c r="AE32" s="549" t="str">
        <f t="shared" ca="1" si="12"/>
        <v/>
      </c>
      <c r="AF32" s="557">
        <f t="shared" si="18"/>
        <v>19</v>
      </c>
      <c r="AG32" s="557"/>
      <c r="AH32" s="550"/>
      <c r="AI32" s="212"/>
      <c r="AJ32" s="212"/>
      <c r="AK32" s="113"/>
      <c r="AL32" s="559">
        <f t="shared" ca="1" si="13"/>
        <v>0</v>
      </c>
      <c r="AM32" s="246">
        <f t="shared" ca="1" si="14"/>
        <v>0</v>
      </c>
      <c r="AN32" s="717">
        <f ca="1">IF(AND(NOT(ISBLANK($R32)),EXACT($V32,""),EXACT($N32,"")),IF(EXACT($O32,""),VLOOKUP($M32,SF_ANDEREALLE,3,FALSE)+IF(AW32=50,1,0),ROUND((VLOOKUP($M32,SF_ANDEREALLE,3,FALSE)+IF(AW32=50,1,0))/$AR32,0)),0)</f>
        <v>0</v>
      </c>
      <c r="AO32" s="717">
        <f ca="1">IF(AND(NOT(ISBLANK($S32)),EXACT($N32,"")),IF(EXACT($O32,""),VLOOKUP($M32,SF_ANDEREALLE,2,FALSE)+AW32,ROUND((VLOOKUP($M32,SF_ANDEREALLE,2,FALSE)+AW32)/$AR32,0)),0)</f>
        <v>0</v>
      </c>
      <c r="AP32" s="717">
        <f ca="1">IF(AND(NOT(ISBLANK($T32)),EXACT($N32,"")),IF(EXACT($O32,""),VLOOKUP($M32,SF_ANDEREALLE,2,FALSE)+AW32,ROUND((VLOOKUP($M32,SF_ANDEREALLE,2,FALSE)+AW32)/$AR32,0)),0)</f>
        <v>0</v>
      </c>
      <c r="AQ32" s="717">
        <f ca="1">IF(AND(NOT(ISBLANK($U32)),EXACT($V32,""),EXACT($N32,"")),IF(EXACT($O32,""),VLOOKUP($M32,SF_ANDEREALLE,2,FALSE)+AW32,ROUND((VLOOKUP($M32,SF_ANDEREALLE,2,FALSE)+AW32)/$AR32,0)),0)</f>
        <v>0</v>
      </c>
      <c r="AR32" s="212">
        <f t="shared" ca="1" si="19"/>
        <v>2</v>
      </c>
      <c r="AS32" s="1020" t="str">
        <f t="shared" ca="1" si="15"/>
        <v/>
      </c>
      <c r="AT32" s="557" t="str">
        <f t="shared" ca="1" si="22"/>
        <v/>
      </c>
      <c r="AU32" s="557">
        <f t="shared" si="20"/>
        <v>20</v>
      </c>
      <c r="AV32" s="557"/>
      <c r="AW32" s="717">
        <f ca="1">IF($AY$18,0,IF($AY$17,IF(AX32,50,0),
IF(AND(AS32="X",SUM($AW$17:AW31)=0),50,0))*IF(VT_EIDGED,0.5,IF(VT_GUTGED,0.75,1)))</f>
        <v>0</v>
      </c>
      <c r="AX32" s="717" t="b">
        <f>IF(OR(R32=1,S32=1,T32=1,U32=1),TRUE,FALSE)</f>
        <v>0</v>
      </c>
      <c r="AY32" s="212"/>
      <c r="AZ32" s="212"/>
      <c r="BA32" s="212"/>
      <c r="BB32" s="212"/>
      <c r="BC32" s="113"/>
      <c r="BD32" s="113"/>
      <c r="BE32" s="113"/>
      <c r="BF32" s="113"/>
      <c r="BG32" s="113"/>
      <c r="BH32" s="113"/>
      <c r="BI32" s="113"/>
      <c r="BJ32" s="113"/>
      <c r="BK32" s="190"/>
      <c r="BL32" s="190"/>
      <c r="BM32" s="190"/>
      <c r="BN32" s="190"/>
      <c r="BO32" s="190"/>
      <c r="BP32" s="190"/>
      <c r="BQ32" s="190"/>
      <c r="BR32" s="190"/>
      <c r="BS32" s="190"/>
      <c r="BT32" s="190"/>
      <c r="BU32" s="190"/>
      <c r="BV32" s="234"/>
    </row>
    <row r="33" spans="1:74" x14ac:dyDescent="0.2">
      <c r="A33" s="112" t="str">
        <f t="shared" si="0"/>
        <v>Schmutzige Tricks</v>
      </c>
      <c r="B33" s="391" t="str">
        <f t="shared" ca="1" si="1"/>
        <v/>
      </c>
      <c r="C33" s="387" t="str">
        <f t="shared" ca="1" si="2"/>
        <v/>
      </c>
      <c r="D33" s="1127"/>
      <c r="E33" s="109" t="str">
        <f ca="1">IF(OR(AKTIV_WLOSBORN="X",AKTIV_WLOSMERC="X"),"X","")</f>
        <v/>
      </c>
      <c r="F33" s="384"/>
      <c r="G33" s="960"/>
      <c r="H33" s="960"/>
      <c r="I33" s="324"/>
      <c r="J33" s="1739" t="str">
        <f t="shared" ca="1" si="3"/>
        <v/>
      </c>
      <c r="K33" s="1740"/>
      <c r="L33" s="1741"/>
      <c r="M33" s="1012" t="str">
        <f t="shared" si="4"/>
        <v>Wüstenkundig</v>
      </c>
      <c r="N33" s="391" t="str">
        <f t="shared" ca="1" si="21"/>
        <v/>
      </c>
      <c r="O33" s="387" t="str">
        <f t="shared" ca="1" si="6"/>
        <v/>
      </c>
      <c r="P33" s="1127"/>
      <c r="Q33" s="109"/>
      <c r="R33" s="384"/>
      <c r="S33" s="960"/>
      <c r="T33" s="960"/>
      <c r="U33" s="324"/>
      <c r="V33" s="1739" t="str">
        <f ca="1">IF(AND(NOT(ISBLANK($R33)),NOT(ISBLANK($S33)),NOT(ISBLANK($T33)),NOT(ISBLANK($U33))),"Was denn nun? GP oder AP?",IF(AND(NOT(ISBLANK($R33)),NOT(ISBLANK($S33)),NOT(ISBLANK($T33)),NOT(EXACT($N33,""))),"Diese SF hast Du schon!",IF(AND(ZS_SE_VIEW,N33="",O33="",NOT(ISERR(FIND(M33,ZS_SF_ALLE,1)))),"SF verbilligt aus Studium","")))</f>
        <v/>
      </c>
      <c r="W33" s="1740"/>
      <c r="X33" s="1741"/>
      <c r="Y33" s="246">
        <f t="shared" ca="1" si="7"/>
        <v>0</v>
      </c>
      <c r="Z33" s="212">
        <f t="shared" ca="1" si="23"/>
        <v>0</v>
      </c>
      <c r="AA33" s="212">
        <f t="shared" ca="1" si="24"/>
        <v>0</v>
      </c>
      <c r="AB33" s="212">
        <f t="shared" ca="1" si="25"/>
        <v>0</v>
      </c>
      <c r="AC33" s="212">
        <f t="shared" ca="1" si="17"/>
        <v>2</v>
      </c>
      <c r="AD33" s="557" t="str">
        <f t="shared" ca="1" si="11"/>
        <v/>
      </c>
      <c r="AE33" s="549" t="str">
        <f t="shared" ca="1" si="12"/>
        <v/>
      </c>
      <c r="AF33" s="557">
        <f t="shared" si="18"/>
        <v>20</v>
      </c>
      <c r="AG33" s="557"/>
      <c r="AH33" s="550"/>
      <c r="AI33" s="212"/>
      <c r="AJ33" s="212"/>
      <c r="AK33" s="113"/>
      <c r="AL33" s="559">
        <f t="shared" ca="1" si="13"/>
        <v>0</v>
      </c>
      <c r="AM33" s="246">
        <f t="shared" ca="1" si="14"/>
        <v>0</v>
      </c>
      <c r="AN33" s="717">
        <f ca="1">IF(AND(NOT(ISBLANK($R33)),EXACT($V33,""),EXACT($N33,"")),IF(EXACT($O33,""),VLOOKUP($M33,SF_ANDEREALLE,3,FALSE)+IF(AW33=50,1,0),ROUND((VLOOKUP($M33,SF_ANDEREALLE,3,FALSE)+IF(AW33=50,1,0))/$AR33,0)),0)</f>
        <v>0</v>
      </c>
      <c r="AO33" s="717">
        <f ca="1">IF(AND(NOT(ISBLANK($S33)),EXACT($N33,"")),IF(EXACT($O33,""),VLOOKUP($M33,SF_ANDEREALLE,2,FALSE)+AW33,ROUND((VLOOKUP($M33,SF_ANDEREALLE,2,FALSE)+AW33)/$AR33,0)),0)</f>
        <v>0</v>
      </c>
      <c r="AP33" s="717">
        <f ca="1">IF(AND(NOT(ISBLANK($T33)),EXACT($N33,"")),IF(EXACT($O33,""),VLOOKUP($M33,SF_ANDEREALLE,2,FALSE)+AW33,ROUND((VLOOKUP($M33,SF_ANDEREALLE,2,FALSE)+AW33)/$AR33,0)),0)</f>
        <v>0</v>
      </c>
      <c r="AQ33" s="717">
        <f ca="1">IF(AND(NOT(ISBLANK($U33)),EXACT($V33,""),EXACT($N33,"")),IF(EXACT($O33,""),VLOOKUP($M33,SF_ANDEREALLE,2,FALSE)+AW33,ROUND((VLOOKUP($M33,SF_ANDEREALLE,2,FALSE)+AW33)/$AR33,0)),0)</f>
        <v>0</v>
      </c>
      <c r="AR33" s="212">
        <f t="shared" ca="1" si="19"/>
        <v>2</v>
      </c>
      <c r="AS33" s="1020" t="str">
        <f t="shared" ca="1" si="15"/>
        <v/>
      </c>
      <c r="AT33" s="557" t="str">
        <f t="shared" ca="1" si="22"/>
        <v/>
      </c>
      <c r="AU33" s="557">
        <f t="shared" si="20"/>
        <v>21</v>
      </c>
      <c r="AV33" s="557"/>
      <c r="AW33" s="717">
        <f ca="1">IF($AY$18,0,IF($AY$17,IF(AX33,50,0),
IF(AND(AS33="X",SUM($AW$17:AW32)=0),50,0))*IF(VT_EIDGED,0.5,IF(VT_GUTGED,0.75,1)))</f>
        <v>0</v>
      </c>
      <c r="AX33" s="717" t="b">
        <f>IF(OR(R33=1,S33=1,T33=1,U33=1),TRUE,FALSE)</f>
        <v>0</v>
      </c>
      <c r="AY33" s="212"/>
      <c r="AZ33" s="212"/>
      <c r="BA33" s="212"/>
      <c r="BB33" s="212"/>
      <c r="BC33" s="113"/>
      <c r="BD33" s="113"/>
      <c r="BE33" s="113"/>
      <c r="BF33" s="113"/>
      <c r="BG33" s="113"/>
      <c r="BH33" s="113"/>
      <c r="BI33" s="113"/>
      <c r="BJ33" s="113"/>
      <c r="BK33" s="190"/>
      <c r="BL33" s="190"/>
      <c r="BM33" s="190"/>
      <c r="BN33" s="190"/>
      <c r="BO33" s="190"/>
      <c r="BP33" s="190"/>
      <c r="BQ33" s="190"/>
      <c r="BR33" s="190"/>
      <c r="BS33" s="190"/>
      <c r="BT33" s="190"/>
      <c r="BU33" s="190"/>
      <c r="BV33" s="234"/>
    </row>
    <row r="34" spans="1:74" x14ac:dyDescent="0.2">
      <c r="A34" s="112" t="str">
        <f t="shared" si="0"/>
        <v>Schwanzfeger</v>
      </c>
      <c r="B34" s="391" t="str">
        <f t="shared" ca="1" si="1"/>
        <v/>
      </c>
      <c r="C34" s="387" t="str">
        <f t="shared" ca="1" si="2"/>
        <v/>
      </c>
      <c r="D34" s="1127"/>
      <c r="E34" s="109"/>
      <c r="F34" s="384"/>
      <c r="G34" s="960"/>
      <c r="H34" s="960"/>
      <c r="I34" s="324"/>
      <c r="J34" s="1739" t="str">
        <f t="shared" ca="1" si="3"/>
        <v/>
      </c>
      <c r="K34" s="1740"/>
      <c r="L34" s="1741"/>
      <c r="M34" s="1420" t="s">
        <v>320</v>
      </c>
      <c r="N34" s="1018"/>
      <c r="O34" s="1018"/>
      <c r="P34" s="1018"/>
      <c r="Q34" s="1018"/>
      <c r="R34" s="26"/>
      <c r="S34" s="26"/>
      <c r="T34" s="26"/>
      <c r="U34" s="26"/>
      <c r="V34" s="1065" t="str">
        <f ca="1">IF(GP=0,CONCATENATE("noch ",APGUT," AP übrig"),IF(GP&lt;0,CONCATENATE("Du hast ",ABS(GP)," GP zuviel verteilt"),CONCATENATE("Eingesetzt: ",GPSTART-GP," von ",GPSTART," GP")))</f>
        <v>Du hast 64 GP zuviel verteilt</v>
      </c>
      <c r="W34" s="1065"/>
      <c r="X34" s="1065"/>
      <c r="Y34" s="246">
        <f t="shared" ca="1" si="7"/>
        <v>0</v>
      </c>
      <c r="Z34" s="212">
        <f t="shared" ca="1" si="23"/>
        <v>0</v>
      </c>
      <c r="AA34" s="212">
        <f t="shared" ca="1" si="24"/>
        <v>0</v>
      </c>
      <c r="AB34" s="212">
        <f t="shared" ca="1" si="25"/>
        <v>0</v>
      </c>
      <c r="AC34" s="212">
        <f t="shared" ca="1" si="17"/>
        <v>2</v>
      </c>
      <c r="AD34" s="557" t="str">
        <f t="shared" ca="1" si="11"/>
        <v/>
      </c>
      <c r="AE34" s="549" t="str">
        <f t="shared" ca="1" si="12"/>
        <v/>
      </c>
      <c r="AF34" s="557">
        <f t="shared" si="18"/>
        <v>21</v>
      </c>
      <c r="AG34" s="557"/>
      <c r="AH34" s="550"/>
      <c r="AI34" s="212"/>
      <c r="AJ34" s="212"/>
      <c r="AK34" s="113"/>
      <c r="AL34" s="559">
        <f t="shared" ca="1" si="13"/>
        <v>0</v>
      </c>
      <c r="AM34" s="1135"/>
      <c r="AN34" s="1021" t="s">
        <v>4240</v>
      </c>
      <c r="AO34" s="1021"/>
      <c r="AP34" s="1021"/>
      <c r="AQ34" s="1021"/>
      <c r="AR34" s="1021"/>
      <c r="AS34" s="1021"/>
      <c r="AT34" s="1021"/>
      <c r="AU34" s="1021"/>
      <c r="AV34" s="1085"/>
      <c r="AW34" s="1085" t="str">
        <f ca="1">CONCATENATE(AX34,AY34,AZ34)</f>
        <v>,,,,,,,,,,,,,,,,,,,,,</v>
      </c>
      <c r="AX34" s="1085" t="str">
        <f>CONCATENATE(HLOOKUP(RASSEGENE,RASSE,IDX_M,FALSE)&amp;",",HLOOKUP(RASSEGENE,RASSE,IDX_M+1,FALSE)&amp;",",HLOOKUP(RASSEGENE,RASSE,IDX_M+2,FALSE)&amp;",",HLOOKUP(RASSEGENE,RASSE,IDX_M+3,FALSE)&amp;",",HLOOKUP(RASSEGENE,RASSE,IDX_M+4,FALSE)&amp;",",HLOOKUP(RASSEGENE,RASSE,IDX_M+5,FALSE)&amp;",",HLOOKUP(RASSEGENE,RASSE,IDX_M+6,FALSE)&amp;",")</f>
        <v>,,,,,,,</v>
      </c>
      <c r="AY34" s="1085" t="str">
        <f>CONCATENATE(HLOOKUP(KULTURGENE,KULTUR,IDX_M,FALSE)&amp;",",HLOOKUP(KULTURGENE,KULTUR,IDX_M+1,FALSE)&amp;",",HLOOKUP(KULTURGENE,KULTUR,IDX_M+2,FALSE)&amp;",",HLOOKUP(KULTURGENE,KULTUR,IDX_M+3,FALSE)&amp;",",HLOOKUP(KULTURGENE,KULTUR,IDX_M+4,FALSE)&amp;",",HLOOKUP(KULTURGENE,KULTUR,IDX_M+5,FALSE)&amp;",",HLOOKUP(KULTURGENE,KULTUR,IDX_M+6,FALSE)&amp;",")</f>
        <v>,,,,,,,</v>
      </c>
      <c r="AZ34" s="1085" t="str">
        <f ca="1">CONCATENATE(HLOOKUP(PROFGENE,INDIRECT(PROFGEBIET),IDX_M,FALSE)&amp;",",HLOOKUP(PROFGENE,INDIRECT(PROFGEBIET),IDX_M+1,FALSE)&amp;",",HLOOKUP(PROFGENE,INDIRECT(PROFGEBIET),IDX_M+2,FALSE)&amp;",",HLOOKUP(PROFGENE,INDIRECT(PROFGEBIET),IDX_M+3,FALSE)&amp;",",HLOOKUP(PROFGENE,INDIRECT(PROFGEBIET),IDX_M+4,FALSE)&amp;",",HLOOKUP(PROFGENE,INDIRECT(PROFGEBIET),IDX_M+5,FALSE)&amp;",",HLOOKUP(PROFGENE,INDIRECT(PROFGEBIET),IDX_M+6,FALSE)&amp;",")</f>
        <v>,,,,,,,</v>
      </c>
      <c r="BA34" s="1085" t="str">
        <f ca="1">IF(LEN(PROFZWEITE)&lt;1,"",CONCATENATE(HLOOKUP(PROFZWEITE,INDIRECT(PROFGEBIET2),IDX_M,FALSE)&amp;",",HLOOKUP(PROFZWEITE,INDIRECT(PROFGEBIET2),IDX_M+1,FALSE)&amp;",",HLOOKUP(PROFZWEITE,INDIRECT(PROFGEBIET2),IDX_M+2,FALSE)&amp;",",HLOOKUP(PROFZWEITE,INDIRECT(PROFGEBIET2),IDX_M+3,FALSE)&amp;",",HLOOKUP(PROFZWEITE,INDIRECT(PROFGEBIET2),IDX_M+4,FALSE)&amp;",",HLOOKUP(PROFZWEITE,INDIRECT(PROFGEBIET2),IDX_M+5,FALSE)&amp;",",HLOOKUP(PROFZWEITE,INDIRECT(PROFGEBIET2),IDX_M+6,FALSE)&amp;","))</f>
        <v/>
      </c>
      <c r="BB34" s="1021"/>
      <c r="BC34" s="1021"/>
      <c r="BD34" s="1021"/>
      <c r="BE34" s="1021"/>
      <c r="BF34" s="1021"/>
      <c r="BG34" s="1021"/>
      <c r="BH34" s="1021"/>
      <c r="BI34" s="1021"/>
      <c r="BJ34" s="1021"/>
      <c r="BK34" s="1021"/>
      <c r="BL34" s="1021"/>
      <c r="BM34" s="1021"/>
      <c r="BN34" s="1021"/>
      <c r="BO34" s="1021"/>
      <c r="BP34" s="1021"/>
      <c r="BQ34" s="1021"/>
      <c r="BR34" s="1021"/>
      <c r="BS34" s="1021"/>
      <c r="BT34" s="1021"/>
      <c r="BU34" s="1021"/>
      <c r="BV34" s="1106" t="str">
        <f ca="1">HLOOKUP(RASSEGENE,RASSE,IDX_WM,FALSE)&amp;
HLOOKUP(KULTURGENE,KULTUR,IDX_WM,FALSE)&amp;
HLOOKUP(PROFGENE,INDIRECT(PROFGEBIET),IDX_WM,FALSE)&amp;
IF(LEN(PROFZWEITE)&lt;1,"",HLOOKUP(PROFZWEITE,INDIRECT(PROFGEBIET2),IDX_WM,FALSE))</f>
        <v/>
      </c>
    </row>
    <row r="35" spans="1:74" x14ac:dyDescent="0.2">
      <c r="A35" s="112" t="str">
        <f t="shared" si="0"/>
        <v>Schwanzschlag</v>
      </c>
      <c r="B35" s="391" t="str">
        <f t="shared" ca="1" si="1"/>
        <v/>
      </c>
      <c r="C35" s="387" t="str">
        <f t="shared" ca="1" si="2"/>
        <v/>
      </c>
      <c r="D35" s="1127"/>
      <c r="E35" s="109"/>
      <c r="F35" s="384"/>
      <c r="G35" s="960"/>
      <c r="H35" s="960"/>
      <c r="I35" s="324"/>
      <c r="J35" s="1739" t="str">
        <f t="shared" ca="1" si="3"/>
        <v/>
      </c>
      <c r="K35" s="1740"/>
      <c r="L35" s="1741"/>
      <c r="M35" s="1861" t="str">
        <f ca="1">IF(BV34="","","Wählbare SF Magie: "&amp;BV34&amp;" ")&amp;
IF(BV35="","","Wählbare Verbilligte SF Magie: "&amp;BV35)</f>
        <v/>
      </c>
      <c r="N35" s="1862"/>
      <c r="O35" s="1862"/>
      <c r="P35" s="1862"/>
      <c r="Q35" s="1862"/>
      <c r="R35" s="1862"/>
      <c r="S35" s="1862"/>
      <c r="T35" s="1862"/>
      <c r="U35" s="1862"/>
      <c r="V35" s="1862"/>
      <c r="W35" s="1862"/>
      <c r="X35" s="1863"/>
      <c r="Y35" s="246">
        <f t="shared" ca="1" si="7"/>
        <v>0</v>
      </c>
      <c r="Z35" s="212">
        <f t="shared" ca="1" si="23"/>
        <v>0</v>
      </c>
      <c r="AA35" s="212">
        <f t="shared" ca="1" si="24"/>
        <v>0</v>
      </c>
      <c r="AB35" s="212">
        <f t="shared" ca="1" si="25"/>
        <v>0</v>
      </c>
      <c r="AC35" s="212">
        <f t="shared" ca="1" si="17"/>
        <v>2</v>
      </c>
      <c r="AD35" s="557" t="str">
        <f t="shared" ca="1" si="11"/>
        <v/>
      </c>
      <c r="AE35" s="549" t="str">
        <f t="shared" ca="1" si="12"/>
        <v/>
      </c>
      <c r="AF35" s="557">
        <f t="shared" si="18"/>
        <v>22</v>
      </c>
      <c r="AG35" s="557"/>
      <c r="AH35" s="550"/>
      <c r="AI35" s="212"/>
      <c r="AJ35" s="212"/>
      <c r="AK35" s="113"/>
      <c r="AL35" s="559">
        <f t="shared" ca="1" si="13"/>
        <v>0</v>
      </c>
      <c r="AM35" s="1135"/>
      <c r="AN35" s="1021" t="s">
        <v>4239</v>
      </c>
      <c r="AO35" s="1021"/>
      <c r="AP35" s="1021"/>
      <c r="AQ35" s="1021"/>
      <c r="AR35" s="1021"/>
      <c r="AS35" s="1021"/>
      <c r="AT35" s="1021"/>
      <c r="AU35" s="1021"/>
      <c r="AV35" s="1085"/>
      <c r="AW35" s="1085" t="str">
        <f ca="1">CONCATENATE(AX35,AY35,AZ35,IF(VT_BBILDUNG,BA34&amp;BA35,""))</f>
        <v>,,,,,,,,,,,,,,,,,,,,,,,,</v>
      </c>
      <c r="AX35" s="1085" t="str">
        <f>CONCATENATE(HLOOKUP(RASSEGENE,RASSE,IDX_VM,FALSE)&amp;",",HLOOKUP(RASSEGENE,RASSE,IDX_VM+1,FALSE)&amp;",",HLOOKUP(RASSEGENE,RASSE,IDX_VM+2,FALSE)&amp;",",HLOOKUP(RASSEGENE,RASSE,IDX_VM+3,FALSE)&amp;",",HLOOKUP(RASSEGENE,RASSE,IDX_VM+4,FALSE)&amp;",",HLOOKUP(RASSEGENE,RASSE,IDX_VM+5,FALSE)&amp;",",HLOOKUP(RASSEGENE,RASSE,IDX_VM+6,FALSE)&amp;",",HLOOKUP(RASSEGENE,RASSE,IDX_VM+7,FALSE)&amp;",")</f>
        <v>,,,,,,,,</v>
      </c>
      <c r="AY35" s="1085" t="str">
        <f>CONCATENATE(HLOOKUP(KULTURGENE,KULTUR,IDX_VM,FALSE)&amp;",",HLOOKUP(KULTURGENE,KULTUR,IDX_VM+1,FALSE)&amp;",",HLOOKUP(KULTURGENE,KULTUR,IDX_VM+2,FALSE)&amp;",",HLOOKUP(KULTURGENE,KULTUR,IDX_VM+3,FALSE)&amp;",",HLOOKUP(KULTURGENE,KULTUR,IDX_VM+4,FALSE)&amp;",",HLOOKUP(KULTURGENE,KULTUR,IDX_VM+5,FALSE)&amp;",",HLOOKUP(KULTURGENE,KULTUR,IDX_VM+6,FALSE)&amp;",",HLOOKUP(KULTURGENE,KULTUR,IDX_VM+7,FALSE)&amp;",")</f>
        <v>,,,,,,,,</v>
      </c>
      <c r="AZ35" s="1085" t="str">
        <f ca="1">CONCATENATE(HLOOKUP(PROFGENE,INDIRECT(PROFGEBIET),IDX_VM,FALSE)&amp;",",HLOOKUP(PROFGENE,INDIRECT(PROFGEBIET),IDX_VM+1,FALSE)&amp;",",HLOOKUP(PROFGENE,INDIRECT(PROFGEBIET),IDX_VM+2,FALSE)&amp;",",HLOOKUP(PROFGENE,INDIRECT(PROFGEBIET),IDX_VM+3,FALSE)&amp;",",HLOOKUP(PROFGENE,INDIRECT(PROFGEBIET),IDX_VM+4,FALSE)&amp;",",HLOOKUP(PROFGENE,INDIRECT(PROFGEBIET),IDX_VM+5,FALSE)&amp;",",HLOOKUP(PROFGENE,INDIRECT(PROFGEBIET),IDX_VM+6,FALSE)&amp;",",HLOOKUP(PROFGENE,INDIRECT(PROFGEBIET),IDX_VM+7,FALSE)&amp;",")</f>
        <v>,,,,,,,,</v>
      </c>
      <c r="BA35" s="1085" t="str">
        <f ca="1">IF(LEN(PROFZWEITE)&lt;1,"",CONCATENATE(HLOOKUP(PROFZWEITE,INDIRECT(PROFGEBIET2),IDX_VM,FALSE)&amp;",",HLOOKUP(PROFZWEITE,INDIRECT(PROFGEBIET2),IDX_VM+1,FALSE)&amp;",",HLOOKUP(PROFZWEITE,INDIRECT(PROFGEBIET2),IDX_VM+2,FALSE)&amp;",",HLOOKUP(PROFZWEITE,INDIRECT(PROFGEBIET2),IDX_VM+3,FALSE)&amp;",",HLOOKUP(PROFZWEITE,INDIRECT(PROFGEBIET2),IDX_VM+4,FALSE)&amp;",",HLOOKUP(PROFZWEITE,INDIRECT(PROFGEBIET2),IDX_VM+5,FALSE)&amp;",",HLOOKUP(PROFZWEITE,INDIRECT(PROFGEBIET2),IDX_VM+6,FALSE)&amp;",",HLOOKUP(PROFZWEITE,INDIRECT(PROFGEBIET2),IDX_VM+7,FALSE)&amp;","))</f>
        <v/>
      </c>
      <c r="BB35" s="1021"/>
      <c r="BC35" s="1021"/>
      <c r="BD35" s="1021"/>
      <c r="BE35" s="1021"/>
      <c r="BF35" s="1021"/>
      <c r="BG35" s="1021"/>
      <c r="BH35" s="1021"/>
      <c r="BI35" s="1021"/>
      <c r="BJ35" s="1021"/>
      <c r="BK35" s="1021"/>
      <c r="BL35" s="1021"/>
      <c r="BM35" s="1021"/>
      <c r="BN35" s="1021"/>
      <c r="BO35" s="1021"/>
      <c r="BP35" s="1021"/>
      <c r="BQ35" s="1021"/>
      <c r="BR35" s="1021"/>
      <c r="BS35" s="1021"/>
      <c r="BT35" s="1021"/>
      <c r="BU35" s="1021"/>
      <c r="BV35" s="1107" t="str">
        <f ca="1">HLOOKUP(RASSEGENE,RASSE,IDX_WVM,FALSE)&amp;
HLOOKUP(KULTURGENE,KULTUR,IDX_WVM,FALSE)&amp;
HLOOKUP(PROFGENE,INDIRECT(PROFGEBIET),IDX_WVM,FALSE)&amp;
IF(LEN(PROFZWEITE)&lt;1,"",HLOOKUP(PROFZWEITE,INDIRECT(PROFGEBIET2),IDX_WVM,FALSE))</f>
        <v/>
      </c>
    </row>
    <row r="36" spans="1:74" x14ac:dyDescent="0.2">
      <c r="A36" s="112" t="str">
        <f t="shared" si="0"/>
        <v>Schwinger</v>
      </c>
      <c r="B36" s="391" t="str">
        <f t="shared" ca="1" si="1"/>
        <v/>
      </c>
      <c r="C36" s="387" t="str">
        <f t="shared" ca="1" si="2"/>
        <v/>
      </c>
      <c r="D36" s="1127"/>
      <c r="E36" s="109" t="str">
        <f ca="1">IF(OR(AKTIV_WLOSGLADIATOR="X",AKTIV_WLOSHAMMER="X",AKTIV_WLOSHRURUZAT="X",AKTIV_WLOSMERC="X"),"X","")</f>
        <v/>
      </c>
      <c r="F36" s="384"/>
      <c r="G36" s="960"/>
      <c r="H36" s="960"/>
      <c r="I36" s="324"/>
      <c r="J36" s="1739" t="str">
        <f t="shared" ca="1" si="3"/>
        <v/>
      </c>
      <c r="K36" s="1740"/>
      <c r="L36" s="1741"/>
      <c r="M36" s="1864"/>
      <c r="N36" s="1865"/>
      <c r="O36" s="1865"/>
      <c r="P36" s="1865"/>
      <c r="Q36" s="1865"/>
      <c r="R36" s="1865"/>
      <c r="S36" s="1865"/>
      <c r="T36" s="1865"/>
      <c r="U36" s="1865"/>
      <c r="V36" s="1865"/>
      <c r="W36" s="1865"/>
      <c r="X36" s="1866"/>
      <c r="Y36" s="246">
        <f t="shared" ca="1" si="7"/>
        <v>0</v>
      </c>
      <c r="Z36" s="212">
        <f t="shared" ca="1" si="23"/>
        <v>0</v>
      </c>
      <c r="AA36" s="212">
        <f t="shared" ca="1" si="24"/>
        <v>0</v>
      </c>
      <c r="AB36" s="212">
        <f t="shared" ca="1" si="25"/>
        <v>0</v>
      </c>
      <c r="AC36" s="212">
        <f t="shared" ca="1" si="17"/>
        <v>2</v>
      </c>
      <c r="AD36" s="557" t="str">
        <f t="shared" ca="1" si="11"/>
        <v/>
      </c>
      <c r="AE36" s="549" t="str">
        <f t="shared" ca="1" si="12"/>
        <v/>
      </c>
      <c r="AF36" s="557">
        <f t="shared" si="18"/>
        <v>23</v>
      </c>
      <c r="AG36" s="557"/>
      <c r="AH36" s="550"/>
      <c r="AI36" s="212"/>
      <c r="AJ36" s="212"/>
      <c r="AK36" s="113"/>
      <c r="AL36" s="559">
        <f t="shared" ca="1" si="13"/>
        <v>0</v>
      </c>
      <c r="AM36" s="1135"/>
      <c r="AN36" s="1021"/>
      <c r="AO36" s="1021"/>
      <c r="AP36" s="1021"/>
      <c r="AQ36" s="1021"/>
      <c r="AR36" s="1021"/>
      <c r="AS36" s="1021"/>
      <c r="AT36" s="1021"/>
      <c r="AU36" s="1021"/>
      <c r="AV36" s="1021"/>
      <c r="AW36" s="1021"/>
      <c r="AX36" s="1021"/>
      <c r="AY36" s="1021"/>
      <c r="AZ36" s="1021"/>
      <c r="BA36" s="1021"/>
      <c r="BB36" s="1021"/>
      <c r="BC36" s="1021"/>
      <c r="BD36" s="1021"/>
      <c r="BE36" s="1021"/>
      <c r="BF36" s="1021"/>
      <c r="BG36" s="1021"/>
      <c r="BH36" s="1021"/>
      <c r="BI36" s="1021"/>
      <c r="BJ36" s="1021"/>
      <c r="BK36" s="1021"/>
      <c r="BL36" s="1021"/>
      <c r="BM36" s="1021"/>
      <c r="BN36" s="1021"/>
      <c r="BO36" s="1021"/>
      <c r="BP36" s="1021"/>
      <c r="BQ36" s="1021"/>
      <c r="BR36" s="1021"/>
      <c r="BS36" s="1021"/>
      <c r="BT36" s="1021"/>
      <c r="BU36" s="1021"/>
      <c r="BV36" s="1433"/>
    </row>
    <row r="37" spans="1:74" x14ac:dyDescent="0.2">
      <c r="A37" s="112" t="str">
        <f t="shared" si="0"/>
        <v>Schwitzkasten</v>
      </c>
      <c r="B37" s="391" t="str">
        <f t="shared" ca="1" si="1"/>
        <v/>
      </c>
      <c r="C37" s="387" t="str">
        <f t="shared" ca="1" si="2"/>
        <v/>
      </c>
      <c r="D37" s="1127"/>
      <c r="E37" s="109" t="str">
        <f ca="1">IF(OR(AKTIV_WLOSBORN="X",AKTIV_WLOSGLADIATOR="X",AKTIV_WLOSMERC="X",AKTIV_WLOSUNAU="X"),"X","")</f>
        <v/>
      </c>
      <c r="F37" s="384"/>
      <c r="G37" s="960"/>
      <c r="H37" s="960"/>
      <c r="I37" s="324"/>
      <c r="J37" s="1739" t="str">
        <f t="shared" ca="1" si="3"/>
        <v/>
      </c>
      <c r="K37" s="1740"/>
      <c r="L37" s="1741"/>
      <c r="M37" s="1012" t="str">
        <f t="shared" ref="M37:M69" si="26">INDEX(SF_MAGIE,$AU37)</f>
        <v>Astrale Meditation</v>
      </c>
      <c r="N37" s="391" t="str">
        <f t="shared" ref="N37:N69" ca="1" si="27">IF(NOT(ISERR(FIND(M37&amp;",",$AW$34,1))),"x",
IF(P37="X","x",""))</f>
        <v/>
      </c>
      <c r="O37" s="387" t="str">
        <f t="shared" ref="O37:O63" ca="1" si="28">IF(NOT(ISERR(FIND(M37&amp;",",$AW$35,1))),"x",
IF(P37="V","x",""))</f>
        <v/>
      </c>
      <c r="P37" s="1127"/>
      <c r="Q37" s="109"/>
      <c r="R37" s="384"/>
      <c r="S37" s="960"/>
      <c r="T37" s="960"/>
      <c r="U37" s="324"/>
      <c r="V37" s="1803" t="str">
        <f ca="1">IF(OR(NOT(ISBLANK($R37)),NOT(ISBLANK($S37)),NOT(ISBLANK($T37)),NOT(ISBLANK($U37))),IF(NOT(EXACT($N37,"")),"Diese SF hast Du schon!",IF(IN&lt;13,"IN min. 13",IF(AND(ISERR(FIND("Vollzauberer",Generierung!$M$8)),ISERR(FIND("Halbzauberer",Generierung!$M$8))),"nur Voll- o. Halbzauberer",""))),IF(AND(ZS_SE_VIEW,N37="",O37="",NOT(ISERR(FIND(M37,ZS_SF_ALLE,1)))),"SF verbilligt aus Studium",""))</f>
        <v/>
      </c>
      <c r="W37" s="1804"/>
      <c r="X37" s="1805"/>
      <c r="Y37" s="246">
        <f t="shared" ca="1" si="7"/>
        <v>0</v>
      </c>
      <c r="Z37" s="212">
        <f t="shared" ca="1" si="23"/>
        <v>0</v>
      </c>
      <c r="AA37" s="212">
        <f t="shared" ca="1" si="24"/>
        <v>0</v>
      </c>
      <c r="AB37" s="212">
        <f t="shared" ca="1" si="25"/>
        <v>0</v>
      </c>
      <c r="AC37" s="212">
        <f t="shared" ca="1" si="17"/>
        <v>2</v>
      </c>
      <c r="AD37" s="557" t="str">
        <f t="shared" ca="1" si="11"/>
        <v/>
      </c>
      <c r="AE37" s="549" t="str">
        <f t="shared" ca="1" si="12"/>
        <v/>
      </c>
      <c r="AF37" s="557">
        <f t="shared" si="18"/>
        <v>24</v>
      </c>
      <c r="AG37" s="557"/>
      <c r="AH37" s="550"/>
      <c r="AI37" s="212"/>
      <c r="AJ37" s="212"/>
      <c r="AK37" s="113"/>
      <c r="AL37" s="559">
        <f t="shared" ca="1" si="13"/>
        <v>0</v>
      </c>
      <c r="AM37" s="245">
        <f t="shared" ref="AM37:AM68" ca="1" si="29">IF((LEN($AW$34)-LEN(SUBSTITUTE($AW$34,$M37&amp;",","")))/LEN($M37&amp;",")&gt;1,VLOOKUP($M37,SF_MAGIEALLE,3,FALSE),0)+
IF(AND((LEN($AW$35)-LEN(SUBSTITUTE($AW$35,$M37&amp;",","")))/LEN($M37&amp;",")&gt;0,(LEN($AW$34)-LEN(SUBSTITUTE($AW$34,$M37&amp;",","")))/LEN($M37&amp;",")&gt;0),ROUND(VLOOKUP($M37,SF_MAGIEALLE,3,FALSE)*0.5,0),0)</f>
        <v>0</v>
      </c>
      <c r="AN37" s="554">
        <f t="shared" ref="AN37:AN44" ca="1" si="30">IF(AND(NOT(ISBLANK($R37)),EXACT($V37,""),EXACT($N37,"")),IF(EXACT($O37,""),VLOOKUP($M37,SF_MAGIEALLE,3,FALSE),ROUND(VLOOKUP($M37,SF_MAGIEALLE,3,FALSE)/$AR37,0)),0)</f>
        <v>0</v>
      </c>
      <c r="AO37" s="554">
        <f t="shared" ref="AO37:AO44" ca="1" si="31">IF(AND(NOT(ISBLANK($S37)),EXACT($N37,"")),IF(EXACT($O37,""),VLOOKUP($M37,SF_MAGIEALLE,2,FALSE),ROUND(VLOOKUP($M37,SF_MAGIEALLE,2,FALSE)/$AR37,0)),0)</f>
        <v>0</v>
      </c>
      <c r="AP37" s="554">
        <f t="shared" ref="AP37:AP44" ca="1" si="32">IF(AND(NOT(ISBLANK($T37)),EXACT($N37,"")),IF(EXACT($O37,""),VLOOKUP($M37,SF_MAGIEALLE,2,FALSE),ROUND(VLOOKUP($M37,SF_MAGIEALLE,2,FALSE)/$AR37,0)),0)</f>
        <v>0</v>
      </c>
      <c r="AQ37" s="554">
        <f t="shared" ref="AQ37:AQ44" ca="1" si="33">IF(AND(NOT(ISBLANK($U37)),EXACT($V37,""),EXACT($N37,"")),IF(EXACT($O37,""),VLOOKUP($M37,SF_MAGIEALLE,2,FALSE),ROUND(VLOOKUP($M37,SF_MAGIEALLE,2,FALSE)/$AR37,0)),0)</f>
        <v>0</v>
      </c>
      <c r="AR37" s="554">
        <f t="shared" ref="AR37:AR68" ca="1" si="34">IF((LEN($AW$35)-LEN(SUBSTITUTE($AW$35,$M37&amp;",","")))/LEN($M37&amp;",")&gt;1,4,2)</f>
        <v>2</v>
      </c>
      <c r="AS37" s="1430" t="str">
        <f t="shared" ref="AS37:AS69" ca="1" si="35">IF(AND(EXACT($N37,""),ISBLANK($R37),ISBLANK($S37),ISBLANK($T37),ISBLANK($U37)),"",IF(EXACT($V37,""),"X",""))</f>
        <v/>
      </c>
      <c r="AT37" s="1161" t="str">
        <f t="shared" ref="AT37:AT71" ca="1" si="36">IF(AND(EXACT($N37,""),ISBLANK($R37),ISBLANK($S37),ISBLANK($T37),ISBLANK($U37)),"",CONCATENATE($M37,", "))</f>
        <v/>
      </c>
      <c r="AU37" s="1161">
        <v>2</v>
      </c>
      <c r="AV37" s="1161"/>
      <c r="AW37" s="554"/>
      <c r="AX37" s="554"/>
      <c r="AY37" s="554"/>
      <c r="AZ37" s="554"/>
      <c r="BA37" s="554"/>
      <c r="BB37" s="554"/>
      <c r="BC37" s="555"/>
      <c r="BD37" s="555"/>
      <c r="BE37" s="555"/>
      <c r="BF37" s="555"/>
      <c r="BG37" s="555"/>
      <c r="BH37" s="555"/>
      <c r="BI37" s="555"/>
      <c r="BJ37" s="555"/>
      <c r="BK37" s="1431"/>
      <c r="BL37" s="1431"/>
      <c r="BM37" s="1431"/>
      <c r="BN37" s="1431"/>
      <c r="BO37" s="1431"/>
      <c r="BP37" s="1431"/>
      <c r="BQ37" s="1431"/>
      <c r="BR37" s="1431"/>
      <c r="BS37" s="1431"/>
      <c r="BT37" s="1431"/>
      <c r="BU37" s="1431"/>
      <c r="BV37" s="1432"/>
    </row>
    <row r="38" spans="1:74" x14ac:dyDescent="0.2">
      <c r="A38" s="112" t="str">
        <f t="shared" si="0"/>
        <v>Sprung</v>
      </c>
      <c r="B38" s="391" t="str">
        <f t="shared" ca="1" si="1"/>
        <v/>
      </c>
      <c r="C38" s="387" t="str">
        <f t="shared" ca="1" si="2"/>
        <v/>
      </c>
      <c r="D38" s="1127"/>
      <c r="E38" s="109" t="str">
        <f ca="1">IF(OR(AKTIV_WLOSGLADIATOR="X",AKTIV_WLOSHRURUZAT="X",AKTIV_WLOSMERC="X"),"X","")</f>
        <v/>
      </c>
      <c r="F38" s="384"/>
      <c r="G38" s="960"/>
      <c r="H38" s="960"/>
      <c r="I38" s="324"/>
      <c r="J38" s="1739" t="str">
        <f t="shared" ca="1" si="3"/>
        <v/>
      </c>
      <c r="K38" s="1740"/>
      <c r="L38" s="1741"/>
      <c r="M38" s="1012" t="str">
        <f t="shared" si="26"/>
        <v>Aura verhüllen</v>
      </c>
      <c r="N38" s="391" t="str">
        <f t="shared" ca="1" si="27"/>
        <v/>
      </c>
      <c r="O38" s="387" t="str">
        <f t="shared" ca="1" si="28"/>
        <v/>
      </c>
      <c r="P38" s="1127"/>
      <c r="Q38" s="109"/>
      <c r="R38" s="384"/>
      <c r="S38" s="960"/>
      <c r="T38" s="960"/>
      <c r="U38" s="324"/>
      <c r="V38" s="1739" t="str">
        <f ca="1">IF(OR(NOT(ISBLANK($R38)),NOT(ISBLANK($S38)),NOT(ISBLANK($T38)),NOT(ISBLANK($U38))),IF(NOT(EXACT($N38,"")),"Diese SF hast Du schon!",IF(MU&lt;13,"MU min. 13",IF(IN&lt;13,"IN min. 13",""))),IF(AND(ZS_SE_VIEW,N38="",O38="",NOT(ISERR(FIND(M38,ZS_SF_ALLE,1)))),"SF verbilligt aus Studium",""))</f>
        <v/>
      </c>
      <c r="W38" s="1740"/>
      <c r="X38" s="1741"/>
      <c r="Y38" s="246">
        <f t="shared" ca="1" si="7"/>
        <v>0</v>
      </c>
      <c r="Z38" s="212">
        <f t="shared" ca="1" si="23"/>
        <v>0</v>
      </c>
      <c r="AA38" s="212">
        <f t="shared" ca="1" si="24"/>
        <v>0</v>
      </c>
      <c r="AB38" s="212">
        <f t="shared" ca="1" si="25"/>
        <v>0</v>
      </c>
      <c r="AC38" s="212">
        <f t="shared" ca="1" si="17"/>
        <v>2</v>
      </c>
      <c r="AD38" s="557" t="str">
        <f t="shared" ca="1" si="11"/>
        <v/>
      </c>
      <c r="AE38" s="549" t="str">
        <f t="shared" ca="1" si="12"/>
        <v/>
      </c>
      <c r="AF38" s="557">
        <f t="shared" si="18"/>
        <v>25</v>
      </c>
      <c r="AG38" s="557"/>
      <c r="AH38" s="550"/>
      <c r="AI38" s="212"/>
      <c r="AJ38" s="212"/>
      <c r="AK38" s="113"/>
      <c r="AL38" s="559">
        <f t="shared" ca="1" si="13"/>
        <v>0</v>
      </c>
      <c r="AM38" s="246">
        <f t="shared" ca="1" si="29"/>
        <v>0</v>
      </c>
      <c r="AN38" s="212">
        <f t="shared" ca="1" si="30"/>
        <v>0</v>
      </c>
      <c r="AO38" s="212">
        <f t="shared" ca="1" si="31"/>
        <v>0</v>
      </c>
      <c r="AP38" s="212">
        <f t="shared" ca="1" si="32"/>
        <v>0</v>
      </c>
      <c r="AQ38" s="212">
        <f t="shared" ca="1" si="33"/>
        <v>0</v>
      </c>
      <c r="AR38" s="212">
        <f t="shared" ca="1" si="34"/>
        <v>2</v>
      </c>
      <c r="AS38" s="1020" t="str">
        <f t="shared" ca="1" si="35"/>
        <v/>
      </c>
      <c r="AT38" s="557" t="str">
        <f t="shared" ca="1" si="36"/>
        <v/>
      </c>
      <c r="AU38" s="557">
        <v>3</v>
      </c>
      <c r="AV38" s="557"/>
      <c r="AW38" s="212"/>
      <c r="AX38" s="212"/>
      <c r="AY38" s="212"/>
      <c r="AZ38" s="212"/>
      <c r="BA38" s="212"/>
      <c r="BB38" s="212"/>
      <c r="BC38" s="113"/>
      <c r="BD38" s="113"/>
      <c r="BE38" s="113"/>
      <c r="BF38" s="113"/>
      <c r="BG38" s="113"/>
      <c r="BH38" s="113"/>
      <c r="BI38" s="113"/>
      <c r="BJ38" s="113"/>
      <c r="BK38" s="190"/>
      <c r="BL38" s="190"/>
      <c r="BM38" s="190"/>
      <c r="BN38" s="190"/>
      <c r="BO38" s="190"/>
      <c r="BP38" s="190"/>
      <c r="BQ38" s="190"/>
      <c r="BR38" s="190"/>
      <c r="BS38" s="190"/>
      <c r="BT38" s="190"/>
      <c r="BU38" s="190"/>
      <c r="BV38" s="234"/>
    </row>
    <row r="39" spans="1:74" x14ac:dyDescent="0.2">
      <c r="A39" s="112" t="str">
        <f t="shared" si="0"/>
        <v>Sprungtritt</v>
      </c>
      <c r="B39" s="391" t="str">
        <f t="shared" ca="1" si="1"/>
        <v/>
      </c>
      <c r="C39" s="387" t="str">
        <f t="shared" ca="1" si="2"/>
        <v/>
      </c>
      <c r="D39" s="1127"/>
      <c r="E39" s="109" t="str">
        <f ca="1">IF(OR(AKTIV_WLOSGLADIATOR="X",AKTIV_WLOSHRURUZAT="X"),"X","")</f>
        <v/>
      </c>
      <c r="F39" s="384"/>
      <c r="G39" s="960"/>
      <c r="H39" s="960"/>
      <c r="I39" s="324"/>
      <c r="J39" s="1739" t="str">
        <f t="shared" ca="1" si="3"/>
        <v/>
      </c>
      <c r="K39" s="1740"/>
      <c r="L39" s="1741"/>
      <c r="M39" s="1012" t="str">
        <f t="shared" si="26"/>
        <v>Aurapanzer</v>
      </c>
      <c r="N39" s="391" t="str">
        <f t="shared" ca="1" si="27"/>
        <v/>
      </c>
      <c r="O39" s="387" t="str">
        <f t="shared" ca="1" si="28"/>
        <v/>
      </c>
      <c r="P39" s="1127"/>
      <c r="Q39" s="109"/>
      <c r="R39" s="384"/>
      <c r="S39" s="960"/>
      <c r="T39" s="960"/>
      <c r="U39" s="324"/>
      <c r="V39" s="1739" t="str">
        <f ca="1">IF(OR(NOT(ISBLANK($R39)),NOT(ISBLANK($S39)),NOT(ISBLANK($T39)),NOT(ISBLANK($U39))),IF(NOT(EXACT($N39,"")),"Diese SF hast Du schon!",IF(MU&lt;15,"MU min. 15",IF(OR(IN&lt;13,KL&lt;13,KO&lt;13),"KL, IN, KO je min. 13",IF(OR(EXACT(Generierung!$M$18,"Arkanophobie"),EXACT(Generierung!$M$18,"Astraler Block"),EXACT(Generierung!$M$18,"Jähzorn"),EXACT(Generierung!$M$18,"Niedrige Magieresitenz"),EXACT(Generierung!$M$18,"Schwacher Astralkörper"),EXACT(Generierung!$M$18,"Unstet"),EXACT(Generierung!$M$18,"Wilde Magie")),"Falsche Nacht. (MWW S.155)","")))),IF(AND(ZS_SE_VIEW,N39="",O39="",NOT(ISERR(FIND(M39,ZS_SF_ALLE,1)))),"SF verbilligt aus Studium",""))</f>
        <v/>
      </c>
      <c r="W39" s="1740"/>
      <c r="X39" s="1741"/>
      <c r="Y39" s="246">
        <f t="shared" ca="1" si="7"/>
        <v>0</v>
      </c>
      <c r="Z39" s="212">
        <f t="shared" ca="1" si="23"/>
        <v>0</v>
      </c>
      <c r="AA39" s="212">
        <f t="shared" ca="1" si="24"/>
        <v>0</v>
      </c>
      <c r="AB39" s="212">
        <f t="shared" ca="1" si="25"/>
        <v>0</v>
      </c>
      <c r="AC39" s="212">
        <f t="shared" ca="1" si="17"/>
        <v>2</v>
      </c>
      <c r="AD39" s="557" t="str">
        <f t="shared" ca="1" si="11"/>
        <v/>
      </c>
      <c r="AE39" s="549" t="str">
        <f t="shared" ca="1" si="12"/>
        <v/>
      </c>
      <c r="AF39" s="557">
        <f t="shared" si="18"/>
        <v>26</v>
      </c>
      <c r="AG39" s="557"/>
      <c r="AH39" s="550"/>
      <c r="AI39" s="212"/>
      <c r="AJ39" s="212"/>
      <c r="AK39" s="113"/>
      <c r="AL39" s="559">
        <f t="shared" ca="1" si="13"/>
        <v>0</v>
      </c>
      <c r="AM39" s="246">
        <f t="shared" ca="1" si="29"/>
        <v>0</v>
      </c>
      <c r="AN39" s="212">
        <f t="shared" ca="1" si="30"/>
        <v>0</v>
      </c>
      <c r="AO39" s="212">
        <f t="shared" ca="1" si="31"/>
        <v>0</v>
      </c>
      <c r="AP39" s="212">
        <f t="shared" ca="1" si="32"/>
        <v>0</v>
      </c>
      <c r="AQ39" s="212">
        <f t="shared" ca="1" si="33"/>
        <v>0</v>
      </c>
      <c r="AR39" s="212">
        <f t="shared" ca="1" si="34"/>
        <v>2</v>
      </c>
      <c r="AS39" s="1020" t="str">
        <f t="shared" ca="1" si="35"/>
        <v/>
      </c>
      <c r="AT39" s="557" t="str">
        <f t="shared" ca="1" si="36"/>
        <v/>
      </c>
      <c r="AU39" s="557">
        <v>4</v>
      </c>
      <c r="AV39" s="557"/>
      <c r="AW39" s="212"/>
      <c r="AX39" s="212"/>
      <c r="AY39" s="212"/>
      <c r="AZ39" s="212"/>
      <c r="BA39" s="212"/>
      <c r="BB39" s="212"/>
      <c r="BC39" s="113"/>
      <c r="BD39" s="113"/>
      <c r="BE39" s="113"/>
      <c r="BF39" s="113"/>
      <c r="BG39" s="113"/>
      <c r="BH39" s="113"/>
      <c r="BI39" s="113"/>
      <c r="BJ39" s="113"/>
      <c r="BK39" s="190"/>
      <c r="BL39" s="190"/>
      <c r="BM39" s="190"/>
      <c r="BN39" s="190"/>
      <c r="BO39" s="190"/>
      <c r="BP39" s="190"/>
      <c r="BQ39" s="190"/>
      <c r="BR39" s="190"/>
      <c r="BS39" s="190"/>
      <c r="BT39" s="190"/>
      <c r="BU39" s="190"/>
      <c r="BV39" s="234"/>
    </row>
    <row r="40" spans="1:74" x14ac:dyDescent="0.2">
      <c r="A40" s="112" t="str">
        <f t="shared" si="0"/>
        <v>Tritt</v>
      </c>
      <c r="B40" s="391" t="str">
        <f t="shared" ca="1" si="1"/>
        <v/>
      </c>
      <c r="C40" s="387" t="str">
        <f t="shared" ca="1" si="2"/>
        <v/>
      </c>
      <c r="D40" s="1127"/>
      <c r="E40" s="109" t="str">
        <f ca="1">IF(OR(AKTIV_WLOSBORN="X",AKTIV_WLOSHRURUZAT="X",AKTIV_WLOSGLADIATOR="X",AKTIV_WLOSMERC="X"),"X","")</f>
        <v/>
      </c>
      <c r="F40" s="384"/>
      <c r="G40" s="960"/>
      <c r="H40" s="960"/>
      <c r="I40" s="324"/>
      <c r="J40" s="1739" t="str">
        <f t="shared" ca="1" si="3"/>
        <v/>
      </c>
      <c r="K40" s="1740"/>
      <c r="L40" s="1741"/>
      <c r="M40" s="1012" t="str">
        <f t="shared" si="26"/>
        <v>Auxiliator</v>
      </c>
      <c r="N40" s="391" t="str">
        <f ca="1">IF(NOT(ISERR(FIND(M40&amp;",",$AW$34,1))),"x",
IF(P40="X","x",""))</f>
        <v/>
      </c>
      <c r="O40" s="387" t="str">
        <f ca="1">IF(NOT(ISERR(FIND(M40&amp;",",$AW$35,1))),"x",
IF(P40="V","x",""))</f>
        <v/>
      </c>
      <c r="P40" s="1127"/>
      <c r="Q40" s="109"/>
      <c r="R40" s="384"/>
      <c r="S40" s="960"/>
      <c r="T40" s="960"/>
      <c r="U40" s="324"/>
      <c r="V40" s="1739" t="str">
        <f ca="1">IF(OR(NOT(ISBLANK($R40)),NOT(ISBLANK($S40)),NOT(ISBLANK($T40)),NOT(ISBLANK($U40))),IF(NOT(EXACT($N40,"")),"Diese SF hast Du schon!",IF(Zauber!M175&lt;12,"Arcanovi min. 12",IF(Talente!$O$93&lt;16,"Magiekunde mind. 16",""))),IF(AND(ZS_SE_VIEW,N40="",O40="",NOT(ISERR(FIND(M40,ZS_SF_ALLE,1)))),"SF verbilligt aus Studium",""))</f>
        <v/>
      </c>
      <c r="W40" s="1740"/>
      <c r="X40" s="1741"/>
      <c r="Y40" s="246">
        <f t="shared" ca="1" si="7"/>
        <v>0</v>
      </c>
      <c r="Z40" s="212">
        <f t="shared" ca="1" si="23"/>
        <v>0</v>
      </c>
      <c r="AA40" s="212">
        <f t="shared" ca="1" si="24"/>
        <v>0</v>
      </c>
      <c r="AB40" s="212">
        <f t="shared" ca="1" si="25"/>
        <v>0</v>
      </c>
      <c r="AC40" s="212">
        <f t="shared" ca="1" si="17"/>
        <v>2</v>
      </c>
      <c r="AD40" s="557" t="str">
        <f t="shared" ca="1" si="11"/>
        <v/>
      </c>
      <c r="AE40" s="549" t="str">
        <f t="shared" ca="1" si="12"/>
        <v/>
      </c>
      <c r="AF40" s="557">
        <f t="shared" si="18"/>
        <v>27</v>
      </c>
      <c r="AG40" s="557"/>
      <c r="AH40" s="550"/>
      <c r="AI40" s="212"/>
      <c r="AJ40" s="212"/>
      <c r="AK40" s="113"/>
      <c r="AL40" s="559">
        <f t="shared" ca="1" si="13"/>
        <v>0</v>
      </c>
      <c r="AM40" s="246">
        <f t="shared" ca="1" si="29"/>
        <v>0</v>
      </c>
      <c r="AN40" s="212">
        <f t="shared" ca="1" si="30"/>
        <v>0</v>
      </c>
      <c r="AO40" s="212">
        <f t="shared" ca="1" si="31"/>
        <v>0</v>
      </c>
      <c r="AP40" s="212">
        <f t="shared" ca="1" si="32"/>
        <v>0</v>
      </c>
      <c r="AQ40" s="212">
        <f t="shared" ca="1" si="33"/>
        <v>0</v>
      </c>
      <c r="AR40" s="212">
        <f t="shared" ca="1" si="34"/>
        <v>2</v>
      </c>
      <c r="AS40" s="1020" t="str">
        <f t="shared" ca="1" si="35"/>
        <v/>
      </c>
      <c r="AT40" s="557" t="str">
        <f t="shared" ca="1" si="36"/>
        <v/>
      </c>
      <c r="AU40" s="557">
        <v>5</v>
      </c>
      <c r="AV40" s="557"/>
      <c r="AW40" s="212"/>
      <c r="AX40" s="212"/>
      <c r="AY40" s="212"/>
      <c r="AZ40" s="212"/>
      <c r="BA40" s="212"/>
      <c r="BB40" s="212"/>
      <c r="BC40" s="113"/>
      <c r="BD40" s="113"/>
      <c r="BE40" s="113"/>
      <c r="BF40" s="113"/>
      <c r="BG40" s="113"/>
      <c r="BH40" s="113"/>
      <c r="BI40" s="113"/>
      <c r="BJ40" s="113"/>
      <c r="BK40" s="190"/>
      <c r="BL40" s="190"/>
      <c r="BM40" s="190"/>
      <c r="BN40" s="190"/>
      <c r="BO40" s="190"/>
      <c r="BP40" s="190"/>
      <c r="BQ40" s="190"/>
      <c r="BR40" s="190"/>
      <c r="BS40" s="190"/>
      <c r="BT40" s="190"/>
      <c r="BU40" s="190"/>
      <c r="BV40" s="234"/>
    </row>
    <row r="41" spans="1:74" x14ac:dyDescent="0.2">
      <c r="A41" s="112" t="str">
        <f t="shared" si="0"/>
        <v>Versteckte Klinge</v>
      </c>
      <c r="B41" s="391" t="str">
        <f t="shared" ca="1" si="1"/>
        <v/>
      </c>
      <c r="C41" s="387" t="str">
        <f t="shared" ca="1" si="2"/>
        <v/>
      </c>
      <c r="D41" s="1127"/>
      <c r="E41" s="109" t="str">
        <f ca="1">IF(OR(AKTIV_WLOSMERC="X"),"X","")</f>
        <v/>
      </c>
      <c r="F41" s="384"/>
      <c r="G41" s="960"/>
      <c r="H41" s="960"/>
      <c r="I41" s="324"/>
      <c r="J41" s="1739" t="str">
        <f t="shared" ca="1" si="3"/>
        <v/>
      </c>
      <c r="K41" s="1740"/>
      <c r="L41" s="1741"/>
      <c r="M41" s="1012" t="str">
        <f t="shared" si="26"/>
        <v>Blutmagie</v>
      </c>
      <c r="N41" s="391" t="str">
        <f t="shared" ca="1" si="27"/>
        <v/>
      </c>
      <c r="O41" s="387" t="str">
        <f t="shared" ca="1" si="28"/>
        <v/>
      </c>
      <c r="P41" s="1127"/>
      <c r="Q41" s="109"/>
      <c r="R41" s="384"/>
      <c r="S41" s="960"/>
      <c r="T41" s="960"/>
      <c r="U41" s="324"/>
      <c r="V41" s="1739" t="str">
        <f ca="1">IF(OR(NOT(ISBLANK($R41)),NOT(ISBLANK($S41)),NOT(ISBLANK($T41)),NOT(ISBLANK($U41))),IF(NOT(EXACT($N41,"")),"Diese SF hast Du schon!",IF(MU&lt;12,"MU min. 12","")),IF(AND(ZS_SE_VIEW,N41="",O41="",NOT(ISERR(FIND(M41,ZS_SF_ALLE,1)))),"SF verbilligt aus Studium",""))</f>
        <v/>
      </c>
      <c r="W41" s="1740"/>
      <c r="X41" s="1741"/>
      <c r="Y41" s="246">
        <f t="shared" ca="1" si="7"/>
        <v>0</v>
      </c>
      <c r="Z41" s="212">
        <f t="shared" ca="1" si="23"/>
        <v>0</v>
      </c>
      <c r="AA41" s="212">
        <f t="shared" ca="1" si="24"/>
        <v>0</v>
      </c>
      <c r="AB41" s="212">
        <f t="shared" ca="1" si="25"/>
        <v>0</v>
      </c>
      <c r="AC41" s="212">
        <f t="shared" ca="1" si="17"/>
        <v>2</v>
      </c>
      <c r="AD41" s="557" t="str">
        <f t="shared" ca="1" si="11"/>
        <v/>
      </c>
      <c r="AE41" s="549" t="str">
        <f t="shared" ca="1" si="12"/>
        <v/>
      </c>
      <c r="AF41" s="557">
        <f t="shared" si="18"/>
        <v>28</v>
      </c>
      <c r="AG41" s="557"/>
      <c r="AH41" s="550"/>
      <c r="AI41" s="212"/>
      <c r="AJ41" s="212"/>
      <c r="AK41" s="113"/>
      <c r="AL41" s="559">
        <f t="shared" ca="1" si="13"/>
        <v>0</v>
      </c>
      <c r="AM41" s="246">
        <f t="shared" ca="1" si="29"/>
        <v>0</v>
      </c>
      <c r="AN41" s="212">
        <f t="shared" ca="1" si="30"/>
        <v>0</v>
      </c>
      <c r="AO41" s="212">
        <f t="shared" ca="1" si="31"/>
        <v>0</v>
      </c>
      <c r="AP41" s="212">
        <f t="shared" ca="1" si="32"/>
        <v>0</v>
      </c>
      <c r="AQ41" s="212">
        <f t="shared" ca="1" si="33"/>
        <v>0</v>
      </c>
      <c r="AR41" s="212">
        <f t="shared" ca="1" si="34"/>
        <v>2</v>
      </c>
      <c r="AS41" s="1020" t="str">
        <f t="shared" ca="1" si="35"/>
        <v/>
      </c>
      <c r="AT41" s="557" t="str">
        <f t="shared" ca="1" si="36"/>
        <v/>
      </c>
      <c r="AU41" s="557">
        <v>6</v>
      </c>
      <c r="AV41" s="557"/>
      <c r="AW41" s="212"/>
      <c r="AX41" s="212"/>
      <c r="AY41" s="212"/>
      <c r="AZ41" s="212"/>
      <c r="BA41" s="212"/>
      <c r="BB41" s="212"/>
      <c r="BC41" s="113"/>
      <c r="BD41" s="113"/>
      <c r="BE41" s="113"/>
      <c r="BF41" s="113"/>
      <c r="BG41" s="113"/>
      <c r="BH41" s="113"/>
      <c r="BI41" s="113"/>
      <c r="BJ41" s="113"/>
      <c r="BK41" s="190"/>
      <c r="BL41" s="190"/>
      <c r="BM41" s="190"/>
      <c r="BN41" s="190"/>
      <c r="BO41" s="190"/>
      <c r="BP41" s="190"/>
      <c r="BQ41" s="190"/>
      <c r="BR41" s="190"/>
      <c r="BS41" s="190"/>
      <c r="BT41" s="190"/>
      <c r="BU41" s="190"/>
      <c r="BV41" s="234"/>
    </row>
    <row r="42" spans="1:74" x14ac:dyDescent="0.2">
      <c r="A42" s="112" t="str">
        <f t="shared" si="0"/>
        <v>Würgegriff</v>
      </c>
      <c r="B42" s="391" t="str">
        <f t="shared" ca="1" si="1"/>
        <v/>
      </c>
      <c r="C42" s="387" t="str">
        <f t="shared" ca="1" si="2"/>
        <v/>
      </c>
      <c r="D42" s="1127"/>
      <c r="E42" s="109" t="str">
        <f ca="1">IF(OR(AKTIV_WLOSBORN="X"),"X","")</f>
        <v/>
      </c>
      <c r="F42" s="384"/>
      <c r="G42" s="960"/>
      <c r="H42" s="960"/>
      <c r="I42" s="324"/>
      <c r="J42" s="1739" t="str">
        <f t="shared" ca="1" si="3"/>
        <v/>
      </c>
      <c r="K42" s="1740"/>
      <c r="L42" s="1741"/>
      <c r="M42" s="1012" t="str">
        <f t="shared" si="26"/>
        <v>Chimärenmeister</v>
      </c>
      <c r="N42" s="391" t="str">
        <f t="shared" ca="1" si="27"/>
        <v/>
      </c>
      <c r="O42" s="387" t="str">
        <f t="shared" ca="1" si="28"/>
        <v/>
      </c>
      <c r="P42" s="1127"/>
      <c r="Q42" s="109"/>
      <c r="R42" s="384"/>
      <c r="S42" s="960"/>
      <c r="T42" s="960"/>
      <c r="U42" s="324"/>
      <c r="V42" s="1739" t="str">
        <f ca="1">IF(OR(NOT(ISBLANK($R42)),NOT(ISBLANK($S42)),NOT(ISBLANK($T42)),NOT(ISBLANK($U42))),IF(NOT(EXACT($N42,"")),"Diese SF hast Du schon!",IF(MU&lt;15,"MU min. 15",IF(Talente!$O$93&lt;11,"Magiekunde mind. 11",""))),IF(AND(ZS_SE_VIEW,N42="",O42="",NOT(ISERR(FIND(M42,ZS_SF_ALLE,1)))),"SF verbilligt aus Studium",""))</f>
        <v/>
      </c>
      <c r="W42" s="1740"/>
      <c r="X42" s="1741"/>
      <c r="Y42" s="246">
        <f t="shared" ca="1" si="7"/>
        <v>0</v>
      </c>
      <c r="Z42" s="212">
        <f t="shared" ca="1" si="23"/>
        <v>0</v>
      </c>
      <c r="AA42" s="212">
        <f t="shared" ca="1" si="24"/>
        <v>0</v>
      </c>
      <c r="AB42" s="212">
        <f t="shared" ca="1" si="25"/>
        <v>0</v>
      </c>
      <c r="AC42" s="212">
        <f t="shared" ca="1" si="17"/>
        <v>2</v>
      </c>
      <c r="AD42" s="557" t="str">
        <f t="shared" ca="1" si="11"/>
        <v/>
      </c>
      <c r="AE42" s="549" t="str">
        <f t="shared" ca="1" si="12"/>
        <v/>
      </c>
      <c r="AF42" s="557">
        <f t="shared" si="18"/>
        <v>29</v>
      </c>
      <c r="AG42" s="557"/>
      <c r="AH42" s="550"/>
      <c r="AI42" s="212"/>
      <c r="AJ42" s="212"/>
      <c r="AK42" s="113"/>
      <c r="AL42" s="559">
        <f t="shared" ca="1" si="13"/>
        <v>0</v>
      </c>
      <c r="AM42" s="246">
        <f t="shared" ca="1" si="29"/>
        <v>0</v>
      </c>
      <c r="AN42" s="212">
        <f t="shared" ca="1" si="30"/>
        <v>0</v>
      </c>
      <c r="AO42" s="212">
        <f t="shared" ca="1" si="31"/>
        <v>0</v>
      </c>
      <c r="AP42" s="212">
        <f t="shared" ca="1" si="32"/>
        <v>0</v>
      </c>
      <c r="AQ42" s="212">
        <f t="shared" ca="1" si="33"/>
        <v>0</v>
      </c>
      <c r="AR42" s="212">
        <f t="shared" ca="1" si="34"/>
        <v>2</v>
      </c>
      <c r="AS42" s="1020" t="str">
        <f t="shared" ca="1" si="35"/>
        <v/>
      </c>
      <c r="AT42" s="557" t="str">
        <f t="shared" ca="1" si="36"/>
        <v/>
      </c>
      <c r="AU42" s="557">
        <v>7</v>
      </c>
      <c r="AV42" s="557"/>
      <c r="AW42" s="212"/>
      <c r="AX42" s="212"/>
      <c r="AY42" s="212"/>
      <c r="AZ42" s="212"/>
      <c r="BA42" s="212"/>
      <c r="BB42" s="212"/>
      <c r="BC42" s="113"/>
      <c r="BD42" s="113"/>
      <c r="BE42" s="113"/>
      <c r="BF42" s="113"/>
      <c r="BG42" s="113"/>
      <c r="BH42" s="113"/>
      <c r="BI42" s="113"/>
      <c r="BJ42" s="113"/>
      <c r="BK42" s="190"/>
      <c r="BL42" s="190"/>
      <c r="BM42" s="190"/>
      <c r="BN42" s="190"/>
      <c r="BO42" s="190"/>
      <c r="BP42" s="190"/>
      <c r="BQ42" s="190"/>
      <c r="BR42" s="190"/>
      <c r="BS42" s="190"/>
      <c r="BT42" s="190"/>
      <c r="BU42" s="190"/>
      <c r="BV42" s="234"/>
    </row>
    <row r="43" spans="1:74" x14ac:dyDescent="0.2">
      <c r="A43" s="112" t="str">
        <f t="shared" si="0"/>
        <v>Wurf</v>
      </c>
      <c r="B43" s="391" t="str">
        <f t="shared" ca="1" si="1"/>
        <v/>
      </c>
      <c r="C43" s="387" t="str">
        <f t="shared" ca="1" si="2"/>
        <v/>
      </c>
      <c r="D43" s="1127"/>
      <c r="E43" s="109" t="str">
        <f ca="1">IF(OR(AKTIV_WLOSBORN="X",AKTIV_WLOSGLADIATOR="X",AKTIV_WLOSHRURUZAT="X",AKTIV_WLOSMERC="X",AKTIV_WLOSUNAU="X"),"X","")</f>
        <v/>
      </c>
      <c r="F43" s="384"/>
      <c r="G43" s="960"/>
      <c r="H43" s="960"/>
      <c r="I43" s="324"/>
      <c r="J43" s="1739" t="str">
        <f t="shared" ca="1" si="3"/>
        <v/>
      </c>
      <c r="K43" s="1740"/>
      <c r="L43" s="1741"/>
      <c r="M43" s="1012" t="str">
        <f t="shared" si="26"/>
        <v>Dämonenbindung I</v>
      </c>
      <c r="N43" s="391" t="str">
        <f t="shared" ca="1" si="27"/>
        <v/>
      </c>
      <c r="O43" s="387" t="str">
        <f t="shared" ca="1" si="28"/>
        <v/>
      </c>
      <c r="P43" s="1127"/>
      <c r="Q43" s="109"/>
      <c r="R43" s="384"/>
      <c r="S43" s="960"/>
      <c r="T43" s="960"/>
      <c r="U43" s="324"/>
      <c r="V43" s="1739" t="str">
        <f ca="1">IF(OR(NOT(ISBLANK($R43)),NOT(ISBLANK($S43)),NOT(ISBLANK($T43)),NOT(ISBLANK($U43))),IF(NOT(EXACT($N43,"")),"Diese SF hast Du schon!",IF(SUM(Talente!B93,Talente!G93,Talente!I93)&lt;11, "TaW Magiekunde muss &gt; 10 sein!","")),"")&amp;IF(AND(ZS_SE_VIEW,N43="",O43="",NOT(ISERR(FIND(M43,ZS_SF_ALLE,1)))),"SF verbilligt aus Studium","")</f>
        <v/>
      </c>
      <c r="W43" s="1740"/>
      <c r="X43" s="1741"/>
      <c r="Y43" s="246">
        <f t="shared" ca="1" si="7"/>
        <v>0</v>
      </c>
      <c r="Z43" s="212">
        <f t="shared" ca="1" si="23"/>
        <v>0</v>
      </c>
      <c r="AA43" s="212">
        <f t="shared" ca="1" si="24"/>
        <v>0</v>
      </c>
      <c r="AB43" s="212">
        <f t="shared" ca="1" si="25"/>
        <v>0</v>
      </c>
      <c r="AC43" s="212">
        <f t="shared" ca="1" si="17"/>
        <v>2</v>
      </c>
      <c r="AD43" s="557" t="str">
        <f t="shared" ca="1" si="11"/>
        <v/>
      </c>
      <c r="AE43" s="549" t="str">
        <f t="shared" ca="1" si="12"/>
        <v/>
      </c>
      <c r="AF43" s="557">
        <f t="shared" si="18"/>
        <v>30</v>
      </c>
      <c r="AG43" s="557"/>
      <c r="AH43" s="550"/>
      <c r="AI43" s="212"/>
      <c r="AJ43" s="212"/>
      <c r="AK43" s="113"/>
      <c r="AL43" s="559">
        <f t="shared" ca="1" si="13"/>
        <v>0</v>
      </c>
      <c r="AM43" s="246">
        <f t="shared" ca="1" si="29"/>
        <v>0</v>
      </c>
      <c r="AN43" s="212">
        <f t="shared" ca="1" si="30"/>
        <v>0</v>
      </c>
      <c r="AO43" s="212">
        <f t="shared" ca="1" si="31"/>
        <v>0</v>
      </c>
      <c r="AP43" s="212">
        <f t="shared" ca="1" si="32"/>
        <v>0</v>
      </c>
      <c r="AQ43" s="212">
        <f t="shared" ca="1" si="33"/>
        <v>0</v>
      </c>
      <c r="AR43" s="212">
        <f t="shared" ca="1" si="34"/>
        <v>2</v>
      </c>
      <c r="AS43" s="1020" t="str">
        <f t="shared" ca="1" si="35"/>
        <v/>
      </c>
      <c r="AT43" s="557" t="str">
        <f t="shared" ca="1" si="36"/>
        <v/>
      </c>
      <c r="AU43" s="557">
        <v>8</v>
      </c>
      <c r="AV43" s="557"/>
      <c r="AW43" s="212"/>
      <c r="AX43" s="212"/>
      <c r="AY43" s="212"/>
      <c r="AZ43" s="212"/>
      <c r="BA43" s="212"/>
      <c r="BB43" s="18"/>
      <c r="BC43" s="18"/>
      <c r="BD43" s="18"/>
      <c r="BE43" s="18"/>
      <c r="BF43" s="18"/>
      <c r="BG43" s="18"/>
      <c r="BH43" s="18"/>
      <c r="BI43" s="18"/>
      <c r="BJ43" s="18"/>
      <c r="BK43" s="18"/>
      <c r="BL43" s="18"/>
      <c r="BM43" s="18"/>
      <c r="BN43" s="18"/>
      <c r="BO43" s="18"/>
      <c r="BP43" s="18"/>
      <c r="BQ43" s="18"/>
      <c r="BR43" s="18"/>
      <c r="BS43" s="18"/>
      <c r="BT43" s="18"/>
      <c r="BU43" s="18"/>
      <c r="BV43" s="234"/>
    </row>
    <row r="44" spans="1:74" x14ac:dyDescent="0.2">
      <c r="A44" s="112" t="str">
        <f t="shared" si="0"/>
        <v>Waffenlos Bornländisch</v>
      </c>
      <c r="B44" s="391" t="str">
        <f t="shared" ca="1" si="1"/>
        <v/>
      </c>
      <c r="C44" s="387" t="str">
        <f t="shared" ca="1" si="2"/>
        <v/>
      </c>
      <c r="D44" s="1127"/>
      <c r="E44" s="109"/>
      <c r="F44" s="384"/>
      <c r="G44" s="960"/>
      <c r="H44" s="960"/>
      <c r="I44" s="324"/>
      <c r="J44" s="1739" t="str">
        <f ca="1">IF(AND(NOT(ISBLANK($F44)),NOT(ISBLANK($G44)),NOT(ISBLANK($I44))),"Was denn nun? GP oder AP?",IF(OR(NOT(ISBLANK($F44)),NOT(ISBLANK($G44)),NOT(ISBLANK($I44))),IF(NOT(EXACT($B44,"")),"Diese SF hast Du schon!",IF(OR(SUM(Talente!$B$28,Talente!$G$28,Talente!$I$28)&lt;5,SUM(Talente!$B$29,Talente!$G$29,Talente!$I$29)&lt;5),"Raufen &amp; Ringen min. 5","")),IF(AND(ZS_SE_VIEW,B44="",C44="",NOT(ISERR(FIND(A44,ZS_SF_ALLE,1)))),"SF verbilligt aus Studium","")))</f>
        <v/>
      </c>
      <c r="K44" s="1740"/>
      <c r="L44" s="1741"/>
      <c r="M44" s="1012" t="str">
        <f t="shared" si="26"/>
        <v>Dämonenbindung II</v>
      </c>
      <c r="N44" s="391" t="str">
        <f t="shared" ca="1" si="27"/>
        <v/>
      </c>
      <c r="O44" s="387" t="str">
        <f t="shared" ca="1" si="28"/>
        <v/>
      </c>
      <c r="P44" s="1127"/>
      <c r="Q44" s="109"/>
      <c r="R44" s="384"/>
      <c r="S44" s="960"/>
      <c r="T44" s="960"/>
      <c r="U44" s="324"/>
      <c r="V44" s="1739" t="str">
        <f ca="1">IF(OR(NOT(ISBLANK($R44)),NOT(ISBLANK($S44)),NOT(ISBLANK($T44)),NOT(ISBLANK($U44))),IF(NOT(EXACT($N44,"")),"Diese SF hast Du schon!",IF(SUM(Talente!$B$93,Talente!$G$93,Talente!$I$93)&lt;11, "TaW Magiekunde muss &gt; 10 sein!",IF(AND(EXACT($N$43,""),ISBLANK($R$43),ISBLANK($S$43),ISBLANK($T$43),ISBLANK($U$43)),"SF Däm-Bind. I nötig",""))),"")&amp;IF(AND(ZS_SE_VIEW,N44="",O44="",NOT(ISERR(FIND(M44,ZS_SF_ALLE,1)))),"SF verbilligt aus Studium","")</f>
        <v/>
      </c>
      <c r="W44" s="1740"/>
      <c r="X44" s="1741"/>
      <c r="Y44" s="246">
        <f t="shared" ca="1" si="7"/>
        <v>0</v>
      </c>
      <c r="Z44" s="212">
        <f t="shared" ca="1" si="23"/>
        <v>0</v>
      </c>
      <c r="AA44" s="212">
        <f t="shared" ca="1" si="24"/>
        <v>0</v>
      </c>
      <c r="AB44" s="212">
        <f t="shared" ca="1" si="25"/>
        <v>0</v>
      </c>
      <c r="AC44" s="212">
        <f t="shared" ca="1" si="17"/>
        <v>2</v>
      </c>
      <c r="AD44" s="717" t="str">
        <f t="shared" ref="AD44:AD49" ca="1" si="37">IF(AND(EXACT($B44,""),ISBLANK($G44),ISBLANK($H44),ISBLANK($I44),ISBLANK($F44)),"",CONCATENATE($A44,", "))</f>
        <v/>
      </c>
      <c r="AE44" s="549" t="str">
        <f t="shared" ca="1" si="12"/>
        <v/>
      </c>
      <c r="AF44" s="557">
        <f t="shared" si="18"/>
        <v>31</v>
      </c>
      <c r="AG44" s="557"/>
      <c r="AH44" s="550"/>
      <c r="AI44" s="212"/>
      <c r="AJ44" s="212"/>
      <c r="AK44" s="113"/>
      <c r="AL44" s="559">
        <f t="shared" ca="1" si="13"/>
        <v>0</v>
      </c>
      <c r="AM44" s="246">
        <f t="shared" ca="1" si="29"/>
        <v>0</v>
      </c>
      <c r="AN44" s="212">
        <f t="shared" ca="1" si="30"/>
        <v>0</v>
      </c>
      <c r="AO44" s="212">
        <f t="shared" ca="1" si="31"/>
        <v>0</v>
      </c>
      <c r="AP44" s="212">
        <f t="shared" ca="1" si="32"/>
        <v>0</v>
      </c>
      <c r="AQ44" s="212">
        <f t="shared" ca="1" si="33"/>
        <v>0</v>
      </c>
      <c r="AR44" s="212">
        <f t="shared" ca="1" si="34"/>
        <v>2</v>
      </c>
      <c r="AS44" s="1020" t="str">
        <f t="shared" ca="1" si="35"/>
        <v/>
      </c>
      <c r="AT44" s="557" t="str">
        <f t="shared" ca="1" si="36"/>
        <v/>
      </c>
      <c r="AU44" s="557">
        <v>9</v>
      </c>
      <c r="AV44" s="557"/>
      <c r="AW44" s="212"/>
      <c r="AX44" s="212"/>
      <c r="AY44" s="212"/>
      <c r="AZ44" s="212"/>
      <c r="BA44" s="212"/>
      <c r="BB44" s="18"/>
      <c r="BC44" s="18"/>
      <c r="BD44" s="18"/>
      <c r="BE44" s="18"/>
      <c r="BF44" s="18"/>
      <c r="BG44" s="18"/>
      <c r="BH44" s="18"/>
      <c r="BI44" s="18"/>
      <c r="BJ44" s="18"/>
      <c r="BK44" s="18"/>
      <c r="BL44" s="18"/>
      <c r="BM44" s="18"/>
      <c r="BN44" s="18"/>
      <c r="BO44" s="18"/>
      <c r="BP44" s="18"/>
      <c r="BQ44" s="18"/>
      <c r="BR44" s="18"/>
      <c r="BS44" s="18"/>
      <c r="BT44" s="18"/>
      <c r="BU44" s="18"/>
      <c r="BV44" s="234"/>
    </row>
    <row r="45" spans="1:74" x14ac:dyDescent="0.2">
      <c r="A45" s="112" t="str">
        <f t="shared" si="0"/>
        <v>Waffenlos Gladiatorenstil</v>
      </c>
      <c r="B45" s="391" t="str">
        <f t="shared" ca="1" si="1"/>
        <v/>
      </c>
      <c r="C45" s="387" t="str">
        <f t="shared" ca="1" si="2"/>
        <v/>
      </c>
      <c r="D45" s="1127"/>
      <c r="E45" s="1308" t="s">
        <v>1528</v>
      </c>
      <c r="F45" s="384"/>
      <c r="G45" s="960"/>
      <c r="H45" s="960"/>
      <c r="I45" s="324"/>
      <c r="J45" s="1739" t="str">
        <f ca="1">IF(AND(NOT(ISBLANK($F45)),NOT(ISBLANK($G45)),NOT(ISBLANK($H45)),NOT(ISBLANK($I45))),"Was denn nun? GP oder AP?",IF(OR(NOT(ISBLANK($F45)),NOT(ISBLANK($G45)),NOT(ISBLANK($H45)),NOT(ISBLANK($I45))),IF(NOT(EXACT($B45,"")),"Diese SF hast Du schon!",IF(OR(SUM(Talente!$B$28,Talente!$G$28,Talente!$I$28)&lt;7,SUM(Talente!$B$29,Talente!$G$29,Talente!$I$29)&lt;7),"Raufen und Ringen min. 7","")),IF(AND(ZS_SE_VIEW,B45="",C45="",NOT(ISERR(FIND(A45,ZS_SF_ALLE,1)))),"SF verbilligt aus Studium","")))</f>
        <v/>
      </c>
      <c r="K45" s="1740"/>
      <c r="L45" s="1741"/>
      <c r="M45" s="1012" t="str">
        <f t="shared" si="26"/>
        <v>Druidenrache</v>
      </c>
      <c r="N45" s="391" t="str">
        <f t="shared" ca="1" si="27"/>
        <v/>
      </c>
      <c r="O45" s="387" t="str">
        <f t="shared" ca="1" si="28"/>
        <v/>
      </c>
      <c r="P45" s="1127"/>
      <c r="Q45" s="109"/>
      <c r="R45" s="384"/>
      <c r="S45" s="960"/>
      <c r="T45" s="960"/>
      <c r="U45" s="324"/>
      <c r="V45" s="1739" t="str">
        <f ca="1">IF(OR(NOT(ISBLANK($R45)),NOT(ISBLANK($S45)),NOT(ISBLANK($T45)),NOT(ISBLANK($U45))),IF(NOT(EXACT($N45,"")),"Diese SF hast Du schon!",IF(MU&lt;15,"MU min. 15","")),IF(AND(ZS_SE_VIEW,N45="",O45="",NOT(ISERR(FIND(M45,ZS_SF_ALLE,1)))),"SF verbilligt aus Studium",""))</f>
        <v/>
      </c>
      <c r="W45" s="1740"/>
      <c r="X45" s="1741"/>
      <c r="Y45" s="246">
        <f t="shared" ca="1" si="7"/>
        <v>0</v>
      </c>
      <c r="Z45" s="212">
        <f t="shared" ca="1" si="23"/>
        <v>0</v>
      </c>
      <c r="AA45" s="212">
        <f t="shared" ca="1" si="24"/>
        <v>0</v>
      </c>
      <c r="AB45" s="212">
        <f t="shared" ca="1" si="25"/>
        <v>0</v>
      </c>
      <c r="AC45" s="212">
        <f t="shared" ca="1" si="17"/>
        <v>2</v>
      </c>
      <c r="AD45" s="717" t="str">
        <f t="shared" ca="1" si="37"/>
        <v/>
      </c>
      <c r="AE45" s="718" t="str">
        <f ca="1">IF(AND(EXACT($B45,""),ISBLANK($I45),ISBLANK($H45),ISBLANK($G45),ISBLANK($F45)),"",IF(EXACT($J45,""),"X",""))</f>
        <v/>
      </c>
      <c r="AF45" s="557">
        <f t="shared" si="18"/>
        <v>32</v>
      </c>
      <c r="AG45" s="557"/>
      <c r="AH45" s="550"/>
      <c r="AI45" s="212"/>
      <c r="AJ45" s="212"/>
      <c r="AK45" s="113"/>
      <c r="AL45" s="559">
        <f t="shared" ca="1" si="13"/>
        <v>0</v>
      </c>
      <c r="AM45" s="246">
        <f t="shared" ca="1" si="29"/>
        <v>0</v>
      </c>
      <c r="AN45" s="717">
        <f ca="1">IF(AND(NOT(ISBLANK($R45)),EXACT($V45,""),EXACT($N45,"")),IF(EXACT($O45,""),ROUND(VLOOKUP($M45,SF_MAGIEALLE,3,FALSE)/IF(NOT(OR(EXACT($N$91,""),ISBLANK($R$91),ISBLANK($S$91),ISBLANK($T$91),ISBLANK($U$91))),2,1),0),ROUND(VLOOKUP($M45,SF_MAGIEALLE,3,FALSE)/IF(NOT(OR(EXACT($N$91,""),ISBLANK($R$91),ISBLANK($S$91),ISBLANK($T$91),ISBLANK($U$91))),2*$AR45,$AR45),0)),0)</f>
        <v>0</v>
      </c>
      <c r="AO45" s="717">
        <f ca="1">IF(AND(NOT(ISBLANK($S45)),EXACT($N45,"")),IF(EXACT($O45,""),ROUND(VLOOKUP($M45,SF_MAGIEALLE,2,FALSE)/IF(NOT(OR(EXACT($N$91,""),ISBLANK($R$91),ISBLANK($S$91),ISBLANK($T$91),ISBLANK($U$91))),2,1),0),ROUND(VLOOKUP($M45,SF_MAGIEALLE,2,FALSE)/IF(NOT(OR(EXACT($N$91,""),ISBLANK($R$91),ISBLANK($S$91),ISBLANK($T$91),ISBLANK($U$91))),2*$AR45,$AR45),0)),0)</f>
        <v>0</v>
      </c>
      <c r="AP45" s="717">
        <f ca="1">IF(AND(NOT(ISBLANK($T45)),EXACT($N45,"")),IF(EXACT($O45,""),ROUND(VLOOKUP($M45,SF_MAGIEALLE,2,FALSE)/IF(NOT(OR(EXACT($N$91,""),ISBLANK($R$91),ISBLANK($S$91),ISBLANK($T$91),ISBLANK($U$91))),2,1),0),ROUND(VLOOKUP($M45,SF_MAGIEALLE,2,FALSE)/IF(NOT(OR(EXACT($N$91,""),ISBLANK($R$91),ISBLANK($S$91),ISBLANK($T$91),ISBLANK($U$91))),2*$AR45,$AR45),0)),0)</f>
        <v>0</v>
      </c>
      <c r="AQ45" s="717">
        <f ca="1">IF(AND(NOT(ISBLANK($U45)),EXACT($V45,""),EXACT($N45,"")),IF(EXACT($O45,""),ROUND(VLOOKUP($M45,SF_MAGIEALLE,2,FALSE)/IF(NOT(OR(EXACT($N$91,""),ISBLANK($R$91),ISBLANK($S$91),ISBLANK($T$91),ISBLANK($U$91))),2,1),0),ROUND(VLOOKUP($M45,SF_MAGIEALLE,2,FALSE)/IF(NOT(OR(EXACT($N$91,""),ISBLANK($R$91),ISBLANK($S$91),ISBLANK($T$91),ISBLANK($U$91))),2*$AR45,$AR45),0)),0)</f>
        <v>0</v>
      </c>
      <c r="AR45" s="212">
        <f t="shared" ca="1" si="34"/>
        <v>2</v>
      </c>
      <c r="AS45" s="1020" t="str">
        <f t="shared" ca="1" si="35"/>
        <v/>
      </c>
      <c r="AT45" s="557" t="str">
        <f t="shared" ca="1" si="36"/>
        <v/>
      </c>
      <c r="AU45" s="557">
        <v>10</v>
      </c>
      <c r="AV45" s="557"/>
      <c r="AW45" s="212"/>
      <c r="AX45" s="212"/>
      <c r="AY45" s="212"/>
      <c r="AZ45" s="212"/>
      <c r="BA45" s="212"/>
      <c r="BB45" s="212"/>
      <c r="BC45" s="113"/>
      <c r="BD45" s="113"/>
      <c r="BE45" s="113"/>
      <c r="BF45" s="113"/>
      <c r="BG45" s="113"/>
      <c r="BH45" s="113"/>
      <c r="BI45" s="113"/>
      <c r="BJ45" s="113"/>
      <c r="BK45" s="190"/>
      <c r="BL45" s="190"/>
      <c r="BM45" s="190"/>
      <c r="BN45" s="190"/>
      <c r="BO45" s="190"/>
      <c r="BP45" s="190"/>
      <c r="BQ45" s="190"/>
      <c r="BR45" s="190"/>
      <c r="BS45" s="190"/>
      <c r="BT45" s="190"/>
      <c r="BU45" s="190"/>
      <c r="BV45" s="234"/>
    </row>
    <row r="46" spans="1:74" x14ac:dyDescent="0.2">
      <c r="A46" s="112" t="str">
        <f t="shared" si="0"/>
        <v>Waffenlos Hammerfaust</v>
      </c>
      <c r="B46" s="391" t="str">
        <f t="shared" ca="1" si="1"/>
        <v/>
      </c>
      <c r="C46" s="387" t="str">
        <f t="shared" ca="1" si="2"/>
        <v/>
      </c>
      <c r="D46" s="1127"/>
      <c r="E46" s="109"/>
      <c r="F46" s="384"/>
      <c r="G46" s="960"/>
      <c r="H46" s="960"/>
      <c r="I46" s="324"/>
      <c r="J46" s="1739" t="str">
        <f ca="1">IF(AND(NOT(ISBLANK($F46)),NOT(ISBLANK($G46)),NOT(ISBLANK($H46)),NOT(ISBLANK($I46))),"Was denn nun? GP oder AP?",IF(OR(NOT(ISBLANK($F46)),NOT(ISBLANK($G46)),NOT(ISBLANK($H46)),NOT(ISBLANK($I46))),IF(NOT(EXACT($B46,"")),"Diese SF hast Du schon!",IF(SUM(Talente!$B$28,Talente!$G$28,Talente!$I$28)&lt;7,"TaW Raufen min. 7","")),IF(AND(ZS_SE_VIEW,B46="",C46="",NOT(ISERR(FIND(A46,ZS_SF_ALLE,1)))),"SF verbilligt aus Studium","")))</f>
        <v/>
      </c>
      <c r="K46" s="1740"/>
      <c r="L46" s="1741"/>
      <c r="M46" s="1012" t="str">
        <f t="shared" si="26"/>
        <v>Eiserner Wille I</v>
      </c>
      <c r="N46" s="391" t="str">
        <f t="shared" ca="1" si="27"/>
        <v/>
      </c>
      <c r="O46" s="387" t="str">
        <f t="shared" ca="1" si="28"/>
        <v/>
      </c>
      <c r="P46" s="1127"/>
      <c r="Q46" s="109"/>
      <c r="R46" s="384"/>
      <c r="S46" s="960"/>
      <c r="T46" s="960"/>
      <c r="U46" s="324"/>
      <c r="V46" s="1739" t="str">
        <f ca="1">IF(OR(NOT(ISBLANK($R46)),NOT(ISBLANK($S46)),NOT(ISBLANK($T46)),NOT(ISBLANK($U46))),IF(NOT(EXACT($N46,"")),"Diese SF hast Du schon!",IF(MU&lt;13,"MU min. 13",IF(IN&lt;12,"IN min. 12",IF(AND(ISERR(FIND("Jähzorn",NACHTEILEGENE)),ISERR(FIND("Unstet",NACHTEILEGENE)),ISERR(FIND("Wilde Magie",NACHTEILEGENE))),"","Falsche Nacht. (MWW S.155)")))),IF(AND(ZS_SE_VIEW,N46="",O46="",NOT(ISERR(FIND(M46,ZS_SF_ALLE,1)))),"SF verbilligt aus Studium",""))</f>
        <v/>
      </c>
      <c r="W46" s="1740"/>
      <c r="X46" s="1741"/>
      <c r="Y46" s="246">
        <f t="shared" ca="1" si="7"/>
        <v>0</v>
      </c>
      <c r="Z46" s="212">
        <f t="shared" ca="1" si="23"/>
        <v>0</v>
      </c>
      <c r="AA46" s="212">
        <f t="shared" ca="1" si="24"/>
        <v>0</v>
      </c>
      <c r="AB46" s="212">
        <f t="shared" ca="1" si="25"/>
        <v>0</v>
      </c>
      <c r="AC46" s="212">
        <f t="shared" ca="1" si="17"/>
        <v>2</v>
      </c>
      <c r="AD46" s="717" t="str">
        <f t="shared" ca="1" si="37"/>
        <v/>
      </c>
      <c r="AE46" s="549" t="str">
        <f ca="1">IF(AND(EXACT($B46,""),EXACT($E46,""),ISBLANK($G46),ISBLANK($H46),ISBLANK($I46),ISBLANK($F46)),"",IF(EXACT($J46,""),"X",""))</f>
        <v/>
      </c>
      <c r="AF46" s="557">
        <f t="shared" si="18"/>
        <v>33</v>
      </c>
      <c r="AG46" s="557"/>
      <c r="AH46" s="550"/>
      <c r="AI46" s="212"/>
      <c r="AJ46" s="212"/>
      <c r="AK46" s="113"/>
      <c r="AL46" s="559">
        <f t="shared" ca="1" si="13"/>
        <v>0</v>
      </c>
      <c r="AM46" s="246">
        <f t="shared" ca="1" si="29"/>
        <v>0</v>
      </c>
      <c r="AN46" s="212">
        <f t="shared" ref="AN46:AN71" ca="1" si="38">IF(AND(NOT(ISBLANK($R46)),EXACT($V46,""),EXACT($N46,"")),IF(EXACT($O46,""),VLOOKUP($M46,SF_MAGIEALLE,3,FALSE),ROUND(VLOOKUP($M46,SF_MAGIEALLE,3,FALSE)/$AR46,0)),0)</f>
        <v>0</v>
      </c>
      <c r="AO46" s="212">
        <f t="shared" ref="AO46:AO55" ca="1" si="39">IF(AND(NOT(ISBLANK($S46)),EXACT($N46,"")),IF(EXACT($O46,""),VLOOKUP($M46,SF_MAGIEALLE,2,FALSE),ROUND(VLOOKUP($M46,SF_MAGIEALLE,2,FALSE)/$AR46,0)),0)</f>
        <v>0</v>
      </c>
      <c r="AP46" s="212">
        <f t="shared" ref="AP46:AP55" ca="1" si="40">IF(AND(NOT(ISBLANK($T46)),EXACT($N46,"")),IF(EXACT($O46,""),VLOOKUP($M46,SF_MAGIEALLE,2,FALSE),ROUND(VLOOKUP($M46,SF_MAGIEALLE,2,FALSE)/$AR46,0)),0)</f>
        <v>0</v>
      </c>
      <c r="AQ46" s="212">
        <f t="shared" ref="AQ46:AQ55" ca="1" si="41">IF(AND(NOT(ISBLANK($U46)),EXACT($V46,""),EXACT($N46,"")),IF(EXACT($O46,""),VLOOKUP($M46,SF_MAGIEALLE,2,FALSE),ROUND(VLOOKUP($M46,SF_MAGIEALLE,2,FALSE)/$AR46,0)),0)</f>
        <v>0</v>
      </c>
      <c r="AR46" s="212">
        <f t="shared" ca="1" si="34"/>
        <v>2</v>
      </c>
      <c r="AS46" s="1020" t="str">
        <f t="shared" ca="1" si="35"/>
        <v/>
      </c>
      <c r="AT46" s="557" t="str">
        <f t="shared" ca="1" si="36"/>
        <v/>
      </c>
      <c r="AU46" s="557">
        <v>11</v>
      </c>
      <c r="AV46" s="557"/>
      <c r="AW46" s="212"/>
      <c r="AX46" s="212"/>
      <c r="AY46" s="212"/>
      <c r="AZ46" s="212"/>
      <c r="BA46" s="212"/>
      <c r="BB46" s="212"/>
      <c r="BC46" s="113"/>
      <c r="BD46" s="113"/>
      <c r="BE46" s="113"/>
      <c r="BF46" s="113"/>
      <c r="BG46" s="113"/>
      <c r="BH46" s="113"/>
      <c r="BI46" s="113"/>
      <c r="BJ46" s="113"/>
      <c r="BK46" s="190"/>
      <c r="BL46" s="190"/>
      <c r="BM46" s="190"/>
      <c r="BN46" s="190"/>
      <c r="BO46" s="190"/>
      <c r="BP46" s="190"/>
      <c r="BQ46" s="190"/>
      <c r="BR46" s="190"/>
      <c r="BS46" s="190"/>
      <c r="BT46" s="190"/>
      <c r="BU46" s="190"/>
      <c r="BV46" s="234"/>
    </row>
    <row r="47" spans="1:74" x14ac:dyDescent="0.2">
      <c r="A47" s="112" t="str">
        <f t="shared" si="0"/>
        <v>Waffenlos Hruruzat</v>
      </c>
      <c r="B47" s="391" t="str">
        <f t="shared" ca="1" si="1"/>
        <v/>
      </c>
      <c r="C47" s="387" t="str">
        <f t="shared" ca="1" si="2"/>
        <v/>
      </c>
      <c r="D47" s="1127"/>
      <c r="E47" s="109"/>
      <c r="F47" s="384"/>
      <c r="G47" s="960"/>
      <c r="H47" s="960"/>
      <c r="I47" s="324"/>
      <c r="J47" s="1739" t="str">
        <f ca="1">IF(AND(NOT(ISBLANK($F47)),NOT(ISBLANK($G47)),NOT(ISBLANK($H47)),NOT(ISBLANK($I47))),"Was denn nun? GP oder AP?",IF(OR(NOT(ISBLANK($F47)),NOT(ISBLANK($G47)),NOT(ISBLANK($H47)),NOT(ISBLANK($I47))),IF(NOT(EXACT($B47,"")),"Diese SF hast Du schon!",IF(OR(SUM(Talente!$B$28,Talente!$G$28,Talente!$I$28)&lt;10,SUM(Talente!$B$29,Talente!$G$29,Talente!$I$29)&lt;7),"Raufen min. 10 &amp; Ringen min. 7","")),IF(AND(ZS_SE_VIEW,B47="",C47="",NOT(ISERR(FIND(A47,ZS_SF_ALLE,1)))),"SF verbilligt aus Studium","")))</f>
        <v/>
      </c>
      <c r="K47" s="1740"/>
      <c r="L47" s="1741"/>
      <c r="M47" s="1012" t="str">
        <f t="shared" si="26"/>
        <v>Eiserner Wille II</v>
      </c>
      <c r="N47" s="391" t="str">
        <f t="shared" ca="1" si="27"/>
        <v/>
      </c>
      <c r="O47" s="387" t="str">
        <f t="shared" ca="1" si="28"/>
        <v/>
      </c>
      <c r="P47" s="1127"/>
      <c r="Q47" s="109"/>
      <c r="R47" s="384"/>
      <c r="S47" s="960"/>
      <c r="T47" s="960"/>
      <c r="U47" s="324"/>
      <c r="V47" s="1739" t="str">
        <f ca="1">IF(OR(NOT(ISBLANK($R47)),NOT(ISBLANK($S47)),NOT(ISBLANK($T47)),NOT(ISBLANK($U47))),IF(NOT(EXACT($N47,"")),"Diese SF hast Du schon!",IF(AND(EXACT($N$46,""),ISBLANK($R$46),ISBLANK($S$46),ISBLANK($T$46),ISBLANK($U$46)),"SF Eiserner Wille I nötig","")),IF(AND(ZS_SE_VIEW,N47="",O47="",NOT(ISERR(FIND(M47,ZS_SF_ALLE,1)))),"SF verbilligt aus Studium",""))</f>
        <v/>
      </c>
      <c r="W47" s="1740"/>
      <c r="X47" s="1741"/>
      <c r="Y47" s="246">
        <f t="shared" ca="1" si="7"/>
        <v>0</v>
      </c>
      <c r="Z47" s="212">
        <f t="shared" ca="1" si="23"/>
        <v>0</v>
      </c>
      <c r="AA47" s="212">
        <f t="shared" ca="1" si="24"/>
        <v>0</v>
      </c>
      <c r="AB47" s="212">
        <f t="shared" ca="1" si="25"/>
        <v>0</v>
      </c>
      <c r="AC47" s="212">
        <f t="shared" ca="1" si="17"/>
        <v>2</v>
      </c>
      <c r="AD47" s="717" t="str">
        <f t="shared" ca="1" si="37"/>
        <v/>
      </c>
      <c r="AE47" s="549" t="str">
        <f ca="1">IF(AND(EXACT($B47,""),EXACT($E47,""),ISBLANK($G47),ISBLANK($H47),ISBLANK($I47),ISBLANK($F47)),"",IF(EXACT($J47,""),"X",""))</f>
        <v/>
      </c>
      <c r="AF47" s="557">
        <f t="shared" si="18"/>
        <v>34</v>
      </c>
      <c r="AG47" s="557"/>
      <c r="AH47" s="550"/>
      <c r="AI47" s="212"/>
      <c r="AJ47" s="212"/>
      <c r="AK47" s="113"/>
      <c r="AL47" s="559">
        <f t="shared" ca="1" si="13"/>
        <v>0</v>
      </c>
      <c r="AM47" s="246">
        <f t="shared" ca="1" si="29"/>
        <v>0</v>
      </c>
      <c r="AN47" s="212">
        <f t="shared" ca="1" si="38"/>
        <v>0</v>
      </c>
      <c r="AO47" s="212">
        <f t="shared" ca="1" si="39"/>
        <v>0</v>
      </c>
      <c r="AP47" s="212">
        <f t="shared" ca="1" si="40"/>
        <v>0</v>
      </c>
      <c r="AQ47" s="212">
        <f t="shared" ca="1" si="41"/>
        <v>0</v>
      </c>
      <c r="AR47" s="212">
        <f t="shared" ca="1" si="34"/>
        <v>2</v>
      </c>
      <c r="AS47" s="1020" t="str">
        <f t="shared" ca="1" si="35"/>
        <v/>
      </c>
      <c r="AT47" s="557" t="str">
        <f t="shared" ca="1" si="36"/>
        <v/>
      </c>
      <c r="AU47" s="557">
        <v>12</v>
      </c>
      <c r="AV47" s="557"/>
      <c r="AW47" s="212"/>
      <c r="AX47" s="212"/>
      <c r="AY47" s="212"/>
      <c r="AZ47" s="212"/>
      <c r="BA47" s="212"/>
      <c r="BB47" s="212"/>
      <c r="BC47" s="113"/>
      <c r="BD47" s="113"/>
      <c r="BE47" s="113"/>
      <c r="BF47" s="113"/>
      <c r="BG47" s="113"/>
      <c r="BH47" s="113"/>
      <c r="BI47" s="113"/>
      <c r="BJ47" s="113"/>
      <c r="BK47" s="190"/>
      <c r="BL47" s="190"/>
      <c r="BM47" s="190"/>
      <c r="BN47" s="190"/>
      <c r="BO47" s="190"/>
      <c r="BP47" s="190"/>
      <c r="BQ47" s="190"/>
      <c r="BR47" s="190"/>
      <c r="BS47" s="190"/>
      <c r="BT47" s="190"/>
      <c r="BU47" s="190"/>
      <c r="BV47" s="234"/>
    </row>
    <row r="48" spans="1:74" x14ac:dyDescent="0.2">
      <c r="A48" s="112" t="str">
        <f t="shared" si="0"/>
        <v>Waffenlos Mercenario</v>
      </c>
      <c r="B48" s="391" t="str">
        <f t="shared" ca="1" si="1"/>
        <v/>
      </c>
      <c r="C48" s="387" t="str">
        <f t="shared" ca="1" si="2"/>
        <v/>
      </c>
      <c r="D48" s="1127"/>
      <c r="E48" s="109"/>
      <c r="F48" s="384"/>
      <c r="G48" s="960"/>
      <c r="H48" s="960"/>
      <c r="I48" s="324"/>
      <c r="J48" s="1739" t="str">
        <f ca="1">IF(AND(NOT(ISBLANK($F48)),NOT(ISBLANK($G48)),NOT(ISBLANK($H48)),NOT(ISBLANK($I48))),"Was denn nun? GP oder AP?",IF(OR(NOT(ISBLANK($F48)),NOT(ISBLANK($G48)),NOT(ISBLANK($H48)),NOT(ISBLANK($I48))),IF(NOT(EXACT($B48,"")),"Diese SF hast Du schon!",IF(OR(SUM(Talente!$B$28,Talente!$G$28,Talente!$I$28)&lt;10,SUM(Talente!$B$29,Talente!$G$29,Talente!$I$29)&lt;7),"Raufen min. 10 &amp; Ringen min. 7","")),IF(AND(ZS_SE_VIEW,B48="",C48="",NOT(ISERR(FIND(A48,ZS_SF_ALLE,1)))),"SF verbilligt aus Studium","")))</f>
        <v/>
      </c>
      <c r="K48" s="1740"/>
      <c r="L48" s="1741"/>
      <c r="M48" s="1012" t="str">
        <f t="shared" si="26"/>
        <v>Elementarharmonisierte Aura</v>
      </c>
      <c r="N48" s="391" t="str">
        <f t="shared" ca="1" si="27"/>
        <v/>
      </c>
      <c r="O48" s="387" t="str">
        <f t="shared" ca="1" si="28"/>
        <v/>
      </c>
      <c r="P48" s="1127"/>
      <c r="Q48" s="109"/>
      <c r="R48" s="384"/>
      <c r="S48" s="960"/>
      <c r="T48" s="960"/>
      <c r="U48" s="324"/>
      <c r="V48" s="1739" t="str">
        <f ca="1">IF(OR(NOT(ISBLANK($R48)),NOT(ISBLANK($S48)),NOT(ISBLANK($T48)),NOT(ISBLANK($U48))),IF(NOT(EXACT($N48,"")),"Diese SF hast Du schon!",IF(KL&lt;15,"KL&lt;15","")&amp;IF(IN&lt;15,"IN&lt;15","")&amp;IF(TAW_MAGIEKUNDE&lt;12,"Magiekunde &lt; 12","")&amp;IF(OR(ISERROR(FIND("Elem",CONCATENATE(Zauber!BP2,Zauber!BP3,Zauber!A241,Zauber!A242,Zauber!A243,Zauber!A244,Zauber!A245,Zauber!A246,Zauber!A247),1)),ISERROR(FIND("Elem",CONCATENATE(Zauber!T3,Zauber!T4,Zauber!T5),1))),"Keine Begabung/MK","")),IF(AND(ZS_SE_VIEW,N48="",O48="",NOT(ISERR(FIND(M48,ZS_SF_ALLE,1)))),"SF verbilligt aus Studium",""))</f>
        <v/>
      </c>
      <c r="W48" s="1740"/>
      <c r="X48" s="1741"/>
      <c r="Y48" s="246">
        <f t="shared" ca="1" si="7"/>
        <v>0</v>
      </c>
      <c r="Z48" s="212">
        <f t="shared" ca="1" si="23"/>
        <v>0</v>
      </c>
      <c r="AA48" s="212">
        <f t="shared" ca="1" si="24"/>
        <v>0</v>
      </c>
      <c r="AB48" s="212">
        <f t="shared" ca="1" si="25"/>
        <v>0</v>
      </c>
      <c r="AC48" s="212">
        <f t="shared" ca="1" si="17"/>
        <v>2</v>
      </c>
      <c r="AD48" s="717" t="str">
        <f t="shared" ca="1" si="37"/>
        <v/>
      </c>
      <c r="AE48" s="549" t="str">
        <f ca="1">IF(AND(EXACT($B48,""),EXACT($E48,""),ISBLANK($G48),ISBLANK($H48),ISBLANK($I48),ISBLANK($F48)),"",IF(EXACT($J48,""),"X",""))</f>
        <v/>
      </c>
      <c r="AF48" s="557">
        <f t="shared" si="18"/>
        <v>35</v>
      </c>
      <c r="AG48" s="557"/>
      <c r="AH48" s="550"/>
      <c r="AI48" s="212"/>
      <c r="AJ48" s="212"/>
      <c r="AK48" s="113"/>
      <c r="AL48" s="559">
        <f t="shared" ca="1" si="13"/>
        <v>0</v>
      </c>
      <c r="AM48" s="246">
        <f t="shared" ca="1" si="29"/>
        <v>0</v>
      </c>
      <c r="AN48" s="212">
        <f t="shared" ca="1" si="38"/>
        <v>0</v>
      </c>
      <c r="AO48" s="212">
        <f t="shared" ca="1" si="39"/>
        <v>0</v>
      </c>
      <c r="AP48" s="212">
        <f t="shared" ca="1" si="40"/>
        <v>0</v>
      </c>
      <c r="AQ48" s="212">
        <f t="shared" ca="1" si="41"/>
        <v>0</v>
      </c>
      <c r="AR48" s="212">
        <f t="shared" ca="1" si="34"/>
        <v>2</v>
      </c>
      <c r="AS48" s="1020" t="str">
        <f t="shared" ca="1" si="35"/>
        <v/>
      </c>
      <c r="AT48" s="557" t="str">
        <f t="shared" ca="1" si="36"/>
        <v/>
      </c>
      <c r="AU48" s="557">
        <v>13</v>
      </c>
      <c r="AV48" s="557"/>
      <c r="AW48" s="212"/>
      <c r="AX48" s="212"/>
      <c r="AY48" s="212"/>
      <c r="AZ48" s="212"/>
      <c r="BA48" s="212"/>
      <c r="BB48" s="212"/>
      <c r="BC48" s="113"/>
      <c r="BD48" s="113"/>
      <c r="BE48" s="113"/>
      <c r="BF48" s="113"/>
      <c r="BG48" s="113"/>
      <c r="BH48" s="113"/>
      <c r="BI48" s="113"/>
      <c r="BJ48" s="113"/>
      <c r="BK48" s="190"/>
      <c r="BL48" s="190"/>
      <c r="BM48" s="190"/>
      <c r="BN48" s="190"/>
      <c r="BO48" s="190"/>
      <c r="BP48" s="190"/>
      <c r="BQ48" s="190"/>
      <c r="BR48" s="190"/>
      <c r="BS48" s="190"/>
      <c r="BT48" s="190"/>
      <c r="BU48" s="190"/>
      <c r="BV48" s="234"/>
    </row>
    <row r="49" spans="1:74" x14ac:dyDescent="0.2">
      <c r="A49" s="112" t="str">
        <f t="shared" si="0"/>
        <v>Waffenlos Unauer Schule</v>
      </c>
      <c r="B49" s="391" t="str">
        <f t="shared" ca="1" si="1"/>
        <v/>
      </c>
      <c r="C49" s="387" t="str">
        <f t="shared" ca="1" si="2"/>
        <v/>
      </c>
      <c r="D49" s="1127"/>
      <c r="E49" s="109"/>
      <c r="F49" s="384"/>
      <c r="G49" s="960"/>
      <c r="H49" s="960"/>
      <c r="I49" s="324"/>
      <c r="J49" s="1800" t="str">
        <f ca="1">IF(AND(NOT(ISBLANK($F49)),NOT(ISBLANK($G49)),NOT(ISBLANK($H49)),NOT(ISBLANK($I49))),"Was denn nun? GP oder AP?",IF(OR(NOT(ISBLANK($F49)),NOT(ISBLANK($G49)),NOT(ISBLANK($H49)),NOT(ISBLANK($I49))),IF(NOT(EXACT($B49,"")),"Diese SF hast Du schon!",IF(SUM(Talente!$B$29,Talente!$G$29,Talente!$I$29)&lt;7,"TaW Ringen min. 7","")),IF(AND(ZS_SE_VIEW,B49="",C49="",NOT(ISERR(FIND(A49,ZS_SF_ALLE,1)))),"SF verbilligt aus Studium","")))</f>
        <v/>
      </c>
      <c r="K49" s="1801"/>
      <c r="L49" s="1802"/>
      <c r="M49" s="1012" t="str">
        <f t="shared" si="26"/>
        <v>Exorzist</v>
      </c>
      <c r="N49" s="391" t="str">
        <f t="shared" ca="1" si="27"/>
        <v/>
      </c>
      <c r="O49" s="387" t="str">
        <f t="shared" ca="1" si="28"/>
        <v/>
      </c>
      <c r="P49" s="1127"/>
      <c r="Q49" s="109"/>
      <c r="R49" s="384"/>
      <c r="S49" s="960"/>
      <c r="T49" s="960"/>
      <c r="U49" s="324"/>
      <c r="V49" s="1739" t="str">
        <f ca="1">IF(OR(NOT(ISBLANK($R49)),NOT(ISBLANK($S49)),NOT(ISBLANK($T49)),NOT(ISBLANK($U49))),IF(NOT(EXACT($N49,"")),"Diese SF hast Du schon!",IF(SUM(Talente!B93,Talente!G93,Talente!I93)&lt;11, "TaW Magiekunde 11+!",IF(MU&lt;15,"MU min. 15",""))),"")&amp;IF(AND(ZS_SE_VIEW,N49="",O49="",NOT(ISERR(FIND(M49,ZS_SF_ALLE,1)))),"SF verbilligt aus Studium","")</f>
        <v/>
      </c>
      <c r="W49" s="1740"/>
      <c r="X49" s="1741"/>
      <c r="Y49" s="246">
        <f t="shared" ca="1" si="7"/>
        <v>0</v>
      </c>
      <c r="Z49" s="212">
        <f t="shared" ca="1" si="23"/>
        <v>0</v>
      </c>
      <c r="AA49" s="212">
        <f t="shared" ca="1" si="24"/>
        <v>0</v>
      </c>
      <c r="AB49" s="212">
        <f t="shared" ca="1" si="25"/>
        <v>0</v>
      </c>
      <c r="AC49" s="212">
        <f t="shared" ca="1" si="17"/>
        <v>2</v>
      </c>
      <c r="AD49" s="717" t="str">
        <f t="shared" ca="1" si="37"/>
        <v/>
      </c>
      <c r="AE49" s="1422" t="str">
        <f ca="1">IF(AND(EXACT($B49,""),EXACT($E49,""),ISBLANK($G49),ISBLANK($H49),ISBLANK($I49),ISBLANK($F49)),"",IF(EXACT($J49,""),"X",""))</f>
        <v/>
      </c>
      <c r="AF49" s="557">
        <f t="shared" si="18"/>
        <v>36</v>
      </c>
      <c r="AG49" s="557"/>
      <c r="AH49" s="550"/>
      <c r="AI49" s="212"/>
      <c r="AJ49" s="212"/>
      <c r="AK49" s="113"/>
      <c r="AL49" s="559">
        <f t="shared" ca="1" si="13"/>
        <v>0</v>
      </c>
      <c r="AM49" s="246">
        <f t="shared" ca="1" si="29"/>
        <v>0</v>
      </c>
      <c r="AN49" s="212">
        <f t="shared" ca="1" si="38"/>
        <v>0</v>
      </c>
      <c r="AO49" s="212">
        <f t="shared" ca="1" si="39"/>
        <v>0</v>
      </c>
      <c r="AP49" s="212">
        <f t="shared" ca="1" si="40"/>
        <v>0</v>
      </c>
      <c r="AQ49" s="212">
        <f t="shared" ca="1" si="41"/>
        <v>0</v>
      </c>
      <c r="AR49" s="212">
        <f t="shared" ca="1" si="34"/>
        <v>2</v>
      </c>
      <c r="AS49" s="1020" t="str">
        <f t="shared" ca="1" si="35"/>
        <v/>
      </c>
      <c r="AT49" s="557" t="str">
        <f t="shared" ca="1" si="36"/>
        <v/>
      </c>
      <c r="AU49" s="557">
        <v>14</v>
      </c>
      <c r="AV49" s="557"/>
      <c r="AW49" s="212"/>
      <c r="AX49" s="212"/>
      <c r="AY49" s="212"/>
      <c r="AZ49" s="212"/>
      <c r="BA49" s="212"/>
      <c r="BB49" s="18"/>
      <c r="BC49" s="18"/>
      <c r="BD49" s="18"/>
      <c r="BE49" s="18"/>
      <c r="BF49" s="18"/>
      <c r="BG49" s="18"/>
      <c r="BH49" s="18"/>
      <c r="BI49" s="18"/>
      <c r="BJ49" s="18"/>
      <c r="BK49" s="18"/>
      <c r="BL49" s="18"/>
      <c r="BM49" s="18"/>
      <c r="BN49" s="18"/>
      <c r="BO49" s="18"/>
      <c r="BP49" s="18"/>
      <c r="BQ49" s="18"/>
      <c r="BR49" s="18"/>
      <c r="BS49" s="18"/>
      <c r="BT49" s="18"/>
      <c r="BU49" s="18"/>
      <c r="BV49" s="234"/>
    </row>
    <row r="50" spans="1:74" x14ac:dyDescent="0.2">
      <c r="A50" s="1420" t="s">
        <v>3592</v>
      </c>
      <c r="B50" s="204"/>
      <c r="C50" s="204"/>
      <c r="D50" s="204"/>
      <c r="E50" s="204"/>
      <c r="F50" s="204"/>
      <c r="G50" s="204"/>
      <c r="H50" s="204"/>
      <c r="I50" s="204"/>
      <c r="J50" s="775" t="str">
        <f ca="1">IF(GP=0,CONCATENATE("noch ",APGUT," AP übrig"),IF(GP&lt;0,CONCATENATE("Du hast ",ABS(GP)," GP zuviel verteilt"),CONCATENATE("Eingesetzt: ",GPSTART-GP," von ",GPSTART," GP")))</f>
        <v>Du hast 64 GP zuviel verteilt</v>
      </c>
      <c r="K50" s="775"/>
      <c r="L50" s="1016"/>
      <c r="M50" s="1012" t="str">
        <f t="shared" si="26"/>
        <v>Fernzauberei</v>
      </c>
      <c r="N50" s="391" t="str">
        <f t="shared" ca="1" si="27"/>
        <v/>
      </c>
      <c r="O50" s="387" t="str">
        <f t="shared" ca="1" si="28"/>
        <v/>
      </c>
      <c r="P50" s="1127"/>
      <c r="Q50" s="109"/>
      <c r="R50" s="384"/>
      <c r="S50" s="960"/>
      <c r="T50" s="960"/>
      <c r="U50" s="324"/>
      <c r="V50" s="1739" t="str">
        <f ca="1">IF(OR(NOT(ISBLANK($R50)),NOT(ISBLANK($S50)),NOT(ISBLANK($T50)),NOT(ISBLANK($U50))),IF(NOT(EXACT($N50,"")),"Diese SF hast Du schon!",IF(IN&lt;12,"IN min. 12","")),IF(AND(ZS_SE_VIEW,N50="",O50="",NOT(ISERR(FIND(M50,ZS_SF_ALLE,1)))),"SF verbilligt aus Studium",""))</f>
        <v/>
      </c>
      <c r="W50" s="1740"/>
      <c r="X50" s="1741"/>
      <c r="Y50" s="1132" t="s">
        <v>4244</v>
      </c>
      <c r="Z50" s="1017"/>
      <c r="AA50" s="1017"/>
      <c r="AB50" s="1017"/>
      <c r="AC50" s="1017"/>
      <c r="AD50" s="1017"/>
      <c r="AE50" s="1017"/>
      <c r="AF50" s="1017"/>
      <c r="AG50" s="1133"/>
      <c r="AH50" s="1133" t="str">
        <f ca="1">CONCATENATE(AI50,AJ50,AK50)</f>
        <v>,,,,,,,,,,,,,,,,,,,,,,,,,,,,,,,,,</v>
      </c>
      <c r="AI50" s="1133" t="str">
        <f>CONCATENATE(HLOOKUP(RASSEGENE,RASSE,IDX_NK,FALSE)&amp;",",HLOOKUP(RASSEGENE,RASSE,IDX_NK+1,FALSE)&amp;",",HLOOKUP(RASSEGENE,RASSE,IDX_NK+2,FALSE)&amp;",",HLOOKUP(RASSEGENE,RASSE,IDX_NK+3,FALSE)&amp;",",HLOOKUP(RASSEGENE,RASSE,IDX_NK+4,FALSE)&amp;",",HLOOKUP(RASSEGENE,RASSE,IDX_NK+5,FALSE)&amp;",",HLOOKUP(RASSEGENE,RASSE,IDX_NK+6,FALSE)&amp;",",HLOOKUP(RASSEGENE,RASSE,IDX_NK+7,FALSE)&amp;",",HLOOKUP(RASSEGENE,RASSE,IDX_NK+8,FALSE)&amp;",",HLOOKUP(RASSEGENE,RASSE,IDX_NK+9,FALSE)&amp;",",HLOOKUP(RASSEGENE,RASSE,IDX_NK+10,FALSE)&amp;",")</f>
        <v>,,,,,,,,,,,</v>
      </c>
      <c r="AJ50" s="1133" t="str">
        <f>CONCATENATE(HLOOKUP(KULTURGENE,KULTUR,IDX_NK,FALSE)&amp;",",HLOOKUP(KULTURGENE,KULTUR,IDX_NK+1,FALSE)&amp;",",HLOOKUP(KULTURGENE,KULTUR,IDX_NK+2,FALSE)&amp;",",HLOOKUP(KULTURGENE,KULTUR,IDX_NK+3,FALSE)&amp;",",HLOOKUP(KULTURGENE,KULTUR,IDX_NK+4,FALSE)&amp;",",HLOOKUP(KULTURGENE,KULTUR,IDX_NK+5,FALSE)&amp;",",HLOOKUP(KULTURGENE,KULTUR,IDX_NK+6,FALSE)&amp;",",HLOOKUP(KULTURGENE,KULTUR,IDX_NK+7,FALSE)&amp;",",HLOOKUP(KULTURGENE,KULTUR,IDX_NK+8,FALSE)&amp;",",HLOOKUP(KULTURGENE,KULTUR,IDX_NK+9,FALSE)&amp;",",HLOOKUP(KULTURGENE,KULTUR,IDX_NK+10,FALSE)&amp;",")</f>
        <v>,,,,,,,,,,,</v>
      </c>
      <c r="AK50" s="1133" t="str">
        <f ca="1">CONCATENATE(HLOOKUP(PROFGENE,INDIRECT(PROFGEBIET),IDX_NK,FALSE)&amp;",",HLOOKUP(PROFGENE,INDIRECT(PROFGEBIET),IDX_NK+1,FALSE)&amp;",",HLOOKUP(PROFGENE,INDIRECT(PROFGEBIET),IDX_NK+2,FALSE)&amp;",",HLOOKUP(PROFGENE,INDIRECT(PROFGEBIET),IDX_NK+3,FALSE)&amp;",",HLOOKUP(PROFGENE,INDIRECT(PROFGEBIET),IDX_NK+4,FALSE)&amp;",",HLOOKUP(PROFGENE,INDIRECT(PROFGEBIET),IDX_NK+5,FALSE)&amp;",",HLOOKUP(PROFGENE,INDIRECT(PROFGEBIET),IDX_NK+6,FALSE)&amp;",",HLOOKUP(PROFGENE,INDIRECT(PROFGEBIET),IDX_NK+7,FALSE)&amp;",",HLOOKUP(PROFGENE,INDIRECT(PROFGEBIET),IDX_NK+8,FALSE)&amp;",",HLOOKUP(PROFGENE,INDIRECT(PROFGEBIET),IDX_NK+9,FALSE)&amp;",",HLOOKUP(PROFGENE,INDIRECT(PROFGEBIET),IDX_NK+10,FALSE)&amp;",")</f>
        <v>,,,,,,,,,,,</v>
      </c>
      <c r="AL50" s="1134" t="str">
        <f ca="1">IF(LEN(PROFZWEITE)&lt;1,"",CONCATENATE(HLOOKUP(PROFZWEITE,INDIRECT(PROFGEBIET2),IDX_NK,FALSE)&amp;",",HLOOKUP(PROFZWEITE,INDIRECT(PROFGEBIET2),IDX_NK+1,FALSE)&amp;",",HLOOKUP(PROFZWEITE,INDIRECT(PROFGEBIET2),IDX_NK+2,FALSE)&amp;",",HLOOKUP(PROFZWEITE,INDIRECT(PROFGEBIET2),IDX_NK+3,FALSE)&amp;",",HLOOKUP(PROFZWEITE,INDIRECT(PROFGEBIET2),IDX_NK+4,FALSE)&amp;",",HLOOKUP(PROFZWEITE,INDIRECT(PROFGEBIET2),IDX_NK+5,FALSE)&amp;",",HLOOKUP(PROFZWEITE,INDIRECT(PROFGEBIET2),IDX_NK+6,FALSE)&amp;",",HLOOKUP(PROFZWEITE,INDIRECT(PROFGEBIET2),IDX_NK+7,FALSE)&amp;",",HLOOKUP(PROFZWEITE,INDIRECT(PROFGEBIET2),IDX_NK+8,FALSE)&amp;",",HLOOKUP(PROFZWEITE,INDIRECT(PROFGEBIET2),IDX_NK+9,FALSE)&amp;",",HLOOKUP(PROFZWEITE,INDIRECT(PROFGEBIET2),IDX_NK+10,FALSE)&amp;","))</f>
        <v/>
      </c>
      <c r="AM50" s="246">
        <f t="shared" ca="1" si="29"/>
        <v>0</v>
      </c>
      <c r="AN50" s="212">
        <f t="shared" ca="1" si="38"/>
        <v>0</v>
      </c>
      <c r="AO50" s="212">
        <f t="shared" ca="1" si="39"/>
        <v>0</v>
      </c>
      <c r="AP50" s="212">
        <f t="shared" ca="1" si="40"/>
        <v>0</v>
      </c>
      <c r="AQ50" s="212">
        <f t="shared" ca="1" si="41"/>
        <v>0</v>
      </c>
      <c r="AR50" s="212">
        <f t="shared" ca="1" si="34"/>
        <v>2</v>
      </c>
      <c r="AS50" s="1020" t="str">
        <f t="shared" ca="1" si="35"/>
        <v/>
      </c>
      <c r="AT50" s="557" t="str">
        <f t="shared" ca="1" si="36"/>
        <v/>
      </c>
      <c r="AU50" s="557">
        <v>15</v>
      </c>
      <c r="AV50" s="557"/>
      <c r="AW50" s="212"/>
      <c r="AX50" s="212"/>
      <c r="AY50" s="212"/>
      <c r="AZ50" s="212"/>
      <c r="BA50" s="212"/>
      <c r="BB50" s="212"/>
      <c r="BC50" s="113"/>
      <c r="BD50" s="113"/>
      <c r="BE50" s="113"/>
      <c r="BF50" s="113"/>
      <c r="BG50" s="113"/>
      <c r="BH50" s="113"/>
      <c r="BI50" s="113"/>
      <c r="BJ50" s="113"/>
      <c r="BK50" s="190"/>
      <c r="BL50" s="190"/>
      <c r="BM50" s="190"/>
      <c r="BN50" s="190"/>
      <c r="BO50" s="190"/>
      <c r="BP50" s="190"/>
      <c r="BQ50" s="190"/>
      <c r="BR50" s="190"/>
      <c r="BS50" s="190"/>
      <c r="BT50" s="18"/>
      <c r="BU50" s="190"/>
      <c r="BV50" s="234"/>
    </row>
    <row r="51" spans="1:74" x14ac:dyDescent="0.2">
      <c r="A51" s="1855" t="str">
        <f ca="1">IF(BV51="","","Wählbare SF Nahkampf: "&amp;BV51&amp;" ")&amp;
IF(BV52="","","Wählbare Verbilligte SF Nahkampf: "&amp;BV52)</f>
        <v/>
      </c>
      <c r="B51" s="1856"/>
      <c r="C51" s="1856"/>
      <c r="D51" s="1856"/>
      <c r="E51" s="1856"/>
      <c r="F51" s="1856"/>
      <c r="G51" s="1856"/>
      <c r="H51" s="1856"/>
      <c r="I51" s="1856"/>
      <c r="J51" s="1856"/>
      <c r="K51" s="1856"/>
      <c r="L51" s="1857"/>
      <c r="M51" s="1012" t="str">
        <f t="shared" si="26"/>
        <v>Form der Formlosigkeit</v>
      </c>
      <c r="N51" s="391" t="str">
        <f t="shared" ca="1" si="27"/>
        <v/>
      </c>
      <c r="O51" s="387" t="str">
        <f t="shared" ca="1" si="28"/>
        <v/>
      </c>
      <c r="P51" s="1127"/>
      <c r="Q51" s="109"/>
      <c r="R51" s="384"/>
      <c r="S51" s="960"/>
      <c r="T51" s="960"/>
      <c r="U51" s="324"/>
      <c r="V51" s="1739" t="str">
        <f ca="1">IF(OR(NOT(ISBLANK($R51)),NOT(ISBLANK($S51)),NOT(ISBLANK($T51)),NOT(ISBLANK($U51))),IF(NOT(EXACT($N51,"")),"Diese SF hast Du schon!",IF(SUM(Talente!B93,Talente!G93,Talente!I93)&lt;15, "TaW Magiekunde muss &gt;= 15 sein!","")),"")&amp;IF(AND(ZS_SE_VIEW,N51="",O51="",NOT(ISERR(FIND(M51,ZS_SF_ALLE,1)))),"SF verbilligt aus Studium","")</f>
        <v/>
      </c>
      <c r="W51" s="1740"/>
      <c r="X51" s="1741"/>
      <c r="Y51" s="1135" t="s">
        <v>4239</v>
      </c>
      <c r="Z51" s="1021"/>
      <c r="AA51" s="1021"/>
      <c r="AB51" s="1021"/>
      <c r="AC51" s="1021"/>
      <c r="AD51" s="1021"/>
      <c r="AE51" s="1021"/>
      <c r="AF51" s="1021"/>
      <c r="AG51" s="1085"/>
      <c r="AH51" s="1085" t="str">
        <f ca="1">CONCATENATE(AI51,AJ51,AK51,IF(VT_BBILDUNG,AL50&amp;AL51,""))</f>
        <v>,,,,,,,,,,,,,,,,,,,,,,,,,,,,,,,,,,,,,,,,,,</v>
      </c>
      <c r="AI51" s="1085" t="str">
        <f>CONCATENATE(HLOOKUP(RASSEGENE,RASSE,IDX_VNK,FALSE)&amp;",",HLOOKUP(RASSEGENE,RASSE,IDX_VNK+1,FALSE)&amp;",",HLOOKUP(RASSEGENE,RASSE,IDX_VNK+2,FALSE)&amp;",",HLOOKUP(RASSEGENE,RASSE,IDX_VNK+3,FALSE)&amp;",",HLOOKUP(RASSEGENE,RASSE,IDX_VNK+4,FALSE)&amp;",",HLOOKUP(RASSEGENE,RASSE,IDX_VNK+5,FALSE)&amp;",",HLOOKUP(RASSEGENE,RASSE,IDX_VNK+6,FALSE)&amp;",",HLOOKUP(RASSEGENE,RASSE,IDX_VNK+7,FALSE)&amp;",",HLOOKUP(RASSEGENE,RASSE,IDX_VNK+8,FALSE)&amp;",",HLOOKUP(RASSEGENE,RASSE,IDX_VNK+9,FALSE)&amp;",",HLOOKUP(RASSEGENE,RASSE,IDX_VNK+10,FALSE)&amp;",",HLOOKUP(RASSEGENE,RASSE,IDX_VNK+11,FALSE)&amp;",",HLOOKUP(RASSEGENE,RASSE,IDX_VNK+12,FALSE)&amp;",",HLOOKUP(RASSEGENE,RASSE,IDX_VNK+13,FALSE)&amp;",")</f>
        <v>,,,,,,,,,,,,,,</v>
      </c>
      <c r="AJ51" s="1085" t="str">
        <f>CONCATENATE(HLOOKUP(KULTURGENE,KULTUR,IDX_VNK,FALSE)&amp;",",HLOOKUP(KULTURGENE,KULTUR,IDX_VNK+1,FALSE)&amp;",",HLOOKUP(KULTURGENE,KULTUR,IDX_VNK+2,FALSE)&amp;",",HLOOKUP(KULTURGENE,KULTUR,IDX_VNK+3,FALSE)&amp;",",HLOOKUP(KULTURGENE,KULTUR,IDX_VNK+4,FALSE)&amp;",",HLOOKUP(KULTURGENE,KULTUR,IDX_VNK+5,FALSE)&amp;",",HLOOKUP(KULTURGENE,KULTUR,IDX_VNK+6,FALSE)&amp;",",HLOOKUP(KULTURGENE,KULTUR,IDX_VNK+7,FALSE)&amp;",",HLOOKUP(KULTURGENE,KULTUR,IDX_VNK+8,FALSE)&amp;",",HLOOKUP(KULTURGENE,KULTUR,IDX_VNK+9,FALSE)&amp;",",HLOOKUP(KULTURGENE,KULTUR,IDX_VNK+10,FALSE)&amp;",",HLOOKUP(KULTURGENE,KULTUR,IDX_VNK+11,FALSE)&amp;",",HLOOKUP(KULTURGENE,KULTUR,IDX_VNK+12,FALSE)&amp;",",HLOOKUP(KULTURGENE,KULTUR,IDX_VNK+13,FALSE)&amp;",")</f>
        <v>,,,,,,,,,,,,,,</v>
      </c>
      <c r="AK51" s="1085" t="str">
        <f ca="1">CONCATENATE(HLOOKUP(PROFGENE,INDIRECT(PROFGEBIET),IDX_VNK,FALSE)&amp;",",HLOOKUP(PROFGENE,INDIRECT(PROFGEBIET),IDX_VNK+1,FALSE)&amp;",",HLOOKUP(PROFGENE,INDIRECT(PROFGEBIET),IDX_VNK+2,FALSE)&amp;",",HLOOKUP(PROFGENE,INDIRECT(PROFGEBIET),IDX_VNK+3,FALSE)&amp;",",HLOOKUP(PROFGENE,INDIRECT(PROFGEBIET),IDX_VNK+4,FALSE)&amp;",",HLOOKUP(PROFGENE,INDIRECT(PROFGEBIET),IDX_VNK+5,FALSE)&amp;",",HLOOKUP(PROFGENE,INDIRECT(PROFGEBIET),IDX_VNK+6,FALSE)&amp;",",HLOOKUP(PROFGENE,INDIRECT(PROFGEBIET),IDX_VNK+7,FALSE)&amp;",",HLOOKUP(PROFGENE,INDIRECT(PROFGEBIET),IDX_VNK+8,FALSE)&amp;",",HLOOKUP(PROFGENE,INDIRECT(PROFGEBIET),IDX_VNK+9,FALSE)&amp;",",HLOOKUP(PROFGENE,INDIRECT(PROFGEBIET),IDX_VNK+10,FALSE)&amp;",",HLOOKUP(PROFGENE,INDIRECT(PROFGEBIET),IDX_VNK+11,FALSE)&amp;",",HLOOKUP(PROFGENE,INDIRECT(PROFGEBIET),IDX_VNK+12,FALSE)&amp;",",HLOOKUP(PROFGENE,INDIRECT(PROFGEBIET),IDX_VNK+13,FALSE)&amp;",")</f>
        <v>,,,,,,,,,,,,,,</v>
      </c>
      <c r="AL51" s="1136" t="str">
        <f ca="1">IF(LEN(PROFZWEITE)&lt;1,"",CONCATENATE(HLOOKUP(PROFZWEITE,INDIRECT(PROFGEBIET2),IDX_VNK,FALSE)&amp;",",HLOOKUP(PROFZWEITE,INDIRECT(PROFGEBIET2),IDX_VNK+1,FALSE)&amp;",",HLOOKUP(PROFZWEITE,INDIRECT(PROFGEBIET2),IDX_VNK+2,FALSE)&amp;",",HLOOKUP(PROFZWEITE,INDIRECT(PROFGEBIET2),IDX_VNK+3,FALSE)&amp;",",HLOOKUP(PROFZWEITE,INDIRECT(PROFGEBIET2),IDX_VNK+4,FALSE)&amp;",",HLOOKUP(PROFZWEITE,INDIRECT(PROFGEBIET2),IDX_VNK+5,FALSE)&amp;",",HLOOKUP(PROFZWEITE,INDIRECT(PROFGEBIET2),IDX_VNK+6,FALSE)&amp;",",HLOOKUP(PROFZWEITE,INDIRECT(PROFGEBIET2),IDX_VNK+7,FALSE)&amp;",",HLOOKUP(PROFZWEITE,INDIRECT(PROFGEBIET2),IDX_VNK+8,FALSE)&amp;",",HLOOKUP(PROFZWEITE,INDIRECT(PROFGEBIET2),IDX_VNK+9,FALSE)&amp;",",HLOOKUP(PROFZWEITE,INDIRECT(PROFGEBIET2),IDX_VNK+10,FALSE)&amp;",",HLOOKUP(PROFZWEITE,INDIRECT(PROFGEBIET2),IDX_VNK+11,FALSE)&amp;",",HLOOKUP(PROFZWEITE,INDIRECT(PROFGEBIET2),IDX_VNK+12,FALSE)&amp;",",HLOOKUP(PROFZWEITE,INDIRECT(PROFGEBIET2),IDX_VNK+13,FALSE)&amp;","))</f>
        <v/>
      </c>
      <c r="AM51" s="246">
        <f t="shared" ca="1" si="29"/>
        <v>0</v>
      </c>
      <c r="AN51" s="212">
        <f t="shared" ca="1" si="38"/>
        <v>0</v>
      </c>
      <c r="AO51" s="212">
        <f t="shared" ca="1" si="39"/>
        <v>0</v>
      </c>
      <c r="AP51" s="212">
        <f t="shared" ca="1" si="40"/>
        <v>0</v>
      </c>
      <c r="AQ51" s="212">
        <f t="shared" ca="1" si="41"/>
        <v>0</v>
      </c>
      <c r="AR51" s="212">
        <f t="shared" ca="1" si="34"/>
        <v>2</v>
      </c>
      <c r="AS51" s="1020" t="str">
        <f t="shared" ca="1" si="35"/>
        <v/>
      </c>
      <c r="AT51" s="557" t="str">
        <f t="shared" ca="1" si="36"/>
        <v/>
      </c>
      <c r="AU51" s="557">
        <v>16</v>
      </c>
      <c r="AV51" s="557"/>
      <c r="AW51" s="212"/>
      <c r="AX51" s="212"/>
      <c r="AY51" s="212"/>
      <c r="AZ51" s="212"/>
      <c r="BA51" s="212"/>
      <c r="BB51" s="18"/>
      <c r="BC51" s="18"/>
      <c r="BD51" s="18"/>
      <c r="BE51" s="18"/>
      <c r="BF51" s="18"/>
      <c r="BG51" s="18"/>
      <c r="BH51" s="18"/>
      <c r="BI51" s="18"/>
      <c r="BJ51" s="18"/>
      <c r="BK51" s="18"/>
      <c r="BL51" s="18"/>
      <c r="BM51" s="18"/>
      <c r="BN51" s="18"/>
      <c r="BO51" s="18"/>
      <c r="BP51" s="18"/>
      <c r="BQ51" s="18"/>
      <c r="BR51" s="18"/>
      <c r="BS51" s="18"/>
      <c r="BT51" s="18"/>
      <c r="BU51" s="18"/>
      <c r="BV51" s="1106" t="str">
        <f ca="1">HLOOKUP(RASSEGENE,RASSE,IDX_WNK,FALSE)&amp;
HLOOKUP(KULTURGENE,KULTUR,IDX_WNK,FALSE)&amp;
HLOOKUP(PROFGENE,INDIRECT(PROFGEBIET),IDX_WNK,FALSE)&amp;
IF(LEN(PROFZWEITE)&lt;1,"",HLOOKUP(PROFZWEITE,INDIRECT(PROFGEBIET2),IDX_WNK,FALSE))</f>
        <v/>
      </c>
    </row>
    <row r="52" spans="1:74" x14ac:dyDescent="0.2">
      <c r="A52" s="1858"/>
      <c r="B52" s="1859"/>
      <c r="C52" s="1859"/>
      <c r="D52" s="1859"/>
      <c r="E52" s="1859"/>
      <c r="F52" s="1859"/>
      <c r="G52" s="1859"/>
      <c r="H52" s="1859"/>
      <c r="I52" s="1859"/>
      <c r="J52" s="1859"/>
      <c r="K52" s="1859"/>
      <c r="L52" s="1860"/>
      <c r="M52" s="1012" t="str">
        <f t="shared" si="26"/>
        <v>Geber der Gestalt</v>
      </c>
      <c r="N52" s="391" t="str">
        <f t="shared" ca="1" si="27"/>
        <v/>
      </c>
      <c r="O52" s="387" t="str">
        <f t="shared" ca="1" si="28"/>
        <v/>
      </c>
      <c r="P52" s="1127"/>
      <c r="Q52" s="109"/>
      <c r="R52" s="384"/>
      <c r="S52" s="960"/>
      <c r="T52" s="960"/>
      <c r="U52" s="324"/>
      <c r="V52" s="1739" t="str">
        <f ca="1">IF(OR(NOT(ISBLANK($R52)),NOT(ISBLANK($S52)),NOT(ISBLANK($T52)),NOT(ISBLANK($U52))),IF(NOT(EXACT($N52,"")),"Diese SF hast Du schon!",IF(SUM(Talente!B97,Talente!G97,Talente!I97)&lt;15, "TaW Magiekunde muss &gt; 14 sein!",IF(AND(EXACT($N$51,""),ISBLANK($R$51),ISBLANK($S$51),ISBLANK($T$51),ISBLANK($U$51)),"SF Form der Formlosigkeit nötig",""))),"")&amp;IF(AND(ZS_SE_VIEW,N52="",O52="",NOT(ISERR(FIND(M52,ZS_SF_ALLE,1)))),"SF verbilligt aus Studium","")</f>
        <v/>
      </c>
      <c r="W52" s="1740"/>
      <c r="X52" s="1741"/>
      <c r="Y52" s="1137"/>
      <c r="Z52" s="1138"/>
      <c r="AA52" s="1138"/>
      <c r="AB52" s="1138"/>
      <c r="AC52" s="1138"/>
      <c r="AD52" s="1138"/>
      <c r="AE52" s="1138"/>
      <c r="AF52" s="1138"/>
      <c r="AG52" s="1138"/>
      <c r="AH52" s="1138"/>
      <c r="AI52" s="1138"/>
      <c r="AJ52" s="1138"/>
      <c r="AK52" s="1138"/>
      <c r="AL52" s="1139"/>
      <c r="AM52" s="246">
        <f t="shared" ca="1" si="29"/>
        <v>0</v>
      </c>
      <c r="AN52" s="212">
        <f t="shared" ca="1" si="38"/>
        <v>0</v>
      </c>
      <c r="AO52" s="212">
        <f t="shared" ca="1" si="39"/>
        <v>0</v>
      </c>
      <c r="AP52" s="212">
        <f t="shared" ca="1" si="40"/>
        <v>0</v>
      </c>
      <c r="AQ52" s="212">
        <f t="shared" ca="1" si="41"/>
        <v>0</v>
      </c>
      <c r="AR52" s="212">
        <f t="shared" ca="1" si="34"/>
        <v>2</v>
      </c>
      <c r="AS52" s="1020" t="str">
        <f t="shared" ca="1" si="35"/>
        <v/>
      </c>
      <c r="AT52" s="557" t="str">
        <f t="shared" ca="1" si="36"/>
        <v/>
      </c>
      <c r="AU52" s="557">
        <v>17</v>
      </c>
      <c r="AV52" s="557"/>
      <c r="AW52" s="212"/>
      <c r="AX52" s="212"/>
      <c r="AY52" s="212"/>
      <c r="AZ52" s="212"/>
      <c r="BA52" s="212"/>
      <c r="BB52" s="18"/>
      <c r="BC52" s="18"/>
      <c r="BD52" s="18"/>
      <c r="BE52" s="18"/>
      <c r="BF52" s="18"/>
      <c r="BG52" s="18"/>
      <c r="BH52" s="18"/>
      <c r="BI52" s="18"/>
      <c r="BJ52" s="18"/>
      <c r="BK52" s="18"/>
      <c r="BL52" s="18"/>
      <c r="BM52" s="18"/>
      <c r="BN52" s="18"/>
      <c r="BO52" s="18"/>
      <c r="BP52" s="18"/>
      <c r="BQ52" s="18"/>
      <c r="BR52" s="18"/>
      <c r="BS52" s="18"/>
      <c r="BT52" s="18"/>
      <c r="BU52" s="18"/>
      <c r="BV52" s="1107" t="str">
        <f ca="1">HLOOKUP(RASSEGENE,RASSE,IDX_WVNK,FALSE)&amp;
HLOOKUP(KULTURGENE,KULTUR,IDX_WVNK,FALSE)&amp;
HLOOKUP(PROFGENE,INDIRECT(PROFGEBIET),IDX_WVNK,FALSE)&amp;
IF(LEN(PROFZWEITE)&lt;1,"",HLOOKUP(PROFZWEITE,INDIRECT(PROFGEBIET2),IDX_WVNK,FALSE))</f>
        <v/>
      </c>
    </row>
    <row r="53" spans="1:74" x14ac:dyDescent="0.2">
      <c r="A53" s="112" t="str">
        <f t="shared" ref="A53:A84" si="42">INDEX(KPFSON,$AF53)</f>
        <v>Aufmerksamkeit</v>
      </c>
      <c r="B53" s="391" t="str">
        <f t="shared" ref="B53:B84" ca="1" si="43">IF(NOT(ISERR(FIND(A53&amp;",",$AH$50,1))),"x",
IF(D53="X","x",""))</f>
        <v/>
      </c>
      <c r="C53" s="387" t="str">
        <f t="shared" ref="C53:C84" ca="1" si="44">IF(NOT(ISERR(FIND(A53&amp;",",$AH$51,1))),"x",
IF(D53="V","x",""))</f>
        <v/>
      </c>
      <c r="D53" s="1127"/>
      <c r="E53" s="109"/>
      <c r="F53" s="384"/>
      <c r="G53" s="960"/>
      <c r="H53" s="960"/>
      <c r="I53" s="324"/>
      <c r="J53" s="1739" t="str">
        <f ca="1">IF(AND(NOT(ISBLANK($F53)),NOT(ISBLANK($G53)),NOT(ISBLANK($H53)),NOT(ISBLANK($I53))),"Was denn nun? GP oder AP?",IF(OR(NOT(ISBLANK($F53)),NOT(ISBLANK($G53)),NOT(ISBLANK($H53)),NOT(ISBLANK($I53))),IF(NOT(EXACT($B53,"")),"Diese SF hast Du schon!",IF(IN&lt;12,"IN min. 12","")),IF(AND(ZS_SE_VIEW,B53="",C53="",NOT(ISERR(FIND(A53,ZS_SF_ALLE,1)))),"SF verbilligt aus Studium","")))</f>
        <v/>
      </c>
      <c r="K53" s="1740"/>
      <c r="L53" s="1741"/>
      <c r="M53" s="1012" t="str">
        <f t="shared" si="26"/>
        <v>Gedankenschutz</v>
      </c>
      <c r="N53" s="391" t="str">
        <f t="shared" ca="1" si="27"/>
        <v/>
      </c>
      <c r="O53" s="387" t="str">
        <f t="shared" ca="1" si="28"/>
        <v/>
      </c>
      <c r="P53" s="1127"/>
      <c r="Q53" s="109"/>
      <c r="R53" s="384"/>
      <c r="S53" s="960"/>
      <c r="T53" s="960"/>
      <c r="U53" s="324"/>
      <c r="V53" s="1739" t="str">
        <f ca="1">IF(OR(NOT(ISBLANK($R53)),NOT(ISBLANK($S53)),NOT(ISBLANK($T53)),NOT(ISBLANK($U53))),IF(NOT(EXACT($N53,"")),"Diese SF hast Du schon!",IF(MU&lt;15,"MU min. 15",IF(IN&lt;13,"INmin. 13",IF(AND(EXACT($N$46,""),ISBLANK($R$46),ISBLANK($S$46),ISBLANK($T$46),ISBLANK($U$46)),"SF Eiserner Wille I nötig","")))),IF(AND(ZS_SE_VIEW,N53="",O53="",NOT(ISERR(FIND(M53,ZS_SF_ALLE,1)))),"SF verbilligt aus Studium",""))</f>
        <v/>
      </c>
      <c r="W53" s="1740"/>
      <c r="X53" s="1741"/>
      <c r="Y53" s="212">
        <f ca="1">IF(AND(NOT(ISBLANK($F53)),EXACT($J53,""),EXACT($B53,"")),IF(EXACT($C53,""),VLOOKUP($A53,SF_NAHFERNALLE,3,FALSE),ROUND(VLOOKUP($A53,SF_NAHFERNALLE,3,FALSE)/$AC53,0)),0)</f>
        <v>0</v>
      </c>
      <c r="Z53" s="212">
        <f ca="1">IF(AND(NOT(ISBLANK($G53)),EXACT($B53,"")),IF(EXACT($C53,""),VLOOKUP($A53,SF_NAHFERNALLE,2,FALSE),ROUND(VLOOKUP($A53,SF_NAHFERNALLE,2,FALSE)/$AC53,0)),0)</f>
        <v>0</v>
      </c>
      <c r="AA53" s="212">
        <f ca="1">IF(AND(NOT(ISBLANK($H53)),EXACT($B53,"")),IF(EXACT($C53,""),VLOOKUP($A53,SF_NAHFERNALLE,2,FALSE),ROUND(VLOOKUP($A53,SF_NAHFERNALLE,2,FALSE)/$AC53,0)),0)</f>
        <v>0</v>
      </c>
      <c r="AB53" s="212">
        <f ca="1">IF(AND(NOT(ISBLANK($I53)),EXACT($J53,""),EXACT($B53,"")),IF(EXACT($C53,""),VLOOKUP($A53,SF_NAHFERNALLE,2,FALSE),ROUND(VLOOKUP($A53,SF_NAHFERNALLE,2,FALSE)/$AC53,0)),0)</f>
        <v>0</v>
      </c>
      <c r="AC53" s="212">
        <f ca="1">IF((LEN($AH$51)-LEN(SUBSTITUTE($AH$51,$A53&amp;",","")))/LEN($A53&amp;",")&gt;1,4,2)</f>
        <v>2</v>
      </c>
      <c r="AD53" s="557" t="str">
        <f t="shared" ref="AD53:AD84" ca="1" si="45">IF(AND(EXACT($B53,""),ISBLANK($G53),ISBLANK($H53),ISBLANK($I53),ISBLANK($F53)),"",CONCATENATE($A53,", "))</f>
        <v/>
      </c>
      <c r="AE53" s="1423" t="str">
        <f t="shared" ref="AE53:AE84" ca="1" si="46">IF(AND(EXACT($B53,""),EXACT($E53,""),ISBLANK($G53),ISBLANK($H53),ISBLANK($I53),ISBLANK($F53)),"",IF(EXACT($J53,""),"X",""))</f>
        <v/>
      </c>
      <c r="AF53" s="1434">
        <v>1</v>
      </c>
      <c r="AG53" s="557"/>
      <c r="AH53" s="551"/>
      <c r="AI53" s="551"/>
      <c r="AJ53" s="551"/>
      <c r="AK53" s="551"/>
      <c r="AL53" s="559">
        <f t="shared" ref="AL53:AL84" ca="1" si="47">IF((LEN($AH$50)-LEN(SUBSTITUTE($AH$50,$A53&amp;",","")))/LEN($A53&amp;",")&gt;1,VLOOKUP($A53,SF_NAHFERNALLE,3,FALSE),0)+
IF(AND((LEN($AH$51)-LEN(SUBSTITUTE($AH$51,$A53&amp;",","")))/LEN($A53&amp;",")&gt;0,(LEN($AH$50)-LEN(SUBSTITUTE($AH$50,$A53&amp;",","")))/LEN($A53&amp;",")&gt;0),ROUND(VLOOKUP($A53,SF_NAHFERNALLE,3,FALSE)*0.5,0),0)</f>
        <v>0</v>
      </c>
      <c r="AM53" s="246">
        <f t="shared" ca="1" si="29"/>
        <v>0</v>
      </c>
      <c r="AN53" s="212">
        <f t="shared" ca="1" si="38"/>
        <v>0</v>
      </c>
      <c r="AO53" s="212">
        <f t="shared" ca="1" si="39"/>
        <v>0</v>
      </c>
      <c r="AP53" s="212">
        <f t="shared" ca="1" si="40"/>
        <v>0</v>
      </c>
      <c r="AQ53" s="212">
        <f t="shared" ca="1" si="41"/>
        <v>0</v>
      </c>
      <c r="AR53" s="212">
        <f t="shared" ca="1" si="34"/>
        <v>2</v>
      </c>
      <c r="AS53" s="1020" t="str">
        <f t="shared" ca="1" si="35"/>
        <v/>
      </c>
      <c r="AT53" s="557" t="str">
        <f t="shared" ca="1" si="36"/>
        <v/>
      </c>
      <c r="AU53" s="557">
        <v>18</v>
      </c>
      <c r="AV53" s="557"/>
      <c r="AW53" s="212">
        <f>IF($S54&gt;=1,HLOOKUP("F",SKT,4,FALSE),0)</f>
        <v>0</v>
      </c>
      <c r="AX53" s="212">
        <f>IF($S54&gt;=2,HLOOKUP("F",SKT,5,FALSE),0)</f>
        <v>0</v>
      </c>
      <c r="AY53" s="212">
        <f>IF($S54&gt;=3,HLOOKUP("F",SKT,6,FALSE),0)</f>
        <v>0</v>
      </c>
      <c r="AZ53" s="212">
        <f>IF($S54&gt;=4,HLOOKUP("F",SKT,7,FALSE),0)</f>
        <v>0</v>
      </c>
      <c r="BA53" s="212">
        <f>IF($S54&gt;=5,HLOOKUP("F",SKT,8,FALSE),0)</f>
        <v>0</v>
      </c>
      <c r="BB53" s="212">
        <f>IF($S54&gt;=6,HLOOKUP("F",SKT,9,FALSE),0)</f>
        <v>0</v>
      </c>
      <c r="BC53" s="212">
        <f>IF($S54&gt;=7,HLOOKUP("F",SKT,10,FALSE),0)</f>
        <v>0</v>
      </c>
      <c r="BD53" s="708">
        <f>IF($S54&gt;=8,HLOOKUP("F",SKT,11,FALSE),0)</f>
        <v>0</v>
      </c>
      <c r="BE53" s="708">
        <f>IF($S54&gt;=9,HLOOKUP("F",SKT,12,FALSE),0)</f>
        <v>0</v>
      </c>
      <c r="BF53" s="708">
        <f>IF($S54&gt;=10,HLOOKUP("F",SKT,13,FALSE),0)</f>
        <v>0</v>
      </c>
      <c r="BG53" s="708">
        <f>IF($S54&gt;=11,HLOOKUP("F",SKT,14,FALSE),0)</f>
        <v>0</v>
      </c>
      <c r="BH53" s="708">
        <f>IF($S54&gt;=12,HLOOKUP("F",SKT,15,FALSE),0)</f>
        <v>0</v>
      </c>
      <c r="BI53" s="708">
        <f>IF($S54&gt;=13,HLOOKUP("F",SKT,16,FALSE),0)</f>
        <v>0</v>
      </c>
      <c r="BJ53" s="708">
        <f>IF($S54&gt;=14,HLOOKUP("F",SKT,17,FALSE),0)</f>
        <v>0</v>
      </c>
      <c r="BK53" s="708">
        <f>IF($S54&gt;=15,HLOOKUP("F",SKT,18,FALSE),0)</f>
        <v>0</v>
      </c>
      <c r="BL53" s="563">
        <f>IF($S54&gt;=16,HLOOKUP("F",SKT,19,FALSE),0)</f>
        <v>0</v>
      </c>
      <c r="BM53" s="563">
        <f>IF($S54&gt;=17,HLOOKUP("F",SKT,20,FALSE),0)</f>
        <v>0</v>
      </c>
      <c r="BN53" s="563">
        <f>IF($S54&gt;=18,HLOOKUP("F",SKT,21,FALSE),0)</f>
        <v>0</v>
      </c>
      <c r="BO53" s="563">
        <f>IF($S54&gt;=19,HLOOKUP("F",SKT,22,FALSE),0)</f>
        <v>0</v>
      </c>
      <c r="BP53" s="563">
        <f>IF($S54&gt;=20,HLOOKUP("F",SKT,23,FALSE),0)</f>
        <v>0</v>
      </c>
      <c r="BQ53" s="563">
        <f>IF($S54&gt;=21,HLOOKUP("F",SKT,24,FALSE),0)</f>
        <v>0</v>
      </c>
      <c r="BR53" s="190"/>
      <c r="BS53" s="190"/>
      <c r="BT53" s="190"/>
      <c r="BU53" s="190"/>
      <c r="BV53" s="234"/>
    </row>
    <row r="54" spans="1:74" x14ac:dyDescent="0.2">
      <c r="A54" s="112" t="str">
        <f t="shared" si="42"/>
        <v>Ausfall</v>
      </c>
      <c r="B54" s="391" t="str">
        <f t="shared" ca="1" si="43"/>
        <v/>
      </c>
      <c r="C54" s="387" t="str">
        <f t="shared" ca="1" si="44"/>
        <v/>
      </c>
      <c r="D54" s="1127"/>
      <c r="E54" s="109"/>
      <c r="F54" s="384"/>
      <c r="G54" s="960"/>
      <c r="H54" s="960"/>
      <c r="I54" s="324"/>
      <c r="J54" s="1739" t="str">
        <f ca="1">IF(AND(NOT(ISBLANK($F54)),NOT(ISBLANK($G54)),NOT(ISBLANK($H54)),NOT(ISBLANK($I54))),"Was denn nun? GP oder AP?",IF(OR(NOT(ISBLANK($F54)),NOT(ISBLANK($G54)),NOT(ISBLANK($H54)),NOT(ISBLANK($I54))),IF(NOT(EXACT($B54,"")),"Diese SF hast Du schon!",IF(AND(KO&lt;12,NOT(VT_FLINK)),"KO min. 12",IF(AND(EXACT($B$68,""),ISBLANK($F$68),ISBLANK($G68),ISBLANK($H68),ISBLANK($I$68)),"SF Finte nötig",""))),IF(AND(ZS_SE_VIEW,B54="",C54="",NOT(ISERR(FIND(A54,ZS_SF_ALLE,1)))),"SF verbilligt aus Studium","")))</f>
        <v/>
      </c>
      <c r="K54" s="1740"/>
      <c r="L54" s="1741"/>
      <c r="M54" s="1012" t="str">
        <f t="shared" si="26"/>
        <v>Gefäß der Sterne</v>
      </c>
      <c r="N54" s="391" t="str">
        <f t="shared" ca="1" si="27"/>
        <v/>
      </c>
      <c r="O54" s="387" t="str">
        <f t="shared" ca="1" si="28"/>
        <v/>
      </c>
      <c r="P54" s="1127"/>
      <c r="Q54" s="109"/>
      <c r="R54" s="384"/>
      <c r="S54" s="960"/>
      <c r="T54" s="960"/>
      <c r="U54" s="324"/>
      <c r="V54" s="1739" t="str">
        <f ca="1">IF(OR(NOT(EXACT($N54,"")),NOT(ISBLANK($R54)),NOT(ISBLANK($S54)),NOT(ISBLANK($T54)),NOT(ISBLANK($U54))),IF(IN&lt;13,"IN min. 13",IF(CH&lt;15,"CH min. 15","")),IF(AND(ZS_SE_VIEW,N54="",O54="",NOT(ISERR(FIND(M54,ZS_SF_ALLE,1)))),"SF verbilligt aus Studium",""))</f>
        <v/>
      </c>
      <c r="W54" s="1740"/>
      <c r="X54" s="1741"/>
      <c r="Y54" s="212">
        <f ca="1">IF(AND(NOT(ISBLANK($F54)),EXACT($J54,""),EXACT($B54,"")),IF(EXACT($C54,""),VLOOKUP($A54,SF_NAHFERNALLE,3,FALSE),ROUND(VLOOKUP($A54,SF_NAHFERNALLE,3,FALSE)/$AC54,0)),0)</f>
        <v>0</v>
      </c>
      <c r="Z54" s="212">
        <f ca="1">IF(AND(NOT(ISBLANK($G54)),EXACT($B54,"")),IF(EXACT($C54,""),VLOOKUP($A54,SF_NAHFERNALLE,2,FALSE),ROUND(VLOOKUP($A54,SF_NAHFERNALLE,2,FALSE)/$AC54,0)),0)</f>
        <v>0</v>
      </c>
      <c r="AA54" s="212">
        <f ca="1">IF(AND(NOT(ISBLANK($H54)),EXACT($B54,"")),IF(EXACT($C54,""),VLOOKUP($A54,SF_NAHFERNALLE,2,FALSE),ROUND(VLOOKUP($A54,SF_NAHFERNALLE,2,FALSE)/$AC54,0)),0)</f>
        <v>0</v>
      </c>
      <c r="AB54" s="212">
        <f ca="1">IF(AND(NOT(ISBLANK($I54)),EXACT($J54,""),EXACT($B54,"")),IF(EXACT($C54,""),VLOOKUP($A54,SF_NAHFERNALLE,2,FALSE),ROUND(VLOOKUP($A54,SF_NAHFERNALLE,2,FALSE)/$AC54,0)),0)</f>
        <v>0</v>
      </c>
      <c r="AC54" s="212">
        <f t="shared" ref="AC54:AC111" ca="1" si="48">IF((LEN($AH$51)-LEN(SUBSTITUTE($AH$51,$A54&amp;",","")))/LEN($A54&amp;",")&gt;1,4,2)</f>
        <v>2</v>
      </c>
      <c r="AD54" s="557" t="str">
        <f t="shared" ca="1" si="45"/>
        <v/>
      </c>
      <c r="AE54" s="549" t="str">
        <f t="shared" ca="1" si="46"/>
        <v/>
      </c>
      <c r="AF54" s="1434">
        <v>2</v>
      </c>
      <c r="AG54" s="557"/>
      <c r="AH54" s="551"/>
      <c r="AI54" s="551"/>
      <c r="AJ54" s="551"/>
      <c r="AK54" s="551"/>
      <c r="AL54" s="559">
        <f t="shared" ca="1" si="47"/>
        <v>0</v>
      </c>
      <c r="AM54" s="246">
        <f t="shared" ca="1" si="29"/>
        <v>0</v>
      </c>
      <c r="AN54" s="212">
        <f t="shared" ca="1" si="38"/>
        <v>0</v>
      </c>
      <c r="AO54" s="212">
        <f t="shared" ca="1" si="39"/>
        <v>0</v>
      </c>
      <c r="AP54" s="212">
        <f t="shared" ca="1" si="40"/>
        <v>0</v>
      </c>
      <c r="AQ54" s="212">
        <f t="shared" ca="1" si="41"/>
        <v>0</v>
      </c>
      <c r="AR54" s="212">
        <f t="shared" ca="1" si="34"/>
        <v>2</v>
      </c>
      <c r="AS54" s="1020" t="str">
        <f t="shared" ca="1" si="35"/>
        <v/>
      </c>
      <c r="AT54" s="557" t="str">
        <f t="shared" ca="1" si="36"/>
        <v/>
      </c>
      <c r="AU54" s="557">
        <v>19</v>
      </c>
      <c r="AV54" s="557"/>
      <c r="AW54" s="241">
        <f>IF(AND($S54&lt;1,SUM($U54,$S54)&gt;=1),HLOOKUP("F",SKT,4,FALSE),0)</f>
        <v>0</v>
      </c>
      <c r="AX54" s="241">
        <f>IF(AND($S54&lt;2,SUM($U54,$S54)&gt;=2),HLOOKUP("F",SKT,5,FALSE),0)</f>
        <v>0</v>
      </c>
      <c r="AY54" s="241">
        <f>IF(AND($S54&lt;3,SUM($U54,$S54)&gt;=3),HLOOKUP("F",SKT,6,FALSE),0)</f>
        <v>0</v>
      </c>
      <c r="AZ54" s="241">
        <f>IF(AND($S54&lt;4,SUM($U54,$S54)&gt;=4),HLOOKUP("F",SKT,7,FALSE),0)</f>
        <v>0</v>
      </c>
      <c r="BA54" s="241">
        <f>IF(AND($S54&lt;5,SUM($U54,$S54)&gt;=5),HLOOKUP("F",SKT,8,FALSE),0)</f>
        <v>0</v>
      </c>
      <c r="BB54" s="241">
        <f>IF(AND($S54&lt;6,SUM($U54,$S54)&gt;=6),HLOOKUP("F",SKT,9,FALSE),0)</f>
        <v>0</v>
      </c>
      <c r="BC54" s="241">
        <f>IF(AND($S54&lt;7,SUM($U54,$S54)&gt;=7),HLOOKUP("F",SKT,10,FALSE),0)</f>
        <v>0</v>
      </c>
      <c r="BD54" s="241">
        <f>IF(AND($S54&lt;8,SUM($U54,$S54)&gt;=8),HLOOKUP("F",SKT,11,FALSE),0)</f>
        <v>0</v>
      </c>
      <c r="BE54" s="241">
        <f>IF(AND($S54&lt;9,SUM($U54,$S54)&gt;=9),HLOOKUP("F",SKT,12,FALSE),0)</f>
        <v>0</v>
      </c>
      <c r="BF54" s="241">
        <f>IF(AND($S54&lt;10,SUM($U54,$S54)&gt;=10),HLOOKUP("F",SKT,13,FALSE),0)</f>
        <v>0</v>
      </c>
      <c r="BG54" s="241">
        <f>IF(AND($S54&lt;11,SUM($U54,$S54)&gt;=11),HLOOKUP("F",SKT,14,FALSE),0)</f>
        <v>0</v>
      </c>
      <c r="BH54" s="241">
        <f>IF(AND($S54&lt;12,SUM($U54,$S54)&gt;=12),HLOOKUP("F",SKT,15,FALSE),0)</f>
        <v>0</v>
      </c>
      <c r="BI54" s="241">
        <f>IF(AND($S54&lt;13,SUM($U54,$S54)&gt;=13),HLOOKUP("F",SKT,16,FALSE),0)</f>
        <v>0</v>
      </c>
      <c r="BJ54" s="241">
        <f>IF(AND($S54&lt;14,SUM($U54,$S54)&gt;=14),HLOOKUP("F",SKT,17,FALSE),0)</f>
        <v>0</v>
      </c>
      <c r="BK54" s="241">
        <f>IF(AND($S54&lt;15,SUM($U54,$S54)&gt;=15),HLOOKUP("F",SKT,18,FALSE),0)</f>
        <v>0</v>
      </c>
      <c r="BL54" s="241">
        <f>IF(AND($S54&lt;16,SUM($U54,$S54)&gt;=16),HLOOKUP("F",SKT,19,FALSE),0)</f>
        <v>0</v>
      </c>
      <c r="BM54" s="241">
        <f>IF(AND($S54&lt;17,SUM($U54,$S54)&gt;=17),HLOOKUP("F",SKT,20,FALSE),0)</f>
        <v>0</v>
      </c>
      <c r="BN54" s="241">
        <f>IF(AND($S54&lt;18,SUM($U54,$S54)&gt;=18),HLOOKUP("F",SKT,21,FALSE),0)</f>
        <v>0</v>
      </c>
      <c r="BO54" s="241">
        <f>IF(AND($S54&lt;19,SUM($U54,$S54)&gt;=19),HLOOKUP("F",SKT,22,FALSE),0)</f>
        <v>0</v>
      </c>
      <c r="BP54" s="241">
        <f>IF(AND($S54&lt;20,SUM($U54,$S54)&gt;=20),HLOOKUP("F",SKT,23,FALSE),0)</f>
        <v>0</v>
      </c>
      <c r="BQ54" s="241">
        <f>IF(AND($S54&lt;21,SUM($U54,$S54)&gt;=21),HLOOKUP("F",SKT,24,FALSE),0)</f>
        <v>0</v>
      </c>
      <c r="BR54" s="241">
        <f>IF(AND($S54&lt;22,SUM($U54,$S54)&gt;=22),HLOOKUP("F",SKT,25,FALSE),0)</f>
        <v>0</v>
      </c>
      <c r="BS54" s="241">
        <f>IF(AND($S54&lt;23,SUM($U54,$S54)&gt;=23),HLOOKUP("F",SKT,26,FALSE),0)</f>
        <v>0</v>
      </c>
      <c r="BT54" s="241">
        <f>IF(AND($S54&lt;24,SUM($U54,$S54)&gt;=24),HLOOKUP("F",SKT,27,FALSE),0)</f>
        <v>0</v>
      </c>
      <c r="BU54" s="241">
        <f>IF(AND($S54&lt;25,SUM($U54,$S54)&gt;=25),HLOOKUP("F",SKT,28,FALSE),0)</f>
        <v>0</v>
      </c>
      <c r="BV54" s="242">
        <f>IF(AND($S54&lt;26,SUM($U54,$S54)&gt;=26),HLOOKUP("F",SKT,29,FALSE),0)</f>
        <v>0</v>
      </c>
    </row>
    <row r="55" spans="1:74" x14ac:dyDescent="0.2">
      <c r="A55" s="112" t="str">
        <f t="shared" si="42"/>
        <v>Ausweichen I</v>
      </c>
      <c r="B55" s="391" t="str">
        <f t="shared" ca="1" si="43"/>
        <v/>
      </c>
      <c r="C55" s="387" t="str">
        <f t="shared" ca="1" si="44"/>
        <v/>
      </c>
      <c r="D55" s="1127"/>
      <c r="E55" s="109"/>
      <c r="F55" s="384"/>
      <c r="G55" s="960"/>
      <c r="H55" s="960"/>
      <c r="I55" s="324"/>
      <c r="J55" s="1739" t="str">
        <f ca="1">IF(AND(NOT(ISBLANK($F55)),NOT(ISBLANK($G55)),NOT(ISBLANK($H55)),NOT(ISBLANK($I55))),"Was denn nun? GP oder AP?",IF(OR(NOT(ISBLANK($F55)),NOT(ISBLANK($G55)),NOT(ISBLANK($H55)),NOT(ISBLANK($I55))),IF(NOT(EXACT($B55,"")),"Diese SF hast Du schon!",IF(GE&lt;10,"GE min. 10","")),IF(AND(ZS_SE_VIEW,B55="",C55="",NOT(ISERR(FIND(A55,ZS_SF_ALLE,1)))),"SF verbilligt aus Studium","")))</f>
        <v/>
      </c>
      <c r="K55" s="1740"/>
      <c r="L55" s="1741"/>
      <c r="M55" s="1012" t="str">
        <f t="shared" si="26"/>
        <v>Golembauer</v>
      </c>
      <c r="N55" s="391" t="str">
        <f t="shared" ca="1" si="27"/>
        <v/>
      </c>
      <c r="O55" s="387" t="str">
        <f t="shared" ca="1" si="28"/>
        <v/>
      </c>
      <c r="P55" s="1127"/>
      <c r="Q55" s="109"/>
      <c r="R55" s="384"/>
      <c r="S55" s="960"/>
      <c r="T55" s="960"/>
      <c r="U55" s="324"/>
      <c r="V55" s="1739" t="str">
        <f ca="1">IF(OR(NOT(ISBLANK($R55)),NOT(ISBLANK($S55)),NOT(ISBLANK($T55)),NOT(ISBLANK($U55))),IF(NOT(EXACT($N55,"")),"Diese SF hast Du schon!",IF(MU&lt;15,"MU min. 15",IF(Talente!$O$93&lt;11,"Magiekunde mind. 11",""))),IF(AND(ZS_SE_VIEW,N55="",O55="",NOT(ISERR(FIND(M55,ZS_SF_ALLE,1)))),"SF verbilligt aus Studium",""))</f>
        <v/>
      </c>
      <c r="W55" s="1740"/>
      <c r="X55" s="1741"/>
      <c r="Y55" s="717">
        <f ca="1">IF(AND(NOT(ISBLANK($F55)),EXACT($J55,""),EXACT($B55,"")),IF(EXACT($C55,""),ROUND(VLOOKUP($A55,SF_NAHFERNALLE,3,FALSE)/IF(ISERR(FIND("Schlangenmensch",Generierung!$M$8)),1,2),0),ROUND(VLOOKUP($A55,SF_NAHFERNALLE,3,FALSE)/IF(ISERR(FIND("Schlangenmensch",Generierung!$M$8)),$AC55,$AC55*2),0)),0)</f>
        <v>0</v>
      </c>
      <c r="Z55" s="717">
        <f ca="1">IF(AND(NOT(ISBLANK($G55)),EXACT($B55,"")),IF(EXACT($C55,""),ROUND(VLOOKUP($A55,SF_NAHFERNALLE,2,FALSE)/IF(ISERR(FIND("Schlangenmensch",Generierung!$M$8)),1,2),0),ROUND(VLOOKUP($A55,SF_NAHFERNALLE,2,FALSE)/IF(ISERR(FIND("Schlangenmensch",Generierung!$M$8)),$AC55,$AC55*2),0)),0)</f>
        <v>0</v>
      </c>
      <c r="AA55" s="717">
        <f ca="1">IF(AND(NOT(ISBLANK($H55)),EXACT($B55,"")),IF(EXACT($C55,""),ROUND(VLOOKUP($A55,SF_NAHFERNALLE,2,FALSE)/IF(ISERR(FIND("Schlangenmensch",Generierung!$M$8)),1,2),0),ROUND(VLOOKUP($A55,SF_NAHFERNALLE,2,FALSE)/IF(ISERR(FIND("Schlangenmensch",Generierung!$M$8)),$AC55,$AC55*2),0)),0)</f>
        <v>0</v>
      </c>
      <c r="AB55" s="717">
        <f ca="1">IF(AND(NOT(ISBLANK($I55)),EXACT($J55,""),EXACT($B55,"")),ROUND(IF(EXACT($C55,""),VLOOKUP($A55,SF_NAHFERNALLE,2,FALSE)/IF(ISERR(FIND("Schlangenmensch",Generierung!$M$8)),1,2),VLOOKUP($A55,SF_NAHFERNALLE,2,FALSE)/IF(ISERR(FIND("Schlangenmensch",Generierung!$M$8)),$AC55,$AC55*2)),0),0)</f>
        <v>0</v>
      </c>
      <c r="AC55" s="212">
        <f t="shared" ca="1" si="48"/>
        <v>2</v>
      </c>
      <c r="AD55" s="557" t="str">
        <f t="shared" ca="1" si="45"/>
        <v/>
      </c>
      <c r="AE55" s="549" t="str">
        <f t="shared" ca="1" si="46"/>
        <v/>
      </c>
      <c r="AF55" s="1434">
        <v>3</v>
      </c>
      <c r="AG55" s="557"/>
      <c r="AH55" s="551"/>
      <c r="AI55" s="551"/>
      <c r="AJ55" s="551"/>
      <c r="AK55" s="551"/>
      <c r="AL55" s="559">
        <f t="shared" ca="1" si="47"/>
        <v>0</v>
      </c>
      <c r="AM55" s="246">
        <f t="shared" ca="1" si="29"/>
        <v>0</v>
      </c>
      <c r="AN55" s="212">
        <f t="shared" ca="1" si="38"/>
        <v>0</v>
      </c>
      <c r="AO55" s="212">
        <f t="shared" ca="1" si="39"/>
        <v>0</v>
      </c>
      <c r="AP55" s="212">
        <f t="shared" ca="1" si="40"/>
        <v>0</v>
      </c>
      <c r="AQ55" s="212">
        <f t="shared" ca="1" si="41"/>
        <v>0</v>
      </c>
      <c r="AR55" s="212">
        <f t="shared" ca="1" si="34"/>
        <v>2</v>
      </c>
      <c r="AS55" s="1020" t="str">
        <f t="shared" ca="1" si="35"/>
        <v/>
      </c>
      <c r="AT55" s="557" t="str">
        <f t="shared" ca="1" si="36"/>
        <v/>
      </c>
      <c r="AU55" s="557">
        <v>20</v>
      </c>
      <c r="AV55" s="557"/>
      <c r="AW55" s="18"/>
      <c r="AX55" s="18"/>
      <c r="AY55" s="18"/>
      <c r="AZ55" s="18"/>
      <c r="BA55" s="18"/>
      <c r="BB55" s="18"/>
      <c r="BC55" s="18"/>
      <c r="BD55" s="113"/>
      <c r="BE55" s="113"/>
      <c r="BF55" s="113"/>
      <c r="BG55" s="113"/>
      <c r="BH55" s="113"/>
      <c r="BI55" s="113"/>
      <c r="BJ55" s="113"/>
      <c r="BK55" s="190"/>
      <c r="BL55" s="190"/>
      <c r="BM55" s="190"/>
      <c r="BN55" s="190"/>
      <c r="BO55" s="190"/>
      <c r="BP55" s="190"/>
      <c r="BQ55" s="190"/>
      <c r="BR55" s="190"/>
      <c r="BS55" s="190"/>
      <c r="BT55" s="190"/>
      <c r="BU55" s="190"/>
      <c r="BV55" s="234"/>
    </row>
    <row r="56" spans="1:74" x14ac:dyDescent="0.2">
      <c r="A56" s="112" t="str">
        <f t="shared" si="42"/>
        <v>Ausweichen II</v>
      </c>
      <c r="B56" s="391" t="str">
        <f t="shared" ca="1" si="43"/>
        <v/>
      </c>
      <c r="C56" s="387" t="str">
        <f t="shared" ca="1" si="44"/>
        <v/>
      </c>
      <c r="D56" s="1127"/>
      <c r="E56" s="109"/>
      <c r="F56" s="384"/>
      <c r="G56" s="960"/>
      <c r="H56" s="960"/>
      <c r="I56" s="324"/>
      <c r="J56" s="1739" t="str">
        <f ca="1">IF(AND(NOT(ISBLANK($F56)),NOT(ISBLANK($G56)),NOT(ISBLANK($H56)),NOT(ISBLANK($I56))),"Was denn nun? GP oder AP?",IF(OR(NOT(ISBLANK($F56)),NOT(ISBLANK($G56)),NOT(ISBLANK($H56)),NOT(ISBLANK($I56))),IF(NOT(EXACT($B56,"")),"Diese SF hast Du schon!",IF(GE&lt;12,"GE min. 12",IF(AND(EXACT($B$53,""),ISBLANK($F$53),ISBLANK($G$53),ISBLANK($H$53),ISBLANK($I$53)),"SF Aufmerksamkeit nötig",IF(AND(EXACT($B$55,""),ISBLANK($F$55),ISBLANK($G$55),ISBLANK($H$55),ISBLANK($I$55)),"SF Ausweichen I nötig","")))),IF(AND(ZS_SE_VIEW,B56="",C56="",NOT(ISERR(FIND(A56,ZS_SF_ALLE,1)))),"SF verbilligt aus Studium","")))</f>
        <v/>
      </c>
      <c r="K56" s="1740"/>
      <c r="L56" s="1741"/>
      <c r="M56" s="1012" t="str">
        <f t="shared" si="26"/>
        <v>Große Meditation</v>
      </c>
      <c r="N56" s="391" t="str">
        <f t="shared" ca="1" si="27"/>
        <v/>
      </c>
      <c r="O56" s="387" t="str">
        <f t="shared" ca="1" si="28"/>
        <v/>
      </c>
      <c r="P56" s="1127"/>
      <c r="Q56" s="109"/>
      <c r="R56" s="384"/>
      <c r="S56" s="960"/>
      <c r="T56" s="960"/>
      <c r="U56" s="324"/>
      <c r="V56" s="1739" t="str">
        <f ca="1">IF(OR(AND(NOT(ISBLANK(S56)),NOT(ISNUMBER(S56))),AND(NOT(ISBLANK(U56)),NOT(ISNUMBER(U56)))),"Bitte Anzahl angeben!",IF(AND(ZS_SE_VIEW,N56="",O56="",NOT(ISERR(FIND(M56,ZS_SF_ALLE,1)))),"SF verbilligt aus Studium",""))</f>
        <v/>
      </c>
      <c r="W56" s="1740"/>
      <c r="X56" s="1741"/>
      <c r="Y56" s="717">
        <f ca="1">IF(AND(NOT(ISBLANK($F56)),EXACT($J56,""),EXACT($B56,"")),IF(EXACT($C56,""),ROUND(VLOOKUP($A56,SF_NAHFERNALLE,3,FALSE)/IF(ISERR(FIND("Schlangenmensch",Generierung!$M$8)),1,2),0),ROUND(VLOOKUP($A56,SF_NAHFERNALLE,3,FALSE)/IF(ISERR(FIND("Schlangenmensch",Generierung!$M$8)),$AC56,$AC56*2),0)),0)</f>
        <v>0</v>
      </c>
      <c r="Z56" s="717">
        <f ca="1">IF(AND(NOT(ISBLANK($G56)),EXACT($B56,"")),IF(EXACT($C56,""),ROUND(VLOOKUP($A56,SF_NAHFERNALLE,2,FALSE)/IF(ISERR(FIND("Schlangenmensch",Generierung!$M$8)),1,2),0),ROUND(VLOOKUP($A56,SF_NAHFERNALLE,2,FALSE)/IF(ISERR(FIND("Schlangenmensch",Generierung!$M$8)),$AC56,$AC56*2),0)),0)</f>
        <v>0</v>
      </c>
      <c r="AA56" s="717">
        <f ca="1">IF(AND(NOT(ISBLANK($H56)),EXACT($B56,"")),IF(EXACT($C56,""),ROUND(VLOOKUP($A56,SF_NAHFERNALLE,2,FALSE)/IF(ISERR(FIND("Schlangenmensch",Generierung!$M$8)),1,2),0),ROUND(VLOOKUP($A56,SF_NAHFERNALLE,2,FALSE)/IF(ISERR(FIND("Schlangenmensch",Generierung!$M$8)),$AC56,$AC56*2),0)),0)</f>
        <v>0</v>
      </c>
      <c r="AB56" s="717">
        <f ca="1">IF(AND(NOT(ISBLANK($I56)),EXACT($J56,""),EXACT($B56,"")),ROUND(IF(EXACT($C56,""),VLOOKUP($A56,SF_NAHFERNALLE,2,FALSE)/IF(ISERR(FIND("Schlangenmensch",Generierung!$M$8)),1,2),VLOOKUP($A56,SF_NAHFERNALLE,2,FALSE)/IF(ISERR(FIND("Schlangenmensch",Generierung!$M$8)),$AC56,$AC56*2)),0),0)</f>
        <v>0</v>
      </c>
      <c r="AC56" s="212">
        <f t="shared" ca="1" si="48"/>
        <v>2</v>
      </c>
      <c r="AD56" s="557" t="str">
        <f t="shared" ca="1" si="45"/>
        <v/>
      </c>
      <c r="AE56" s="549" t="str">
        <f t="shared" ca="1" si="46"/>
        <v/>
      </c>
      <c r="AF56" s="1434">
        <v>4</v>
      </c>
      <c r="AG56" s="557"/>
      <c r="AH56" s="551"/>
      <c r="AI56" s="551"/>
      <c r="AJ56" s="551"/>
      <c r="AK56" s="551"/>
      <c r="AL56" s="559">
        <f t="shared" ca="1" si="47"/>
        <v>0</v>
      </c>
      <c r="AM56" s="246">
        <f t="shared" ca="1" si="29"/>
        <v>0</v>
      </c>
      <c r="AN56" s="717">
        <f t="shared" ca="1" si="38"/>
        <v>0</v>
      </c>
      <c r="AO56" s="717">
        <f>IF(NOT(ISBLANK($S56)),IF(EXACT($O56,""),($S56*400)+IF(OR(N56="",$S56=0),100,0),ROUND((($S56*400)+IF(OR(N56="",$S56=0),100,0))/$AR56,0)),0)</f>
        <v>0</v>
      </c>
      <c r="AP56" s="717">
        <f>IF(NOT(ISBLANK($T56)),IF(EXACT($O56,""),($T56*400)+IF(OR(N56="",$T56=0),100,0),ROUND((($T56*400)+IF(OR(N56="",$T56=0),100,0))/$AR56,0)),0)</f>
        <v>0</v>
      </c>
      <c r="AQ56" s="717">
        <f ca="1">IF(AND(NOT(ISBLANK($U56)),EXACT($V56,"")),IF(EXACT($O56,""),($U56*400)+IF(OR(N56="",$U56=0),100,0),ROUND((($U56*400)+IF(OR(N56="",$U56=0),100,0))/$AR56,0)),0)</f>
        <v>0</v>
      </c>
      <c r="AR56" s="212">
        <f t="shared" ca="1" si="34"/>
        <v>2</v>
      </c>
      <c r="AS56" s="1020" t="str">
        <f t="shared" ca="1" si="35"/>
        <v/>
      </c>
      <c r="AT56" s="557" t="str">
        <f t="shared" ca="1" si="36"/>
        <v/>
      </c>
      <c r="AU56" s="557">
        <v>21</v>
      </c>
      <c r="AV56" s="557"/>
      <c r="AW56" s="212"/>
      <c r="AX56" s="212"/>
      <c r="AY56" s="212"/>
      <c r="AZ56" s="212"/>
      <c r="BA56" s="212"/>
      <c r="BB56" s="212"/>
      <c r="BC56" s="113"/>
      <c r="BD56" s="113"/>
      <c r="BE56" s="113"/>
      <c r="BF56" s="113"/>
      <c r="BG56" s="113"/>
      <c r="BH56" s="190"/>
      <c r="BI56" s="190"/>
      <c r="BJ56" s="190"/>
      <c r="BK56" s="190"/>
      <c r="BL56" s="190"/>
      <c r="BM56" s="190"/>
      <c r="BN56" s="190"/>
      <c r="BO56" s="190"/>
      <c r="BP56" s="190"/>
      <c r="BQ56" s="190"/>
      <c r="BR56" s="190"/>
      <c r="BS56" s="190"/>
      <c r="BT56" s="190"/>
      <c r="BU56" s="190"/>
      <c r="BV56" s="234"/>
    </row>
    <row r="57" spans="1:74" x14ac:dyDescent="0.2">
      <c r="A57" s="112" t="str">
        <f t="shared" si="42"/>
        <v>Ausweichen III</v>
      </c>
      <c r="B57" s="391" t="str">
        <f t="shared" ca="1" si="43"/>
        <v/>
      </c>
      <c r="C57" s="387" t="str">
        <f t="shared" ca="1" si="44"/>
        <v/>
      </c>
      <c r="D57" s="1127"/>
      <c r="E57" s="109"/>
      <c r="F57" s="384"/>
      <c r="G57" s="960"/>
      <c r="H57" s="960"/>
      <c r="I57" s="324"/>
      <c r="J57" s="1739" t="str">
        <f ca="1">IF(AND(NOT(ISBLANK($F57)),NOT(ISBLANK($G57)),NOT(ISBLANK($H57)),NOT(ISBLANK($I57))),"Was denn nun? GP oder AP?",IF(OR(NOT(ISBLANK($F57)),NOT(ISBLANK($G57)),NOT(ISBLANK($H57)),NOT(ISBLANK($I57))),IF(NOT(EXACT($B57,"")),"Diese SF hast Du schon!",IF(GE&lt;15,"GE min. 15",IF(AND(EXACT($B$78,""),ISBLANK($F$78),ISBLANK($G$78),ISBLANK($H$78),ISBLANK($I$78)),"SF Kampfreflexe nötig",IF(AND(EXACT($B$56,""),ISBLANK($F$56),ISBLANK($G$56),ISBLANK($H$56),ISBLANK($I$56)),"SF Ausweichen II nötig","")))),IF(AND(ZS_SE_VIEW,B57="",C57="",NOT(ISERR(FIND(A57,ZS_SF_ALLE,1)))),"SF verbilligt aus Studium","")))</f>
        <v/>
      </c>
      <c r="K57" s="1740"/>
      <c r="L57" s="1741"/>
      <c r="M57" s="1012" t="str">
        <f t="shared" si="26"/>
        <v>Höhere Dämonenbindung</v>
      </c>
      <c r="N57" s="391" t="str">
        <f t="shared" ca="1" si="27"/>
        <v/>
      </c>
      <c r="O57" s="387" t="str">
        <f t="shared" ca="1" si="28"/>
        <v/>
      </c>
      <c r="P57" s="1127"/>
      <c r="Q57" s="109"/>
      <c r="R57" s="384"/>
      <c r="S57" s="960"/>
      <c r="T57" s="960"/>
      <c r="U57" s="324"/>
      <c r="V57" s="1739" t="str">
        <f ca="1">IF(OR(NOT(ISBLANK($R57)),NOT(ISBLANK($S57)),NOT(ISBLANK($T57)),NOT(ISBLANK($U57))),IF(NOT(EXACT($N57,"")),"Diese SF hast Du schon!",IF(SUM(Zauber!B203,Zauber!J203)&lt;11, "RK muss &gt; 10 sein!",IF(AND(EXACT($N$44,""),ISBLANK($R$44),ISBLANK($S$44),ISBLANK($T$44),ISBLANK($U$44)),"Däm-Bindung II nötig",""))),"")&amp;IF(AND(ZS_SE_VIEW,N57="",O57="",NOT(ISERR(FIND(M57,ZS_SF_ALLE,1)))),"SF verbilligt aus Studium","")</f>
        <v/>
      </c>
      <c r="W57" s="1740"/>
      <c r="X57" s="1741"/>
      <c r="Y57" s="717">
        <f ca="1">IF(AND(NOT(ISBLANK($F57)),EXACT($J57,""),EXACT($B57,"")),IF(EXACT($C57,""),ROUND(VLOOKUP($A57,SF_NAHFERNALLE,3,FALSE)/IF(ISERR(FIND("Schlangenmensch",Generierung!$M$8)),1,2),0),ROUND(VLOOKUP($A57,SF_NAHFERNALLE,3,FALSE)/IF(ISERR(FIND("Schlangenmensch",Generierung!$M$8)),$AC57,$AC57*2),0)),0)</f>
        <v>0</v>
      </c>
      <c r="Z57" s="717">
        <f ca="1">IF(AND(NOT(ISBLANK($G57)),EXACT($B57,"")),IF(EXACT($C57,""),ROUND(VLOOKUP($A57,SF_NAHFERNALLE,2,FALSE)/IF(ISERR(FIND("Schlangenmensch",Generierung!$M$8)),1,2),0),ROUND(VLOOKUP($A57,SF_NAHFERNALLE,2,FALSE)/IF(ISERR(FIND("Schlangenmensch",Generierung!$M$8)),$AC57,$AC57*2),0)),0)</f>
        <v>0</v>
      </c>
      <c r="AA57" s="717">
        <f ca="1">IF(AND(NOT(ISBLANK($H57)),EXACT($B57,"")),IF(EXACT($C57,""),ROUND(VLOOKUP($A57,SF_NAHFERNALLE,2,FALSE)/IF(ISERR(FIND("Schlangenmensch",Generierung!$M$8)),1,2),0),ROUND(VLOOKUP($A57,SF_NAHFERNALLE,2,FALSE)/IF(ISERR(FIND("Schlangenmensch",Generierung!$M$8)),$AC57,$AC57*2),0)),0)</f>
        <v>0</v>
      </c>
      <c r="AB57" s="717">
        <f ca="1">IF(AND(NOT(ISBLANK($I57)),EXACT($J57,""),EXACT($B57,"")),ROUND(IF(EXACT($C57,""),VLOOKUP($A57,SF_NAHFERNALLE,2,FALSE)/IF(ISERR(FIND("Schlangenmensch",Generierung!$M$8)),1,2),VLOOKUP($A57,SF_NAHFERNALLE,2,FALSE)/IF(ISERR(FIND("Schlangenmensch",Generierung!$M$8)),$AC57,$AC57*2)),0),0)</f>
        <v>0</v>
      </c>
      <c r="AC57" s="212">
        <f t="shared" ca="1" si="48"/>
        <v>2</v>
      </c>
      <c r="AD57" s="557" t="str">
        <f t="shared" ca="1" si="45"/>
        <v/>
      </c>
      <c r="AE57" s="549" t="str">
        <f t="shared" ca="1" si="46"/>
        <v/>
      </c>
      <c r="AF57" s="1434">
        <v>5</v>
      </c>
      <c r="AG57" s="557"/>
      <c r="AH57" s="551"/>
      <c r="AI57" s="551"/>
      <c r="AJ57" s="551"/>
      <c r="AK57" s="551"/>
      <c r="AL57" s="559">
        <f t="shared" ca="1" si="47"/>
        <v>0</v>
      </c>
      <c r="AM57" s="246">
        <f t="shared" ca="1" si="29"/>
        <v>0</v>
      </c>
      <c r="AN57" s="212">
        <f t="shared" ca="1" si="38"/>
        <v>0</v>
      </c>
      <c r="AO57" s="212">
        <f t="shared" ref="AO57:AO71" ca="1" si="49">IF(AND(NOT(ISBLANK($S57)),EXACT($N57,"")),IF(EXACT($O57,""),VLOOKUP($M57,SF_MAGIEALLE,2,FALSE),ROUND(VLOOKUP($M57,SF_MAGIEALLE,2,FALSE)/$AR57,0)),0)</f>
        <v>0</v>
      </c>
      <c r="AP57" s="212">
        <f t="shared" ref="AP57:AP71" ca="1" si="50">IF(AND(NOT(ISBLANK($T57)),EXACT($N57,"")),IF(EXACT($O57,""),VLOOKUP($M57,SF_MAGIEALLE,2,FALSE),ROUND(VLOOKUP($M57,SF_MAGIEALLE,2,FALSE)/$AR57,0)),0)</f>
        <v>0</v>
      </c>
      <c r="AQ57" s="212">
        <f t="shared" ref="AQ57:AQ71" ca="1" si="51">IF(AND(NOT(ISBLANK($U57)),EXACT($V57,""),EXACT($N57,"")),IF(EXACT($O57,""),VLOOKUP($M57,SF_MAGIEALLE,2,FALSE),ROUND(VLOOKUP($M57,SF_MAGIEALLE,2,FALSE)/$AR57,0)),0)</f>
        <v>0</v>
      </c>
      <c r="AR57" s="212">
        <f t="shared" ca="1" si="34"/>
        <v>2</v>
      </c>
      <c r="AS57" s="1020" t="str">
        <f t="shared" ca="1" si="35"/>
        <v/>
      </c>
      <c r="AT57" s="557" t="str">
        <f t="shared" ca="1" si="36"/>
        <v/>
      </c>
      <c r="AU57" s="557">
        <v>22</v>
      </c>
      <c r="AV57" s="557"/>
      <c r="AW57" s="212"/>
      <c r="AX57" s="212"/>
      <c r="AY57" s="212"/>
      <c r="AZ57" s="212"/>
      <c r="BA57" s="212"/>
      <c r="BB57" s="18"/>
      <c r="BC57" s="18"/>
      <c r="BD57" s="18"/>
      <c r="BE57" s="18"/>
      <c r="BF57" s="18"/>
      <c r="BG57" s="18"/>
      <c r="BH57" s="18"/>
      <c r="BI57" s="18"/>
      <c r="BJ57" s="18"/>
      <c r="BK57" s="18"/>
      <c r="BL57" s="18"/>
      <c r="BM57" s="18"/>
      <c r="BN57" s="18"/>
      <c r="BO57" s="18"/>
      <c r="BP57" s="18"/>
      <c r="BQ57" s="18"/>
      <c r="BR57" s="18"/>
      <c r="BS57" s="18"/>
      <c r="BT57" s="18"/>
      <c r="BU57" s="18"/>
      <c r="BV57" s="234"/>
    </row>
    <row r="58" spans="1:74" x14ac:dyDescent="0.2">
      <c r="A58" s="112" t="str">
        <f t="shared" si="42"/>
        <v>Befreiungsschlag</v>
      </c>
      <c r="B58" s="391" t="str">
        <f t="shared" ca="1" si="43"/>
        <v/>
      </c>
      <c r="C58" s="387" t="str">
        <f t="shared" ca="1" si="44"/>
        <v/>
      </c>
      <c r="D58" s="1127"/>
      <c r="E58" s="109"/>
      <c r="F58" s="384"/>
      <c r="G58" s="960"/>
      <c r="H58" s="960"/>
      <c r="I58" s="324"/>
      <c r="J58" s="1739" t="str">
        <f ca="1">IF(AND(NOT(ISBLANK($F58)),NOT(ISBLANK($G58)),NOT(ISBLANK($H58)),NOT(ISBLANK($I58))),"Was denn nun? GP oder AP?",IF(OR(NOT(ISBLANK($F58)),NOT(ISBLANK($G58)),NOT(ISBLANK($H58)),NOT(ISBLANK($I58))),IF(NOT(EXACT($B58,"")),"Diese SF hast Du schon!",IF(KK&lt;15,"KK min. 15",IF(MU&lt;12,"MU min. 12",IF(AND(EXACT($B$86,""),ISBLANK($F$86),ISBLANK($G$86),ISBLANK($H$86),ISBLANK($I$86)),"SF Niederwerfen nötig","")))),IF(AND(ZS_SE_VIEW,B58="",C58="",NOT(ISERR(FIND(A58,ZS_SF_ALLE,1)))),"SF verbilligt aus Studium","")))</f>
        <v/>
      </c>
      <c r="K58" s="1740"/>
      <c r="L58" s="1741"/>
      <c r="M58" s="1012" t="str">
        <f t="shared" si="26"/>
        <v>Hypervehemenz</v>
      </c>
      <c r="N58" s="391" t="str">
        <f t="shared" ca="1" si="27"/>
        <v/>
      </c>
      <c r="O58" s="387" t="str">
        <f t="shared" ca="1" si="28"/>
        <v/>
      </c>
      <c r="P58" s="1127"/>
      <c r="Q58" s="109"/>
      <c r="R58" s="384"/>
      <c r="S58" s="960"/>
      <c r="T58" s="960"/>
      <c r="U58" s="324"/>
      <c r="V58" s="1739" t="str">
        <f ca="1">IF(OR(NOT(ISBLANK($R58)),NOT(ISBLANK($S58)),NOT(ISBLANK($T58)),NOT(ISBLANK($U58))),IF(NOT(EXACT($N58,"")),"Diese SF hast Du schon!",IF(ARCANOVI_WERT&lt;14,"Arcanovi mind. auf 14",IF(Talente!$O$93&lt;16,"Magiekunde mind. 16",IF(EXACT(AT87,""),"SF Stapeleffekt notwendig","")))),IF(AND(ZS_SE_VIEW,N58="",O58="",NOT(ISERR(FIND(M58,ZS_SF_ALLE,1)))),"SF verbilligt aus Studium",""))</f>
        <v/>
      </c>
      <c r="W58" s="1740"/>
      <c r="X58" s="1741"/>
      <c r="Y58" s="212">
        <f ca="1">IF(AND(NOT(ISBLANK($F58)),EXACT($J58,""),EXACT($B58,"")),IF(EXACT($C58,""),VLOOKUP($A58,SF_NAHFERNALLE,3,FALSE),ROUND(VLOOKUP($A58,SF_NAHFERNALLE,3,FALSE)/$AC58,0)),0)</f>
        <v>0</v>
      </c>
      <c r="Z58" s="212">
        <f ca="1">IF(AND(NOT(ISBLANK($G58)),EXACT($B58,"")),IF(EXACT($C58,""),VLOOKUP($A58,SF_NAHFERNALLE,2,FALSE),ROUND(VLOOKUP($A58,SF_NAHFERNALLE,2,FALSE)/$AC58,0)),0)</f>
        <v>0</v>
      </c>
      <c r="AA58" s="212">
        <f ca="1">IF(AND(NOT(ISBLANK($H58)),EXACT($B58,"")),IF(EXACT($C58,""),VLOOKUP($A58,SF_NAHFERNALLE,2,FALSE),ROUND(VLOOKUP($A58,SF_NAHFERNALLE,2,FALSE)/$AC58,0)),0)</f>
        <v>0</v>
      </c>
      <c r="AB58" s="212">
        <f ca="1">IF(AND(NOT(ISBLANK($I58)),EXACT($J58,""),EXACT($B58,"")),IF(EXACT($C58,""),VLOOKUP($A58,SF_NAHFERNALLE,2,FALSE),ROUND(VLOOKUP($A58,SF_NAHFERNALLE,2,FALSE)/$AC58,0)),0)</f>
        <v>0</v>
      </c>
      <c r="AC58" s="212">
        <f t="shared" ca="1" si="48"/>
        <v>2</v>
      </c>
      <c r="AD58" s="557" t="str">
        <f t="shared" ca="1" si="45"/>
        <v/>
      </c>
      <c r="AE58" s="549" t="str">
        <f t="shared" ca="1" si="46"/>
        <v/>
      </c>
      <c r="AF58" s="1434">
        <v>6</v>
      </c>
      <c r="AG58" s="557"/>
      <c r="AH58" s="551"/>
      <c r="AI58" s="551"/>
      <c r="AJ58" s="551"/>
      <c r="AK58" s="551"/>
      <c r="AL58" s="559">
        <f t="shared" ca="1" si="47"/>
        <v>0</v>
      </c>
      <c r="AM58" s="246">
        <f t="shared" ca="1" si="29"/>
        <v>0</v>
      </c>
      <c r="AN58" s="212">
        <f t="shared" ca="1" si="38"/>
        <v>0</v>
      </c>
      <c r="AO58" s="212">
        <f t="shared" ca="1" si="49"/>
        <v>0</v>
      </c>
      <c r="AP58" s="212">
        <f t="shared" ca="1" si="50"/>
        <v>0</v>
      </c>
      <c r="AQ58" s="212">
        <f t="shared" ca="1" si="51"/>
        <v>0</v>
      </c>
      <c r="AR58" s="212">
        <f t="shared" ca="1" si="34"/>
        <v>2</v>
      </c>
      <c r="AS58" s="1020" t="str">
        <f t="shared" ca="1" si="35"/>
        <v/>
      </c>
      <c r="AT58" s="557" t="str">
        <f t="shared" ca="1" si="36"/>
        <v/>
      </c>
      <c r="AU58" s="557">
        <v>23</v>
      </c>
      <c r="AV58" s="557"/>
      <c r="AW58" s="212"/>
      <c r="AX58" s="212"/>
      <c r="AY58" s="212"/>
      <c r="AZ58" s="212"/>
      <c r="BA58" s="212"/>
      <c r="BB58" s="212"/>
      <c r="BC58" s="113"/>
      <c r="BD58" s="113"/>
      <c r="BE58" s="113"/>
      <c r="BF58" s="113"/>
      <c r="BG58" s="113"/>
      <c r="BH58" s="190"/>
      <c r="BI58" s="190"/>
      <c r="BJ58" s="190"/>
      <c r="BK58" s="190"/>
      <c r="BL58" s="190"/>
      <c r="BM58" s="190"/>
      <c r="BN58" s="190"/>
      <c r="BO58" s="190"/>
      <c r="BP58" s="190"/>
      <c r="BQ58" s="190"/>
      <c r="BR58" s="190"/>
      <c r="BS58" s="190"/>
      <c r="BT58" s="190"/>
      <c r="BU58" s="190"/>
      <c r="BV58" s="234"/>
    </row>
    <row r="59" spans="1:74" x14ac:dyDescent="0.2">
      <c r="A59" s="112" t="str">
        <f t="shared" si="42"/>
        <v>Beidhändiger Kampf I</v>
      </c>
      <c r="B59" s="391" t="str">
        <f t="shared" ca="1" si="43"/>
        <v/>
      </c>
      <c r="C59" s="387" t="str">
        <f t="shared" ca="1" si="44"/>
        <v/>
      </c>
      <c r="D59" s="1127"/>
      <c r="E59" s="109"/>
      <c r="F59" s="384"/>
      <c r="G59" s="960"/>
      <c r="H59" s="960"/>
      <c r="I59" s="324"/>
      <c r="J59" s="1739" t="str">
        <f ca="1">IF(AND(NOT(ISBLANK($F59)),NOT(ISBLANK($G59)),NOT(ISBLANK($H59)),NOT(ISBLANK($I59))),"Was denn nun? GP oder AP?",IF(OR(NOT(ISBLANK($F59)),NOT(ISBLANK($G59)),NOT(ISBLANK($H59)),NOT(ISBLANK($I59))),IF(NOT(EXACT($B59,"")),"Diese SF hast Du schon!",IF(GE&lt;12,"GE min. 12",IF(AND(EXACT($B$83,""),ISBLANK($F$83),ISBLANK($G$83),ISBLANK($H$83),ISBLANK($I$83)),"SF Linkhand nötig",""))),IF(AND(ZS_SE_VIEW,B59="",C59="",NOT(ISERR(FIND(A59,ZS_SF_ALLE,1)))),"SF verbilligt aus Studium","")))</f>
        <v/>
      </c>
      <c r="K59" s="1740"/>
      <c r="L59" s="1741"/>
      <c r="M59" s="1012" t="str">
        <f t="shared" si="26"/>
        <v>Invocatio Integra</v>
      </c>
      <c r="N59" s="391" t="str">
        <f t="shared" ca="1" si="27"/>
        <v/>
      </c>
      <c r="O59" s="387" t="str">
        <f t="shared" ca="1" si="28"/>
        <v/>
      </c>
      <c r="P59" s="1127"/>
      <c r="Q59" s="109"/>
      <c r="R59" s="384"/>
      <c r="S59" s="960"/>
      <c r="T59" s="960"/>
      <c r="U59" s="324"/>
      <c r="V59" s="1739" t="str">
        <f ca="1">IF(OR(NOT(ISBLANK($R59)),NOT(ISBLANK($S59)),NOT(ISBLANK($T59)),NOT(ISBLANK($U59))),IF(Eigenschaften!AY3&lt;7,"ZfW Invocatio maior 7+",""),IF(AND(ZS_SE_VIEW,N59="",O59="",NOT(ISERR(FIND(M59,ZS_SF_ALLE,1)))),"SF verbilligt aus Studium",""))</f>
        <v/>
      </c>
      <c r="W59" s="1740"/>
      <c r="X59" s="1741"/>
      <c r="Y59" s="717">
        <f ca="1">ROUND(IF(AND(NOT(ISBLANK($F59)),EXACT($J59,""),EXACT($B59,"")),IF(EXACT($C59,""),VLOOKUP($A59,SF_NAHFERNALLE,3,FALSE)*IF(VT_BEIDHG,0.5,1)*IF(VT_LINKHD,0.75,1),VLOOKUP($A59,SF_NAHFERNALLE,3,FALSE)*IF(VT_BEIDHG,0.5,1)*IF(VT_LINKHD,0.75,1)/$AC59 ),0),0)</f>
        <v>0</v>
      </c>
      <c r="Z59" s="717">
        <f ca="1">ROUND(IF(AND(NOT(ISBLANK($G59)),EXACT($B59,"")),IF(EXACT($C59,""),VLOOKUP($A59,SF_NAHFERNALLE,2,FALSE)*IF(VT_BEIDHG,0.5,1)*IF(VT_LINKHD,0.75,1),VLOOKUP($A59,SF_NAHFERNALLE,2,FALSE)*IF(VT_BEIDHG,0.5,1)*IF(VT_LINKHD,0.75,1)/$AC59 ),0),0)</f>
        <v>0</v>
      </c>
      <c r="AA59" s="717">
        <f ca="1">ROUND(IF(AND(NOT(ISBLANK($H59)),EXACT($B59,"")),IF(EXACT($C59,""),VLOOKUP($A59,SF_NAHFERNALLE,2,FALSE)*IF(VT_BEIDHG,0.5,1)*IF(VT_LINKHD,0.75,1),VLOOKUP($A59,SF_NAHFERNALLE,2,FALSE)*IF(VT_BEIDHG,0.5,1)*IF(VT_LINKHD,0.75,1)/$AC59 ),0),0)</f>
        <v>0</v>
      </c>
      <c r="AB59" s="717">
        <f ca="1">ROUND(IF(AND(NOT(ISBLANK($I59)),EXACT($J59,""),EXACT($B59,"")),IF(EXACT($C59,""),VLOOKUP($A59,SF_NAHFERNALLE,2,FALSE)*IF(VT_BEIDHG,0.5,1)*IF(VT_LINKHD,0.75,1),VLOOKUP($A59,SF_NAHFERNALLE,2,FALSE)*IF(VT_BEIDHG,0.5,1)*IF(VT_LINKHD,0.75,1)/$AC59 ),0),0)</f>
        <v>0</v>
      </c>
      <c r="AC59" s="212">
        <f t="shared" ca="1" si="48"/>
        <v>2</v>
      </c>
      <c r="AD59" s="557" t="str">
        <f t="shared" ca="1" si="45"/>
        <v/>
      </c>
      <c r="AE59" s="549" t="str">
        <f t="shared" ca="1" si="46"/>
        <v/>
      </c>
      <c r="AF59" s="1434">
        <v>7</v>
      </c>
      <c r="AG59" s="557"/>
      <c r="AH59" s="551"/>
      <c r="AI59" s="551"/>
      <c r="AJ59" s="551"/>
      <c r="AK59" s="551"/>
      <c r="AL59" s="559">
        <f t="shared" ca="1" si="47"/>
        <v>0</v>
      </c>
      <c r="AM59" s="246">
        <f t="shared" ca="1" si="29"/>
        <v>0</v>
      </c>
      <c r="AN59" s="212">
        <f t="shared" ca="1" si="38"/>
        <v>0</v>
      </c>
      <c r="AO59" s="212">
        <f t="shared" ca="1" si="49"/>
        <v>0</v>
      </c>
      <c r="AP59" s="212">
        <f t="shared" ca="1" si="50"/>
        <v>0</v>
      </c>
      <c r="AQ59" s="212">
        <f t="shared" ca="1" si="51"/>
        <v>0</v>
      </c>
      <c r="AR59" s="212">
        <f t="shared" ca="1" si="34"/>
        <v>2</v>
      </c>
      <c r="AS59" s="1020" t="str">
        <f t="shared" ca="1" si="35"/>
        <v/>
      </c>
      <c r="AT59" s="557" t="str">
        <f t="shared" ca="1" si="36"/>
        <v/>
      </c>
      <c r="AU59" s="557">
        <v>24</v>
      </c>
      <c r="AV59" s="557"/>
      <c r="AW59" s="212"/>
      <c r="AX59" s="212"/>
      <c r="AY59" s="212"/>
      <c r="AZ59" s="212"/>
      <c r="BA59" s="212"/>
      <c r="BB59" s="212"/>
      <c r="BC59" s="113"/>
      <c r="BD59" s="113"/>
      <c r="BE59" s="113"/>
      <c r="BF59" s="113"/>
      <c r="BG59" s="113"/>
      <c r="BH59" s="190"/>
      <c r="BI59" s="190"/>
      <c r="BJ59" s="190"/>
      <c r="BK59" s="190"/>
      <c r="BL59" s="190"/>
      <c r="BM59" s="190"/>
      <c r="BN59" s="190"/>
      <c r="BO59" s="190"/>
      <c r="BP59" s="190"/>
      <c r="BQ59" s="190"/>
      <c r="BR59" s="190"/>
      <c r="BS59" s="190"/>
      <c r="BT59" s="190"/>
      <c r="BU59" s="190"/>
      <c r="BV59" s="234"/>
    </row>
    <row r="60" spans="1:74" x14ac:dyDescent="0.2">
      <c r="A60" s="112" t="str">
        <f t="shared" si="42"/>
        <v>Beidhändiger Kampf II</v>
      </c>
      <c r="B60" s="391" t="str">
        <f t="shared" ca="1" si="43"/>
        <v/>
      </c>
      <c r="C60" s="387" t="str">
        <f t="shared" ca="1" si="44"/>
        <v/>
      </c>
      <c r="D60" s="1127"/>
      <c r="E60" s="109"/>
      <c r="F60" s="384"/>
      <c r="G60" s="960"/>
      <c r="H60" s="960"/>
      <c r="I60" s="324"/>
      <c r="J60" s="1739" t="str">
        <f ca="1">IF(AND(NOT(ISBLANK($F60)),NOT(ISBLANK($G60)),NOT(ISBLANK($H60)),NOT(ISBLANK($I60))),"Was denn nun? GP oder AP?",IF(OR(NOT(ISBLANK($F60)),NOT(ISBLANK($G60)),NOT(ISBLANK($H60)),NOT(ISBLANK($I60))),IF(NOT(EXACT($B60,"")),"Diese SF hast Du schon!",IF(GE&lt;15,"GE min. 15",IF(AND(EXACT($B$59,""),ISBLANK($F$59),ISBLANK($G$59),ISBLANK($H$59),ISBLANK($I$59)),"SF Beidh. Kampf I nötig",""))),IF(AND(ZS_SE_VIEW,B60="",C60="",NOT(ISERR(FIND(A60,ZS_SF_ALLE,1)))),"SF verbilligt aus Studium","")))</f>
        <v/>
      </c>
      <c r="K60" s="1740"/>
      <c r="L60" s="1741"/>
      <c r="M60" s="1012" t="str">
        <f t="shared" si="26"/>
        <v>Konzentrationsstärke</v>
      </c>
      <c r="N60" s="391" t="str">
        <f t="shared" ca="1" si="27"/>
        <v/>
      </c>
      <c r="O60" s="387" t="str">
        <f t="shared" ca="1" si="28"/>
        <v/>
      </c>
      <c r="P60" s="1127"/>
      <c r="Q60" s="109"/>
      <c r="R60" s="384"/>
      <c r="S60" s="960"/>
      <c r="T60" s="960"/>
      <c r="U60" s="324"/>
      <c r="V60" s="1739" t="str">
        <f ca="1">IF(OR(NOT(ISBLANK($R60)),NOT(ISBLANK($S60)),NOT(ISBLANK($T60)),NOT(ISBLANK($U60))),IF(NOT(EXACT($N60,"")),"Diese SF hast Du schon!",IF(MU&lt;15,"MU min. 15","")),IF(AND(ZS_SE_VIEW,N60="",O60="",NOT(ISERR(FIND(M60,ZS_SF_ALLE,1)))),"SF verbilligt aus Studium",""))</f>
        <v/>
      </c>
      <c r="W60" s="1740"/>
      <c r="X60" s="1741"/>
      <c r="Y60" s="717">
        <f ca="1">ROUND(IF(AND(NOT(ISBLANK($F60)),EXACT($J60,""),EXACT($B60,"")),IF(EXACT($C60,""),VLOOKUP($A60,SF_NAHFERNALLE,3,FALSE)*IF(VT_BEIDHG,0.5,1)*IF(VT_LINKHD,0.75,1),VLOOKUP($A60,SF_NAHFERNALLE,3,FALSE)*IF(VT_BEIDHG,0.5,1)*IF(VT_LINKHD,0.75,1)/$AC60 )-IF($AD$99="",0,VLOOKUP($A$99,SF_NAHFERNALLE,2,FALSE)),0),0)</f>
        <v>0</v>
      </c>
      <c r="Z60" s="717">
        <f ca="1">ROUND(IF(AND(NOT(ISBLANK($G60)),EXACT($B60,"")),IF(EXACT($C60,""),VLOOKUP($A60,SF_NAHFERNALLE,2,FALSE)*IF(VT_BEIDHG,0.5,1)*IF(VT_LINKHD,0.75,1),VLOOKUP($A60,SF_NAHFERNALLE,2,FALSE)*IF(VT_BEIDHG,0.5,1)*IF(VT_LINKHD,0.75,1)/$AC60 )-IF($AD$99="",0,VLOOKUP($A$99,SF_NAHFERNALLE,2,FALSE)),0),0)</f>
        <v>0</v>
      </c>
      <c r="AA60" s="717">
        <f ca="1">ROUND(IF(AND(NOT(ISBLANK($H60)),EXACT($B60,"")),IF(EXACT($C60,""),VLOOKUP($A60,SF_NAHFERNALLE,2,FALSE)*IF(VT_BEIDHG,0.5,1)*IF(VT_LINKHD,0.75,1),VLOOKUP($A60,SF_NAHFERNALLE,2,FALSE)*IF(VT_BEIDHG,0.5,1)*IF(VT_LINKHD,0.75,1)/$AC60 )-IF($AD$99="",0,VLOOKUP($A$99,SF_NAHFERNALLE,2,FALSE)),0),0)</f>
        <v>0</v>
      </c>
      <c r="AB60" s="717">
        <f ca="1">ROUND(IF(AND(NOT(ISBLANK($I60)),EXACT($J60,""),EXACT($B60,"")),IF(EXACT($C60,""),VLOOKUP($A60,SF_NAHFERNALLE,2,FALSE)*IF(VT_BEIDHG,0.5,1)*IF(VT_LINKHD,0.75,1),VLOOKUP($A60,SF_NAHFERNALLE,2,FALSE)*IF(VT_BEIDHG,0.5,1)*IF(VT_LINKHD,0.75,1)/$AC60 )-IF($AD$99="",0,VLOOKUP($A$99,SF_NAHFERNALLE,2,FALSE)),0),0)</f>
        <v>0</v>
      </c>
      <c r="AC60" s="212">
        <f t="shared" ca="1" si="48"/>
        <v>2</v>
      </c>
      <c r="AD60" s="557" t="str">
        <f t="shared" ca="1" si="45"/>
        <v/>
      </c>
      <c r="AE60" s="549" t="str">
        <f t="shared" ca="1" si="46"/>
        <v/>
      </c>
      <c r="AF60" s="1434">
        <v>8</v>
      </c>
      <c r="AG60" s="557"/>
      <c r="AH60" s="551"/>
      <c r="AI60" s="551"/>
      <c r="AJ60" s="551"/>
      <c r="AK60" s="551"/>
      <c r="AL60" s="559">
        <f t="shared" ca="1" si="47"/>
        <v>0</v>
      </c>
      <c r="AM60" s="246">
        <f t="shared" ca="1" si="29"/>
        <v>0</v>
      </c>
      <c r="AN60" s="212">
        <f t="shared" ca="1" si="38"/>
        <v>0</v>
      </c>
      <c r="AO60" s="212">
        <f t="shared" ca="1" si="49"/>
        <v>0</v>
      </c>
      <c r="AP60" s="212">
        <f t="shared" ca="1" si="50"/>
        <v>0</v>
      </c>
      <c r="AQ60" s="212">
        <f t="shared" ca="1" si="51"/>
        <v>0</v>
      </c>
      <c r="AR60" s="212">
        <f t="shared" ca="1" si="34"/>
        <v>2</v>
      </c>
      <c r="AS60" s="1020" t="str">
        <f t="shared" ca="1" si="35"/>
        <v/>
      </c>
      <c r="AT60" s="557" t="str">
        <f t="shared" ca="1" si="36"/>
        <v/>
      </c>
      <c r="AU60" s="557">
        <v>25</v>
      </c>
      <c r="AV60" s="557"/>
      <c r="AW60" s="212"/>
      <c r="AX60" s="212"/>
      <c r="AY60" s="212"/>
      <c r="AZ60" s="212"/>
      <c r="BA60" s="212"/>
      <c r="BB60" s="212"/>
      <c r="BC60" s="113"/>
      <c r="BD60" s="113"/>
      <c r="BE60" s="113"/>
      <c r="BF60" s="113"/>
      <c r="BG60" s="113"/>
      <c r="BH60" s="190"/>
      <c r="BI60" s="190"/>
      <c r="BJ60" s="190"/>
      <c r="BK60" s="190"/>
      <c r="BL60" s="190"/>
      <c r="BM60" s="190"/>
      <c r="BN60" s="190"/>
      <c r="BO60" s="190"/>
      <c r="BP60" s="190"/>
      <c r="BQ60" s="190"/>
      <c r="BR60" s="190"/>
      <c r="BS60" s="190"/>
      <c r="BT60" s="190"/>
      <c r="BU60" s="190"/>
      <c r="BV60" s="234"/>
    </row>
    <row r="61" spans="1:74" x14ac:dyDescent="0.2">
      <c r="A61" s="112" t="str">
        <f t="shared" si="42"/>
        <v>Betäubungsschlag</v>
      </c>
      <c r="B61" s="391" t="str">
        <f t="shared" ca="1" si="43"/>
        <v/>
      </c>
      <c r="C61" s="387" t="str">
        <f t="shared" ca="1" si="44"/>
        <v/>
      </c>
      <c r="D61" s="1127"/>
      <c r="E61" s="109"/>
      <c r="F61" s="384"/>
      <c r="G61" s="960"/>
      <c r="H61" s="960"/>
      <c r="I61" s="324"/>
      <c r="J61" s="1739" t="str">
        <f ca="1">IF(AND(NOT(ISBLANK($F61)),NOT(ISBLANK($G61)),NOT(ISBLANK($H61)),NOT(ISBLANK($I61))),"Was denn nun? GP oder AP?",IF(OR(NOT(ISBLANK($F61)),NOT(ISBLANK($G61)),NOT(ISBLANK($H61)),NOT(ISBLANK($I61))),IF(NOT(EXACT($B61,"")),"Diese SF hast Du schon!",IF(AND(EXACT($B$68,""),ISBLANK($F$68),ISBLANK($G$68),ISBLANK($H$68),ISBLANK($I$68)),"SF Finte nötig",IF(AND(EXACT($B$111,""),ISBLANK($F$111),ISBLANK($G$111),ISBLANK($H$111),ISBLANK($I$111)),"SF Wuchtschlag nötig",""))),IF(AND(ZS_SE_VIEW,B61="",C61="",NOT(ISERR(FIND(A61,ZS_SF_ALLE,1)))),"SF verbilligt aus Studium","")))</f>
        <v/>
      </c>
      <c r="K61" s="1740"/>
      <c r="L61" s="1741"/>
      <c r="M61" s="1012" t="str">
        <f t="shared" si="26"/>
        <v>Kraftkontrolle</v>
      </c>
      <c r="N61" s="391" t="str">
        <f t="shared" ca="1" si="27"/>
        <v/>
      </c>
      <c r="O61" s="387" t="str">
        <f t="shared" ca="1" si="28"/>
        <v/>
      </c>
      <c r="P61" s="1127"/>
      <c r="Q61" s="109"/>
      <c r="R61" s="384"/>
      <c r="S61" s="960"/>
      <c r="T61" s="960"/>
      <c r="U61" s="324"/>
      <c r="V61" s="1739" t="str">
        <f ca="1">IF(OR(NOT(ISBLANK($R61)),NOT(ISBLANK($S61)),NOT(ISBLANK($T61)),NOT(ISBLANK($U61))),IF(NOT(EXACT($N61,"")),"Diese SF hast Du schon!",IF(IN&lt;12,"IN min. 12",IF(CH&lt;13,"CH min. 13",""))),IF(AND(ZS_SE_VIEW,N61="",O61="",NOT(ISERR(FIND(M61,ZS_SF_ALLE,1)))),"SF verbilligt aus Studium",""))</f>
        <v/>
      </c>
      <c r="W61" s="1740"/>
      <c r="X61" s="1741"/>
      <c r="Y61" s="212">
        <f ca="1">IF(AND(NOT(ISBLANK($F61)),EXACT($J61,""),EXACT($B61,"")),IF(EXACT($C61,""),VLOOKUP($A61,SF_NAHFERNALLE,3,FALSE),ROUND(VLOOKUP($A61,SF_NAHFERNALLE,3,FALSE)/$AC61,0)),0)</f>
        <v>0</v>
      </c>
      <c r="Z61" s="212">
        <f ca="1">IF(AND(NOT(ISBLANK($G61)),EXACT($B61,"")),IF(EXACT($C61,""),VLOOKUP($A61,SF_NAHFERNALLE,2,FALSE),ROUND(VLOOKUP($A61,SF_NAHFERNALLE,2,FALSE)/$AC61,0)),0)</f>
        <v>0</v>
      </c>
      <c r="AA61" s="212">
        <f ca="1">IF(AND(NOT(ISBLANK($H61)),EXACT($B61,"")),IF(EXACT($C61,""),VLOOKUP($A61,SF_NAHFERNALLE,2,FALSE),ROUND(VLOOKUP($A61,SF_NAHFERNALLE,2,FALSE)/$AC61,0)),0)</f>
        <v>0</v>
      </c>
      <c r="AB61" s="212">
        <f ca="1">IF(AND(NOT(ISBLANK($I61)),EXACT($J61,""),EXACT($B61,"")),IF(EXACT($C61,""),VLOOKUP($A61,SF_NAHFERNALLE,2,FALSE),ROUND(VLOOKUP($A61,SF_NAHFERNALLE,2,FALSE)/$AC61,0)),0)</f>
        <v>0</v>
      </c>
      <c r="AC61" s="212">
        <f t="shared" ca="1" si="48"/>
        <v>2</v>
      </c>
      <c r="AD61" s="557" t="str">
        <f t="shared" ca="1" si="45"/>
        <v/>
      </c>
      <c r="AE61" s="549" t="str">
        <f t="shared" ca="1" si="46"/>
        <v/>
      </c>
      <c r="AF61" s="1434">
        <v>9</v>
      </c>
      <c r="AG61" s="557"/>
      <c r="AH61" s="551"/>
      <c r="AI61" s="551"/>
      <c r="AJ61" s="551"/>
      <c r="AK61" s="551"/>
      <c r="AL61" s="559">
        <f t="shared" ca="1" si="47"/>
        <v>0</v>
      </c>
      <c r="AM61" s="246">
        <f t="shared" ca="1" si="29"/>
        <v>0</v>
      </c>
      <c r="AN61" s="212">
        <f t="shared" ca="1" si="38"/>
        <v>0</v>
      </c>
      <c r="AO61" s="212">
        <f t="shared" ca="1" si="49"/>
        <v>0</v>
      </c>
      <c r="AP61" s="212">
        <f t="shared" ca="1" si="50"/>
        <v>0</v>
      </c>
      <c r="AQ61" s="212">
        <f t="shared" ca="1" si="51"/>
        <v>0</v>
      </c>
      <c r="AR61" s="212">
        <f t="shared" ca="1" si="34"/>
        <v>2</v>
      </c>
      <c r="AS61" s="1020" t="str">
        <f t="shared" ca="1" si="35"/>
        <v/>
      </c>
      <c r="AT61" s="557" t="str">
        <f t="shared" ca="1" si="36"/>
        <v/>
      </c>
      <c r="AU61" s="557">
        <v>26</v>
      </c>
      <c r="AV61" s="557"/>
      <c r="AW61" s="212"/>
      <c r="AX61" s="212"/>
      <c r="AY61" s="212"/>
      <c r="AZ61" s="212"/>
      <c r="BA61" s="212"/>
      <c r="BB61" s="212"/>
      <c r="BC61" s="113"/>
      <c r="BD61" s="113"/>
      <c r="BE61" s="113"/>
      <c r="BF61" s="113"/>
      <c r="BG61" s="113"/>
      <c r="BH61" s="190"/>
      <c r="BI61" s="190"/>
      <c r="BJ61" s="190"/>
      <c r="BK61" s="190"/>
      <c r="BL61" s="190"/>
      <c r="BM61" s="190"/>
      <c r="BN61" s="190"/>
      <c r="BO61" s="190"/>
      <c r="BP61" s="190"/>
      <c r="BQ61" s="190"/>
      <c r="BR61" s="190"/>
      <c r="BS61" s="190"/>
      <c r="BT61" s="190"/>
      <c r="BU61" s="190"/>
      <c r="BV61" s="234"/>
    </row>
    <row r="62" spans="1:74" x14ac:dyDescent="0.2">
      <c r="A62" s="112" t="str">
        <f t="shared" si="42"/>
        <v>Binden</v>
      </c>
      <c r="B62" s="391" t="str">
        <f t="shared" ca="1" si="43"/>
        <v/>
      </c>
      <c r="C62" s="387" t="str">
        <f t="shared" ca="1" si="44"/>
        <v/>
      </c>
      <c r="D62" s="1127"/>
      <c r="E62" s="109"/>
      <c r="F62" s="384"/>
      <c r="G62" s="960"/>
      <c r="H62" s="960"/>
      <c r="I62" s="324"/>
      <c r="J62" s="1739" t="str">
        <f ca="1">IF(AND(NOT(ISBLANK($F62)),NOT(ISBLANK($G62)),NOT(ISBLANK($H62)),NOT(ISBLANK($I62))),"Was denn nun? GP oder AP?",IF(OR(NOT(ISBLANK($F62)),NOT(ISBLANK($G62)),NOT(ISBLANK($H62)),NOT(ISBLANK($I62))),IF(NOT(EXACT($B62,"")),"Diese SF hast Du schon!",IF(OR(GE&lt;12,IN&lt;12),"IN und GE min. je 12",IF(AND(AND(EXACT($B$85,""),ISBLANK($F$85),ISBLANK($G$85),ISBLANK($H$85),ISBLANK($I$85)),AND(EXACT($B$87,""),ISBLANK($F$87),ISBLANK($G$87),ISBLANK($H$87),ISBLANK($I$87))),"Mst.-Parade o. Par.-Wfn. I nötig",""))),IF(AND(ZS_SE_VIEW,B62="",C62="",NOT(ISERR(FIND(A62,ZS_SF_ALLE,1)))),"SF verbilligt aus Studium","")))</f>
        <v/>
      </c>
      <c r="K62" s="1740"/>
      <c r="L62" s="1741"/>
      <c r="M62" s="1012" t="str">
        <f t="shared" si="26"/>
        <v>Kraftlinienmagie I</v>
      </c>
      <c r="N62" s="391" t="str">
        <f t="shared" ca="1" si="27"/>
        <v/>
      </c>
      <c r="O62" s="387" t="str">
        <f t="shared" ca="1" si="28"/>
        <v/>
      </c>
      <c r="P62" s="1127"/>
      <c r="Q62" s="109"/>
      <c r="R62" s="384"/>
      <c r="S62" s="960"/>
      <c r="T62" s="960"/>
      <c r="U62" s="324"/>
      <c r="V62" s="1739" t="str">
        <f ca="1">IF(OR(NOT(ISBLANK($R62)),NOT(ISBLANK($S62)),NOT(ISBLANK($T62)),NOT(ISBLANK($U62))),IF(NOT(EXACT($N62,"")),"Diese SF hast Du schon!",IF(AND(KL&lt;15,IN&lt;15),"KL oder IN min. 15","")),IF(AND(ZS_SE_VIEW,N62="",O62="",NOT(ISERR(FIND(M62,ZS_SF_ALLE,1)))),"SF verbilligt aus Studium",""))</f>
        <v/>
      </c>
      <c r="W62" s="1740"/>
      <c r="X62" s="1741"/>
      <c r="Y62" s="212">
        <f ca="1">IF(AND(NOT(ISBLANK($F62)),EXACT($J62,""),EXACT($B62,"")),IF(EXACT($C62,""),VLOOKUP($A62,SF_NAHFERNALLE,3,FALSE),ROUND(VLOOKUP($A62,SF_NAHFERNALLE,3,FALSE)/$AC62,0)),0)</f>
        <v>0</v>
      </c>
      <c r="Z62" s="212">
        <f ca="1">IF(AND(NOT(ISBLANK($G62)),EXACT($B62,"")),IF(EXACT($C62,""),VLOOKUP($A62,SF_NAHFERNALLE,2,FALSE),ROUND(VLOOKUP($A62,SF_NAHFERNALLE,2,FALSE)/$AC62,0)),0)</f>
        <v>0</v>
      </c>
      <c r="AA62" s="212">
        <f ca="1">IF(AND(NOT(ISBLANK($H62)),EXACT($B62,"")),IF(EXACT($C62,""),VLOOKUP($A62,SF_NAHFERNALLE,2,FALSE),ROUND(VLOOKUP($A62,SF_NAHFERNALLE,2,FALSE)/$AC62,0)),0)</f>
        <v>0</v>
      </c>
      <c r="AB62" s="212">
        <f ca="1">IF(AND(NOT(ISBLANK($I62)),EXACT($J62,""),EXACT($B62,"")),IF(EXACT($C62,""),VLOOKUP($A62,SF_NAHFERNALLE,2,FALSE),ROUND(VLOOKUP($A62,SF_NAHFERNALLE,2,FALSE)/$AC62,0)),0)</f>
        <v>0</v>
      </c>
      <c r="AC62" s="212">
        <f t="shared" ca="1" si="48"/>
        <v>2</v>
      </c>
      <c r="AD62" s="557" t="str">
        <f t="shared" ca="1" si="45"/>
        <v/>
      </c>
      <c r="AE62" s="549" t="str">
        <f t="shared" ca="1" si="46"/>
        <v/>
      </c>
      <c r="AF62" s="1434">
        <v>10</v>
      </c>
      <c r="AG62" s="557"/>
      <c r="AH62" s="551"/>
      <c r="AI62" s="551"/>
      <c r="AJ62" s="551"/>
      <c r="AK62" s="551"/>
      <c r="AL62" s="559">
        <f t="shared" ca="1" si="47"/>
        <v>0</v>
      </c>
      <c r="AM62" s="246">
        <f t="shared" ca="1" si="29"/>
        <v>0</v>
      </c>
      <c r="AN62" s="212">
        <f t="shared" ca="1" si="38"/>
        <v>0</v>
      </c>
      <c r="AO62" s="212">
        <f t="shared" ca="1" si="49"/>
        <v>0</v>
      </c>
      <c r="AP62" s="212">
        <f t="shared" ca="1" si="50"/>
        <v>0</v>
      </c>
      <c r="AQ62" s="212">
        <f t="shared" ca="1" si="51"/>
        <v>0</v>
      </c>
      <c r="AR62" s="212">
        <f t="shared" ca="1" si="34"/>
        <v>2</v>
      </c>
      <c r="AS62" s="1020" t="str">
        <f t="shared" ca="1" si="35"/>
        <v/>
      </c>
      <c r="AT62" s="557" t="str">
        <f t="shared" ca="1" si="36"/>
        <v/>
      </c>
      <c r="AU62" s="557">
        <v>27</v>
      </c>
      <c r="AV62" s="557"/>
      <c r="AW62" s="212"/>
      <c r="AX62" s="212"/>
      <c r="AY62" s="212"/>
      <c r="AZ62" s="212"/>
      <c r="BA62" s="212"/>
      <c r="BB62" s="212"/>
      <c r="BC62" s="113"/>
      <c r="BD62" s="113"/>
      <c r="BE62" s="113"/>
      <c r="BF62" s="113"/>
      <c r="BG62" s="113"/>
      <c r="BH62" s="190"/>
      <c r="BI62" s="190"/>
      <c r="BJ62" s="190"/>
      <c r="BK62" s="190"/>
      <c r="BL62" s="190"/>
      <c r="BM62" s="190"/>
      <c r="BN62" s="190"/>
      <c r="BO62" s="190"/>
      <c r="BP62" s="190"/>
      <c r="BQ62" s="190"/>
      <c r="BR62" s="190"/>
      <c r="BS62" s="190"/>
      <c r="BT62" s="190"/>
      <c r="BU62" s="190"/>
      <c r="BV62" s="234"/>
    </row>
    <row r="63" spans="1:74" x14ac:dyDescent="0.2">
      <c r="A63" s="112" t="str">
        <f t="shared" si="42"/>
        <v>Blindkampf</v>
      </c>
      <c r="B63" s="391" t="str">
        <f t="shared" ca="1" si="43"/>
        <v/>
      </c>
      <c r="C63" s="387" t="str">
        <f t="shared" ca="1" si="44"/>
        <v/>
      </c>
      <c r="D63" s="1127"/>
      <c r="E63" s="109"/>
      <c r="F63" s="384"/>
      <c r="G63" s="960"/>
      <c r="H63" s="960"/>
      <c r="I63" s="324"/>
      <c r="J63" s="1739" t="str">
        <f ca="1">IF(AND(NOT(ISBLANK($F63)),NOT(ISBLANK($G63)),NOT(ISBLANK($H63)),NOT(ISBLANK($I63))),"Was denn nun? GP oder AP?",IF(OR(NOT(ISBLANK($F63)),NOT(ISBLANK($G63)),NOT(ISBLANK($H63)),NOT(ISBLANK($I63))),IF(NOT(EXACT($B63,"")),"Diese SF hast Du schon!",IF(GE&lt;12,"GE min. 12",IF(SUM(Talente!$B$54,Talente!$G$54,Talente!$I$54)&lt;15,"TaW Sinnenschärfe 15",IF(AND(EXACT($B$77,""),ISBLANK($F$77),ISBLANK($G$77),ISBLANK($H$77),ISBLANK($I$77)),"SF Kampfgespür nötig","")))),IF(AND(ZS_SE_VIEW,B63="",C63="",NOT(ISERR(FIND(A63,ZS_SF_ALLE,1)))),"SF verbilligt aus Studium","")))</f>
        <v/>
      </c>
      <c r="K63" s="1740"/>
      <c r="L63" s="1741"/>
      <c r="M63" s="1012" t="str">
        <f t="shared" si="26"/>
        <v>Kraftlinienmagie II</v>
      </c>
      <c r="N63" s="391" t="str">
        <f t="shared" ca="1" si="27"/>
        <v/>
      </c>
      <c r="O63" s="387" t="str">
        <f t="shared" ca="1" si="28"/>
        <v/>
      </c>
      <c r="P63" s="1127"/>
      <c r="Q63" s="109"/>
      <c r="R63" s="384"/>
      <c r="S63" s="960"/>
      <c r="T63" s="960"/>
      <c r="U63" s="324"/>
      <c r="V63" s="1739" t="str">
        <f ca="1">IF(OR(NOT(ISBLANK($R63)),NOT(ISBLANK($S63)),NOT(ISBLANK($T63)),NOT(ISBLANK($U63))),IF(NOT(EXACT($N63,"")),"Diese SF hast Du schon!",IF(Talente!$O$93&lt;15,"Magiekunde mind. 15",IF(EXACT(AT62,""),"SF Kraftlinienmagie I notwendig",""))),IF(AND(ZS_SE_VIEW,N63="",O63="",NOT(ISERR(FIND(M63,ZS_SF_ALLE,1)))),"SF verbilligt aus Studium",""))</f>
        <v/>
      </c>
      <c r="W63" s="1740"/>
      <c r="X63" s="1741"/>
      <c r="Y63" s="212">
        <f ca="1">IF(AND(NOT(ISBLANK($F63)),EXACT($J63,""),EXACT($B63,"")),IF(EXACT($C63,""),VLOOKUP($A63,SF_NAHFERNALLE,3,FALSE),ROUND(VLOOKUP($A63,SF_NAHFERNALLE,3,FALSE)/$AC63,0)),0)</f>
        <v>0</v>
      </c>
      <c r="Z63" s="212">
        <f ca="1">IF(AND(NOT(ISBLANK($G63)),EXACT($B63,"")),IF(EXACT($C63,""),VLOOKUP($A63,SF_NAHFERNALLE,2,FALSE),ROUND(VLOOKUP($A63,SF_NAHFERNALLE,2,FALSE)/$AC63,0)),0)</f>
        <v>0</v>
      </c>
      <c r="AA63" s="212">
        <f ca="1">IF(AND(NOT(ISBLANK($H63)),EXACT($B63,"")),IF(EXACT($C63,""),VLOOKUP($A63,SF_NAHFERNALLE,2,FALSE),ROUND(VLOOKUP($A63,SF_NAHFERNALLE,2,FALSE)/$AC63,0)),0)</f>
        <v>0</v>
      </c>
      <c r="AB63" s="212">
        <f ca="1">IF(AND(NOT(ISBLANK($I63)),EXACT($J63,""),EXACT($B63,"")),IF(EXACT($C63,""),VLOOKUP($A63,SF_NAHFERNALLE,2,FALSE),ROUND(VLOOKUP($A63,SF_NAHFERNALLE,2,FALSE)/$AC63,0)),0)</f>
        <v>0</v>
      </c>
      <c r="AC63" s="212">
        <f t="shared" ca="1" si="48"/>
        <v>2</v>
      </c>
      <c r="AD63" s="557" t="str">
        <f t="shared" ca="1" si="45"/>
        <v/>
      </c>
      <c r="AE63" s="549" t="str">
        <f t="shared" ca="1" si="46"/>
        <v/>
      </c>
      <c r="AF63" s="1434">
        <v>11</v>
      </c>
      <c r="AG63" s="557"/>
      <c r="AH63" s="551"/>
      <c r="AI63" s="551"/>
      <c r="AJ63" s="551"/>
      <c r="AK63" s="551"/>
      <c r="AL63" s="559">
        <f t="shared" ca="1" si="47"/>
        <v>0</v>
      </c>
      <c r="AM63" s="246">
        <f t="shared" ca="1" si="29"/>
        <v>0</v>
      </c>
      <c r="AN63" s="212">
        <f t="shared" ca="1" si="38"/>
        <v>0</v>
      </c>
      <c r="AO63" s="212">
        <f t="shared" ca="1" si="49"/>
        <v>0</v>
      </c>
      <c r="AP63" s="212">
        <f t="shared" ca="1" si="50"/>
        <v>0</v>
      </c>
      <c r="AQ63" s="212">
        <f t="shared" ca="1" si="51"/>
        <v>0</v>
      </c>
      <c r="AR63" s="212">
        <f t="shared" ca="1" si="34"/>
        <v>2</v>
      </c>
      <c r="AS63" s="1020" t="str">
        <f t="shared" ca="1" si="35"/>
        <v/>
      </c>
      <c r="AT63" s="557" t="str">
        <f t="shared" ca="1" si="36"/>
        <v/>
      </c>
      <c r="AU63" s="557">
        <v>28</v>
      </c>
      <c r="AV63" s="557"/>
      <c r="AW63" s="212"/>
      <c r="AX63" s="212"/>
      <c r="AY63" s="212"/>
      <c r="AZ63" s="212"/>
      <c r="BA63" s="212"/>
      <c r="BB63" s="212"/>
      <c r="BC63" s="113"/>
      <c r="BD63" s="113"/>
      <c r="BE63" s="113"/>
      <c r="BF63" s="113"/>
      <c r="BG63" s="113"/>
      <c r="BH63" s="190"/>
      <c r="BI63" s="190"/>
      <c r="BJ63" s="190"/>
      <c r="BK63" s="190"/>
      <c r="BL63" s="190"/>
      <c r="BM63" s="190"/>
      <c r="BN63" s="190"/>
      <c r="BO63" s="190"/>
      <c r="BP63" s="190"/>
      <c r="BQ63" s="190"/>
      <c r="BR63" s="190"/>
      <c r="BS63" s="190"/>
      <c r="BT63" s="190"/>
      <c r="BU63" s="190"/>
      <c r="BV63" s="234"/>
    </row>
    <row r="64" spans="1:74" x14ac:dyDescent="0.2">
      <c r="A64" s="112" t="str">
        <f t="shared" si="42"/>
        <v>Defensiver Kampfstil</v>
      </c>
      <c r="B64" s="391" t="str">
        <f t="shared" ca="1" si="43"/>
        <v/>
      </c>
      <c r="C64" s="387" t="str">
        <f t="shared" ca="1" si="44"/>
        <v/>
      </c>
      <c r="D64" s="1127"/>
      <c r="E64" s="109"/>
      <c r="F64" s="384"/>
      <c r="G64" s="960"/>
      <c r="H64" s="960"/>
      <c r="I64" s="324"/>
      <c r="J64" s="1739" t="str">
        <f ca="1">IF(AND(NOT(ISBLANK($F64)),NOT(ISBLANK($G64)),NOT(ISBLANK($H64)),NOT(ISBLANK($I64))),"Was denn nun? GP oder AP?",IF(OR(NOT(ISBLANK($F64)),NOT(ISBLANK($G64)),NOT(ISBLANK($H64)),NOT(ISBLANK($I64))),IF(NOT(EXACT($B64,"")),"Diese SF hast Du schon!",IF(GE&lt;12,"GE min. 12",IF(AND(EXACT($B$85,""),ISBLANK($F$85),ISBLANK($G$85),ISBLANK($H$85),ISBLANK($I$85)),"SF Meisterparade nötig",""))),IF(AND(ZS_SE_VIEW,B64="",C64="",NOT(ISERR(FIND(A64,ZS_SF_ALLE,1)))),"SF verbilligt aus Studium","")))</f>
        <v/>
      </c>
      <c r="K64" s="1740"/>
      <c r="L64" s="1741"/>
      <c r="M64" s="1012" t="str">
        <f t="shared" si="26"/>
        <v>Kraftspeicher</v>
      </c>
      <c r="N64" s="391" t="str">
        <f t="shared" ca="1" si="27"/>
        <v/>
      </c>
      <c r="O64" s="387" t="str">
        <f ca="1">IF(OR(NOT(ISERR(FIND(M64&amp;",",$AW$35,1))),
IF(NOT(ISERR(FIND("Objk",CONCATENATE(Zauber!$BP$2,Zauber!$BP$3,Zauber!$AF$241,Zauber!$AF$242,Zauber!$AF$243,Zauber!$AF$244),1))),TRUE,FALSE)),"x",IF(P64="V","x",""))</f>
        <v/>
      </c>
      <c r="P64" s="1127"/>
      <c r="Q64" s="109"/>
      <c r="R64" s="384"/>
      <c r="S64" s="960"/>
      <c r="T64" s="960"/>
      <c r="U64" s="324"/>
      <c r="V64" s="1739" t="str">
        <f ca="1">IF(OR(NOT(ISBLANK($R64)),NOT(ISBLANK($S64)),NOT(ISBLANK($T64)),NOT(ISBLANK($U64))),IF(NOT(EXACT($N64,"")),"Diese SF hast Du schon!",IF(ARCANOVI_WERT&lt;10,"Arcanovi mind. auf 10","")),IF(AND(ZS_SE_VIEW,N64="",O64="",NOT(ISERR(FIND(M64,ZS_SF_ALLE,1)))),"SF verbilligt aus Studium",""))</f>
        <v/>
      </c>
      <c r="W64" s="1740"/>
      <c r="X64" s="1741"/>
      <c r="Y64" s="212">
        <f ca="1">IF(AND(NOT(ISBLANK($F64)),EXACT($J64,""),EXACT($B64,"")),IF(EXACT($C64,""),VLOOKUP($A64,SF_NAHFERNALLE,3,FALSE),ROUND(VLOOKUP($A64,SF_NAHFERNALLE,3,FALSE)/$AC64,0)),0)</f>
        <v>0</v>
      </c>
      <c r="Z64" s="212">
        <f ca="1">IF(AND(NOT(ISBLANK($G64)),EXACT($B64,"")),IF(EXACT($C64,""),VLOOKUP($A64,SF_NAHFERNALLE,2,FALSE),ROUND(VLOOKUP($A64,SF_NAHFERNALLE,2,FALSE)/$AC64,0)),0)</f>
        <v>0</v>
      </c>
      <c r="AA64" s="212">
        <f ca="1">IF(AND(NOT(ISBLANK($H64)),EXACT($B64,"")),IF(EXACT($C64,""),VLOOKUP($A64,SF_NAHFERNALLE,2,FALSE),ROUND(VLOOKUP($A64,SF_NAHFERNALLE,2,FALSE)/$AC64,0)),0)</f>
        <v>0</v>
      </c>
      <c r="AB64" s="212">
        <f ca="1">IF(AND(NOT(ISBLANK($I64)),EXACT($J64,""),EXACT($B64,"")),IF(EXACT($C64,""),VLOOKUP($A64,SF_NAHFERNALLE,2,FALSE),ROUND(VLOOKUP($A64,SF_NAHFERNALLE,2,FALSE)/$AC64,0)),0)</f>
        <v>0</v>
      </c>
      <c r="AC64" s="212">
        <f t="shared" ca="1" si="48"/>
        <v>2</v>
      </c>
      <c r="AD64" s="557" t="str">
        <f t="shared" ca="1" si="45"/>
        <v/>
      </c>
      <c r="AE64" s="549" t="str">
        <f t="shared" ca="1" si="46"/>
        <v/>
      </c>
      <c r="AF64" s="1434">
        <v>12</v>
      </c>
      <c r="AG64" s="557"/>
      <c r="AH64" s="551"/>
      <c r="AI64" s="551"/>
      <c r="AJ64" s="551"/>
      <c r="AK64" s="551"/>
      <c r="AL64" s="559">
        <f t="shared" ca="1" si="47"/>
        <v>0</v>
      </c>
      <c r="AM64" s="246">
        <f t="shared" ca="1" si="29"/>
        <v>0</v>
      </c>
      <c r="AN64" s="212">
        <f t="shared" ca="1" si="38"/>
        <v>0</v>
      </c>
      <c r="AO64" s="212">
        <f t="shared" ca="1" si="49"/>
        <v>0</v>
      </c>
      <c r="AP64" s="212">
        <f t="shared" ca="1" si="50"/>
        <v>0</v>
      </c>
      <c r="AQ64" s="212">
        <f t="shared" ca="1" si="51"/>
        <v>0</v>
      </c>
      <c r="AR64" s="212">
        <f t="shared" ca="1" si="34"/>
        <v>2</v>
      </c>
      <c r="AS64" s="1020" t="str">
        <f t="shared" ca="1" si="35"/>
        <v/>
      </c>
      <c r="AT64" s="557" t="str">
        <f t="shared" ca="1" si="36"/>
        <v/>
      </c>
      <c r="AU64" s="557">
        <v>29</v>
      </c>
      <c r="AV64" s="557"/>
      <c r="AW64" s="212"/>
      <c r="AX64" s="212"/>
      <c r="AY64" s="212"/>
      <c r="AZ64" s="212"/>
      <c r="BA64" s="212"/>
      <c r="BB64" s="212"/>
      <c r="BC64" s="113"/>
      <c r="BD64" s="113"/>
      <c r="BE64" s="113"/>
      <c r="BF64" s="113"/>
      <c r="BG64" s="113"/>
      <c r="BH64" s="190"/>
      <c r="BI64" s="190"/>
      <c r="BJ64" s="190"/>
      <c r="BK64" s="190"/>
      <c r="BL64" s="190"/>
      <c r="BM64" s="190"/>
      <c r="BN64" s="190"/>
      <c r="BO64" s="190"/>
      <c r="BP64" s="190"/>
      <c r="BQ64" s="190"/>
      <c r="BR64" s="190"/>
      <c r="BS64" s="190"/>
      <c r="BT64" s="190"/>
      <c r="BU64" s="190"/>
      <c r="BV64" s="234"/>
    </row>
    <row r="65" spans="1:74" x14ac:dyDescent="0.2">
      <c r="A65" s="112" t="str">
        <f t="shared" si="42"/>
        <v>Doppelangriff</v>
      </c>
      <c r="B65" s="391" t="str">
        <f t="shared" ca="1" si="43"/>
        <v/>
      </c>
      <c r="C65" s="387" t="str">
        <f t="shared" ca="1" si="44"/>
        <v/>
      </c>
      <c r="D65" s="1127"/>
      <c r="E65" s="109"/>
      <c r="F65" s="384"/>
      <c r="G65" s="960"/>
      <c r="H65" s="960"/>
      <c r="I65" s="324"/>
      <c r="J65" s="1739" t="str">
        <f ca="1">IF(AND(NOT(ISBLANK($F65)),NOT(ISBLANK($G65)),NOT(ISBLANK($H65)),NOT(ISBLANK($I65))),"Was denn nun? GP oder AP?",IF(OR(NOT(ISBLANK($F65)),NOT(ISBLANK($G65)),NOT(ISBLANK($H65)),NOT(ISBLANK($I65))),IF(NOT(EXACT($B65,"")),"Diese SF hast Du schon!",IF(AND(EXACT($B$59,""),ISBLANK($F$59),ISBLANK($G$59),ISBLANK($H$59),ISBLANK($I$59)),"SF Beidh. Kampf I nötig","")),IF(AND(ZS_SE_VIEW,B65="",C65="",NOT(ISERR(FIND(A65,ZS_SF_ALLE,1)))),"SF verbilligt aus Studium","")))</f>
        <v/>
      </c>
      <c r="K65" s="1740"/>
      <c r="L65" s="1741"/>
      <c r="M65" s="1012" t="str">
        <f t="shared" si="26"/>
        <v>Lockeres Zaubern</v>
      </c>
      <c r="N65" s="391" t="str">
        <f t="shared" ca="1" si="27"/>
        <v/>
      </c>
      <c r="O65" s="387" t="str">
        <f ca="1">IF(NOT(ISERR(FIND(M65&amp;",",$AW$35,1))),"x",
IF(P65="V","x",""))</f>
        <v/>
      </c>
      <c r="P65" s="1127"/>
      <c r="Q65" s="109"/>
      <c r="R65" s="384"/>
      <c r="S65" s="960"/>
      <c r="T65" s="960"/>
      <c r="U65" s="324"/>
      <c r="V65" s="1739" t="str">
        <f ca="1">IF(OR(NOT(ISBLANK($R65)),NOT(ISBLANK($S65)),NOT(ISBLANK($T65)),NOT(ISBLANK($U65))),IF(NOT(EXACT($N65,"")),"Diese SF hast Du schon!",IF(IN&lt;16,"IN min. 16",IF(ISERR(FIND("Unbeschwertes Zaubern",VORTEILEGENE)),"Vorteil Unbeschwertes Zaubern fehlt",""))),IF(AND(ZS_SE_VIEW,N65="",O65="",NOT(ISERR(FIND(M65,ZS_SF_ALLE,1)))),"SF verbilligt aus Studium",""))</f>
        <v/>
      </c>
      <c r="W65" s="1740"/>
      <c r="X65" s="1741"/>
      <c r="Y65" s="717">
        <f ca="1">ROUND(IF(AND(NOT(ISBLANK($F65)),EXACT($J65,""),EXACT($B65,"")),IF(EXACT($C65,""),VLOOKUP($A65,SF_NAHFERNALLE,3,FALSE)*IF(VT_BEIDHG,0.75,1),VLOOKUP($A65,SF_NAHFERNALLE,3,FALSE)*IF(VT_BEIDHG,0.75,1)/$AC65),0),0)</f>
        <v>0</v>
      </c>
      <c r="Z65" s="717">
        <f ca="1">ROUND(IF(AND(NOT(ISBLANK($G65)),EXACT($B65,"")),IF(EXACT($C65,""),VLOOKUP($A65,SF_NAHFERNALLE,2,FALSE)*IF(VT_BEIDHG,0.75,1),VLOOKUP($A65,SF_NAHFERNALLE,2,FALSE)*IF(VT_BEIDHG,0.75,1)/$AC65),0),0)</f>
        <v>0</v>
      </c>
      <c r="AA65" s="717">
        <f ca="1">ROUND(IF(AND(NOT(ISBLANK($H65)),EXACT($B65,"")),IF(EXACT($C65,""),VLOOKUP($A65,SF_NAHFERNALLE,2,FALSE)*IF(VT_BEIDHG,0.75,1),VLOOKUP($A65,SF_NAHFERNALLE,2,FALSE)*IF(VT_BEIDHG,0.75,1)/$AC65),0),0)</f>
        <v>0</v>
      </c>
      <c r="AB65" s="717">
        <f ca="1">IF(AND(NOT(ISBLANK($I65)),EXACT($J65,""),EXACT($B65,"")),IF(EXACT($C65,""),VLOOKUP($A65,SF_NAHFERNALLE,2,FALSE)*IF(VT_BEIDHG,0.75,1),VLOOKUP($A65,SF_NAHFERNALLE,2,FALSE)*IF(VT_BEIDHG,0.75,1)/$AC65),0)</f>
        <v>0</v>
      </c>
      <c r="AC65" s="212">
        <f t="shared" ca="1" si="48"/>
        <v>2</v>
      </c>
      <c r="AD65" s="557" t="str">
        <f t="shared" ca="1" si="45"/>
        <v/>
      </c>
      <c r="AE65" s="549" t="str">
        <f t="shared" ca="1" si="46"/>
        <v/>
      </c>
      <c r="AF65" s="1434">
        <v>13</v>
      </c>
      <c r="AG65" s="557"/>
      <c r="AH65" s="551"/>
      <c r="AI65" s="551"/>
      <c r="AJ65" s="551"/>
      <c r="AK65" s="551"/>
      <c r="AL65" s="559">
        <f t="shared" ca="1" si="47"/>
        <v>0</v>
      </c>
      <c r="AM65" s="246">
        <f t="shared" ca="1" si="29"/>
        <v>0</v>
      </c>
      <c r="AN65" s="212">
        <f t="shared" ca="1" si="38"/>
        <v>0</v>
      </c>
      <c r="AO65" s="212">
        <f t="shared" ca="1" si="49"/>
        <v>0</v>
      </c>
      <c r="AP65" s="212">
        <f t="shared" ca="1" si="50"/>
        <v>0</v>
      </c>
      <c r="AQ65" s="212">
        <f t="shared" ca="1" si="51"/>
        <v>0</v>
      </c>
      <c r="AR65" s="212">
        <f t="shared" ca="1" si="34"/>
        <v>2</v>
      </c>
      <c r="AS65" s="1020" t="str">
        <f t="shared" ca="1" si="35"/>
        <v/>
      </c>
      <c r="AT65" s="557" t="str">
        <f t="shared" ca="1" si="36"/>
        <v/>
      </c>
      <c r="AU65" s="557">
        <v>30</v>
      </c>
      <c r="AV65" s="557"/>
      <c r="AW65" s="212"/>
      <c r="AX65" s="212"/>
      <c r="AY65" s="212"/>
      <c r="AZ65" s="212"/>
      <c r="BA65" s="212"/>
      <c r="BB65" s="212"/>
      <c r="BC65" s="113"/>
      <c r="BD65" s="113"/>
      <c r="BE65" s="113"/>
      <c r="BF65" s="113"/>
      <c r="BG65" s="113"/>
      <c r="BH65" s="190"/>
      <c r="BI65" s="190"/>
      <c r="BJ65" s="190"/>
      <c r="BK65" s="190"/>
      <c r="BL65" s="190"/>
      <c r="BM65" s="190"/>
      <c r="BN65" s="190"/>
      <c r="BO65" s="190"/>
      <c r="BP65" s="190"/>
      <c r="BQ65" s="190"/>
      <c r="BR65" s="190"/>
      <c r="BS65" s="190"/>
      <c r="BT65" s="190"/>
      <c r="BU65" s="190"/>
      <c r="BV65" s="234"/>
    </row>
    <row r="66" spans="1:74" x14ac:dyDescent="0.2">
      <c r="A66" s="112" t="str">
        <f t="shared" si="42"/>
        <v>Entwaffnen</v>
      </c>
      <c r="B66" s="391" t="str">
        <f t="shared" ca="1" si="43"/>
        <v/>
      </c>
      <c r="C66" s="387" t="str">
        <f t="shared" ca="1" si="44"/>
        <v/>
      </c>
      <c r="D66" s="1127"/>
      <c r="E66" s="109"/>
      <c r="F66" s="384"/>
      <c r="G66" s="960"/>
      <c r="H66" s="960"/>
      <c r="I66" s="324"/>
      <c r="J66" s="1739" t="str">
        <f ca="1">IF(AND(NOT(ISBLANK($F66)),NOT(ISBLANK($G66)),NOT(ISBLANK($H66)),NOT(ISBLANK($I66))),"Was denn nun? GP oder AP?",IF(OR(NOT(ISBLANK($F66)),NOT(ISBLANK($G66)),NOT(ISBLANK($H66)),NOT(ISBLANK($I66))),IF(NOT(EXACT($B66,"")),"Diese SF hast Du schon!",IF(KK&lt;12,"KK min. 12",IF(AND(EXACT($B$62,""),ISBLANK($F$62),ISBLANK($G$62),ISBLANK($H$62),ISBLANK($I$62)),"SF Binden nötig",""))),IF(AND(ZS_SE_VIEW,B66="",C66="",NOT(ISERR(FIND(A66,ZS_SF_ALLE,1)))),"SF verbilligt aus Studium","")))</f>
        <v/>
      </c>
      <c r="K66" s="1740"/>
      <c r="L66" s="1741"/>
      <c r="M66" s="1012" t="str">
        <f t="shared" si="26"/>
        <v>Matrixgeber</v>
      </c>
      <c r="N66" s="391" t="str">
        <f t="shared" ca="1" si="27"/>
        <v/>
      </c>
      <c r="O66" s="387" t="str">
        <f ca="1">IF(OR(NOT(ISERR(FIND(M66&amp;",",$AW$35,1))),
IF(NOT(ISERR(FIND("Meta",CONCATENATE(Zauber!$BP$2,Zauber!$BP$3,Zauber!$AF$241,Zauber!$AF$242,Zauber!$AF$243,Zauber!$AF$244),1))),TRUE,FALSE),IF(NOT(ISERR(FIND("Objk",CONCATENATE(Zauber!$BP$2,Zauber!$BP$3,Zauber!$AF$241,Zauber!$AF$242,Zauber!$AF$243,Zauber!$AF$244),1))),TRUE,FALSE)),"x",IF(P66="V","x",""))</f>
        <v/>
      </c>
      <c r="P66" s="1127"/>
      <c r="Q66" s="109"/>
      <c r="R66" s="384"/>
      <c r="S66" s="960"/>
      <c r="T66" s="960"/>
      <c r="U66" s="324"/>
      <c r="V66" s="1739" t="str">
        <f ca="1">IF(OR(NOT(ISBLANK($R66)),NOT(ISBLANK($S66)),NOT(ISBLANK($T66)),NOT(ISBLANK($U66))),IF(NOT(EXACT($N66,"")),"Diese SF hast Du schon!",IF(ARCANOVI_WERT&lt;14,"Arcanovi mind. auf 14",IF(Talente!$O$93&lt;14,"Magiekunde mind. 14",""))),IF(AND(ZS_SE_VIEW,N66="",O66="",NOT(ISERR(FIND(M66,ZS_SF_ALLE,1)))),"SF verbilligt aus Studium",""))</f>
        <v/>
      </c>
      <c r="W66" s="1740"/>
      <c r="X66" s="1741"/>
      <c r="Y66" s="212">
        <f t="shared" ref="Y66:Y82" ca="1" si="52">IF(AND(NOT(ISBLANK($F66)),EXACT($J66,""),EXACT($B66,"")),IF(EXACT($C66,""),VLOOKUP($A66,SF_NAHFERNALLE,3,FALSE),ROUND(VLOOKUP($A66,SF_NAHFERNALLE,3,FALSE)/$AC66,0)),0)</f>
        <v>0</v>
      </c>
      <c r="Z66" s="212">
        <f t="shared" ref="Z66:Z82" ca="1" si="53">IF(AND(NOT(ISBLANK($G66)),EXACT($B66,"")),IF(EXACT($C66,""),VLOOKUP($A66,SF_NAHFERNALLE,2,FALSE),ROUND(VLOOKUP($A66,SF_NAHFERNALLE,2,FALSE)/$AC66,0)),0)</f>
        <v>0</v>
      </c>
      <c r="AA66" s="212">
        <f t="shared" ref="AA66:AA82" ca="1" si="54">IF(AND(NOT(ISBLANK($H66)),EXACT($B66,"")),IF(EXACT($C66,""),VLOOKUP($A66,SF_NAHFERNALLE,2,FALSE),ROUND(VLOOKUP($A66,SF_NAHFERNALLE,2,FALSE)/$AC66,0)),0)</f>
        <v>0</v>
      </c>
      <c r="AB66" s="212">
        <f t="shared" ref="AB66:AB82" ca="1" si="55">IF(AND(NOT(ISBLANK($I66)),EXACT($J66,""),EXACT($B66,"")),IF(EXACT($C66,""),VLOOKUP($A66,SF_NAHFERNALLE,2,FALSE),ROUND(VLOOKUP($A66,SF_NAHFERNALLE,2,FALSE)/$AC66,0)),0)</f>
        <v>0</v>
      </c>
      <c r="AC66" s="212">
        <f t="shared" ca="1" si="48"/>
        <v>2</v>
      </c>
      <c r="AD66" s="557" t="str">
        <f t="shared" ca="1" si="45"/>
        <v/>
      </c>
      <c r="AE66" s="549" t="str">
        <f t="shared" ca="1" si="46"/>
        <v/>
      </c>
      <c r="AF66" s="1434">
        <v>14</v>
      </c>
      <c r="AG66" s="557"/>
      <c r="AH66" s="551"/>
      <c r="AI66" s="551"/>
      <c r="AJ66" s="551"/>
      <c r="AK66" s="551"/>
      <c r="AL66" s="559">
        <f t="shared" ca="1" si="47"/>
        <v>0</v>
      </c>
      <c r="AM66" s="246">
        <f t="shared" ca="1" si="29"/>
        <v>0</v>
      </c>
      <c r="AN66" s="212">
        <f t="shared" ca="1" si="38"/>
        <v>0</v>
      </c>
      <c r="AO66" s="212">
        <f t="shared" ca="1" si="49"/>
        <v>0</v>
      </c>
      <c r="AP66" s="212">
        <f t="shared" ca="1" si="50"/>
        <v>0</v>
      </c>
      <c r="AQ66" s="212">
        <f t="shared" ca="1" si="51"/>
        <v>0</v>
      </c>
      <c r="AR66" s="212">
        <f t="shared" ca="1" si="34"/>
        <v>2</v>
      </c>
      <c r="AS66" s="1020" t="str">
        <f t="shared" ca="1" si="35"/>
        <v/>
      </c>
      <c r="AT66" s="557" t="str">
        <f t="shared" ca="1" si="36"/>
        <v/>
      </c>
      <c r="AU66" s="557">
        <v>31</v>
      </c>
      <c r="AV66" s="557"/>
      <c r="AW66" s="212"/>
      <c r="AX66" s="212"/>
      <c r="AY66" s="212"/>
      <c r="AZ66" s="212"/>
      <c r="BA66" s="212"/>
      <c r="BB66" s="212"/>
      <c r="BC66" s="113"/>
      <c r="BD66" s="113"/>
      <c r="BE66" s="113"/>
      <c r="BF66" s="113"/>
      <c r="BG66" s="113"/>
      <c r="BH66" s="190"/>
      <c r="BI66" s="190"/>
      <c r="BJ66" s="190"/>
      <c r="BK66" s="190"/>
      <c r="BL66" s="190"/>
      <c r="BM66" s="190"/>
      <c r="BN66" s="190"/>
      <c r="BO66" s="190"/>
      <c r="BP66" s="190"/>
      <c r="BQ66" s="190"/>
      <c r="BR66" s="190"/>
      <c r="BS66" s="190"/>
      <c r="BT66" s="190"/>
      <c r="BU66" s="190"/>
      <c r="BV66" s="234"/>
    </row>
    <row r="67" spans="1:74" x14ac:dyDescent="0.2">
      <c r="A67" s="112" t="str">
        <f t="shared" si="42"/>
        <v>Festnageln</v>
      </c>
      <c r="B67" s="391" t="str">
        <f t="shared" ca="1" si="43"/>
        <v/>
      </c>
      <c r="C67" s="387" t="str">
        <f t="shared" ca="1" si="44"/>
        <v/>
      </c>
      <c r="D67" s="1127"/>
      <c r="E67" s="109"/>
      <c r="F67" s="384"/>
      <c r="G67" s="960"/>
      <c r="H67" s="960"/>
      <c r="I67" s="324"/>
      <c r="J67" s="1739" t="str">
        <f ca="1">IF(AND(NOT(ISBLANK($F67)),NOT(ISBLANK($G67)),NOT(ISBLANK($H67)),NOT(ISBLANK($I67))),"Was denn nun? GP oder AP?",IF(OR(NOT(ISBLANK($F67)),NOT(ISBLANK($G67)),NOT(ISBLANK($H67)),NOT(ISBLANK($I67))),IF(NOT(EXACT($B67,"")),"Diese SF hast Du schon!",IF(GE&lt;13,"GE min. 13",IF(KK&lt;13,"KK min. 13",""))),IF(AND(ZS_SE_VIEW,B67="",C67="",NOT(ISERR(FIND(A67,ZS_SF_ALLE,1)))),"SF verbilligt aus Studium","")))</f>
        <v/>
      </c>
      <c r="K67" s="1740"/>
      <c r="L67" s="1741"/>
      <c r="M67" s="1012" t="str">
        <f t="shared" si="26"/>
        <v>Matrixkontrolle</v>
      </c>
      <c r="N67" s="391" t="str">
        <f t="shared" ca="1" si="27"/>
        <v/>
      </c>
      <c r="O67" s="387" t="str">
        <f t="shared" ref="O67:O80" ca="1" si="56">IF(NOT(ISERR(FIND(M67&amp;",",$AW$35,1))),"x",
IF(P67="V","x",""))</f>
        <v/>
      </c>
      <c r="P67" s="1127"/>
      <c r="Q67" s="109"/>
      <c r="R67" s="384"/>
      <c r="S67" s="960"/>
      <c r="T67" s="960"/>
      <c r="U67" s="324"/>
      <c r="V67" s="1739" t="str">
        <f ca="1">IF(OR(NOT(ISBLANK($R67)),NOT(ISBLANK($S67)),NOT(ISBLANK($T67)),NOT(ISBLANK($U67))),IF(NOT(EXACT($N67,"")),"Diese SF hast Du schon!",IF(Talente!$O$93&lt;14,"Magiekunde mind. 14",IF(EXACT(AT70,""),"SF Matrixverständnis notwendig",""))),IF(AND(ZS_SE_VIEW,N67="",O67="",NOT(ISERR(FIND(M67,ZS_SF_ALLE,1)))),"SF verbilligt aus Studium",""))</f>
        <v/>
      </c>
      <c r="W67" s="1740"/>
      <c r="X67" s="1741"/>
      <c r="Y67" s="212">
        <f t="shared" ca="1" si="52"/>
        <v>0</v>
      </c>
      <c r="Z67" s="212">
        <f t="shared" ca="1" si="53"/>
        <v>0</v>
      </c>
      <c r="AA67" s="212">
        <f t="shared" ca="1" si="54"/>
        <v>0</v>
      </c>
      <c r="AB67" s="212">
        <f t="shared" ca="1" si="55"/>
        <v>0</v>
      </c>
      <c r="AC67" s="212">
        <f t="shared" ca="1" si="48"/>
        <v>2</v>
      </c>
      <c r="AD67" s="557" t="str">
        <f t="shared" ca="1" si="45"/>
        <v/>
      </c>
      <c r="AE67" s="549" t="str">
        <f t="shared" ca="1" si="46"/>
        <v/>
      </c>
      <c r="AF67" s="1434">
        <v>15</v>
      </c>
      <c r="AG67" s="557"/>
      <c r="AH67" s="551"/>
      <c r="AI67" s="551"/>
      <c r="AJ67" s="551"/>
      <c r="AK67" s="551"/>
      <c r="AL67" s="559">
        <f t="shared" ca="1" si="47"/>
        <v>0</v>
      </c>
      <c r="AM67" s="246">
        <f t="shared" ca="1" si="29"/>
        <v>0</v>
      </c>
      <c r="AN67" s="212">
        <f t="shared" ca="1" si="38"/>
        <v>0</v>
      </c>
      <c r="AO67" s="212">
        <f t="shared" ca="1" si="49"/>
        <v>0</v>
      </c>
      <c r="AP67" s="212">
        <f t="shared" ca="1" si="50"/>
        <v>0</v>
      </c>
      <c r="AQ67" s="212">
        <f t="shared" ca="1" si="51"/>
        <v>0</v>
      </c>
      <c r="AR67" s="212">
        <f t="shared" ca="1" si="34"/>
        <v>2</v>
      </c>
      <c r="AS67" s="1020" t="str">
        <f t="shared" ca="1" si="35"/>
        <v/>
      </c>
      <c r="AT67" s="557" t="str">
        <f t="shared" ca="1" si="36"/>
        <v/>
      </c>
      <c r="AU67" s="557">
        <v>32</v>
      </c>
      <c r="AV67" s="557"/>
      <c r="AW67" s="212"/>
      <c r="AX67" s="212"/>
      <c r="AY67" s="212"/>
      <c r="AZ67" s="212"/>
      <c r="BA67" s="212"/>
      <c r="BB67" s="212"/>
      <c r="BC67" s="113"/>
      <c r="BD67" s="113"/>
      <c r="BE67" s="113"/>
      <c r="BF67" s="113"/>
      <c r="BG67" s="113"/>
      <c r="BH67" s="190"/>
      <c r="BI67" s="190"/>
      <c r="BJ67" s="190"/>
      <c r="BK67" s="190"/>
      <c r="BL67" s="190"/>
      <c r="BM67" s="190"/>
      <c r="BN67" s="190"/>
      <c r="BO67" s="190"/>
      <c r="BP67" s="190"/>
      <c r="BQ67" s="190"/>
      <c r="BR67" s="190"/>
      <c r="BS67" s="190"/>
      <c r="BT67" s="190"/>
      <c r="BU67" s="190"/>
      <c r="BV67" s="234"/>
    </row>
    <row r="68" spans="1:74" x14ac:dyDescent="0.2">
      <c r="A68" s="112" t="str">
        <f t="shared" si="42"/>
        <v>Finte</v>
      </c>
      <c r="B68" s="391" t="str">
        <f t="shared" ca="1" si="43"/>
        <v/>
      </c>
      <c r="C68" s="387" t="str">
        <f t="shared" ca="1" si="44"/>
        <v/>
      </c>
      <c r="D68" s="1127"/>
      <c r="E68" s="109"/>
      <c r="F68" s="384"/>
      <c r="G68" s="960"/>
      <c r="H68" s="960"/>
      <c r="I68" s="324"/>
      <c r="J68" s="1739" t="str">
        <f ca="1">IF(AND(NOT(ISBLANK($F68)),NOT(ISBLANK($G68)),NOT(ISBLANK($H68)),NOT(ISBLANK($I68))),"Was denn nun? GP oder AP?",IF(OR(NOT(ISBLANK($F68)),NOT(ISBLANK($G68)),NOT(ISBLANK($H68)),NOT(ISBLANK($I68))),IF(NOT(EXACT($B68,"")),"Diese SF hast Du schon!",IF(GE&lt;12,"GE min. 12","")),IF(AND(ZS_SE_VIEW,B68="",C68="",NOT(ISERR(FIND(A68,ZS_SF_ALLE,1)))),"SF verbilligt aus Studium","")))</f>
        <v/>
      </c>
      <c r="K68" s="1740"/>
      <c r="L68" s="1741"/>
      <c r="M68" s="1012" t="str">
        <f t="shared" si="26"/>
        <v>Matrixregeneration I</v>
      </c>
      <c r="N68" s="391" t="str">
        <f t="shared" ca="1" si="27"/>
        <v/>
      </c>
      <c r="O68" s="387" t="str">
        <f t="shared" ca="1" si="56"/>
        <v/>
      </c>
      <c r="P68" s="1127"/>
      <c r="Q68" s="109"/>
      <c r="R68" s="384"/>
      <c r="S68" s="960"/>
      <c r="T68" s="960"/>
      <c r="U68" s="324"/>
      <c r="V68" s="1739" t="str">
        <f ca="1">IF(OR(NOT(ISBLANK($R68)),NOT(ISBLANK($S68)),NOT(ISBLANK($T68)),NOT(ISBLANK($U68))),IF(NOT(EXACT($N68,"")),"Diese SF hast Du schon!",IF(IN&lt;14,"IN min. 14","")),IF(AND(ZS_SE_VIEW,N68="",O68="",NOT(ISERR(FIND(M68,ZS_SF_ALLE,1)))),"SF verbilligt aus Studium",""))</f>
        <v/>
      </c>
      <c r="W68" s="1740"/>
      <c r="X68" s="1741"/>
      <c r="Y68" s="212">
        <f t="shared" ca="1" si="52"/>
        <v>0</v>
      </c>
      <c r="Z68" s="212">
        <f t="shared" ca="1" si="53"/>
        <v>0</v>
      </c>
      <c r="AA68" s="212">
        <f t="shared" ca="1" si="54"/>
        <v>0</v>
      </c>
      <c r="AB68" s="212">
        <f t="shared" ca="1" si="55"/>
        <v>0</v>
      </c>
      <c r="AC68" s="212">
        <f t="shared" ca="1" si="48"/>
        <v>2</v>
      </c>
      <c r="AD68" s="557" t="str">
        <f t="shared" ca="1" si="45"/>
        <v/>
      </c>
      <c r="AE68" s="549" t="str">
        <f t="shared" ca="1" si="46"/>
        <v/>
      </c>
      <c r="AF68" s="1434">
        <v>16</v>
      </c>
      <c r="AG68" s="557"/>
      <c r="AH68" s="551"/>
      <c r="AI68" s="551"/>
      <c r="AJ68" s="551"/>
      <c r="AK68" s="551"/>
      <c r="AL68" s="559">
        <f t="shared" ca="1" si="47"/>
        <v>0</v>
      </c>
      <c r="AM68" s="246">
        <f t="shared" ca="1" si="29"/>
        <v>0</v>
      </c>
      <c r="AN68" s="212">
        <f t="shared" ca="1" si="38"/>
        <v>0</v>
      </c>
      <c r="AO68" s="212">
        <f t="shared" ca="1" si="49"/>
        <v>0</v>
      </c>
      <c r="AP68" s="212">
        <f t="shared" ca="1" si="50"/>
        <v>0</v>
      </c>
      <c r="AQ68" s="212">
        <f t="shared" ca="1" si="51"/>
        <v>0</v>
      </c>
      <c r="AR68" s="212">
        <f t="shared" ca="1" si="34"/>
        <v>2</v>
      </c>
      <c r="AS68" s="1020" t="str">
        <f t="shared" ca="1" si="35"/>
        <v/>
      </c>
      <c r="AT68" s="557" t="str">
        <f t="shared" ca="1" si="36"/>
        <v/>
      </c>
      <c r="AU68" s="557">
        <v>33</v>
      </c>
      <c r="AV68" s="557"/>
      <c r="AW68" s="212"/>
      <c r="AX68" s="212"/>
      <c r="AY68" s="212"/>
      <c r="AZ68" s="212"/>
      <c r="BA68" s="212"/>
      <c r="BB68" s="212"/>
      <c r="BC68" s="113"/>
      <c r="BD68" s="113"/>
      <c r="BE68" s="113"/>
      <c r="BF68" s="113"/>
      <c r="BG68" s="113"/>
      <c r="BH68" s="190"/>
      <c r="BI68" s="190"/>
      <c r="BJ68" s="190"/>
      <c r="BK68" s="190"/>
      <c r="BL68" s="190"/>
      <c r="BM68" s="190"/>
      <c r="BN68" s="190"/>
      <c r="BO68" s="190"/>
      <c r="BP68" s="190"/>
      <c r="BQ68" s="190"/>
      <c r="BR68" s="190"/>
      <c r="BS68" s="190"/>
      <c r="BT68" s="190"/>
      <c r="BU68" s="190"/>
      <c r="BV68" s="234"/>
    </row>
    <row r="69" spans="1:74" x14ac:dyDescent="0.2">
      <c r="A69" s="112" t="str">
        <f t="shared" si="42"/>
        <v>Formation</v>
      </c>
      <c r="B69" s="391" t="str">
        <f t="shared" ca="1" si="43"/>
        <v/>
      </c>
      <c r="C69" s="387" t="str">
        <f t="shared" ca="1" si="44"/>
        <v/>
      </c>
      <c r="D69" s="1127"/>
      <c r="E69" s="109"/>
      <c r="F69" s="384"/>
      <c r="G69" s="960"/>
      <c r="H69" s="960"/>
      <c r="I69" s="324"/>
      <c r="J69" s="1739" t="str">
        <f ca="1">IF(AND(NOT(ISBLANK($F69)),NOT(ISBLANK($G69)),NOT(ISBLANK($H69)),NOT(ISBLANK($I69))),"Was denn nun? GP oder AP?",IF(OR(NOT(ISBLANK($F69)),NOT(ISBLANK($G69)),NOT(ISBLANK($H69)),NOT(ISBLANK($I69))),IF(NOT(EXACT($B69,"")),"Diese SF hast Du schon!",IF(AND(EXACT($B$53,""),ISBLANK($F$53),ISBLANK($G$53),ISBLANK($H$53),ISBLANK($I$53)),"SF Aufmerksamkeit nötig","")),IF(AND(ZS_SE_VIEW,B69="",C69="",NOT(ISERR(FIND(A69,ZS_SF_ALLE,1)))),"SF verbilligt aus Studium","")))</f>
        <v/>
      </c>
      <c r="K69" s="1740"/>
      <c r="L69" s="1741"/>
      <c r="M69" s="1012" t="str">
        <f t="shared" si="26"/>
        <v>Matrixregeneration II</v>
      </c>
      <c r="N69" s="391" t="str">
        <f t="shared" ca="1" si="27"/>
        <v/>
      </c>
      <c r="O69" s="387" t="str">
        <f t="shared" ca="1" si="56"/>
        <v/>
      </c>
      <c r="P69" s="1127"/>
      <c r="Q69" s="109"/>
      <c r="R69" s="384"/>
      <c r="S69" s="960"/>
      <c r="T69" s="960"/>
      <c r="U69" s="324"/>
      <c r="V69" s="1739" t="str">
        <f ca="1">IF(OR(NOT(ISBLANK($R69)),NOT(ISBLANK($S69)),NOT(ISBLANK($T69)),NOT(ISBLANK($U69))),IF(NOT(EXACT($N69,"")),"Diese SF hast Du schon!",IF(IN&lt;16,"IN min. 16",IF(CH&lt;13,"CH min. 13",IF(EXACT(AT68,""),"SF Matrixregeneration I notwendig",IF(EXACT(AT77,""),"SF Regeneration I notwendig",""))))),IF(AND(ZS_SE_VIEW,N69="",O69="",NOT(ISERR(FIND(M69,ZS_SF_ALLE,1)))),"SF verbilligt aus Studium",""))</f>
        <v/>
      </c>
      <c r="W69" s="1740"/>
      <c r="X69" s="1741"/>
      <c r="Y69" s="212">
        <f t="shared" ca="1" si="52"/>
        <v>0</v>
      </c>
      <c r="Z69" s="212">
        <f t="shared" ca="1" si="53"/>
        <v>0</v>
      </c>
      <c r="AA69" s="212">
        <f t="shared" ca="1" si="54"/>
        <v>0</v>
      </c>
      <c r="AB69" s="212">
        <f t="shared" ca="1" si="55"/>
        <v>0</v>
      </c>
      <c r="AC69" s="212">
        <f t="shared" ca="1" si="48"/>
        <v>2</v>
      </c>
      <c r="AD69" s="557" t="str">
        <f t="shared" ca="1" si="45"/>
        <v/>
      </c>
      <c r="AE69" s="549" t="str">
        <f t="shared" ca="1" si="46"/>
        <v/>
      </c>
      <c r="AF69" s="1434">
        <v>17</v>
      </c>
      <c r="AG69" s="557"/>
      <c r="AH69" s="551"/>
      <c r="AI69" s="551"/>
      <c r="AJ69" s="551"/>
      <c r="AK69" s="551"/>
      <c r="AL69" s="559">
        <f t="shared" ca="1" si="47"/>
        <v>0</v>
      </c>
      <c r="AM69" s="246">
        <f t="shared" ref="AM69:AM99" ca="1" si="57">IF((LEN($AW$34)-LEN(SUBSTITUTE($AW$34,$M69&amp;",","")))/LEN($M69&amp;",")&gt;1,VLOOKUP($M69,SF_MAGIEALLE,3,FALSE),0)+
IF(AND((LEN($AW$35)-LEN(SUBSTITUTE($AW$35,$M69&amp;",","")))/LEN($M69&amp;",")&gt;0,(LEN($AW$34)-LEN(SUBSTITUTE($AW$34,$M69&amp;",","")))/LEN($M69&amp;",")&gt;0),ROUND(VLOOKUP($M69,SF_MAGIEALLE,3,FALSE)*0.5,0),0)</f>
        <v>0</v>
      </c>
      <c r="AN69" s="212">
        <f t="shared" ca="1" si="38"/>
        <v>0</v>
      </c>
      <c r="AO69" s="212">
        <f t="shared" ca="1" si="49"/>
        <v>0</v>
      </c>
      <c r="AP69" s="212">
        <f t="shared" ca="1" si="50"/>
        <v>0</v>
      </c>
      <c r="AQ69" s="212">
        <f t="shared" ca="1" si="51"/>
        <v>0</v>
      </c>
      <c r="AR69" s="212">
        <f t="shared" ref="AR69:AR99" ca="1" si="58">IF((LEN($AW$35)-LEN(SUBSTITUTE($AW$35,$M69&amp;",","")))/LEN($M69&amp;",")&gt;1,4,2)</f>
        <v>2</v>
      </c>
      <c r="AS69" s="1020" t="str">
        <f t="shared" ca="1" si="35"/>
        <v/>
      </c>
      <c r="AT69" s="557" t="str">
        <f t="shared" ca="1" si="36"/>
        <v/>
      </c>
      <c r="AU69" s="557">
        <v>34</v>
      </c>
      <c r="AV69" s="557"/>
      <c r="AW69" s="212"/>
      <c r="AX69" s="212"/>
      <c r="AY69" s="212"/>
      <c r="AZ69" s="212"/>
      <c r="BA69" s="212"/>
      <c r="BB69" s="212"/>
      <c r="BC69" s="113"/>
      <c r="BD69" s="113"/>
      <c r="BE69" s="113"/>
      <c r="BF69" s="113"/>
      <c r="BG69" s="113"/>
      <c r="BH69" s="190"/>
      <c r="BI69" s="190"/>
      <c r="BJ69" s="190"/>
      <c r="BK69" s="190"/>
      <c r="BL69" s="190"/>
      <c r="BM69" s="190"/>
      <c r="BN69" s="190"/>
      <c r="BO69" s="190"/>
      <c r="BP69" s="190"/>
      <c r="BQ69" s="190"/>
      <c r="BR69" s="190"/>
      <c r="BS69" s="190"/>
      <c r="BT69" s="190"/>
      <c r="BU69" s="190"/>
      <c r="BV69" s="234"/>
    </row>
    <row r="70" spans="1:74" x14ac:dyDescent="0.2">
      <c r="A70" s="112" t="str">
        <f t="shared" si="42"/>
        <v>Gegenhalten</v>
      </c>
      <c r="B70" s="391" t="str">
        <f t="shared" ca="1" si="43"/>
        <v/>
      </c>
      <c r="C70" s="387" t="str">
        <f t="shared" ca="1" si="44"/>
        <v/>
      </c>
      <c r="D70" s="1127"/>
      <c r="E70" s="109"/>
      <c r="F70" s="384"/>
      <c r="G70" s="960"/>
      <c r="H70" s="960"/>
      <c r="I70" s="324"/>
      <c r="J70" s="1739" t="str">
        <f ca="1">IF(AND(NOT(ISBLANK($F70)),NOT(ISBLANK($G70)),NOT(ISBLANK($H70)),NOT(ISBLANK($I70))),"Was denn nun? GP oder AP?",IF(OR(NOT(ISBLANK($F70)),NOT(ISBLANK($G70)),NOT(ISBLANK($H70)),NOT(ISBLANK($I70))),IF(NOT(EXACT($B70,"")),"Diese SF hast Du schon!",IF(MU&lt;15,"MU min. 15",IF(GE&lt;12,"GE min. 12",IF(AND(EXACT($B$85,""),ISBLANK($F$85),ISBLANK($G$85),ISBLANK($H$85),ISBLANK($I$85)),"SF Meisterparade nötig","")))),IF(AND(ZS_SE_VIEW,B70="",C70="",NOT(ISERR(FIND(A70,ZS_SF_ALLE,1)))),"SF verbilligt aus Studium","")))</f>
        <v/>
      </c>
      <c r="K70" s="1740"/>
      <c r="L70" s="1741"/>
      <c r="M70" s="1012" t="str">
        <f t="shared" ref="M70:M76" si="59">INDEX(SF_MAGIE,$AU70)</f>
        <v>Matrixverständnis</v>
      </c>
      <c r="N70" s="391" t="str">
        <f t="shared" ref="N70:N99" ca="1" si="60">IF(NOT(ISERR(FIND(M70&amp;",",$AW$34,1))),"x",
IF(P70="X","x",""))</f>
        <v/>
      </c>
      <c r="O70" s="387" t="str">
        <f t="shared" ca="1" si="56"/>
        <v/>
      </c>
      <c r="P70" s="1127"/>
      <c r="Q70" s="109"/>
      <c r="R70" s="384"/>
      <c r="S70" s="960"/>
      <c r="T70" s="960"/>
      <c r="U70" s="324"/>
      <c r="V70" s="1739" t="str">
        <f ca="1">IF(OR(NOT(ISBLANK($R70)),NOT(ISBLANK($S70)),NOT(ISBLANK($T70)),NOT(ISBLANK($U70))),IF(NOT(EXACT($N70,"")),"Diese SF hast Du schon!",IF(IN&lt;15,"IN min. 15","")),IF(AND(ZS_SE_VIEW,N70="",O70="",NOT(ISERR(FIND(M70,ZS_SF_ALLE,1)))),"SF verbilligt aus Studium",""))</f>
        <v/>
      </c>
      <c r="W70" s="1740"/>
      <c r="X70" s="1741"/>
      <c r="Y70" s="212">
        <f t="shared" ca="1" si="52"/>
        <v>0</v>
      </c>
      <c r="Z70" s="212">
        <f t="shared" ca="1" si="53"/>
        <v>0</v>
      </c>
      <c r="AA70" s="212">
        <f t="shared" ca="1" si="54"/>
        <v>0</v>
      </c>
      <c r="AB70" s="212">
        <f t="shared" ca="1" si="55"/>
        <v>0</v>
      </c>
      <c r="AC70" s="212">
        <f t="shared" ca="1" si="48"/>
        <v>2</v>
      </c>
      <c r="AD70" s="557" t="str">
        <f t="shared" ca="1" si="45"/>
        <v/>
      </c>
      <c r="AE70" s="549" t="str">
        <f t="shared" ca="1" si="46"/>
        <v/>
      </c>
      <c r="AF70" s="1434">
        <v>18</v>
      </c>
      <c r="AG70" s="557"/>
      <c r="AH70" s="551"/>
      <c r="AI70" s="551"/>
      <c r="AJ70" s="551"/>
      <c r="AK70" s="551"/>
      <c r="AL70" s="559">
        <f t="shared" ca="1" si="47"/>
        <v>0</v>
      </c>
      <c r="AM70" s="246">
        <f t="shared" ca="1" si="57"/>
        <v>0</v>
      </c>
      <c r="AN70" s="212">
        <f t="shared" ca="1" si="38"/>
        <v>0</v>
      </c>
      <c r="AO70" s="212">
        <f t="shared" ca="1" si="49"/>
        <v>0</v>
      </c>
      <c r="AP70" s="212">
        <f t="shared" ca="1" si="50"/>
        <v>0</v>
      </c>
      <c r="AQ70" s="212">
        <f t="shared" ca="1" si="51"/>
        <v>0</v>
      </c>
      <c r="AR70" s="212">
        <f t="shared" ca="1" si="58"/>
        <v>2</v>
      </c>
      <c r="AS70" s="1020" t="str">
        <f t="shared" ref="AS70:AS76" ca="1" si="61">IF(AND(EXACT($N70,""),ISBLANK($R70),ISBLANK($S70),ISBLANK($T70),ISBLANK($U70)),"",IF(EXACT($V70,""),"X",""))</f>
        <v/>
      </c>
      <c r="AT70" s="557" t="str">
        <f t="shared" ca="1" si="36"/>
        <v/>
      </c>
      <c r="AU70" s="557">
        <v>35</v>
      </c>
      <c r="AV70" s="557"/>
      <c r="AW70" s="212"/>
      <c r="AX70" s="212"/>
      <c r="AY70" s="212"/>
      <c r="AZ70" s="212"/>
      <c r="BA70" s="212"/>
      <c r="BB70" s="212"/>
      <c r="BC70" s="113"/>
      <c r="BD70" s="113"/>
      <c r="BE70" s="113"/>
      <c r="BF70" s="113"/>
      <c r="BG70" s="113"/>
      <c r="BH70" s="190"/>
      <c r="BI70" s="190"/>
      <c r="BJ70" s="190"/>
      <c r="BK70" s="190"/>
      <c r="BL70" s="190"/>
      <c r="BM70" s="190"/>
      <c r="BN70" s="190"/>
      <c r="BO70" s="190"/>
      <c r="BP70" s="190"/>
      <c r="BQ70" s="190"/>
      <c r="BR70" s="190"/>
      <c r="BS70" s="190"/>
      <c r="BT70" s="190"/>
      <c r="BU70" s="190"/>
      <c r="BV70" s="234"/>
    </row>
    <row r="71" spans="1:74" x14ac:dyDescent="0.2">
      <c r="A71" s="112" t="str">
        <f t="shared" si="42"/>
        <v>Geschützmeister</v>
      </c>
      <c r="B71" s="391" t="str">
        <f t="shared" ca="1" si="43"/>
        <v/>
      </c>
      <c r="C71" s="387" t="str">
        <f t="shared" ca="1" si="44"/>
        <v/>
      </c>
      <c r="D71" s="1127"/>
      <c r="E71" s="109"/>
      <c r="F71" s="384"/>
      <c r="G71" s="960"/>
      <c r="H71" s="960"/>
      <c r="I71" s="324"/>
      <c r="J71" s="1739" t="str">
        <f ca="1">IF(AND(NOT(ISBLANK($F71)),NOT(ISBLANK($G71)),NOT(ISBLANK($H71)),NOT(ISBLANK($I71))),"Was denn nun? GP oder AP?",IF(OR(NOT(ISBLANK($F71)),NOT(ISBLANK($G71)),NOT(ISBLANK($H71)),NOT(ISBLANK($I71))),IF(NOT(EXACT($B71,"")),"Diese SF hast Du schon!",IF(FF&lt;12,"FF min. 12",IF(SUM(Talente!$B$94,Talente!$G$94,Talente!$I$94)&lt;7,"TaW Mechanik 7+",IF(SUM(Talente!$B$16,Talente!$G$16,Talente!$I$16)&lt;10,"TaW Belagerungswaffen 10+","")))),IF(AND(ZS_SE_VIEW,B71="",C71="",NOT(ISERR(FIND(A71,ZS_SF_ALLE,1)))),"SF verbilligt aus Studium","")))</f>
        <v/>
      </c>
      <c r="K71" s="1740"/>
      <c r="L71" s="1741"/>
      <c r="M71" s="1012" t="str">
        <f t="shared" si="59"/>
        <v>Meisterliche Regeneration</v>
      </c>
      <c r="N71" s="391" t="str">
        <f t="shared" ca="1" si="60"/>
        <v/>
      </c>
      <c r="O71" s="387" t="str">
        <f t="shared" ca="1" si="56"/>
        <v/>
      </c>
      <c r="P71" s="1127"/>
      <c r="Q71" s="109"/>
      <c r="R71" s="384"/>
      <c r="S71" s="960"/>
      <c r="T71" s="960"/>
      <c r="U71" s="324"/>
      <c r="V71" s="1739" t="str">
        <f ca="1">IF(OR(NOT(ISBLANK($R71)),NOT(ISBLANK($S71)),NOT(ISBLANK($T71)),NOT(ISBLANK($U71))),IF(NOT(EXACT($N71,"")),"Diese SF hast Du schon!",IF(EXACT(AT78,""),"SF Regeneration II notwendig","")),IF(AND(ZS_SE_VIEW,N71="",O71="",NOT(ISERR(FIND(M71,ZS_SF_ALLE,1)))),"SF verbilligt aus Studium",""))</f>
        <v/>
      </c>
      <c r="W71" s="1740"/>
      <c r="X71" s="1741"/>
      <c r="Y71" s="212">
        <f t="shared" ca="1" si="52"/>
        <v>0</v>
      </c>
      <c r="Z71" s="212">
        <f t="shared" ca="1" si="53"/>
        <v>0</v>
      </c>
      <c r="AA71" s="212">
        <f t="shared" ca="1" si="54"/>
        <v>0</v>
      </c>
      <c r="AB71" s="212">
        <f t="shared" ca="1" si="55"/>
        <v>0</v>
      </c>
      <c r="AC71" s="212">
        <f t="shared" ca="1" si="48"/>
        <v>2</v>
      </c>
      <c r="AD71" s="557" t="str">
        <f t="shared" ca="1" si="45"/>
        <v/>
      </c>
      <c r="AE71" s="549" t="str">
        <f t="shared" ca="1" si="46"/>
        <v/>
      </c>
      <c r="AF71" s="1434">
        <v>19</v>
      </c>
      <c r="AG71" s="557"/>
      <c r="AH71" s="551"/>
      <c r="AI71" s="551"/>
      <c r="AJ71" s="551"/>
      <c r="AK71" s="551"/>
      <c r="AL71" s="559">
        <f t="shared" ca="1" si="47"/>
        <v>0</v>
      </c>
      <c r="AM71" s="246">
        <f t="shared" ca="1" si="57"/>
        <v>0</v>
      </c>
      <c r="AN71" s="212">
        <f t="shared" ca="1" si="38"/>
        <v>0</v>
      </c>
      <c r="AO71" s="212">
        <f t="shared" ca="1" si="49"/>
        <v>0</v>
      </c>
      <c r="AP71" s="212">
        <f t="shared" ca="1" si="50"/>
        <v>0</v>
      </c>
      <c r="AQ71" s="212">
        <f t="shared" ca="1" si="51"/>
        <v>0</v>
      </c>
      <c r="AR71" s="212">
        <f t="shared" ca="1" si="58"/>
        <v>2</v>
      </c>
      <c r="AS71" s="1020" t="str">
        <f t="shared" ca="1" si="61"/>
        <v/>
      </c>
      <c r="AT71" s="557" t="str">
        <f t="shared" ca="1" si="36"/>
        <v/>
      </c>
      <c r="AU71" s="557">
        <v>36</v>
      </c>
      <c r="AV71" s="557"/>
      <c r="AW71" s="212"/>
      <c r="AX71" s="212"/>
      <c r="AY71" s="212"/>
      <c r="AZ71" s="212"/>
      <c r="BA71" s="212"/>
      <c r="BB71" s="212"/>
      <c r="BC71" s="113"/>
      <c r="BD71" s="113"/>
      <c r="BE71" s="113"/>
      <c r="BF71" s="113"/>
      <c r="BG71" s="113"/>
      <c r="BH71" s="190"/>
      <c r="BI71" s="190"/>
      <c r="BJ71" s="190"/>
      <c r="BK71" s="190"/>
      <c r="BL71" s="190"/>
      <c r="BM71" s="190"/>
      <c r="BN71" s="190"/>
      <c r="BO71" s="190"/>
      <c r="BP71" s="190"/>
      <c r="BQ71" s="190"/>
      <c r="BR71" s="190"/>
      <c r="BS71" s="190"/>
      <c r="BT71" s="190"/>
      <c r="BU71" s="190"/>
      <c r="BV71" s="234"/>
    </row>
    <row r="72" spans="1:74" x14ac:dyDescent="0.2">
      <c r="A72" s="112" t="str">
        <f t="shared" si="42"/>
        <v>Gezielter Stich</v>
      </c>
      <c r="B72" s="391" t="str">
        <f t="shared" ca="1" si="43"/>
        <v/>
      </c>
      <c r="C72" s="387" t="str">
        <f t="shared" ca="1" si="44"/>
        <v/>
      </c>
      <c r="D72" s="1127"/>
      <c r="E72" s="109"/>
      <c r="F72" s="384"/>
      <c r="G72" s="960"/>
      <c r="H72" s="960"/>
      <c r="I72" s="324"/>
      <c r="J72" s="1739" t="str">
        <f ca="1">IF(AND(NOT(ISBLANK($F72)),NOT(ISBLANK($G72)),NOT(ISBLANK($H72)),NOT(ISBLANK($I72))),"Was denn nun? GP oder AP?",IF(OR(NOT(ISBLANK($F72)),NOT(ISBLANK($G72)),NOT(ISBLANK($H72)),NOT(ISBLANK($I72))),IF(NOT(EXACT($B72,"")),"Diese SF hast Du schon!",IF(AND(EXACT($B$68,""),ISBLANK($F$68),ISBLANK($G$68),ISBLANK($H$68),ISBLANK($I$68)),"SF Finte nötig","")),IF(AND(ZS_SE_VIEW,B72="",C72="",NOT(ISERR(FIND(A72,ZS_SF_ALLE,1)))),"SF verbilligt aus Studium","")))</f>
        <v/>
      </c>
      <c r="K72" s="1740"/>
      <c r="L72" s="1741"/>
      <c r="M72" s="1012" t="str">
        <f t="shared" si="59"/>
        <v>Meisterliche Zauberkontrolle</v>
      </c>
      <c r="N72" s="391" t="str">
        <f t="shared" ca="1" si="60"/>
        <v/>
      </c>
      <c r="O72" s="387" t="str">
        <f t="shared" ca="1" si="56"/>
        <v/>
      </c>
      <c r="P72" s="1127"/>
      <c r="Q72" s="109"/>
      <c r="R72" s="384"/>
      <c r="S72" s="960"/>
      <c r="T72" s="960"/>
      <c r="U72" s="324"/>
      <c r="V72" s="1739" t="str">
        <f ca="1">IF(OR(NOT(ISBLANK($R72)),NOT(ISBLANK($S72)),NOT(ISBLANK($T72)),NOT(ISBLANK($U72))),IF(NOT(EXACT($N72,"")),"Diese SF hast Du schon!",IF(MU&lt;12,"MU min. 12",IF(KL&lt;15,"KL min. 15",IF(EXACT($AT$97,""),"SF Zauberkontrolle notwendig","")))),IF(AND(ZS_SE_VIEW,N72="",O72="",NOT(ISERR(FIND(M72,ZS_SF_ALLE,1)))),"SF verbilligt aus Studium",""))</f>
        <v/>
      </c>
      <c r="W72" s="1740"/>
      <c r="X72" s="1741"/>
      <c r="Y72" s="212">
        <f t="shared" ca="1" si="52"/>
        <v>0</v>
      </c>
      <c r="Z72" s="212">
        <f t="shared" ca="1" si="53"/>
        <v>0</v>
      </c>
      <c r="AA72" s="212">
        <f t="shared" ca="1" si="54"/>
        <v>0</v>
      </c>
      <c r="AB72" s="212">
        <f t="shared" ca="1" si="55"/>
        <v>0</v>
      </c>
      <c r="AC72" s="212">
        <f t="shared" ca="1" si="48"/>
        <v>2</v>
      </c>
      <c r="AD72" s="557" t="str">
        <f t="shared" ca="1" si="45"/>
        <v/>
      </c>
      <c r="AE72" s="549" t="str">
        <f t="shared" ca="1" si="46"/>
        <v/>
      </c>
      <c r="AF72" s="1434">
        <v>20</v>
      </c>
      <c r="AG72" s="557"/>
      <c r="AH72" s="551"/>
      <c r="AI72" s="551"/>
      <c r="AJ72" s="551"/>
      <c r="AK72" s="551"/>
      <c r="AL72" s="559">
        <f t="shared" ca="1" si="47"/>
        <v>0</v>
      </c>
      <c r="AM72" s="246">
        <f t="shared" ca="1" si="57"/>
        <v>0</v>
      </c>
      <c r="AN72" s="717">
        <f ca="1">IF(AND(NOT(ISBLANK($R72)),EXACT($V72,""),EXACT($N72,"")),
IF(OR($R72="I",$R72="I &amp; II"),IF(P72="X I",0,IF(AND($O72="",NOT(P72="V I")),1,0.5)*VLOOKUP($M72,SF_MAGIEALLE,3,FALSE)),0)+
IF(OR($R72="II",$R72="I &amp; II"),ROUND(IF(P72="X II",0,IF(AND($O72="",NOT(P72="V II")),1,0.5)*IF(VT_AKADMAG,4.5,6)),0),0),0)</f>
        <v>0</v>
      </c>
      <c r="AO72" s="717">
        <f ca="1">IF(AND(NOT(ISBLANK($S72)),EXACT($V72,""),EXACT($N72,"")),
IF(OR($S72="I",$S72="I &amp; II"),IF(OR(P72="X I",R72&lt;&gt;""),0,IF(AND($O72="",NOT(P72="V I")),1,0.5)*VLOOKUP($M72,SF_MAGIEALLE,2,FALSE)),0)+
IF(OR($S72="II",$S72="I &amp; II"),ROUND(IF(P72="X II",0,IF(AND($O72="",NOT(P72="V II")),1,0.5)*IF(VT_AKADMAG,225,300)),0),0),0)</f>
        <v>0</v>
      </c>
      <c r="AP72" s="717">
        <f ca="1">IF(AND(NOT(ISBLANK($T72)),EXACT($N72,"")),
IF(OR($T72="I",$T72="I &amp; II"),IF(OR(P72="X I",R72&lt;&gt;"",S72&lt;&gt;""),0,IF(AND($O72="",NOT(P72="V I")),1,0.5)*VLOOKUP($M72,SF_MAGIEALLE,2,FALSE)),0)+
IF(OR($T72="II",$T72="I &amp; II"),ROUND(IF(P72="X II",0,IF(AND($O72="",NOT(P72="V II")),1,0.5)*IF(VT_AKADMAG,225,300)),0),0),0)</f>
        <v>0</v>
      </c>
      <c r="AQ72" s="717">
        <f ca="1">IF(AND(NOT(ISBLANK($U72)),EXACT($V72,""),EXACT($N72,"")),
ROUND((IF(OR($U72="I",$U72="I &amp; II"),IF(OR(P72="X I",R72&lt;&gt;"",S72&lt;&gt;"",T72&lt;&gt;""),0,IF(AND($O72="",NOT(P72="V I")),1,0.5)*VLOOKUP($M72,SF_MAGIEALLE,2,FALSE)),0)+
IF(OR($U72="II",$U72="I &amp; II"),IF(P72="X II",0,IF(AND($O72="",NOT(P72="V II")),1,0.5)*IF(VT_AKADMAG,225,300)),0)),0),0)</f>
        <v>0</v>
      </c>
      <c r="AR72" s="212">
        <f t="shared" ca="1" si="58"/>
        <v>2</v>
      </c>
      <c r="AS72" s="1020" t="str">
        <f t="shared" ca="1" si="61"/>
        <v/>
      </c>
      <c r="AT72" s="717" t="str">
        <f ca="1">IF(AND(EXACT($N72,""),ISBLANK($R72),ISBLANK($S72),ISBLANK($T72),ISBLANK($U72)),"",CONCATENATE($M72," ",$R72,$S72,$T72,$U72,", "))</f>
        <v/>
      </c>
      <c r="AU72" s="557">
        <v>37</v>
      </c>
      <c r="AV72" s="557"/>
      <c r="AW72" s="212"/>
      <c r="AX72" s="212"/>
      <c r="AY72" s="212"/>
      <c r="AZ72" s="212"/>
      <c r="BA72" s="212"/>
      <c r="BB72" s="212"/>
      <c r="BC72" s="113"/>
      <c r="BD72" s="113"/>
      <c r="BE72" s="113"/>
      <c r="BF72" s="113"/>
      <c r="BG72" s="113"/>
      <c r="BH72" s="190"/>
      <c r="BI72" s="190"/>
      <c r="BJ72" s="190"/>
      <c r="BK72" s="190"/>
      <c r="BL72" s="190"/>
      <c r="BM72" s="190"/>
      <c r="BN72" s="190"/>
      <c r="BO72" s="190"/>
      <c r="BP72" s="190"/>
      <c r="BQ72" s="190"/>
      <c r="BR72" s="190"/>
      <c r="BS72" s="190"/>
      <c r="BT72" s="190"/>
      <c r="BU72" s="190"/>
      <c r="BV72" s="234"/>
    </row>
    <row r="73" spans="1:74" x14ac:dyDescent="0.2">
      <c r="A73" s="112" t="str">
        <f t="shared" si="42"/>
        <v>Halbschwert</v>
      </c>
      <c r="B73" s="391" t="str">
        <f t="shared" ca="1" si="43"/>
        <v/>
      </c>
      <c r="C73" s="387" t="str">
        <f t="shared" ca="1" si="44"/>
        <v/>
      </c>
      <c r="D73" s="1127"/>
      <c r="E73" s="109"/>
      <c r="F73" s="384"/>
      <c r="G73" s="960"/>
      <c r="H73" s="960"/>
      <c r="I73" s="324"/>
      <c r="J73" s="1739" t="str">
        <f ca="1">IF(AND(NOT(ISBLANK($F73)),NOT(ISBLANK($G73)),NOT(ISBLANK($H73)),NOT(ISBLANK($I73))),"Was denn nun? GP oder AP?",IF(OR(NOT(ISBLANK($F73)),NOT(ISBLANK($G73)),NOT(ISBLANK($H73)),NOT(ISBLANK($I73))),IF(NOT(EXACT($B73,"")),"Diese SF hast Du schon!",IF(AND(EXACT($B$53,""),ISBLANK($F$53),ISBLANK($G$53),ISBLANK($H$53),ISBLANK($I$53)),"SF Aufmerksamkeit nötig","")),IF(AND(ZS_SE_VIEW,B73="",C73="",NOT(ISERR(FIND(A73,ZS_SF_ALLE,1)))),"SF verbilligt aus Studium","")))</f>
        <v/>
      </c>
      <c r="K73" s="1740"/>
      <c r="L73" s="1741"/>
      <c r="M73" s="1012" t="str">
        <f t="shared" si="59"/>
        <v>Nekromant</v>
      </c>
      <c r="N73" s="391" t="str">
        <f t="shared" ca="1" si="60"/>
        <v/>
      </c>
      <c r="O73" s="387" t="str">
        <f t="shared" ca="1" si="56"/>
        <v/>
      </c>
      <c r="P73" s="1127"/>
      <c r="Q73" s="109"/>
      <c r="R73" s="384"/>
      <c r="S73" s="960"/>
      <c r="T73" s="960"/>
      <c r="U73" s="324"/>
      <c r="V73" s="1739" t="str">
        <f ca="1">IF(OR(NOT(ISBLANK($R73)),NOT(ISBLANK($S73)),NOT(ISBLANK($T73)),NOT(ISBLANK($U73))),IF(NOT(EXACT($N73,"")),"Diese SF hast Du schon!",IF(SUM(Talente!B102,Talente!G102,Talente!I102)&lt;11, "TaW Magiekunde muss &gt; 10 sein!",IF(MU&lt;15,"MU min. 15",""))),"")&amp;IF(AND(ZS_SE_VIEW,N73="",O73="",NOT(ISERR(FIND(M73,ZS_SF_ALLE,1)))),"SF verbilligt aus Studium","")</f>
        <v/>
      </c>
      <c r="W73" s="1740"/>
      <c r="X73" s="1741"/>
      <c r="Y73" s="212">
        <f t="shared" ca="1" si="52"/>
        <v>0</v>
      </c>
      <c r="Z73" s="212">
        <f t="shared" ca="1" si="53"/>
        <v>0</v>
      </c>
      <c r="AA73" s="212">
        <f t="shared" ca="1" si="54"/>
        <v>0</v>
      </c>
      <c r="AB73" s="212">
        <f t="shared" ca="1" si="55"/>
        <v>0</v>
      </c>
      <c r="AC73" s="212">
        <f t="shared" ca="1" si="48"/>
        <v>2</v>
      </c>
      <c r="AD73" s="557" t="str">
        <f t="shared" ca="1" si="45"/>
        <v/>
      </c>
      <c r="AE73" s="549" t="str">
        <f t="shared" ca="1" si="46"/>
        <v/>
      </c>
      <c r="AF73" s="1434">
        <v>21</v>
      </c>
      <c r="AG73" s="557"/>
      <c r="AH73" s="551"/>
      <c r="AI73" s="551"/>
      <c r="AJ73" s="551"/>
      <c r="AK73" s="551"/>
      <c r="AL73" s="559">
        <f t="shared" ca="1" si="47"/>
        <v>0</v>
      </c>
      <c r="AM73" s="246">
        <f t="shared" ca="1" si="57"/>
        <v>0</v>
      </c>
      <c r="AN73" s="212">
        <f t="shared" ref="AN73:AN88" ca="1" si="62">IF(AND(NOT(ISBLANK($R73)),EXACT($V73,""),EXACT($N73,"")),IF(EXACT($O73,""),VLOOKUP($M73,SF_MAGIEALLE,3,FALSE),ROUND(VLOOKUP($M73,SF_MAGIEALLE,3,FALSE)/$AR73,0)),0)</f>
        <v>0</v>
      </c>
      <c r="AO73" s="212">
        <f t="shared" ref="AO73:AO88" ca="1" si="63">IF(AND(NOT(ISBLANK($S73)),EXACT($N73,"")),IF(EXACT($O73,""),VLOOKUP($M73,SF_MAGIEALLE,2,FALSE),ROUND(VLOOKUP($M73,SF_MAGIEALLE,2,FALSE)/$AR73,0)),0)</f>
        <v>0</v>
      </c>
      <c r="AP73" s="212">
        <f t="shared" ref="AP73:AP88" ca="1" si="64">IF(AND(NOT(ISBLANK($T73)),EXACT($N73,"")),IF(EXACT($O73,""),VLOOKUP($M73,SF_MAGIEALLE,2,FALSE),ROUND(VLOOKUP($M73,SF_MAGIEALLE,2,FALSE)/$AR73,0)),0)</f>
        <v>0</v>
      </c>
      <c r="AQ73" s="212">
        <f t="shared" ref="AQ73:AQ88" ca="1" si="65">IF(AND(NOT(ISBLANK($U73)),EXACT($V73,""),EXACT($N73,"")),IF(EXACT($O73,""),VLOOKUP($M73,SF_MAGIEALLE,2,FALSE),ROUND(VLOOKUP($M73,SF_MAGIEALLE,2,FALSE)/$AR73,0)),0)</f>
        <v>0</v>
      </c>
      <c r="AR73" s="212">
        <f t="shared" ca="1" si="58"/>
        <v>2</v>
      </c>
      <c r="AS73" s="1020" t="str">
        <f t="shared" ca="1" si="61"/>
        <v/>
      </c>
      <c r="AT73" s="557" t="str">
        <f t="shared" ref="AT73:AT99" ca="1" si="66">IF(AND(EXACT($N73,""),ISBLANK($R73),ISBLANK($S73),ISBLANK($T73),ISBLANK($U73)),"",CONCATENATE($M73,", "))</f>
        <v/>
      </c>
      <c r="AU73" s="557">
        <v>38</v>
      </c>
      <c r="AV73" s="557"/>
      <c r="AW73" s="212"/>
      <c r="AX73" s="212"/>
      <c r="AY73" s="212"/>
      <c r="AZ73" s="212"/>
      <c r="BA73" s="212"/>
      <c r="BB73" s="18"/>
      <c r="BC73" s="18"/>
      <c r="BD73" s="18"/>
      <c r="BE73" s="18"/>
      <c r="BF73" s="18"/>
      <c r="BG73" s="18"/>
      <c r="BH73" s="18"/>
      <c r="BI73" s="18"/>
      <c r="BJ73" s="18"/>
      <c r="BK73" s="18"/>
      <c r="BL73" s="18"/>
      <c r="BM73" s="18"/>
      <c r="BN73" s="18"/>
      <c r="BO73" s="18"/>
      <c r="BP73" s="18"/>
      <c r="BQ73" s="18"/>
      <c r="BR73" s="18"/>
      <c r="BS73" s="18"/>
      <c r="BT73" s="18"/>
      <c r="BU73" s="18"/>
      <c r="BV73" s="234"/>
    </row>
    <row r="74" spans="1:74" x14ac:dyDescent="0.2">
      <c r="A74" s="112" t="str">
        <f t="shared" si="42"/>
        <v>Hammerschlag</v>
      </c>
      <c r="B74" s="391" t="str">
        <f t="shared" ca="1" si="43"/>
        <v/>
      </c>
      <c r="C74" s="387" t="str">
        <f t="shared" ca="1" si="44"/>
        <v/>
      </c>
      <c r="D74" s="1127"/>
      <c r="E74" s="109"/>
      <c r="F74" s="384"/>
      <c r="G74" s="960"/>
      <c r="H74" s="960"/>
      <c r="I74" s="324"/>
      <c r="J74" s="1739" t="str">
        <f ca="1">IF(AND(NOT(ISBLANK($F74)),NOT(ISBLANK($G74)),NOT(ISBLANK($H74)),NOT(ISBLANK($I74))),"Was denn nun? GP oder AP?",IF(OR(NOT(ISBLANK($F74)),NOT(ISBLANK($G74)),NOT(ISBLANK($H74)),NOT(ISBLANK($I74))),IF(NOT(EXACT($B74,"")),"Diese SF hast Du schon!",IF(MU&lt;15,"MU min. 15",IF(AND(EXACT($B$86,""),ISBLANK($F$86),ISBLANK($G$86),ISBLANK($H$86),ISBLANK($I$86)),"SF Niederwerfen nötig",""))),IF(AND(ZS_SE_VIEW,B74="",C74="",NOT(ISERR(FIND(A74,ZS_SF_ALLE,1)))),"SF verbilligt aus Studium","")))</f>
        <v/>
      </c>
      <c r="K74" s="1740"/>
      <c r="L74" s="1741"/>
      <c r="M74" s="1012" t="str">
        <f t="shared" si="59"/>
        <v>Ottagaldr</v>
      </c>
      <c r="N74" s="391" t="str">
        <f t="shared" ca="1" si="60"/>
        <v/>
      </c>
      <c r="O74" s="387" t="str">
        <f t="shared" ca="1" si="56"/>
        <v/>
      </c>
      <c r="P74" s="1127"/>
      <c r="Q74" s="109"/>
      <c r="R74" s="384"/>
      <c r="S74" s="960"/>
      <c r="T74" s="960"/>
      <c r="U74" s="324"/>
      <c r="V74" s="1739" t="str">
        <f ca="1">IF(AND(NOT(ISBLANK($R74)),NOT(ISBLANK($S74)),NOT(ISBLANK($T74)),NOT(ISBLANK($U74))),"Was denn nun? GP oder AP?",IF(AND(NOT(ISBLANK($R74)),NOT(ISBLANK($S74)),NOT(ISBLANK($T74)),NOT(EXACT($N74,""))),"Diese SF hast Du schon!",IF(AND(ZS_SE_VIEW,N74="",O74="",NOT(ISERR(FIND(M74,ZS_SF_ALLE,1)))),"SF verbilligt aus Studium","")))</f>
        <v/>
      </c>
      <c r="W74" s="1740"/>
      <c r="X74" s="1741"/>
      <c r="Y74" s="212">
        <f t="shared" ca="1" si="52"/>
        <v>0</v>
      </c>
      <c r="Z74" s="212">
        <f t="shared" ca="1" si="53"/>
        <v>0</v>
      </c>
      <c r="AA74" s="212">
        <f t="shared" ca="1" si="54"/>
        <v>0</v>
      </c>
      <c r="AB74" s="212">
        <f t="shared" ca="1" si="55"/>
        <v>0</v>
      </c>
      <c r="AC74" s="212">
        <f t="shared" ca="1" si="48"/>
        <v>2</v>
      </c>
      <c r="AD74" s="557" t="str">
        <f t="shared" ca="1" si="45"/>
        <v/>
      </c>
      <c r="AE74" s="549" t="str">
        <f t="shared" ca="1" si="46"/>
        <v/>
      </c>
      <c r="AF74" s="1434">
        <v>22</v>
      </c>
      <c r="AG74" s="557"/>
      <c r="AH74" s="551"/>
      <c r="AI74" s="551"/>
      <c r="AJ74" s="551"/>
      <c r="AK74" s="551"/>
      <c r="AL74" s="559">
        <f t="shared" ca="1" si="47"/>
        <v>0</v>
      </c>
      <c r="AM74" s="246">
        <f t="shared" ca="1" si="57"/>
        <v>0</v>
      </c>
      <c r="AN74" s="212">
        <f t="shared" ca="1" si="62"/>
        <v>0</v>
      </c>
      <c r="AO74" s="212">
        <f t="shared" ca="1" si="63"/>
        <v>0</v>
      </c>
      <c r="AP74" s="212">
        <f t="shared" ca="1" si="64"/>
        <v>0</v>
      </c>
      <c r="AQ74" s="212">
        <f t="shared" ca="1" si="65"/>
        <v>0</v>
      </c>
      <c r="AR74" s="212">
        <f t="shared" ca="1" si="58"/>
        <v>2</v>
      </c>
      <c r="AS74" s="1020" t="str">
        <f t="shared" ca="1" si="61"/>
        <v/>
      </c>
      <c r="AT74" s="557" t="str">
        <f t="shared" ca="1" si="66"/>
        <v/>
      </c>
      <c r="AU74" s="557">
        <v>39</v>
      </c>
      <c r="AV74" s="557"/>
      <c r="AW74" s="212"/>
      <c r="AX74" s="212"/>
      <c r="AY74" s="212"/>
      <c r="AZ74" s="212"/>
      <c r="BA74" s="212"/>
      <c r="BB74" s="212"/>
      <c r="BC74" s="113"/>
      <c r="BD74" s="113"/>
      <c r="BE74" s="113"/>
      <c r="BF74" s="113"/>
      <c r="BG74" s="113"/>
      <c r="BH74" s="190"/>
      <c r="BI74" s="190"/>
      <c r="BJ74" s="190"/>
      <c r="BK74" s="190"/>
      <c r="BL74" s="190"/>
      <c r="BM74" s="190"/>
      <c r="BN74" s="190"/>
      <c r="BO74" s="190"/>
      <c r="BP74" s="190"/>
      <c r="BQ74" s="190"/>
      <c r="BR74" s="190"/>
      <c r="BS74" s="190"/>
      <c r="BT74" s="190"/>
      <c r="BU74" s="190"/>
      <c r="BV74" s="234"/>
    </row>
    <row r="75" spans="1:74" x14ac:dyDescent="0.2">
      <c r="A75" s="112" t="str">
        <f t="shared" si="42"/>
        <v>Improvisierte Waffen</v>
      </c>
      <c r="B75" s="391" t="str">
        <f t="shared" ca="1" si="43"/>
        <v/>
      </c>
      <c r="C75" s="387" t="str">
        <f t="shared" ca="1" si="44"/>
        <v/>
      </c>
      <c r="D75" s="1127"/>
      <c r="E75" s="109"/>
      <c r="F75" s="384"/>
      <c r="G75" s="960"/>
      <c r="H75" s="960"/>
      <c r="I75" s="324"/>
      <c r="J75" s="1739" t="str">
        <f ca="1">IF(OR(NOT(ISBLANK($F75)),NOT(ISBLANK($G75)),NOT(ISBLANK($H75)),NOT(ISBLANK($I75))),IF(NOT(EXACT($B75,"")),"Diese SF hast Du schon!",IF(GE&lt;12,"GE min. 12",IF(IN&lt;12,"IN min. 12",""))),IF(AND(ZS_SE_VIEW,B75="",C75="",NOT(ISERR(FIND(A75,ZS_SF_ALLE,1)))),"SF verbilligt aus Studium",""))</f>
        <v/>
      </c>
      <c r="K75" s="1740"/>
      <c r="L75" s="1741"/>
      <c r="M75" s="1012" t="str">
        <f t="shared" si="59"/>
        <v>Reaktivierungsgespür (Arkanoglyphen)</v>
      </c>
      <c r="N75" s="391" t="str">
        <f ca="1">IF(NOT(ISERR(FIND(M75&amp;",",$AW$34,1))),"x",
IF(P75="X","x",""))</f>
        <v/>
      </c>
      <c r="O75" s="387" t="str">
        <f ca="1">IF(NOT(ISERR(FIND(M75&amp;",",$AW$35,1))),"x",
IF(P75="V","x",""))</f>
        <v/>
      </c>
      <c r="P75" s="1127"/>
      <c r="Q75" s="109"/>
      <c r="R75" s="384"/>
      <c r="S75" s="960"/>
      <c r="T75" s="960"/>
      <c r="U75" s="324"/>
      <c r="V75" s="1739" t="str">
        <f ca="1">IF(OR(NOT(ISBLANK($R75)),NOT(ISBLANK($S75)),NOT(ISBLANK($T75)),NOT(ISBLANK($U75))),IF(NOT(EXACT($N75,"")),"Diese SF hast Du schon!",IF(EXACT($AS$99,""),"SF Zauberzeichen notwendig","")),IF(AND(ZS_SE_VIEW,N75="",O75="",NOT(ISERR(FIND(M75,ZS_SF_ALLE,1)))),"SF verbilligt aus Studium",""))</f>
        <v/>
      </c>
      <c r="W75" s="1740"/>
      <c r="X75" s="1741"/>
      <c r="Y75" s="212">
        <f t="shared" ca="1" si="52"/>
        <v>0</v>
      </c>
      <c r="Z75" s="212">
        <f t="shared" ca="1" si="53"/>
        <v>0</v>
      </c>
      <c r="AA75" s="212">
        <f t="shared" ca="1" si="54"/>
        <v>0</v>
      </c>
      <c r="AB75" s="212">
        <f t="shared" ca="1" si="55"/>
        <v>0</v>
      </c>
      <c r="AC75" s="212">
        <f t="shared" ca="1" si="48"/>
        <v>2</v>
      </c>
      <c r="AD75" s="557" t="str">
        <f t="shared" ca="1" si="45"/>
        <v/>
      </c>
      <c r="AE75" s="549" t="str">
        <f t="shared" ca="1" si="46"/>
        <v/>
      </c>
      <c r="AF75" s="1434">
        <v>23</v>
      </c>
      <c r="AG75" s="557"/>
      <c r="AH75" s="551"/>
      <c r="AI75" s="551"/>
      <c r="AJ75" s="551"/>
      <c r="AK75" s="551"/>
      <c r="AL75" s="559">
        <f t="shared" ca="1" si="47"/>
        <v>0</v>
      </c>
      <c r="AM75" s="246">
        <f t="shared" ca="1" si="57"/>
        <v>0</v>
      </c>
      <c r="AN75" s="212">
        <f t="shared" ca="1" si="62"/>
        <v>0</v>
      </c>
      <c r="AO75" s="212">
        <f t="shared" ca="1" si="63"/>
        <v>0</v>
      </c>
      <c r="AP75" s="212">
        <f t="shared" ca="1" si="64"/>
        <v>0</v>
      </c>
      <c r="AQ75" s="212">
        <f t="shared" ca="1" si="65"/>
        <v>0</v>
      </c>
      <c r="AR75" s="212">
        <f t="shared" ca="1" si="58"/>
        <v>2</v>
      </c>
      <c r="AS75" s="1020" t="str">
        <f t="shared" ca="1" si="61"/>
        <v/>
      </c>
      <c r="AT75" s="557" t="str">
        <f t="shared" ca="1" si="66"/>
        <v/>
      </c>
      <c r="AU75" s="557">
        <v>40</v>
      </c>
      <c r="AV75" s="557"/>
      <c r="AW75" s="212"/>
      <c r="AX75" s="212"/>
      <c r="AY75" s="212"/>
      <c r="AZ75" s="212"/>
      <c r="BA75" s="212"/>
      <c r="BB75" s="212"/>
      <c r="BC75" s="113"/>
      <c r="BD75" s="113"/>
      <c r="BE75" s="113"/>
      <c r="BF75" s="113"/>
      <c r="BG75" s="113"/>
      <c r="BH75" s="190"/>
      <c r="BI75" s="190"/>
      <c r="BJ75" s="190"/>
      <c r="BK75" s="190"/>
      <c r="BL75" s="190"/>
      <c r="BM75" s="190"/>
      <c r="BN75" s="190"/>
      <c r="BO75" s="190"/>
      <c r="BP75" s="190"/>
      <c r="BQ75" s="190"/>
      <c r="BR75" s="190"/>
      <c r="BS75" s="190"/>
      <c r="BT75" s="190"/>
      <c r="BU75" s="190"/>
      <c r="BV75" s="234"/>
    </row>
    <row r="76" spans="1:74" x14ac:dyDescent="0.2">
      <c r="A76" s="112" t="str">
        <f t="shared" si="42"/>
        <v>Kampf im Wasser</v>
      </c>
      <c r="B76" s="391" t="str">
        <f t="shared" ca="1" si="43"/>
        <v/>
      </c>
      <c r="C76" s="387" t="str">
        <f t="shared" ca="1" si="44"/>
        <v/>
      </c>
      <c r="D76" s="1127"/>
      <c r="E76" s="109"/>
      <c r="F76" s="384"/>
      <c r="G76" s="960"/>
      <c r="H76" s="960"/>
      <c r="I76" s="324"/>
      <c r="J76" s="1739" t="str">
        <f ca="1">IF(AND(NOT(ISBLANK($F76)),NOT(ISBLANK($G76)),NOT(ISBLANK($H76)),NOT(ISBLANK($I76))),"Was denn nun? GP oder AP?",IF(OR(NOT(ISBLANK($F76)),NOT(ISBLANK($G76)),NOT(ISBLANK($H76)),NOT(ISBLANK($I76))),IF(NOT(EXACT($B76,"")),"Diese SF hast Du schon!",IF(GE&lt;12,"GE min. 12",IF(SUM(Talente!$B$47,Talente!$G$47,Talente!$I$47)&lt;7,"TaW Körperbeherrschung 7+",""))),IF(AND(ZS_SE_VIEW,B76="",C76="",NOT(ISERR(FIND(A76,ZS_SF_ALLE,1)))),"SF verbilligt aus Studium","")))</f>
        <v/>
      </c>
      <c r="K76" s="1740"/>
      <c r="L76" s="1741"/>
      <c r="M76" s="1012" t="str">
        <f t="shared" si="59"/>
        <v>Reaktivierungsgespür (Runenkunde)</v>
      </c>
      <c r="N76" s="391" t="str">
        <f ca="1">IF(NOT(ISERR(FIND(M76&amp;",",$AW$34,1))),"x",
IF(P76="X","x",""))</f>
        <v/>
      </c>
      <c r="O76" s="387" t="str">
        <f ca="1">IF(NOT(ISERR(FIND(M76&amp;",",$AW$35,1))),"x",
IF(P76="V","x",""))</f>
        <v/>
      </c>
      <c r="P76" s="1127"/>
      <c r="Q76" s="109"/>
      <c r="R76" s="384"/>
      <c r="S76" s="960"/>
      <c r="T76" s="960"/>
      <c r="U76" s="324"/>
      <c r="V76" s="1739" t="str">
        <f ca="1">IF(OR(NOT(ISBLANK($R76)),NOT(ISBLANK($S76)),NOT(ISBLANK($T76)),NOT(ISBLANK($U76))),IF(NOT(EXACT($N76,"")),"Diese SF hast Du schon!",IF(EXACT($AS$79,""),"SF Runemkunde notwendig","")),IF(AND(ZS_SE_VIEW,N76="",O76="",NOT(ISERR(FIND(M76,ZS_SF_ALLE,1)))),"SF verbilligt aus Studium",""))</f>
        <v/>
      </c>
      <c r="W76" s="1740"/>
      <c r="X76" s="1741"/>
      <c r="Y76" s="212">
        <f t="shared" ca="1" si="52"/>
        <v>0</v>
      </c>
      <c r="Z76" s="212">
        <f t="shared" ca="1" si="53"/>
        <v>0</v>
      </c>
      <c r="AA76" s="212">
        <f t="shared" ca="1" si="54"/>
        <v>0</v>
      </c>
      <c r="AB76" s="212">
        <f t="shared" ca="1" si="55"/>
        <v>0</v>
      </c>
      <c r="AC76" s="212">
        <f t="shared" ca="1" si="48"/>
        <v>2</v>
      </c>
      <c r="AD76" s="557" t="str">
        <f t="shared" ca="1" si="45"/>
        <v/>
      </c>
      <c r="AE76" s="549" t="str">
        <f t="shared" ca="1" si="46"/>
        <v/>
      </c>
      <c r="AF76" s="1434">
        <v>24</v>
      </c>
      <c r="AG76" s="557"/>
      <c r="AH76" s="551"/>
      <c r="AI76" s="551"/>
      <c r="AJ76" s="551"/>
      <c r="AK76" s="551"/>
      <c r="AL76" s="559">
        <f t="shared" ca="1" si="47"/>
        <v>0</v>
      </c>
      <c r="AM76" s="246">
        <f t="shared" ca="1" si="57"/>
        <v>0</v>
      </c>
      <c r="AN76" s="212">
        <f t="shared" ca="1" si="62"/>
        <v>0</v>
      </c>
      <c r="AO76" s="212">
        <f t="shared" ca="1" si="63"/>
        <v>0</v>
      </c>
      <c r="AP76" s="212">
        <f t="shared" ca="1" si="64"/>
        <v>0</v>
      </c>
      <c r="AQ76" s="212">
        <f t="shared" ca="1" si="65"/>
        <v>0</v>
      </c>
      <c r="AR76" s="212">
        <f t="shared" ca="1" si="58"/>
        <v>2</v>
      </c>
      <c r="AS76" s="1020" t="str">
        <f t="shared" ca="1" si="61"/>
        <v/>
      </c>
      <c r="AT76" s="557" t="str">
        <f t="shared" ca="1" si="66"/>
        <v/>
      </c>
      <c r="AU76" s="557">
        <v>41</v>
      </c>
      <c r="AV76" s="557"/>
      <c r="AW76" s="212"/>
      <c r="AX76" s="212"/>
      <c r="AY76" s="212"/>
      <c r="AZ76" s="212"/>
      <c r="BA76" s="212"/>
      <c r="BB76" s="212"/>
      <c r="BC76" s="113"/>
      <c r="BD76" s="113"/>
      <c r="BE76" s="113"/>
      <c r="BF76" s="113"/>
      <c r="BG76" s="113"/>
      <c r="BH76" s="190"/>
      <c r="BI76" s="190"/>
      <c r="BJ76" s="190"/>
      <c r="BK76" s="190"/>
      <c r="BL76" s="190"/>
      <c r="BM76" s="190"/>
      <c r="BN76" s="190"/>
      <c r="BO76" s="190"/>
      <c r="BP76" s="190"/>
      <c r="BQ76" s="190"/>
      <c r="BR76" s="190"/>
      <c r="BS76" s="190"/>
      <c r="BT76" s="190"/>
      <c r="BU76" s="190"/>
      <c r="BV76" s="234"/>
    </row>
    <row r="77" spans="1:74" x14ac:dyDescent="0.2">
      <c r="A77" s="112" t="str">
        <f t="shared" si="42"/>
        <v>Kampfgespür</v>
      </c>
      <c r="B77" s="391" t="str">
        <f t="shared" ca="1" si="43"/>
        <v/>
      </c>
      <c r="C77" s="387" t="str">
        <f t="shared" ca="1" si="44"/>
        <v/>
      </c>
      <c r="D77" s="1127"/>
      <c r="E77" s="109"/>
      <c r="F77" s="384"/>
      <c r="G77" s="960"/>
      <c r="H77" s="960"/>
      <c r="I77" s="324"/>
      <c r="J77" s="1739" t="str">
        <f ca="1">IF(AND(NOT(ISBLANK($F77)),NOT(ISBLANK($G77)),NOT(ISBLANK($H77)),NOT(ISBLANK($I77))),"Was denn nun? GP oder AP?",IF(OR(NOT(ISBLANK($F77)),NOT(ISBLANK($G77)),NOT(ISBLANK($H77)),NOT(ISBLANK($I77))),IF(NOT(EXACT($B77,"")),"Diese SF hast Du schon!",IF(IN&lt;15,"IN min. 15",IF(AND(EXACT($B$78,""),ISBLANK($F$78),ISBLANK($G$78),ISBLANK($H$78),ISBLANK($I$78)),"SF Kampfreflexe nötig",IF(AND(EXACT($B$53,""),ISBLANK($F$53),ISBLANK($G$53),ISBLANK($H$53),ISBLANK($I$53)),"SF Aufmerksamkeit nötig","")))),IF(AND(ZS_SE_VIEW,B77="",C77="",NOT(ISERR(FIND(A77,ZS_SF_ALLE,1)))),"SF verbilligt aus Studium","")))</f>
        <v/>
      </c>
      <c r="K77" s="1740"/>
      <c r="L77" s="1741"/>
      <c r="M77" s="1012" t="str">
        <f t="shared" ref="M77:M99" si="67">INDEX(SF_MAGIE,$AU77)</f>
        <v>Regeneration I</v>
      </c>
      <c r="N77" s="391" t="str">
        <f t="shared" ca="1" si="60"/>
        <v/>
      </c>
      <c r="O77" s="387" t="str">
        <f t="shared" ca="1" si="56"/>
        <v/>
      </c>
      <c r="P77" s="1127"/>
      <c r="Q77" s="109"/>
      <c r="R77" s="384"/>
      <c r="S77" s="960"/>
      <c r="T77" s="960"/>
      <c r="U77" s="324"/>
      <c r="V77" s="1739" t="str">
        <f ca="1">IF(OR(NOT(ISBLANK($R77)),NOT(ISBLANK($S77)),NOT(ISBLANK($T77)),NOT(ISBLANK($U77))),IF(NOT(EXACT($N77,"")),"Diese SF hast Du schon!",IF(IN&lt;12,"IN min. 12","")),IF(AND(ZS_SE_VIEW,N77="",O77="",NOT(ISERR(FIND(M77,ZS_SF_ALLE,1)))),"SF verbilligt aus Studium",""))</f>
        <v/>
      </c>
      <c r="W77" s="1740"/>
      <c r="X77" s="1741"/>
      <c r="Y77" s="212">
        <f t="shared" ca="1" si="52"/>
        <v>0</v>
      </c>
      <c r="Z77" s="212">
        <f t="shared" ca="1" si="53"/>
        <v>0</v>
      </c>
      <c r="AA77" s="212">
        <f t="shared" ca="1" si="54"/>
        <v>0</v>
      </c>
      <c r="AB77" s="212">
        <f t="shared" ca="1" si="55"/>
        <v>0</v>
      </c>
      <c r="AC77" s="212">
        <f t="shared" ca="1" si="48"/>
        <v>2</v>
      </c>
      <c r="AD77" s="557" t="str">
        <f t="shared" ca="1" si="45"/>
        <v/>
      </c>
      <c r="AE77" s="549" t="str">
        <f t="shared" ca="1" si="46"/>
        <v/>
      </c>
      <c r="AF77" s="1434">
        <v>25</v>
      </c>
      <c r="AG77" s="557"/>
      <c r="AH77" s="551"/>
      <c r="AI77" s="551"/>
      <c r="AJ77" s="551"/>
      <c r="AK77" s="551"/>
      <c r="AL77" s="559">
        <f t="shared" ca="1" si="47"/>
        <v>0</v>
      </c>
      <c r="AM77" s="246">
        <f t="shared" ca="1" si="57"/>
        <v>0</v>
      </c>
      <c r="AN77" s="212">
        <f t="shared" ca="1" si="62"/>
        <v>0</v>
      </c>
      <c r="AO77" s="212">
        <f t="shared" ca="1" si="63"/>
        <v>0</v>
      </c>
      <c r="AP77" s="212">
        <f t="shared" ca="1" si="64"/>
        <v>0</v>
      </c>
      <c r="AQ77" s="212">
        <f t="shared" ca="1" si="65"/>
        <v>0</v>
      </c>
      <c r="AR77" s="212">
        <f t="shared" ca="1" si="58"/>
        <v>2</v>
      </c>
      <c r="AS77" s="1020" t="str">
        <f t="shared" ref="AS77:AS99" ca="1" si="68">IF(AND(EXACT($N77,""),ISBLANK($R77),ISBLANK($S77),ISBLANK($T77),ISBLANK($U77)),"",IF(EXACT($V77,""),"X",""))</f>
        <v/>
      </c>
      <c r="AT77" s="557" t="str">
        <f t="shared" ca="1" si="66"/>
        <v/>
      </c>
      <c r="AU77" s="557">
        <v>42</v>
      </c>
      <c r="AV77" s="557"/>
      <c r="AW77" s="212"/>
      <c r="AX77" s="212"/>
      <c r="AY77" s="212"/>
      <c r="AZ77" s="212"/>
      <c r="BA77" s="212"/>
      <c r="BB77" s="212"/>
      <c r="BC77" s="113"/>
      <c r="BD77" s="113"/>
      <c r="BE77" s="113"/>
      <c r="BF77" s="113"/>
      <c r="BG77" s="113"/>
      <c r="BH77" s="190"/>
      <c r="BI77" s="190"/>
      <c r="BJ77" s="190"/>
      <c r="BK77" s="190"/>
      <c r="BL77" s="190"/>
      <c r="BM77" s="190"/>
      <c r="BN77" s="190"/>
      <c r="BO77" s="190"/>
      <c r="BP77" s="190"/>
      <c r="BQ77" s="190"/>
      <c r="BR77" s="190"/>
      <c r="BS77" s="190"/>
      <c r="BT77" s="190"/>
      <c r="BU77" s="190"/>
      <c r="BV77" s="234"/>
    </row>
    <row r="78" spans="1:74" x14ac:dyDescent="0.2">
      <c r="A78" s="112" t="str">
        <f t="shared" si="42"/>
        <v>Kampfreflexe</v>
      </c>
      <c r="B78" s="391" t="str">
        <f t="shared" ca="1" si="43"/>
        <v/>
      </c>
      <c r="C78" s="387" t="str">
        <f t="shared" ca="1" si="44"/>
        <v/>
      </c>
      <c r="D78" s="1127"/>
      <c r="E78" s="109"/>
      <c r="F78" s="384"/>
      <c r="G78" s="960"/>
      <c r="H78" s="960"/>
      <c r="I78" s="324"/>
      <c r="J78" s="1739" t="str">
        <f ca="1">IF(AND(NOT(ISBLANK($F78)),NOT(ISBLANK($G78)),NOT(ISBLANK($H78)),NOT(ISBLANK($I78))),"Was denn nun? GP oder AP?",IF(OR(NOT(ISBLANK($F78)),NOT(ISBLANK($G78)),NOT(ISBLANK($H78)),NOT(ISBLANK($I78))),IF(NOT(EXACT($B78,"")),"Diese SF hast Du schon!",IF(INISTART&lt;10,"INI-Basiswert min. 10","")),IF(AND(ZS_SE_VIEW,B77="",C77="",NOT(ISERR(FIND(A77,ZS_SF_ALLE,1)))),"SF verbilligt aus Studium","")))</f>
        <v/>
      </c>
      <c r="K78" s="1740"/>
      <c r="L78" s="1741"/>
      <c r="M78" s="1012" t="str">
        <f t="shared" si="67"/>
        <v>Regeneration II</v>
      </c>
      <c r="N78" s="391" t="str">
        <f t="shared" ca="1" si="60"/>
        <v/>
      </c>
      <c r="O78" s="387" t="str">
        <f t="shared" ca="1" si="56"/>
        <v/>
      </c>
      <c r="P78" s="1127"/>
      <c r="Q78" s="109"/>
      <c r="R78" s="384"/>
      <c r="S78" s="960"/>
      <c r="T78" s="960"/>
      <c r="U78" s="324"/>
      <c r="V78" s="1739" t="str">
        <f ca="1">IF(OR(NOT(ISBLANK($R78)),NOT(ISBLANK($S78)),NOT(ISBLANK($T78)),NOT(ISBLANK($U78))),IF(NOT(EXACT($N78,"")),"Diese SF hast Du schon!",IF(EXACT($AT$77,""),"SF Regeneration I notwendig",IF(IN&lt;15,"IN min. 15",""))),IF(AND(ZS_SE_VIEW,N78="",O78="",NOT(ISERR(FIND(M78,ZS_SF_ALLE,1)))),"SF verbilligt aus Studium",""))</f>
        <v/>
      </c>
      <c r="W78" s="1740"/>
      <c r="X78" s="1741"/>
      <c r="Y78" s="212">
        <f t="shared" ca="1" si="52"/>
        <v>0</v>
      </c>
      <c r="Z78" s="212">
        <f t="shared" ca="1" si="53"/>
        <v>0</v>
      </c>
      <c r="AA78" s="212">
        <f t="shared" ca="1" si="54"/>
        <v>0</v>
      </c>
      <c r="AB78" s="212">
        <f t="shared" ca="1" si="55"/>
        <v>0</v>
      </c>
      <c r="AC78" s="212">
        <f t="shared" ca="1" si="48"/>
        <v>2</v>
      </c>
      <c r="AD78" s="557" t="str">
        <f t="shared" ca="1" si="45"/>
        <v/>
      </c>
      <c r="AE78" s="549" t="str">
        <f t="shared" ca="1" si="46"/>
        <v/>
      </c>
      <c r="AF78" s="1434">
        <v>26</v>
      </c>
      <c r="AG78" s="557"/>
      <c r="AH78" s="551"/>
      <c r="AI78" s="551"/>
      <c r="AJ78" s="551"/>
      <c r="AK78" s="551"/>
      <c r="AL78" s="559">
        <f t="shared" ca="1" si="47"/>
        <v>0</v>
      </c>
      <c r="AM78" s="246">
        <f t="shared" ca="1" si="57"/>
        <v>0</v>
      </c>
      <c r="AN78" s="212">
        <f t="shared" ca="1" si="62"/>
        <v>0</v>
      </c>
      <c r="AO78" s="212">
        <f t="shared" ca="1" si="63"/>
        <v>0</v>
      </c>
      <c r="AP78" s="212">
        <f t="shared" ca="1" si="64"/>
        <v>0</v>
      </c>
      <c r="AQ78" s="212">
        <f t="shared" ca="1" si="65"/>
        <v>0</v>
      </c>
      <c r="AR78" s="212">
        <f t="shared" ca="1" si="58"/>
        <v>2</v>
      </c>
      <c r="AS78" s="1020" t="str">
        <f t="shared" ca="1" si="68"/>
        <v/>
      </c>
      <c r="AT78" s="557" t="str">
        <f t="shared" ca="1" si="66"/>
        <v/>
      </c>
      <c r="AU78" s="557">
        <v>43</v>
      </c>
      <c r="AV78" s="557"/>
      <c r="AW78" s="212"/>
      <c r="AX78" s="212"/>
      <c r="AY78" s="212"/>
      <c r="AZ78" s="212"/>
      <c r="BA78" s="212"/>
      <c r="BB78" s="212"/>
      <c r="BC78" s="113"/>
      <c r="BD78" s="113"/>
      <c r="BE78" s="113"/>
      <c r="BF78" s="113"/>
      <c r="BG78" s="113"/>
      <c r="BH78" s="190"/>
      <c r="BI78" s="190"/>
      <c r="BJ78" s="190"/>
      <c r="BK78" s="190"/>
      <c r="BL78" s="190"/>
      <c r="BM78" s="190"/>
      <c r="BN78" s="190"/>
      <c r="BO78" s="190"/>
      <c r="BP78" s="190"/>
      <c r="BQ78" s="190"/>
      <c r="BR78" s="190"/>
      <c r="BS78" s="190"/>
      <c r="BT78" s="190"/>
      <c r="BU78" s="190"/>
      <c r="BV78" s="234"/>
    </row>
    <row r="79" spans="1:74" x14ac:dyDescent="0.2">
      <c r="A79" s="112" t="str">
        <f t="shared" si="42"/>
        <v>Klingensturm</v>
      </c>
      <c r="B79" s="391" t="str">
        <f t="shared" ca="1" si="43"/>
        <v/>
      </c>
      <c r="C79" s="387" t="str">
        <f t="shared" ca="1" si="44"/>
        <v/>
      </c>
      <c r="D79" s="1127"/>
      <c r="E79" s="109"/>
      <c r="F79" s="384"/>
      <c r="G79" s="960"/>
      <c r="H79" s="960"/>
      <c r="I79" s="324"/>
      <c r="J79" s="1739" t="str">
        <f ca="1">IF(AND(NOT(ISBLANK($F79)),NOT(ISBLANK($G79)),NOT(ISBLANK($H79)),NOT(ISBLANK($I79))),"Was denn nun? GP oder AP?",IF(OR(NOT(ISBLANK($F79)),NOT(ISBLANK($G79)),NOT(ISBLANK($H79)),NOT(ISBLANK($I79))),IF(NOT(EXACT($B79,"")),"Diese SF hast Du schon!",IF(AT&lt;9,"AT-Basiswert min. 9",IF(AND(EXACT($B$78,""),ISBLANK($F$78),ISBLANK($G$78),ISBLANK($H$78),ISBLANK($I$78),NOT(VT_FLINK)),"SF Kampfreflexe nötig",IF(AND(EXACT($B$54,""),ISBLANK($F$54),ISBLANK($G$54),ISBLANK($H$54),ISBLANK($I$54)),"SF Ausfall nötig","")))),IF(AND(ZS_SE_VIEW,B79="",C79="",NOT(ISERR(FIND(A79,ZS_SF_ALLE,1)))),"SF verbilligt aus Studium","")))</f>
        <v/>
      </c>
      <c r="K79" s="1740"/>
      <c r="L79" s="1741"/>
      <c r="M79" s="1012" t="str">
        <f t="shared" si="67"/>
        <v>Runenkunde</v>
      </c>
      <c r="N79" s="391" t="str">
        <f t="shared" ca="1" si="60"/>
        <v/>
      </c>
      <c r="O79" s="387" t="str">
        <f t="shared" ca="1" si="56"/>
        <v/>
      </c>
      <c r="P79" s="1127"/>
      <c r="Q79" s="109"/>
      <c r="R79" s="384"/>
      <c r="S79" s="960"/>
      <c r="T79" s="960"/>
      <c r="U79" s="324"/>
      <c r="V79" s="1739" t="str">
        <f ca="1">IF(OR(NOT(ISBLANK($R79)),NOT(ISBLANK($S79)),NOT(ISBLANK($T79)),NOT(ISBLANK($U79))),IF(NOT(EXACT($N79,"")),"Diese SF hast Du schon!",IF(FF&lt;12,"FF mind. 12",IF(Talente!$O$53&lt;5,"Singen mind. 5",IF(Talente!$O$234&lt;9,"L/S Hjaldingsche Runen mind. 9","")))),IF(AND(ZS_SE_VIEW,N79="",O79="",NOT(ISERR(FIND(M79,ZS_SF_ALLE,1)))),"SF verbilligt aus Studium",""))</f>
        <v/>
      </c>
      <c r="W79" s="1740"/>
      <c r="X79" s="1741"/>
      <c r="Y79" s="212">
        <f t="shared" ca="1" si="52"/>
        <v>0</v>
      </c>
      <c r="Z79" s="212">
        <f t="shared" ca="1" si="53"/>
        <v>0</v>
      </c>
      <c r="AA79" s="212">
        <f t="shared" ca="1" si="54"/>
        <v>0</v>
      </c>
      <c r="AB79" s="212">
        <f t="shared" ca="1" si="55"/>
        <v>0</v>
      </c>
      <c r="AC79" s="212">
        <f t="shared" ca="1" si="48"/>
        <v>2</v>
      </c>
      <c r="AD79" s="557" t="str">
        <f t="shared" ca="1" si="45"/>
        <v/>
      </c>
      <c r="AE79" s="549" t="str">
        <f t="shared" ca="1" si="46"/>
        <v/>
      </c>
      <c r="AF79" s="1434">
        <v>27</v>
      </c>
      <c r="AG79" s="557"/>
      <c r="AH79" s="551"/>
      <c r="AI79" s="551"/>
      <c r="AJ79" s="551"/>
      <c r="AK79" s="551"/>
      <c r="AL79" s="559">
        <f t="shared" ca="1" si="47"/>
        <v>0</v>
      </c>
      <c r="AM79" s="246">
        <f t="shared" ca="1" si="57"/>
        <v>0</v>
      </c>
      <c r="AN79" s="212">
        <f t="shared" ca="1" si="62"/>
        <v>0</v>
      </c>
      <c r="AO79" s="212">
        <f t="shared" ca="1" si="63"/>
        <v>0</v>
      </c>
      <c r="AP79" s="212">
        <f t="shared" ca="1" si="64"/>
        <v>0</v>
      </c>
      <c r="AQ79" s="212">
        <f t="shared" ca="1" si="65"/>
        <v>0</v>
      </c>
      <c r="AR79" s="212">
        <f t="shared" ca="1" si="58"/>
        <v>2</v>
      </c>
      <c r="AS79" s="1020" t="str">
        <f t="shared" ca="1" si="68"/>
        <v/>
      </c>
      <c r="AT79" s="557" t="str">
        <f t="shared" ca="1" si="66"/>
        <v/>
      </c>
      <c r="AU79" s="557">
        <v>44</v>
      </c>
      <c r="AV79" s="557"/>
      <c r="AW79" s="212"/>
      <c r="AX79" s="212"/>
      <c r="AY79" s="212"/>
      <c r="AZ79" s="212"/>
      <c r="BA79" s="212"/>
      <c r="BB79" s="212"/>
      <c r="BC79" s="113"/>
      <c r="BD79" s="113"/>
      <c r="BE79" s="113"/>
      <c r="BF79" s="113"/>
      <c r="BG79" s="113"/>
      <c r="BH79" s="190"/>
      <c r="BI79" s="190"/>
      <c r="BJ79" s="190"/>
      <c r="BK79" s="190"/>
      <c r="BL79" s="190"/>
      <c r="BM79" s="190"/>
      <c r="BN79" s="190"/>
      <c r="BO79" s="190"/>
      <c r="BP79" s="190"/>
      <c r="BQ79" s="190"/>
      <c r="BR79" s="190"/>
      <c r="BS79" s="190"/>
      <c r="BT79" s="190"/>
      <c r="BU79" s="190"/>
      <c r="BV79" s="234"/>
    </row>
    <row r="80" spans="1:74" x14ac:dyDescent="0.2">
      <c r="A80" s="112" t="str">
        <f t="shared" si="42"/>
        <v>Klingentänzer</v>
      </c>
      <c r="B80" s="391" t="str">
        <f t="shared" ca="1" si="43"/>
        <v/>
      </c>
      <c r="C80" s="387" t="str">
        <f t="shared" ca="1" si="44"/>
        <v/>
      </c>
      <c r="D80" s="1127"/>
      <c r="E80" s="109"/>
      <c r="F80" s="384"/>
      <c r="G80" s="960"/>
      <c r="H80" s="960"/>
      <c r="I80" s="324"/>
      <c r="J80" s="1739" t="str">
        <f ca="1">IF(AND(NOT(ISBLANK($F80)),NOT(ISBLANK($G80)),NOT(ISBLANK($H80)),NOT(ISBLANK($I80))),"Was denn nun? GP oder AP?",IF(OR(NOT(ISBLANK($F80)),NOT(ISBLANK($G80)),NOT(ISBLANK($H80)),NOT(ISBLANK($I80))),IF(NOT(EXACT($B80,"")),"Diese SF hast Du schon!",IF(GE&lt;15,"GE min. 15",
IF(AND(EXACT($B$77,""),ISBLANK($F$77),ISBLANK($G$77),ISBLANK($H$77),ISBLANK($I$77)),"SF Kampfgespür nötig",
IF(AND(EXACT($B$79,""),ISBLANK($F$79),ISBLANK($G$79),ISBLANK($H$79),ISBLANK($I$79)),"SF Klingensturm nötig",
"")))),IF(AND(ZS_SE_VIEW,B80="",C80="",NOT(ISERR(FIND(A80,ZS_SF_ALLE,1)))),"SF verbilligt aus Studium","")))</f>
        <v/>
      </c>
      <c r="K80" s="1740"/>
      <c r="L80" s="1741"/>
      <c r="M80" s="1012" t="str">
        <f t="shared" si="67"/>
        <v>Salasandra</v>
      </c>
      <c r="N80" s="391" t="str">
        <f t="shared" ca="1" si="60"/>
        <v/>
      </c>
      <c r="O80" s="387" t="str">
        <f t="shared" ca="1" si="56"/>
        <v/>
      </c>
      <c r="P80" s="1127"/>
      <c r="Q80" s="109"/>
      <c r="R80" s="384"/>
      <c r="S80" s="960"/>
      <c r="T80" s="960"/>
      <c r="U80" s="324"/>
      <c r="V80" s="1739" t="str">
        <f ca="1">IF(OR(NOT(ISBLANK($R80)),NOT(ISBLANK($S80)),NOT(ISBLANK($T80)),NOT(ISBLANK($U80))),IF(NOT(EXACT($N80,"")),"Diese SF hast Du schon!",IF(ISERR(FIND("Zweistimmiger Gesang",VORTEILEGENE)),"Vorteil Zweistimmiger Gesang fehlt","")),IF(AND(ZS_SE_VIEW,N80="",O80="",NOT(ISERR(FIND(M80,ZS_SF_ALLE,1)))),"SF verbilligt aus Studium",""))</f>
        <v/>
      </c>
      <c r="W80" s="1740"/>
      <c r="X80" s="1741"/>
      <c r="Y80" s="212">
        <f t="shared" ca="1" si="52"/>
        <v>0</v>
      </c>
      <c r="Z80" s="212">
        <f t="shared" ca="1" si="53"/>
        <v>0</v>
      </c>
      <c r="AA80" s="212">
        <f t="shared" ca="1" si="54"/>
        <v>0</v>
      </c>
      <c r="AB80" s="212">
        <f t="shared" ca="1" si="55"/>
        <v>0</v>
      </c>
      <c r="AC80" s="212">
        <f t="shared" ca="1" si="48"/>
        <v>2</v>
      </c>
      <c r="AD80" s="557" t="str">
        <f t="shared" ca="1" si="45"/>
        <v/>
      </c>
      <c r="AE80" s="549" t="str">
        <f t="shared" ca="1" si="46"/>
        <v/>
      </c>
      <c r="AF80" s="1434">
        <v>28</v>
      </c>
      <c r="AG80" s="557"/>
      <c r="AH80" s="18"/>
      <c r="AI80" s="18"/>
      <c r="AJ80" s="18"/>
      <c r="AK80" s="18"/>
      <c r="AL80" s="559">
        <f t="shared" ca="1" si="47"/>
        <v>0</v>
      </c>
      <c r="AM80" s="246">
        <f t="shared" ca="1" si="57"/>
        <v>0</v>
      </c>
      <c r="AN80" s="212">
        <f t="shared" ca="1" si="62"/>
        <v>0</v>
      </c>
      <c r="AO80" s="212">
        <f t="shared" ca="1" si="63"/>
        <v>0</v>
      </c>
      <c r="AP80" s="212">
        <f t="shared" ca="1" si="64"/>
        <v>0</v>
      </c>
      <c r="AQ80" s="212">
        <f t="shared" ca="1" si="65"/>
        <v>0</v>
      </c>
      <c r="AR80" s="212">
        <f t="shared" ca="1" si="58"/>
        <v>2</v>
      </c>
      <c r="AS80" s="1020" t="str">
        <f t="shared" ca="1" si="68"/>
        <v/>
      </c>
      <c r="AT80" s="557" t="str">
        <f t="shared" ca="1" si="66"/>
        <v/>
      </c>
      <c r="AU80" s="557">
        <v>45</v>
      </c>
      <c r="AV80" s="557"/>
      <c r="AW80" s="212"/>
      <c r="AX80" s="212"/>
      <c r="AY80" s="212"/>
      <c r="AZ80" s="212"/>
      <c r="BA80" s="212"/>
      <c r="BB80" s="212"/>
      <c r="BC80" s="113"/>
      <c r="BD80" s="113"/>
      <c r="BE80" s="113"/>
      <c r="BF80" s="113"/>
      <c r="BG80" s="113"/>
      <c r="BH80" s="190"/>
      <c r="BI80" s="190"/>
      <c r="BJ80" s="190"/>
      <c r="BK80" s="190"/>
      <c r="BL80" s="190"/>
      <c r="BM80" s="190"/>
      <c r="BN80" s="190"/>
      <c r="BO80" s="190"/>
      <c r="BP80" s="190"/>
      <c r="BQ80" s="190"/>
      <c r="BR80" s="190"/>
      <c r="BS80" s="190"/>
      <c r="BT80" s="190"/>
      <c r="BU80" s="190"/>
      <c r="BV80" s="234"/>
    </row>
    <row r="81" spans="1:74" x14ac:dyDescent="0.2">
      <c r="A81" s="112" t="str">
        <f t="shared" si="42"/>
        <v>Klingenwand</v>
      </c>
      <c r="B81" s="391" t="str">
        <f t="shared" ca="1" si="43"/>
        <v/>
      </c>
      <c r="C81" s="387" t="str">
        <f t="shared" ca="1" si="44"/>
        <v/>
      </c>
      <c r="D81" s="1127"/>
      <c r="E81" s="109"/>
      <c r="F81" s="384"/>
      <c r="G81" s="960"/>
      <c r="H81" s="960"/>
      <c r="I81" s="324"/>
      <c r="J81" s="1739" t="str">
        <f ca="1">IF(AND(NOT(ISBLANK($F81)),NOT(ISBLANK($G81)),NOT(ISBLANK($H81)),NOT(ISBLANK($I81))),"Was denn nun? GP oder AP?",IF(OR(NOT(ISBLANK($F81)),NOT(ISBLANK($G81)),NOT(ISBLANK($H81)),NOT(ISBLANK($I81))),IF(NOT(EXACT($B81,"")),"Diese SF hast Du schon!",IF(PA&lt;9,"PA-Basiswert min. 9",IF(AND(EXACT($B$78,""),ISBLANK($F$78),ISBLANK($G$78),ISBLANK($H$78),ISBLANK($I$78),NOT(VT_FLINK)),"SF Kampfreflexe nötig",IF(AND(EXACT($B$64,""),ISBLANK($F$64),ISBLANK($G$64),ISBLANK($H$64),ISBLANK($I$64)),"SF Def. Kampfstil nötig","")))),IF(AND(ZS_SE_VIEW,B81="",C81="",NOT(ISERR(FIND(A81,ZS_SF_ALLE,1)))),"SF verbilligt aus Studium","")))</f>
        <v/>
      </c>
      <c r="K81" s="1740"/>
      <c r="L81" s="1741"/>
      <c r="M81" s="1012" t="str">
        <f t="shared" si="67"/>
        <v>Semipermanenz I</v>
      </c>
      <c r="N81" s="391" t="str">
        <f t="shared" ca="1" si="60"/>
        <v/>
      </c>
      <c r="O81" s="387" t="str">
        <f ca="1">IF(OR(NOT(ISERR(FIND(M81&amp;",",$AW$35,1))),
IF(NOT(ISERR(FIND("Meta",CONCATENATE(Zauber!$BP$2,Zauber!$BP$3,Zauber!$AF$241,Zauber!$AF$242,Zauber!$AF$243,Zauber!$AF$244),1))),TRUE,FALSE),IF(NOT(ISERR(FIND("Temp",CONCATENATE(Zauber!$BP$2,Zauber!$BP$3,Zauber!$AF$241,Zauber!$AF$242,Zauber!$AF$243,Zauber!$AF$244),1))),TRUE,FALSE)),"x",IF(P81="V","x",""))</f>
        <v/>
      </c>
      <c r="P81" s="1127"/>
      <c r="Q81" s="109"/>
      <c r="R81" s="384"/>
      <c r="S81" s="960"/>
      <c r="T81" s="960"/>
      <c r="U81" s="324"/>
      <c r="V81" s="1739" t="str">
        <f ca="1">IF(OR(NOT(ISBLANK($R81)),NOT(ISBLANK($S81)),NOT(ISBLANK($T81)),NOT(ISBLANK($U81))),IF(NOT(EXACT($N81,"")),"Diese SF hast Du schon!",IF(ARCANOVI_WERT&lt;14,"Arcanovi mind. auf 14","")),IF(AND(ZS_SE_VIEW,N81="",O81="",NOT(ISERR(FIND(M81,ZS_SF_ALLE,1)))),"SF verbilligt aus Studium",""))</f>
        <v/>
      </c>
      <c r="W81" s="1740"/>
      <c r="X81" s="1741"/>
      <c r="Y81" s="212">
        <f t="shared" ca="1" si="52"/>
        <v>0</v>
      </c>
      <c r="Z81" s="212">
        <f t="shared" ca="1" si="53"/>
        <v>0</v>
      </c>
      <c r="AA81" s="212">
        <f t="shared" ca="1" si="54"/>
        <v>0</v>
      </c>
      <c r="AB81" s="212">
        <f t="shared" ca="1" si="55"/>
        <v>0</v>
      </c>
      <c r="AC81" s="212">
        <f t="shared" ca="1" si="48"/>
        <v>2</v>
      </c>
      <c r="AD81" s="557" t="str">
        <f t="shared" ca="1" si="45"/>
        <v/>
      </c>
      <c r="AE81" s="549" t="str">
        <f t="shared" ca="1" si="46"/>
        <v/>
      </c>
      <c r="AF81" s="1434">
        <v>29</v>
      </c>
      <c r="AG81" s="557"/>
      <c r="AH81" s="551"/>
      <c r="AI81" s="551"/>
      <c r="AJ81" s="551"/>
      <c r="AK81" s="551"/>
      <c r="AL81" s="559">
        <f t="shared" ca="1" si="47"/>
        <v>0</v>
      </c>
      <c r="AM81" s="246">
        <f t="shared" ca="1" si="57"/>
        <v>0</v>
      </c>
      <c r="AN81" s="212">
        <f t="shared" ca="1" si="62"/>
        <v>0</v>
      </c>
      <c r="AO81" s="212">
        <f t="shared" ca="1" si="63"/>
        <v>0</v>
      </c>
      <c r="AP81" s="212">
        <f t="shared" ca="1" si="64"/>
        <v>0</v>
      </c>
      <c r="AQ81" s="212">
        <f t="shared" ca="1" si="65"/>
        <v>0</v>
      </c>
      <c r="AR81" s="212">
        <f t="shared" ca="1" si="58"/>
        <v>2</v>
      </c>
      <c r="AS81" s="1020" t="str">
        <f t="shared" ca="1" si="68"/>
        <v/>
      </c>
      <c r="AT81" s="557" t="str">
        <f t="shared" ca="1" si="66"/>
        <v/>
      </c>
      <c r="AU81" s="557">
        <v>46</v>
      </c>
      <c r="AV81" s="557"/>
      <c r="AW81" s="212"/>
      <c r="AX81" s="212"/>
      <c r="AY81" s="212"/>
      <c r="AZ81" s="212"/>
      <c r="BA81" s="212"/>
      <c r="BB81" s="212"/>
      <c r="BC81" s="113"/>
      <c r="BD81" s="113"/>
      <c r="BE81" s="113"/>
      <c r="BF81" s="113"/>
      <c r="BG81" s="113"/>
      <c r="BH81" s="190"/>
      <c r="BI81" s="190"/>
      <c r="BJ81" s="190"/>
      <c r="BK81" s="190"/>
      <c r="BL81" s="190"/>
      <c r="BM81" s="190"/>
      <c r="BN81" s="190"/>
      <c r="BO81" s="190"/>
      <c r="BP81" s="190"/>
      <c r="BQ81" s="190"/>
      <c r="BR81" s="190"/>
      <c r="BS81" s="190"/>
      <c r="BT81" s="190"/>
      <c r="BU81" s="190"/>
      <c r="BV81" s="234"/>
    </row>
    <row r="82" spans="1:74" x14ac:dyDescent="0.2">
      <c r="A82" s="112" t="str">
        <f t="shared" si="42"/>
        <v>Kriegsreiterei</v>
      </c>
      <c r="B82" s="391" t="str">
        <f t="shared" ca="1" si="43"/>
        <v/>
      </c>
      <c r="C82" s="387" t="str">
        <f t="shared" ca="1" si="44"/>
        <v/>
      </c>
      <c r="D82" s="1127"/>
      <c r="E82" s="109"/>
      <c r="F82" s="384"/>
      <c r="G82" s="960"/>
      <c r="H82" s="960"/>
      <c r="I82" s="324"/>
      <c r="J82" s="1739" t="str">
        <f ca="1">IF(AND(NOT(ISBLANK($F82)),NOT(ISBLANK($G82)),NOT(ISBLANK($H82)),NOT(ISBLANK($I82))),"Was denn nun? GP oder AP?",IF(OR(NOT(ISBLANK($F82)),NOT(ISBLANK($G82)),NOT(ISBLANK($H82)),NOT(ISBLANK($I82))),IF(NOT(EXACT($B82,"")),"Diese SF hast Du schon!",IF(SUM(Talente!$B$48,Talente!$G$48,Talente!$I$48)&lt;10,"TaW Reiten 10",IF(AND(EXACT($B$89,""),ISBLANK($F$89),ISBLANK($G$89),ISBLANK($H$89),ISBLANK($I$89)),"SF Reiterkampf nötig",""))),IF(AND(ZS_SE_VIEW,B82="",C82="",NOT(ISERR(FIND(A82,ZS_SF_ALLE,1)))),"SF verbilligt aus Studium","")))</f>
        <v/>
      </c>
      <c r="K82" s="1740"/>
      <c r="L82" s="1741"/>
      <c r="M82" s="1012" t="str">
        <f t="shared" si="67"/>
        <v>Semipermanenz II</v>
      </c>
      <c r="N82" s="391" t="str">
        <f t="shared" ca="1" si="60"/>
        <v/>
      </c>
      <c r="O82" s="387" t="str">
        <f ca="1">IF(OR(NOT(ISERR(FIND(M82&amp;",",$AW$35,1))),
IF(NOT(ISERR(FIND("Meta",CONCATENATE(Zauber!$BP$2,Zauber!$BP$3,Zauber!$AF$241,Zauber!$AF$242,Zauber!$AF$243,Zauber!$AF$244),1))),TRUE,FALSE),IF(NOT(ISERR(FIND("Temp",CONCATENATE(Zauber!$BP$2,Zauber!$BP$3,Zauber!$AF$241,Zauber!$AF$242,Zauber!$AF$243,Zauber!$AF$244),1))),TRUE,FALSE)),"x",IF(P82="V","x",""))</f>
        <v/>
      </c>
      <c r="P82" s="1127"/>
      <c r="Q82" s="109"/>
      <c r="R82" s="384"/>
      <c r="S82" s="960"/>
      <c r="T82" s="960"/>
      <c r="U82" s="324"/>
      <c r="V82" s="1739" t="str">
        <f ca="1">IF(OR(NOT(ISBLANK($R82)),NOT(ISBLANK($S82)),NOT(ISBLANK($T82)),NOT(ISBLANK($U82))),IF(NOT(EXACT($N82,"")),"Diese SF hast Du schon!",IF(ARCANOVI_WERT&lt;14,"Arcanovi mind. auf 14",IF(Talente!$O$93&lt;16,"Magiekunde mind. 16",""))),IF(AND(ZS_SE_VIEW,N82="",O82="",NOT(ISERR(FIND(M82,ZS_SF_ALLE,1)))),"SF verbilligt aus Studium",""))</f>
        <v/>
      </c>
      <c r="W82" s="1740"/>
      <c r="X82" s="1741"/>
      <c r="Y82" s="212">
        <f t="shared" ca="1" si="52"/>
        <v>0</v>
      </c>
      <c r="Z82" s="212">
        <f t="shared" ca="1" si="53"/>
        <v>0</v>
      </c>
      <c r="AA82" s="212">
        <f t="shared" ca="1" si="54"/>
        <v>0</v>
      </c>
      <c r="AB82" s="212">
        <f t="shared" ca="1" si="55"/>
        <v>0</v>
      </c>
      <c r="AC82" s="212">
        <f t="shared" ca="1" si="48"/>
        <v>2</v>
      </c>
      <c r="AD82" s="557" t="str">
        <f t="shared" ca="1" si="45"/>
        <v/>
      </c>
      <c r="AE82" s="549" t="str">
        <f t="shared" ca="1" si="46"/>
        <v/>
      </c>
      <c r="AF82" s="1434">
        <v>30</v>
      </c>
      <c r="AG82" s="557"/>
      <c r="AH82" s="551"/>
      <c r="AI82" s="551"/>
      <c r="AJ82" s="551"/>
      <c r="AK82" s="551"/>
      <c r="AL82" s="559">
        <f t="shared" ca="1" si="47"/>
        <v>0</v>
      </c>
      <c r="AM82" s="246">
        <f t="shared" ca="1" si="57"/>
        <v>0</v>
      </c>
      <c r="AN82" s="212">
        <f t="shared" ca="1" si="62"/>
        <v>0</v>
      </c>
      <c r="AO82" s="212">
        <f t="shared" ca="1" si="63"/>
        <v>0</v>
      </c>
      <c r="AP82" s="212">
        <f t="shared" ca="1" si="64"/>
        <v>0</v>
      </c>
      <c r="AQ82" s="212">
        <f t="shared" ca="1" si="65"/>
        <v>0</v>
      </c>
      <c r="AR82" s="212">
        <f t="shared" ca="1" si="58"/>
        <v>2</v>
      </c>
      <c r="AS82" s="1020" t="str">
        <f t="shared" ca="1" si="68"/>
        <v/>
      </c>
      <c r="AT82" s="557" t="str">
        <f t="shared" ca="1" si="66"/>
        <v/>
      </c>
      <c r="AU82" s="557">
        <v>47</v>
      </c>
      <c r="AV82" s="557"/>
      <c r="AW82" s="212"/>
      <c r="AX82" s="212"/>
      <c r="AY82" s="212"/>
      <c r="AZ82" s="212"/>
      <c r="BA82" s="212"/>
      <c r="BB82" s="212"/>
      <c r="BC82" s="113"/>
      <c r="BD82" s="113"/>
      <c r="BE82" s="113"/>
      <c r="BF82" s="113"/>
      <c r="BG82" s="113"/>
      <c r="BH82" s="190"/>
      <c r="BI82" s="190"/>
      <c r="BJ82" s="190"/>
      <c r="BK82" s="190"/>
      <c r="BL82" s="190"/>
      <c r="BM82" s="190"/>
      <c r="BN82" s="190"/>
      <c r="BO82" s="190"/>
      <c r="BP82" s="190"/>
      <c r="BQ82" s="190"/>
      <c r="BR82" s="190"/>
      <c r="BS82" s="190"/>
      <c r="BT82" s="190"/>
      <c r="BU82" s="190"/>
      <c r="BV82" s="234"/>
    </row>
    <row r="83" spans="1:74" x14ac:dyDescent="0.2">
      <c r="A83" s="112" t="str">
        <f t="shared" si="42"/>
        <v>Linkhand</v>
      </c>
      <c r="B83" s="391" t="str">
        <f t="shared" ca="1" si="43"/>
        <v/>
      </c>
      <c r="C83" s="387" t="str">
        <f t="shared" ca="1" si="44"/>
        <v/>
      </c>
      <c r="D83" s="1127"/>
      <c r="E83" s="109"/>
      <c r="F83" s="384"/>
      <c r="G83" s="960"/>
      <c r="H83" s="960"/>
      <c r="I83" s="324"/>
      <c r="J83" s="1739" t="str">
        <f ca="1">IF(AND(NOT(ISBLANK($F83)),NOT(ISBLANK($G83)),NOT(ISBLANK($H83)),NOT(ISBLANK($I83))),"Was denn nun? GP oder AP?",IF(OR(NOT(ISBLANK($F83)),NOT(ISBLANK($G83)),NOT(ISBLANK($H83)),NOT(ISBLANK($I83))),IF(NOT(EXACT($B83,"")),"Diese SF hast Du schon!",IF(KK&lt;10,"KK min. 10",IF(GE&lt;10,"GE min. 10",""))),IF(AND(ZS_SE_VIEW,B83="",C83="",NOT(ISERR(FIND(A83,ZS_SF_ALLE,1)))),"SF verbilligt aus Studium","")))</f>
        <v/>
      </c>
      <c r="K83" s="1740"/>
      <c r="L83" s="1741"/>
      <c r="M83" s="1012" t="str">
        <f t="shared" si="67"/>
        <v>Signaturkenntnis</v>
      </c>
      <c r="N83" s="391" t="str">
        <f t="shared" ca="1" si="60"/>
        <v/>
      </c>
      <c r="O83" s="387" t="str">
        <f t="shared" ref="O83:O99" ca="1" si="69">IF(NOT(ISERR(FIND(M83&amp;",",$AW$35,1))),"x",
IF(P83="V","x",""))</f>
        <v/>
      </c>
      <c r="P83" s="1127"/>
      <c r="Q83" s="109"/>
      <c r="R83" s="384"/>
      <c r="S83" s="960"/>
      <c r="T83" s="960"/>
      <c r="U83" s="324"/>
      <c r="V83" s="1739" t="str">
        <f ca="1">IF(OR(NOT(ISBLANK($R83)),NOT(ISBLANK($S83)),NOT(ISBLANK($T83)),NOT(ISBLANK($U83))),IF(NOT(EXACT($N83,"")),"Diese SF hast Du schon!",IF(KL&lt;15,"KL min. 15",IF(IN&lt;15,"INmin. 15",""))),IF(AND(ZS_SE_VIEW,N83="",O83="",NOT(ISERR(FIND(M83,ZS_SF_ALLE,1)))),"SF verbilligt aus Studium",""))</f>
        <v/>
      </c>
      <c r="W83" s="1740"/>
      <c r="X83" s="1741"/>
      <c r="Y83" s="717">
        <f ca="1">ROUND(IF(AND(NOT(ISBLANK($F83)),EXACT($J83,""),EXACT($B83,"")),IF(EXACT($C83,""),VLOOKUP($A83,SF_NAHFERNALLE,3,FALSE)*IF(VT_BEIDHG,0.5,1)*IF(VT_LINKHD,0.75,1),VLOOKUP($A83,SF_NAHFERNALLE,3,FALSE)*IF(VT_BEIDHG,0.5,1)*IF(VT_LINKHD,0.75,1)/$AC83 ),0),0)</f>
        <v>0</v>
      </c>
      <c r="Z83" s="717">
        <f ca="1">ROUND(IF(AND(NOT(ISBLANK($G83)),EXACT($B83,"")),IF(EXACT($C83,""),VLOOKUP($A83,SF_NAHFERNALLE,2,FALSE)*IF(VT_BEIDHG,0.5,1)*IF(VT_LINKHD,0.75,1),VLOOKUP($A83,SF_NAHFERNALLE,2,FALSE)*IF(VT_BEIDHG,0.5,1)*IF(VT_LINKHD,0.75,1)/$AC83 ),0),0)</f>
        <v>0</v>
      </c>
      <c r="AA83" s="717">
        <f ca="1">ROUND(IF(AND(NOT(ISBLANK($H83)),EXACT($B83,"")),IF(EXACT($C83,""),VLOOKUP($A83,SF_NAHFERNALLE,2,FALSE)*IF(VT_BEIDHG,0.5,1)*IF(VT_LINKHD,0.75,1),VLOOKUP($A83,SF_NAHFERNALLE,2,FALSE)*IF(VT_BEIDHG,0.5,1)*IF(VT_LINKHD,0.75,1)/$AC83 ),0),0)</f>
        <v>0</v>
      </c>
      <c r="AB83" s="717">
        <f ca="1">ROUND(IF(AND(NOT(ISBLANK($I83)),EXACT($J83,""),EXACT($B83,"")),IF(EXACT($C83,""),VLOOKUP($A83,SF_NAHFERNALLE,2,FALSE)*IF(VT_BEIDHG,0.5,1)*IF(VT_LINKHD,0.75,1),VLOOKUP($A83,SF_NAHFERNALLE,2,FALSE)*IF(VT_BEIDHG,0.5,1)*IF(VT_LINKHD,0.75,1)/$AC83 ),0),0)</f>
        <v>0</v>
      </c>
      <c r="AC83" s="212">
        <f t="shared" ca="1" si="48"/>
        <v>2</v>
      </c>
      <c r="AD83" s="557" t="str">
        <f t="shared" ca="1" si="45"/>
        <v/>
      </c>
      <c r="AE83" s="549" t="str">
        <f t="shared" ca="1" si="46"/>
        <v/>
      </c>
      <c r="AF83" s="1434">
        <v>31</v>
      </c>
      <c r="AG83" s="557"/>
      <c r="AH83" s="551"/>
      <c r="AI83" s="551"/>
      <c r="AJ83" s="551"/>
      <c r="AK83" s="551"/>
      <c r="AL83" s="559">
        <f t="shared" ca="1" si="47"/>
        <v>0</v>
      </c>
      <c r="AM83" s="246">
        <f t="shared" ca="1" si="57"/>
        <v>0</v>
      </c>
      <c r="AN83" s="212">
        <f t="shared" ca="1" si="62"/>
        <v>0</v>
      </c>
      <c r="AO83" s="212">
        <f t="shared" ca="1" si="63"/>
        <v>0</v>
      </c>
      <c r="AP83" s="212">
        <f t="shared" ca="1" si="64"/>
        <v>0</v>
      </c>
      <c r="AQ83" s="212">
        <f t="shared" ca="1" si="65"/>
        <v>0</v>
      </c>
      <c r="AR83" s="212">
        <f t="shared" ca="1" si="58"/>
        <v>2</v>
      </c>
      <c r="AS83" s="1020" t="str">
        <f t="shared" ca="1" si="68"/>
        <v/>
      </c>
      <c r="AT83" s="557" t="str">
        <f t="shared" ca="1" si="66"/>
        <v/>
      </c>
      <c r="AU83" s="557">
        <v>48</v>
      </c>
      <c r="AV83" s="557"/>
      <c r="AW83" s="212"/>
      <c r="AX83" s="212"/>
      <c r="AY83" s="212"/>
      <c r="AZ83" s="212"/>
      <c r="BA83" s="212"/>
      <c r="BB83" s="212"/>
      <c r="BC83" s="113"/>
      <c r="BD83" s="113"/>
      <c r="BE83" s="113"/>
      <c r="BF83" s="113"/>
      <c r="BG83" s="113"/>
      <c r="BH83" s="190"/>
      <c r="BI83" s="190"/>
      <c r="BJ83" s="190"/>
      <c r="BK83" s="190"/>
      <c r="BL83" s="190"/>
      <c r="BM83" s="190"/>
      <c r="BN83" s="190"/>
      <c r="BO83" s="190"/>
      <c r="BP83" s="190"/>
      <c r="BQ83" s="190"/>
      <c r="BR83" s="190"/>
      <c r="BS83" s="190"/>
      <c r="BT83" s="190"/>
      <c r="BU83" s="190"/>
      <c r="BV83" s="1032"/>
    </row>
    <row r="84" spans="1:74" x14ac:dyDescent="0.2">
      <c r="A84" s="112" t="str">
        <f t="shared" si="42"/>
        <v>Meisterliches Entwaffnen</v>
      </c>
      <c r="B84" s="391" t="str">
        <f t="shared" ca="1" si="43"/>
        <v/>
      </c>
      <c r="C84" s="387" t="str">
        <f t="shared" ca="1" si="44"/>
        <v/>
      </c>
      <c r="D84" s="1127"/>
      <c r="E84" s="109"/>
      <c r="F84" s="384"/>
      <c r="G84" s="960"/>
      <c r="H84" s="960"/>
      <c r="I84" s="324"/>
      <c r="J84" s="1739" t="str">
        <f ca="1">IF(AND(NOT(ISBLANK($F84)),NOT(ISBLANK($G84)),NOT(ISBLANK($H84)),NOT(ISBLANK($I84))),"Was denn nun? GP oder AP?",IF(OR(NOT(ISBLANK($F84)),NOT(ISBLANK($G84)),NOT(ISBLANK($H84)),NOT(ISBLANK($I84))),IF(NOT(EXACT($B84,"")),"Diese SF hast Du schon!",IF(GE&lt;15,"GE min. 15",IF(AND(EXACT($B$66,""),ISBLANK($F$66),ISBLANK($G$66),ISBLANK($H$66),ISBLANK($I$66)),"SF Entwaffnen nötig",""))),IF(AND(ZS_SE_VIEW,B84="",C84="",NOT(ISERR(FIND(A84,ZS_SF_ALLE,1)))),"SF verbilligt aus Studium","")))</f>
        <v/>
      </c>
      <c r="K84" s="1740"/>
      <c r="L84" s="1741"/>
      <c r="M84" s="1012" t="str">
        <f t="shared" si="67"/>
        <v>Simultanzaubern</v>
      </c>
      <c r="N84" s="391" t="str">
        <f t="shared" ca="1" si="60"/>
        <v/>
      </c>
      <c r="O84" s="387" t="str">
        <f t="shared" ca="1" si="69"/>
        <v/>
      </c>
      <c r="P84" s="1127"/>
      <c r="Q84" s="109"/>
      <c r="R84" s="384"/>
      <c r="S84" s="960"/>
      <c r="T84" s="960"/>
      <c r="U84" s="324"/>
      <c r="V84" s="1739" t="str">
        <f ca="1">IF(OR(NOT(ISBLANK($R84)),NOT(ISBLANK($S84)),NOT(ISBLANK($T84)),NOT(ISBLANK($U84))),IF(NOT(EXACT($N84,"")),"Diese SF hast Du schon!",IF(KL&lt;15,"KL min. 15","")),IF(AND(ZS_SE_VIEW,N84="",O84="",NOT(ISERR(FIND(M84,ZS_SF_ALLE,1)))),"SF verbilligt aus Studium",""))</f>
        <v/>
      </c>
      <c r="W84" s="1740"/>
      <c r="X84" s="1741"/>
      <c r="Y84" s="212">
        <f ca="1">IF(AND(NOT(ISBLANK($F84)),EXACT($J84,""),EXACT($B84,"")),IF(EXACT($C84,""),VLOOKUP($A84,SF_NAHFERNALLE,3,FALSE),ROUND(VLOOKUP($A84,SF_NAHFERNALLE,3,FALSE)/$AC84,0)),0)</f>
        <v>0</v>
      </c>
      <c r="Z84" s="212">
        <f ca="1">IF(AND(NOT(ISBLANK($G84)),EXACT($B84,"")),IF(EXACT($C84,""),VLOOKUP($A84,SF_NAHFERNALLE,2,FALSE),ROUND(VLOOKUP($A84,SF_NAHFERNALLE,2,FALSE)/$AC84,0)),0)</f>
        <v>0</v>
      </c>
      <c r="AA84" s="212">
        <f ca="1">IF(AND(NOT(ISBLANK($H84)),EXACT($B84,"")),IF(EXACT($C84,""),VLOOKUP($A84,SF_NAHFERNALLE,2,FALSE),ROUND(VLOOKUP($A84,SF_NAHFERNALLE,2,FALSE)/$AC84,0)),0)</f>
        <v>0</v>
      </c>
      <c r="AB84" s="212">
        <f ca="1">IF(AND(NOT(ISBLANK($I84)),EXACT($J84,""),EXACT($B84,"")),IF(EXACT($C84,""),VLOOKUP($A84,SF_NAHFERNALLE,2,FALSE),ROUND(VLOOKUP($A84,SF_NAHFERNALLE,2,FALSE)/$AC84,0)),0)</f>
        <v>0</v>
      </c>
      <c r="AC84" s="212">
        <f t="shared" ca="1" si="48"/>
        <v>2</v>
      </c>
      <c r="AD84" s="557" t="str">
        <f t="shared" ca="1" si="45"/>
        <v/>
      </c>
      <c r="AE84" s="549" t="str">
        <f t="shared" ca="1" si="46"/>
        <v/>
      </c>
      <c r="AF84" s="1434">
        <v>32</v>
      </c>
      <c r="AG84" s="557"/>
      <c r="AH84" s="551"/>
      <c r="AI84" s="551"/>
      <c r="AJ84" s="551"/>
      <c r="AK84" s="551"/>
      <c r="AL84" s="559">
        <f t="shared" ca="1" si="47"/>
        <v>0</v>
      </c>
      <c r="AM84" s="246">
        <f t="shared" ca="1" si="57"/>
        <v>0</v>
      </c>
      <c r="AN84" s="212">
        <f t="shared" ca="1" si="62"/>
        <v>0</v>
      </c>
      <c r="AO84" s="212">
        <f t="shared" ca="1" si="63"/>
        <v>0</v>
      </c>
      <c r="AP84" s="212">
        <f t="shared" ca="1" si="64"/>
        <v>0</v>
      </c>
      <c r="AQ84" s="212">
        <f t="shared" ca="1" si="65"/>
        <v>0</v>
      </c>
      <c r="AR84" s="212">
        <f t="shared" ca="1" si="58"/>
        <v>2</v>
      </c>
      <c r="AS84" s="1020" t="str">
        <f t="shared" ca="1" si="68"/>
        <v/>
      </c>
      <c r="AT84" s="557" t="str">
        <f t="shared" ca="1" si="66"/>
        <v/>
      </c>
      <c r="AU84" s="557">
        <v>49</v>
      </c>
      <c r="AV84" s="557"/>
      <c r="AW84" s="212"/>
      <c r="AX84" s="212"/>
      <c r="AY84" s="212"/>
      <c r="AZ84" s="212"/>
      <c r="BA84" s="212"/>
      <c r="BB84" s="212"/>
      <c r="BC84" s="113"/>
      <c r="BD84" s="113"/>
      <c r="BE84" s="113"/>
      <c r="BF84" s="113"/>
      <c r="BG84" s="113"/>
      <c r="BH84" s="190"/>
      <c r="BI84" s="190"/>
      <c r="BJ84" s="190"/>
      <c r="BK84" s="190"/>
      <c r="BL84" s="190"/>
      <c r="BM84" s="190"/>
      <c r="BN84" s="190"/>
      <c r="BO84" s="190"/>
      <c r="BP84" s="190"/>
      <c r="BQ84" s="190"/>
      <c r="BR84" s="190"/>
      <c r="BS84" s="190"/>
      <c r="BT84" s="190"/>
      <c r="BU84" s="190"/>
      <c r="BV84" s="1032"/>
    </row>
    <row r="85" spans="1:74" x14ac:dyDescent="0.2">
      <c r="A85" s="112" t="str">
        <f t="shared" ref="A85:A105" si="70">INDEX(KPFSON,$AF85)</f>
        <v>Meisterparade</v>
      </c>
      <c r="B85" s="391" t="str">
        <f t="shared" ref="B85:B111" ca="1" si="71">IF(NOT(ISERR(FIND(A85&amp;",",$AH$50,1))),"x",
IF(D85="X","x",""))</f>
        <v/>
      </c>
      <c r="C85" s="387" t="str">
        <f t="shared" ref="C85:C111" ca="1" si="72">IF(NOT(ISERR(FIND(A85&amp;",",$AH$51,1))),"x",
IF(D85="V","x",""))</f>
        <v/>
      </c>
      <c r="D85" s="1127"/>
      <c r="E85" s="109"/>
      <c r="F85" s="384"/>
      <c r="G85" s="960"/>
      <c r="H85" s="960"/>
      <c r="I85" s="324"/>
      <c r="J85" s="1739" t="str">
        <f ca="1">IF(OR(NOT(ISBLANK($F85)),NOT(ISBLANK($G85)),NOT(ISBLANK($H85)),NOT(ISBLANK($I85))),IF(NOT(EXACT($B85,"")),"Diese SF hast Du schon!",IF(PA&lt;8,"PA-Basiswert min. 8","")),IF(AND(ZS_SE_VIEW,B85="",C85="",NOT(ISERR(FIND(A85,ZS_SF_ALLE,1)))),"SF verbilligt aus Studium",""))</f>
        <v/>
      </c>
      <c r="K85" s="1740"/>
      <c r="L85" s="1741"/>
      <c r="M85" s="1012" t="str">
        <f t="shared" si="67"/>
        <v>Spontanzeichen (Arkanoglyphen)</v>
      </c>
      <c r="N85" s="391" t="str">
        <f ca="1">IF(NOT(ISERR(FIND(M85&amp;",",$AW$34,1))),"x",
IF(P85="X","x",""))</f>
        <v/>
      </c>
      <c r="O85" s="387" t="str">
        <f ca="1">IF(NOT(ISERR(FIND(M85&amp;",",$AW$35,1))),"x",
IF(P85="V","x",""))</f>
        <v/>
      </c>
      <c r="P85" s="1127"/>
      <c r="Q85" s="109"/>
      <c r="R85" s="384"/>
      <c r="S85" s="960"/>
      <c r="T85" s="960"/>
      <c r="U85" s="324"/>
      <c r="V85" s="1739" t="str">
        <f ca="1">IF(OR(NOT(ISBLANK($R85)),NOT(ISBLANK($S85)),NOT(ISBLANK($T85)),NOT(ISBLANK($U85))),IF(NOT(EXACT($N85,"")),"Diese SF hast Du schon!",IF(EXACT($AS$99,""),"SF Zauberzeichen notwendig","")),IF(AND(ZS_SE_VIEW,N85="",O85="",NOT(ISERR(FIND(M85,ZS_SF_ALLE,1)))),"SF verbilligt aus Studium",""))</f>
        <v/>
      </c>
      <c r="W85" s="1740"/>
      <c r="X85" s="1741"/>
      <c r="Y85" s="212">
        <f ca="1">IF(AND(NOT(ISBLANK($F85)),EXACT($J85,""),EXACT($B85,"")),IF(EXACT($C85,""),VLOOKUP($A85,SF_NAHFERNALLE,3,FALSE),ROUND(VLOOKUP($A85,SF_NAHFERNALLE,3,FALSE)/$AC85,0)),0)</f>
        <v>0</v>
      </c>
      <c r="Z85" s="212">
        <f ca="1">IF(AND(NOT(ISBLANK($G85)),EXACT($B85,"")),IF(EXACT($C85,""),VLOOKUP($A85,SF_NAHFERNALLE,2,FALSE),ROUND(VLOOKUP($A85,SF_NAHFERNALLE,2,FALSE)/$AC85,0)),0)</f>
        <v>0</v>
      </c>
      <c r="AA85" s="212">
        <f ca="1">IF(AND(NOT(ISBLANK($H85)),EXACT($B85,"")),IF(EXACT($C85,""),VLOOKUP($A85,SF_NAHFERNALLE,2,FALSE),ROUND(VLOOKUP($A85,SF_NAHFERNALLE,2,FALSE)/$AC85,0)),0)</f>
        <v>0</v>
      </c>
      <c r="AB85" s="212">
        <f ca="1">IF(AND(NOT(ISBLANK($I85)),EXACT($J85,""),EXACT($B85,"")),IF(EXACT($C85,""),VLOOKUP($A85,SF_NAHFERNALLE,2,FALSE),ROUND(VLOOKUP($A85,SF_NAHFERNALLE,2,FALSE)/$AC85,0)),0)</f>
        <v>0</v>
      </c>
      <c r="AC85" s="212">
        <f t="shared" ca="1" si="48"/>
        <v>2</v>
      </c>
      <c r="AD85" s="557" t="str">
        <f t="shared" ref="AD85:AD104" ca="1" si="73">IF(AND(EXACT($B85,""),ISBLANK($G85),ISBLANK($H85),ISBLANK($I85),ISBLANK($F85)),"",CONCATENATE($A85,", "))</f>
        <v/>
      </c>
      <c r="AE85" s="549" t="str">
        <f t="shared" ref="AE85:AE104" ca="1" si="74">IF(AND(EXACT($B85,""),EXACT($E85,""),ISBLANK($G85),ISBLANK($H85),ISBLANK($I85),ISBLANK($F85)),"",IF(EXACT($J85,""),"X",""))</f>
        <v/>
      </c>
      <c r="AF85" s="1434">
        <v>33</v>
      </c>
      <c r="AG85" s="557"/>
      <c r="AH85" s="551"/>
      <c r="AI85" s="551"/>
      <c r="AJ85" s="551"/>
      <c r="AK85" s="551"/>
      <c r="AL85" s="559">
        <f t="shared" ref="AL85:AL111" ca="1" si="75">IF((LEN($AH$50)-LEN(SUBSTITUTE($AH$50,$A85&amp;",","")))/LEN($A85&amp;",")&gt;1,VLOOKUP($A85,SF_NAHFERNALLE,3,FALSE),0)+
IF(AND((LEN($AH$51)-LEN(SUBSTITUTE($AH$51,$A85&amp;",","")))/LEN($A85&amp;",")&gt;0,(LEN($AH$50)-LEN(SUBSTITUTE($AH$50,$A85&amp;",","")))/LEN($A85&amp;",")&gt;0),ROUND(VLOOKUP($A85,SF_NAHFERNALLE,3,FALSE)*0.5,0),0)</f>
        <v>0</v>
      </c>
      <c r="AM85" s="246">
        <f t="shared" ca="1" si="57"/>
        <v>0</v>
      </c>
      <c r="AN85" s="212">
        <f t="shared" ca="1" si="62"/>
        <v>0</v>
      </c>
      <c r="AO85" s="212">
        <f t="shared" ca="1" si="63"/>
        <v>0</v>
      </c>
      <c r="AP85" s="212">
        <f t="shared" ca="1" si="64"/>
        <v>0</v>
      </c>
      <c r="AQ85" s="212">
        <f t="shared" ca="1" si="65"/>
        <v>0</v>
      </c>
      <c r="AR85" s="212">
        <f t="shared" ca="1" si="58"/>
        <v>2</v>
      </c>
      <c r="AS85" s="1020" t="str">
        <f t="shared" ca="1" si="68"/>
        <v/>
      </c>
      <c r="AT85" s="557" t="str">
        <f t="shared" ca="1" si="66"/>
        <v/>
      </c>
      <c r="AU85" s="557">
        <v>50</v>
      </c>
      <c r="AV85" s="557"/>
      <c r="AW85" s="212"/>
      <c r="AX85" s="212"/>
      <c r="AY85" s="212"/>
      <c r="AZ85" s="212"/>
      <c r="BA85" s="212"/>
      <c r="BB85" s="212"/>
      <c r="BC85" s="113"/>
      <c r="BD85" s="113"/>
      <c r="BE85" s="113"/>
      <c r="BF85" s="113"/>
      <c r="BG85" s="113"/>
      <c r="BH85" s="190"/>
      <c r="BI85" s="190"/>
      <c r="BJ85" s="190"/>
      <c r="BK85" s="190"/>
      <c r="BL85" s="190"/>
      <c r="BM85" s="190"/>
      <c r="BN85" s="190"/>
      <c r="BO85" s="190"/>
      <c r="BP85" s="190"/>
      <c r="BQ85" s="190"/>
      <c r="BR85" s="190"/>
      <c r="BS85" s="190"/>
      <c r="BT85" s="190"/>
      <c r="BU85" s="190"/>
      <c r="BV85" s="1032"/>
    </row>
    <row r="86" spans="1:74" ht="12.75" customHeight="1" x14ac:dyDescent="0.2">
      <c r="A86" s="112" t="str">
        <f t="shared" si="70"/>
        <v>Niederwerfen</v>
      </c>
      <c r="B86" s="391" t="str">
        <f t="shared" ca="1" si="71"/>
        <v/>
      </c>
      <c r="C86" s="387" t="str">
        <f t="shared" ca="1" si="72"/>
        <v/>
      </c>
      <c r="D86" s="1127"/>
      <c r="E86" s="109"/>
      <c r="F86" s="384"/>
      <c r="G86" s="960"/>
      <c r="H86" s="960"/>
      <c r="I86" s="324"/>
      <c r="J86" s="1739" t="str">
        <f ca="1">IF(OR(NOT(ISBLANK($F86)),NOT(ISBLANK($G86)),NOT(ISBLANK($H86)),NOT(ISBLANK($I86))),IF(NOT(EXACT($B86,"")),"Diese SF hast Du schon!",IF(AND(EXACT($B$111,""),ISBLANK($F$111),ISBLANK($G$111),ISBLANK($H$111),ISBLANK($I$111)),"SF Wuchtschlag nötig","")),IF(AND(ZS_SE_VIEW,B86="",C86="",NOT(ISERR(FIND(A86,ZS_SF_ALLE,1)))),"SF verbilligt aus Studium",""))</f>
        <v/>
      </c>
      <c r="K86" s="1740"/>
      <c r="L86" s="1741"/>
      <c r="M86" s="1012" t="str">
        <f t="shared" si="67"/>
        <v>Spontanzeichen (Runenkunde)</v>
      </c>
      <c r="N86" s="391" t="str">
        <f ca="1">IF(NOT(ISERR(FIND(M86&amp;",",$AW$34,1))),"x",
IF(P86="X","x",""))</f>
        <v/>
      </c>
      <c r="O86" s="387" t="str">
        <f ca="1">IF(NOT(ISERR(FIND(M86&amp;",",$AW$35,1))),"x",
IF(P86="V","x",""))</f>
        <v/>
      </c>
      <c r="P86" s="1127"/>
      <c r="Q86" s="109"/>
      <c r="R86" s="384"/>
      <c r="S86" s="960"/>
      <c r="T86" s="960"/>
      <c r="U86" s="324"/>
      <c r="V86" s="1739" t="str">
        <f ca="1">IF(OR(NOT(ISBLANK($R86)),NOT(ISBLANK($S86)),NOT(ISBLANK($T86)),NOT(ISBLANK($U86))),IF(NOT(EXACT($N86,"")),"Diese SF hast Du schon!",IF(EXACT($AS$79,""),"SF Runemkunde notwendig","")),IF(AND(ZS_SE_VIEW,N86="",O86="",NOT(ISERR(FIND(M86,ZS_SF_ALLE,1)))),"SF verbilligt aus Studium",""))</f>
        <v/>
      </c>
      <c r="W86" s="1740"/>
      <c r="X86" s="1741"/>
      <c r="Y86" s="212">
        <f ca="1">IF(AND(NOT(ISBLANK($F86)),EXACT($J86,""),EXACT($B86,"")),IF(EXACT($C86,""),VLOOKUP($A86,SF_NAHFERNALLE,3,FALSE),ROUND(VLOOKUP($A86,SF_NAHFERNALLE,3,FALSE)/$AC86,0)),0)</f>
        <v>0</v>
      </c>
      <c r="Z86" s="212">
        <f ca="1">IF(AND(NOT(ISBLANK($G86)),EXACT($B86,"")),IF(EXACT($C86,""),VLOOKUP($A86,SF_NAHFERNALLE,2,FALSE),ROUND(VLOOKUP($A86,SF_NAHFERNALLE,2,FALSE)/$AC86,0)),0)</f>
        <v>0</v>
      </c>
      <c r="AA86" s="212">
        <f ca="1">IF(AND(NOT(ISBLANK($H86)),EXACT($B86,"")),IF(EXACT($C86,""),VLOOKUP($A86,SF_NAHFERNALLE,2,FALSE),ROUND(VLOOKUP($A86,SF_NAHFERNALLE,2,FALSE)/$AC86,0)),0)</f>
        <v>0</v>
      </c>
      <c r="AB86" s="212">
        <f ca="1">IF(AND(NOT(ISBLANK($I86)),EXACT($J86,""),EXACT($B86,"")),IF(EXACT($C86,""),VLOOKUP($A86,SF_NAHFERNALLE,2,FALSE),ROUND(VLOOKUP($A86,SF_NAHFERNALLE,2,FALSE)/$AC86,0)),0)</f>
        <v>0</v>
      </c>
      <c r="AC86" s="212">
        <f t="shared" ca="1" si="48"/>
        <v>2</v>
      </c>
      <c r="AD86" s="557" t="str">
        <f t="shared" ca="1" si="73"/>
        <v/>
      </c>
      <c r="AE86" s="549" t="str">
        <f t="shared" ca="1" si="74"/>
        <v/>
      </c>
      <c r="AF86" s="1434">
        <v>34</v>
      </c>
      <c r="AG86" s="557"/>
      <c r="AH86" s="551"/>
      <c r="AI86" s="551"/>
      <c r="AJ86" s="551"/>
      <c r="AK86" s="551"/>
      <c r="AL86" s="559">
        <f t="shared" ca="1" si="75"/>
        <v>0</v>
      </c>
      <c r="AM86" s="246">
        <f t="shared" ca="1" si="57"/>
        <v>0</v>
      </c>
      <c r="AN86" s="212">
        <f t="shared" ca="1" si="62"/>
        <v>0</v>
      </c>
      <c r="AO86" s="212">
        <f t="shared" ca="1" si="63"/>
        <v>0</v>
      </c>
      <c r="AP86" s="212">
        <f t="shared" ca="1" si="64"/>
        <v>0</v>
      </c>
      <c r="AQ86" s="212">
        <f t="shared" ca="1" si="65"/>
        <v>0</v>
      </c>
      <c r="AR86" s="212">
        <f t="shared" ca="1" si="58"/>
        <v>2</v>
      </c>
      <c r="AS86" s="1020" t="str">
        <f t="shared" ca="1" si="68"/>
        <v/>
      </c>
      <c r="AT86" s="557" t="str">
        <f t="shared" ca="1" si="66"/>
        <v/>
      </c>
      <c r="AU86" s="557">
        <v>51</v>
      </c>
      <c r="AV86" s="557"/>
      <c r="AW86" s="212"/>
      <c r="AX86" s="212"/>
      <c r="AY86" s="212"/>
      <c r="AZ86" s="212"/>
      <c r="BA86" s="212"/>
      <c r="BB86" s="212"/>
      <c r="BC86" s="113"/>
      <c r="BD86" s="113"/>
      <c r="BE86" s="113"/>
      <c r="BF86" s="113"/>
      <c r="BG86" s="113"/>
      <c r="BH86" s="190"/>
      <c r="BI86" s="190"/>
      <c r="BJ86" s="190"/>
      <c r="BK86" s="190"/>
      <c r="BL86" s="190"/>
      <c r="BM86" s="190"/>
      <c r="BN86" s="190"/>
      <c r="BO86" s="190"/>
      <c r="BP86" s="190"/>
      <c r="BQ86" s="190"/>
      <c r="BR86" s="190"/>
      <c r="BS86" s="190"/>
      <c r="BT86" s="190"/>
      <c r="BU86" s="190"/>
      <c r="BV86" s="1032"/>
    </row>
    <row r="87" spans="1:74" ht="12.75" customHeight="1" x14ac:dyDescent="0.2">
      <c r="A87" s="112" t="str">
        <f t="shared" si="70"/>
        <v>Parierwaffen I</v>
      </c>
      <c r="B87" s="391" t="str">
        <f t="shared" ca="1" si="71"/>
        <v/>
      </c>
      <c r="C87" s="387" t="str">
        <f t="shared" ca="1" si="72"/>
        <v/>
      </c>
      <c r="D87" s="1127"/>
      <c r="E87" s="109"/>
      <c r="F87" s="384"/>
      <c r="G87" s="960"/>
      <c r="H87" s="960"/>
      <c r="I87" s="324"/>
      <c r="J87" s="1739" t="str">
        <f ca="1">IF(OR(NOT(ISBLANK($F87)),NOT(ISBLANK($G87)),NOT(ISBLANK($H87)),NOT(ISBLANK($I87))),IF(NOT(EXACT($B87,"")),"Diese SF hast Du schon!",IF(GE&lt;12,"GE min. 12",IF(AND(EXACT($B$83,""),ISBLANK($F$83),ISBLANK($G$83),ISBLANK($H$83),ISBLANK($I$83)),"SF Linkhand nötig",""))),IF(AND(ZS_SE_VIEW,B87="",C87="",NOT(ISERR(FIND(A87,ZS_SF_ALLE,1)))),"SF verbilligt aus Studium",""))</f>
        <v/>
      </c>
      <c r="K87" s="1740"/>
      <c r="L87" s="1741"/>
      <c r="M87" s="1012" t="str">
        <f t="shared" si="67"/>
        <v>Stapeleffekt</v>
      </c>
      <c r="N87" s="391" t="str">
        <f t="shared" ca="1" si="60"/>
        <v/>
      </c>
      <c r="O87" s="387" t="str">
        <f t="shared" ca="1" si="69"/>
        <v/>
      </c>
      <c r="P87" s="1127"/>
      <c r="Q87" s="109"/>
      <c r="R87" s="384"/>
      <c r="S87" s="960"/>
      <c r="T87" s="960"/>
      <c r="U87" s="324"/>
      <c r="V87" s="1739" t="str">
        <f ca="1">IF(OR(NOT(ISBLANK($R87)),NOT(ISBLANK($S87)),NOT(ISBLANK($T87)),NOT(ISBLANK($U87))),IF(NOT(EXACT($N87,"")),"Diese SF hast Du schon!",IF(ARCANOVI_WERT&lt;7,"Arcanovi mind. auf 7","")),IF(AND(ZS_SE_VIEW,N87="",O87="",NOT(ISERR(FIND(M87,ZS_SF_ALLE,1)))),"SF verbilligt aus Studium",""))</f>
        <v/>
      </c>
      <c r="W87" s="1740"/>
      <c r="X87" s="1741"/>
      <c r="Y87" s="717">
        <f ca="1">ROUND(IF(AND(NOT(ISBLANK($F87)),EXACT($J87,""),EXACT($B87,"")),IF(EXACT($C87,""),VLOOKUP($A87,SF_NAHFERNALLE,3,FALSE)*IF(VT_BEIDHG,0.75,1),VLOOKUP($A87,SF_NAHFERNALLE,3,FALSE)*IF(VT_BEIDHG,0.75,1)/$AC87),0),0)</f>
        <v>0</v>
      </c>
      <c r="Z87" s="717">
        <f ca="1">ROUND(IF(AND(NOT(ISBLANK($G87)),EXACT($B87,"")),IF(EXACT($C87,""),VLOOKUP($A87,SF_NAHFERNALLE,2,FALSE)*IF(VT_BEIDHG,0.75,1),VLOOKUP($A87,SF_NAHFERNALLE,2,FALSE)*IF(VT_BEIDHG,0.75,1)/$AC87),0),0)</f>
        <v>0</v>
      </c>
      <c r="AA87" s="717">
        <f ca="1">ROUND(IF(AND(NOT(ISBLANK($H87)),EXACT($B87,"")),IF(EXACT($C87,""),VLOOKUP($A87,SF_NAHFERNALLE,2,FALSE)*IF(VT_BEIDHG,0.75,1),VLOOKUP($A87,SF_NAHFERNALLE,2,FALSE)*IF(VT_BEIDHG,0.75,1)/$AC87),0),0)</f>
        <v>0</v>
      </c>
      <c r="AB87" s="717">
        <f ca="1">IF(AND(NOT(ISBLANK($I87)),EXACT($J87,""),EXACT($B87,"")),IF(EXACT($C87,""),VLOOKUP($A87,SF_NAHFERNALLE,2,FALSE)*IF(VT_BEIDHG,0.75,1),VLOOKUP($A87,SF_NAHFERNALLE,2,FALSE)*IF(VT_BEIDHG,0.75,1)/$AC87),0)</f>
        <v>0</v>
      </c>
      <c r="AC87" s="212">
        <f t="shared" ca="1" si="48"/>
        <v>2</v>
      </c>
      <c r="AD87" s="557" t="str">
        <f t="shared" ca="1" si="73"/>
        <v/>
      </c>
      <c r="AE87" s="549" t="str">
        <f t="shared" ca="1" si="74"/>
        <v/>
      </c>
      <c r="AF87" s="1434">
        <v>35</v>
      </c>
      <c r="AG87" s="557"/>
      <c r="AH87" s="551"/>
      <c r="AI87" s="551"/>
      <c r="AJ87" s="551"/>
      <c r="AK87" s="551"/>
      <c r="AL87" s="559">
        <f t="shared" ca="1" si="75"/>
        <v>0</v>
      </c>
      <c r="AM87" s="246">
        <f t="shared" ca="1" si="57"/>
        <v>0</v>
      </c>
      <c r="AN87" s="212">
        <f t="shared" ca="1" si="62"/>
        <v>0</v>
      </c>
      <c r="AO87" s="212">
        <f t="shared" ca="1" si="63"/>
        <v>0</v>
      </c>
      <c r="AP87" s="212">
        <f t="shared" ca="1" si="64"/>
        <v>0</v>
      </c>
      <c r="AQ87" s="212">
        <f t="shared" ca="1" si="65"/>
        <v>0</v>
      </c>
      <c r="AR87" s="212">
        <f t="shared" ca="1" si="58"/>
        <v>2</v>
      </c>
      <c r="AS87" s="1020" t="str">
        <f t="shared" ca="1" si="68"/>
        <v/>
      </c>
      <c r="AT87" s="557" t="str">
        <f t="shared" ca="1" si="66"/>
        <v/>
      </c>
      <c r="AU87" s="557">
        <v>52</v>
      </c>
      <c r="AV87" s="557"/>
      <c r="AW87" s="212"/>
      <c r="AX87" s="212"/>
      <c r="AY87" s="212"/>
      <c r="AZ87" s="212"/>
      <c r="BA87" s="212"/>
      <c r="BB87" s="212"/>
      <c r="BC87" s="113"/>
      <c r="BD87" s="113"/>
      <c r="BE87" s="113"/>
      <c r="BF87" s="113"/>
      <c r="BG87" s="113"/>
      <c r="BH87" s="190"/>
      <c r="BI87" s="190"/>
      <c r="BJ87" s="190"/>
      <c r="BK87" s="190"/>
      <c r="BL87" s="190"/>
      <c r="BM87" s="190"/>
      <c r="BN87" s="190"/>
      <c r="BO87" s="190"/>
      <c r="BP87" s="190"/>
      <c r="BQ87" s="190"/>
      <c r="BR87" s="190"/>
      <c r="BS87" s="190"/>
      <c r="BT87" s="190"/>
      <c r="BU87" s="190"/>
      <c r="BV87" s="1032"/>
    </row>
    <row r="88" spans="1:74" x14ac:dyDescent="0.2">
      <c r="A88" s="112" t="str">
        <f t="shared" si="70"/>
        <v>Parierwaffen II</v>
      </c>
      <c r="B88" s="391" t="str">
        <f t="shared" ca="1" si="71"/>
        <v/>
      </c>
      <c r="C88" s="387" t="str">
        <f t="shared" ca="1" si="72"/>
        <v/>
      </c>
      <c r="D88" s="1127"/>
      <c r="E88" s="109"/>
      <c r="F88" s="384"/>
      <c r="G88" s="960"/>
      <c r="H88" s="960"/>
      <c r="I88" s="324"/>
      <c r="J88" s="1739" t="str">
        <f ca="1">IF(OR(NOT(ISBLANK($F88)),NOT(ISBLANK($G88)),NOT(ISBLANK($H88)),NOT(ISBLANK($I88))),IF(NOT(EXACT($B88,"")),"Diese SF hast Du schon!",IF(GE&lt;15,"GE min. 15",IF(AND(EXACT($B$87,""),ISBLANK($F$87),ISBLANK($G$87),ISBLANK($H$87),ISBLANK($I$87)),"SF Parierwaffen I nötig",""))),IF(AND(ZS_SE_VIEW,B88="",C88="",NOT(ISERR(FIND(A88,ZS_SF_ALLE,1)))),"SF verbilligt aus Studium",""))</f>
        <v/>
      </c>
      <c r="K88" s="1740"/>
      <c r="L88" s="1741"/>
      <c r="M88" s="1012" t="str">
        <f t="shared" si="67"/>
        <v>Tanz der Mada</v>
      </c>
      <c r="N88" s="391" t="str">
        <f t="shared" ca="1" si="60"/>
        <v/>
      </c>
      <c r="O88" s="387" t="str">
        <f t="shared" ca="1" si="69"/>
        <v/>
      </c>
      <c r="P88" s="1127"/>
      <c r="Q88" s="109"/>
      <c r="R88" s="384"/>
      <c r="S88" s="960"/>
      <c r="T88" s="960"/>
      <c r="U88" s="324"/>
      <c r="V88" s="1739" t="str">
        <f ca="1">IF(AND(NOT(ISBLANK($R88)),NOT(ISBLANK($S88)),NOT(ISBLANK($T88)),NOT(ISBLANK($U88))),"Was denn nun? GP oder AP?",IF(AND(NOT(ISBLANK($R88)),NOT(ISBLANK($S88)),NOT(ISBLANK($T88)),NOT(EXACT($N88,""))),"Diese SF hast Du schon!",IF(AND(ZS_SE_VIEW,N88="",O88="",NOT(ISERR(FIND(M88,ZS_SF_ALLE,1)))),"SF verbilligt aus Studium","")))</f>
        <v/>
      </c>
      <c r="W88" s="1740"/>
      <c r="X88" s="1741"/>
      <c r="Y88" s="717">
        <f ca="1">ROUND(IF(AND(NOT(ISBLANK($F88)),EXACT($J88,""),EXACT($B88,"")),IF(EXACT($C88,""),VLOOKUP($A88,SF_NAHFERNALLE,3,FALSE)*IF(VT_BEIDHG,0.75,1),VLOOKUP($A88,SF_NAHFERNALLE,3,FALSE)*IF(VT_BEIDHG,0.75,1)/$AC88),0),0)</f>
        <v>0</v>
      </c>
      <c r="Z88" s="717">
        <f ca="1">ROUND(IF(AND(NOT(ISBLANK($G88)),EXACT($B88,"")),IF(EXACT($C88,""),VLOOKUP($A88,SF_NAHFERNALLE,2,FALSE)*IF(VT_BEIDHG,0.75,1),VLOOKUP($A88,SF_NAHFERNALLE,2,FALSE)*IF(VT_BEIDHG,0.75,1)/$AC88),0),0)</f>
        <v>0</v>
      </c>
      <c r="AA88" s="717">
        <f ca="1">ROUND(IF(AND(NOT(ISBLANK($H88)),EXACT($B88,"")),IF(EXACT($C88,""),VLOOKUP($A88,SF_NAHFERNALLE,2,FALSE)*IF(VT_BEIDHG,0.75,1),VLOOKUP($A88,SF_NAHFERNALLE,2,FALSE)*IF(VT_BEIDHG,0.75,1)/$AC88),0),0)</f>
        <v>0</v>
      </c>
      <c r="AB88" s="717">
        <f ca="1">IF(AND(NOT(ISBLANK($I88)),EXACT($J88,""),EXACT($B88,"")),IF(EXACT($C88,""),VLOOKUP($A88,SF_NAHFERNALLE,2,FALSE)*IF(VT_BEIDHG,0.75,1),VLOOKUP($A88,SF_NAHFERNALLE,2,FALSE)*IF(VT_BEIDHG,0.75,1)/$AC88),0)</f>
        <v>0</v>
      </c>
      <c r="AC88" s="212">
        <f t="shared" ca="1" si="48"/>
        <v>2</v>
      </c>
      <c r="AD88" s="557" t="str">
        <f t="shared" ca="1" si="73"/>
        <v/>
      </c>
      <c r="AE88" s="549" t="str">
        <f t="shared" ca="1" si="74"/>
        <v/>
      </c>
      <c r="AF88" s="1434">
        <v>36</v>
      </c>
      <c r="AG88" s="557"/>
      <c r="AH88" s="551"/>
      <c r="AI88" s="551"/>
      <c r="AJ88" s="551"/>
      <c r="AK88" s="551"/>
      <c r="AL88" s="559">
        <f t="shared" ca="1" si="75"/>
        <v>0</v>
      </c>
      <c r="AM88" s="246">
        <f t="shared" ca="1" si="57"/>
        <v>0</v>
      </c>
      <c r="AN88" s="212">
        <f t="shared" ca="1" si="62"/>
        <v>0</v>
      </c>
      <c r="AO88" s="212">
        <f t="shared" ca="1" si="63"/>
        <v>0</v>
      </c>
      <c r="AP88" s="212">
        <f t="shared" ca="1" si="64"/>
        <v>0</v>
      </c>
      <c r="AQ88" s="212">
        <f t="shared" ca="1" si="65"/>
        <v>0</v>
      </c>
      <c r="AR88" s="212">
        <f t="shared" ca="1" si="58"/>
        <v>2</v>
      </c>
      <c r="AS88" s="1020" t="str">
        <f t="shared" ca="1" si="68"/>
        <v/>
      </c>
      <c r="AT88" s="557" t="str">
        <f t="shared" ca="1" si="66"/>
        <v/>
      </c>
      <c r="AU88" s="557">
        <v>53</v>
      </c>
      <c r="AV88" s="557"/>
      <c r="AW88" s="212"/>
      <c r="AX88" s="212"/>
      <c r="AY88" s="212"/>
      <c r="AZ88" s="212"/>
      <c r="BA88" s="212"/>
      <c r="BB88" s="212"/>
      <c r="BC88" s="113"/>
      <c r="BD88" s="113"/>
      <c r="BE88" s="113"/>
      <c r="BF88" s="113"/>
      <c r="BG88" s="113"/>
      <c r="BH88" s="190"/>
      <c r="BI88" s="190"/>
      <c r="BJ88" s="190"/>
      <c r="BK88" s="190"/>
      <c r="BL88" s="190"/>
      <c r="BM88" s="190"/>
      <c r="BN88" s="190"/>
      <c r="BO88" s="190"/>
      <c r="BP88" s="190"/>
      <c r="BQ88" s="190"/>
      <c r="BR88" s="190"/>
      <c r="BS88" s="190"/>
      <c r="BT88" s="190"/>
      <c r="BU88" s="190"/>
      <c r="BV88" s="1032"/>
    </row>
    <row r="89" spans="1:74" x14ac:dyDescent="0.2">
      <c r="A89" s="112" t="str">
        <f t="shared" si="70"/>
        <v>Reiterkampf</v>
      </c>
      <c r="B89" s="391" t="str">
        <f t="shared" ca="1" si="71"/>
        <v/>
      </c>
      <c r="C89" s="387" t="str">
        <f t="shared" ca="1" si="72"/>
        <v/>
      </c>
      <c r="D89" s="1127"/>
      <c r="E89" s="109"/>
      <c r="F89" s="384"/>
      <c r="G89" s="960"/>
      <c r="H89" s="960"/>
      <c r="I89" s="324"/>
      <c r="J89" s="1739" t="str">
        <f ca="1">IF(OR(NOT(ISBLANK($F89)),NOT(ISBLANK($G89)),NOT(ISBLANK($H89)),NOT(ISBLANK($I89))),IF(NOT(EXACT($B89,"")),"Diese SF hast Du schon!",IF(SUM(Talente!$B$48,Talente!$G$48,Talente!$I$48)&lt;7,"TaW Reiten 7","")),IF(AND(ZS_SE_VIEW,B89="",C89="",NOT(ISERR(FIND(A89,ZS_SF_ALLE,1)))),"SF verbilligt aus Studium",""))</f>
        <v/>
      </c>
      <c r="K89" s="1740"/>
      <c r="L89" s="1741"/>
      <c r="M89" s="1012" t="str">
        <f t="shared" si="67"/>
        <v>Tierischer Begleiter</v>
      </c>
      <c r="N89" s="391" t="str">
        <f t="shared" ca="1" si="60"/>
        <v/>
      </c>
      <c r="O89" s="387" t="str">
        <f t="shared" ca="1" si="69"/>
        <v/>
      </c>
      <c r="P89" s="1127"/>
      <c r="Q89" s="109"/>
      <c r="R89" s="384"/>
      <c r="S89" s="960"/>
      <c r="T89" s="960"/>
      <c r="U89" s="324"/>
      <c r="V89" s="1739" t="str">
        <f ca="1">IF(AND(NOT(ISBLANK($R89)),NOT(ISBLANK($S89)),NOT(ISBLANK($T89)),NOT(ISBLANK($U89))),"Was denn nun? GP oder AP?",IF(AND(NOT(ISBLANK($R89)),NOT(ISBLANK($S89)),NOT(ISBLANK($T89)),NOT(EXACT($N89,""))),"Diese SF hast Du schon!",IF(AND(ZS_SE_VIEW,N89="",O89="",NOT(ISERR(FIND(M89,ZS_SF_ALLE,1)))),"SF verbilligt aus Studium","")))</f>
        <v/>
      </c>
      <c r="W89" s="1740"/>
      <c r="X89" s="1741"/>
      <c r="Y89" s="212">
        <f ca="1">IF(AND(NOT(ISBLANK($F89)),EXACT($J89,""),EXACT($B89,"")),IF(EXACT($C89,""),VLOOKUP($A89,SF_NAHFERNALLE,3,FALSE),ROUND(VLOOKUP($A89,SF_NAHFERNALLE,3,FALSE)/$AC89,0)),0)</f>
        <v>0</v>
      </c>
      <c r="Z89" s="212">
        <f ca="1">IF(AND(NOT(ISBLANK($G89)),EXACT($B89,"")),IF(EXACT($C89,""),VLOOKUP($A89,SF_NAHFERNALLE,2,FALSE),ROUND(VLOOKUP($A89,SF_NAHFERNALLE,2,FALSE)/$AC89,0)),0)</f>
        <v>0</v>
      </c>
      <c r="AA89" s="212">
        <f ca="1">IF(AND(NOT(ISBLANK($H89)),EXACT($B89,"")),IF(EXACT($C89,""),VLOOKUP($A89,SF_NAHFERNALLE,2,FALSE),ROUND(VLOOKUP($A89,SF_NAHFERNALLE,2,FALSE)/$AC89,0)),0)</f>
        <v>0</v>
      </c>
      <c r="AB89" s="212">
        <f ca="1">IF(AND(NOT(ISBLANK($I89)),EXACT($J89,""),EXACT($B89,"")),IF(EXACT($C89,""),VLOOKUP($A89,SF_NAHFERNALLE,2,FALSE),ROUND(VLOOKUP($A89,SF_NAHFERNALLE,2,FALSE)/$AC89,0)),0)</f>
        <v>0</v>
      </c>
      <c r="AC89" s="212">
        <f t="shared" ca="1" si="48"/>
        <v>2</v>
      </c>
      <c r="AD89" s="557" t="str">
        <f t="shared" ca="1" si="73"/>
        <v/>
      </c>
      <c r="AE89" s="549" t="str">
        <f t="shared" ca="1" si="74"/>
        <v/>
      </c>
      <c r="AF89" s="1434">
        <v>37</v>
      </c>
      <c r="AG89" s="557"/>
      <c r="AH89" s="551"/>
      <c r="AI89" s="551"/>
      <c r="AJ89" s="551"/>
      <c r="AK89" s="551"/>
      <c r="AL89" s="559">
        <f t="shared" ca="1" si="75"/>
        <v>0</v>
      </c>
      <c r="AM89" s="246">
        <f t="shared" ca="1" si="57"/>
        <v>0</v>
      </c>
      <c r="AN89" s="717">
        <f ca="1">IF(AND(NOT(ISBLANK($R89)),EXACT($V89,""),EXACT($N89,"")),
ROUND(VLOOKUP($M89,SF_MAGIEALLE,3,FALSE)/IF(EXACT($O89,""),1,$AR89)*($R89-1)+2,0),0)</f>
        <v>0</v>
      </c>
      <c r="AO89" s="717">
        <f ca="1">IF(AND(NOT(ISBLANK($S89)),EXACT($N89,"")),
ROUND(VLOOKUP($M89,SF_MAGIEALLE,2,FALSE)/IF(EXACT($O89,""),1,$AR89)*($S89-1)+100,0),0)</f>
        <v>0</v>
      </c>
      <c r="AP89" s="717">
        <f ca="1">IF(AND(NOT(ISBLANK($T89)),EXACT($N89,"")),
ROUND(VLOOKUP($M89,SF_MAGIEALLE,2,FALSE)/IF(EXACT($O89,""),1,$AR89)*($T89-1)+100,0),0)</f>
        <v>0</v>
      </c>
      <c r="AQ89" s="717">
        <f ca="1">IF(AND(NOT(ISBLANK($U89)),EXACT($V89,""),EXACT($N89,"")),
ROUND(VLOOKUP($M89,SF_MAGIEALLE,2,FALSE)/IF(EXACT($O89,""),1,$AR89)*($U89-1)+100,0),0)</f>
        <v>0</v>
      </c>
      <c r="AR89" s="212">
        <f t="shared" ca="1" si="58"/>
        <v>2</v>
      </c>
      <c r="AS89" s="1020" t="str">
        <f t="shared" ca="1" si="68"/>
        <v/>
      </c>
      <c r="AT89" s="557" t="str">
        <f t="shared" ca="1" si="66"/>
        <v/>
      </c>
      <c r="AU89" s="557">
        <v>54</v>
      </c>
      <c r="AV89" s="557"/>
      <c r="AW89" s="212"/>
      <c r="AX89" s="212"/>
      <c r="AY89" s="212"/>
      <c r="AZ89" s="212"/>
      <c r="BA89" s="212"/>
      <c r="BB89" s="212"/>
      <c r="BC89" s="113"/>
      <c r="BD89" s="113"/>
      <c r="BE89" s="113"/>
      <c r="BF89" s="113"/>
      <c r="BG89" s="113"/>
      <c r="BH89" s="190"/>
      <c r="BI89" s="190"/>
      <c r="BJ89" s="190"/>
      <c r="BK89" s="190"/>
      <c r="BL89" s="190"/>
      <c r="BM89" s="190"/>
      <c r="BN89" s="190"/>
      <c r="BO89" s="190"/>
      <c r="BP89" s="190"/>
      <c r="BQ89" s="190"/>
      <c r="BR89" s="190"/>
      <c r="BS89" s="190"/>
      <c r="BT89" s="190"/>
      <c r="BU89" s="190"/>
      <c r="BV89" s="1032"/>
    </row>
    <row r="90" spans="1:74" x14ac:dyDescent="0.2">
      <c r="A90" s="112" t="str">
        <f t="shared" si="70"/>
        <v>Rüstungsgewöhnung I</v>
      </c>
      <c r="B90" s="391" t="str">
        <f t="shared" ca="1" si="71"/>
        <v/>
      </c>
      <c r="C90" s="387" t="str">
        <f t="shared" ca="1" si="72"/>
        <v/>
      </c>
      <c r="D90" s="1127"/>
      <c r="E90" s="1307"/>
      <c r="F90" s="384"/>
      <c r="G90" s="960"/>
      <c r="H90" s="960"/>
      <c r="I90" s="324"/>
      <c r="J90" s="1739" t="str">
        <f ca="1">IF(OR(NOT(ISBLANK($F90)),NOT(ISBLANK($G90)),NOT(ISBLANK($H90)),NOT(ISBLANK($I90))),IF(NOT(EXACT($B90,"")),"Diese SF hast Du schon!",IF(KK&lt;10,"KK min. 10","")),IF(AND(ZS_SE_VIEW,B90="",C90="",NOT(ISERR(FIND(A90,ZS_SF_ALLE,1)))),"SF verbilligt aus Studium","")) &amp;IF(AND(HBC_RGW_ART="",OR(B90&lt;&gt;"",D90&lt;&gt;"",F90&lt;&gt;"",G90&lt;&gt;"",H90&lt;&gt;"",I90&lt;&gt;"")),"Bitte Rüstung auswählen (Spalte E)!","")</f>
        <v/>
      </c>
      <c r="K90" s="1740"/>
      <c r="L90" s="1741"/>
      <c r="M90" s="1012" t="str">
        <f t="shared" si="67"/>
        <v>Traumgänger</v>
      </c>
      <c r="N90" s="391" t="str">
        <f t="shared" ca="1" si="60"/>
        <v/>
      </c>
      <c r="O90" s="387" t="str">
        <f t="shared" ca="1" si="69"/>
        <v/>
      </c>
      <c r="P90" s="1127"/>
      <c r="Q90" s="109"/>
      <c r="R90" s="384"/>
      <c r="S90" s="960"/>
      <c r="T90" s="960"/>
      <c r="U90" s="324"/>
      <c r="V90" s="1739" t="str">
        <f ca="1">IF(OR(NOT(ISBLANK($R90)),NOT(ISBLANK($S90)),NOT(ISBLANK($T90)),NOT(ISBLANK($U90))),IF(NOT(EXACT($N90,"")),"Diese SF hast Du schon!",IF(IN&lt;12,"IN min. 12","")),IF(AND(ZS_SE_VIEW,N90="",O90="",NOT(ISERR(FIND(M90,ZS_SF_ALLE,1)))),"SF verbilligt aus Studium",""))</f>
        <v/>
      </c>
      <c r="W90" s="1740"/>
      <c r="X90" s="1741"/>
      <c r="Y90" s="212">
        <f ca="1">IF(AND(NOT(ISBLANK($F90)),EXACT($J90,""),EXACT($B90,"")),IF(EXACT($C90,""),VLOOKUP($A90,SF_NAHFERNALLE,3,FALSE),ROUND(VLOOKUP($A90,SF_NAHFERNALLE,3,FALSE)/$AC90,0)),0)</f>
        <v>0</v>
      </c>
      <c r="Z90" s="212">
        <f ca="1">IF(AND(NOT(ISBLANK($G90)),EXACT($B90,"")),IF(EXACT($C90,""),VLOOKUP($A90,SF_NAHFERNALLE,2,FALSE),ROUND(VLOOKUP($A90,SF_NAHFERNALLE,2,FALSE)/$AC90,0)),0)</f>
        <v>0</v>
      </c>
      <c r="AA90" s="212">
        <f ca="1">IF(AND(NOT(ISBLANK($H90)),EXACT($B90,"")),IF(EXACT($C90,""),VLOOKUP($A90,SF_NAHFERNALLE,2,FALSE),ROUND(VLOOKUP($A90,SF_NAHFERNALLE,2,FALSE)/$AC90,0)),0)</f>
        <v>0</v>
      </c>
      <c r="AB90" s="212">
        <f ca="1">IF(AND(NOT(ISBLANK($I90)),EXACT($J90,""),EXACT($B90,"")),IF(EXACT($C90,""),VLOOKUP($A90,SF_NAHFERNALLE,2,FALSE),ROUND(VLOOKUP($A90,SF_NAHFERNALLE,2,FALSE)/$AC90,0)),0)</f>
        <v>0</v>
      </c>
      <c r="AC90" s="212">
        <f t="shared" ca="1" si="48"/>
        <v>2</v>
      </c>
      <c r="AD90" s="557" t="str">
        <f t="shared" ca="1" si="73"/>
        <v/>
      </c>
      <c r="AE90" s="549" t="str">
        <f t="shared" ca="1" si="74"/>
        <v/>
      </c>
      <c r="AF90" s="1434">
        <v>38</v>
      </c>
      <c r="AG90" s="557"/>
      <c r="AH90" s="551"/>
      <c r="AI90" s="551"/>
      <c r="AJ90" s="551"/>
      <c r="AK90" s="551"/>
      <c r="AL90" s="559">
        <f t="shared" ca="1" si="75"/>
        <v>0</v>
      </c>
      <c r="AM90" s="246">
        <f t="shared" ca="1" si="57"/>
        <v>0</v>
      </c>
      <c r="AN90" s="212">
        <f t="shared" ref="AN90:AN99" ca="1" si="76">IF(AND(NOT(ISBLANK($R90)),EXACT($V90,""),EXACT($N90,"")),IF(EXACT($O90,""),VLOOKUP($M90,SF_MAGIEALLE,3,FALSE),ROUND(VLOOKUP($M90,SF_MAGIEALLE,3,FALSE)/$AR90,0)),0)</f>
        <v>0</v>
      </c>
      <c r="AO90" s="212">
        <f t="shared" ref="AO90:AO99" ca="1" si="77">IF(AND(NOT(ISBLANK($S90)),EXACT($N90,"")),IF(EXACT($O90,""),VLOOKUP($M90,SF_MAGIEALLE,2,FALSE),ROUND(VLOOKUP($M90,SF_MAGIEALLE,2,FALSE)/$AR90,0)),0)</f>
        <v>0</v>
      </c>
      <c r="AP90" s="212">
        <f t="shared" ref="AP90:AP99" ca="1" si="78">IF(AND(NOT(ISBLANK($T90)),EXACT($N90,"")),IF(EXACT($O90,""),VLOOKUP($M90,SF_MAGIEALLE,2,FALSE),ROUND(VLOOKUP($M90,SF_MAGIEALLE,2,FALSE)/$AR90,0)),0)</f>
        <v>0</v>
      </c>
      <c r="AQ90" s="212">
        <f t="shared" ref="AQ90:AQ99" ca="1" si="79">IF(AND(NOT(ISBLANK($U90)),EXACT($V90,""),EXACT($N90,"")),IF(EXACT($O90,""),VLOOKUP($M90,SF_MAGIEALLE,2,FALSE),ROUND(VLOOKUP($M90,SF_MAGIEALLE,2,FALSE)/$AR90,0)),0)</f>
        <v>0</v>
      </c>
      <c r="AR90" s="212">
        <f t="shared" ca="1" si="58"/>
        <v>2</v>
      </c>
      <c r="AS90" s="1020" t="str">
        <f t="shared" ca="1" si="68"/>
        <v/>
      </c>
      <c r="AT90" s="557" t="str">
        <f t="shared" ca="1" si="66"/>
        <v/>
      </c>
      <c r="AU90" s="557">
        <v>55</v>
      </c>
      <c r="AV90" s="557"/>
      <c r="AW90" s="212"/>
      <c r="AX90" s="212"/>
      <c r="AY90" s="212"/>
      <c r="AZ90" s="212"/>
      <c r="BA90" s="212"/>
      <c r="BB90" s="212"/>
      <c r="BC90" s="113"/>
      <c r="BD90" s="113"/>
      <c r="BE90" s="113"/>
      <c r="BF90" s="113"/>
      <c r="BG90" s="113"/>
      <c r="BH90" s="190"/>
      <c r="BI90" s="190"/>
      <c r="BJ90" s="190"/>
      <c r="BK90" s="190"/>
      <c r="BL90" s="190"/>
      <c r="BM90" s="190"/>
      <c r="BN90" s="190"/>
      <c r="BO90" s="190"/>
      <c r="BP90" s="190"/>
      <c r="BQ90" s="190"/>
      <c r="BR90" s="190"/>
      <c r="BS90" s="190"/>
      <c r="BT90" s="190"/>
      <c r="BU90" s="190"/>
      <c r="BV90" s="1032"/>
    </row>
    <row r="91" spans="1:74" x14ac:dyDescent="0.2">
      <c r="A91" s="112" t="str">
        <f t="shared" si="70"/>
        <v>Rüstungsgewöhnung II</v>
      </c>
      <c r="B91" s="391" t="str">
        <f t="shared" ca="1" si="71"/>
        <v/>
      </c>
      <c r="C91" s="387" t="str">
        <f t="shared" ca="1" si="72"/>
        <v/>
      </c>
      <c r="D91" s="1127"/>
      <c r="E91" s="109"/>
      <c r="F91" s="384"/>
      <c r="G91" s="960"/>
      <c r="H91" s="960"/>
      <c r="I91" s="324"/>
      <c r="J91" s="1739" t="str">
        <f ca="1">IF(OR(NOT(ISBLANK($F91)),NOT(ISBLANK($G91)),NOT(ISBLANK($H91)),NOT(ISBLANK($I91))),IF(NOT(EXACT($B91,"")),"Diese SF hast Du schon!",IF(KK&lt;12,"KK min. 12",IF(AND(EXACT($B$90,""),ISBLANK($F$90),ISBLANK($G$90),ISBLANK($H$90),ISBLANK($I$90)),"SF Rüst.-Gew. I nötig",""))),IF(AND(ZS_SE_VIEW,B91="",C91="",NOT(ISERR(FIND(A91,ZS_SF_ALLE,1)))),"SF verbilligt aus Studium",""))</f>
        <v/>
      </c>
      <c r="K91" s="1740"/>
      <c r="L91" s="1741"/>
      <c r="M91" s="1012" t="str">
        <f t="shared" si="67"/>
        <v>Verbotene Pforten</v>
      </c>
      <c r="N91" s="391" t="str">
        <f t="shared" ca="1" si="60"/>
        <v/>
      </c>
      <c r="O91" s="387" t="str">
        <f t="shared" ca="1" si="69"/>
        <v/>
      </c>
      <c r="P91" s="1127"/>
      <c r="Q91" s="109"/>
      <c r="R91" s="384"/>
      <c r="S91" s="960"/>
      <c r="T91" s="960"/>
      <c r="U91" s="324"/>
      <c r="V91" s="1739" t="str">
        <f ca="1">IF(OR(NOT(ISBLANK($R91)),NOT(ISBLANK($S91)),NOT(ISBLANK($T91)),NOT(ISBLANK($U91))),IF(NOT(EXACT($N91,"")),"Diese SF hast Du schon!",IF(MU&lt;12,"MU min. 12","")),IF(AND(ZS_SE_VIEW,N91="",O91="",NOT(ISERR(FIND(M91,ZS_SF_ALLE,1)))),"SF verbilligt aus Studium",""))</f>
        <v/>
      </c>
      <c r="W91" s="1740"/>
      <c r="X91" s="1741"/>
      <c r="Y91" s="212">
        <f ca="1">IF(AND(NOT(ISBLANK($F91)),EXACT($J91,""),EXACT($B91,"")),IF(EXACT($C91,""),VLOOKUP($A91,SF_NAHFERNALLE,3,FALSE),ROUND(VLOOKUP($A91,SF_NAHFERNALLE,3,FALSE)/$AC91,0)),0)</f>
        <v>0</v>
      </c>
      <c r="Z91" s="212">
        <f ca="1">IF(AND(NOT(ISBLANK($G91)),EXACT($B91,"")),IF(EXACT($C91,""),VLOOKUP($A91,SF_NAHFERNALLE,2,FALSE),ROUND(VLOOKUP($A91,SF_NAHFERNALLE,2,FALSE)/$AC91,0)),0)</f>
        <v>0</v>
      </c>
      <c r="AA91" s="212">
        <f ca="1">IF(AND(NOT(ISBLANK($H91)),EXACT($B91,"")),IF(EXACT($C91,""),VLOOKUP($A91,SF_NAHFERNALLE,2,FALSE),ROUND(VLOOKUP($A91,SF_NAHFERNALLE,2,FALSE)/$AC91,0)),0)</f>
        <v>0</v>
      </c>
      <c r="AB91" s="212">
        <f ca="1">IF(AND(NOT(ISBLANK($I91)),EXACT($J91,""),EXACT($B91,"")),IF(EXACT($C91,""),VLOOKUP($A91,SF_NAHFERNALLE,2,FALSE),ROUND(VLOOKUP($A91,SF_NAHFERNALLE,2,FALSE)/$AC91,0)),0)</f>
        <v>0</v>
      </c>
      <c r="AC91" s="212">
        <f t="shared" ca="1" si="48"/>
        <v>2</v>
      </c>
      <c r="AD91" s="557" t="str">
        <f t="shared" ca="1" si="73"/>
        <v/>
      </c>
      <c r="AE91" s="549" t="str">
        <f t="shared" ca="1" si="74"/>
        <v/>
      </c>
      <c r="AF91" s="1434">
        <v>39</v>
      </c>
      <c r="AG91" s="557"/>
      <c r="AH91" s="551"/>
      <c r="AI91" s="551"/>
      <c r="AJ91" s="551"/>
      <c r="AK91" s="551"/>
      <c r="AL91" s="559">
        <f t="shared" ca="1" si="75"/>
        <v>0</v>
      </c>
      <c r="AM91" s="246">
        <f t="shared" ca="1" si="57"/>
        <v>0</v>
      </c>
      <c r="AN91" s="212">
        <f t="shared" ca="1" si="76"/>
        <v>0</v>
      </c>
      <c r="AO91" s="212">
        <f t="shared" ca="1" si="77"/>
        <v>0</v>
      </c>
      <c r="AP91" s="212">
        <f t="shared" ca="1" si="78"/>
        <v>0</v>
      </c>
      <c r="AQ91" s="212">
        <f t="shared" ca="1" si="79"/>
        <v>0</v>
      </c>
      <c r="AR91" s="212">
        <f t="shared" ca="1" si="58"/>
        <v>2</v>
      </c>
      <c r="AS91" s="1020" t="str">
        <f t="shared" ca="1" si="68"/>
        <v/>
      </c>
      <c r="AT91" s="557" t="str">
        <f t="shared" ca="1" si="66"/>
        <v/>
      </c>
      <c r="AU91" s="557">
        <v>56</v>
      </c>
      <c r="AV91" s="557"/>
      <c r="AW91" s="212"/>
      <c r="AX91" s="212"/>
      <c r="AY91" s="212"/>
      <c r="AZ91" s="212"/>
      <c r="BA91" s="212"/>
      <c r="BB91" s="212"/>
      <c r="BC91" s="113"/>
      <c r="BD91" s="113"/>
      <c r="BE91" s="113"/>
      <c r="BF91" s="113"/>
      <c r="BG91" s="113"/>
      <c r="BH91" s="190"/>
      <c r="BI91" s="190"/>
      <c r="BJ91" s="190"/>
      <c r="BK91" s="190"/>
      <c r="BL91" s="190"/>
      <c r="BM91" s="190"/>
      <c r="BN91" s="190"/>
      <c r="BO91" s="190"/>
      <c r="BP91" s="190"/>
      <c r="BQ91" s="190"/>
      <c r="BR91" s="190"/>
      <c r="BS91" s="190"/>
      <c r="BT91" s="190"/>
      <c r="BU91" s="190"/>
      <c r="BV91" s="1032"/>
    </row>
    <row r="92" spans="1:74" x14ac:dyDescent="0.2">
      <c r="A92" s="112" t="str">
        <f t="shared" si="70"/>
        <v>Rüstungsgewöhnung III</v>
      </c>
      <c r="B92" s="391" t="str">
        <f t="shared" ca="1" si="71"/>
        <v/>
      </c>
      <c r="C92" s="387" t="str">
        <f t="shared" ca="1" si="72"/>
        <v/>
      </c>
      <c r="D92" s="1127"/>
      <c r="E92" s="109"/>
      <c r="F92" s="384"/>
      <c r="G92" s="960"/>
      <c r="H92" s="960"/>
      <c r="I92" s="324"/>
      <c r="J92" s="1739" t="str">
        <f ca="1">IF(OR(NOT(ISBLANK($F92)),NOT(ISBLANK($G92)),NOT(ISBLANK($H92)),NOT(ISBLANK($I92))),IF(NOT(EXACT($B92,"")),"Diese SF hast Du schon!",IF(KK&lt;15,"KK min. 15",IF(AND(EXACT($B$91,""),ISBLANK($F$91),ISBLANK($G$91),ISBLANK($H$91),ISBLANK($I$91)),"SF Rüst.-Gew. II nötig",""))),IF(AND(ZS_SE_VIEW,B92="",C92="",NOT(ISERR(FIND(A92,ZS_SF_ALLE,1)))),"SF verbilligt aus Studium",""))</f>
        <v/>
      </c>
      <c r="K92" s="1740"/>
      <c r="L92" s="1741"/>
      <c r="M92" s="1012" t="str">
        <f t="shared" si="67"/>
        <v>Vertrautenbindung</v>
      </c>
      <c r="N92" s="391" t="str">
        <f t="shared" ca="1" si="60"/>
        <v/>
      </c>
      <c r="O92" s="387" t="str">
        <f t="shared" ca="1" si="69"/>
        <v/>
      </c>
      <c r="P92" s="1127"/>
      <c r="Q92" s="109"/>
      <c r="R92" s="384"/>
      <c r="S92" s="960"/>
      <c r="T92" s="960"/>
      <c r="U92" s="324"/>
      <c r="V92" s="1739" t="str">
        <f ca="1">IF(AND(NOT(ISBLANK($R92)),NOT(ISBLANK($S92)),NOT(ISBLANK($T92)),NOT(ISBLANK($U92))),"Was denn nun? GP oder AP?",IF(AND(NOT(ISBLANK($R92)),NOT(ISBLANK($S92)),NOT(ISBLANK($T92)),NOT(EXACT($N92,""))),"Diese SF hast Du schon!",IF(AND(ZS_SE_VIEW,N92="",O92="",NOT(ISERR(FIND(M92,ZS_SF_ALLE,1)))),"SF verbilligt aus Studium","")))</f>
        <v/>
      </c>
      <c r="W92" s="1740"/>
      <c r="X92" s="1741"/>
      <c r="Y92" s="212">
        <f ca="1">IF(AND(NOT(ISBLANK($F92)),EXACT($J92,""),EXACT($B92,"")),IF(EXACT($C92,""),VLOOKUP($A92,SF_NAHFERNALLE,3,FALSE),ROUND(VLOOKUP($A92,SF_NAHFERNALLE,3,FALSE)/$AC92,0)),0)</f>
        <v>0</v>
      </c>
      <c r="Z92" s="212">
        <f ca="1">IF(AND(NOT(ISBLANK($G92)),EXACT($B92,"")),IF(EXACT($C92,""),VLOOKUP($A92,SF_NAHFERNALLE,2,FALSE),ROUND(VLOOKUP($A92,SF_NAHFERNALLE,2,FALSE)/$AC92,0)),0)</f>
        <v>0</v>
      </c>
      <c r="AA92" s="212">
        <f ca="1">IF(AND(NOT(ISBLANK($H92)),EXACT($B92,"")),IF(EXACT($C92,""),VLOOKUP($A92,SF_NAHFERNALLE,2,FALSE),ROUND(VLOOKUP($A92,SF_NAHFERNALLE,2,FALSE)/$AC92,0)),0)</f>
        <v>0</v>
      </c>
      <c r="AB92" s="212">
        <f ca="1">IF(AND(NOT(ISBLANK($I92)),EXACT($J92,""),EXACT($B92,"")),IF(EXACT($C92,""),VLOOKUP($A92,SF_NAHFERNALLE,2,FALSE),ROUND(VLOOKUP($A92,SF_NAHFERNALLE,2,FALSE)/$AC92,0)),0)</f>
        <v>0</v>
      </c>
      <c r="AC92" s="212">
        <f t="shared" ca="1" si="48"/>
        <v>2</v>
      </c>
      <c r="AD92" s="557" t="str">
        <f t="shared" ca="1" si="73"/>
        <v/>
      </c>
      <c r="AE92" s="549" t="str">
        <f t="shared" ca="1" si="74"/>
        <v/>
      </c>
      <c r="AF92" s="1434">
        <v>40</v>
      </c>
      <c r="AG92" s="557"/>
      <c r="AH92" s="551"/>
      <c r="AI92" s="551"/>
      <c r="AJ92" s="551"/>
      <c r="AK92" s="551"/>
      <c r="AL92" s="559">
        <f t="shared" ca="1" si="75"/>
        <v>0</v>
      </c>
      <c r="AM92" s="246">
        <f t="shared" ca="1" si="57"/>
        <v>0</v>
      </c>
      <c r="AN92" s="212">
        <f t="shared" ca="1" si="76"/>
        <v>0</v>
      </c>
      <c r="AO92" s="212">
        <f t="shared" ca="1" si="77"/>
        <v>0</v>
      </c>
      <c r="AP92" s="212">
        <f t="shared" ca="1" si="78"/>
        <v>0</v>
      </c>
      <c r="AQ92" s="212">
        <f t="shared" ca="1" si="79"/>
        <v>0</v>
      </c>
      <c r="AR92" s="212">
        <f t="shared" ca="1" si="58"/>
        <v>2</v>
      </c>
      <c r="AS92" s="1020" t="str">
        <f t="shared" ca="1" si="68"/>
        <v/>
      </c>
      <c r="AT92" s="557" t="str">
        <f t="shared" ca="1" si="66"/>
        <v/>
      </c>
      <c r="AU92" s="557">
        <v>57</v>
      </c>
      <c r="AV92" s="557"/>
      <c r="AW92" s="212"/>
      <c r="AX92" s="212"/>
      <c r="AY92" s="212"/>
      <c r="AZ92" s="212"/>
      <c r="BA92" s="212"/>
      <c r="BB92" s="212"/>
      <c r="BC92" s="113"/>
      <c r="BD92" s="113"/>
      <c r="BE92" s="113"/>
      <c r="BF92" s="113"/>
      <c r="BG92" s="113"/>
      <c r="BH92" s="190"/>
      <c r="BI92" s="190"/>
      <c r="BJ92" s="190"/>
      <c r="BK92" s="190"/>
      <c r="BL92" s="190"/>
      <c r="BM92" s="190"/>
      <c r="BN92" s="190"/>
      <c r="BO92" s="190"/>
      <c r="BP92" s="190"/>
      <c r="BQ92" s="190"/>
      <c r="BR92" s="190"/>
      <c r="BS92" s="190"/>
      <c r="BT92" s="190"/>
      <c r="BU92" s="190"/>
      <c r="BV92" s="1032"/>
    </row>
    <row r="93" spans="1:74" x14ac:dyDescent="0.2">
      <c r="A93" s="112" t="str">
        <f t="shared" si="70"/>
        <v>Schildkampf I</v>
      </c>
      <c r="B93" s="391" t="str">
        <f t="shared" ca="1" si="71"/>
        <v/>
      </c>
      <c r="C93" s="387" t="str">
        <f t="shared" ca="1" si="72"/>
        <v/>
      </c>
      <c r="D93" s="1127"/>
      <c r="E93" s="109"/>
      <c r="F93" s="384"/>
      <c r="G93" s="960"/>
      <c r="H93" s="960"/>
      <c r="I93" s="324"/>
      <c r="J93" s="1739" t="str">
        <f ca="1">IF(OR(NOT(ISBLANK($F93)),NOT(ISBLANK($G93)),NOT(ISBLANK($H93)),NOT(ISBLANK($I93))),IF(NOT(EXACT($B93,"")),"Diese SF hast Du schon!",IF(KK&lt;12,"KK min. 12",IF(AND(EXACT($B$83,""),ISBLANK($F$83),ISBLANK($G$83),ISBLANK($H$83),ISBLANK($I$83)),"SF Linkhand nötig",""))),IF(AND(ZS_SE_VIEW,B93="",C93="",NOT(ISERR(FIND(A93,ZS_SF_ALLE,1)))),"SF verbilligt aus Studium",""))</f>
        <v/>
      </c>
      <c r="K93" s="1740"/>
      <c r="L93" s="1741"/>
      <c r="M93" s="1012" t="str">
        <f t="shared" si="67"/>
        <v>Vielfache Ladungen</v>
      </c>
      <c r="N93" s="391" t="str">
        <f t="shared" ca="1" si="60"/>
        <v/>
      </c>
      <c r="O93" s="387" t="str">
        <f t="shared" ca="1" si="69"/>
        <v/>
      </c>
      <c r="P93" s="1127"/>
      <c r="Q93" s="109"/>
      <c r="R93" s="384"/>
      <c r="S93" s="960"/>
      <c r="T93" s="960"/>
      <c r="U93" s="324"/>
      <c r="V93" s="1739" t="str">
        <f ca="1">IF(OR(NOT(ISBLANK($R93)),NOT(ISBLANK($S93)),NOT(ISBLANK($T93)),NOT(ISBLANK($U93))),IF(NOT(EXACT($N93,"")),"Diese SF hast Du schon!",IF(ARCANOVI_WERT&lt;14,"Arcanovi mind. auf 14","")),IF(AND(ZS_SE_VIEW,N93="",O93="",NOT(ISERR(FIND(M93,ZS_SF_ALLE,1)))),"SF verbilligt aus Studium",""))</f>
        <v/>
      </c>
      <c r="W93" s="1740"/>
      <c r="X93" s="1741"/>
      <c r="Y93" s="717">
        <f ca="1">ROUND(IF(AND(NOT(ISBLANK($F93)),EXACT($J93,""),EXACT($B93,"")),IF(EXACT($C93,""),VLOOKUP($A93,SF_NAHFERNALLE,3,FALSE)*IF(VT_BEIDHG,0.75,1),VLOOKUP($A93,SF_NAHFERNALLE,3,FALSE)*IF(VT_BEIDHG,0.75,1)/$AC93),0),0)</f>
        <v>0</v>
      </c>
      <c r="Z93" s="717">
        <f ca="1">ROUND(IF(AND(NOT(ISBLANK($G93)),EXACT($B93,"")),IF(EXACT($C93,""),VLOOKUP($A93,SF_NAHFERNALLE,2,FALSE)*IF(VT_BEIDHG,0.75,1),VLOOKUP($A93,SF_NAHFERNALLE,2,FALSE)*IF(VT_BEIDHG,0.75,1)/$AC93),0),0)</f>
        <v>0</v>
      </c>
      <c r="AA93" s="717">
        <f ca="1">ROUND(IF(AND(NOT(ISBLANK($H93)),EXACT($B93,"")),IF(EXACT($C93,""),VLOOKUP($A93,SF_NAHFERNALLE,2,FALSE)*IF(VT_BEIDHG,0.75,1),VLOOKUP($A93,SF_NAHFERNALLE,2,FALSE)*IF(VT_BEIDHG,0.75,1)/$AC93),0),0)</f>
        <v>0</v>
      </c>
      <c r="AB93" s="717">
        <f ca="1">IF(AND(NOT(ISBLANK($I93)),EXACT($J93,""),EXACT($B93,"")),IF(EXACT($C93,""),VLOOKUP($A93,SF_NAHFERNALLE,2,FALSE)*IF(VT_BEIDHG,0.75,1),VLOOKUP($A93,SF_NAHFERNALLE,2,FALSE)*IF(VT_BEIDHG,0.75,1)/$AC93),0)</f>
        <v>0</v>
      </c>
      <c r="AC93" s="212">
        <f t="shared" ca="1" si="48"/>
        <v>2</v>
      </c>
      <c r="AD93" s="557" t="str">
        <f t="shared" ca="1" si="73"/>
        <v/>
      </c>
      <c r="AE93" s="549" t="str">
        <f t="shared" ca="1" si="74"/>
        <v/>
      </c>
      <c r="AF93" s="1434">
        <v>41</v>
      </c>
      <c r="AG93" s="557"/>
      <c r="AH93" s="551"/>
      <c r="AI93" s="551"/>
      <c r="AJ93" s="551"/>
      <c r="AK93" s="551"/>
      <c r="AL93" s="559">
        <f t="shared" ca="1" si="75"/>
        <v>0</v>
      </c>
      <c r="AM93" s="246">
        <f t="shared" ca="1" si="57"/>
        <v>0</v>
      </c>
      <c r="AN93" s="212">
        <f t="shared" ca="1" si="76"/>
        <v>0</v>
      </c>
      <c r="AO93" s="212">
        <f t="shared" ca="1" si="77"/>
        <v>0</v>
      </c>
      <c r="AP93" s="212">
        <f t="shared" ca="1" si="78"/>
        <v>0</v>
      </c>
      <c r="AQ93" s="212">
        <f t="shared" ca="1" si="79"/>
        <v>0</v>
      </c>
      <c r="AR93" s="212">
        <f t="shared" ca="1" si="58"/>
        <v>2</v>
      </c>
      <c r="AS93" s="1020" t="str">
        <f t="shared" ca="1" si="68"/>
        <v/>
      </c>
      <c r="AT93" s="557" t="str">
        <f t="shared" ca="1" si="66"/>
        <v/>
      </c>
      <c r="AU93" s="557">
        <v>58</v>
      </c>
      <c r="AV93" s="557"/>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234"/>
    </row>
    <row r="94" spans="1:74" x14ac:dyDescent="0.2">
      <c r="A94" s="112" t="str">
        <f t="shared" si="70"/>
        <v>Schildkampf II</v>
      </c>
      <c r="B94" s="391" t="str">
        <f t="shared" ca="1" si="71"/>
        <v/>
      </c>
      <c r="C94" s="387" t="str">
        <f t="shared" ca="1" si="72"/>
        <v/>
      </c>
      <c r="D94" s="1127"/>
      <c r="E94" s="109"/>
      <c r="F94" s="384"/>
      <c r="G94" s="960"/>
      <c r="H94" s="960"/>
      <c r="I94" s="324"/>
      <c r="J94" s="1739" t="str">
        <f ca="1">IF(OR(NOT(ISBLANK($F94)),NOT(ISBLANK($G94)),NOT(ISBLANK($H94)),NOT(ISBLANK($I94))),IF(NOT(EXACT($B94,"")),"Diese SF hast Du schon!",IF(KK&lt;15,"KK min. 15",IF(AND(EXACT($B$93,""),ISBLANK($F$93),ISBLANK($G$93),ISBLANK($H$93),ISBLANK($I$93)),"SF Schildkampf I nötig",""))),IF(AND(ZS_SE_VIEW,B94="",C94="",NOT(ISERR(FIND(A94,ZS_SF_ALLE,1)))),"SF verbilligt aus Studium",""))</f>
        <v/>
      </c>
      <c r="K94" s="1740"/>
      <c r="L94" s="1741"/>
      <c r="M94" s="1012" t="str">
        <f t="shared" si="67"/>
        <v>Zauber bereithalten</v>
      </c>
      <c r="N94" s="391" t="str">
        <f t="shared" ca="1" si="60"/>
        <v/>
      </c>
      <c r="O94" s="387" t="str">
        <f t="shared" ca="1" si="69"/>
        <v/>
      </c>
      <c r="P94" s="1127"/>
      <c r="Q94" s="109"/>
      <c r="R94" s="384"/>
      <c r="S94" s="960"/>
      <c r="T94" s="960"/>
      <c r="U94" s="324"/>
      <c r="V94" s="1739" t="str">
        <f ca="1">IF(OR(NOT(ISBLANK($R94)),NOT(ISBLANK($S94)),NOT(ISBLANK($T94)),NOT(ISBLANK($U94))),IF(NOT(EXACT($N94,"")),"Diese SF hast Du schon!",IF(MU&lt;12,"MU min. 12",IF(KL&lt;12,"KL min. 12",IF(EXACT($AT$97,""),"SF Zauberkontrolle notwendig","")))),IF(AND(ZS_SE_VIEW,N94="",O94="",NOT(ISERR(FIND(M94,ZS_SF_ALLE,1)))),"SF verbilligt aus Studium",""))</f>
        <v/>
      </c>
      <c r="W94" s="1740"/>
      <c r="X94" s="1741"/>
      <c r="Y94" s="717">
        <f ca="1">ROUND(IF(AND(NOT(ISBLANK($F94)),EXACT($J94,""),EXACT($B94,"")),IF(EXACT($C94,""),VLOOKUP($A94,SF_NAHFERNALLE,3,FALSE)*IF(VT_BEIDHG,0.75,1),VLOOKUP($A94,SF_NAHFERNALLE,3,FALSE)*IF(VT_BEIDHG,0.75,1)/$AC94),0),0)</f>
        <v>0</v>
      </c>
      <c r="Z94" s="717">
        <f ca="1">ROUND(IF(AND(NOT(ISBLANK($G94)),EXACT($B94,"")),IF(EXACT($C94,""),VLOOKUP($A94,SF_NAHFERNALLE,2,FALSE)*IF(VT_BEIDHG,0.75,1),VLOOKUP($A94,SF_NAHFERNALLE,2,FALSE)*IF(VT_BEIDHG,0.75,1)/$AC94),0),0)</f>
        <v>0</v>
      </c>
      <c r="AA94" s="717">
        <f ca="1">ROUND(IF(AND(NOT(ISBLANK($H94)),EXACT($B94,"")),IF(EXACT($C94,""),VLOOKUP($A94,SF_NAHFERNALLE,2,FALSE)*IF(VT_BEIDHG,0.75,1),VLOOKUP($A94,SF_NAHFERNALLE,2,FALSE)*IF(VT_BEIDHG,0.75,1)/$AC94),0),0)</f>
        <v>0</v>
      </c>
      <c r="AB94" s="717">
        <f ca="1">IF(AND(NOT(ISBLANK($I94)),EXACT($J94,""),EXACT($B94,"")),IF(EXACT($C94,""),VLOOKUP($A94,SF_NAHFERNALLE,2,FALSE)*IF(VT_BEIDHG,0.75,1),VLOOKUP($A94,SF_NAHFERNALLE,2,FALSE)*IF(VT_BEIDHG,0.75,1)/$AC94),0)</f>
        <v>0</v>
      </c>
      <c r="AC94" s="212">
        <f t="shared" ca="1" si="48"/>
        <v>2</v>
      </c>
      <c r="AD94" s="557" t="str">
        <f t="shared" ca="1" si="73"/>
        <v/>
      </c>
      <c r="AE94" s="549" t="str">
        <f t="shared" ca="1" si="74"/>
        <v/>
      </c>
      <c r="AF94" s="1434">
        <v>42</v>
      </c>
      <c r="AG94" s="557"/>
      <c r="AH94" s="551"/>
      <c r="AI94" s="551"/>
      <c r="AJ94" s="551"/>
      <c r="AK94" s="551"/>
      <c r="AL94" s="559">
        <f t="shared" ca="1" si="75"/>
        <v>0</v>
      </c>
      <c r="AM94" s="246">
        <f t="shared" ca="1" si="57"/>
        <v>0</v>
      </c>
      <c r="AN94" s="212">
        <f t="shared" ca="1" si="76"/>
        <v>0</v>
      </c>
      <c r="AO94" s="212">
        <f t="shared" ca="1" si="77"/>
        <v>0</v>
      </c>
      <c r="AP94" s="212">
        <f t="shared" ca="1" si="78"/>
        <v>0</v>
      </c>
      <c r="AQ94" s="212">
        <f t="shared" ca="1" si="79"/>
        <v>0</v>
      </c>
      <c r="AR94" s="212">
        <f t="shared" ca="1" si="58"/>
        <v>2</v>
      </c>
      <c r="AS94" s="1020" t="str">
        <f t="shared" ca="1" si="68"/>
        <v/>
      </c>
      <c r="AT94" s="557" t="str">
        <f t="shared" ca="1" si="66"/>
        <v/>
      </c>
      <c r="AU94" s="557">
        <v>59</v>
      </c>
      <c r="AV94" s="557"/>
      <c r="AW94" s="212"/>
      <c r="AX94" s="212"/>
      <c r="AY94" s="212"/>
      <c r="AZ94" s="18"/>
      <c r="BA94" s="18"/>
      <c r="BB94" s="18"/>
      <c r="BC94" s="18"/>
      <c r="BD94" s="18"/>
      <c r="BE94" s="18"/>
      <c r="BF94" s="18"/>
      <c r="BG94" s="18"/>
      <c r="BH94" s="18"/>
      <c r="BI94" s="18"/>
      <c r="BJ94" s="18"/>
      <c r="BK94" s="18"/>
      <c r="BL94" s="18"/>
      <c r="BM94" s="18"/>
      <c r="BN94" s="18"/>
      <c r="BO94" s="18"/>
      <c r="BP94" s="18"/>
      <c r="BQ94" s="18"/>
      <c r="BR94" s="18"/>
      <c r="BS94" s="18"/>
      <c r="BT94" s="18"/>
      <c r="BU94" s="18"/>
      <c r="BV94" s="234"/>
    </row>
    <row r="95" spans="1:74" ht="12.75" customHeight="1" x14ac:dyDescent="0.2">
      <c r="A95" s="112" t="str">
        <f t="shared" si="70"/>
        <v>Schildspalter</v>
      </c>
      <c r="B95" s="391" t="str">
        <f t="shared" ca="1" si="71"/>
        <v/>
      </c>
      <c r="C95" s="387" t="str">
        <f t="shared" ca="1" si="72"/>
        <v/>
      </c>
      <c r="D95" s="1127"/>
      <c r="E95" s="109"/>
      <c r="F95" s="384"/>
      <c r="G95" s="960"/>
      <c r="H95" s="960"/>
      <c r="I95" s="324"/>
      <c r="J95" s="1739" t="str">
        <f ca="1">IF(OR(NOT(ISBLANK($F95)),NOT(ISBLANK($G95)),NOT(ISBLANK($H95)),NOT(ISBLANK($I95))),IF(NOT(EXACT($B95,"")),"Diese SF hast Du schon!",IF(KK&lt;15,"KK min. 15",IF(AND(EXACT($B$86,""),ISBLANK($F$86),ISBLANK($G$86),ISBLANK($H$86),ISBLANK($I$86)),"SF Niederwerfen nötig",""))),IF(AND(ZS_SE_VIEW,B95="",C95="",NOT(ISERR(FIND(A95,ZS_SF_ALLE,1)))),"SF verbilligt aus Studium",""))</f>
        <v/>
      </c>
      <c r="K95" s="1740"/>
      <c r="L95" s="1741"/>
      <c r="M95" s="1012" t="str">
        <f t="shared" si="67"/>
        <v>Zauber unterbrechen</v>
      </c>
      <c r="N95" s="391" t="str">
        <f t="shared" ca="1" si="60"/>
        <v/>
      </c>
      <c r="O95" s="387" t="str">
        <f t="shared" ca="1" si="69"/>
        <v/>
      </c>
      <c r="P95" s="1127"/>
      <c r="Q95" s="109"/>
      <c r="R95" s="384"/>
      <c r="S95" s="960"/>
      <c r="T95" s="960"/>
      <c r="U95" s="324"/>
      <c r="V95" s="1739" t="str">
        <f ca="1">IF(OR(NOT(ISBLANK($R95)),NOT(ISBLANK($S95)),NOT(ISBLANK($T95)),NOT(ISBLANK($U95))),IF(NOT(EXACT($N95,"")),"Diese SF hast Du schon!",IF(MU&lt;15,"MU min. 15",IF(KL&lt;15,"KL min. 15",IF(EXACT($AT$94,""),"SF Zauber bereithalten notwendig",IF(EXACT($AT$60,""),"SF Konzentrationsstärke notwendig",""))))),IF(AND(ZS_SE_VIEW,N95="",O95="",NOT(ISERR(FIND(M95,ZS_SF_ALLE,1)))),"SF verbilligt aus Studium",""))</f>
        <v/>
      </c>
      <c r="W95" s="1740"/>
      <c r="X95" s="1741"/>
      <c r="Y95" s="212">
        <f ca="1">IF(AND(NOT(ISBLANK($F95)),EXACT($J95,""),EXACT($B95,"")),IF(EXACT($C95,""),VLOOKUP($A95,SF_NAHFERNALLE,3,FALSE),ROUND(VLOOKUP($A95,SF_NAHFERNALLE,3,FALSE)/$AC95,0)),0)</f>
        <v>0</v>
      </c>
      <c r="Z95" s="212">
        <f ca="1">IF(AND(NOT(ISBLANK($G95)),EXACT($B95,"")),IF(EXACT($C95,""),VLOOKUP($A95,SF_NAHFERNALLE,2,FALSE),ROUND(VLOOKUP($A95,SF_NAHFERNALLE,2,FALSE)/$AC95,0)),0)</f>
        <v>0</v>
      </c>
      <c r="AA95" s="212">
        <f ca="1">IF(AND(NOT(ISBLANK($H95)),EXACT($B95,"")),IF(EXACT($C95,""),VLOOKUP($A95,SF_NAHFERNALLE,2,FALSE),ROUND(VLOOKUP($A95,SF_NAHFERNALLE,2,FALSE)/$AC95,0)),0)</f>
        <v>0</v>
      </c>
      <c r="AB95" s="212">
        <f ca="1">IF(AND(NOT(ISBLANK($I95)),EXACT($J95,""),EXACT($B95,"")),IF(EXACT($C95,""),VLOOKUP($A95,SF_NAHFERNALLE,2,FALSE),ROUND(VLOOKUP($A95,SF_NAHFERNALLE,2,FALSE)/$AC95,0)),0)</f>
        <v>0</v>
      </c>
      <c r="AC95" s="212">
        <f t="shared" ca="1" si="48"/>
        <v>2</v>
      </c>
      <c r="AD95" s="557" t="str">
        <f t="shared" ca="1" si="73"/>
        <v/>
      </c>
      <c r="AE95" s="549" t="str">
        <f t="shared" ca="1" si="74"/>
        <v/>
      </c>
      <c r="AF95" s="1434">
        <v>43</v>
      </c>
      <c r="AG95" s="557"/>
      <c r="AH95" s="551"/>
      <c r="AI95" s="551"/>
      <c r="AJ95" s="551"/>
      <c r="AK95" s="551"/>
      <c r="AL95" s="559">
        <f t="shared" ca="1" si="75"/>
        <v>0</v>
      </c>
      <c r="AM95" s="246">
        <f t="shared" ca="1" si="57"/>
        <v>0</v>
      </c>
      <c r="AN95" s="212">
        <f t="shared" ca="1" si="76"/>
        <v>0</v>
      </c>
      <c r="AO95" s="212">
        <f t="shared" ca="1" si="77"/>
        <v>0</v>
      </c>
      <c r="AP95" s="212">
        <f t="shared" ca="1" si="78"/>
        <v>0</v>
      </c>
      <c r="AQ95" s="212">
        <f t="shared" ca="1" si="79"/>
        <v>0</v>
      </c>
      <c r="AR95" s="212">
        <f t="shared" ca="1" si="58"/>
        <v>2</v>
      </c>
      <c r="AS95" s="1020" t="str">
        <f t="shared" ca="1" si="68"/>
        <v/>
      </c>
      <c r="AT95" s="557" t="str">
        <f t="shared" ca="1" si="66"/>
        <v/>
      </c>
      <c r="AU95" s="557">
        <v>60</v>
      </c>
      <c r="AV95" s="557"/>
      <c r="AW95" s="212"/>
      <c r="AX95" s="212"/>
      <c r="AY95" s="212"/>
      <c r="AZ95" s="18"/>
      <c r="BA95" s="18"/>
      <c r="BB95" s="18"/>
      <c r="BC95" s="18"/>
      <c r="BD95" s="18"/>
      <c r="BE95" s="18"/>
      <c r="BF95" s="18"/>
      <c r="BG95" s="18"/>
      <c r="BH95" s="18"/>
      <c r="BI95" s="18"/>
      <c r="BJ95" s="18"/>
      <c r="BK95" s="18"/>
      <c r="BL95" s="18"/>
      <c r="BM95" s="18"/>
      <c r="BN95" s="18"/>
      <c r="BO95" s="18"/>
      <c r="BP95" s="18"/>
      <c r="BQ95" s="18"/>
      <c r="BR95" s="18"/>
      <c r="BS95" s="18"/>
      <c r="BT95" s="18"/>
      <c r="BU95" s="18"/>
      <c r="BV95" s="234"/>
    </row>
    <row r="96" spans="1:74" x14ac:dyDescent="0.2">
      <c r="A96" s="112" t="str">
        <f t="shared" si="70"/>
        <v>Schnellziehen</v>
      </c>
      <c r="B96" s="391" t="str">
        <f t="shared" ca="1" si="71"/>
        <v/>
      </c>
      <c r="C96" s="387" t="str">
        <f t="shared" ca="1" si="72"/>
        <v/>
      </c>
      <c r="D96" s="1127"/>
      <c r="E96" s="109"/>
      <c r="F96" s="384"/>
      <c r="G96" s="960"/>
      <c r="H96" s="960"/>
      <c r="I96" s="324"/>
      <c r="J96" s="1739" t="str">
        <f ca="1">IF(OR(NOT(ISBLANK($F96)),NOT(ISBLANK($G96)),NOT(ISBLANK($H96)),NOT(ISBLANK($I96))),IF(NOT(EXACT($B96,"")),"Diese SF hast Du schon!",IF(GE&lt;12,"GE min. 12",IF(FF&lt;10,"FF min. 10",""))),IF(AND(ZS_SE_VIEW,B96="",C96="",NOT(ISERR(FIND(A96,ZS_SF_ALLE,1)))),"SF verbilligt aus Studium",""))</f>
        <v/>
      </c>
      <c r="K96" s="1740"/>
      <c r="L96" s="1741"/>
      <c r="M96" s="1012" t="str">
        <f t="shared" si="67"/>
        <v>Zauber vereinigen</v>
      </c>
      <c r="N96" s="391" t="str">
        <f t="shared" ca="1" si="60"/>
        <v/>
      </c>
      <c r="O96" s="387" t="str">
        <f t="shared" ca="1" si="69"/>
        <v/>
      </c>
      <c r="P96" s="1127"/>
      <c r="Q96" s="109"/>
      <c r="R96" s="384"/>
      <c r="S96" s="960"/>
      <c r="T96" s="960"/>
      <c r="U96" s="324"/>
      <c r="V96" s="1739" t="str">
        <f ca="1">IF(OR(NOT(ISBLANK($R96)),NOT(ISBLANK($S96)),NOT(ISBLANK($T96)),NOT(ISBLANK($U96))),IF(NOT(EXACT($N96,"")),"Diese SF hast Du schon!",IF(UNITATIO_WERT&lt;10,"ZfW Unitatio &lt;10","")),IF(AND(ZS_SE_VIEW,N96="",O96="",NOT(ISERR(FIND(M96,ZS_SF_ALLE,1)))),"SF verbilligt aus Studium",""))</f>
        <v/>
      </c>
      <c r="W96" s="1740"/>
      <c r="X96" s="1741"/>
      <c r="Y96" s="212">
        <f ca="1">IF(AND(NOT(ISBLANK($F96)),EXACT($J96,""),EXACT($B96,"")),IF(EXACT($C96,""),VLOOKUP($A96,SF_NAHFERNALLE,3,FALSE),ROUND(VLOOKUP($A96,SF_NAHFERNALLE,3,FALSE)/$AC96,0)),0)</f>
        <v>0</v>
      </c>
      <c r="Z96" s="212">
        <f ca="1">IF(AND(NOT(ISBLANK($G96)),EXACT($B96,"")),IF(EXACT($C96,""),VLOOKUP($A96,SF_NAHFERNALLE,2,FALSE),ROUND(VLOOKUP($A96,SF_NAHFERNALLE,2,FALSE)/$AC96,0)),0)</f>
        <v>0</v>
      </c>
      <c r="AA96" s="212">
        <f ca="1">IF(AND(NOT(ISBLANK($H96)),EXACT($B96,"")),IF(EXACT($C96,""),VLOOKUP($A96,SF_NAHFERNALLE,2,FALSE),ROUND(VLOOKUP($A96,SF_NAHFERNALLE,2,FALSE)/$AC96,0)),0)</f>
        <v>0</v>
      </c>
      <c r="AB96" s="212">
        <f ca="1">IF(AND(NOT(ISBLANK($I96)),EXACT($J96,""),EXACT($B96,"")),IF(EXACT($C96,""),VLOOKUP($A96,SF_NAHFERNALLE,2,FALSE),ROUND(VLOOKUP($A96,SF_NAHFERNALLE,2,FALSE)/$AC96,0)),0)</f>
        <v>0</v>
      </c>
      <c r="AC96" s="212">
        <f t="shared" ca="1" si="48"/>
        <v>2</v>
      </c>
      <c r="AD96" s="557" t="str">
        <f t="shared" ca="1" si="73"/>
        <v/>
      </c>
      <c r="AE96" s="549" t="str">
        <f t="shared" ca="1" si="74"/>
        <v/>
      </c>
      <c r="AF96" s="1434">
        <v>44</v>
      </c>
      <c r="AG96" s="557"/>
      <c r="AH96" s="551"/>
      <c r="AI96" s="551"/>
      <c r="AJ96" s="551"/>
      <c r="AK96" s="551"/>
      <c r="AL96" s="559">
        <f t="shared" ca="1" si="75"/>
        <v>0</v>
      </c>
      <c r="AM96" s="246">
        <f t="shared" ca="1" si="57"/>
        <v>0</v>
      </c>
      <c r="AN96" s="212">
        <f t="shared" ca="1" si="76"/>
        <v>0</v>
      </c>
      <c r="AO96" s="212">
        <f t="shared" ca="1" si="77"/>
        <v>0</v>
      </c>
      <c r="AP96" s="212">
        <f t="shared" ca="1" si="78"/>
        <v>0</v>
      </c>
      <c r="AQ96" s="212">
        <f t="shared" ca="1" si="79"/>
        <v>0</v>
      </c>
      <c r="AR96" s="212">
        <f t="shared" ca="1" si="58"/>
        <v>2</v>
      </c>
      <c r="AS96" s="1020" t="str">
        <f t="shared" ca="1" si="68"/>
        <v/>
      </c>
      <c r="AT96" s="557" t="str">
        <f t="shared" ca="1" si="66"/>
        <v/>
      </c>
      <c r="AU96" s="557">
        <v>61</v>
      </c>
      <c r="AV96" s="557"/>
      <c r="AW96" s="212"/>
      <c r="AX96" s="212"/>
      <c r="AY96" s="212"/>
      <c r="AZ96" s="18"/>
      <c r="BA96" s="18"/>
      <c r="BB96" s="18"/>
      <c r="BC96" s="18"/>
      <c r="BD96" s="18"/>
      <c r="BE96" s="18"/>
      <c r="BF96" s="18"/>
      <c r="BG96" s="18"/>
      <c r="BH96" s="18"/>
      <c r="BI96" s="18"/>
      <c r="BJ96" s="18"/>
      <c r="BK96" s="18"/>
      <c r="BL96" s="18"/>
      <c r="BM96" s="18"/>
      <c r="BN96" s="18"/>
      <c r="BO96" s="18"/>
      <c r="BP96" s="18"/>
      <c r="BQ96" s="18"/>
      <c r="BR96" s="18"/>
      <c r="BS96" s="18"/>
      <c r="BT96" s="18"/>
      <c r="BU96" s="18"/>
      <c r="BV96" s="234"/>
    </row>
    <row r="97" spans="1:74" x14ac:dyDescent="0.2">
      <c r="A97" s="112" t="str">
        <f t="shared" si="70"/>
        <v>Spießgespann</v>
      </c>
      <c r="B97" s="391" t="str">
        <f t="shared" ca="1" si="71"/>
        <v/>
      </c>
      <c r="C97" s="387" t="str">
        <f t="shared" ca="1" si="72"/>
        <v/>
      </c>
      <c r="D97" s="1127"/>
      <c r="E97" s="109"/>
      <c r="F97" s="384"/>
      <c r="G97" s="960"/>
      <c r="H97" s="960"/>
      <c r="I97" s="324"/>
      <c r="J97" s="1739" t="str">
        <f ca="1">IF(OR(NOT(ISBLANK($F97)),NOT(ISBLANK($G97)),NOT(ISBLANK($H97)),NOT(ISBLANK($I97))),IF(NOT(EXACT($B97,"")),"Diese SF hast Du schon!",IF(SUM(Talente!$B$33,Talente!$G$33,Talente!$I$33)&lt;10,"TaW Speere min. 10",IF(AND(EXACT($B$98,""),ISBLANK($F$98),ISBLANK($G$98),ISBLANK($H$98),ISBLANK($I$98)),"SF Sturmangriff nötig",""))),IF(AND(ZS_SE_VIEW,B97="",C97="",NOT(ISERR(FIND(A97,ZS_SF_ALLE,1)))),"SF verbilligt aus Studium",""))</f>
        <v/>
      </c>
      <c r="K97" s="1740"/>
      <c r="L97" s="1741"/>
      <c r="M97" s="1012" t="str">
        <f t="shared" si="67"/>
        <v>Zauberkontrolle</v>
      </c>
      <c r="N97" s="391" t="str">
        <f t="shared" ca="1" si="60"/>
        <v/>
      </c>
      <c r="O97" s="387" t="str">
        <f t="shared" ca="1" si="69"/>
        <v/>
      </c>
      <c r="P97" s="1127"/>
      <c r="Q97" s="109"/>
      <c r="R97" s="384"/>
      <c r="S97" s="960"/>
      <c r="T97" s="960"/>
      <c r="U97" s="324"/>
      <c r="V97" s="1739" t="str">
        <f ca="1">IF(OR(NOT(ISBLANK($R97)),NOT(ISBLANK($S97)),NOT(ISBLANK($T97)),NOT(ISBLANK($U97))),IF(NOT(EXACT($N97,"")),"Diese SF hast Du schon!",IF(KL&lt;12,"KL min. 12","")),IF(AND(ZS_SE_VIEW,N97="",O97="",NOT(ISERR(FIND(M97,ZS_SF_ALLE,1)))),"SF verbilligt aus Studium",""))</f>
        <v/>
      </c>
      <c r="W97" s="1740"/>
      <c r="X97" s="1741"/>
      <c r="Y97" s="212">
        <f ca="1">IF(AND(NOT(ISBLANK($F97)),EXACT($J97,""),EXACT($B97,"")),IF(EXACT($C97,""),VLOOKUP($A97,SF_NAHFERNALLE,3,FALSE),ROUND(VLOOKUP($A97,SF_NAHFERNALLE,3,FALSE)/$AC97,0)),0)</f>
        <v>0</v>
      </c>
      <c r="Z97" s="212">
        <f ca="1">IF(AND(NOT(ISBLANK($G97)),EXACT($B97,"")),IF(EXACT($C97,""),VLOOKUP($A97,SF_NAHFERNALLE,2,FALSE),ROUND(VLOOKUP($A97,SF_NAHFERNALLE,2,FALSE)/$AC97,0)),0)</f>
        <v>0</v>
      </c>
      <c r="AA97" s="212">
        <f ca="1">IF(AND(NOT(ISBLANK($H97)),EXACT($B97,"")),IF(EXACT($C97,""),VLOOKUP($A97,SF_NAHFERNALLE,2,FALSE),ROUND(VLOOKUP($A97,SF_NAHFERNALLE,2,FALSE)/$AC97,0)),0)</f>
        <v>0</v>
      </c>
      <c r="AB97" s="212">
        <f ca="1">IF(AND(NOT(ISBLANK($I97)),EXACT($J97,""),EXACT($B97,"")),IF(EXACT($C97,""),VLOOKUP($A97,SF_NAHFERNALLE,2,FALSE),ROUND(VLOOKUP($A97,SF_NAHFERNALLE,2,FALSE)/$AC97,0)),0)</f>
        <v>0</v>
      </c>
      <c r="AC97" s="212">
        <f t="shared" ca="1" si="48"/>
        <v>2</v>
      </c>
      <c r="AD97" s="557" t="str">
        <f t="shared" ca="1" si="73"/>
        <v/>
      </c>
      <c r="AE97" s="549" t="str">
        <f t="shared" ca="1" si="74"/>
        <v/>
      </c>
      <c r="AF97" s="1434">
        <v>45</v>
      </c>
      <c r="AG97" s="557"/>
      <c r="AH97" s="551"/>
      <c r="AI97" s="551"/>
      <c r="AJ97" s="551"/>
      <c r="AK97" s="551"/>
      <c r="AL97" s="559">
        <f t="shared" ca="1" si="75"/>
        <v>0</v>
      </c>
      <c r="AM97" s="246">
        <f t="shared" ca="1" si="57"/>
        <v>0</v>
      </c>
      <c r="AN97" s="212">
        <f t="shared" ca="1" si="76"/>
        <v>0</v>
      </c>
      <c r="AO97" s="212">
        <f t="shared" ca="1" si="77"/>
        <v>0</v>
      </c>
      <c r="AP97" s="212">
        <f t="shared" ca="1" si="78"/>
        <v>0</v>
      </c>
      <c r="AQ97" s="212">
        <f t="shared" ca="1" si="79"/>
        <v>0</v>
      </c>
      <c r="AR97" s="212">
        <f t="shared" ca="1" si="58"/>
        <v>2</v>
      </c>
      <c r="AS97" s="1020" t="str">
        <f t="shared" ca="1" si="68"/>
        <v/>
      </c>
      <c r="AT97" s="557" t="str">
        <f t="shared" ca="1" si="66"/>
        <v/>
      </c>
      <c r="AU97" s="557">
        <v>62</v>
      </c>
      <c r="AV97" s="557"/>
      <c r="AW97" s="212"/>
      <c r="AX97" s="212"/>
      <c r="AY97" s="212"/>
      <c r="AZ97" s="18"/>
      <c r="BA97" s="18"/>
      <c r="BB97" s="18"/>
      <c r="BC97" s="18"/>
      <c r="BD97" s="18"/>
      <c r="BE97" s="18"/>
      <c r="BF97" s="18"/>
      <c r="BG97" s="18"/>
      <c r="BH97" s="18"/>
      <c r="BI97" s="18"/>
      <c r="BJ97" s="18"/>
      <c r="BK97" s="18"/>
      <c r="BL97" s="18"/>
      <c r="BM97" s="18"/>
      <c r="BN97" s="18"/>
      <c r="BO97" s="18"/>
      <c r="BP97" s="18"/>
      <c r="BQ97" s="18"/>
      <c r="BR97" s="18"/>
      <c r="BS97" s="18"/>
      <c r="BT97" s="18"/>
      <c r="BU97" s="18"/>
      <c r="BV97" s="234"/>
    </row>
    <row r="98" spans="1:74" x14ac:dyDescent="0.2">
      <c r="A98" s="112" t="str">
        <f t="shared" si="70"/>
        <v>Sturmangriff</v>
      </c>
      <c r="B98" s="391" t="str">
        <f t="shared" ca="1" si="71"/>
        <v/>
      </c>
      <c r="C98" s="387" t="str">
        <f t="shared" ca="1" si="72"/>
        <v/>
      </c>
      <c r="D98" s="1127"/>
      <c r="E98" s="109"/>
      <c r="F98" s="384"/>
      <c r="G98" s="960"/>
      <c r="H98" s="960"/>
      <c r="I98" s="324"/>
      <c r="J98" s="1739" t="str">
        <f ca="1">IF(OR(NOT(ISBLANK($F98)),NOT(ISBLANK($G98)),NOT(ISBLANK($H98)),NOT(ISBLANK($I98))),IF(NOT(EXACT($B98,"")),"Diese SF hast Du schon!",IF(MU&lt;12,"MU min. 12",IF(AND(EXACT($B$111,""),ISBLANK($F$111),ISBLANK($G$111),ISBLANK($H$111),ISBLANK($I$111)),"SF Wuchtschlag nötig",""))),IF(AND(ZS_SE_VIEW,B98="",C98="",NOT(ISERR(FIND(A98,ZS_SF_ALLE,1)))),"SF verbilligt aus Studium",""))</f>
        <v/>
      </c>
      <c r="K98" s="1740"/>
      <c r="L98" s="1741"/>
      <c r="M98" s="1012" t="str">
        <f t="shared" si="67"/>
        <v>Zauberroutine</v>
      </c>
      <c r="N98" s="391" t="str">
        <f t="shared" ca="1" si="60"/>
        <v/>
      </c>
      <c r="O98" s="387" t="str">
        <f t="shared" ca="1" si="69"/>
        <v/>
      </c>
      <c r="P98" s="1127"/>
      <c r="Q98" s="109"/>
      <c r="R98" s="384"/>
      <c r="S98" s="960"/>
      <c r="T98" s="960"/>
      <c r="U98" s="324"/>
      <c r="V98" s="1739" t="str">
        <f ca="1">IF(OR(NOT(ISBLANK($R98)),NOT(ISBLANK($S98)),NOT(ISBLANK($T98)),NOT(ISBLANK($U98))),IF(NOT(EXACT($N98,"")),"Diese SF hast Du schon!",IF(EXACT($AT$97,""),"SF Zauberkontrolle notwendig","")),IF(AND(ZS_SE_VIEW,N98="",O98="",NOT(ISERR(FIND(M98,ZS_SF_ALLE,1)))),"SF verbilligt aus Studium",""))</f>
        <v/>
      </c>
      <c r="W98" s="1740"/>
      <c r="X98" s="1741"/>
      <c r="Y98" s="212">
        <f ca="1">IF(AND(NOT(ISBLANK($F98)),EXACT($J98,""),EXACT($B98,"")),IF(EXACT($C98,""),VLOOKUP($A98,SF_NAHFERNALLE,3,FALSE),ROUND(VLOOKUP($A98,SF_NAHFERNALLE,3,FALSE)/$AC98,0)),0)</f>
        <v>0</v>
      </c>
      <c r="Z98" s="212">
        <f ca="1">IF(AND(NOT(ISBLANK($G98)),EXACT($B98,"")),IF(EXACT($C98,""),VLOOKUP($A98,SF_NAHFERNALLE,2,FALSE),ROUND(VLOOKUP($A98,SF_NAHFERNALLE,2,FALSE)/$AC98,0)),0)</f>
        <v>0</v>
      </c>
      <c r="AA98" s="212">
        <f ca="1">IF(AND(NOT(ISBLANK($H98)),EXACT($B98,"")),IF(EXACT($C98,""),VLOOKUP($A98,SF_NAHFERNALLE,2,FALSE),ROUND(VLOOKUP($A98,SF_NAHFERNALLE,2,FALSE)/$AC98,0)),0)</f>
        <v>0</v>
      </c>
      <c r="AB98" s="212">
        <f ca="1">IF(AND(NOT(ISBLANK($I98)),EXACT($J98,""),EXACT($B98,"")),IF(EXACT($C98,""),VLOOKUP($A98,SF_NAHFERNALLE,2,FALSE),ROUND(VLOOKUP($A98,SF_NAHFERNALLE,2,FALSE)/$AC98,0)),0)</f>
        <v>0</v>
      </c>
      <c r="AC98" s="212">
        <f t="shared" ca="1" si="48"/>
        <v>2</v>
      </c>
      <c r="AD98" s="557" t="str">
        <f t="shared" ca="1" si="73"/>
        <v/>
      </c>
      <c r="AE98" s="549" t="str">
        <f t="shared" ca="1" si="74"/>
        <v/>
      </c>
      <c r="AF98" s="1434">
        <v>46</v>
      </c>
      <c r="AG98" s="557"/>
      <c r="AH98" s="551"/>
      <c r="AI98" s="551"/>
      <c r="AJ98" s="551"/>
      <c r="AK98" s="551"/>
      <c r="AL98" s="559">
        <f t="shared" ca="1" si="75"/>
        <v>0</v>
      </c>
      <c r="AM98" s="246">
        <f t="shared" ca="1" si="57"/>
        <v>0</v>
      </c>
      <c r="AN98" s="212">
        <f t="shared" ca="1" si="76"/>
        <v>0</v>
      </c>
      <c r="AO98" s="212">
        <f t="shared" ca="1" si="77"/>
        <v>0</v>
      </c>
      <c r="AP98" s="212">
        <f t="shared" ca="1" si="78"/>
        <v>0</v>
      </c>
      <c r="AQ98" s="212">
        <f t="shared" ca="1" si="79"/>
        <v>0</v>
      </c>
      <c r="AR98" s="212">
        <f t="shared" ca="1" si="58"/>
        <v>2</v>
      </c>
      <c r="AS98" s="1020" t="str">
        <f t="shared" ca="1" si="68"/>
        <v/>
      </c>
      <c r="AT98" s="557" t="str">
        <f t="shared" ca="1" si="66"/>
        <v/>
      </c>
      <c r="AU98" s="557">
        <v>63</v>
      </c>
      <c r="AV98" s="557"/>
      <c r="AW98" s="212"/>
      <c r="AX98" s="212"/>
      <c r="AY98" s="212"/>
      <c r="AZ98" s="18"/>
      <c r="BA98" s="18"/>
      <c r="BB98" s="18"/>
      <c r="BC98" s="18"/>
      <c r="BD98" s="18"/>
      <c r="BE98" s="18"/>
      <c r="BF98" s="18"/>
      <c r="BG98" s="18"/>
      <c r="BH98" s="18"/>
      <c r="BI98" s="18"/>
      <c r="BJ98" s="18"/>
      <c r="BK98" s="18"/>
      <c r="BL98" s="18"/>
      <c r="BM98" s="18"/>
      <c r="BN98" s="18"/>
      <c r="BO98" s="18"/>
      <c r="BP98" s="18"/>
      <c r="BQ98" s="18"/>
      <c r="BR98" s="18"/>
      <c r="BS98" s="18"/>
      <c r="BT98" s="18"/>
      <c r="BU98" s="18"/>
      <c r="BV98" s="234"/>
    </row>
    <row r="99" spans="1:74" x14ac:dyDescent="0.2">
      <c r="A99" s="112" t="str">
        <f t="shared" si="70"/>
        <v>Tod von Links</v>
      </c>
      <c r="B99" s="391" t="str">
        <f t="shared" ca="1" si="71"/>
        <v/>
      </c>
      <c r="C99" s="387" t="str">
        <f t="shared" ca="1" si="72"/>
        <v/>
      </c>
      <c r="D99" s="1127"/>
      <c r="E99" s="109"/>
      <c r="F99" s="384"/>
      <c r="G99" s="960"/>
      <c r="H99" s="960"/>
      <c r="I99" s="324"/>
      <c r="J99" s="1739" t="str">
        <f ca="1">IF(OR(NOT(ISBLANK($F99)),NOT(ISBLANK($G99)),NOT(ISBLANK($H99)),NOT(ISBLANK($I99))),IF(NOT(EXACT($B99,"")),"Diese SF hast Du schon!",IF(AND(EXACT($B$59,""),ISBLANK($F$59),ISBLANK($G$59),ISBLANK($H$59),ISBLANK($I$59)),"SF Beidh. Kampf I nötig",IF(AND(EXACT($B$88,""),ISBLANK($F$88),ISBLANK($G$88),ISBLANK($H$88),ISBLANK($I$88)),"SF Parierwaffen II nötig",""))),IF(AND(ZS_SE_VIEW,B99="",C99="",NOT(ISERR(FIND(A99,ZS_SF_ALLE,1)))),"SF verbilligt aus Studium",""))</f>
        <v/>
      </c>
      <c r="K99" s="1740"/>
      <c r="L99" s="1741"/>
      <c r="M99" s="1012" t="str">
        <f t="shared" si="67"/>
        <v>Zauberzeichen</v>
      </c>
      <c r="N99" s="391" t="str">
        <f t="shared" ca="1" si="60"/>
        <v/>
      </c>
      <c r="O99" s="387" t="str">
        <f t="shared" ca="1" si="69"/>
        <v/>
      </c>
      <c r="P99" s="1127"/>
      <c r="Q99" s="109"/>
      <c r="R99" s="384"/>
      <c r="S99" s="960"/>
      <c r="T99" s="960"/>
      <c r="U99" s="324"/>
      <c r="V99" s="1739" t="str">
        <f>IF(OR(NOT(ISBLANK($R99)),NOT(ISBLANK($S99)),NOT(ISBLANK($T99)),NOT(ISBLANK($U99))),IF(NOT(EXACT($N99,"")),"Diese SF hast Du schon!",IF(KL&lt;12,"KL mind. auf 12",IF(IN&lt;12,"IN mind. auf 12",IF(FF&lt;12,"FF mind. auf 12",IF(NOT(OR(Zauber!$F$203="Mag",Zauber!$F$205="Mag",Zauber!$F$203="Alc",Zauber!$F$205="Alc",Zauber!$F$203="Ach",Zauber!$F$205="Ach",Zauber!$F$203="SHAMAN",Zauber!$F$205="SHAMAN",Zauber!$F$203="Zib",Zauber!$F$205="Zib")),"RK Mag, Alc, Ach, SHAMAN oder Zib nötig",""))))),"")</f>
        <v/>
      </c>
      <c r="W99" s="1740"/>
      <c r="X99" s="1741"/>
      <c r="Y99" s="717">
        <f ca="1">ROUND(IF(AND(NOT(ISBLANK($F99)),EXACT($J99,""),EXACT($B99,"")),IF(EXACT($C99,""),VLOOKUP($A99,SF_NAHFERNALLE,3,FALSE)*IF(VT_BEIDHG,0.75,1),VLOOKUP($A99,SF_NAHFERNALLE,3,FALSE)*IF(VT_BEIDHG,0.75,1)/$AC99),0),0)</f>
        <v>0</v>
      </c>
      <c r="Z99" s="717">
        <f ca="1">ROUND(IF(AND(NOT(ISBLANK($G99)),EXACT($B99,"")),IF(EXACT($C99,""),VLOOKUP($A99,SF_NAHFERNALLE,2,FALSE)*IF(VT_BEIDHG,0.75,1),VLOOKUP($A99,SF_NAHFERNALLE,2,FALSE)*IF(VT_BEIDHG,0.75,1)/$AC99),0),0)</f>
        <v>0</v>
      </c>
      <c r="AA99" s="717">
        <f ca="1">ROUND(IF(AND(NOT(ISBLANK($H99)),EXACT($B99,"")),IF(EXACT($C99,""),VLOOKUP($A99,SF_NAHFERNALLE,2,FALSE)*IF(VT_BEIDHG,0.75,1),VLOOKUP($A99,SF_NAHFERNALLE,2,FALSE)*IF(VT_BEIDHG,0.75,1)/$AC99),0),0)</f>
        <v>0</v>
      </c>
      <c r="AB99" s="717">
        <f ca="1">IF(AND(NOT(ISBLANK($I99)),EXACT($J99,""),EXACT($B99,"")),IF(EXACT($C99,""),VLOOKUP($A99,SF_NAHFERNALLE,2,FALSE)*IF(VT_BEIDHG,0.75,1),VLOOKUP($A99,SF_NAHFERNALLE,2,FALSE)*IF(VT_BEIDHG,0.75,1)/$AC99),0)</f>
        <v>0</v>
      </c>
      <c r="AC99" s="212">
        <f t="shared" ca="1" si="48"/>
        <v>2</v>
      </c>
      <c r="AD99" s="557" t="str">
        <f t="shared" ca="1" si="73"/>
        <v/>
      </c>
      <c r="AE99" s="549" t="str">
        <f t="shared" ca="1" si="74"/>
        <v/>
      </c>
      <c r="AF99" s="1434">
        <v>47</v>
      </c>
      <c r="AG99" s="557"/>
      <c r="AH99" s="551"/>
      <c r="AI99" s="551"/>
      <c r="AJ99" s="551"/>
      <c r="AK99" s="551"/>
      <c r="AL99" s="559">
        <f t="shared" ca="1" si="75"/>
        <v>0</v>
      </c>
      <c r="AM99" s="246">
        <f t="shared" ca="1" si="57"/>
        <v>0</v>
      </c>
      <c r="AN99" s="212">
        <f t="shared" ca="1" si="76"/>
        <v>0</v>
      </c>
      <c r="AO99" s="212">
        <f t="shared" ca="1" si="77"/>
        <v>0</v>
      </c>
      <c r="AP99" s="212">
        <f t="shared" ca="1" si="78"/>
        <v>0</v>
      </c>
      <c r="AQ99" s="212">
        <f t="shared" ca="1" si="79"/>
        <v>0</v>
      </c>
      <c r="AR99" s="212">
        <f t="shared" ca="1" si="58"/>
        <v>2</v>
      </c>
      <c r="AS99" s="1020" t="str">
        <f t="shared" ca="1" si="68"/>
        <v/>
      </c>
      <c r="AT99" s="557" t="str">
        <f t="shared" ca="1" si="66"/>
        <v/>
      </c>
      <c r="AU99" s="557">
        <v>64</v>
      </c>
      <c r="AV99" s="557"/>
      <c r="AW99" s="364"/>
      <c r="AX99" s="364"/>
      <c r="AY99" s="364"/>
      <c r="AZ99" s="364"/>
      <c r="BA99" s="364"/>
      <c r="BB99" s="18"/>
      <c r="BC99" s="18"/>
      <c r="BD99" s="18"/>
      <c r="BE99" s="18"/>
      <c r="BF99" s="18"/>
      <c r="BG99" s="18"/>
      <c r="BH99" s="18"/>
      <c r="BI99" s="18"/>
      <c r="BJ99" s="18"/>
      <c r="BK99" s="18"/>
      <c r="BL99" s="18"/>
      <c r="BM99" s="18"/>
      <c r="BN99" s="18"/>
      <c r="BO99" s="18"/>
      <c r="BP99" s="18"/>
      <c r="BQ99" s="18"/>
      <c r="BR99" s="18"/>
      <c r="BS99" s="18"/>
      <c r="BT99" s="18"/>
      <c r="BU99" s="18"/>
      <c r="BV99" s="234"/>
    </row>
    <row r="100" spans="1:74" x14ac:dyDescent="0.2">
      <c r="A100" s="112" t="str">
        <f t="shared" si="70"/>
        <v>Todesstoß</v>
      </c>
      <c r="B100" s="391" t="str">
        <f t="shared" ca="1" si="71"/>
        <v/>
      </c>
      <c r="C100" s="387" t="str">
        <f t="shared" ca="1" si="72"/>
        <v/>
      </c>
      <c r="D100" s="1127"/>
      <c r="E100" s="109"/>
      <c r="F100" s="384"/>
      <c r="G100" s="960"/>
      <c r="H100" s="960"/>
      <c r="I100" s="324"/>
      <c r="J100" s="1739" t="str">
        <f ca="1">IF(OR(NOT(ISBLANK($F100)),NOT(ISBLANK($G100)),NOT(ISBLANK($H100)),NOT(ISBLANK($I100))),IF(NOT(EXACT($B100,"")),"Diese SF hast Du schon!",IF(MU&lt;15,"MU min. 15",IF(AND(EXACT($B$72,""),ISBLANK($F$72),ISBLANK($G$72),ISBLANK($H$72),ISBLANK($I$72)),"SF Gez. Stich nötig",""))),IF(AND(ZS_SE_VIEW,B100="",C100="",NOT(ISERR(FIND(A100,ZS_SF_ALLE,1)))),"SF verbilligt aus Studium",""))</f>
        <v/>
      </c>
      <c r="K100" s="1740"/>
      <c r="L100" s="1741"/>
      <c r="M100" s="1069" t="s">
        <v>7502</v>
      </c>
      <c r="N100" s="1025"/>
      <c r="O100" s="1029"/>
      <c r="P100" s="1029"/>
      <c r="Q100" s="1030"/>
      <c r="R100" s="344"/>
      <c r="S100" s="345"/>
      <c r="T100" s="345"/>
      <c r="U100" s="344"/>
      <c r="V100" s="1022" t="str">
        <f ca="1">IF(GP=0,CONCATENATE("noch ",APGUT," AP übrig"),IF(GP&lt;0,CONCATENATE("Du hast ",ABS(GP)," GP zuviel verteilt"),CONCATENATE("Eingesetzt: ",GPSTART-GP," von ",GPSTART," GP")))</f>
        <v>Du hast 64 GP zuviel verteilt</v>
      </c>
      <c r="W100" s="1063"/>
      <c r="X100" s="1064"/>
      <c r="Y100" s="212">
        <f ca="1">IF(AND(NOT(ISBLANK($F100)),EXACT($J100,""),EXACT($B100,"")),IF(EXACT($C100,""),VLOOKUP($A100,SF_NAHFERNALLE,3,FALSE),ROUND(VLOOKUP($A100,SF_NAHFERNALLE,3,FALSE)/$AC100,0)),0)</f>
        <v>0</v>
      </c>
      <c r="Z100" s="212">
        <f ca="1">IF(AND(NOT(ISBLANK($G100)),EXACT($B100,"")),IF(EXACT($C100,""),VLOOKUP($A100,SF_NAHFERNALLE,2,FALSE),ROUND(VLOOKUP($A100,SF_NAHFERNALLE,2,FALSE)/$AC100,0)),0)</f>
        <v>0</v>
      </c>
      <c r="AA100" s="212">
        <f ca="1">IF(AND(NOT(ISBLANK($H100)),EXACT($B100,"")),IF(EXACT($C100,""),VLOOKUP($A100,SF_NAHFERNALLE,2,FALSE),ROUND(VLOOKUP($A100,SF_NAHFERNALLE,2,FALSE)/$AC100,0)),0)</f>
        <v>0</v>
      </c>
      <c r="AB100" s="212">
        <f ca="1">IF(AND(NOT(ISBLANK($I100)),EXACT($J100,""),EXACT($B100,"")),IF(EXACT($C100,""),VLOOKUP($A100,SF_NAHFERNALLE,2,FALSE),ROUND(VLOOKUP($A100,SF_NAHFERNALLE,2,FALSE)/$AC100,0)),0)</f>
        <v>0</v>
      </c>
      <c r="AC100" s="212">
        <f t="shared" ca="1" si="48"/>
        <v>2</v>
      </c>
      <c r="AD100" s="557" t="str">
        <f t="shared" ca="1" si="73"/>
        <v/>
      </c>
      <c r="AE100" s="549" t="str">
        <f t="shared" ca="1" si="74"/>
        <v/>
      </c>
      <c r="AF100" s="1434">
        <v>48</v>
      </c>
      <c r="AG100" s="557"/>
      <c r="AH100" s="551"/>
      <c r="AI100" s="551"/>
      <c r="AJ100" s="551"/>
      <c r="AK100" s="551"/>
      <c r="AL100" s="559">
        <f t="shared" ca="1" si="75"/>
        <v>0</v>
      </c>
      <c r="AM100" s="191"/>
      <c r="AN100" s="90"/>
      <c r="AO100" s="90"/>
      <c r="AP100" s="90"/>
      <c r="AQ100" s="90"/>
      <c r="AR100" s="90"/>
      <c r="AS100" s="90"/>
      <c r="AT100" s="90"/>
      <c r="AU100" s="550" t="s">
        <v>1222</v>
      </c>
      <c r="AV100" s="553" t="s">
        <v>3266</v>
      </c>
      <c r="AW100" s="212"/>
      <c r="AX100" s="212"/>
      <c r="AY100" s="212"/>
      <c r="AZ100" s="212"/>
      <c r="BA100" s="212"/>
      <c r="BB100" s="212"/>
      <c r="BC100" s="113"/>
      <c r="BD100" s="113"/>
      <c r="BE100" s="113"/>
      <c r="BF100" s="113"/>
      <c r="BG100" s="113"/>
      <c r="BH100" s="190"/>
      <c r="BI100" s="190"/>
      <c r="BJ100" s="190"/>
      <c r="BK100" s="190"/>
      <c r="BL100" s="190"/>
      <c r="BM100" s="190"/>
      <c r="BN100" s="190"/>
      <c r="BO100" s="190"/>
      <c r="BP100" s="190"/>
      <c r="BQ100" s="190"/>
      <c r="BR100" s="190"/>
      <c r="BS100" s="190"/>
      <c r="BT100" s="190"/>
      <c r="BU100" s="190"/>
      <c r="BV100" s="234"/>
    </row>
    <row r="101" spans="1:74" x14ac:dyDescent="0.2">
      <c r="A101" s="112" t="str">
        <f t="shared" si="70"/>
        <v>Turnierreiterei</v>
      </c>
      <c r="B101" s="391" t="str">
        <f t="shared" ca="1" si="71"/>
        <v/>
      </c>
      <c r="C101" s="387" t="str">
        <f t="shared" ca="1" si="72"/>
        <v/>
      </c>
      <c r="D101" s="1127"/>
      <c r="E101" s="109"/>
      <c r="F101" s="384"/>
      <c r="G101" s="960"/>
      <c r="H101" s="960"/>
      <c r="I101" s="324"/>
      <c r="J101" s="1739" t="str">
        <f ca="1">IF(OR(NOT(ISBLANK($F101)),NOT(ISBLANK($G101)),NOT(ISBLANK($H101)),NOT(ISBLANK($I101))),IF(NOT(EXACT($B101,"")),"Diese SF hast Du schon!",IF(SUM(Talente!$B$48,Talente!$G$48,Talente!$I$48)&lt;10,"TaW Reiten min. 10",IF(AND(EXACT($B$89,""),ISBLANK($F$89),ISBLANK($G$89),ISBLANK($H$89),ISBLANK($I$89)),"SF Reiterkampf nötig",""))),IF(AND(ZS_SE_VIEW,B101="",C101="",NOT(ISERR(FIND(A101,ZS_SF_ALLE,1)))),"SF verbilligt aus Studium",""))</f>
        <v/>
      </c>
      <c r="K101" s="1740"/>
      <c r="L101" s="1741"/>
      <c r="M101" s="1069" t="s">
        <v>8806</v>
      </c>
      <c r="N101" s="199"/>
      <c r="O101" s="199"/>
      <c r="P101" s="199"/>
      <c r="Q101" s="199"/>
      <c r="R101" s="199"/>
      <c r="S101" s="1023"/>
      <c r="T101" s="1023"/>
      <c r="U101" s="199"/>
      <c r="V101" s="1021"/>
      <c r="W101" s="199"/>
      <c r="X101" s="1024"/>
      <c r="Y101" s="212">
        <f ca="1">IF(AND(NOT(ISBLANK($F101)),EXACT($J101,""),EXACT($B101,"")),IF(EXACT($C101,""),VLOOKUP($A101,SF_NAHFERNALLE,3,FALSE),ROUND(VLOOKUP($A101,SF_NAHFERNALLE,3,FALSE)/$AC101,0)),0)</f>
        <v>0</v>
      </c>
      <c r="Z101" s="212">
        <f ca="1">IF(AND(NOT(ISBLANK($G101)),EXACT($B101,"")),IF(EXACT($C101,""),VLOOKUP($A101,SF_NAHFERNALLE,2,FALSE),ROUND(VLOOKUP($A101,SF_NAHFERNALLE,2,FALSE)/$AC101,0)),0)</f>
        <v>0</v>
      </c>
      <c r="AA101" s="212">
        <f ca="1">IF(AND(NOT(ISBLANK($H101)),EXACT($B101,"")),IF(EXACT($C101,""),VLOOKUP($A101,SF_NAHFERNALLE,2,FALSE),ROUND(VLOOKUP($A101,SF_NAHFERNALLE,2,FALSE)/$AC101,0)),0)</f>
        <v>0</v>
      </c>
      <c r="AB101" s="212">
        <f ca="1">IF(AND(NOT(ISBLANK($I101)),EXACT($J101,""),EXACT($B101,"")),IF(EXACT($C101,""),VLOOKUP($A101,SF_NAHFERNALLE,2,FALSE),ROUND(VLOOKUP($A101,SF_NAHFERNALLE,2,FALSE)/$AC101,0)),0)</f>
        <v>0</v>
      </c>
      <c r="AC101" s="212">
        <f t="shared" ca="1" si="48"/>
        <v>2</v>
      </c>
      <c r="AD101" s="557" t="str">
        <f t="shared" ca="1" si="73"/>
        <v/>
      </c>
      <c r="AE101" s="549" t="str">
        <f t="shared" ca="1" si="74"/>
        <v/>
      </c>
      <c r="AF101" s="1434">
        <v>49</v>
      </c>
      <c r="AG101" s="557"/>
      <c r="AH101" s="551"/>
      <c r="AI101" s="551"/>
      <c r="AJ101" s="551"/>
      <c r="AK101" s="551"/>
      <c r="AL101" s="559">
        <f t="shared" ca="1" si="75"/>
        <v>0</v>
      </c>
      <c r="AM101" s="191"/>
      <c r="AN101" s="90"/>
      <c r="AO101" s="90"/>
      <c r="AP101" s="90"/>
      <c r="AQ101" s="90"/>
      <c r="AR101" s="90"/>
      <c r="AS101" s="90"/>
      <c r="AT101" s="90"/>
      <c r="AU101" s="90"/>
      <c r="AV101" s="90"/>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row>
    <row r="102" spans="1:74" x14ac:dyDescent="0.2">
      <c r="A102" s="112" t="str">
        <f t="shared" si="70"/>
        <v>Umreißen</v>
      </c>
      <c r="B102" s="391" t="str">
        <f t="shared" ca="1" si="71"/>
        <v/>
      </c>
      <c r="C102" s="387" t="str">
        <f t="shared" ca="1" si="72"/>
        <v/>
      </c>
      <c r="D102" s="1127"/>
      <c r="E102" s="109"/>
      <c r="F102" s="384"/>
      <c r="G102" s="960"/>
      <c r="H102" s="960"/>
      <c r="I102" s="324"/>
      <c r="J102" s="1739" t="str">
        <f ca="1">IF(OR(NOT(ISBLANK($F102)),NOT(ISBLANK($G102)),NOT(ISBLANK($H102)),NOT(ISBLANK($I102))),IF(NOT(EXACT($B102,"")),"Diese SF hast Du schon!",IF(KK&lt;12,"KK min. 12",IF(AND(EXACT($B$68,""),ISBLANK($F$68),ISBLANK($G$68),ISBLANK($H$68),ISBLANK($I$68)),"SF Finte nötig",""))),IF(AND(ZS_SE_VIEW,B102="",C102="",NOT(ISERR(FIND(A102,ZS_SF_ALLE,1)))),"SF verbilligt aus Studium",""))</f>
        <v/>
      </c>
      <c r="K102" s="1740"/>
      <c r="L102" s="1741"/>
      <c r="M102" s="1069" t="s">
        <v>7501</v>
      </c>
      <c r="N102" s="199"/>
      <c r="O102" s="199"/>
      <c r="P102" s="199"/>
      <c r="Q102" s="199"/>
      <c r="R102" s="199"/>
      <c r="S102" s="1023"/>
      <c r="T102" s="1023"/>
      <c r="U102" s="199"/>
      <c r="V102" s="199"/>
      <c r="W102" s="199"/>
      <c r="X102" s="1024"/>
      <c r="Y102" s="212">
        <f ca="1">IF(AND(NOT(ISBLANK($F102)),EXACT($J102,""),EXACT($B102,"")),IF(EXACT($C102,""),VLOOKUP($A102,SF_NAHFERNALLE,3,FALSE),ROUND(VLOOKUP($A102,SF_NAHFERNALLE,3,FALSE)/$AC102,0)),0)</f>
        <v>0</v>
      </c>
      <c r="Z102" s="212">
        <f ca="1">IF(AND(NOT(ISBLANK($G102)),EXACT($B102,"")),IF(EXACT($C102,""),VLOOKUP($A102,SF_NAHFERNALLE,2,FALSE),ROUND(VLOOKUP($A102,SF_NAHFERNALLE,2,FALSE)/$AC102,0)),0)</f>
        <v>0</v>
      </c>
      <c r="AA102" s="212">
        <f ca="1">IF(AND(NOT(ISBLANK($H102)),EXACT($B102,"")),IF(EXACT($C102,""),VLOOKUP($A102,SF_NAHFERNALLE,2,FALSE),ROUND(VLOOKUP($A102,SF_NAHFERNALLE,2,FALSE)/$AC102,0)),0)</f>
        <v>0</v>
      </c>
      <c r="AB102" s="212">
        <f ca="1">IF(AND(NOT(ISBLANK($I102)),EXACT($J102,""),EXACT($B102,"")),IF(EXACT($C102,""),VLOOKUP($A102,SF_NAHFERNALLE,2,FALSE),ROUND(VLOOKUP($A102,SF_NAHFERNALLE,2,FALSE)/$AC102,0)),0)</f>
        <v>0</v>
      </c>
      <c r="AC102" s="212">
        <f t="shared" ca="1" si="48"/>
        <v>2</v>
      </c>
      <c r="AD102" s="557" t="str">
        <f t="shared" ca="1" si="73"/>
        <v/>
      </c>
      <c r="AE102" s="549" t="str">
        <f t="shared" ca="1" si="74"/>
        <v/>
      </c>
      <c r="AF102" s="1434">
        <v>50</v>
      </c>
      <c r="AG102" s="557"/>
      <c r="AH102" s="551"/>
      <c r="AI102" s="551"/>
      <c r="AJ102" s="551"/>
      <c r="AK102" s="551"/>
      <c r="AL102" s="559">
        <f t="shared" ca="1" si="75"/>
        <v>0</v>
      </c>
      <c r="AM102" s="191"/>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row>
    <row r="103" spans="1:74" x14ac:dyDescent="0.2">
      <c r="A103" s="112" t="str">
        <f t="shared" si="70"/>
        <v>Unterwasserkampf</v>
      </c>
      <c r="B103" s="391" t="str">
        <f t="shared" ca="1" si="71"/>
        <v/>
      </c>
      <c r="C103" s="387" t="str">
        <f t="shared" ca="1" si="72"/>
        <v/>
      </c>
      <c r="D103" s="1127"/>
      <c r="E103" s="109"/>
      <c r="F103" s="384"/>
      <c r="G103" s="960"/>
      <c r="H103" s="960"/>
      <c r="I103" s="324"/>
      <c r="J103" s="1739" t="str">
        <f ca="1">IF(OR(NOT(ISBLANK($F103)),NOT(ISBLANK($G103)),NOT(ISBLANK($H103)),NOT(ISBLANK($I103))),IF(NOT(EXACT($B103,"")),"Diese SF hast Du schon!",IF(SUM(Talente!$B$50,Talente!$G$50,Talente!$I$50)&lt;10,"TaW Schwimmen min. 10","")),IF(AND(ZS_SE_VIEW,B103="",C103="",NOT(ISERR(FIND(A103,ZS_SF_ALLE,1)))),"SF verbilligt aus Studium",""))</f>
        <v/>
      </c>
      <c r="K103" s="1740"/>
      <c r="L103" s="1741"/>
      <c r="M103" s="1069" t="s">
        <v>7500</v>
      </c>
      <c r="N103" s="1021"/>
      <c r="O103" s="1021"/>
      <c r="P103" s="1021"/>
      <c r="Q103" s="1021"/>
      <c r="R103" s="1021"/>
      <c r="S103" s="1021"/>
      <c r="T103" s="1021"/>
      <c r="U103" s="1021"/>
      <c r="V103" s="1021"/>
      <c r="W103" s="1021"/>
      <c r="X103" s="1024"/>
      <c r="Y103" s="212">
        <f ca="1">IF(AND(NOT(ISBLANK($F103)),EXACT($J103,""),EXACT($B103,"")),IF(EXACT($C103,""),VLOOKUP($A103,SF_NAHFERNALLE,3,FALSE),ROUND(VLOOKUP($A103,SF_NAHFERNALLE,3,FALSE)/$AC103,0)),0)</f>
        <v>0</v>
      </c>
      <c r="Z103" s="212">
        <f ca="1">IF(AND(NOT(ISBLANK($G103)),EXACT($B103,"")),IF(EXACT($C103,""),VLOOKUP($A103,SF_NAHFERNALLE,2,FALSE),ROUND(VLOOKUP($A103,SF_NAHFERNALLE,2,FALSE)/$AC103,0)),0)</f>
        <v>0</v>
      </c>
      <c r="AA103" s="212">
        <f ca="1">IF(AND(NOT(ISBLANK($H103)),EXACT($B103,"")),IF(EXACT($C103,""),VLOOKUP($A103,SF_NAHFERNALLE,2,FALSE),ROUND(VLOOKUP($A103,SF_NAHFERNALLE,2,FALSE)/$AC103,0)),0)</f>
        <v>0</v>
      </c>
      <c r="AB103" s="212">
        <f ca="1">IF(AND(NOT(ISBLANK($I103)),EXACT($J103,""),EXACT($B103,"")),IF(EXACT($C103,""),VLOOKUP($A103,SF_NAHFERNALLE,2,FALSE),ROUND(VLOOKUP($A103,SF_NAHFERNALLE,2,FALSE)/$AC103,0)),0)</f>
        <v>0</v>
      </c>
      <c r="AC103" s="212">
        <f t="shared" ca="1" si="48"/>
        <v>2</v>
      </c>
      <c r="AD103" s="557" t="str">
        <f t="shared" ca="1" si="73"/>
        <v/>
      </c>
      <c r="AE103" s="549" t="str">
        <f t="shared" ca="1" si="74"/>
        <v/>
      </c>
      <c r="AF103" s="1434">
        <v>51</v>
      </c>
      <c r="AG103" s="557"/>
      <c r="AH103" s="551"/>
      <c r="AI103" s="551"/>
      <c r="AJ103" s="551"/>
      <c r="AK103" s="551"/>
      <c r="AL103" s="559">
        <f t="shared" ca="1" si="75"/>
        <v>0</v>
      </c>
      <c r="AM103" s="191"/>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row>
    <row r="104" spans="1:74" x14ac:dyDescent="0.2">
      <c r="A104" s="112" t="str">
        <f t="shared" si="70"/>
        <v>Waffe zerbrechen</v>
      </c>
      <c r="B104" s="391" t="str">
        <f t="shared" ca="1" si="71"/>
        <v/>
      </c>
      <c r="C104" s="387" t="str">
        <f t="shared" ca="1" si="72"/>
        <v/>
      </c>
      <c r="D104" s="1127"/>
      <c r="E104" s="109"/>
      <c r="F104" s="384"/>
      <c r="G104" s="960"/>
      <c r="H104" s="960"/>
      <c r="I104" s="324"/>
      <c r="J104" s="1739" t="str">
        <f ca="1">IF(OR(NOT(ISBLANK($F104)),NOT(ISBLANK($G104)),NOT(ISBLANK($H104)),NOT(ISBLANK($I104))),IF(NOT(EXACT($B104,"")),"Diese SF hast Du schon!",IF(KK&lt;12,"KK min. 12",IF(PA&lt;9,"PA-Basiswert min. 9",IF(AND(EXACT($B$62,""),ISBLANK($F$62),ISBLANK($G$62),ISBLANK($H$62),ISBLANK($I$62)),"SF Binden nötig","")))),IF(AND(ZS_SE_VIEW,B104="",C104="",NOT(ISERR(FIND(A104,ZS_SF_ALLE,1)))),"SF verbilligt aus Studium",""))</f>
        <v/>
      </c>
      <c r="K104" s="1740"/>
      <c r="L104" s="1741"/>
      <c r="M104" s="1021"/>
      <c r="N104" s="1021"/>
      <c r="O104" s="1021"/>
      <c r="P104" s="1021"/>
      <c r="Q104" s="1021"/>
      <c r="R104" s="1021"/>
      <c r="S104" s="1021"/>
      <c r="T104" s="1021"/>
      <c r="U104" s="1021"/>
      <c r="V104" s="1021"/>
      <c r="W104" s="1021"/>
      <c r="X104" s="1433"/>
      <c r="Y104" s="212">
        <f ca="1">IF(AND(NOT(ISBLANK($F104)),EXACT($J104,""),EXACT($B104,"")),IF(EXACT($C104,""),VLOOKUP($A104,SF_NAHFERNALLE,3,FALSE),ROUND(VLOOKUP($A104,SF_NAHFERNALLE,3,FALSE)/$AC104,0)),0)</f>
        <v>0</v>
      </c>
      <c r="Z104" s="212">
        <f ca="1">IF(AND(NOT(ISBLANK($G104)),EXACT($B104,"")),IF(EXACT($C104,""),VLOOKUP($A104,SF_NAHFERNALLE,2,FALSE),ROUND(VLOOKUP($A104,SF_NAHFERNALLE,2,FALSE)/$AC104,0)),0)</f>
        <v>0</v>
      </c>
      <c r="AA104" s="212">
        <f ca="1">IF(AND(NOT(ISBLANK($H104)),EXACT($B104,"")),IF(EXACT($C104,""),VLOOKUP($A104,SF_NAHFERNALLE,2,FALSE),ROUND(VLOOKUP($A104,SF_NAHFERNALLE,2,FALSE)/$AC104,0)),0)</f>
        <v>0</v>
      </c>
      <c r="AB104" s="212">
        <f ca="1">IF(AND(NOT(ISBLANK($I104)),EXACT($J104,""),EXACT($B104,"")),IF(EXACT($C104,""),VLOOKUP($A104,SF_NAHFERNALLE,2,FALSE),ROUND(VLOOKUP($A104,SF_NAHFERNALLE,2,FALSE)/$AC104,0)),0)</f>
        <v>0</v>
      </c>
      <c r="AC104" s="212">
        <f t="shared" ca="1" si="48"/>
        <v>2</v>
      </c>
      <c r="AD104" s="557" t="str">
        <f t="shared" ca="1" si="73"/>
        <v/>
      </c>
      <c r="AE104" s="549" t="str">
        <f t="shared" ca="1" si="74"/>
        <v/>
      </c>
      <c r="AF104" s="1434">
        <v>52</v>
      </c>
      <c r="AG104" s="557"/>
      <c r="AH104" s="551"/>
      <c r="AI104" s="551"/>
      <c r="AJ104" s="551"/>
      <c r="AK104" s="551"/>
      <c r="AL104" s="559">
        <f t="shared" ca="1" si="75"/>
        <v>0</v>
      </c>
      <c r="AM104" s="191"/>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row>
    <row r="105" spans="1:74" x14ac:dyDescent="0.2">
      <c r="A105" s="1012" t="str">
        <f t="shared" si="70"/>
        <v>Waffenmeister</v>
      </c>
      <c r="B105" s="391" t="str">
        <f t="shared" ca="1" si="71"/>
        <v/>
      </c>
      <c r="C105" s="387" t="str">
        <f t="shared" ca="1" si="72"/>
        <v/>
      </c>
      <c r="D105" s="1127"/>
      <c r="E105" s="109"/>
      <c r="F105" s="384"/>
      <c r="G105" s="960"/>
      <c r="H105" s="960"/>
      <c r="I105" s="324"/>
      <c r="J105" s="1852"/>
      <c r="K105" s="1853"/>
      <c r="L105" s="1854"/>
      <c r="M105" s="1563" t="s">
        <v>8844</v>
      </c>
      <c r="N105" s="1018"/>
      <c r="O105" s="1018"/>
      <c r="P105" s="1018"/>
      <c r="Q105" s="1018"/>
      <c r="R105" s="1018"/>
      <c r="S105" s="1018"/>
      <c r="T105" s="1018"/>
      <c r="U105" s="1018"/>
      <c r="V105" s="1065"/>
      <c r="W105" s="1065"/>
      <c r="X105" s="1564"/>
      <c r="Y105" s="717">
        <f ca="1">IF(AND(NOT(ISBLANK($F105)),EXACT($B105,"")),IF(EXACT($C105,""),VLOOKUP($A$105,SF_NAHFERNALLE,3,FALSE),ROUND(VLOOKUP($A$105,SF_NAHFERNALLE,3,FALSE)/$AC105,0)),0)</f>
        <v>0</v>
      </c>
      <c r="Z105" s="717">
        <f ca="1">IF(AND(NOT(ISBLANK($G105)),EXACT($B105,"")),IF(EXACT($C105,""),VLOOKUP($A$105,SF_NAHFERNALLE,2,FALSE),ROUND(VLOOKUP($A$105,SF_NAHFERNALLE,2,FALSE)/$AC105,0)),0)</f>
        <v>0</v>
      </c>
      <c r="AA105" s="717">
        <f ca="1">IF(AND(NOT(ISBLANK($H105)),EXACT($B105,"")),IF(EXACT($C105,""),VLOOKUP($A$105,SF_NAHFERNALLE,2,FALSE),ROUND(VLOOKUP($A$105,SF_NAHFERNALLE,2,FALSE)/$AC105,0)),0)</f>
        <v>0</v>
      </c>
      <c r="AB105" s="717">
        <f ca="1">IF(AND(NOT(ISBLANK($I105)),EXACT($B105,"")),IF(EXACT($C105,""),VLOOKUP($A$105,SF_NAHFERNALLE,2,FALSE),ROUND(VLOOKUP($A$105,SF_NAHFERNALLE,2,FALSE)/$AC105,0)),0)</f>
        <v>0</v>
      </c>
      <c r="AC105" s="212">
        <f t="shared" ca="1" si="48"/>
        <v>2</v>
      </c>
      <c r="AD105" s="717" t="str">
        <f ca="1">IF(AND(EXACT($B105,""),ISBLANK($F105),ISBLANK($G105),ISBLANK($H105),ISBLANK($I105)),"",CONCATENATE($A105," ",$J105,", "))</f>
        <v/>
      </c>
      <c r="AE105" s="718" t="str">
        <f ca="1">IF(AND(EXACT($B105,""),ISBLANK($I105),ISBLANK($H105),ISBLANK($G105),ISBLANK($F105)),"",IF(EXACT($J105,""),"X",""))</f>
        <v/>
      </c>
      <c r="AF105" s="1434">
        <v>53</v>
      </c>
      <c r="AG105" s="557"/>
      <c r="AH105" s="551"/>
      <c r="AI105" s="551"/>
      <c r="AJ105" s="551"/>
      <c r="AK105" s="551"/>
      <c r="AL105" s="559">
        <f t="shared" ca="1" si="75"/>
        <v>0</v>
      </c>
      <c r="AM105" s="1543"/>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1"/>
      <c r="BO105" s="151"/>
      <c r="BP105" s="151"/>
      <c r="BQ105" s="151"/>
      <c r="BR105" s="151"/>
      <c r="BS105" s="151"/>
      <c r="BT105" s="151"/>
      <c r="BU105" s="151"/>
      <c r="BV105" s="725"/>
    </row>
    <row r="106" spans="1:74" x14ac:dyDescent="0.2">
      <c r="A106" s="1012" t="s">
        <v>4470</v>
      </c>
      <c r="B106" s="391" t="str">
        <f t="shared" ca="1" si="71"/>
        <v/>
      </c>
      <c r="C106" s="387" t="str">
        <f t="shared" ca="1" si="72"/>
        <v/>
      </c>
      <c r="D106" s="1127"/>
      <c r="E106" s="109"/>
      <c r="F106" s="384"/>
      <c r="G106" s="960"/>
      <c r="H106" s="960"/>
      <c r="I106" s="324"/>
      <c r="J106" s="1852"/>
      <c r="K106" s="1853"/>
      <c r="L106" s="1854"/>
      <c r="M106" s="1565" t="s">
        <v>8911</v>
      </c>
      <c r="N106" s="1021"/>
      <c r="O106" s="1021"/>
      <c r="P106" s="1021"/>
      <c r="Q106" s="1021"/>
      <c r="R106" s="1021"/>
      <c r="S106" s="1021"/>
      <c r="T106" s="1021"/>
      <c r="U106" s="1021"/>
      <c r="V106" s="1021"/>
      <c r="W106" s="1021"/>
      <c r="X106" s="1433"/>
      <c r="Y106" s="717">
        <f ca="1">IF(AND(NOT(ISBLANK($F106)),EXACT($B106,"")),IF(EXACT($C106,""),VLOOKUP($A$105,SF_NAHFERNALLE,3,FALSE),ROUND(VLOOKUP($A$105,SF_NAHFERNALLE,3,FALSE)/$AC106,0)),0)</f>
        <v>0</v>
      </c>
      <c r="Z106" s="717">
        <f ca="1">IF(AND(NOT(ISBLANK($G106)),EXACT($B106,"")),IF(EXACT($C106,""),VLOOKUP($A$105,SF_NAHFERNALLE,2,FALSE),ROUND(VLOOKUP($A$105,SF_NAHFERNALLE,2,FALSE)/$AC106,0)),0)</f>
        <v>0</v>
      </c>
      <c r="AA106" s="717">
        <f ca="1">IF(AND(NOT(ISBLANK($H106)),EXACT($B106,"")),IF(EXACT($C106,""),VLOOKUP($A$105,SF_NAHFERNALLE,2,FALSE),ROUND(VLOOKUP($A$105,SF_NAHFERNALLE,2,FALSE)/$AC106,0)),0)</f>
        <v>0</v>
      </c>
      <c r="AB106" s="717">
        <f ca="1">IF(AND(NOT(ISBLANK($I106)),EXACT($B106,"")),IF(EXACT($C106,""),VLOOKUP($A$105,SF_NAHFERNALLE,2,FALSE),ROUND(VLOOKUP($A$105,SF_NAHFERNALLE,2,FALSE)/$AC106,0)),0)</f>
        <v>0</v>
      </c>
      <c r="AC106" s="212">
        <f t="shared" ca="1" si="48"/>
        <v>2</v>
      </c>
      <c r="AD106" s="717" t="str">
        <f ca="1">IF(AND(EXACT($B106,""),ISBLANK($F106),ISBLANK($G106),ISBLANK($H106),ISBLANK($I106)),"",CONCATENATE("Waffenmeister ",$J106,", "))</f>
        <v/>
      </c>
      <c r="AE106" s="718" t="str">
        <f ca="1">IF(AND(EXACT($B106,""),ISBLANK($I106),ISBLANK($H106),ISBLANK($G106),ISBLANK($F106)),"",IF(EXACT($J106,""),"X",""))</f>
        <v/>
      </c>
      <c r="AF106" s="1434"/>
      <c r="AG106" s="557"/>
      <c r="AH106" s="551"/>
      <c r="AI106" s="551"/>
      <c r="AJ106" s="551"/>
      <c r="AK106" s="551"/>
      <c r="AL106" s="559">
        <f t="shared" ca="1" si="75"/>
        <v>0</v>
      </c>
      <c r="AM106" s="191"/>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1545"/>
    </row>
    <row r="107" spans="1:74" x14ac:dyDescent="0.2">
      <c r="A107" s="1012" t="s">
        <v>4471</v>
      </c>
      <c r="B107" s="391" t="str">
        <f t="shared" ca="1" si="71"/>
        <v/>
      </c>
      <c r="C107" s="387" t="str">
        <f t="shared" ca="1" si="72"/>
        <v/>
      </c>
      <c r="D107" s="1127"/>
      <c r="E107" s="109"/>
      <c r="F107" s="384"/>
      <c r="G107" s="960"/>
      <c r="H107" s="960"/>
      <c r="I107" s="324"/>
      <c r="J107" s="1852"/>
      <c r="K107" s="1853"/>
      <c r="L107" s="1854"/>
      <c r="M107" s="1137"/>
      <c r="N107" s="1138"/>
      <c r="O107" s="1138"/>
      <c r="P107" s="1138"/>
      <c r="Q107" s="1138"/>
      <c r="R107" s="1138"/>
      <c r="S107" s="1138"/>
      <c r="T107" s="1138"/>
      <c r="U107" s="1138"/>
      <c r="V107" s="1138"/>
      <c r="W107" s="1138"/>
      <c r="X107" s="1139"/>
      <c r="Y107" s="717">
        <f ca="1">IF(AND(NOT(ISBLANK($F107)),EXACT($B107,"")),IF(EXACT($C107,""),VLOOKUP($A$105,SF_NAHFERNALLE,3,FALSE),ROUND(VLOOKUP($A$105,SF_NAHFERNALLE,3,FALSE)/$AC107,0)),0)</f>
        <v>0</v>
      </c>
      <c r="Z107" s="717">
        <f ca="1">IF(AND(NOT(ISBLANK($G107)),EXACT($B107,"")),IF(EXACT($C107,""),VLOOKUP($A$105,SF_NAHFERNALLE,2,FALSE),ROUND(VLOOKUP($A$105,SF_NAHFERNALLE,2,FALSE)/$AC107,0)),0)</f>
        <v>0</v>
      </c>
      <c r="AA107" s="717">
        <f ca="1">IF(AND(NOT(ISBLANK($H107)),EXACT($B107,"")),IF(EXACT($C107,""),VLOOKUP($A$105,SF_NAHFERNALLE,2,FALSE),ROUND(VLOOKUP($A$105,SF_NAHFERNALLE,2,FALSE)/$AC107,0)),0)</f>
        <v>0</v>
      </c>
      <c r="AB107" s="717">
        <f ca="1">IF(AND(NOT(ISBLANK($I107)),EXACT($B107,"")),IF(EXACT($C107,""),VLOOKUP($A$105,SF_NAHFERNALLE,2,FALSE),ROUND(VLOOKUP($A$105,SF_NAHFERNALLE,2,FALSE)/$AC107,0)),0)</f>
        <v>0</v>
      </c>
      <c r="AC107" s="212">
        <f t="shared" ca="1" si="48"/>
        <v>2</v>
      </c>
      <c r="AD107" s="717" t="str">
        <f ca="1">IF(AND(EXACT($B107,""),ISBLANK($F107),ISBLANK($G107),ISBLANK($H107),ISBLANK($I107)),"",CONCATENATE("Waffenmeister ",$J107,", "))</f>
        <v/>
      </c>
      <c r="AE107" s="718" t="str">
        <f ca="1">IF(AND(EXACT($B107,""),ISBLANK($I107),ISBLANK($H107),ISBLANK($G107),ISBLANK($F107)),"",IF(EXACT($J107,""),"X",""))</f>
        <v/>
      </c>
      <c r="AF107" s="1434"/>
      <c r="AG107" s="557"/>
      <c r="AH107" s="551"/>
      <c r="AI107" s="551"/>
      <c r="AJ107" s="551"/>
      <c r="AK107" s="551"/>
      <c r="AL107" s="559">
        <f t="shared" ca="1" si="75"/>
        <v>0</v>
      </c>
      <c r="AM107" s="530"/>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c r="BI107" s="149"/>
      <c r="BJ107" s="149"/>
      <c r="BK107" s="149"/>
      <c r="BL107" s="149"/>
      <c r="BM107" s="149"/>
      <c r="BN107" s="149"/>
      <c r="BO107" s="149"/>
      <c r="BP107" s="149"/>
      <c r="BQ107" s="149"/>
      <c r="BR107" s="149"/>
      <c r="BS107" s="149"/>
      <c r="BT107" s="149"/>
      <c r="BU107" s="149"/>
      <c r="BV107" s="1546"/>
    </row>
    <row r="108" spans="1:74" x14ac:dyDescent="0.2">
      <c r="A108" s="1012" t="s">
        <v>4410</v>
      </c>
      <c r="B108" s="391" t="str">
        <f t="shared" ca="1" si="71"/>
        <v/>
      </c>
      <c r="C108" s="387" t="str">
        <f t="shared" ca="1" si="72"/>
        <v/>
      </c>
      <c r="D108" s="1127"/>
      <c r="E108" s="109"/>
      <c r="F108" s="384"/>
      <c r="G108" s="960"/>
      <c r="H108" s="960"/>
      <c r="I108" s="324"/>
      <c r="J108" s="1852"/>
      <c r="K108" s="1853"/>
      <c r="L108" s="1854"/>
      <c r="M108" s="1558" t="str">
        <f t="shared" ref="M108:M117" si="80">INDEX(SF_ELEMENTARIST,$AU108)</f>
        <v>Binder der Hexessenz</v>
      </c>
      <c r="N108" s="1559" t="str">
        <f t="shared" ref="N108:N117" ca="1" si="81">IF(NOT(ISERR(FIND(M108&amp;",",$AW$34,1))),"x",
IF(P108="X","x",""))</f>
        <v/>
      </c>
      <c r="O108" s="387" t="str">
        <f t="shared" ref="O108:O117" ca="1" si="82">IF(NOT(ISERR(FIND(M108&amp;",",$AW$35,1))),"x",
IF(P108="V","x",""))</f>
        <v/>
      </c>
      <c r="P108" s="1560"/>
      <c r="Q108" s="109"/>
      <c r="R108" s="1561"/>
      <c r="S108" s="971"/>
      <c r="T108" s="971"/>
      <c r="U108" s="1562"/>
      <c r="V108" s="1739" t="str">
        <f>IF(OR(NOT(ISBLANK($R108)),NOT(ISBLANK($S108)),NOT(ISBLANK($T108)),NOT(ISBLANK($U108))),
IF(MU&lt;15,"MU&lt;15","")&amp;IF(AT110="","Elementares Gelichgewicht nicht erlernt","")&amp;IF(TAW_ALCHIMIE&lt;11,"Alchimie &lt; 11",""),
"")</f>
        <v/>
      </c>
      <c r="W108" s="1740"/>
      <c r="X108" s="1741"/>
      <c r="Y108" s="717">
        <f ca="1">IF(AND(NOT(ISBLANK($F108)),EXACT($B108,"")),IF(EXACT($C108,""),VLOOKUP($A$105,SF_NAHFERNALLE,3,FALSE),ROUND(VLOOKUP($A$105,SF_NAHFERNALLE,3,FALSE)/$AC108,0)),0)</f>
        <v>0</v>
      </c>
      <c r="Z108" s="717">
        <f ca="1">IF(AND(NOT(ISBLANK($G108)),EXACT($B108,"")),IF(EXACT($C108,""),VLOOKUP($A$105,SF_NAHFERNALLE,2,FALSE),ROUND(VLOOKUP($A$105,SF_NAHFERNALLE,2,FALSE)/$AC108,0)),0)</f>
        <v>0</v>
      </c>
      <c r="AA108" s="717">
        <f ca="1">IF(AND(NOT(ISBLANK($H108)),EXACT($B108,"")),IF(EXACT($C108,""),VLOOKUP($A$105,SF_NAHFERNALLE,2,FALSE),ROUND(VLOOKUP($A$105,SF_NAHFERNALLE,2,FALSE)/$AC108,0)),0)</f>
        <v>0</v>
      </c>
      <c r="AB108" s="717">
        <f ca="1">IF(AND(NOT(ISBLANK($I108)),EXACT($B108,"")),IF(EXACT($C108,""),VLOOKUP($A$105,SF_NAHFERNALLE,2,FALSE),ROUND(VLOOKUP($A$105,SF_NAHFERNALLE,2,FALSE)/$AC108,0)),0)</f>
        <v>0</v>
      </c>
      <c r="AC108" s="212">
        <f t="shared" ca="1" si="48"/>
        <v>2</v>
      </c>
      <c r="AD108" s="717" t="str">
        <f ca="1">IF(AND(EXACT($B108,""),ISBLANK($F108),ISBLANK($G108),ISBLANK($H108),ISBLANK($I108)),"",CONCATENATE("Waffenmeister ",$J108,", "))</f>
        <v/>
      </c>
      <c r="AE108" s="718" t="str">
        <f ca="1">IF(AND(EXACT($B108,""),ISBLANK($I108),ISBLANK($H108),ISBLANK($G108),ISBLANK($F108)),"",IF(EXACT($J108,""),"X",""))</f>
        <v/>
      </c>
      <c r="AF108" s="1434"/>
      <c r="AG108" s="557"/>
      <c r="AH108" s="551"/>
      <c r="AI108" s="551"/>
      <c r="AJ108" s="551"/>
      <c r="AK108" s="551"/>
      <c r="AL108" s="559">
        <f t="shared" ca="1" si="75"/>
        <v>0</v>
      </c>
      <c r="AM108" s="246">
        <f t="shared" ref="AM108:AM117" ca="1" si="83">IF((LEN($AW$34)-LEN(SUBSTITUTE($AW$34,$M108&amp;",","")))/LEN($M108&amp;",")&gt;1,VLOOKUP($M108,SF_ELEMENTARISTALLE,3,FALSE),0)+
IF(AND((LEN($AW$35)-LEN(SUBSTITUTE($AW$35,$M108&amp;",","")))/LEN($M108&amp;",")&gt;0,(LEN($AW$34)-LEN(SUBSTITUTE($AW$34,$M108&amp;",","")))/LEN($M108&amp;",")&gt;0),ROUND(VLOOKUP($M108,SF_ELEMENTARISTALLE,3,FALSE)*0.5,0),0)</f>
        <v>0</v>
      </c>
      <c r="AN108" s="212">
        <f t="shared" ref="AN108:AN117" ca="1" si="84">IF(AND(NOT(ISBLANK($R108)),EXACT($V108,""),EXACT($N108,"")),IF(EXACT($O108,""),VLOOKUP($M108,SF_ELEMENTARISTALLE,3,FALSE),ROUND(VLOOKUP($M108,SF_ELEMENTARISTALLE,3,FALSE)/$AR108,0)),0)</f>
        <v>0</v>
      </c>
      <c r="AO108" s="212">
        <f t="shared" ref="AO108:AO117" ca="1" si="85">IF(AND(NOT(ISBLANK($S108)),EXACT($N108,"")),IF(EXACT($O108,""),VLOOKUP($M108,SF_ELEMENTARISTALLE,2,FALSE),ROUND(VLOOKUP($M108,SF_ELEMENTARISTALLE,2,FALSE)/$AR108,0)),0)</f>
        <v>0</v>
      </c>
      <c r="AP108" s="212">
        <f t="shared" ref="AP108:AP117" ca="1" si="86">IF(AND(NOT(ISBLANK($T108)),EXACT($N108,"")),IF(EXACT($O108,""),VLOOKUP($M108,SF_ELEMENTARISTALLE,2,FALSE),ROUND(VLOOKUP($M108,SF_ELEMENTARISTALLE,2,FALSE)/$AR108,0)),0)</f>
        <v>0</v>
      </c>
      <c r="AQ108" s="212">
        <f t="shared" ref="AQ108:AQ117" ca="1" si="87">IF(AND(NOT(ISBLANK($U108)),EXACT($V108,""),EXACT($N108,"")),IF(EXACT($O108,""),VLOOKUP($M108,SF_ELEMENTARISTALLE,2,FALSE),ROUND(VLOOKUP($M108,SF_ELEMENTARISTALLE,2,FALSE)/$AR108,0)),0)</f>
        <v>0</v>
      </c>
      <c r="AR108" s="212">
        <f t="shared" ref="AR108:AR117" ca="1" si="88">IF((LEN($AW$35)-LEN(SUBSTITUTE($AW$35,$M108&amp;",","")))/LEN($M108&amp;",")&gt;1,4,2)</f>
        <v>2</v>
      </c>
      <c r="AS108" s="1020" t="str">
        <f t="shared" ref="AS108:AS117" ca="1" si="89">IF(AND(EXACT($N108,""),ISBLANK($R108),ISBLANK($S108),ISBLANK($T108),ISBLANK($U108)),"",IF(EXACT($V108,""),"X",""))</f>
        <v/>
      </c>
      <c r="AT108" s="557" t="str">
        <f t="shared" ref="AT108:AT117" ca="1" si="90">IF(AND(EXACT($N108,""),ISBLANK($R108),ISBLANK($S108),ISBLANK($T108),ISBLANK($U108)),"",CONCATENATE($M108,", "))</f>
        <v/>
      </c>
      <c r="AU108" s="557">
        <v>1</v>
      </c>
      <c r="AV108" s="557"/>
      <c r="AW108" s="212"/>
      <c r="AX108" s="212"/>
      <c r="AY108" s="212"/>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234"/>
    </row>
    <row r="109" spans="1:74" x14ac:dyDescent="0.2">
      <c r="A109" s="1012" t="s">
        <v>7414</v>
      </c>
      <c r="B109" s="391" t="str">
        <f t="shared" ca="1" si="71"/>
        <v/>
      </c>
      <c r="C109" s="387" t="str">
        <f t="shared" ca="1" si="72"/>
        <v/>
      </c>
      <c r="D109" s="1127"/>
      <c r="E109" s="109"/>
      <c r="F109" s="384"/>
      <c r="G109" s="960"/>
      <c r="H109" s="960"/>
      <c r="I109" s="324"/>
      <c r="J109" s="1739" t="str">
        <f ca="1">IF(OR(NOT(ISBLANK($F109)),NOT(ISBLANK($G109)),NOT(ISBLANK($H109)),NOT(ISBLANK($I109))),
IF(NOT(EXACT($B109,"")),"Diese SF hast Du schon!",IF(KK&lt;16,"KK min. 16",IF(GE&lt;15,"GE min. 15",IF(AND(EXACT($B$94,""),ISBLANK($F$94),ISBLANK($G$94),ISBLANK($H$94),ISBLANK($I$94)),"SF Schildkampf II nötig",IF(AND(EXACT($B$59,""),ISBLANK($F$59),ISBLANK($G$59),ISBLANK($H$59),ISBLANK($I$59)),"SF Beidhändiger Kampf I nötig",""))))),
IF(AND(ZS_SE_VIEW,B109="",C109="",NOT(ISERR(FIND(A109,ZS_SF_ALLE,1)))),"SF verbilligt aus Studium",""))</f>
        <v/>
      </c>
      <c r="K109" s="1740"/>
      <c r="L109" s="1741"/>
      <c r="M109" s="1012" t="str">
        <f t="shared" si="80"/>
        <v>Edelsteinmagie</v>
      </c>
      <c r="N109" s="391" t="str">
        <f t="shared" ca="1" si="81"/>
        <v/>
      </c>
      <c r="O109" s="387" t="str">
        <f t="shared" ca="1" si="82"/>
        <v/>
      </c>
      <c r="P109" s="1127"/>
      <c r="Q109" s="109"/>
      <c r="R109" s="384"/>
      <c r="S109" s="960"/>
      <c r="T109" s="960"/>
      <c r="U109" s="324"/>
      <c r="V109" s="1739" t="str">
        <f>IF(OR(NOT(ISBLANK($R109)),NOT(ISBLANK($S109)),NOT(ISBLANK($T109)),NOT(ISBLANK($U109))),
IF(ISERROR(FIND("Elem (Erz)",CONCATENATE(Zauber!BP2,Zauber!BP3,Zauber!A241,Zauber!A242,Zauber!A243,Zauber!A244,Zauber!A245,Zauber!A246,Zauber!A247),1)),"MK Elementar (Erz) nicht erlernt",""),
"")</f>
        <v/>
      </c>
      <c r="W109" s="1740"/>
      <c r="X109" s="1741"/>
      <c r="Y109" s="717">
        <f ca="1">IF(AND(NOT(ISBLANK($F109)),EXACT($B109,"")),IF(EXACT($C109,""),VLOOKUP($A$105,SF_NAHFERNALLE,3,FALSE),ROUND(VLOOKUP($A$105,SF_NAHFERNALLE,3,FALSE)/$AC109,0)),0)</f>
        <v>0</v>
      </c>
      <c r="Z109" s="717">
        <f ca="1">IF(AND(NOT(ISBLANK($G109)),EXACT($B109,"")),IF(EXACT($C109,""),VLOOKUP($A$105,SF_NAHFERNALLE,2,FALSE),ROUND(VLOOKUP($A$105,SF_NAHFERNALLE,2,FALSE)/$AC109,0)),0)</f>
        <v>0</v>
      </c>
      <c r="AA109" s="717">
        <f ca="1">IF(AND(NOT(ISBLANK($H109)),EXACT($B109,"")),IF(EXACT($C109,""),VLOOKUP($A$105,SF_NAHFERNALLE,2,FALSE),ROUND(VLOOKUP($A$105,SF_NAHFERNALLE,2,FALSE)/$AC109,0)),0)</f>
        <v>0</v>
      </c>
      <c r="AB109" s="717">
        <f ca="1">IF(AND(NOT(ISBLANK($I109)),EXACT($B109,"")),IF(EXACT($C109,""),VLOOKUP($A$105,SF_NAHFERNALLE,2,FALSE),ROUND(VLOOKUP($A$105,SF_NAHFERNALLE,2,FALSE)/$AC109,0)),0)</f>
        <v>0</v>
      </c>
      <c r="AC109" s="212">
        <f t="shared" ca="1" si="48"/>
        <v>2</v>
      </c>
      <c r="AD109" s="557" t="str">
        <f ca="1">IF(AND(EXACT($B109,""),ISBLANK($G109),ISBLANK($H109),ISBLANK($I109),ISBLANK($F109)),"",CONCATENATE($A109,", "))</f>
        <v/>
      </c>
      <c r="AE109" s="718" t="str">
        <f ca="1">IF(AND(EXACT($B109,""),ISBLANK($I109),ISBLANK($H109),ISBLANK($G109),ISBLANK($F109)),"",IF(EXACT($J109,""),"X",""))</f>
        <v/>
      </c>
      <c r="AF109" s="1434"/>
      <c r="AG109" s="557"/>
      <c r="AH109" s="551"/>
      <c r="AI109" s="551"/>
      <c r="AJ109" s="551"/>
      <c r="AK109" s="551"/>
      <c r="AL109" s="559">
        <f t="shared" ca="1" si="75"/>
        <v>0</v>
      </c>
      <c r="AM109" s="246">
        <f t="shared" ca="1" si="83"/>
        <v>0</v>
      </c>
      <c r="AN109" s="212">
        <f t="shared" ca="1" si="84"/>
        <v>0</v>
      </c>
      <c r="AO109" s="212">
        <f t="shared" ca="1" si="85"/>
        <v>0</v>
      </c>
      <c r="AP109" s="212">
        <f t="shared" ca="1" si="86"/>
        <v>0</v>
      </c>
      <c r="AQ109" s="212">
        <f t="shared" ca="1" si="87"/>
        <v>0</v>
      </c>
      <c r="AR109" s="212">
        <f t="shared" ca="1" si="88"/>
        <v>2</v>
      </c>
      <c r="AS109" s="1020" t="str">
        <f t="shared" ca="1" si="89"/>
        <v/>
      </c>
      <c r="AT109" s="557" t="str">
        <f t="shared" ca="1" si="90"/>
        <v/>
      </c>
      <c r="AU109" s="557">
        <f>AU108+1</f>
        <v>2</v>
      </c>
      <c r="AV109" s="557"/>
      <c r="AW109" s="212"/>
      <c r="AX109" s="212"/>
      <c r="AY109" s="212"/>
      <c r="AZ109" s="18"/>
      <c r="BA109" s="18"/>
      <c r="BB109" s="18"/>
      <c r="BC109" s="18"/>
      <c r="BD109" s="18"/>
      <c r="BE109" s="18"/>
      <c r="BF109" s="18"/>
      <c r="BG109" s="18"/>
      <c r="BH109" s="18"/>
      <c r="BI109" s="18"/>
      <c r="BJ109" s="18"/>
      <c r="BK109" s="18"/>
      <c r="BL109" s="18"/>
      <c r="BM109" s="18"/>
      <c r="BN109" s="18"/>
      <c r="BO109" s="18"/>
      <c r="BP109" s="18"/>
      <c r="BQ109" s="18"/>
      <c r="BR109" s="18"/>
      <c r="BS109" s="18"/>
      <c r="BT109" s="190"/>
      <c r="BU109" s="190"/>
      <c r="BV109" s="1032"/>
    </row>
    <row r="110" spans="1:74" x14ac:dyDescent="0.2">
      <c r="A110" s="112" t="str">
        <f>INDEX(KPFSON,$AF110)</f>
        <v>Windmühle</v>
      </c>
      <c r="B110" s="391" t="str">
        <f t="shared" ca="1" si="71"/>
        <v/>
      </c>
      <c r="C110" s="387" t="str">
        <f t="shared" ca="1" si="72"/>
        <v/>
      </c>
      <c r="D110" s="1127"/>
      <c r="E110" s="109"/>
      <c r="F110" s="384"/>
      <c r="G110" s="960"/>
      <c r="H110" s="960"/>
      <c r="I110" s="324"/>
      <c r="J110" s="1739" t="str">
        <f ca="1">IF(AND(NOT(ISBLANK($F110)),NOT(ISBLANK($G110)),NOT(ISBLANK($H110)),NOT(ISBLANK($I110))),"Was denn nun? GP oder AP?",IF(AND(OR(NOT(ISBLANK($F110)),NOT(ISBLANK($G110)),NOT(ISBLANK($H110)),NOT(ISBLANK($I110))),NOT(EXACT($B110,""))),"Diese SF hast Du schon!",IF(AND(ZS_SE_VIEW,B110="",C110="",NOT(ISERR(FIND(A110,ZS_SF_ALLE,1)))),"SF verbilligt aus Studium","")))</f>
        <v/>
      </c>
      <c r="K110" s="1740"/>
      <c r="L110" s="1741"/>
      <c r="M110" s="1012" t="str">
        <f t="shared" si="80"/>
        <v>Elementares Gleichgewicht</v>
      </c>
      <c r="N110" s="391" t="str">
        <f t="shared" ca="1" si="81"/>
        <v/>
      </c>
      <c r="O110" s="387" t="str">
        <f t="shared" ca="1" si="82"/>
        <v/>
      </c>
      <c r="P110" s="1127"/>
      <c r="Q110" s="109"/>
      <c r="R110" s="384"/>
      <c r="S110" s="960"/>
      <c r="T110" s="960"/>
      <c r="U110" s="324"/>
      <c r="V110" s="1739" t="str">
        <f>IF(OR(NOT(ISBLANK($R110)),NOT(ISBLANK($S110)),NOT(ISBLANK($T110)),NOT(ISBLANK($U110))),
IF(TAW_ALCHIMIE&lt;11,"Alchimie &lt; 11",""),
"")</f>
        <v/>
      </c>
      <c r="W110" s="1740"/>
      <c r="X110" s="1741"/>
      <c r="Y110" s="212">
        <f ca="1">IF(AND(NOT(ISBLANK($F110)),EXACT($J110,""),EXACT($B110,"")),IF(EXACT($C110,""),VLOOKUP($A110,SF_NAHFERNALLE,3,FALSE),ROUND(VLOOKUP($A110,SF_NAHFERNALLE,3,FALSE)/$AC110,0)),0)</f>
        <v>0</v>
      </c>
      <c r="Z110" s="212">
        <f ca="1">IF(AND(NOT(ISBLANK($G110)),EXACT($B110,"")),IF(EXACT($C110,""),VLOOKUP($A110,SF_NAHFERNALLE,2,FALSE),ROUND(VLOOKUP($A110,SF_NAHFERNALLE,2,FALSE)/$AC110,0)),0)</f>
        <v>0</v>
      </c>
      <c r="AA110" s="212">
        <f ca="1">IF(AND(NOT(ISBLANK($H110)),EXACT($B110,"")),IF(EXACT($C110,""),VLOOKUP($A110,SF_NAHFERNALLE,2,FALSE),ROUND(VLOOKUP($A110,SF_NAHFERNALLE,2,FALSE)/$AC110,0)),0)</f>
        <v>0</v>
      </c>
      <c r="AB110" s="212">
        <f ca="1">IF(AND(NOT(ISBLANK($I110)),EXACT($J110,""),EXACT($B110,"")),IF(EXACT($C110,""),VLOOKUP($A110,SF_NAHFERNALLE,2,FALSE),ROUND(VLOOKUP($A110,SF_NAHFERNALLE,2,FALSE)/$AC110,0)),0)</f>
        <v>0</v>
      </c>
      <c r="AC110" s="212">
        <f t="shared" ca="1" si="48"/>
        <v>2</v>
      </c>
      <c r="AD110" s="557" t="str">
        <f ca="1">IF(AND(EXACT($B110,""),ISBLANK($G110),ISBLANK($H110),ISBLANK($I110),ISBLANK($F110)),"",CONCATENATE($A110,", "))</f>
        <v/>
      </c>
      <c r="AE110" s="549" t="str">
        <f ca="1">IF(AND(EXACT($B110,""),EXACT($E110,""),ISBLANK($G110),ISBLANK($H110),ISBLANK($I110),ISBLANK($F110)),"",IF(EXACT($J110,""),"X",""))</f>
        <v/>
      </c>
      <c r="AF110" s="1434">
        <v>55</v>
      </c>
      <c r="AG110" s="557"/>
      <c r="AH110" s="551"/>
      <c r="AI110" s="551"/>
      <c r="AJ110" s="551"/>
      <c r="AK110" s="551"/>
      <c r="AL110" s="559">
        <f t="shared" ca="1" si="75"/>
        <v>0</v>
      </c>
      <c r="AM110" s="246">
        <f t="shared" ca="1" si="83"/>
        <v>0</v>
      </c>
      <c r="AN110" s="212">
        <f t="shared" ca="1" si="84"/>
        <v>0</v>
      </c>
      <c r="AO110" s="212">
        <f t="shared" ca="1" si="85"/>
        <v>0</v>
      </c>
      <c r="AP110" s="212">
        <f t="shared" ca="1" si="86"/>
        <v>0</v>
      </c>
      <c r="AQ110" s="212">
        <f t="shared" ca="1" si="87"/>
        <v>0</v>
      </c>
      <c r="AR110" s="212">
        <f t="shared" ca="1" si="88"/>
        <v>2</v>
      </c>
      <c r="AS110" s="1020" t="str">
        <f t="shared" ca="1" si="89"/>
        <v/>
      </c>
      <c r="AT110" s="557" t="str">
        <f t="shared" ca="1" si="90"/>
        <v/>
      </c>
      <c r="AU110" s="557">
        <f t="shared" ref="AU110:AU117" si="91">AU109+1</f>
        <v>3</v>
      </c>
      <c r="AV110" s="557"/>
      <c r="AW110" s="212"/>
      <c r="AX110" s="212"/>
      <c r="AY110" s="212"/>
      <c r="AZ110" s="18"/>
      <c r="BA110" s="18"/>
      <c r="BB110" s="18"/>
      <c r="BC110" s="18"/>
      <c r="BD110" s="18"/>
      <c r="BE110" s="18"/>
      <c r="BF110" s="18"/>
      <c r="BG110" s="18"/>
      <c r="BH110" s="18"/>
      <c r="BI110" s="18"/>
      <c r="BJ110" s="18"/>
      <c r="BK110" s="18"/>
      <c r="BL110" s="18"/>
      <c r="BM110" s="18"/>
      <c r="BN110" s="18"/>
      <c r="BO110" s="18"/>
      <c r="BP110" s="18"/>
      <c r="BQ110" s="18"/>
      <c r="BR110" s="18"/>
      <c r="BS110" s="18"/>
      <c r="BT110" s="190"/>
      <c r="BU110" s="190"/>
      <c r="BV110" s="1032"/>
    </row>
    <row r="111" spans="1:74" x14ac:dyDescent="0.2">
      <c r="A111" s="112" t="str">
        <f>INDEX(KPFSON,$AF111)</f>
        <v>Wuchtschlag</v>
      </c>
      <c r="B111" s="391" t="str">
        <f t="shared" ca="1" si="71"/>
        <v/>
      </c>
      <c r="C111" s="387" t="str">
        <f t="shared" ca="1" si="72"/>
        <v/>
      </c>
      <c r="D111" s="1127"/>
      <c r="E111" s="109"/>
      <c r="F111" s="384"/>
      <c r="G111" s="960"/>
      <c r="H111" s="960"/>
      <c r="I111" s="324"/>
      <c r="J111" s="1739" t="str">
        <f ca="1">IF(OR(NOT(ISBLANK($F111)),NOT(ISBLANK($G111)),NOT(ISBLANK($H111)),NOT(ISBLANK($I111))),IF(NOT(EXACT($B111,"")),"Diese SF hast Du schon!",IF(KK&lt;12,"KK min. 12","")),IF(AND(ZS_SE_VIEW,B111="",C111="",NOT(ISERR(FIND(A111,ZS_SF_ALLE,1)))),"SF verbilligt aus Studium",""))</f>
        <v/>
      </c>
      <c r="K111" s="1740"/>
      <c r="L111" s="1741"/>
      <c r="M111" s="1012" t="str">
        <f t="shared" si="80"/>
        <v>Elementarist</v>
      </c>
      <c r="N111" s="391" t="str">
        <f t="shared" ca="1" si="81"/>
        <v/>
      </c>
      <c r="O111" s="387" t="str">
        <f t="shared" ca="1" si="82"/>
        <v/>
      </c>
      <c r="P111" s="1127"/>
      <c r="Q111" s="109"/>
      <c r="R111" s="384"/>
      <c r="S111" s="960"/>
      <c r="T111" s="960"/>
      <c r="U111" s="324"/>
      <c r="V111" s="1739" t="str">
        <f>IF(OR(NOT(ISBLANK($R111)),NOT(ISBLANK($S111)),NOT(ISBLANK($T111)),NOT(ISBLANK($U111))),
IF(CH&lt;15,"CH&lt;15","")&amp;IF(TAW_MAGIEKUNDE&lt;12,"Magiekunde &lt; 12","")&amp;
IF(ISERROR(FIND("Elem",CONCATENATE(Zauber!BP2,Zauber!BP3,Zauber!A241,Zauber!A242,Zauber!A243,Zauber!A244,Zauber!A245,Zauber!A246,Zauber!A247),1)),"Keine MK Elementar","")&amp;
IF(OR(Zauber!BB3&gt;10,Zauber!BC3&gt;10,Zauber!BD3&gt;10),"","ZfW Elementar &lt; 11"),
"")</f>
        <v/>
      </c>
      <c r="W111" s="1740"/>
      <c r="X111" s="1741"/>
      <c r="Y111" s="212">
        <f ca="1">IF(AND(NOT(ISBLANK($F111)),EXACT($J111,""),EXACT($B111,"")),IF(EXACT($C111,""),VLOOKUP($A111,SF_NAHFERNALLE,3,FALSE),ROUND(VLOOKUP($A111,SF_NAHFERNALLE,3,FALSE)/$AC111,0)),0)</f>
        <v>0</v>
      </c>
      <c r="Z111" s="212">
        <f ca="1">IF(AND(NOT(ISBLANK($G111)),EXACT($B111,"")),IF(EXACT($C111,""),VLOOKUP($A111,SF_NAHFERNALLE,2,FALSE),ROUND(VLOOKUP($A111,SF_NAHFERNALLE,2,FALSE)/$AC111,0)),0)</f>
        <v>0</v>
      </c>
      <c r="AA111" s="212">
        <f ca="1">IF(AND(NOT(ISBLANK($H111)),EXACT($B111,"")),IF(EXACT($C111,""),VLOOKUP($A111,SF_NAHFERNALLE,2,FALSE),ROUND(VLOOKUP($A111,SF_NAHFERNALLE,2,FALSE)/$AC111,0)),0)</f>
        <v>0</v>
      </c>
      <c r="AB111" s="212">
        <f ca="1">IF(AND(NOT(ISBLANK($I111)),EXACT($J111,""),EXACT($B111,"")),IF(EXACT($C111,""),VLOOKUP($A111,SF_NAHFERNALLE,2,FALSE),ROUND(VLOOKUP($A111,SF_NAHFERNALLE,2,FALSE)/$AC111,0)),0)</f>
        <v>0</v>
      </c>
      <c r="AC111" s="212">
        <f t="shared" ca="1" si="48"/>
        <v>2</v>
      </c>
      <c r="AD111" s="557" t="str">
        <f ca="1">IF(AND(EXACT($B111,""),ISBLANK($G111),ISBLANK($H111),ISBLANK($I111),ISBLANK($F111)),"",CONCATENATE($A111,", "))</f>
        <v/>
      </c>
      <c r="AE111" s="549" t="str">
        <f ca="1">IF(AND(EXACT($B111,""),EXACT($E111,""),ISBLANK($G111),ISBLANK($H111),ISBLANK($I111),ISBLANK($F111)),"",IF(EXACT($J111,""),"X",""))</f>
        <v/>
      </c>
      <c r="AF111" s="1435">
        <v>56</v>
      </c>
      <c r="AG111" s="557"/>
      <c r="AH111" s="551"/>
      <c r="AI111" s="551"/>
      <c r="AJ111" s="551"/>
      <c r="AK111" s="551"/>
      <c r="AL111" s="559">
        <f t="shared" ca="1" si="75"/>
        <v>0</v>
      </c>
      <c r="AM111" s="246">
        <f t="shared" ca="1" si="83"/>
        <v>0</v>
      </c>
      <c r="AN111" s="212">
        <f t="shared" ca="1" si="84"/>
        <v>0</v>
      </c>
      <c r="AO111" s="212">
        <f t="shared" ca="1" si="85"/>
        <v>0</v>
      </c>
      <c r="AP111" s="212">
        <f t="shared" ca="1" si="86"/>
        <v>0</v>
      </c>
      <c r="AQ111" s="212">
        <f t="shared" ca="1" si="87"/>
        <v>0</v>
      </c>
      <c r="AR111" s="212">
        <f t="shared" ca="1" si="88"/>
        <v>2</v>
      </c>
      <c r="AS111" s="1020" t="str">
        <f t="shared" ca="1" si="89"/>
        <v/>
      </c>
      <c r="AT111" s="557" t="str">
        <f t="shared" ca="1" si="90"/>
        <v/>
      </c>
      <c r="AU111" s="557">
        <f t="shared" si="91"/>
        <v>4</v>
      </c>
      <c r="AV111" s="557"/>
      <c r="AW111" s="212"/>
      <c r="AX111" s="212"/>
      <c r="AY111" s="212"/>
      <c r="AZ111" s="18"/>
      <c r="BA111" s="18"/>
      <c r="BB111" s="18"/>
      <c r="BC111" s="18"/>
      <c r="BD111" s="18"/>
      <c r="BE111" s="18"/>
      <c r="BF111" s="18"/>
      <c r="BG111" s="18"/>
      <c r="BH111" s="18"/>
      <c r="BI111" s="18"/>
      <c r="BJ111" s="18"/>
      <c r="BK111" s="18"/>
      <c r="BL111" s="18"/>
      <c r="BM111" s="18"/>
      <c r="BN111" s="18"/>
      <c r="BO111" s="18"/>
      <c r="BP111" s="18"/>
      <c r="BQ111" s="18"/>
      <c r="BR111" s="18"/>
      <c r="BS111" s="18"/>
      <c r="BT111" s="190"/>
      <c r="BU111" s="190"/>
      <c r="BV111" s="1106" t="str">
        <f ca="1">HLOOKUP(RASSEGENE,RASSE,IDX_WFK,FALSE)&amp;
HLOOKUP(KULTURGENE,KULTUR,IDX_WFK,FALSE)&amp;
HLOOKUP(PROFGENE,INDIRECT(PROFGEBIET),IDX_WFK,FALSE)&amp;
IF(LEN(PROFZWEITE)&lt;1,"",HLOOKUP(PROFZWEITE,INDIRECT(PROFGEBIET2),IDX_WFK,FALSE))</f>
        <v/>
      </c>
    </row>
    <row r="112" spans="1:74" x14ac:dyDescent="0.2">
      <c r="A112" s="180" t="s">
        <v>3630</v>
      </c>
      <c r="B112" s="204"/>
      <c r="C112" s="204"/>
      <c r="D112" s="204"/>
      <c r="E112" s="204"/>
      <c r="F112" s="204"/>
      <c r="G112" s="204"/>
      <c r="H112" s="204"/>
      <c r="I112" s="204"/>
      <c r="J112" s="775" t="str">
        <f ca="1">IF(GP=0,CONCATENATE("noch ",APGUT," AP übrig"),IF(GP&lt;0,CONCATENATE("Du hast ",ABS(GP)," GP zuviel verteilt"),CONCATENATE("Eingesetzt: ",GPSTART-GP," von ",GPSTART," GP")))</f>
        <v>Du hast 64 GP zuviel verteilt</v>
      </c>
      <c r="K112" s="775"/>
      <c r="L112" s="1016"/>
      <c r="M112" s="1012" t="str">
        <f t="shared" si="80"/>
        <v>Flüsterer der 1000 Namen</v>
      </c>
      <c r="N112" s="391" t="str">
        <f t="shared" ca="1" si="81"/>
        <v/>
      </c>
      <c r="O112" s="387" t="str">
        <f t="shared" ca="1" si="82"/>
        <v/>
      </c>
      <c r="P112" s="1127"/>
      <c r="Q112" s="109"/>
      <c r="R112" s="384"/>
      <c r="S112" s="960"/>
      <c r="T112" s="960"/>
      <c r="U112" s="324"/>
      <c r="V112" s="1739" t="str">
        <f>IF(OR(NOT(ISBLANK($R112)),NOT(ISBLANK($S112)),NOT(ISBLANK($T112)),NOT(ISBLANK($U112))),
IF(AT111="","SF Elementarist",""),
"")</f>
        <v/>
      </c>
      <c r="W112" s="1740"/>
      <c r="X112" s="1741"/>
      <c r="Y112" s="1132" t="s">
        <v>4243</v>
      </c>
      <c r="Z112" s="1017"/>
      <c r="AA112" s="1017"/>
      <c r="AB112" s="1017"/>
      <c r="AC112" s="1017"/>
      <c r="AD112" s="1017"/>
      <c r="AE112" s="1017"/>
      <c r="AF112" s="1017"/>
      <c r="AG112" s="1133"/>
      <c r="AH112" s="1133" t="str">
        <f ca="1">CONCATENATE(AI112,AJ112,AK112)</f>
        <v>,,,,,,,,,</v>
      </c>
      <c r="AI112" s="1133" t="str">
        <f>CONCATENATE(HLOOKUP(RASSEGENE,RASSE,IDX_FK,FALSE)&amp;",",HLOOKUP(RASSEGENE,RASSE,IDX_FK+1,FALSE)&amp;",",HLOOKUP(RASSEGENE,RASSE,IDX_FK+2,FALSE)&amp;",")</f>
        <v>,,,</v>
      </c>
      <c r="AJ112" s="1133" t="str">
        <f>CONCATENATE(HLOOKUP(KULTURGENE,KULTUR,IDX_FK,FALSE)&amp;",",HLOOKUP(KULTURGENE,KULTUR,IDX_FK+1,FALSE)&amp;",",HLOOKUP(KULTURGENE,KULTUR,IDX_FK+2,FALSE)&amp;",")</f>
        <v>,,,</v>
      </c>
      <c r="AK112" s="1133" t="str">
        <f ca="1">CONCATENATE(HLOOKUP(PROFGENE,INDIRECT(PROFGEBIET),IDX_FK,FALSE)&amp;",",HLOOKUP(PROFGENE,INDIRECT(PROFGEBIET),IDX_FK+1,FALSE)&amp;",",HLOOKUP(PROFGENE,INDIRECT(PROFGEBIET),IDX_FK+2,FALSE)&amp;",")</f>
        <v>,,,</v>
      </c>
      <c r="AL112" s="1134" t="str">
        <f ca="1">IF(LEN(PROFZWEITE)&lt;1,"",CONCATENATE(HLOOKUP(PROFZWEITE,INDIRECT(PROFGEBIET2),IDX_FK,FALSE)&amp;",",HLOOKUP(PROFZWEITE,INDIRECT(PROFGEBIET2),IDX_FK+1,FALSE)&amp;",",HLOOKUP(PROFZWEITE,INDIRECT(PROFGEBIET2),IDX_FK+2,FALSE)&amp;","))</f>
        <v/>
      </c>
      <c r="AM112" s="246">
        <f t="shared" ca="1" si="83"/>
        <v>0</v>
      </c>
      <c r="AN112" s="212">
        <f t="shared" ca="1" si="84"/>
        <v>0</v>
      </c>
      <c r="AO112" s="212">
        <f t="shared" ca="1" si="85"/>
        <v>0</v>
      </c>
      <c r="AP112" s="212">
        <f t="shared" ca="1" si="86"/>
        <v>0</v>
      </c>
      <c r="AQ112" s="212">
        <f t="shared" ca="1" si="87"/>
        <v>0</v>
      </c>
      <c r="AR112" s="212">
        <f t="shared" ca="1" si="88"/>
        <v>2</v>
      </c>
      <c r="AS112" s="1020" t="str">
        <f t="shared" ca="1" si="89"/>
        <v/>
      </c>
      <c r="AT112" s="557" t="str">
        <f t="shared" ca="1" si="90"/>
        <v/>
      </c>
      <c r="AU112" s="557">
        <f t="shared" si="91"/>
        <v>5</v>
      </c>
      <c r="AV112" s="557"/>
      <c r="AW112" s="212"/>
      <c r="AX112" s="212"/>
      <c r="AY112" s="212"/>
      <c r="AZ112" s="18"/>
      <c r="BA112" s="18"/>
      <c r="BB112" s="18"/>
      <c r="BC112" s="18"/>
      <c r="BD112" s="18"/>
      <c r="BE112" s="18"/>
      <c r="BF112" s="18"/>
      <c r="BG112" s="18"/>
      <c r="BH112" s="18"/>
      <c r="BI112" s="18"/>
      <c r="BJ112" s="18"/>
      <c r="BK112" s="18"/>
      <c r="BL112" s="18"/>
      <c r="BM112" s="18"/>
      <c r="BN112" s="18"/>
      <c r="BO112" s="18"/>
      <c r="BP112" s="18"/>
      <c r="BQ112" s="18"/>
      <c r="BR112" s="18"/>
      <c r="BS112" s="18"/>
      <c r="BT112" s="190"/>
      <c r="BU112" s="190"/>
      <c r="BV112" s="1107" t="str">
        <f ca="1">HLOOKUP(RASSEGENE,RASSE,IDX_WVFK,FALSE)&amp;
HLOOKUP(KULTURGENE,KULTUR,IDX_WVFK,FALSE)&amp;
HLOOKUP(PROFGENE,INDIRECT(PROFGEBIET),IDX_WVFK,FALSE)&amp;
IF(LEN(PROFZWEITE)&lt;1,"",HLOOKUP(PROFZWEITE,INDIRECT(PROFGEBIET2),IDX_WVFK,FALSE))</f>
        <v/>
      </c>
    </row>
    <row r="113" spans="1:74" x14ac:dyDescent="0.2">
      <c r="A113" s="1855" t="str">
        <f ca="1">IF(BV111="","","Wählbare SF Fernkampf: "&amp;BV111&amp;" ")&amp;
IF(BV112="","","Wählbare Verbilligte SF Fernkampf: "&amp;BV112)</f>
        <v/>
      </c>
      <c r="B113" s="1856"/>
      <c r="C113" s="1856"/>
      <c r="D113" s="1856"/>
      <c r="E113" s="1856"/>
      <c r="F113" s="1856"/>
      <c r="G113" s="1856"/>
      <c r="H113" s="1856"/>
      <c r="I113" s="1856"/>
      <c r="J113" s="1856"/>
      <c r="K113" s="1856"/>
      <c r="L113" s="1857"/>
      <c r="M113" s="1012" t="str">
        <f t="shared" si="80"/>
        <v>Golemidenbauer</v>
      </c>
      <c r="N113" s="391" t="str">
        <f t="shared" ca="1" si="81"/>
        <v/>
      </c>
      <c r="O113" s="387" t="str">
        <f t="shared" ca="1" si="82"/>
        <v/>
      </c>
      <c r="P113" s="1127"/>
      <c r="Q113" s="109"/>
      <c r="R113" s="384"/>
      <c r="S113" s="960"/>
      <c r="T113" s="960"/>
      <c r="U113" s="324"/>
      <c r="V113" s="1739" t="str">
        <f>IF(OR(NOT(ISBLANK($R113)),NOT(ISBLANK($S113)),NOT(ISBLANK($T113)),NOT(ISBLANK($U113))),
IF(MU&lt;15,"MU&lt;15","")&amp;IF(TAW_MAGIEKUNDE&lt;11,"Magiekunde &lt; 11",""),
"")</f>
        <v/>
      </c>
      <c r="W113" s="1740"/>
      <c r="X113" s="1741"/>
      <c r="Y113" s="1135" t="s">
        <v>4239</v>
      </c>
      <c r="Z113" s="1021"/>
      <c r="AA113" s="1021"/>
      <c r="AB113" s="1021"/>
      <c r="AC113" s="1021"/>
      <c r="AD113" s="1021"/>
      <c r="AE113" s="1021"/>
      <c r="AF113" s="1021"/>
      <c r="AG113" s="1085"/>
      <c r="AH113" s="1085" t="str">
        <f ca="1">CONCATENATE(AI113,AJ113,AK113,IF(VT_BBILDUNG,AL112&amp;AL113,""))</f>
        <v>,,,,,,,,,,,,</v>
      </c>
      <c r="AI113" s="1085" t="str">
        <f>CONCATENATE(HLOOKUP(RASSEGENE,RASSE,IDX_VFK,FALSE)&amp;",",HLOOKUP(RASSEGENE,RASSE,IDX_VFK+1,FALSE)&amp;",",HLOOKUP(RASSEGENE,RASSE,IDX_VFK+2,FALSE)&amp;",",HLOOKUP(RASSEGENE,RASSE,IDX_VFK+3,FALSE)&amp;",")</f>
        <v>,,,,</v>
      </c>
      <c r="AJ113" s="1085" t="str">
        <f>CONCATENATE(HLOOKUP(KULTURGENE,KULTUR,IDX_VFK,FALSE)&amp;",",HLOOKUP(KULTURGENE,KULTUR,IDX_VFK+1,FALSE)&amp;",",HLOOKUP(KULTURGENE,KULTUR,IDX_VFK+2,FALSE)&amp;",",HLOOKUP(KULTURGENE,KULTUR,IDX_VFK+3,FALSE)&amp;",")</f>
        <v>,,,,</v>
      </c>
      <c r="AK113" s="1085" t="str">
        <f ca="1">CONCATENATE(HLOOKUP(PROFGENE,INDIRECT(PROFGEBIET),IDX_VFK,FALSE)&amp;",",HLOOKUP(PROFGENE,INDIRECT(PROFGEBIET),IDX_VFK+1,FALSE)&amp;",",HLOOKUP(PROFGENE,INDIRECT(PROFGEBIET),IDX_VFK+2,FALSE)&amp;",",HLOOKUP(PROFGENE,INDIRECT(PROFGEBIET),IDX_VFK+3,FALSE)&amp;",")</f>
        <v>,,,,</v>
      </c>
      <c r="AL113" s="1136" t="str">
        <f ca="1">IF(LEN(PROFZWEITE)&lt;1,"",CONCATENATE(HLOOKUP(PROFZWEITE,INDIRECT(PROFGEBIET2),IDX_VFK,FALSE)&amp;",",HLOOKUP(PROFZWEITE,INDIRECT(PROFGEBIET2),IDX_VFK+1,FALSE)&amp;",",HLOOKUP(PROFZWEITE,INDIRECT(PROFGEBIET2),IDX_VFK+2,FALSE)&amp;",",HLOOKUP(PROFZWEITE,INDIRECT(PROFGEBIET2),IDX_VFK+3,FALSE)&amp;","))</f>
        <v/>
      </c>
      <c r="AM113" s="246">
        <f t="shared" ca="1" si="83"/>
        <v>0</v>
      </c>
      <c r="AN113" s="212">
        <f t="shared" ca="1" si="84"/>
        <v>0</v>
      </c>
      <c r="AO113" s="212">
        <f t="shared" ca="1" si="85"/>
        <v>0</v>
      </c>
      <c r="AP113" s="212">
        <f t="shared" ca="1" si="86"/>
        <v>0</v>
      </c>
      <c r="AQ113" s="212">
        <f t="shared" ca="1" si="87"/>
        <v>0</v>
      </c>
      <c r="AR113" s="212">
        <f t="shared" ca="1" si="88"/>
        <v>2</v>
      </c>
      <c r="AS113" s="1020" t="str">
        <f t="shared" ca="1" si="89"/>
        <v/>
      </c>
      <c r="AT113" s="557" t="str">
        <f t="shared" ca="1" si="90"/>
        <v/>
      </c>
      <c r="AU113" s="557">
        <f t="shared" si="91"/>
        <v>6</v>
      </c>
      <c r="AV113" s="557"/>
      <c r="AW113" s="212"/>
      <c r="AX113" s="212"/>
      <c r="AY113" s="212"/>
      <c r="AZ113" s="18"/>
      <c r="BA113" s="18"/>
      <c r="BB113" s="18"/>
      <c r="BC113" s="18"/>
      <c r="BD113" s="18"/>
      <c r="BE113" s="18"/>
      <c r="BF113" s="18"/>
      <c r="BG113" s="18"/>
      <c r="BH113" s="18"/>
      <c r="BI113" s="18"/>
      <c r="BJ113" s="18"/>
      <c r="BK113" s="18"/>
      <c r="BL113" s="18"/>
      <c r="BM113" s="18"/>
      <c r="BN113" s="18"/>
      <c r="BO113" s="18"/>
      <c r="BP113" s="18"/>
      <c r="BQ113" s="18"/>
      <c r="BR113" s="18"/>
      <c r="BS113" s="18"/>
      <c r="BT113" s="190"/>
      <c r="BU113" s="190"/>
      <c r="BV113" s="234"/>
    </row>
    <row r="114" spans="1:74" x14ac:dyDescent="0.2">
      <c r="A114" s="1858"/>
      <c r="B114" s="1859"/>
      <c r="C114" s="1859"/>
      <c r="D114" s="1859"/>
      <c r="E114" s="1859"/>
      <c r="F114" s="1859"/>
      <c r="G114" s="1859"/>
      <c r="H114" s="1859"/>
      <c r="I114" s="1859"/>
      <c r="J114" s="1859"/>
      <c r="K114" s="1859"/>
      <c r="L114" s="1860"/>
      <c r="M114" s="1012" t="str">
        <f t="shared" si="80"/>
        <v>Harmonisierte Eis-Humus-Aura</v>
      </c>
      <c r="N114" s="391" t="str">
        <f t="shared" ca="1" si="81"/>
        <v/>
      </c>
      <c r="O114" s="387" t="str">
        <f t="shared" ca="1" si="82"/>
        <v/>
      </c>
      <c r="P114" s="1127"/>
      <c r="Q114" s="109"/>
      <c r="R114" s="384"/>
      <c r="S114" s="960"/>
      <c r="T114" s="960"/>
      <c r="U114" s="324"/>
      <c r="V114" s="1739" t="str">
        <f>IF(OR(NOT(ISBLANK($R114)),NOT(ISBLANK($S114)),NOT(ISBLANK($T114)),NOT(ISBLANK($U114))),
IF(KL&lt;15,"KL&lt;15","")&amp;IF(IN&lt;15,"IN&lt;15","")&amp;IF(TAW_MAGIEKUNDE&lt;12,"Magiekunde &lt; 12","")&amp;
IF(OR(ISERROR(FIND("Elem",CONCATENATE(Zauber!BP2,Zauber!BP3,Zauber!A241,Zauber!A242,Zauber!A243,Zauber!A244,Zauber!A245,Zauber!A246,Zauber!A247),1)),ISERROR(FIND("Elem",CONCATENATE(Zauber!T3,Zauber!T4,Zauber!T5),1))),"Keine Begabung/MK",""),
"")</f>
        <v/>
      </c>
      <c r="W114" s="1740"/>
      <c r="X114" s="1741"/>
      <c r="Y114" s="1137"/>
      <c r="Z114" s="1138"/>
      <c r="AA114" s="1138"/>
      <c r="AB114" s="1138"/>
      <c r="AC114" s="1138"/>
      <c r="AD114" s="1138"/>
      <c r="AE114" s="1138"/>
      <c r="AF114" s="1138"/>
      <c r="AG114" s="1138"/>
      <c r="AH114" s="1138"/>
      <c r="AI114" s="1138"/>
      <c r="AJ114" s="1138"/>
      <c r="AK114" s="1138"/>
      <c r="AL114" s="1139"/>
      <c r="AM114" s="246">
        <f t="shared" ca="1" si="83"/>
        <v>0</v>
      </c>
      <c r="AN114" s="212">
        <f t="shared" ca="1" si="84"/>
        <v>0</v>
      </c>
      <c r="AO114" s="212">
        <f t="shared" ca="1" si="85"/>
        <v>0</v>
      </c>
      <c r="AP114" s="212">
        <f t="shared" ca="1" si="86"/>
        <v>0</v>
      </c>
      <c r="AQ114" s="212">
        <f t="shared" ca="1" si="87"/>
        <v>0</v>
      </c>
      <c r="AR114" s="212">
        <f t="shared" ca="1" si="88"/>
        <v>2</v>
      </c>
      <c r="AS114" s="1020" t="str">
        <f t="shared" ca="1" si="89"/>
        <v/>
      </c>
      <c r="AT114" s="557" t="str">
        <f t="shared" ca="1" si="90"/>
        <v/>
      </c>
      <c r="AU114" s="557">
        <f t="shared" si="91"/>
        <v>7</v>
      </c>
      <c r="AV114" s="557"/>
      <c r="AW114" s="212"/>
      <c r="AX114" s="212"/>
      <c r="AY114" s="212"/>
      <c r="AZ114" s="18"/>
      <c r="BA114" s="18"/>
      <c r="BB114" s="18"/>
      <c r="BC114" s="18"/>
      <c r="BD114" s="18"/>
      <c r="BE114" s="18"/>
      <c r="BF114" s="18"/>
      <c r="BG114" s="18"/>
      <c r="BH114" s="18"/>
      <c r="BI114" s="18"/>
      <c r="BJ114" s="18"/>
      <c r="BK114" s="18"/>
      <c r="BL114" s="18"/>
      <c r="BM114" s="18"/>
      <c r="BN114" s="18"/>
      <c r="BO114" s="18"/>
      <c r="BP114" s="18"/>
      <c r="BQ114" s="18"/>
      <c r="BR114" s="18"/>
      <c r="BS114" s="18"/>
      <c r="BT114" s="190"/>
      <c r="BU114" s="190"/>
      <c r="BV114" s="234"/>
    </row>
    <row r="115" spans="1:74" x14ac:dyDescent="0.2">
      <c r="A115" s="112" t="str">
        <f>INDEX(KPFSON,$AF115)</f>
        <v>Berittener Schütze</v>
      </c>
      <c r="B115" s="391" t="str">
        <f ca="1">IF(NOT(ISERR(FIND(A115&amp;",",$AH$112,1))),"x",
IF(D115="X","x",""))</f>
        <v/>
      </c>
      <c r="C115" s="387" t="str">
        <f ca="1">IF(NOT(ISERR(FIND(A115&amp;",",$AH$113,1))),"x",
IF(D115="V","x",""))</f>
        <v/>
      </c>
      <c r="D115" s="1127"/>
      <c r="E115" s="109"/>
      <c r="F115" s="384"/>
      <c r="G115" s="960"/>
      <c r="H115" s="960"/>
      <c r="I115" s="324"/>
      <c r="J115" s="1739" t="str">
        <f ca="1">IF(AND(NOT(ISBLANK($F115)),NOT(ISBLANK($G115)),NOT(ISBLANK($H115)),NOT(ISBLANK($I115))),"Was denn nun? GP oder AP?",IF(OR(NOT(ISBLANK($F115)),NOT(ISBLANK($G115)),NOT(ISBLANK($H115)),NOT(ISBLANK($I115))),IF(NOT(EXACT($B115,"")),"Diese SF hast Du schon!",IF(SUM(Talente!$B$48,Talente!$G$48,Talente!$I$48)&lt;7,"TaW Reiten min. 7","")),IF(AND(ZS_SE_VIEW,B115="",C115="",NOT(ISERR(FIND(A115,ZS_SF_ALLE,1)))),"SF verbilligt aus Studium","")))</f>
        <v/>
      </c>
      <c r="K115" s="1740"/>
      <c r="L115" s="1741"/>
      <c r="M115" s="1012" t="str">
        <f t="shared" si="80"/>
        <v>Harmonisierte Feuer-Wasser-Aura</v>
      </c>
      <c r="N115" s="391" t="str">
        <f t="shared" ca="1" si="81"/>
        <v/>
      </c>
      <c r="O115" s="387" t="str">
        <f t="shared" ca="1" si="82"/>
        <v/>
      </c>
      <c r="P115" s="1127"/>
      <c r="Q115" s="109"/>
      <c r="R115" s="384"/>
      <c r="S115" s="960"/>
      <c r="T115" s="960"/>
      <c r="U115" s="324"/>
      <c r="V115" s="1739" t="str">
        <f>IF(OR(NOT(ISBLANK($R115)),NOT(ISBLANK($S115)),NOT(ISBLANK($T115)),NOT(ISBLANK($U115))),
IF(KL&lt;15,"KL&lt;15","")&amp;IF(IN&lt;15,"IN&lt;15","")&amp;IF(TAW_MAGIEKUNDE&lt;12,"Magiekunde &lt; 12","")&amp;
IF(OR(ISERROR(FIND("Elem",CONCATENATE(Zauber!BP2,Zauber!BP3,Zauber!A241,Zauber!A242,Zauber!A243,Zauber!A244,Zauber!A245,Zauber!A246,Zauber!A247),1)),ISERROR(FIND("Elem",CONCATENATE(Zauber!T3,Zauber!T4,Zauber!T5),1))),"Keine Begabung/MK",""),
"")</f>
        <v/>
      </c>
      <c r="W115" s="1740"/>
      <c r="X115" s="1741"/>
      <c r="Y115" s="245">
        <f t="shared" ref="Y115:Y123" ca="1" si="92">IF(AND(NOT(ISBLANK($F115)),EXACT($J115,""),EXACT($B115,"")),IF(EXACT($C115,""),VLOOKUP($A115,SF_NAHFERNALLE,3,FALSE),ROUND(VLOOKUP($A115,SF_NAHFERNALLE,3,FALSE)/$AC115,0)),0)</f>
        <v>0</v>
      </c>
      <c r="Z115" s="554">
        <f t="shared" ref="Z115:Z123" ca="1" si="93">IF(AND(NOT(ISBLANK($G115)),EXACT($B115,"")),IF(EXACT($C115,""),VLOOKUP($A115,SF_NAHFERNALLE,2,FALSE),ROUND(VLOOKUP($A115,SF_NAHFERNALLE,2,FALSE)/$AC115,0)),0)</f>
        <v>0</v>
      </c>
      <c r="AA115" s="554">
        <f t="shared" ref="AA115:AA123" ca="1" si="94">IF(AND(NOT(ISBLANK($H115)),EXACT($B115,"")),IF(EXACT($C115,""),VLOOKUP($A115,SF_NAHFERNALLE,2,FALSE),ROUND(VLOOKUP($A115,SF_NAHFERNALLE,2,FALSE)/$AC115,0)),0)</f>
        <v>0</v>
      </c>
      <c r="AB115" s="554">
        <f t="shared" ref="AB115:AB123" ca="1" si="95">IF(AND(NOT(ISBLANK($I115)),EXACT($J115,""),EXACT($B115,"")),IF(EXACT($C115,""),VLOOKUP($A115,SF_NAHFERNALLE,2,FALSE),ROUND(VLOOKUP($A115,SF_NAHFERNALLE,2,FALSE)/$AC115,0)),0)</f>
        <v>0</v>
      </c>
      <c r="AC115" s="554">
        <f ca="1">IF((LEN($AH$113)-LEN(SUBSTITUTE($AH$113,$A115&amp;",","")))/LEN($A115&amp;",")&gt;1,4,2)</f>
        <v>2</v>
      </c>
      <c r="AD115" s="1162" t="str">
        <f ca="1">IF(AND(EXACT($B115,""),ISBLANK($G115),ISBLANK($H115),ISBLANK($I115),ISBLANK($F115)),"",CONCATENATE($A115,", "))</f>
        <v/>
      </c>
      <c r="AE115" s="549" t="str">
        <f t="shared" ref="AE115:AE122" ca="1" si="96">IF(AND(EXACT($B115,""),EXACT($E115,""),ISBLANK($G115),ISBLANK($H115),ISBLANK($I115),ISBLANK($F115)),"",IF(EXACT($J115,""),"X",""))</f>
        <v/>
      </c>
      <c r="AF115" s="1161">
        <f>$AF111+1</f>
        <v>57</v>
      </c>
      <c r="AG115" s="1161"/>
      <c r="AH115" s="554"/>
      <c r="AI115" s="554"/>
      <c r="AJ115" s="554"/>
      <c r="AK115" s="554"/>
      <c r="AL115" s="1054">
        <f t="shared" ref="AL115:AL123" ca="1" si="97">IF((LEN($AH$112)-LEN(SUBSTITUTE($AH$112,$A115&amp;",","")))/LEN($A115&amp;",")&gt;1,VLOOKUP($A115,SF_NAHFERNALLE,3,FALSE),0)+
IF(AND((LEN($AH$113)-LEN(SUBSTITUTE($AH$113,$A115&amp;",","")))/LEN($A115&amp;",")&gt;0,(LEN($AH$112)-LEN(SUBSTITUTE($AH$112,$A115&amp;",","")))/LEN($A115&amp;",")&gt;0),ROUND(VLOOKUP($A115,SF_NAHFERNALLE,3,FALSE)*0.5,0),0)</f>
        <v>0</v>
      </c>
      <c r="AM115" s="246">
        <f t="shared" ca="1" si="83"/>
        <v>0</v>
      </c>
      <c r="AN115" s="212">
        <f t="shared" ca="1" si="84"/>
        <v>0</v>
      </c>
      <c r="AO115" s="212">
        <f t="shared" ca="1" si="85"/>
        <v>0</v>
      </c>
      <c r="AP115" s="212">
        <f t="shared" ca="1" si="86"/>
        <v>0</v>
      </c>
      <c r="AQ115" s="212">
        <f t="shared" ca="1" si="87"/>
        <v>0</v>
      </c>
      <c r="AR115" s="212">
        <f t="shared" ca="1" si="88"/>
        <v>2</v>
      </c>
      <c r="AS115" s="1020" t="str">
        <f t="shared" ca="1" si="89"/>
        <v/>
      </c>
      <c r="AT115" s="557" t="str">
        <f t="shared" ca="1" si="90"/>
        <v/>
      </c>
      <c r="AU115" s="557">
        <f t="shared" si="91"/>
        <v>8</v>
      </c>
      <c r="AV115" s="557"/>
      <c r="AW115" s="212"/>
      <c r="AX115" s="212"/>
      <c r="AY115" s="212"/>
      <c r="AZ115" s="18"/>
      <c r="BA115" s="18"/>
      <c r="BB115" s="18"/>
      <c r="BC115" s="18"/>
      <c r="BD115" s="18"/>
      <c r="BE115" s="18"/>
      <c r="BF115" s="18"/>
      <c r="BG115" s="18"/>
      <c r="BH115" s="18"/>
      <c r="BI115" s="18"/>
      <c r="BJ115" s="18"/>
      <c r="BK115" s="18"/>
      <c r="BL115" s="18"/>
      <c r="BM115" s="18"/>
      <c r="BN115" s="18"/>
      <c r="BO115" s="18"/>
      <c r="BP115" s="18"/>
      <c r="BQ115" s="18"/>
      <c r="BR115" s="18"/>
      <c r="BS115" s="18"/>
      <c r="BT115" s="190"/>
      <c r="BU115" s="190"/>
      <c r="BV115" s="234"/>
    </row>
    <row r="116" spans="1:74" x14ac:dyDescent="0.2">
      <c r="A116" s="112" t="str">
        <f>INDEX(KPFSON,$AF116)</f>
        <v>Eisenhagel</v>
      </c>
      <c r="B116" s="391" t="str">
        <f ca="1">IF(NOT(ISERR(FIND(A116&amp;",",$AH$112,1))),"x",
IF(D116="X","x",""))</f>
        <v/>
      </c>
      <c r="C116" s="387" t="str">
        <f ca="1">IF(NOT(ISERR(FIND(A116&amp;",",$AH$113,1))),"x",
IF(D116="V","x",""))</f>
        <v/>
      </c>
      <c r="D116" s="1127"/>
      <c r="E116" s="109"/>
      <c r="F116" s="384"/>
      <c r="G116" s="960"/>
      <c r="H116" s="960"/>
      <c r="I116" s="324"/>
      <c r="J116" s="1739" t="str">
        <f ca="1">IF(OR(NOT(ISBLANK($F116)),NOT(ISBLANK($G116)),NOT(ISBLANK($H116)),NOT(ISBLANK($I116))),IF(NOT(EXACT($B116,"")),"Diese SF hast Du schon!",IF(FF&lt;12,"FF min. 12",IF(SUM(Talente!$B$36,Talente!$G$36,Talente!$I$36)&lt;10,"TaW Wurfmesser min. 10",
IF(NOT(OR(EXACT(WFS_WURFMESSER1,"Wurfscheibe/-ring"),EXACT(WFS_WURFMESSER2,"Wurfscheibe/-ring"))),"SF Wfnspz. Wurfscheibe nötig","")
))),IF(AND(ZS_SE_VIEW,B116="",C116="",NOT(ISERR(FIND(A116,ZS_SF_ALLE,1)))),"SF verbilligt aus Studium",""))</f>
        <v/>
      </c>
      <c r="K116" s="1740"/>
      <c r="L116" s="1741"/>
      <c r="M116" s="1012" t="str">
        <f t="shared" si="80"/>
        <v>Harmonisierte Luft-Fels-Aura</v>
      </c>
      <c r="N116" s="391" t="str">
        <f t="shared" ca="1" si="81"/>
        <v/>
      </c>
      <c r="O116" s="387" t="str">
        <f t="shared" ca="1" si="82"/>
        <v/>
      </c>
      <c r="P116" s="1127"/>
      <c r="Q116" s="109"/>
      <c r="R116" s="384"/>
      <c r="S116" s="960"/>
      <c r="T116" s="960"/>
      <c r="U116" s="324"/>
      <c r="V116" s="1739" t="str">
        <f>IF(OR(NOT(ISBLANK($R116)),NOT(ISBLANK($S116)),NOT(ISBLANK($T116)),NOT(ISBLANK($U116))),
IF(KL&lt;15,"KL&lt;15","")&amp;IF(IN&lt;15,"IN&lt;15","")&amp;IF(TAW_MAGIEKUNDE&lt;12,"Magiekunde &lt; 12","")&amp;
IF(OR(ISERROR(FIND("Elem",CONCATENATE(Zauber!BP2,Zauber!BP3,Zauber!A241,Zauber!A242,Zauber!A243,Zauber!A244,Zauber!A245,Zauber!A246,Zauber!A247),1)),ISERROR(FIND("Elem",CONCATENATE(Zauber!T3,Zauber!T4,Zauber!T5),1))),"Keine Begabung/MK",""),
"")</f>
        <v/>
      </c>
      <c r="W116" s="1740"/>
      <c r="X116" s="1741"/>
      <c r="Y116" s="246">
        <f t="shared" ca="1" si="92"/>
        <v>0</v>
      </c>
      <c r="Z116" s="212">
        <f t="shared" ca="1" si="93"/>
        <v>0</v>
      </c>
      <c r="AA116" s="212">
        <f t="shared" ca="1" si="94"/>
        <v>0</v>
      </c>
      <c r="AB116" s="212">
        <f t="shared" ca="1" si="95"/>
        <v>0</v>
      </c>
      <c r="AC116" s="212">
        <f t="shared" ref="AC116:AC123" ca="1" si="98">IF((LEN($AH$113)-LEN(SUBSTITUTE($AH$113,$A116&amp;",","")))/LEN($A116&amp;",")&gt;1,4,2)</f>
        <v>2</v>
      </c>
      <c r="AD116" s="1033" t="str">
        <f ca="1">IF(AND(EXACT($B116,""),ISBLANK($G116),ISBLANK($H116),ISBLANK($I116),ISBLANK($F116)),"",CONCATENATE($A116,", "))</f>
        <v/>
      </c>
      <c r="AE116" s="549" t="str">
        <f t="shared" ca="1" si="96"/>
        <v/>
      </c>
      <c r="AF116" s="1033">
        <f>$AF115+1</f>
        <v>58</v>
      </c>
      <c r="AG116" s="557"/>
      <c r="AH116" s="551"/>
      <c r="AI116" s="551"/>
      <c r="AJ116" s="551"/>
      <c r="AK116" s="551"/>
      <c r="AL116" s="559">
        <f t="shared" ca="1" si="97"/>
        <v>0</v>
      </c>
      <c r="AM116" s="246">
        <f t="shared" ca="1" si="83"/>
        <v>0</v>
      </c>
      <c r="AN116" s="212">
        <f t="shared" ca="1" si="84"/>
        <v>0</v>
      </c>
      <c r="AO116" s="212">
        <f t="shared" ca="1" si="85"/>
        <v>0</v>
      </c>
      <c r="AP116" s="212">
        <f t="shared" ca="1" si="86"/>
        <v>0</v>
      </c>
      <c r="AQ116" s="212">
        <f t="shared" ca="1" si="87"/>
        <v>0</v>
      </c>
      <c r="AR116" s="212">
        <f t="shared" ca="1" si="88"/>
        <v>2</v>
      </c>
      <c r="AS116" s="1020" t="str">
        <f t="shared" ca="1" si="89"/>
        <v/>
      </c>
      <c r="AT116" s="557" t="str">
        <f t="shared" ca="1" si="90"/>
        <v/>
      </c>
      <c r="AU116" s="557">
        <f t="shared" si="91"/>
        <v>9</v>
      </c>
      <c r="AV116" s="557"/>
      <c r="AW116" s="212"/>
      <c r="AX116" s="212"/>
      <c r="AY116" s="212"/>
      <c r="AZ116" s="18"/>
      <c r="BA116" s="18"/>
      <c r="BB116" s="18"/>
      <c r="BC116" s="18"/>
      <c r="BD116" s="18"/>
      <c r="BE116" s="18"/>
      <c r="BF116" s="18"/>
      <c r="BG116" s="18"/>
      <c r="BH116" s="18"/>
      <c r="BI116" s="18"/>
      <c r="BJ116" s="18"/>
      <c r="BK116" s="18"/>
      <c r="BL116" s="18"/>
      <c r="BM116" s="18"/>
      <c r="BN116" s="18"/>
      <c r="BO116" s="18"/>
      <c r="BP116" s="18"/>
      <c r="BQ116" s="18"/>
      <c r="BR116" s="18"/>
      <c r="BS116" s="18"/>
      <c r="BT116" s="190"/>
      <c r="BU116" s="190"/>
      <c r="BV116" s="234"/>
    </row>
    <row r="117" spans="1:74" x14ac:dyDescent="0.2">
      <c r="A117" s="112" t="str">
        <f>INDEX(KPFSON,$AF117)</f>
        <v>Meisterschütze</v>
      </c>
      <c r="B117" s="391" t="str">
        <f ca="1">IF(NOT(ISERR(FIND(A117&amp;",",$AH$112,1))),"x",
IF(D117="X","x",""))</f>
        <v/>
      </c>
      <c r="C117" s="387" t="str">
        <f ca="1">IF(NOT(ISERR(FIND(A117&amp;",",$AH$113,1))),"x",
IF(D117="V","x",""))</f>
        <v/>
      </c>
      <c r="D117" s="1127"/>
      <c r="E117" s="1307"/>
      <c r="F117" s="384"/>
      <c r="G117" s="960"/>
      <c r="H117" s="960"/>
      <c r="I117" s="324"/>
      <c r="J117" s="1739" t="str">
        <f ca="1">IF(OR(NOT(ISBLANK($F117)),NOT(ISBLANK($G117)),NOT(ISBLANK($H117)),NOT(ISBLANK($I117))),IF(NOT(EXACT($B117,"")),"Diese SF hast Du schon!",IF(E117="","Kampftalent auswählen",IF(IF(VLOOKUP($E117,Talente!$A$14:$O$40,15,FALSE)="",0,VLOOKUP($E117,Talente!$A$14:$O$40,15,FALSE))&lt;15,"TaW "&amp;E117&amp; " &lt; 15",
IF(AND(EXACT($B$120,""),ISBLANK($F$120),ISBLANK($G$120),ISBLANK($H$120),ISBLANK($I$120)),"SF Scharfschütze nötig","")))),IF(AND(ZS_SE_VIEW,B117="",C117="",NOT(ISERR(FIND(A117,ZS_SF_ALLE,1)))),"SF verbilligt aus Studium",""))</f>
        <v/>
      </c>
      <c r="K117" s="1740"/>
      <c r="L117" s="1741"/>
      <c r="M117" s="1012" t="str">
        <f t="shared" si="80"/>
        <v>Meister der Wünsche</v>
      </c>
      <c r="N117" s="391" t="str">
        <f t="shared" ca="1" si="81"/>
        <v/>
      </c>
      <c r="O117" s="387" t="str">
        <f t="shared" ca="1" si="82"/>
        <v/>
      </c>
      <c r="P117" s="1127"/>
      <c r="Q117" s="109"/>
      <c r="R117" s="384"/>
      <c r="S117" s="960"/>
      <c r="T117" s="960"/>
      <c r="U117" s="324"/>
      <c r="V117" s="1739" t="str">
        <f>IF(OR(NOT(ISBLANK($R117)),NOT(ISBLANK($S117)),NOT(ISBLANK($T117)),NOT(ISBLANK($U117))),
IF(CH&lt;15,"CH&lt;15","")&amp;IF(AT111="","SF Elementarist nicht erlernt","")&amp;IF(TAW_MAGIEKUNDE&lt;13,"Magiekunde &lt; 13",""),
"")</f>
        <v/>
      </c>
      <c r="W117" s="1740"/>
      <c r="X117" s="1741"/>
      <c r="Y117" s="246">
        <f t="shared" ca="1" si="92"/>
        <v>0</v>
      </c>
      <c r="Z117" s="212">
        <f t="shared" ca="1" si="93"/>
        <v>0</v>
      </c>
      <c r="AA117" s="212">
        <f t="shared" ca="1" si="94"/>
        <v>0</v>
      </c>
      <c r="AB117" s="212">
        <f t="shared" ca="1" si="95"/>
        <v>0</v>
      </c>
      <c r="AC117" s="212">
        <f t="shared" ca="1" si="98"/>
        <v>2</v>
      </c>
      <c r="AD117" s="1033" t="str">
        <f t="shared" ref="AD117:AD123" ca="1" si="99">IF(AND(EXACT($B117,""),ISBLANK($G117),ISBLANK($H117),ISBLANK($I117),ISBLANK($F117)),"",CONCATENATE($A117," ",$E117,", "))</f>
        <v/>
      </c>
      <c r="AE117" s="549" t="str">
        <f t="shared" ca="1" si="96"/>
        <v/>
      </c>
      <c r="AF117" s="1033">
        <f>$AF116+1</f>
        <v>59</v>
      </c>
      <c r="AG117" s="557"/>
      <c r="AH117" s="551"/>
      <c r="AI117" s="551"/>
      <c r="AJ117" s="551"/>
      <c r="AK117" s="551"/>
      <c r="AL117" s="559">
        <f t="shared" ca="1" si="97"/>
        <v>0</v>
      </c>
      <c r="AM117" s="246">
        <f t="shared" ca="1" si="83"/>
        <v>0</v>
      </c>
      <c r="AN117" s="212">
        <f t="shared" ca="1" si="84"/>
        <v>0</v>
      </c>
      <c r="AO117" s="212">
        <f t="shared" ca="1" si="85"/>
        <v>0</v>
      </c>
      <c r="AP117" s="212">
        <f t="shared" ca="1" si="86"/>
        <v>0</v>
      </c>
      <c r="AQ117" s="212">
        <f t="shared" ca="1" si="87"/>
        <v>0</v>
      </c>
      <c r="AR117" s="212">
        <f t="shared" ca="1" si="88"/>
        <v>2</v>
      </c>
      <c r="AS117" s="1020" t="str">
        <f t="shared" ca="1" si="89"/>
        <v/>
      </c>
      <c r="AT117" s="557" t="str">
        <f t="shared" ca="1" si="90"/>
        <v/>
      </c>
      <c r="AU117" s="557">
        <f t="shared" si="91"/>
        <v>10</v>
      </c>
      <c r="AV117" s="557"/>
      <c r="AW117" s="212"/>
      <c r="AX117" s="212"/>
      <c r="AY117" s="212"/>
      <c r="AZ117" s="18"/>
      <c r="BA117" s="18"/>
      <c r="BB117" s="18"/>
      <c r="BC117" s="18"/>
      <c r="BD117" s="18"/>
      <c r="BE117" s="18"/>
      <c r="BF117" s="18"/>
      <c r="BG117" s="18"/>
      <c r="BH117" s="18"/>
      <c r="BI117" s="18"/>
      <c r="BJ117" s="18"/>
      <c r="BK117" s="18"/>
      <c r="BL117" s="18"/>
      <c r="BM117" s="18"/>
      <c r="BN117" s="18"/>
      <c r="BO117" s="18"/>
      <c r="BP117" s="18"/>
      <c r="BQ117" s="18"/>
      <c r="BR117" s="18"/>
      <c r="BS117" s="18"/>
      <c r="BT117" s="190"/>
      <c r="BU117" s="190"/>
      <c r="BV117" s="234"/>
    </row>
    <row r="118" spans="1:74" x14ac:dyDescent="0.2">
      <c r="A118" s="112" t="str">
        <f>INDEX(KPFSON,$AF117)</f>
        <v>Meisterschütze</v>
      </c>
      <c r="B118" s="391" t="str">
        <f>IF(D118="X","x","")</f>
        <v/>
      </c>
      <c r="C118" s="387"/>
      <c r="D118" s="1127"/>
      <c r="E118" s="1307"/>
      <c r="F118" s="384"/>
      <c r="G118" s="960"/>
      <c r="H118" s="960"/>
      <c r="I118" s="324"/>
      <c r="J118" s="1739" t="str">
        <f>IF(OR(NOT(ISBLANK($F118)),NOT(ISBLANK($G118)),NOT(ISBLANK($H118)),NOT(ISBLANK($I118))),IF(NOT(EXACT($B118,"")),"Diese SF hast Du schon!",IF(E118="","Kampftalent auswählen",IF(IF(VLOOKUP($E118,Talente!$A$14:$O$40,15,FALSE)="",0,VLOOKUP($E118,Talente!$A$14:$O$40,15,FALSE))&lt;15,"TaW "&amp;E118&amp; " &lt; 15",
IF(AND(EXACT($B$120,""),ISBLANK($F$120),ISBLANK($G$120),ISBLANK($H$120),ISBLANK($I$120)),"SF Scharfschütze nötig","")))),IF(AND(ZS_SE_VIEW,B118="",C118="",NOT(ISERR(FIND(A118,ZS_SF_ALLE,1)))),"SF verbilligt aus Studium",""))</f>
        <v/>
      </c>
      <c r="K118" s="1740"/>
      <c r="L118" s="1741"/>
      <c r="M118" s="1563" t="s">
        <v>8845</v>
      </c>
      <c r="N118" s="1018"/>
      <c r="O118" s="1018"/>
      <c r="P118" s="1018"/>
      <c r="Q118" s="1018"/>
      <c r="R118" s="1018"/>
      <c r="S118" s="1018"/>
      <c r="T118" s="1018"/>
      <c r="U118" s="1018"/>
      <c r="V118" s="1065"/>
      <c r="W118" s="1065"/>
      <c r="X118" s="1564"/>
      <c r="Y118" s="246">
        <f t="shared" si="92"/>
        <v>0</v>
      </c>
      <c r="Z118" s="212">
        <f t="shared" si="93"/>
        <v>0</v>
      </c>
      <c r="AA118" s="212">
        <f t="shared" si="94"/>
        <v>0</v>
      </c>
      <c r="AB118" s="212">
        <f t="shared" si="95"/>
        <v>0</v>
      </c>
      <c r="AC118" s="212">
        <f t="shared" ca="1" si="98"/>
        <v>2</v>
      </c>
      <c r="AD118" s="1033" t="str">
        <f t="shared" si="99"/>
        <v/>
      </c>
      <c r="AE118" s="549" t="str">
        <f t="shared" si="96"/>
        <v/>
      </c>
      <c r="AF118" s="1033"/>
      <c r="AG118" s="557"/>
      <c r="AH118" s="551"/>
      <c r="AI118" s="551"/>
      <c r="AJ118" s="551"/>
      <c r="AK118" s="551"/>
      <c r="AL118" s="559">
        <f t="shared" ca="1" si="97"/>
        <v>0</v>
      </c>
      <c r="AM118" s="1543"/>
      <c r="AN118" s="151"/>
      <c r="AO118" s="151"/>
      <c r="AP118" s="151"/>
      <c r="AQ118" s="151"/>
      <c r="AR118" s="151"/>
      <c r="AS118" s="151"/>
      <c r="AT118" s="151"/>
      <c r="AU118" s="151"/>
      <c r="AV118" s="151"/>
      <c r="AW118" s="151"/>
      <c r="AX118" s="151"/>
      <c r="AY118" s="151"/>
      <c r="AZ118" s="151"/>
      <c r="BA118" s="151"/>
      <c r="BB118" s="151"/>
      <c r="BC118" s="151"/>
      <c r="BD118" s="151"/>
      <c r="BE118" s="151"/>
      <c r="BF118" s="151"/>
      <c r="BG118" s="151"/>
      <c r="BH118" s="151"/>
      <c r="BI118" s="151"/>
      <c r="BJ118" s="151"/>
      <c r="BK118" s="151"/>
      <c r="BL118" s="151"/>
      <c r="BM118" s="151"/>
      <c r="BN118" s="151"/>
      <c r="BO118" s="151"/>
      <c r="BP118" s="151"/>
      <c r="BQ118" s="151"/>
      <c r="BR118" s="151"/>
      <c r="BS118" s="151"/>
      <c r="BT118" s="151"/>
      <c r="BU118" s="151"/>
      <c r="BV118" s="725"/>
    </row>
    <row r="119" spans="1:74" x14ac:dyDescent="0.2">
      <c r="A119" s="112" t="str">
        <f>INDEX(KPFSON,$AF117)</f>
        <v>Meisterschütze</v>
      </c>
      <c r="B119" s="391" t="str">
        <f>IF(D119="X","x","")</f>
        <v/>
      </c>
      <c r="C119" s="387"/>
      <c r="D119" s="1127"/>
      <c r="E119" s="1307"/>
      <c r="F119" s="384"/>
      <c r="G119" s="960"/>
      <c r="H119" s="960"/>
      <c r="I119" s="324"/>
      <c r="J119" s="1739" t="str">
        <f>IF(OR(NOT(ISBLANK($F119)),NOT(ISBLANK($G119)),NOT(ISBLANK($H119)),NOT(ISBLANK($I119))),IF(NOT(EXACT($B119,"")),"Diese SF hast Du schon!",IF(E119="","Kampftalent auswählen",IF(IF(VLOOKUP($E119,Talente!$A$14:$O$40,15,FALSE)="",0,VLOOKUP($E119,Talente!$A$14:$O$40,15,FALSE))&lt;15,"TaW "&amp;E119&amp; " &lt; 15",
IF(AND(EXACT($B$120,""),ISBLANK($F$120),ISBLANK($G$120),ISBLANK($H$120),ISBLANK($I$120)),"SF Scharfschütze nötig","")))),IF(AND(ZS_SE_VIEW,B119="",C119="",NOT(ISERR(FIND(A119,ZS_SF_ALLE,1)))),"SF verbilligt aus Studium",""))</f>
        <v/>
      </c>
      <c r="K119" s="1740"/>
      <c r="L119" s="1741"/>
      <c r="M119" s="1565" t="s">
        <v>8911</v>
      </c>
      <c r="N119" s="1021"/>
      <c r="O119" s="1021"/>
      <c r="P119" s="1021"/>
      <c r="Q119" s="1021"/>
      <c r="R119" s="1021"/>
      <c r="S119" s="1021"/>
      <c r="T119" s="1021"/>
      <c r="U119" s="1021"/>
      <c r="V119" s="1021"/>
      <c r="W119" s="1021"/>
      <c r="X119" s="1433"/>
      <c r="Y119" s="246">
        <f t="shared" si="92"/>
        <v>0</v>
      </c>
      <c r="Z119" s="212">
        <f t="shared" si="93"/>
        <v>0</v>
      </c>
      <c r="AA119" s="212">
        <f t="shared" si="94"/>
        <v>0</v>
      </c>
      <c r="AB119" s="212">
        <f t="shared" si="95"/>
        <v>0</v>
      </c>
      <c r="AC119" s="212">
        <f t="shared" ca="1" si="98"/>
        <v>2</v>
      </c>
      <c r="AD119" s="1033" t="str">
        <f t="shared" si="99"/>
        <v/>
      </c>
      <c r="AE119" s="549" t="str">
        <f t="shared" si="96"/>
        <v/>
      </c>
      <c r="AF119" s="1033"/>
      <c r="AG119" s="557"/>
      <c r="AH119" s="551"/>
      <c r="AI119" s="551"/>
      <c r="AJ119" s="551"/>
      <c r="AK119" s="551"/>
      <c r="AL119" s="559">
        <f t="shared" ca="1" si="97"/>
        <v>0</v>
      </c>
      <c r="AM119" s="191"/>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1545"/>
    </row>
    <row r="120" spans="1:74" x14ac:dyDescent="0.2">
      <c r="A120" s="112" t="str">
        <f>INDEX(KPFSON,$AF120)</f>
        <v>Scharfschütze</v>
      </c>
      <c r="B120" s="391" t="str">
        <f ca="1">IF(NOT(ISERR(FIND(A120&amp;",",$AH$112,1))),"x",
IF(D120="X","x",""))</f>
        <v/>
      </c>
      <c r="C120" s="387" t="str">
        <f ca="1">IF(NOT(ISERR(FIND(A120&amp;",",$AH$113,1))),"x",
IF(D120="V","x",""))</f>
        <v/>
      </c>
      <c r="D120" s="1127"/>
      <c r="E120" s="1307"/>
      <c r="F120" s="384"/>
      <c r="G120" s="960"/>
      <c r="H120" s="960"/>
      <c r="I120" s="324"/>
      <c r="J120" s="1739" t="str">
        <f ca="1">IF(OR(NOT(ISBLANK($F120)),NOT(ISBLANK($G120)),NOT(ISBLANK($H120)),NOT(ISBLANK($I120))),IF(NOT(EXACT($B120,"")),"Diese SF hast Du schon!",IF(E120="","Kampftalent auswählen",IF(IF(VLOOKUP($E120,Talente!$A$14:$O$40,15,FALSE)="",0,VLOOKUP($E120,Talente!$A$14:$O$40,15,FALSE))&gt;=7,"","TaW "&amp;E120&amp;" &lt; 7"))),IF(AND(ZS_SE_VIEW,B120="",C120="",NOT(ISERR(FIND(A120,ZS_SF_ALLE,1)))),"SF verbilligt aus Studium",""))</f>
        <v/>
      </c>
      <c r="K120" s="1740"/>
      <c r="L120" s="1741"/>
      <c r="M120" s="1137"/>
      <c r="N120" s="1138"/>
      <c r="O120" s="1138"/>
      <c r="P120" s="1138"/>
      <c r="Q120" s="1138"/>
      <c r="R120" s="1138"/>
      <c r="S120" s="1138"/>
      <c r="T120" s="1138"/>
      <c r="U120" s="1138"/>
      <c r="V120" s="1138"/>
      <c r="W120" s="1138"/>
      <c r="X120" s="1139"/>
      <c r="Y120" s="246">
        <f t="shared" ca="1" si="92"/>
        <v>0</v>
      </c>
      <c r="Z120" s="212">
        <f t="shared" ca="1" si="93"/>
        <v>0</v>
      </c>
      <c r="AA120" s="212">
        <f t="shared" ca="1" si="94"/>
        <v>0</v>
      </c>
      <c r="AB120" s="212">
        <f t="shared" ca="1" si="95"/>
        <v>0</v>
      </c>
      <c r="AC120" s="212">
        <f t="shared" ca="1" si="98"/>
        <v>2</v>
      </c>
      <c r="AD120" s="1033" t="str">
        <f t="shared" ca="1" si="99"/>
        <v/>
      </c>
      <c r="AE120" s="549" t="str">
        <f t="shared" ca="1" si="96"/>
        <v/>
      </c>
      <c r="AF120" s="1033">
        <f>$AF117+1</f>
        <v>60</v>
      </c>
      <c r="AG120" s="557"/>
      <c r="AH120" s="551"/>
      <c r="AI120" s="551"/>
      <c r="AJ120" s="551"/>
      <c r="AK120" s="551"/>
      <c r="AL120" s="559">
        <f t="shared" ca="1" si="97"/>
        <v>0</v>
      </c>
      <c r="AM120" s="530"/>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c r="BI120" s="149"/>
      <c r="BJ120" s="149"/>
      <c r="BK120" s="149"/>
      <c r="BL120" s="149"/>
      <c r="BM120" s="149"/>
      <c r="BN120" s="149"/>
      <c r="BO120" s="149"/>
      <c r="BP120" s="149"/>
      <c r="BQ120" s="149"/>
      <c r="BR120" s="149"/>
      <c r="BS120" s="149"/>
      <c r="BT120" s="149"/>
      <c r="BU120" s="149"/>
      <c r="BV120" s="1546"/>
    </row>
    <row r="121" spans="1:74" x14ac:dyDescent="0.2">
      <c r="A121" s="112" t="str">
        <f>INDEX(KPFSON,$AF120)</f>
        <v>Scharfschütze</v>
      </c>
      <c r="B121" s="391" t="str">
        <f>IF(D121="X","x","")</f>
        <v/>
      </c>
      <c r="C121" s="387"/>
      <c r="D121" s="1127"/>
      <c r="E121" s="1307"/>
      <c r="F121" s="384"/>
      <c r="G121" s="960"/>
      <c r="H121" s="960"/>
      <c r="I121" s="324"/>
      <c r="J121" s="1739" t="str">
        <f>IF(OR(NOT(ISBLANK($F121)),NOT(ISBLANK($G121)),NOT(ISBLANK($H121)),NOT(ISBLANK($I121))),IF(NOT(EXACT($B121,"")),"Diese SF hast Du schon!",IF(E121="","Kampftalent auswählen",IF(IF(VLOOKUP($E121,Talente!$A$14:$O$40,15,FALSE)="",0,VLOOKUP($E121,Talente!$A$14:$O$40,15,FALSE))&gt;=7,"","TaW "&amp;E121&amp;" &lt; 7"))),IF(AND(ZS_SE_VIEW,B121="",C121="",NOT(ISERR(FIND(A121,ZS_SF_ALLE,1)))),"SF verbilligt aus Studium",""))</f>
        <v/>
      </c>
      <c r="K121" s="1740"/>
      <c r="L121" s="1741"/>
      <c r="M121" s="1012" t="str">
        <f t="shared" ref="M121:M127" si="100">INDEX(SF_NEKROMANT,$AU121)</f>
        <v>Bewahrer der Ahnenmacht</v>
      </c>
      <c r="N121" s="391" t="str">
        <f t="shared" ref="N121:N127" ca="1" si="101">IF(NOT(ISERR(FIND(M121&amp;",",$AW$34,1))),"x",
IF(P121="X","x",""))</f>
        <v/>
      </c>
      <c r="O121" s="387" t="str">
        <f t="shared" ref="O121:O127" ca="1" si="102">IF(NOT(ISERR(FIND(M121&amp;",",$AW$35,1))),"x",
IF(P121="V","x",""))</f>
        <v/>
      </c>
      <c r="P121" s="1127"/>
      <c r="Q121" s="109"/>
      <c r="R121" s="384"/>
      <c r="S121" s="960"/>
      <c r="T121" s="960"/>
      <c r="U121" s="324"/>
      <c r="V121" s="1739" t="str">
        <f>IF(OR(NOT(ISBLANK($R121)),NOT(ISBLANK($S121)),NOT(ISBLANK($T121)),NOT(ISBLANK($U121))),
IF(MU&lt;15,"MU&lt;15","")&amp;IF(AT126="","SF Herr über die Gebeine nicht erlernt",""),
"")</f>
        <v/>
      </c>
      <c r="W121" s="1740"/>
      <c r="X121" s="1741"/>
      <c r="Y121" s="246">
        <f t="shared" si="92"/>
        <v>0</v>
      </c>
      <c r="Z121" s="212">
        <f t="shared" si="93"/>
        <v>0</v>
      </c>
      <c r="AA121" s="212">
        <f t="shared" si="94"/>
        <v>0</v>
      </c>
      <c r="AB121" s="212">
        <f t="shared" si="95"/>
        <v>0</v>
      </c>
      <c r="AC121" s="212">
        <f t="shared" ca="1" si="98"/>
        <v>2</v>
      </c>
      <c r="AD121" s="1033" t="str">
        <f t="shared" si="99"/>
        <v/>
      </c>
      <c r="AE121" s="549" t="str">
        <f t="shared" si="96"/>
        <v/>
      </c>
      <c r="AF121" s="1033"/>
      <c r="AG121" s="557"/>
      <c r="AH121" s="551"/>
      <c r="AI121" s="551"/>
      <c r="AJ121" s="551"/>
      <c r="AK121" s="551"/>
      <c r="AL121" s="559">
        <f t="shared" ca="1" si="97"/>
        <v>0</v>
      </c>
      <c r="AM121" s="246">
        <f t="shared" ref="AM121:AM127" ca="1" si="103">IF((LEN($AW$34)-LEN(SUBSTITUTE($AW$34,$M121&amp;",","")))/LEN($M121&amp;",")&gt;1,VLOOKUP($M121,SF_NEKROMANT_ALLE,3,FALSE),0)+
IF(AND((LEN($AW$35)-LEN(SUBSTITUTE($AW$35,$M121&amp;",","")))/LEN($M121&amp;",")&gt;0,(LEN($AW$34)-LEN(SUBSTITUTE($AW$34,$M121&amp;",","")))/LEN($M121&amp;",")&gt;0),ROUND(VLOOKUP($M121,SF_NEKROMANT_ALLE,3,FALSE)*0.5,0),0)</f>
        <v>0</v>
      </c>
      <c r="AN121" s="212">
        <f t="shared" ref="AN121:AN127" ca="1" si="104">IF(AND(NOT(ISBLANK($R121)),EXACT($V121,""),EXACT($N121,"")),IF(EXACT($O121,""),VLOOKUP($M121,SF_NEKROMANT_ALLE,3,FALSE),ROUND(VLOOKUP($M121,SF_NEKROMANT_ALLE,3,FALSE)/$AR121,0)),0)</f>
        <v>0</v>
      </c>
      <c r="AO121" s="212">
        <f t="shared" ref="AO121:AO127" ca="1" si="105">IF(AND(NOT(ISBLANK($S121)),EXACT($N121,"")),IF(EXACT($O121,""),VLOOKUP($M121,SF_NEKROMANT_ALLE,2,FALSE),ROUND(VLOOKUP($M121,SF_NEKROMANT_ALLE,2,FALSE)/$AR121,0)),0)</f>
        <v>0</v>
      </c>
      <c r="AP121" s="212">
        <f t="shared" ref="AP121:AP127" ca="1" si="106">IF(AND(NOT(ISBLANK($T121)),EXACT($N121,"")),IF(EXACT($O121,""),VLOOKUP($M121,SF_NEKROMANT_ALLE,2,FALSE),ROUND(VLOOKUP($M121,SF_NEKROMANT_ALLE,2,FALSE)/$AR121,0)),0)</f>
        <v>0</v>
      </c>
      <c r="AQ121" s="212">
        <f t="shared" ref="AQ121:AQ127" ca="1" si="107">IF(AND(NOT(ISBLANK($U121)),EXACT($V121,""),EXACT($N121,"")),IF(EXACT($O121,""),VLOOKUP($M121,SF_NEKROMANT_ALLE,2,FALSE),ROUND(VLOOKUP($M121,SF_NEKROMANT_ALLE,2,FALSE)/$AR121,0)),0)</f>
        <v>0</v>
      </c>
      <c r="AR121" s="212">
        <f t="shared" ref="AR121:AR127" ca="1" si="108">IF((LEN($AW$35)-LEN(SUBSTITUTE($AW$35,$M121&amp;",","")))/LEN($M121&amp;",")&gt;1,4,2)</f>
        <v>2</v>
      </c>
      <c r="AS121" s="1020" t="str">
        <f t="shared" ref="AS121:AS127" ca="1" si="109">IF(AND(EXACT($N121,""),ISBLANK($R121),ISBLANK($S121),ISBLANK($T121),ISBLANK($U121)),"",IF(EXACT($V121,""),"X",""))</f>
        <v/>
      </c>
      <c r="AT121" s="557" t="str">
        <f t="shared" ref="AT121:AT127" ca="1" si="110">IF(AND(EXACT($N121,""),ISBLANK($R121),ISBLANK($S121),ISBLANK($T121),ISBLANK($U121)),"",CONCATENATE($M121,", "))</f>
        <v/>
      </c>
      <c r="AU121" s="557">
        <v>1</v>
      </c>
      <c r="AV121" s="557"/>
      <c r="AW121" s="212"/>
      <c r="AX121" s="212"/>
      <c r="AY121" s="212"/>
      <c r="AZ121" s="18"/>
      <c r="BA121" s="18"/>
      <c r="BB121" s="18"/>
      <c r="BC121" s="18"/>
      <c r="BD121" s="18"/>
      <c r="BE121" s="18"/>
      <c r="BF121" s="18"/>
      <c r="BG121" s="18"/>
      <c r="BH121" s="18"/>
      <c r="BI121" s="18"/>
      <c r="BJ121" s="18"/>
      <c r="BK121" s="18"/>
      <c r="BL121" s="18"/>
      <c r="BM121" s="18"/>
      <c r="BN121" s="18"/>
      <c r="BO121" s="18"/>
      <c r="BP121" s="18"/>
      <c r="BQ121" s="18"/>
      <c r="BR121" s="18"/>
      <c r="BS121" s="18"/>
      <c r="BT121" s="190"/>
      <c r="BU121" s="190"/>
      <c r="BV121" s="234"/>
    </row>
    <row r="122" spans="1:74" x14ac:dyDescent="0.2">
      <c r="A122" s="112" t="str">
        <f>INDEX(KPFSON,$AF120)</f>
        <v>Scharfschütze</v>
      </c>
      <c r="B122" s="391" t="str">
        <f>IF(D122="X","x","")</f>
        <v/>
      </c>
      <c r="C122" s="387"/>
      <c r="D122" s="1127"/>
      <c r="E122" s="1307"/>
      <c r="F122" s="384"/>
      <c r="G122" s="960"/>
      <c r="H122" s="960"/>
      <c r="I122" s="324"/>
      <c r="J122" s="1739" t="str">
        <f>IF(OR(NOT(ISBLANK($F122)),NOT(ISBLANK($G122)),NOT(ISBLANK($H122)),NOT(ISBLANK($I122))),IF(NOT(EXACT($B122,"")),"Diese SF hast Du schon!",IF(E122="","Kampftalent auswählen",IF(IF(VLOOKUP($E122,Talente!$A$14:$O$40,15,FALSE)="",0,VLOOKUP($E122,Talente!$A$14:$O$40,15,FALSE))&gt;=7,"","TaW "&amp;E122&amp;" &lt; 7"))),IF(AND(ZS_SE_VIEW,B122="",C122="",NOT(ISERR(FIND(A122,ZS_SF_ALLE,1)))),"SF verbilligt aus Studium",""))</f>
        <v/>
      </c>
      <c r="K122" s="1740"/>
      <c r="L122" s="1741"/>
      <c r="M122" s="1012" t="str">
        <f t="shared" si="100"/>
        <v>Former der Leiber</v>
      </c>
      <c r="N122" s="391" t="str">
        <f t="shared" ca="1" si="101"/>
        <v/>
      </c>
      <c r="O122" s="387" t="str">
        <f t="shared" ca="1" si="102"/>
        <v/>
      </c>
      <c r="P122" s="1127"/>
      <c r="Q122" s="109"/>
      <c r="R122" s="384"/>
      <c r="S122" s="960"/>
      <c r="T122" s="960"/>
      <c r="U122" s="324"/>
      <c r="V122" s="1739" t="str">
        <f>IF(OR(NOT(ISBLANK($R122)),NOT(ISBLANK($S122)),NOT(ISBLANK($T122)),NOT(ISBLANK($U122))),
IF(KL&lt;14,"KL&lt;14; ","")&amp;IF(TAW_ANATOMIE&lt;10,"Anatomie &lt; 10; ","")&amp;IF(TAW_MAGIEKUNDE&lt;11,"Magiekunde &lt; 11; ","")&amp;
IF(ISERROR(FIND("Dämo (TGN)",CONCATENATE(Zauber!BP2,Zauber!BP3,Zauber!A241,Zauber!A242,Zauber!A243,Zauber!A244,Zauber!A245,Zauber!A246,Zauber!A247),1)),"Keine MK Dämo (TGN)",""),
"")</f>
        <v/>
      </c>
      <c r="W122" s="1740"/>
      <c r="X122" s="1741"/>
      <c r="Y122" s="246">
        <f t="shared" si="92"/>
        <v>0</v>
      </c>
      <c r="Z122" s="212">
        <f t="shared" si="93"/>
        <v>0</v>
      </c>
      <c r="AA122" s="212">
        <f t="shared" si="94"/>
        <v>0</v>
      </c>
      <c r="AB122" s="212">
        <f t="shared" si="95"/>
        <v>0</v>
      </c>
      <c r="AC122" s="212">
        <f t="shared" ca="1" si="98"/>
        <v>2</v>
      </c>
      <c r="AD122" s="1033" t="str">
        <f t="shared" si="99"/>
        <v/>
      </c>
      <c r="AE122" s="549" t="str">
        <f t="shared" si="96"/>
        <v/>
      </c>
      <c r="AF122" s="1033"/>
      <c r="AG122" s="557"/>
      <c r="AH122" s="551"/>
      <c r="AI122" s="551"/>
      <c r="AJ122" s="551"/>
      <c r="AK122" s="551"/>
      <c r="AL122" s="559">
        <f t="shared" ca="1" si="97"/>
        <v>0</v>
      </c>
      <c r="AM122" s="246">
        <f t="shared" ca="1" si="103"/>
        <v>0</v>
      </c>
      <c r="AN122" s="212">
        <f t="shared" ca="1" si="104"/>
        <v>0</v>
      </c>
      <c r="AO122" s="212">
        <f t="shared" ca="1" si="105"/>
        <v>0</v>
      </c>
      <c r="AP122" s="212">
        <f t="shared" ca="1" si="106"/>
        <v>0</v>
      </c>
      <c r="AQ122" s="212">
        <f t="shared" ca="1" si="107"/>
        <v>0</v>
      </c>
      <c r="AR122" s="212">
        <f t="shared" ca="1" si="108"/>
        <v>2</v>
      </c>
      <c r="AS122" s="1020" t="str">
        <f t="shared" ca="1" si="109"/>
        <v/>
      </c>
      <c r="AT122" s="557" t="str">
        <f t="shared" ca="1" si="110"/>
        <v/>
      </c>
      <c r="AU122" s="557">
        <f t="shared" ref="AU122:AU127" si="111">AU121+1</f>
        <v>2</v>
      </c>
      <c r="AV122" s="557"/>
      <c r="AW122" s="212"/>
      <c r="AX122" s="212"/>
      <c r="AY122" s="212"/>
      <c r="AZ122" s="18"/>
      <c r="BA122" s="18"/>
      <c r="BB122" s="18"/>
      <c r="BC122" s="18"/>
      <c r="BD122" s="18"/>
      <c r="BE122" s="18"/>
      <c r="BF122" s="18"/>
      <c r="BG122" s="18"/>
      <c r="BH122" s="18"/>
      <c r="BI122" s="18"/>
      <c r="BJ122" s="18"/>
      <c r="BK122" s="18"/>
      <c r="BL122" s="18"/>
      <c r="BM122" s="18"/>
      <c r="BN122" s="18"/>
      <c r="BO122" s="18"/>
      <c r="BP122" s="18"/>
      <c r="BQ122" s="18"/>
      <c r="BR122" s="18"/>
      <c r="BS122" s="18"/>
      <c r="BT122" s="190"/>
      <c r="BU122" s="190"/>
      <c r="BV122" s="1032"/>
    </row>
    <row r="123" spans="1:74" x14ac:dyDescent="0.2">
      <c r="A123" s="112" t="str">
        <f>INDEX(KPFSON,$AF123)</f>
        <v>Schnelladen</v>
      </c>
      <c r="B123" s="391" t="str">
        <f ca="1">IF(NOT(ISERR(FIND(A123&amp;",",$AH$112,1))),"x",
IF(D123="X","x",""))</f>
        <v/>
      </c>
      <c r="C123" s="387" t="str">
        <f ca="1">IF(NOT(ISERR(FIND(A123&amp;",",$AH$113,1))),"x",
IF(D123="V","x",""))</f>
        <v/>
      </c>
      <c r="D123" s="1127"/>
      <c r="E123" s="1307"/>
      <c r="F123" s="384"/>
      <c r="G123" s="960"/>
      <c r="H123" s="960"/>
      <c r="I123" s="324"/>
      <c r="J123" s="1739" t="str">
        <f ca="1">IF(OR(NOT(ISBLANK($F123)),NOT(ISBLANK($G123)),NOT(ISBLANK($H123)),NOT(ISBLANK($I123))),IF(NOT(EXACT($B123,"")),"Diese SF hast Du schon!",IF(FF&lt;12,"FF min. 12",IF(KK&lt;12,"KK min. 12",IF(E123="","Kampftalent auswählen",IF(IF(VLOOKUP($E123,Talente!$A$14:$O$40,15,FALSE)="",0,VLOOKUP($E123,Talente!$A$14:$O$40,15,FALSE))&lt;7,"TaW von "&amp;E123&amp;" &lt;7",""))))),IF(AND(ZS_SE_VIEW,B123="",C123="",NOT(ISERR(FIND(A123,ZS_SF_ALLE,1)))),"SF verbilligt aus Studium",""))</f>
        <v/>
      </c>
      <c r="K123" s="1740"/>
      <c r="L123" s="1741"/>
      <c r="M123" s="1012" t="str">
        <f t="shared" si="100"/>
        <v>Geber des Funkens</v>
      </c>
      <c r="N123" s="391" t="str">
        <f t="shared" ca="1" si="101"/>
        <v/>
      </c>
      <c r="O123" s="387" t="str">
        <f t="shared" ca="1" si="102"/>
        <v/>
      </c>
      <c r="P123" s="1127"/>
      <c r="Q123" s="109"/>
      <c r="R123" s="384"/>
      <c r="S123" s="960"/>
      <c r="T123" s="960"/>
      <c r="U123" s="324"/>
      <c r="V123" s="1739" t="str">
        <f>IF(OR(NOT(ISBLANK($R123)),NOT(ISBLANK($S123)),NOT(ISBLANK($T123)),NOT(ISBLANK($U123))),
IF(KO&lt;12,"KO&lt;12; ","")&amp;IF(TAW_SELBSTBEHERR&lt;10,"Selbstbeherrschung &lt; 10; ","")&amp;IF(TAW_MAGIEKUNDE&lt;10,"Magiekunde &lt; 10; ",""),
"")</f>
        <v/>
      </c>
      <c r="W123" s="1740"/>
      <c r="X123" s="1741"/>
      <c r="Y123" s="247">
        <f t="shared" ca="1" si="92"/>
        <v>0</v>
      </c>
      <c r="Z123" s="560">
        <f t="shared" ca="1" si="93"/>
        <v>0</v>
      </c>
      <c r="AA123" s="560">
        <f t="shared" ca="1" si="94"/>
        <v>0</v>
      </c>
      <c r="AB123" s="560">
        <f t="shared" ca="1" si="95"/>
        <v>0</v>
      </c>
      <c r="AC123" s="560">
        <f t="shared" ca="1" si="98"/>
        <v>2</v>
      </c>
      <c r="AD123" s="560" t="str">
        <f t="shared" ca="1" si="99"/>
        <v/>
      </c>
      <c r="AE123" s="549" t="str">
        <f ca="1">IF(AND(EXACT($B123,""),ISBLANK($G123),ISBLANK($H123),ISBLANK($I123),ISBLANK($F123)),"",IF(AND(EXACT($J123,""),NOT(EXACT($E123,""))),"X",""))</f>
        <v/>
      </c>
      <c r="AF123" s="1034">
        <f>$AF120+1</f>
        <v>61</v>
      </c>
      <c r="AG123" s="561"/>
      <c r="AH123" s="1013"/>
      <c r="AI123" s="1013"/>
      <c r="AJ123" s="1013"/>
      <c r="AK123" s="1013"/>
      <c r="AL123" s="562">
        <f t="shared" ca="1" si="97"/>
        <v>0</v>
      </c>
      <c r="AM123" s="246">
        <f t="shared" ca="1" si="103"/>
        <v>0</v>
      </c>
      <c r="AN123" s="212">
        <f t="shared" ca="1" si="104"/>
        <v>0</v>
      </c>
      <c r="AO123" s="212">
        <f t="shared" ca="1" si="105"/>
        <v>0</v>
      </c>
      <c r="AP123" s="212">
        <f t="shared" ca="1" si="106"/>
        <v>0</v>
      </c>
      <c r="AQ123" s="212">
        <f t="shared" ca="1" si="107"/>
        <v>0</v>
      </c>
      <c r="AR123" s="212">
        <f t="shared" ca="1" si="108"/>
        <v>2</v>
      </c>
      <c r="AS123" s="1020" t="str">
        <f t="shared" ca="1" si="109"/>
        <v/>
      </c>
      <c r="AT123" s="557" t="str">
        <f t="shared" ca="1" si="110"/>
        <v/>
      </c>
      <c r="AU123" s="557">
        <f t="shared" si="111"/>
        <v>3</v>
      </c>
      <c r="AV123" s="557"/>
      <c r="AW123" s="212"/>
      <c r="AX123" s="212"/>
      <c r="AY123" s="212"/>
      <c r="AZ123" s="18"/>
      <c r="BA123" s="18"/>
      <c r="BB123" s="18"/>
      <c r="BC123" s="18"/>
      <c r="BD123" s="18"/>
      <c r="BE123" s="18"/>
      <c r="BF123" s="18"/>
      <c r="BG123" s="18"/>
      <c r="BH123" s="18"/>
      <c r="BI123" s="18"/>
      <c r="BJ123" s="18"/>
      <c r="BK123" s="18"/>
      <c r="BL123" s="18"/>
      <c r="BM123" s="18"/>
      <c r="BN123" s="18"/>
      <c r="BO123" s="18"/>
      <c r="BP123" s="18"/>
      <c r="BQ123" s="18"/>
      <c r="BR123" s="18"/>
      <c r="BS123" s="18"/>
      <c r="BT123" s="190"/>
      <c r="BU123" s="190"/>
      <c r="BV123" s="1106" t="str">
        <f ca="1">HLOOKUP(RASSEGENE,RASSE,IDX_WK,FALSE)&amp;
HLOOKUP(KULTURGENE,KULTUR,IDX_WK,FALSE)&amp;
HLOOKUP(PROFGENE,INDIRECT(PROFGEBIET),IDX_WK,FALSE)&amp;
IF(LEN(PROFZWEITE)&lt;1,"",HLOOKUP(PROFZWEITE,INDIRECT(PROFGEBIET2),IDX_WK,FALSE))</f>
        <v/>
      </c>
    </row>
    <row r="124" spans="1:74" x14ac:dyDescent="0.2">
      <c r="A124" s="1028"/>
      <c r="B124" s="108"/>
      <c r="C124" s="108"/>
      <c r="D124" s="108"/>
      <c r="E124" s="108"/>
      <c r="F124" s="6"/>
      <c r="G124" s="964"/>
      <c r="H124" s="964"/>
      <c r="I124" s="964"/>
      <c r="J124" s="775" t="str">
        <f ca="1">IF(GP=0,CONCATENATE("noch ",APGUT," AP übrig"),IF(GP&lt;0,CONCATENATE("Du hast ",ABS(GP)," GP zuviel verteilt"),CONCATENATE("Eingesetzt: ",GPSTART-GP," von ",GPSTART," GP")))</f>
        <v>Du hast 64 GP zuviel verteilt</v>
      </c>
      <c r="K124" s="775"/>
      <c r="L124" s="1016"/>
      <c r="M124" s="1012" t="str">
        <f t="shared" si="100"/>
        <v>Gebieter der Rotte</v>
      </c>
      <c r="N124" s="391" t="str">
        <f t="shared" ca="1" si="101"/>
        <v/>
      </c>
      <c r="O124" s="387" t="str">
        <f t="shared" ca="1" si="102"/>
        <v/>
      </c>
      <c r="P124" s="1127"/>
      <c r="Q124" s="109"/>
      <c r="R124" s="384"/>
      <c r="S124" s="960"/>
      <c r="T124" s="960"/>
      <c r="U124" s="324"/>
      <c r="V124" s="1739" t="str">
        <f>IF(OR(NOT(ISBLANK($R124)),NOT(ISBLANK($S124)),NOT(ISBLANK($T124)),NOT(ISBLANK($U124))),
IF(MU&lt;12,"MU&lt;12; ","")&amp;IF(TAW_MAGIEKUNDE&lt;7,"Magiekunde &lt; 7; ",""),
"")</f>
        <v/>
      </c>
      <c r="W124" s="1740"/>
      <c r="X124" s="1741"/>
      <c r="Y124" s="1132" t="s">
        <v>6510</v>
      </c>
      <c r="Z124" s="1017"/>
      <c r="AA124" s="1017"/>
      <c r="AB124" s="1017"/>
      <c r="AC124" s="1017"/>
      <c r="AD124" s="1017"/>
      <c r="AE124" s="1017"/>
      <c r="AF124" s="1017"/>
      <c r="AG124" s="1133"/>
      <c r="AH124" s="1133"/>
      <c r="AI124" s="1133"/>
      <c r="AJ124" s="1133"/>
      <c r="AK124" s="1133"/>
      <c r="AL124" s="1134"/>
      <c r="AM124" s="246">
        <f t="shared" ca="1" si="103"/>
        <v>0</v>
      </c>
      <c r="AN124" s="212">
        <f t="shared" ca="1" si="104"/>
        <v>0</v>
      </c>
      <c r="AO124" s="212">
        <f t="shared" ca="1" si="105"/>
        <v>0</v>
      </c>
      <c r="AP124" s="212">
        <f t="shared" ca="1" si="106"/>
        <v>0</v>
      </c>
      <c r="AQ124" s="212">
        <f t="shared" ca="1" si="107"/>
        <v>0</v>
      </c>
      <c r="AR124" s="212">
        <f t="shared" ca="1" si="108"/>
        <v>2</v>
      </c>
      <c r="AS124" s="1020" t="str">
        <f t="shared" ca="1" si="109"/>
        <v/>
      </c>
      <c r="AT124" s="557" t="str">
        <f t="shared" ca="1" si="110"/>
        <v/>
      </c>
      <c r="AU124" s="557">
        <f t="shared" si="111"/>
        <v>4</v>
      </c>
      <c r="AV124" s="557"/>
      <c r="AW124" s="212"/>
      <c r="AX124" s="212"/>
      <c r="AY124" s="212"/>
      <c r="AZ124" s="18"/>
      <c r="BA124" s="18"/>
      <c r="BB124" s="18"/>
      <c r="BC124" s="18"/>
      <c r="BD124" s="18"/>
      <c r="BE124" s="18"/>
      <c r="BF124" s="18"/>
      <c r="BG124" s="18"/>
      <c r="BH124" s="18"/>
      <c r="BI124" s="18"/>
      <c r="BJ124" s="18"/>
      <c r="BK124" s="18"/>
      <c r="BL124" s="18"/>
      <c r="BM124" s="18"/>
      <c r="BN124" s="18"/>
      <c r="BO124" s="18"/>
      <c r="BP124" s="18"/>
      <c r="BQ124" s="18"/>
      <c r="BR124" s="18"/>
      <c r="BS124" s="18"/>
      <c r="BT124" s="190"/>
      <c r="BU124" s="190"/>
      <c r="BV124" s="1107" t="str">
        <f ca="1">HLOOKUP(RASSEGENE,RASSE,IDX_WVK,FALSE)&amp;
HLOOKUP(KULTURGENE,KULTUR,IDX_WVK,FALSE)&amp;
HLOOKUP(PROFGENE,INDIRECT(PROFGEBIET),IDX_WVK,FALSE)&amp;
IF(LEN(PROFZWEITE)&lt;1,"",HLOOKUP(PROFZWEITE,INDIRECT(PROFGEBIET2),IDX_WVK,FALSE))</f>
        <v/>
      </c>
    </row>
    <row r="125" spans="1:74" x14ac:dyDescent="0.2">
      <c r="A125" s="180" t="s">
        <v>889</v>
      </c>
      <c r="B125" s="198"/>
      <c r="C125" s="198"/>
      <c r="D125" s="198"/>
      <c r="E125" s="198"/>
      <c r="F125" s="198"/>
      <c r="G125" s="1026"/>
      <c r="H125" s="1026"/>
      <c r="I125" s="198"/>
      <c r="J125" s="198"/>
      <c r="K125" s="198"/>
      <c r="L125" s="1027"/>
      <c r="M125" s="1012" t="str">
        <f t="shared" si="100"/>
        <v>Golembauer</v>
      </c>
      <c r="N125" s="391" t="str">
        <f t="shared" ca="1" si="101"/>
        <v/>
      </c>
      <c r="O125" s="387" t="str">
        <f t="shared" ca="1" si="102"/>
        <v/>
      </c>
      <c r="P125" s="1127"/>
      <c r="Q125" s="109"/>
      <c r="R125" s="384"/>
      <c r="S125" s="960"/>
      <c r="T125" s="960"/>
      <c r="U125" s="324"/>
      <c r="V125" s="1739" t="str">
        <f>IF(OR(NOT(ISBLANK($R125)),NOT(ISBLANK($S125)),NOT(ISBLANK($T125)),NOT(ISBLANK($U125))),
IF(MU&lt;15,"MU&lt;15; ","")&amp;IF(TAW_MAGIEKUNDE&lt;11,"TaW Magiekunde muss &gt; 10 sein; ",""),
"")</f>
        <v/>
      </c>
      <c r="W125" s="1740"/>
      <c r="X125" s="1741"/>
      <c r="Y125" s="1135" t="s">
        <v>4239</v>
      </c>
      <c r="Z125" s="1021"/>
      <c r="AA125" s="1021"/>
      <c r="AB125" s="1021"/>
      <c r="AC125" s="1021"/>
      <c r="AD125" s="1021"/>
      <c r="AE125" s="1021"/>
      <c r="AF125" s="1021"/>
      <c r="AG125" s="1085"/>
      <c r="AH125" s="1085" t="str">
        <f ca="1">CONCATENATE(AI125,AJ125,AK125)</f>
        <v>,,,,,,,,,,,,,,,</v>
      </c>
      <c r="AI125" s="1085" t="str">
        <f>CONCATENATE(HLOOKUP(RASSEGENE,RASSE,IDX_K,FALSE)&amp;",",HLOOKUP(RASSEGENE,RASSE,IDX_K+1,FALSE)&amp;",",HLOOKUP(RASSEGENE,RASSE,IDX_K+2,FALSE)&amp;",",HLOOKUP(RASSEGENE,RASSE,IDX_K+3,FALSE)&amp;",",HLOOKUP(RASSEGENE,RASSE,IDX_K+4,FALSE)&amp;",")</f>
        <v>,,,,,</v>
      </c>
      <c r="AJ125" s="1085" t="str">
        <f>CONCATENATE(HLOOKUP(KULTURGENE,KULTUR,IDX_K,FALSE)&amp;",",HLOOKUP(KULTURGENE,KULTUR,IDX_K+1,FALSE)&amp;",",HLOOKUP(KULTURGENE,KULTUR,IDX_K+2,FALSE)&amp;",",HLOOKUP(KULTURGENE,KULTUR,IDX_K+3,FALSE)&amp;",",HLOOKUP(KULTURGENE,KULTUR,IDX_K+4,FALSE)&amp;",")</f>
        <v>,,,,,</v>
      </c>
      <c r="AK125" s="1085" t="str">
        <f ca="1">CONCATENATE(HLOOKUP(PROFGENE,INDIRECT(PROFGEBIET),IDX_K,FALSE)&amp;",",HLOOKUP(PROFGENE,INDIRECT(PROFGEBIET),IDX_K+1,FALSE)&amp;",",HLOOKUP(PROFGENE,INDIRECT(PROFGEBIET),IDX_K+2,FALSE)&amp;",",HLOOKUP(PROFGENE,INDIRECT(PROFGEBIET),IDX_K+3,FALSE)&amp;",",HLOOKUP(PROFGENE,INDIRECT(PROFGEBIET),IDX_K+4,FALSE)&amp;",")</f>
        <v>,,,,,</v>
      </c>
      <c r="AL125" s="1085" t="str">
        <f ca="1">IF(LEN(PROFZWEITE)&lt;1,"",CONCATENATE(HLOOKUP(PROFZWEITE,INDIRECT(PROFGEBIET2),IDX_K,FALSE)&amp;",",HLOOKUP(PROFZWEITE,INDIRECT(PROFGEBIET2),IDX_K+1,FALSE)&amp;",",HLOOKUP(PROFZWEITE,INDIRECT(PROFGEBIET2),IDX_K+2,FALSE)&amp;",",HLOOKUP(PROFZWEITE,INDIRECT(PROFGEBIET2),IDX_K+3,FALSE)&amp;",",HLOOKUP(PROFZWEITE,INDIRECT(PROFGEBIET2),IDX_K+4,FALSE)&amp;","))</f>
        <v/>
      </c>
      <c r="AM125" s="246">
        <f t="shared" ca="1" si="103"/>
        <v>0</v>
      </c>
      <c r="AN125" s="212">
        <f t="shared" ca="1" si="104"/>
        <v>0</v>
      </c>
      <c r="AO125" s="212">
        <f t="shared" ca="1" si="105"/>
        <v>0</v>
      </c>
      <c r="AP125" s="212">
        <f t="shared" ca="1" si="106"/>
        <v>0</v>
      </c>
      <c r="AQ125" s="212">
        <f t="shared" ca="1" si="107"/>
        <v>0</v>
      </c>
      <c r="AR125" s="212">
        <f t="shared" ca="1" si="108"/>
        <v>2</v>
      </c>
      <c r="AS125" s="1020" t="str">
        <f t="shared" ca="1" si="109"/>
        <v/>
      </c>
      <c r="AT125" s="557" t="str">
        <f t="shared" ca="1" si="110"/>
        <v/>
      </c>
      <c r="AU125" s="557">
        <f t="shared" si="111"/>
        <v>5</v>
      </c>
      <c r="AV125" s="557"/>
      <c r="AW125" s="212"/>
      <c r="AX125" s="212"/>
      <c r="AY125" s="212"/>
      <c r="AZ125" s="18"/>
      <c r="BA125" s="18"/>
      <c r="BB125" s="18"/>
      <c r="BC125" s="18"/>
      <c r="BD125" s="18"/>
      <c r="BE125" s="18"/>
      <c r="BF125" s="18"/>
      <c r="BG125" s="18"/>
      <c r="BH125" s="18"/>
      <c r="BI125" s="18"/>
      <c r="BJ125" s="18"/>
      <c r="BK125" s="18"/>
      <c r="BL125" s="18"/>
      <c r="BM125" s="18"/>
      <c r="BN125" s="18"/>
      <c r="BO125" s="18"/>
      <c r="BP125" s="18"/>
      <c r="BQ125" s="18"/>
      <c r="BR125" s="18"/>
      <c r="BS125" s="18"/>
      <c r="BT125" s="190"/>
      <c r="BU125" s="190"/>
      <c r="BV125" s="234"/>
    </row>
    <row r="126" spans="1:74" x14ac:dyDescent="0.2">
      <c r="A126" s="1861" t="str">
        <f ca="1">IF(BV123="","","Wählbare SF Klerikal: "&amp;BV123&amp;" ")&amp;
IF(BV124="","","Wählbare Verbilligte SF Klerikal: "&amp;BV124)</f>
        <v/>
      </c>
      <c r="B126" s="1862"/>
      <c r="C126" s="1862"/>
      <c r="D126" s="1862"/>
      <c r="E126" s="1862"/>
      <c r="F126" s="1862"/>
      <c r="G126" s="1862"/>
      <c r="H126" s="1862"/>
      <c r="I126" s="1862"/>
      <c r="J126" s="1862"/>
      <c r="K126" s="1862"/>
      <c r="L126" s="1863"/>
      <c r="M126" s="1012" t="str">
        <f t="shared" si="100"/>
        <v>Herr über die Gebeine</v>
      </c>
      <c r="N126" s="391" t="str">
        <f t="shared" ca="1" si="101"/>
        <v/>
      </c>
      <c r="O126" s="387" t="str">
        <f t="shared" ca="1" si="102"/>
        <v/>
      </c>
      <c r="P126" s="1127"/>
      <c r="Q126" s="109"/>
      <c r="R126" s="384"/>
      <c r="S126" s="960"/>
      <c r="T126" s="960"/>
      <c r="U126" s="324"/>
      <c r="V126" s="1739" t="str">
        <f>IF(OR(NOT(ISBLANK($R126)),NOT(ISBLANK($S126)),NOT(ISBLANK($T126)),NOT(ISBLANK($U126))),
IF(KL&lt;15,"KL&lt;15; ","")&amp;IF(TAW_MAGIEKUNDE&lt;11,"TaW Magiekunde muss &gt; 10 sein; ",""),
"")</f>
        <v/>
      </c>
      <c r="W126" s="1740"/>
      <c r="X126" s="1741"/>
      <c r="Y126" s="1135"/>
      <c r="Z126" s="1021"/>
      <c r="AA126" s="1021"/>
      <c r="AB126" s="1021"/>
      <c r="AC126" s="1021"/>
      <c r="AD126" s="1021"/>
      <c r="AE126" s="1021"/>
      <c r="AF126" s="1021"/>
      <c r="AG126" s="1085"/>
      <c r="AH126" s="1085" t="str">
        <f ca="1">CONCATENATE(AI126,AJ126,AK126,IF(VT_BBILDUNG,AL125&amp;AL126,""))</f>
        <v>,,,,,,,,,,,,</v>
      </c>
      <c r="AI126" s="1085" t="str">
        <f>CONCATENATE(HLOOKUP(RASSEGENE,RASSE,IDX_VK,FALSE)&amp;",",HLOOKUP(RASSEGENE,RASSE,IDX_VK+1,FALSE)&amp;",",HLOOKUP(RASSEGENE,RASSE,IDX_VK+2,FALSE)&amp;",",HLOOKUP(RASSEGENE,RASSE,IDX_VK+3,FALSE)&amp;",")</f>
        <v>,,,,</v>
      </c>
      <c r="AJ126" s="1085" t="str">
        <f>CONCATENATE(HLOOKUP(KULTURGENE,KULTUR,IDX_VK,FALSE)&amp;",",HLOOKUP(KULTURGENE,KULTUR,IDX_VK+1,FALSE)&amp;",",HLOOKUP(KULTURGENE,KULTUR,IDX_VK+2,FALSE)&amp;",",HLOOKUP(KULTURGENE,KULTUR,IDX_VK+3,FALSE)&amp;",")</f>
        <v>,,,,</v>
      </c>
      <c r="AK126" s="1085" t="str">
        <f ca="1">CONCATENATE(HLOOKUP(PROFGENE,INDIRECT(PROFGEBIET),IDX_VK,FALSE)&amp;",",HLOOKUP(PROFGENE,INDIRECT(PROFGEBIET),IDX_VK+1,FALSE)&amp;",",HLOOKUP(PROFGENE,INDIRECT(PROFGEBIET),IDX_VK+2,FALSE)&amp;",",HLOOKUP(PROFGENE,INDIRECT(PROFGEBIET),IDX_VK+3,FALSE)&amp;",")</f>
        <v>,,,,</v>
      </c>
      <c r="AL126" s="1085" t="str">
        <f ca="1">IF(LEN(PROFZWEITE)&lt;1,"",CONCATENATE(HLOOKUP(PROFZWEITE,INDIRECT(PROFGEBIET2),IDX_VK,FALSE)&amp;",",HLOOKUP(PROFZWEITE,INDIRECT(PROFGEBIET2),IDX_VK+1,FALSE)&amp;",",HLOOKUP(PROFZWEITE,INDIRECT(PROFGEBIET2),IDX_VK+2,FALSE)&amp;",",HLOOKUP(PROFZWEITE,INDIRECT(PROFGEBIET2),IDX_VK+3,FALSE)&amp;","))</f>
        <v/>
      </c>
      <c r="AM126" s="246">
        <f t="shared" ca="1" si="103"/>
        <v>0</v>
      </c>
      <c r="AN126" s="212">
        <f t="shared" ca="1" si="104"/>
        <v>0</v>
      </c>
      <c r="AO126" s="212">
        <f t="shared" ca="1" si="105"/>
        <v>0</v>
      </c>
      <c r="AP126" s="212">
        <f t="shared" ca="1" si="106"/>
        <v>0</v>
      </c>
      <c r="AQ126" s="212">
        <f t="shared" ca="1" si="107"/>
        <v>0</v>
      </c>
      <c r="AR126" s="212">
        <f t="shared" ca="1" si="108"/>
        <v>2</v>
      </c>
      <c r="AS126" s="1020" t="str">
        <f t="shared" ca="1" si="109"/>
        <v/>
      </c>
      <c r="AT126" s="557" t="str">
        <f t="shared" ca="1" si="110"/>
        <v/>
      </c>
      <c r="AU126" s="557">
        <f t="shared" si="111"/>
        <v>6</v>
      </c>
      <c r="AV126" s="557"/>
      <c r="AW126" s="212"/>
      <c r="AX126" s="212"/>
      <c r="AY126" s="212"/>
      <c r="AZ126" s="18"/>
      <c r="BA126" s="18"/>
      <c r="BB126" s="18"/>
      <c r="BC126" s="18"/>
      <c r="BD126" s="18"/>
      <c r="BE126" s="18"/>
      <c r="BF126" s="18"/>
      <c r="BG126" s="18"/>
      <c r="BH126" s="18"/>
      <c r="BI126" s="18"/>
      <c r="BJ126" s="18"/>
      <c r="BK126" s="18"/>
      <c r="BL126" s="18"/>
      <c r="BM126" s="18"/>
      <c r="BN126" s="18"/>
      <c r="BO126" s="18"/>
      <c r="BP126" s="18"/>
      <c r="BQ126" s="18"/>
      <c r="BR126" s="18"/>
      <c r="BS126" s="18"/>
      <c r="BT126" s="190"/>
      <c r="BU126" s="190"/>
      <c r="BV126" s="234"/>
    </row>
    <row r="127" spans="1:74" x14ac:dyDescent="0.2">
      <c r="A127" s="1864"/>
      <c r="B127" s="1865"/>
      <c r="C127" s="1865"/>
      <c r="D127" s="1865"/>
      <c r="E127" s="1865"/>
      <c r="F127" s="1865"/>
      <c r="G127" s="1865"/>
      <c r="H127" s="1865"/>
      <c r="I127" s="1865"/>
      <c r="J127" s="1865"/>
      <c r="K127" s="1865"/>
      <c r="L127" s="1866"/>
      <c r="M127" s="1012" t="str">
        <f t="shared" si="100"/>
        <v>Nekromant</v>
      </c>
      <c r="N127" s="391" t="str">
        <f t="shared" ca="1" si="101"/>
        <v/>
      </c>
      <c r="O127" s="387" t="str">
        <f t="shared" ca="1" si="102"/>
        <v/>
      </c>
      <c r="P127" s="1127"/>
      <c r="Q127" s="109"/>
      <c r="R127" s="384"/>
      <c r="S127" s="960"/>
      <c r="T127" s="960"/>
      <c r="U127" s="324"/>
      <c r="V127" s="1739" t="str">
        <f>IF(OR(NOT(ISBLANK($R127)),NOT(ISBLANK($S127)),NOT(ISBLANK($T127)),NOT(ISBLANK($U127))),
IF(MU&lt;15,"MU&lt;15; ","")&amp;IF(TAW_MAGIEKUNDE&lt;11,"TaW Magiekunde muss &gt; 10 sein; ","")&amp;
IF(ISERROR(FIND("Dämo (TGN)",CONCATENATE(Zauber!BP7,Zauber!BP8,Zauber!A246,Zauber!A247,Zauber!A248,Zauber!A249,Zauber!A250,Zauber!A251,Zauber!A252),1)),"Keine MK Dämo (TGN)",""),
"")</f>
        <v/>
      </c>
      <c r="W127" s="1740"/>
      <c r="X127" s="1741"/>
      <c r="Y127" s="1137"/>
      <c r="Z127" s="1138"/>
      <c r="AA127" s="1138"/>
      <c r="AB127" s="1138"/>
      <c r="AC127" s="1138"/>
      <c r="AD127" s="1138"/>
      <c r="AE127" s="1138"/>
      <c r="AF127" s="1138"/>
      <c r="AG127" s="1138"/>
      <c r="AH127" s="1138"/>
      <c r="AI127" s="1138"/>
      <c r="AJ127" s="1138"/>
      <c r="AK127" s="1138"/>
      <c r="AL127" s="1139"/>
      <c r="AM127" s="246">
        <f t="shared" ca="1" si="103"/>
        <v>0</v>
      </c>
      <c r="AN127" s="212">
        <f t="shared" ca="1" si="104"/>
        <v>0</v>
      </c>
      <c r="AO127" s="212">
        <f t="shared" ca="1" si="105"/>
        <v>0</v>
      </c>
      <c r="AP127" s="212">
        <f t="shared" ca="1" si="106"/>
        <v>0</v>
      </c>
      <c r="AQ127" s="212">
        <f t="shared" ca="1" si="107"/>
        <v>0</v>
      </c>
      <c r="AR127" s="212">
        <f t="shared" ca="1" si="108"/>
        <v>2</v>
      </c>
      <c r="AS127" s="1020" t="str">
        <f t="shared" ca="1" si="109"/>
        <v/>
      </c>
      <c r="AT127" s="557" t="str">
        <f t="shared" ca="1" si="110"/>
        <v/>
      </c>
      <c r="AU127" s="557">
        <f t="shared" si="111"/>
        <v>7</v>
      </c>
      <c r="AV127" s="557"/>
      <c r="AW127" s="212"/>
      <c r="AX127" s="212"/>
      <c r="AY127" s="212"/>
      <c r="AZ127" s="18"/>
      <c r="BA127" s="18"/>
      <c r="BB127" s="18"/>
      <c r="BC127" s="18"/>
      <c r="BD127" s="18"/>
      <c r="BE127" s="18"/>
      <c r="BF127" s="18"/>
      <c r="BG127" s="18"/>
      <c r="BH127" s="18"/>
      <c r="BI127" s="18"/>
      <c r="BJ127" s="18"/>
      <c r="BK127" s="18"/>
      <c r="BL127" s="18"/>
      <c r="BM127" s="18"/>
      <c r="BN127" s="18"/>
      <c r="BO127" s="18"/>
      <c r="BP127" s="18"/>
      <c r="BQ127" s="18"/>
      <c r="BR127" s="18"/>
      <c r="BS127" s="18"/>
      <c r="BT127" s="190"/>
      <c r="BU127" s="190"/>
      <c r="BV127" s="234"/>
    </row>
    <row r="128" spans="1:74" x14ac:dyDescent="0.2">
      <c r="A128" s="1012" t="s">
        <v>890</v>
      </c>
      <c r="B128" s="391" t="str">
        <f t="shared" ref="B128:B133" ca="1" si="112">IF(NOT(ISERR(FIND(A128&amp;",",$AH$125,1))),"x",
IF(D128="X","x",""))</f>
        <v/>
      </c>
      <c r="C128" s="387" t="str">
        <f t="shared" ref="C128:C133" ca="1" si="113">IF(NOT(ISERR(FIND(A128&amp;",",$AH$126,1))),"x",
IF(D128="V","x",""))</f>
        <v/>
      </c>
      <c r="D128" s="1127"/>
      <c r="E128" s="1307"/>
      <c r="F128" s="384"/>
      <c r="G128" s="960"/>
      <c r="H128" s="960"/>
      <c r="I128" s="324"/>
      <c r="J128" s="1803" t="str">
        <f>IF(OR(NOT(ISBLANK($F128)),NOT(ISBLANK($G128)),NOT(ISBLANK($H128)),NOT(ISBLANK($I128))),IF(NOT(EXACT($B128,"")),"Diese SF hast Du schon!",IF(PROFGRDGENE="Schamane","Nicht von Schamaneen lernbar",IF(SUM(Talente!B88,Talente!G88,Talente!I88)&lt;5, "TaW Götter/Kulte muss min. 5 sein!",""))),"")</f>
        <v/>
      </c>
      <c r="K128" s="1804"/>
      <c r="L128" s="1805"/>
      <c r="M128" s="1544"/>
      <c r="N128" s="204"/>
      <c r="O128" s="204"/>
      <c r="P128" s="204"/>
      <c r="Q128" s="204"/>
      <c r="R128" s="964"/>
      <c r="S128" s="964"/>
      <c r="T128" s="964"/>
      <c r="U128" s="964"/>
      <c r="V128" s="775"/>
      <c r="W128" s="775"/>
      <c r="X128" s="1016"/>
      <c r="Y128" s="245">
        <f t="shared" ref="Y128:Y133" ca="1" si="114">IF(AND(NOT(ISBLANK($F128)),EXACT($B128,"")),IF(EXACT($C128,""),VLOOKUP($A128,SF_KARMALALLE,3,FALSE),ROUND(VLOOKUP($A128,SF_KARMALALLE,3,FALSE)/2,0)),0)</f>
        <v>0</v>
      </c>
      <c r="Z128" s="554">
        <f ca="1">IF(AND(NOT(ISBLANK($G128)),EXACT($B128,"")),IF(EXACT($C128,""),VLOOKUP($A128,SF_KARMALALLE,2,FALSE),ROUND(VLOOKUP($A128,SF_KARMALALLE,2,FALSE)/2,0)),0)</f>
        <v>0</v>
      </c>
      <c r="AA128" s="554">
        <f ca="1">IF(AND(NOT(ISBLANK($H128)),EXACT($B128,"")),IF(EXACT($C128,""),VLOOKUP($A128,SF_KARMALALLE,2,FALSE),ROUND(VLOOKUP($A128,SF_KARMALALLE,2,FALSE)/2,0)),0)</f>
        <v>0</v>
      </c>
      <c r="AB128" s="554">
        <f ca="1">IF(AND(NOT(ISBLANK($I128)),EXACT($J128,""),EXACT($B128,"")),IF(EXACT($C128,""),VLOOKUP($A128,SF_KARMALALLE,2,FALSE),ROUND(VLOOKUP($A128,SF_KARMALALLE,2,FALSE)/2,0)),0)</f>
        <v>0</v>
      </c>
      <c r="AC128" s="1054">
        <f t="shared" ref="AC128:AC133" ca="1" si="115">IF((LEN($AH$126)-LEN(SUBSTITUTE($AH$126,$A128&amp;",","")))/LEN($A128&amp;",")&gt;1,4,2)</f>
        <v>2</v>
      </c>
      <c r="AD128" s="1161" t="str">
        <f t="shared" ref="AD128:AD133" ca="1" si="116">IF(AND(EXACT($B128,""),ISBLANK($F128),ISBLANK($G128),ISBLANK($H128),ISBLANK($I128)),"",CONCATENATE($A128,", "))</f>
        <v/>
      </c>
      <c r="AE128" s="1430" t="str">
        <f t="shared" ref="AE128:AE133" ca="1" si="117">IF(AND(EXACT($B128,""),ISBLANK($F128),ISBLANK($G128),ISBLANK($H128),ISBLANK($I128)),"",IF(EXACT($J128,""),"X",""))</f>
        <v/>
      </c>
      <c r="AF128" s="1162"/>
      <c r="AG128" s="1014"/>
      <c r="AH128" s="1014"/>
      <c r="AI128" s="1014"/>
      <c r="AJ128" s="1014"/>
      <c r="AK128" s="1014"/>
      <c r="AL128" s="1422">
        <f t="shared" ref="AL128:AL133" ca="1" si="118">IF((LEN($AH$125)-LEN(SUBSTITUTE($AH$125,$A128&amp;",","")))/LEN($A128&amp;",")&gt;1,VLOOKUP($A128,SF_KARMALALLE,3,FALSE),0)+
IF(AND((LEN($AH$126)-LEN(SUBSTITUTE($AH$126,$A128&amp;",","")))/LEN($A128&amp;",")&gt;0,(LEN($AH$125)-LEN(SUBSTITUTE($AH$125,$A128&amp;",","")))/LEN($A128&amp;",")&gt;0),ROUND(VLOOKUP($A128,SF_KARMALALLE,3,FALSE)*0.5,0),0)</f>
        <v>0</v>
      </c>
      <c r="AM128" s="88"/>
      <c r="AN128" s="18"/>
      <c r="AO128" s="18"/>
      <c r="AP128" s="18"/>
      <c r="AQ128" s="18"/>
      <c r="AR128" s="18"/>
      <c r="AS128" s="18"/>
      <c r="AT128" s="18"/>
      <c r="AU128" s="18"/>
      <c r="AV128" s="18"/>
      <c r="AW128" s="18"/>
      <c r="AX128" s="18"/>
      <c r="AY128" s="18"/>
      <c r="AZ128" s="18"/>
      <c r="BA128" s="18"/>
      <c r="BB128" s="241"/>
      <c r="BC128" s="190"/>
      <c r="BD128" s="190"/>
      <c r="BE128" s="190"/>
      <c r="BF128" s="190"/>
      <c r="BG128" s="190"/>
      <c r="BH128" s="190"/>
      <c r="BI128" s="190"/>
      <c r="BJ128" s="190"/>
      <c r="BK128" s="190"/>
      <c r="BL128" s="190"/>
      <c r="BM128" s="190"/>
      <c r="BN128" s="190"/>
      <c r="BO128" s="190"/>
      <c r="BP128" s="190"/>
      <c r="BQ128" s="190"/>
      <c r="BR128" s="190"/>
      <c r="BS128" s="190"/>
      <c r="BT128" s="190"/>
      <c r="BU128" s="190"/>
      <c r="BV128" s="234"/>
    </row>
    <row r="129" spans="1:74" x14ac:dyDescent="0.2">
      <c r="A129" s="1012" t="s">
        <v>8826</v>
      </c>
      <c r="B129" s="391" t="str">
        <f t="shared" ca="1" si="112"/>
        <v/>
      </c>
      <c r="C129" s="387" t="str">
        <f t="shared" ca="1" si="113"/>
        <v/>
      </c>
      <c r="D129" s="1127"/>
      <c r="E129" s="109"/>
      <c r="F129" s="384"/>
      <c r="G129" s="960"/>
      <c r="H129" s="960"/>
      <c r="I129" s="324"/>
      <c r="J129" s="1739" t="str">
        <f>IF(AND(NOT(ISBLANK($F129)),NOT(ISBLANK($G129)),NOT(ISBLANK($H129)),NOT(ISBLANK($I129))),"Was denn nun? GP oder AP?",IF(OR(NOT(ISBLANK($F129)),NOT(ISBLANK($G129)),NOT(ISBLANK($H129)),NOT(ISBLANK($I129))),IF(NOT(EXACT($B129,"")),"Diese SF hast Du schon!",IF(IN&lt;15,"IN min. 15",IF(CH&lt;15,"CH min. 15",IF(Liturgien!C11&lt;12,"LkW min. 12","")))),""))</f>
        <v/>
      </c>
      <c r="K129" s="1740"/>
      <c r="L129" s="1741"/>
      <c r="M129" s="1031"/>
      <c r="N129" s="737"/>
      <c r="O129" s="737"/>
      <c r="P129" s="737"/>
      <c r="Q129" s="732"/>
      <c r="T129" s="734"/>
      <c r="U129" s="734"/>
      <c r="V129" s="734"/>
      <c r="W129" s="734"/>
      <c r="X129" s="734"/>
      <c r="Y129" s="246">
        <f t="shared" ca="1" si="114"/>
        <v>0</v>
      </c>
      <c r="Z129" s="212">
        <f ca="1">IF(AND(NOT(ISBLANK($G129)),EXACT($B129,"")),IF(EXACT($C129,""),VLOOKUP($A129,SF_KARMALALLE,2,FALSE),ROUND(VLOOKUP($A129,SF_KARMALALLE,2,FALSE)/2,0)),0)</f>
        <v>0</v>
      </c>
      <c r="AA129" s="212">
        <f ca="1">IF(AND(NOT(ISBLANK($H129)),EXACT($B129,"")),IF(EXACT($C129,""),VLOOKUP($A129,SF_KARMALALLE,2,FALSE),ROUND(VLOOKUP($A129,SF_KARMALALLE,2,FALSE)/2,0)),0)</f>
        <v>0</v>
      </c>
      <c r="AB129" s="212">
        <f ca="1">IF(AND(NOT(ISBLANK($I129)),EXACT($J129,""),EXACT($B129,"")),IF(EXACT($C129,""),VLOOKUP($A129,SF_KARMALALLE,2,FALSE),ROUND(VLOOKUP($A129,SF_KARMALALLE,2,FALSE)/2,0)),0)</f>
        <v>0</v>
      </c>
      <c r="AC129" s="559">
        <f t="shared" ca="1" si="115"/>
        <v>2</v>
      </c>
      <c r="AD129" s="557" t="str">
        <f t="shared" ca="1" si="116"/>
        <v/>
      </c>
      <c r="AE129" s="1020" t="str">
        <f t="shared" ca="1" si="117"/>
        <v/>
      </c>
      <c r="AF129" s="1033"/>
      <c r="AG129" s="810"/>
      <c r="AH129" s="804"/>
      <c r="AI129" s="804"/>
      <c r="AJ129" s="804"/>
      <c r="AK129" s="804"/>
      <c r="AL129" s="1073">
        <f t="shared" ca="1" si="118"/>
        <v>0</v>
      </c>
      <c r="AM129" s="88"/>
      <c r="AN129" s="18"/>
      <c r="AO129" s="18"/>
      <c r="AP129" s="18"/>
      <c r="AQ129" s="18"/>
      <c r="AR129" s="18"/>
      <c r="AS129" s="18"/>
      <c r="AT129" s="18"/>
      <c r="AU129" s="18"/>
      <c r="AV129" s="18"/>
      <c r="AW129" s="18"/>
      <c r="AX129" s="18"/>
      <c r="AY129" s="18"/>
      <c r="AZ129" s="18"/>
      <c r="BA129" s="241"/>
      <c r="BB129" s="190"/>
      <c r="BC129" s="190"/>
      <c r="BD129" s="190"/>
      <c r="BE129" s="190"/>
      <c r="BF129" s="190"/>
      <c r="BG129" s="190"/>
      <c r="BH129" s="190"/>
      <c r="BI129" s="190"/>
      <c r="BJ129" s="190"/>
      <c r="BK129" s="190"/>
      <c r="BL129" s="190"/>
      <c r="BM129" s="190"/>
      <c r="BN129" s="190"/>
      <c r="BO129" s="190"/>
      <c r="BP129" s="190"/>
      <c r="BQ129" s="190"/>
      <c r="BR129" s="190"/>
      <c r="BS129" s="190"/>
      <c r="BT129" s="190"/>
      <c r="BU129" s="190"/>
      <c r="BV129" s="1032"/>
    </row>
    <row r="130" spans="1:74" x14ac:dyDescent="0.2">
      <c r="A130" s="1012" t="s">
        <v>2629</v>
      </c>
      <c r="B130" s="391" t="str">
        <f t="shared" ca="1" si="112"/>
        <v/>
      </c>
      <c r="C130" s="387" t="str">
        <f t="shared" ca="1" si="113"/>
        <v/>
      </c>
      <c r="D130" s="1127"/>
      <c r="E130" s="109"/>
      <c r="F130" s="384"/>
      <c r="G130" s="960"/>
      <c r="H130" s="960"/>
      <c r="I130" s="324"/>
      <c r="J130" s="1739" t="str">
        <f>IF(AND(NOT(ISBLANK(I130)),NOT(ISNUMBER(I130))),"Bitte Anzahl angeben!",IF(AND(NOT(ISBLANK(G130)),NOT(ISNUMBER(G130))),"Bitte Anzahl angeben!",""))</f>
        <v/>
      </c>
      <c r="K130" s="1740"/>
      <c r="L130" s="1741"/>
      <c r="M130" s="19"/>
      <c r="N130" s="737"/>
      <c r="O130" s="737"/>
      <c r="P130" s="737"/>
      <c r="Q130" s="732"/>
      <c r="T130" s="734"/>
      <c r="U130" s="734"/>
      <c r="V130" s="734"/>
      <c r="W130" s="734"/>
      <c r="Y130" s="246">
        <f t="shared" ca="1" si="114"/>
        <v>0</v>
      </c>
      <c r="Z130" s="717">
        <f>IF(NOT(ISBLANK($G130)),IF(EXACT($C130,""),($G130*300)+IF(EXACT($B130,""),VLOOKUP($A130,SF_KARMALALLE,2,FALSE),0),ROUND((($G130*300)+IF(EXACT($B130,""),VLOOKUP($A130,SF_KARMALALLE,2,FALSE),0))/2,0)),0)</f>
        <v>0</v>
      </c>
      <c r="AA130" s="717">
        <f>IF(NOT(ISBLANK($H130)),IF(EXACT($C130,""),($H130*300)+IF(EXACT($B130,""),VLOOKUP($A130,SF_KARMALALLE,2,FALSE),0),ROUND((($H130*300)+IF(EXACT($B130,""),VLOOKUP($A130,SF_KARMALALLE,2,FALSE),0))/2,0)),0)</f>
        <v>0</v>
      </c>
      <c r="AB130" s="719">
        <f>IF(AND(NOT(ISBLANK($I130)),EXACT($J130,"")),IF(EXACT($C130,""),($I130*300)+IF(EXACT($B130,""),VLOOKUP($A130,SF_KARMALALLE,2,FALSE),0),ROUND((($I130*300)+IF(EXACT($B130,""),VLOOKUP($A130,SF_KARMALALLE,2,FALSE),0))/2,0)),0)</f>
        <v>0</v>
      </c>
      <c r="AC130" s="559">
        <f t="shared" ca="1" si="115"/>
        <v>2</v>
      </c>
      <c r="AD130" s="557" t="str">
        <f t="shared" ca="1" si="116"/>
        <v/>
      </c>
      <c r="AE130" s="1020" t="str">
        <f t="shared" ca="1" si="117"/>
        <v/>
      </c>
      <c r="AF130" s="1033"/>
      <c r="AG130" s="798"/>
      <c r="AH130" s="798"/>
      <c r="AI130" s="798"/>
      <c r="AJ130" s="798"/>
      <c r="AK130" s="798"/>
      <c r="AL130" s="1073">
        <f t="shared" ca="1" si="118"/>
        <v>0</v>
      </c>
      <c r="AM130" s="88"/>
      <c r="AN130" s="18"/>
      <c r="AO130" s="18"/>
      <c r="AP130" s="18"/>
      <c r="AQ130" s="18"/>
      <c r="AR130" s="18"/>
      <c r="AS130" s="18"/>
      <c r="AT130" s="18"/>
      <c r="AU130" s="18"/>
      <c r="AV130" s="18"/>
      <c r="AW130" s="18"/>
      <c r="AX130" s="18"/>
      <c r="AY130" s="18"/>
      <c r="AZ130" s="18"/>
      <c r="BA130" s="241"/>
      <c r="BB130" s="190"/>
      <c r="BC130" s="190"/>
      <c r="BD130" s="190"/>
      <c r="BE130" s="190"/>
      <c r="BF130" s="190"/>
      <c r="BG130" s="190"/>
      <c r="BH130" s="190"/>
      <c r="BI130" s="190"/>
      <c r="BJ130" s="190"/>
      <c r="BK130" s="190"/>
      <c r="BL130" s="190"/>
      <c r="BM130" s="190"/>
      <c r="BN130" s="190"/>
      <c r="BO130" s="190"/>
      <c r="BP130" s="190"/>
      <c r="BQ130" s="190"/>
      <c r="BR130" s="190"/>
      <c r="BS130" s="190"/>
      <c r="BT130" s="190"/>
      <c r="BU130" s="190"/>
      <c r="BV130" s="1032"/>
    </row>
    <row r="131" spans="1:74" x14ac:dyDescent="0.2">
      <c r="A131" s="1012" t="s">
        <v>2630</v>
      </c>
      <c r="B131" s="391" t="str">
        <f t="shared" ca="1" si="112"/>
        <v/>
      </c>
      <c r="C131" s="387" t="str">
        <f t="shared" ca="1" si="113"/>
        <v/>
      </c>
      <c r="D131" s="1127"/>
      <c r="E131" s="109"/>
      <c r="F131" s="384"/>
      <c r="G131" s="960"/>
      <c r="H131" s="960"/>
      <c r="I131" s="324"/>
      <c r="J131" s="1739" t="str">
        <f>IF(AND(NOT(ISBLANK(I131)),NOT(ISNUMBER(I131))),"Bitte Anzahl angeben!",IF(AND(NOT(ISBLANK(G131)),NOT(ISNUMBER(G131))),"Bitte Anzahl angeben!",""))</f>
        <v/>
      </c>
      <c r="K131" s="1740"/>
      <c r="L131" s="1741"/>
      <c r="M131" s="733"/>
      <c r="N131" s="737"/>
      <c r="O131" s="732"/>
      <c r="Q131" s="734"/>
      <c r="R131" s="734"/>
      <c r="S131" s="734"/>
      <c r="T131" s="734"/>
      <c r="U131" s="734"/>
      <c r="V131" s="734"/>
      <c r="W131" s="734"/>
      <c r="Y131" s="246">
        <f t="shared" ca="1" si="114"/>
        <v>0</v>
      </c>
      <c r="Z131" s="717">
        <f>IF(NOT(ISBLANK($G131)),IF(EXACT($C131,""),($G131*250)+IF(EXACT($B131,""),VLOOKUP($A131,SF_KARMALALLE,2,FALSE),0),ROUND((($G131*250)+IF(EXACT($B131,""),VLOOKUP($A131,SF_KARMALALLE,2,FALSE),0))/2,0)),0)</f>
        <v>0</v>
      </c>
      <c r="AA131" s="717">
        <f>IF(NOT(ISBLANK($H131)),IF(EXACT($C131,""),($H131*250)+IF(EXACT($B131,""),VLOOKUP($A131,SF_KARMALALLE,2,FALSE),0),ROUND((($H131*250)+IF(EXACT($B131,""),VLOOKUP($A131,SF_KARMALALLE,2,FALSE),0))/2,0)),0)</f>
        <v>0</v>
      </c>
      <c r="AB131" s="719">
        <f>IF(AND(NOT(ISBLANK($I131)),EXACT($J131,"")),IF(EXACT($C131,""),($I131*250)+IF(EXACT($B131,""),VLOOKUP($A131,SF_KARMALALLE,2,FALSE),0),ROUND((($I131*250)+IF(EXACT($B131,""),VLOOKUP($A131,SF_KARMALALLE,2,FALSE),0))/2,0)),0)</f>
        <v>0</v>
      </c>
      <c r="AC131" s="559">
        <f t="shared" ca="1" si="115"/>
        <v>2</v>
      </c>
      <c r="AD131" s="557" t="str">
        <f t="shared" ca="1" si="116"/>
        <v/>
      </c>
      <c r="AE131" s="1020" t="str">
        <f t="shared" ca="1" si="117"/>
        <v/>
      </c>
      <c r="AF131" s="1033"/>
      <c r="AG131" s="18"/>
      <c r="AH131" s="18"/>
      <c r="AI131" s="18"/>
      <c r="AJ131" s="18"/>
      <c r="AK131" s="18"/>
      <c r="AL131" s="1073">
        <f t="shared" ca="1" si="118"/>
        <v>0</v>
      </c>
      <c r="AM131" s="88"/>
      <c r="AN131" s="18"/>
      <c r="AO131" s="18"/>
      <c r="AP131" s="18"/>
      <c r="AQ131" s="18"/>
      <c r="AR131" s="18"/>
      <c r="AS131" s="18"/>
      <c r="AT131" s="18"/>
      <c r="AU131" s="18"/>
      <c r="AV131" s="18"/>
      <c r="AW131" s="18"/>
      <c r="AX131" s="18"/>
      <c r="AY131" s="18"/>
      <c r="AZ131" s="18"/>
      <c r="BA131" s="241"/>
      <c r="BB131" s="190"/>
      <c r="BC131" s="190"/>
      <c r="BD131" s="190"/>
      <c r="BE131" s="190"/>
      <c r="BF131" s="190"/>
      <c r="BG131" s="190"/>
      <c r="BH131" s="190"/>
      <c r="BI131" s="190"/>
      <c r="BJ131" s="190"/>
      <c r="BK131" s="190"/>
      <c r="BL131" s="190"/>
      <c r="BM131" s="190"/>
      <c r="BN131" s="190"/>
      <c r="BO131" s="190"/>
      <c r="BP131" s="190"/>
      <c r="BQ131" s="190"/>
      <c r="BR131" s="190"/>
      <c r="BS131" s="190"/>
      <c r="BT131" s="190"/>
      <c r="BU131" s="190"/>
      <c r="BV131" s="1032"/>
    </row>
    <row r="132" spans="1:74" x14ac:dyDescent="0.2">
      <c r="A132" s="1012" t="s">
        <v>4677</v>
      </c>
      <c r="B132" s="391" t="str">
        <f t="shared" ca="1" si="112"/>
        <v/>
      </c>
      <c r="C132" s="387" t="str">
        <f t="shared" ca="1" si="113"/>
        <v/>
      </c>
      <c r="D132" s="1127"/>
      <c r="E132" s="1307"/>
      <c r="F132" s="384"/>
      <c r="G132" s="960"/>
      <c r="H132" s="960"/>
      <c r="I132" s="324"/>
      <c r="J132" s="1739" t="str">
        <f>IF(AND(NOT(ISBLANK($F132)),NOT(ISBLANK($G132)),NOT(ISBLANK($H132)),NOT(ISBLANK($I132))),"Was denn nun? GP oder AP?",IF(OR(NOT(ISBLANK($F132)),NOT(ISBLANK($G132)),NOT(ISBLANK($H132)),NOT(ISBLANK($I132))),IF(NOT(EXACT($B132,"")),"Diese SF hast Du schon!",IF(NOT(PROFGRDGENE="Schamane"),"Nur von Schamane erlernbar",IF(CH&lt;15,"CH min. 15",IF(OR(Liturgien!C20&lt;10,Liturgien!C21&lt;11,Liturgien!C22&lt;10,Liturgien!C23&lt;11),"alle scham. RK. min. 10","")))),""))</f>
        <v/>
      </c>
      <c r="K132" s="1740"/>
      <c r="L132" s="1741"/>
      <c r="M132" s="733"/>
      <c r="N132" s="737"/>
      <c r="O132" s="732"/>
      <c r="Q132" s="734"/>
      <c r="R132" s="734"/>
      <c r="S132" s="734"/>
      <c r="T132" s="734"/>
      <c r="U132" s="734"/>
      <c r="V132" s="734"/>
      <c r="W132" s="734"/>
      <c r="Y132" s="246">
        <f t="shared" ca="1" si="114"/>
        <v>0</v>
      </c>
      <c r="Z132" s="212">
        <f ca="1">IF(AND(NOT(ISBLANK($G132)),EXACT($B132,"")),IF(EXACT($C132,""),VLOOKUP($A132,SF_KARMALALLE,2,FALSE),ROUND(VLOOKUP($A132,SF_KARMALALLE,2,FALSE)/2,0)),0)</f>
        <v>0</v>
      </c>
      <c r="AA132" s="212">
        <f ca="1">IF(AND(NOT(ISBLANK($H132)),EXACT($B132,"")),IF(EXACT($C132,""),VLOOKUP($A132,SF_KARMALALLE,2,FALSE),ROUND(VLOOKUP($A132,SF_KARMALALLE,2,FALSE)/2,0)),0)</f>
        <v>0</v>
      </c>
      <c r="AB132" s="212">
        <f ca="1">IF(AND(NOT(ISBLANK($I132)),EXACT($J132,""),EXACT($B132,"")),IF(EXACT($C132,""),VLOOKUP($A132,SF_KARMALALLE,2,FALSE),ROUND(VLOOKUP($A132,SF_KARMALALLE,2,FALSE)/2,0)),0)</f>
        <v>0</v>
      </c>
      <c r="AC132" s="559">
        <f t="shared" ca="1" si="115"/>
        <v>2</v>
      </c>
      <c r="AD132" s="557" t="str">
        <f t="shared" ca="1" si="116"/>
        <v/>
      </c>
      <c r="AE132" s="1020" t="str">
        <f t="shared" ca="1" si="117"/>
        <v/>
      </c>
      <c r="AF132" s="1033"/>
      <c r="AG132" s="18"/>
      <c r="AH132" s="18"/>
      <c r="AI132" s="18"/>
      <c r="AJ132" s="18"/>
      <c r="AK132" s="18"/>
      <c r="AL132" s="1073">
        <f t="shared" ca="1" si="118"/>
        <v>0</v>
      </c>
      <c r="AM132" s="88"/>
      <c r="AN132" s="18"/>
      <c r="AO132" s="18"/>
      <c r="AP132" s="18"/>
      <c r="AQ132" s="18"/>
      <c r="AR132" s="18"/>
      <c r="AS132" s="18"/>
      <c r="AT132" s="18"/>
      <c r="AU132" s="18"/>
      <c r="AV132" s="241"/>
      <c r="AW132" s="190"/>
      <c r="AX132" s="190"/>
      <c r="AY132" s="190"/>
      <c r="AZ132" s="190"/>
      <c r="BA132" s="190"/>
      <c r="BB132" s="190"/>
      <c r="BC132" s="190"/>
      <c r="BD132" s="190"/>
      <c r="BE132" s="190"/>
      <c r="BF132" s="190"/>
      <c r="BG132" s="190"/>
      <c r="BH132" s="190"/>
      <c r="BI132" s="190"/>
      <c r="BJ132" s="190"/>
      <c r="BK132" s="190"/>
      <c r="BL132" s="190"/>
      <c r="BM132" s="190"/>
      <c r="BN132" s="190"/>
      <c r="BO132" s="190"/>
      <c r="BP132" s="190"/>
      <c r="BQ132" s="18"/>
      <c r="BR132" s="18"/>
      <c r="BS132" s="18"/>
      <c r="BT132" s="18"/>
      <c r="BU132" s="18"/>
      <c r="BV132" s="1032"/>
    </row>
    <row r="133" spans="1:74" x14ac:dyDescent="0.2">
      <c r="A133" s="1012" t="s">
        <v>4279</v>
      </c>
      <c r="B133" s="391" t="str">
        <f t="shared" ca="1" si="112"/>
        <v/>
      </c>
      <c r="C133" s="387" t="str">
        <f t="shared" ca="1" si="113"/>
        <v/>
      </c>
      <c r="D133" s="1127"/>
      <c r="E133" s="1307"/>
      <c r="F133" s="384"/>
      <c r="G133" s="960"/>
      <c r="H133" s="960"/>
      <c r="I133" s="324"/>
      <c r="J133" s="1739" t="str">
        <f>IF(AND(NOT(ISBLANK($F133)),NOT(ISBLANK($G133)),NOT(ISBLANK($H133)),NOT(ISBLANK($I133))),"Was denn nun? GP oder AP?",IF(OR(NOT(ISBLANK($F133)),NOT(ISBLANK($G133)),NOT(ISBLANK($H133)),NOT(ISBLANK($I133))),IF(NOT(EXACT($B133,"")),"Diese SF hast Du schon!",""),""))</f>
        <v/>
      </c>
      <c r="K133" s="1740"/>
      <c r="L133" s="1741"/>
      <c r="M133" s="733"/>
      <c r="N133" s="737"/>
      <c r="O133" s="732"/>
      <c r="Q133" s="734"/>
      <c r="R133" s="734"/>
      <c r="S133" s="734"/>
      <c r="T133" s="734"/>
      <c r="U133" s="734"/>
      <c r="V133" s="734"/>
      <c r="W133" s="734"/>
      <c r="X133" s="797"/>
      <c r="Y133" s="247">
        <f t="shared" ca="1" si="114"/>
        <v>0</v>
      </c>
      <c r="Z133" s="560">
        <f ca="1">IF(AND(NOT(ISBLANK($G133)),EXACT($B133,"")),IF(EXACT($C133,""),VLOOKUP($A133,SF_KARMALALLE,2,FALSE),ROUND(VLOOKUP($A133,SF_KARMALALLE,2,FALSE)/2,0)),0)</f>
        <v>0</v>
      </c>
      <c r="AA133" s="560">
        <f ca="1">IF(AND(NOT(ISBLANK($H133)),EXACT($B133,"")),IF(EXACT($C133,""),VLOOKUP($A133,SF_KARMALALLE,2,FALSE),ROUND(VLOOKUP($A133,SF_KARMALALLE,2,FALSE)/2,0)),0)</f>
        <v>0</v>
      </c>
      <c r="AB133" s="560">
        <f ca="1">IF(AND(NOT(ISBLANK($I133)),EXACT($J133,""),EXACT($B133,"")),IF(EXACT($C133,""),VLOOKUP($A133,SF_KARMALALLE,2,FALSE),ROUND(VLOOKUP($A133,SF_KARMALALLE,2,FALSE)/2,0)),0)</f>
        <v>0</v>
      </c>
      <c r="AC133" s="562">
        <f t="shared" ca="1" si="115"/>
        <v>2</v>
      </c>
      <c r="AD133" s="561" t="str">
        <f t="shared" ca="1" si="116"/>
        <v/>
      </c>
      <c r="AE133" s="1020" t="str">
        <f t="shared" ca="1" si="117"/>
        <v/>
      </c>
      <c r="AF133" s="1034"/>
      <c r="AG133" s="1015"/>
      <c r="AH133" s="1015"/>
      <c r="AI133" s="1015"/>
      <c r="AJ133" s="1015"/>
      <c r="AK133" s="1015"/>
      <c r="AL133" s="1423">
        <f t="shared" ca="1" si="118"/>
        <v>0</v>
      </c>
      <c r="AM133" s="338"/>
      <c r="AN133" s="1015"/>
      <c r="AO133" s="1015"/>
      <c r="AP133" s="1015"/>
      <c r="AQ133" s="1015"/>
      <c r="AR133" s="1015"/>
      <c r="AS133" s="1015"/>
      <c r="AT133" s="1015"/>
      <c r="AU133" s="1015"/>
      <c r="AV133" s="202"/>
      <c r="AW133" s="203"/>
      <c r="AX133" s="203"/>
      <c r="AY133" s="203"/>
      <c r="AZ133" s="203"/>
      <c r="BA133" s="203"/>
      <c r="BB133" s="203"/>
      <c r="BC133" s="203"/>
      <c r="BD133" s="203"/>
      <c r="BE133" s="203"/>
      <c r="BF133" s="203"/>
      <c r="BG133" s="203"/>
      <c r="BH133" s="203"/>
      <c r="BI133" s="203"/>
      <c r="BJ133" s="203"/>
      <c r="BK133" s="203"/>
      <c r="BL133" s="203"/>
      <c r="BM133" s="203"/>
      <c r="BN133" s="203"/>
      <c r="BO133" s="203"/>
      <c r="BP133" s="203"/>
      <c r="BQ133" s="1015"/>
      <c r="BR133" s="1015"/>
      <c r="BS133" s="1015"/>
      <c r="BT133" s="1015"/>
      <c r="BU133" s="1015"/>
      <c r="BV133" s="1075"/>
    </row>
    <row r="134" spans="1:74" x14ac:dyDescent="0.2">
      <c r="A134" s="1080"/>
      <c r="B134" s="204"/>
      <c r="C134" s="204"/>
      <c r="D134" s="204"/>
      <c r="E134" s="204"/>
      <c r="F134" s="964"/>
      <c r="G134" s="964"/>
      <c r="H134" s="964"/>
      <c r="I134" s="964"/>
      <c r="J134" s="775" t="str">
        <f ca="1">IF(GP=0,CONCATENATE("noch ",APGUT," AP übrig"),IF(GP&lt;0,CONCATENATE("Du hast ",ABS(GP)," GP zuviel verteilt"),CONCATENATE("Eingesetzt: ",GPSTART-GP," von ",GPSTART," GP")))</f>
        <v>Du hast 64 GP zuviel verteilt</v>
      </c>
      <c r="K134" s="775"/>
      <c r="L134" s="775"/>
      <c r="M134" s="1547"/>
      <c r="N134" s="737"/>
      <c r="O134" s="732"/>
      <c r="Q134" s="734"/>
      <c r="R134" s="734"/>
      <c r="S134" s="734"/>
      <c r="T134" s="734"/>
      <c r="U134" s="734"/>
      <c r="V134" s="734"/>
      <c r="W134" s="734"/>
      <c r="X134" s="797"/>
      <c r="AF134" s="550" t="s">
        <v>1140</v>
      </c>
      <c r="AG134" s="550"/>
      <c r="AH134" s="553"/>
      <c r="AI134" s="212"/>
      <c r="AL134" s="798"/>
      <c r="AM134" s="153"/>
      <c r="AN134" s="153"/>
      <c r="AO134" s="153"/>
      <c r="AP134" s="153"/>
      <c r="AQ134" s="153"/>
      <c r="AR134" s="153"/>
      <c r="AS134" s="153"/>
      <c r="AT134" s="153"/>
      <c r="AU134" s="153"/>
      <c r="AV134" s="153"/>
      <c r="AW134" s="105"/>
      <c r="AX134" s="105"/>
      <c r="AY134" s="105"/>
      <c r="AZ134" s="105"/>
      <c r="BA134" s="105"/>
      <c r="BB134" s="105"/>
      <c r="BC134" s="105"/>
      <c r="BD134" s="105"/>
      <c r="BE134" s="105"/>
      <c r="BF134" s="105"/>
      <c r="BG134" s="105"/>
      <c r="BH134" s="105"/>
      <c r="BI134" s="105"/>
      <c r="BJ134" s="105"/>
      <c r="BK134" s="105"/>
      <c r="BL134" s="105"/>
      <c r="BM134" s="105"/>
      <c r="BN134" s="105"/>
      <c r="BO134" s="105"/>
      <c r="BP134" s="105"/>
    </row>
    <row r="135" spans="1:74" x14ac:dyDescent="0.2">
      <c r="A135" s="736"/>
      <c r="B135" s="736"/>
      <c r="C135" s="736"/>
      <c r="D135" s="736"/>
      <c r="E135" s="736"/>
      <c r="F135" s="736"/>
      <c r="G135" s="737"/>
      <c r="H135" s="737"/>
      <c r="I135" s="737"/>
      <c r="J135" s="737"/>
      <c r="K135" s="738"/>
      <c r="L135" s="733"/>
      <c r="M135" s="733"/>
      <c r="N135" s="737"/>
      <c r="O135" s="732"/>
      <c r="Q135" s="734"/>
      <c r="R135" s="734"/>
      <c r="S135" s="734"/>
      <c r="T135" s="734"/>
      <c r="U135" s="734"/>
      <c r="V135" s="734"/>
      <c r="W135" s="734"/>
      <c r="AF135" s="550" t="s">
        <v>1222</v>
      </c>
      <c r="AG135" s="553" t="s">
        <v>879</v>
      </c>
      <c r="AH135" s="113"/>
      <c r="AI135" s="113"/>
      <c r="AL135" s="798"/>
      <c r="AM135" s="153"/>
      <c r="AN135" s="153"/>
      <c r="AO135" s="153"/>
      <c r="AP135" s="153"/>
      <c r="AQ135" s="153"/>
      <c r="AR135" s="153"/>
      <c r="AS135" s="153"/>
      <c r="AT135" s="153"/>
      <c r="AU135" s="153"/>
      <c r="AV135" s="153"/>
      <c r="AW135" s="105"/>
      <c r="AX135" s="105"/>
      <c r="AY135" s="105"/>
      <c r="AZ135" s="105"/>
      <c r="BA135" s="105"/>
      <c r="BB135" s="105"/>
      <c r="BC135" s="105"/>
      <c r="BD135" s="105"/>
      <c r="BE135" s="105"/>
      <c r="BF135" s="105"/>
      <c r="BG135" s="105"/>
      <c r="BH135" s="105"/>
      <c r="BI135" s="105"/>
      <c r="BJ135" s="105"/>
      <c r="BK135" s="105"/>
      <c r="BL135" s="105"/>
      <c r="BM135" s="105"/>
      <c r="BN135" s="105"/>
      <c r="BO135" s="105"/>
      <c r="BP135" s="105"/>
    </row>
    <row r="136" spans="1:74" ht="13.5" customHeight="1" x14ac:dyDescent="0.2">
      <c r="A136" s="736"/>
      <c r="B136" s="736"/>
      <c r="C136" s="736"/>
      <c r="D136" s="736"/>
      <c r="E136" s="736"/>
      <c r="F136" s="736"/>
      <c r="G136" s="737"/>
      <c r="H136" s="737"/>
      <c r="I136" s="737"/>
      <c r="J136" s="737"/>
      <c r="K136" s="738"/>
      <c r="L136" s="733"/>
      <c r="M136" s="733"/>
      <c r="N136" s="737"/>
      <c r="O136" s="732"/>
      <c r="Q136" s="734"/>
      <c r="R136" s="734"/>
      <c r="S136" s="734"/>
      <c r="T136" s="734"/>
      <c r="U136" s="734"/>
      <c r="V136" s="734"/>
      <c r="W136" s="734"/>
      <c r="AL136" s="798"/>
      <c r="AM136" s="1008"/>
      <c r="AN136" s="1000"/>
      <c r="AO136" s="1000"/>
      <c r="AP136" s="1551" t="s">
        <v>4432</v>
      </c>
      <c r="AQ136" s="1131" t="str">
        <f ca="1">CONCATENATE(AD128,AD129,AD130,AD131,AD132,AD133)</f>
        <v/>
      </c>
      <c r="AR136" s="1035"/>
      <c r="AS136" s="1000"/>
      <c r="AT136" s="799"/>
      <c r="AU136" s="799"/>
      <c r="AV136" s="799"/>
      <c r="AW136" s="799"/>
      <c r="AX136" s="799"/>
      <c r="AY136" s="800"/>
      <c r="AZ136" s="153"/>
      <c r="BA136" s="153"/>
      <c r="BB136" s="153"/>
      <c r="BC136" s="153"/>
      <c r="BD136" s="153"/>
      <c r="BE136" s="105"/>
      <c r="BF136" s="105"/>
      <c r="BG136" s="105"/>
      <c r="BH136" s="105"/>
      <c r="BI136" s="105"/>
      <c r="BJ136" s="105"/>
      <c r="BK136" s="105"/>
      <c r="BL136" s="105"/>
      <c r="BM136" s="105"/>
      <c r="BN136" s="105"/>
    </row>
    <row r="137" spans="1:74" ht="13.5" customHeight="1" x14ac:dyDescent="0.2">
      <c r="A137" s="736"/>
      <c r="B137" s="736"/>
      <c r="C137" s="736"/>
      <c r="D137" s="736"/>
      <c r="E137" s="736"/>
      <c r="F137" s="736"/>
      <c r="G137" s="737"/>
      <c r="H137" s="737"/>
      <c r="I137" s="737"/>
      <c r="J137" s="737"/>
      <c r="K137" s="738"/>
      <c r="L137" s="733"/>
      <c r="M137" s="733"/>
      <c r="N137" s="737"/>
      <c r="O137" s="732"/>
      <c r="Q137" s="734"/>
      <c r="R137" s="734"/>
      <c r="S137" s="734"/>
      <c r="T137" s="734"/>
      <c r="U137" s="734"/>
      <c r="V137" s="734"/>
      <c r="W137" s="734"/>
      <c r="AL137" s="804"/>
      <c r="AM137" s="803"/>
      <c r="AN137" s="798"/>
      <c r="AO137" s="798"/>
      <c r="AP137" s="809" t="s">
        <v>6278</v>
      </c>
      <c r="AQ137" s="1130" t="str">
        <f ca="1">CONCATENATE($AD$14,$AD$15,$AD$16,$AD$17,$AD$18,$AD$19,$AD$20,$AD$21,$AD$22,$AD$23,$AD$24,$AD$25,$AD$26,$AD$27,$AD$28,$AD$29,$AD$30,$AD$31,IF(AND(EXACT(AR137,""),NOT(EXACT($AD$32,""))),REPLACE($AD$32,FIND(",",$AD$32),2,""),$AD$32))</f>
        <v/>
      </c>
      <c r="AR137" s="1130" t="str">
        <f ca="1">CONCATENATE($AD$33,$AD$34,$AD$35,$AD$36,$AD$37,$AD$38,$AD$39,$AD$40,$AD$41,$AD$42,$AD$43,$AD$44,$AD$45,$AD$46,$AD$47,$AD$48,$AD$49)</f>
        <v/>
      </c>
      <c r="AS137" s="18"/>
      <c r="AT137" s="798"/>
      <c r="AU137" s="798"/>
      <c r="AV137" s="798"/>
      <c r="AW137" s="798"/>
      <c r="AX137" s="798"/>
      <c r="AY137" s="801"/>
      <c r="AZ137" s="153"/>
      <c r="BA137" s="153"/>
      <c r="BB137" s="153"/>
      <c r="BC137" s="153"/>
      <c r="BD137" s="153"/>
      <c r="BE137" s="105"/>
      <c r="BF137" s="105"/>
      <c r="BG137" s="105"/>
      <c r="BH137" s="105"/>
      <c r="BI137" s="105"/>
      <c r="BJ137" s="105"/>
      <c r="BK137" s="105"/>
      <c r="BL137" s="105"/>
      <c r="BM137" s="105"/>
      <c r="BN137" s="105"/>
    </row>
    <row r="138" spans="1:74" ht="13.5" customHeight="1" x14ac:dyDescent="0.2">
      <c r="A138" s="736"/>
      <c r="B138" s="736"/>
      <c r="C138" s="736"/>
      <c r="D138" s="736"/>
      <c r="E138" s="736"/>
      <c r="F138" s="736"/>
      <c r="G138" s="737"/>
      <c r="H138" s="737"/>
      <c r="I138" s="737"/>
      <c r="J138" s="737"/>
      <c r="K138" s="738"/>
      <c r="L138" s="733"/>
      <c r="M138" s="733"/>
      <c r="N138" s="737"/>
      <c r="O138" s="732"/>
      <c r="Q138" s="734"/>
      <c r="R138" s="734"/>
      <c r="S138" s="734"/>
      <c r="T138" s="734"/>
      <c r="U138" s="734"/>
      <c r="V138" s="734"/>
      <c r="W138" s="734"/>
      <c r="AL138" s="804"/>
      <c r="AM138" s="803"/>
      <c r="AN138" s="798"/>
      <c r="AO138" s="798"/>
      <c r="AP138" s="809"/>
      <c r="AQ138" s="18"/>
      <c r="AR138" s="18"/>
      <c r="AS138" s="798"/>
      <c r="AT138" s="798"/>
      <c r="AU138" s="798"/>
      <c r="AV138" s="798"/>
      <c r="AW138" s="798"/>
      <c r="AX138" s="798"/>
      <c r="AY138" s="801"/>
      <c r="AZ138" s="153"/>
      <c r="BA138" s="153"/>
      <c r="BB138" s="153"/>
      <c r="BC138" s="153"/>
      <c r="BD138" s="153"/>
      <c r="BE138" s="105"/>
      <c r="BF138" s="105"/>
      <c r="BG138" s="105"/>
      <c r="BH138" s="105"/>
      <c r="BI138" s="105"/>
      <c r="BJ138" s="105"/>
      <c r="BK138" s="105"/>
      <c r="BL138" s="105"/>
      <c r="BM138" s="105"/>
      <c r="BN138" s="105"/>
    </row>
    <row r="139" spans="1:74" ht="13.5" customHeight="1" x14ac:dyDescent="0.2">
      <c r="A139" s="736"/>
      <c r="B139" s="736"/>
      <c r="C139" s="736"/>
      <c r="D139" s="736"/>
      <c r="E139" s="736"/>
      <c r="F139" s="736"/>
      <c r="G139" s="737"/>
      <c r="H139" s="737"/>
      <c r="I139" s="737"/>
      <c r="J139" s="737"/>
      <c r="K139" s="738"/>
      <c r="L139" s="733"/>
      <c r="M139" s="733"/>
      <c r="N139" s="737"/>
      <c r="O139" s="732"/>
      <c r="Q139" s="734"/>
      <c r="R139" s="734"/>
      <c r="S139" s="734"/>
      <c r="T139" s="734"/>
      <c r="U139" s="734"/>
      <c r="V139" s="734"/>
      <c r="W139" s="734"/>
      <c r="AL139" s="804"/>
      <c r="AM139" s="803"/>
      <c r="AN139" s="798"/>
      <c r="AO139" s="798"/>
      <c r="AP139" s="809" t="s">
        <v>6279</v>
      </c>
      <c r="AQ139" s="811" t="str">
        <f ca="1">CONCATENATE($AT$92,$AT$93,$AT$94,$AT$95,$AT$96,$AT$97,$AT$98,$AT$99)</f>
        <v/>
      </c>
      <c r="AR139" s="811" t="str">
        <f ca="1">CONCATENATE($AT$63,$AT$64,$AT$65,$AT$66,$AT$67,$AT$68,$AT$69,$AT$70,$AT$71,$AT$72,$AT$73,$AT$74,$AT$75,$AT$76,$AT$77,$AT$78,$AT$79,$AT$80,$AT$81,$AT$82,$AT$83,$AT$84,$AT$85,$AT$86,$AT$87,$AT$88,$AT$89,$AT$90,$AT$91)</f>
        <v/>
      </c>
      <c r="AS139" s="241" t="str">
        <f ca="1">CONCATENATE($AT$37,$AT$38,$AT$39,$AT$40,$AT$41,$AT$42,$AT$43,$AT$44,$AT$45,$AT$46,$AT$47,$AT$48,$AT$49,$AT$50,$AT$51,$AT$52,$AT$53,$AT$54,$AT$55,$AT$56,$AT$57,$AT$58,$AT$59,$AT$60,$AT$61,$AT$62)</f>
        <v/>
      </c>
      <c r="AT139" s="798"/>
      <c r="AU139" s="798"/>
      <c r="AV139" s="798" t="str">
        <f ca="1">CONCATENATE($AT$92,$AT$94,$AT$95,$AT$96,$AT$97,$AT$98)</f>
        <v/>
      </c>
      <c r="AW139" s="798" t="str">
        <f ca="1">CONCATENATE($AT$63,$AT$65,$AT$67,$AT$68,$AT$69,$AT$70,$AT$71,$AT$72,$AT$73,$AT$77,$AT$78,$AT$80,$AT$83,$AT$84,$AT$87,$AT$88,$AT$89,$AT$90,$AT$91)</f>
        <v/>
      </c>
      <c r="AX139" s="798" t="str">
        <f ca="1">CONCATENATE($AT$37,$AT$38,$AT$39,$AT$41,$AT$42,$AT$43,$AT$44,$AT$45,$AT$46,$AT$47,$AT$48,$AT$49,$AT$50,$AT$51,$AT$52,$AT$53,$AT$54,$AT$55,$AT$56,$AT$57,$AT$58,$AT$59,$AT$60,$AT$61,$AT$62)</f>
        <v/>
      </c>
      <c r="AY139" s="801"/>
      <c r="AZ139" s="153"/>
      <c r="BA139" s="153"/>
      <c r="BB139" s="153"/>
      <c r="BC139" s="153"/>
      <c r="BD139" s="153"/>
      <c r="BE139" s="105"/>
      <c r="BF139" s="105"/>
      <c r="BG139" s="105"/>
      <c r="BH139" s="105"/>
      <c r="BI139" s="105"/>
      <c r="BJ139" s="105"/>
      <c r="BK139" s="105"/>
      <c r="BL139" s="105"/>
      <c r="BM139" s="105"/>
      <c r="BN139" s="105"/>
    </row>
    <row r="140" spans="1:74" ht="13.5" customHeight="1" x14ac:dyDescent="0.2">
      <c r="A140" s="736"/>
      <c r="B140" s="736"/>
      <c r="C140" s="736"/>
      <c r="D140" s="736"/>
      <c r="E140" s="736"/>
      <c r="F140" s="736"/>
      <c r="G140" s="737"/>
      <c r="H140" s="737"/>
      <c r="I140" s="737"/>
      <c r="J140" s="737"/>
      <c r="K140" s="738"/>
      <c r="L140" s="733"/>
      <c r="M140" s="733"/>
      <c r="N140" s="737"/>
      <c r="O140" s="732"/>
      <c r="Q140" s="734"/>
      <c r="R140" s="734"/>
      <c r="S140" s="734"/>
      <c r="T140" s="734"/>
      <c r="U140" s="734"/>
      <c r="V140" s="734"/>
      <c r="W140" s="734"/>
      <c r="AL140" s="804"/>
      <c r="AM140" s="803"/>
      <c r="AN140" s="804"/>
      <c r="AO140" s="804"/>
      <c r="AP140" s="809" t="s">
        <v>3587</v>
      </c>
      <c r="AQ140" s="811" t="str">
        <f ca="1">CONCATENATE(AS139, IF(EXACT(RIGHT(CONCATENATE(AR139,AQ139),2),", "),REPLACE(CONCATENATE(AR139,AQ139),LEN(CONCATENATE(AR139,AQ139))-1,2,""),CONCATENATE(AQ139,AR139)))</f>
        <v/>
      </c>
      <c r="AR140" s="811"/>
      <c r="AS140" s="804"/>
      <c r="AT140" s="798"/>
      <c r="AU140" s="798"/>
      <c r="AV140" s="1193" t="str">
        <f ca="1">CONCATENATE(AX139, IF(EXACT(RIGHT(CONCATENATE(AW139,AV139),2),", "),REPLACE(CONCATENATE(AW139,AV139),LEN(CONCATENATE(AW139,AV139))-1,2,""),CONCATENATE(AW139,AV139)))</f>
        <v/>
      </c>
      <c r="AW140" s="1193" t="str">
        <f ca="1">CONCATENATE(AT40,AT74,AT75,AT76,AT79,AT85,AT86,AT99)</f>
        <v/>
      </c>
      <c r="AX140" s="1193" t="str">
        <f ca="1">CONCATENATE(AT64,AT66,AT81,AT82,AT93)</f>
        <v/>
      </c>
      <c r="AY140" s="801"/>
      <c r="AZ140" s="153"/>
      <c r="BA140" s="153"/>
      <c r="BB140" s="153"/>
      <c r="BC140" s="153"/>
      <c r="BD140" s="153"/>
      <c r="BE140" s="105"/>
      <c r="BF140" s="105"/>
      <c r="BG140" s="105"/>
      <c r="BH140" s="105"/>
      <c r="BI140" s="105"/>
      <c r="BJ140" s="105"/>
      <c r="BK140" s="105"/>
      <c r="BL140" s="105"/>
      <c r="BM140" s="105"/>
      <c r="BN140" s="105"/>
    </row>
    <row r="141" spans="1:74" x14ac:dyDescent="0.2">
      <c r="A141" s="732"/>
      <c r="B141" s="737"/>
      <c r="C141" s="732"/>
      <c r="D141" s="737"/>
      <c r="E141" s="737"/>
      <c r="F141" s="732"/>
      <c r="G141" s="739"/>
      <c r="H141" s="739"/>
      <c r="I141" s="732"/>
      <c r="J141" s="732"/>
      <c r="K141" s="732"/>
      <c r="L141" s="733"/>
      <c r="M141" s="733"/>
      <c r="N141" s="737"/>
      <c r="O141" s="732"/>
      <c r="Q141" s="734"/>
      <c r="R141" s="734"/>
      <c r="S141" s="734"/>
      <c r="T141" s="734"/>
      <c r="U141" s="734"/>
      <c r="V141" s="734"/>
      <c r="W141" s="734"/>
      <c r="AL141" s="804"/>
      <c r="AM141" s="803"/>
      <c r="AN141" s="804"/>
      <c r="AO141" s="804"/>
      <c r="AP141" s="809" t="s">
        <v>8865</v>
      </c>
      <c r="AQ141" s="811" t="str">
        <f ca="1">CONCATENATE(AT108,AT109,AT110,AT111,AT112,AT113,AT114,AT115,AT116,AT117)</f>
        <v/>
      </c>
      <c r="AR141" s="811"/>
      <c r="AS141" s="804"/>
      <c r="AT141" s="798"/>
      <c r="AU141" s="798"/>
      <c r="AV141" s="1550"/>
      <c r="AW141" s="1550"/>
      <c r="AX141" s="1550"/>
      <c r="AY141" s="801"/>
      <c r="AZ141" s="153"/>
      <c r="BA141" s="153"/>
      <c r="BB141" s="153"/>
      <c r="BC141" s="153"/>
      <c r="BD141" s="153"/>
      <c r="BE141" s="105"/>
      <c r="BF141" s="105"/>
      <c r="BG141" s="105"/>
      <c r="BH141" s="105"/>
      <c r="BI141" s="105"/>
      <c r="BJ141" s="105"/>
      <c r="BK141" s="105"/>
      <c r="BL141" s="105"/>
      <c r="BM141" s="105"/>
      <c r="BN141" s="105"/>
    </row>
    <row r="142" spans="1:74" x14ac:dyDescent="0.2">
      <c r="A142" s="732"/>
      <c r="B142" s="737"/>
      <c r="C142" s="732"/>
      <c r="D142" s="737"/>
      <c r="E142" s="737"/>
      <c r="F142" s="732"/>
      <c r="G142" s="740"/>
      <c r="H142" s="740"/>
      <c r="I142" s="734"/>
      <c r="J142" s="734"/>
      <c r="K142" s="734"/>
      <c r="L142" s="733"/>
      <c r="M142" s="733"/>
      <c r="N142" s="737"/>
      <c r="O142" s="732"/>
      <c r="Q142" s="734"/>
      <c r="R142" s="734"/>
      <c r="S142" s="734"/>
      <c r="T142" s="734"/>
      <c r="U142" s="734"/>
      <c r="V142" s="734"/>
      <c r="W142" s="734"/>
      <c r="AL142" s="804"/>
      <c r="AM142" s="803"/>
      <c r="AN142" s="804"/>
      <c r="AO142" s="804"/>
      <c r="AP142" s="809" t="s">
        <v>8864</v>
      </c>
      <c r="AQ142" s="811" t="str">
        <f ca="1">CONCATENATE(AT121,AT122,AT123,AT124,AT125,AT126,AT127)</f>
        <v/>
      </c>
      <c r="AR142" s="811"/>
      <c r="AS142" s="804"/>
      <c r="AT142" s="798"/>
      <c r="AU142" s="798"/>
      <c r="AV142" s="1550"/>
      <c r="AW142" s="1550"/>
      <c r="AX142" s="1550"/>
      <c r="AY142" s="801"/>
      <c r="AZ142" s="153"/>
      <c r="BA142" s="153"/>
      <c r="BB142" s="153"/>
      <c r="BC142" s="153"/>
      <c r="BD142" s="153"/>
      <c r="BE142" s="105"/>
      <c r="BF142" s="105"/>
      <c r="BG142" s="105"/>
      <c r="BH142" s="105"/>
      <c r="BI142" s="105"/>
      <c r="BJ142" s="105"/>
      <c r="BK142" s="105"/>
      <c r="BL142" s="105"/>
      <c r="BM142" s="105"/>
      <c r="BN142" s="105"/>
    </row>
    <row r="143" spans="1:74" x14ac:dyDescent="0.2">
      <c r="A143" s="732"/>
      <c r="B143" s="737"/>
      <c r="C143" s="732"/>
      <c r="D143" s="737"/>
      <c r="E143" s="737"/>
      <c r="F143" s="732"/>
      <c r="G143" s="740"/>
      <c r="H143" s="740"/>
      <c r="I143" s="734"/>
      <c r="J143" s="734"/>
      <c r="K143" s="734"/>
      <c r="L143" s="733"/>
      <c r="M143" s="733"/>
      <c r="N143" s="737"/>
      <c r="O143" s="732"/>
      <c r="Q143" s="734"/>
      <c r="R143" s="734"/>
      <c r="S143" s="734"/>
      <c r="T143" s="734"/>
      <c r="U143" s="734"/>
      <c r="V143" s="734"/>
      <c r="W143" s="734"/>
      <c r="AL143" s="804"/>
      <c r="AM143" s="803"/>
      <c r="AN143" s="798"/>
      <c r="AO143" s="798"/>
      <c r="AP143" s="809" t="s">
        <v>6284</v>
      </c>
      <c r="AQ143" s="811" t="str">
        <f ca="1">CONCATENATE(AQ150,", ",AQ151)</f>
        <v xml:space="preserve">, </v>
      </c>
      <c r="AR143" s="811"/>
      <c r="AS143" s="804"/>
      <c r="AT143" s="798"/>
      <c r="AU143" s="798"/>
      <c r="AV143" s="798"/>
      <c r="AW143" s="241"/>
      <c r="AX143" s="241"/>
      <c r="AY143" s="801"/>
      <c r="AZ143" s="153"/>
      <c r="BA143" s="153"/>
      <c r="BB143" s="153"/>
      <c r="BC143" s="153"/>
      <c r="BD143" s="153"/>
      <c r="BE143" s="105"/>
      <c r="BF143" s="105"/>
      <c r="BG143" s="105"/>
      <c r="BH143" s="105"/>
      <c r="BI143" s="105"/>
      <c r="BJ143" s="105"/>
      <c r="BK143" s="105"/>
      <c r="BL143" s="105"/>
      <c r="BM143" s="105"/>
      <c r="BN143" s="105"/>
    </row>
    <row r="144" spans="1:74" x14ac:dyDescent="0.2">
      <c r="A144" s="732"/>
      <c r="B144" s="737"/>
      <c r="C144" s="732"/>
      <c r="D144" s="737"/>
      <c r="E144" s="737"/>
      <c r="F144" s="732"/>
      <c r="G144" s="740"/>
      <c r="H144" s="740"/>
      <c r="I144" s="734"/>
      <c r="J144" s="734"/>
      <c r="K144" s="734"/>
      <c r="L144" s="733"/>
      <c r="M144" s="733"/>
      <c r="N144" s="737"/>
      <c r="O144" s="732"/>
      <c r="Q144" s="734"/>
      <c r="R144" s="734"/>
      <c r="S144" s="734"/>
      <c r="T144" s="734"/>
      <c r="U144" s="734"/>
      <c r="V144" s="734"/>
      <c r="W144" s="734"/>
      <c r="AJ144" s="212"/>
      <c r="AL144" s="804"/>
      <c r="AM144" s="803"/>
      <c r="AN144" s="804"/>
      <c r="AO144" s="804"/>
      <c r="AP144" s="809" t="s">
        <v>6285</v>
      </c>
      <c r="AQ144" s="811" t="str">
        <f ca="1">CONCATENATE($AT$14,$AT$15,$AT$16,$AT$17,$AT$18,$AT$19,$AT$20,$AT$21,$AT$22,$AT$23,$AT$24,$AT$25,$AT$26,$AT$27,$AT$28,$AT$29,$AT$30,$AT$31,$AT$32,$AT$33)</f>
        <v xml:space="preserve">Kulturkunde: , </v>
      </c>
      <c r="AR144" s="811"/>
      <c r="AS144" s="804"/>
      <c r="AT144" s="798"/>
      <c r="AU144" s="798"/>
      <c r="AV144" s="798"/>
      <c r="AW144" s="241"/>
      <c r="AX144" s="241"/>
      <c r="AY144" s="801"/>
      <c r="AZ144" s="153"/>
      <c r="BA144" s="153"/>
      <c r="BB144" s="153"/>
      <c r="BC144" s="153"/>
      <c r="BD144" s="153"/>
      <c r="BE144" s="105"/>
      <c r="BF144" s="105"/>
      <c r="BG144" s="105"/>
      <c r="BH144" s="105"/>
      <c r="BI144" s="105"/>
      <c r="BJ144" s="105"/>
      <c r="BK144" s="105"/>
      <c r="BL144" s="105"/>
      <c r="BM144" s="105"/>
      <c r="BN144" s="105"/>
    </row>
    <row r="145" spans="1:66" x14ac:dyDescent="0.2">
      <c r="A145" s="732"/>
      <c r="B145" s="737"/>
      <c r="C145" s="732"/>
      <c r="D145" s="737"/>
      <c r="E145" s="737"/>
      <c r="F145" s="732"/>
      <c r="G145" s="740"/>
      <c r="H145" s="740"/>
      <c r="I145" s="734"/>
      <c r="J145" s="734"/>
      <c r="K145" s="734"/>
      <c r="L145" s="733"/>
      <c r="M145" s="733"/>
      <c r="N145" s="737"/>
      <c r="O145" s="732"/>
      <c r="Q145" s="734"/>
      <c r="R145" s="734"/>
      <c r="S145" s="734"/>
      <c r="T145" s="734"/>
      <c r="U145" s="734"/>
      <c r="V145" s="734"/>
      <c r="W145" s="734"/>
      <c r="AJ145" s="212"/>
      <c r="AL145" s="804"/>
      <c r="AM145" s="88"/>
      <c r="AN145" s="18"/>
      <c r="AO145" s="18"/>
      <c r="AP145" s="18"/>
      <c r="AQ145" s="18"/>
      <c r="AR145" s="18"/>
      <c r="AS145" s="18"/>
      <c r="AT145" s="18"/>
      <c r="AU145" s="18"/>
      <c r="AV145" s="18"/>
      <c r="AW145" s="18"/>
      <c r="AX145" s="18"/>
      <c r="AY145" s="1032"/>
      <c r="AZ145" s="153"/>
      <c r="BA145" s="153"/>
      <c r="BB145" s="153"/>
      <c r="BC145" s="153"/>
      <c r="BD145" s="153"/>
      <c r="BE145" s="105"/>
      <c r="BF145" s="105"/>
      <c r="BG145" s="105"/>
      <c r="BH145" s="105"/>
      <c r="BI145" s="105"/>
      <c r="BJ145" s="105"/>
      <c r="BK145" s="105"/>
      <c r="BL145" s="105"/>
      <c r="BM145" s="105"/>
      <c r="BN145" s="105"/>
    </row>
    <row r="146" spans="1:66" x14ac:dyDescent="0.2">
      <c r="A146" s="732"/>
      <c r="B146" s="737"/>
      <c r="C146" s="732"/>
      <c r="D146" s="737"/>
      <c r="E146" s="737"/>
      <c r="F146" s="732"/>
      <c r="G146" s="740"/>
      <c r="H146" s="740"/>
      <c r="I146" s="734"/>
      <c r="J146" s="734"/>
      <c r="K146" s="734"/>
      <c r="L146" s="733"/>
      <c r="M146" s="733"/>
      <c r="N146" s="737"/>
      <c r="O146" s="732"/>
      <c r="Q146" s="734"/>
      <c r="R146" s="734"/>
      <c r="S146" s="734"/>
      <c r="T146" s="734"/>
      <c r="U146" s="734"/>
      <c r="V146" s="734"/>
      <c r="W146" s="734"/>
      <c r="AK146" s="113"/>
      <c r="AL146" s="212"/>
      <c r="AM146" s="803"/>
      <c r="AN146" s="804"/>
      <c r="AO146" s="804"/>
      <c r="AP146" s="809" t="s">
        <v>6280</v>
      </c>
      <c r="AQ146" s="811" t="str">
        <f ca="1">CONCATENATE($AD$53,$AD$54,$AD$58,$AD$59,$AD$60,$AD$61,$AD$62,$AD$63,$AD$64,$AD$65,$AD$66,$AD$67,$AD$68,$AD$69,$AD$70,$AD$71,$AD$72,$AD$73,$AD$74,$AD$75,$AD$76)</f>
        <v/>
      </c>
      <c r="AR146" s="811"/>
      <c r="AS146" s="804"/>
      <c r="AT146" s="798"/>
      <c r="AU146" s="798"/>
      <c r="AV146" s="798"/>
      <c r="AW146" s="241"/>
      <c r="AX146" s="241"/>
      <c r="AY146" s="801"/>
      <c r="AZ146" s="153"/>
      <c r="BA146" s="153"/>
      <c r="BB146" s="153"/>
      <c r="BC146" s="153"/>
      <c r="BD146" s="153"/>
      <c r="BE146" s="105"/>
      <c r="BF146" s="105"/>
      <c r="BG146" s="105"/>
      <c r="BH146" s="105"/>
      <c r="BI146" s="105"/>
      <c r="BJ146" s="105"/>
      <c r="BK146" s="105"/>
      <c r="BL146" s="105"/>
      <c r="BM146" s="105"/>
      <c r="BN146" s="105"/>
    </row>
    <row r="147" spans="1:66" ht="27" customHeight="1" x14ac:dyDescent="0.2">
      <c r="A147" s="732"/>
      <c r="B147" s="737"/>
      <c r="C147" s="732"/>
      <c r="D147" s="737"/>
      <c r="E147" s="737"/>
      <c r="F147" s="732"/>
      <c r="G147" s="740"/>
      <c r="H147" s="740"/>
      <c r="I147" s="734"/>
      <c r="J147" s="734"/>
      <c r="K147" s="734"/>
      <c r="L147" s="733"/>
      <c r="M147" s="733"/>
      <c r="N147" s="737"/>
      <c r="O147" s="732"/>
      <c r="Q147" s="734"/>
      <c r="R147" s="734"/>
      <c r="S147" s="734"/>
      <c r="T147" s="734"/>
      <c r="U147" s="734"/>
      <c r="V147" s="734"/>
      <c r="W147" s="734"/>
      <c r="AK147" s="212"/>
      <c r="AL147" s="212"/>
      <c r="AM147" s="803"/>
      <c r="AN147" s="804"/>
      <c r="AO147" s="804"/>
      <c r="AP147" s="809" t="s">
        <v>6281</v>
      </c>
      <c r="AQ147" s="811" t="str">
        <f ca="1">CONCATENATE($AD$77,$AD$78,$AD$79,$AD$80,$AD$81,$AD$82,$AD$84,$AD$85,$AD$86,$AD$89)</f>
        <v/>
      </c>
      <c r="AR147" s="811"/>
      <c r="AS147" s="804"/>
      <c r="AT147" s="798"/>
      <c r="AU147" s="798"/>
      <c r="AV147" s="798"/>
      <c r="AW147" s="241"/>
      <c r="AX147" s="241"/>
      <c r="AY147" s="801"/>
      <c r="AZ147" s="153"/>
      <c r="BA147" s="153"/>
      <c r="BB147" s="153"/>
      <c r="BC147" s="153"/>
      <c r="BD147" s="153"/>
      <c r="BE147" s="105"/>
      <c r="BF147" s="105"/>
      <c r="BG147" s="105"/>
      <c r="BH147" s="105"/>
      <c r="BI147" s="105"/>
      <c r="BJ147" s="105"/>
      <c r="BK147" s="105"/>
      <c r="BL147" s="105"/>
      <c r="BM147" s="105"/>
      <c r="BN147" s="105"/>
    </row>
    <row r="148" spans="1:66" x14ac:dyDescent="0.2">
      <c r="A148" s="734"/>
      <c r="B148" s="734"/>
      <c r="C148" s="734"/>
      <c r="D148" s="735"/>
      <c r="E148" s="735"/>
      <c r="F148" s="734"/>
      <c r="G148" s="740"/>
      <c r="H148" s="740"/>
      <c r="I148" s="734"/>
      <c r="J148" s="734"/>
      <c r="K148" s="734"/>
      <c r="L148" s="733"/>
      <c r="M148" s="733"/>
      <c r="N148" s="737"/>
      <c r="O148" s="732"/>
      <c r="Q148" s="734"/>
      <c r="R148" s="734"/>
      <c r="S148" s="734"/>
      <c r="T148" s="734"/>
      <c r="U148" s="734"/>
      <c r="V148" s="734"/>
      <c r="W148" s="734"/>
      <c r="AL148" s="804"/>
      <c r="AM148" s="803"/>
      <c r="AN148" s="804"/>
      <c r="AO148" s="804"/>
      <c r="AP148" s="809" t="s">
        <v>6282</v>
      </c>
      <c r="AQ148" s="811" t="str">
        <f ca="1">CONCATENATE($AD$94,$AD$95,$AD$96,$AD$97,$AD$98,$AD$99,$AD$100,$AD$101,$AD$102,$AD$103,$AD$104,$AD$105,$AD$106,$AD$107,$AD$108,$AD$109,$AD$110,$AD$111)</f>
        <v/>
      </c>
      <c r="AR148" s="811"/>
      <c r="AS148" s="804"/>
      <c r="AT148" s="798"/>
      <c r="AU148" s="798"/>
      <c r="AV148" s="798"/>
      <c r="AW148" s="241"/>
      <c r="AX148" s="241"/>
      <c r="AY148" s="801"/>
      <c r="AZ148" s="153"/>
      <c r="BA148" s="153"/>
      <c r="BB148" s="153"/>
      <c r="BC148" s="153"/>
      <c r="BD148" s="153"/>
      <c r="BE148" s="105"/>
      <c r="BF148" s="105"/>
      <c r="BG148" s="105"/>
      <c r="BH148" s="105"/>
      <c r="BI148" s="105"/>
      <c r="BJ148" s="105"/>
      <c r="BK148" s="105"/>
      <c r="BL148" s="105"/>
      <c r="BM148" s="105"/>
      <c r="BN148" s="105"/>
    </row>
    <row r="149" spans="1:66" x14ac:dyDescent="0.2">
      <c r="M149" s="733"/>
      <c r="N149" s="737"/>
      <c r="O149" s="732"/>
      <c r="Q149" s="734"/>
      <c r="R149" s="734"/>
      <c r="S149" s="734"/>
      <c r="T149" s="734"/>
      <c r="U149" s="734"/>
      <c r="V149" s="734"/>
      <c r="W149" s="734"/>
      <c r="AL149" s="804"/>
      <c r="AM149" s="803"/>
      <c r="AN149" s="804"/>
      <c r="AO149" s="804"/>
      <c r="AP149" s="809" t="s">
        <v>6283</v>
      </c>
      <c r="AQ149" s="811" t="str">
        <f ca="1">CONCATENATE($AD$115,$AD$116,$AD$117,$AD$118,$AD$119,$AD$120,$AD$121,$AD$122,$AD$123)</f>
        <v/>
      </c>
      <c r="AR149" s="811"/>
      <c r="AS149" s="804"/>
      <c r="AT149" s="798"/>
      <c r="AU149" s="798"/>
      <c r="AV149" s="798"/>
      <c r="AW149" s="241"/>
      <c r="AX149" s="241"/>
      <c r="AY149" s="801"/>
      <c r="AZ149" s="153"/>
      <c r="BA149" s="153"/>
      <c r="BB149" s="153"/>
      <c r="BC149" s="153"/>
      <c r="BD149" s="153"/>
      <c r="BE149" s="105"/>
      <c r="BF149" s="105"/>
      <c r="BG149" s="105"/>
      <c r="BH149" s="105"/>
      <c r="BI149" s="105"/>
      <c r="BJ149" s="105"/>
      <c r="BK149" s="105"/>
      <c r="BL149" s="105"/>
      <c r="BM149" s="105"/>
      <c r="BN149" s="105"/>
    </row>
    <row r="150" spans="1:66" x14ac:dyDescent="0.2">
      <c r="M150" s="733"/>
      <c r="N150" s="737"/>
      <c r="O150" s="732"/>
      <c r="Q150" s="734"/>
      <c r="R150" s="734"/>
      <c r="S150" s="734"/>
      <c r="T150" s="734"/>
      <c r="U150" s="734"/>
      <c r="V150" s="734"/>
      <c r="W150" s="734"/>
      <c r="AM150" s="803"/>
      <c r="AN150" s="804"/>
      <c r="AO150" s="804"/>
      <c r="AP150" s="809" t="s">
        <v>1121</v>
      </c>
      <c r="AQ150" s="811" t="str">
        <f ca="1">IF(EXACT(RIGHT(CONCATENATE(AQ146,AQ147,AQ148),2),", "),REPLACE(CONCATENATE(AQ146,AQ147,AQ148),LEN(CONCATENATE(AQ146,AQ147,AQ148))-1,2,""),CONCATENATE(AQ146,AQ147,AQ148))</f>
        <v/>
      </c>
      <c r="AR150" s="810"/>
      <c r="AS150" s="804"/>
      <c r="AT150" s="798"/>
      <c r="AU150" s="798"/>
      <c r="AV150" s="798"/>
      <c r="AW150" s="241"/>
      <c r="AX150" s="241"/>
      <c r="AY150" s="801"/>
      <c r="AZ150" s="153"/>
      <c r="BA150" s="153"/>
      <c r="BB150" s="153"/>
      <c r="BC150" s="153"/>
      <c r="BD150" s="153"/>
      <c r="BE150" s="105"/>
      <c r="BF150" s="105"/>
      <c r="BG150" s="105"/>
      <c r="BH150" s="105"/>
      <c r="BI150" s="105"/>
      <c r="BJ150" s="105"/>
      <c r="BK150" s="105"/>
      <c r="BL150" s="105"/>
      <c r="BM150" s="105"/>
      <c r="BN150" s="105"/>
    </row>
    <row r="151" spans="1:66" x14ac:dyDescent="0.2">
      <c r="M151" s="733"/>
      <c r="N151" s="734"/>
      <c r="O151" s="734"/>
      <c r="P151" s="734"/>
      <c r="Q151" s="734"/>
      <c r="R151" s="734"/>
      <c r="S151" s="734"/>
      <c r="T151" s="734"/>
      <c r="U151" s="734"/>
      <c r="V151" s="734"/>
      <c r="W151" s="734"/>
      <c r="AM151" s="803"/>
      <c r="AN151" s="804"/>
      <c r="AO151" s="804"/>
      <c r="AP151" s="809" t="s">
        <v>1122</v>
      </c>
      <c r="AQ151" s="811" t="str">
        <f ca="1">IF(EXACT(RIGHT(AQ149,2),", "),REPLACE(AQ149,LEN(AQ149)-1,2,""),AQ149)</f>
        <v/>
      </c>
      <c r="AR151" s="810"/>
      <c r="AS151" s="804"/>
      <c r="AT151" s="798"/>
      <c r="AU151" s="798"/>
      <c r="AV151" s="798"/>
      <c r="AW151" s="241"/>
      <c r="AX151" s="241"/>
      <c r="AY151" s="801"/>
      <c r="AZ151" s="153"/>
      <c r="BA151" s="153"/>
      <c r="BB151" s="153"/>
      <c r="BC151" s="153"/>
      <c r="BD151" s="153"/>
      <c r="BE151" s="105"/>
      <c r="BF151" s="105"/>
      <c r="BG151" s="105"/>
      <c r="BH151" s="105"/>
      <c r="BI151" s="105"/>
      <c r="BJ151" s="105"/>
      <c r="BK151" s="105"/>
      <c r="BL151" s="105"/>
      <c r="BM151" s="105"/>
      <c r="BN151" s="105"/>
    </row>
    <row r="152" spans="1:66" x14ac:dyDescent="0.2">
      <c r="AM152" s="803"/>
      <c r="AN152" s="804"/>
      <c r="AO152" s="804"/>
      <c r="AP152" s="809" t="s">
        <v>1479</v>
      </c>
      <c r="AQ152" s="811" t="str">
        <f ca="1">IF(EXACT(RIGHT(CONCATENATE(AQ137,AR137),2),", "),REPLACE(CONCATENATE(AQ137,AR137),LEN(CONCATENATE(AQ137,AR137))-1,2,""),CONCATENATE(AQ137,AR137))</f>
        <v/>
      </c>
      <c r="AR152" s="18"/>
      <c r="AS152" s="804"/>
      <c r="AT152" s="798"/>
      <c r="AU152" s="798"/>
      <c r="AV152" s="798"/>
      <c r="AW152" s="241"/>
      <c r="AX152" s="241"/>
      <c r="AY152" s="801"/>
      <c r="AZ152" s="153"/>
      <c r="BA152" s="153"/>
      <c r="BB152" s="153"/>
      <c r="BC152" s="153"/>
      <c r="BD152" s="153"/>
      <c r="BE152" s="105"/>
      <c r="BF152" s="105"/>
      <c r="BG152" s="105"/>
      <c r="BH152" s="105"/>
      <c r="BI152" s="105"/>
      <c r="BJ152" s="105"/>
      <c r="BK152" s="105"/>
      <c r="BL152" s="105"/>
      <c r="BM152" s="105"/>
      <c r="BN152" s="105"/>
    </row>
    <row r="153" spans="1:66" x14ac:dyDescent="0.2">
      <c r="AM153" s="803"/>
      <c r="AN153" s="804"/>
      <c r="AO153" s="804"/>
      <c r="AP153" s="809" t="s">
        <v>6286</v>
      </c>
      <c r="AQ153" s="811" t="str">
        <f ca="1">IF(EXACT(RIGHT(AQ144,2),", "),REPLACE(AQ144,LEN(AQ144)-1,2,""),AQ144)</f>
        <v xml:space="preserve">Kulturkunde: </v>
      </c>
      <c r="AR153" s="810"/>
      <c r="AS153" s="804"/>
      <c r="AT153" s="798"/>
      <c r="AU153" s="798"/>
      <c r="AV153" s="798"/>
      <c r="AW153" s="241"/>
      <c r="AX153" s="241"/>
      <c r="AY153" s="801"/>
      <c r="AZ153" s="153"/>
      <c r="BA153" s="153"/>
      <c r="BB153" s="153"/>
      <c r="BC153" s="153"/>
      <c r="BD153" s="153"/>
    </row>
    <row r="154" spans="1:66" x14ac:dyDescent="0.2">
      <c r="AM154" s="805"/>
      <c r="AN154" s="806"/>
      <c r="AO154" s="806"/>
      <c r="AP154" s="1552" t="s">
        <v>6532</v>
      </c>
      <c r="AQ154" s="812">
        <f ca="1">SUM(Z14:Z123,AO14:AO117)</f>
        <v>0</v>
      </c>
      <c r="AR154" s="812"/>
      <c r="AS154" s="806"/>
      <c r="AT154" s="1036"/>
      <c r="AU154" s="202" t="s">
        <v>6533</v>
      </c>
      <c r="AV154" s="1036"/>
      <c r="AW154" s="202"/>
      <c r="AX154" s="1193">
        <f>IF(OR(VT_VETERAN,VT_BBILDUNG),SUM(AA14:AA49,AA53:AA111,AA115:AA123,AP14:AP33,AP37:AP99,AA128:AA133),0)</f>
        <v>0</v>
      </c>
      <c r="AY154" s="1037"/>
      <c r="AZ154" s="153"/>
      <c r="BA154" s="153"/>
      <c r="BB154" s="153"/>
      <c r="BC154" s="153"/>
      <c r="BD154" s="153"/>
    </row>
  </sheetData>
  <mergeCells count="225">
    <mergeCell ref="J2:K2"/>
    <mergeCell ref="J3:K3"/>
    <mergeCell ref="J4:K4"/>
    <mergeCell ref="J5:K5"/>
    <mergeCell ref="J7:K7"/>
    <mergeCell ref="J6:K6"/>
    <mergeCell ref="V82:X82"/>
    <mergeCell ref="V87:X87"/>
    <mergeCell ref="V79:X79"/>
    <mergeCell ref="V73:X73"/>
    <mergeCell ref="J39:L39"/>
    <mergeCell ref="J36:L36"/>
    <mergeCell ref="J28:L28"/>
    <mergeCell ref="J37:L37"/>
    <mergeCell ref="V31:X31"/>
    <mergeCell ref="J48:L48"/>
    <mergeCell ref="J32:L32"/>
    <mergeCell ref="J40:L40"/>
    <mergeCell ref="J34:L34"/>
    <mergeCell ref="M35:X36"/>
    <mergeCell ref="V69:X69"/>
    <mergeCell ref="J35:L35"/>
    <mergeCell ref="V57:X57"/>
    <mergeCell ref="V47:X47"/>
    <mergeCell ref="V90:X90"/>
    <mergeCell ref="V93:X93"/>
    <mergeCell ref="V88:X88"/>
    <mergeCell ref="V92:X92"/>
    <mergeCell ref="V89:X89"/>
    <mergeCell ref="V91:X91"/>
    <mergeCell ref="V75:X75"/>
    <mergeCell ref="V76:X76"/>
    <mergeCell ref="V85:X85"/>
    <mergeCell ref="V86:X86"/>
    <mergeCell ref="V80:X80"/>
    <mergeCell ref="J62:L62"/>
    <mergeCell ref="J72:L72"/>
    <mergeCell ref="J60:L60"/>
    <mergeCell ref="J78:L78"/>
    <mergeCell ref="J82:L82"/>
    <mergeCell ref="J91:L91"/>
    <mergeCell ref="J92:L92"/>
    <mergeCell ref="J100:L100"/>
    <mergeCell ref="J96:L96"/>
    <mergeCell ref="J89:L89"/>
    <mergeCell ref="J86:L86"/>
    <mergeCell ref="J94:L94"/>
    <mergeCell ref="J98:L98"/>
    <mergeCell ref="J99:L99"/>
    <mergeCell ref="J79:L79"/>
    <mergeCell ref="J76:L76"/>
    <mergeCell ref="J74:L74"/>
    <mergeCell ref="J70:L70"/>
    <mergeCell ref="J69:L69"/>
    <mergeCell ref="J68:L68"/>
    <mergeCell ref="J65:L65"/>
    <mergeCell ref="J97:L97"/>
    <mergeCell ref="J88:L88"/>
    <mergeCell ref="J93:L93"/>
    <mergeCell ref="V45:X45"/>
    <mergeCell ref="V46:X46"/>
    <mergeCell ref="V54:X54"/>
    <mergeCell ref="V53:X53"/>
    <mergeCell ref="V52:X52"/>
    <mergeCell ref="J73:L73"/>
    <mergeCell ref="J81:L81"/>
    <mergeCell ref="J21:L21"/>
    <mergeCell ref="J61:L61"/>
    <mergeCell ref="J77:L77"/>
    <mergeCell ref="J80:L80"/>
    <mergeCell ref="J30:L30"/>
    <mergeCell ref="J31:L31"/>
    <mergeCell ref="J75:L75"/>
    <mergeCell ref="J42:L42"/>
    <mergeCell ref="J25:L25"/>
    <mergeCell ref="J44:L44"/>
    <mergeCell ref="J71:L71"/>
    <mergeCell ref="J66:L66"/>
    <mergeCell ref="J67:L67"/>
    <mergeCell ref="J64:L64"/>
    <mergeCell ref="V67:X67"/>
    <mergeCell ref="V50:X50"/>
    <mergeCell ref="J59:L59"/>
    <mergeCell ref="A51:L52"/>
    <mergeCell ref="J29:L29"/>
    <mergeCell ref="J58:L58"/>
    <mergeCell ref="J45:L45"/>
    <mergeCell ref="K9:M9"/>
    <mergeCell ref="J10:L10"/>
    <mergeCell ref="J57:L57"/>
    <mergeCell ref="J56:L56"/>
    <mergeCell ref="J53:L53"/>
    <mergeCell ref="J54:L54"/>
    <mergeCell ref="J46:L46"/>
    <mergeCell ref="J38:L38"/>
    <mergeCell ref="J33:L33"/>
    <mergeCell ref="J41:L41"/>
    <mergeCell ref="J55:L55"/>
    <mergeCell ref="J43:L43"/>
    <mergeCell ref="V14:X14"/>
    <mergeCell ref="V19:X19"/>
    <mergeCell ref="V33:X33"/>
    <mergeCell ref="M12:X13"/>
    <mergeCell ref="V15:X15"/>
    <mergeCell ref="A12:L13"/>
    <mergeCell ref="J16:L16"/>
    <mergeCell ref="V24:X24"/>
    <mergeCell ref="V25:X25"/>
    <mergeCell ref="V26:X26"/>
    <mergeCell ref="V30:X30"/>
    <mergeCell ref="J26:L26"/>
    <mergeCell ref="J23:L23"/>
    <mergeCell ref="J20:L20"/>
    <mergeCell ref="J27:L27"/>
    <mergeCell ref="V10:X10"/>
    <mergeCell ref="J19:L19"/>
    <mergeCell ref="J22:L22"/>
    <mergeCell ref="J18:L18"/>
    <mergeCell ref="V66:X66"/>
    <mergeCell ref="V51:X51"/>
    <mergeCell ref="V42:X42"/>
    <mergeCell ref="V16:X16"/>
    <mergeCell ref="J14:L14"/>
    <mergeCell ref="V32:X32"/>
    <mergeCell ref="V22:X22"/>
    <mergeCell ref="V21:X21"/>
    <mergeCell ref="J15:L15"/>
    <mergeCell ref="J17:L17"/>
    <mergeCell ref="J24:L24"/>
    <mergeCell ref="V29:X29"/>
    <mergeCell ref="V27:X27"/>
    <mergeCell ref="V17:X17"/>
    <mergeCell ref="V20:X20"/>
    <mergeCell ref="V28:X28"/>
    <mergeCell ref="V23:X23"/>
    <mergeCell ref="V18:X18"/>
    <mergeCell ref="V37:X37"/>
    <mergeCell ref="V38:X38"/>
    <mergeCell ref="V41:X41"/>
    <mergeCell ref="J63:L63"/>
    <mergeCell ref="J49:L49"/>
    <mergeCell ref="J47:L47"/>
    <mergeCell ref="V39:X39"/>
    <mergeCell ref="V40:X40"/>
    <mergeCell ref="V43:X43"/>
    <mergeCell ref="V81:X81"/>
    <mergeCell ref="V70:X70"/>
    <mergeCell ref="V65:X65"/>
    <mergeCell ref="V68:X68"/>
    <mergeCell ref="V58:X58"/>
    <mergeCell ref="V56:X56"/>
    <mergeCell ref="V62:X62"/>
    <mergeCell ref="V64:X64"/>
    <mergeCell ref="V44:X44"/>
    <mergeCell ref="V48:X48"/>
    <mergeCell ref="V77:X77"/>
    <mergeCell ref="V74:X74"/>
    <mergeCell ref="V78:X78"/>
    <mergeCell ref="V59:X59"/>
    <mergeCell ref="V55:X55"/>
    <mergeCell ref="V49:X49"/>
    <mergeCell ref="V71:X71"/>
    <mergeCell ref="V72:X72"/>
    <mergeCell ref="V61:X61"/>
    <mergeCell ref="V60:X60"/>
    <mergeCell ref="V63:X63"/>
    <mergeCell ref="V83:X83"/>
    <mergeCell ref="J130:L130"/>
    <mergeCell ref="J131:L131"/>
    <mergeCell ref="J128:L128"/>
    <mergeCell ref="J129:L129"/>
    <mergeCell ref="V99:X99"/>
    <mergeCell ref="A126:L127"/>
    <mergeCell ref="V95:X95"/>
    <mergeCell ref="V96:X96"/>
    <mergeCell ref="V94:X94"/>
    <mergeCell ref="J87:L87"/>
    <mergeCell ref="J85:L85"/>
    <mergeCell ref="V98:X98"/>
    <mergeCell ref="V97:X97"/>
    <mergeCell ref="V84:X84"/>
    <mergeCell ref="J83:L83"/>
    <mergeCell ref="J84:L84"/>
    <mergeCell ref="J90:L90"/>
    <mergeCell ref="J95:L95"/>
    <mergeCell ref="J122:L122"/>
    <mergeCell ref="J101:L101"/>
    <mergeCell ref="J119:L119"/>
    <mergeCell ref="J106:L106"/>
    <mergeCell ref="J107:L107"/>
    <mergeCell ref="J108:L108"/>
    <mergeCell ref="A113:L114"/>
    <mergeCell ref="J109:L109"/>
    <mergeCell ref="J105:L105"/>
    <mergeCell ref="J115:L115"/>
    <mergeCell ref="J104:L104"/>
    <mergeCell ref="J116:L116"/>
    <mergeCell ref="J102:L102"/>
    <mergeCell ref="J103:L103"/>
    <mergeCell ref="J117:L117"/>
    <mergeCell ref="J111:L111"/>
    <mergeCell ref="J110:L110"/>
    <mergeCell ref="V117:X117"/>
    <mergeCell ref="J133:L133"/>
    <mergeCell ref="J132:L132"/>
    <mergeCell ref="J121:L121"/>
    <mergeCell ref="J118:L118"/>
    <mergeCell ref="V126:X126"/>
    <mergeCell ref="V127:X127"/>
    <mergeCell ref="V121:X121"/>
    <mergeCell ref="V122:X122"/>
    <mergeCell ref="V123:X123"/>
    <mergeCell ref="V124:X124"/>
    <mergeCell ref="V125:X125"/>
    <mergeCell ref="J123:L123"/>
    <mergeCell ref="J120:L120"/>
    <mergeCell ref="V108:X108"/>
    <mergeCell ref="V109:X109"/>
    <mergeCell ref="V110:X110"/>
    <mergeCell ref="V111:X111"/>
    <mergeCell ref="V112:X112"/>
    <mergeCell ref="V113:X113"/>
    <mergeCell ref="V114:X114"/>
    <mergeCell ref="V115:X115"/>
    <mergeCell ref="V116:X116"/>
  </mergeCells>
  <conditionalFormatting sqref="AM121:AR127 AL14:AL49 AL53:AL111 AL128:AL133 Y14:AC49 Y115:AC123 Y53:AC111 AM14:AR33 AM37:AR99 Y128:AC133 AM108:AR117">
    <cfRule type="cellIs" dxfId="32" priority="30" stopIfTrue="1" operator="greaterThan">
      <formula>0</formula>
    </cfRule>
  </conditionalFormatting>
  <conditionalFormatting sqref="V118 J134 V100 V34 V11:W11 J124 J112 J50 J11:K11 V105 V128">
    <cfRule type="cellIs" dxfId="31" priority="28" stopIfTrue="1" operator="equal">
      <formula>"keine GP übrig"</formula>
    </cfRule>
    <cfRule type="cellIs" dxfId="30" priority="29" stopIfTrue="1" operator="between">
      <formula>""""""</formula>
      <formula>"Eingesetzt"</formula>
    </cfRule>
  </conditionalFormatting>
  <conditionalFormatting sqref="V10 J10">
    <cfRule type="cellIs" dxfId="29" priority="26" stopIfTrue="1" operator="equal">
      <formula>"Keine AP mehr übrig!"</formula>
    </cfRule>
    <cfRule type="cellIs" dxfId="28" priority="27" stopIfTrue="1" operator="equal">
      <formula>"Keine TaGP mehr übrig!"</formula>
    </cfRule>
  </conditionalFormatting>
  <conditionalFormatting sqref="F14:H49 F53:H111 F128:H133">
    <cfRule type="expression" dxfId="27" priority="25" stopIfTrue="1">
      <formula>AND(VLOOKUP($A14,SF_ALLE,9,FALSE)&lt;4,NOT(ISERROR(VLOOKUP($A14,SF_ALLE,9,FALSE))))</formula>
    </cfRule>
  </conditionalFormatting>
  <conditionalFormatting sqref="F115:H123">
    <cfRule type="expression" dxfId="26" priority="23" stopIfTrue="1">
      <formula>AND(VLOOKUP($A115,SF_ALLE,9,FALSE)&lt;4,NOT(ISERROR(VLOOKUP($A115,SF_ALLE,9,FALSE))))</formula>
    </cfRule>
  </conditionalFormatting>
  <conditionalFormatting sqref="R14:T33 R37:T99 R108:T117">
    <cfRule type="expression" dxfId="25" priority="22" stopIfTrue="1">
      <formula>AND(VLOOKUP($M14,SF_ALLE,9,FALSE)&lt;4,NOT(ISERROR(VLOOKUP($M14,SF_ALLE,9,FALSE))))</formula>
    </cfRule>
  </conditionalFormatting>
  <conditionalFormatting sqref="R121:T127">
    <cfRule type="expression" dxfId="24" priority="7" stopIfTrue="1">
      <formula>AND(VLOOKUP($M121,SF_ALLE,9,FALSE)&lt;4,NOT(ISERROR(VLOOKUP($M121,SF_ALLE,9,FALSE))))</formula>
    </cfRule>
  </conditionalFormatting>
  <dataValidations count="14">
    <dataValidation type="list" allowBlank="1" showInputMessage="1" showErrorMessage="1" sqref="P121:P127 D128:D133 P14:P33 D53:D111 D115:D123 D14:D49 P73:P99 P37:P71 P108:P117">
      <formula1>"X,V,"</formula1>
    </dataValidation>
    <dataValidation type="list" allowBlank="1" showInputMessage="1" showErrorMessage="1" sqref="E128">
      <formula1>GOETTER_LIST</formula1>
    </dataValidation>
    <dataValidation type="list" allowBlank="1" showInputMessage="1" showErrorMessage="1" sqref="E132">
      <formula1>"Kamaluq,Himmelswölfe,Tairach"</formula1>
    </dataValidation>
    <dataValidation type="list" allowBlank="1" showInputMessage="1" showErrorMessage="1" sqref="E133">
      <formula1>SCHAMANEN_TRAD</formula1>
    </dataValidation>
    <dataValidation type="list" allowBlank="1" showInputMessage="1" showErrorMessage="1" sqref="P72">
      <formula1>"X,V,X I,X II,V I, V II,"</formula1>
    </dataValidation>
    <dataValidation type="list" allowBlank="1" showInputMessage="1" showErrorMessage="1" sqref="R72">
      <formula1>"I,II,I &amp; II"</formula1>
    </dataValidation>
    <dataValidation type="decimal" allowBlank="1" showInputMessage="1" showErrorMessage="1" sqref="U22">
      <formula1>1</formula1>
      <formula2>100</formula2>
    </dataValidation>
    <dataValidation type="whole" allowBlank="1" showInputMessage="1" showErrorMessage="1" sqref="R27:U27 R22:T22 R89:U89">
      <formula1>1</formula1>
      <formula2>100</formula2>
    </dataValidation>
    <dataValidation type="list" allowBlank="1" showInputMessage="1" showErrorMessage="1" sqref="E90">
      <formula1>RSTNG</formula1>
    </dataValidation>
    <dataValidation type="list" allowBlank="1" showInputMessage="1" showErrorMessage="1" sqref="E117:E122">
      <formula1>"Armbrust,Blasrohr,Bogen,Schleuder,Wurfbeile,Wurfmesser,Wurfspeere"</formula1>
    </dataValidation>
    <dataValidation type="list" allowBlank="1" showInputMessage="1" showErrorMessage="1" sqref="E123">
      <formula1>"Armbrust,Bogen"</formula1>
    </dataValidation>
    <dataValidation type="list" allowBlank="1" showInputMessage="1" showErrorMessage="1" sqref="E45">
      <formula1>"Raufen,Ringen"</formula1>
    </dataValidation>
    <dataValidation type="list" allowBlank="1" showInputMessage="1" showErrorMessage="1" sqref="S72:U72">
      <formula1>"I,II,I &amp; II"</formula1>
    </dataValidation>
    <dataValidation type="list" allowBlank="1" showInputMessage="1" showErrorMessage="1" sqref="J105:L108">
      <formula1>WAFFENALLE</formula1>
    </dataValidation>
  </dataValidations>
  <hyperlinks>
    <hyperlink ref="A10" location="Eigenschaften!A1" tooltip="zurück zum Anfang" display="Sonderfertigkeiten"/>
    <hyperlink ref="M102" location="Zauber!A224" tooltip="Die Merkmalskenntnisse werden im Blatt Zauber verwaltet" display="Merkmalskenntnisse im Blatt Zauber"/>
    <hyperlink ref="M100" location="Zauber!A220" tooltip="Zusätzliche Repräsentationen werden im Blatt Zauber verwaltet" display="Repräsentationen im Blatt Zauber"/>
    <hyperlink ref="M103" location="Zauber!A173" tooltip="Die Objektrituale werden im Blatt Zauber verwaltet" display="Objektrituale im Blatt Zauber"/>
    <hyperlink ref="M101" location="Zauber!A200" tooltip="Die erlernten Bannkreise und Zauberzeichen im Blatt Zauber verwalten" display="Arkanoglyphen &amp; Bannkreise im Blatt Zauber"/>
  </hyperlinks>
  <pageMargins left="0.7" right="0.7" top="0.78740157499999996" bottom="0.78740157499999996"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7">
    <tabColor theme="5"/>
  </sheetPr>
  <dimension ref="A1:G208"/>
  <sheetViews>
    <sheetView topLeftCell="A12" workbookViewId="0">
      <selection activeCell="P22" sqref="P22"/>
    </sheetView>
  </sheetViews>
  <sheetFormatPr baseColWidth="10" defaultRowHeight="12.75" x14ac:dyDescent="0.2"/>
  <cols>
    <col min="1" max="1" width="32.85546875" customWidth="1"/>
    <col min="5" max="5" width="26" customWidth="1"/>
    <col min="6" max="6" width="26.5703125" customWidth="1"/>
  </cols>
  <sheetData>
    <row r="1" spans="1:7" x14ac:dyDescent="0.2">
      <c r="A1" s="1593" t="s">
        <v>403</v>
      </c>
      <c r="B1" s="1594" t="s">
        <v>718</v>
      </c>
      <c r="C1" s="1594" t="s">
        <v>9036</v>
      </c>
      <c r="D1" s="1594" t="s">
        <v>9037</v>
      </c>
      <c r="E1" s="1594" t="s">
        <v>9052</v>
      </c>
      <c r="F1" s="1594" t="s">
        <v>9053</v>
      </c>
      <c r="G1" s="1595" t="s">
        <v>518</v>
      </c>
    </row>
    <row r="2" spans="1:7" x14ac:dyDescent="0.2">
      <c r="A2" s="1601" t="s">
        <v>1829</v>
      </c>
      <c r="B2" s="1602" t="str">
        <f ca="1">Talente!O14</f>
        <v/>
      </c>
      <c r="C2" s="1602">
        <f>Talente!P14</f>
        <v>0</v>
      </c>
      <c r="D2" s="1602" t="str">
        <f>IF(Talente!Q14="","",Talente!Q14)</f>
        <v/>
      </c>
      <c r="E2" s="1602" t="str">
        <f>IF(Tabellen_Andere!L3="","","Waffenspezialisierung: " &amp;$A2&amp;" ("&amp;Tabellen_Andere!L3&amp;")")</f>
        <v/>
      </c>
      <c r="F2" s="1602" t="str">
        <f>IF(Tabellen_Andere!M3="","","Waffenspezialisierung: " &amp;$A2&amp;" ("&amp;Tabellen_Andere!M3&amp;")")</f>
        <v/>
      </c>
      <c r="G2" s="1597" t="b">
        <f ca="1">IF(OR(AND(Talente!B14&lt;&gt;"",Talente!B14&gt;=0),Talente!C14="B",Talente!C14="x"),TRUE,FALSE)</f>
        <v>0</v>
      </c>
    </row>
    <row r="3" spans="1:7" x14ac:dyDescent="0.2">
      <c r="A3" s="1601" t="s">
        <v>1939</v>
      </c>
      <c r="B3" s="1602" t="str">
        <f ca="1">Talente!O15</f>
        <v/>
      </c>
      <c r="C3" s="1602" t="str">
        <f ca="1">Talente!P15</f>
        <v/>
      </c>
      <c r="D3" s="1602" t="str">
        <f>IF(Talente!Q15="","",Talente!Q15)</f>
        <v/>
      </c>
      <c r="E3" s="1602" t="str">
        <f>IF(Tabellen_Andere!L4="","","Waffenspezialisierung: " &amp;$A3&amp;" ("&amp;Tabellen_Andere!L4&amp;")")</f>
        <v/>
      </c>
      <c r="F3" s="1602" t="str">
        <f>IF(Tabellen_Andere!M4="","","Waffenspezialisierung: " &amp;$A3&amp;" ("&amp;Tabellen_Andere!M4&amp;")")</f>
        <v/>
      </c>
      <c r="G3" s="1597" t="b">
        <f ca="1">IF(OR(AND(Talente!B15&lt;&gt;"",Talente!B15&gt;=0),Talente!C15="B",Talente!C15="x"),TRUE,FALSE)</f>
        <v>0</v>
      </c>
    </row>
    <row r="4" spans="1:7" x14ac:dyDescent="0.2">
      <c r="A4" s="1601" t="s">
        <v>1940</v>
      </c>
      <c r="B4" s="1602" t="str">
        <f ca="1">Talente!O16</f>
        <v/>
      </c>
      <c r="C4" s="1602" t="str">
        <f ca="1">Talente!P16</f>
        <v/>
      </c>
      <c r="D4" s="1602" t="str">
        <f>IF(Talente!Q16="","",Talente!Q16)</f>
        <v/>
      </c>
      <c r="E4" s="1602" t="str">
        <f>IF(Tabellen_Andere!L5="","","Waffenspezialisierung: " &amp;$A4&amp;" ("&amp;Tabellen_Andere!L5&amp;")")</f>
        <v/>
      </c>
      <c r="F4" s="1602" t="str">
        <f>IF(Tabellen_Andere!M5="","","Waffenspezialisierung: " &amp;$A4&amp;" ("&amp;Tabellen_Andere!M5&amp;")")</f>
        <v/>
      </c>
      <c r="G4" s="1597" t="b">
        <f ca="1">IF(OR(AND(Talente!B16&lt;&gt;"",Talente!B16&gt;=0),Talente!C16="B",Talente!C16="x"),TRUE,FALSE)</f>
        <v>0</v>
      </c>
    </row>
    <row r="5" spans="1:7" x14ac:dyDescent="0.2">
      <c r="A5" s="1601" t="s">
        <v>3040</v>
      </c>
      <c r="B5" s="1602" t="str">
        <f ca="1">Talente!O17</f>
        <v/>
      </c>
      <c r="C5" s="1602" t="str">
        <f ca="1">Talente!P17</f>
        <v/>
      </c>
      <c r="D5" s="1602" t="str">
        <f>IF(Talente!Q17="","",Talente!Q17)</f>
        <v/>
      </c>
      <c r="E5" s="1602" t="str">
        <f>IF(Tabellen_Andere!L6="","","Waffenspezialisierung: " &amp;$A5&amp;" ("&amp;Tabellen_Andere!L6&amp;")")</f>
        <v/>
      </c>
      <c r="F5" s="1602" t="str">
        <f>IF(Tabellen_Andere!M6="","","Waffenspezialisierung: " &amp;$A5&amp;" ("&amp;Tabellen_Andere!M6&amp;")")</f>
        <v/>
      </c>
      <c r="G5" s="1597" t="b">
        <f ca="1">IF(OR(AND(Talente!B17&lt;&gt;"",Talente!B17&gt;=0),Talente!C17="B",Talente!C17="x"),TRUE,FALSE)</f>
        <v>0</v>
      </c>
    </row>
    <row r="6" spans="1:7" x14ac:dyDescent="0.2">
      <c r="A6" s="1601" t="s">
        <v>3041</v>
      </c>
      <c r="B6" s="1602" t="str">
        <f ca="1">Talente!O18</f>
        <v/>
      </c>
      <c r="C6" s="1602" t="str">
        <f ca="1">Talente!P18</f>
        <v/>
      </c>
      <c r="D6" s="1602" t="str">
        <f>IF(Talente!Q18="","",Talente!Q18)</f>
        <v/>
      </c>
      <c r="E6" s="1602" t="str">
        <f>IF(Tabellen_Andere!L7="","","Waffenspezialisierung: " &amp;$A6&amp;" ("&amp;Tabellen_Andere!L7&amp;")")</f>
        <v/>
      </c>
      <c r="F6" s="1602" t="str">
        <f>IF(Tabellen_Andere!M7="","","Waffenspezialisierung: " &amp;$A6&amp;" ("&amp;Tabellen_Andere!M7&amp;")")</f>
        <v/>
      </c>
      <c r="G6" s="1597" t="b">
        <f ca="1">IF(OR(AND(Talente!B18&lt;&gt;"",Talente!B18&gt;=0),Talente!C18="B",Talente!C18="x"),TRUE,FALSE)</f>
        <v>0</v>
      </c>
    </row>
    <row r="7" spans="1:7" x14ac:dyDescent="0.2">
      <c r="A7" s="1601" t="s">
        <v>3042</v>
      </c>
      <c r="B7" s="1602" t="str">
        <f ca="1">Talente!O19</f>
        <v/>
      </c>
      <c r="C7" s="1602" t="str">
        <f ca="1">Talente!P19</f>
        <v/>
      </c>
      <c r="D7" s="1602" t="str">
        <f>IF(Talente!Q19="","",Talente!Q19)</f>
        <v/>
      </c>
      <c r="E7" s="1602" t="str">
        <f>IF(Tabellen_Andere!L8="","","Waffenspezialisierung: " &amp;$A7&amp;" ("&amp;Tabellen_Andere!L8&amp;")")</f>
        <v/>
      </c>
      <c r="F7" s="1602" t="str">
        <f>IF(Tabellen_Andere!M8="","","Waffenspezialisierung: " &amp;$A7&amp;" ("&amp;Tabellen_Andere!M8&amp;")")</f>
        <v/>
      </c>
      <c r="G7" s="1597" t="b">
        <f ca="1">IF(OR(AND(Talente!B19&lt;&gt;"",Talente!B19&gt;=0),Talente!C19="B",Talente!C19="x"),TRUE,FALSE)</f>
        <v>0</v>
      </c>
    </row>
    <row r="8" spans="1:7" x14ac:dyDescent="0.2">
      <c r="A8" s="1601" t="s">
        <v>1957</v>
      </c>
      <c r="B8" s="1602">
        <f ca="1">Talente!O20</f>
        <v>0</v>
      </c>
      <c r="C8" s="1602">
        <f>Talente!P20</f>
        <v>0</v>
      </c>
      <c r="D8" s="1602" t="str">
        <f>IF(Talente!Q20="","",Talente!Q20)</f>
        <v/>
      </c>
      <c r="E8" s="1602" t="str">
        <f>IF(Tabellen_Andere!L9="","","Waffenspezialisierung: " &amp;$A8&amp;" ("&amp;Tabellen_Andere!L9&amp;")")</f>
        <v/>
      </c>
      <c r="F8" s="1602" t="str">
        <f>IF(Tabellen_Andere!M9="","","Waffenspezialisierung: " &amp;$A8&amp;" ("&amp;Tabellen_Andere!M9&amp;")")</f>
        <v/>
      </c>
      <c r="G8" s="1597" t="b">
        <f ca="1">IF(OR(AND(Talente!B20&lt;&gt;"",Talente!B20&gt;=0),Talente!C20="B",Talente!C20="x"),TRUE,FALSE)</f>
        <v>1</v>
      </c>
    </row>
    <row r="9" spans="1:7" x14ac:dyDescent="0.2">
      <c r="A9" s="1601" t="s">
        <v>3043</v>
      </c>
      <c r="B9" s="1602" t="str">
        <f ca="1">Talente!O21</f>
        <v/>
      </c>
      <c r="C9" s="1602">
        <f>Talente!P21</f>
        <v>0</v>
      </c>
      <c r="D9" s="1602" t="str">
        <f>IF(Talente!Q21="","",Talente!Q21)</f>
        <v/>
      </c>
      <c r="E9" s="1602" t="str">
        <f>IF(Tabellen_Andere!L10="","","Waffenspezialisierung: " &amp;$A9&amp;" ("&amp;Tabellen_Andere!L10&amp;")")</f>
        <v/>
      </c>
      <c r="F9" s="1602" t="str">
        <f>IF(Tabellen_Andere!M10="","","Waffenspezialisierung: " &amp;$A9&amp;" ("&amp;Tabellen_Andere!M10&amp;")")</f>
        <v/>
      </c>
      <c r="G9" s="1597" t="b">
        <f ca="1">IF(OR(AND(Talente!B21&lt;&gt;"",Talente!B21&gt;=0),Talente!C21="B",Talente!C21="x"),TRUE,FALSE)</f>
        <v>0</v>
      </c>
    </row>
    <row r="10" spans="1:7" x14ac:dyDescent="0.2">
      <c r="A10" s="1601" t="s">
        <v>2190</v>
      </c>
      <c r="B10" s="1602">
        <f ca="1">Talente!O22</f>
        <v>0</v>
      </c>
      <c r="C10" s="1602">
        <f>Talente!P22</f>
        <v>0</v>
      </c>
      <c r="D10" s="1602" t="str">
        <f>IF(Talente!Q22="","",Talente!Q22)</f>
        <v/>
      </c>
      <c r="E10" s="1602" t="str">
        <f>IF(Tabellen_Andere!L11="","","Waffenspezialisierung: " &amp;$A10&amp;" ("&amp;Tabellen_Andere!L11&amp;")")</f>
        <v/>
      </c>
      <c r="F10" s="1602" t="str">
        <f>IF(Tabellen_Andere!M11="","","Waffenspezialisierung: " &amp;$A10&amp;" ("&amp;Tabellen_Andere!M11&amp;")")</f>
        <v/>
      </c>
      <c r="G10" s="1597" t="b">
        <f ca="1">IF(OR(AND(Talente!B22&lt;&gt;"",Talente!B22&gt;=0),Talente!C22="B",Talente!C22="x"),TRUE,FALSE)</f>
        <v>1</v>
      </c>
    </row>
    <row r="11" spans="1:7" x14ac:dyDescent="0.2">
      <c r="A11" s="1601" t="s">
        <v>3044</v>
      </c>
      <c r="B11" s="1602" t="str">
        <f ca="1">Talente!O23</f>
        <v/>
      </c>
      <c r="C11" s="1602">
        <f>Talente!P23</f>
        <v>0</v>
      </c>
      <c r="D11" s="1602" t="str">
        <f>IF(Talente!Q23="","",Talente!Q23)</f>
        <v/>
      </c>
      <c r="E11" s="1602" t="str">
        <f>IF(Tabellen_Andere!L12="","","Waffenspezialisierung: " &amp;$A11&amp;" ("&amp;Tabellen_Andere!L12&amp;")")</f>
        <v/>
      </c>
      <c r="F11" s="1602" t="str">
        <f>IF(Tabellen_Andere!M12="","","Waffenspezialisierung: " &amp;$A11&amp;" ("&amp;Tabellen_Andere!M12&amp;")")</f>
        <v/>
      </c>
      <c r="G11" s="1597" t="b">
        <f ca="1">IF(OR(AND(Talente!B23&lt;&gt;"",Talente!B23&gt;=0),Talente!C23="B",Talente!C23="x"),TRUE,FALSE)</f>
        <v>0</v>
      </c>
    </row>
    <row r="12" spans="1:7" x14ac:dyDescent="0.2">
      <c r="A12" s="1601" t="s">
        <v>1524</v>
      </c>
      <c r="B12" s="1602" t="str">
        <f ca="1">Talente!O24</f>
        <v/>
      </c>
      <c r="C12" s="1602">
        <f>Talente!P24</f>
        <v>0</v>
      </c>
      <c r="D12" s="1602" t="str">
        <f>IF(Talente!Q24="","",Talente!Q24)</f>
        <v/>
      </c>
      <c r="E12" s="1602" t="str">
        <f>IF(Tabellen_Andere!L13="","","Waffenspezialisierung: " &amp;$A12&amp;" ("&amp;Tabellen_Andere!L13&amp;")")</f>
        <v/>
      </c>
      <c r="F12" s="1602" t="str">
        <f>IF(Tabellen_Andere!M13="","","Waffenspezialisierung: " &amp;$A12&amp;" ("&amp;Tabellen_Andere!M13&amp;")")</f>
        <v/>
      </c>
      <c r="G12" s="1597" t="b">
        <f ca="1">IF(OR(AND(Talente!B24&lt;&gt;"",Talente!B24&gt;=0),Talente!C24="B",Talente!C24="x"),TRUE,FALSE)</f>
        <v>0</v>
      </c>
    </row>
    <row r="13" spans="1:7" x14ac:dyDescent="0.2">
      <c r="A13" s="1601" t="s">
        <v>1525</v>
      </c>
      <c r="B13" s="1602" t="str">
        <f ca="1">Talente!O25</f>
        <v/>
      </c>
      <c r="C13" s="1602">
        <f>Talente!P25</f>
        <v>0</v>
      </c>
      <c r="D13" s="1602" t="str">
        <f>IF(Talente!Q25="","",Talente!Q25)</f>
        <v/>
      </c>
      <c r="E13" s="1602" t="str">
        <f>IF(Tabellen_Andere!L14="","","Waffenspezialisierung: " &amp;$A13&amp;" ("&amp;Tabellen_Andere!L14&amp;")")</f>
        <v/>
      </c>
      <c r="F13" s="1602" t="str">
        <f>IF(Tabellen_Andere!M14="","","Waffenspezialisierung: " &amp;$A13&amp;" ("&amp;Tabellen_Andere!M14&amp;")")</f>
        <v/>
      </c>
      <c r="G13" s="1597" t="b">
        <f ca="1">IF(OR(AND(Talente!B25&lt;&gt;"",Talente!B25&gt;=0),Talente!C25="B",Talente!C25="x"),TRUE,FALSE)</f>
        <v>0</v>
      </c>
    </row>
    <row r="14" spans="1:7" x14ac:dyDescent="0.2">
      <c r="A14" s="1601" t="s">
        <v>1526</v>
      </c>
      <c r="B14" s="1602" t="str">
        <f ca="1">Talente!O26</f>
        <v/>
      </c>
      <c r="C14" s="1602" t="str">
        <f ca="1">Talente!P26</f>
        <v/>
      </c>
      <c r="D14" s="1602" t="str">
        <f>IF(Talente!Q26="","",Talente!Q26)</f>
        <v/>
      </c>
      <c r="E14" s="1602" t="str">
        <f>IF(Tabellen_Andere!L15="","","Waffenspezialisierung: " &amp;$A14&amp;" ("&amp;Tabellen_Andere!L15&amp;")")</f>
        <v/>
      </c>
      <c r="F14" s="1602" t="str">
        <f>IF(Tabellen_Andere!M15="","","Waffenspezialisierung: " &amp;$A14&amp;" ("&amp;Tabellen_Andere!M15&amp;")")</f>
        <v/>
      </c>
      <c r="G14" s="1597" t="b">
        <f ca="1">IF(OR(AND(Talente!B26&lt;&gt;"",Talente!B26&gt;=0),Talente!C26="B",Talente!C26="x"),TRUE,FALSE)</f>
        <v>0</v>
      </c>
    </row>
    <row r="15" spans="1:7" x14ac:dyDescent="0.2">
      <c r="A15" s="1601" t="s">
        <v>1527</v>
      </c>
      <c r="B15" s="1602" t="str">
        <f ca="1">Talente!O27</f>
        <v/>
      </c>
      <c r="C15" s="1602" t="str">
        <f ca="1">Talente!P27</f>
        <v/>
      </c>
      <c r="D15" s="1602" t="str">
        <f>IF(Talente!Q27="","",Talente!Q27)</f>
        <v/>
      </c>
      <c r="E15" s="1602" t="str">
        <f>IF(Tabellen_Andere!L16="","","Waffenspezialisierung: " &amp;$A15&amp;" ("&amp;Tabellen_Andere!L16&amp;")")</f>
        <v/>
      </c>
      <c r="F15" s="1602" t="str">
        <f>IF(Tabellen_Andere!M16="","","Waffenspezialisierung: " &amp;$A15&amp;" ("&amp;Tabellen_Andere!M16&amp;")")</f>
        <v/>
      </c>
      <c r="G15" s="1597" t="b">
        <f ca="1">IF(OR(AND(Talente!B27&lt;&gt;"",Talente!B27&gt;=0),Talente!C27="B",Talente!C27="x"),TRUE,FALSE)</f>
        <v>0</v>
      </c>
    </row>
    <row r="16" spans="1:7" x14ac:dyDescent="0.2">
      <c r="A16" s="1601" t="s">
        <v>2191</v>
      </c>
      <c r="B16" s="1602">
        <f ca="1">Talente!O28</f>
        <v>0</v>
      </c>
      <c r="C16" s="1602">
        <f>Talente!P28</f>
        <v>0</v>
      </c>
      <c r="D16" s="1602" t="str">
        <f>IF(Talente!Q28="","",Talente!Q28)</f>
        <v/>
      </c>
      <c r="E16" s="1602" t="str">
        <f>IF(Tabellen_Andere!L17="","","Waffenspezialisierung: " &amp;$A16&amp;" ("&amp;Tabellen_Andere!L17&amp;")")</f>
        <v/>
      </c>
      <c r="F16" s="1602" t="str">
        <f>IF(Tabellen_Andere!M17="","","Waffenspezialisierung: " &amp;$A16&amp;" ("&amp;Tabellen_Andere!M17&amp;")")</f>
        <v/>
      </c>
      <c r="G16" s="1597" t="b">
        <f ca="1">IF(OR(AND(Talente!B28&lt;&gt;"",Talente!B28&gt;=0),Talente!C28="B",Talente!C28="x"),TRUE,FALSE)</f>
        <v>1</v>
      </c>
    </row>
    <row r="17" spans="1:7" x14ac:dyDescent="0.2">
      <c r="A17" s="1601" t="s">
        <v>1528</v>
      </c>
      <c r="B17" s="1602">
        <f ca="1">Talente!O29</f>
        <v>0</v>
      </c>
      <c r="C17" s="1602">
        <f>Talente!P29</f>
        <v>0</v>
      </c>
      <c r="D17" s="1602" t="str">
        <f>IF(Talente!Q29="","",Talente!Q29)</f>
        <v/>
      </c>
      <c r="E17" s="1602" t="str">
        <f>IF(Tabellen_Andere!L18="","","Waffenspezialisierung: " &amp;$A17&amp;" ("&amp;Tabellen_Andere!L18&amp;")")</f>
        <v/>
      </c>
      <c r="F17" s="1602" t="str">
        <f>IF(Tabellen_Andere!M18="","","Waffenspezialisierung: " &amp;$A17&amp;" ("&amp;Tabellen_Andere!M18&amp;")")</f>
        <v/>
      </c>
      <c r="G17" s="1597" t="b">
        <f ca="1">IF(OR(AND(Talente!B29&lt;&gt;"",Talente!B29&gt;=0),Talente!C29="B",Talente!C29="x"),TRUE,FALSE)</f>
        <v>1</v>
      </c>
    </row>
    <row r="18" spans="1:7" x14ac:dyDescent="0.2">
      <c r="A18" s="1601" t="s">
        <v>2192</v>
      </c>
      <c r="B18" s="1602">
        <f ca="1">Talente!O30</f>
        <v>0</v>
      </c>
      <c r="C18" s="1602">
        <f>Talente!P30</f>
        <v>0</v>
      </c>
      <c r="D18" s="1602" t="str">
        <f>IF(Talente!Q30="","",Talente!Q30)</f>
        <v/>
      </c>
      <c r="E18" s="1602" t="str">
        <f>IF(Tabellen_Andere!L19="","","Waffenspezialisierung: " &amp;$A18&amp;" ("&amp;Tabellen_Andere!L19&amp;")")</f>
        <v/>
      </c>
      <c r="F18" s="1602" t="str">
        <f>IF(Tabellen_Andere!M19="","","Waffenspezialisierung: " &amp;$A18&amp;" ("&amp;Tabellen_Andere!M19&amp;")")</f>
        <v/>
      </c>
      <c r="G18" s="1597" t="b">
        <f ca="1">IF(OR(AND(Talente!B30&lt;&gt;"",Talente!B30&gt;=0),Talente!C30="B",Talente!C30="x"),TRUE,FALSE)</f>
        <v>1</v>
      </c>
    </row>
    <row r="19" spans="1:7" x14ac:dyDescent="0.2">
      <c r="A19" s="1601" t="s">
        <v>1529</v>
      </c>
      <c r="B19" s="1602" t="str">
        <f ca="1">Talente!O31</f>
        <v/>
      </c>
      <c r="C19" s="1602" t="str">
        <f ca="1">Talente!P31</f>
        <v/>
      </c>
      <c r="D19" s="1602" t="str">
        <f>IF(Talente!Q31="","",Talente!Q31)</f>
        <v/>
      </c>
      <c r="E19" s="1602" t="str">
        <f>IF(Tabellen_Andere!L20="","","Waffenspezialisierung: " &amp;$A19&amp;" ("&amp;Tabellen_Andere!L20&amp;")")</f>
        <v/>
      </c>
      <c r="F19" s="1602" t="str">
        <f>IF(Tabellen_Andere!M20="","","Waffenspezialisierung: " &amp;$A19&amp;" ("&amp;Tabellen_Andere!M20&amp;")")</f>
        <v/>
      </c>
      <c r="G19" s="1597" t="b">
        <f ca="1">IF(OR(AND(Talente!B31&lt;&gt;"",Talente!B31&gt;=0),Talente!C31="B",Talente!C31="x"),TRUE,FALSE)</f>
        <v>0</v>
      </c>
    </row>
    <row r="20" spans="1:7" x14ac:dyDescent="0.2">
      <c r="A20" s="1601" t="s">
        <v>1938</v>
      </c>
      <c r="B20" s="1602" t="str">
        <f ca="1">Talente!O32</f>
        <v/>
      </c>
      <c r="C20" s="1602">
        <f>Talente!P32</f>
        <v>0</v>
      </c>
      <c r="D20" s="1602" t="str">
        <f>IF(Talente!Q32="","",Talente!Q32)</f>
        <v/>
      </c>
      <c r="E20" s="1602" t="str">
        <f>IF(Tabellen_Andere!L21="","","Waffenspezialisierung: " &amp;$A20&amp;" ("&amp;Tabellen_Andere!L21&amp;")")</f>
        <v/>
      </c>
      <c r="F20" s="1602" t="str">
        <f>IF(Tabellen_Andere!M21="","","Waffenspezialisierung: " &amp;$A20&amp;" ("&amp;Tabellen_Andere!M21&amp;")")</f>
        <v/>
      </c>
      <c r="G20" s="1597" t="b">
        <f ca="1">IF(OR(AND(Talente!B32&lt;&gt;"",Talente!B32&gt;=0),Talente!C32="B",Talente!C32="x"),TRUE,FALSE)</f>
        <v>0</v>
      </c>
    </row>
    <row r="21" spans="1:7" x14ac:dyDescent="0.2">
      <c r="A21" s="1601" t="s">
        <v>1530</v>
      </c>
      <c r="B21" s="1602" t="str">
        <f ca="1">Talente!O33</f>
        <v/>
      </c>
      <c r="C21" s="1602">
        <f>Talente!P33</f>
        <v>0</v>
      </c>
      <c r="D21" s="1602" t="str">
        <f>IF(Talente!Q33="","",Talente!Q33)</f>
        <v/>
      </c>
      <c r="E21" s="1602" t="str">
        <f>IF(Tabellen_Andere!L22="","","Waffenspezialisierung: " &amp;$A21&amp;" ("&amp;Tabellen_Andere!L22&amp;")")</f>
        <v/>
      </c>
      <c r="F21" s="1602" t="str">
        <f>IF(Tabellen_Andere!M22="","","Waffenspezialisierung: " &amp;$A21&amp;" ("&amp;Tabellen_Andere!M22&amp;")")</f>
        <v/>
      </c>
      <c r="G21" s="1597" t="b">
        <f ca="1">IF(OR(AND(Talente!B33&lt;&gt;"",Talente!B33&gt;=0),Talente!C33="B",Talente!C33="x"),TRUE,FALSE)</f>
        <v>0</v>
      </c>
    </row>
    <row r="22" spans="1:7" x14ac:dyDescent="0.2">
      <c r="A22" s="1601" t="s">
        <v>1531</v>
      </c>
      <c r="B22" s="1602" t="str">
        <f ca="1">Talente!O34</f>
        <v/>
      </c>
      <c r="C22" s="1602">
        <f>Talente!P34</f>
        <v>0</v>
      </c>
      <c r="D22" s="1602" t="str">
        <f>IF(Talente!Q34="","",Talente!Q34)</f>
        <v/>
      </c>
      <c r="E22" s="1602" t="str">
        <f>IF(Tabellen_Andere!L23="","","Waffenspezialisierung: " &amp;$A22&amp;" ("&amp;Tabellen_Andere!L23&amp;")")</f>
        <v/>
      </c>
      <c r="F22" s="1602" t="str">
        <f>IF(Tabellen_Andere!M23="","","Waffenspezialisierung: " &amp;$A22&amp;" ("&amp;Tabellen_Andere!M23&amp;")")</f>
        <v/>
      </c>
      <c r="G22" s="1597" t="b">
        <f ca="1">IF(OR(AND(Talente!B34&lt;&gt;"",Talente!B34&gt;=0),Talente!C34="B",Talente!C34="x"),TRUE,FALSE)</f>
        <v>0</v>
      </c>
    </row>
    <row r="23" spans="1:7" x14ac:dyDescent="0.2">
      <c r="A23" s="1601" t="s">
        <v>1532</v>
      </c>
      <c r="B23" s="1602" t="str">
        <f ca="1">Talente!O35</f>
        <v/>
      </c>
      <c r="C23" s="1602" t="str">
        <f ca="1">Talente!P35</f>
        <v/>
      </c>
      <c r="D23" s="1602" t="str">
        <f>IF(Talente!Q35="","",Talente!Q35)</f>
        <v/>
      </c>
      <c r="E23" s="1602" t="str">
        <f>IF(Tabellen_Andere!L24="","","Waffenspezialisierung: " &amp;$A23&amp;" ("&amp;Tabellen_Andere!L24&amp;")")</f>
        <v/>
      </c>
      <c r="F23" s="1602" t="str">
        <f>IF(Tabellen_Andere!M24="","","Waffenspezialisierung: " &amp;$A23&amp;" ("&amp;Tabellen_Andere!M24&amp;")")</f>
        <v/>
      </c>
      <c r="G23" s="1597" t="b">
        <f ca="1">IF(OR(AND(Talente!B35&lt;&gt;"",Talente!B35&gt;=0),Talente!C35="B",Talente!C35="x"),TRUE,FALSE)</f>
        <v>0</v>
      </c>
    </row>
    <row r="24" spans="1:7" x14ac:dyDescent="0.2">
      <c r="A24" s="1601" t="s">
        <v>2193</v>
      </c>
      <c r="B24" s="1602">
        <f ca="1">Talente!O36</f>
        <v>0</v>
      </c>
      <c r="C24" s="1602">
        <f ca="1">Talente!P36</f>
        <v>5</v>
      </c>
      <c r="D24" s="1602" t="str">
        <f>IF(Talente!Q36="","",Talente!Q36)</f>
        <v/>
      </c>
      <c r="E24" s="1602" t="str">
        <f>IF(Tabellen_Andere!L25="","","Waffenspezialisierung: " &amp;$A24&amp;" ("&amp;Tabellen_Andere!L25&amp;")")</f>
        <v/>
      </c>
      <c r="F24" s="1602" t="str">
        <f>IF(Tabellen_Andere!M25="","","Waffenspezialisierung: " &amp;$A24&amp;" ("&amp;Tabellen_Andere!M25&amp;")")</f>
        <v/>
      </c>
      <c r="G24" s="1597" t="b">
        <f ca="1">IF(OR(AND(Talente!B36&lt;&gt;"",Talente!B36&gt;=0),Talente!C36="B",Talente!C36="x"),TRUE,FALSE)</f>
        <v>1</v>
      </c>
    </row>
    <row r="25" spans="1:7" x14ac:dyDescent="0.2">
      <c r="A25" s="1601" t="s">
        <v>1533</v>
      </c>
      <c r="B25" s="1602" t="str">
        <f ca="1">Talente!O37</f>
        <v/>
      </c>
      <c r="C25" s="1602" t="str">
        <f ca="1">Talente!P37</f>
        <v/>
      </c>
      <c r="D25" s="1602" t="str">
        <f>IF(Talente!Q37="","",Talente!Q37)</f>
        <v/>
      </c>
      <c r="E25" s="1602" t="str">
        <f>IF(Tabellen_Andere!L26="","","Waffenspezialisierung: " &amp;$A25&amp;" ("&amp;Tabellen_Andere!L26&amp;")")</f>
        <v/>
      </c>
      <c r="F25" s="1602" t="str">
        <f>IF(Tabellen_Andere!M26="","","Waffenspezialisierung: " &amp;$A25&amp;" ("&amp;Tabellen_Andere!M26&amp;")")</f>
        <v/>
      </c>
      <c r="G25" s="1597" t="b">
        <f ca="1">IF(OR(AND(Talente!B37&lt;&gt;"",Talente!B37&gt;=0),Talente!C37="B",Talente!C37="x"),TRUE,FALSE)</f>
        <v>0</v>
      </c>
    </row>
    <row r="26" spans="1:7" x14ac:dyDescent="0.2">
      <c r="A26" s="1601" t="s">
        <v>1534</v>
      </c>
      <c r="B26" s="1602" t="str">
        <f ca="1">Talente!O38</f>
        <v/>
      </c>
      <c r="C26" s="1602">
        <f>Talente!P38</f>
        <v>0</v>
      </c>
      <c r="D26" s="1602" t="str">
        <f>IF(Talente!Q38="","",Talente!Q38)</f>
        <v/>
      </c>
      <c r="E26" s="1602" t="str">
        <f>IF(Tabellen_Andere!L27="","","Waffenspezialisierung: " &amp;$A26&amp;" ("&amp;Tabellen_Andere!L27&amp;")")</f>
        <v/>
      </c>
      <c r="F26" s="1602" t="str">
        <f>IF(Tabellen_Andere!M27="","","Waffenspezialisierung: " &amp;$A26&amp;" ("&amp;Tabellen_Andere!M27&amp;")")</f>
        <v/>
      </c>
      <c r="G26" s="1597" t="b">
        <f ca="1">IF(OR(AND(Talente!B38&lt;&gt;"",Talente!B38&gt;=0),Talente!C38="B",Talente!C38="x"),TRUE,FALSE)</f>
        <v>0</v>
      </c>
    </row>
    <row r="27" spans="1:7" x14ac:dyDescent="0.2">
      <c r="A27" s="1601" t="s">
        <v>3629</v>
      </c>
      <c r="B27" s="1602" t="str">
        <f ca="1">Talente!O39</f>
        <v/>
      </c>
      <c r="C27" s="1602">
        <f>Talente!P39</f>
        <v>0</v>
      </c>
      <c r="D27" s="1602" t="str">
        <f>IF(Talente!Q39="","",Talente!Q39)</f>
        <v/>
      </c>
      <c r="E27" s="1602" t="str">
        <f>IF(Tabellen_Andere!L28="","","Waffenspezialisierung: " &amp;$A27&amp;" ("&amp;Tabellen_Andere!L28&amp;")")</f>
        <v/>
      </c>
      <c r="F27" s="1602" t="str">
        <f>IF(Tabellen_Andere!M28="","","Waffenspezialisierung: " &amp;$A27&amp;" ("&amp;Tabellen_Andere!M28&amp;")")</f>
        <v/>
      </c>
      <c r="G27" s="1597" t="b">
        <f ca="1">IF(OR(AND(Talente!B39&lt;&gt;"",Talente!B39&gt;=0),Talente!C39="B",Talente!C39="x"),TRUE,FALSE)</f>
        <v>0</v>
      </c>
    </row>
    <row r="28" spans="1:7" ht="13.5" thickBot="1" x14ac:dyDescent="0.25">
      <c r="A28" s="1626" t="s">
        <v>1825</v>
      </c>
      <c r="B28" s="1609" t="str">
        <f ca="1">Talente!O40</f>
        <v/>
      </c>
      <c r="C28" s="1609">
        <f>Talente!P40</f>
        <v>0</v>
      </c>
      <c r="D28" s="1609" t="str">
        <f>IF(Talente!Q40="","",Talente!Q40)</f>
        <v/>
      </c>
      <c r="E28" s="1609" t="str">
        <f>IF(Tabellen_Andere!L29="","","Waffenspezialisierung: " &amp;$A28&amp;" ("&amp;Tabellen_Andere!L29&amp;")")</f>
        <v/>
      </c>
      <c r="F28" s="1609" t="str">
        <f>IF(Tabellen_Andere!M29="","","Waffenspezialisierung: " &amp;$A28&amp;" ("&amp;Tabellen_Andere!M29&amp;")")</f>
        <v/>
      </c>
      <c r="G28" s="1600" t="b">
        <f ca="1">IF(OR(AND(Talente!B40&lt;&gt;"",Talente!B40&gt;=0),Talente!C40="B",Talente!C40="x"),TRUE,FALSE)</f>
        <v>0</v>
      </c>
    </row>
    <row r="29" spans="1:7" x14ac:dyDescent="0.2">
      <c r="A29" s="1624" t="s">
        <v>1323</v>
      </c>
      <c r="B29" s="1602" t="str">
        <f ca="1">Talente!O42</f>
        <v/>
      </c>
      <c r="C29" s="18"/>
      <c r="D29" s="18"/>
      <c r="E29" s="1602" t="str">
        <f>IF(Tabellen_Andere!L32="","","Talentspezialisierung: " &amp;$A29&amp;" ("&amp;Tabellen_Andere!L32&amp;")")</f>
        <v/>
      </c>
      <c r="F29" s="1602" t="str">
        <f>IF(Tabellen_Andere!M32="","","Talentspezialisierung: " &amp;$A29&amp;" ("&amp;Tabellen_Andere!M32&amp;")")</f>
        <v/>
      </c>
      <c r="G29" s="1597" t="b">
        <f ca="1">IF(OR(AND(Talente!B42&lt;&gt;"",Talente!B42&gt;=0),Talente!C42="B",Talente!C42="x"),TRUE,FALSE)</f>
        <v>0</v>
      </c>
    </row>
    <row r="30" spans="1:7" x14ac:dyDescent="0.2">
      <c r="A30" s="1603" t="s">
        <v>3059</v>
      </c>
      <c r="B30" s="1602">
        <f ca="1">Talente!O43</f>
        <v>0</v>
      </c>
      <c r="C30" s="18"/>
      <c r="D30" s="18"/>
      <c r="E30" s="1602" t="str">
        <f>IF(Tabellen_Andere!L33="","","Talentspezialisierung: " &amp;$A30&amp;" ("&amp;Tabellen_Andere!L33&amp;")")</f>
        <v/>
      </c>
      <c r="F30" s="1602" t="str">
        <f>IF(Tabellen_Andere!M33="","","Talentspezialisierung: " &amp;$A30&amp;" ("&amp;Tabellen_Andere!M33&amp;")")</f>
        <v/>
      </c>
      <c r="G30" s="1597" t="b">
        <f ca="1">IF(OR(AND(Talente!B43&lt;&gt;"",Talente!B43&gt;=0),Talente!C43="B",Talente!C43="x"),TRUE,FALSE)</f>
        <v>1</v>
      </c>
    </row>
    <row r="31" spans="1:7" x14ac:dyDescent="0.2">
      <c r="A31" s="1603" t="s">
        <v>1912</v>
      </c>
      <c r="B31" s="1602" t="str">
        <f ca="1">Talente!O44</f>
        <v/>
      </c>
      <c r="C31" s="18"/>
      <c r="D31" s="18"/>
      <c r="E31" s="1602" t="str">
        <f>IF(Tabellen_Andere!L34="","","Talentspezialisierung: " &amp;$A31&amp;" ("&amp;Tabellen_Andere!L34&amp;")")</f>
        <v/>
      </c>
      <c r="F31" s="1602" t="str">
        <f>IF(Tabellen_Andere!M34="","","Talentspezialisierung: " &amp;$A31&amp;" ("&amp;Tabellen_Andere!M34&amp;")")</f>
        <v/>
      </c>
      <c r="G31" s="1597" t="b">
        <f ca="1">IF(OR(AND(Talente!B44&lt;&gt;"",Talente!B44&gt;=0),Talente!C44="B",Talente!C44="x"),TRUE,FALSE)</f>
        <v>0</v>
      </c>
    </row>
    <row r="32" spans="1:7" x14ac:dyDescent="0.2">
      <c r="A32" s="1603" t="s">
        <v>3010</v>
      </c>
      <c r="B32" s="1602" t="str">
        <f ca="1">Talente!O45</f>
        <v/>
      </c>
      <c r="C32" s="18"/>
      <c r="D32" s="18"/>
      <c r="E32" s="1602" t="str">
        <f>IF(Tabellen_Andere!L35="","","Talentspezialisierung: " &amp;$A32&amp;" ("&amp;Tabellen_Andere!L35&amp;")")</f>
        <v/>
      </c>
      <c r="F32" s="1602" t="str">
        <f>IF(Tabellen_Andere!M35="","","Talentspezialisierung: " &amp;$A32&amp;" ("&amp;Tabellen_Andere!M35&amp;")")</f>
        <v/>
      </c>
      <c r="G32" s="1597" t="b">
        <f ca="1">IF(OR(AND(Talente!B45&lt;&gt;"",Talente!B45&gt;=0),Talente!C45="B",Talente!C45="x"),TRUE,FALSE)</f>
        <v>0</v>
      </c>
    </row>
    <row r="33" spans="1:7" x14ac:dyDescent="0.2">
      <c r="A33" s="1603" t="s">
        <v>891</v>
      </c>
      <c r="B33" s="1602">
        <f ca="1">Talente!O46</f>
        <v>0</v>
      </c>
      <c r="C33" s="18"/>
      <c r="D33" s="18"/>
      <c r="E33" s="1602" t="str">
        <f>IF(Tabellen_Andere!L36="","","Talentspezialisierung: " &amp;$A33&amp;" ("&amp;Tabellen_Andere!L36&amp;")")</f>
        <v/>
      </c>
      <c r="F33" s="1602" t="str">
        <f>IF(Tabellen_Andere!M36="","","Talentspezialisierung: " &amp;$A33&amp;" ("&amp;Tabellen_Andere!M36&amp;")")</f>
        <v/>
      </c>
      <c r="G33" s="1597" t="b">
        <f ca="1">IF(OR(AND(Talente!B46&lt;&gt;"",Talente!B46&gt;=0),Talente!C46="B",Talente!C46="x"),TRUE,FALSE)</f>
        <v>1</v>
      </c>
    </row>
    <row r="34" spans="1:7" x14ac:dyDescent="0.2">
      <c r="A34" s="1603" t="s">
        <v>892</v>
      </c>
      <c r="B34" s="1602">
        <f ca="1">Talente!O47</f>
        <v>0</v>
      </c>
      <c r="C34" s="18"/>
      <c r="D34" s="18"/>
      <c r="E34" s="1602" t="str">
        <f>IF(Tabellen_Andere!L37="","","Talentspezialisierung: " &amp;$A34&amp;" ("&amp;Tabellen_Andere!L37&amp;")")</f>
        <v/>
      </c>
      <c r="F34" s="1602" t="str">
        <f>IF(Tabellen_Andere!M37="","","Talentspezialisierung: " &amp;$A34&amp;" ("&amp;Tabellen_Andere!M37&amp;")")</f>
        <v/>
      </c>
      <c r="G34" s="1597" t="b">
        <f ca="1">IF(OR(AND(Talente!B47&lt;&gt;"",Talente!B47&gt;=0),Talente!C47="B",Talente!C47="x"),TRUE,FALSE)</f>
        <v>1</v>
      </c>
    </row>
    <row r="35" spans="1:7" x14ac:dyDescent="0.2">
      <c r="A35" s="1603" t="s">
        <v>78</v>
      </c>
      <c r="B35" s="1602" t="str">
        <f ca="1">Talente!O48</f>
        <v/>
      </c>
      <c r="C35" s="18"/>
      <c r="D35" s="18"/>
      <c r="E35" s="1602" t="str">
        <f>IF(Tabellen_Andere!L38="","","Talentspezialisierung: " &amp;$A35&amp;" ("&amp;Tabellen_Andere!L38&amp;")")</f>
        <v/>
      </c>
      <c r="F35" s="1602" t="str">
        <f>IF(Tabellen_Andere!M38="","","Talentspezialisierung: " &amp;$A35&amp;" ("&amp;Tabellen_Andere!M38&amp;")")</f>
        <v/>
      </c>
      <c r="G35" s="1597" t="b">
        <f ca="1">IF(OR(AND(Talente!B48&lt;&gt;"",Talente!B48&gt;=0),Talente!C48="B",Talente!C48="x"),TRUE,FALSE)</f>
        <v>0</v>
      </c>
    </row>
    <row r="36" spans="1:7" x14ac:dyDescent="0.2">
      <c r="A36" s="1603" t="s">
        <v>4106</v>
      </c>
      <c r="B36" s="1602">
        <f ca="1">Talente!O49</f>
        <v>0</v>
      </c>
      <c r="C36" s="18"/>
      <c r="D36" s="18"/>
      <c r="E36" s="1602" t="str">
        <f>IF(Tabellen_Andere!L39="","","Talentspezialisierung: " &amp;$A36&amp;" ("&amp;Tabellen_Andere!L39&amp;")")</f>
        <v/>
      </c>
      <c r="F36" s="1602" t="str">
        <f>IF(Tabellen_Andere!M39="","","Talentspezialisierung: " &amp;$A36&amp;" ("&amp;Tabellen_Andere!M39&amp;")")</f>
        <v/>
      </c>
      <c r="G36" s="1597" t="b">
        <f ca="1">IF(OR(AND(Talente!B49&lt;&gt;"",Talente!B49&gt;=0),Talente!C49="B",Talente!C49="x"),TRUE,FALSE)</f>
        <v>1</v>
      </c>
    </row>
    <row r="37" spans="1:7" x14ac:dyDescent="0.2">
      <c r="A37" s="1603" t="s">
        <v>4107</v>
      </c>
      <c r="B37" s="1602">
        <f ca="1">Talente!O50</f>
        <v>0</v>
      </c>
      <c r="C37" s="18"/>
      <c r="D37" s="18"/>
      <c r="E37" s="1602" t="str">
        <f>IF(Tabellen_Andere!L40="","","Talentspezialisierung: " &amp;$A37&amp;" ("&amp;Tabellen_Andere!L40&amp;")")</f>
        <v/>
      </c>
      <c r="F37" s="1602" t="str">
        <f>IF(Tabellen_Andere!M40="","","Talentspezialisierung: " &amp;$A37&amp;" ("&amp;Tabellen_Andere!M40&amp;")")</f>
        <v/>
      </c>
      <c r="G37" s="1597" t="b">
        <f ca="1">IF(OR(AND(Talente!B50&lt;&gt;"",Talente!B50&gt;=0),Talente!C50="B",Talente!C50="x"),TRUE,FALSE)</f>
        <v>1</v>
      </c>
    </row>
    <row r="38" spans="1:7" x14ac:dyDescent="0.2">
      <c r="A38" s="1603" t="s">
        <v>4108</v>
      </c>
      <c r="B38" s="1602">
        <f ca="1">Talente!O51</f>
        <v>0</v>
      </c>
      <c r="C38" s="18"/>
      <c r="D38" s="18"/>
      <c r="E38" s="1602" t="str">
        <f>IF(Tabellen_Andere!L41="","","Talentspezialisierung: " &amp;$A38&amp;" ("&amp;Tabellen_Andere!L41&amp;")")</f>
        <v/>
      </c>
      <c r="F38" s="1602" t="str">
        <f>IF(Tabellen_Andere!M41="","","Talentspezialisierung: " &amp;$A38&amp;" ("&amp;Tabellen_Andere!M41&amp;")")</f>
        <v/>
      </c>
      <c r="G38" s="1597" t="b">
        <f ca="1">IF(OR(AND(Talente!B51&lt;&gt;"",Talente!B51&gt;=0),Talente!C51="B",Talente!C51="x"),TRUE,FALSE)</f>
        <v>1</v>
      </c>
    </row>
    <row r="39" spans="1:7" x14ac:dyDescent="0.2">
      <c r="A39" s="1603" t="s">
        <v>4039</v>
      </c>
      <c r="B39" s="1602">
        <f ca="1">Talente!O52</f>
        <v>0</v>
      </c>
      <c r="C39" s="18"/>
      <c r="D39" s="18"/>
      <c r="E39" s="1602" t="str">
        <f>IF(Tabellen_Andere!L42="","","Talentspezialisierung: " &amp;$A39&amp;" ("&amp;Tabellen_Andere!L42&amp;")")</f>
        <v/>
      </c>
      <c r="F39" s="1602" t="str">
        <f>IF(Tabellen_Andere!M42="","","Talentspezialisierung: " &amp;$A39&amp;" ("&amp;Tabellen_Andere!M42&amp;")")</f>
        <v/>
      </c>
      <c r="G39" s="1597" t="b">
        <f ca="1">IF(OR(AND(Talente!B52&lt;&gt;"",Talente!B52&gt;=0),Talente!C52="B",Talente!C52="x"),TRUE,FALSE)</f>
        <v>1</v>
      </c>
    </row>
    <row r="40" spans="1:7" x14ac:dyDescent="0.2">
      <c r="A40" s="1603" t="s">
        <v>4109</v>
      </c>
      <c r="B40" s="1602">
        <f ca="1">Talente!O53</f>
        <v>0</v>
      </c>
      <c r="C40" s="18"/>
      <c r="D40" s="18"/>
      <c r="E40" s="1602" t="str">
        <f>IF(Tabellen_Andere!L43="","","Talentspezialisierung: " &amp;$A40&amp;" ("&amp;Tabellen_Andere!L43&amp;")")</f>
        <v/>
      </c>
      <c r="F40" s="1602" t="str">
        <f>IF(Tabellen_Andere!M43="","","Talentspezialisierung: " &amp;$A40&amp;" ("&amp;Tabellen_Andere!M43&amp;")")</f>
        <v/>
      </c>
      <c r="G40" s="1597" t="b">
        <f ca="1">IF(OR(AND(Talente!B53&lt;&gt;"",Talente!B53&gt;=0),Talente!C53="B",Talente!C53="x"),TRUE,FALSE)</f>
        <v>1</v>
      </c>
    </row>
    <row r="41" spans="1:7" x14ac:dyDescent="0.2">
      <c r="A41" s="1603" t="s">
        <v>4110</v>
      </c>
      <c r="B41" s="1602">
        <f ca="1">Talente!O54</f>
        <v>0</v>
      </c>
      <c r="C41" s="18"/>
      <c r="D41" s="18"/>
      <c r="E41" s="1602" t="str">
        <f>IF(Tabellen_Andere!L44="","","Talentspezialisierung: " &amp;$A41&amp;" ("&amp;Tabellen_Andere!L44&amp;")")</f>
        <v/>
      </c>
      <c r="F41" s="1602" t="str">
        <f>IF(Tabellen_Andere!M44="","","Talentspezialisierung: " &amp;$A41&amp;" ("&amp;Tabellen_Andere!M44&amp;")")</f>
        <v/>
      </c>
      <c r="G41" s="1597" t="b">
        <f ca="1">IF(OR(AND(Talente!B54&lt;&gt;"",Talente!B54&gt;=0),Talente!C54="B",Talente!C54="x"),TRUE,FALSE)</f>
        <v>1</v>
      </c>
    </row>
    <row r="42" spans="1:7" x14ac:dyDescent="0.2">
      <c r="A42" s="1603" t="s">
        <v>4111</v>
      </c>
      <c r="B42" s="1602" t="str">
        <f ca="1">Talente!O55</f>
        <v/>
      </c>
      <c r="C42" s="18"/>
      <c r="D42" s="18"/>
      <c r="E42" s="1602" t="str">
        <f>IF(Tabellen_Andere!L45="","","Talentspezialisierung: " &amp;$A42&amp;" ("&amp;Tabellen_Andere!L45&amp;")")</f>
        <v/>
      </c>
      <c r="F42" s="1602" t="str">
        <f>IF(Tabellen_Andere!M45="","","Talentspezialisierung: " &amp;$A42&amp;" ("&amp;Tabellen_Andere!M45&amp;")")</f>
        <v/>
      </c>
      <c r="G42" s="1597" t="b">
        <f ca="1">IF(OR(AND(Talente!B55&lt;&gt;"",Talente!B55&gt;=0),Talente!C55="B",Talente!C55="x"),TRUE,FALSE)</f>
        <v>0</v>
      </c>
    </row>
    <row r="43" spans="1:7" x14ac:dyDescent="0.2">
      <c r="A43" s="1603" t="s">
        <v>4112</v>
      </c>
      <c r="B43" s="1602" t="str">
        <f ca="1">Talente!O56</f>
        <v/>
      </c>
      <c r="C43" s="18"/>
      <c r="D43" s="18"/>
      <c r="E43" s="1602" t="str">
        <f>IF(Tabellen_Andere!L46="","","Talentspezialisierung: " &amp;$A43&amp;" ("&amp;Tabellen_Andere!L46&amp;")")</f>
        <v/>
      </c>
      <c r="F43" s="1602" t="str">
        <f>IF(Tabellen_Andere!M46="","","Talentspezialisierung: " &amp;$A43&amp;" ("&amp;Tabellen_Andere!M46&amp;")")</f>
        <v/>
      </c>
      <c r="G43" s="1597" t="b">
        <f ca="1">IF(OR(AND(Talente!B56&lt;&gt;"",Talente!B56&gt;=0),Talente!C56="B",Talente!C56="x"),TRUE,FALSE)</f>
        <v>0</v>
      </c>
    </row>
    <row r="44" spans="1:7" x14ac:dyDescent="0.2">
      <c r="A44" s="1603" t="s">
        <v>4113</v>
      </c>
      <c r="B44" s="1602">
        <f ca="1">Talente!O57</f>
        <v>0</v>
      </c>
      <c r="C44" s="18"/>
      <c r="D44" s="18"/>
      <c r="E44" s="1602" t="str">
        <f>IF(Tabellen_Andere!L47="","","Talentspezialisierung: " &amp;$A44&amp;" ("&amp;Tabellen_Andere!L47&amp;")")</f>
        <v/>
      </c>
      <c r="F44" s="1602" t="str">
        <f>IF(Tabellen_Andere!M47="","","Talentspezialisierung: " &amp;$A44&amp;" ("&amp;Tabellen_Andere!M47&amp;")")</f>
        <v/>
      </c>
      <c r="G44" s="1597" t="b">
        <f ca="1">IF(OR(AND(Talente!B57&lt;&gt;"",Talente!B57&gt;=0),Talente!C57="B",Talente!C57="x"),TRUE,FALSE)</f>
        <v>1</v>
      </c>
    </row>
    <row r="45" spans="1:7" x14ac:dyDescent="0.2">
      <c r="A45" s="1603" t="s">
        <v>4114</v>
      </c>
      <c r="B45" s="1602" t="str">
        <f ca="1">Talente!O58</f>
        <v/>
      </c>
      <c r="C45" s="18"/>
      <c r="D45" s="18"/>
      <c r="E45" s="1602" t="str">
        <f>IF(Tabellen_Andere!L48="","","Talentspezialisierung: " &amp;$A45&amp;" ("&amp;Tabellen_Andere!L48&amp;")")</f>
        <v/>
      </c>
      <c r="F45" s="1602" t="str">
        <f>IF(Tabellen_Andere!M48="","","Talentspezialisierung: " &amp;$A45&amp;" ("&amp;Tabellen_Andere!M48&amp;")")</f>
        <v/>
      </c>
      <c r="G45" s="1597" t="b">
        <f ca="1">IF(OR(AND(Talente!B58&lt;&gt;"",Talente!B58&gt;=0),Talente!C58="B",Talente!C58="x"),TRUE,FALSE)</f>
        <v>0</v>
      </c>
    </row>
    <row r="46" spans="1:7" ht="13.5" thickBot="1" x14ac:dyDescent="0.25">
      <c r="A46" s="1627" t="s">
        <v>4115</v>
      </c>
      <c r="B46" s="1602">
        <f ca="1">Talente!O59</f>
        <v>0</v>
      </c>
      <c r="C46" s="18"/>
      <c r="D46" s="18"/>
      <c r="E46" s="1602" t="str">
        <f>IF(Tabellen_Andere!L49="","","Talentspezialisierung: " &amp;$A46&amp;" ("&amp;Tabellen_Andere!L49&amp;")")</f>
        <v/>
      </c>
      <c r="F46" s="1602" t="str">
        <f>IF(Tabellen_Andere!M49="","","Talentspezialisierung: " &amp;$A46&amp;" ("&amp;Tabellen_Andere!M49&amp;")")</f>
        <v/>
      </c>
      <c r="G46" s="1597" t="b">
        <f ca="1">IF(OR(AND(Talente!B59&lt;&gt;"",Talente!B59&gt;=0),Talente!C59="B",Talente!C59="x"),TRUE,FALSE)</f>
        <v>1</v>
      </c>
    </row>
    <row r="47" spans="1:7" x14ac:dyDescent="0.2">
      <c r="A47" s="1625" t="s">
        <v>4119</v>
      </c>
      <c r="B47" s="1621" t="str">
        <f ca="1">Talente!O61</f>
        <v/>
      </c>
      <c r="C47" s="1622"/>
      <c r="D47" s="1622"/>
      <c r="E47" s="1621" t="str">
        <f>IF(Tabellen_Andere!L50="","","Talentspezialisierung: " &amp;$A47&amp;" ("&amp;Tabellen_Andere!L50&amp;")")</f>
        <v/>
      </c>
      <c r="F47" s="1621" t="str">
        <f>IF(Tabellen_Andere!M50="","","Talentspezialisierung: " &amp;$A47&amp;" ("&amp;Tabellen_Andere!M50&amp;")")</f>
        <v/>
      </c>
      <c r="G47" s="1623" t="b">
        <f ca="1">IF(OR(AND(Talente!B61&lt;&gt;"",Talente!B61&gt;=0),Talente!C61="B",Talente!C61="x"),TRUE,FALSE)</f>
        <v>0</v>
      </c>
    </row>
    <row r="48" spans="1:7" x14ac:dyDescent="0.2">
      <c r="A48" s="1601" t="s">
        <v>4120</v>
      </c>
      <c r="B48" s="1602" t="str">
        <f ca="1">Talente!O62</f>
        <v/>
      </c>
      <c r="C48" s="18"/>
      <c r="D48" s="18"/>
      <c r="E48" s="1602" t="str">
        <f>IF(Tabellen_Andere!L51="","","Talentspezialisierung: " &amp;$A48&amp;" ("&amp;Tabellen_Andere!L51&amp;")")</f>
        <v/>
      </c>
      <c r="F48" s="1602" t="str">
        <f>IF(Tabellen_Andere!M51="","","Talentspezialisierung: " &amp;$A48&amp;" ("&amp;Tabellen_Andere!M51&amp;")")</f>
        <v/>
      </c>
      <c r="G48" s="1597" t="b">
        <f ca="1">IF(OR(AND(Talente!B62&lt;&gt;"",Talente!B62&gt;=0),Talente!C62="B",Talente!C62="x"),TRUE,FALSE)</f>
        <v>0</v>
      </c>
    </row>
    <row r="49" spans="1:7" x14ac:dyDescent="0.2">
      <c r="A49" s="1604" t="s">
        <v>1586</v>
      </c>
      <c r="B49" s="1602" t="str">
        <f ca="1">Talente!O63</f>
        <v/>
      </c>
      <c r="C49" s="18"/>
      <c r="D49" s="18"/>
      <c r="E49" s="1602" t="str">
        <f>IF(Tabellen_Andere!L52="","","Talentspezialisierung: " &amp;$A49&amp;" ("&amp;Tabellen_Andere!L52&amp;")")</f>
        <v/>
      </c>
      <c r="F49" s="1602" t="str">
        <f>IF(Tabellen_Andere!M52="","","Talentspezialisierung: " &amp;$A49&amp;" ("&amp;Tabellen_Andere!M52&amp;")")</f>
        <v/>
      </c>
      <c r="G49" s="1597" t="b">
        <f ca="1">IF(OR(AND(Talente!B63&lt;&gt;"",Talente!B63&gt;=0),Talente!C63="B",Talente!C63="x"),TRUE,FALSE)</f>
        <v>0</v>
      </c>
    </row>
    <row r="50" spans="1:7" x14ac:dyDescent="0.2">
      <c r="A50" s="1601" t="s">
        <v>4796</v>
      </c>
      <c r="B50" s="1602" t="str">
        <f ca="1">Talente!O64</f>
        <v/>
      </c>
      <c r="C50" s="18"/>
      <c r="D50" s="18"/>
      <c r="E50" s="1602" t="str">
        <f>IF(Tabellen_Andere!L53="","","Talentspezialisierung: " &amp;$A50&amp;" ("&amp;Tabellen_Andere!L53&amp;")")</f>
        <v/>
      </c>
      <c r="F50" s="1602" t="str">
        <f>IF(Tabellen_Andere!M53="","","Talentspezialisierung: " &amp;$A50&amp;" ("&amp;Tabellen_Andere!M53&amp;")")</f>
        <v/>
      </c>
      <c r="G50" s="1597" t="b">
        <f ca="1">IF(OR(AND(Talente!B64&lt;&gt;"",Talente!B64&gt;=0),Talente!C64="B",Talente!C64="x"),TRUE,FALSE)</f>
        <v>0</v>
      </c>
    </row>
    <row r="51" spans="1:7" x14ac:dyDescent="0.2">
      <c r="A51" s="1601" t="s">
        <v>4797</v>
      </c>
      <c r="B51" s="1602" t="str">
        <f ca="1">Talente!O65</f>
        <v/>
      </c>
      <c r="C51" s="18"/>
      <c r="D51" s="18"/>
      <c r="E51" s="1602" t="str">
        <f>IF(Tabellen_Andere!L54="","","Talentspezialisierung: " &amp;$A51&amp;" ("&amp;Tabellen_Andere!L54&amp;")")</f>
        <v/>
      </c>
      <c r="F51" s="1602" t="str">
        <f>IF(Tabellen_Andere!M54="","","Talentspezialisierung: " &amp;$A51&amp;" ("&amp;Tabellen_Andere!M54&amp;")")</f>
        <v/>
      </c>
      <c r="G51" s="1597" t="b">
        <f ca="1">IF(OR(AND(Talente!B65&lt;&gt;"",Talente!B65&gt;=0),Talente!C65="B",Talente!C65="x"),TRUE,FALSE)</f>
        <v>0</v>
      </c>
    </row>
    <row r="52" spans="1:7" x14ac:dyDescent="0.2">
      <c r="A52" s="1601" t="s">
        <v>4798</v>
      </c>
      <c r="B52" s="1602">
        <f ca="1">Talente!O66</f>
        <v>0</v>
      </c>
      <c r="C52" s="18"/>
      <c r="D52" s="18"/>
      <c r="E52" s="1602" t="str">
        <f>IF(Tabellen_Andere!L55="","","Talentspezialisierung: " &amp;$A52&amp;" ("&amp;Tabellen_Andere!L55&amp;")")</f>
        <v/>
      </c>
      <c r="F52" s="1602" t="str">
        <f>IF(Tabellen_Andere!M55="","","Talentspezialisierung: " &amp;$A52&amp;" ("&amp;Tabellen_Andere!M55&amp;")")</f>
        <v/>
      </c>
      <c r="G52" s="1597" t="b">
        <f ca="1">IF(OR(AND(Talente!B66&lt;&gt;"",Talente!B66&gt;=0),Talente!C66="B",Talente!C66="x"),TRUE,FALSE)</f>
        <v>1</v>
      </c>
    </row>
    <row r="53" spans="1:7" x14ac:dyDescent="0.2">
      <c r="A53" s="1601" t="s">
        <v>4799</v>
      </c>
      <c r="B53" s="1602" t="str">
        <f ca="1">Talente!O67</f>
        <v/>
      </c>
      <c r="C53" s="18"/>
      <c r="D53" s="18"/>
      <c r="E53" s="1602" t="str">
        <f>IF(Tabellen_Andere!L56="","","Talentspezialisierung: " &amp;$A53&amp;" ("&amp;Tabellen_Andere!L56&amp;")")</f>
        <v/>
      </c>
      <c r="F53" s="1602" t="str">
        <f>IF(Tabellen_Andere!M56="","","Talentspezialisierung: " &amp;$A53&amp;" ("&amp;Tabellen_Andere!M56&amp;")")</f>
        <v/>
      </c>
      <c r="G53" s="1597" t="b">
        <f ca="1">IF(OR(AND(Talente!B67&lt;&gt;"",Talente!B67&gt;=0),Talente!C67="B",Talente!C67="x"),TRUE,FALSE)</f>
        <v>0</v>
      </c>
    </row>
    <row r="54" spans="1:7" x14ac:dyDescent="0.2">
      <c r="A54" s="1601" t="s">
        <v>4800</v>
      </c>
      <c r="B54" s="1602" t="str">
        <f ca="1">Talente!O68</f>
        <v/>
      </c>
      <c r="C54" s="18"/>
      <c r="D54" s="18"/>
      <c r="E54" s="1602" t="str">
        <f>IF(Tabellen_Andere!L57="","","Talentspezialisierung: " &amp;$A54&amp;" ("&amp;Tabellen_Andere!L57&amp;")")</f>
        <v/>
      </c>
      <c r="F54" s="1602" t="str">
        <f>IF(Tabellen_Andere!M57="","","Talentspezialisierung: " &amp;$A54&amp;" ("&amp;Tabellen_Andere!M57&amp;")")</f>
        <v/>
      </c>
      <c r="G54" s="1597" t="b">
        <f ca="1">IF(OR(AND(Talente!B68&lt;&gt;"",Talente!B68&gt;=0),Talente!C68="B",Talente!C68="x"),TRUE,FALSE)</f>
        <v>0</v>
      </c>
    </row>
    <row r="55" spans="1:7" x14ac:dyDescent="0.2">
      <c r="A55" s="1601" t="s">
        <v>720</v>
      </c>
      <c r="B55" s="1602" t="str">
        <f ca="1">Talente!O69</f>
        <v/>
      </c>
      <c r="C55" s="18"/>
      <c r="D55" s="18"/>
      <c r="E55" s="1602" t="str">
        <f>IF(Tabellen_Andere!L58="","","Talentspezialisierung: " &amp;$A55&amp;" ("&amp;Tabellen_Andere!L58&amp;")")</f>
        <v/>
      </c>
      <c r="F55" s="1602" t="str">
        <f>IF(Tabellen_Andere!M58="","","Talentspezialisierung: " &amp;$A55&amp;" ("&amp;Tabellen_Andere!M58&amp;")")</f>
        <v/>
      </c>
      <c r="G55" s="1597" t="b">
        <f ca="1">IF(OR(AND(Talente!B69&lt;&gt;"",Talente!B69&gt;=0),Talente!C69="B",Talente!C69="x"),TRUE,FALSE)</f>
        <v>0</v>
      </c>
    </row>
    <row r="56" spans="1:7" x14ac:dyDescent="0.2">
      <c r="A56" s="1601" t="s">
        <v>162</v>
      </c>
      <c r="B56" s="1602">
        <f ca="1">Talente!O70</f>
        <v>0</v>
      </c>
      <c r="C56" s="18"/>
      <c r="D56" s="18"/>
      <c r="E56" s="1602" t="str">
        <f>IF(Tabellen_Andere!L59="","","Talentspezialisierung: " &amp;$A56&amp;" ("&amp;Tabellen_Andere!L59&amp;")")</f>
        <v/>
      </c>
      <c r="F56" s="1602" t="str">
        <f>IF(Tabellen_Andere!M59="","","Talentspezialisierung: " &amp;$A56&amp;" ("&amp;Tabellen_Andere!M59&amp;")")</f>
        <v/>
      </c>
      <c r="G56" s="1597" t="b">
        <f ca="1">IF(OR(AND(Talente!B70&lt;&gt;"",Talente!B70&gt;=0),Talente!C70="B",Talente!C70="x"),TRUE,FALSE)</f>
        <v>1</v>
      </c>
    </row>
    <row r="57" spans="1:7" ht="13.5" thickBot="1" x14ac:dyDescent="0.25">
      <c r="A57" s="1626" t="s">
        <v>4185</v>
      </c>
      <c r="B57" s="1609" t="str">
        <f ca="1">Talente!O71</f>
        <v/>
      </c>
      <c r="C57" s="1599"/>
      <c r="D57" s="1599"/>
      <c r="E57" s="1609" t="str">
        <f>IF(Tabellen_Andere!L60="","","Talentspezialisierung: " &amp;$A57&amp;" ("&amp;Tabellen_Andere!L60&amp;")")</f>
        <v/>
      </c>
      <c r="F57" s="1609" t="str">
        <f>IF(Tabellen_Andere!M60="","","Talentspezialisierung: " &amp;$A57&amp;" ("&amp;Tabellen_Andere!M60&amp;")")</f>
        <v/>
      </c>
      <c r="G57" s="1600" t="b">
        <f ca="1">IF(OR(AND(Talente!B71&lt;&gt;"",Talente!B71&gt;=0),Talente!C71="B",Talente!C71="x"),TRUE,FALSE)</f>
        <v>0</v>
      </c>
    </row>
    <row r="58" spans="1:7" x14ac:dyDescent="0.2">
      <c r="A58" s="1641" t="s">
        <v>3313</v>
      </c>
      <c r="B58" s="1621">
        <f ca="1">Talente!O73</f>
        <v>0</v>
      </c>
      <c r="C58" s="1622"/>
      <c r="D58" s="1622"/>
      <c r="E58" s="1621" t="str">
        <f>IF(Tabellen_Andere!L61="","","Talentspezialisierung: " &amp;$A58&amp;" ("&amp;Tabellen_Andere!L61&amp;")")</f>
        <v/>
      </c>
      <c r="F58" s="1621" t="str">
        <f>IF(Tabellen_Andere!M61="","","Talentspezialisierung: " &amp;$A58&amp;" ("&amp;Tabellen_Andere!M61&amp;")")</f>
        <v/>
      </c>
      <c r="G58" s="1623" t="b">
        <f ca="1">IF(OR(AND(Talente!B72&lt;&gt;"",Talente!B72&gt;=0),Talente!C72="B",Talente!C72="x"),TRUE,FALSE)</f>
        <v>0</v>
      </c>
    </row>
    <row r="59" spans="1:7" x14ac:dyDescent="0.2">
      <c r="A59" s="1605" t="s">
        <v>3314</v>
      </c>
      <c r="B59" s="1602" t="str">
        <f ca="1">Talente!O74</f>
        <v/>
      </c>
      <c r="C59" s="18"/>
      <c r="D59" s="18"/>
      <c r="E59" s="1602" t="str">
        <f>IF(Tabellen_Andere!L62="","","Talentspezialisierung: " &amp;$A59&amp;" ("&amp;Tabellen_Andere!L62&amp;")")</f>
        <v/>
      </c>
      <c r="F59" s="1602" t="str">
        <f>IF(Tabellen_Andere!M62="","","Talentspezialisierung: " &amp;$A59&amp;" ("&amp;Tabellen_Andere!M62&amp;")")</f>
        <v/>
      </c>
      <c r="G59" s="1597" t="b">
        <f ca="1">IF(OR(AND(Talente!B73&lt;&gt;"",Talente!B73&gt;=0),Talente!C73="B",Talente!C73="x"),TRUE,FALSE)</f>
        <v>1</v>
      </c>
    </row>
    <row r="60" spans="1:7" x14ac:dyDescent="0.2">
      <c r="A60" s="1605" t="s">
        <v>3315</v>
      </c>
      <c r="B60" s="1602" t="str">
        <f ca="1">Talente!O75</f>
        <v/>
      </c>
      <c r="C60" s="18"/>
      <c r="D60" s="18"/>
      <c r="E60" s="1602" t="str">
        <f>IF(Tabellen_Andere!L63="","","Talentspezialisierung: " &amp;$A60&amp;" ("&amp;Tabellen_Andere!L63&amp;")")</f>
        <v/>
      </c>
      <c r="F60" s="1602" t="str">
        <f>IF(Tabellen_Andere!M63="","","Talentspezialisierung: " &amp;$A60&amp;" ("&amp;Tabellen_Andere!M63&amp;")")</f>
        <v/>
      </c>
      <c r="G60" s="1597" t="b">
        <f ca="1">IF(OR(AND(Talente!B74&lt;&gt;"",Talente!B74&gt;=0),Talente!C74="B",Talente!C74="x"),TRUE,FALSE)</f>
        <v>0</v>
      </c>
    </row>
    <row r="61" spans="1:7" x14ac:dyDescent="0.2">
      <c r="A61" s="1605" t="s">
        <v>3316</v>
      </c>
      <c r="B61" s="1602" t="str">
        <f ca="1">Talente!O76</f>
        <v/>
      </c>
      <c r="C61" s="18"/>
      <c r="D61" s="18"/>
      <c r="E61" s="1602" t="str">
        <f>IF(Tabellen_Andere!L64="","","Talentspezialisierung: " &amp;$A61&amp;" ("&amp;Tabellen_Andere!L64&amp;")")</f>
        <v/>
      </c>
      <c r="F61" s="1602" t="str">
        <f>IF(Tabellen_Andere!M64="","","Talentspezialisierung: " &amp;$A61&amp;" ("&amp;Tabellen_Andere!M64&amp;")")</f>
        <v/>
      </c>
      <c r="G61" s="1597" t="b">
        <f ca="1">IF(OR(AND(Talente!B75&lt;&gt;"",Talente!B75&gt;=0),Talente!C75="B",Talente!C75="x"),TRUE,FALSE)</f>
        <v>0</v>
      </c>
    </row>
    <row r="62" spans="1:7" x14ac:dyDescent="0.2">
      <c r="A62" s="1605" t="s">
        <v>3317</v>
      </c>
      <c r="B62" s="1602">
        <f ca="1">Talente!O77</f>
        <v>0</v>
      </c>
      <c r="C62" s="18"/>
      <c r="D62" s="18"/>
      <c r="E62" s="1602" t="str">
        <f>IF(Tabellen_Andere!L65="","","Talentspezialisierung: " &amp;$A62&amp;" ("&amp;Tabellen_Andere!L65&amp;")")</f>
        <v/>
      </c>
      <c r="F62" s="1602" t="str">
        <f>IF(Tabellen_Andere!M65="","","Talentspezialisierung: " &amp;$A62&amp;" ("&amp;Tabellen_Andere!M65&amp;")")</f>
        <v/>
      </c>
      <c r="G62" s="1597" t="b">
        <f ca="1">IF(OR(AND(Talente!B76&lt;&gt;"",Talente!B76&gt;=0),Talente!C76="B",Talente!C76="x"),TRUE,FALSE)</f>
        <v>0</v>
      </c>
    </row>
    <row r="63" spans="1:7" x14ac:dyDescent="0.2">
      <c r="A63" s="1606" t="s">
        <v>3318</v>
      </c>
      <c r="B63" s="1602" t="str">
        <f ca="1">Talente!O78</f>
        <v/>
      </c>
      <c r="C63" s="18"/>
      <c r="D63" s="18"/>
      <c r="E63" s="1602" t="str">
        <f>IF(Tabellen_Andere!L66="","","Talentspezialisierung: " &amp;$A63&amp;" ("&amp;Tabellen_Andere!L66&amp;")")</f>
        <v/>
      </c>
      <c r="F63" s="1602" t="str">
        <f>IF(Tabellen_Andere!M66="","","Talentspezialisierung: " &amp;$A63&amp;" ("&amp;Tabellen_Andere!M66&amp;")")</f>
        <v/>
      </c>
      <c r="G63" s="1597" t="b">
        <f ca="1">IF(OR(AND(Talente!B77&lt;&gt;"",Talente!B77&gt;=0),Talente!C77="B",Talente!C77="x"),TRUE,FALSE)</f>
        <v>1</v>
      </c>
    </row>
    <row r="64" spans="1:7" x14ac:dyDescent="0.2">
      <c r="A64" s="1605" t="s">
        <v>3319</v>
      </c>
      <c r="B64" s="1602" t="str">
        <f ca="1">Talente!O79</f>
        <v/>
      </c>
      <c r="C64" s="18"/>
      <c r="D64" s="18"/>
      <c r="E64" s="1602" t="str">
        <f>IF(Tabellen_Andere!L67="","","Talentspezialisierung: " &amp;$A64&amp;" ("&amp;Tabellen_Andere!L67&amp;")")</f>
        <v/>
      </c>
      <c r="F64" s="1602" t="str">
        <f>IF(Tabellen_Andere!M67="","","Talentspezialisierung: " &amp;$A64&amp;" ("&amp;Tabellen_Andere!M67&amp;")")</f>
        <v/>
      </c>
      <c r="G64" s="1597" t="b">
        <f ca="1">IF(OR(AND(Talente!B78&lt;&gt;"",Talente!B78&gt;=0),Talente!C78="B",Talente!C78="x"),TRUE,FALSE)</f>
        <v>0</v>
      </c>
    </row>
    <row r="65" spans="1:7" ht="13.5" thickBot="1" x14ac:dyDescent="0.25">
      <c r="A65" s="1628" t="s">
        <v>3320</v>
      </c>
      <c r="B65" s="1609">
        <f ca="1">Talente!O80</f>
        <v>0</v>
      </c>
      <c r="C65" s="1599"/>
      <c r="D65" s="1599"/>
      <c r="E65" s="1609" t="str">
        <f>IF(Tabellen_Andere!L68="","","Talentspezialisierung: " &amp;$A65&amp;" ("&amp;Tabellen_Andere!L68&amp;")")</f>
        <v/>
      </c>
      <c r="F65" s="1609" t="str">
        <f>IF(Tabellen_Andere!M68="","","Talentspezialisierung: " &amp;$A65&amp;" ("&amp;Tabellen_Andere!M68&amp;")")</f>
        <v/>
      </c>
      <c r="G65" s="1600" t="b">
        <f ca="1">IF(OR(AND(Talente!B79&lt;&gt;"",Talente!B79&gt;=0),Talente!C79="B",Talente!C79="x"),TRUE,FALSE)</f>
        <v>0</v>
      </c>
    </row>
    <row r="66" spans="1:7" x14ac:dyDescent="0.2">
      <c r="A66" s="1625" t="s">
        <v>3322</v>
      </c>
      <c r="B66" s="1621" t="str">
        <f ca="1">Talente!O82</f>
        <v/>
      </c>
      <c r="C66" s="1622"/>
      <c r="D66" s="1622"/>
      <c r="E66" s="1621" t="str">
        <f>IF(Tabellen_Andere!L69="","","Talentspezialisierung: " &amp;$A66&amp;" ("&amp;Tabellen_Andere!L69&amp;")")</f>
        <v/>
      </c>
      <c r="F66" s="1621" t="str">
        <f>IF(Tabellen_Andere!M69="","","Talentspezialisierung: " &amp;$A66&amp;" ("&amp;Tabellen_Andere!M69&amp;")")</f>
        <v/>
      </c>
      <c r="G66" s="1623" t="b">
        <f ca="1">IF(OR(AND(Talente!B82&lt;&gt;"",Talente!B82&gt;=0),Talente!C82="B",Talente!C82="x"),TRUE,FALSE)</f>
        <v>0</v>
      </c>
    </row>
    <row r="67" spans="1:7" x14ac:dyDescent="0.2">
      <c r="A67" s="1601" t="s">
        <v>3323</v>
      </c>
      <c r="B67" s="1602" t="str">
        <f ca="1">Talente!O83</f>
        <v/>
      </c>
      <c r="C67" s="18"/>
      <c r="D67" s="18"/>
      <c r="E67" s="1602" t="str">
        <f>IF(Tabellen_Andere!L70="","","Talentspezialisierung: " &amp;$A67&amp;" ("&amp;Tabellen_Andere!L70&amp;")")</f>
        <v/>
      </c>
      <c r="F67" s="1602" t="str">
        <f>IF(Tabellen_Andere!M70="","","Talentspezialisierung: " &amp;$A67&amp;" ("&amp;Tabellen_Andere!M70&amp;")")</f>
        <v/>
      </c>
      <c r="G67" s="1597" t="b">
        <f ca="1">IF(OR(AND(Talente!B83&lt;&gt;"",Talente!B83&gt;=0),Talente!C83="B",Talente!C83="x"),TRUE,FALSE)</f>
        <v>0</v>
      </c>
    </row>
    <row r="68" spans="1:7" x14ac:dyDescent="0.2">
      <c r="A68" s="1601" t="s">
        <v>8395</v>
      </c>
      <c r="B68" s="1602" t="str">
        <f ca="1">Talente!O84</f>
        <v/>
      </c>
      <c r="C68" s="18"/>
      <c r="D68" s="18"/>
      <c r="E68" s="1602" t="str">
        <f>IF(Tabellen_Andere!L71="","","Talentspezialisierung: " &amp;$A68&amp;" ("&amp;Tabellen_Andere!L71&amp;")")</f>
        <v/>
      </c>
      <c r="F68" s="1602" t="str">
        <f>IF(Tabellen_Andere!M71="","","Talentspezialisierung: " &amp;$A68&amp;" ("&amp;Tabellen_Andere!M71&amp;")")</f>
        <v/>
      </c>
      <c r="G68" s="1597" t="b">
        <f ca="1">IF(OR(AND(Talente!B84&lt;&gt;"",Talente!B84&gt;=0),Talente!C84="B",Talente!C84="x"),TRUE,FALSE)</f>
        <v>0</v>
      </c>
    </row>
    <row r="69" spans="1:7" x14ac:dyDescent="0.2">
      <c r="A69" s="1601" t="s">
        <v>3324</v>
      </c>
      <c r="B69" s="1602" t="str">
        <f ca="1">Talente!O85</f>
        <v/>
      </c>
      <c r="C69" s="18"/>
      <c r="D69" s="18"/>
      <c r="E69" s="1602" t="str">
        <f>IF(Tabellen_Andere!L72="","","Talentspezialisierung: " &amp;$A69&amp;" ("&amp;Tabellen_Andere!L72&amp;")")</f>
        <v/>
      </c>
      <c r="F69" s="1602" t="str">
        <f>IF(Tabellen_Andere!M72="","","Talentspezialisierung: " &amp;$A69&amp;" ("&amp;Tabellen_Andere!M72&amp;")")</f>
        <v/>
      </c>
      <c r="G69" s="1597" t="b">
        <f ca="1">IF(OR(AND(Talente!B85&lt;&gt;"",Talente!B85&gt;=0),Talente!C85="B",Talente!C85="x"),TRUE,FALSE)</f>
        <v>0</v>
      </c>
    </row>
    <row r="70" spans="1:7" x14ac:dyDescent="0.2">
      <c r="A70" s="1601" t="s">
        <v>3325</v>
      </c>
      <c r="B70" s="1602" t="str">
        <f ca="1">Talente!O86</f>
        <v/>
      </c>
      <c r="C70" s="18"/>
      <c r="D70" s="18"/>
      <c r="E70" s="1602" t="str">
        <f>IF(Tabellen_Andere!L73="","","Talentspezialisierung: " &amp;$A70&amp;" ("&amp;Tabellen_Andere!L73&amp;")")</f>
        <v/>
      </c>
      <c r="F70" s="1602" t="str">
        <f>IF(Tabellen_Andere!M73="","","Talentspezialisierung: " &amp;$A70&amp;" ("&amp;Tabellen_Andere!M73&amp;")")</f>
        <v/>
      </c>
      <c r="G70" s="1597" t="b">
        <f ca="1">IF(OR(AND(Talente!B86&lt;&gt;"",Talente!B86&gt;=0),Talente!C86="B",Talente!C86="x"),TRUE,FALSE)</f>
        <v>0</v>
      </c>
    </row>
    <row r="71" spans="1:7" x14ac:dyDescent="0.2">
      <c r="A71" s="1601" t="s">
        <v>3326</v>
      </c>
      <c r="B71" s="1602" t="str">
        <f ca="1">Talente!O87</f>
        <v/>
      </c>
      <c r="C71" s="18"/>
      <c r="D71" s="18"/>
      <c r="E71" s="1602" t="str">
        <f>IF(Tabellen_Andere!L74="","","Talentspezialisierung: " &amp;$A71&amp;" ("&amp;Tabellen_Andere!L74&amp;")")</f>
        <v/>
      </c>
      <c r="F71" s="1602" t="str">
        <f>IF(Tabellen_Andere!M74="","","Talentspezialisierung: " &amp;$A71&amp;" ("&amp;Tabellen_Andere!M74&amp;")")</f>
        <v/>
      </c>
      <c r="G71" s="1597" t="b">
        <f ca="1">IF(OR(AND(Talente!B87&lt;&gt;"",Talente!B87&gt;=0),Talente!C87="B",Talente!C87="x"),TRUE,FALSE)</f>
        <v>0</v>
      </c>
    </row>
    <row r="72" spans="1:7" x14ac:dyDescent="0.2">
      <c r="A72" s="1601" t="s">
        <v>2732</v>
      </c>
      <c r="B72" s="1602">
        <f ca="1">Talente!O88</f>
        <v>0</v>
      </c>
      <c r="C72" s="18"/>
      <c r="D72" s="18"/>
      <c r="E72" s="1602" t="str">
        <f>IF(Tabellen_Andere!L75="","","Talentspezialisierung: " &amp;$A72&amp;" ("&amp;Tabellen_Andere!L75&amp;")")</f>
        <v/>
      </c>
      <c r="F72" s="1602" t="str">
        <f>IF(Tabellen_Andere!M75="","","Talentspezialisierung: " &amp;$A72&amp;" ("&amp;Tabellen_Andere!M75&amp;")")</f>
        <v/>
      </c>
      <c r="G72" s="1597" t="b">
        <f ca="1">IF(OR(AND(Talente!B88&lt;&gt;"",Talente!B88&gt;=0),Talente!C88="B",Talente!C88="x"),TRUE,FALSE)</f>
        <v>1</v>
      </c>
    </row>
    <row r="73" spans="1:7" x14ac:dyDescent="0.2">
      <c r="A73" s="1601" t="s">
        <v>3327</v>
      </c>
      <c r="B73" s="1602" t="str">
        <f ca="1">Talente!O89</f>
        <v/>
      </c>
      <c r="C73" s="18"/>
      <c r="D73" s="18"/>
      <c r="E73" s="1602" t="str">
        <f>IF(Tabellen_Andere!L76="","","Talentspezialisierung: " &amp;$A73&amp;" ("&amp;Tabellen_Andere!L76&amp;")")</f>
        <v/>
      </c>
      <c r="F73" s="1602" t="str">
        <f>IF(Tabellen_Andere!M76="","","Talentspezialisierung: " &amp;$A73&amp;" ("&amp;Tabellen_Andere!M76&amp;")")</f>
        <v/>
      </c>
      <c r="G73" s="1597" t="b">
        <f ca="1">IF(OR(AND(Talente!B89&lt;&gt;"",Talente!B89&gt;=0),Talente!C89="B",Talente!C89="x"),TRUE,FALSE)</f>
        <v>0</v>
      </c>
    </row>
    <row r="74" spans="1:7" x14ac:dyDescent="0.2">
      <c r="A74" s="1601" t="s">
        <v>2448</v>
      </c>
      <c r="B74" s="1602" t="str">
        <f ca="1">Talente!O90</f>
        <v/>
      </c>
      <c r="C74" s="18"/>
      <c r="D74" s="18"/>
      <c r="E74" s="1602" t="str">
        <f>IF(Tabellen_Andere!L77="","","Talentspezialisierung: " &amp;$A74&amp;" ("&amp;Tabellen_Andere!L77&amp;")")</f>
        <v/>
      </c>
      <c r="F74" s="1602" t="str">
        <f>IF(Tabellen_Andere!M77="","","Talentspezialisierung: " &amp;$A74&amp;" ("&amp;Tabellen_Andere!M77&amp;")")</f>
        <v/>
      </c>
      <c r="G74" s="1597" t="b">
        <f ca="1">IF(OR(AND(Talente!B90&lt;&gt;"",Talente!B90&gt;=0),Talente!C90="B",Talente!C90="x"),TRUE,FALSE)</f>
        <v>0</v>
      </c>
    </row>
    <row r="75" spans="1:7" x14ac:dyDescent="0.2">
      <c r="A75" s="1601" t="s">
        <v>2377</v>
      </c>
      <c r="B75" s="1602" t="str">
        <f ca="1">Talente!O91</f>
        <v/>
      </c>
      <c r="C75" s="18"/>
      <c r="D75" s="18"/>
      <c r="E75" s="1602" t="str">
        <f>IF(Tabellen_Andere!L78="","","Talentspezialisierung: " &amp;$A75&amp;" ("&amp;Tabellen_Andere!L78&amp;")")</f>
        <v/>
      </c>
      <c r="F75" s="1602" t="str">
        <f>IF(Tabellen_Andere!M78="","","Talentspezialisierung: " &amp;$A75&amp;" ("&amp;Tabellen_Andere!M78&amp;")")</f>
        <v/>
      </c>
      <c r="G75" s="1597" t="b">
        <f ca="1">IF(OR(AND(Talente!B91&lt;&gt;"",Talente!B91&gt;=0),Talente!C91="B",Talente!C91="x"),TRUE,FALSE)</f>
        <v>0</v>
      </c>
    </row>
    <row r="76" spans="1:7" x14ac:dyDescent="0.2">
      <c r="A76" s="1601" t="s">
        <v>2378</v>
      </c>
      <c r="B76" s="1602" t="str">
        <f ca="1">Talente!O92</f>
        <v/>
      </c>
      <c r="C76" s="18"/>
      <c r="D76" s="18"/>
      <c r="E76" s="1602" t="str">
        <f>IF(Tabellen_Andere!L79="","","Talentspezialisierung: " &amp;$A76&amp;" ("&amp;Tabellen_Andere!L79&amp;")")</f>
        <v/>
      </c>
      <c r="F76" s="1602" t="str">
        <f>IF(Tabellen_Andere!M79="","","Talentspezialisierung: " &amp;$A76&amp;" ("&amp;Tabellen_Andere!M79&amp;")")</f>
        <v/>
      </c>
      <c r="G76" s="1597" t="b">
        <f ca="1">IF(OR(AND(Talente!B92&lt;&gt;"",Talente!B92&gt;=0),Talente!C92="B",Talente!C92="x"),TRUE,FALSE)</f>
        <v>0</v>
      </c>
    </row>
    <row r="77" spans="1:7" x14ac:dyDescent="0.2">
      <c r="A77" s="1601" t="s">
        <v>2379</v>
      </c>
      <c r="B77" s="1602" t="str">
        <f ca="1">Talente!O93</f>
        <v/>
      </c>
      <c r="C77" s="18"/>
      <c r="D77" s="18"/>
      <c r="E77" s="1602" t="str">
        <f>IF(Tabellen_Andere!L80="","","Talentspezialisierung: " &amp;$A77&amp;" ("&amp;Tabellen_Andere!L80&amp;")")</f>
        <v/>
      </c>
      <c r="F77" s="1602" t="str">
        <f>IF(Tabellen_Andere!M80="","","Talentspezialisierung: " &amp;$A77&amp;" ("&amp;Tabellen_Andere!M80&amp;")")</f>
        <v/>
      </c>
      <c r="G77" s="1597" t="b">
        <f ca="1">IF(OR(AND(Talente!B93&lt;&gt;"",Talente!B93&gt;=0),Talente!C93="B",Talente!C93="x"),TRUE,FALSE)</f>
        <v>0</v>
      </c>
    </row>
    <row r="78" spans="1:7" x14ac:dyDescent="0.2">
      <c r="A78" s="1601" t="s">
        <v>2380</v>
      </c>
      <c r="B78" s="1602" t="str">
        <f ca="1">Talente!O94</f>
        <v/>
      </c>
      <c r="C78" s="18"/>
      <c r="D78" s="18"/>
      <c r="E78" s="1602" t="str">
        <f>IF(Tabellen_Andere!L81="","","Talentspezialisierung: " &amp;$A78&amp;" ("&amp;Tabellen_Andere!L81&amp;")")</f>
        <v/>
      </c>
      <c r="F78" s="1602" t="str">
        <f>IF(Tabellen_Andere!M81="","","Talentspezialisierung: " &amp;$A78&amp;" ("&amp;Tabellen_Andere!M81&amp;")")</f>
        <v/>
      </c>
      <c r="G78" s="1597" t="b">
        <f ca="1">IF(OR(AND(Talente!B94&lt;&gt;"",Talente!B94&gt;=0),Talente!C94="B",Talente!C94="x"),TRUE,FALSE)</f>
        <v>0</v>
      </c>
    </row>
    <row r="79" spans="1:7" x14ac:dyDescent="0.2">
      <c r="A79" s="1601" t="s">
        <v>2381</v>
      </c>
      <c r="B79" s="1602" t="str">
        <f ca="1">Talente!O95</f>
        <v/>
      </c>
      <c r="C79" s="18"/>
      <c r="D79" s="18"/>
      <c r="E79" s="1602" t="str">
        <f>IF(Tabellen_Andere!L82="","","Talentspezialisierung: " &amp;$A79&amp;" ("&amp;Tabellen_Andere!L82&amp;")")</f>
        <v/>
      </c>
      <c r="F79" s="1602" t="str">
        <f>IF(Tabellen_Andere!M82="","","Talentspezialisierung: " &amp;$A79&amp;" ("&amp;Tabellen_Andere!M82&amp;")")</f>
        <v/>
      </c>
      <c r="G79" s="1597" t="b">
        <f ca="1">IF(OR(AND(Talente!B95&lt;&gt;"",Talente!B95&gt;=0),Talente!C95="B",Talente!C95="x"),TRUE,FALSE)</f>
        <v>0</v>
      </c>
    </row>
    <row r="80" spans="1:7" x14ac:dyDescent="0.2">
      <c r="A80" s="1601" t="s">
        <v>2382</v>
      </c>
      <c r="B80" s="1602" t="str">
        <f ca="1">Talente!O96</f>
        <v/>
      </c>
      <c r="C80" s="18"/>
      <c r="D80" s="18"/>
      <c r="E80" s="1602" t="str">
        <f>IF(Tabellen_Andere!L83="","","Talentspezialisierung: " &amp;$A80&amp;" ("&amp;Tabellen_Andere!L83&amp;")")</f>
        <v/>
      </c>
      <c r="F80" s="1602" t="str">
        <f>IF(Tabellen_Andere!M83="","","Talentspezialisierung: " &amp;$A80&amp;" ("&amp;Tabellen_Andere!M83&amp;")")</f>
        <v/>
      </c>
      <c r="G80" s="1597" t="b">
        <f ca="1">IF(OR(AND(Talente!B96&lt;&gt;"",Talente!B96&gt;=0),Talente!C96="B",Talente!C96="x"),TRUE,FALSE)</f>
        <v>0</v>
      </c>
    </row>
    <row r="81" spans="1:7" x14ac:dyDescent="0.2">
      <c r="A81" s="1601" t="s">
        <v>2383</v>
      </c>
      <c r="B81" s="1602">
        <f ca="1">Talente!O97</f>
        <v>0</v>
      </c>
      <c r="C81" s="18"/>
      <c r="D81" s="18"/>
      <c r="E81" s="1602" t="str">
        <f>IF(Tabellen_Andere!L84="","","Talentspezialisierung: " &amp;$A81&amp;" ("&amp;Tabellen_Andere!L84&amp;")")</f>
        <v/>
      </c>
      <c r="F81" s="1602" t="str">
        <f>IF(Tabellen_Andere!M84="","","Talentspezialisierung: " &amp;$A81&amp;" ("&amp;Tabellen_Andere!M84&amp;")")</f>
        <v/>
      </c>
      <c r="G81" s="1597" t="b">
        <f ca="1">IF(OR(AND(Talente!B97&lt;&gt;"",Talente!B97&gt;=0),Talente!C97="B",Talente!C97="x"),TRUE,FALSE)</f>
        <v>1</v>
      </c>
    </row>
    <row r="82" spans="1:7" x14ac:dyDescent="0.2">
      <c r="A82" s="1601" t="s">
        <v>2384</v>
      </c>
      <c r="B82" s="1602" t="str">
        <f ca="1">Talente!O98</f>
        <v/>
      </c>
      <c r="C82" s="18"/>
      <c r="D82" s="18"/>
      <c r="E82" s="1602" t="str">
        <f>IF(Tabellen_Andere!L85="","","Talentspezialisierung: " &amp;$A82&amp;" ("&amp;Tabellen_Andere!L85&amp;")")</f>
        <v/>
      </c>
      <c r="F82" s="1602" t="str">
        <f>IF(Tabellen_Andere!M85="","","Talentspezialisierung: " &amp;$A82&amp;" ("&amp;Tabellen_Andere!M85&amp;")")</f>
        <v/>
      </c>
      <c r="G82" s="1597" t="b">
        <f ca="1">IF(OR(AND(Talente!B98&lt;&gt;"",Talente!B98&gt;=0),Talente!C98="B",Talente!C98="x"),TRUE,FALSE)</f>
        <v>0</v>
      </c>
    </row>
    <row r="83" spans="1:7" x14ac:dyDescent="0.2">
      <c r="A83" s="1601" t="s">
        <v>434</v>
      </c>
      <c r="B83" s="1602">
        <f ca="1">Talente!O99</f>
        <v>0</v>
      </c>
      <c r="C83" s="18"/>
      <c r="D83" s="18"/>
      <c r="E83" s="1602" t="str">
        <f>IF(Tabellen_Andere!L86="","","Talentspezialisierung: " &amp;$A83&amp;" ("&amp;Tabellen_Andere!L86&amp;")")</f>
        <v/>
      </c>
      <c r="F83" s="1602" t="str">
        <f>IF(Tabellen_Andere!M86="","","Talentspezialisierung: " &amp;$A83&amp;" ("&amp;Tabellen_Andere!M86&amp;")")</f>
        <v/>
      </c>
      <c r="G83" s="1597" t="b">
        <f ca="1">IF(OR(AND(Talente!B99&lt;&gt;"",Talente!B99&gt;=0),Talente!C99="B",Talente!C99="x"),TRUE,FALSE)</f>
        <v>1</v>
      </c>
    </row>
    <row r="84" spans="1:7" x14ac:dyDescent="0.2">
      <c r="A84" s="1601" t="s">
        <v>2385</v>
      </c>
      <c r="B84" s="1602" t="str">
        <f ca="1">Talente!O100</f>
        <v/>
      </c>
      <c r="C84" s="18"/>
      <c r="D84" s="18"/>
      <c r="E84" s="1602" t="str">
        <f>IF(Tabellen_Andere!L87="","","Talentspezialisierung: " &amp;$A84&amp;" ("&amp;Tabellen_Andere!L87&amp;")")</f>
        <v/>
      </c>
      <c r="F84" s="1602" t="str">
        <f>IF(Tabellen_Andere!M87="","","Talentspezialisierung: " &amp;$A84&amp;" ("&amp;Tabellen_Andere!M87&amp;")")</f>
        <v/>
      </c>
      <c r="G84" s="1597" t="b">
        <f ca="1">IF(OR(AND(Talente!B100&lt;&gt;"",Talente!B100&gt;=0),Talente!C100="B",Talente!C100="x"),TRUE,FALSE)</f>
        <v>0</v>
      </c>
    </row>
    <row r="85" spans="1:7" x14ac:dyDescent="0.2">
      <c r="A85" s="1604" t="s">
        <v>2386</v>
      </c>
      <c r="B85" s="1602" t="str">
        <f ca="1">Talente!O101</f>
        <v/>
      </c>
      <c r="C85" s="18"/>
      <c r="D85" s="18"/>
      <c r="E85" s="1602" t="str">
        <f>IF(Tabellen_Andere!L88="","","Talentspezialisierung: " &amp;$A85&amp;" ("&amp;Tabellen_Andere!L88&amp;")")</f>
        <v/>
      </c>
      <c r="F85" s="1602" t="str">
        <f>IF(Tabellen_Andere!M88="","","Talentspezialisierung: " &amp;$A85&amp;" ("&amp;Tabellen_Andere!M88&amp;")")</f>
        <v/>
      </c>
      <c r="G85" s="1597" t="b">
        <f ca="1">IF(OR(AND(Talente!B101&lt;&gt;"",Talente!B101&gt;=0),Talente!C101="B",Talente!C101="x"),TRUE,FALSE)</f>
        <v>0</v>
      </c>
    </row>
    <row r="86" spans="1:7" x14ac:dyDescent="0.2">
      <c r="A86" s="1601" t="s">
        <v>4532</v>
      </c>
      <c r="B86" s="1602" t="str">
        <f ca="1">Talente!O102</f>
        <v/>
      </c>
      <c r="C86" s="18"/>
      <c r="D86" s="18"/>
      <c r="E86" s="1602" t="str">
        <f>IF(Tabellen_Andere!L89="","","Talentspezialisierung: " &amp;$A86&amp;" ("&amp;Tabellen_Andere!L89&amp;")")</f>
        <v/>
      </c>
      <c r="F86" s="1602" t="str">
        <f>IF(Tabellen_Andere!M89="","","Talentspezialisierung: " &amp;$A86&amp;" ("&amp;Tabellen_Andere!M89&amp;")")</f>
        <v/>
      </c>
      <c r="G86" s="1597" t="b">
        <f ca="1">IF(OR(AND(Talente!B102&lt;&gt;"",Talente!B102&gt;=0),Talente!C102="B",Talente!C102="x"),TRUE,FALSE)</f>
        <v>0</v>
      </c>
    </row>
    <row r="87" spans="1:7" x14ac:dyDescent="0.2">
      <c r="A87" s="1601" t="s">
        <v>4533</v>
      </c>
      <c r="B87" s="1602" t="str">
        <f ca="1">Talente!O103</f>
        <v/>
      </c>
      <c r="C87" s="18"/>
      <c r="D87" s="18"/>
      <c r="E87" s="1602" t="str">
        <f>IF(Tabellen_Andere!L90="","","Talentspezialisierung: " &amp;$A87&amp;" ("&amp;Tabellen_Andere!L90&amp;")")</f>
        <v/>
      </c>
      <c r="F87" s="1602" t="str">
        <f>IF(Tabellen_Andere!M90="","","Talentspezialisierung: " &amp;$A87&amp;" ("&amp;Tabellen_Andere!M90&amp;")")</f>
        <v/>
      </c>
      <c r="G87" s="1597" t="b">
        <f ca="1">IF(OR(AND(Talente!B103&lt;&gt;"",Talente!B103&gt;=0),Talente!C103="B",Talente!C103="x"),TRUE,FALSE)</f>
        <v>0</v>
      </c>
    </row>
    <row r="88" spans="1:7" x14ac:dyDescent="0.2">
      <c r="A88" s="1601" t="s">
        <v>4534</v>
      </c>
      <c r="B88" s="1602" t="str">
        <f ca="1">Talente!O104</f>
        <v/>
      </c>
      <c r="C88" s="18"/>
      <c r="D88" s="18"/>
      <c r="E88" s="1602" t="str">
        <f>IF(Tabellen_Andere!L91="","","Talentspezialisierung: " &amp;$A88&amp;" ("&amp;Tabellen_Andere!L91&amp;")")</f>
        <v/>
      </c>
      <c r="F88" s="1602" t="str">
        <f>IF(Tabellen_Andere!M91="","","Talentspezialisierung: " &amp;$A88&amp;" ("&amp;Tabellen_Andere!M91&amp;")")</f>
        <v/>
      </c>
      <c r="G88" s="1597" t="b">
        <f ca="1">IF(OR(AND(Talente!B104&lt;&gt;"",Talente!B104&gt;=0),Talente!C104="B",Talente!C104="x"),TRUE,FALSE)</f>
        <v>0</v>
      </c>
    </row>
    <row r="89" spans="1:7" ht="13.5" thickBot="1" x14ac:dyDescent="0.25">
      <c r="A89" s="1626" t="s">
        <v>4535</v>
      </c>
      <c r="B89" s="1609" t="str">
        <f ca="1">Talente!O105</f>
        <v/>
      </c>
      <c r="C89" s="1599"/>
      <c r="D89" s="1599"/>
      <c r="E89" s="1609" t="str">
        <f>IF(Tabellen_Andere!L92="","","Talentspezialisierung: " &amp;$A89&amp;" ("&amp;Tabellen_Andere!L92&amp;")")</f>
        <v/>
      </c>
      <c r="F89" s="1609" t="str">
        <f>IF(Tabellen_Andere!M92="","","Talentspezialisierung: " &amp;$A89&amp;" ("&amp;Tabellen_Andere!M92&amp;")")</f>
        <v/>
      </c>
      <c r="G89" s="1600" t="b">
        <f ca="1">IF(OR(AND(Talente!B105&lt;&gt;"",Talente!B105&gt;=0),Talente!C105="B",Talente!C105="x"),TRUE,FALSE)</f>
        <v>0</v>
      </c>
    </row>
    <row r="90" spans="1:7" x14ac:dyDescent="0.2">
      <c r="A90" s="1629" t="s">
        <v>4536</v>
      </c>
      <c r="B90" s="1621" t="str">
        <f ca="1">Talente!O107</f>
        <v/>
      </c>
      <c r="C90" s="1622"/>
      <c r="D90" s="1622"/>
      <c r="E90" s="1621" t="str">
        <f>IF(Tabellen_Andere!L93="","","Talentspezialisierung: " &amp;$A90&amp;" ("&amp;Tabellen_Andere!L93&amp;")")</f>
        <v/>
      </c>
      <c r="F90" s="1621" t="str">
        <f>IF(Tabellen_Andere!M93="","","Talentspezialisierung: " &amp;$A90&amp;" ("&amp;Tabellen_Andere!M93&amp;")")</f>
        <v/>
      </c>
      <c r="G90" s="1623" t="b">
        <f ca="1">IF(OR(AND(Talente!B107&lt;&gt;"",Talente!B107&gt;=0),Talente!C107="B",Talente!C107="x"),TRUE,FALSE)</f>
        <v>0</v>
      </c>
    </row>
    <row r="91" spans="1:7" x14ac:dyDescent="0.2">
      <c r="A91" s="1603" t="s">
        <v>4537</v>
      </c>
      <c r="B91" s="1602" t="str">
        <f ca="1">Talente!O108</f>
        <v/>
      </c>
      <c r="C91" s="18"/>
      <c r="D91" s="18"/>
      <c r="E91" s="1602" t="str">
        <f>IF(Tabellen_Andere!L94="","","Talentspezialisierung: " &amp;$A91&amp;" ("&amp;Tabellen_Andere!L94&amp;")")</f>
        <v/>
      </c>
      <c r="F91" s="1602" t="str">
        <f>IF(Tabellen_Andere!M94="","","Talentspezialisierung: " &amp;$A91&amp;" ("&amp;Tabellen_Andere!M94&amp;")")</f>
        <v/>
      </c>
      <c r="G91" s="1597" t="b">
        <f ca="1">IF(OR(AND(Talente!B108&lt;&gt;"",Talente!B108&gt;=0),Talente!C108="B",Talente!C108="x"),TRUE,FALSE)</f>
        <v>0</v>
      </c>
    </row>
    <row r="92" spans="1:7" x14ac:dyDescent="0.2">
      <c r="A92" s="1603" t="s">
        <v>8394</v>
      </c>
      <c r="B92" s="1602" t="str">
        <f ca="1">Talente!O109</f>
        <v/>
      </c>
      <c r="C92" s="18"/>
      <c r="D92" s="18"/>
      <c r="E92" s="1602" t="str">
        <f>IF(Tabellen_Andere!L95="","","Talentspezialisierung: " &amp;$A92&amp;" ("&amp;Tabellen_Andere!L95&amp;")")</f>
        <v/>
      </c>
      <c r="F92" s="1602" t="str">
        <f>IF(Tabellen_Andere!M95="","","Talentspezialisierung: " &amp;$A92&amp;" ("&amp;Tabellen_Andere!M95&amp;")")</f>
        <v/>
      </c>
      <c r="G92" s="1597" t="b">
        <f ca="1">IF(OR(AND(Talente!B109&lt;&gt;"",Talente!B109&gt;=0),Talente!C109="B",Talente!C109="x"),TRUE,FALSE)</f>
        <v>0</v>
      </c>
    </row>
    <row r="93" spans="1:7" x14ac:dyDescent="0.2">
      <c r="A93" s="1603" t="s">
        <v>4538</v>
      </c>
      <c r="B93" s="1602" t="str">
        <f ca="1">Talente!O110</f>
        <v/>
      </c>
      <c r="C93" s="18"/>
      <c r="D93" s="18"/>
      <c r="E93" s="1602" t="str">
        <f>IF(Tabellen_Andere!L96="","","Talentspezialisierung: " &amp;$A93&amp;" ("&amp;Tabellen_Andere!L96&amp;")")</f>
        <v/>
      </c>
      <c r="F93" s="1602" t="str">
        <f>IF(Tabellen_Andere!M96="","","Talentspezialisierung: " &amp;$A93&amp;" ("&amp;Tabellen_Andere!M96&amp;")")</f>
        <v/>
      </c>
      <c r="G93" s="1597" t="b">
        <f ca="1">IF(OR(AND(Talente!B110&lt;&gt;"",Talente!B110&gt;=0),Talente!C110="B",Talente!C110="x"),TRUE,FALSE)</f>
        <v>0</v>
      </c>
    </row>
    <row r="94" spans="1:7" x14ac:dyDescent="0.2">
      <c r="A94" s="1603" t="s">
        <v>3239</v>
      </c>
      <c r="B94" s="1602" t="str">
        <f ca="1">Talente!O111</f>
        <v/>
      </c>
      <c r="C94" s="18"/>
      <c r="D94" s="18"/>
      <c r="E94" s="1602" t="str">
        <f>IF(Tabellen_Andere!L97="","","Talentspezialisierung: " &amp;$A94&amp;" ("&amp;Tabellen_Andere!L97&amp;")")</f>
        <v/>
      </c>
      <c r="F94" s="1602" t="str">
        <f>IF(Tabellen_Andere!M97="","","Talentspezialisierung: " &amp;$A94&amp;" ("&amp;Tabellen_Andere!M97&amp;")")</f>
        <v/>
      </c>
      <c r="G94" s="1597" t="b">
        <f ca="1">IF(OR(AND(Talente!B111&lt;&gt;"",Talente!B111&gt;=0),Talente!C111="B",Talente!C111="x"),TRUE,FALSE)</f>
        <v>0</v>
      </c>
    </row>
    <row r="95" spans="1:7" x14ac:dyDescent="0.2">
      <c r="A95" s="1603" t="s">
        <v>1457</v>
      </c>
      <c r="B95" s="1602" t="str">
        <f ca="1">Talente!O112</f>
        <v/>
      </c>
      <c r="C95" s="18"/>
      <c r="D95" s="18"/>
      <c r="E95" s="1602" t="str">
        <f>IF(Tabellen_Andere!L98="","","Talentspezialisierung: " &amp;$A95&amp;" ("&amp;Tabellen_Andere!L98&amp;")")</f>
        <v/>
      </c>
      <c r="F95" s="1602" t="str">
        <f>IF(Tabellen_Andere!M98="","","Talentspezialisierung: " &amp;$A95&amp;" ("&amp;Tabellen_Andere!M98&amp;")")</f>
        <v/>
      </c>
      <c r="G95" s="1597" t="b">
        <f ca="1">IF(OR(AND(Talente!B112&lt;&gt;"",Talente!B112&gt;=0),Talente!C112="B",Talente!C112="x"),TRUE,FALSE)</f>
        <v>0</v>
      </c>
    </row>
    <row r="96" spans="1:7" x14ac:dyDescent="0.2">
      <c r="A96" s="1603" t="s">
        <v>1116</v>
      </c>
      <c r="B96" s="1602" t="str">
        <f ca="1">Talente!O113</f>
        <v/>
      </c>
      <c r="C96" s="18"/>
      <c r="D96" s="18"/>
      <c r="E96" s="1602" t="str">
        <f>IF(Tabellen_Andere!L99="","","Talentspezialisierung: " &amp;$A96&amp;" ("&amp;Tabellen_Andere!L99&amp;")")</f>
        <v/>
      </c>
      <c r="F96" s="1602" t="str">
        <f>IF(Tabellen_Andere!M99="","","Talentspezialisierung: " &amp;$A96&amp;" ("&amp;Tabellen_Andere!M99&amp;")")</f>
        <v/>
      </c>
      <c r="G96" s="1597" t="b">
        <f ca="1">IF(OR(AND(Talente!B113&lt;&gt;"",Talente!B113&gt;=0),Talente!C113="B",Talente!C113="x"),TRUE,FALSE)</f>
        <v>0</v>
      </c>
    </row>
    <row r="97" spans="1:7" x14ac:dyDescent="0.2">
      <c r="A97" s="1603" t="s">
        <v>4671</v>
      </c>
      <c r="B97" s="1602" t="str">
        <f ca="1">Talente!O114</f>
        <v/>
      </c>
      <c r="C97" s="18"/>
      <c r="D97" s="18"/>
      <c r="E97" s="1602" t="str">
        <f>IF(Tabellen_Andere!L100="","","Talentspezialisierung: " &amp;$A97&amp;" ("&amp;Tabellen_Andere!L100&amp;")")</f>
        <v/>
      </c>
      <c r="F97" s="1602" t="str">
        <f>IF(Tabellen_Andere!M100="","","Talentspezialisierung: " &amp;$A97&amp;" ("&amp;Tabellen_Andere!M100&amp;")")</f>
        <v/>
      </c>
      <c r="G97" s="1597" t="b">
        <f ca="1">IF(OR(AND(Talente!B114&lt;&gt;"",Talente!B114&gt;=0),Talente!C114="B",Talente!C114="x"),TRUE,FALSE)</f>
        <v>0</v>
      </c>
    </row>
    <row r="98" spans="1:7" x14ac:dyDescent="0.2">
      <c r="A98" s="1607" t="s">
        <v>1458</v>
      </c>
      <c r="B98" s="1602" t="str">
        <f ca="1">Talente!O115</f>
        <v/>
      </c>
      <c r="C98" s="18"/>
      <c r="D98" s="18"/>
      <c r="E98" s="1602" t="str">
        <f>IF(Tabellen_Andere!L101="","","Talentspezialisierung: " &amp;$A98&amp;" ("&amp;Tabellen_Andere!L101&amp;")")</f>
        <v/>
      </c>
      <c r="F98" s="1602" t="str">
        <f>IF(Tabellen_Andere!M101="","","Talentspezialisierung: " &amp;$A98&amp;" ("&amp;Tabellen_Andere!M101&amp;")")</f>
        <v/>
      </c>
      <c r="G98" s="1597" t="b">
        <f ca="1">IF(OR(AND(Talente!B115&lt;&gt;"",Talente!B115&gt;=0),Talente!C115="B",Talente!C115="x"),TRUE,FALSE)</f>
        <v>0</v>
      </c>
    </row>
    <row r="99" spans="1:7" x14ac:dyDescent="0.2">
      <c r="A99" s="1603" t="s">
        <v>1459</v>
      </c>
      <c r="B99" s="1602" t="str">
        <f ca="1">Talente!O116</f>
        <v/>
      </c>
      <c r="C99" s="18"/>
      <c r="D99" s="18"/>
      <c r="E99" s="1602" t="str">
        <f>IF(Tabellen_Andere!L102="","","Talentspezialisierung: " &amp;$A99&amp;" ("&amp;Tabellen_Andere!L102&amp;")")</f>
        <v/>
      </c>
      <c r="F99" s="1602" t="str">
        <f>IF(Tabellen_Andere!M102="","","Talentspezialisierung: " &amp;$A99&amp;" ("&amp;Tabellen_Andere!M102&amp;")")</f>
        <v/>
      </c>
      <c r="G99" s="1597" t="b">
        <f ca="1">IF(OR(AND(Talente!B116&lt;&gt;"",Talente!B116&gt;=0),Talente!C116="B",Talente!C116="x"),TRUE,FALSE)</f>
        <v>0</v>
      </c>
    </row>
    <row r="100" spans="1:7" x14ac:dyDescent="0.2">
      <c r="A100" s="1603" t="s">
        <v>1460</v>
      </c>
      <c r="B100" s="1602" t="str">
        <f ca="1">Talente!O117</f>
        <v/>
      </c>
      <c r="C100" s="18"/>
      <c r="D100" s="18"/>
      <c r="E100" s="1602" t="str">
        <f>IF(Tabellen_Andere!L103="","","Talentspezialisierung: " &amp;$A100&amp;" ("&amp;Tabellen_Andere!L103&amp;")")</f>
        <v/>
      </c>
      <c r="F100" s="1602" t="str">
        <f>IF(Tabellen_Andere!M103="","","Talentspezialisierung: " &amp;$A100&amp;" ("&amp;Tabellen_Andere!M103&amp;")")</f>
        <v/>
      </c>
      <c r="G100" s="1597" t="b">
        <f ca="1">IF(OR(AND(Talente!B117&lt;&gt;"",Talente!B117&gt;=0),Talente!C117="B",Talente!C117="x"),TRUE,FALSE)</f>
        <v>0</v>
      </c>
    </row>
    <row r="101" spans="1:7" x14ac:dyDescent="0.2">
      <c r="A101" s="1603" t="s">
        <v>1461</v>
      </c>
      <c r="B101" s="1602" t="str">
        <f ca="1">Talente!O118</f>
        <v/>
      </c>
      <c r="C101" s="18"/>
      <c r="D101" s="18"/>
      <c r="E101" s="1602" t="str">
        <f>IF(Tabellen_Andere!L104="","","Talentspezialisierung: " &amp;$A101&amp;" ("&amp;Tabellen_Andere!L104&amp;")")</f>
        <v/>
      </c>
      <c r="F101" s="1602" t="str">
        <f>IF(Tabellen_Andere!M104="","","Talentspezialisierung: " &amp;$A101&amp;" ("&amp;Tabellen_Andere!M104&amp;")")</f>
        <v/>
      </c>
      <c r="G101" s="1597" t="b">
        <f ca="1">IF(OR(AND(Talente!B118&lt;&gt;"",Talente!B118&gt;=0),Talente!C118="B",Talente!C118="x"),TRUE,FALSE)</f>
        <v>0</v>
      </c>
    </row>
    <row r="102" spans="1:7" x14ac:dyDescent="0.2">
      <c r="A102" s="1603" t="s">
        <v>1462</v>
      </c>
      <c r="B102" s="1602" t="str">
        <f ca="1">Talente!O119</f>
        <v/>
      </c>
      <c r="C102" s="18"/>
      <c r="D102" s="18"/>
      <c r="E102" s="1602" t="str">
        <f>IF(Tabellen_Andere!L105="","","Talentspezialisierung: " &amp;$A102&amp;" ("&amp;Tabellen_Andere!L105&amp;")")</f>
        <v/>
      </c>
      <c r="F102" s="1602" t="str">
        <f>IF(Tabellen_Andere!M105="","","Talentspezialisierung: " &amp;$A102&amp;" ("&amp;Tabellen_Andere!M105&amp;")")</f>
        <v/>
      </c>
      <c r="G102" s="1597" t="b">
        <f ca="1">IF(OR(AND(Talente!B119&lt;&gt;"",Talente!B119&gt;=0),Talente!C119="B",Talente!C119="x"),TRUE,FALSE)</f>
        <v>0</v>
      </c>
    </row>
    <row r="103" spans="1:7" x14ac:dyDescent="0.2">
      <c r="A103" s="1603" t="s">
        <v>1463</v>
      </c>
      <c r="B103" s="1602" t="str">
        <f ca="1">Talente!O120</f>
        <v/>
      </c>
      <c r="C103" s="18"/>
      <c r="D103" s="18"/>
      <c r="E103" s="1602" t="str">
        <f>IF(Tabellen_Andere!L106="","","Talentspezialisierung: " &amp;$A103&amp;" ("&amp;Tabellen_Andere!L106&amp;")")</f>
        <v/>
      </c>
      <c r="F103" s="1602" t="str">
        <f>IF(Tabellen_Andere!M106="","","Talentspezialisierung: " &amp;$A103&amp;" ("&amp;Tabellen_Andere!M106&amp;")")</f>
        <v/>
      </c>
      <c r="G103" s="1597" t="b">
        <f ca="1">IF(OR(AND(Talente!B120&lt;&gt;"",Talente!B120&gt;=0),Talente!C120="B",Talente!C120="x"),TRUE,FALSE)</f>
        <v>0</v>
      </c>
    </row>
    <row r="104" spans="1:7" x14ac:dyDescent="0.2">
      <c r="A104" s="1603" t="s">
        <v>2582</v>
      </c>
      <c r="B104" s="1602" t="str">
        <f ca="1">Talente!O121</f>
        <v/>
      </c>
      <c r="C104" s="18"/>
      <c r="D104" s="18"/>
      <c r="E104" s="1602" t="str">
        <f>IF(Tabellen_Andere!L107="","","Talentspezialisierung: " &amp;$A104&amp;" ("&amp;Tabellen_Andere!L107&amp;")")</f>
        <v/>
      </c>
      <c r="F104" s="1602" t="str">
        <f>IF(Tabellen_Andere!M107="","","Talentspezialisierung: " &amp;$A104&amp;" ("&amp;Tabellen_Andere!M107&amp;")")</f>
        <v/>
      </c>
      <c r="G104" s="1597" t="b">
        <f ca="1">IF(OR(AND(Talente!B121&lt;&gt;"",Talente!B121&gt;=0),Talente!C121="B",Talente!C121="x"),TRUE,FALSE)</f>
        <v>0</v>
      </c>
    </row>
    <row r="105" spans="1:7" x14ac:dyDescent="0.2">
      <c r="A105" s="1603" t="s">
        <v>1464</v>
      </c>
      <c r="B105" s="1602" t="str">
        <f ca="1">Talente!O122</f>
        <v/>
      </c>
      <c r="C105" s="18"/>
      <c r="D105" s="18"/>
      <c r="E105" s="1602" t="str">
        <f>IF(Tabellen_Andere!L108="","","Talentspezialisierung: " &amp;$A105&amp;" ("&amp;Tabellen_Andere!L108&amp;")")</f>
        <v/>
      </c>
      <c r="F105" s="1602" t="str">
        <f>IF(Tabellen_Andere!M108="","","Talentspezialisierung: " &amp;$A105&amp;" ("&amp;Tabellen_Andere!M108&amp;")")</f>
        <v/>
      </c>
      <c r="G105" s="1597" t="b">
        <f ca="1">IF(OR(AND(Talente!B122&lt;&gt;"",Talente!B122&gt;=0),Talente!C122="B",Talente!C122="x"),TRUE,FALSE)</f>
        <v>0</v>
      </c>
    </row>
    <row r="106" spans="1:7" x14ac:dyDescent="0.2">
      <c r="A106" s="1603" t="s">
        <v>514</v>
      </c>
      <c r="B106" s="1602" t="str">
        <f ca="1">Talente!O123</f>
        <v/>
      </c>
      <c r="C106" s="18"/>
      <c r="D106" s="18"/>
      <c r="E106" s="1602" t="str">
        <f>IF(Tabellen_Andere!L109="","","Talentspezialisierung: " &amp;$A106&amp;" ("&amp;Tabellen_Andere!L109&amp;")")</f>
        <v/>
      </c>
      <c r="F106" s="1602" t="str">
        <f>IF(Tabellen_Andere!M109="","","Talentspezialisierung: " &amp;$A106&amp;" ("&amp;Tabellen_Andere!M109&amp;")")</f>
        <v/>
      </c>
      <c r="G106" s="1597" t="b">
        <f ca="1">IF(OR(AND(Talente!B123&lt;&gt;"",Talente!B123&gt;=0),Talente!C123="B",Talente!C123="x"),TRUE,FALSE)</f>
        <v>0</v>
      </c>
    </row>
    <row r="107" spans="1:7" x14ac:dyDescent="0.2">
      <c r="A107" s="1603" t="s">
        <v>1465</v>
      </c>
      <c r="B107" s="1602" t="str">
        <f ca="1">Talente!O124</f>
        <v/>
      </c>
      <c r="C107" s="18"/>
      <c r="D107" s="18"/>
      <c r="E107" s="1602" t="str">
        <f>IF(Tabellen_Andere!L110="","","Talentspezialisierung: " &amp;$A107&amp;" ("&amp;Tabellen_Andere!L110&amp;")")</f>
        <v/>
      </c>
      <c r="F107" s="1602" t="str">
        <f>IF(Tabellen_Andere!M110="","","Talentspezialisierung: " &amp;$A107&amp;" ("&amp;Tabellen_Andere!M110&amp;")")</f>
        <v/>
      </c>
      <c r="G107" s="1597" t="b">
        <f ca="1">IF(OR(AND(Talente!B124&lt;&gt;"",Talente!B124&gt;=0),Talente!C124="B",Talente!C124="x"),TRUE,FALSE)</f>
        <v>0</v>
      </c>
    </row>
    <row r="108" spans="1:7" x14ac:dyDescent="0.2">
      <c r="A108" s="1603" t="s">
        <v>1466</v>
      </c>
      <c r="B108" s="1602" t="str">
        <f ca="1">Talente!O125</f>
        <v/>
      </c>
      <c r="C108" s="18"/>
      <c r="D108" s="18"/>
      <c r="E108" s="1602" t="str">
        <f>IF(Tabellen_Andere!L111="","","Talentspezialisierung: " &amp;$A108&amp;" ("&amp;Tabellen_Andere!L111&amp;")")</f>
        <v/>
      </c>
      <c r="F108" s="1602" t="str">
        <f>IF(Tabellen_Andere!M111="","","Talentspezialisierung: " &amp;$A108&amp;" ("&amp;Tabellen_Andere!M111&amp;")")</f>
        <v/>
      </c>
      <c r="G108" s="1597" t="b">
        <f ca="1">IF(OR(AND(Talente!B125&lt;&gt;"",Talente!B125&gt;=0),Talente!C125="B",Talente!C125="x"),TRUE,FALSE)</f>
        <v>0</v>
      </c>
    </row>
    <row r="109" spans="1:7" x14ac:dyDescent="0.2">
      <c r="A109" s="1603" t="s">
        <v>1467</v>
      </c>
      <c r="B109" s="1602" t="str">
        <f ca="1">Talente!O126</f>
        <v/>
      </c>
      <c r="C109" s="18"/>
      <c r="D109" s="18"/>
      <c r="E109" s="1602" t="str">
        <f>IF(Tabellen_Andere!L112="","","Talentspezialisierung: " &amp;$A109&amp;" ("&amp;Tabellen_Andere!L112&amp;")")</f>
        <v/>
      </c>
      <c r="F109" s="1602" t="str">
        <f>IF(Tabellen_Andere!M112="","","Talentspezialisierung: " &amp;$A109&amp;" ("&amp;Tabellen_Andere!M112&amp;")")</f>
        <v/>
      </c>
      <c r="G109" s="1597" t="b">
        <f ca="1">IF(OR(AND(Talente!B126&lt;&gt;"",Talente!B126&gt;=0),Talente!C126="B",Talente!C126="x"),TRUE,FALSE)</f>
        <v>0</v>
      </c>
    </row>
    <row r="110" spans="1:7" x14ac:dyDescent="0.2">
      <c r="A110" s="1603" t="s">
        <v>2616</v>
      </c>
      <c r="B110" s="1602" t="str">
        <f ca="1">Talente!O127</f>
        <v/>
      </c>
      <c r="C110" s="18"/>
      <c r="D110" s="18"/>
      <c r="E110" s="1602" t="str">
        <f>IF(Tabellen_Andere!L113="","","Talentspezialisierung: " &amp;$A110&amp;" ("&amp;Tabellen_Andere!L113&amp;")")</f>
        <v/>
      </c>
      <c r="F110" s="1602" t="str">
        <f>IF(Tabellen_Andere!M113="","","Talentspezialisierung: " &amp;$A110&amp;" ("&amp;Tabellen_Andere!M113&amp;")")</f>
        <v/>
      </c>
      <c r="G110" s="1597" t="b">
        <f ca="1">IF(OR(AND(Talente!B127&lt;&gt;"",Talente!B127&gt;=0),Talente!C127="B",Talente!C127="x"),TRUE,FALSE)</f>
        <v>0</v>
      </c>
    </row>
    <row r="111" spans="1:7" x14ac:dyDescent="0.2">
      <c r="A111" s="1603" t="s">
        <v>1022</v>
      </c>
      <c r="B111" s="1602" t="str">
        <f ca="1">Talente!O128</f>
        <v/>
      </c>
      <c r="C111" s="18"/>
      <c r="D111" s="18"/>
      <c r="E111" s="1602" t="str">
        <f>IF(Tabellen_Andere!L114="","","Talentspezialisierung: " &amp;$A111&amp;" ("&amp;Tabellen_Andere!L114&amp;")")</f>
        <v/>
      </c>
      <c r="F111" s="1602" t="str">
        <f>IF(Tabellen_Andere!M114="","","Talentspezialisierung: " &amp;$A111&amp;" ("&amp;Tabellen_Andere!M114&amp;")")</f>
        <v/>
      </c>
      <c r="G111" s="1597" t="b">
        <f ca="1">IF(OR(AND(Talente!B128&lt;&gt;"",Talente!B128&gt;=0),Talente!C128="B",Talente!C128="x"),TRUE,FALSE)</f>
        <v>0</v>
      </c>
    </row>
    <row r="112" spans="1:7" x14ac:dyDescent="0.2">
      <c r="A112" s="1603" t="s">
        <v>1023</v>
      </c>
      <c r="B112" s="1602">
        <f ca="1">Talente!O129</f>
        <v>0</v>
      </c>
      <c r="C112" s="18"/>
      <c r="D112" s="18"/>
      <c r="E112" s="1602" t="str">
        <f>IF(Tabellen_Andere!L115="","","Talentspezialisierung: " &amp;$A112&amp;" ("&amp;Tabellen_Andere!L115&amp;")")</f>
        <v/>
      </c>
      <c r="F112" s="1602" t="str">
        <f>IF(Tabellen_Andere!M115="","","Talentspezialisierung: " &amp;$A112&amp;" ("&amp;Tabellen_Andere!M115&amp;")")</f>
        <v/>
      </c>
      <c r="G112" s="1597" t="b">
        <f ca="1">IF(OR(AND(Talente!B129&lt;&gt;"",Talente!B129&gt;=0),Talente!C129="B",Talente!C129="x"),TRUE,FALSE)</f>
        <v>1</v>
      </c>
    </row>
    <row r="113" spans="1:7" x14ac:dyDescent="0.2">
      <c r="A113" s="1603" t="s">
        <v>1024</v>
      </c>
      <c r="B113" s="1602">
        <f ca="1">Talente!O130</f>
        <v>0</v>
      </c>
      <c r="C113" s="18"/>
      <c r="D113" s="18"/>
      <c r="E113" s="1602" t="str">
        <f>IF(Tabellen_Andere!L116="","","Talentspezialisierung: " &amp;$A113&amp;" ("&amp;Tabellen_Andere!L116&amp;")")</f>
        <v/>
      </c>
      <c r="F113" s="1602" t="str">
        <f>IF(Tabellen_Andere!M116="","","Talentspezialisierung: " &amp;$A113&amp;" ("&amp;Tabellen_Andere!M116&amp;")")</f>
        <v/>
      </c>
      <c r="G113" s="1597" t="b">
        <f ca="1">IF(OR(AND(Talente!B130&lt;&gt;"",Talente!B130&gt;=0),Talente!C130="B",Talente!C130="x"),TRUE,FALSE)</f>
        <v>1</v>
      </c>
    </row>
    <row r="114" spans="1:7" x14ac:dyDescent="0.2">
      <c r="A114" s="1607" t="s">
        <v>1025</v>
      </c>
      <c r="B114" s="1602" t="str">
        <f ca="1">Talente!O131</f>
        <v/>
      </c>
      <c r="C114" s="18"/>
      <c r="D114" s="18"/>
      <c r="E114" s="1602" t="str">
        <f>IF(Tabellen_Andere!L117="","","Talentspezialisierung: " &amp;$A114&amp;" ("&amp;Tabellen_Andere!L117&amp;")")</f>
        <v/>
      </c>
      <c r="F114" s="1602" t="str">
        <f>IF(Tabellen_Andere!M117="","","Talentspezialisierung: " &amp;$A114&amp;" ("&amp;Tabellen_Andere!M117&amp;")")</f>
        <v/>
      </c>
      <c r="G114" s="1597" t="b">
        <f ca="1">IF(OR(AND(Talente!B131&lt;&gt;"",Talente!B131&gt;=0),Talente!C131="B",Talente!C131="x"),TRUE,FALSE)</f>
        <v>0</v>
      </c>
    </row>
    <row r="115" spans="1:7" x14ac:dyDescent="0.2">
      <c r="A115" s="1603" t="s">
        <v>2585</v>
      </c>
      <c r="B115" s="1602" t="str">
        <f ca="1">Talente!O132</f>
        <v/>
      </c>
      <c r="C115" s="18"/>
      <c r="D115" s="18"/>
      <c r="E115" s="1602" t="str">
        <f>IF(Tabellen_Andere!L118="","","Talentspezialisierung: " &amp;$A115&amp;" ("&amp;Tabellen_Andere!L118&amp;")")</f>
        <v/>
      </c>
      <c r="F115" s="1602" t="str">
        <f>IF(Tabellen_Andere!M118="","","Talentspezialisierung: " &amp;$A115&amp;" ("&amp;Tabellen_Andere!M118&amp;")")</f>
        <v/>
      </c>
      <c r="G115" s="1597" t="b">
        <f ca="1">IF(OR(AND(Talente!B132&lt;&gt;"",Talente!B132&gt;=0),Talente!C132="B",Talente!C132="x"),TRUE,FALSE)</f>
        <v>0</v>
      </c>
    </row>
    <row r="116" spans="1:7" x14ac:dyDescent="0.2">
      <c r="A116" s="1607" t="s">
        <v>852</v>
      </c>
      <c r="B116" s="1602" t="str">
        <f ca="1">Talente!O133</f>
        <v/>
      </c>
      <c r="C116" s="18"/>
      <c r="D116" s="18"/>
      <c r="E116" s="1602" t="str">
        <f>IF(Tabellen_Andere!L119="","","Talentspezialisierung: " &amp;$A116&amp;" ("&amp;Tabellen_Andere!L119&amp;")")</f>
        <v/>
      </c>
      <c r="F116" s="1602" t="str">
        <f>IF(Tabellen_Andere!M119="","","Talentspezialisierung: " &amp;$A116&amp;" ("&amp;Tabellen_Andere!M119&amp;")")</f>
        <v/>
      </c>
      <c r="G116" s="1597" t="b">
        <f ca="1">IF(OR(AND(Talente!B133&lt;&gt;"",Talente!B133&gt;=0),Talente!C133="B",Talente!C133="x"),TRUE,FALSE)</f>
        <v>0</v>
      </c>
    </row>
    <row r="117" spans="1:7" x14ac:dyDescent="0.2">
      <c r="A117" s="1603" t="s">
        <v>853</v>
      </c>
      <c r="B117" s="1602" t="str">
        <f ca="1">Talente!O134</f>
        <v/>
      </c>
      <c r="C117" s="18"/>
      <c r="D117" s="18"/>
      <c r="E117" s="1602" t="str">
        <f>IF(Tabellen_Andere!L120="","","Talentspezialisierung: " &amp;$A117&amp;" ("&amp;Tabellen_Andere!L120&amp;")")</f>
        <v/>
      </c>
      <c r="F117" s="1602" t="str">
        <f>IF(Tabellen_Andere!M120="","","Talentspezialisierung: " &amp;$A117&amp;" ("&amp;Tabellen_Andere!M120&amp;")")</f>
        <v/>
      </c>
      <c r="G117" s="1597" t="b">
        <f ca="1">IF(OR(AND(Talente!B134&lt;&gt;"",Talente!B134&gt;=0),Talente!C134="B",Talente!C134="x"),TRUE,FALSE)</f>
        <v>0</v>
      </c>
    </row>
    <row r="118" spans="1:7" x14ac:dyDescent="0.2">
      <c r="A118" s="1603" t="s">
        <v>854</v>
      </c>
      <c r="B118" s="1602">
        <f ca="1">Talente!O135</f>
        <v>0</v>
      </c>
      <c r="C118" s="18"/>
      <c r="D118" s="18"/>
      <c r="E118" s="1602" t="str">
        <f>IF(Tabellen_Andere!L121="","","Talentspezialisierung: " &amp;$A118&amp;" ("&amp;Tabellen_Andere!L121&amp;")")</f>
        <v/>
      </c>
      <c r="F118" s="1602" t="str">
        <f>IF(Tabellen_Andere!M121="","","Talentspezialisierung: " &amp;$A118&amp;" ("&amp;Tabellen_Andere!M121&amp;")")</f>
        <v/>
      </c>
      <c r="G118" s="1597" t="b">
        <f ca="1">IF(OR(AND(Talente!B135&lt;&gt;"",Talente!B135&gt;=0),Talente!C135="B",Talente!C135="x"),TRUE,FALSE)</f>
        <v>1</v>
      </c>
    </row>
    <row r="119" spans="1:7" x14ac:dyDescent="0.2">
      <c r="A119" s="1603" t="s">
        <v>1718</v>
      </c>
      <c r="B119" s="1602" t="str">
        <f ca="1">Talente!O136</f>
        <v/>
      </c>
      <c r="C119" s="18"/>
      <c r="D119" s="18"/>
      <c r="E119" s="1602" t="str">
        <f>IF(Tabellen_Andere!L122="","","Talentspezialisierung: " &amp;$A119&amp;" ("&amp;Tabellen_Andere!L122&amp;")")</f>
        <v/>
      </c>
      <c r="F119" s="1602" t="str">
        <f>IF(Tabellen_Andere!M122="","","Talentspezialisierung: " &amp;$A119&amp;" ("&amp;Tabellen_Andere!M122&amp;")")</f>
        <v/>
      </c>
      <c r="G119" s="1597" t="b">
        <f ca="1">IF(OR(AND(Talente!B136&lt;&gt;"",Talente!B136&gt;=0),Talente!C136="B",Talente!C136="x"),TRUE,FALSE)</f>
        <v>0</v>
      </c>
    </row>
    <row r="120" spans="1:7" x14ac:dyDescent="0.2">
      <c r="A120" s="1603" t="s">
        <v>855</v>
      </c>
      <c r="B120" s="1602">
        <f ca="1">Talente!O137</f>
        <v>0</v>
      </c>
      <c r="C120" s="18"/>
      <c r="D120" s="18"/>
      <c r="E120" s="1602" t="str">
        <f>IF(Tabellen_Andere!L123="","","Talentspezialisierung: " &amp;$A120&amp;" ("&amp;Tabellen_Andere!L123&amp;")")</f>
        <v/>
      </c>
      <c r="F120" s="1602" t="str">
        <f>IF(Tabellen_Andere!M123="","","Talentspezialisierung: " &amp;$A120&amp;" ("&amp;Tabellen_Andere!M123&amp;")")</f>
        <v/>
      </c>
      <c r="G120" s="1597" t="b">
        <f ca="1">IF(OR(AND(Talente!B137&lt;&gt;"",Talente!B137&gt;=0),Talente!C137="B",Talente!C137="x"),TRUE,FALSE)</f>
        <v>1</v>
      </c>
    </row>
    <row r="121" spans="1:7" x14ac:dyDescent="0.2">
      <c r="A121" s="1603" t="s">
        <v>435</v>
      </c>
      <c r="B121" s="1602">
        <f ca="1">Talente!O138</f>
        <v>0</v>
      </c>
      <c r="C121" s="18"/>
      <c r="D121" s="18"/>
      <c r="E121" s="1602" t="str">
        <f>IF(Tabellen_Andere!L124="","","Talentspezialisierung: " &amp;$A121&amp;" ("&amp;Tabellen_Andere!L124&amp;")")</f>
        <v/>
      </c>
      <c r="F121" s="1602" t="str">
        <f>IF(Tabellen_Andere!M124="","","Talentspezialisierung: " &amp;$A121&amp;" ("&amp;Tabellen_Andere!M124&amp;")")</f>
        <v/>
      </c>
      <c r="G121" s="1597" t="b">
        <f ca="1">IF(OR(AND(Talente!B138&lt;&gt;"",Talente!B138&gt;=0),Talente!C138="B",Talente!C138="x"),TRUE,FALSE)</f>
        <v>1</v>
      </c>
    </row>
    <row r="122" spans="1:7" x14ac:dyDescent="0.2">
      <c r="A122" s="1603" t="s">
        <v>2587</v>
      </c>
      <c r="B122" s="1602" t="str">
        <f ca="1">Talente!O139</f>
        <v/>
      </c>
      <c r="C122" s="18"/>
      <c r="D122" s="18"/>
      <c r="E122" s="1602" t="str">
        <f>IF(Tabellen_Andere!L125="","","Talentspezialisierung: " &amp;$A122&amp;" ("&amp;Tabellen_Andere!L125&amp;")")</f>
        <v/>
      </c>
      <c r="F122" s="1602" t="str">
        <f>IF(Tabellen_Andere!M125="","","Talentspezialisierung: " &amp;$A122&amp;" ("&amp;Tabellen_Andere!M125&amp;")")</f>
        <v/>
      </c>
      <c r="G122" s="1597" t="b">
        <f ca="1">IF(OR(AND(Talente!B139&lt;&gt;"",Talente!B139&gt;=0),Talente!C139="B",Talente!C139="x"),TRUE,FALSE)</f>
        <v>0</v>
      </c>
    </row>
    <row r="123" spans="1:7" x14ac:dyDescent="0.2">
      <c r="A123" s="1603" t="s">
        <v>8393</v>
      </c>
      <c r="B123" s="1602" t="str">
        <f ca="1">Talente!O140</f>
        <v/>
      </c>
      <c r="C123" s="18"/>
      <c r="D123" s="18"/>
      <c r="E123" s="1602" t="str">
        <f>IF(Tabellen_Andere!L126="","","Talentspezialisierung: " &amp;$A123&amp;" ("&amp;Tabellen_Andere!L126&amp;")")</f>
        <v/>
      </c>
      <c r="F123" s="1602" t="str">
        <f>IF(Tabellen_Andere!M126="","","Talentspezialisierung: " &amp;$A123&amp;" ("&amp;Tabellen_Andere!M126&amp;")")</f>
        <v/>
      </c>
      <c r="G123" s="1597" t="b">
        <f ca="1">IF(OR(AND(Talente!B140&lt;&gt;"",Talente!B140&gt;=0),Talente!C140="B",Talente!C140="x"),TRUE,FALSE)</f>
        <v>0</v>
      </c>
    </row>
    <row r="124" spans="1:7" x14ac:dyDescent="0.2">
      <c r="A124" s="1603" t="s">
        <v>2440</v>
      </c>
      <c r="B124" s="1602" t="str">
        <f ca="1">Talente!O141</f>
        <v/>
      </c>
      <c r="C124" s="18"/>
      <c r="D124" s="18"/>
      <c r="E124" s="1602" t="str">
        <f>IF(Tabellen_Andere!L127="","","Talentspezialisierung: " &amp;$A124&amp;" ("&amp;Tabellen_Andere!L127&amp;")")</f>
        <v/>
      </c>
      <c r="F124" s="1602" t="str">
        <f>IF(Tabellen_Andere!M127="","","Talentspezialisierung: " &amp;$A124&amp;" ("&amp;Tabellen_Andere!M127&amp;")")</f>
        <v/>
      </c>
      <c r="G124" s="1597" t="b">
        <f ca="1">IF(OR(AND(Talente!B141&lt;&gt;"",Talente!B141&gt;=0),Talente!C141="B",Talente!C141="x"),TRUE,FALSE)</f>
        <v>0</v>
      </c>
    </row>
    <row r="125" spans="1:7" x14ac:dyDescent="0.2">
      <c r="A125" s="1603" t="s">
        <v>2441</v>
      </c>
      <c r="B125" s="1602" t="str">
        <f ca="1">Talente!O142</f>
        <v/>
      </c>
      <c r="C125" s="18"/>
      <c r="D125" s="18"/>
      <c r="E125" s="1602" t="str">
        <f>IF(Tabellen_Andere!L128="","","Talentspezialisierung: " &amp;$A125&amp;" ("&amp;Tabellen_Andere!L128&amp;")")</f>
        <v/>
      </c>
      <c r="F125" s="1602" t="str">
        <f>IF(Tabellen_Andere!M128="","","Talentspezialisierung: " &amp;$A125&amp;" ("&amp;Tabellen_Andere!M128&amp;")")</f>
        <v/>
      </c>
      <c r="G125" s="1597" t="b">
        <f ca="1">IF(OR(AND(Talente!B142&lt;&gt;"",Talente!B142&gt;=0),Talente!C142="B",Talente!C142="x"),TRUE,FALSE)</f>
        <v>0</v>
      </c>
    </row>
    <row r="126" spans="1:7" x14ac:dyDescent="0.2">
      <c r="A126" s="1603" t="s">
        <v>3393</v>
      </c>
      <c r="B126" s="1602" t="str">
        <f ca="1">Talente!O143</f>
        <v/>
      </c>
      <c r="C126" s="18"/>
      <c r="D126" s="18"/>
      <c r="E126" s="1602" t="str">
        <f>IF(Tabellen_Andere!L129="","","Talentspezialisierung: " &amp;$A126&amp;" ("&amp;Tabellen_Andere!L129&amp;")")</f>
        <v/>
      </c>
      <c r="F126" s="1602" t="str">
        <f>IF(Tabellen_Andere!M129="","","Talentspezialisierung: " &amp;$A126&amp;" ("&amp;Tabellen_Andere!M129&amp;")")</f>
        <v/>
      </c>
      <c r="G126" s="1597" t="b">
        <f ca="1">IF(OR(AND(Talente!B143&lt;&gt;"",Talente!B143&gt;=0),Talente!C143="B",Talente!C143="x"),TRUE,FALSE)</f>
        <v>0</v>
      </c>
    </row>
    <row r="127" spans="1:7" x14ac:dyDescent="0.2">
      <c r="A127" s="1603" t="s">
        <v>3394</v>
      </c>
      <c r="B127" s="1602">
        <f ca="1">Talente!O144</f>
        <v>0</v>
      </c>
      <c r="C127" s="18"/>
      <c r="D127" s="18"/>
      <c r="E127" s="1602" t="str">
        <f>IF(Tabellen_Andere!L130="","","Talentspezialisierung: " &amp;$A127&amp;" ("&amp;Tabellen_Andere!L130&amp;")")</f>
        <v/>
      </c>
      <c r="F127" s="1602" t="str">
        <f>IF(Tabellen_Andere!M130="","","Talentspezialisierung: " &amp;$A127&amp;" ("&amp;Tabellen_Andere!M130&amp;")")</f>
        <v/>
      </c>
      <c r="G127" s="1597" t="b">
        <f ca="1">IF(OR(AND(Talente!B144&lt;&gt;"",Talente!B144&gt;=0),Talente!C144="B",Talente!C144="x"),TRUE,FALSE)</f>
        <v>1</v>
      </c>
    </row>
    <row r="128" spans="1:7" x14ac:dyDescent="0.2">
      <c r="A128" s="1603" t="s">
        <v>3908</v>
      </c>
      <c r="B128" s="1602" t="str">
        <f ca="1">Talente!O145</f>
        <v/>
      </c>
      <c r="C128" s="18"/>
      <c r="D128" s="18"/>
      <c r="E128" s="1602" t="str">
        <f>IF(Tabellen_Andere!L131="","","Talentspezialisierung: " &amp;$A128&amp;" ("&amp;Tabellen_Andere!L131&amp;")")</f>
        <v/>
      </c>
      <c r="F128" s="1602" t="str">
        <f>IF(Tabellen_Andere!M131="","","Talentspezialisierung: " &amp;$A128&amp;" ("&amp;Tabellen_Andere!M131&amp;")")</f>
        <v/>
      </c>
      <c r="G128" s="1597" t="b">
        <f ca="1">IF(OR(AND(Talente!B145&lt;&gt;"",Talente!B145&gt;=0),Talente!C145="B",Talente!C145="x"),TRUE,FALSE)</f>
        <v>0</v>
      </c>
    </row>
    <row r="129" spans="1:7" x14ac:dyDescent="0.2">
      <c r="A129" s="1603" t="s">
        <v>1552</v>
      </c>
      <c r="B129" s="1602" t="str">
        <f ca="1">Talente!O146</f>
        <v/>
      </c>
      <c r="C129" s="18"/>
      <c r="D129" s="18"/>
      <c r="E129" s="1602" t="str">
        <f>IF(Tabellen_Andere!L132="","","Talentspezialisierung: " &amp;$A129&amp;" ("&amp;Tabellen_Andere!L132&amp;")")</f>
        <v/>
      </c>
      <c r="F129" s="1602" t="str">
        <f>IF(Tabellen_Andere!M132="","","Talentspezialisierung: " &amp;$A129&amp;" ("&amp;Tabellen_Andere!M132&amp;")")</f>
        <v/>
      </c>
      <c r="G129" s="1597" t="b">
        <f ca="1">IF(OR(AND(Talente!B146&lt;&gt;"",Talente!B146&gt;=0),Talente!C146="B",Talente!C146="x"),TRUE,FALSE)</f>
        <v>0</v>
      </c>
    </row>
    <row r="130" spans="1:7" x14ac:dyDescent="0.2">
      <c r="A130" s="1603" t="s">
        <v>1554</v>
      </c>
      <c r="B130" s="1602" t="str">
        <f ca="1">Talente!O147</f>
        <v/>
      </c>
      <c r="C130" s="18"/>
      <c r="D130" s="18"/>
      <c r="E130" s="1602" t="str">
        <f>IF(Tabellen_Andere!L133="","","Talentspezialisierung: " &amp;$A130&amp;" ("&amp;Tabellen_Andere!L133&amp;")")</f>
        <v/>
      </c>
      <c r="F130" s="1602" t="str">
        <f>IF(Tabellen_Andere!M133="","","Talentspezialisierung: " &amp;$A130&amp;" ("&amp;Tabellen_Andere!M133&amp;")")</f>
        <v/>
      </c>
      <c r="G130" s="1597" t="b">
        <f ca="1">IF(OR(AND(Talente!B147&lt;&gt;"",Talente!B147&gt;=0),Talente!C147="B",Talente!C147="x"),TRUE,FALSE)</f>
        <v>0</v>
      </c>
    </row>
    <row r="131" spans="1:7" x14ac:dyDescent="0.2">
      <c r="A131" s="1603" t="s">
        <v>1425</v>
      </c>
      <c r="B131" s="1602" t="str">
        <f ca="1">Talente!O148</f>
        <v/>
      </c>
      <c r="C131" s="18"/>
      <c r="D131" s="18"/>
      <c r="E131" s="1602" t="str">
        <f>IF(Tabellen_Andere!L134="","","Talentspezialisierung: " &amp;$A131&amp;" ("&amp;Tabellen_Andere!L134&amp;")")</f>
        <v/>
      </c>
      <c r="F131" s="1602" t="str">
        <f>IF(Tabellen_Andere!M134="","","Talentspezialisierung: " &amp;$A131&amp;" ("&amp;Tabellen_Andere!M134&amp;")")</f>
        <v/>
      </c>
      <c r="G131" s="1597" t="b">
        <f ca="1">IF(OR(AND(Talente!B148&lt;&gt;"",Talente!B148&gt;=0),Talente!C148="B",Talente!C148="x"),TRUE,FALSE)</f>
        <v>0</v>
      </c>
    </row>
    <row r="132" spans="1:7" x14ac:dyDescent="0.2">
      <c r="A132" s="1603" t="s">
        <v>1555</v>
      </c>
      <c r="B132" s="1602" t="str">
        <f ca="1">Talente!O149</f>
        <v/>
      </c>
      <c r="C132" s="18"/>
      <c r="D132" s="18"/>
      <c r="E132" s="1602" t="str">
        <f>IF(Tabellen_Andere!L135="","","Talentspezialisierung: " &amp;$A132&amp;" ("&amp;Tabellen_Andere!L135&amp;")")</f>
        <v/>
      </c>
      <c r="F132" s="1602" t="str">
        <f>IF(Tabellen_Andere!M135="","","Talentspezialisierung: " &amp;$A132&amp;" ("&amp;Tabellen_Andere!M135&amp;")")</f>
        <v/>
      </c>
      <c r="G132" s="1597" t="b">
        <f ca="1">IF(OR(AND(Talente!B149&lt;&gt;"",Talente!B149&gt;=0),Talente!C149="B",Talente!C149="x"),TRUE,FALSE)</f>
        <v>0</v>
      </c>
    </row>
    <row r="133" spans="1:7" x14ac:dyDescent="0.2">
      <c r="A133" s="1607" t="s">
        <v>3909</v>
      </c>
      <c r="B133" s="1602" t="str">
        <f ca="1">Talente!O150</f>
        <v/>
      </c>
      <c r="C133" s="18"/>
      <c r="D133" s="18"/>
      <c r="E133" s="1602" t="str">
        <f>IF(Tabellen_Andere!L136="","","Talentspezialisierung: " &amp;$A133&amp;" ("&amp;Tabellen_Andere!L136&amp;")")</f>
        <v/>
      </c>
      <c r="F133" s="1602" t="str">
        <f>IF(Tabellen_Andere!M136="","","Talentspezialisierung: " &amp;$A133&amp;" ("&amp;Tabellen_Andere!M136&amp;")")</f>
        <v/>
      </c>
      <c r="G133" s="1597" t="b">
        <f ca="1">IF(OR(AND(Talente!B150&lt;&gt;"",Talente!B150&gt;=0),Talente!C150="B",Talente!C150="x"),TRUE,FALSE)</f>
        <v>0</v>
      </c>
    </row>
    <row r="134" spans="1:7" x14ac:dyDescent="0.2">
      <c r="A134" s="1603" t="s">
        <v>3910</v>
      </c>
      <c r="B134" s="1602" t="str">
        <f ca="1">Talente!O151</f>
        <v/>
      </c>
      <c r="C134" s="18"/>
      <c r="D134" s="18"/>
      <c r="E134" s="1602" t="str">
        <f>IF(Tabellen_Andere!L137="","","Talentspezialisierung: " &amp;$A134&amp;" ("&amp;Tabellen_Andere!L137&amp;")")</f>
        <v/>
      </c>
      <c r="F134" s="1602" t="str">
        <f>IF(Tabellen_Andere!M137="","","Talentspezialisierung: " &amp;$A134&amp;" ("&amp;Tabellen_Andere!M137&amp;")")</f>
        <v/>
      </c>
      <c r="G134" s="1597" t="b">
        <f ca="1">IF(OR(AND(Talente!B151&lt;&gt;"",Talente!B151&gt;=0),Talente!C151="B",Talente!C151="x"),TRUE,FALSE)</f>
        <v>0</v>
      </c>
    </row>
    <row r="135" spans="1:7" x14ac:dyDescent="0.2">
      <c r="A135" s="1603" t="s">
        <v>3911</v>
      </c>
      <c r="B135" s="1602" t="str">
        <f ca="1">Talente!O152</f>
        <v/>
      </c>
      <c r="C135" s="18"/>
      <c r="D135" s="18"/>
      <c r="E135" s="1602" t="str">
        <f>IF(Tabellen_Andere!L138="","","Talentspezialisierung: " &amp;$A135&amp;" ("&amp;Tabellen_Andere!L138&amp;")")</f>
        <v/>
      </c>
      <c r="F135" s="1602" t="str">
        <f>IF(Tabellen_Andere!M138="","","Talentspezialisierung: " &amp;$A135&amp;" ("&amp;Tabellen_Andere!M138&amp;")")</f>
        <v/>
      </c>
      <c r="G135" s="1597" t="b">
        <f ca="1">IF(OR(AND(Talente!B152&lt;&gt;"",Talente!B152&gt;=0),Talente!C152="B",Talente!C152="x"),TRUE,FALSE)</f>
        <v>0</v>
      </c>
    </row>
    <row r="136" spans="1:7" x14ac:dyDescent="0.2">
      <c r="A136" s="1603" t="s">
        <v>3912</v>
      </c>
      <c r="B136" s="1602" t="str">
        <f ca="1">Talente!O153</f>
        <v/>
      </c>
      <c r="C136" s="18"/>
      <c r="D136" s="18"/>
      <c r="E136" s="1602" t="str">
        <f>IF(Tabellen_Andere!L139="","","Talentspezialisierung: " &amp;$A136&amp;" ("&amp;Tabellen_Andere!L139&amp;")")</f>
        <v/>
      </c>
      <c r="F136" s="1602" t="str">
        <f>IF(Tabellen_Andere!M139="","","Talentspezialisierung: " &amp;$A136&amp;" ("&amp;Tabellen_Andere!M139&amp;")")</f>
        <v/>
      </c>
      <c r="G136" s="1597" t="b">
        <f ca="1">IF(OR(AND(Talente!B153&lt;&gt;"",Talente!B153&gt;=0),Talente!C153="B",Talente!C153="x"),TRUE,FALSE)</f>
        <v>0</v>
      </c>
    </row>
    <row r="137" spans="1:7" x14ac:dyDescent="0.2">
      <c r="A137" s="1603" t="s">
        <v>3913</v>
      </c>
      <c r="B137" s="1602" t="str">
        <f ca="1">Talente!O154</f>
        <v/>
      </c>
      <c r="C137" s="18"/>
      <c r="D137" s="18"/>
      <c r="E137" s="1602" t="str">
        <f>IF(Tabellen_Andere!L140="","","Talentspezialisierung: " &amp;$A137&amp;" ("&amp;Tabellen_Andere!L140&amp;")")</f>
        <v/>
      </c>
      <c r="F137" s="1602" t="str">
        <f>IF(Tabellen_Andere!M140="","","Talentspezialisierung: " &amp;$A137&amp;" ("&amp;Tabellen_Andere!M140&amp;")")</f>
        <v/>
      </c>
      <c r="G137" s="1597" t="b">
        <f ca="1">IF(OR(AND(Talente!B154&lt;&gt;"",Talente!B154&gt;=0),Talente!C154="B",Talente!C154="x"),TRUE,FALSE)</f>
        <v>0</v>
      </c>
    </row>
    <row r="138" spans="1:7" x14ac:dyDescent="0.2">
      <c r="A138" s="1603" t="s">
        <v>3914</v>
      </c>
      <c r="B138" s="1602" t="str">
        <f ca="1">Talente!O155</f>
        <v/>
      </c>
      <c r="C138" s="18"/>
      <c r="D138" s="18"/>
      <c r="E138" s="1602" t="str">
        <f>IF(Tabellen_Andere!L141="","","Talentspezialisierung: " &amp;$A138&amp;" ("&amp;Tabellen_Andere!L141&amp;")")</f>
        <v/>
      </c>
      <c r="F138" s="1602" t="str">
        <f>IF(Tabellen_Andere!M141="","","Talentspezialisierung: " &amp;$A138&amp;" ("&amp;Tabellen_Andere!M141&amp;")")</f>
        <v/>
      </c>
      <c r="G138" s="1597" t="b">
        <f ca="1">IF(OR(AND(Talente!B155&lt;&gt;"",Talente!B155&gt;=0),Talente!C155="B",Talente!C155="x"),TRUE,FALSE)</f>
        <v>0</v>
      </c>
    </row>
    <row r="139" spans="1:7" x14ac:dyDescent="0.2">
      <c r="A139" s="1603" t="s">
        <v>3000</v>
      </c>
      <c r="B139" s="1602" t="str">
        <f ca="1">Talente!O156</f>
        <v/>
      </c>
      <c r="C139" s="18"/>
      <c r="D139" s="18"/>
      <c r="E139" s="1602" t="str">
        <f>IF(Tabellen_Andere!L142="","","Talentspezialisierung: " &amp;$A139&amp;" ("&amp;Tabellen_Andere!L142&amp;")")</f>
        <v/>
      </c>
      <c r="F139" s="1602" t="str">
        <f>IF(Tabellen_Andere!M142="","","Talentspezialisierung: " &amp;$A139&amp;" ("&amp;Tabellen_Andere!M142&amp;")")</f>
        <v/>
      </c>
      <c r="G139" s="1597" t="b">
        <f ca="1">IF(OR(AND(Talente!B156&lt;&gt;"",Talente!B156&gt;=0),Talente!C156="B",Talente!C156="x"),TRUE,FALSE)</f>
        <v>0</v>
      </c>
    </row>
    <row r="140" spans="1:7" ht="13.5" thickBot="1" x14ac:dyDescent="0.25">
      <c r="A140" s="1608" t="s">
        <v>1304</v>
      </c>
      <c r="B140" s="1609" t="str">
        <f ca="1">Talente!O157</f>
        <v/>
      </c>
      <c r="C140" s="1599"/>
      <c r="D140" s="1599"/>
      <c r="E140" s="1609" t="str">
        <f>IF(Tabellen_Andere!L143="","","Talentspezialisierung: " &amp;$A140&amp;" ("&amp;Tabellen_Andere!L143&amp;")")</f>
        <v/>
      </c>
      <c r="F140" s="1609" t="str">
        <f>IF(Tabellen_Andere!M143="","","Talentspezialisierung: " &amp;$A140&amp;" ("&amp;Tabellen_Andere!M143&amp;")")</f>
        <v/>
      </c>
      <c r="G140" s="1600" t="b">
        <f ca="1">IF(OR(AND(Talente!B157&lt;&gt;"",Talente!B157&gt;=0),Talente!C157="B",Talente!C157="x"),TRUE,FALSE)</f>
        <v>0</v>
      </c>
    </row>
    <row r="141" spans="1:7" x14ac:dyDescent="0.2">
      <c r="A141" s="1642" t="s">
        <v>9054</v>
      </c>
      <c r="B141" s="1602" t="str">
        <f ca="1">Talente!O177</f>
        <v/>
      </c>
      <c r="C141" s="18"/>
      <c r="D141" s="18"/>
      <c r="E141" s="18"/>
      <c r="F141" s="18"/>
      <c r="G141" s="1597" t="b">
        <f>IF(OR(AND(Talente!B158&lt;&gt;"",Talente!B158&gt;=0),Talente!C158="B",Talente!C158="x"),TRUE,FALSE)</f>
        <v>0</v>
      </c>
    </row>
    <row r="142" spans="1:7" x14ac:dyDescent="0.2">
      <c r="A142" s="1617" t="s">
        <v>9055</v>
      </c>
      <c r="B142" s="1602" t="str">
        <f ca="1">Talente!O178</f>
        <v/>
      </c>
      <c r="C142" s="18"/>
      <c r="D142" s="18"/>
      <c r="E142" s="18"/>
      <c r="F142" s="18"/>
      <c r="G142" s="1597" t="b">
        <f ca="1">IF(OR(AND(Talente!B159&lt;&gt;"",Talente!B159&gt;=0),Talente!C159="B",Talente!C159="x"),TRUE,FALSE)</f>
        <v>1</v>
      </c>
    </row>
    <row r="143" spans="1:7" x14ac:dyDescent="0.2">
      <c r="A143" s="1617" t="s">
        <v>9056</v>
      </c>
      <c r="B143" s="1602" t="str">
        <f ca="1">Talente!O179</f>
        <v/>
      </c>
      <c r="C143" s="18"/>
      <c r="D143" s="18"/>
      <c r="E143" s="18"/>
      <c r="F143" s="18"/>
      <c r="G143" s="1597" t="b">
        <f ca="1">IF(OR(AND(Talente!B160&lt;&gt;"",Talente!B160&gt;=0),Talente!C160="B",Talente!C160="x"),TRUE,FALSE)</f>
        <v>1</v>
      </c>
    </row>
    <row r="144" spans="1:7" x14ac:dyDescent="0.2">
      <c r="A144" s="1617" t="s">
        <v>9057</v>
      </c>
      <c r="B144" s="1602" t="str">
        <f ca="1">Talente!O180</f>
        <v/>
      </c>
      <c r="C144" s="18"/>
      <c r="D144" s="18"/>
      <c r="E144" s="18"/>
      <c r="F144" s="18"/>
      <c r="G144" s="1597" t="b">
        <f ca="1">IF(OR(AND(Talente!B161&lt;&gt;"",Talente!B161&gt;=0),Talente!C161="B",Talente!C161="x"),TRUE,FALSE)</f>
        <v>1</v>
      </c>
    </row>
    <row r="145" spans="1:7" x14ac:dyDescent="0.2">
      <c r="A145" s="1617" t="s">
        <v>9058</v>
      </c>
      <c r="B145" s="1602" t="str">
        <f ca="1">Talente!O181</f>
        <v/>
      </c>
      <c r="C145" s="18"/>
      <c r="D145" s="18"/>
      <c r="E145" s="18"/>
      <c r="F145" s="18"/>
      <c r="G145" s="1597" t="b">
        <f ca="1">IF(OR(AND(Talente!B162&lt;&gt;"",Talente!B162&gt;=0),Talente!C162="B",Talente!C162="x"),TRUE,FALSE)</f>
        <v>1</v>
      </c>
    </row>
    <row r="146" spans="1:7" x14ac:dyDescent="0.2">
      <c r="A146" s="1617" t="s">
        <v>9059</v>
      </c>
      <c r="B146" s="1602" t="str">
        <f ca="1">Talente!O182</f>
        <v/>
      </c>
      <c r="C146" s="18"/>
      <c r="D146" s="18"/>
      <c r="E146" s="18"/>
      <c r="F146" s="18"/>
      <c r="G146" s="1597" t="b">
        <f ca="1">IF(OR(AND(Talente!B163&lt;&gt;"",Talente!B163&gt;=0),Talente!C163="B",Talente!C163="x"),TRUE,FALSE)</f>
        <v>1</v>
      </c>
    </row>
    <row r="147" spans="1:7" x14ac:dyDescent="0.2">
      <c r="A147" s="1617" t="s">
        <v>9060</v>
      </c>
      <c r="B147" s="1602" t="str">
        <f ca="1">Talente!O183</f>
        <v/>
      </c>
      <c r="C147" s="18"/>
      <c r="D147" s="18"/>
      <c r="E147" s="18"/>
      <c r="F147" s="18"/>
      <c r="G147" s="1597" t="b">
        <f ca="1">IF(OR(AND(Talente!B164&lt;&gt;"",Talente!B164&gt;=0),Talente!C164="B",Talente!C164="x"),TRUE,FALSE)</f>
        <v>1</v>
      </c>
    </row>
    <row r="148" spans="1:7" x14ac:dyDescent="0.2">
      <c r="A148" s="1617" t="s">
        <v>9061</v>
      </c>
      <c r="B148" s="1602" t="str">
        <f ca="1">Talente!O184</f>
        <v/>
      </c>
      <c r="C148" s="18"/>
      <c r="D148" s="18"/>
      <c r="E148" s="18"/>
      <c r="F148" s="18"/>
      <c r="G148" s="1597" t="b">
        <f>IF(OR(AND(Talente!B165&lt;&gt;"",Talente!B165&gt;=0),Talente!C165="B",Talente!C165="x"),TRUE,FALSE)</f>
        <v>0</v>
      </c>
    </row>
    <row r="149" spans="1:7" x14ac:dyDescent="0.2">
      <c r="A149" s="1617" t="s">
        <v>9062</v>
      </c>
      <c r="B149" s="1602" t="str">
        <f ca="1">Talente!O185</f>
        <v/>
      </c>
      <c r="C149" s="18"/>
      <c r="D149" s="18"/>
      <c r="E149" s="18"/>
      <c r="F149" s="18"/>
      <c r="G149" s="1597" t="b">
        <f>IF(OR(AND(Talente!B166&lt;&gt;"",Talente!B166&gt;=0),Talente!C166="B",Talente!C166="x"),TRUE,FALSE)</f>
        <v>0</v>
      </c>
    </row>
    <row r="150" spans="1:7" x14ac:dyDescent="0.2">
      <c r="A150" s="1617" t="s">
        <v>9063</v>
      </c>
      <c r="B150" s="1602" t="str">
        <f ca="1">Talente!O186</f>
        <v/>
      </c>
      <c r="C150" s="18"/>
      <c r="D150" s="18"/>
      <c r="E150" s="18"/>
      <c r="F150" s="18"/>
      <c r="G150" s="1597" t="b">
        <f>IF(OR(AND(Talente!B167&lt;&gt;"",Talente!B167&gt;=0),Talente!C167="B",Talente!C167="x"),TRUE,FALSE)</f>
        <v>0</v>
      </c>
    </row>
    <row r="151" spans="1:7" x14ac:dyDescent="0.2">
      <c r="A151" s="1617" t="s">
        <v>9064</v>
      </c>
      <c r="B151" s="1602" t="str">
        <f ca="1">Talente!O187</f>
        <v/>
      </c>
      <c r="C151" s="18"/>
      <c r="D151" s="18"/>
      <c r="E151" s="18"/>
      <c r="F151" s="18"/>
      <c r="G151" s="1597" t="b">
        <f>IF(OR(AND(Talente!B168&lt;&gt;"",Talente!B168&gt;=0),Talente!C168="B",Talente!C168="x"),TRUE,FALSE)</f>
        <v>0</v>
      </c>
    </row>
    <row r="152" spans="1:7" x14ac:dyDescent="0.2">
      <c r="A152" s="1617" t="s">
        <v>9065</v>
      </c>
      <c r="B152" s="1602" t="str">
        <f ca="1">Talente!O188</f>
        <v/>
      </c>
      <c r="C152" s="18"/>
      <c r="D152" s="18"/>
      <c r="E152" s="18"/>
      <c r="F152" s="18"/>
      <c r="G152" s="1597" t="b">
        <f>IF(OR(AND(Talente!B169&lt;&gt;"",Talente!B169&gt;=0),Talente!C169="B",Talente!C169="x"),TRUE,FALSE)</f>
        <v>0</v>
      </c>
    </row>
    <row r="153" spans="1:7" x14ac:dyDescent="0.2">
      <c r="A153" s="1617" t="s">
        <v>9066</v>
      </c>
      <c r="B153" s="1602" t="str">
        <f ca="1">Talente!O189</f>
        <v/>
      </c>
      <c r="C153" s="18"/>
      <c r="D153" s="18"/>
      <c r="E153" s="18"/>
      <c r="F153" s="18"/>
      <c r="G153" s="1597" t="b">
        <f>IF(OR(AND(Talente!B170&lt;&gt;"",Talente!B170&gt;=0),Talente!C170="B",Talente!C170="x"),TRUE,FALSE)</f>
        <v>0</v>
      </c>
    </row>
    <row r="154" spans="1:7" x14ac:dyDescent="0.2">
      <c r="A154" s="1617" t="s">
        <v>9067</v>
      </c>
      <c r="B154" s="1602" t="str">
        <f ca="1">Talente!O190</f>
        <v/>
      </c>
      <c r="C154" s="18"/>
      <c r="D154" s="18"/>
      <c r="E154" s="18"/>
      <c r="F154" s="18"/>
      <c r="G154" s="1597" t="b">
        <f>IF(OR(AND(Talente!B171&lt;&gt;"",Talente!B171&gt;=0),Talente!C171="B",Talente!C171="x"),TRUE,FALSE)</f>
        <v>0</v>
      </c>
    </row>
    <row r="155" spans="1:7" x14ac:dyDescent="0.2">
      <c r="A155" s="1617" t="s">
        <v>9068</v>
      </c>
      <c r="B155" s="1602" t="str">
        <f ca="1">Talente!O191</f>
        <v/>
      </c>
      <c r="C155" s="18"/>
      <c r="D155" s="18"/>
      <c r="E155" s="18"/>
      <c r="F155" s="18"/>
      <c r="G155" s="1597" t="b">
        <f>IF(OR(AND(Talente!B172&lt;&gt;"",Talente!B172&gt;=0),Talente!C172="B",Talente!C172="x"),TRUE,FALSE)</f>
        <v>0</v>
      </c>
    </row>
    <row r="156" spans="1:7" x14ac:dyDescent="0.2">
      <c r="A156" s="1617" t="s">
        <v>9069</v>
      </c>
      <c r="B156" s="1602" t="str">
        <f ca="1">Talente!O192</f>
        <v/>
      </c>
      <c r="C156" s="18"/>
      <c r="D156" s="18"/>
      <c r="E156" s="18"/>
      <c r="F156" s="18"/>
      <c r="G156" s="1597" t="b">
        <f>IF(OR(AND(Talente!B173&lt;&gt;"",Talente!B173&gt;=0),Talente!C173="B",Talente!C173="x"),TRUE,FALSE)</f>
        <v>0</v>
      </c>
    </row>
    <row r="157" spans="1:7" x14ac:dyDescent="0.2">
      <c r="A157" s="1617" t="s">
        <v>9070</v>
      </c>
      <c r="B157" s="1602" t="str">
        <f ca="1">Talente!O193</f>
        <v/>
      </c>
      <c r="C157" s="18"/>
      <c r="D157" s="18"/>
      <c r="E157" s="18"/>
      <c r="F157" s="18"/>
      <c r="G157" s="1597" t="b">
        <f>IF(OR(AND(Talente!B174&lt;&gt;"",Talente!B174&gt;=0),Talente!C174="B",Talente!C174="x"),TRUE,FALSE)</f>
        <v>0</v>
      </c>
    </row>
    <row r="158" spans="1:7" x14ac:dyDescent="0.2">
      <c r="A158" s="1617" t="s">
        <v>9071</v>
      </c>
      <c r="B158" s="1602" t="str">
        <f ca="1">Talente!O194</f>
        <v/>
      </c>
      <c r="C158" s="18"/>
      <c r="D158" s="18"/>
      <c r="E158" s="18"/>
      <c r="F158" s="18"/>
      <c r="G158" s="1597" t="b">
        <f>IF(OR(AND(Talente!B175&lt;&gt;"",Talente!B175&gt;=0),Talente!C175="B",Talente!C175="x"),TRUE,FALSE)</f>
        <v>1</v>
      </c>
    </row>
    <row r="159" spans="1:7" x14ac:dyDescent="0.2">
      <c r="A159" s="1617" t="s">
        <v>9072</v>
      </c>
      <c r="B159" s="1602" t="str">
        <f ca="1">Talente!O195</f>
        <v/>
      </c>
      <c r="C159" s="18"/>
      <c r="D159" s="18"/>
      <c r="E159" s="18"/>
      <c r="F159" s="18"/>
      <c r="G159" s="1597" t="b">
        <f>IF(OR(AND(Talente!B176&lt;&gt;"",Talente!B176&gt;=0),Talente!C176="B",Talente!C176="x"),TRUE,FALSE)</f>
        <v>0</v>
      </c>
    </row>
    <row r="160" spans="1:7" x14ac:dyDescent="0.2">
      <c r="A160" s="1617" t="s">
        <v>9073</v>
      </c>
      <c r="B160" s="1602" t="str">
        <f ca="1">Talente!O196</f>
        <v/>
      </c>
      <c r="C160" s="18"/>
      <c r="D160" s="18"/>
      <c r="E160" s="18"/>
      <c r="F160" s="18"/>
      <c r="G160" s="1597" t="b">
        <f ca="1">IF(OR(AND(Talente!B177&lt;&gt;"",Talente!B177&gt;=0),Talente!C177="B",Talente!C177="x"),TRUE,FALSE)</f>
        <v>0</v>
      </c>
    </row>
    <row r="161" spans="1:7" x14ac:dyDescent="0.2">
      <c r="A161" s="1617" t="s">
        <v>9074</v>
      </c>
      <c r="B161" s="1602" t="str">
        <f ca="1">Talente!O197</f>
        <v/>
      </c>
      <c r="C161" s="18"/>
      <c r="D161" s="18"/>
      <c r="E161" s="18"/>
      <c r="F161" s="18"/>
      <c r="G161" s="1597" t="b">
        <f ca="1">IF(OR(AND(Talente!B178&lt;&gt;"",Talente!B178&gt;=0),Talente!C178="B",Talente!C178="x"),TRUE,FALSE)</f>
        <v>0</v>
      </c>
    </row>
    <row r="162" spans="1:7" x14ac:dyDescent="0.2">
      <c r="A162" s="1617" t="s">
        <v>9075</v>
      </c>
      <c r="B162" s="1602" t="str">
        <f ca="1">Talente!O198</f>
        <v/>
      </c>
      <c r="C162" s="18"/>
      <c r="D162" s="18"/>
      <c r="E162" s="18"/>
      <c r="F162" s="18"/>
      <c r="G162" s="1597" t="b">
        <f ca="1">IF(OR(AND(Talente!B179&lt;&gt;"",Talente!B179&gt;=0),Talente!C179="B",Talente!C179="x"),TRUE,FALSE)</f>
        <v>0</v>
      </c>
    </row>
    <row r="163" spans="1:7" x14ac:dyDescent="0.2">
      <c r="A163" s="1617" t="s">
        <v>9076</v>
      </c>
      <c r="B163" s="1602" t="str">
        <f ca="1">Talente!O199</f>
        <v/>
      </c>
      <c r="C163" s="18"/>
      <c r="D163" s="18"/>
      <c r="E163" s="18"/>
      <c r="F163" s="18"/>
      <c r="G163" s="1597" t="b">
        <f ca="1">IF(OR(AND(Talente!B180&lt;&gt;"",Talente!B180&gt;=0),Talente!C180="B",Talente!C180="x"),TRUE,FALSE)</f>
        <v>0</v>
      </c>
    </row>
    <row r="164" spans="1:7" x14ac:dyDescent="0.2">
      <c r="A164" s="1617" t="s">
        <v>9077</v>
      </c>
      <c r="B164" s="1602" t="str">
        <f ca="1">Talente!O200</f>
        <v/>
      </c>
      <c r="C164" s="18"/>
      <c r="D164" s="18"/>
      <c r="E164" s="18"/>
      <c r="F164" s="18"/>
      <c r="G164" s="1597" t="b">
        <f ca="1">IF(OR(AND(Talente!B181&lt;&gt;"",Talente!B181&gt;=0),Talente!C181="B",Talente!C181="x"),TRUE,FALSE)</f>
        <v>0</v>
      </c>
    </row>
    <row r="165" spans="1:7" x14ac:dyDescent="0.2">
      <c r="A165" s="1617" t="s">
        <v>9078</v>
      </c>
      <c r="B165" s="1602" t="str">
        <f ca="1">Talente!O201</f>
        <v/>
      </c>
      <c r="C165" s="18"/>
      <c r="D165" s="18"/>
      <c r="E165" s="18"/>
      <c r="F165" s="18"/>
      <c r="G165" s="1597" t="b">
        <f ca="1">IF(OR(AND(Talente!B182&lt;&gt;"",Talente!B182&gt;=0),Talente!C182="B",Talente!C182="x"),TRUE,FALSE)</f>
        <v>0</v>
      </c>
    </row>
    <row r="166" spans="1:7" x14ac:dyDescent="0.2">
      <c r="A166" s="1617" t="s">
        <v>9079</v>
      </c>
      <c r="B166" s="1602" t="str">
        <f ca="1">Talente!O202</f>
        <v/>
      </c>
      <c r="C166" s="18"/>
      <c r="D166" s="18"/>
      <c r="E166" s="18"/>
      <c r="F166" s="18"/>
      <c r="G166" s="1597" t="b">
        <f ca="1">IF(OR(AND(Talente!B183&lt;&gt;"",Talente!B183&gt;=0),Talente!C183="B",Talente!C183="x"),TRUE,FALSE)</f>
        <v>0</v>
      </c>
    </row>
    <row r="167" spans="1:7" x14ac:dyDescent="0.2">
      <c r="A167" s="1617" t="s">
        <v>9080</v>
      </c>
      <c r="B167" s="1602" t="str">
        <f ca="1">Talente!O203</f>
        <v/>
      </c>
      <c r="C167" s="18"/>
      <c r="D167" s="18"/>
      <c r="E167" s="18"/>
      <c r="F167" s="18"/>
      <c r="G167" s="1597" t="b">
        <f ca="1">IF(OR(AND(Talente!B184&lt;&gt;"",Talente!B184&gt;=0),Talente!C184="B",Talente!C184="x"),TRUE,FALSE)</f>
        <v>0</v>
      </c>
    </row>
    <row r="168" spans="1:7" x14ac:dyDescent="0.2">
      <c r="A168" s="1617" t="s">
        <v>9081</v>
      </c>
      <c r="B168" s="1602" t="str">
        <f ca="1">Talente!O204</f>
        <v/>
      </c>
      <c r="C168" s="18"/>
      <c r="D168" s="18"/>
      <c r="E168" s="18"/>
      <c r="F168" s="18"/>
      <c r="G168" s="1597" t="b">
        <f ca="1">IF(OR(AND(Talente!B185&lt;&gt;"",Talente!B185&gt;=0),Talente!C185="B",Talente!C185="x"),TRUE,FALSE)</f>
        <v>0</v>
      </c>
    </row>
    <row r="169" spans="1:7" x14ac:dyDescent="0.2">
      <c r="A169" s="1617" t="s">
        <v>9082</v>
      </c>
      <c r="B169" s="1602" t="str">
        <f ca="1">Talente!O205</f>
        <v/>
      </c>
      <c r="C169" s="18"/>
      <c r="D169" s="18"/>
      <c r="E169" s="18"/>
      <c r="F169" s="18"/>
      <c r="G169" s="1597" t="b">
        <f ca="1">IF(OR(AND(Talente!B186&lt;&gt;"",Talente!B186&gt;=0),Talente!C186="B",Talente!C186="x"),TRUE,FALSE)</f>
        <v>0</v>
      </c>
    </row>
    <row r="170" spans="1:7" x14ac:dyDescent="0.2">
      <c r="A170" s="1617" t="s">
        <v>9083</v>
      </c>
      <c r="B170" s="1602" t="str">
        <f ca="1">Talente!O206</f>
        <v/>
      </c>
      <c r="C170" s="18"/>
      <c r="D170" s="18"/>
      <c r="E170" s="18"/>
      <c r="F170" s="18"/>
      <c r="G170" s="1597" t="b">
        <f ca="1">IF(OR(AND(Talente!B187&lt;&gt;"",Talente!B187&gt;=0),Talente!C187="B",Talente!C187="x"),TRUE,FALSE)</f>
        <v>0</v>
      </c>
    </row>
    <row r="171" spans="1:7" x14ac:dyDescent="0.2">
      <c r="A171" s="1617" t="s">
        <v>9084</v>
      </c>
      <c r="B171" s="1602" t="str">
        <f ca="1">Talente!O207</f>
        <v/>
      </c>
      <c r="C171" s="18"/>
      <c r="D171" s="18"/>
      <c r="E171" s="18"/>
      <c r="F171" s="18"/>
      <c r="G171" s="1597" t="b">
        <f ca="1">IF(OR(AND(Talente!B188&lt;&gt;"",Talente!B188&gt;=0),Talente!C188="B",Talente!C188="x"),TRUE,FALSE)</f>
        <v>0</v>
      </c>
    </row>
    <row r="172" spans="1:7" x14ac:dyDescent="0.2">
      <c r="A172" s="1617" t="s">
        <v>9085</v>
      </c>
      <c r="B172" s="1602" t="str">
        <f ca="1">Talente!O208</f>
        <v/>
      </c>
      <c r="C172" s="18"/>
      <c r="D172" s="18"/>
      <c r="E172" s="18"/>
      <c r="F172" s="18"/>
      <c r="G172" s="1597" t="b">
        <f ca="1">IF(OR(AND(Talente!B189&lt;&gt;"",Talente!B189&gt;=0),Talente!C189="B",Talente!C189="x"),TRUE,FALSE)</f>
        <v>0</v>
      </c>
    </row>
    <row r="173" spans="1:7" x14ac:dyDescent="0.2">
      <c r="A173" s="1617" t="s">
        <v>9086</v>
      </c>
      <c r="B173" s="1602" t="str">
        <f ca="1">Talente!O209</f>
        <v/>
      </c>
      <c r="C173" s="18"/>
      <c r="D173" s="18"/>
      <c r="E173" s="18"/>
      <c r="F173" s="18"/>
      <c r="G173" s="1597" t="b">
        <f ca="1">IF(OR(AND(Talente!B190&lt;&gt;"",Talente!B190&gt;=0),Talente!C190="B",Talente!C190="x"),TRUE,FALSE)</f>
        <v>0</v>
      </c>
    </row>
    <row r="174" spans="1:7" x14ac:dyDescent="0.2">
      <c r="A174" s="1617" t="s">
        <v>9087</v>
      </c>
      <c r="B174" s="1602" t="str">
        <f ca="1">Talente!O210</f>
        <v/>
      </c>
      <c r="C174" s="18"/>
      <c r="D174" s="18"/>
      <c r="E174" s="18"/>
      <c r="F174" s="18"/>
      <c r="G174" s="1597" t="b">
        <f ca="1">IF(OR(AND(Talente!B191&lt;&gt;"",Talente!B191&gt;=0),Talente!C191="B",Talente!C191="x"),TRUE,FALSE)</f>
        <v>0</v>
      </c>
    </row>
    <row r="175" spans="1:7" x14ac:dyDescent="0.2">
      <c r="A175" s="1617" t="s">
        <v>9088</v>
      </c>
      <c r="B175" s="1602" t="str">
        <f ca="1">Talente!O211</f>
        <v/>
      </c>
      <c r="C175" s="18"/>
      <c r="D175" s="18"/>
      <c r="E175" s="18"/>
      <c r="F175" s="18"/>
      <c r="G175" s="1597" t="b">
        <f ca="1">IF(OR(AND(Talente!B192&lt;&gt;"",Talente!B192&gt;=0),Talente!C192="B",Talente!C192="x"),TRUE,FALSE)</f>
        <v>0</v>
      </c>
    </row>
    <row r="176" spans="1:7" x14ac:dyDescent="0.2">
      <c r="A176" s="1617" t="s">
        <v>9089</v>
      </c>
      <c r="B176" s="1602" t="str">
        <f ca="1">Talente!O212</f>
        <v/>
      </c>
      <c r="C176" s="18"/>
      <c r="D176" s="18"/>
      <c r="E176" s="18"/>
      <c r="F176" s="18"/>
      <c r="G176" s="1597" t="b">
        <f ca="1">IF(OR(AND(Talente!B193&lt;&gt;"",Talente!B193&gt;=0),Talente!C193="B",Talente!C193="x"),TRUE,FALSE)</f>
        <v>0</v>
      </c>
    </row>
    <row r="177" spans="1:7" x14ac:dyDescent="0.2">
      <c r="A177" s="1617" t="s">
        <v>9090</v>
      </c>
      <c r="B177" s="1602" t="str">
        <f ca="1">Talente!O213</f>
        <v/>
      </c>
      <c r="C177" s="18"/>
      <c r="D177" s="18"/>
      <c r="E177" s="18"/>
      <c r="F177" s="18"/>
      <c r="G177" s="1597" t="b">
        <f ca="1">IF(OR(AND(Talente!B194&lt;&gt;"",Talente!B194&gt;=0),Talente!C194="B",Talente!C194="x"),TRUE,FALSE)</f>
        <v>0</v>
      </c>
    </row>
    <row r="178" spans="1:7" x14ac:dyDescent="0.2">
      <c r="A178" s="1617" t="s">
        <v>9091</v>
      </c>
      <c r="B178" s="1602" t="str">
        <f ca="1">Talente!O214</f>
        <v/>
      </c>
      <c r="C178" s="18"/>
      <c r="D178" s="18"/>
      <c r="E178" s="18"/>
      <c r="F178" s="18"/>
      <c r="G178" s="1597" t="b">
        <f ca="1">IF(OR(AND(Talente!B195&lt;&gt;"",Talente!B195&gt;=0),Talente!C195="B",Talente!C195="x"),TRUE,FALSE)</f>
        <v>0</v>
      </c>
    </row>
    <row r="179" spans="1:7" x14ac:dyDescent="0.2">
      <c r="A179" s="1617" t="s">
        <v>9092</v>
      </c>
      <c r="B179" s="1602" t="str">
        <f ca="1">Talente!O215</f>
        <v/>
      </c>
      <c r="C179" s="18"/>
      <c r="D179" s="18"/>
      <c r="E179" s="18"/>
      <c r="F179" s="18"/>
      <c r="G179" s="1597" t="b">
        <f ca="1">IF(OR(AND(Talente!B196&lt;&gt;"",Talente!B196&gt;=0),Talente!C196="B",Talente!C196="x"),TRUE,FALSE)</f>
        <v>0</v>
      </c>
    </row>
    <row r="180" spans="1:7" x14ac:dyDescent="0.2">
      <c r="A180" s="1617" t="s">
        <v>9093</v>
      </c>
      <c r="B180" s="1602" t="str">
        <f ca="1">Talente!O216</f>
        <v/>
      </c>
      <c r="C180" s="18"/>
      <c r="D180" s="18"/>
      <c r="E180" s="18"/>
      <c r="F180" s="18"/>
      <c r="G180" s="1597" t="b">
        <f ca="1">IF(OR(AND(Talente!B197&lt;&gt;"",Talente!B197&gt;=0),Talente!C197="B",Talente!C197="x"),TRUE,FALSE)</f>
        <v>0</v>
      </c>
    </row>
    <row r="181" spans="1:7" x14ac:dyDescent="0.2">
      <c r="A181" s="1617" t="s">
        <v>9094</v>
      </c>
      <c r="B181" s="1602" t="str">
        <f ca="1">Talente!O217</f>
        <v/>
      </c>
      <c r="C181" s="18"/>
      <c r="D181" s="18"/>
      <c r="E181" s="18"/>
      <c r="F181" s="18"/>
      <c r="G181" s="1597" t="b">
        <f ca="1">IF(OR(AND(Talente!B198&lt;&gt;"",Talente!B198&gt;=0),Talente!C198="B",Talente!C198="x"),TRUE,FALSE)</f>
        <v>0</v>
      </c>
    </row>
    <row r="182" spans="1:7" x14ac:dyDescent="0.2">
      <c r="A182" s="1617" t="s">
        <v>9095</v>
      </c>
      <c r="B182" s="1602" t="str">
        <f ca="1">Talente!O218</f>
        <v/>
      </c>
      <c r="C182" s="18"/>
      <c r="D182" s="18"/>
      <c r="E182" s="18"/>
      <c r="F182" s="18"/>
      <c r="G182" s="1597" t="b">
        <f ca="1">IF(OR(AND(Talente!B199&lt;&gt;"",Talente!B199&gt;=0),Talente!C199="B",Talente!C199="x"),TRUE,FALSE)</f>
        <v>0</v>
      </c>
    </row>
    <row r="183" spans="1:7" x14ac:dyDescent="0.2">
      <c r="A183" s="1617" t="s">
        <v>9096</v>
      </c>
      <c r="B183" s="1602" t="str">
        <f ca="1">Talente!O219</f>
        <v/>
      </c>
      <c r="C183" s="18"/>
      <c r="D183" s="18"/>
      <c r="E183" s="18"/>
      <c r="F183" s="18"/>
      <c r="G183" s="1597" t="b">
        <f ca="1">IF(OR(AND(Talente!B200&lt;&gt;"",Talente!B200&gt;=0),Talente!C200="B",Talente!C200="x"),TRUE,FALSE)</f>
        <v>0</v>
      </c>
    </row>
    <row r="184" spans="1:7" x14ac:dyDescent="0.2">
      <c r="A184" s="1617" t="s">
        <v>9097</v>
      </c>
      <c r="B184" s="1602" t="str">
        <f ca="1">Talente!O220</f>
        <v/>
      </c>
      <c r="C184" s="18"/>
      <c r="D184" s="18"/>
      <c r="E184" s="18"/>
      <c r="F184" s="18"/>
      <c r="G184" s="1597" t="b">
        <f ca="1">IF(OR(AND(Talente!B201&lt;&gt;"",Talente!B201&gt;=0),Talente!C201="B",Talente!C201="x"),TRUE,FALSE)</f>
        <v>0</v>
      </c>
    </row>
    <row r="185" spans="1:7" x14ac:dyDescent="0.2">
      <c r="A185" s="1617" t="s">
        <v>9098</v>
      </c>
      <c r="B185" s="1602" t="str">
        <f ca="1">Talente!O221</f>
        <v/>
      </c>
      <c r="C185" s="18"/>
      <c r="D185" s="18"/>
      <c r="E185" s="18"/>
      <c r="F185" s="18"/>
      <c r="G185" s="1597" t="b">
        <f ca="1">IF(OR(AND(Talente!B202&lt;&gt;"",Talente!B202&gt;=0),Talente!C202="B",Talente!C202="x"),TRUE,FALSE)</f>
        <v>0</v>
      </c>
    </row>
    <row r="186" spans="1:7" ht="13.5" thickBot="1" x14ac:dyDescent="0.25">
      <c r="A186" s="1619" t="s">
        <v>9099</v>
      </c>
      <c r="B186" s="1602" t="str">
        <f ca="1">Talente!O222</f>
        <v/>
      </c>
      <c r="C186" s="18"/>
      <c r="D186" s="18"/>
      <c r="E186" s="18"/>
      <c r="F186" s="18"/>
      <c r="G186" s="1597" t="b">
        <f ca="1">IF(OR(AND(Talente!B203&lt;&gt;"",Talente!B203&gt;=0),Talente!C203="B",Talente!C203="x"),TRUE,FALSE)</f>
        <v>0</v>
      </c>
    </row>
    <row r="187" spans="1:7" x14ac:dyDescent="0.2">
      <c r="A187" s="1620" t="s">
        <v>4911</v>
      </c>
      <c r="B187" s="1621" t="str">
        <f ca="1">Talente!O224</f>
        <v/>
      </c>
      <c r="C187" s="1622"/>
      <c r="D187" s="1622"/>
      <c r="E187" s="1622"/>
      <c r="F187" s="1622"/>
      <c r="G187" s="1623" t="b">
        <f ca="1">IF(Talente!B224="",FALSE,TRUE)</f>
        <v>0</v>
      </c>
    </row>
    <row r="188" spans="1:7" x14ac:dyDescent="0.2">
      <c r="A188" s="1617" t="s">
        <v>3879</v>
      </c>
      <c r="B188" s="1602" t="str">
        <f ca="1">Talente!O225</f>
        <v/>
      </c>
      <c r="C188" s="18"/>
      <c r="D188" s="18"/>
      <c r="E188" s="18"/>
      <c r="F188" s="18"/>
      <c r="G188" s="1597" t="b">
        <f ca="1">IF(Talente!B225="",FALSE,TRUE)</f>
        <v>0</v>
      </c>
    </row>
    <row r="189" spans="1:7" x14ac:dyDescent="0.2">
      <c r="A189" s="1617" t="s">
        <v>1623</v>
      </c>
      <c r="B189" s="1602" t="str">
        <f ca="1">Talente!O226</f>
        <v/>
      </c>
      <c r="C189" s="18"/>
      <c r="D189" s="18"/>
      <c r="E189" s="18"/>
      <c r="F189" s="18"/>
      <c r="G189" s="1597" t="b">
        <f ca="1">IF(Talente!B226="",FALSE,TRUE)</f>
        <v>0</v>
      </c>
    </row>
    <row r="190" spans="1:7" x14ac:dyDescent="0.2">
      <c r="A190" s="1617" t="s">
        <v>3868</v>
      </c>
      <c r="B190" s="1602" t="str">
        <f ca="1">Talente!O227</f>
        <v/>
      </c>
      <c r="C190" s="18"/>
      <c r="D190" s="18"/>
      <c r="E190" s="18"/>
      <c r="F190" s="18"/>
      <c r="G190" s="1597" t="b">
        <f ca="1">IF(Talente!B227="",FALSE,TRUE)</f>
        <v>0</v>
      </c>
    </row>
    <row r="191" spans="1:7" x14ac:dyDescent="0.2">
      <c r="A191" s="1617" t="s">
        <v>3869</v>
      </c>
      <c r="B191" s="1602" t="str">
        <f ca="1">Talente!O228</f>
        <v/>
      </c>
      <c r="C191" s="18"/>
      <c r="D191" s="18"/>
      <c r="E191" s="18"/>
      <c r="F191" s="18"/>
      <c r="G191" s="1597" t="b">
        <f ca="1">IF(Talente!B228="",FALSE,TRUE)</f>
        <v>0</v>
      </c>
    </row>
    <row r="192" spans="1:7" x14ac:dyDescent="0.2">
      <c r="A192" s="1617" t="s">
        <v>3880</v>
      </c>
      <c r="B192" s="1602" t="str">
        <f ca="1">Talente!O229</f>
        <v/>
      </c>
      <c r="C192" s="18"/>
      <c r="D192" s="18"/>
      <c r="E192" s="18"/>
      <c r="F192" s="18"/>
      <c r="G192" s="1597" t="b">
        <f ca="1">IF(Talente!B229="",FALSE,TRUE)</f>
        <v>0</v>
      </c>
    </row>
    <row r="193" spans="1:7" x14ac:dyDescent="0.2">
      <c r="A193" s="1617" t="s">
        <v>3870</v>
      </c>
      <c r="B193" s="1602" t="str">
        <f ca="1">Talente!O230</f>
        <v/>
      </c>
      <c r="C193" s="18"/>
      <c r="D193" s="18"/>
      <c r="E193" s="18"/>
      <c r="F193" s="18"/>
      <c r="G193" s="1597" t="b">
        <f ca="1">IF(Talente!B230="",FALSE,TRUE)</f>
        <v>0</v>
      </c>
    </row>
    <row r="194" spans="1:7" x14ac:dyDescent="0.2">
      <c r="A194" s="1617" t="s">
        <v>1047</v>
      </c>
      <c r="B194" s="1602" t="str">
        <f ca="1">Talente!O231</f>
        <v/>
      </c>
      <c r="C194" s="18"/>
      <c r="D194" s="18"/>
      <c r="E194" s="18"/>
      <c r="F194" s="18"/>
      <c r="G194" s="1597" t="b">
        <f ca="1">IF(Talente!B231="",FALSE,TRUE)</f>
        <v>0</v>
      </c>
    </row>
    <row r="195" spans="1:7" x14ac:dyDescent="0.2">
      <c r="A195" s="1617" t="s">
        <v>3871</v>
      </c>
      <c r="B195" s="1602" t="str">
        <f ca="1">Talente!O232</f>
        <v/>
      </c>
      <c r="C195" s="18"/>
      <c r="D195" s="18"/>
      <c r="E195" s="18"/>
      <c r="F195" s="18"/>
      <c r="G195" s="1597" t="b">
        <f ca="1">IF(Talente!B232="",FALSE,TRUE)</f>
        <v>0</v>
      </c>
    </row>
    <row r="196" spans="1:7" x14ac:dyDescent="0.2">
      <c r="A196" s="1617" t="s">
        <v>997</v>
      </c>
      <c r="B196" s="1602" t="str">
        <f ca="1">Talente!O233</f>
        <v/>
      </c>
      <c r="C196" s="18"/>
      <c r="D196" s="18"/>
      <c r="E196" s="18"/>
      <c r="F196" s="18"/>
      <c r="G196" s="1597" t="b">
        <f ca="1">IF(Talente!B233="",FALSE,TRUE)</f>
        <v>0</v>
      </c>
    </row>
    <row r="197" spans="1:7" x14ac:dyDescent="0.2">
      <c r="A197" s="1617" t="s">
        <v>2795</v>
      </c>
      <c r="B197" s="1602" t="str">
        <f ca="1">Talente!O234</f>
        <v/>
      </c>
      <c r="C197" s="18"/>
      <c r="D197" s="18"/>
      <c r="E197" s="18"/>
      <c r="F197" s="18"/>
      <c r="G197" s="1597" t="b">
        <f ca="1">IF(Talente!B234="",FALSE,TRUE)</f>
        <v>0</v>
      </c>
    </row>
    <row r="198" spans="1:7" x14ac:dyDescent="0.2">
      <c r="A198" s="1617" t="s">
        <v>3872</v>
      </c>
      <c r="B198" s="1602" t="str">
        <f ca="1">Talente!O235</f>
        <v/>
      </c>
      <c r="C198" s="18"/>
      <c r="D198" s="18"/>
      <c r="E198" s="18"/>
      <c r="F198" s="18"/>
      <c r="G198" s="1597" t="b">
        <f ca="1">IF(Talente!B235="",FALSE,TRUE)</f>
        <v>0</v>
      </c>
    </row>
    <row r="199" spans="1:7" x14ac:dyDescent="0.2">
      <c r="A199" s="1617" t="s">
        <v>3873</v>
      </c>
      <c r="B199" s="1602" t="str">
        <f ca="1">Talente!O236</f>
        <v/>
      </c>
      <c r="C199" s="18"/>
      <c r="D199" s="18"/>
      <c r="E199" s="18"/>
      <c r="F199" s="18"/>
      <c r="G199" s="1597" t="b">
        <f ca="1">IF(Talente!B236="",FALSE,TRUE)</f>
        <v>0</v>
      </c>
    </row>
    <row r="200" spans="1:7" x14ac:dyDescent="0.2">
      <c r="A200" s="1617" t="s">
        <v>2921</v>
      </c>
      <c r="B200" s="1602" t="str">
        <f ca="1">Talente!O237</f>
        <v/>
      </c>
      <c r="C200" s="18"/>
      <c r="D200" s="18"/>
      <c r="E200" s="18"/>
      <c r="F200" s="18"/>
      <c r="G200" s="1597" t="b">
        <f ca="1">IF(Talente!B237="",FALSE,TRUE)</f>
        <v>0</v>
      </c>
    </row>
    <row r="201" spans="1:7" x14ac:dyDescent="0.2">
      <c r="A201" s="1617" t="s">
        <v>3874</v>
      </c>
      <c r="B201" s="1602" t="str">
        <f ca="1">Talente!O238</f>
        <v/>
      </c>
      <c r="C201" s="18"/>
      <c r="D201" s="18"/>
      <c r="E201" s="18"/>
      <c r="F201" s="18"/>
      <c r="G201" s="1597" t="b">
        <f ca="1">IF(Talente!B238="",FALSE,TRUE)</f>
        <v>0</v>
      </c>
    </row>
    <row r="202" spans="1:7" x14ac:dyDescent="0.2">
      <c r="A202" s="1617" t="s">
        <v>2922</v>
      </c>
      <c r="B202" s="1602" t="str">
        <f ca="1">Talente!O239</f>
        <v/>
      </c>
      <c r="C202" s="18"/>
      <c r="D202" s="18"/>
      <c r="E202" s="18"/>
      <c r="F202" s="18"/>
      <c r="G202" s="1597" t="b">
        <f ca="1">IF(Talente!B239="",FALSE,TRUE)</f>
        <v>0</v>
      </c>
    </row>
    <row r="203" spans="1:7" x14ac:dyDescent="0.2">
      <c r="A203" s="1617" t="s">
        <v>2923</v>
      </c>
      <c r="B203" s="1602" t="str">
        <f ca="1">Talente!O240</f>
        <v/>
      </c>
      <c r="C203" s="18"/>
      <c r="D203" s="18"/>
      <c r="E203" s="18"/>
      <c r="F203" s="18"/>
      <c r="G203" s="1597" t="b">
        <f ca="1">IF(Talente!B240="",FALSE,TRUE)</f>
        <v>0</v>
      </c>
    </row>
    <row r="204" spans="1:7" x14ac:dyDescent="0.2">
      <c r="A204" s="1617" t="s">
        <v>3875</v>
      </c>
      <c r="B204" s="1602" t="str">
        <f ca="1">Talente!O241</f>
        <v/>
      </c>
      <c r="C204" s="18"/>
      <c r="D204" s="18"/>
      <c r="E204" s="18"/>
      <c r="F204" s="18"/>
      <c r="G204" s="1597" t="b">
        <f ca="1">IF(Talente!B241="",FALSE,TRUE)</f>
        <v>0</v>
      </c>
    </row>
    <row r="205" spans="1:7" x14ac:dyDescent="0.2">
      <c r="A205" s="1617" t="s">
        <v>2733</v>
      </c>
      <c r="B205" s="1602" t="str">
        <f ca="1">Talente!O242</f>
        <v/>
      </c>
      <c r="C205" s="18"/>
      <c r="D205" s="18"/>
      <c r="E205" s="18"/>
      <c r="F205" s="18"/>
      <c r="G205" s="1597" t="b">
        <f ca="1">IF(Talente!B242="",FALSE,TRUE)</f>
        <v>0</v>
      </c>
    </row>
    <row r="206" spans="1:7" x14ac:dyDescent="0.2">
      <c r="A206" s="1617" t="s">
        <v>2168</v>
      </c>
      <c r="B206" s="1602" t="str">
        <f ca="1">Talente!O243</f>
        <v/>
      </c>
      <c r="C206" s="18"/>
      <c r="D206" s="18"/>
      <c r="E206" s="18"/>
      <c r="F206" s="18"/>
      <c r="G206" s="1597" t="b">
        <f ca="1">IF(Talente!B243="",FALSE,TRUE)</f>
        <v>0</v>
      </c>
    </row>
    <row r="207" spans="1:7" x14ac:dyDescent="0.2">
      <c r="A207" s="1617" t="s">
        <v>2169</v>
      </c>
      <c r="B207" s="1602" t="str">
        <f ca="1">Talente!O244</f>
        <v/>
      </c>
      <c r="C207" s="18"/>
      <c r="D207" s="18"/>
      <c r="E207" s="18"/>
      <c r="F207" s="18"/>
      <c r="G207" s="1597" t="b">
        <f ca="1">IF(Talente!B244="",FALSE,TRUE)</f>
        <v>0</v>
      </c>
    </row>
    <row r="208" spans="1:7" ht="13.5" thickBot="1" x14ac:dyDescent="0.25">
      <c r="A208" s="1618" t="s">
        <v>2170</v>
      </c>
      <c r="B208" s="1609" t="str">
        <f ca="1">Talente!O245</f>
        <v/>
      </c>
      <c r="C208" s="1599"/>
      <c r="D208" s="1599"/>
      <c r="E208" s="1599"/>
      <c r="F208" s="1599"/>
      <c r="G208" s="1600" t="b">
        <f ca="1">IF(Talente!B245="",FALSE,TRUE)</f>
        <v>0</v>
      </c>
    </row>
  </sheetData>
  <pageMargins left="0.7" right="0.7" top="0.78740157499999996" bottom="0.78740157499999996" header="0.3" footer="0.3"/>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tabColor theme="5"/>
  </sheetPr>
  <dimension ref="A1:E165"/>
  <sheetViews>
    <sheetView topLeftCell="A145" workbookViewId="0">
      <selection activeCell="P22" sqref="P22"/>
    </sheetView>
  </sheetViews>
  <sheetFormatPr baseColWidth="10" defaultRowHeight="12.75" x14ac:dyDescent="0.2"/>
  <cols>
    <col min="1" max="1" width="41.140625" customWidth="1"/>
  </cols>
  <sheetData>
    <row r="1" spans="1:5" x14ac:dyDescent="0.2">
      <c r="A1" s="1630" t="s">
        <v>403</v>
      </c>
      <c r="B1" s="1594" t="s">
        <v>9038</v>
      </c>
      <c r="C1" s="1594" t="s">
        <v>1842</v>
      </c>
      <c r="D1" s="1594" t="s">
        <v>3596</v>
      </c>
      <c r="E1" s="1631" t="s">
        <v>518</v>
      </c>
    </row>
    <row r="2" spans="1:5" x14ac:dyDescent="0.2">
      <c r="A2" s="1632" t="str">
        <f ca="1">Zauber!A11</f>
        <v/>
      </c>
      <c r="B2" s="18" t="str">
        <f ca="1">IF(Zauber!C11="","",Zauber!C11)</f>
        <v/>
      </c>
      <c r="C2" s="18" t="str">
        <f ca="1">IF(Zauber!M11="","",Zauber!M11)</f>
        <v/>
      </c>
      <c r="D2" s="18" t="b">
        <v>1</v>
      </c>
      <c r="E2" s="1597" t="b">
        <f ca="1">IF(A2="",FALSE,TRUE)</f>
        <v>0</v>
      </c>
    </row>
    <row r="3" spans="1:5" x14ac:dyDescent="0.2">
      <c r="A3" s="1632" t="str">
        <f ca="1">Zauber!A12</f>
        <v/>
      </c>
      <c r="B3" s="18" t="str">
        <f ca="1">IF(Zauber!C12="","",Zauber!C12)</f>
        <v/>
      </c>
      <c r="C3" s="18" t="str">
        <f ca="1">IF(Zauber!M12="","",Zauber!M12)</f>
        <v/>
      </c>
      <c r="D3" s="18" t="b">
        <v>1</v>
      </c>
      <c r="E3" s="1597" t="b">
        <f t="shared" ref="E3:E49" ca="1" si="0">IF(A3="",FALSE,TRUE)</f>
        <v>0</v>
      </c>
    </row>
    <row r="4" spans="1:5" x14ac:dyDescent="0.2">
      <c r="A4" s="1632" t="str">
        <f ca="1">Zauber!A13</f>
        <v/>
      </c>
      <c r="B4" s="18" t="str">
        <f ca="1">IF(Zauber!C13="","",Zauber!C13)</f>
        <v/>
      </c>
      <c r="C4" s="18" t="str">
        <f ca="1">IF(Zauber!M13="","",Zauber!M13)</f>
        <v/>
      </c>
      <c r="D4" s="18" t="b">
        <v>1</v>
      </c>
      <c r="E4" s="1597" t="b">
        <f t="shared" ca="1" si="0"/>
        <v>0</v>
      </c>
    </row>
    <row r="5" spans="1:5" x14ac:dyDescent="0.2">
      <c r="A5" s="1632" t="str">
        <f ca="1">Zauber!A14</f>
        <v/>
      </c>
      <c r="B5" s="18" t="str">
        <f ca="1">IF(Zauber!C14="","",Zauber!C14)</f>
        <v/>
      </c>
      <c r="C5" s="18" t="str">
        <f ca="1">IF(Zauber!M14="","",Zauber!M14)</f>
        <v/>
      </c>
      <c r="D5" s="18" t="b">
        <v>1</v>
      </c>
      <c r="E5" s="1597" t="b">
        <f t="shared" ca="1" si="0"/>
        <v>0</v>
      </c>
    </row>
    <row r="6" spans="1:5" x14ac:dyDescent="0.2">
      <c r="A6" s="1632" t="str">
        <f ca="1">Zauber!A15</f>
        <v/>
      </c>
      <c r="B6" s="18" t="str">
        <f ca="1">IF(Zauber!C15="","",Zauber!C15)</f>
        <v/>
      </c>
      <c r="C6" s="18" t="str">
        <f ca="1">IF(Zauber!M15="","",Zauber!M15)</f>
        <v/>
      </c>
      <c r="D6" s="18" t="b">
        <v>1</v>
      </c>
      <c r="E6" s="1597" t="b">
        <f t="shared" ca="1" si="0"/>
        <v>0</v>
      </c>
    </row>
    <row r="7" spans="1:5" x14ac:dyDescent="0.2">
      <c r="A7" s="1632" t="str">
        <f ca="1">Zauber!A16</f>
        <v/>
      </c>
      <c r="B7" s="18" t="str">
        <f ca="1">IF(Zauber!C16="","",Zauber!C16)</f>
        <v/>
      </c>
      <c r="C7" s="18" t="str">
        <f ca="1">IF(Zauber!M16="","",Zauber!M16)</f>
        <v/>
      </c>
      <c r="D7" s="18" t="b">
        <v>1</v>
      </c>
      <c r="E7" s="1597" t="b">
        <f t="shared" ca="1" si="0"/>
        <v>0</v>
      </c>
    </row>
    <row r="8" spans="1:5" x14ac:dyDescent="0.2">
      <c r="A8" s="1632" t="str">
        <f ca="1">Zauber!A17</f>
        <v/>
      </c>
      <c r="B8" s="18" t="str">
        <f ca="1">IF(Zauber!C17="","",Zauber!C17)</f>
        <v/>
      </c>
      <c r="C8" s="18" t="str">
        <f ca="1">IF(Zauber!M17="","",Zauber!M17)</f>
        <v/>
      </c>
      <c r="D8" s="18" t="b">
        <v>1</v>
      </c>
      <c r="E8" s="1597" t="b">
        <f t="shared" ca="1" si="0"/>
        <v>0</v>
      </c>
    </row>
    <row r="9" spans="1:5" x14ac:dyDescent="0.2">
      <c r="A9" s="1632" t="str">
        <f ca="1">Zauber!A18</f>
        <v/>
      </c>
      <c r="B9" s="18" t="str">
        <f ca="1">IF(Zauber!C18="","",Zauber!C18)</f>
        <v/>
      </c>
      <c r="C9" s="18" t="str">
        <f ca="1">IF(Zauber!M18="","",Zauber!M18)</f>
        <v/>
      </c>
      <c r="D9" s="18" t="b">
        <v>1</v>
      </c>
      <c r="E9" s="1597" t="b">
        <f t="shared" ca="1" si="0"/>
        <v>0</v>
      </c>
    </row>
    <row r="10" spans="1:5" x14ac:dyDescent="0.2">
      <c r="A10" s="1632" t="str">
        <f ca="1">Zauber!A19</f>
        <v/>
      </c>
      <c r="B10" s="18" t="str">
        <f ca="1">IF(Zauber!C19="","",Zauber!C19)</f>
        <v/>
      </c>
      <c r="C10" s="18" t="str">
        <f ca="1">IF(Zauber!M19="","",Zauber!M19)</f>
        <v/>
      </c>
      <c r="D10" s="18" t="b">
        <v>1</v>
      </c>
      <c r="E10" s="1597" t="b">
        <f t="shared" ca="1" si="0"/>
        <v>0</v>
      </c>
    </row>
    <row r="11" spans="1:5" x14ac:dyDescent="0.2">
      <c r="A11" s="1632" t="str">
        <f ca="1">Zauber!A20</f>
        <v/>
      </c>
      <c r="B11" s="18" t="str">
        <f ca="1">IF(Zauber!C20="","",Zauber!C20)</f>
        <v/>
      </c>
      <c r="C11" s="18" t="str">
        <f ca="1">IF(Zauber!M20="","",Zauber!M20)</f>
        <v/>
      </c>
      <c r="D11" s="18" t="b">
        <v>1</v>
      </c>
      <c r="E11" s="1597" t="b">
        <f t="shared" ca="1" si="0"/>
        <v>0</v>
      </c>
    </row>
    <row r="12" spans="1:5" x14ac:dyDescent="0.2">
      <c r="A12" s="1632" t="str">
        <f ca="1">Zauber!A21</f>
        <v/>
      </c>
      <c r="B12" s="18" t="str">
        <f ca="1">IF(Zauber!C21="","",Zauber!C21)</f>
        <v/>
      </c>
      <c r="C12" s="18" t="str">
        <f ca="1">IF(Zauber!M21="","",Zauber!M21)</f>
        <v/>
      </c>
      <c r="D12" s="18" t="b">
        <v>1</v>
      </c>
      <c r="E12" s="1597" t="b">
        <f t="shared" ca="1" si="0"/>
        <v>0</v>
      </c>
    </row>
    <row r="13" spans="1:5" x14ac:dyDescent="0.2">
      <c r="A13" s="1632" t="str">
        <f ca="1">Zauber!A22</f>
        <v/>
      </c>
      <c r="B13" s="18" t="str">
        <f ca="1">IF(Zauber!C22="","",Zauber!C22)</f>
        <v/>
      </c>
      <c r="C13" s="18" t="str">
        <f ca="1">IF(Zauber!M22="","",Zauber!M22)</f>
        <v/>
      </c>
      <c r="D13" s="18" t="b">
        <v>1</v>
      </c>
      <c r="E13" s="1597" t="b">
        <f t="shared" ca="1" si="0"/>
        <v>0</v>
      </c>
    </row>
    <row r="14" spans="1:5" x14ac:dyDescent="0.2">
      <c r="A14" s="1632" t="str">
        <f ca="1">Zauber!A23</f>
        <v/>
      </c>
      <c r="B14" s="18" t="str">
        <f ca="1">IF(Zauber!C23="","",Zauber!C23)</f>
        <v/>
      </c>
      <c r="C14" s="18" t="str">
        <f ca="1">IF(Zauber!M23="","",Zauber!M23)</f>
        <v/>
      </c>
      <c r="D14" s="18" t="b">
        <v>1</v>
      </c>
      <c r="E14" s="1597" t="b">
        <f t="shared" ca="1" si="0"/>
        <v>0</v>
      </c>
    </row>
    <row r="15" spans="1:5" x14ac:dyDescent="0.2">
      <c r="A15" s="1632" t="str">
        <f ca="1">Zauber!A24</f>
        <v/>
      </c>
      <c r="B15" s="18" t="str">
        <f ca="1">IF(Zauber!C24="","",Zauber!C24)</f>
        <v/>
      </c>
      <c r="C15" s="18" t="str">
        <f>IF(Zauber!M24="","",Zauber!M24)</f>
        <v/>
      </c>
      <c r="D15" s="18" t="b">
        <v>1</v>
      </c>
      <c r="E15" s="1597" t="b">
        <f t="shared" ca="1" si="0"/>
        <v>0</v>
      </c>
    </row>
    <row r="16" spans="1:5" x14ac:dyDescent="0.2">
      <c r="A16" s="1632" t="str">
        <f ca="1">Zauber!A25</f>
        <v/>
      </c>
      <c r="B16" s="18" t="str">
        <f ca="1">IF(Zauber!C25="","",Zauber!C25)</f>
        <v/>
      </c>
      <c r="C16" s="18" t="str">
        <f>IF(Zauber!M25="","",Zauber!M25)</f>
        <v/>
      </c>
      <c r="D16" s="18" t="b">
        <v>1</v>
      </c>
      <c r="E16" s="1597" t="b">
        <f t="shared" ca="1" si="0"/>
        <v>0</v>
      </c>
    </row>
    <row r="17" spans="1:5" x14ac:dyDescent="0.2">
      <c r="A17" s="1632" t="str">
        <f ca="1">Zauber!A26</f>
        <v/>
      </c>
      <c r="B17" s="18" t="str">
        <f ca="1">IF(Zauber!C26="","",Zauber!C26)</f>
        <v/>
      </c>
      <c r="C17" s="18" t="str">
        <f>IF(Zauber!M26="","",Zauber!M26)</f>
        <v/>
      </c>
      <c r="D17" s="18" t="b">
        <v>1</v>
      </c>
      <c r="E17" s="1597" t="b">
        <f t="shared" ca="1" si="0"/>
        <v>0</v>
      </c>
    </row>
    <row r="18" spans="1:5" x14ac:dyDescent="0.2">
      <c r="A18" s="1632" t="str">
        <f ca="1">Zauber!A27</f>
        <v/>
      </c>
      <c r="B18" s="18" t="str">
        <f ca="1">IF(Zauber!C27="","",Zauber!C27)</f>
        <v/>
      </c>
      <c r="C18" s="18" t="str">
        <f>IF(Zauber!M27="","",Zauber!M27)</f>
        <v/>
      </c>
      <c r="D18" s="18" t="b">
        <v>1</v>
      </c>
      <c r="E18" s="1597" t="b">
        <f t="shared" ca="1" si="0"/>
        <v>0</v>
      </c>
    </row>
    <row r="19" spans="1:5" x14ac:dyDescent="0.2">
      <c r="A19" s="1632" t="str">
        <f ca="1">Zauber!A28</f>
        <v/>
      </c>
      <c r="B19" s="18" t="str">
        <f ca="1">IF(Zauber!C28="","",Zauber!C28)</f>
        <v/>
      </c>
      <c r="C19" s="18" t="str">
        <f>IF(Zauber!M28="","",Zauber!M28)</f>
        <v/>
      </c>
      <c r="D19" s="18" t="b">
        <v>1</v>
      </c>
      <c r="E19" s="1597" t="b">
        <f t="shared" ca="1" si="0"/>
        <v>0</v>
      </c>
    </row>
    <row r="20" spans="1:5" x14ac:dyDescent="0.2">
      <c r="A20" s="1632" t="str">
        <f ca="1">Zauber!A29</f>
        <v/>
      </c>
      <c r="B20" s="18" t="str">
        <f ca="1">IF(Zauber!C29="","",Zauber!C29)</f>
        <v/>
      </c>
      <c r="C20" s="18" t="str">
        <f ca="1">IF(Zauber!M29="","",Zauber!M29)</f>
        <v/>
      </c>
      <c r="D20" s="18" t="b">
        <v>1</v>
      </c>
      <c r="E20" s="1597" t="b">
        <f t="shared" ca="1" si="0"/>
        <v>0</v>
      </c>
    </row>
    <row r="21" spans="1:5" x14ac:dyDescent="0.2">
      <c r="A21" s="1632" t="str">
        <f ca="1">Zauber!A30</f>
        <v/>
      </c>
      <c r="B21" s="18" t="str">
        <f ca="1">IF(Zauber!C30="","",Zauber!C30)</f>
        <v/>
      </c>
      <c r="C21" s="18" t="str">
        <f ca="1">IF(Zauber!M30="","",Zauber!M30)</f>
        <v/>
      </c>
      <c r="D21" s="18" t="b">
        <v>1</v>
      </c>
      <c r="E21" s="1597" t="b">
        <f t="shared" ca="1" si="0"/>
        <v>0</v>
      </c>
    </row>
    <row r="22" spans="1:5" x14ac:dyDescent="0.2">
      <c r="A22" s="1632" t="str">
        <f ca="1">Zauber!A31</f>
        <v/>
      </c>
      <c r="B22" s="18" t="str">
        <f ca="1">IF(Zauber!C31="","",Zauber!C31)</f>
        <v/>
      </c>
      <c r="C22" s="18" t="str">
        <f ca="1">IF(Zauber!M31="","",Zauber!M31)</f>
        <v/>
      </c>
      <c r="D22" s="18" t="b">
        <v>1</v>
      </c>
      <c r="E22" s="1597" t="b">
        <f t="shared" ca="1" si="0"/>
        <v>0</v>
      </c>
    </row>
    <row r="23" spans="1:5" x14ac:dyDescent="0.2">
      <c r="A23" s="1632" t="str">
        <f ca="1">Zauber!A32</f>
        <v/>
      </c>
      <c r="B23" s="18" t="str">
        <f ca="1">IF(Zauber!C32="","",Zauber!C32)</f>
        <v/>
      </c>
      <c r="C23" s="18" t="str">
        <f ca="1">IF(Zauber!M32="","",Zauber!M32)</f>
        <v/>
      </c>
      <c r="D23" s="18" t="b">
        <v>1</v>
      </c>
      <c r="E23" s="1597" t="b">
        <f t="shared" ca="1" si="0"/>
        <v>0</v>
      </c>
    </row>
    <row r="24" spans="1:5" x14ac:dyDescent="0.2">
      <c r="A24" s="1632" t="str">
        <f ca="1">Zauber!A33</f>
        <v/>
      </c>
      <c r="B24" s="18" t="str">
        <f ca="1">IF(Zauber!C33="","",Zauber!C33)</f>
        <v/>
      </c>
      <c r="C24" s="18" t="str">
        <f ca="1">IF(Zauber!M33="","",Zauber!M33)</f>
        <v/>
      </c>
      <c r="D24" s="18" t="b">
        <v>1</v>
      </c>
      <c r="E24" s="1597" t="b">
        <f t="shared" ca="1" si="0"/>
        <v>0</v>
      </c>
    </row>
    <row r="25" spans="1:5" x14ac:dyDescent="0.2">
      <c r="A25" s="1632" t="str">
        <f ca="1">Zauber!A34</f>
        <v/>
      </c>
      <c r="B25" s="18" t="str">
        <f ca="1">IF(Zauber!C34="","",Zauber!C34)</f>
        <v/>
      </c>
      <c r="C25" s="18" t="str">
        <f ca="1">IF(Zauber!M34="","",Zauber!M34)</f>
        <v/>
      </c>
      <c r="D25" s="18" t="b">
        <v>1</v>
      </c>
      <c r="E25" s="1597" t="b">
        <f t="shared" ca="1" si="0"/>
        <v>0</v>
      </c>
    </row>
    <row r="26" spans="1:5" ht="13.5" thickBot="1" x14ac:dyDescent="0.25">
      <c r="A26" s="1633" t="str">
        <f ca="1">Zauber!A35</f>
        <v/>
      </c>
      <c r="B26" s="1599" t="str">
        <f ca="1">IF(Zauber!C35="","",Zauber!C35)</f>
        <v/>
      </c>
      <c r="C26" s="1599" t="str">
        <f ca="1">IF(Zauber!M35="","",Zauber!M35)</f>
        <v/>
      </c>
      <c r="D26" s="1599" t="b">
        <v>1</v>
      </c>
      <c r="E26" s="1600" t="b">
        <f t="shared" ca="1" si="0"/>
        <v>0</v>
      </c>
    </row>
    <row r="27" spans="1:5" x14ac:dyDescent="0.2">
      <c r="A27" s="1634" t="str">
        <f ca="1">Zauber!A37</f>
        <v/>
      </c>
      <c r="B27" s="1622" t="str">
        <f ca="1">IF(Zauber!C37="","",Zauber!C37)</f>
        <v/>
      </c>
      <c r="C27" s="1622" t="str">
        <f ca="1">IF(Zauber!M37="","",Zauber!M37)</f>
        <v/>
      </c>
      <c r="D27" s="1635" t="b">
        <v>0</v>
      </c>
      <c r="E27" s="1623" t="b">
        <f t="shared" ca="1" si="0"/>
        <v>0</v>
      </c>
    </row>
    <row r="28" spans="1:5" x14ac:dyDescent="0.2">
      <c r="A28" s="1632" t="str">
        <f ca="1">Zauber!A38</f>
        <v/>
      </c>
      <c r="B28" s="18" t="str">
        <f ca="1">IF(Zauber!C38="","",Zauber!C38)</f>
        <v/>
      </c>
      <c r="C28" s="18" t="str">
        <f ca="1">IF(Zauber!M38="","",Zauber!M38)</f>
        <v/>
      </c>
      <c r="D28" s="19" t="b">
        <v>0</v>
      </c>
      <c r="E28" s="1597" t="b">
        <f t="shared" ca="1" si="0"/>
        <v>0</v>
      </c>
    </row>
    <row r="29" spans="1:5" x14ac:dyDescent="0.2">
      <c r="A29" s="1632" t="str">
        <f ca="1">Zauber!A39</f>
        <v/>
      </c>
      <c r="B29" s="18" t="str">
        <f ca="1">IF(Zauber!C39="","",Zauber!C39)</f>
        <v/>
      </c>
      <c r="C29" s="18" t="str">
        <f ca="1">IF(Zauber!M39="","",Zauber!M39)</f>
        <v/>
      </c>
      <c r="D29" s="19" t="b">
        <v>0</v>
      </c>
      <c r="E29" s="1597" t="b">
        <f t="shared" ca="1" si="0"/>
        <v>0</v>
      </c>
    </row>
    <row r="30" spans="1:5" x14ac:dyDescent="0.2">
      <c r="A30" s="1632" t="str">
        <f ca="1">Zauber!A40</f>
        <v/>
      </c>
      <c r="B30" s="18" t="str">
        <f ca="1">IF(Zauber!C40="","",Zauber!C40)</f>
        <v/>
      </c>
      <c r="C30" s="18" t="str">
        <f ca="1">IF(Zauber!M40="","",Zauber!M40)</f>
        <v/>
      </c>
      <c r="D30" s="19" t="b">
        <v>0</v>
      </c>
      <c r="E30" s="1597" t="b">
        <f t="shared" ca="1" si="0"/>
        <v>0</v>
      </c>
    </row>
    <row r="31" spans="1:5" x14ac:dyDescent="0.2">
      <c r="A31" s="1632" t="str">
        <f ca="1">Zauber!A41</f>
        <v/>
      </c>
      <c r="B31" s="18" t="str">
        <f ca="1">IF(Zauber!C41="","",Zauber!C41)</f>
        <v/>
      </c>
      <c r="C31" s="18" t="str">
        <f ca="1">IF(Zauber!M41="","",Zauber!M41)</f>
        <v/>
      </c>
      <c r="D31" s="19" t="b">
        <v>0</v>
      </c>
      <c r="E31" s="1597" t="b">
        <f t="shared" ca="1" si="0"/>
        <v>0</v>
      </c>
    </row>
    <row r="32" spans="1:5" x14ac:dyDescent="0.2">
      <c r="A32" s="1632" t="str">
        <f ca="1">Zauber!A42</f>
        <v/>
      </c>
      <c r="B32" s="18" t="str">
        <f ca="1">IF(Zauber!C42="","",Zauber!C42)</f>
        <v/>
      </c>
      <c r="C32" s="18" t="str">
        <f ca="1">IF(Zauber!M42="","",Zauber!M42)</f>
        <v/>
      </c>
      <c r="D32" s="19" t="b">
        <v>0</v>
      </c>
      <c r="E32" s="1597" t="b">
        <f t="shared" ca="1" si="0"/>
        <v>0</v>
      </c>
    </row>
    <row r="33" spans="1:5" x14ac:dyDescent="0.2">
      <c r="A33" s="1632" t="str">
        <f ca="1">Zauber!A43</f>
        <v/>
      </c>
      <c r="B33" s="18" t="str">
        <f ca="1">IF(Zauber!C43="","",Zauber!C43)</f>
        <v/>
      </c>
      <c r="C33" s="18" t="str">
        <f ca="1">IF(Zauber!M43="","",Zauber!M43)</f>
        <v/>
      </c>
      <c r="D33" s="19" t="b">
        <v>0</v>
      </c>
      <c r="E33" s="1597" t="b">
        <f t="shared" ca="1" si="0"/>
        <v>0</v>
      </c>
    </row>
    <row r="34" spans="1:5" x14ac:dyDescent="0.2">
      <c r="A34" s="1632" t="str">
        <f ca="1">Zauber!A44</f>
        <v/>
      </c>
      <c r="B34" s="18" t="str">
        <f ca="1">IF(Zauber!C44="","",Zauber!C44)</f>
        <v/>
      </c>
      <c r="C34" s="18" t="str">
        <f ca="1">IF(Zauber!M44="","",Zauber!M44)</f>
        <v/>
      </c>
      <c r="D34" s="19" t="b">
        <v>0</v>
      </c>
      <c r="E34" s="1597" t="b">
        <f t="shared" ca="1" si="0"/>
        <v>0</v>
      </c>
    </row>
    <row r="35" spans="1:5" x14ac:dyDescent="0.2">
      <c r="A35" s="1632" t="str">
        <f ca="1">Zauber!A45</f>
        <v/>
      </c>
      <c r="B35" s="18" t="str">
        <f ca="1">IF(Zauber!C45="","",Zauber!C45)</f>
        <v/>
      </c>
      <c r="C35" s="18" t="str">
        <f ca="1">IF(Zauber!M45="","",Zauber!M45)</f>
        <v/>
      </c>
      <c r="D35" s="19" t="b">
        <v>0</v>
      </c>
      <c r="E35" s="1597" t="b">
        <f t="shared" ca="1" si="0"/>
        <v>0</v>
      </c>
    </row>
    <row r="36" spans="1:5" x14ac:dyDescent="0.2">
      <c r="A36" s="1632" t="str">
        <f ca="1">Zauber!A46</f>
        <v/>
      </c>
      <c r="B36" s="18" t="str">
        <f ca="1">IF(Zauber!C46="","",Zauber!C46)</f>
        <v/>
      </c>
      <c r="C36" s="18" t="str">
        <f ca="1">IF(Zauber!M46="","",Zauber!M46)</f>
        <v/>
      </c>
      <c r="D36" s="19" t="b">
        <v>0</v>
      </c>
      <c r="E36" s="1597" t="b">
        <f t="shared" ca="1" si="0"/>
        <v>0</v>
      </c>
    </row>
    <row r="37" spans="1:5" x14ac:dyDescent="0.2">
      <c r="A37" s="1632" t="str">
        <f ca="1">Zauber!A47</f>
        <v/>
      </c>
      <c r="B37" s="18" t="str">
        <f ca="1">IF(Zauber!C47="","",Zauber!C47)</f>
        <v/>
      </c>
      <c r="C37" s="18" t="str">
        <f ca="1">IF(Zauber!M47="","",Zauber!M47)</f>
        <v/>
      </c>
      <c r="D37" s="19" t="b">
        <v>0</v>
      </c>
      <c r="E37" s="1597" t="b">
        <f t="shared" ca="1" si="0"/>
        <v>0</v>
      </c>
    </row>
    <row r="38" spans="1:5" x14ac:dyDescent="0.2">
      <c r="A38" s="1632" t="str">
        <f ca="1">Zauber!A48</f>
        <v/>
      </c>
      <c r="B38" s="18" t="str">
        <f ca="1">IF(Zauber!C48="","",Zauber!C48)</f>
        <v/>
      </c>
      <c r="C38" s="18" t="str">
        <f ca="1">IF(Zauber!M48="","",Zauber!M48)</f>
        <v/>
      </c>
      <c r="D38" s="19" t="b">
        <v>0</v>
      </c>
      <c r="E38" s="1597" t="b">
        <f t="shared" ca="1" si="0"/>
        <v>0</v>
      </c>
    </row>
    <row r="39" spans="1:5" x14ac:dyDescent="0.2">
      <c r="A39" s="1632" t="str">
        <f ca="1">Zauber!A49</f>
        <v/>
      </c>
      <c r="B39" s="18" t="str">
        <f ca="1">IF(Zauber!C49="","",Zauber!C49)</f>
        <v/>
      </c>
      <c r="C39" s="18" t="str">
        <f ca="1">IF(Zauber!M49="","",Zauber!M49)</f>
        <v/>
      </c>
      <c r="D39" s="19" t="b">
        <v>0</v>
      </c>
      <c r="E39" s="1597" t="b">
        <f t="shared" ca="1" si="0"/>
        <v>0</v>
      </c>
    </row>
    <row r="40" spans="1:5" x14ac:dyDescent="0.2">
      <c r="A40" s="1632" t="str">
        <f ca="1">Zauber!A50</f>
        <v/>
      </c>
      <c r="B40" s="18" t="str">
        <f ca="1">IF(Zauber!C50="","",Zauber!C50)</f>
        <v/>
      </c>
      <c r="C40" s="18" t="str">
        <f ca="1">IF(Zauber!M50="","",Zauber!M50)</f>
        <v/>
      </c>
      <c r="D40" s="19" t="b">
        <v>0</v>
      </c>
      <c r="E40" s="1597" t="b">
        <f t="shared" ca="1" si="0"/>
        <v>0</v>
      </c>
    </row>
    <row r="41" spans="1:5" x14ac:dyDescent="0.2">
      <c r="A41" s="1632" t="str">
        <f ca="1">Zauber!A51</f>
        <v/>
      </c>
      <c r="B41" s="18" t="str">
        <f ca="1">IF(Zauber!C51="","",Zauber!C51)</f>
        <v/>
      </c>
      <c r="C41" s="18" t="str">
        <f ca="1">IF(Zauber!M51="","",Zauber!M51)</f>
        <v/>
      </c>
      <c r="D41" s="19" t="b">
        <v>0</v>
      </c>
      <c r="E41" s="1597" t="b">
        <f t="shared" ca="1" si="0"/>
        <v>0</v>
      </c>
    </row>
    <row r="42" spans="1:5" x14ac:dyDescent="0.2">
      <c r="A42" s="1632" t="str">
        <f ca="1">Zauber!A52</f>
        <v/>
      </c>
      <c r="B42" s="18" t="str">
        <f ca="1">IF(Zauber!C52="","",Zauber!C52)</f>
        <v/>
      </c>
      <c r="C42" s="18" t="str">
        <f ca="1">IF(Zauber!M52="","",Zauber!M52)</f>
        <v/>
      </c>
      <c r="D42" s="19" t="b">
        <v>0</v>
      </c>
      <c r="E42" s="1597" t="b">
        <f t="shared" ca="1" si="0"/>
        <v>0</v>
      </c>
    </row>
    <row r="43" spans="1:5" x14ac:dyDescent="0.2">
      <c r="A43" s="1632" t="str">
        <f ca="1">Zauber!A53</f>
        <v/>
      </c>
      <c r="B43" s="18" t="str">
        <f ca="1">IF(Zauber!C53="","",Zauber!C53)</f>
        <v/>
      </c>
      <c r="C43" s="18" t="str">
        <f ca="1">IF(Zauber!M53="","",Zauber!M53)</f>
        <v/>
      </c>
      <c r="D43" s="19" t="b">
        <v>0</v>
      </c>
      <c r="E43" s="1597" t="b">
        <f t="shared" ca="1" si="0"/>
        <v>0</v>
      </c>
    </row>
    <row r="44" spans="1:5" x14ac:dyDescent="0.2">
      <c r="A44" s="1632" t="str">
        <f ca="1">Zauber!A54</f>
        <v/>
      </c>
      <c r="B44" s="18" t="str">
        <f ca="1">IF(Zauber!C54="","",Zauber!C54)</f>
        <v/>
      </c>
      <c r="C44" s="18" t="str">
        <f ca="1">IF(Zauber!M54="","",Zauber!M54)</f>
        <v/>
      </c>
      <c r="D44" s="19" t="b">
        <v>0</v>
      </c>
      <c r="E44" s="1597" t="b">
        <f t="shared" ca="1" si="0"/>
        <v>0</v>
      </c>
    </row>
    <row r="45" spans="1:5" x14ac:dyDescent="0.2">
      <c r="A45" s="1632" t="str">
        <f ca="1">Zauber!A55</f>
        <v/>
      </c>
      <c r="B45" s="18" t="str">
        <f ca="1">IF(Zauber!C55="","",Zauber!C55)</f>
        <v/>
      </c>
      <c r="C45" s="18" t="str">
        <f ca="1">IF(Zauber!M55="","",Zauber!M55)</f>
        <v/>
      </c>
      <c r="D45" s="19" t="b">
        <v>0</v>
      </c>
      <c r="E45" s="1597" t="b">
        <f t="shared" ca="1" si="0"/>
        <v>0</v>
      </c>
    </row>
    <row r="46" spans="1:5" x14ac:dyDescent="0.2">
      <c r="A46" s="1632" t="str">
        <f ca="1">Zauber!A56</f>
        <v/>
      </c>
      <c r="B46" s="18" t="str">
        <f ca="1">IF(Zauber!C56="","",Zauber!C56)</f>
        <v/>
      </c>
      <c r="C46" s="18" t="str">
        <f ca="1">IF(Zauber!M56="","",Zauber!M56)</f>
        <v/>
      </c>
      <c r="D46" s="19" t="b">
        <v>0</v>
      </c>
      <c r="E46" s="1597" t="b">
        <f t="shared" ca="1" si="0"/>
        <v>0</v>
      </c>
    </row>
    <row r="47" spans="1:5" x14ac:dyDescent="0.2">
      <c r="A47" s="1632" t="str">
        <f ca="1">Zauber!A57</f>
        <v/>
      </c>
      <c r="B47" s="18" t="str">
        <f ca="1">IF(Zauber!C57="","",Zauber!C57)</f>
        <v/>
      </c>
      <c r="C47" s="18" t="str">
        <f ca="1">IF(Zauber!M57="","",Zauber!M57)</f>
        <v/>
      </c>
      <c r="D47" s="19" t="b">
        <v>0</v>
      </c>
      <c r="E47" s="1597" t="b">
        <f t="shared" ca="1" si="0"/>
        <v>0</v>
      </c>
    </row>
    <row r="48" spans="1:5" x14ac:dyDescent="0.2">
      <c r="A48" s="1632" t="str">
        <f ca="1">Zauber!A58</f>
        <v/>
      </c>
      <c r="B48" s="18" t="str">
        <f ca="1">IF(Zauber!C58="","",Zauber!C58)</f>
        <v/>
      </c>
      <c r="C48" s="18" t="str">
        <f ca="1">IF(Zauber!M58="","",Zauber!M58)</f>
        <v/>
      </c>
      <c r="D48" s="19" t="b">
        <v>0</v>
      </c>
      <c r="E48" s="1597" t="b">
        <f t="shared" ca="1" si="0"/>
        <v>0</v>
      </c>
    </row>
    <row r="49" spans="1:5" ht="13.5" thickBot="1" x14ac:dyDescent="0.25">
      <c r="A49" s="1633" t="str">
        <f ca="1">Zauber!A59</f>
        <v/>
      </c>
      <c r="B49" s="1599" t="str">
        <f ca="1">IF(Zauber!C59="","",Zauber!C59)</f>
        <v/>
      </c>
      <c r="C49" s="1599" t="str">
        <f ca="1">IF(Zauber!M59="","",Zauber!M59)</f>
        <v/>
      </c>
      <c r="D49" s="1636" t="b">
        <v>0</v>
      </c>
      <c r="E49" s="1600" t="b">
        <f t="shared" ca="1" si="0"/>
        <v>0</v>
      </c>
    </row>
    <row r="50" spans="1:5" x14ac:dyDescent="0.2">
      <c r="A50" s="1634" t="str">
        <f ca="1">Zauber!A61</f>
        <v/>
      </c>
      <c r="B50" s="1622" t="str">
        <f ca="1">IF(Zauber!C61="","",Zauber!C61)</f>
        <v/>
      </c>
      <c r="C50" s="1622" t="str">
        <f ca="1">IF(Zauber!M61="","",Zauber!M61)</f>
        <v/>
      </c>
      <c r="D50" s="1635" t="b">
        <v>0</v>
      </c>
      <c r="E50" s="1623" t="b">
        <f ca="1">IF(C50="",FALSE,TRUE)</f>
        <v>0</v>
      </c>
    </row>
    <row r="51" spans="1:5" x14ac:dyDescent="0.2">
      <c r="A51" s="1632" t="str">
        <f ca="1">Zauber!A62</f>
        <v/>
      </c>
      <c r="B51" s="18" t="str">
        <f ca="1">IF(Zauber!C62="","",Zauber!C62)</f>
        <v/>
      </c>
      <c r="C51" s="18" t="str">
        <f ca="1">IF(Zauber!M62="","",Zauber!M62)</f>
        <v/>
      </c>
      <c r="D51" s="19" t="b">
        <v>0</v>
      </c>
      <c r="E51" s="1597" t="b">
        <f t="shared" ref="E51:E114" ca="1" si="1">IF(C51="",FALSE,TRUE)</f>
        <v>0</v>
      </c>
    </row>
    <row r="52" spans="1:5" x14ac:dyDescent="0.2">
      <c r="A52" s="1632" t="str">
        <f ca="1">Zauber!A63</f>
        <v/>
      </c>
      <c r="B52" s="18" t="str">
        <f ca="1">IF(Zauber!C63="","",Zauber!C63)</f>
        <v/>
      </c>
      <c r="C52" s="18" t="str">
        <f ca="1">IF(Zauber!M63="","",Zauber!M63)</f>
        <v/>
      </c>
      <c r="D52" s="19" t="b">
        <v>0</v>
      </c>
      <c r="E52" s="1597" t="b">
        <f t="shared" ca="1" si="1"/>
        <v>0</v>
      </c>
    </row>
    <row r="53" spans="1:5" x14ac:dyDescent="0.2">
      <c r="A53" s="1632" t="str">
        <f ca="1">Zauber!A64</f>
        <v/>
      </c>
      <c r="B53" s="18" t="str">
        <f ca="1">IF(Zauber!C64="","",Zauber!C64)</f>
        <v/>
      </c>
      <c r="C53" s="18" t="str">
        <f ca="1">IF(Zauber!M64="","",Zauber!M64)</f>
        <v/>
      </c>
      <c r="D53" s="19" t="b">
        <v>0</v>
      </c>
      <c r="E53" s="1597" t="b">
        <f t="shared" ca="1" si="1"/>
        <v>0</v>
      </c>
    </row>
    <row r="54" spans="1:5" x14ac:dyDescent="0.2">
      <c r="A54" s="1632" t="str">
        <f ca="1">Zauber!A65</f>
        <v/>
      </c>
      <c r="B54" s="18" t="str">
        <f ca="1">IF(Zauber!C65="","",Zauber!C65)</f>
        <v/>
      </c>
      <c r="C54" s="18" t="str">
        <f ca="1">IF(Zauber!M65="","",Zauber!M65)</f>
        <v/>
      </c>
      <c r="D54" s="19" t="b">
        <v>0</v>
      </c>
      <c r="E54" s="1597" t="b">
        <f t="shared" ca="1" si="1"/>
        <v>0</v>
      </c>
    </row>
    <row r="55" spans="1:5" x14ac:dyDescent="0.2">
      <c r="A55" s="1632" t="str">
        <f ca="1">Zauber!A66</f>
        <v/>
      </c>
      <c r="B55" s="18" t="str">
        <f ca="1">IF(Zauber!C66="","",Zauber!C66)</f>
        <v/>
      </c>
      <c r="C55" s="18" t="str">
        <f ca="1">IF(Zauber!M66="","",Zauber!M66)</f>
        <v/>
      </c>
      <c r="D55" s="19" t="b">
        <v>0</v>
      </c>
      <c r="E55" s="1597" t="b">
        <f t="shared" ca="1" si="1"/>
        <v>0</v>
      </c>
    </row>
    <row r="56" spans="1:5" x14ac:dyDescent="0.2">
      <c r="A56" s="1632" t="str">
        <f ca="1">Zauber!A67</f>
        <v/>
      </c>
      <c r="B56" s="18" t="str">
        <f ca="1">IF(Zauber!C67="","",Zauber!C67)</f>
        <v/>
      </c>
      <c r="C56" s="18" t="str">
        <f ca="1">IF(Zauber!M67="","",Zauber!M67)</f>
        <v/>
      </c>
      <c r="D56" s="19" t="b">
        <v>0</v>
      </c>
      <c r="E56" s="1597" t="b">
        <f t="shared" ca="1" si="1"/>
        <v>0</v>
      </c>
    </row>
    <row r="57" spans="1:5" x14ac:dyDescent="0.2">
      <c r="A57" s="1632" t="str">
        <f ca="1">Zauber!A68</f>
        <v/>
      </c>
      <c r="B57" s="18" t="str">
        <f ca="1">IF(Zauber!C68="","",Zauber!C68)</f>
        <v/>
      </c>
      <c r="C57" s="18" t="str">
        <f ca="1">IF(Zauber!M68="","",Zauber!M68)</f>
        <v/>
      </c>
      <c r="D57" s="19" t="b">
        <v>0</v>
      </c>
      <c r="E57" s="1597" t="b">
        <f t="shared" ca="1" si="1"/>
        <v>0</v>
      </c>
    </row>
    <row r="58" spans="1:5" x14ac:dyDescent="0.2">
      <c r="A58" s="1632" t="str">
        <f ca="1">Zauber!A69</f>
        <v/>
      </c>
      <c r="B58" s="18" t="str">
        <f ca="1">IF(Zauber!C69="","",Zauber!C69)</f>
        <v/>
      </c>
      <c r="C58" s="18" t="str">
        <f ca="1">IF(Zauber!M69="","",Zauber!M69)</f>
        <v/>
      </c>
      <c r="D58" s="19" t="b">
        <v>0</v>
      </c>
      <c r="E58" s="1597" t="b">
        <f t="shared" ca="1" si="1"/>
        <v>0</v>
      </c>
    </row>
    <row r="59" spans="1:5" x14ac:dyDescent="0.2">
      <c r="A59" s="1632" t="str">
        <f ca="1">Zauber!A70</f>
        <v/>
      </c>
      <c r="B59" s="18" t="str">
        <f ca="1">IF(Zauber!C70="","",Zauber!C70)</f>
        <v/>
      </c>
      <c r="C59" s="18" t="str">
        <f ca="1">IF(Zauber!M70="","",Zauber!M70)</f>
        <v/>
      </c>
      <c r="D59" s="19" t="b">
        <v>0</v>
      </c>
      <c r="E59" s="1597" t="b">
        <f t="shared" ca="1" si="1"/>
        <v>0</v>
      </c>
    </row>
    <row r="60" spans="1:5" x14ac:dyDescent="0.2">
      <c r="A60" s="1632" t="str">
        <f ca="1">Zauber!A71</f>
        <v/>
      </c>
      <c r="B60" s="18" t="str">
        <f ca="1">IF(Zauber!C71="","",Zauber!C71)</f>
        <v/>
      </c>
      <c r="C60" s="18" t="str">
        <f ca="1">IF(Zauber!M71="","",Zauber!M71)</f>
        <v/>
      </c>
      <c r="D60" s="19" t="b">
        <v>0</v>
      </c>
      <c r="E60" s="1597" t="b">
        <f t="shared" ca="1" si="1"/>
        <v>0</v>
      </c>
    </row>
    <row r="61" spans="1:5" x14ac:dyDescent="0.2">
      <c r="A61" s="1632" t="str">
        <f ca="1">Zauber!A72</f>
        <v/>
      </c>
      <c r="B61" s="18" t="str">
        <f ca="1">IF(Zauber!C72="","",Zauber!C72)</f>
        <v/>
      </c>
      <c r="C61" s="18" t="str">
        <f ca="1">IF(Zauber!M72="","",Zauber!M72)</f>
        <v/>
      </c>
      <c r="D61" s="19" t="b">
        <v>0</v>
      </c>
      <c r="E61" s="1597" t="b">
        <f t="shared" ca="1" si="1"/>
        <v>0</v>
      </c>
    </row>
    <row r="62" spans="1:5" x14ac:dyDescent="0.2">
      <c r="A62" s="1632" t="str">
        <f ca="1">Zauber!A73</f>
        <v/>
      </c>
      <c r="B62" s="18" t="str">
        <f ca="1">IF(Zauber!C73="","",Zauber!C73)</f>
        <v/>
      </c>
      <c r="C62" s="18" t="str">
        <f ca="1">IF(Zauber!M73="","",Zauber!M73)</f>
        <v/>
      </c>
      <c r="D62" s="19" t="b">
        <v>0</v>
      </c>
      <c r="E62" s="1597" t="b">
        <f t="shared" ca="1" si="1"/>
        <v>0</v>
      </c>
    </row>
    <row r="63" spans="1:5" x14ac:dyDescent="0.2">
      <c r="A63" s="1632" t="str">
        <f ca="1">Zauber!A74</f>
        <v/>
      </c>
      <c r="B63" s="18" t="str">
        <f ca="1">IF(Zauber!C74="","",Zauber!C74)</f>
        <v/>
      </c>
      <c r="C63" s="18" t="str">
        <f ca="1">IF(Zauber!M74="","",Zauber!M74)</f>
        <v/>
      </c>
      <c r="D63" s="19" t="b">
        <v>0</v>
      </c>
      <c r="E63" s="1597" t="b">
        <f t="shared" ca="1" si="1"/>
        <v>0</v>
      </c>
    </row>
    <row r="64" spans="1:5" x14ac:dyDescent="0.2">
      <c r="A64" s="1632" t="str">
        <f ca="1">Zauber!A75</f>
        <v/>
      </c>
      <c r="B64" s="18" t="str">
        <f ca="1">IF(Zauber!C75="","",Zauber!C75)</f>
        <v/>
      </c>
      <c r="C64" s="18" t="str">
        <f ca="1">IF(Zauber!M75="","",Zauber!M75)</f>
        <v/>
      </c>
      <c r="D64" s="19" t="b">
        <v>0</v>
      </c>
      <c r="E64" s="1597" t="b">
        <f t="shared" ca="1" si="1"/>
        <v>0</v>
      </c>
    </row>
    <row r="65" spans="1:5" x14ac:dyDescent="0.2">
      <c r="A65" s="1632" t="str">
        <f ca="1">Zauber!A76</f>
        <v/>
      </c>
      <c r="B65" s="18" t="str">
        <f ca="1">IF(Zauber!C76="","",Zauber!C76)</f>
        <v/>
      </c>
      <c r="C65" s="18" t="str">
        <f ca="1">IF(Zauber!M76="","",Zauber!M76)</f>
        <v/>
      </c>
      <c r="D65" s="19" t="b">
        <v>0</v>
      </c>
      <c r="E65" s="1597" t="b">
        <f t="shared" ca="1" si="1"/>
        <v>0</v>
      </c>
    </row>
    <row r="66" spans="1:5" x14ac:dyDescent="0.2">
      <c r="A66" s="1632" t="str">
        <f ca="1">Zauber!A77</f>
        <v/>
      </c>
      <c r="B66" s="18" t="str">
        <f ca="1">IF(Zauber!C77="","",Zauber!C77)</f>
        <v/>
      </c>
      <c r="C66" s="18" t="str">
        <f ca="1">IF(Zauber!M77="","",Zauber!M77)</f>
        <v/>
      </c>
      <c r="D66" s="19" t="b">
        <v>0</v>
      </c>
      <c r="E66" s="1597" t="b">
        <f t="shared" ca="1" si="1"/>
        <v>0</v>
      </c>
    </row>
    <row r="67" spans="1:5" x14ac:dyDescent="0.2">
      <c r="A67" s="1632" t="str">
        <f ca="1">Zauber!A78</f>
        <v/>
      </c>
      <c r="B67" s="18" t="str">
        <f ca="1">IF(Zauber!C78="","",Zauber!C78)</f>
        <v/>
      </c>
      <c r="C67" s="18" t="str">
        <f ca="1">IF(Zauber!M78="","",Zauber!M78)</f>
        <v/>
      </c>
      <c r="D67" s="19" t="b">
        <v>0</v>
      </c>
      <c r="E67" s="1597" t="b">
        <f t="shared" ca="1" si="1"/>
        <v>0</v>
      </c>
    </row>
    <row r="68" spans="1:5" x14ac:dyDescent="0.2">
      <c r="A68" s="1632" t="str">
        <f ca="1">Zauber!A79</f>
        <v/>
      </c>
      <c r="B68" s="18" t="str">
        <f ca="1">IF(Zauber!C79="","",Zauber!C79)</f>
        <v/>
      </c>
      <c r="C68" s="18" t="str">
        <f ca="1">IF(Zauber!M79="","",Zauber!M79)</f>
        <v/>
      </c>
      <c r="D68" s="19" t="b">
        <v>0</v>
      </c>
      <c r="E68" s="1597" t="b">
        <f t="shared" ca="1" si="1"/>
        <v>0</v>
      </c>
    </row>
    <row r="69" spans="1:5" x14ac:dyDescent="0.2">
      <c r="A69" s="1632" t="str">
        <f ca="1">Zauber!A80</f>
        <v/>
      </c>
      <c r="B69" s="18" t="str">
        <f ca="1">IF(Zauber!C80="","",Zauber!C80)</f>
        <v/>
      </c>
      <c r="C69" s="18" t="str">
        <f ca="1">IF(Zauber!M80="","",Zauber!M80)</f>
        <v/>
      </c>
      <c r="D69" s="19" t="b">
        <v>0</v>
      </c>
      <c r="E69" s="1597" t="b">
        <f t="shared" ca="1" si="1"/>
        <v>0</v>
      </c>
    </row>
    <row r="70" spans="1:5" x14ac:dyDescent="0.2">
      <c r="A70" s="1632" t="str">
        <f ca="1">Zauber!A81</f>
        <v/>
      </c>
      <c r="B70" s="18" t="str">
        <f ca="1">IF(Zauber!C81="","",Zauber!C81)</f>
        <v/>
      </c>
      <c r="C70" s="18" t="str">
        <f ca="1">IF(Zauber!M81="","",Zauber!M81)</f>
        <v/>
      </c>
      <c r="D70" s="19" t="b">
        <v>0</v>
      </c>
      <c r="E70" s="1597" t="b">
        <f t="shared" ca="1" si="1"/>
        <v>0</v>
      </c>
    </row>
    <row r="71" spans="1:5" x14ac:dyDescent="0.2">
      <c r="A71" s="1632" t="str">
        <f ca="1">Zauber!A82</f>
        <v/>
      </c>
      <c r="B71" s="18" t="str">
        <f ca="1">IF(Zauber!C82="","",Zauber!C82)</f>
        <v/>
      </c>
      <c r="C71" s="18" t="str">
        <f ca="1">IF(Zauber!M82="","",Zauber!M82)</f>
        <v/>
      </c>
      <c r="D71" s="19" t="b">
        <v>0</v>
      </c>
      <c r="E71" s="1597" t="b">
        <f t="shared" ca="1" si="1"/>
        <v>0</v>
      </c>
    </row>
    <row r="72" spans="1:5" x14ac:dyDescent="0.2">
      <c r="A72" s="1632" t="str">
        <f ca="1">Zauber!A83</f>
        <v/>
      </c>
      <c r="B72" s="18" t="str">
        <f ca="1">IF(Zauber!C83="","",Zauber!C83)</f>
        <v/>
      </c>
      <c r="C72" s="18" t="str">
        <f ca="1">IF(Zauber!M83="","",Zauber!M83)</f>
        <v/>
      </c>
      <c r="D72" s="19" t="b">
        <v>0</v>
      </c>
      <c r="E72" s="1597" t="b">
        <f t="shared" ca="1" si="1"/>
        <v>0</v>
      </c>
    </row>
    <row r="73" spans="1:5" x14ac:dyDescent="0.2">
      <c r="A73" s="1632" t="str">
        <f ca="1">Zauber!A84</f>
        <v/>
      </c>
      <c r="B73" s="18" t="str">
        <f ca="1">IF(Zauber!C84="","",Zauber!C84)</f>
        <v/>
      </c>
      <c r="C73" s="18" t="str">
        <f ca="1">IF(Zauber!M84="","",Zauber!M84)</f>
        <v/>
      </c>
      <c r="D73" s="19" t="b">
        <v>0</v>
      </c>
      <c r="E73" s="1597" t="b">
        <f t="shared" ca="1" si="1"/>
        <v>0</v>
      </c>
    </row>
    <row r="74" spans="1:5" x14ac:dyDescent="0.2">
      <c r="A74" s="1632" t="str">
        <f ca="1">Zauber!A85</f>
        <v/>
      </c>
      <c r="B74" s="18" t="str">
        <f ca="1">IF(Zauber!C85="","",Zauber!C85)</f>
        <v/>
      </c>
      <c r="C74" s="18" t="str">
        <f ca="1">IF(Zauber!M85="","",Zauber!M85)</f>
        <v/>
      </c>
      <c r="D74" s="19" t="b">
        <v>0</v>
      </c>
      <c r="E74" s="1597" t="b">
        <f t="shared" ca="1" si="1"/>
        <v>0</v>
      </c>
    </row>
    <row r="75" spans="1:5" x14ac:dyDescent="0.2">
      <c r="A75" s="1632" t="str">
        <f ca="1">Zauber!A86</f>
        <v/>
      </c>
      <c r="B75" s="18" t="str">
        <f ca="1">IF(Zauber!C86="","",Zauber!C86)</f>
        <v/>
      </c>
      <c r="C75" s="18" t="str">
        <f ca="1">IF(Zauber!M86="","",Zauber!M86)</f>
        <v/>
      </c>
      <c r="D75" s="19" t="b">
        <v>0</v>
      </c>
      <c r="E75" s="1597" t="b">
        <f t="shared" ca="1" si="1"/>
        <v>0</v>
      </c>
    </row>
    <row r="76" spans="1:5" x14ac:dyDescent="0.2">
      <c r="A76" s="1632" t="str">
        <f ca="1">Zauber!A87</f>
        <v/>
      </c>
      <c r="B76" s="18" t="str">
        <f ca="1">IF(Zauber!C87="","",Zauber!C87)</f>
        <v/>
      </c>
      <c r="C76" s="18" t="str">
        <f ca="1">IF(Zauber!M87="","",Zauber!M87)</f>
        <v/>
      </c>
      <c r="D76" s="19" t="b">
        <v>0</v>
      </c>
      <c r="E76" s="1597" t="b">
        <f t="shared" ca="1" si="1"/>
        <v>0</v>
      </c>
    </row>
    <row r="77" spans="1:5" x14ac:dyDescent="0.2">
      <c r="A77" s="1632" t="str">
        <f ca="1">Zauber!A88</f>
        <v/>
      </c>
      <c r="B77" s="18" t="str">
        <f ca="1">IF(Zauber!C88="","",Zauber!C88)</f>
        <v/>
      </c>
      <c r="C77" s="18" t="str">
        <f ca="1">IF(Zauber!M88="","",Zauber!M88)</f>
        <v/>
      </c>
      <c r="D77" s="19" t="b">
        <v>0</v>
      </c>
      <c r="E77" s="1597" t="b">
        <f t="shared" ca="1" si="1"/>
        <v>0</v>
      </c>
    </row>
    <row r="78" spans="1:5" x14ac:dyDescent="0.2">
      <c r="A78" s="1632" t="str">
        <f ca="1">Zauber!A89</f>
        <v/>
      </c>
      <c r="B78" s="18" t="str">
        <f ca="1">IF(Zauber!C89="","",Zauber!C89)</f>
        <v/>
      </c>
      <c r="C78" s="18" t="str">
        <f ca="1">IF(Zauber!M89="","",Zauber!M89)</f>
        <v/>
      </c>
      <c r="D78" s="19" t="b">
        <v>0</v>
      </c>
      <c r="E78" s="1597" t="b">
        <f t="shared" ca="1" si="1"/>
        <v>0</v>
      </c>
    </row>
    <row r="79" spans="1:5" x14ac:dyDescent="0.2">
      <c r="A79" s="1632" t="str">
        <f ca="1">Zauber!A90</f>
        <v/>
      </c>
      <c r="B79" s="18" t="str">
        <f ca="1">IF(Zauber!C90="","",Zauber!C90)</f>
        <v/>
      </c>
      <c r="C79" s="18" t="str">
        <f ca="1">IF(Zauber!M90="","",Zauber!M90)</f>
        <v/>
      </c>
      <c r="D79" s="19" t="b">
        <v>0</v>
      </c>
      <c r="E79" s="1597" t="b">
        <f t="shared" ca="1" si="1"/>
        <v>0</v>
      </c>
    </row>
    <row r="80" spans="1:5" x14ac:dyDescent="0.2">
      <c r="A80" s="1632" t="str">
        <f ca="1">Zauber!A91</f>
        <v/>
      </c>
      <c r="B80" s="18" t="str">
        <f ca="1">IF(Zauber!C91="","",Zauber!C91)</f>
        <v/>
      </c>
      <c r="C80" s="18" t="str">
        <f ca="1">IF(Zauber!M91="","",Zauber!M91)</f>
        <v/>
      </c>
      <c r="D80" s="19" t="b">
        <v>0</v>
      </c>
      <c r="E80" s="1597" t="b">
        <f t="shared" ca="1" si="1"/>
        <v>0</v>
      </c>
    </row>
    <row r="81" spans="1:5" x14ac:dyDescent="0.2">
      <c r="A81" s="1632" t="str">
        <f ca="1">Zauber!A92</f>
        <v/>
      </c>
      <c r="B81" s="18" t="str">
        <f ca="1">IF(Zauber!C92="","",Zauber!C92)</f>
        <v/>
      </c>
      <c r="C81" s="18" t="str">
        <f ca="1">IF(Zauber!M92="","",Zauber!M92)</f>
        <v/>
      </c>
      <c r="D81" s="19" t="b">
        <v>0</v>
      </c>
      <c r="E81" s="1597" t="b">
        <f t="shared" ca="1" si="1"/>
        <v>0</v>
      </c>
    </row>
    <row r="82" spans="1:5" x14ac:dyDescent="0.2">
      <c r="A82" s="1632" t="str">
        <f ca="1">Zauber!A93</f>
        <v/>
      </c>
      <c r="B82" s="18" t="str">
        <f ca="1">IF(Zauber!C93="","",Zauber!C93)</f>
        <v/>
      </c>
      <c r="C82" s="18" t="str">
        <f ca="1">IF(Zauber!M93="","",Zauber!M93)</f>
        <v/>
      </c>
      <c r="D82" s="19" t="b">
        <v>0</v>
      </c>
      <c r="E82" s="1597" t="b">
        <f t="shared" ca="1" si="1"/>
        <v>0</v>
      </c>
    </row>
    <row r="83" spans="1:5" x14ac:dyDescent="0.2">
      <c r="A83" s="1632" t="str">
        <f ca="1">Zauber!A94</f>
        <v/>
      </c>
      <c r="B83" s="18" t="str">
        <f ca="1">IF(Zauber!C94="","",Zauber!C94)</f>
        <v/>
      </c>
      <c r="C83" s="18" t="str">
        <f ca="1">IF(Zauber!M94="","",Zauber!M94)</f>
        <v/>
      </c>
      <c r="D83" s="19" t="b">
        <v>0</v>
      </c>
      <c r="E83" s="1597" t="b">
        <f t="shared" ca="1" si="1"/>
        <v>0</v>
      </c>
    </row>
    <row r="84" spans="1:5" x14ac:dyDescent="0.2">
      <c r="A84" s="1632" t="str">
        <f ca="1">Zauber!A95</f>
        <v/>
      </c>
      <c r="B84" s="18" t="str">
        <f ca="1">IF(Zauber!C95="","",Zauber!C95)</f>
        <v/>
      </c>
      <c r="C84" s="18" t="str">
        <f ca="1">IF(Zauber!M95="","",Zauber!M95)</f>
        <v/>
      </c>
      <c r="D84" s="19" t="b">
        <v>0</v>
      </c>
      <c r="E84" s="1597" t="b">
        <f t="shared" ca="1" si="1"/>
        <v>0</v>
      </c>
    </row>
    <row r="85" spans="1:5" x14ac:dyDescent="0.2">
      <c r="A85" s="1632" t="str">
        <f ca="1">Zauber!A96</f>
        <v/>
      </c>
      <c r="B85" s="18" t="str">
        <f ca="1">IF(Zauber!C96="","",Zauber!C96)</f>
        <v/>
      </c>
      <c r="C85" s="18" t="str">
        <f ca="1">IF(Zauber!M96="","",Zauber!M96)</f>
        <v/>
      </c>
      <c r="D85" s="19" t="b">
        <v>0</v>
      </c>
      <c r="E85" s="1597" t="b">
        <f t="shared" ca="1" si="1"/>
        <v>0</v>
      </c>
    </row>
    <row r="86" spans="1:5" x14ac:dyDescent="0.2">
      <c r="A86" s="1632" t="str">
        <f ca="1">Zauber!A97</f>
        <v/>
      </c>
      <c r="B86" s="18" t="str">
        <f ca="1">IF(Zauber!C97="","",Zauber!C97)</f>
        <v/>
      </c>
      <c r="C86" s="18" t="str">
        <f ca="1">IF(Zauber!M97="","",Zauber!M97)</f>
        <v/>
      </c>
      <c r="D86" s="19" t="b">
        <v>0</v>
      </c>
      <c r="E86" s="1597" t="b">
        <f t="shared" ca="1" si="1"/>
        <v>0</v>
      </c>
    </row>
    <row r="87" spans="1:5" x14ac:dyDescent="0.2">
      <c r="A87" s="1632" t="str">
        <f ca="1">Zauber!A98</f>
        <v/>
      </c>
      <c r="B87" s="18" t="str">
        <f ca="1">IF(Zauber!C98="","",Zauber!C98)</f>
        <v/>
      </c>
      <c r="C87" s="18" t="str">
        <f ca="1">IF(Zauber!M98="","",Zauber!M98)</f>
        <v/>
      </c>
      <c r="D87" s="19" t="b">
        <v>0</v>
      </c>
      <c r="E87" s="1597" t="b">
        <f t="shared" ca="1" si="1"/>
        <v>0</v>
      </c>
    </row>
    <row r="88" spans="1:5" x14ac:dyDescent="0.2">
      <c r="A88" s="1632" t="str">
        <f ca="1">Zauber!A99</f>
        <v/>
      </c>
      <c r="B88" s="18" t="str">
        <f ca="1">IF(Zauber!C99="","",Zauber!C99)</f>
        <v/>
      </c>
      <c r="C88" s="18" t="str">
        <f ca="1">IF(Zauber!M99="","",Zauber!M99)</f>
        <v/>
      </c>
      <c r="D88" s="19" t="b">
        <v>0</v>
      </c>
      <c r="E88" s="1597" t="b">
        <f t="shared" ca="1" si="1"/>
        <v>0</v>
      </c>
    </row>
    <row r="89" spans="1:5" x14ac:dyDescent="0.2">
      <c r="A89" s="1632" t="str">
        <f ca="1">Zauber!A100</f>
        <v/>
      </c>
      <c r="B89" s="18" t="str">
        <f ca="1">IF(Zauber!C100="","",Zauber!C100)</f>
        <v/>
      </c>
      <c r="C89" s="18" t="str">
        <f ca="1">IF(Zauber!M100="","",Zauber!M100)</f>
        <v/>
      </c>
      <c r="D89" s="19" t="b">
        <v>0</v>
      </c>
      <c r="E89" s="1597" t="b">
        <f t="shared" ca="1" si="1"/>
        <v>0</v>
      </c>
    </row>
    <row r="90" spans="1:5" x14ac:dyDescent="0.2">
      <c r="A90" s="1632" t="str">
        <f ca="1">Zauber!A101</f>
        <v/>
      </c>
      <c r="B90" s="18" t="str">
        <f ca="1">IF(Zauber!C101="","",Zauber!C101)</f>
        <v/>
      </c>
      <c r="C90" s="18" t="str">
        <f ca="1">IF(Zauber!M101="","",Zauber!M101)</f>
        <v/>
      </c>
      <c r="D90" s="19" t="b">
        <v>0</v>
      </c>
      <c r="E90" s="1597" t="b">
        <f t="shared" ca="1" si="1"/>
        <v>0</v>
      </c>
    </row>
    <row r="91" spans="1:5" x14ac:dyDescent="0.2">
      <c r="A91" s="1632" t="str">
        <f ca="1">Zauber!A102</f>
        <v/>
      </c>
      <c r="B91" s="18" t="str">
        <f ca="1">IF(Zauber!C102="","",Zauber!C102)</f>
        <v/>
      </c>
      <c r="C91" s="18" t="str">
        <f ca="1">IF(Zauber!M102="","",Zauber!M102)</f>
        <v/>
      </c>
      <c r="D91" s="19" t="b">
        <v>0</v>
      </c>
      <c r="E91" s="1597" t="b">
        <f t="shared" ca="1" si="1"/>
        <v>0</v>
      </c>
    </row>
    <row r="92" spans="1:5" x14ac:dyDescent="0.2">
      <c r="A92" s="1632" t="str">
        <f ca="1">Zauber!A103</f>
        <v/>
      </c>
      <c r="B92" s="18" t="str">
        <f ca="1">IF(Zauber!C103="","",Zauber!C103)</f>
        <v/>
      </c>
      <c r="C92" s="18" t="str">
        <f ca="1">IF(Zauber!M103="","",Zauber!M103)</f>
        <v/>
      </c>
      <c r="D92" s="19" t="b">
        <v>0</v>
      </c>
      <c r="E92" s="1597" t="b">
        <f t="shared" ca="1" si="1"/>
        <v>0</v>
      </c>
    </row>
    <row r="93" spans="1:5" x14ac:dyDescent="0.2">
      <c r="A93" s="1632" t="str">
        <f ca="1">Zauber!A104</f>
        <v/>
      </c>
      <c r="B93" s="18" t="str">
        <f ca="1">IF(Zauber!C104="","",Zauber!C104)</f>
        <v/>
      </c>
      <c r="C93" s="18" t="str">
        <f ca="1">IF(Zauber!M104="","",Zauber!M104)</f>
        <v/>
      </c>
      <c r="D93" s="19" t="b">
        <v>0</v>
      </c>
      <c r="E93" s="1597" t="b">
        <f t="shared" ca="1" si="1"/>
        <v>0</v>
      </c>
    </row>
    <row r="94" spans="1:5" x14ac:dyDescent="0.2">
      <c r="A94" s="1632" t="str">
        <f ca="1">Zauber!A105</f>
        <v/>
      </c>
      <c r="B94" s="18" t="str">
        <f ca="1">IF(Zauber!C105="","",Zauber!C105)</f>
        <v/>
      </c>
      <c r="C94" s="18" t="str">
        <f ca="1">IF(Zauber!M105="","",Zauber!M105)</f>
        <v/>
      </c>
      <c r="D94" s="19" t="b">
        <v>0</v>
      </c>
      <c r="E94" s="1597" t="b">
        <f t="shared" ca="1" si="1"/>
        <v>0</v>
      </c>
    </row>
    <row r="95" spans="1:5" x14ac:dyDescent="0.2">
      <c r="A95" s="1632" t="str">
        <f ca="1">Zauber!A106</f>
        <v/>
      </c>
      <c r="B95" s="18" t="str">
        <f ca="1">IF(Zauber!C106="","",Zauber!C106)</f>
        <v/>
      </c>
      <c r="C95" s="18" t="str">
        <f ca="1">IF(Zauber!M106="","",Zauber!M106)</f>
        <v/>
      </c>
      <c r="D95" s="19" t="b">
        <v>0</v>
      </c>
      <c r="E95" s="1597" t="b">
        <f t="shared" ca="1" si="1"/>
        <v>0</v>
      </c>
    </row>
    <row r="96" spans="1:5" x14ac:dyDescent="0.2">
      <c r="A96" s="1632" t="str">
        <f ca="1">Zauber!A107</f>
        <v/>
      </c>
      <c r="B96" s="18" t="str">
        <f ca="1">IF(Zauber!C107="","",Zauber!C107)</f>
        <v/>
      </c>
      <c r="C96" s="18" t="str">
        <f ca="1">IF(Zauber!M107="","",Zauber!M107)</f>
        <v/>
      </c>
      <c r="D96" s="19" t="b">
        <v>0</v>
      </c>
      <c r="E96" s="1597" t="b">
        <f t="shared" ca="1" si="1"/>
        <v>0</v>
      </c>
    </row>
    <row r="97" spans="1:5" x14ac:dyDescent="0.2">
      <c r="A97" s="1632" t="str">
        <f ca="1">Zauber!A108</f>
        <v/>
      </c>
      <c r="B97" s="18" t="str">
        <f ca="1">IF(Zauber!C108="","",Zauber!C108)</f>
        <v/>
      </c>
      <c r="C97" s="18" t="str">
        <f ca="1">IF(Zauber!M108="","",Zauber!M108)</f>
        <v/>
      </c>
      <c r="D97" s="19" t="b">
        <v>0</v>
      </c>
      <c r="E97" s="1597" t="b">
        <f t="shared" ca="1" si="1"/>
        <v>0</v>
      </c>
    </row>
    <row r="98" spans="1:5" x14ac:dyDescent="0.2">
      <c r="A98" s="1632" t="str">
        <f ca="1">Zauber!A109</f>
        <v/>
      </c>
      <c r="B98" s="18" t="str">
        <f ca="1">IF(Zauber!C109="","",Zauber!C109)</f>
        <v/>
      </c>
      <c r="C98" s="18" t="str">
        <f ca="1">IF(Zauber!M109="","",Zauber!M109)</f>
        <v/>
      </c>
      <c r="D98" s="19" t="b">
        <v>0</v>
      </c>
      <c r="E98" s="1597" t="b">
        <f t="shared" ca="1" si="1"/>
        <v>0</v>
      </c>
    </row>
    <row r="99" spans="1:5" x14ac:dyDescent="0.2">
      <c r="A99" s="1632" t="str">
        <f ca="1">Zauber!A110</f>
        <v/>
      </c>
      <c r="B99" s="18" t="str">
        <f ca="1">IF(Zauber!C110="","",Zauber!C110)</f>
        <v/>
      </c>
      <c r="C99" s="18" t="str">
        <f ca="1">IF(Zauber!M110="","",Zauber!M110)</f>
        <v/>
      </c>
      <c r="D99" s="19" t="b">
        <v>0</v>
      </c>
      <c r="E99" s="1597" t="b">
        <f t="shared" ca="1" si="1"/>
        <v>0</v>
      </c>
    </row>
    <row r="100" spans="1:5" x14ac:dyDescent="0.2">
      <c r="A100" s="1632" t="str">
        <f ca="1">Zauber!A111</f>
        <v/>
      </c>
      <c r="B100" s="18" t="str">
        <f ca="1">IF(Zauber!C111="","",Zauber!C111)</f>
        <v/>
      </c>
      <c r="C100" s="18" t="str">
        <f ca="1">IF(Zauber!M111="","",Zauber!M111)</f>
        <v/>
      </c>
      <c r="D100" s="19" t="b">
        <v>0</v>
      </c>
      <c r="E100" s="1597" t="b">
        <f t="shared" ca="1" si="1"/>
        <v>0</v>
      </c>
    </row>
    <row r="101" spans="1:5" x14ac:dyDescent="0.2">
      <c r="A101" s="1632" t="str">
        <f ca="1">Zauber!A112</f>
        <v/>
      </c>
      <c r="B101" s="18" t="str">
        <f ca="1">IF(Zauber!C112="","",Zauber!C112)</f>
        <v/>
      </c>
      <c r="C101" s="18" t="str">
        <f ca="1">IF(Zauber!M112="","",Zauber!M112)</f>
        <v/>
      </c>
      <c r="D101" s="19" t="b">
        <v>0</v>
      </c>
      <c r="E101" s="1597" t="b">
        <f t="shared" ca="1" si="1"/>
        <v>0</v>
      </c>
    </row>
    <row r="102" spans="1:5" x14ac:dyDescent="0.2">
      <c r="A102" s="1632" t="str">
        <f ca="1">Zauber!A113</f>
        <v/>
      </c>
      <c r="B102" s="18" t="str">
        <f ca="1">IF(Zauber!C113="","",Zauber!C113)</f>
        <v/>
      </c>
      <c r="C102" s="18" t="str">
        <f ca="1">IF(Zauber!M113="","",Zauber!M113)</f>
        <v/>
      </c>
      <c r="D102" s="19" t="b">
        <v>0</v>
      </c>
      <c r="E102" s="1597" t="b">
        <f t="shared" ca="1" si="1"/>
        <v>0</v>
      </c>
    </row>
    <row r="103" spans="1:5" x14ac:dyDescent="0.2">
      <c r="A103" s="1632" t="str">
        <f ca="1">Zauber!A114</f>
        <v/>
      </c>
      <c r="B103" s="18" t="str">
        <f ca="1">IF(Zauber!C114="","",Zauber!C114)</f>
        <v/>
      </c>
      <c r="C103" s="18" t="str">
        <f ca="1">IF(Zauber!M114="","",Zauber!M114)</f>
        <v/>
      </c>
      <c r="D103" s="19" t="b">
        <v>0</v>
      </c>
      <c r="E103" s="1597" t="b">
        <f t="shared" ca="1" si="1"/>
        <v>0</v>
      </c>
    </row>
    <row r="104" spans="1:5" x14ac:dyDescent="0.2">
      <c r="A104" s="1632" t="str">
        <f ca="1">Zauber!A115</f>
        <v/>
      </c>
      <c r="B104" s="18" t="str">
        <f ca="1">IF(Zauber!C115="","",Zauber!C115)</f>
        <v/>
      </c>
      <c r="C104" s="18" t="str">
        <f ca="1">IF(Zauber!M115="","",Zauber!M115)</f>
        <v/>
      </c>
      <c r="D104" s="19" t="b">
        <v>0</v>
      </c>
      <c r="E104" s="1597" t="b">
        <f t="shared" ca="1" si="1"/>
        <v>0</v>
      </c>
    </row>
    <row r="105" spans="1:5" x14ac:dyDescent="0.2">
      <c r="A105" s="1632" t="str">
        <f ca="1">Zauber!A116</f>
        <v/>
      </c>
      <c r="B105" s="18" t="str">
        <f ca="1">IF(Zauber!C116="","",Zauber!C116)</f>
        <v/>
      </c>
      <c r="C105" s="18" t="str">
        <f ca="1">IF(Zauber!M116="","",Zauber!M116)</f>
        <v/>
      </c>
      <c r="D105" s="19" t="b">
        <v>0</v>
      </c>
      <c r="E105" s="1597" t="b">
        <f t="shared" ca="1" si="1"/>
        <v>0</v>
      </c>
    </row>
    <row r="106" spans="1:5" x14ac:dyDescent="0.2">
      <c r="A106" s="1632" t="str">
        <f ca="1">Zauber!A117</f>
        <v/>
      </c>
      <c r="B106" s="18" t="str">
        <f ca="1">IF(Zauber!C117="","",Zauber!C117)</f>
        <v/>
      </c>
      <c r="C106" s="18" t="str">
        <f ca="1">IF(Zauber!M117="","",Zauber!M117)</f>
        <v/>
      </c>
      <c r="D106" s="19" t="b">
        <v>0</v>
      </c>
      <c r="E106" s="1597" t="b">
        <f t="shared" ca="1" si="1"/>
        <v>0</v>
      </c>
    </row>
    <row r="107" spans="1:5" x14ac:dyDescent="0.2">
      <c r="A107" s="1632" t="str">
        <f ca="1">Zauber!A118</f>
        <v/>
      </c>
      <c r="B107" s="18" t="str">
        <f ca="1">IF(Zauber!C118="","",Zauber!C118)</f>
        <v/>
      </c>
      <c r="C107" s="18" t="str">
        <f ca="1">IF(Zauber!M118="","",Zauber!M118)</f>
        <v/>
      </c>
      <c r="D107" s="19" t="b">
        <v>0</v>
      </c>
      <c r="E107" s="1597" t="b">
        <f t="shared" ca="1" si="1"/>
        <v>0</v>
      </c>
    </row>
    <row r="108" spans="1:5" x14ac:dyDescent="0.2">
      <c r="A108" s="1632" t="str">
        <f ca="1">Zauber!A119</f>
        <v/>
      </c>
      <c r="B108" s="18" t="str">
        <f ca="1">IF(Zauber!C119="","",Zauber!C119)</f>
        <v/>
      </c>
      <c r="C108" s="18" t="str">
        <f ca="1">IF(Zauber!M119="","",Zauber!M119)</f>
        <v/>
      </c>
      <c r="D108" s="19" t="b">
        <v>0</v>
      </c>
      <c r="E108" s="1597" t="b">
        <f t="shared" ca="1" si="1"/>
        <v>0</v>
      </c>
    </row>
    <row r="109" spans="1:5" x14ac:dyDescent="0.2">
      <c r="A109" s="1632" t="str">
        <f ca="1">Zauber!A120</f>
        <v/>
      </c>
      <c r="B109" s="18" t="str">
        <f ca="1">IF(Zauber!C120="","",Zauber!C120)</f>
        <v/>
      </c>
      <c r="C109" s="18" t="str">
        <f ca="1">IF(Zauber!M120="","",Zauber!M120)</f>
        <v/>
      </c>
      <c r="D109" s="19" t="b">
        <v>0</v>
      </c>
      <c r="E109" s="1597" t="b">
        <f t="shared" ca="1" si="1"/>
        <v>0</v>
      </c>
    </row>
    <row r="110" spans="1:5" x14ac:dyDescent="0.2">
      <c r="A110" s="1632" t="str">
        <f ca="1">Zauber!A121</f>
        <v/>
      </c>
      <c r="B110" s="18" t="str">
        <f ca="1">IF(Zauber!C121="","",Zauber!C121)</f>
        <v/>
      </c>
      <c r="C110" s="18" t="str">
        <f ca="1">IF(Zauber!M121="","",Zauber!M121)</f>
        <v/>
      </c>
      <c r="D110" s="19" t="b">
        <v>0</v>
      </c>
      <c r="E110" s="1597" t="b">
        <f t="shared" ca="1" si="1"/>
        <v>0</v>
      </c>
    </row>
    <row r="111" spans="1:5" x14ac:dyDescent="0.2">
      <c r="A111" s="1632" t="str">
        <f ca="1">Zauber!A122</f>
        <v/>
      </c>
      <c r="B111" s="18" t="str">
        <f ca="1">IF(Zauber!C122="","",Zauber!C122)</f>
        <v/>
      </c>
      <c r="C111" s="18" t="str">
        <f ca="1">IF(Zauber!M122="","",Zauber!M122)</f>
        <v/>
      </c>
      <c r="D111" s="19" t="b">
        <v>0</v>
      </c>
      <c r="E111" s="1597" t="b">
        <f t="shared" ca="1" si="1"/>
        <v>0</v>
      </c>
    </row>
    <row r="112" spans="1:5" x14ac:dyDescent="0.2">
      <c r="A112" s="1632" t="str">
        <f ca="1">Zauber!A123</f>
        <v/>
      </c>
      <c r="B112" s="18" t="str">
        <f ca="1">IF(Zauber!C123="","",Zauber!C123)</f>
        <v/>
      </c>
      <c r="C112" s="18" t="str">
        <f ca="1">IF(Zauber!M123="","",Zauber!M123)</f>
        <v/>
      </c>
      <c r="D112" s="19" t="b">
        <v>0</v>
      </c>
      <c r="E112" s="1597" t="b">
        <f t="shared" ca="1" si="1"/>
        <v>0</v>
      </c>
    </row>
    <row r="113" spans="1:5" x14ac:dyDescent="0.2">
      <c r="A113" s="1632" t="str">
        <f ca="1">Zauber!A124</f>
        <v/>
      </c>
      <c r="B113" s="18" t="str">
        <f ca="1">IF(Zauber!C124="","",Zauber!C124)</f>
        <v/>
      </c>
      <c r="C113" s="18" t="str">
        <f ca="1">IF(Zauber!M124="","",Zauber!M124)</f>
        <v/>
      </c>
      <c r="D113" s="19" t="b">
        <v>0</v>
      </c>
      <c r="E113" s="1597" t="b">
        <f t="shared" ca="1" si="1"/>
        <v>0</v>
      </c>
    </row>
    <row r="114" spans="1:5" x14ac:dyDescent="0.2">
      <c r="A114" s="1632" t="str">
        <f ca="1">Zauber!A125</f>
        <v/>
      </c>
      <c r="B114" s="18" t="str">
        <f ca="1">IF(Zauber!C125="","",Zauber!C125)</f>
        <v/>
      </c>
      <c r="C114" s="18" t="str">
        <f ca="1">IF(Zauber!M125="","",Zauber!M125)</f>
        <v/>
      </c>
      <c r="D114" s="19" t="b">
        <v>0</v>
      </c>
      <c r="E114" s="1597" t="b">
        <f t="shared" ca="1" si="1"/>
        <v>0</v>
      </c>
    </row>
    <row r="115" spans="1:5" x14ac:dyDescent="0.2">
      <c r="A115" s="1632" t="str">
        <f ca="1">Zauber!A126</f>
        <v/>
      </c>
      <c r="B115" s="18" t="str">
        <f ca="1">IF(Zauber!C126="","",Zauber!C126)</f>
        <v/>
      </c>
      <c r="C115" s="18" t="str">
        <f ca="1">IF(Zauber!M126="","",Zauber!M126)</f>
        <v/>
      </c>
      <c r="D115" s="19" t="b">
        <v>0</v>
      </c>
      <c r="E115" s="1597" t="b">
        <f t="shared" ref="E115:E149" ca="1" si="2">IF(C115="",FALSE,TRUE)</f>
        <v>0</v>
      </c>
    </row>
    <row r="116" spans="1:5" x14ac:dyDescent="0.2">
      <c r="A116" s="1632" t="str">
        <f ca="1">Zauber!A127</f>
        <v/>
      </c>
      <c r="B116" s="18" t="str">
        <f ca="1">IF(Zauber!C127="","",Zauber!C127)</f>
        <v/>
      </c>
      <c r="C116" s="18" t="str">
        <f ca="1">IF(Zauber!M127="","",Zauber!M127)</f>
        <v/>
      </c>
      <c r="D116" s="19" t="b">
        <v>0</v>
      </c>
      <c r="E116" s="1597" t="b">
        <f t="shared" ca="1" si="2"/>
        <v>0</v>
      </c>
    </row>
    <row r="117" spans="1:5" x14ac:dyDescent="0.2">
      <c r="A117" s="1632" t="str">
        <f ca="1">Zauber!A128</f>
        <v/>
      </c>
      <c r="B117" s="18" t="str">
        <f ca="1">IF(Zauber!C128="","",Zauber!C128)</f>
        <v/>
      </c>
      <c r="C117" s="18" t="str">
        <f ca="1">IF(Zauber!M128="","",Zauber!M128)</f>
        <v/>
      </c>
      <c r="D117" s="19" t="b">
        <v>0</v>
      </c>
      <c r="E117" s="1597" t="b">
        <f t="shared" ca="1" si="2"/>
        <v>0</v>
      </c>
    </row>
    <row r="118" spans="1:5" x14ac:dyDescent="0.2">
      <c r="A118" s="1632" t="str">
        <f ca="1">Zauber!A129</f>
        <v/>
      </c>
      <c r="B118" s="18" t="str">
        <f ca="1">IF(Zauber!C129="","",Zauber!C129)</f>
        <v/>
      </c>
      <c r="C118" s="18" t="str">
        <f ca="1">IF(Zauber!M129="","",Zauber!M129)</f>
        <v/>
      </c>
      <c r="D118" s="19" t="b">
        <v>0</v>
      </c>
      <c r="E118" s="1597" t="b">
        <f t="shared" ca="1" si="2"/>
        <v>0</v>
      </c>
    </row>
    <row r="119" spans="1:5" x14ac:dyDescent="0.2">
      <c r="A119" s="1632" t="str">
        <f ca="1">Zauber!A130</f>
        <v/>
      </c>
      <c r="B119" s="18" t="str">
        <f ca="1">IF(Zauber!C130="","",Zauber!C130)</f>
        <v/>
      </c>
      <c r="C119" s="18" t="str">
        <f ca="1">IF(Zauber!M130="","",Zauber!M130)</f>
        <v/>
      </c>
      <c r="D119" s="19" t="b">
        <v>0</v>
      </c>
      <c r="E119" s="1597" t="b">
        <f t="shared" ca="1" si="2"/>
        <v>0</v>
      </c>
    </row>
    <row r="120" spans="1:5" x14ac:dyDescent="0.2">
      <c r="A120" s="1632" t="str">
        <f ca="1">Zauber!A131</f>
        <v/>
      </c>
      <c r="B120" s="18" t="str">
        <f ca="1">IF(Zauber!C131="","",Zauber!C131)</f>
        <v/>
      </c>
      <c r="C120" s="18" t="str">
        <f ca="1">IF(Zauber!M131="","",Zauber!M131)</f>
        <v/>
      </c>
      <c r="D120" s="19" t="b">
        <v>0</v>
      </c>
      <c r="E120" s="1597" t="b">
        <f t="shared" ca="1" si="2"/>
        <v>0</v>
      </c>
    </row>
    <row r="121" spans="1:5" x14ac:dyDescent="0.2">
      <c r="A121" s="1632" t="str">
        <f ca="1">Zauber!A132</f>
        <v/>
      </c>
      <c r="B121" s="18" t="str">
        <f ca="1">IF(Zauber!C132="","",Zauber!C132)</f>
        <v/>
      </c>
      <c r="C121" s="18" t="str">
        <f ca="1">IF(Zauber!M132="","",Zauber!M132)</f>
        <v/>
      </c>
      <c r="D121" s="19" t="b">
        <v>0</v>
      </c>
      <c r="E121" s="1597" t="b">
        <f t="shared" ca="1" si="2"/>
        <v>0</v>
      </c>
    </row>
    <row r="122" spans="1:5" x14ac:dyDescent="0.2">
      <c r="A122" s="1632" t="str">
        <f ca="1">Zauber!A133</f>
        <v/>
      </c>
      <c r="B122" s="18" t="str">
        <f ca="1">IF(Zauber!C133="","",Zauber!C133)</f>
        <v/>
      </c>
      <c r="C122" s="18" t="str">
        <f ca="1">IF(Zauber!M133="","",Zauber!M133)</f>
        <v/>
      </c>
      <c r="D122" s="19" t="b">
        <v>0</v>
      </c>
      <c r="E122" s="1597" t="b">
        <f t="shared" ca="1" si="2"/>
        <v>0</v>
      </c>
    </row>
    <row r="123" spans="1:5" x14ac:dyDescent="0.2">
      <c r="A123" s="1632" t="str">
        <f ca="1">Zauber!A134</f>
        <v/>
      </c>
      <c r="B123" s="18" t="str">
        <f ca="1">IF(Zauber!C134="","",Zauber!C134)</f>
        <v/>
      </c>
      <c r="C123" s="18" t="str">
        <f ca="1">IF(Zauber!M134="","",Zauber!M134)</f>
        <v/>
      </c>
      <c r="D123" s="19" t="b">
        <v>0</v>
      </c>
      <c r="E123" s="1597" t="b">
        <f t="shared" ca="1" si="2"/>
        <v>0</v>
      </c>
    </row>
    <row r="124" spans="1:5" x14ac:dyDescent="0.2">
      <c r="A124" s="1632" t="str">
        <f ca="1">Zauber!A135</f>
        <v/>
      </c>
      <c r="B124" s="18" t="str">
        <f ca="1">IF(Zauber!C135="","",Zauber!C135)</f>
        <v/>
      </c>
      <c r="C124" s="18" t="str">
        <f ca="1">IF(Zauber!M135="","",Zauber!M135)</f>
        <v/>
      </c>
      <c r="D124" s="19" t="b">
        <v>0</v>
      </c>
      <c r="E124" s="1597" t="b">
        <f t="shared" ca="1" si="2"/>
        <v>0</v>
      </c>
    </row>
    <row r="125" spans="1:5" x14ac:dyDescent="0.2">
      <c r="A125" s="1632" t="str">
        <f ca="1">Zauber!A136</f>
        <v/>
      </c>
      <c r="B125" s="18" t="str">
        <f ca="1">IF(Zauber!C136="","",Zauber!C136)</f>
        <v/>
      </c>
      <c r="C125" s="18" t="str">
        <f ca="1">IF(Zauber!M136="","",Zauber!M136)</f>
        <v/>
      </c>
      <c r="D125" s="19" t="b">
        <v>0</v>
      </c>
      <c r="E125" s="1597" t="b">
        <f t="shared" ca="1" si="2"/>
        <v>0</v>
      </c>
    </row>
    <row r="126" spans="1:5" x14ac:dyDescent="0.2">
      <c r="A126" s="1632" t="str">
        <f ca="1">Zauber!A137</f>
        <v/>
      </c>
      <c r="B126" s="18" t="str">
        <f ca="1">IF(Zauber!C137="","",Zauber!C137)</f>
        <v/>
      </c>
      <c r="C126" s="18" t="str">
        <f ca="1">IF(Zauber!M137="","",Zauber!M137)</f>
        <v/>
      </c>
      <c r="D126" s="19" t="b">
        <v>0</v>
      </c>
      <c r="E126" s="1597" t="b">
        <f t="shared" ca="1" si="2"/>
        <v>0</v>
      </c>
    </row>
    <row r="127" spans="1:5" x14ac:dyDescent="0.2">
      <c r="A127" s="1632" t="str">
        <f ca="1">Zauber!A138</f>
        <v/>
      </c>
      <c r="B127" s="18" t="str">
        <f ca="1">IF(Zauber!C138="","",Zauber!C138)</f>
        <v/>
      </c>
      <c r="C127" s="18" t="str">
        <f ca="1">IF(Zauber!M138="","",Zauber!M138)</f>
        <v/>
      </c>
      <c r="D127" s="19" t="b">
        <v>0</v>
      </c>
      <c r="E127" s="1597" t="b">
        <f t="shared" ca="1" si="2"/>
        <v>0</v>
      </c>
    </row>
    <row r="128" spans="1:5" x14ac:dyDescent="0.2">
      <c r="A128" s="1632" t="str">
        <f ca="1">Zauber!A139</f>
        <v/>
      </c>
      <c r="B128" s="18" t="str">
        <f ca="1">IF(Zauber!C139="","",Zauber!C139)</f>
        <v/>
      </c>
      <c r="C128" s="18" t="str">
        <f ca="1">IF(Zauber!M139="","",Zauber!M139)</f>
        <v/>
      </c>
      <c r="D128" s="19" t="b">
        <v>0</v>
      </c>
      <c r="E128" s="1597" t="b">
        <f t="shared" ca="1" si="2"/>
        <v>0</v>
      </c>
    </row>
    <row r="129" spans="1:5" x14ac:dyDescent="0.2">
      <c r="A129" s="1632" t="str">
        <f ca="1">Zauber!A140</f>
        <v/>
      </c>
      <c r="B129" s="18" t="str">
        <f ca="1">IF(Zauber!C140="","",Zauber!C140)</f>
        <v/>
      </c>
      <c r="C129" s="18" t="str">
        <f ca="1">IF(Zauber!M140="","",Zauber!M140)</f>
        <v/>
      </c>
      <c r="D129" s="19" t="b">
        <v>0</v>
      </c>
      <c r="E129" s="1597" t="b">
        <f t="shared" ca="1" si="2"/>
        <v>0</v>
      </c>
    </row>
    <row r="130" spans="1:5" x14ac:dyDescent="0.2">
      <c r="A130" s="1632" t="str">
        <f ca="1">Zauber!A141</f>
        <v/>
      </c>
      <c r="B130" s="18" t="str">
        <f ca="1">IF(Zauber!C141="","",Zauber!C141)</f>
        <v/>
      </c>
      <c r="C130" s="18" t="str">
        <f ca="1">IF(Zauber!M141="","",Zauber!M141)</f>
        <v/>
      </c>
      <c r="D130" s="19" t="b">
        <v>0</v>
      </c>
      <c r="E130" s="1597" t="b">
        <f t="shared" ca="1" si="2"/>
        <v>0</v>
      </c>
    </row>
    <row r="131" spans="1:5" x14ac:dyDescent="0.2">
      <c r="A131" s="1632" t="str">
        <f ca="1">Zauber!A142</f>
        <v/>
      </c>
      <c r="B131" s="18" t="str">
        <f ca="1">IF(Zauber!C142="","",Zauber!C142)</f>
        <v/>
      </c>
      <c r="C131" s="18" t="str">
        <f ca="1">IF(Zauber!M142="","",Zauber!M142)</f>
        <v/>
      </c>
      <c r="D131" s="19" t="b">
        <v>0</v>
      </c>
      <c r="E131" s="1597" t="b">
        <f t="shared" ca="1" si="2"/>
        <v>0</v>
      </c>
    </row>
    <row r="132" spans="1:5" x14ac:dyDescent="0.2">
      <c r="A132" s="1632" t="str">
        <f ca="1">Zauber!A143</f>
        <v/>
      </c>
      <c r="B132" s="18" t="str">
        <f ca="1">IF(Zauber!C143="","",Zauber!C143)</f>
        <v/>
      </c>
      <c r="C132" s="18" t="str">
        <f ca="1">IF(Zauber!M143="","",Zauber!M143)</f>
        <v/>
      </c>
      <c r="D132" s="19" t="b">
        <v>0</v>
      </c>
      <c r="E132" s="1597" t="b">
        <f t="shared" ca="1" si="2"/>
        <v>0</v>
      </c>
    </row>
    <row r="133" spans="1:5" x14ac:dyDescent="0.2">
      <c r="A133" s="1632" t="str">
        <f ca="1">Zauber!A144</f>
        <v/>
      </c>
      <c r="B133" s="18" t="str">
        <f ca="1">IF(Zauber!C144="","",Zauber!C144)</f>
        <v/>
      </c>
      <c r="C133" s="18" t="str">
        <f ca="1">IF(Zauber!M144="","",Zauber!M144)</f>
        <v/>
      </c>
      <c r="D133" s="19" t="b">
        <v>0</v>
      </c>
      <c r="E133" s="1597" t="b">
        <f t="shared" ca="1" si="2"/>
        <v>0</v>
      </c>
    </row>
    <row r="134" spans="1:5" x14ac:dyDescent="0.2">
      <c r="A134" s="1632" t="str">
        <f ca="1">Zauber!A145</f>
        <v/>
      </c>
      <c r="B134" s="18" t="str">
        <f ca="1">IF(Zauber!C145="","",Zauber!C145)</f>
        <v/>
      </c>
      <c r="C134" s="18" t="str">
        <f ca="1">IF(Zauber!M145="","",Zauber!M145)</f>
        <v/>
      </c>
      <c r="D134" s="19" t="b">
        <v>0</v>
      </c>
      <c r="E134" s="1597" t="b">
        <f t="shared" ca="1" si="2"/>
        <v>0</v>
      </c>
    </row>
    <row r="135" spans="1:5" x14ac:dyDescent="0.2">
      <c r="A135" s="1632" t="str">
        <f ca="1">Zauber!A146</f>
        <v/>
      </c>
      <c r="B135" s="18" t="str">
        <f ca="1">IF(Zauber!C146="","",Zauber!C146)</f>
        <v/>
      </c>
      <c r="C135" s="18" t="str">
        <f ca="1">IF(Zauber!M146="","",Zauber!M146)</f>
        <v/>
      </c>
      <c r="D135" s="19" t="b">
        <v>0</v>
      </c>
      <c r="E135" s="1597" t="b">
        <f t="shared" ca="1" si="2"/>
        <v>0</v>
      </c>
    </row>
    <row r="136" spans="1:5" x14ac:dyDescent="0.2">
      <c r="A136" s="1632" t="str">
        <f ca="1">Zauber!A147</f>
        <v/>
      </c>
      <c r="B136" s="18" t="str">
        <f ca="1">IF(Zauber!C147="","",Zauber!C147)</f>
        <v/>
      </c>
      <c r="C136" s="18" t="str">
        <f ca="1">IF(Zauber!M147="","",Zauber!M147)</f>
        <v/>
      </c>
      <c r="D136" s="19" t="b">
        <v>0</v>
      </c>
      <c r="E136" s="1597" t="b">
        <f t="shared" ca="1" si="2"/>
        <v>0</v>
      </c>
    </row>
    <row r="137" spans="1:5" x14ac:dyDescent="0.2">
      <c r="A137" s="1632" t="str">
        <f ca="1">Zauber!A148</f>
        <v/>
      </c>
      <c r="B137" s="18" t="str">
        <f ca="1">IF(Zauber!C148="","",Zauber!C148)</f>
        <v/>
      </c>
      <c r="C137" s="18" t="str">
        <f ca="1">IF(Zauber!M148="","",Zauber!M148)</f>
        <v/>
      </c>
      <c r="D137" s="19" t="b">
        <v>0</v>
      </c>
      <c r="E137" s="1597" t="b">
        <f t="shared" ca="1" si="2"/>
        <v>0</v>
      </c>
    </row>
    <row r="138" spans="1:5" x14ac:dyDescent="0.2">
      <c r="A138" s="1632" t="str">
        <f ca="1">Zauber!A149</f>
        <v/>
      </c>
      <c r="B138" s="18" t="str">
        <f ca="1">IF(Zauber!C149="","",Zauber!C149)</f>
        <v/>
      </c>
      <c r="C138" s="18" t="str">
        <f ca="1">IF(Zauber!M149="","",Zauber!M149)</f>
        <v/>
      </c>
      <c r="D138" s="19" t="b">
        <v>0</v>
      </c>
      <c r="E138" s="1597" t="b">
        <f t="shared" ca="1" si="2"/>
        <v>0</v>
      </c>
    </row>
    <row r="139" spans="1:5" x14ac:dyDescent="0.2">
      <c r="A139" s="1632" t="str">
        <f ca="1">Zauber!A150</f>
        <v/>
      </c>
      <c r="B139" s="18" t="str">
        <f ca="1">IF(Zauber!C150="","",Zauber!C150)</f>
        <v/>
      </c>
      <c r="C139" s="18" t="str">
        <f ca="1">IF(Zauber!M150="","",Zauber!M150)</f>
        <v/>
      </c>
      <c r="D139" s="19" t="b">
        <v>0</v>
      </c>
      <c r="E139" s="1597" t="b">
        <f t="shared" ca="1" si="2"/>
        <v>0</v>
      </c>
    </row>
    <row r="140" spans="1:5" x14ac:dyDescent="0.2">
      <c r="A140" s="1632" t="str">
        <f ca="1">Zauber!A151</f>
        <v/>
      </c>
      <c r="B140" s="18" t="str">
        <f ca="1">IF(Zauber!C151="","",Zauber!C151)</f>
        <v/>
      </c>
      <c r="C140" s="18" t="str">
        <f ca="1">IF(Zauber!M151="","",Zauber!M151)</f>
        <v/>
      </c>
      <c r="D140" s="19" t="b">
        <v>0</v>
      </c>
      <c r="E140" s="1597" t="b">
        <f t="shared" ca="1" si="2"/>
        <v>0</v>
      </c>
    </row>
    <row r="141" spans="1:5" x14ac:dyDescent="0.2">
      <c r="A141" s="1632" t="str">
        <f ca="1">Zauber!A152</f>
        <v/>
      </c>
      <c r="B141" s="18" t="str">
        <f ca="1">IF(Zauber!C152="","",Zauber!C152)</f>
        <v/>
      </c>
      <c r="C141" s="18" t="str">
        <f ca="1">IF(Zauber!M152="","",Zauber!M152)</f>
        <v/>
      </c>
      <c r="D141" s="19" t="b">
        <v>0</v>
      </c>
      <c r="E141" s="1597" t="b">
        <f t="shared" ca="1" si="2"/>
        <v>0</v>
      </c>
    </row>
    <row r="142" spans="1:5" x14ac:dyDescent="0.2">
      <c r="A142" s="1632" t="str">
        <f ca="1">Zauber!A153</f>
        <v/>
      </c>
      <c r="B142" s="18" t="str">
        <f ca="1">IF(Zauber!C153="","",Zauber!C153)</f>
        <v/>
      </c>
      <c r="C142" s="18" t="str">
        <f ca="1">IF(Zauber!M153="","",Zauber!M153)</f>
        <v/>
      </c>
      <c r="D142" s="19" t="b">
        <v>0</v>
      </c>
      <c r="E142" s="1597" t="b">
        <f t="shared" ca="1" si="2"/>
        <v>0</v>
      </c>
    </row>
    <row r="143" spans="1:5" x14ac:dyDescent="0.2">
      <c r="A143" s="1632" t="str">
        <f ca="1">Zauber!A154</f>
        <v/>
      </c>
      <c r="B143" s="18" t="str">
        <f ca="1">IF(Zauber!C154="","",Zauber!C154)</f>
        <v/>
      </c>
      <c r="C143" s="18" t="str">
        <f ca="1">IF(Zauber!M154="","",Zauber!M154)</f>
        <v/>
      </c>
      <c r="D143" s="19" t="b">
        <v>0</v>
      </c>
      <c r="E143" s="1597" t="b">
        <f t="shared" ca="1" si="2"/>
        <v>0</v>
      </c>
    </row>
    <row r="144" spans="1:5" x14ac:dyDescent="0.2">
      <c r="A144" s="1632" t="str">
        <f ca="1">Zauber!A155</f>
        <v/>
      </c>
      <c r="B144" s="18" t="str">
        <f ca="1">IF(Zauber!C155="","",Zauber!C155)</f>
        <v/>
      </c>
      <c r="C144" s="18" t="str">
        <f ca="1">IF(Zauber!M155="","",Zauber!M155)</f>
        <v/>
      </c>
      <c r="D144" s="19" t="b">
        <v>0</v>
      </c>
      <c r="E144" s="1597" t="b">
        <f t="shared" ca="1" si="2"/>
        <v>0</v>
      </c>
    </row>
    <row r="145" spans="1:5" x14ac:dyDescent="0.2">
      <c r="A145" s="1632" t="str">
        <f ca="1">Zauber!A156</f>
        <v/>
      </c>
      <c r="B145" s="18" t="str">
        <f ca="1">IF(Zauber!C156="","",Zauber!C156)</f>
        <v/>
      </c>
      <c r="C145" s="18" t="str">
        <f ca="1">IF(Zauber!M156="","",Zauber!M156)</f>
        <v/>
      </c>
      <c r="D145" s="19" t="b">
        <v>0</v>
      </c>
      <c r="E145" s="1597" t="b">
        <f t="shared" ca="1" si="2"/>
        <v>0</v>
      </c>
    </row>
    <row r="146" spans="1:5" x14ac:dyDescent="0.2">
      <c r="A146" s="1632" t="str">
        <f ca="1">Zauber!A157</f>
        <v/>
      </c>
      <c r="B146" s="18" t="str">
        <f ca="1">IF(Zauber!C157="","",Zauber!C157)</f>
        <v/>
      </c>
      <c r="C146" s="18" t="str">
        <f ca="1">IF(Zauber!M157="","",Zauber!M157)</f>
        <v/>
      </c>
      <c r="D146" s="19" t="b">
        <v>0</v>
      </c>
      <c r="E146" s="1597" t="b">
        <f t="shared" ca="1" si="2"/>
        <v>0</v>
      </c>
    </row>
    <row r="147" spans="1:5" x14ac:dyDescent="0.2">
      <c r="A147" s="1632" t="str">
        <f ca="1">Zauber!A158</f>
        <v/>
      </c>
      <c r="B147" s="18" t="str">
        <f ca="1">IF(Zauber!C158="","",Zauber!C158)</f>
        <v/>
      </c>
      <c r="C147" s="18" t="str">
        <f ca="1">IF(Zauber!M158="","",Zauber!M158)</f>
        <v/>
      </c>
      <c r="D147" s="19" t="b">
        <v>0</v>
      </c>
      <c r="E147" s="1597" t="b">
        <f t="shared" ca="1" si="2"/>
        <v>0</v>
      </c>
    </row>
    <row r="148" spans="1:5" x14ac:dyDescent="0.2">
      <c r="A148" s="1632" t="str">
        <f ca="1">Zauber!A159</f>
        <v/>
      </c>
      <c r="B148" s="18" t="str">
        <f ca="1">IF(Zauber!C159="","",Zauber!C159)</f>
        <v/>
      </c>
      <c r="C148" s="18" t="str">
        <f ca="1">IF(Zauber!M159="","",Zauber!M159)</f>
        <v/>
      </c>
      <c r="D148" s="19" t="b">
        <v>0</v>
      </c>
      <c r="E148" s="1597" t="b">
        <f t="shared" ca="1" si="2"/>
        <v>0</v>
      </c>
    </row>
    <row r="149" spans="1:5" ht="13.5" thickBot="1" x14ac:dyDescent="0.25">
      <c r="A149" s="1633" t="str">
        <f ca="1">Zauber!A160</f>
        <v/>
      </c>
      <c r="B149" s="1599" t="str">
        <f ca="1">IF(Zauber!C160="","",Zauber!C160)</f>
        <v/>
      </c>
      <c r="C149" s="1599" t="str">
        <f ca="1">IF(Zauber!M160="","",Zauber!M160)</f>
        <v/>
      </c>
      <c r="D149" s="1636" t="b">
        <v>0</v>
      </c>
      <c r="E149" s="1600" t="b">
        <f t="shared" ca="1" si="2"/>
        <v>0</v>
      </c>
    </row>
    <row r="150" spans="1:5" x14ac:dyDescent="0.2">
      <c r="A150" s="1634" t="str">
        <f>IF(Zauber!A162="","",Zauber!A162)</f>
        <v/>
      </c>
      <c r="B150" s="1622" t="str">
        <f ca="1">IF(Zauber!C162="","",Zauber!C162)</f>
        <v/>
      </c>
      <c r="C150" s="1622" t="str">
        <f>IF(Zauber!M162="","",Zauber!M162)</f>
        <v/>
      </c>
      <c r="D150" s="1635" t="b">
        <v>0</v>
      </c>
      <c r="E150" s="1623" t="b">
        <f t="shared" ref="E150:E160" si="3">IF(A150="",FALSE,TRUE)</f>
        <v>0</v>
      </c>
    </row>
    <row r="151" spans="1:5" x14ac:dyDescent="0.2">
      <c r="A151" s="1632" t="str">
        <f>IF(Zauber!A163="","",Zauber!A163)</f>
        <v/>
      </c>
      <c r="B151" s="18" t="str">
        <f ca="1">IF(Zauber!C163="","",Zauber!C163)</f>
        <v/>
      </c>
      <c r="C151" s="18" t="str">
        <f>IF(Zauber!M163="","",Zauber!M163)</f>
        <v/>
      </c>
      <c r="D151" s="19" t="b">
        <v>0</v>
      </c>
      <c r="E151" s="1597" t="b">
        <f t="shared" si="3"/>
        <v>0</v>
      </c>
    </row>
    <row r="152" spans="1:5" x14ac:dyDescent="0.2">
      <c r="A152" s="1632" t="str">
        <f>IF(Zauber!A164="","",Zauber!A164)</f>
        <v/>
      </c>
      <c r="B152" s="18" t="str">
        <f ca="1">IF(Zauber!C164="","",Zauber!C164)</f>
        <v/>
      </c>
      <c r="C152" s="18" t="str">
        <f>IF(Zauber!M164="","",Zauber!M164)</f>
        <v/>
      </c>
      <c r="D152" s="19" t="b">
        <v>0</v>
      </c>
      <c r="E152" s="1597" t="b">
        <f t="shared" si="3"/>
        <v>0</v>
      </c>
    </row>
    <row r="153" spans="1:5" x14ac:dyDescent="0.2">
      <c r="A153" s="1632" t="str">
        <f>IF(Zauber!A165="","",Zauber!A165)</f>
        <v/>
      </c>
      <c r="B153" s="18" t="str">
        <f ca="1">IF(Zauber!C165="","",Zauber!C165)</f>
        <v/>
      </c>
      <c r="C153" s="18" t="str">
        <f>IF(Zauber!M165="","",Zauber!M165)</f>
        <v/>
      </c>
      <c r="D153" s="19" t="b">
        <v>0</v>
      </c>
      <c r="E153" s="1597" t="b">
        <f t="shared" si="3"/>
        <v>0</v>
      </c>
    </row>
    <row r="154" spans="1:5" x14ac:dyDescent="0.2">
      <c r="A154" s="1632" t="str">
        <f>IF(Zauber!A166="","",Zauber!A166)</f>
        <v/>
      </c>
      <c r="B154" s="18" t="str">
        <f ca="1">IF(Zauber!C166="","",Zauber!C166)</f>
        <v/>
      </c>
      <c r="C154" s="18" t="str">
        <f>IF(Zauber!M166="","",Zauber!M166)</f>
        <v/>
      </c>
      <c r="D154" s="19" t="b">
        <v>0</v>
      </c>
      <c r="E154" s="1597" t="b">
        <f t="shared" si="3"/>
        <v>0</v>
      </c>
    </row>
    <row r="155" spans="1:5" x14ac:dyDescent="0.2">
      <c r="A155" s="1632" t="str">
        <f>IF(Zauber!A167="","",Zauber!A167)</f>
        <v/>
      </c>
      <c r="B155" s="18" t="str">
        <f ca="1">IF(Zauber!C167="","",Zauber!C167)</f>
        <v/>
      </c>
      <c r="C155" s="18" t="str">
        <f>IF(Zauber!M167="","",Zauber!M167)</f>
        <v/>
      </c>
      <c r="D155" s="19" t="b">
        <v>0</v>
      </c>
      <c r="E155" s="1597" t="b">
        <f t="shared" si="3"/>
        <v>0</v>
      </c>
    </row>
    <row r="156" spans="1:5" x14ac:dyDescent="0.2">
      <c r="A156" s="1632" t="str">
        <f>IF(Zauber!A168="","",Zauber!A168)</f>
        <v/>
      </c>
      <c r="B156" s="18" t="str">
        <f ca="1">IF(Zauber!C168="","",Zauber!C168)</f>
        <v/>
      </c>
      <c r="C156" s="18" t="str">
        <f>IF(Zauber!M168="","",Zauber!M168)</f>
        <v/>
      </c>
      <c r="D156" s="19" t="b">
        <v>0</v>
      </c>
      <c r="E156" s="1597" t="b">
        <f t="shared" si="3"/>
        <v>0</v>
      </c>
    </row>
    <row r="157" spans="1:5" x14ac:dyDescent="0.2">
      <c r="A157" s="1632" t="str">
        <f>IF(Zauber!A169="","",Zauber!A169)</f>
        <v/>
      </c>
      <c r="B157" s="18" t="str">
        <f ca="1">IF(Zauber!C169="","",Zauber!C169)</f>
        <v/>
      </c>
      <c r="C157" s="18" t="str">
        <f>IF(Zauber!M169="","",Zauber!M169)</f>
        <v/>
      </c>
      <c r="D157" s="19" t="b">
        <v>0</v>
      </c>
      <c r="E157" s="1597" t="b">
        <f t="shared" si="3"/>
        <v>0</v>
      </c>
    </row>
    <row r="158" spans="1:5" x14ac:dyDescent="0.2">
      <c r="A158" s="1632" t="str">
        <f>IF(Zauber!A170="","",Zauber!A170)</f>
        <v/>
      </c>
      <c r="B158" s="18" t="str">
        <f ca="1">IF(Zauber!C170="","",Zauber!C170)</f>
        <v/>
      </c>
      <c r="C158" s="18" t="str">
        <f>IF(Zauber!M170="","",Zauber!M170)</f>
        <v/>
      </c>
      <c r="D158" s="19" t="b">
        <v>0</v>
      </c>
      <c r="E158" s="1597" t="b">
        <f t="shared" si="3"/>
        <v>0</v>
      </c>
    </row>
    <row r="159" spans="1:5" x14ac:dyDescent="0.2">
      <c r="A159" s="1632" t="str">
        <f>IF(Zauber!A171="","",Zauber!A171)</f>
        <v/>
      </c>
      <c r="B159" s="18" t="str">
        <f ca="1">IF(Zauber!C171="","",Zauber!C171)</f>
        <v/>
      </c>
      <c r="C159" s="18" t="str">
        <f>IF(Zauber!M171="","",Zauber!M171)</f>
        <v/>
      </c>
      <c r="D159" s="19" t="b">
        <v>0</v>
      </c>
      <c r="E159" s="1597" t="b">
        <f t="shared" si="3"/>
        <v>0</v>
      </c>
    </row>
    <row r="160" spans="1:5" ht="13.5" thickBot="1" x14ac:dyDescent="0.25">
      <c r="A160" s="1633" t="str">
        <f>IF(Zauber!A172="","",Zauber!A172)</f>
        <v/>
      </c>
      <c r="B160" s="1599" t="str">
        <f ca="1">IF(Zauber!C172="","",Zauber!C172)</f>
        <v/>
      </c>
      <c r="C160" s="1599" t="str">
        <f>IF(Zauber!M172="","",Zauber!M172)</f>
        <v/>
      </c>
      <c r="D160" s="1636" t="b">
        <v>0</v>
      </c>
      <c r="E160" s="1600" t="b">
        <f t="shared" si="3"/>
        <v>0</v>
      </c>
    </row>
    <row r="161" spans="1:5" x14ac:dyDescent="0.2">
      <c r="A161" s="1634" t="str">
        <f>Zauber!A174</f>
        <v>Arcanovi (Semipermanenz)</v>
      </c>
      <c r="B161" s="1622" t="str">
        <f ca="1">IF(Zauber!C174="","",Zauber!C174)</f>
        <v/>
      </c>
      <c r="C161" s="1622" t="str">
        <f ca="1">IF(Zauber!M174="","",Zauber!M174)</f>
        <v/>
      </c>
      <c r="D161" s="1635" t="b">
        <v>0</v>
      </c>
      <c r="E161" s="1623" t="b">
        <f ca="1">IF(Zauber!B174="akt.",FALSE,TRUE)</f>
        <v>0</v>
      </c>
    </row>
    <row r="162" spans="1:5" ht="13.5" thickBot="1" x14ac:dyDescent="0.25">
      <c r="A162" s="1633" t="str">
        <f>Zauber!A175</f>
        <v>Arcanovi (Matrixgeber)</v>
      </c>
      <c r="B162" s="1599" t="str">
        <f ca="1">IF(Zauber!C175="","",Zauber!C175)</f>
        <v/>
      </c>
      <c r="C162" s="1599">
        <f ca="1">IF(Zauber!M175="","",Zauber!M175)</f>
        <v>0</v>
      </c>
      <c r="D162" s="1636" t="b">
        <v>0</v>
      </c>
      <c r="E162" s="1600" t="b">
        <f ca="1">IF(Zauber!B175="akt.",FALSE,TRUE)</f>
        <v>0</v>
      </c>
    </row>
    <row r="163" spans="1:5" x14ac:dyDescent="0.2">
      <c r="A163" s="47"/>
    </row>
    <row r="164" spans="1:5" x14ac:dyDescent="0.2">
      <c r="A164" s="47"/>
    </row>
    <row r="165" spans="1:5" x14ac:dyDescent="0.2">
      <c r="A165" s="47"/>
    </row>
  </sheetData>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tabColor theme="5"/>
  </sheetPr>
  <dimension ref="A1:Z11"/>
  <sheetViews>
    <sheetView workbookViewId="0">
      <selection activeCell="E9" sqref="E9"/>
    </sheetView>
  </sheetViews>
  <sheetFormatPr baseColWidth="10" defaultRowHeight="12.75" x14ac:dyDescent="0.2"/>
  <sheetData>
    <row r="1" spans="1:26" x14ac:dyDescent="0.2">
      <c r="A1" s="1611" t="s">
        <v>9134</v>
      </c>
      <c r="B1" s="1612" t="s">
        <v>4804</v>
      </c>
      <c r="C1" s="1612" t="s">
        <v>2184</v>
      </c>
      <c r="D1" s="1612" t="s">
        <v>2497</v>
      </c>
      <c r="E1" s="1612" t="s">
        <v>2185</v>
      </c>
      <c r="F1" s="1612" t="s">
        <v>711</v>
      </c>
      <c r="G1" s="1612" t="s">
        <v>2499</v>
      </c>
      <c r="H1" s="1612" t="s">
        <v>4984</v>
      </c>
      <c r="I1" s="1612" t="s">
        <v>3403</v>
      </c>
      <c r="J1" s="1612" t="s">
        <v>9122</v>
      </c>
      <c r="K1" s="1612" t="s">
        <v>7554</v>
      </c>
      <c r="L1" s="1612" t="s">
        <v>5029</v>
      </c>
      <c r="M1" s="1613" t="s">
        <v>9046</v>
      </c>
      <c r="N1" s="1637" t="s">
        <v>9045</v>
      </c>
      <c r="O1" s="1638" t="s">
        <v>7088</v>
      </c>
      <c r="P1" s="1638" t="s">
        <v>7089</v>
      </c>
      <c r="Q1" s="1638" t="s">
        <v>7090</v>
      </c>
      <c r="R1" s="1638" t="s">
        <v>7091</v>
      </c>
      <c r="S1" s="1638" t="s">
        <v>7092</v>
      </c>
      <c r="T1" s="1638" t="s">
        <v>7093</v>
      </c>
      <c r="U1" s="1638" t="s">
        <v>7094</v>
      </c>
      <c r="V1" s="1638" t="s">
        <v>4202</v>
      </c>
      <c r="W1" s="1638" t="s">
        <v>4201</v>
      </c>
      <c r="X1" s="1638" t="s">
        <v>406</v>
      </c>
      <c r="Y1" s="1639" t="s">
        <v>715</v>
      </c>
      <c r="Z1" s="1640" t="s">
        <v>9051</v>
      </c>
    </row>
    <row r="2" spans="1:26" x14ac:dyDescent="0.2">
      <c r="A2" s="88" t="str">
        <f>IF(KW_NAH1="","",IF(Kampfwerte!AB5="","",Kampfwerte!AB5))</f>
        <v/>
      </c>
      <c r="B2" s="18" t="str">
        <f>IF(A2="",IF(KW_NAH1="","",KW_NAH1),KW_NAH1_W2)</f>
        <v/>
      </c>
      <c r="C2" s="18" t="str">
        <f>IF(A2="","",Kampfwerte!AE5)</f>
        <v/>
      </c>
      <c r="D2" s="18" t="str">
        <f>IF(KW_NAH1_TP="","",KW_NAH1_TP)</f>
        <v/>
      </c>
      <c r="E2" s="18" t="str">
        <f>IF(KW_NAH1_WMAT="","",KW_NAH1_WMAT)</f>
        <v/>
      </c>
      <c r="F2" s="18" t="str">
        <f>IF(KW_NAH1_WMPA="","",KW_NAH1_WMPA)</f>
        <v/>
      </c>
      <c r="G2" s="18" t="str">
        <f>IF(KW_NAH1_INI="","",KW_NAH1_INI)</f>
        <v/>
      </c>
      <c r="H2" s="18" t="str">
        <f>IF(KW_NAH1_BF="","",KW_NAH1_BF)</f>
        <v/>
      </c>
      <c r="I2" s="18"/>
      <c r="J2" s="18"/>
      <c r="K2" s="18"/>
      <c r="L2" s="1289" t="s">
        <v>9044</v>
      </c>
      <c r="M2" s="1032" t="b">
        <f t="shared" ref="M2:M11" si="0">IF(B2="",FALSE,TRUE)</f>
        <v>0</v>
      </c>
      <c r="N2" s="88" t="str">
        <f>IF(Kampfwerte!A38="","",Kampfwerte!A38)</f>
        <v/>
      </c>
      <c r="O2" s="18" t="str">
        <f>IF(Kampfwerte!$A38&lt;&gt;"",VLOOKUP(Kampfwerte!$A38,RSTNGALLE,COLUMN()-COLUMN($M$1),FALSE),"")</f>
        <v/>
      </c>
      <c r="P2" s="18" t="str">
        <f>IF(Kampfwerte!$A38&lt;&gt;"",VLOOKUP(Kampfwerte!$A38,RSTNGALLE,COLUMN()-COLUMN($M$1),FALSE),"")</f>
        <v/>
      </c>
      <c r="Q2" s="18" t="str">
        <f>IF(Kampfwerte!$A38&lt;&gt;"",VLOOKUP(Kampfwerte!$A38,RSTNGALLE,COLUMN()-COLUMN($M$1),FALSE),"")</f>
        <v/>
      </c>
      <c r="R2" s="18" t="str">
        <f>IF(Kampfwerte!$A38&lt;&gt;"",VLOOKUP(Kampfwerte!$A38,RSTNGALLE,COLUMN()-COLUMN($M$1),FALSE),"")</f>
        <v/>
      </c>
      <c r="S2" s="18" t="str">
        <f>IF(Kampfwerte!$A38&lt;&gt;"",VLOOKUP(Kampfwerte!$A38,RSTNGALLE,COLUMN()-COLUMN($M$1),FALSE),"")</f>
        <v/>
      </c>
      <c r="T2" s="18" t="str">
        <f>IF(Kampfwerte!$A38&lt;&gt;"",VLOOKUP(Kampfwerte!$A38,RSTNGALLE,COLUMN()-COLUMN($M$1),FALSE),"")</f>
        <v/>
      </c>
      <c r="U2" s="18" t="str">
        <f>IF(Kampfwerte!$A38&lt;&gt;"",VLOOKUP(Kampfwerte!$A38,RSTNGALLE,COLUMN()-COLUMN($M$1),FALSE),"")</f>
        <v/>
      </c>
      <c r="V2" s="18" t="str">
        <f>IF(Kampfwerte!$A38&lt;&gt;"",VLOOKUP(Kampfwerte!$A38,RSTNGALLE,COLUMN()-COLUMN($M$1),FALSE),"")</f>
        <v/>
      </c>
      <c r="W2" s="18" t="str">
        <f>IF(Kampfwerte!$A38&lt;&gt;"",VLOOKUP(Kampfwerte!$A38,RSTNGALLE,COLUMN()-COLUMN($M$1),FALSE),"")</f>
        <v/>
      </c>
      <c r="X2" s="18" t="str">
        <f>IF(Kampfwerte!$A38&lt;&gt;"",VLOOKUP(Kampfwerte!$A38,RSTNGALLE,COLUMN()-COLUMN($M$1),FALSE),"")</f>
        <v/>
      </c>
      <c r="Y2" s="18" t="str">
        <f>IF(Kampfwerte!$A38&lt;&gt;"",VLOOKUP(Kampfwerte!$A38,RSTNGALLE,COLUMN()-COLUMN($M$1),FALSE),"")</f>
        <v/>
      </c>
      <c r="Z2" s="1032" t="b">
        <f>IF(N2="",FALSE,TRUE)</f>
        <v>0</v>
      </c>
    </row>
    <row r="3" spans="1:26" x14ac:dyDescent="0.2">
      <c r="A3" s="88" t="str">
        <f>IF(KW_NAH2="","",IF(Kampfwerte!AB6="","",Kampfwerte!AB6))</f>
        <v/>
      </c>
      <c r="B3" s="18" t="str">
        <f>IF(A3="",IF(KW_NAH2="","",KW_NAH2),KW_NAH2_W2)</f>
        <v/>
      </c>
      <c r="C3" s="18" t="str">
        <f>IF(A3="","",Kampfwerte!AE6)</f>
        <v/>
      </c>
      <c r="D3" s="18" t="str">
        <f>IF(KW_NAH2_TP="","",KW_NAH2_TP)</f>
        <v/>
      </c>
      <c r="E3" s="18" t="str">
        <f>IF(KW_NAH2_WMAT="","",KW_NAH2_WMAT)</f>
        <v/>
      </c>
      <c r="F3" s="18" t="str">
        <f>IF(KW_NAH2_WMPA="","",KW_NAH2_WMPA)</f>
        <v/>
      </c>
      <c r="G3" s="18" t="str">
        <f>IF(KW_NAH2_INI="","",KW_NAH2_INI)</f>
        <v/>
      </c>
      <c r="H3" s="18" t="str">
        <f>IF(KW_NAH2_BF="","",KW_NAH2_BF)</f>
        <v/>
      </c>
      <c r="I3" s="18"/>
      <c r="J3" s="18"/>
      <c r="K3" s="18"/>
      <c r="L3" s="1289" t="s">
        <v>9044</v>
      </c>
      <c r="M3" s="1032" t="b">
        <f t="shared" si="0"/>
        <v>0</v>
      </c>
      <c r="N3" s="88" t="str">
        <f>IF(Kampfwerte!A39="","",Kampfwerte!A39)</f>
        <v/>
      </c>
      <c r="O3" s="18" t="str">
        <f>IF(Kampfwerte!$A39&lt;&gt;"",VLOOKUP(Kampfwerte!$A39,RSTNGALLE,COLUMN()-COLUMN($M$1),FALSE),"")</f>
        <v/>
      </c>
      <c r="P3" s="18" t="str">
        <f>IF(Kampfwerte!$A39&lt;&gt;"",VLOOKUP(Kampfwerte!$A39,RSTNGALLE,COLUMN()-COLUMN($M$1),FALSE),"")</f>
        <v/>
      </c>
      <c r="Q3" s="18" t="str">
        <f>IF(Kampfwerte!$A39&lt;&gt;"",VLOOKUP(Kampfwerte!$A39,RSTNGALLE,COLUMN()-COLUMN($M$1),FALSE),"")</f>
        <v/>
      </c>
      <c r="R3" s="18" t="str">
        <f>IF(Kampfwerte!$A39&lt;&gt;"",VLOOKUP(Kampfwerte!$A39,RSTNGALLE,COLUMN()-COLUMN($M$1),FALSE),"")</f>
        <v/>
      </c>
      <c r="S3" s="18" t="str">
        <f>IF(Kampfwerte!$A39&lt;&gt;"",VLOOKUP(Kampfwerte!$A39,RSTNGALLE,COLUMN()-COLUMN($M$1),FALSE),"")</f>
        <v/>
      </c>
      <c r="T3" s="18" t="str">
        <f>IF(Kampfwerte!$A39&lt;&gt;"",VLOOKUP(Kampfwerte!$A39,RSTNGALLE,COLUMN()-COLUMN($M$1),FALSE),"")</f>
        <v/>
      </c>
      <c r="U3" s="18" t="str">
        <f>IF(Kampfwerte!$A39&lt;&gt;"",VLOOKUP(Kampfwerte!$A39,RSTNGALLE,COLUMN()-COLUMN($M$1),FALSE),"")</f>
        <v/>
      </c>
      <c r="V3" s="18" t="str">
        <f>IF(Kampfwerte!$A39&lt;&gt;"",VLOOKUP(Kampfwerte!$A39,RSTNGALLE,COLUMN()-COLUMN($M$1),FALSE),"")</f>
        <v/>
      </c>
      <c r="W3" s="18" t="str">
        <f>IF(Kampfwerte!$A39&lt;&gt;"",VLOOKUP(Kampfwerte!$A39,RSTNGALLE,COLUMN()-COLUMN($M$1),FALSE),"")</f>
        <v/>
      </c>
      <c r="X3" s="18" t="str">
        <f>IF(Kampfwerte!$A39&lt;&gt;"",VLOOKUP(Kampfwerte!$A39,RSTNGALLE,COLUMN()-COLUMN($M$1),FALSE),"")</f>
        <v/>
      </c>
      <c r="Y3" s="18" t="str">
        <f>IF(Kampfwerte!$A39&lt;&gt;"",VLOOKUP(Kampfwerte!$A39,RSTNGALLE,COLUMN()-COLUMN($M$1),FALSE),"")</f>
        <v/>
      </c>
      <c r="Z3" s="1032" t="b">
        <f>IF(N3="",FALSE,TRUE)</f>
        <v>0</v>
      </c>
    </row>
    <row r="4" spans="1:26" x14ac:dyDescent="0.2">
      <c r="A4" s="88" t="str">
        <f>IF(KW_NAH3="","",IF(Kampfwerte!AB7="","",Kampfwerte!AB7))</f>
        <v/>
      </c>
      <c r="B4" s="18" t="str">
        <f>IF(A4="",IF(KW_NAH3="","",KW_NAH3),KW_NAH3_W2)</f>
        <v/>
      </c>
      <c r="C4" s="18" t="str">
        <f>IF(A4="","",Kampfwerte!AE7)</f>
        <v/>
      </c>
      <c r="D4" s="18" t="str">
        <f>IF(KW_NAH3_TP="","",KW_NAH3_TP)</f>
        <v/>
      </c>
      <c r="E4" s="18" t="str">
        <f>IF(KW_NAH3_WMAT="","",KW_NAH3_WMAT)</f>
        <v/>
      </c>
      <c r="F4" s="18" t="str">
        <f>IF(KW_NAH3_WMPA="","",KW_NAH3_WMPA)</f>
        <v/>
      </c>
      <c r="G4" s="18" t="str">
        <f>IF(KW_NAH3_INI="","",KW_NAH3_INI)</f>
        <v/>
      </c>
      <c r="H4" s="18" t="str">
        <f>IF(KW_NAH3_BF="","",KW_NAH3_BF)</f>
        <v/>
      </c>
      <c r="I4" s="18"/>
      <c r="J4" s="18"/>
      <c r="K4" s="18"/>
      <c r="L4" s="1289" t="s">
        <v>9044</v>
      </c>
      <c r="M4" s="1032" t="b">
        <f t="shared" si="0"/>
        <v>0</v>
      </c>
      <c r="N4" s="88" t="str">
        <f>IF(Kampfwerte!A40="","",Kampfwerte!A40)</f>
        <v/>
      </c>
      <c r="O4" s="18" t="str">
        <f>IF(Kampfwerte!$A40&lt;&gt;"",VLOOKUP(Kampfwerte!$A40,RSTNGALLE,COLUMN()-COLUMN($M$1),FALSE),"")</f>
        <v/>
      </c>
      <c r="P4" s="18" t="str">
        <f>IF(Kampfwerte!$A40&lt;&gt;"",VLOOKUP(Kampfwerte!$A40,RSTNGALLE,COLUMN()-COLUMN($M$1),FALSE),"")</f>
        <v/>
      </c>
      <c r="Q4" s="18" t="str">
        <f>IF(Kampfwerte!$A40&lt;&gt;"",VLOOKUP(Kampfwerte!$A40,RSTNGALLE,COLUMN()-COLUMN($M$1),FALSE),"")</f>
        <v/>
      </c>
      <c r="R4" s="18" t="str">
        <f>IF(Kampfwerte!$A40&lt;&gt;"",VLOOKUP(Kampfwerte!$A40,RSTNGALLE,COLUMN()-COLUMN($M$1),FALSE),"")</f>
        <v/>
      </c>
      <c r="S4" s="18" t="str">
        <f>IF(Kampfwerte!$A40&lt;&gt;"",VLOOKUP(Kampfwerte!$A40,RSTNGALLE,COLUMN()-COLUMN($M$1),FALSE),"")</f>
        <v/>
      </c>
      <c r="T4" s="18" t="str">
        <f>IF(Kampfwerte!$A40&lt;&gt;"",VLOOKUP(Kampfwerte!$A40,RSTNGALLE,COLUMN()-COLUMN($M$1),FALSE),"")</f>
        <v/>
      </c>
      <c r="U4" s="18" t="str">
        <f>IF(Kampfwerte!$A40&lt;&gt;"",VLOOKUP(Kampfwerte!$A40,RSTNGALLE,COLUMN()-COLUMN($M$1),FALSE),"")</f>
        <v/>
      </c>
      <c r="V4" s="18" t="str">
        <f>IF(Kampfwerte!$A40&lt;&gt;"",VLOOKUP(Kampfwerte!$A40,RSTNGALLE,COLUMN()-COLUMN($M$1),FALSE),"")</f>
        <v/>
      </c>
      <c r="W4" s="18" t="str">
        <f>IF(Kampfwerte!$A40&lt;&gt;"",VLOOKUP(Kampfwerte!$A40,RSTNGALLE,COLUMN()-COLUMN($M$1),FALSE),"")</f>
        <v/>
      </c>
      <c r="X4" s="18" t="str">
        <f>IF(Kampfwerte!$A40&lt;&gt;"",VLOOKUP(Kampfwerte!$A40,RSTNGALLE,COLUMN()-COLUMN($M$1),FALSE),"")</f>
        <v/>
      </c>
      <c r="Y4" s="18" t="str">
        <f>IF(Kampfwerte!$A40&lt;&gt;"",VLOOKUP(Kampfwerte!$A40,RSTNGALLE,COLUMN()-COLUMN($M$1),FALSE),"")</f>
        <v/>
      </c>
      <c r="Z4" s="1032" t="b">
        <f>IF(N4="",FALSE,TRUE)</f>
        <v>0</v>
      </c>
    </row>
    <row r="5" spans="1:26" x14ac:dyDescent="0.2">
      <c r="A5" s="88" t="str">
        <f>IF(KW_NAH4="","",IF(Kampfwerte!AB8="","",Kampfwerte!AB8))</f>
        <v/>
      </c>
      <c r="B5" s="18" t="str">
        <f>IF(A5="",IF(KW_NAH4="","",KW_NAH4),KW_NAH4_W2)</f>
        <v/>
      </c>
      <c r="C5" s="18" t="str">
        <f>IF(A5="","",Kampfwerte!AE8)</f>
        <v/>
      </c>
      <c r="D5" s="18" t="str">
        <f>IF(KW_NAH4_TP="","",KW_NAH4_TP)</f>
        <v/>
      </c>
      <c r="E5" s="18" t="str">
        <f>IF(KW_NAH4_WMAT="","",KW_NAH4_WMAT)</f>
        <v/>
      </c>
      <c r="F5" s="18" t="str">
        <f>IF(KW_NAH4_WMPA="","",KW_NAH4_WMPA)</f>
        <v/>
      </c>
      <c r="G5" s="18" t="str">
        <f>IF(KW_NAH4_INI="","",KW_NAH4_INI)</f>
        <v/>
      </c>
      <c r="H5" s="18" t="str">
        <f>IF(KW_NAH4_BF="","",KW_NAH4_BF)</f>
        <v/>
      </c>
      <c r="I5" s="18"/>
      <c r="J5" s="18"/>
      <c r="K5" s="18"/>
      <c r="L5" s="1289" t="s">
        <v>9044</v>
      </c>
      <c r="M5" s="1032" t="b">
        <f t="shared" si="0"/>
        <v>0</v>
      </c>
      <c r="N5" s="88" t="str">
        <f>IF(Kampfwerte!A41="","",Kampfwerte!A41)</f>
        <v/>
      </c>
      <c r="O5" s="18" t="str">
        <f>IF(Kampfwerte!$A41&lt;&gt;"",VLOOKUP(Kampfwerte!$A41,RSTNGALLE,COLUMN()-COLUMN($M$1),FALSE),"")</f>
        <v/>
      </c>
      <c r="P5" s="18" t="str">
        <f>IF(Kampfwerte!$A41&lt;&gt;"",VLOOKUP(Kampfwerte!$A41,RSTNGALLE,COLUMN()-COLUMN($M$1),FALSE),"")</f>
        <v/>
      </c>
      <c r="Q5" s="18" t="str">
        <f>IF(Kampfwerte!$A41&lt;&gt;"",VLOOKUP(Kampfwerte!$A41,RSTNGALLE,COLUMN()-COLUMN($M$1),FALSE),"")</f>
        <v/>
      </c>
      <c r="R5" s="18" t="str">
        <f>IF(Kampfwerte!$A41&lt;&gt;"",VLOOKUP(Kampfwerte!$A41,RSTNGALLE,COLUMN()-COLUMN($M$1),FALSE),"")</f>
        <v/>
      </c>
      <c r="S5" s="18" t="str">
        <f>IF(Kampfwerte!$A41&lt;&gt;"",VLOOKUP(Kampfwerte!$A41,RSTNGALLE,COLUMN()-COLUMN($M$1),FALSE),"")</f>
        <v/>
      </c>
      <c r="T5" s="18" t="str">
        <f>IF(Kampfwerte!$A41&lt;&gt;"",VLOOKUP(Kampfwerte!$A41,RSTNGALLE,COLUMN()-COLUMN($M$1),FALSE),"")</f>
        <v/>
      </c>
      <c r="U5" s="18" t="str">
        <f>IF(Kampfwerte!$A41&lt;&gt;"",VLOOKUP(Kampfwerte!$A41,RSTNGALLE,COLUMN()-COLUMN($M$1),FALSE),"")</f>
        <v/>
      </c>
      <c r="V5" s="18" t="str">
        <f>IF(Kampfwerte!$A41&lt;&gt;"",VLOOKUP(Kampfwerte!$A41,RSTNGALLE,COLUMN()-COLUMN($M$1),FALSE),"")</f>
        <v/>
      </c>
      <c r="W5" s="18" t="str">
        <f>IF(Kampfwerte!$A41&lt;&gt;"",VLOOKUP(Kampfwerte!$A41,RSTNGALLE,COLUMN()-COLUMN($M$1),FALSE),"")</f>
        <v/>
      </c>
      <c r="X5" s="18" t="str">
        <f>IF(Kampfwerte!$A41&lt;&gt;"",VLOOKUP(Kampfwerte!$A41,RSTNGALLE,COLUMN()-COLUMN($M$1),FALSE),"")</f>
        <v/>
      </c>
      <c r="Y5" s="18" t="str">
        <f>IF(Kampfwerte!$A41&lt;&gt;"",VLOOKUP(Kampfwerte!$A41,RSTNGALLE,COLUMN()-COLUMN($M$1),FALSE),"")</f>
        <v/>
      </c>
      <c r="Z5" s="1032" t="b">
        <f>IF(N5="",FALSE,TRUE)</f>
        <v>0</v>
      </c>
    </row>
    <row r="6" spans="1:26" x14ac:dyDescent="0.2">
      <c r="A6" s="88" t="str">
        <f>IF(KW_NAH5="","",IF(Kampfwerte!AB9="","",Kampfwerte!AB9))</f>
        <v/>
      </c>
      <c r="B6" s="18" t="str">
        <f>IF(A6="",IF(KW_NAH5="","",KW_NAH5),KW_NAH5_W2)</f>
        <v/>
      </c>
      <c r="C6" s="18" t="str">
        <f>IF(A6="","",Kampfwerte!AE9)</f>
        <v/>
      </c>
      <c r="D6" s="18" t="str">
        <f>IF(KW_NAH5_TP="","",KW_NAH5_TP)</f>
        <v/>
      </c>
      <c r="E6" s="18" t="str">
        <f>IF(KW_NAH5_WMAT="","",KW_NAH5_WMAT)</f>
        <v/>
      </c>
      <c r="F6" s="18" t="str">
        <f>IF(KW_NAH5_WMPA="","",KW_NAH5_WMPA)</f>
        <v/>
      </c>
      <c r="G6" s="18" t="str">
        <f>IF(KW_NAH5_INI="","",KW_NAH5_INI)</f>
        <v/>
      </c>
      <c r="H6" s="18" t="str">
        <f>IF(KW_NAH5_BF="","",KW_NAH5_BF)</f>
        <v/>
      </c>
      <c r="I6" s="18"/>
      <c r="J6" s="18"/>
      <c r="K6" s="18"/>
      <c r="L6" s="1289" t="s">
        <v>9044</v>
      </c>
      <c r="M6" s="1032" t="b">
        <f t="shared" si="0"/>
        <v>0</v>
      </c>
      <c r="N6" s="338" t="str">
        <f>IF(Kampfwerte!A42="","",Kampfwerte!A42)</f>
        <v/>
      </c>
      <c r="O6" s="1015" t="str">
        <f>IF(Kampfwerte!$A42&lt;&gt;"",VLOOKUP(Kampfwerte!$A42,RSTNGALLE,COLUMN()-COLUMN($M$1),FALSE),"")</f>
        <v/>
      </c>
      <c r="P6" s="1015" t="str">
        <f>IF(Kampfwerte!$A42&lt;&gt;"",VLOOKUP(Kampfwerte!$A42,RSTNGALLE,COLUMN()-COLUMN($M$1),FALSE),"")</f>
        <v/>
      </c>
      <c r="Q6" s="1015" t="str">
        <f>IF(Kampfwerte!$A42&lt;&gt;"",VLOOKUP(Kampfwerte!$A42,RSTNGALLE,COLUMN()-COLUMN($M$1),FALSE),"")</f>
        <v/>
      </c>
      <c r="R6" s="1015" t="str">
        <f>IF(Kampfwerte!$A42&lt;&gt;"",VLOOKUP(Kampfwerte!$A42,RSTNGALLE,COLUMN()-COLUMN($M$1),FALSE),"")</f>
        <v/>
      </c>
      <c r="S6" s="1015" t="str">
        <f>IF(Kampfwerte!$A42&lt;&gt;"",VLOOKUP(Kampfwerte!$A42,RSTNGALLE,COLUMN()-COLUMN($M$1),FALSE),"")</f>
        <v/>
      </c>
      <c r="T6" s="1015" t="str">
        <f>IF(Kampfwerte!$A42&lt;&gt;"",VLOOKUP(Kampfwerte!$A42,RSTNGALLE,COLUMN()-COLUMN($M$1),FALSE),"")</f>
        <v/>
      </c>
      <c r="U6" s="1015" t="str">
        <f>IF(Kampfwerte!$A42&lt;&gt;"",VLOOKUP(Kampfwerte!$A42,RSTNGALLE,COLUMN()-COLUMN($M$1),FALSE),"")</f>
        <v/>
      </c>
      <c r="V6" s="1015" t="str">
        <f>IF(Kampfwerte!$A42&lt;&gt;"",VLOOKUP(Kampfwerte!$A42,RSTNGALLE,COLUMN()-COLUMN($M$1),FALSE),"")</f>
        <v/>
      </c>
      <c r="W6" s="1015" t="str">
        <f>IF(Kampfwerte!$A42&lt;&gt;"",VLOOKUP(Kampfwerte!$A42,RSTNGALLE,COLUMN()-COLUMN($M$1),FALSE),"")</f>
        <v/>
      </c>
      <c r="X6" s="1015" t="str">
        <f>IF(Kampfwerte!$A42&lt;&gt;"",VLOOKUP(Kampfwerte!$A42,RSTNGALLE,COLUMN()-COLUMN($M$1),FALSE),"")</f>
        <v/>
      </c>
      <c r="Y6" s="1015" t="str">
        <f>IF(Kampfwerte!$A42&lt;&gt;"",VLOOKUP(Kampfwerte!$A42,RSTNGALLE,COLUMN()-COLUMN($M$1),FALSE),"")</f>
        <v/>
      </c>
      <c r="Z6" s="1075" t="b">
        <f>IF(N6="",FALSE,TRUE)</f>
        <v>0</v>
      </c>
    </row>
    <row r="7" spans="1:26" x14ac:dyDescent="0.2">
      <c r="A7" s="1014" t="str">
        <f>IF(KW_FERN1="","",IF(Kampfwerte!AB17="","",Kampfwerte!AB17))</f>
        <v/>
      </c>
      <c r="B7" s="1014" t="str">
        <f>IF(A6="",IF(KW_FERN1="","",KW_FERN1),Kampfwerte!AD17)</f>
        <v/>
      </c>
      <c r="C7" s="1014" t="str">
        <f>IF(A7="","",Kampfwerte!AE17)</f>
        <v/>
      </c>
      <c r="D7" s="1014" t="str">
        <f>IF(Kampfwerte!AG17="","",Kampfwerte!AG17)</f>
        <v/>
      </c>
      <c r="E7" s="1014"/>
      <c r="F7" s="1014"/>
      <c r="G7" s="1014"/>
      <c r="H7" s="1014"/>
      <c r="I7" s="1014" t="str">
        <f>IF(Kampfwerte!AE17="","",Kampfwerte!AE17)</f>
        <v/>
      </c>
      <c r="J7" s="1014" t="str">
        <f>IF(Kampfwerte!AF17="","",Kampfwerte!AF17)</f>
        <v/>
      </c>
      <c r="K7" s="1014" t="str">
        <f>IF(Kampfwerte!W17="","",Kampfwerte!W17)</f>
        <v/>
      </c>
      <c r="L7" s="1648" t="s">
        <v>1975</v>
      </c>
      <c r="M7" s="1645" t="b">
        <f t="shared" si="0"/>
        <v>0</v>
      </c>
    </row>
    <row r="8" spans="1:26" x14ac:dyDescent="0.2">
      <c r="A8" s="18" t="str">
        <f>IF(KW_FERN2="","",IF(Kampfwerte!AB18="","",Kampfwerte!AB18))</f>
        <v/>
      </c>
      <c r="B8" s="18" t="str">
        <f>IF(A7="",IF(KW_FERN2="","",KW_FERN2),Kampfwerte!AD18)</f>
        <v/>
      </c>
      <c r="C8" s="18" t="str">
        <f>IF(A8="","",Kampfwerte!AE18)</f>
        <v/>
      </c>
      <c r="D8" s="18" t="str">
        <f>IF(Kampfwerte!AG18="","",Kampfwerte!AG18)</f>
        <v/>
      </c>
      <c r="E8" s="18"/>
      <c r="F8" s="18"/>
      <c r="G8" s="18"/>
      <c r="H8" s="18"/>
      <c r="I8" s="18" t="str">
        <f>IF(Kampfwerte!AE18="","",Kampfwerte!AE18)</f>
        <v/>
      </c>
      <c r="J8" s="18" t="str">
        <f>IF(Kampfwerte!AF18="","",Kampfwerte!AF18)</f>
        <v/>
      </c>
      <c r="K8" s="18" t="str">
        <f>IF(Kampfwerte!W18="","",Kampfwerte!W18)</f>
        <v/>
      </c>
      <c r="L8" s="1289" t="s">
        <v>1975</v>
      </c>
      <c r="M8" s="1032" t="b">
        <f t="shared" si="0"/>
        <v>0</v>
      </c>
    </row>
    <row r="9" spans="1:26" x14ac:dyDescent="0.2">
      <c r="A9" s="18" t="str">
        <f>IF(KW_FERN3="","",IF(Kampfwerte!AB19="","",Kampfwerte!AB19))</f>
        <v/>
      </c>
      <c r="B9" s="18" t="str">
        <f>IF(A8="",IF(KW_FERN3="","",KW_FERN3),Kampfwerte!AD19)</f>
        <v/>
      </c>
      <c r="C9" s="18" t="str">
        <f>IF(A9="","",Kampfwerte!AE19)</f>
        <v/>
      </c>
      <c r="D9" s="18" t="str">
        <f>IF(Kampfwerte!AG19="","",Kampfwerte!AG19)</f>
        <v/>
      </c>
      <c r="E9" s="18"/>
      <c r="F9" s="18"/>
      <c r="G9" s="18"/>
      <c r="H9" s="18"/>
      <c r="I9" s="18" t="str">
        <f>IF(Kampfwerte!AE19="","",Kampfwerte!AE19)</f>
        <v/>
      </c>
      <c r="J9" s="18" t="str">
        <f>IF(Kampfwerte!AF19="","",Kampfwerte!AF19)</f>
        <v/>
      </c>
      <c r="K9" s="18" t="str">
        <f>IF(Kampfwerte!W19="","",Kampfwerte!W19)</f>
        <v/>
      </c>
      <c r="L9" s="1289" t="s">
        <v>1975</v>
      </c>
      <c r="M9" s="1032" t="b">
        <f t="shared" si="0"/>
        <v>0</v>
      </c>
    </row>
    <row r="10" spans="1:26" x14ac:dyDescent="0.2">
      <c r="A10" s="1014" t="str">
        <f>IF(KW_SCHILD1="","",IF(Kampfwerte!AB33="","",Kampfwerte!AB33))</f>
        <v/>
      </c>
      <c r="B10" s="1014" t="str">
        <f>IF(A10="",IF(KW_SCHILD1="","",KW_SCHILD1),Kampfwerte!AD33)</f>
        <v/>
      </c>
      <c r="C10" s="1014" t="str">
        <f>IF(A10="","",Kampfwerte!AE33)</f>
        <v/>
      </c>
      <c r="D10" s="1014"/>
      <c r="E10" s="1014" t="str">
        <f>IF(Kampfwerte!AE33="","",Kampfwerte!AE33)</f>
        <v/>
      </c>
      <c r="F10" s="1014" t="str">
        <f>IF(Kampfwerte!AF33="","",Kampfwerte!AF33)</f>
        <v/>
      </c>
      <c r="G10" s="1014" t="str">
        <f>IF(Kampfwerte!AG33="","",Kampfwerte!AG33)</f>
        <v/>
      </c>
      <c r="H10" s="1014" t="str">
        <f>IF(Kampfwerte!AH33="","",Kampfwerte!AH33)</f>
        <v/>
      </c>
      <c r="I10" s="1014"/>
      <c r="J10" s="1014"/>
      <c r="K10" s="1014"/>
      <c r="L10" s="1648" t="s">
        <v>2260</v>
      </c>
      <c r="M10" s="1645" t="b">
        <f t="shared" si="0"/>
        <v>0</v>
      </c>
    </row>
    <row r="11" spans="1:26" x14ac:dyDescent="0.2">
      <c r="A11" s="1015" t="str">
        <f>IF(KW_SCHILD1="","",IF(Kampfwerte!AB34="","",Kampfwerte!AB34))</f>
        <v/>
      </c>
      <c r="B11" s="1015" t="str">
        <f>IF(A11="",IF(KW_SCHILD2="","",KW_SCHILD2),Kampfwerte!AD34)</f>
        <v/>
      </c>
      <c r="C11" s="1015" t="str">
        <f>IF(A11="","",Kampfwerte!AE34)</f>
        <v/>
      </c>
      <c r="D11" s="1015"/>
      <c r="E11" s="1015" t="str">
        <f>IF(Kampfwerte!AE34="","",Kampfwerte!AE34)</f>
        <v/>
      </c>
      <c r="F11" s="1015" t="str">
        <f>IF(Kampfwerte!AF34="","",Kampfwerte!AF34)</f>
        <v/>
      </c>
      <c r="G11" s="1015" t="str">
        <f>IF(Kampfwerte!AG34="","",Kampfwerte!AG34)</f>
        <v/>
      </c>
      <c r="H11" s="1015" t="str">
        <f>IF(Kampfwerte!AH34="","",Kampfwerte!AH34)</f>
        <v/>
      </c>
      <c r="I11" s="1015"/>
      <c r="J11" s="1015"/>
      <c r="K11" s="1015"/>
      <c r="L11" s="1615" t="s">
        <v>2260</v>
      </c>
      <c r="M11" s="1075" t="b">
        <f t="shared" si="0"/>
        <v>0</v>
      </c>
    </row>
  </sheetData>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indexed="51"/>
    <pageSetUpPr fitToPage="1"/>
  </sheetPr>
  <dimension ref="A1:FL273"/>
  <sheetViews>
    <sheetView zoomScale="85" zoomScaleNormal="85" workbookViewId="0">
      <selection activeCell="J25" sqref="J25:N25"/>
    </sheetView>
  </sheetViews>
  <sheetFormatPr baseColWidth="10" defaultRowHeight="12.75" x14ac:dyDescent="0.2"/>
  <cols>
    <col min="1" max="1" width="26.28515625" customWidth="1"/>
    <col min="2" max="2" width="4.5703125" customWidth="1"/>
    <col min="3" max="4" width="4.28515625" customWidth="1"/>
    <col min="5" max="5" width="4.5703125" customWidth="1"/>
    <col min="6" max="9" width="4.28515625" customWidth="1"/>
    <col min="10" max="10" width="7.5703125" customWidth="1"/>
    <col min="11" max="11" width="5.85546875" customWidth="1"/>
    <col min="12" max="12" width="5.140625" customWidth="1"/>
    <col min="13" max="13" width="9.28515625" customWidth="1"/>
    <col min="14" max="14" width="5.85546875" customWidth="1"/>
    <col min="15" max="15" width="6.5703125" customWidth="1"/>
    <col min="16" max="16" width="6" customWidth="1"/>
    <col min="17" max="17" width="6.28515625" customWidth="1"/>
    <col min="18" max="18" width="18.140625" customWidth="1"/>
    <col min="19" max="19" width="11.85546875" customWidth="1"/>
    <col min="20" max="20" width="7.28515625" customWidth="1"/>
    <col min="21" max="21" width="4.5703125" customWidth="1"/>
    <col min="22" max="22" width="14.28515625" customWidth="1"/>
    <col min="23" max="23" width="4.28515625" customWidth="1"/>
    <col min="24" max="24" width="4.7109375" customWidth="1"/>
    <col min="25" max="36" width="4.28515625" customWidth="1"/>
    <col min="37" max="38" width="4.7109375" customWidth="1"/>
    <col min="39" max="42" width="4.28515625" customWidth="1"/>
    <col min="43" max="43" width="9.7109375" customWidth="1"/>
    <col min="44" max="64" width="4.28515625" customWidth="1"/>
    <col min="65" max="65" width="5.140625" customWidth="1"/>
    <col min="66" max="66" width="5.5703125" customWidth="1"/>
    <col min="67" max="67" width="8.85546875" customWidth="1"/>
    <col min="68" max="68" width="3.5703125" customWidth="1"/>
    <col min="69" max="69" width="5.140625" customWidth="1"/>
    <col min="70" max="70" width="9.140625" customWidth="1"/>
    <col min="71" max="72" width="4.28515625" customWidth="1"/>
    <col min="73" max="73" width="5.42578125" customWidth="1"/>
    <col min="74" max="74" width="6.140625" customWidth="1"/>
    <col min="75" max="75" width="5.7109375" customWidth="1"/>
    <col min="76" max="76" width="8.140625" customWidth="1"/>
    <col min="77" max="77" width="7" customWidth="1"/>
    <col min="78" max="78" width="6.140625" customWidth="1"/>
    <col min="79" max="79" width="4.28515625" customWidth="1"/>
    <col min="80" max="80" width="8.28515625" customWidth="1"/>
    <col min="81" max="81" width="4.28515625" customWidth="1"/>
    <col min="82" max="82" width="8.28515625" customWidth="1"/>
    <col min="83" max="83" width="10.28515625" customWidth="1"/>
    <col min="84" max="84" width="7.85546875" customWidth="1"/>
    <col min="85" max="86" width="4.28515625" customWidth="1"/>
    <col min="87" max="87" width="9.5703125" customWidth="1"/>
    <col min="88" max="88" width="9.85546875" customWidth="1"/>
    <col min="89" max="89" width="4.85546875" customWidth="1"/>
    <col min="90" max="90" width="7.42578125" customWidth="1"/>
    <col min="91" max="91" width="5.85546875" customWidth="1"/>
    <col min="92" max="92" width="5.28515625" customWidth="1"/>
    <col min="93" max="93" width="4.7109375" customWidth="1"/>
    <col min="94" max="94" width="8.7109375" customWidth="1"/>
    <col min="95" max="96" width="4.5703125" customWidth="1"/>
    <col min="97" max="97" width="3.28515625" customWidth="1"/>
    <col min="98" max="98" width="4.42578125" customWidth="1"/>
    <col min="99" max="99" width="5.140625" customWidth="1"/>
    <col min="100" max="103" width="3.28515625" bestFit="1" customWidth="1"/>
    <col min="104" max="104" width="5.140625" customWidth="1"/>
    <col min="105" max="106" width="6.140625" customWidth="1"/>
    <col min="107" max="107" width="8.7109375" customWidth="1"/>
    <col min="108" max="108" width="23.140625" customWidth="1"/>
    <col min="109" max="110" width="11.42578125" customWidth="1"/>
    <col min="111" max="111" width="15" customWidth="1"/>
    <col min="112" max="112" width="22.28515625" customWidth="1"/>
    <col min="113" max="113" width="11.5703125" customWidth="1"/>
    <col min="114" max="115" width="3.7109375" customWidth="1"/>
    <col min="116" max="116" width="7.85546875" customWidth="1"/>
    <col min="117" max="135" width="3.7109375" customWidth="1"/>
    <col min="136" max="136" width="10.140625" customWidth="1"/>
    <col min="137" max="137" width="5.5703125" customWidth="1"/>
    <col min="138" max="174" width="3.7109375" customWidth="1"/>
  </cols>
  <sheetData>
    <row r="1" spans="1:168" ht="35.25" x14ac:dyDescent="0.5">
      <c r="A1" s="1122" t="s">
        <v>2129</v>
      </c>
      <c r="B1" s="47"/>
      <c r="C1" s="1088"/>
      <c r="D1" s="1088"/>
      <c r="E1" s="47"/>
      <c r="F1" s="47"/>
      <c r="G1" s="47"/>
      <c r="H1" s="47"/>
      <c r="I1" s="47"/>
      <c r="J1" s="47"/>
      <c r="K1" s="47"/>
      <c r="L1" s="47"/>
      <c r="M1" s="47"/>
      <c r="N1" s="47"/>
      <c r="O1" s="47"/>
      <c r="P1" s="47"/>
      <c r="Q1" s="47"/>
      <c r="R1" s="47"/>
      <c r="S1" s="47"/>
      <c r="T1" s="47"/>
      <c r="U1" s="47"/>
      <c r="AK1" s="97"/>
      <c r="AL1" s="99"/>
      <c r="AQ1" s="100"/>
      <c r="CR1" s="268"/>
    </row>
    <row r="2" spans="1:168" ht="22.5" customHeight="1" x14ac:dyDescent="0.2">
      <c r="A2" s="47"/>
      <c r="B2" s="47"/>
      <c r="C2" s="1088"/>
      <c r="D2" s="1088"/>
      <c r="E2" s="47"/>
      <c r="F2" s="47"/>
      <c r="G2" s="47"/>
      <c r="H2" s="47"/>
      <c r="I2" s="47"/>
      <c r="J2" s="47"/>
      <c r="K2" s="47"/>
      <c r="L2" s="47"/>
      <c r="M2" s="47"/>
      <c r="N2" s="47"/>
      <c r="O2" s="47"/>
      <c r="P2" s="47"/>
      <c r="Q2" s="47"/>
      <c r="R2" s="47"/>
      <c r="S2" s="47"/>
      <c r="T2" s="47"/>
      <c r="U2" s="47"/>
      <c r="AH2" s="1896" t="s">
        <v>4729</v>
      </c>
      <c r="AI2" s="1896"/>
      <c r="AJ2" s="1896"/>
      <c r="AK2" s="97"/>
      <c r="AL2" s="99"/>
      <c r="AQ2" s="100"/>
      <c r="AR2" s="78" t="s">
        <v>5772</v>
      </c>
      <c r="CR2" s="268"/>
    </row>
    <row r="3" spans="1:168" ht="16.5" customHeight="1" x14ac:dyDescent="0.2">
      <c r="A3" s="1123"/>
      <c r="B3" s="28"/>
      <c r="C3" s="79"/>
      <c r="D3" s="79"/>
      <c r="E3" s="28"/>
      <c r="F3" s="28"/>
      <c r="G3" s="28"/>
      <c r="H3" s="28"/>
      <c r="I3" s="47"/>
      <c r="J3" s="47"/>
      <c r="K3" s="47"/>
      <c r="L3" s="47"/>
      <c r="M3" s="47"/>
      <c r="N3" s="47"/>
      <c r="O3" s="47"/>
      <c r="P3" s="47"/>
      <c r="Q3" s="47"/>
      <c r="R3" s="47"/>
      <c r="S3" s="47"/>
      <c r="T3" s="47"/>
      <c r="U3" s="47"/>
      <c r="AC3" s="1916" t="s">
        <v>2603</v>
      </c>
      <c r="AD3" s="1916"/>
      <c r="AE3" s="1916"/>
      <c r="AF3" s="1916"/>
      <c r="AG3" s="1917"/>
      <c r="AH3" s="1897" t="str">
        <f>IF(EXACT(NT_UNFTALENTE,""),"",NT_UNFTALENTE)</f>
        <v/>
      </c>
      <c r="AI3" s="1898"/>
      <c r="AJ3" s="1898"/>
      <c r="AK3" s="1898"/>
      <c r="AL3" s="1899"/>
      <c r="AQ3" s="100"/>
      <c r="AR3" s="1109" t="str">
        <f ca="1">IF(OR(RASSEGENE="",PROFGENE="LEER",KULTURGENE="LEER"),"",IF(HLOOKUP(RASSEGENE,RASSE,IDX_TALENTE,FALSE)="","",HLOOKUP(RASSEGENE,RASSE,IDX_TALENTE,FALSE)&amp;"; ")&amp;
IF(HLOOKUP(KULTURGENE,KULTUR,IDX_TALENTE,FALSE)="","",HLOOKUP(KULTURGENE,KULTUR,IDX_TALENTE,FALSE)&amp;"; ")&amp;
IF(HLOOKUP(PROFGENE,INDIRECT(PROFGEBIET),IDX_TALENTE,FALSE)="","",HLOOKUP(PROFGENE,INDIRECT(PROFGEBIET),IDX_TALENTE,FALSE)&amp;"; ") &amp;
IF(LEN(PROFZWEITE)&lt;1,"",
IF(HLOOKUP(PROFZWEITE,INDIRECT(PROFGEBIET2),IDX_TALENTE,FALSE)="","",CHAR(10)&amp;"Wählbares aus 2.Profession, zu berücksichtigen bei Steigerungsmöglichkeiten: "&amp;HLOOKUP(PROFZWEITE,INDIRECT(PROFGEBIET2),IDX_TALENTE,FALSE))))</f>
        <v/>
      </c>
      <c r="CR3" s="268"/>
    </row>
    <row r="4" spans="1:168" ht="16.5" customHeight="1" thickBot="1" x14ac:dyDescent="0.25">
      <c r="A4" s="1124"/>
      <c r="B4" s="76"/>
      <c r="C4" s="1125"/>
      <c r="D4" s="1125"/>
      <c r="E4" s="76"/>
      <c r="F4" s="28"/>
      <c r="G4" s="28"/>
      <c r="H4" s="28"/>
      <c r="I4" s="47"/>
      <c r="J4" s="47"/>
      <c r="K4" s="47"/>
      <c r="L4" s="47"/>
      <c r="M4" s="47"/>
      <c r="N4" s="47"/>
      <c r="O4" s="47"/>
      <c r="P4" s="47"/>
      <c r="Q4" s="47"/>
      <c r="R4" s="47"/>
      <c r="S4" s="47"/>
      <c r="T4" s="47"/>
      <c r="U4" s="47"/>
      <c r="X4" s="1896" t="s">
        <v>4730</v>
      </c>
      <c r="Y4" s="1896"/>
      <c r="Z4" s="1896"/>
      <c r="AC4" s="1916" t="s">
        <v>2604</v>
      </c>
      <c r="AD4" s="1916"/>
      <c r="AE4" s="1916"/>
      <c r="AF4" s="1916"/>
      <c r="AG4" s="1917"/>
      <c r="AH4" s="1897" t="str">
        <f>IF(NT_UNF_TGR=FALSE,"",NT_UNF_TGR_WERT)</f>
        <v/>
      </c>
      <c r="AI4" s="1898"/>
      <c r="AJ4" s="1898"/>
      <c r="AK4" s="1898"/>
      <c r="AL4" s="1899"/>
      <c r="AQ4" s="100"/>
      <c r="CR4" s="268"/>
    </row>
    <row r="5" spans="1:168" ht="16.5" customHeight="1" x14ac:dyDescent="0.25">
      <c r="A5" s="175" t="s">
        <v>3311</v>
      </c>
      <c r="B5" s="1761" t="s">
        <v>2404</v>
      </c>
      <c r="C5" s="1762" t="s">
        <v>4064</v>
      </c>
      <c r="D5" s="1943" t="s">
        <v>6312</v>
      </c>
      <c r="E5" s="1940" t="str">
        <f>IF(NT_STUBENHKR,"Abbau NT Stubenhocker","")</f>
        <v/>
      </c>
      <c r="F5" s="1777" t="s">
        <v>341</v>
      </c>
      <c r="G5" s="1939" t="s">
        <v>6529</v>
      </c>
      <c r="H5" s="1939" t="str">
        <f>IF(OR(VT_VETERAN,VT_BBILDUNG),"daraus Anzahl mit 2.Prof Start-AP","")</f>
        <v/>
      </c>
      <c r="I5" s="1763" t="s">
        <v>293</v>
      </c>
      <c r="J5" s="75"/>
      <c r="K5" s="1903" t="s">
        <v>2405</v>
      </c>
      <c r="L5" s="1904"/>
      <c r="M5" s="1904"/>
      <c r="N5" s="1905"/>
      <c r="O5" s="1909">
        <f>APGES</f>
        <v>0</v>
      </c>
      <c r="P5" s="1910"/>
      <c r="Q5" s="1911"/>
      <c r="R5" s="1443" t="s">
        <v>7564</v>
      </c>
      <c r="S5" s="1439">
        <f ca="1">TL_GP_EIGEN</f>
        <v>0</v>
      </c>
      <c r="T5" s="278"/>
      <c r="U5" s="278"/>
      <c r="V5" s="278" t="s">
        <v>2603</v>
      </c>
      <c r="W5" s="1438"/>
      <c r="X5" s="1897" t="str">
        <f>IF(EXACT(VT_BGBTALENTE,""),"",VT_BGBTALENTE)</f>
        <v/>
      </c>
      <c r="Y5" s="1898"/>
      <c r="Z5" s="1898"/>
      <c r="AA5" s="1898"/>
      <c r="AB5" s="1899"/>
      <c r="AC5" s="566" t="s">
        <v>2556</v>
      </c>
      <c r="AD5" s="94"/>
      <c r="AE5" s="94"/>
      <c r="AF5" s="94"/>
      <c r="AG5" s="565"/>
      <c r="AH5" s="1900" t="str">
        <f>IF(OR(RASSEGENE="",PROFGENE="LEER",KULTURGENE="LEER"),"",IF(ISBLANK(HLOOKUP(RASSEGENE,RASSE,40,FALSE)),"",HLOOKUP(RASSEGENE,RASSE,40,FALSE)))</f>
        <v/>
      </c>
      <c r="AI5" s="1901"/>
      <c r="AJ5" s="1901"/>
      <c r="AK5" s="1901"/>
      <c r="AL5" s="1902"/>
      <c r="AQ5" s="100"/>
      <c r="CR5" s="268"/>
    </row>
    <row r="6" spans="1:168" ht="16.5" customHeight="1" x14ac:dyDescent="0.25">
      <c r="A6" s="176" t="s">
        <v>3310</v>
      </c>
      <c r="B6" s="1761"/>
      <c r="C6" s="1762"/>
      <c r="D6" s="1943"/>
      <c r="E6" s="1941"/>
      <c r="F6" s="1777"/>
      <c r="G6" s="1778"/>
      <c r="H6" s="1778"/>
      <c r="I6" s="1763"/>
      <c r="J6" s="75"/>
      <c r="K6" s="1906" t="s">
        <v>771</v>
      </c>
      <c r="L6" s="1907"/>
      <c r="M6" s="1907"/>
      <c r="N6" s="1908"/>
      <c r="O6" s="1912">
        <f ca="1">APGUT</f>
        <v>0</v>
      </c>
      <c r="P6" s="1913"/>
      <c r="Q6" s="1914"/>
      <c r="R6" s="218" t="s">
        <v>7559</v>
      </c>
      <c r="S6" s="1440">
        <f ca="1">TL_GP_SF</f>
        <v>0</v>
      </c>
      <c r="T6" s="278"/>
      <c r="U6" s="278"/>
      <c r="V6" s="278" t="s">
        <v>2604</v>
      </c>
      <c r="W6" s="1438"/>
      <c r="X6" s="1897" t="str">
        <f>IF(EXACT(VT_BGBTALENTGR,""),"",VT_BGBTALENTGR)</f>
        <v/>
      </c>
      <c r="Y6" s="1898"/>
      <c r="Z6" s="1898"/>
      <c r="AA6" s="1898"/>
      <c r="AB6" s="1899"/>
      <c r="AC6" s="566" t="s">
        <v>2556</v>
      </c>
      <c r="AD6" s="94"/>
      <c r="AE6" s="94"/>
      <c r="AF6" s="94"/>
      <c r="AG6" s="565"/>
      <c r="AH6" s="1900" t="str">
        <f>IF(OR(RASSEGENE="",PROFGENE="LEER",KULTURGENE="LEER"),"",IF(ISBLANK(HLOOKUP(RASSEGENE,RASSE,41,FALSE)),"",HLOOKUP(RASSEGENE,RASSE,41,FALSE)))</f>
        <v/>
      </c>
      <c r="AI6" s="1901"/>
      <c r="AJ6" s="1901"/>
      <c r="AK6" s="1901"/>
      <c r="AL6" s="1902"/>
      <c r="AQ6" s="100"/>
      <c r="CR6" s="268"/>
    </row>
    <row r="7" spans="1:168" ht="16.5" customHeight="1" x14ac:dyDescent="0.25">
      <c r="A7" s="176" t="s">
        <v>4186</v>
      </c>
      <c r="B7" s="1761"/>
      <c r="C7" s="1762"/>
      <c r="D7" s="1943"/>
      <c r="E7" s="1941"/>
      <c r="F7" s="1777"/>
      <c r="G7" s="1778"/>
      <c r="H7" s="1778"/>
      <c r="I7" s="1763"/>
      <c r="J7" s="75"/>
      <c r="K7" s="1906" t="s">
        <v>1136</v>
      </c>
      <c r="L7" s="1907"/>
      <c r="M7" s="1907"/>
      <c r="N7" s="1908"/>
      <c r="O7" s="1912">
        <f ca="1">SUM(AT14:BY40,AT42:BY59,AT61:BY71,AT73:BY80,AT82:BY105,AT107:BY157,CB14:CB170,AT166:BY170,AO177:BM222,AO224:BM245)
+IF(AND(E20="",E22="",E28="",E29="",E30="",E36=""),0,500)+IF(AND(E43="",E46="",E47="",E49="",E50="",E51="",E52="",E53="",E54="",E57="",E59=""),0,500)</f>
        <v>0</v>
      </c>
      <c r="P7" s="1913"/>
      <c r="Q7" s="1914"/>
      <c r="R7" s="218" t="s">
        <v>7560</v>
      </c>
      <c r="S7" s="1440">
        <f ca="1">TL_GP_TALENTE</f>
        <v>0</v>
      </c>
      <c r="T7" s="278"/>
      <c r="U7" s="278"/>
      <c r="V7" s="278" t="s">
        <v>3263</v>
      </c>
      <c r="W7" s="1438"/>
      <c r="X7" s="1900" t="str">
        <f>IF(OR(RASSEGENE="",PROFGENE="LEER",KULTURGENE="LEER"),"",IF(ISBLANK(HLOOKUP(RASSEGENE,RASSE,39,FALSE)),"",HLOOKUP(RASSEGENE,RASSE,39,FALSE)))</f>
        <v/>
      </c>
      <c r="Y7" s="1901"/>
      <c r="Z7" s="1901"/>
      <c r="AA7" s="1901"/>
      <c r="AB7" s="1902"/>
      <c r="AC7" s="566" t="s">
        <v>2556</v>
      </c>
      <c r="AD7" s="94"/>
      <c r="AE7" s="94"/>
      <c r="AF7" s="94"/>
      <c r="AG7" s="565"/>
      <c r="AH7" s="1900" t="str">
        <f>IF(OR(RASSEGENE="",PROFGENE="LEER",KULTURGENE="LEER"),"",IF(ISBLANK(HLOOKUP(RASSEGENE,RASSE,42,FALSE)),"",HLOOKUP(RASSEGENE,RASSE,42,FALSE)))</f>
        <v/>
      </c>
      <c r="AI7" s="1901"/>
      <c r="AJ7" s="1901"/>
      <c r="AK7" s="1901"/>
      <c r="AL7" s="1902"/>
      <c r="AQ7" s="100"/>
      <c r="CR7" s="268"/>
    </row>
    <row r="8" spans="1:168" ht="16.5" customHeight="1" x14ac:dyDescent="0.25">
      <c r="A8" s="176" t="s">
        <v>3321</v>
      </c>
      <c r="B8" s="1761"/>
      <c r="C8" s="1762"/>
      <c r="D8" s="1943"/>
      <c r="E8" s="1941"/>
      <c r="F8" s="1777"/>
      <c r="G8" s="1778"/>
      <c r="H8" s="1778"/>
      <c r="I8" s="1763"/>
      <c r="J8" s="75"/>
      <c r="K8" s="1906" t="s">
        <v>7565</v>
      </c>
      <c r="L8" s="1907"/>
      <c r="M8" s="1907"/>
      <c r="N8" s="1908"/>
      <c r="O8" s="1912">
        <f ca="1">TL_GP_UEBRIG</f>
        <v>320</v>
      </c>
      <c r="P8" s="1913"/>
      <c r="Q8" s="1914"/>
      <c r="R8" s="218" t="s">
        <v>7561</v>
      </c>
      <c r="S8" s="1440">
        <f ca="1">TL_GP_ZAUBER</f>
        <v>0</v>
      </c>
      <c r="T8" s="278"/>
      <c r="U8" s="278"/>
      <c r="V8" s="278" t="s">
        <v>3263</v>
      </c>
      <c r="W8" s="1438"/>
      <c r="X8" s="1900" t="str">
        <f>IF(OR(RASSEGENE="",PROFGENE="LEER",KULTURGENE="LEER"),"",IF(ISBLANK(HLOOKUP(KULTURGENE,KULTUR,39,FALSE)),"",HLOOKUP(KULTURGENE,KULTUR,39,FALSE)))</f>
        <v/>
      </c>
      <c r="Y8" s="1901"/>
      <c r="Z8" s="1901"/>
      <c r="AA8" s="1901"/>
      <c r="AB8" s="1902"/>
      <c r="AC8" s="1915" t="s">
        <v>2556</v>
      </c>
      <c r="AD8" s="1916"/>
      <c r="AE8" s="1916"/>
      <c r="AF8" s="1916"/>
      <c r="AG8" s="1917"/>
      <c r="AH8" s="1900" t="str">
        <f>IF(OR(RASSEGENE="",PROFGENE="LEER",KULTURGENE="LEER"),"",IF(ISBLANK(HLOOKUP(KULTURGENE,KULTUR,40,FALSE)),"",HLOOKUP(KULTURGENE,KULTUR,40,FALSE)))</f>
        <v/>
      </c>
      <c r="AI8" s="1901"/>
      <c r="AJ8" s="1901"/>
      <c r="AK8" s="1901"/>
      <c r="AL8" s="1902"/>
      <c r="AQ8" s="100"/>
      <c r="CC8" s="268"/>
      <c r="CD8" s="268"/>
      <c r="CE8" s="268"/>
      <c r="CF8" s="268"/>
      <c r="CG8" s="268"/>
      <c r="CN8" s="268"/>
      <c r="CO8" s="268"/>
      <c r="CP8" s="268"/>
      <c r="CQ8" s="268"/>
      <c r="CR8" s="268"/>
      <c r="CS8" s="268"/>
      <c r="CT8" s="268"/>
      <c r="CU8" s="268"/>
      <c r="CV8" s="268"/>
      <c r="CX8" s="268"/>
    </row>
    <row r="9" spans="1:168" ht="16.5" customHeight="1" thickBot="1" x14ac:dyDescent="0.3">
      <c r="A9" s="176" t="s">
        <v>3915</v>
      </c>
      <c r="B9" s="1761"/>
      <c r="C9" s="1762"/>
      <c r="D9" s="1943"/>
      <c r="E9" s="1941"/>
      <c r="F9" s="1777"/>
      <c r="G9" s="1778"/>
      <c r="H9" s="1778"/>
      <c r="I9" s="1763"/>
      <c r="J9" s="75"/>
      <c r="K9" s="1927" t="s">
        <v>7566</v>
      </c>
      <c r="L9" s="1928"/>
      <c r="M9" s="1928"/>
      <c r="N9" s="1929"/>
      <c r="O9" s="1918">
        <f>STARTAP2_UEBRIG</f>
        <v>0</v>
      </c>
      <c r="P9" s="1919"/>
      <c r="Q9" s="1920"/>
      <c r="R9" s="1447" t="s">
        <v>7562</v>
      </c>
      <c r="S9" s="1448">
        <f ca="1">TL_GP_GOETTER</f>
        <v>0</v>
      </c>
      <c r="T9" s="278"/>
      <c r="U9" s="278"/>
      <c r="V9" s="278" t="s">
        <v>3263</v>
      </c>
      <c r="W9" s="1438"/>
      <c r="X9" s="1900" t="str">
        <f ca="1">IF(OR(RASSEGENE="",PROFGENE="LEER",KULTURGENE="LEER"),"",IF(ISBLANK(HLOOKUP(PROFGENE,INDIRECT(PROFGEBIET),39,FALSE)),"",HLOOKUP(PROFGENE,INDIRECT(PROFGEBIET),39,FALSE)))</f>
        <v/>
      </c>
      <c r="Y9" s="1901"/>
      <c r="Z9" s="1901"/>
      <c r="AA9" s="1901"/>
      <c r="AB9" s="1902"/>
      <c r="AC9" s="1921" t="s">
        <v>2556</v>
      </c>
      <c r="AD9" s="1922"/>
      <c r="AE9" s="1922"/>
      <c r="AF9" s="1922"/>
      <c r="AG9" s="1923"/>
      <c r="AH9" s="1924" t="str">
        <f ca="1">IF(OR(RASSEGENE="",PROFGENE="LEER",KULTURGENE="LEER"),"",IF(ISBLANK(HLOOKUP(PROFGENE,INDIRECT(PROFGEBIET),40,FALSE)),"",HLOOKUP(PROFGENE,INDIRECT(PROFGEBIET),40,FALSE)))</f>
        <v/>
      </c>
      <c r="AI9" s="1925"/>
      <c r="AJ9" s="1925"/>
      <c r="AK9" s="1925"/>
      <c r="AL9" s="1926"/>
      <c r="AQ9" s="100"/>
    </row>
    <row r="10" spans="1:168" ht="16.5" customHeight="1" thickTop="1" x14ac:dyDescent="0.25">
      <c r="A10" s="176" t="s">
        <v>1221</v>
      </c>
      <c r="B10" s="1761"/>
      <c r="C10" s="1762"/>
      <c r="D10" s="1943"/>
      <c r="E10" s="1941"/>
      <c r="F10" s="1777"/>
      <c r="G10" s="1778"/>
      <c r="H10" s="1778"/>
      <c r="I10" s="1763"/>
      <c r="J10" s="75"/>
      <c r="K10" s="1883" t="s">
        <v>4643</v>
      </c>
      <c r="L10" s="1884"/>
      <c r="M10" s="1884"/>
      <c r="N10" s="1885"/>
      <c r="O10" s="1936">
        <f ca="1">SUM(APGUT,IF(TL_GP_UEBRIG&lt;0,0,TL_GP_UEBRIG),IF(STARTAP2_UEBRIG&lt;0,0,STARTAP2_UEBRIG))</f>
        <v>320</v>
      </c>
      <c r="P10" s="1937"/>
      <c r="Q10" s="1938"/>
      <c r="R10" s="291"/>
      <c r="AL10" s="97"/>
      <c r="AM10" s="99"/>
      <c r="AR10" s="100"/>
      <c r="BZ10" s="1281"/>
      <c r="CA10" s="1281"/>
      <c r="CD10" s="268"/>
      <c r="CE10" s="1281"/>
      <c r="CF10" s="1281"/>
      <c r="CG10" s="1281"/>
      <c r="CH10" s="1281"/>
      <c r="CI10" s="1281"/>
      <c r="CJ10" s="1281"/>
      <c r="CK10" s="1281"/>
      <c r="CL10" s="1281"/>
      <c r="CM10" s="268"/>
      <c r="CN10" s="1281"/>
      <c r="CO10" s="1281"/>
      <c r="CP10" s="1281"/>
      <c r="CQ10" s="1281"/>
      <c r="CR10" s="1281"/>
      <c r="CS10" s="1281"/>
      <c r="CT10" s="1281"/>
      <c r="CU10" s="1281"/>
      <c r="CV10" s="1281"/>
      <c r="CW10" s="1281"/>
      <c r="CX10" s="1281"/>
      <c r="CY10" s="1281"/>
      <c r="CZ10" s="1281"/>
      <c r="DA10" s="1281"/>
      <c r="DB10" s="1281"/>
      <c r="DC10" s="1281"/>
      <c r="DD10" s="1281"/>
      <c r="DE10" s="1281"/>
      <c r="DG10" s="1281"/>
      <c r="DH10" s="1281"/>
      <c r="DI10" s="1281"/>
    </row>
    <row r="11" spans="1:168" ht="15.75" customHeight="1" x14ac:dyDescent="0.2">
      <c r="A11" s="176" t="s">
        <v>1776</v>
      </c>
      <c r="B11" s="1761"/>
      <c r="C11" s="1762"/>
      <c r="D11" s="1943"/>
      <c r="E11" s="1941"/>
      <c r="F11" s="1777"/>
      <c r="G11" s="1778"/>
      <c r="H11" s="1778"/>
      <c r="I11" s="1763"/>
      <c r="J11" s="1930" t="str">
        <f ca="1">IF(AR3="","","Wählbare Talente: "&amp;AR3)</f>
        <v/>
      </c>
      <c r="K11" s="1931"/>
      <c r="L11" s="1931"/>
      <c r="M11" s="1931"/>
      <c r="N11" s="1931"/>
      <c r="O11" s="1931"/>
      <c r="P11" s="1931"/>
      <c r="Q11" s="1932"/>
      <c r="R11" s="291"/>
      <c r="AL11" s="97"/>
      <c r="AM11" s="99"/>
      <c r="AR11" s="100"/>
      <c r="BZ11" s="1281"/>
      <c r="CA11" s="1281"/>
      <c r="CD11" s="268"/>
      <c r="CE11" s="1281"/>
      <c r="CF11" s="1281"/>
      <c r="CG11" s="1281"/>
      <c r="CH11" s="1281"/>
      <c r="CI11" s="1895" t="s">
        <v>2262</v>
      </c>
      <c r="CJ11" s="1895"/>
      <c r="CK11" s="1895"/>
      <c r="CL11" s="1895"/>
      <c r="CM11" s="1895"/>
      <c r="CN11" s="1895"/>
      <c r="CO11" s="1281"/>
      <c r="CP11" s="1281"/>
      <c r="CQ11" s="268" t="s">
        <v>2404</v>
      </c>
      <c r="CR11" s="1281"/>
      <c r="CS11" s="1281"/>
      <c r="CT11" s="1281"/>
      <c r="CU11" s="1281"/>
      <c r="CV11" s="1281"/>
      <c r="CW11" s="1281"/>
      <c r="CX11" s="1281"/>
      <c r="CY11" s="1281"/>
      <c r="CZ11" s="1281"/>
      <c r="DA11" s="1281"/>
      <c r="DB11" s="1281"/>
      <c r="DC11" s="1281"/>
      <c r="DD11" s="1281"/>
      <c r="DE11" s="1281"/>
      <c r="DG11" s="1281"/>
      <c r="DH11" s="1281"/>
      <c r="DI11" s="1281"/>
    </row>
    <row r="12" spans="1:168" ht="130.5" customHeight="1" x14ac:dyDescent="0.2">
      <c r="B12" s="1761"/>
      <c r="C12" s="1762"/>
      <c r="D12" s="1943"/>
      <c r="E12" s="1942"/>
      <c r="F12" s="1777"/>
      <c r="G12" s="1778"/>
      <c r="H12" s="1778"/>
      <c r="I12" s="1763"/>
      <c r="J12" s="1933"/>
      <c r="K12" s="1934"/>
      <c r="L12" s="1934"/>
      <c r="M12" s="1934"/>
      <c r="N12" s="1934"/>
      <c r="O12" s="1934"/>
      <c r="P12" s="1934"/>
      <c r="Q12" s="1935"/>
      <c r="R12" s="37"/>
      <c r="S12" s="479"/>
      <c r="T12" s="479"/>
      <c r="U12" s="479"/>
      <c r="V12" s="479"/>
      <c r="W12" s="479"/>
      <c r="X12" s="480"/>
      <c r="Y12" s="480"/>
      <c r="Z12" s="480"/>
      <c r="AA12" s="480"/>
      <c r="AB12" s="480"/>
      <c r="AC12" s="480"/>
      <c r="AD12" s="480"/>
      <c r="AE12" s="37"/>
      <c r="AF12" s="37"/>
      <c r="AG12" s="37"/>
      <c r="AH12" s="37"/>
      <c r="AI12" s="37"/>
      <c r="AJ12" s="37"/>
      <c r="AL12" s="97"/>
      <c r="AM12" s="99"/>
      <c r="AR12" s="100"/>
      <c r="BZ12" s="1282" t="s">
        <v>3801</v>
      </c>
      <c r="CA12" s="1281" t="s">
        <v>3795</v>
      </c>
      <c r="CB12" s="1281" t="s">
        <v>1171</v>
      </c>
      <c r="CD12" s="268"/>
      <c r="CE12" s="1281" t="s">
        <v>517</v>
      </c>
      <c r="CF12" s="1281" t="s">
        <v>518</v>
      </c>
      <c r="CG12" s="1282" t="s">
        <v>7193</v>
      </c>
      <c r="CH12" s="1281"/>
      <c r="CI12" s="1281" t="s">
        <v>519</v>
      </c>
      <c r="CJ12" s="1281" t="s">
        <v>3084</v>
      </c>
      <c r="CK12" s="1281"/>
      <c r="CL12" s="1281" t="s">
        <v>2956</v>
      </c>
      <c r="CM12" s="1281" t="s">
        <v>318</v>
      </c>
      <c r="CN12" s="1281" t="s">
        <v>661</v>
      </c>
      <c r="CO12" s="1281" t="s">
        <v>4824</v>
      </c>
      <c r="CP12" s="1281" t="s">
        <v>521</v>
      </c>
      <c r="CQ12" s="1281" t="s">
        <v>698</v>
      </c>
      <c r="CR12" s="1281" t="s">
        <v>699</v>
      </c>
      <c r="CS12" s="1281" t="s">
        <v>2970</v>
      </c>
      <c r="CT12" s="1281" t="s">
        <v>2971</v>
      </c>
      <c r="CU12" s="1281" t="s">
        <v>2972</v>
      </c>
      <c r="CV12" s="1281" t="s">
        <v>2956</v>
      </c>
      <c r="CW12" s="1281" t="s">
        <v>4681</v>
      </c>
      <c r="CX12" s="1281" t="s">
        <v>626</v>
      </c>
      <c r="CY12" s="1282" t="s">
        <v>6526</v>
      </c>
      <c r="CZ12" s="1282" t="s">
        <v>3793</v>
      </c>
      <c r="DA12" s="1282" t="s">
        <v>6527</v>
      </c>
      <c r="DB12" s="1282" t="s">
        <v>7555</v>
      </c>
      <c r="DC12" s="1282" t="s">
        <v>7556</v>
      </c>
      <c r="DD12" s="1281" t="s">
        <v>3595</v>
      </c>
      <c r="DE12" s="1281" t="s">
        <v>1146</v>
      </c>
      <c r="DG12" s="1281" t="s">
        <v>3167</v>
      </c>
      <c r="DH12" s="1281" t="s">
        <v>3168</v>
      </c>
      <c r="DI12" s="1281" t="s">
        <v>3169</v>
      </c>
      <c r="DJ12" s="1282" t="s">
        <v>7531</v>
      </c>
      <c r="EF12" s="1282" t="s">
        <v>7532</v>
      </c>
      <c r="EG12" s="1282"/>
      <c r="EH12" s="1282" t="s">
        <v>7533</v>
      </c>
    </row>
    <row r="13" spans="1:168" ht="15.75" x14ac:dyDescent="0.25">
      <c r="A13" s="84" t="str">
        <f>INDEX(BEGABUNFAEH,1)</f>
        <v>Kampftalente</v>
      </c>
      <c r="B13" s="6"/>
      <c r="C13" s="1456" t="str">
        <f ca="1">IF(OR(VT_VETERAN,VT_BBILDUNG),
IF(COUNTIF($W$13:$W$157,"&lt;&gt;0")&gt;8,"Mehr als 8 Talente aktiviert",""),
IF(COUNTIF($W$13:$W$157,"&lt;&gt;0")&gt;5,"Mehr als 5 Talente aktiviert",""))</f>
        <v/>
      </c>
      <c r="D13" s="1456"/>
      <c r="E13" s="1456"/>
      <c r="F13" s="1456"/>
      <c r="G13" s="1456"/>
      <c r="H13" s="1456"/>
      <c r="I13" s="1456"/>
      <c r="J13" s="1879" t="str">
        <f ca="1">IF(APGUT&lt;0,"Keine AP mehr übrig!",IF(TL_GP_UEBRIG&lt;0,"Keine Start-AP mehr übrig!",IF(STARTAP2_UEBRIG&lt;0,"Keine 2. Prof.-Start-AP mehr übrig!","▼ Fehlermeldungen ▼  "&amp;"(AP: "&amp;APGUT&amp;")")))</f>
        <v>▼ Fehlermeldungen ▼  (AP: 0)</v>
      </c>
      <c r="K13" s="1879"/>
      <c r="L13" s="1879"/>
      <c r="M13" s="1879"/>
      <c r="N13" s="1879"/>
      <c r="O13" s="748" t="s">
        <v>718</v>
      </c>
      <c r="P13" s="1126" t="s">
        <v>716</v>
      </c>
      <c r="Q13" s="1126" t="s">
        <v>717</v>
      </c>
      <c r="R13" s="1126" t="s">
        <v>1356</v>
      </c>
      <c r="S13" s="1126" t="s">
        <v>1357</v>
      </c>
      <c r="T13" s="1126" t="s">
        <v>2171</v>
      </c>
      <c r="U13" s="1126" t="s">
        <v>7065</v>
      </c>
      <c r="V13" s="1126" t="s">
        <v>2638</v>
      </c>
      <c r="W13" s="134">
        <v>0</v>
      </c>
      <c r="X13" s="6">
        <v>1</v>
      </c>
      <c r="Y13" s="6">
        <v>2</v>
      </c>
      <c r="Z13" s="6">
        <v>3</v>
      </c>
      <c r="AA13" s="6">
        <v>4</v>
      </c>
      <c r="AB13" s="6">
        <v>5</v>
      </c>
      <c r="AC13" s="6">
        <v>6</v>
      </c>
      <c r="AD13" s="6">
        <v>7</v>
      </c>
      <c r="AE13" s="6">
        <v>8</v>
      </c>
      <c r="AF13" s="6">
        <v>9</v>
      </c>
      <c r="AG13" s="6">
        <v>10</v>
      </c>
      <c r="AH13" s="6">
        <v>11</v>
      </c>
      <c r="AI13" s="6">
        <v>12</v>
      </c>
      <c r="AJ13" s="6">
        <v>13</v>
      </c>
      <c r="AK13" s="6">
        <v>14</v>
      </c>
      <c r="AL13" s="6">
        <v>15</v>
      </c>
      <c r="AM13" s="6">
        <v>16</v>
      </c>
      <c r="AN13" s="6">
        <v>17</v>
      </c>
      <c r="AO13" s="6">
        <v>18</v>
      </c>
      <c r="AP13" s="6">
        <v>19</v>
      </c>
      <c r="AQ13" s="6">
        <v>20</v>
      </c>
      <c r="AR13" s="6">
        <v>21</v>
      </c>
      <c r="AS13" s="151"/>
      <c r="AT13" s="134">
        <v>0</v>
      </c>
      <c r="AU13" s="6">
        <v>1</v>
      </c>
      <c r="AV13" s="6">
        <v>2</v>
      </c>
      <c r="AW13" s="6">
        <v>3</v>
      </c>
      <c r="AX13" s="6">
        <v>4</v>
      </c>
      <c r="AY13" s="6">
        <v>5</v>
      </c>
      <c r="AZ13" s="6">
        <v>6</v>
      </c>
      <c r="BA13" s="6">
        <v>7</v>
      </c>
      <c r="BB13" s="6">
        <v>8</v>
      </c>
      <c r="BC13" s="6">
        <v>9</v>
      </c>
      <c r="BD13" s="6">
        <v>10</v>
      </c>
      <c r="BE13" s="6">
        <v>11</v>
      </c>
      <c r="BF13" s="6">
        <v>12</v>
      </c>
      <c r="BG13" s="6">
        <v>13</v>
      </c>
      <c r="BH13" s="6">
        <v>14</v>
      </c>
      <c r="BI13" s="6">
        <v>15</v>
      </c>
      <c r="BJ13" s="6">
        <v>16</v>
      </c>
      <c r="BK13" s="6">
        <v>17</v>
      </c>
      <c r="BL13" s="6">
        <v>18</v>
      </c>
      <c r="BM13" s="6">
        <v>19</v>
      </c>
      <c r="BN13" s="6">
        <v>20</v>
      </c>
      <c r="BO13" s="6">
        <v>21</v>
      </c>
      <c r="BP13" s="6">
        <v>22</v>
      </c>
      <c r="BQ13" s="6">
        <v>23</v>
      </c>
      <c r="BR13" s="6">
        <v>24</v>
      </c>
      <c r="BS13" s="6">
        <v>25</v>
      </c>
      <c r="BT13" s="6">
        <v>26</v>
      </c>
      <c r="BU13" s="6">
        <v>27</v>
      </c>
      <c r="BV13" s="6">
        <v>28</v>
      </c>
      <c r="BW13" s="6">
        <v>29</v>
      </c>
      <c r="BX13" s="6">
        <v>30</v>
      </c>
      <c r="BY13" s="6">
        <v>31</v>
      </c>
      <c r="BZ13" s="6"/>
      <c r="CA13" s="6"/>
      <c r="CB13" s="6"/>
      <c r="CC13" s="90"/>
      <c r="CD13" s="90"/>
      <c r="CE13" s="90"/>
      <c r="CF13" s="90"/>
      <c r="CG13" s="90"/>
      <c r="CH13" s="90"/>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134">
        <v>0</v>
      </c>
      <c r="DK13" s="6">
        <v>1</v>
      </c>
      <c r="DL13" s="6">
        <v>2</v>
      </c>
      <c r="DM13" s="6">
        <v>3</v>
      </c>
      <c r="DN13" s="6">
        <v>4</v>
      </c>
      <c r="DO13" s="6">
        <v>5</v>
      </c>
      <c r="DP13" s="6">
        <v>6</v>
      </c>
      <c r="DQ13" s="6">
        <v>7</v>
      </c>
      <c r="DR13" s="6">
        <v>8</v>
      </c>
      <c r="DS13" s="6">
        <v>9</v>
      </c>
      <c r="DT13" s="6">
        <v>10</v>
      </c>
      <c r="DU13" s="6">
        <v>11</v>
      </c>
      <c r="DV13" s="6">
        <v>12</v>
      </c>
      <c r="DW13" s="6">
        <v>13</v>
      </c>
      <c r="DX13" s="6">
        <v>14</v>
      </c>
      <c r="DY13" s="6">
        <v>15</v>
      </c>
      <c r="DZ13" s="6">
        <v>16</v>
      </c>
      <c r="EA13" s="6">
        <v>17</v>
      </c>
      <c r="EB13" s="6">
        <v>18</v>
      </c>
      <c r="EC13" s="6">
        <v>19</v>
      </c>
      <c r="ED13" s="6">
        <v>20</v>
      </c>
      <c r="EE13" s="6">
        <v>21</v>
      </c>
      <c r="EF13" s="6" t="s">
        <v>7066</v>
      </c>
      <c r="EG13" s="6">
        <v>0</v>
      </c>
      <c r="EH13" s="6">
        <v>1</v>
      </c>
      <c r="EI13" s="6">
        <v>2</v>
      </c>
      <c r="EJ13" s="6">
        <v>3</v>
      </c>
      <c r="EK13" s="6">
        <v>4</v>
      </c>
      <c r="EL13" s="6">
        <v>5</v>
      </c>
      <c r="EM13" s="6">
        <v>6</v>
      </c>
      <c r="EN13" s="6">
        <v>7</v>
      </c>
      <c r="EO13" s="6">
        <v>8</v>
      </c>
      <c r="EP13" s="6">
        <v>9</v>
      </c>
      <c r="EQ13" s="6">
        <v>10</v>
      </c>
      <c r="ER13" s="6">
        <v>11</v>
      </c>
      <c r="ES13" s="6">
        <v>12</v>
      </c>
      <c r="ET13" s="6">
        <v>13</v>
      </c>
      <c r="EU13" s="6">
        <v>14</v>
      </c>
      <c r="EV13" s="6">
        <v>15</v>
      </c>
      <c r="EW13" s="6">
        <v>16</v>
      </c>
      <c r="EX13" s="6">
        <v>17</v>
      </c>
      <c r="EY13" s="6">
        <v>18</v>
      </c>
      <c r="EZ13" s="6">
        <v>19</v>
      </c>
      <c r="FA13" s="6">
        <v>20</v>
      </c>
      <c r="FB13" s="6">
        <v>21</v>
      </c>
      <c r="FC13" s="6">
        <v>22</v>
      </c>
      <c r="FD13" s="6">
        <v>23</v>
      </c>
      <c r="FE13" s="6">
        <v>24</v>
      </c>
      <c r="FF13" s="6">
        <v>25</v>
      </c>
      <c r="FG13" s="6">
        <v>26</v>
      </c>
      <c r="FH13" s="6">
        <v>27</v>
      </c>
      <c r="FI13" s="6">
        <v>28</v>
      </c>
      <c r="FJ13" s="6">
        <v>29</v>
      </c>
      <c r="FK13" s="6">
        <v>30</v>
      </c>
      <c r="FL13" s="6">
        <v>31</v>
      </c>
    </row>
    <row r="14" spans="1:168" x14ac:dyDescent="0.2">
      <c r="A14" s="24" t="str">
        <f>INDEX(TL_KPF,ROW()-12)</f>
        <v>Anderthalbhänder</v>
      </c>
      <c r="B14" s="317" t="str">
        <f t="shared" ref="B14:B40" ca="1" si="0">IF(AND(OR(NOT(ISBLANK($D14)),NOT(ISBLANK($G14)),NOT(ISBLANK($I14))),EXACT($C14,"")),0,IF(EXACT($C14,""),"",
SUM(CX14,IF(ISERROR(FIND("L",D14,1)),D14,LEFT(D14,LEN(D14)-1)))
))</f>
        <v/>
      </c>
      <c r="C14" s="332" t="str">
        <f t="shared" ref="C14:C19" ca="1" si="1">IF(OR(NOT(ISBLANK(D14)),NOT(ISBLANK(HLOOKUP(RASSEGENE,RASSE,$CD14,FALSE))),
NOT(ISBLANK(HLOOKUP(KULTURGENE,KULTUR,$CD14,FALSE))),
NOT(OR(ISBLANK(HLOOKUP(PROFGENE,INDIRECT(PROFGEBIET),$CD14,FALSE)),$CS14="N",$CS14="M")),
IF(PROFZWEITE="",FALSE,NOT(ISBLANK(HLOOKUP(PROFZWEITE,INDIRECT(PROFGEBIET2),$CD14,FALSE))))),"x","")</f>
        <v/>
      </c>
      <c r="D14" s="1127"/>
      <c r="E14" s="1424"/>
      <c r="F14" s="325"/>
      <c r="G14" s="958"/>
      <c r="H14" s="1196"/>
      <c r="I14" s="326"/>
      <c r="J14" s="1876" t="str">
        <f ca="1">DB14&amp;DC14</f>
        <v/>
      </c>
      <c r="K14" s="1877"/>
      <c r="L14" s="1877"/>
      <c r="M14" s="1877"/>
      <c r="N14" s="1878"/>
      <c r="O14" s="613" t="str">
        <f t="shared" ref="O14:O40" ca="1" si="2">IF(AND(EXACT($B14,""),ISBLANK($G14),ISBLANK($I14)),"",IF(AND(EXACT($C14,""),ISBLANK(G14),ISBLANK(I14)),"",SUM($B14,G14,$I14)))</f>
        <v/>
      </c>
      <c r="P14" s="640"/>
      <c r="Q14" s="637" t="str">
        <f>IF(ISBLANK($P14),"",SUM(AT,PA,$B14,$G14,$I14)-$P14)</f>
        <v/>
      </c>
      <c r="R14" s="1313"/>
      <c r="S14" s="1313"/>
      <c r="T14" s="1315"/>
      <c r="U14" s="1283"/>
      <c r="V14" s="628" t="str">
        <f t="shared" ref="V14:V25" ca="1" si="3">IF(R14="",IF(DI14="","","Wählen:"&amp;DI14),IF(DI14="",IF(O14&lt;7,"Taw&lt;7",IF(S14="","",IF(O14&lt;14,"Taw&lt;14",""))),""))</f>
        <v/>
      </c>
      <c r="W14" s="164">
        <f t="shared" ref="W14:W40" ca="1" si="4">IF($DJ14=0,0,IF(NOT(ISBLANK($G14)),
IF(SUM($B14)&lt;=0,SUM(IF($G14&lt;ABS($B14),$G14,ABS($B14)),IF(C14="B",0,1))*HLOOKUP(IF(CODE($DJ14)&lt;65,"A+",$DJ14),SKT,3,FALSE),0),0))</f>
        <v>0</v>
      </c>
      <c r="X14" s="164">
        <f t="shared" ref="X14:X40" ca="1" si="5">IF(DK14=0,0,IF(AND(NOT(ISBLANK($G14)),$B14&lt;X$13,SUM($B14,$G14)&gt;=X$13),
HLOOKUP(IF(CODE(DK14)&lt;65,"A+",DK14),SKT,X$13+3,FALSE),0))</f>
        <v>0</v>
      </c>
      <c r="Y14" s="164">
        <f t="shared" ref="Y14:Y40" ca="1" si="6">IF(DL14=0,0,IF(AND(NOT(ISBLANK($G14)),$B14&lt;Y$13,SUM($B14,$G14)&gt;=Y$13),
HLOOKUP(IF(CODE(DL14)&lt;65,"A+",DL14),SKT,Y$13+3,FALSE),0))</f>
        <v>0</v>
      </c>
      <c r="Z14" s="164">
        <f t="shared" ref="Z14:Z40" ca="1" si="7">IF(DM14=0,0,IF(AND(NOT(ISBLANK($G14)),$B14&lt;Z$13,SUM($B14,$G14)&gt;=Z$13),
HLOOKUP(IF(CODE(DM14)&lt;65,"A+",DM14),SKT,Z$13+3,FALSE),0))</f>
        <v>0</v>
      </c>
      <c r="AA14" s="164">
        <f t="shared" ref="AA14:AA40" ca="1" si="8">IF(DN14=0,0,IF(AND(NOT(ISBLANK($G14)),$B14&lt;AA$13,SUM($B14,$G14)&gt;=AA$13),
HLOOKUP(IF(CODE(DN14)&lt;65,"A+",DN14),SKT,AA$13+3,FALSE),0))</f>
        <v>0</v>
      </c>
      <c r="AB14" s="164">
        <f t="shared" ref="AB14:AB40" ca="1" si="9">IF(DO14=0,0,IF(AND(NOT(ISBLANK($G14)),$B14&lt;AB$13,SUM($B14,$G14)&gt;=AB$13),
HLOOKUP(IF(CODE(DO14)&lt;65,"A+",DO14),SKT,AB$13+3,FALSE),0))</f>
        <v>0</v>
      </c>
      <c r="AC14" s="164">
        <f t="shared" ref="AC14:AC40" ca="1" si="10">IF(DP14=0,0,IF(AND(NOT(ISBLANK($G14)),$B14&lt;AC$13,SUM($B14,$G14)&gt;=AC$13),
HLOOKUP(IF(CODE(DP14)&lt;65,"A+",DP14),SKT,AC$13+3,FALSE),0))</f>
        <v>0</v>
      </c>
      <c r="AD14" s="164">
        <f t="shared" ref="AD14:AD40" ca="1" si="11">IF(DQ14=0,0,IF(AND(NOT(ISBLANK($G14)),$B14&lt;AD$13,SUM($B14,$G14)&gt;=AD$13),
HLOOKUP(IF(CODE(DQ14)&lt;65,"A+",DQ14),SKT,AD$13+3,FALSE),0))</f>
        <v>0</v>
      </c>
      <c r="AE14" s="164">
        <f t="shared" ref="AE14:AE40" ca="1" si="12">IF(DR14=0,0,IF(AND(NOT(ISBLANK($G14)),$B14&lt;AE$13,SUM($B14,$G14)&gt;=AE$13),
HLOOKUP(IF(CODE(DR14)&lt;65,"A+",DR14),SKT,AE$13+3,FALSE),0))</f>
        <v>0</v>
      </c>
      <c r="AF14" s="164">
        <f t="shared" ref="AF14:AF40" ca="1" si="13">IF(DS14=0,0,IF(AND(NOT(ISBLANK($G14)),$B14&lt;AF$13,SUM($B14,$G14)&gt;=AF$13),
HLOOKUP(IF(CODE(DS14)&lt;65,"A+",DS14),SKT,AF$13+3,FALSE),0))</f>
        <v>0</v>
      </c>
      <c r="AG14" s="164">
        <f t="shared" ref="AG14:AG40" ca="1" si="14">IF(DT14=0,0,IF(AND(NOT(ISBLANK($G14)),$B14&lt;AG$13,SUM($B14,$G14)&gt;=AG$13),
HLOOKUP(IF(CODE(DT14)&lt;65,"A+",DT14),SKT,AG$13+3,FALSE),0))</f>
        <v>0</v>
      </c>
      <c r="AH14" s="164">
        <f t="shared" ref="AH14:AH40" ca="1" si="15">IF(DU14=0,0,IF(AND(NOT(ISBLANK($G14)),$B14&lt;AH$13,SUM($B14,$G14)&gt;=AH$13),
HLOOKUP(IF(CODE(DU14)&lt;65,"A+",DU14),SKT,AH$13+3,FALSE),0))</f>
        <v>0</v>
      </c>
      <c r="AI14" s="164">
        <f t="shared" ref="AI14:AI40" ca="1" si="16">IF(DV14=0,0,IF(AND(NOT(ISBLANK($G14)),$B14&lt;AI$13,SUM($B14,$G14)&gt;=AI$13),
HLOOKUP(IF(CODE(DV14)&lt;65,"A+",DV14),SKT,AI$13+3,FALSE),0))</f>
        <v>0</v>
      </c>
      <c r="AJ14" s="164">
        <f t="shared" ref="AJ14:AJ40" ca="1" si="17">IF(DW14=0,0,IF(AND(NOT(ISBLANK($G14)),$B14&lt;AJ$13,SUM($B14,$G14)&gt;=AJ$13),
HLOOKUP(IF(CODE(DW14)&lt;65,"A+",DW14),SKT,AJ$13+3,FALSE),0))</f>
        <v>0</v>
      </c>
      <c r="AK14" s="164">
        <f t="shared" ref="AK14:AK40" ca="1" si="18">IF(DX14=0,0,IF(AND(NOT(ISBLANK($G14)),$B14&lt;AK$13,SUM($B14,$G14)&gt;=AK$13),
HLOOKUP(IF(CODE(DX14)&lt;65,"A+",DX14),SKT,AK$13+3,FALSE),0))</f>
        <v>0</v>
      </c>
      <c r="AL14" s="164">
        <f t="shared" ref="AL14:AL40" ca="1" si="19">IF(DY14=0,0,IF(AND(NOT(ISBLANK($G14)),$B14&lt;AL$13,SUM($B14,$G14)&gt;=AL$13),
HLOOKUP(IF(CODE(DY14)&lt;65,"A+",DY14),SKT,AL$13+3,FALSE),0))</f>
        <v>0</v>
      </c>
      <c r="AM14" s="164">
        <f t="shared" ref="AM14:AM40" ca="1" si="20">IF(DZ14=0,0,IF(AND(NOT(ISBLANK($G14)),$B14&lt;AM$13,SUM($B14,$G14)&gt;=AM$13),
HLOOKUP(IF(CODE(DZ14)&lt;65,"A+",DZ14),SKT,AM$13+3,FALSE),0))</f>
        <v>0</v>
      </c>
      <c r="AN14" s="164">
        <f t="shared" ref="AN14:AN40" ca="1" si="21">IF(EA14=0,0,IF(AND(NOT(ISBLANK($G14)),$B14&lt;AN$13,SUM($B14,$G14)&gt;=AN$13),
HLOOKUP(IF(CODE(EA14)&lt;65,"A+",EA14),SKT,AN$13+3,FALSE),0))</f>
        <v>0</v>
      </c>
      <c r="AO14" s="164">
        <f t="shared" ref="AO14:AO40" ca="1" si="22">IF(EB14=0,0,IF(AND(NOT(ISBLANK($G14)),$B14&lt;AO$13,SUM($B14,$G14)&gt;=AO$13),
HLOOKUP(IF(CODE(EB14)&lt;65,"A+",EB14),SKT,AO$13+3,FALSE),0))</f>
        <v>0</v>
      </c>
      <c r="AP14" s="164">
        <f t="shared" ref="AP14:AP40" ca="1" si="23">IF(EC14=0,0,IF(AND(NOT(ISBLANK($G14)),$B14&lt;AP$13,SUM($B14,$G14)&gt;=AP$13),
HLOOKUP(IF(CODE(EC14)&lt;65,"A+",EC14),SKT,AP$13+3,FALSE),0))</f>
        <v>0</v>
      </c>
      <c r="AQ14" s="164">
        <f t="shared" ref="AQ14:AQ40" ca="1" si="24">IF(ED14=0,0,IF(AND(NOT(ISBLANK($G14)),$B14&lt;AQ$13,SUM($B14,$G14)&gt;=AQ$13),
HLOOKUP(IF(CODE(ED14)&lt;65,"A+",ED14),SKT,AQ$13+3,FALSE),0))</f>
        <v>0</v>
      </c>
      <c r="AR14" s="164">
        <f t="shared" ref="AR14:AR40" ca="1" si="25">IF(EE14=0,0,IF(AND(NOT(ISBLANK($G14)),$B14&lt;AR$13,SUM($B14,$G14)&gt;=AR$13),
HLOOKUP(IF(CODE(EE14)&lt;65,"A+",EE14),SKT,AR$13+3,FALSE),0))</f>
        <v>0</v>
      </c>
      <c r="AS14" s="152"/>
      <c r="AT14" s="154">
        <f t="shared" ref="AT14:AT40" ca="1" si="26">IF($EG14=0,0,IF(AND(ISBLANK($G14),NOT(ISBLANK($I14))),ROUND(SUM(
IF(SUM($B14,$G14,H14)&lt;0,IF($I14&lt;ABS(SUM($B14,$G14,H14)),$I14,IF(C14="B",0,1)+ABS(SUM($B14,$G14,H14))),0),
IF(SUM($B14,$G14,H14)=0,IF(C14="B",0,1),0))
*HLOOKUP(IF(CODE($EG14)&lt;65,"A+",$EG14),SKT,3,FALSE)*5,0),0))</f>
        <v>0</v>
      </c>
      <c r="AU14" s="154">
        <f t="shared" ref="AU14:AU40" ca="1" si="27">IF(EH14=0,0,IF(AND(NOT(ISBLANK($I14)),SUM($B14,$G14)&lt;AU$13,SUM($B14,$G14,$I14)&gt;=AU$13),
HLOOKUP(IF(CODE(EH14)&lt;65,"A+",EH14),SKT,AU$13+3,FALSE),0))</f>
        <v>0</v>
      </c>
      <c r="AV14" s="154">
        <f t="shared" ref="AV14:AV40" ca="1" si="28">IF(EI14=0,0,IF(AND(NOT(ISBLANK($I14)),SUM($B14,$G14)&lt;AV$13,SUM($B14,$G14,$I14)&gt;=AV$13),
HLOOKUP(IF(CODE(EI14)&lt;65,"A+",EI14),SKT,AV$13+3,FALSE),0))</f>
        <v>0</v>
      </c>
      <c r="AW14" s="154">
        <f t="shared" ref="AW14:AW40" ca="1" si="29">IF(EJ14=0,0,IF(AND(NOT(ISBLANK($I14)),SUM($B14,$G14)&lt;AW$13,SUM($B14,$G14,$I14)&gt;=AW$13),
HLOOKUP(IF(CODE(EJ14)&lt;65,"A+",EJ14),SKT,AW$13+3,FALSE),0))</f>
        <v>0</v>
      </c>
      <c r="AX14" s="154">
        <f t="shared" ref="AX14:AX40" ca="1" si="30">IF(EK14=0,0,IF(AND(NOT(ISBLANK($I14)),SUM($B14,$G14)&lt;AX$13,SUM($B14,$G14,$I14)&gt;=AX$13),
HLOOKUP(IF(CODE(EK14)&lt;65,"A+",EK14),SKT,AX$13+3,FALSE),0))</f>
        <v>0</v>
      </c>
      <c r="AY14" s="154">
        <f t="shared" ref="AY14:AY40" ca="1" si="31">IF(EL14=0,0,IF(AND(NOT(ISBLANK($I14)),SUM($B14,$G14)&lt;AY$13,SUM($B14,$G14,$I14)&gt;=AY$13),
HLOOKUP(IF(CODE(EL14)&lt;65,"A+",EL14),SKT,AY$13+3,FALSE),0))</f>
        <v>0</v>
      </c>
      <c r="AZ14" s="154">
        <f t="shared" ref="AZ14:AZ40" ca="1" si="32">IF(EM14=0,0,IF(AND(NOT(ISBLANK($I14)),SUM($B14,$G14)&lt;AZ$13,SUM($B14,$G14,$I14)&gt;=AZ$13),
HLOOKUP(IF(CODE(EM14)&lt;65,"A+",EM14),SKT,AZ$13+3,FALSE),0))</f>
        <v>0</v>
      </c>
      <c r="BA14" s="154">
        <f t="shared" ref="BA14:BA40" ca="1" si="33">IF(EN14=0,0,IF(AND(NOT(ISBLANK($I14)),SUM($B14,$G14)&lt;BA$13,SUM($B14,$G14,$I14)&gt;=BA$13),
HLOOKUP(IF(CODE(EN14)&lt;65,"A+",EN14),SKT,BA$13+3,FALSE),0))</f>
        <v>0</v>
      </c>
      <c r="BB14" s="154">
        <f t="shared" ref="BB14:BB40" ca="1" si="34">IF(EO14=0,0,IF(AND(NOT(ISBLANK($I14)),SUM($B14,$G14)&lt;BB$13,SUM($B14,$G14,$I14)&gt;=BB$13),
HLOOKUP(IF(CODE(EO14)&lt;65,"A+",EO14),SKT,BB$13+3,FALSE),0))</f>
        <v>0</v>
      </c>
      <c r="BC14" s="154">
        <f t="shared" ref="BC14:BC40" ca="1" si="35">IF(EP14=0,0,IF(AND(NOT(ISBLANK($I14)),SUM($B14,$G14)&lt;BC$13,SUM($B14,$G14,$I14)&gt;=BC$13),
HLOOKUP(IF(CODE(EP14)&lt;65,"A+",EP14),SKT,BC$13+3,FALSE),0))</f>
        <v>0</v>
      </c>
      <c r="BD14" s="154">
        <f t="shared" ref="BD14:BD40" ca="1" si="36">IF(EQ14=0,0,IF(AND(NOT(ISBLANK($I14)),SUM($B14,$G14)&lt;BD$13,SUM($B14,$G14,$I14)&gt;=BD$13),
HLOOKUP(IF(CODE(EQ14)&lt;65,"A+",EQ14),SKT,BD$13+3,FALSE),0))</f>
        <v>0</v>
      </c>
      <c r="BE14" s="154">
        <f t="shared" ref="BE14:BE40" ca="1" si="37">IF(ER14=0,0,IF(AND(NOT(ISBLANK($I14)),SUM($B14,$G14)&lt;BE$13,SUM($B14,$G14,$I14)&gt;=BE$13),
HLOOKUP(IF(CODE(ER14)&lt;65,"A+",ER14),SKT,BE$13+3,FALSE),0))</f>
        <v>0</v>
      </c>
      <c r="BF14" s="154">
        <f t="shared" ref="BF14:BF40" ca="1" si="38">IF(ES14=0,0,IF(AND(NOT(ISBLANK($I14)),SUM($B14,$G14)&lt;BF$13,SUM($B14,$G14,$I14)&gt;=BF$13),
HLOOKUP(IF(CODE(ES14)&lt;65,"A+",ES14),SKT,BF$13+3,FALSE),0))</f>
        <v>0</v>
      </c>
      <c r="BG14" s="154">
        <f t="shared" ref="BG14:BG40" ca="1" si="39">IF(ET14=0,0,IF(AND(NOT(ISBLANK($I14)),SUM($B14,$G14)&lt;BG$13,SUM($B14,$G14,$I14)&gt;=BG$13),
HLOOKUP(IF(CODE(ET14)&lt;65,"A+",ET14),SKT,BG$13+3,FALSE),0))</f>
        <v>0</v>
      </c>
      <c r="BH14" s="154">
        <f t="shared" ref="BH14:BH40" ca="1" si="40">IF(EU14=0,0,IF(AND(NOT(ISBLANK($I14)),SUM($B14,$G14)&lt;BH$13,SUM($B14,$G14,$I14)&gt;=BH$13),
HLOOKUP(IF(CODE(EU14)&lt;65,"A+",EU14),SKT,BH$13+3,FALSE),0))</f>
        <v>0</v>
      </c>
      <c r="BI14" s="154">
        <f t="shared" ref="BI14:BI40" ca="1" si="41">IF(EV14=0,0,IF(AND(NOT(ISBLANK($I14)),SUM($B14,$G14)&lt;BI$13,SUM($B14,$G14,$I14)&gt;=BI$13),
HLOOKUP(IF(CODE(EV14)&lt;65,"A+",EV14),SKT,BI$13+3,FALSE),0))</f>
        <v>0</v>
      </c>
      <c r="BJ14" s="154">
        <f t="shared" ref="BJ14:BJ40" ca="1" si="42">IF(EW14=0,0,IF(AND(NOT(ISBLANK($I14)),SUM($B14,$G14)&lt;BJ$13,SUM($B14,$G14,$I14)&gt;=BJ$13),
HLOOKUP(IF(CODE(EW14)&lt;65,"A+",EW14),SKT,BJ$13+3,FALSE),0))</f>
        <v>0</v>
      </c>
      <c r="BK14" s="154">
        <f t="shared" ref="BK14:BK40" ca="1" si="43">IF(EX14=0,0,IF(AND(NOT(ISBLANK($I14)),SUM($B14,$G14)&lt;BK$13,SUM($B14,$G14,$I14)&gt;=BK$13),
HLOOKUP(IF(CODE(EX14)&lt;65,"A+",EX14),SKT,BK$13+3,FALSE),0))</f>
        <v>0</v>
      </c>
      <c r="BL14" s="154">
        <f t="shared" ref="BL14:BL40" ca="1" si="44">IF(EY14=0,0,IF(AND(NOT(ISBLANK($I14)),SUM($B14,$G14)&lt;BL$13,SUM($B14,$G14,$I14)&gt;=BL$13),
HLOOKUP(IF(CODE(EY14)&lt;65,"A+",EY14),SKT,BL$13+3,FALSE),0))</f>
        <v>0</v>
      </c>
      <c r="BM14" s="154">
        <f t="shared" ref="BM14:BM40" ca="1" si="45">IF(EZ14=0,0,IF(AND(NOT(ISBLANK($I14)),SUM($B14,$G14)&lt;BM$13,SUM($B14,$G14,$I14)&gt;=BM$13),
HLOOKUP(IF(CODE(EZ14)&lt;65,"A+",EZ14),SKT,BM$13+3,FALSE),0))</f>
        <v>0</v>
      </c>
      <c r="BN14" s="154">
        <f t="shared" ref="BN14:BN40" ca="1" si="46">IF(FA14=0,0,IF(AND(NOT(ISBLANK($I14)),SUM($B14,$G14)&lt;BN$13,SUM($B14,$G14,$I14)&gt;=BN$13),
HLOOKUP(IF(CODE(FA14)&lt;65,"A+",FA14),SKT,BN$13+3,FALSE),0))</f>
        <v>0</v>
      </c>
      <c r="BO14" s="154">
        <f t="shared" ref="BO14:BO40" ca="1" si="47">IF(FB14=0,0,IF(AND(NOT(ISBLANK($I14)),SUM($B14,$G14)&lt;BO$13,SUM($B14,$G14,$I14)&gt;=BO$13),
HLOOKUP(IF(CODE(FB14)&lt;65,"A+",FB14),SKT,BO$13+3,FALSE),0))</f>
        <v>0</v>
      </c>
      <c r="BP14" s="154">
        <f t="shared" ref="BP14:BP40" ca="1" si="48">IF(FC14=0,0,IF(AND(NOT(ISBLANK($I14)),SUM($B14,$G14)&lt;BP$13,SUM($B14,$G14,$I14)&gt;=BP$13),
HLOOKUP(IF(CODE(FC14)&lt;65,"A+",FC14),SKT,BP$13+3,FALSE),0))</f>
        <v>0</v>
      </c>
      <c r="BQ14" s="154">
        <f t="shared" ref="BQ14:BQ40" ca="1" si="49">IF(FD14=0,0,IF(AND(NOT(ISBLANK($I14)),SUM($B14,$G14)&lt;BQ$13,SUM($B14,$G14,$I14)&gt;=BQ$13),
HLOOKUP(IF(CODE(FD14)&lt;65,"A+",FD14),SKT,BQ$13+3,FALSE),0))</f>
        <v>0</v>
      </c>
      <c r="BR14" s="154">
        <f t="shared" ref="BR14:BR40" ca="1" si="50">IF(FE14=0,0,IF(AND(NOT(ISBLANK($I14)),SUM($B14,$G14)&lt;BR$13,SUM($B14,$G14,$I14)&gt;=BR$13),
HLOOKUP(IF(CODE(FE14)&lt;65,"A+",FE14),SKT,BR$13+3,FALSE),0))</f>
        <v>0</v>
      </c>
      <c r="BS14" s="154">
        <f t="shared" ref="BS14:BS40" ca="1" si="51">IF(FF14=0,0,IF(AND(NOT(ISBLANK($I14)),SUM($B14,$G14)&lt;BS$13,SUM($B14,$G14,$I14)&gt;=BS$13),
HLOOKUP(IF(CODE(FF14)&lt;65,"A+",FF14),SKT,BS$13+3,FALSE),0))</f>
        <v>0</v>
      </c>
      <c r="BT14" s="154">
        <f t="shared" ref="BT14:BT40" ca="1" si="52">IF(FG14=0,0,IF(AND(NOT(ISBLANK($I14)),SUM($B14,$G14)&lt;BT$13,SUM($B14,$G14,$I14)&gt;=BT$13),
HLOOKUP(IF(CODE(FG14)&lt;65,"A+",FG14),SKT,BT$13+3,FALSE),0))</f>
        <v>0</v>
      </c>
      <c r="BU14" s="154">
        <f t="shared" ref="BU14:BU40" ca="1" si="53">IF(FH14=0,0,IF(AND(NOT(ISBLANK($I14)),SUM($B14,$G14)&lt;BU$13,SUM($B14,$G14,$I14)&gt;=BU$13),
HLOOKUP(IF(CODE(FH14)&lt;65,"A+",FH14),SKT,BU$13+3,FALSE),0))</f>
        <v>0</v>
      </c>
      <c r="BV14" s="154">
        <f t="shared" ref="BV14:BV40" ca="1" si="54">IF(FI14=0,0,IF(AND(NOT(ISBLANK($I14)),SUM($B14,$G14)&lt;BV$13,SUM($B14,$G14,$I14)&gt;=BV$13),
HLOOKUP(IF(CODE(FI14)&lt;65,"A+",FI14),SKT,BV$13+3,FALSE),0))</f>
        <v>0</v>
      </c>
      <c r="BW14" s="154">
        <f t="shared" ref="BW14:BW40" ca="1" si="55">IF(FJ14=0,0,IF(AND(NOT(ISBLANK($I14)),SUM($B14,$G14)&lt;BW$13,SUM($B14,$G14,$I14)&gt;=BW$13),
HLOOKUP(IF(CODE(FJ14)&lt;65,"A+",FJ14),SKT,BW$13+3,FALSE),0))</f>
        <v>0</v>
      </c>
      <c r="BX14" s="154">
        <f t="shared" ref="BX14:BX40" ca="1" si="56">IF(FK14=0,0,IF(AND(NOT(ISBLANK($I14)),SUM($B14,$G14)&lt;BX$13,SUM($B14,$G14,$I14)&gt;=BX$13),
HLOOKUP(IF(CODE(FK14)&lt;65,"A+",FK14),SKT,BX$13+3,FALSE),0))</f>
        <v>0</v>
      </c>
      <c r="BY14" s="154">
        <f t="shared" ref="BY14:BY40" ca="1" si="57">IF(FL14=0,0,IF(AND(NOT(ISBLANK($I14)),SUM($B14,$G14)&lt;BY$13,SUM($B14,$G14,$I14)&gt;=BY$13),
HLOOKUP(IF(CODE(FL14)&lt;65,"A+",FL14),SKT,BY$13+3,FALSE),0))</f>
        <v>0</v>
      </c>
      <c r="BZ14" s="154">
        <f ca="1">IF(AND(NOT(ISBLANK($O14)),NOT(ISBLANK($R14)),$T14="GP"),IF(U14="",2,1),0)</f>
        <v>0</v>
      </c>
      <c r="CA14" s="154">
        <f t="shared" ref="CA14:CA25" ca="1" si="58">IF(AND(NOT(ISBLANK($O14)),NOT(ISBLANK($R14)),OR($T14="Start-AP",$T14="Start-AP-2P")),
ROUND(HLOOKUP(CE14,SKT,2,FALSE)*IF(U14="",20,10)*IF(VT_AKADKRI,0.75,1),0),
0)</f>
        <v>0</v>
      </c>
      <c r="CB14" s="154">
        <f t="shared" ref="CB14:CB25" ca="1" si="59">IF(AND(NOT(ISBLANK($O14)),NOT(ISBLANK($R14)),OR($T14="",T14="AP")),
ROUND(HLOOKUP(CE14,SKT,2,FALSE)*20*IF(NOT(ISBLANK($S14)),3-IF(U14="Beide verbilligt",1.5,0)-IF(U14="S1 verbilligt",0.5,0)-IF(U14="S2 verbilligt",1,0),IF(OR(U14="S1 verbilligt",U14="Beide verbilligt"),0.5,1))*IF(VT_AKADKRI,0.75,1),0),
IF(ISBLANK($S14),0,ROUND(HLOOKUP(CE14,SKT,2,FALSE)*20*IF(OR(U14="S2 verbilligt",U14="Beide verbilligt"),1,2)*IF(VT_AKADKRI,0.75,1),0))
)</f>
        <v>0</v>
      </c>
      <c r="CC14" s="523"/>
      <c r="CD14" s="355">
        <f t="shared" ref="CD14:CD40" si="60">VLOOKUP($A14,ZEILENBEZUG,2,FALSE)</f>
        <v>43</v>
      </c>
      <c r="CE14" s="268" t="str">
        <f ca="1">CO14</f>
        <v>E</v>
      </c>
      <c r="CF14" s="355" t="str">
        <f ca="1">IF(EXACT($B14,""),"",$A14)</f>
        <v/>
      </c>
      <c r="CG14" s="268"/>
      <c r="CH14" s="268"/>
      <c r="CI14" s="269">
        <f t="shared" ref="CI14:CI40" ca="1" si="61">IF(AND(ISNA(VLOOKUP($A$13,UNFAEH,1,FALSE)),ISNA(VLOOKUP($A14,UNFAEH,1,FALSE)),ISERR(FIND($A$13,GEW_UNFAEH,1)),ISERR(FIND($A14,$AH$3,1)),IF(Q14="",ISERR(FIND("Fernkampf",GEW_UNFAEH,1)),ISERR(FIND("Nahkampf",GEW_UNFAEH,1)))),0,1)</f>
        <v>0</v>
      </c>
      <c r="CJ14" s="269">
        <f t="shared" ref="CJ14:CJ40" ca="1" si="62">IF(AND(ISNA(VLOOKUP($A$13,BEGABG,1,FALSE)),ISNA(VLOOKUP($A14,BEGABG,1,FALSE)),ISERR(FIND($A$13,GEW_BEGABUNG,1)),ISERR(FIND($A14,$X$5,1)),IF(Q14="",ISERR(FIND("Fernkampf",GEW_BEGABUNG,1)),ISERR(FIND("Nahkampf",GEW_BEGABUNG,1)))),0,-1)</f>
        <v>0</v>
      </c>
      <c r="CK14" s="269"/>
      <c r="CL14" s="269"/>
      <c r="CM14" s="268">
        <f ca="1">IF(CP14,0,1)</f>
        <v>0</v>
      </c>
      <c r="CN14" s="269">
        <f ca="1">SUM(CI14:CM14)</f>
        <v>0</v>
      </c>
      <c r="CO14" s="268" t="str">
        <f t="shared" ref="CO14:CO19" ca="1" si="63">CHAR(CODE(VLOOKUP($A14,TL_KPF_WERTE,6,FALSE))+$CN14)</f>
        <v>E</v>
      </c>
      <c r="CP14" s="269" t="b">
        <f t="shared" ref="CP14:CP40" ca="1" si="64">IF(NT_ELFWELT,
IF(OR(
RIGHT(HLOOKUP(PROFGENE,INDIRECT(PROFGEBIET),$CD14,FALSE),1)="L",
RIGHT(HLOOKUP(KULTURGENE,KULTUR,$CD14,FALSE),1)="L",
RIGHT(D14)="L"),TRUE,FALSE),
TRUE)</f>
        <v>1</v>
      </c>
      <c r="CQ14" s="269">
        <f t="shared" ref="CQ14:CQ40" si="65">IF(RASSEGENE="",0,HLOOKUP(RASSEGENE,RASSE,$CD14,FALSE))</f>
        <v>0</v>
      </c>
      <c r="CR14" s="269">
        <f t="shared" ref="CR14:CR40" si="66">IF(KULTURGENE="LEER",0,IF(LEN(HLOOKUP(KULTURGENE,KULTUR,$CD14,FALSE))&gt;0,LEFT(HLOOKUP(KULTURGENE,KULTUR,$CD14,FALSE),IF(ISERR(SEARCH("L",HLOOKUP(KULTURGENE,KULTUR,$CD14,FALSE),1)),LEN(HLOOKUP(KULTURGENE,KULTUR,$CD14,FALSE)),SEARCH("L",HLOOKUP(KULTURGENE,KULTUR,$CD14,FALSE),1)-1)),0))</f>
        <v>0</v>
      </c>
      <c r="CS14" s="269">
        <f t="shared" ref="CS14:CS40" ca="1" si="67">IF(PROFGENE="LEER",0,HLOOKUP(PROFGENE,INDIRECT(PROFGEBIET),$CD14,FALSE))</f>
        <v>0</v>
      </c>
      <c r="CT14" s="302" t="str">
        <f ca="1">IF(LEN(CS14)&gt;0,LEFT(CS14,IF(ISERR(SEARCH("L",CS14,1)),IF(ISERR(SEARCH("M",CS14,1)),IF(ISERR(SEARCH("N",CS14,1)),LEN(CS14),SEARCH("N",CS14,1)-1),SEARCH("M",CS14,1)-1),SEARCH("L",CS14,1)-1)),0)</f>
        <v>0</v>
      </c>
      <c r="CU14" s="269">
        <f t="shared" ref="CU14:CU40" ca="1" si="68">IF(LEN(PROFZWEITE)&lt;1,0,HLOOKUP(PROFZWEITE,INDIRECT(PROFGEBIET2),$CD14,FALSE))</f>
        <v>0</v>
      </c>
      <c r="CV14" s="269"/>
      <c r="CW14" s="269">
        <f t="shared" ref="CW14:CW40" ca="1" si="69">IF(AND(ISNA(VLOOKUP($A14,BEGABG,1,FALSE)),ISERR(FIND($A14,$X$5,1))),0,1)</f>
        <v>0</v>
      </c>
      <c r="CX14" s="301">
        <f t="shared" ref="CX14:CX40" ca="1" si="70">CQ14+CR14+IF(CT14="",0,CT14)+CV14+CW14</f>
        <v>0</v>
      </c>
      <c r="CY14" s="301">
        <f ca="1">IF(B14="",0,VALUE(B14))+IF(G14="",0,VALUE(G14))- IF(H14="",0,VALUE(H14))</f>
        <v>0</v>
      </c>
      <c r="CZ14" s="301">
        <f t="shared" ref="CZ14:CZ40" ca="1" si="71">SUM(W14:AR14)-IF(OR(VT_VETERAN,VT_BBILDUNG),DA14,0)</f>
        <v>0</v>
      </c>
      <c r="DA14" s="301">
        <f ca="1">IF(H14="",0,SUM(INDIRECT(
ADDRESS(ROW(),COLUMN($W14)+CY14+IF(CY14=0,0,1))
&amp;":"&amp;
ADDRESS(ROW(),COLUMN($AR14))
)))</f>
        <v>0</v>
      </c>
      <c r="DB14" t="str">
        <f ca="1">IF(AND(EXACT($C14,""),ISBLANK($I14)),"",IF(SUM($P14,$Q14)&lt;SUM(AT,PA,$B14,$G14,$I14),"noch TaP zu verteilen! ►",IF($P14&lt;AT,"Immer diese Pazifisten",IF($P14&gt;SUM(AT,$B14,$G14,$I14),"Ach, pfeif drauf! ATTACKE!",""))))</f>
        <v/>
      </c>
      <c r="DC14" s="301" t="str">
        <f ca="1">IF($O14="","",IF($O14&gt;MAX(GE,KK)+3-CJ14*2," TaW&gt; Max(GE;KK)+"&amp;3-CJ14*2,""))</f>
        <v/>
      </c>
      <c r="DD14" s="1337" t="str">
        <f ca="1">IF(PROFGEBGENE="Goetter",IF(RIGHT(HLOOKUP(PROFGENE,INDIRECT(PROFGEBIET),$CD14,FALSE),1)="M",$A14&amp;",",""),IF(AKTIV_SPTWHE,IF(EXACT(UPPER(RIGHT(HLOOKUP(PROFSPTWHE,SPTWHE,$CD14,FALSE))),"M"),$A14&amp;",",""),IF(PROFGEBZWEITE="Goetter (BGB)",IF(RIGHT(HLOOKUP(PROFZWEITE,INDIRECT(PROFGEBIET2),$CD14,FALSE),1)="M",$A14&amp;",",""),"")))</f>
        <v/>
      </c>
      <c r="DE14" s="1337" t="str">
        <f ca="1">IF(PROFGEBGENE="Goetter",IF(RIGHT(HLOOKUP(PROFGENE,INDIRECT(PROFGEBIET),$CD14,FALSE),1)="N",$A14&amp;",",""),IF(AKTIV_SPTWHE,IF(EXACT(UPPER(RIGHT(HLOOKUP(PROFSPTWHE,SPTWHE,$CD14,FALSE))),"N"),$A14&amp;",",""),IF(PROFGEBZWEITE="Goetter (BGB)",IF(RIGHT(HLOOKUP(PROFZWEITE,INDIRECT(PROFGEBIET2),$CD14,FALSE),1)="N",$A14&amp;",",""),"")))</f>
        <v/>
      </c>
      <c r="DG14" s="269"/>
      <c r="DH14" s="269"/>
      <c r="DI14" s="269" t="str">
        <f ca="1">IF(NOT(ISERR(FIND(A14,Abfragen!$O$264,1))),MID(Abfragen!$O$264,FIND("(",Abfragen!$O$264,FIND(A14,Abfragen!$O$264,1)+LEN(A14))+1,FIND(")",Abfragen!$O$264,FIND(A14,Abfragen!$O$264,1)+LEN(A14))-FIND("(",Abfragen!$O$264,FIND(A14,Abfragen!$O$264,1)+LEN(A14))-1),"")</f>
        <v/>
      </c>
      <c r="DJ14" s="301" t="str">
        <f t="shared" ref="DJ14:DS23" ca="1" si="72">IF(ISERR(FIND(";"&amp;DJ$13&amp;":0;",$F14)),
CHAR(CODE($CE14)+SUM(IF(VT_AKADKRI,IF(DJ$13&lt;$EF14+1,IF(ABS($CJ14)&gt;=2,$CJ14,-2-$CJ14),0),0),IF(AND(NT_STUBENHKR,OR(DJ$13&lt;=$E14,ISBLANK($E14))),1,0),IF(ISERR(FIND(";"&amp;DJ$13&amp;";",$F14)),0,-1),IF(ISERR(FIND(";"&amp;DJ$13&amp;":",$F14)),0,-VALUE(MID($F14,FIND(";"&amp;DJ$13&amp;":",$F14)+LEN(DJ$13)+2,1))))),0)</f>
        <v>E</v>
      </c>
      <c r="DK14" s="301" t="str">
        <f t="shared" ca="1" si="72"/>
        <v>E</v>
      </c>
      <c r="DL14" s="301" t="str">
        <f t="shared" ca="1" si="72"/>
        <v>E</v>
      </c>
      <c r="DM14" s="301" t="str">
        <f t="shared" ca="1" si="72"/>
        <v>E</v>
      </c>
      <c r="DN14" s="301" t="str">
        <f t="shared" ca="1" si="72"/>
        <v>E</v>
      </c>
      <c r="DO14" s="301" t="str">
        <f t="shared" ca="1" si="72"/>
        <v>E</v>
      </c>
      <c r="DP14" s="301" t="str">
        <f t="shared" ca="1" si="72"/>
        <v>E</v>
      </c>
      <c r="DQ14" s="301" t="str">
        <f t="shared" ca="1" si="72"/>
        <v>E</v>
      </c>
      <c r="DR14" s="301" t="str">
        <f t="shared" ca="1" si="72"/>
        <v>E</v>
      </c>
      <c r="DS14" s="301" t="str">
        <f t="shared" ca="1" si="72"/>
        <v>E</v>
      </c>
      <c r="DT14" s="301" t="str">
        <f t="shared" ref="DT14:EE23" ca="1" si="73">IF(ISERR(FIND(";"&amp;DT$13&amp;":0;",$F14)),
CHAR(CODE($CE14)+SUM(IF(VT_AKADKRI,IF(DT$13&lt;$EF14+1,IF(ABS($CJ14)&gt;=2,$CJ14,-2-$CJ14),0),0),IF(AND(NT_STUBENHKR,OR(DT$13&lt;=$E14,ISBLANK($E14))),1,0),IF(ISERR(FIND(";"&amp;DT$13&amp;";",$F14)),0,-1),IF(ISERR(FIND(";"&amp;DT$13&amp;":",$F14)),0,-VALUE(MID($F14,FIND(";"&amp;DT$13&amp;":",$F14)+LEN(DT$13)+2,1))))),0)</f>
        <v>E</v>
      </c>
      <c r="DU14" s="301" t="str">
        <f t="shared" ca="1" si="73"/>
        <v>E</v>
      </c>
      <c r="DV14" s="301" t="str">
        <f t="shared" ca="1" si="73"/>
        <v>E</v>
      </c>
      <c r="DW14" s="301" t="str">
        <f t="shared" ca="1" si="73"/>
        <v>E</v>
      </c>
      <c r="DX14" s="301" t="str">
        <f t="shared" ca="1" si="73"/>
        <v>E</v>
      </c>
      <c r="DY14" s="301" t="str">
        <f t="shared" ca="1" si="73"/>
        <v>E</v>
      </c>
      <c r="DZ14" s="301" t="str">
        <f t="shared" ca="1" si="73"/>
        <v>E</v>
      </c>
      <c r="EA14" s="301" t="str">
        <f t="shared" ca="1" si="73"/>
        <v>E</v>
      </c>
      <c r="EB14" s="301" t="str">
        <f t="shared" ca="1" si="73"/>
        <v>E</v>
      </c>
      <c r="EC14" s="301" t="str">
        <f t="shared" ca="1" si="73"/>
        <v>E</v>
      </c>
      <c r="ED14" s="301" t="str">
        <f t="shared" ca="1" si="73"/>
        <v>E</v>
      </c>
      <c r="EE14" s="301" t="str">
        <f t="shared" ca="1" si="73"/>
        <v>E</v>
      </c>
      <c r="EF14" s="301">
        <f t="shared" ref="EF14:EF40" si="74">IF(VT_AKADKRI,IF(OR(VT_VETERAN,AND(CU14&lt;&gt;0,VT_BBILDUNG)),15,10),0)</f>
        <v>0</v>
      </c>
      <c r="EG14" s="301" t="str">
        <f t="shared" ref="EG14:EP23" ca="1" si="75">IF(ISERR(FIND(";"&amp;EG$13&amp;":0;",$F14)),
CHAR(CODE($CE14)+
SUM(IF(AND(NT_STUBENHKR,OR(EG$13&lt;=$E14,ISBLANK($E14))),1,0),
IF(ISERR(FIND(";"&amp;EG$13&amp;";",$F14)),0,-1),
IF(ISERR(FIND(";"&amp;EG$13&amp;":",$F14)),0,-VALUE(MID($F14,FIND(";"&amp;EG$13&amp;":",$F14)+LEN(EG$13)+2,1))),
IF(ISERR(FIND(";"&amp;EG$13&amp;"+",$F14)),0,VALUE(MID($F14,FIND(";"&amp;EG$13&amp;"+",$F14)+LEN(EG$13)+2,1))),)),0)</f>
        <v>E</v>
      </c>
      <c r="EH14" s="301" t="str">
        <f t="shared" ca="1" si="75"/>
        <v>E</v>
      </c>
      <c r="EI14" s="301" t="str">
        <f t="shared" ca="1" si="75"/>
        <v>E</v>
      </c>
      <c r="EJ14" s="301" t="str">
        <f t="shared" ca="1" si="75"/>
        <v>E</v>
      </c>
      <c r="EK14" s="301" t="str">
        <f t="shared" ca="1" si="75"/>
        <v>E</v>
      </c>
      <c r="EL14" s="301" t="str">
        <f t="shared" ca="1" si="75"/>
        <v>E</v>
      </c>
      <c r="EM14" s="301" t="str">
        <f t="shared" ca="1" si="75"/>
        <v>E</v>
      </c>
      <c r="EN14" s="301" t="str">
        <f t="shared" ca="1" si="75"/>
        <v>E</v>
      </c>
      <c r="EO14" s="301" t="str">
        <f t="shared" ca="1" si="75"/>
        <v>E</v>
      </c>
      <c r="EP14" s="301" t="str">
        <f t="shared" ca="1" si="75"/>
        <v>E</v>
      </c>
      <c r="EQ14" s="301" t="str">
        <f t="shared" ref="EQ14:EZ23" ca="1" si="76">IF(ISERR(FIND(";"&amp;EQ$13&amp;":0;",$F14)),
CHAR(CODE($CE14)+
SUM(IF(AND(NT_STUBENHKR,OR(EQ$13&lt;=$E14,ISBLANK($E14))),1,0),
IF(ISERR(FIND(";"&amp;EQ$13&amp;";",$F14)),0,-1),
IF(ISERR(FIND(";"&amp;EQ$13&amp;":",$F14)),0,-VALUE(MID($F14,FIND(";"&amp;EQ$13&amp;":",$F14)+LEN(EQ$13)+2,1))),
IF(ISERR(FIND(";"&amp;EQ$13&amp;"+",$F14)),0,VALUE(MID($F14,FIND(";"&amp;EQ$13&amp;"+",$F14)+LEN(EQ$13)+2,1))),)),0)</f>
        <v>E</v>
      </c>
      <c r="ER14" s="301" t="str">
        <f t="shared" ca="1" si="76"/>
        <v>E</v>
      </c>
      <c r="ES14" s="301" t="str">
        <f t="shared" ca="1" si="76"/>
        <v>E</v>
      </c>
      <c r="ET14" s="301" t="str">
        <f t="shared" ca="1" si="76"/>
        <v>E</v>
      </c>
      <c r="EU14" s="301" t="str">
        <f t="shared" ca="1" si="76"/>
        <v>E</v>
      </c>
      <c r="EV14" s="301" t="str">
        <f t="shared" ca="1" si="76"/>
        <v>E</v>
      </c>
      <c r="EW14" s="301" t="str">
        <f t="shared" ca="1" si="76"/>
        <v>E</v>
      </c>
      <c r="EX14" s="301" t="str">
        <f t="shared" ca="1" si="76"/>
        <v>E</v>
      </c>
      <c r="EY14" s="301" t="str">
        <f t="shared" ca="1" si="76"/>
        <v>E</v>
      </c>
      <c r="EZ14" s="301" t="str">
        <f t="shared" ca="1" si="76"/>
        <v>E</v>
      </c>
      <c r="FA14" s="301" t="str">
        <f t="shared" ref="FA14:FL23" ca="1" si="77">IF(ISERR(FIND(";"&amp;FA$13&amp;":0;",$F14)),
CHAR(CODE($CE14)+
SUM(IF(AND(NT_STUBENHKR,OR(FA$13&lt;=$E14,ISBLANK($E14))),1,0),
IF(ISERR(FIND(";"&amp;FA$13&amp;";",$F14)),0,-1),
IF(ISERR(FIND(";"&amp;FA$13&amp;":",$F14)),0,-VALUE(MID($F14,FIND(";"&amp;FA$13&amp;":",$F14)+LEN(FA$13)+2,1))),
IF(ISERR(FIND(";"&amp;FA$13&amp;"+",$F14)),0,VALUE(MID($F14,FIND(";"&amp;FA$13&amp;"+",$F14)+LEN(FA$13)+2,1))),)),0)</f>
        <v>E</v>
      </c>
      <c r="FB14" s="301" t="str">
        <f t="shared" ca="1" si="77"/>
        <v>E</v>
      </c>
      <c r="FC14" s="301" t="str">
        <f t="shared" ca="1" si="77"/>
        <v>E</v>
      </c>
      <c r="FD14" s="301" t="str">
        <f t="shared" ca="1" si="77"/>
        <v>E</v>
      </c>
      <c r="FE14" s="301" t="str">
        <f t="shared" ca="1" si="77"/>
        <v>E</v>
      </c>
      <c r="FF14" s="301" t="str">
        <f t="shared" ca="1" si="77"/>
        <v>E</v>
      </c>
      <c r="FG14" s="301" t="str">
        <f t="shared" ca="1" si="77"/>
        <v>E</v>
      </c>
      <c r="FH14" s="301" t="str">
        <f t="shared" ca="1" si="77"/>
        <v>E</v>
      </c>
      <c r="FI14" s="301" t="str">
        <f t="shared" ca="1" si="77"/>
        <v>E</v>
      </c>
      <c r="FJ14" s="301" t="str">
        <f t="shared" ca="1" si="77"/>
        <v>E</v>
      </c>
      <c r="FK14" s="301" t="str">
        <f t="shared" ca="1" si="77"/>
        <v>E</v>
      </c>
      <c r="FL14" s="301" t="str">
        <f t="shared" ca="1" si="77"/>
        <v>E</v>
      </c>
    </row>
    <row r="15" spans="1:168" x14ac:dyDescent="0.2">
      <c r="A15" s="24" t="str">
        <f t="shared" ref="A15:A40" si="78">INDEX(TL_KPF,ROW()-12)</f>
        <v>Armbrust</v>
      </c>
      <c r="B15" s="317" t="str">
        <f t="shared" ca="1" si="0"/>
        <v/>
      </c>
      <c r="C15" s="332" t="str">
        <f t="shared" ca="1" si="1"/>
        <v/>
      </c>
      <c r="D15" s="1110"/>
      <c r="E15" s="1424"/>
      <c r="F15" s="325"/>
      <c r="G15" s="958"/>
      <c r="H15" s="1196"/>
      <c r="I15" s="326"/>
      <c r="J15" s="1880" t="str">
        <f t="shared" ref="J15:J40" ca="1" si="79">DB15&amp;DC15</f>
        <v/>
      </c>
      <c r="K15" s="1881"/>
      <c r="L15" s="1881"/>
      <c r="M15" s="1881"/>
      <c r="N15" s="1882"/>
      <c r="O15" s="613" t="str">
        <f t="shared" ca="1" si="2"/>
        <v/>
      </c>
      <c r="P15" s="637" t="str">
        <f ca="1">IF(AND(C15="",G15="",I15=""),"",FK+B15+G15+I15)</f>
        <v/>
      </c>
      <c r="Q15" s="90"/>
      <c r="R15" s="1313"/>
      <c r="S15" s="1313"/>
      <c r="T15" s="1315"/>
      <c r="U15" s="1283"/>
      <c r="V15" s="628" t="str">
        <f t="shared" ca="1" si="3"/>
        <v/>
      </c>
      <c r="W15" s="164">
        <f t="shared" ca="1" si="4"/>
        <v>0</v>
      </c>
      <c r="X15" s="164">
        <f t="shared" ca="1" si="5"/>
        <v>0</v>
      </c>
      <c r="Y15" s="164">
        <f t="shared" ca="1" si="6"/>
        <v>0</v>
      </c>
      <c r="Z15" s="164">
        <f t="shared" ca="1" si="7"/>
        <v>0</v>
      </c>
      <c r="AA15" s="164">
        <f t="shared" ca="1" si="8"/>
        <v>0</v>
      </c>
      <c r="AB15" s="164">
        <f t="shared" ca="1" si="9"/>
        <v>0</v>
      </c>
      <c r="AC15" s="164">
        <f t="shared" ca="1" si="10"/>
        <v>0</v>
      </c>
      <c r="AD15" s="164">
        <f t="shared" ca="1" si="11"/>
        <v>0</v>
      </c>
      <c r="AE15" s="164">
        <f t="shared" ca="1" si="12"/>
        <v>0</v>
      </c>
      <c r="AF15" s="164">
        <f t="shared" ca="1" si="13"/>
        <v>0</v>
      </c>
      <c r="AG15" s="164">
        <f t="shared" ca="1" si="14"/>
        <v>0</v>
      </c>
      <c r="AH15" s="164">
        <f t="shared" ca="1" si="15"/>
        <v>0</v>
      </c>
      <c r="AI15" s="164">
        <f t="shared" ca="1" si="16"/>
        <v>0</v>
      </c>
      <c r="AJ15" s="164">
        <f t="shared" ca="1" si="17"/>
        <v>0</v>
      </c>
      <c r="AK15" s="164">
        <f t="shared" ca="1" si="18"/>
        <v>0</v>
      </c>
      <c r="AL15" s="164">
        <f t="shared" ca="1" si="19"/>
        <v>0</v>
      </c>
      <c r="AM15" s="164">
        <f t="shared" ca="1" si="20"/>
        <v>0</v>
      </c>
      <c r="AN15" s="164">
        <f t="shared" ca="1" si="21"/>
        <v>0</v>
      </c>
      <c r="AO15" s="164">
        <f t="shared" ca="1" si="22"/>
        <v>0</v>
      </c>
      <c r="AP15" s="164">
        <f t="shared" ca="1" si="23"/>
        <v>0</v>
      </c>
      <c r="AQ15" s="164">
        <f t="shared" ca="1" si="24"/>
        <v>0</v>
      </c>
      <c r="AR15" s="164">
        <f t="shared" ca="1" si="25"/>
        <v>0</v>
      </c>
      <c r="AS15" s="152"/>
      <c r="AT15" s="154">
        <f t="shared" ca="1" si="26"/>
        <v>0</v>
      </c>
      <c r="AU15" s="154">
        <f t="shared" ca="1" si="27"/>
        <v>0</v>
      </c>
      <c r="AV15" s="154">
        <f t="shared" ca="1" si="28"/>
        <v>0</v>
      </c>
      <c r="AW15" s="154">
        <f t="shared" ca="1" si="29"/>
        <v>0</v>
      </c>
      <c r="AX15" s="154">
        <f t="shared" ca="1" si="30"/>
        <v>0</v>
      </c>
      <c r="AY15" s="154">
        <f t="shared" ca="1" si="31"/>
        <v>0</v>
      </c>
      <c r="AZ15" s="154">
        <f t="shared" ca="1" si="32"/>
        <v>0</v>
      </c>
      <c r="BA15" s="154">
        <f t="shared" ca="1" si="33"/>
        <v>0</v>
      </c>
      <c r="BB15" s="154">
        <f t="shared" ca="1" si="34"/>
        <v>0</v>
      </c>
      <c r="BC15" s="154">
        <f t="shared" ca="1" si="35"/>
        <v>0</v>
      </c>
      <c r="BD15" s="154">
        <f t="shared" ca="1" si="36"/>
        <v>0</v>
      </c>
      <c r="BE15" s="154">
        <f t="shared" ca="1" si="37"/>
        <v>0</v>
      </c>
      <c r="BF15" s="154">
        <f t="shared" ca="1" si="38"/>
        <v>0</v>
      </c>
      <c r="BG15" s="154">
        <f t="shared" ca="1" si="39"/>
        <v>0</v>
      </c>
      <c r="BH15" s="154">
        <f t="shared" ca="1" si="40"/>
        <v>0</v>
      </c>
      <c r="BI15" s="154">
        <f t="shared" ca="1" si="41"/>
        <v>0</v>
      </c>
      <c r="BJ15" s="154">
        <f t="shared" ca="1" si="42"/>
        <v>0</v>
      </c>
      <c r="BK15" s="154">
        <f t="shared" ca="1" si="43"/>
        <v>0</v>
      </c>
      <c r="BL15" s="154">
        <f t="shared" ca="1" si="44"/>
        <v>0</v>
      </c>
      <c r="BM15" s="154">
        <f t="shared" ca="1" si="45"/>
        <v>0</v>
      </c>
      <c r="BN15" s="154">
        <f t="shared" ca="1" si="46"/>
        <v>0</v>
      </c>
      <c r="BO15" s="154">
        <f t="shared" ca="1" si="47"/>
        <v>0</v>
      </c>
      <c r="BP15" s="154">
        <f t="shared" ca="1" si="48"/>
        <v>0</v>
      </c>
      <c r="BQ15" s="154">
        <f t="shared" ca="1" si="49"/>
        <v>0</v>
      </c>
      <c r="BR15" s="154">
        <f t="shared" ca="1" si="50"/>
        <v>0</v>
      </c>
      <c r="BS15" s="154">
        <f t="shared" ca="1" si="51"/>
        <v>0</v>
      </c>
      <c r="BT15" s="154">
        <f t="shared" ca="1" si="52"/>
        <v>0</v>
      </c>
      <c r="BU15" s="154">
        <f t="shared" ca="1" si="53"/>
        <v>0</v>
      </c>
      <c r="BV15" s="154">
        <f t="shared" ca="1" si="54"/>
        <v>0</v>
      </c>
      <c r="BW15" s="154">
        <f t="shared" ca="1" si="55"/>
        <v>0</v>
      </c>
      <c r="BX15" s="154">
        <f t="shared" ca="1" si="56"/>
        <v>0</v>
      </c>
      <c r="BY15" s="154">
        <f t="shared" ca="1" si="57"/>
        <v>0</v>
      </c>
      <c r="BZ15" s="154">
        <f t="shared" ref="BZ15:BZ25" ca="1" si="80">IF(AND(NOT(ISBLANK($O15)),NOT(ISBLANK($R15)),$T15="GP"),IF(U15="",2,1),0)</f>
        <v>0</v>
      </c>
      <c r="CA15" s="154">
        <f t="shared" ca="1" si="58"/>
        <v>0</v>
      </c>
      <c r="CB15" s="154">
        <f t="shared" ca="1" si="59"/>
        <v>0</v>
      </c>
      <c r="CC15" s="523"/>
      <c r="CD15" s="355">
        <f t="shared" si="60"/>
        <v>44</v>
      </c>
      <c r="CE15" s="268" t="str">
        <f t="shared" ref="CE15:CE40" ca="1" si="81">CO15</f>
        <v>C</v>
      </c>
      <c r="CF15" s="355" t="str">
        <f ca="1">IF(EXACT($B15,""),$CF14,CONCATENATE($CF14,$A15))</f>
        <v/>
      </c>
      <c r="CG15" s="268"/>
      <c r="CH15" s="268"/>
      <c r="CI15" s="269">
        <f t="shared" ca="1" si="61"/>
        <v>0</v>
      </c>
      <c r="CJ15" s="269">
        <f t="shared" ca="1" si="62"/>
        <v>0</v>
      </c>
      <c r="CK15" s="269"/>
      <c r="CL15" s="269"/>
      <c r="CM15" s="268">
        <f t="shared" ref="CM15:CM78" ca="1" si="82">IF(CP15,0,1)</f>
        <v>0</v>
      </c>
      <c r="CN15" s="269">
        <f t="shared" ref="CN15:CN78" ca="1" si="83">SUM(CI15:CM15)</f>
        <v>0</v>
      </c>
      <c r="CO15" s="268" t="str">
        <f t="shared" ca="1" si="63"/>
        <v>C</v>
      </c>
      <c r="CP15" s="269" t="b">
        <f t="shared" ca="1" si="64"/>
        <v>1</v>
      </c>
      <c r="CQ15" s="269">
        <f t="shared" si="65"/>
        <v>0</v>
      </c>
      <c r="CR15" s="269">
        <f t="shared" si="66"/>
        <v>0</v>
      </c>
      <c r="CS15" s="269">
        <f t="shared" ca="1" si="67"/>
        <v>0</v>
      </c>
      <c r="CT15" s="302" t="str">
        <f t="shared" ref="CT15:CT40" ca="1" si="84">IF(LEN(CS15)&gt;0,LEFT(CS15,IF(ISERR(SEARCH("L",CS15,1)),IF(ISERR(SEARCH("M",CS15,1)),IF(ISERR(SEARCH("N",CS15,1)),LEN(CS15),SEARCH("N",CS15,1)-1),SEARCH("M",CS15,1)-1),SEARCH("L",CS15,1)-1)),0)</f>
        <v>0</v>
      </c>
      <c r="CU15" s="269">
        <f t="shared" ca="1" si="68"/>
        <v>0</v>
      </c>
      <c r="CV15" s="268"/>
      <c r="CW15" s="269">
        <f t="shared" ca="1" si="69"/>
        <v>0</v>
      </c>
      <c r="CX15" s="301">
        <f t="shared" ca="1" si="70"/>
        <v>0</v>
      </c>
      <c r="CY15" s="301">
        <f t="shared" ref="CY15:CY78" ca="1" si="85">IF(B15="",0,VALUE(B15))+IF(G15="",0,VALUE(G15))- IF(H15="",0,VALUE(H15))</f>
        <v>0</v>
      </c>
      <c r="CZ15" s="301">
        <f t="shared" ca="1" si="71"/>
        <v>0</v>
      </c>
      <c r="DA15" s="301">
        <f t="shared" ref="DA15:DA40" ca="1" si="86">IF(H15="",0,SUM(INDIRECT(
ADDRESS(ROW(),COLUMN($W15)+CY15+IF(CY15=0,0,1))
&amp;":"&amp;
ADDRESS(ROW(),COLUMN($AR15))
)))</f>
        <v>0</v>
      </c>
      <c r="DC15" s="564" t="str">
        <f ca="1">IF($O15="","",IF($O15&gt;MAX(FF,GE,KK)+3-CJ15*2," TaW&gt; Max(FF, GE, KK) +"&amp;3-CJ15*2,""))</f>
        <v/>
      </c>
      <c r="DD15" s="1337" t="str">
        <f t="shared" ref="DD15:DD40" ca="1" si="87">IF(PROFGEBGENE="Goetter",IF(RIGHT(HLOOKUP(PROFGENE,INDIRECT(PROFGEBIET),$CD15,FALSE),1)="M",CONCATENATE(DD14,$A15,","),DD14),IF(AKTIV_SPTWHE,IF(EXACT(UPPER(RIGHT(HLOOKUP(PROFSPTWHE,SPTWHE,$CD15,FALSE))),"M"),CONCATENATE(DD14,$A15,","),DD14),IF(PROFGEBZWEITE="Goetter (BGB)",IF(RIGHT(HLOOKUP(PROFZWEITE,INDIRECT(PROFGEBIET2),$CD15,FALSE),1)="M",CONCATENATE(DD14,$A15,","),DD14),"")))</f>
        <v/>
      </c>
      <c r="DE15" s="1337" t="str">
        <f t="shared" ref="DE15:DE40" ca="1" si="88">IF(PROFGEBGENE="Goetter",IF(RIGHT(HLOOKUP(PROFGENE,INDIRECT(PROFGEBIET),$CD15,FALSE),1)="N",CONCATENATE(DE14,$A15,","),DE14),IF(AKTIV_SPTWHE,IF(EXACT(UPPER(RIGHT(HLOOKUP(PROFSPTWHE,SPTWHE,$CD15,FALSE))),"N"),CONCATENATE(DE14,$A15,","),DE14),IF(PROFGEBZWEITE="Goetter (BGB)",IF(RIGHT(HLOOKUP(PROFZWEITE,INDIRECT(PROFGEBIET2),$CD15,FALSE),1)="N",CONCATENATE(DE14,$A15,","),DE14),"")))</f>
        <v/>
      </c>
      <c r="DG15" s="269"/>
      <c r="DH15" s="269"/>
      <c r="DI15" s="269" t="str">
        <f ca="1">IF(NOT(ISERR(FIND(A15,Abfragen!$O$264,1))),MID(Abfragen!$O$264,FIND("(",Abfragen!$O$264,FIND(A15,Abfragen!$O$264,1)+LEN(A15))+1,FIND(")",Abfragen!$O$264,FIND(A15,Abfragen!$O$264,1)+LEN(A15))-FIND("(",Abfragen!$O$264,FIND(A15,Abfragen!$O$264,1)+LEN(A15))-1),"")</f>
        <v/>
      </c>
      <c r="DJ15" s="301" t="str">
        <f t="shared" ca="1" si="72"/>
        <v>C</v>
      </c>
      <c r="DK15" s="301" t="str">
        <f t="shared" ca="1" si="72"/>
        <v>C</v>
      </c>
      <c r="DL15" s="301" t="str">
        <f t="shared" ca="1" si="72"/>
        <v>C</v>
      </c>
      <c r="DM15" s="301" t="str">
        <f t="shared" ca="1" si="72"/>
        <v>C</v>
      </c>
      <c r="DN15" s="301" t="str">
        <f t="shared" ca="1" si="72"/>
        <v>C</v>
      </c>
      <c r="DO15" s="301" t="str">
        <f t="shared" ca="1" si="72"/>
        <v>C</v>
      </c>
      <c r="DP15" s="301" t="str">
        <f t="shared" ca="1" si="72"/>
        <v>C</v>
      </c>
      <c r="DQ15" s="301" t="str">
        <f t="shared" ca="1" si="72"/>
        <v>C</v>
      </c>
      <c r="DR15" s="301" t="str">
        <f t="shared" ca="1" si="72"/>
        <v>C</v>
      </c>
      <c r="DS15" s="301" t="str">
        <f t="shared" ca="1" si="72"/>
        <v>C</v>
      </c>
      <c r="DT15" s="301" t="str">
        <f t="shared" ca="1" si="73"/>
        <v>C</v>
      </c>
      <c r="DU15" s="301" t="str">
        <f t="shared" ca="1" si="73"/>
        <v>C</v>
      </c>
      <c r="DV15" s="301" t="str">
        <f t="shared" ca="1" si="73"/>
        <v>C</v>
      </c>
      <c r="DW15" s="301" t="str">
        <f t="shared" ca="1" si="73"/>
        <v>C</v>
      </c>
      <c r="DX15" s="301" t="str">
        <f t="shared" ca="1" si="73"/>
        <v>C</v>
      </c>
      <c r="DY15" s="301" t="str">
        <f t="shared" ca="1" si="73"/>
        <v>C</v>
      </c>
      <c r="DZ15" s="301" t="str">
        <f t="shared" ca="1" si="73"/>
        <v>C</v>
      </c>
      <c r="EA15" s="301" t="str">
        <f t="shared" ca="1" si="73"/>
        <v>C</v>
      </c>
      <c r="EB15" s="301" t="str">
        <f t="shared" ca="1" si="73"/>
        <v>C</v>
      </c>
      <c r="EC15" s="301" t="str">
        <f t="shared" ca="1" si="73"/>
        <v>C</v>
      </c>
      <c r="ED15" s="301" t="str">
        <f t="shared" ca="1" si="73"/>
        <v>C</v>
      </c>
      <c r="EE15" s="301" t="str">
        <f t="shared" ca="1" si="73"/>
        <v>C</v>
      </c>
      <c r="EF15" s="301">
        <f t="shared" si="74"/>
        <v>0</v>
      </c>
      <c r="EG15" s="301" t="str">
        <f t="shared" ca="1" si="75"/>
        <v>C</v>
      </c>
      <c r="EH15" s="301" t="str">
        <f t="shared" ca="1" si="75"/>
        <v>C</v>
      </c>
      <c r="EI15" s="301" t="str">
        <f t="shared" ca="1" si="75"/>
        <v>C</v>
      </c>
      <c r="EJ15" s="301" t="str">
        <f t="shared" ca="1" si="75"/>
        <v>C</v>
      </c>
      <c r="EK15" s="301" t="str">
        <f t="shared" ca="1" si="75"/>
        <v>C</v>
      </c>
      <c r="EL15" s="301" t="str">
        <f t="shared" ca="1" si="75"/>
        <v>C</v>
      </c>
      <c r="EM15" s="301" t="str">
        <f t="shared" ca="1" si="75"/>
        <v>C</v>
      </c>
      <c r="EN15" s="301" t="str">
        <f t="shared" ca="1" si="75"/>
        <v>C</v>
      </c>
      <c r="EO15" s="301" t="str">
        <f t="shared" ca="1" si="75"/>
        <v>C</v>
      </c>
      <c r="EP15" s="301" t="str">
        <f t="shared" ca="1" si="75"/>
        <v>C</v>
      </c>
      <c r="EQ15" s="301" t="str">
        <f t="shared" ca="1" si="76"/>
        <v>C</v>
      </c>
      <c r="ER15" s="301" t="str">
        <f t="shared" ca="1" si="76"/>
        <v>C</v>
      </c>
      <c r="ES15" s="301" t="str">
        <f t="shared" ca="1" si="76"/>
        <v>C</v>
      </c>
      <c r="ET15" s="301" t="str">
        <f t="shared" ca="1" si="76"/>
        <v>C</v>
      </c>
      <c r="EU15" s="301" t="str">
        <f t="shared" ca="1" si="76"/>
        <v>C</v>
      </c>
      <c r="EV15" s="301" t="str">
        <f t="shared" ca="1" si="76"/>
        <v>C</v>
      </c>
      <c r="EW15" s="301" t="str">
        <f t="shared" ca="1" si="76"/>
        <v>C</v>
      </c>
      <c r="EX15" s="301" t="str">
        <f t="shared" ca="1" si="76"/>
        <v>C</v>
      </c>
      <c r="EY15" s="301" t="str">
        <f t="shared" ca="1" si="76"/>
        <v>C</v>
      </c>
      <c r="EZ15" s="301" t="str">
        <f t="shared" ca="1" si="76"/>
        <v>C</v>
      </c>
      <c r="FA15" s="301" t="str">
        <f t="shared" ca="1" si="77"/>
        <v>C</v>
      </c>
      <c r="FB15" s="301" t="str">
        <f t="shared" ca="1" si="77"/>
        <v>C</v>
      </c>
      <c r="FC15" s="301" t="str">
        <f t="shared" ca="1" si="77"/>
        <v>C</v>
      </c>
      <c r="FD15" s="301" t="str">
        <f t="shared" ca="1" si="77"/>
        <v>C</v>
      </c>
      <c r="FE15" s="301" t="str">
        <f t="shared" ca="1" si="77"/>
        <v>C</v>
      </c>
      <c r="FF15" s="301" t="str">
        <f t="shared" ca="1" si="77"/>
        <v>C</v>
      </c>
      <c r="FG15" s="301" t="str">
        <f t="shared" ca="1" si="77"/>
        <v>C</v>
      </c>
      <c r="FH15" s="301" t="str">
        <f t="shared" ca="1" si="77"/>
        <v>C</v>
      </c>
      <c r="FI15" s="301" t="str">
        <f t="shared" ca="1" si="77"/>
        <v>C</v>
      </c>
      <c r="FJ15" s="301" t="str">
        <f t="shared" ca="1" si="77"/>
        <v>C</v>
      </c>
      <c r="FK15" s="301" t="str">
        <f t="shared" ca="1" si="77"/>
        <v>C</v>
      </c>
      <c r="FL15" s="301" t="str">
        <f t="shared" ca="1" si="77"/>
        <v>C</v>
      </c>
    </row>
    <row r="16" spans="1:168" x14ac:dyDescent="0.2">
      <c r="A16" s="24" t="str">
        <f t="shared" si="78"/>
        <v>Belagerungswaffen</v>
      </c>
      <c r="B16" s="317" t="str">
        <f t="shared" ca="1" si="0"/>
        <v/>
      </c>
      <c r="C16" s="332" t="str">
        <f t="shared" ca="1" si="1"/>
        <v/>
      </c>
      <c r="D16" s="1110"/>
      <c r="E16" s="1424"/>
      <c r="F16" s="325"/>
      <c r="G16" s="958"/>
      <c r="H16" s="1196"/>
      <c r="I16" s="326"/>
      <c r="J16" s="1880" t="str">
        <f t="shared" ca="1" si="79"/>
        <v/>
      </c>
      <c r="K16" s="1881"/>
      <c r="L16" s="1881"/>
      <c r="M16" s="1881"/>
      <c r="N16" s="1882"/>
      <c r="O16" s="613" t="str">
        <f t="shared" ca="1" si="2"/>
        <v/>
      </c>
      <c r="P16" s="637" t="str">
        <f ca="1">IF(AND(C16="",G16="",I16=""),"",FK+B16+G16+I16)</f>
        <v/>
      </c>
      <c r="Q16" s="90"/>
      <c r="R16" s="1313"/>
      <c r="S16" s="1313"/>
      <c r="T16" s="1315"/>
      <c r="U16" s="1283"/>
      <c r="V16" s="628" t="str">
        <f t="shared" ca="1" si="3"/>
        <v/>
      </c>
      <c r="W16" s="164">
        <f t="shared" ca="1" si="4"/>
        <v>0</v>
      </c>
      <c r="X16" s="164">
        <f t="shared" ca="1" si="5"/>
        <v>0</v>
      </c>
      <c r="Y16" s="164">
        <f t="shared" ca="1" si="6"/>
        <v>0</v>
      </c>
      <c r="Z16" s="164">
        <f t="shared" ca="1" si="7"/>
        <v>0</v>
      </c>
      <c r="AA16" s="164">
        <f t="shared" ca="1" si="8"/>
        <v>0</v>
      </c>
      <c r="AB16" s="164">
        <f t="shared" ca="1" si="9"/>
        <v>0</v>
      </c>
      <c r="AC16" s="164">
        <f t="shared" ca="1" si="10"/>
        <v>0</v>
      </c>
      <c r="AD16" s="164">
        <f t="shared" ca="1" si="11"/>
        <v>0</v>
      </c>
      <c r="AE16" s="164">
        <f t="shared" ca="1" si="12"/>
        <v>0</v>
      </c>
      <c r="AF16" s="164">
        <f t="shared" ca="1" si="13"/>
        <v>0</v>
      </c>
      <c r="AG16" s="164">
        <f t="shared" ca="1" si="14"/>
        <v>0</v>
      </c>
      <c r="AH16" s="164">
        <f t="shared" ca="1" si="15"/>
        <v>0</v>
      </c>
      <c r="AI16" s="164">
        <f t="shared" ca="1" si="16"/>
        <v>0</v>
      </c>
      <c r="AJ16" s="164">
        <f t="shared" ca="1" si="17"/>
        <v>0</v>
      </c>
      <c r="AK16" s="164">
        <f t="shared" ca="1" si="18"/>
        <v>0</v>
      </c>
      <c r="AL16" s="164">
        <f t="shared" ca="1" si="19"/>
        <v>0</v>
      </c>
      <c r="AM16" s="164">
        <f t="shared" ca="1" si="20"/>
        <v>0</v>
      </c>
      <c r="AN16" s="164">
        <f t="shared" ca="1" si="21"/>
        <v>0</v>
      </c>
      <c r="AO16" s="164">
        <f t="shared" ca="1" si="22"/>
        <v>0</v>
      </c>
      <c r="AP16" s="164">
        <f t="shared" ca="1" si="23"/>
        <v>0</v>
      </c>
      <c r="AQ16" s="164">
        <f t="shared" ca="1" si="24"/>
        <v>0</v>
      </c>
      <c r="AR16" s="164">
        <f t="shared" ca="1" si="25"/>
        <v>0</v>
      </c>
      <c r="AS16" s="152"/>
      <c r="AT16" s="154">
        <f t="shared" ca="1" si="26"/>
        <v>0</v>
      </c>
      <c r="AU16" s="154">
        <f t="shared" ca="1" si="27"/>
        <v>0</v>
      </c>
      <c r="AV16" s="154">
        <f t="shared" ca="1" si="28"/>
        <v>0</v>
      </c>
      <c r="AW16" s="154">
        <f t="shared" ca="1" si="29"/>
        <v>0</v>
      </c>
      <c r="AX16" s="154">
        <f t="shared" ca="1" si="30"/>
        <v>0</v>
      </c>
      <c r="AY16" s="154">
        <f t="shared" ca="1" si="31"/>
        <v>0</v>
      </c>
      <c r="AZ16" s="154">
        <f t="shared" ca="1" si="32"/>
        <v>0</v>
      </c>
      <c r="BA16" s="154">
        <f t="shared" ca="1" si="33"/>
        <v>0</v>
      </c>
      <c r="BB16" s="154">
        <f t="shared" ca="1" si="34"/>
        <v>0</v>
      </c>
      <c r="BC16" s="154">
        <f t="shared" ca="1" si="35"/>
        <v>0</v>
      </c>
      <c r="BD16" s="154">
        <f t="shared" ca="1" si="36"/>
        <v>0</v>
      </c>
      <c r="BE16" s="154">
        <f t="shared" ca="1" si="37"/>
        <v>0</v>
      </c>
      <c r="BF16" s="154">
        <f t="shared" ca="1" si="38"/>
        <v>0</v>
      </c>
      <c r="BG16" s="154">
        <f t="shared" ca="1" si="39"/>
        <v>0</v>
      </c>
      <c r="BH16" s="154">
        <f t="shared" ca="1" si="40"/>
        <v>0</v>
      </c>
      <c r="BI16" s="154">
        <f t="shared" ca="1" si="41"/>
        <v>0</v>
      </c>
      <c r="BJ16" s="154">
        <f t="shared" ca="1" si="42"/>
        <v>0</v>
      </c>
      <c r="BK16" s="154">
        <f t="shared" ca="1" si="43"/>
        <v>0</v>
      </c>
      <c r="BL16" s="154">
        <f t="shared" ca="1" si="44"/>
        <v>0</v>
      </c>
      <c r="BM16" s="154">
        <f t="shared" ca="1" si="45"/>
        <v>0</v>
      </c>
      <c r="BN16" s="154">
        <f t="shared" ca="1" si="46"/>
        <v>0</v>
      </c>
      <c r="BO16" s="154">
        <f t="shared" ca="1" si="47"/>
        <v>0</v>
      </c>
      <c r="BP16" s="154">
        <f t="shared" ca="1" si="48"/>
        <v>0</v>
      </c>
      <c r="BQ16" s="154">
        <f t="shared" ca="1" si="49"/>
        <v>0</v>
      </c>
      <c r="BR16" s="154">
        <f t="shared" ca="1" si="50"/>
        <v>0</v>
      </c>
      <c r="BS16" s="154">
        <f t="shared" ca="1" si="51"/>
        <v>0</v>
      </c>
      <c r="BT16" s="154">
        <f t="shared" ca="1" si="52"/>
        <v>0</v>
      </c>
      <c r="BU16" s="154">
        <f t="shared" ca="1" si="53"/>
        <v>0</v>
      </c>
      <c r="BV16" s="154">
        <f t="shared" ca="1" si="54"/>
        <v>0</v>
      </c>
      <c r="BW16" s="154">
        <f t="shared" ca="1" si="55"/>
        <v>0</v>
      </c>
      <c r="BX16" s="154">
        <f t="shared" ca="1" si="56"/>
        <v>0</v>
      </c>
      <c r="BY16" s="154">
        <f t="shared" ca="1" si="57"/>
        <v>0</v>
      </c>
      <c r="BZ16" s="154">
        <f t="shared" ca="1" si="80"/>
        <v>0</v>
      </c>
      <c r="CA16" s="154">
        <f t="shared" ca="1" si="58"/>
        <v>0</v>
      </c>
      <c r="CB16" s="154">
        <f t="shared" ca="1" si="59"/>
        <v>0</v>
      </c>
      <c r="CC16" s="523"/>
      <c r="CD16" s="355">
        <f t="shared" si="60"/>
        <v>45</v>
      </c>
      <c r="CE16" s="268" t="str">
        <f t="shared" ca="1" si="81"/>
        <v>D</v>
      </c>
      <c r="CF16" s="355" t="str">
        <f ca="1">IF(EXACT($B16,""),$CF15,CONCATENATE($CF15,$A16))</f>
        <v/>
      </c>
      <c r="CG16" s="268"/>
      <c r="CH16" s="268"/>
      <c r="CI16" s="269">
        <f t="shared" ca="1" si="61"/>
        <v>0</v>
      </c>
      <c r="CJ16" s="269">
        <f t="shared" ca="1" si="62"/>
        <v>0</v>
      </c>
      <c r="CK16" s="269"/>
      <c r="CL16" s="269"/>
      <c r="CM16" s="268">
        <f t="shared" ca="1" si="82"/>
        <v>0</v>
      </c>
      <c r="CN16" s="269">
        <f t="shared" ca="1" si="83"/>
        <v>0</v>
      </c>
      <c r="CO16" s="268" t="str">
        <f t="shared" ca="1" si="63"/>
        <v>D</v>
      </c>
      <c r="CP16" s="269" t="b">
        <f t="shared" ca="1" si="64"/>
        <v>1</v>
      </c>
      <c r="CQ16" s="269">
        <f t="shared" si="65"/>
        <v>0</v>
      </c>
      <c r="CR16" s="269">
        <f t="shared" si="66"/>
        <v>0</v>
      </c>
      <c r="CS16" s="269">
        <f t="shared" ca="1" si="67"/>
        <v>0</v>
      </c>
      <c r="CT16" s="302" t="str">
        <f t="shared" ca="1" si="84"/>
        <v>0</v>
      </c>
      <c r="CU16" s="269">
        <f t="shared" ca="1" si="68"/>
        <v>0</v>
      </c>
      <c r="CV16" s="268"/>
      <c r="CW16" s="269">
        <f t="shared" ca="1" si="69"/>
        <v>0</v>
      </c>
      <c r="CX16" s="301">
        <f t="shared" ca="1" si="70"/>
        <v>0</v>
      </c>
      <c r="CY16" s="301">
        <f t="shared" ca="1" si="85"/>
        <v>0</v>
      </c>
      <c r="CZ16" s="301">
        <f t="shared" ca="1" si="71"/>
        <v>0</v>
      </c>
      <c r="DA16" s="301">
        <f t="shared" ca="1" si="86"/>
        <v>0</v>
      </c>
      <c r="DC16" s="564" t="str">
        <f ca="1">IF($O16="","",IF($O16&gt;MAX(FF,GE,KK)+3-CJ16*2," TaW&gt; Max(FF, GE, KK) +"&amp;3-CJ16*2,""))</f>
        <v/>
      </c>
      <c r="DD16" s="1337" t="str">
        <f t="shared" ca="1" si="87"/>
        <v/>
      </c>
      <c r="DE16" s="1337" t="str">
        <f t="shared" ca="1" si="88"/>
        <v/>
      </c>
      <c r="DG16" s="269"/>
      <c r="DH16" s="269"/>
      <c r="DI16" s="269" t="str">
        <f ca="1">IF(NOT(ISERR(FIND(A16,Abfragen!$O$264,1))),MID(Abfragen!$O$264,FIND("(",Abfragen!$O$264,FIND(A16,Abfragen!$O$264,1)+LEN(A16))+1,FIND(")",Abfragen!$O$264,FIND(A16,Abfragen!$O$264,1)+LEN(A16))-FIND("(",Abfragen!$O$264,FIND(A16,Abfragen!$O$264,1)+LEN(A16))-1),"")</f>
        <v/>
      </c>
      <c r="DJ16" s="301" t="str">
        <f t="shared" ca="1" si="72"/>
        <v>D</v>
      </c>
      <c r="DK16" s="301" t="str">
        <f t="shared" ca="1" si="72"/>
        <v>D</v>
      </c>
      <c r="DL16" s="301" t="str">
        <f t="shared" ca="1" si="72"/>
        <v>D</v>
      </c>
      <c r="DM16" s="301" t="str">
        <f t="shared" ca="1" si="72"/>
        <v>D</v>
      </c>
      <c r="DN16" s="301" t="str">
        <f t="shared" ca="1" si="72"/>
        <v>D</v>
      </c>
      <c r="DO16" s="301" t="str">
        <f t="shared" ca="1" si="72"/>
        <v>D</v>
      </c>
      <c r="DP16" s="301" t="str">
        <f t="shared" ca="1" si="72"/>
        <v>D</v>
      </c>
      <c r="DQ16" s="301" t="str">
        <f t="shared" ca="1" si="72"/>
        <v>D</v>
      </c>
      <c r="DR16" s="301" t="str">
        <f t="shared" ca="1" si="72"/>
        <v>D</v>
      </c>
      <c r="DS16" s="301" t="str">
        <f t="shared" ca="1" si="72"/>
        <v>D</v>
      </c>
      <c r="DT16" s="301" t="str">
        <f t="shared" ca="1" si="73"/>
        <v>D</v>
      </c>
      <c r="DU16" s="301" t="str">
        <f t="shared" ca="1" si="73"/>
        <v>D</v>
      </c>
      <c r="DV16" s="301" t="str">
        <f t="shared" ca="1" si="73"/>
        <v>D</v>
      </c>
      <c r="DW16" s="301" t="str">
        <f t="shared" ca="1" si="73"/>
        <v>D</v>
      </c>
      <c r="DX16" s="301" t="str">
        <f t="shared" ca="1" si="73"/>
        <v>D</v>
      </c>
      <c r="DY16" s="301" t="str">
        <f t="shared" ca="1" si="73"/>
        <v>D</v>
      </c>
      <c r="DZ16" s="301" t="str">
        <f t="shared" ca="1" si="73"/>
        <v>D</v>
      </c>
      <c r="EA16" s="301" t="str">
        <f t="shared" ca="1" si="73"/>
        <v>D</v>
      </c>
      <c r="EB16" s="301" t="str">
        <f t="shared" ca="1" si="73"/>
        <v>D</v>
      </c>
      <c r="EC16" s="301" t="str">
        <f t="shared" ca="1" si="73"/>
        <v>D</v>
      </c>
      <c r="ED16" s="301" t="str">
        <f t="shared" ca="1" si="73"/>
        <v>D</v>
      </c>
      <c r="EE16" s="301" t="str">
        <f t="shared" ca="1" si="73"/>
        <v>D</v>
      </c>
      <c r="EF16" s="301">
        <f t="shared" si="74"/>
        <v>0</v>
      </c>
      <c r="EG16" s="301" t="str">
        <f t="shared" ca="1" si="75"/>
        <v>D</v>
      </c>
      <c r="EH16" s="301" t="str">
        <f t="shared" ca="1" si="75"/>
        <v>D</v>
      </c>
      <c r="EI16" s="301" t="str">
        <f t="shared" ca="1" si="75"/>
        <v>D</v>
      </c>
      <c r="EJ16" s="301" t="str">
        <f t="shared" ca="1" si="75"/>
        <v>D</v>
      </c>
      <c r="EK16" s="301" t="str">
        <f t="shared" ca="1" si="75"/>
        <v>D</v>
      </c>
      <c r="EL16" s="301" t="str">
        <f t="shared" ca="1" si="75"/>
        <v>D</v>
      </c>
      <c r="EM16" s="301" t="str">
        <f t="shared" ca="1" si="75"/>
        <v>D</v>
      </c>
      <c r="EN16" s="301" t="str">
        <f t="shared" ca="1" si="75"/>
        <v>D</v>
      </c>
      <c r="EO16" s="301" t="str">
        <f t="shared" ca="1" si="75"/>
        <v>D</v>
      </c>
      <c r="EP16" s="301" t="str">
        <f t="shared" ca="1" si="75"/>
        <v>D</v>
      </c>
      <c r="EQ16" s="301" t="str">
        <f t="shared" ca="1" si="76"/>
        <v>D</v>
      </c>
      <c r="ER16" s="301" t="str">
        <f t="shared" ca="1" si="76"/>
        <v>D</v>
      </c>
      <c r="ES16" s="301" t="str">
        <f t="shared" ca="1" si="76"/>
        <v>D</v>
      </c>
      <c r="ET16" s="301" t="str">
        <f t="shared" ca="1" si="76"/>
        <v>D</v>
      </c>
      <c r="EU16" s="301" t="str">
        <f t="shared" ca="1" si="76"/>
        <v>D</v>
      </c>
      <c r="EV16" s="301" t="str">
        <f t="shared" ca="1" si="76"/>
        <v>D</v>
      </c>
      <c r="EW16" s="301" t="str">
        <f t="shared" ca="1" si="76"/>
        <v>D</v>
      </c>
      <c r="EX16" s="301" t="str">
        <f t="shared" ca="1" si="76"/>
        <v>D</v>
      </c>
      <c r="EY16" s="301" t="str">
        <f t="shared" ca="1" si="76"/>
        <v>D</v>
      </c>
      <c r="EZ16" s="301" t="str">
        <f t="shared" ca="1" si="76"/>
        <v>D</v>
      </c>
      <c r="FA16" s="301" t="str">
        <f t="shared" ca="1" si="77"/>
        <v>D</v>
      </c>
      <c r="FB16" s="301" t="str">
        <f t="shared" ca="1" si="77"/>
        <v>D</v>
      </c>
      <c r="FC16" s="301" t="str">
        <f t="shared" ca="1" si="77"/>
        <v>D</v>
      </c>
      <c r="FD16" s="301" t="str">
        <f t="shared" ca="1" si="77"/>
        <v>D</v>
      </c>
      <c r="FE16" s="301" t="str">
        <f t="shared" ca="1" si="77"/>
        <v>D</v>
      </c>
      <c r="FF16" s="301" t="str">
        <f t="shared" ca="1" si="77"/>
        <v>D</v>
      </c>
      <c r="FG16" s="301" t="str">
        <f t="shared" ca="1" si="77"/>
        <v>D</v>
      </c>
      <c r="FH16" s="301" t="str">
        <f t="shared" ca="1" si="77"/>
        <v>D</v>
      </c>
      <c r="FI16" s="301" t="str">
        <f t="shared" ca="1" si="77"/>
        <v>D</v>
      </c>
      <c r="FJ16" s="301" t="str">
        <f t="shared" ca="1" si="77"/>
        <v>D</v>
      </c>
      <c r="FK16" s="301" t="str">
        <f t="shared" ca="1" si="77"/>
        <v>D</v>
      </c>
      <c r="FL16" s="301" t="str">
        <f t="shared" ca="1" si="77"/>
        <v>D</v>
      </c>
    </row>
    <row r="17" spans="1:168" x14ac:dyDescent="0.2">
      <c r="A17" s="24" t="str">
        <f t="shared" si="78"/>
        <v>Blasrohr</v>
      </c>
      <c r="B17" s="317" t="str">
        <f t="shared" ca="1" si="0"/>
        <v/>
      </c>
      <c r="C17" s="332" t="str">
        <f t="shared" ca="1" si="1"/>
        <v/>
      </c>
      <c r="D17" s="1110"/>
      <c r="E17" s="1424"/>
      <c r="F17" s="325"/>
      <c r="G17" s="958"/>
      <c r="H17" s="1196"/>
      <c r="I17" s="326"/>
      <c r="J17" s="1880" t="str">
        <f t="shared" ca="1" si="79"/>
        <v/>
      </c>
      <c r="K17" s="1881"/>
      <c r="L17" s="1881"/>
      <c r="M17" s="1881"/>
      <c r="N17" s="1882"/>
      <c r="O17" s="613" t="str">
        <f t="shared" ca="1" si="2"/>
        <v/>
      </c>
      <c r="P17" s="637" t="str">
        <f ca="1">IF(AND(C17="",G17="",I17=""),"",FK+B17+G17+I17)</f>
        <v/>
      </c>
      <c r="Q17" s="90"/>
      <c r="R17" s="1313"/>
      <c r="S17" s="1314"/>
      <c r="T17" s="1315"/>
      <c r="U17" s="1283"/>
      <c r="V17" s="628" t="str">
        <f t="shared" ca="1" si="3"/>
        <v/>
      </c>
      <c r="W17" s="164">
        <f t="shared" ca="1" si="4"/>
        <v>0</v>
      </c>
      <c r="X17" s="164">
        <f t="shared" ca="1" si="5"/>
        <v>0</v>
      </c>
      <c r="Y17" s="164">
        <f t="shared" ca="1" si="6"/>
        <v>0</v>
      </c>
      <c r="Z17" s="164">
        <f t="shared" ca="1" si="7"/>
        <v>0</v>
      </c>
      <c r="AA17" s="164">
        <f t="shared" ca="1" si="8"/>
        <v>0</v>
      </c>
      <c r="AB17" s="164">
        <f t="shared" ca="1" si="9"/>
        <v>0</v>
      </c>
      <c r="AC17" s="164">
        <f t="shared" ca="1" si="10"/>
        <v>0</v>
      </c>
      <c r="AD17" s="164">
        <f t="shared" ca="1" si="11"/>
        <v>0</v>
      </c>
      <c r="AE17" s="164">
        <f t="shared" ca="1" si="12"/>
        <v>0</v>
      </c>
      <c r="AF17" s="164">
        <f t="shared" ca="1" si="13"/>
        <v>0</v>
      </c>
      <c r="AG17" s="164">
        <f t="shared" ca="1" si="14"/>
        <v>0</v>
      </c>
      <c r="AH17" s="164">
        <f t="shared" ca="1" si="15"/>
        <v>0</v>
      </c>
      <c r="AI17" s="164">
        <f t="shared" ca="1" si="16"/>
        <v>0</v>
      </c>
      <c r="AJ17" s="164">
        <f t="shared" ca="1" si="17"/>
        <v>0</v>
      </c>
      <c r="AK17" s="164">
        <f t="shared" ca="1" si="18"/>
        <v>0</v>
      </c>
      <c r="AL17" s="164">
        <f t="shared" ca="1" si="19"/>
        <v>0</v>
      </c>
      <c r="AM17" s="164">
        <f t="shared" ca="1" si="20"/>
        <v>0</v>
      </c>
      <c r="AN17" s="164">
        <f t="shared" ca="1" si="21"/>
        <v>0</v>
      </c>
      <c r="AO17" s="164">
        <f t="shared" ca="1" si="22"/>
        <v>0</v>
      </c>
      <c r="AP17" s="164">
        <f t="shared" ca="1" si="23"/>
        <v>0</v>
      </c>
      <c r="AQ17" s="164">
        <f t="shared" ca="1" si="24"/>
        <v>0</v>
      </c>
      <c r="AR17" s="164">
        <f t="shared" ca="1" si="25"/>
        <v>0</v>
      </c>
      <c r="AS17" s="152"/>
      <c r="AT17" s="154">
        <f t="shared" ca="1" si="26"/>
        <v>0</v>
      </c>
      <c r="AU17" s="154">
        <f t="shared" ca="1" si="27"/>
        <v>0</v>
      </c>
      <c r="AV17" s="154">
        <f t="shared" ca="1" si="28"/>
        <v>0</v>
      </c>
      <c r="AW17" s="154">
        <f t="shared" ca="1" si="29"/>
        <v>0</v>
      </c>
      <c r="AX17" s="154">
        <f t="shared" ca="1" si="30"/>
        <v>0</v>
      </c>
      <c r="AY17" s="154">
        <f t="shared" ca="1" si="31"/>
        <v>0</v>
      </c>
      <c r="AZ17" s="154">
        <f t="shared" ca="1" si="32"/>
        <v>0</v>
      </c>
      <c r="BA17" s="154">
        <f t="shared" ca="1" si="33"/>
        <v>0</v>
      </c>
      <c r="BB17" s="154">
        <f t="shared" ca="1" si="34"/>
        <v>0</v>
      </c>
      <c r="BC17" s="154">
        <f t="shared" ca="1" si="35"/>
        <v>0</v>
      </c>
      <c r="BD17" s="154">
        <f t="shared" ca="1" si="36"/>
        <v>0</v>
      </c>
      <c r="BE17" s="154">
        <f t="shared" ca="1" si="37"/>
        <v>0</v>
      </c>
      <c r="BF17" s="154">
        <f t="shared" ca="1" si="38"/>
        <v>0</v>
      </c>
      <c r="BG17" s="154">
        <f t="shared" ca="1" si="39"/>
        <v>0</v>
      </c>
      <c r="BH17" s="154">
        <f t="shared" ca="1" si="40"/>
        <v>0</v>
      </c>
      <c r="BI17" s="154">
        <f t="shared" ca="1" si="41"/>
        <v>0</v>
      </c>
      <c r="BJ17" s="154">
        <f t="shared" ca="1" si="42"/>
        <v>0</v>
      </c>
      <c r="BK17" s="154">
        <f t="shared" ca="1" si="43"/>
        <v>0</v>
      </c>
      <c r="BL17" s="154">
        <f t="shared" ca="1" si="44"/>
        <v>0</v>
      </c>
      <c r="BM17" s="154">
        <f t="shared" ca="1" si="45"/>
        <v>0</v>
      </c>
      <c r="BN17" s="154">
        <f t="shared" ca="1" si="46"/>
        <v>0</v>
      </c>
      <c r="BO17" s="154">
        <f t="shared" ca="1" si="47"/>
        <v>0</v>
      </c>
      <c r="BP17" s="154">
        <f t="shared" ca="1" si="48"/>
        <v>0</v>
      </c>
      <c r="BQ17" s="154">
        <f t="shared" ca="1" si="49"/>
        <v>0</v>
      </c>
      <c r="BR17" s="154">
        <f t="shared" ca="1" si="50"/>
        <v>0</v>
      </c>
      <c r="BS17" s="154">
        <f t="shared" ca="1" si="51"/>
        <v>0</v>
      </c>
      <c r="BT17" s="154">
        <f t="shared" ca="1" si="52"/>
        <v>0</v>
      </c>
      <c r="BU17" s="154">
        <f t="shared" ca="1" si="53"/>
        <v>0</v>
      </c>
      <c r="BV17" s="154">
        <f t="shared" ca="1" si="54"/>
        <v>0</v>
      </c>
      <c r="BW17" s="154">
        <f t="shared" ca="1" si="55"/>
        <v>0</v>
      </c>
      <c r="BX17" s="154">
        <f t="shared" ca="1" si="56"/>
        <v>0</v>
      </c>
      <c r="BY17" s="154">
        <f t="shared" ca="1" si="57"/>
        <v>0</v>
      </c>
      <c r="BZ17" s="154">
        <f t="shared" ca="1" si="80"/>
        <v>0</v>
      </c>
      <c r="CA17" s="154">
        <f t="shared" ca="1" si="58"/>
        <v>0</v>
      </c>
      <c r="CB17" s="154">
        <f t="shared" ca="1" si="59"/>
        <v>0</v>
      </c>
      <c r="CC17" s="523"/>
      <c r="CD17" s="355">
        <f t="shared" si="60"/>
        <v>46</v>
      </c>
      <c r="CE17" s="268" t="str">
        <f t="shared" ca="1" si="81"/>
        <v>D</v>
      </c>
      <c r="CF17" s="355" t="str">
        <f ca="1">IF(EXACT($B17,""),$CF16,CONCATENATE($CF16,$A17))</f>
        <v/>
      </c>
      <c r="CG17" s="268"/>
      <c r="CH17" s="268"/>
      <c r="CI17" s="269">
        <f t="shared" ca="1" si="61"/>
        <v>0</v>
      </c>
      <c r="CJ17" s="269">
        <f t="shared" ca="1" si="62"/>
        <v>0</v>
      </c>
      <c r="CK17" s="269"/>
      <c r="CL17" s="269"/>
      <c r="CM17" s="268">
        <f t="shared" ca="1" si="82"/>
        <v>0</v>
      </c>
      <c r="CN17" s="269">
        <f t="shared" ca="1" si="83"/>
        <v>0</v>
      </c>
      <c r="CO17" s="268" t="str">
        <f t="shared" ca="1" si="63"/>
        <v>D</v>
      </c>
      <c r="CP17" s="269" t="b">
        <f t="shared" ca="1" si="64"/>
        <v>1</v>
      </c>
      <c r="CQ17" s="269">
        <f t="shared" si="65"/>
        <v>0</v>
      </c>
      <c r="CR17" s="269">
        <f t="shared" si="66"/>
        <v>0</v>
      </c>
      <c r="CS17" s="269">
        <f t="shared" ca="1" si="67"/>
        <v>0</v>
      </c>
      <c r="CT17" s="302" t="str">
        <f t="shared" ca="1" si="84"/>
        <v>0</v>
      </c>
      <c r="CU17" s="269">
        <f t="shared" ca="1" si="68"/>
        <v>0</v>
      </c>
      <c r="CV17" s="268"/>
      <c r="CW17" s="269">
        <f t="shared" ca="1" si="69"/>
        <v>0</v>
      </c>
      <c r="CX17" s="301">
        <f t="shared" ca="1" si="70"/>
        <v>0</v>
      </c>
      <c r="CY17" s="301">
        <f t="shared" ca="1" si="85"/>
        <v>0</v>
      </c>
      <c r="CZ17" s="301">
        <f t="shared" ca="1" si="71"/>
        <v>0</v>
      </c>
      <c r="DA17" s="301">
        <f t="shared" ca="1" si="86"/>
        <v>0</v>
      </c>
      <c r="DC17" s="564" t="str">
        <f ca="1">IF($O17="","",IF($O17&gt;MAX(FF,GE,KK)+3-CJ17*2," TaW&gt; Max(FF, GE, KK) +"&amp;3-CJ17*2,""))</f>
        <v/>
      </c>
      <c r="DD17" s="1337" t="str">
        <f t="shared" ca="1" si="87"/>
        <v/>
      </c>
      <c r="DE17" s="1337" t="str">
        <f t="shared" ca="1" si="88"/>
        <v/>
      </c>
      <c r="DG17" s="269"/>
      <c r="DH17" s="269"/>
      <c r="DI17" s="269" t="str">
        <f ca="1">IF(NOT(ISERR(FIND(A17,Abfragen!$O$264,1))),MID(Abfragen!$O$264,FIND("(",Abfragen!$O$264,FIND(A17,Abfragen!$O$264,1)+LEN(A17))+1,FIND(")",Abfragen!$O$264,FIND(A17,Abfragen!$O$264,1)+LEN(A17))-FIND("(",Abfragen!$O$264,FIND(A17,Abfragen!$O$264,1)+LEN(A17))-1),"")</f>
        <v/>
      </c>
      <c r="DJ17" s="301" t="str">
        <f t="shared" ca="1" si="72"/>
        <v>D</v>
      </c>
      <c r="DK17" s="301" t="str">
        <f t="shared" ca="1" si="72"/>
        <v>D</v>
      </c>
      <c r="DL17" s="301" t="str">
        <f t="shared" ca="1" si="72"/>
        <v>D</v>
      </c>
      <c r="DM17" s="301" t="str">
        <f t="shared" ca="1" si="72"/>
        <v>D</v>
      </c>
      <c r="DN17" s="301" t="str">
        <f t="shared" ca="1" si="72"/>
        <v>D</v>
      </c>
      <c r="DO17" s="301" t="str">
        <f t="shared" ca="1" si="72"/>
        <v>D</v>
      </c>
      <c r="DP17" s="301" t="str">
        <f t="shared" ca="1" si="72"/>
        <v>D</v>
      </c>
      <c r="DQ17" s="301" t="str">
        <f t="shared" ca="1" si="72"/>
        <v>D</v>
      </c>
      <c r="DR17" s="301" t="str">
        <f t="shared" ca="1" si="72"/>
        <v>D</v>
      </c>
      <c r="DS17" s="301" t="str">
        <f t="shared" ca="1" si="72"/>
        <v>D</v>
      </c>
      <c r="DT17" s="301" t="str">
        <f t="shared" ca="1" si="73"/>
        <v>D</v>
      </c>
      <c r="DU17" s="301" t="str">
        <f t="shared" ca="1" si="73"/>
        <v>D</v>
      </c>
      <c r="DV17" s="301" t="str">
        <f t="shared" ca="1" si="73"/>
        <v>D</v>
      </c>
      <c r="DW17" s="301" t="str">
        <f t="shared" ca="1" si="73"/>
        <v>D</v>
      </c>
      <c r="DX17" s="301" t="str">
        <f t="shared" ca="1" si="73"/>
        <v>D</v>
      </c>
      <c r="DY17" s="301" t="str">
        <f t="shared" ca="1" si="73"/>
        <v>D</v>
      </c>
      <c r="DZ17" s="301" t="str">
        <f t="shared" ca="1" si="73"/>
        <v>D</v>
      </c>
      <c r="EA17" s="301" t="str">
        <f t="shared" ca="1" si="73"/>
        <v>D</v>
      </c>
      <c r="EB17" s="301" t="str">
        <f t="shared" ca="1" si="73"/>
        <v>D</v>
      </c>
      <c r="EC17" s="301" t="str">
        <f t="shared" ca="1" si="73"/>
        <v>D</v>
      </c>
      <c r="ED17" s="301" t="str">
        <f t="shared" ca="1" si="73"/>
        <v>D</v>
      </c>
      <c r="EE17" s="301" t="str">
        <f t="shared" ca="1" si="73"/>
        <v>D</v>
      </c>
      <c r="EF17" s="301">
        <f t="shared" si="74"/>
        <v>0</v>
      </c>
      <c r="EG17" s="301" t="str">
        <f t="shared" ca="1" si="75"/>
        <v>D</v>
      </c>
      <c r="EH17" s="301" t="str">
        <f t="shared" ca="1" si="75"/>
        <v>D</v>
      </c>
      <c r="EI17" s="301" t="str">
        <f t="shared" ca="1" si="75"/>
        <v>D</v>
      </c>
      <c r="EJ17" s="301" t="str">
        <f t="shared" ca="1" si="75"/>
        <v>D</v>
      </c>
      <c r="EK17" s="301" t="str">
        <f t="shared" ca="1" si="75"/>
        <v>D</v>
      </c>
      <c r="EL17" s="301" t="str">
        <f t="shared" ca="1" si="75"/>
        <v>D</v>
      </c>
      <c r="EM17" s="301" t="str">
        <f t="shared" ca="1" si="75"/>
        <v>D</v>
      </c>
      <c r="EN17" s="301" t="str">
        <f t="shared" ca="1" si="75"/>
        <v>D</v>
      </c>
      <c r="EO17" s="301" t="str">
        <f t="shared" ca="1" si="75"/>
        <v>D</v>
      </c>
      <c r="EP17" s="301" t="str">
        <f t="shared" ca="1" si="75"/>
        <v>D</v>
      </c>
      <c r="EQ17" s="301" t="str">
        <f t="shared" ca="1" si="76"/>
        <v>D</v>
      </c>
      <c r="ER17" s="301" t="str">
        <f t="shared" ca="1" si="76"/>
        <v>D</v>
      </c>
      <c r="ES17" s="301" t="str">
        <f t="shared" ca="1" si="76"/>
        <v>D</v>
      </c>
      <c r="ET17" s="301" t="str">
        <f t="shared" ca="1" si="76"/>
        <v>D</v>
      </c>
      <c r="EU17" s="301" t="str">
        <f t="shared" ca="1" si="76"/>
        <v>D</v>
      </c>
      <c r="EV17" s="301" t="str">
        <f t="shared" ca="1" si="76"/>
        <v>D</v>
      </c>
      <c r="EW17" s="301" t="str">
        <f t="shared" ca="1" si="76"/>
        <v>D</v>
      </c>
      <c r="EX17" s="301" t="str">
        <f t="shared" ca="1" si="76"/>
        <v>D</v>
      </c>
      <c r="EY17" s="301" t="str">
        <f t="shared" ca="1" si="76"/>
        <v>D</v>
      </c>
      <c r="EZ17" s="301" t="str">
        <f t="shared" ca="1" si="76"/>
        <v>D</v>
      </c>
      <c r="FA17" s="301" t="str">
        <f t="shared" ca="1" si="77"/>
        <v>D</v>
      </c>
      <c r="FB17" s="301" t="str">
        <f t="shared" ca="1" si="77"/>
        <v>D</v>
      </c>
      <c r="FC17" s="301" t="str">
        <f t="shared" ca="1" si="77"/>
        <v>D</v>
      </c>
      <c r="FD17" s="301" t="str">
        <f t="shared" ca="1" si="77"/>
        <v>D</v>
      </c>
      <c r="FE17" s="301" t="str">
        <f t="shared" ca="1" si="77"/>
        <v>D</v>
      </c>
      <c r="FF17" s="301" t="str">
        <f t="shared" ca="1" si="77"/>
        <v>D</v>
      </c>
      <c r="FG17" s="301" t="str">
        <f t="shared" ca="1" si="77"/>
        <v>D</v>
      </c>
      <c r="FH17" s="301" t="str">
        <f t="shared" ca="1" si="77"/>
        <v>D</v>
      </c>
      <c r="FI17" s="301" t="str">
        <f t="shared" ca="1" si="77"/>
        <v>D</v>
      </c>
      <c r="FJ17" s="301" t="str">
        <f t="shared" ca="1" si="77"/>
        <v>D</v>
      </c>
      <c r="FK17" s="301" t="str">
        <f t="shared" ca="1" si="77"/>
        <v>D</v>
      </c>
      <c r="FL17" s="301" t="str">
        <f t="shared" ca="1" si="77"/>
        <v>D</v>
      </c>
    </row>
    <row r="18" spans="1:168" x14ac:dyDescent="0.2">
      <c r="A18" s="24" t="str">
        <f t="shared" si="78"/>
        <v>Bogen</v>
      </c>
      <c r="B18" s="317" t="str">
        <f t="shared" ca="1" si="0"/>
        <v/>
      </c>
      <c r="C18" s="332" t="str">
        <f t="shared" ca="1" si="1"/>
        <v/>
      </c>
      <c r="D18" s="1127"/>
      <c r="E18" s="1424"/>
      <c r="F18" s="325"/>
      <c r="G18" s="958"/>
      <c r="H18" s="1196"/>
      <c r="I18" s="326"/>
      <c r="J18" s="1880" t="str">
        <f t="shared" ca="1" si="79"/>
        <v/>
      </c>
      <c r="K18" s="1881"/>
      <c r="L18" s="1881"/>
      <c r="M18" s="1881"/>
      <c r="N18" s="1882"/>
      <c r="O18" s="613" t="str">
        <f t="shared" ca="1" si="2"/>
        <v/>
      </c>
      <c r="P18" s="637" t="str">
        <f ca="1">IF(AND(C18="",G18="",I18=""),"",FK+B18+G18+I18)</f>
        <v/>
      </c>
      <c r="Q18" s="90"/>
      <c r="R18" s="1313"/>
      <c r="S18" s="1313"/>
      <c r="T18" s="1315"/>
      <c r="U18" s="1283"/>
      <c r="V18" s="628" t="str">
        <f t="shared" ca="1" si="3"/>
        <v/>
      </c>
      <c r="W18" s="164">
        <f t="shared" ca="1" si="4"/>
        <v>0</v>
      </c>
      <c r="X18" s="164">
        <f t="shared" ca="1" si="5"/>
        <v>0</v>
      </c>
      <c r="Y18" s="164">
        <f t="shared" ca="1" si="6"/>
        <v>0</v>
      </c>
      <c r="Z18" s="164">
        <f t="shared" ca="1" si="7"/>
        <v>0</v>
      </c>
      <c r="AA18" s="164">
        <f t="shared" ca="1" si="8"/>
        <v>0</v>
      </c>
      <c r="AB18" s="164">
        <f t="shared" ca="1" si="9"/>
        <v>0</v>
      </c>
      <c r="AC18" s="164">
        <f t="shared" ca="1" si="10"/>
        <v>0</v>
      </c>
      <c r="AD18" s="164">
        <f t="shared" ca="1" si="11"/>
        <v>0</v>
      </c>
      <c r="AE18" s="164">
        <f t="shared" ca="1" si="12"/>
        <v>0</v>
      </c>
      <c r="AF18" s="164">
        <f t="shared" ca="1" si="13"/>
        <v>0</v>
      </c>
      <c r="AG18" s="164">
        <f t="shared" ca="1" si="14"/>
        <v>0</v>
      </c>
      <c r="AH18" s="164">
        <f t="shared" ca="1" si="15"/>
        <v>0</v>
      </c>
      <c r="AI18" s="164">
        <f t="shared" ca="1" si="16"/>
        <v>0</v>
      </c>
      <c r="AJ18" s="164">
        <f t="shared" ca="1" si="17"/>
        <v>0</v>
      </c>
      <c r="AK18" s="164">
        <f t="shared" ca="1" si="18"/>
        <v>0</v>
      </c>
      <c r="AL18" s="164">
        <f t="shared" ca="1" si="19"/>
        <v>0</v>
      </c>
      <c r="AM18" s="164">
        <f t="shared" ca="1" si="20"/>
        <v>0</v>
      </c>
      <c r="AN18" s="164">
        <f t="shared" ca="1" si="21"/>
        <v>0</v>
      </c>
      <c r="AO18" s="164">
        <f t="shared" ca="1" si="22"/>
        <v>0</v>
      </c>
      <c r="AP18" s="164">
        <f t="shared" ca="1" si="23"/>
        <v>0</v>
      </c>
      <c r="AQ18" s="164">
        <f t="shared" ca="1" si="24"/>
        <v>0</v>
      </c>
      <c r="AR18" s="164">
        <f t="shared" ca="1" si="25"/>
        <v>0</v>
      </c>
      <c r="AS18" s="152"/>
      <c r="AT18" s="154">
        <f t="shared" ca="1" si="26"/>
        <v>0</v>
      </c>
      <c r="AU18" s="154">
        <f t="shared" ca="1" si="27"/>
        <v>0</v>
      </c>
      <c r="AV18" s="154">
        <f t="shared" ca="1" si="28"/>
        <v>0</v>
      </c>
      <c r="AW18" s="154">
        <f t="shared" ca="1" si="29"/>
        <v>0</v>
      </c>
      <c r="AX18" s="154">
        <f t="shared" ca="1" si="30"/>
        <v>0</v>
      </c>
      <c r="AY18" s="154">
        <f t="shared" ca="1" si="31"/>
        <v>0</v>
      </c>
      <c r="AZ18" s="154">
        <f t="shared" ca="1" si="32"/>
        <v>0</v>
      </c>
      <c r="BA18" s="154">
        <f t="shared" ca="1" si="33"/>
        <v>0</v>
      </c>
      <c r="BB18" s="154">
        <f t="shared" ca="1" si="34"/>
        <v>0</v>
      </c>
      <c r="BC18" s="154">
        <f t="shared" ca="1" si="35"/>
        <v>0</v>
      </c>
      <c r="BD18" s="154">
        <f t="shared" ca="1" si="36"/>
        <v>0</v>
      </c>
      <c r="BE18" s="154">
        <f t="shared" ca="1" si="37"/>
        <v>0</v>
      </c>
      <c r="BF18" s="154">
        <f t="shared" ca="1" si="38"/>
        <v>0</v>
      </c>
      <c r="BG18" s="154">
        <f t="shared" ca="1" si="39"/>
        <v>0</v>
      </c>
      <c r="BH18" s="154">
        <f t="shared" ca="1" si="40"/>
        <v>0</v>
      </c>
      <c r="BI18" s="154">
        <f t="shared" ca="1" si="41"/>
        <v>0</v>
      </c>
      <c r="BJ18" s="154">
        <f t="shared" ca="1" si="42"/>
        <v>0</v>
      </c>
      <c r="BK18" s="154">
        <f t="shared" ca="1" si="43"/>
        <v>0</v>
      </c>
      <c r="BL18" s="154">
        <f t="shared" ca="1" si="44"/>
        <v>0</v>
      </c>
      <c r="BM18" s="154">
        <f t="shared" ca="1" si="45"/>
        <v>0</v>
      </c>
      <c r="BN18" s="154">
        <f t="shared" ca="1" si="46"/>
        <v>0</v>
      </c>
      <c r="BO18" s="154">
        <f t="shared" ca="1" si="47"/>
        <v>0</v>
      </c>
      <c r="BP18" s="154">
        <f t="shared" ca="1" si="48"/>
        <v>0</v>
      </c>
      <c r="BQ18" s="154">
        <f t="shared" ca="1" si="49"/>
        <v>0</v>
      </c>
      <c r="BR18" s="154">
        <f t="shared" ca="1" si="50"/>
        <v>0</v>
      </c>
      <c r="BS18" s="154">
        <f t="shared" ca="1" si="51"/>
        <v>0</v>
      </c>
      <c r="BT18" s="154">
        <f t="shared" ca="1" si="52"/>
        <v>0</v>
      </c>
      <c r="BU18" s="154">
        <f t="shared" ca="1" si="53"/>
        <v>0</v>
      </c>
      <c r="BV18" s="154">
        <f t="shared" ca="1" si="54"/>
        <v>0</v>
      </c>
      <c r="BW18" s="154">
        <f t="shared" ca="1" si="55"/>
        <v>0</v>
      </c>
      <c r="BX18" s="154">
        <f t="shared" ca="1" si="56"/>
        <v>0</v>
      </c>
      <c r="BY18" s="154">
        <f t="shared" ca="1" si="57"/>
        <v>0</v>
      </c>
      <c r="BZ18" s="154">
        <f t="shared" ca="1" si="80"/>
        <v>0</v>
      </c>
      <c r="CA18" s="154">
        <f t="shared" ca="1" si="58"/>
        <v>0</v>
      </c>
      <c r="CB18" s="154">
        <f t="shared" ca="1" si="59"/>
        <v>0</v>
      </c>
      <c r="CC18" s="523"/>
      <c r="CD18" s="355">
        <f t="shared" si="60"/>
        <v>47</v>
      </c>
      <c r="CE18" s="268" t="str">
        <f t="shared" ca="1" si="81"/>
        <v>E</v>
      </c>
      <c r="CF18" s="355" t="str">
        <f ca="1">IF(EXACT($B18,""),$CF17,CONCATENATE($CF17,$A18))</f>
        <v/>
      </c>
      <c r="CG18" s="268"/>
      <c r="CH18" s="268"/>
      <c r="CI18" s="269">
        <f t="shared" ca="1" si="61"/>
        <v>0</v>
      </c>
      <c r="CJ18" s="269">
        <f t="shared" ca="1" si="62"/>
        <v>0</v>
      </c>
      <c r="CK18" s="269"/>
      <c r="CL18" s="269"/>
      <c r="CM18" s="268">
        <f t="shared" ca="1" si="82"/>
        <v>0</v>
      </c>
      <c r="CN18" s="269">
        <f t="shared" ca="1" si="83"/>
        <v>0</v>
      </c>
      <c r="CO18" s="268" t="str">
        <f t="shared" ca="1" si="63"/>
        <v>E</v>
      </c>
      <c r="CP18" s="269" t="b">
        <f t="shared" ca="1" si="64"/>
        <v>1</v>
      </c>
      <c r="CQ18" s="269">
        <f t="shared" si="65"/>
        <v>0</v>
      </c>
      <c r="CR18" s="269">
        <f t="shared" si="66"/>
        <v>0</v>
      </c>
      <c r="CS18" s="269">
        <f t="shared" ca="1" si="67"/>
        <v>0</v>
      </c>
      <c r="CT18" s="302" t="str">
        <f t="shared" ca="1" si="84"/>
        <v>0</v>
      </c>
      <c r="CU18" s="269">
        <f t="shared" ca="1" si="68"/>
        <v>0</v>
      </c>
      <c r="CV18" s="268"/>
      <c r="CW18" s="269">
        <f t="shared" ca="1" si="69"/>
        <v>0</v>
      </c>
      <c r="CX18" s="301">
        <f t="shared" ca="1" si="70"/>
        <v>0</v>
      </c>
      <c r="CY18" s="301">
        <f t="shared" ca="1" si="85"/>
        <v>0</v>
      </c>
      <c r="CZ18" s="301">
        <f t="shared" ca="1" si="71"/>
        <v>0</v>
      </c>
      <c r="DA18" s="301">
        <f t="shared" ca="1" si="86"/>
        <v>0</v>
      </c>
      <c r="DC18" s="564" t="str">
        <f ca="1">IF($O18="","",IF($O18&gt;MAX(FF,GE,KK)+3-CJ18*2," TaW&gt; Max(FF, GE, KK) +"&amp;3-CJ18*2,""))</f>
        <v/>
      </c>
      <c r="DD18" s="1337" t="str">
        <f t="shared" ca="1" si="87"/>
        <v/>
      </c>
      <c r="DE18" s="1337" t="str">
        <f t="shared" ca="1" si="88"/>
        <v/>
      </c>
      <c r="DG18" s="269"/>
      <c r="DH18" s="269"/>
      <c r="DI18" s="269" t="str">
        <f ca="1">IF(NOT(ISERR(FIND(A18,Abfragen!$O$264,1))),MID(Abfragen!$O$264,FIND("(",Abfragen!$O$264,FIND(A18,Abfragen!$O$264,1)+LEN(A18))+1,FIND(")",Abfragen!$O$264,FIND(A18,Abfragen!$O$264,1)+LEN(A18))-FIND("(",Abfragen!$O$264,FIND(A18,Abfragen!$O$264,1)+LEN(A18))-1),"")</f>
        <v/>
      </c>
      <c r="DJ18" s="301" t="str">
        <f t="shared" ca="1" si="72"/>
        <v>E</v>
      </c>
      <c r="DK18" s="301" t="str">
        <f t="shared" ca="1" si="72"/>
        <v>E</v>
      </c>
      <c r="DL18" s="301" t="str">
        <f t="shared" ca="1" si="72"/>
        <v>E</v>
      </c>
      <c r="DM18" s="301" t="str">
        <f t="shared" ca="1" si="72"/>
        <v>E</v>
      </c>
      <c r="DN18" s="301" t="str">
        <f t="shared" ca="1" si="72"/>
        <v>E</v>
      </c>
      <c r="DO18" s="301" t="str">
        <f t="shared" ca="1" si="72"/>
        <v>E</v>
      </c>
      <c r="DP18" s="301" t="str">
        <f t="shared" ca="1" si="72"/>
        <v>E</v>
      </c>
      <c r="DQ18" s="301" t="str">
        <f t="shared" ca="1" si="72"/>
        <v>E</v>
      </c>
      <c r="DR18" s="301" t="str">
        <f t="shared" ca="1" si="72"/>
        <v>E</v>
      </c>
      <c r="DS18" s="301" t="str">
        <f t="shared" ca="1" si="72"/>
        <v>E</v>
      </c>
      <c r="DT18" s="301" t="str">
        <f t="shared" ca="1" si="73"/>
        <v>E</v>
      </c>
      <c r="DU18" s="301" t="str">
        <f t="shared" ca="1" si="73"/>
        <v>E</v>
      </c>
      <c r="DV18" s="301" t="str">
        <f t="shared" ca="1" si="73"/>
        <v>E</v>
      </c>
      <c r="DW18" s="301" t="str">
        <f t="shared" ca="1" si="73"/>
        <v>E</v>
      </c>
      <c r="DX18" s="301" t="str">
        <f t="shared" ca="1" si="73"/>
        <v>E</v>
      </c>
      <c r="DY18" s="301" t="str">
        <f t="shared" ca="1" si="73"/>
        <v>E</v>
      </c>
      <c r="DZ18" s="301" t="str">
        <f t="shared" ca="1" si="73"/>
        <v>E</v>
      </c>
      <c r="EA18" s="301" t="str">
        <f t="shared" ca="1" si="73"/>
        <v>E</v>
      </c>
      <c r="EB18" s="301" t="str">
        <f t="shared" ca="1" si="73"/>
        <v>E</v>
      </c>
      <c r="EC18" s="301" t="str">
        <f t="shared" ca="1" si="73"/>
        <v>E</v>
      </c>
      <c r="ED18" s="301" t="str">
        <f t="shared" ca="1" si="73"/>
        <v>E</v>
      </c>
      <c r="EE18" s="301" t="str">
        <f t="shared" ca="1" si="73"/>
        <v>E</v>
      </c>
      <c r="EF18" s="301">
        <f t="shared" si="74"/>
        <v>0</v>
      </c>
      <c r="EG18" s="301" t="str">
        <f t="shared" ca="1" si="75"/>
        <v>E</v>
      </c>
      <c r="EH18" s="301" t="str">
        <f t="shared" ca="1" si="75"/>
        <v>E</v>
      </c>
      <c r="EI18" s="301" t="str">
        <f t="shared" ca="1" si="75"/>
        <v>E</v>
      </c>
      <c r="EJ18" s="301" t="str">
        <f t="shared" ca="1" si="75"/>
        <v>E</v>
      </c>
      <c r="EK18" s="301" t="str">
        <f t="shared" ca="1" si="75"/>
        <v>E</v>
      </c>
      <c r="EL18" s="301" t="str">
        <f t="shared" ca="1" si="75"/>
        <v>E</v>
      </c>
      <c r="EM18" s="301" t="str">
        <f t="shared" ca="1" si="75"/>
        <v>E</v>
      </c>
      <c r="EN18" s="301" t="str">
        <f t="shared" ca="1" si="75"/>
        <v>E</v>
      </c>
      <c r="EO18" s="301" t="str">
        <f t="shared" ca="1" si="75"/>
        <v>E</v>
      </c>
      <c r="EP18" s="301" t="str">
        <f t="shared" ca="1" si="75"/>
        <v>E</v>
      </c>
      <c r="EQ18" s="301" t="str">
        <f t="shared" ca="1" si="76"/>
        <v>E</v>
      </c>
      <c r="ER18" s="301" t="str">
        <f t="shared" ca="1" si="76"/>
        <v>E</v>
      </c>
      <c r="ES18" s="301" t="str">
        <f t="shared" ca="1" si="76"/>
        <v>E</v>
      </c>
      <c r="ET18" s="301" t="str">
        <f t="shared" ca="1" si="76"/>
        <v>E</v>
      </c>
      <c r="EU18" s="301" t="str">
        <f t="shared" ca="1" si="76"/>
        <v>E</v>
      </c>
      <c r="EV18" s="301" t="str">
        <f t="shared" ca="1" si="76"/>
        <v>E</v>
      </c>
      <c r="EW18" s="301" t="str">
        <f t="shared" ca="1" si="76"/>
        <v>E</v>
      </c>
      <c r="EX18" s="301" t="str">
        <f t="shared" ca="1" si="76"/>
        <v>E</v>
      </c>
      <c r="EY18" s="301" t="str">
        <f t="shared" ca="1" si="76"/>
        <v>E</v>
      </c>
      <c r="EZ18" s="301" t="str">
        <f t="shared" ca="1" si="76"/>
        <v>E</v>
      </c>
      <c r="FA18" s="301" t="str">
        <f t="shared" ca="1" si="77"/>
        <v>E</v>
      </c>
      <c r="FB18" s="301" t="str">
        <f t="shared" ca="1" si="77"/>
        <v>E</v>
      </c>
      <c r="FC18" s="301" t="str">
        <f t="shared" ca="1" si="77"/>
        <v>E</v>
      </c>
      <c r="FD18" s="301" t="str">
        <f t="shared" ca="1" si="77"/>
        <v>E</v>
      </c>
      <c r="FE18" s="301" t="str">
        <f t="shared" ca="1" si="77"/>
        <v>E</v>
      </c>
      <c r="FF18" s="301" t="str">
        <f t="shared" ca="1" si="77"/>
        <v>E</v>
      </c>
      <c r="FG18" s="301" t="str">
        <f t="shared" ca="1" si="77"/>
        <v>E</v>
      </c>
      <c r="FH18" s="301" t="str">
        <f t="shared" ca="1" si="77"/>
        <v>E</v>
      </c>
      <c r="FI18" s="301" t="str">
        <f t="shared" ca="1" si="77"/>
        <v>E</v>
      </c>
      <c r="FJ18" s="301" t="str">
        <f t="shared" ca="1" si="77"/>
        <v>E</v>
      </c>
      <c r="FK18" s="301" t="str">
        <f t="shared" ca="1" si="77"/>
        <v>E</v>
      </c>
      <c r="FL18" s="301" t="str">
        <f t="shared" ca="1" si="77"/>
        <v>E</v>
      </c>
    </row>
    <row r="19" spans="1:168" x14ac:dyDescent="0.2">
      <c r="A19" s="24" t="str">
        <f t="shared" si="78"/>
        <v>Diskus</v>
      </c>
      <c r="B19" s="317" t="str">
        <f t="shared" ca="1" si="0"/>
        <v/>
      </c>
      <c r="C19" s="332" t="str">
        <f t="shared" ca="1" si="1"/>
        <v/>
      </c>
      <c r="D19" s="1110"/>
      <c r="E19" s="1424"/>
      <c r="F19" s="325"/>
      <c r="G19" s="958"/>
      <c r="H19" s="1196"/>
      <c r="I19" s="326"/>
      <c r="J19" s="1880" t="str">
        <f t="shared" ca="1" si="79"/>
        <v/>
      </c>
      <c r="K19" s="1881"/>
      <c r="L19" s="1881"/>
      <c r="M19" s="1881"/>
      <c r="N19" s="1882"/>
      <c r="O19" s="613" t="str">
        <f t="shared" ca="1" si="2"/>
        <v/>
      </c>
      <c r="P19" s="637" t="str">
        <f ca="1">IF(AND(C19="",G19="",I19=""),"",FK+B19+G19+I19)</f>
        <v/>
      </c>
      <c r="Q19" s="90"/>
      <c r="R19" s="1313"/>
      <c r="S19" s="1313"/>
      <c r="T19" s="1315"/>
      <c r="U19" s="1283"/>
      <c r="V19" s="628" t="str">
        <f t="shared" ca="1" si="3"/>
        <v/>
      </c>
      <c r="W19" s="164">
        <f t="shared" ca="1" si="4"/>
        <v>0</v>
      </c>
      <c r="X19" s="164">
        <f t="shared" ca="1" si="5"/>
        <v>0</v>
      </c>
      <c r="Y19" s="164">
        <f t="shared" ca="1" si="6"/>
        <v>0</v>
      </c>
      <c r="Z19" s="164">
        <f t="shared" ca="1" si="7"/>
        <v>0</v>
      </c>
      <c r="AA19" s="164">
        <f t="shared" ca="1" si="8"/>
        <v>0</v>
      </c>
      <c r="AB19" s="164">
        <f t="shared" ca="1" si="9"/>
        <v>0</v>
      </c>
      <c r="AC19" s="164">
        <f t="shared" ca="1" si="10"/>
        <v>0</v>
      </c>
      <c r="AD19" s="164">
        <f t="shared" ca="1" si="11"/>
        <v>0</v>
      </c>
      <c r="AE19" s="164">
        <f t="shared" ca="1" si="12"/>
        <v>0</v>
      </c>
      <c r="AF19" s="164">
        <f t="shared" ca="1" si="13"/>
        <v>0</v>
      </c>
      <c r="AG19" s="164">
        <f t="shared" ca="1" si="14"/>
        <v>0</v>
      </c>
      <c r="AH19" s="164">
        <f t="shared" ca="1" si="15"/>
        <v>0</v>
      </c>
      <c r="AI19" s="164">
        <f t="shared" ca="1" si="16"/>
        <v>0</v>
      </c>
      <c r="AJ19" s="164">
        <f t="shared" ca="1" si="17"/>
        <v>0</v>
      </c>
      <c r="AK19" s="164">
        <f t="shared" ca="1" si="18"/>
        <v>0</v>
      </c>
      <c r="AL19" s="164">
        <f t="shared" ca="1" si="19"/>
        <v>0</v>
      </c>
      <c r="AM19" s="164">
        <f t="shared" ca="1" si="20"/>
        <v>0</v>
      </c>
      <c r="AN19" s="164">
        <f t="shared" ca="1" si="21"/>
        <v>0</v>
      </c>
      <c r="AO19" s="164">
        <f t="shared" ca="1" si="22"/>
        <v>0</v>
      </c>
      <c r="AP19" s="164">
        <f t="shared" ca="1" si="23"/>
        <v>0</v>
      </c>
      <c r="AQ19" s="164">
        <f t="shared" ca="1" si="24"/>
        <v>0</v>
      </c>
      <c r="AR19" s="164">
        <f t="shared" ca="1" si="25"/>
        <v>0</v>
      </c>
      <c r="AS19" s="152"/>
      <c r="AT19" s="154">
        <f t="shared" ca="1" si="26"/>
        <v>0</v>
      </c>
      <c r="AU19" s="154">
        <f t="shared" ca="1" si="27"/>
        <v>0</v>
      </c>
      <c r="AV19" s="154">
        <f t="shared" ca="1" si="28"/>
        <v>0</v>
      </c>
      <c r="AW19" s="154">
        <f t="shared" ca="1" si="29"/>
        <v>0</v>
      </c>
      <c r="AX19" s="154">
        <f t="shared" ca="1" si="30"/>
        <v>0</v>
      </c>
      <c r="AY19" s="154">
        <f t="shared" ca="1" si="31"/>
        <v>0</v>
      </c>
      <c r="AZ19" s="154">
        <f t="shared" ca="1" si="32"/>
        <v>0</v>
      </c>
      <c r="BA19" s="154">
        <f t="shared" ca="1" si="33"/>
        <v>0</v>
      </c>
      <c r="BB19" s="154">
        <f t="shared" ca="1" si="34"/>
        <v>0</v>
      </c>
      <c r="BC19" s="154">
        <f t="shared" ca="1" si="35"/>
        <v>0</v>
      </c>
      <c r="BD19" s="154">
        <f t="shared" ca="1" si="36"/>
        <v>0</v>
      </c>
      <c r="BE19" s="154">
        <f t="shared" ca="1" si="37"/>
        <v>0</v>
      </c>
      <c r="BF19" s="154">
        <f t="shared" ca="1" si="38"/>
        <v>0</v>
      </c>
      <c r="BG19" s="154">
        <f t="shared" ca="1" si="39"/>
        <v>0</v>
      </c>
      <c r="BH19" s="154">
        <f t="shared" ca="1" si="40"/>
        <v>0</v>
      </c>
      <c r="BI19" s="154">
        <f t="shared" ca="1" si="41"/>
        <v>0</v>
      </c>
      <c r="BJ19" s="154">
        <f t="shared" ca="1" si="42"/>
        <v>0</v>
      </c>
      <c r="BK19" s="154">
        <f t="shared" ca="1" si="43"/>
        <v>0</v>
      </c>
      <c r="BL19" s="154">
        <f t="shared" ca="1" si="44"/>
        <v>0</v>
      </c>
      <c r="BM19" s="154">
        <f t="shared" ca="1" si="45"/>
        <v>0</v>
      </c>
      <c r="BN19" s="154">
        <f t="shared" ca="1" si="46"/>
        <v>0</v>
      </c>
      <c r="BO19" s="154">
        <f t="shared" ca="1" si="47"/>
        <v>0</v>
      </c>
      <c r="BP19" s="154">
        <f t="shared" ca="1" si="48"/>
        <v>0</v>
      </c>
      <c r="BQ19" s="154">
        <f t="shared" ca="1" si="49"/>
        <v>0</v>
      </c>
      <c r="BR19" s="154">
        <f t="shared" ca="1" si="50"/>
        <v>0</v>
      </c>
      <c r="BS19" s="154">
        <f t="shared" ca="1" si="51"/>
        <v>0</v>
      </c>
      <c r="BT19" s="154">
        <f t="shared" ca="1" si="52"/>
        <v>0</v>
      </c>
      <c r="BU19" s="154">
        <f t="shared" ca="1" si="53"/>
        <v>0</v>
      </c>
      <c r="BV19" s="154">
        <f t="shared" ca="1" si="54"/>
        <v>0</v>
      </c>
      <c r="BW19" s="154">
        <f t="shared" ca="1" si="55"/>
        <v>0</v>
      </c>
      <c r="BX19" s="154">
        <f t="shared" ca="1" si="56"/>
        <v>0</v>
      </c>
      <c r="BY19" s="154">
        <f t="shared" ca="1" si="57"/>
        <v>0</v>
      </c>
      <c r="BZ19" s="154">
        <f t="shared" ca="1" si="80"/>
        <v>0</v>
      </c>
      <c r="CA19" s="154">
        <f t="shared" ca="1" si="58"/>
        <v>0</v>
      </c>
      <c r="CB19" s="154">
        <f t="shared" ca="1" si="59"/>
        <v>0</v>
      </c>
      <c r="CC19" s="523"/>
      <c r="CD19" s="355">
        <f t="shared" si="60"/>
        <v>48</v>
      </c>
      <c r="CE19" s="268" t="str">
        <f t="shared" ca="1" si="81"/>
        <v>D</v>
      </c>
      <c r="CF19" s="355" t="str">
        <f ca="1">IF(EXACT($B19,""),$CF18,CONCATENATE($CF18,$A19))</f>
        <v/>
      </c>
      <c r="CG19" s="268"/>
      <c r="CH19" s="268"/>
      <c r="CI19" s="269">
        <f t="shared" ca="1" si="61"/>
        <v>0</v>
      </c>
      <c r="CJ19" s="269">
        <f t="shared" ca="1" si="62"/>
        <v>0</v>
      </c>
      <c r="CK19" s="269"/>
      <c r="CL19" s="269"/>
      <c r="CM19" s="268">
        <f t="shared" ca="1" si="82"/>
        <v>0</v>
      </c>
      <c r="CN19" s="269">
        <f t="shared" ca="1" si="83"/>
        <v>0</v>
      </c>
      <c r="CO19" s="268" t="str">
        <f t="shared" ca="1" si="63"/>
        <v>D</v>
      </c>
      <c r="CP19" s="269" t="b">
        <f t="shared" ca="1" si="64"/>
        <v>1</v>
      </c>
      <c r="CQ19" s="269">
        <f t="shared" si="65"/>
        <v>0</v>
      </c>
      <c r="CR19" s="269">
        <f t="shared" si="66"/>
        <v>0</v>
      </c>
      <c r="CS19" s="269">
        <f t="shared" ca="1" si="67"/>
        <v>0</v>
      </c>
      <c r="CT19" s="302" t="str">
        <f t="shared" ca="1" si="84"/>
        <v>0</v>
      </c>
      <c r="CU19" s="269">
        <f t="shared" ca="1" si="68"/>
        <v>0</v>
      </c>
      <c r="CV19" s="268"/>
      <c r="CW19" s="269">
        <f t="shared" ca="1" si="69"/>
        <v>0</v>
      </c>
      <c r="CX19" s="301">
        <f t="shared" ca="1" si="70"/>
        <v>0</v>
      </c>
      <c r="CY19" s="301">
        <f t="shared" ca="1" si="85"/>
        <v>0</v>
      </c>
      <c r="CZ19" s="301">
        <f t="shared" ca="1" si="71"/>
        <v>0</v>
      </c>
      <c r="DA19" s="301">
        <f t="shared" ca="1" si="86"/>
        <v>0</v>
      </c>
      <c r="DC19" s="564" t="str">
        <f ca="1">IF($O19="","",IF($O19&gt;MAX(FF,GE,KK)+3-CJ19*2," TaW&gt; Max(FF, GE, KK) +"&amp;3-CJ19*2,""))</f>
        <v/>
      </c>
      <c r="DD19" s="1337" t="str">
        <f t="shared" ca="1" si="87"/>
        <v/>
      </c>
      <c r="DE19" s="1337" t="str">
        <f t="shared" ca="1" si="88"/>
        <v/>
      </c>
      <c r="DG19" s="269"/>
      <c r="DH19" s="269"/>
      <c r="DI19" s="269" t="str">
        <f ca="1">IF(NOT(ISERR(FIND(A19,Abfragen!$O$264,1))),MID(Abfragen!$O$264,FIND("(",Abfragen!$O$264,FIND(A19,Abfragen!$O$264,1)+LEN(A19))+1,FIND(")",Abfragen!$O$264,FIND(A19,Abfragen!$O$264,1)+LEN(A19))-FIND("(",Abfragen!$O$264,FIND(A19,Abfragen!$O$264,1)+LEN(A19))-1),"")</f>
        <v/>
      </c>
      <c r="DJ19" s="301" t="str">
        <f t="shared" ca="1" si="72"/>
        <v>D</v>
      </c>
      <c r="DK19" s="301" t="str">
        <f t="shared" ca="1" si="72"/>
        <v>D</v>
      </c>
      <c r="DL19" s="301" t="str">
        <f t="shared" ca="1" si="72"/>
        <v>D</v>
      </c>
      <c r="DM19" s="301" t="str">
        <f t="shared" ca="1" si="72"/>
        <v>D</v>
      </c>
      <c r="DN19" s="301" t="str">
        <f t="shared" ca="1" si="72"/>
        <v>D</v>
      </c>
      <c r="DO19" s="301" t="str">
        <f t="shared" ca="1" si="72"/>
        <v>D</v>
      </c>
      <c r="DP19" s="301" t="str">
        <f t="shared" ca="1" si="72"/>
        <v>D</v>
      </c>
      <c r="DQ19" s="301" t="str">
        <f t="shared" ca="1" si="72"/>
        <v>D</v>
      </c>
      <c r="DR19" s="301" t="str">
        <f t="shared" ca="1" si="72"/>
        <v>D</v>
      </c>
      <c r="DS19" s="301" t="str">
        <f t="shared" ca="1" si="72"/>
        <v>D</v>
      </c>
      <c r="DT19" s="301" t="str">
        <f t="shared" ca="1" si="73"/>
        <v>D</v>
      </c>
      <c r="DU19" s="301" t="str">
        <f t="shared" ca="1" si="73"/>
        <v>D</v>
      </c>
      <c r="DV19" s="301" t="str">
        <f t="shared" ca="1" si="73"/>
        <v>D</v>
      </c>
      <c r="DW19" s="301" t="str">
        <f t="shared" ca="1" si="73"/>
        <v>D</v>
      </c>
      <c r="DX19" s="301" t="str">
        <f t="shared" ca="1" si="73"/>
        <v>D</v>
      </c>
      <c r="DY19" s="301" t="str">
        <f t="shared" ca="1" si="73"/>
        <v>D</v>
      </c>
      <c r="DZ19" s="301" t="str">
        <f t="shared" ca="1" si="73"/>
        <v>D</v>
      </c>
      <c r="EA19" s="301" t="str">
        <f t="shared" ca="1" si="73"/>
        <v>D</v>
      </c>
      <c r="EB19" s="301" t="str">
        <f t="shared" ca="1" si="73"/>
        <v>D</v>
      </c>
      <c r="EC19" s="301" t="str">
        <f t="shared" ca="1" si="73"/>
        <v>D</v>
      </c>
      <c r="ED19" s="301" t="str">
        <f t="shared" ca="1" si="73"/>
        <v>D</v>
      </c>
      <c r="EE19" s="301" t="str">
        <f t="shared" ca="1" si="73"/>
        <v>D</v>
      </c>
      <c r="EF19" s="301">
        <f t="shared" si="74"/>
        <v>0</v>
      </c>
      <c r="EG19" s="301" t="str">
        <f t="shared" ca="1" si="75"/>
        <v>D</v>
      </c>
      <c r="EH19" s="301" t="str">
        <f t="shared" ca="1" si="75"/>
        <v>D</v>
      </c>
      <c r="EI19" s="301" t="str">
        <f t="shared" ca="1" si="75"/>
        <v>D</v>
      </c>
      <c r="EJ19" s="301" t="str">
        <f t="shared" ca="1" si="75"/>
        <v>D</v>
      </c>
      <c r="EK19" s="301" t="str">
        <f t="shared" ca="1" si="75"/>
        <v>D</v>
      </c>
      <c r="EL19" s="301" t="str">
        <f t="shared" ca="1" si="75"/>
        <v>D</v>
      </c>
      <c r="EM19" s="301" t="str">
        <f t="shared" ca="1" si="75"/>
        <v>D</v>
      </c>
      <c r="EN19" s="301" t="str">
        <f t="shared" ca="1" si="75"/>
        <v>D</v>
      </c>
      <c r="EO19" s="301" t="str">
        <f t="shared" ca="1" si="75"/>
        <v>D</v>
      </c>
      <c r="EP19" s="301" t="str">
        <f t="shared" ca="1" si="75"/>
        <v>D</v>
      </c>
      <c r="EQ19" s="301" t="str">
        <f t="shared" ca="1" si="76"/>
        <v>D</v>
      </c>
      <c r="ER19" s="301" t="str">
        <f t="shared" ca="1" si="76"/>
        <v>D</v>
      </c>
      <c r="ES19" s="301" t="str">
        <f t="shared" ca="1" si="76"/>
        <v>D</v>
      </c>
      <c r="ET19" s="301" t="str">
        <f t="shared" ca="1" si="76"/>
        <v>D</v>
      </c>
      <c r="EU19" s="301" t="str">
        <f t="shared" ca="1" si="76"/>
        <v>D</v>
      </c>
      <c r="EV19" s="301" t="str">
        <f t="shared" ca="1" si="76"/>
        <v>D</v>
      </c>
      <c r="EW19" s="301" t="str">
        <f t="shared" ca="1" si="76"/>
        <v>D</v>
      </c>
      <c r="EX19" s="301" t="str">
        <f t="shared" ca="1" si="76"/>
        <v>D</v>
      </c>
      <c r="EY19" s="301" t="str">
        <f t="shared" ca="1" si="76"/>
        <v>D</v>
      </c>
      <c r="EZ19" s="301" t="str">
        <f t="shared" ca="1" si="76"/>
        <v>D</v>
      </c>
      <c r="FA19" s="301" t="str">
        <f t="shared" ca="1" si="77"/>
        <v>D</v>
      </c>
      <c r="FB19" s="301" t="str">
        <f t="shared" ca="1" si="77"/>
        <v>D</v>
      </c>
      <c r="FC19" s="301" t="str">
        <f t="shared" ca="1" si="77"/>
        <v>D</v>
      </c>
      <c r="FD19" s="301" t="str">
        <f t="shared" ca="1" si="77"/>
        <v>D</v>
      </c>
      <c r="FE19" s="301" t="str">
        <f t="shared" ca="1" si="77"/>
        <v>D</v>
      </c>
      <c r="FF19" s="301" t="str">
        <f t="shared" ca="1" si="77"/>
        <v>D</v>
      </c>
      <c r="FG19" s="301" t="str">
        <f t="shared" ca="1" si="77"/>
        <v>D</v>
      </c>
      <c r="FH19" s="301" t="str">
        <f t="shared" ca="1" si="77"/>
        <v>D</v>
      </c>
      <c r="FI19" s="301" t="str">
        <f t="shared" ca="1" si="77"/>
        <v>D</v>
      </c>
      <c r="FJ19" s="301" t="str">
        <f t="shared" ca="1" si="77"/>
        <v>D</v>
      </c>
      <c r="FK19" s="301" t="str">
        <f t="shared" ca="1" si="77"/>
        <v>D</v>
      </c>
      <c r="FL19" s="301" t="str">
        <f t="shared" ca="1" si="77"/>
        <v>D</v>
      </c>
    </row>
    <row r="20" spans="1:168" x14ac:dyDescent="0.2">
      <c r="A20" s="24" t="str">
        <f t="shared" si="78"/>
        <v>Dolche</v>
      </c>
      <c r="B20" s="317">
        <f t="shared" ca="1" si="0"/>
        <v>0</v>
      </c>
      <c r="C20" s="332" t="s">
        <v>1321</v>
      </c>
      <c r="D20" s="1110"/>
      <c r="E20" s="1424"/>
      <c r="F20" s="325"/>
      <c r="G20" s="958"/>
      <c r="H20" s="1196"/>
      <c r="I20" s="326"/>
      <c r="J20" s="1880" t="str">
        <f t="shared" ca="1" si="79"/>
        <v>noch TaP zu verteilen! ►</v>
      </c>
      <c r="K20" s="1881"/>
      <c r="L20" s="1881"/>
      <c r="M20" s="1881"/>
      <c r="N20" s="1882"/>
      <c r="O20" s="613">
        <f t="shared" ca="1" si="2"/>
        <v>0</v>
      </c>
      <c r="P20" s="640"/>
      <c r="Q20" s="637" t="str">
        <f t="shared" ref="Q20:Q25" si="89">IF(ISBLANK($P20),"",SUM(AT,PA,$B20,$G20,$I20)-$P20)</f>
        <v/>
      </c>
      <c r="R20" s="1313"/>
      <c r="S20" s="1313"/>
      <c r="T20" s="1315"/>
      <c r="U20" s="1283"/>
      <c r="V20" s="628" t="str">
        <f t="shared" ca="1" si="3"/>
        <v/>
      </c>
      <c r="W20" s="164">
        <f t="shared" ca="1" si="4"/>
        <v>0</v>
      </c>
      <c r="X20" s="164">
        <f t="shared" ca="1" si="5"/>
        <v>0</v>
      </c>
      <c r="Y20" s="164">
        <f t="shared" ca="1" si="6"/>
        <v>0</v>
      </c>
      <c r="Z20" s="164">
        <f t="shared" ca="1" si="7"/>
        <v>0</v>
      </c>
      <c r="AA20" s="164">
        <f t="shared" ca="1" si="8"/>
        <v>0</v>
      </c>
      <c r="AB20" s="164">
        <f t="shared" ca="1" si="9"/>
        <v>0</v>
      </c>
      <c r="AC20" s="164">
        <f t="shared" ca="1" si="10"/>
        <v>0</v>
      </c>
      <c r="AD20" s="164">
        <f t="shared" ca="1" si="11"/>
        <v>0</v>
      </c>
      <c r="AE20" s="164">
        <f t="shared" ca="1" si="12"/>
        <v>0</v>
      </c>
      <c r="AF20" s="164">
        <f t="shared" ca="1" si="13"/>
        <v>0</v>
      </c>
      <c r="AG20" s="164">
        <f t="shared" ca="1" si="14"/>
        <v>0</v>
      </c>
      <c r="AH20" s="164">
        <f t="shared" ca="1" si="15"/>
        <v>0</v>
      </c>
      <c r="AI20" s="164">
        <f t="shared" ca="1" si="16"/>
        <v>0</v>
      </c>
      <c r="AJ20" s="164">
        <f t="shared" ca="1" si="17"/>
        <v>0</v>
      </c>
      <c r="AK20" s="164">
        <f t="shared" ca="1" si="18"/>
        <v>0</v>
      </c>
      <c r="AL20" s="164">
        <f t="shared" ca="1" si="19"/>
        <v>0</v>
      </c>
      <c r="AM20" s="164">
        <f t="shared" ca="1" si="20"/>
        <v>0</v>
      </c>
      <c r="AN20" s="164">
        <f t="shared" ca="1" si="21"/>
        <v>0</v>
      </c>
      <c r="AO20" s="164">
        <f t="shared" ca="1" si="22"/>
        <v>0</v>
      </c>
      <c r="AP20" s="164">
        <f t="shared" ca="1" si="23"/>
        <v>0</v>
      </c>
      <c r="AQ20" s="164">
        <f t="shared" ca="1" si="24"/>
        <v>0</v>
      </c>
      <c r="AR20" s="164">
        <f t="shared" ca="1" si="25"/>
        <v>0</v>
      </c>
      <c r="AS20" s="152"/>
      <c r="AT20" s="154">
        <f t="shared" ca="1" si="26"/>
        <v>0</v>
      </c>
      <c r="AU20" s="154">
        <f t="shared" ca="1" si="27"/>
        <v>0</v>
      </c>
      <c r="AV20" s="154">
        <f t="shared" ca="1" si="28"/>
        <v>0</v>
      </c>
      <c r="AW20" s="154">
        <f t="shared" ca="1" si="29"/>
        <v>0</v>
      </c>
      <c r="AX20" s="154">
        <f t="shared" ca="1" si="30"/>
        <v>0</v>
      </c>
      <c r="AY20" s="154">
        <f t="shared" ca="1" si="31"/>
        <v>0</v>
      </c>
      <c r="AZ20" s="154">
        <f t="shared" ca="1" si="32"/>
        <v>0</v>
      </c>
      <c r="BA20" s="154">
        <f t="shared" ca="1" si="33"/>
        <v>0</v>
      </c>
      <c r="BB20" s="154">
        <f t="shared" ca="1" si="34"/>
        <v>0</v>
      </c>
      <c r="BC20" s="154">
        <f t="shared" ca="1" si="35"/>
        <v>0</v>
      </c>
      <c r="BD20" s="154">
        <f t="shared" ca="1" si="36"/>
        <v>0</v>
      </c>
      <c r="BE20" s="154">
        <f t="shared" ca="1" si="37"/>
        <v>0</v>
      </c>
      <c r="BF20" s="154">
        <f t="shared" ca="1" si="38"/>
        <v>0</v>
      </c>
      <c r="BG20" s="154">
        <f t="shared" ca="1" si="39"/>
        <v>0</v>
      </c>
      <c r="BH20" s="154">
        <f t="shared" ca="1" si="40"/>
        <v>0</v>
      </c>
      <c r="BI20" s="154">
        <f t="shared" ca="1" si="41"/>
        <v>0</v>
      </c>
      <c r="BJ20" s="154">
        <f t="shared" ca="1" si="42"/>
        <v>0</v>
      </c>
      <c r="BK20" s="154">
        <f t="shared" ca="1" si="43"/>
        <v>0</v>
      </c>
      <c r="BL20" s="154">
        <f t="shared" ca="1" si="44"/>
        <v>0</v>
      </c>
      <c r="BM20" s="154">
        <f t="shared" ca="1" si="45"/>
        <v>0</v>
      </c>
      <c r="BN20" s="154">
        <f t="shared" ca="1" si="46"/>
        <v>0</v>
      </c>
      <c r="BO20" s="154">
        <f t="shared" ca="1" si="47"/>
        <v>0</v>
      </c>
      <c r="BP20" s="154">
        <f t="shared" ca="1" si="48"/>
        <v>0</v>
      </c>
      <c r="BQ20" s="154">
        <f t="shared" ca="1" si="49"/>
        <v>0</v>
      </c>
      <c r="BR20" s="154">
        <f t="shared" ca="1" si="50"/>
        <v>0</v>
      </c>
      <c r="BS20" s="154">
        <f t="shared" ca="1" si="51"/>
        <v>0</v>
      </c>
      <c r="BT20" s="154">
        <f t="shared" ca="1" si="52"/>
        <v>0</v>
      </c>
      <c r="BU20" s="154">
        <f t="shared" ca="1" si="53"/>
        <v>0</v>
      </c>
      <c r="BV20" s="154">
        <f t="shared" ca="1" si="54"/>
        <v>0</v>
      </c>
      <c r="BW20" s="154">
        <f t="shared" ca="1" si="55"/>
        <v>0</v>
      </c>
      <c r="BX20" s="154">
        <f t="shared" ca="1" si="56"/>
        <v>0</v>
      </c>
      <c r="BY20" s="154">
        <f t="shared" ca="1" si="57"/>
        <v>0</v>
      </c>
      <c r="BZ20" s="154">
        <f t="shared" ca="1" si="80"/>
        <v>0</v>
      </c>
      <c r="CA20" s="154">
        <f t="shared" ca="1" si="58"/>
        <v>0</v>
      </c>
      <c r="CB20" s="154">
        <f t="shared" ca="1" si="59"/>
        <v>0</v>
      </c>
      <c r="CC20" s="523"/>
      <c r="CD20" s="355">
        <f t="shared" si="60"/>
        <v>49</v>
      </c>
      <c r="CE20" s="268" t="str">
        <f t="shared" ca="1" si="81"/>
        <v>D</v>
      </c>
      <c r="CF20" s="355"/>
      <c r="CG20" s="268"/>
      <c r="CH20" s="268"/>
      <c r="CI20" s="269">
        <f t="shared" ca="1" si="61"/>
        <v>0</v>
      </c>
      <c r="CJ20" s="269">
        <f t="shared" ca="1" si="62"/>
        <v>0</v>
      </c>
      <c r="CK20" s="269"/>
      <c r="CL20" s="269"/>
      <c r="CM20" s="268">
        <f t="shared" ca="1" si="82"/>
        <v>0</v>
      </c>
      <c r="CN20" s="269">
        <f t="shared" ca="1" si="83"/>
        <v>0</v>
      </c>
      <c r="CO20" s="271" t="str">
        <f ca="1">CHAR(CODE(VLOOKUP($A20,BASISSKT,4,FALSE))+$CN20)</f>
        <v>D</v>
      </c>
      <c r="CP20" s="269" t="b">
        <f t="shared" ca="1" si="64"/>
        <v>1</v>
      </c>
      <c r="CQ20" s="269">
        <f t="shared" si="65"/>
        <v>0</v>
      </c>
      <c r="CR20" s="269">
        <f t="shared" si="66"/>
        <v>0</v>
      </c>
      <c r="CS20" s="269">
        <f t="shared" ca="1" si="67"/>
        <v>0</v>
      </c>
      <c r="CT20" s="302" t="str">
        <f t="shared" ca="1" si="84"/>
        <v>0</v>
      </c>
      <c r="CU20" s="269">
        <f t="shared" ca="1" si="68"/>
        <v>0</v>
      </c>
      <c r="CV20" s="268"/>
      <c r="CW20" s="269">
        <f t="shared" ca="1" si="69"/>
        <v>0</v>
      </c>
      <c r="CX20" s="301">
        <f t="shared" ca="1" si="70"/>
        <v>0</v>
      </c>
      <c r="CY20" s="301">
        <f t="shared" ca="1" si="85"/>
        <v>0</v>
      </c>
      <c r="CZ20" s="301">
        <f t="shared" ca="1" si="71"/>
        <v>0</v>
      </c>
      <c r="DA20" s="301">
        <f t="shared" ca="1" si="86"/>
        <v>0</v>
      </c>
      <c r="DB20" t="str">
        <f t="shared" ref="DB20:DB25" ca="1" si="90">IF(AND(EXACT($C20,""),ISBLANK($I20)),"",IF(SUM($P20,$Q20)&lt;SUM(AT,PA,$B20,$G20,$I20),"noch TaP zu verteilen! ►",IF($P20&lt;AT,"Immer diese Pazifisten",IF($P20&gt;SUM(AT,$B20,$G20,$I20),"Ach, pfeif drauf! ATTACKE!",""))))</f>
        <v>noch TaP zu verteilen! ►</v>
      </c>
      <c r="DC20" s="301" t="str">
        <f t="shared" ref="DC20:DC30" ca="1" si="91">IF($O20="","",IF($O20&gt;MAX(GE,KK)+3-CJ20*2," TaW&gt; Max(GE;KK)+"&amp;3-CJ20*2,""))</f>
        <v/>
      </c>
      <c r="DD20" s="1337" t="str">
        <f t="shared" ca="1" si="87"/>
        <v/>
      </c>
      <c r="DE20" s="1337" t="str">
        <f t="shared" ca="1" si="88"/>
        <v/>
      </c>
      <c r="DG20" s="269"/>
      <c r="DH20" s="269"/>
      <c r="DI20" s="269" t="str">
        <f ca="1">IF(NOT(ISERR(FIND(A20,Abfragen!$O$264,1))),MID(Abfragen!$O$264,FIND("(",Abfragen!$O$264,FIND(A20,Abfragen!$O$264,1)+LEN(A20))+1,FIND(")",Abfragen!$O$264,FIND(A20,Abfragen!$O$264,1)+LEN(A20))-FIND("(",Abfragen!$O$264,FIND(A20,Abfragen!$O$264,1)+LEN(A20))-1),"")</f>
        <v/>
      </c>
      <c r="DJ20" s="301" t="str">
        <f t="shared" ca="1" si="72"/>
        <v>D</v>
      </c>
      <c r="DK20" s="301" t="str">
        <f t="shared" ca="1" si="72"/>
        <v>D</v>
      </c>
      <c r="DL20" s="301" t="str">
        <f t="shared" ca="1" si="72"/>
        <v>D</v>
      </c>
      <c r="DM20" s="301" t="str">
        <f t="shared" ca="1" si="72"/>
        <v>D</v>
      </c>
      <c r="DN20" s="301" t="str">
        <f t="shared" ca="1" si="72"/>
        <v>D</v>
      </c>
      <c r="DO20" s="301" t="str">
        <f t="shared" ca="1" si="72"/>
        <v>D</v>
      </c>
      <c r="DP20" s="301" t="str">
        <f t="shared" ca="1" si="72"/>
        <v>D</v>
      </c>
      <c r="DQ20" s="301" t="str">
        <f t="shared" ca="1" si="72"/>
        <v>D</v>
      </c>
      <c r="DR20" s="301" t="str">
        <f t="shared" ca="1" si="72"/>
        <v>D</v>
      </c>
      <c r="DS20" s="301" t="str">
        <f t="shared" ca="1" si="72"/>
        <v>D</v>
      </c>
      <c r="DT20" s="301" t="str">
        <f t="shared" ca="1" si="73"/>
        <v>D</v>
      </c>
      <c r="DU20" s="301" t="str">
        <f t="shared" ca="1" si="73"/>
        <v>D</v>
      </c>
      <c r="DV20" s="301" t="str">
        <f t="shared" ca="1" si="73"/>
        <v>D</v>
      </c>
      <c r="DW20" s="301" t="str">
        <f t="shared" ca="1" si="73"/>
        <v>D</v>
      </c>
      <c r="DX20" s="301" t="str">
        <f t="shared" ca="1" si="73"/>
        <v>D</v>
      </c>
      <c r="DY20" s="301" t="str">
        <f t="shared" ca="1" si="73"/>
        <v>D</v>
      </c>
      <c r="DZ20" s="301" t="str">
        <f t="shared" ca="1" si="73"/>
        <v>D</v>
      </c>
      <c r="EA20" s="301" t="str">
        <f t="shared" ca="1" si="73"/>
        <v>D</v>
      </c>
      <c r="EB20" s="301" t="str">
        <f t="shared" ca="1" si="73"/>
        <v>D</v>
      </c>
      <c r="EC20" s="301" t="str">
        <f t="shared" ca="1" si="73"/>
        <v>D</v>
      </c>
      <c r="ED20" s="301" t="str">
        <f t="shared" ca="1" si="73"/>
        <v>D</v>
      </c>
      <c r="EE20" s="301" t="str">
        <f t="shared" ca="1" si="73"/>
        <v>D</v>
      </c>
      <c r="EF20" s="301">
        <f t="shared" si="74"/>
        <v>0</v>
      </c>
      <c r="EG20" s="301" t="str">
        <f t="shared" ca="1" si="75"/>
        <v>D</v>
      </c>
      <c r="EH20" s="301" t="str">
        <f t="shared" ca="1" si="75"/>
        <v>D</v>
      </c>
      <c r="EI20" s="301" t="str">
        <f t="shared" ca="1" si="75"/>
        <v>D</v>
      </c>
      <c r="EJ20" s="301" t="str">
        <f t="shared" ca="1" si="75"/>
        <v>D</v>
      </c>
      <c r="EK20" s="301" t="str">
        <f t="shared" ca="1" si="75"/>
        <v>D</v>
      </c>
      <c r="EL20" s="301" t="str">
        <f t="shared" ca="1" si="75"/>
        <v>D</v>
      </c>
      <c r="EM20" s="301" t="str">
        <f t="shared" ca="1" si="75"/>
        <v>D</v>
      </c>
      <c r="EN20" s="301" t="str">
        <f t="shared" ca="1" si="75"/>
        <v>D</v>
      </c>
      <c r="EO20" s="301" t="str">
        <f t="shared" ca="1" si="75"/>
        <v>D</v>
      </c>
      <c r="EP20" s="301" t="str">
        <f t="shared" ca="1" si="75"/>
        <v>D</v>
      </c>
      <c r="EQ20" s="301" t="str">
        <f t="shared" ca="1" si="76"/>
        <v>D</v>
      </c>
      <c r="ER20" s="301" t="str">
        <f t="shared" ca="1" si="76"/>
        <v>D</v>
      </c>
      <c r="ES20" s="301" t="str">
        <f t="shared" ca="1" si="76"/>
        <v>D</v>
      </c>
      <c r="ET20" s="301" t="str">
        <f t="shared" ca="1" si="76"/>
        <v>D</v>
      </c>
      <c r="EU20" s="301" t="str">
        <f t="shared" ca="1" si="76"/>
        <v>D</v>
      </c>
      <c r="EV20" s="301" t="str">
        <f t="shared" ca="1" si="76"/>
        <v>D</v>
      </c>
      <c r="EW20" s="301" t="str">
        <f t="shared" ca="1" si="76"/>
        <v>D</v>
      </c>
      <c r="EX20" s="301" t="str">
        <f t="shared" ca="1" si="76"/>
        <v>D</v>
      </c>
      <c r="EY20" s="301" t="str">
        <f t="shared" ca="1" si="76"/>
        <v>D</v>
      </c>
      <c r="EZ20" s="301" t="str">
        <f t="shared" ca="1" si="76"/>
        <v>D</v>
      </c>
      <c r="FA20" s="301" t="str">
        <f t="shared" ca="1" si="77"/>
        <v>D</v>
      </c>
      <c r="FB20" s="301" t="str">
        <f t="shared" ca="1" si="77"/>
        <v>D</v>
      </c>
      <c r="FC20" s="301" t="str">
        <f t="shared" ca="1" si="77"/>
        <v>D</v>
      </c>
      <c r="FD20" s="301" t="str">
        <f t="shared" ca="1" si="77"/>
        <v>D</v>
      </c>
      <c r="FE20" s="301" t="str">
        <f t="shared" ca="1" si="77"/>
        <v>D</v>
      </c>
      <c r="FF20" s="301" t="str">
        <f t="shared" ca="1" si="77"/>
        <v>D</v>
      </c>
      <c r="FG20" s="301" t="str">
        <f t="shared" ca="1" si="77"/>
        <v>D</v>
      </c>
      <c r="FH20" s="301" t="str">
        <f t="shared" ca="1" si="77"/>
        <v>D</v>
      </c>
      <c r="FI20" s="301" t="str">
        <f t="shared" ca="1" si="77"/>
        <v>D</v>
      </c>
      <c r="FJ20" s="301" t="str">
        <f t="shared" ca="1" si="77"/>
        <v>D</v>
      </c>
      <c r="FK20" s="301" t="str">
        <f t="shared" ca="1" si="77"/>
        <v>D</v>
      </c>
      <c r="FL20" s="301" t="str">
        <f t="shared" ca="1" si="77"/>
        <v>D</v>
      </c>
    </row>
    <row r="21" spans="1:168" x14ac:dyDescent="0.2">
      <c r="A21" s="24" t="str">
        <f t="shared" si="78"/>
        <v>Fechtwaffen</v>
      </c>
      <c r="B21" s="317" t="str">
        <f t="shared" ca="1" si="0"/>
        <v/>
      </c>
      <c r="C21" s="332" t="str">
        <f ca="1">IF(OR(NOT(ISBLANK(D21)),NOT(ISBLANK(HLOOKUP(RASSEGENE,RASSE,$CD21,FALSE))),
NOT(ISBLANK(HLOOKUP(KULTURGENE,KULTUR,$CD21,FALSE))),
NOT(OR(ISBLANK(HLOOKUP(PROFGENE,INDIRECT(PROFGEBIET),$CD21,FALSE)),$CS21="N",$CS21="M")),
IF(PROFZWEITE="",FALSE,NOT(ISBLANK(HLOOKUP(PROFZWEITE,INDIRECT(PROFGEBIET2),$CD21,FALSE))))),"x","")</f>
        <v/>
      </c>
      <c r="D21" s="1110"/>
      <c r="E21" s="1424"/>
      <c r="F21" s="325"/>
      <c r="G21" s="958"/>
      <c r="H21" s="1196"/>
      <c r="I21" s="326"/>
      <c r="J21" s="1880" t="str">
        <f t="shared" ca="1" si="79"/>
        <v/>
      </c>
      <c r="K21" s="1881"/>
      <c r="L21" s="1881"/>
      <c r="M21" s="1881"/>
      <c r="N21" s="1882"/>
      <c r="O21" s="613" t="str">
        <f t="shared" ca="1" si="2"/>
        <v/>
      </c>
      <c r="P21" s="640"/>
      <c r="Q21" s="637" t="str">
        <f t="shared" si="89"/>
        <v/>
      </c>
      <c r="R21" s="1313"/>
      <c r="S21" s="1313"/>
      <c r="T21" s="1315"/>
      <c r="U21" s="1283"/>
      <c r="V21" s="628" t="str">
        <f t="shared" ca="1" si="3"/>
        <v/>
      </c>
      <c r="W21" s="164">
        <f t="shared" ca="1" si="4"/>
        <v>0</v>
      </c>
      <c r="X21" s="164">
        <f t="shared" ca="1" si="5"/>
        <v>0</v>
      </c>
      <c r="Y21" s="164">
        <f t="shared" ca="1" si="6"/>
        <v>0</v>
      </c>
      <c r="Z21" s="164">
        <f t="shared" ca="1" si="7"/>
        <v>0</v>
      </c>
      <c r="AA21" s="164">
        <f t="shared" ca="1" si="8"/>
        <v>0</v>
      </c>
      <c r="AB21" s="164">
        <f t="shared" ca="1" si="9"/>
        <v>0</v>
      </c>
      <c r="AC21" s="164">
        <f t="shared" ca="1" si="10"/>
        <v>0</v>
      </c>
      <c r="AD21" s="164">
        <f t="shared" ca="1" si="11"/>
        <v>0</v>
      </c>
      <c r="AE21" s="164">
        <f t="shared" ca="1" si="12"/>
        <v>0</v>
      </c>
      <c r="AF21" s="164">
        <f t="shared" ca="1" si="13"/>
        <v>0</v>
      </c>
      <c r="AG21" s="164">
        <f t="shared" ca="1" si="14"/>
        <v>0</v>
      </c>
      <c r="AH21" s="164">
        <f t="shared" ca="1" si="15"/>
        <v>0</v>
      </c>
      <c r="AI21" s="164">
        <f t="shared" ca="1" si="16"/>
        <v>0</v>
      </c>
      <c r="AJ21" s="164">
        <f t="shared" ca="1" si="17"/>
        <v>0</v>
      </c>
      <c r="AK21" s="164">
        <f t="shared" ca="1" si="18"/>
        <v>0</v>
      </c>
      <c r="AL21" s="164">
        <f t="shared" ca="1" si="19"/>
        <v>0</v>
      </c>
      <c r="AM21" s="164">
        <f t="shared" ca="1" si="20"/>
        <v>0</v>
      </c>
      <c r="AN21" s="164">
        <f t="shared" ca="1" si="21"/>
        <v>0</v>
      </c>
      <c r="AO21" s="164">
        <f t="shared" ca="1" si="22"/>
        <v>0</v>
      </c>
      <c r="AP21" s="164">
        <f t="shared" ca="1" si="23"/>
        <v>0</v>
      </c>
      <c r="AQ21" s="164">
        <f t="shared" ca="1" si="24"/>
        <v>0</v>
      </c>
      <c r="AR21" s="164">
        <f t="shared" ca="1" si="25"/>
        <v>0</v>
      </c>
      <c r="AS21" s="152"/>
      <c r="AT21" s="154">
        <f t="shared" ca="1" si="26"/>
        <v>0</v>
      </c>
      <c r="AU21" s="154">
        <f t="shared" ca="1" si="27"/>
        <v>0</v>
      </c>
      <c r="AV21" s="154">
        <f t="shared" ca="1" si="28"/>
        <v>0</v>
      </c>
      <c r="AW21" s="154">
        <f t="shared" ca="1" si="29"/>
        <v>0</v>
      </c>
      <c r="AX21" s="154">
        <f t="shared" ca="1" si="30"/>
        <v>0</v>
      </c>
      <c r="AY21" s="154">
        <f t="shared" ca="1" si="31"/>
        <v>0</v>
      </c>
      <c r="AZ21" s="154">
        <f t="shared" ca="1" si="32"/>
        <v>0</v>
      </c>
      <c r="BA21" s="154">
        <f t="shared" ca="1" si="33"/>
        <v>0</v>
      </c>
      <c r="BB21" s="154">
        <f t="shared" ca="1" si="34"/>
        <v>0</v>
      </c>
      <c r="BC21" s="154">
        <f t="shared" ca="1" si="35"/>
        <v>0</v>
      </c>
      <c r="BD21" s="154">
        <f t="shared" ca="1" si="36"/>
        <v>0</v>
      </c>
      <c r="BE21" s="154">
        <f t="shared" ca="1" si="37"/>
        <v>0</v>
      </c>
      <c r="BF21" s="154">
        <f t="shared" ca="1" si="38"/>
        <v>0</v>
      </c>
      <c r="BG21" s="154">
        <f t="shared" ca="1" si="39"/>
        <v>0</v>
      </c>
      <c r="BH21" s="154">
        <f t="shared" ca="1" si="40"/>
        <v>0</v>
      </c>
      <c r="BI21" s="154">
        <f t="shared" ca="1" si="41"/>
        <v>0</v>
      </c>
      <c r="BJ21" s="154">
        <f t="shared" ca="1" si="42"/>
        <v>0</v>
      </c>
      <c r="BK21" s="154">
        <f t="shared" ca="1" si="43"/>
        <v>0</v>
      </c>
      <c r="BL21" s="154">
        <f t="shared" ca="1" si="44"/>
        <v>0</v>
      </c>
      <c r="BM21" s="154">
        <f t="shared" ca="1" si="45"/>
        <v>0</v>
      </c>
      <c r="BN21" s="154">
        <f t="shared" ca="1" si="46"/>
        <v>0</v>
      </c>
      <c r="BO21" s="154">
        <f t="shared" ca="1" si="47"/>
        <v>0</v>
      </c>
      <c r="BP21" s="154">
        <f t="shared" ca="1" si="48"/>
        <v>0</v>
      </c>
      <c r="BQ21" s="154">
        <f t="shared" ca="1" si="49"/>
        <v>0</v>
      </c>
      <c r="BR21" s="154">
        <f t="shared" ca="1" si="50"/>
        <v>0</v>
      </c>
      <c r="BS21" s="154">
        <f t="shared" ca="1" si="51"/>
        <v>0</v>
      </c>
      <c r="BT21" s="154">
        <f t="shared" ca="1" si="52"/>
        <v>0</v>
      </c>
      <c r="BU21" s="154">
        <f t="shared" ca="1" si="53"/>
        <v>0</v>
      </c>
      <c r="BV21" s="154">
        <f t="shared" ca="1" si="54"/>
        <v>0</v>
      </c>
      <c r="BW21" s="154">
        <f t="shared" ca="1" si="55"/>
        <v>0</v>
      </c>
      <c r="BX21" s="154">
        <f t="shared" ca="1" si="56"/>
        <v>0</v>
      </c>
      <c r="BY21" s="154">
        <f t="shared" ca="1" si="57"/>
        <v>0</v>
      </c>
      <c r="BZ21" s="154">
        <f t="shared" ca="1" si="80"/>
        <v>0</v>
      </c>
      <c r="CA21" s="154">
        <f t="shared" ca="1" si="58"/>
        <v>0</v>
      </c>
      <c r="CB21" s="154">
        <f t="shared" ca="1" si="59"/>
        <v>0</v>
      </c>
      <c r="CC21" s="523"/>
      <c r="CD21" s="355">
        <f t="shared" si="60"/>
        <v>50</v>
      </c>
      <c r="CE21" s="268" t="str">
        <f t="shared" ca="1" si="81"/>
        <v>E</v>
      </c>
      <c r="CF21" s="355" t="str">
        <f ca="1">IF(EXACT($B21,""),$CF19,CONCATENATE($CF19,$A21))</f>
        <v/>
      </c>
      <c r="CG21" s="268"/>
      <c r="CH21" s="268"/>
      <c r="CI21" s="269">
        <f t="shared" ca="1" si="61"/>
        <v>0</v>
      </c>
      <c r="CJ21" s="269">
        <f t="shared" ca="1" si="62"/>
        <v>0</v>
      </c>
      <c r="CK21" s="269"/>
      <c r="CL21" s="269"/>
      <c r="CM21" s="268">
        <f t="shared" ca="1" si="82"/>
        <v>0</v>
      </c>
      <c r="CN21" s="269">
        <f t="shared" ca="1" si="83"/>
        <v>0</v>
      </c>
      <c r="CO21" s="268" t="str">
        <f ca="1">CHAR(CODE(VLOOKUP($A21,TL_KPF_WERTE,6,FALSE))+$CN21)</f>
        <v>E</v>
      </c>
      <c r="CP21" s="269" t="b">
        <f t="shared" ca="1" si="64"/>
        <v>1</v>
      </c>
      <c r="CQ21" s="269">
        <f t="shared" si="65"/>
        <v>0</v>
      </c>
      <c r="CR21" s="269">
        <f t="shared" si="66"/>
        <v>0</v>
      </c>
      <c r="CS21" s="269">
        <f t="shared" ca="1" si="67"/>
        <v>0</v>
      </c>
      <c r="CT21" s="302" t="str">
        <f t="shared" ca="1" si="84"/>
        <v>0</v>
      </c>
      <c r="CU21" s="269">
        <f t="shared" ca="1" si="68"/>
        <v>0</v>
      </c>
      <c r="CV21" s="268"/>
      <c r="CW21" s="269">
        <f t="shared" ca="1" si="69"/>
        <v>0</v>
      </c>
      <c r="CX21" s="301">
        <f t="shared" ca="1" si="70"/>
        <v>0</v>
      </c>
      <c r="CY21" s="301">
        <f t="shared" ca="1" si="85"/>
        <v>0</v>
      </c>
      <c r="CZ21" s="301">
        <f t="shared" ca="1" si="71"/>
        <v>0</v>
      </c>
      <c r="DA21" s="301">
        <f t="shared" ca="1" si="86"/>
        <v>0</v>
      </c>
      <c r="DB21" t="str">
        <f t="shared" ca="1" si="90"/>
        <v/>
      </c>
      <c r="DC21" s="301" t="str">
        <f t="shared" ca="1" si="91"/>
        <v/>
      </c>
      <c r="DD21" s="1337" t="str">
        <f t="shared" ca="1" si="87"/>
        <v/>
      </c>
      <c r="DE21" s="1337" t="str">
        <f t="shared" ca="1" si="88"/>
        <v/>
      </c>
      <c r="DG21" s="269"/>
      <c r="DH21" s="269"/>
      <c r="DI21" s="269" t="str">
        <f ca="1">IF(NOT(ISERR(FIND(A21,Abfragen!$O$264,1))),MID(Abfragen!$O$264,FIND("(",Abfragen!$O$264,FIND(A21,Abfragen!$O$264,1)+LEN(A21))+1,FIND(")",Abfragen!$O$264,FIND(A21,Abfragen!$O$264,1)+LEN(A21))-FIND("(",Abfragen!$O$264,FIND(A21,Abfragen!$O$264,1)+LEN(A21))-1),"")</f>
        <v/>
      </c>
      <c r="DJ21" s="301" t="str">
        <f t="shared" ca="1" si="72"/>
        <v>E</v>
      </c>
      <c r="DK21" s="301" t="str">
        <f t="shared" ca="1" si="72"/>
        <v>E</v>
      </c>
      <c r="DL21" s="301" t="str">
        <f t="shared" ca="1" si="72"/>
        <v>E</v>
      </c>
      <c r="DM21" s="301" t="str">
        <f t="shared" ca="1" si="72"/>
        <v>E</v>
      </c>
      <c r="DN21" s="301" t="str">
        <f t="shared" ca="1" si="72"/>
        <v>E</v>
      </c>
      <c r="DO21" s="301" t="str">
        <f t="shared" ca="1" si="72"/>
        <v>E</v>
      </c>
      <c r="DP21" s="301" t="str">
        <f t="shared" ca="1" si="72"/>
        <v>E</v>
      </c>
      <c r="DQ21" s="301" t="str">
        <f t="shared" ca="1" si="72"/>
        <v>E</v>
      </c>
      <c r="DR21" s="301" t="str">
        <f t="shared" ca="1" si="72"/>
        <v>E</v>
      </c>
      <c r="DS21" s="301" t="str">
        <f t="shared" ca="1" si="72"/>
        <v>E</v>
      </c>
      <c r="DT21" s="301" t="str">
        <f t="shared" ca="1" si="73"/>
        <v>E</v>
      </c>
      <c r="DU21" s="301" t="str">
        <f t="shared" ca="1" si="73"/>
        <v>E</v>
      </c>
      <c r="DV21" s="301" t="str">
        <f t="shared" ca="1" si="73"/>
        <v>E</v>
      </c>
      <c r="DW21" s="301" t="str">
        <f t="shared" ca="1" si="73"/>
        <v>E</v>
      </c>
      <c r="DX21" s="301" t="str">
        <f t="shared" ca="1" si="73"/>
        <v>E</v>
      </c>
      <c r="DY21" s="301" t="str">
        <f t="shared" ca="1" si="73"/>
        <v>E</v>
      </c>
      <c r="DZ21" s="301" t="str">
        <f t="shared" ca="1" si="73"/>
        <v>E</v>
      </c>
      <c r="EA21" s="301" t="str">
        <f t="shared" ca="1" si="73"/>
        <v>E</v>
      </c>
      <c r="EB21" s="301" t="str">
        <f t="shared" ca="1" si="73"/>
        <v>E</v>
      </c>
      <c r="EC21" s="301" t="str">
        <f t="shared" ca="1" si="73"/>
        <v>E</v>
      </c>
      <c r="ED21" s="301" t="str">
        <f t="shared" ca="1" si="73"/>
        <v>E</v>
      </c>
      <c r="EE21" s="301" t="str">
        <f t="shared" ca="1" si="73"/>
        <v>E</v>
      </c>
      <c r="EF21" s="301">
        <f t="shared" si="74"/>
        <v>0</v>
      </c>
      <c r="EG21" s="301" t="str">
        <f t="shared" ca="1" si="75"/>
        <v>E</v>
      </c>
      <c r="EH21" s="301" t="str">
        <f t="shared" ca="1" si="75"/>
        <v>E</v>
      </c>
      <c r="EI21" s="301" t="str">
        <f t="shared" ca="1" si="75"/>
        <v>E</v>
      </c>
      <c r="EJ21" s="301" t="str">
        <f t="shared" ca="1" si="75"/>
        <v>E</v>
      </c>
      <c r="EK21" s="301" t="str">
        <f t="shared" ca="1" si="75"/>
        <v>E</v>
      </c>
      <c r="EL21" s="301" t="str">
        <f t="shared" ca="1" si="75"/>
        <v>E</v>
      </c>
      <c r="EM21" s="301" t="str">
        <f t="shared" ca="1" si="75"/>
        <v>E</v>
      </c>
      <c r="EN21" s="301" t="str">
        <f t="shared" ca="1" si="75"/>
        <v>E</v>
      </c>
      <c r="EO21" s="301" t="str">
        <f t="shared" ca="1" si="75"/>
        <v>E</v>
      </c>
      <c r="EP21" s="301" t="str">
        <f t="shared" ca="1" si="75"/>
        <v>E</v>
      </c>
      <c r="EQ21" s="301" t="str">
        <f t="shared" ca="1" si="76"/>
        <v>E</v>
      </c>
      <c r="ER21" s="301" t="str">
        <f t="shared" ca="1" si="76"/>
        <v>E</v>
      </c>
      <c r="ES21" s="301" t="str">
        <f t="shared" ca="1" si="76"/>
        <v>E</v>
      </c>
      <c r="ET21" s="301" t="str">
        <f t="shared" ca="1" si="76"/>
        <v>E</v>
      </c>
      <c r="EU21" s="301" t="str">
        <f t="shared" ca="1" si="76"/>
        <v>E</v>
      </c>
      <c r="EV21" s="301" t="str">
        <f t="shared" ca="1" si="76"/>
        <v>E</v>
      </c>
      <c r="EW21" s="301" t="str">
        <f t="shared" ca="1" si="76"/>
        <v>E</v>
      </c>
      <c r="EX21" s="301" t="str">
        <f t="shared" ca="1" si="76"/>
        <v>E</v>
      </c>
      <c r="EY21" s="301" t="str">
        <f t="shared" ca="1" si="76"/>
        <v>E</v>
      </c>
      <c r="EZ21" s="301" t="str">
        <f t="shared" ca="1" si="76"/>
        <v>E</v>
      </c>
      <c r="FA21" s="301" t="str">
        <f t="shared" ca="1" si="77"/>
        <v>E</v>
      </c>
      <c r="FB21" s="301" t="str">
        <f t="shared" ca="1" si="77"/>
        <v>E</v>
      </c>
      <c r="FC21" s="301" t="str">
        <f t="shared" ca="1" si="77"/>
        <v>E</v>
      </c>
      <c r="FD21" s="301" t="str">
        <f t="shared" ca="1" si="77"/>
        <v>E</v>
      </c>
      <c r="FE21" s="301" t="str">
        <f t="shared" ca="1" si="77"/>
        <v>E</v>
      </c>
      <c r="FF21" s="301" t="str">
        <f t="shared" ca="1" si="77"/>
        <v>E</v>
      </c>
      <c r="FG21" s="301" t="str">
        <f t="shared" ca="1" si="77"/>
        <v>E</v>
      </c>
      <c r="FH21" s="301" t="str">
        <f t="shared" ca="1" si="77"/>
        <v>E</v>
      </c>
      <c r="FI21" s="301" t="str">
        <f t="shared" ca="1" si="77"/>
        <v>E</v>
      </c>
      <c r="FJ21" s="301" t="str">
        <f t="shared" ca="1" si="77"/>
        <v>E</v>
      </c>
      <c r="FK21" s="301" t="str">
        <f t="shared" ca="1" si="77"/>
        <v>E</v>
      </c>
      <c r="FL21" s="301" t="str">
        <f t="shared" ca="1" si="77"/>
        <v>E</v>
      </c>
    </row>
    <row r="22" spans="1:168" x14ac:dyDescent="0.2">
      <c r="A22" s="24" t="str">
        <f t="shared" si="78"/>
        <v>Hiebwaffen</v>
      </c>
      <c r="B22" s="317">
        <f t="shared" ca="1" si="0"/>
        <v>0</v>
      </c>
      <c r="C22" s="332" t="s">
        <v>1321</v>
      </c>
      <c r="D22" s="1127"/>
      <c r="E22" s="1424"/>
      <c r="F22" s="325"/>
      <c r="G22" s="958"/>
      <c r="H22" s="1196"/>
      <c r="I22" s="326"/>
      <c r="J22" s="1880" t="str">
        <f t="shared" ca="1" si="79"/>
        <v>noch TaP zu verteilen! ►</v>
      </c>
      <c r="K22" s="1881"/>
      <c r="L22" s="1881"/>
      <c r="M22" s="1881"/>
      <c r="N22" s="1882"/>
      <c r="O22" s="613">
        <f t="shared" ca="1" si="2"/>
        <v>0</v>
      </c>
      <c r="P22" s="640"/>
      <c r="Q22" s="637" t="str">
        <f>IF(ISBLANK($P22),"",SUM(AT,PA,$B22,$G22,$I22)-$P22)</f>
        <v/>
      </c>
      <c r="R22" s="1313"/>
      <c r="S22" s="1313"/>
      <c r="T22" s="1315"/>
      <c r="U22" s="1283"/>
      <c r="V22" s="628" t="str">
        <f t="shared" ca="1" si="3"/>
        <v/>
      </c>
      <c r="W22" s="164">
        <f t="shared" ca="1" si="4"/>
        <v>0</v>
      </c>
      <c r="X22" s="164">
        <f t="shared" ca="1" si="5"/>
        <v>0</v>
      </c>
      <c r="Y22" s="164">
        <f t="shared" ca="1" si="6"/>
        <v>0</v>
      </c>
      <c r="Z22" s="164">
        <f t="shared" ca="1" si="7"/>
        <v>0</v>
      </c>
      <c r="AA22" s="164">
        <f t="shared" ca="1" si="8"/>
        <v>0</v>
      </c>
      <c r="AB22" s="164">
        <f t="shared" ca="1" si="9"/>
        <v>0</v>
      </c>
      <c r="AC22" s="164">
        <f t="shared" ca="1" si="10"/>
        <v>0</v>
      </c>
      <c r="AD22" s="164">
        <f t="shared" ca="1" si="11"/>
        <v>0</v>
      </c>
      <c r="AE22" s="164">
        <f t="shared" ca="1" si="12"/>
        <v>0</v>
      </c>
      <c r="AF22" s="164">
        <f t="shared" ca="1" si="13"/>
        <v>0</v>
      </c>
      <c r="AG22" s="164">
        <f t="shared" ca="1" si="14"/>
        <v>0</v>
      </c>
      <c r="AH22" s="164">
        <f t="shared" ca="1" si="15"/>
        <v>0</v>
      </c>
      <c r="AI22" s="164">
        <f t="shared" ca="1" si="16"/>
        <v>0</v>
      </c>
      <c r="AJ22" s="164">
        <f t="shared" ca="1" si="17"/>
        <v>0</v>
      </c>
      <c r="AK22" s="164">
        <f t="shared" ca="1" si="18"/>
        <v>0</v>
      </c>
      <c r="AL22" s="164">
        <f t="shared" ca="1" si="19"/>
        <v>0</v>
      </c>
      <c r="AM22" s="164">
        <f t="shared" ca="1" si="20"/>
        <v>0</v>
      </c>
      <c r="AN22" s="164">
        <f t="shared" ca="1" si="21"/>
        <v>0</v>
      </c>
      <c r="AO22" s="164">
        <f t="shared" ca="1" si="22"/>
        <v>0</v>
      </c>
      <c r="AP22" s="164">
        <f t="shared" ca="1" si="23"/>
        <v>0</v>
      </c>
      <c r="AQ22" s="164">
        <f t="shared" ca="1" si="24"/>
        <v>0</v>
      </c>
      <c r="AR22" s="164">
        <f t="shared" ca="1" si="25"/>
        <v>0</v>
      </c>
      <c r="AS22" s="152"/>
      <c r="AT22" s="154">
        <f t="shared" ca="1" si="26"/>
        <v>0</v>
      </c>
      <c r="AU22" s="154">
        <f t="shared" ca="1" si="27"/>
        <v>0</v>
      </c>
      <c r="AV22" s="154">
        <f t="shared" ca="1" si="28"/>
        <v>0</v>
      </c>
      <c r="AW22" s="154">
        <f t="shared" ca="1" si="29"/>
        <v>0</v>
      </c>
      <c r="AX22" s="154">
        <f t="shared" ca="1" si="30"/>
        <v>0</v>
      </c>
      <c r="AY22" s="154">
        <f t="shared" ca="1" si="31"/>
        <v>0</v>
      </c>
      <c r="AZ22" s="154">
        <f t="shared" ca="1" si="32"/>
        <v>0</v>
      </c>
      <c r="BA22" s="154">
        <f t="shared" ca="1" si="33"/>
        <v>0</v>
      </c>
      <c r="BB22" s="154">
        <f t="shared" ca="1" si="34"/>
        <v>0</v>
      </c>
      <c r="BC22" s="154">
        <f t="shared" ca="1" si="35"/>
        <v>0</v>
      </c>
      <c r="BD22" s="154">
        <f t="shared" ca="1" si="36"/>
        <v>0</v>
      </c>
      <c r="BE22" s="154">
        <f t="shared" ca="1" si="37"/>
        <v>0</v>
      </c>
      <c r="BF22" s="154">
        <f t="shared" ca="1" si="38"/>
        <v>0</v>
      </c>
      <c r="BG22" s="154">
        <f t="shared" ca="1" si="39"/>
        <v>0</v>
      </c>
      <c r="BH22" s="154">
        <f t="shared" ca="1" si="40"/>
        <v>0</v>
      </c>
      <c r="BI22" s="154">
        <f t="shared" ca="1" si="41"/>
        <v>0</v>
      </c>
      <c r="BJ22" s="154">
        <f t="shared" ca="1" si="42"/>
        <v>0</v>
      </c>
      <c r="BK22" s="154">
        <f t="shared" ca="1" si="43"/>
        <v>0</v>
      </c>
      <c r="BL22" s="154">
        <f t="shared" ca="1" si="44"/>
        <v>0</v>
      </c>
      <c r="BM22" s="154">
        <f t="shared" ca="1" si="45"/>
        <v>0</v>
      </c>
      <c r="BN22" s="154">
        <f t="shared" ca="1" si="46"/>
        <v>0</v>
      </c>
      <c r="BO22" s="154">
        <f t="shared" ca="1" si="47"/>
        <v>0</v>
      </c>
      <c r="BP22" s="154">
        <f t="shared" ca="1" si="48"/>
        <v>0</v>
      </c>
      <c r="BQ22" s="154">
        <f t="shared" ca="1" si="49"/>
        <v>0</v>
      </c>
      <c r="BR22" s="154">
        <f t="shared" ca="1" si="50"/>
        <v>0</v>
      </c>
      <c r="BS22" s="154">
        <f t="shared" ca="1" si="51"/>
        <v>0</v>
      </c>
      <c r="BT22" s="154">
        <f t="shared" ca="1" si="52"/>
        <v>0</v>
      </c>
      <c r="BU22" s="154">
        <f t="shared" ca="1" si="53"/>
        <v>0</v>
      </c>
      <c r="BV22" s="154">
        <f t="shared" ca="1" si="54"/>
        <v>0</v>
      </c>
      <c r="BW22" s="154">
        <f t="shared" ca="1" si="55"/>
        <v>0</v>
      </c>
      <c r="BX22" s="154">
        <f t="shared" ca="1" si="56"/>
        <v>0</v>
      </c>
      <c r="BY22" s="154">
        <f t="shared" ca="1" si="57"/>
        <v>0</v>
      </c>
      <c r="BZ22" s="154">
        <f t="shared" ca="1" si="80"/>
        <v>0</v>
      </c>
      <c r="CA22" s="154">
        <f t="shared" ca="1" si="58"/>
        <v>0</v>
      </c>
      <c r="CB22" s="154">
        <f t="shared" ca="1" si="59"/>
        <v>0</v>
      </c>
      <c r="CC22" s="523"/>
      <c r="CD22" s="355">
        <f t="shared" si="60"/>
        <v>51</v>
      </c>
      <c r="CE22" s="268" t="str">
        <f t="shared" ca="1" si="81"/>
        <v>D</v>
      </c>
      <c r="CF22" s="355"/>
      <c r="CG22" s="268"/>
      <c r="CH22" s="268"/>
      <c r="CI22" s="269">
        <f t="shared" ca="1" si="61"/>
        <v>0</v>
      </c>
      <c r="CJ22" s="269">
        <f t="shared" ca="1" si="62"/>
        <v>0</v>
      </c>
      <c r="CK22" s="269"/>
      <c r="CL22" s="269"/>
      <c r="CM22" s="268">
        <f t="shared" ca="1" si="82"/>
        <v>0</v>
      </c>
      <c r="CN22" s="269">
        <f t="shared" ca="1" si="83"/>
        <v>0</v>
      </c>
      <c r="CO22" s="271" t="str">
        <f ca="1">CHAR(CODE(VLOOKUP($A22,BASISSKT,4,FALSE))+$CN22)</f>
        <v>D</v>
      </c>
      <c r="CP22" s="269" t="b">
        <f t="shared" ca="1" si="64"/>
        <v>1</v>
      </c>
      <c r="CQ22" s="269">
        <f t="shared" si="65"/>
        <v>0</v>
      </c>
      <c r="CR22" s="269">
        <f t="shared" si="66"/>
        <v>0</v>
      </c>
      <c r="CS22" s="269">
        <f t="shared" ca="1" si="67"/>
        <v>0</v>
      </c>
      <c r="CT22" s="302" t="str">
        <f t="shared" ca="1" si="84"/>
        <v>0</v>
      </c>
      <c r="CU22" s="269">
        <f t="shared" ca="1" si="68"/>
        <v>0</v>
      </c>
      <c r="CV22" s="268"/>
      <c r="CW22" s="269">
        <f t="shared" ca="1" si="69"/>
        <v>0</v>
      </c>
      <c r="CX22" s="301">
        <f t="shared" ca="1" si="70"/>
        <v>0</v>
      </c>
      <c r="CY22" s="301">
        <f t="shared" ca="1" si="85"/>
        <v>0</v>
      </c>
      <c r="CZ22" s="301">
        <f t="shared" ca="1" si="71"/>
        <v>0</v>
      </c>
      <c r="DA22" s="301">
        <f t="shared" ca="1" si="86"/>
        <v>0</v>
      </c>
      <c r="DB22" t="str">
        <f t="shared" ca="1" si="90"/>
        <v>noch TaP zu verteilen! ►</v>
      </c>
      <c r="DC22" s="301" t="str">
        <f t="shared" ca="1" si="91"/>
        <v/>
      </c>
      <c r="DD22" s="1337" t="str">
        <f t="shared" ca="1" si="87"/>
        <v/>
      </c>
      <c r="DE22" s="1337" t="str">
        <f t="shared" ca="1" si="88"/>
        <v/>
      </c>
      <c r="DG22" s="269"/>
      <c r="DH22" s="269"/>
      <c r="DI22" s="269" t="str">
        <f ca="1">IF(NOT(ISERR(FIND(A22,Abfragen!$O$264,1))),MID(Abfragen!$O$264,FIND("(",Abfragen!$O$264,FIND(A22,Abfragen!$O$264,1)+LEN(A22))+1,FIND(")",Abfragen!$O$264,FIND(A22,Abfragen!$O$264,1)+LEN(A22))-FIND("(",Abfragen!$O$264,FIND(A22,Abfragen!$O$264,1)+LEN(A22))-1),"")</f>
        <v/>
      </c>
      <c r="DJ22" s="301" t="str">
        <f t="shared" ca="1" si="72"/>
        <v>D</v>
      </c>
      <c r="DK22" s="301" t="str">
        <f t="shared" ca="1" si="72"/>
        <v>D</v>
      </c>
      <c r="DL22" s="301" t="str">
        <f t="shared" ca="1" si="72"/>
        <v>D</v>
      </c>
      <c r="DM22" s="301" t="str">
        <f t="shared" ca="1" si="72"/>
        <v>D</v>
      </c>
      <c r="DN22" s="301" t="str">
        <f t="shared" ca="1" si="72"/>
        <v>D</v>
      </c>
      <c r="DO22" s="301" t="str">
        <f t="shared" ca="1" si="72"/>
        <v>D</v>
      </c>
      <c r="DP22" s="301" t="str">
        <f t="shared" ca="1" si="72"/>
        <v>D</v>
      </c>
      <c r="DQ22" s="301" t="str">
        <f t="shared" ca="1" si="72"/>
        <v>D</v>
      </c>
      <c r="DR22" s="301" t="str">
        <f t="shared" ca="1" si="72"/>
        <v>D</v>
      </c>
      <c r="DS22" s="301" t="str">
        <f t="shared" ca="1" si="72"/>
        <v>D</v>
      </c>
      <c r="DT22" s="301" t="str">
        <f t="shared" ca="1" si="73"/>
        <v>D</v>
      </c>
      <c r="DU22" s="301" t="str">
        <f t="shared" ca="1" si="73"/>
        <v>D</v>
      </c>
      <c r="DV22" s="301" t="str">
        <f t="shared" ca="1" si="73"/>
        <v>D</v>
      </c>
      <c r="DW22" s="301" t="str">
        <f t="shared" ca="1" si="73"/>
        <v>D</v>
      </c>
      <c r="DX22" s="301" t="str">
        <f t="shared" ca="1" si="73"/>
        <v>D</v>
      </c>
      <c r="DY22" s="301" t="str">
        <f t="shared" ca="1" si="73"/>
        <v>D</v>
      </c>
      <c r="DZ22" s="301" t="str">
        <f t="shared" ca="1" si="73"/>
        <v>D</v>
      </c>
      <c r="EA22" s="301" t="str">
        <f t="shared" ca="1" si="73"/>
        <v>D</v>
      </c>
      <c r="EB22" s="301" t="str">
        <f t="shared" ca="1" si="73"/>
        <v>D</v>
      </c>
      <c r="EC22" s="301" t="str">
        <f t="shared" ca="1" si="73"/>
        <v>D</v>
      </c>
      <c r="ED22" s="301" t="str">
        <f t="shared" ca="1" si="73"/>
        <v>D</v>
      </c>
      <c r="EE22" s="301" t="str">
        <f t="shared" ca="1" si="73"/>
        <v>D</v>
      </c>
      <c r="EF22" s="301">
        <f t="shared" si="74"/>
        <v>0</v>
      </c>
      <c r="EG22" s="301" t="str">
        <f t="shared" ca="1" si="75"/>
        <v>D</v>
      </c>
      <c r="EH22" s="301" t="str">
        <f t="shared" ca="1" si="75"/>
        <v>D</v>
      </c>
      <c r="EI22" s="301" t="str">
        <f t="shared" ca="1" si="75"/>
        <v>D</v>
      </c>
      <c r="EJ22" s="301" t="str">
        <f t="shared" ca="1" si="75"/>
        <v>D</v>
      </c>
      <c r="EK22" s="301" t="str">
        <f t="shared" ca="1" si="75"/>
        <v>D</v>
      </c>
      <c r="EL22" s="301" t="str">
        <f t="shared" ca="1" si="75"/>
        <v>D</v>
      </c>
      <c r="EM22" s="301" t="str">
        <f t="shared" ca="1" si="75"/>
        <v>D</v>
      </c>
      <c r="EN22" s="301" t="str">
        <f t="shared" ca="1" si="75"/>
        <v>D</v>
      </c>
      <c r="EO22" s="301" t="str">
        <f t="shared" ca="1" si="75"/>
        <v>D</v>
      </c>
      <c r="EP22" s="301" t="str">
        <f t="shared" ca="1" si="75"/>
        <v>D</v>
      </c>
      <c r="EQ22" s="301" t="str">
        <f t="shared" ca="1" si="76"/>
        <v>D</v>
      </c>
      <c r="ER22" s="301" t="str">
        <f t="shared" ca="1" si="76"/>
        <v>D</v>
      </c>
      <c r="ES22" s="301" t="str">
        <f t="shared" ca="1" si="76"/>
        <v>D</v>
      </c>
      <c r="ET22" s="301" t="str">
        <f t="shared" ca="1" si="76"/>
        <v>D</v>
      </c>
      <c r="EU22" s="301" t="str">
        <f t="shared" ca="1" si="76"/>
        <v>D</v>
      </c>
      <c r="EV22" s="301" t="str">
        <f t="shared" ca="1" si="76"/>
        <v>D</v>
      </c>
      <c r="EW22" s="301" t="str">
        <f t="shared" ca="1" si="76"/>
        <v>D</v>
      </c>
      <c r="EX22" s="301" t="str">
        <f t="shared" ca="1" si="76"/>
        <v>D</v>
      </c>
      <c r="EY22" s="301" t="str">
        <f t="shared" ca="1" si="76"/>
        <v>D</v>
      </c>
      <c r="EZ22" s="301" t="str">
        <f t="shared" ca="1" si="76"/>
        <v>D</v>
      </c>
      <c r="FA22" s="301" t="str">
        <f t="shared" ca="1" si="77"/>
        <v>D</v>
      </c>
      <c r="FB22" s="301" t="str">
        <f t="shared" ca="1" si="77"/>
        <v>D</v>
      </c>
      <c r="FC22" s="301" t="str">
        <f t="shared" ca="1" si="77"/>
        <v>D</v>
      </c>
      <c r="FD22" s="301" t="str">
        <f t="shared" ca="1" si="77"/>
        <v>D</v>
      </c>
      <c r="FE22" s="301" t="str">
        <f t="shared" ca="1" si="77"/>
        <v>D</v>
      </c>
      <c r="FF22" s="301" t="str">
        <f t="shared" ca="1" si="77"/>
        <v>D</v>
      </c>
      <c r="FG22" s="301" t="str">
        <f t="shared" ca="1" si="77"/>
        <v>D</v>
      </c>
      <c r="FH22" s="301" t="str">
        <f t="shared" ca="1" si="77"/>
        <v>D</v>
      </c>
      <c r="FI22" s="301" t="str">
        <f t="shared" ca="1" si="77"/>
        <v>D</v>
      </c>
      <c r="FJ22" s="301" t="str">
        <f t="shared" ca="1" si="77"/>
        <v>D</v>
      </c>
      <c r="FK22" s="301" t="str">
        <f t="shared" ca="1" si="77"/>
        <v>D</v>
      </c>
      <c r="FL22" s="301" t="str">
        <f t="shared" ca="1" si="77"/>
        <v>D</v>
      </c>
    </row>
    <row r="23" spans="1:168" x14ac:dyDescent="0.2">
      <c r="A23" s="24" t="str">
        <f t="shared" si="78"/>
        <v>Infanteriewaffen</v>
      </c>
      <c r="B23" s="317" t="str">
        <f t="shared" ca="1" si="0"/>
        <v/>
      </c>
      <c r="C23" s="332" t="str">
        <f ca="1">IF(OR(NOT(ISBLANK(D23)),NOT(ISBLANK(HLOOKUP(RASSEGENE,RASSE,$CD23,FALSE))),
NOT(ISBLANK(HLOOKUP(KULTURGENE,KULTUR,$CD23,FALSE))),
NOT(OR(ISBLANK(HLOOKUP(PROFGENE,INDIRECT(PROFGEBIET),$CD23,FALSE)),$CS23="N",$CS23="M")),
IF(PROFZWEITE="",FALSE,NOT(ISBLANK(HLOOKUP(PROFZWEITE,INDIRECT(PROFGEBIET2),$CD23,FALSE))))),"x","")</f>
        <v/>
      </c>
      <c r="D23" s="1110"/>
      <c r="E23" s="1424"/>
      <c r="F23" s="325"/>
      <c r="G23" s="958"/>
      <c r="H23" s="1196"/>
      <c r="I23" s="326"/>
      <c r="J23" s="1880" t="str">
        <f t="shared" ca="1" si="79"/>
        <v/>
      </c>
      <c r="K23" s="1881"/>
      <c r="L23" s="1881"/>
      <c r="M23" s="1881"/>
      <c r="N23" s="1882"/>
      <c r="O23" s="613" t="str">
        <f t="shared" ca="1" si="2"/>
        <v/>
      </c>
      <c r="P23" s="640"/>
      <c r="Q23" s="637" t="str">
        <f t="shared" si="89"/>
        <v/>
      </c>
      <c r="R23" s="1313"/>
      <c r="S23" s="1313"/>
      <c r="T23" s="1315"/>
      <c r="U23" s="1283"/>
      <c r="V23" s="628" t="str">
        <f t="shared" ca="1" si="3"/>
        <v/>
      </c>
      <c r="W23" s="164">
        <f t="shared" ca="1" si="4"/>
        <v>0</v>
      </c>
      <c r="X23" s="164">
        <f t="shared" ca="1" si="5"/>
        <v>0</v>
      </c>
      <c r="Y23" s="164">
        <f t="shared" ca="1" si="6"/>
        <v>0</v>
      </c>
      <c r="Z23" s="164">
        <f t="shared" ca="1" si="7"/>
        <v>0</v>
      </c>
      <c r="AA23" s="164">
        <f t="shared" ca="1" si="8"/>
        <v>0</v>
      </c>
      <c r="AB23" s="164">
        <f t="shared" ca="1" si="9"/>
        <v>0</v>
      </c>
      <c r="AC23" s="164">
        <f t="shared" ca="1" si="10"/>
        <v>0</v>
      </c>
      <c r="AD23" s="164">
        <f t="shared" ca="1" si="11"/>
        <v>0</v>
      </c>
      <c r="AE23" s="164">
        <f t="shared" ca="1" si="12"/>
        <v>0</v>
      </c>
      <c r="AF23" s="164">
        <f t="shared" ca="1" si="13"/>
        <v>0</v>
      </c>
      <c r="AG23" s="164">
        <f t="shared" ca="1" si="14"/>
        <v>0</v>
      </c>
      <c r="AH23" s="164">
        <f t="shared" ca="1" si="15"/>
        <v>0</v>
      </c>
      <c r="AI23" s="164">
        <f t="shared" ca="1" si="16"/>
        <v>0</v>
      </c>
      <c r="AJ23" s="164">
        <f t="shared" ca="1" si="17"/>
        <v>0</v>
      </c>
      <c r="AK23" s="164">
        <f t="shared" ca="1" si="18"/>
        <v>0</v>
      </c>
      <c r="AL23" s="164">
        <f t="shared" ca="1" si="19"/>
        <v>0</v>
      </c>
      <c r="AM23" s="164">
        <f t="shared" ca="1" si="20"/>
        <v>0</v>
      </c>
      <c r="AN23" s="164">
        <f t="shared" ca="1" si="21"/>
        <v>0</v>
      </c>
      <c r="AO23" s="164">
        <f t="shared" ca="1" si="22"/>
        <v>0</v>
      </c>
      <c r="AP23" s="164">
        <f t="shared" ca="1" si="23"/>
        <v>0</v>
      </c>
      <c r="AQ23" s="164">
        <f t="shared" ca="1" si="24"/>
        <v>0</v>
      </c>
      <c r="AR23" s="164">
        <f t="shared" ca="1" si="25"/>
        <v>0</v>
      </c>
      <c r="AS23" s="152"/>
      <c r="AT23" s="154">
        <f t="shared" ca="1" si="26"/>
        <v>0</v>
      </c>
      <c r="AU23" s="154">
        <f t="shared" ca="1" si="27"/>
        <v>0</v>
      </c>
      <c r="AV23" s="154">
        <f t="shared" ca="1" si="28"/>
        <v>0</v>
      </c>
      <c r="AW23" s="154">
        <f t="shared" ca="1" si="29"/>
        <v>0</v>
      </c>
      <c r="AX23" s="154">
        <f t="shared" ca="1" si="30"/>
        <v>0</v>
      </c>
      <c r="AY23" s="154">
        <f t="shared" ca="1" si="31"/>
        <v>0</v>
      </c>
      <c r="AZ23" s="154">
        <f t="shared" ca="1" si="32"/>
        <v>0</v>
      </c>
      <c r="BA23" s="154">
        <f t="shared" ca="1" si="33"/>
        <v>0</v>
      </c>
      <c r="BB23" s="154">
        <f t="shared" ca="1" si="34"/>
        <v>0</v>
      </c>
      <c r="BC23" s="154">
        <f t="shared" ca="1" si="35"/>
        <v>0</v>
      </c>
      <c r="BD23" s="154">
        <f t="shared" ca="1" si="36"/>
        <v>0</v>
      </c>
      <c r="BE23" s="154">
        <f t="shared" ca="1" si="37"/>
        <v>0</v>
      </c>
      <c r="BF23" s="154">
        <f t="shared" ca="1" si="38"/>
        <v>0</v>
      </c>
      <c r="BG23" s="154">
        <f t="shared" ca="1" si="39"/>
        <v>0</v>
      </c>
      <c r="BH23" s="154">
        <f t="shared" ca="1" si="40"/>
        <v>0</v>
      </c>
      <c r="BI23" s="154">
        <f t="shared" ca="1" si="41"/>
        <v>0</v>
      </c>
      <c r="BJ23" s="154">
        <f t="shared" ca="1" si="42"/>
        <v>0</v>
      </c>
      <c r="BK23" s="154">
        <f t="shared" ca="1" si="43"/>
        <v>0</v>
      </c>
      <c r="BL23" s="154">
        <f t="shared" ca="1" si="44"/>
        <v>0</v>
      </c>
      <c r="BM23" s="154">
        <f t="shared" ca="1" si="45"/>
        <v>0</v>
      </c>
      <c r="BN23" s="154">
        <f t="shared" ca="1" si="46"/>
        <v>0</v>
      </c>
      <c r="BO23" s="154">
        <f t="shared" ca="1" si="47"/>
        <v>0</v>
      </c>
      <c r="BP23" s="154">
        <f t="shared" ca="1" si="48"/>
        <v>0</v>
      </c>
      <c r="BQ23" s="154">
        <f t="shared" ca="1" si="49"/>
        <v>0</v>
      </c>
      <c r="BR23" s="154">
        <f t="shared" ca="1" si="50"/>
        <v>0</v>
      </c>
      <c r="BS23" s="154">
        <f t="shared" ca="1" si="51"/>
        <v>0</v>
      </c>
      <c r="BT23" s="154">
        <f t="shared" ca="1" si="52"/>
        <v>0</v>
      </c>
      <c r="BU23" s="154">
        <f t="shared" ca="1" si="53"/>
        <v>0</v>
      </c>
      <c r="BV23" s="154">
        <f t="shared" ca="1" si="54"/>
        <v>0</v>
      </c>
      <c r="BW23" s="154">
        <f t="shared" ca="1" si="55"/>
        <v>0</v>
      </c>
      <c r="BX23" s="154">
        <f t="shared" ca="1" si="56"/>
        <v>0</v>
      </c>
      <c r="BY23" s="154">
        <f t="shared" ca="1" si="57"/>
        <v>0</v>
      </c>
      <c r="BZ23" s="154">
        <f t="shared" ca="1" si="80"/>
        <v>0</v>
      </c>
      <c r="CA23" s="154">
        <f t="shared" ca="1" si="58"/>
        <v>0</v>
      </c>
      <c r="CB23" s="154">
        <f t="shared" ca="1" si="59"/>
        <v>0</v>
      </c>
      <c r="CC23" s="523"/>
      <c r="CD23" s="355">
        <f t="shared" si="60"/>
        <v>52</v>
      </c>
      <c r="CE23" s="268" t="str">
        <f t="shared" ca="1" si="81"/>
        <v>D</v>
      </c>
      <c r="CF23" s="355" t="str">
        <f ca="1">IF(EXACT($B23,""),$CF21,CONCATENATE($CF21,$A23))</f>
        <v/>
      </c>
      <c r="CG23" s="268"/>
      <c r="CH23" s="268"/>
      <c r="CI23" s="269">
        <f t="shared" ca="1" si="61"/>
        <v>0</v>
      </c>
      <c r="CJ23" s="269">
        <f t="shared" ca="1" si="62"/>
        <v>0</v>
      </c>
      <c r="CK23" s="269"/>
      <c r="CL23" s="269"/>
      <c r="CM23" s="268">
        <f t="shared" ca="1" si="82"/>
        <v>0</v>
      </c>
      <c r="CN23" s="269">
        <f t="shared" ca="1" si="83"/>
        <v>0</v>
      </c>
      <c r="CO23" s="268" t="str">
        <f ca="1">CHAR(CODE(VLOOKUP($A23,TL_KPF_WERTE,6,FALSE))+$CN23)</f>
        <v>D</v>
      </c>
      <c r="CP23" s="269" t="b">
        <f t="shared" ca="1" si="64"/>
        <v>1</v>
      </c>
      <c r="CQ23" s="269">
        <f t="shared" si="65"/>
        <v>0</v>
      </c>
      <c r="CR23" s="269">
        <f t="shared" si="66"/>
        <v>0</v>
      </c>
      <c r="CS23" s="269">
        <f t="shared" ca="1" si="67"/>
        <v>0</v>
      </c>
      <c r="CT23" s="302" t="str">
        <f t="shared" ca="1" si="84"/>
        <v>0</v>
      </c>
      <c r="CU23" s="269">
        <f t="shared" ca="1" si="68"/>
        <v>0</v>
      </c>
      <c r="CV23" s="268"/>
      <c r="CW23" s="269">
        <f t="shared" ca="1" si="69"/>
        <v>0</v>
      </c>
      <c r="CX23" s="301">
        <f t="shared" ca="1" si="70"/>
        <v>0</v>
      </c>
      <c r="CY23" s="301">
        <f t="shared" ca="1" si="85"/>
        <v>0</v>
      </c>
      <c r="CZ23" s="301">
        <f t="shared" ca="1" si="71"/>
        <v>0</v>
      </c>
      <c r="DA23" s="301">
        <f t="shared" ca="1" si="86"/>
        <v>0</v>
      </c>
      <c r="DB23" t="str">
        <f t="shared" ca="1" si="90"/>
        <v/>
      </c>
      <c r="DC23" s="301" t="str">
        <f t="shared" ca="1" si="91"/>
        <v/>
      </c>
      <c r="DD23" s="1337" t="str">
        <f t="shared" ca="1" si="87"/>
        <v/>
      </c>
      <c r="DE23" s="1337" t="str">
        <f t="shared" ca="1" si="88"/>
        <v/>
      </c>
      <c r="DG23" s="269"/>
      <c r="DH23" s="269"/>
      <c r="DI23" s="269" t="str">
        <f ca="1">IF(NOT(ISERR(FIND(A23,Abfragen!$O$264,1))),MID(Abfragen!$O$264,FIND("(",Abfragen!$O$264,FIND(A23,Abfragen!$O$264,1)+LEN(A23))+1,FIND(")",Abfragen!$O$264,FIND(A23,Abfragen!$O$264,1)+LEN(A23))-FIND("(",Abfragen!$O$264,FIND(A23,Abfragen!$O$264,1)+LEN(A23))-1),"")</f>
        <v/>
      </c>
      <c r="DJ23" s="301" t="str">
        <f t="shared" ca="1" si="72"/>
        <v>D</v>
      </c>
      <c r="DK23" s="301" t="str">
        <f t="shared" ca="1" si="72"/>
        <v>D</v>
      </c>
      <c r="DL23" s="301" t="str">
        <f t="shared" ca="1" si="72"/>
        <v>D</v>
      </c>
      <c r="DM23" s="301" t="str">
        <f t="shared" ca="1" si="72"/>
        <v>D</v>
      </c>
      <c r="DN23" s="301" t="str">
        <f t="shared" ca="1" si="72"/>
        <v>D</v>
      </c>
      <c r="DO23" s="301" t="str">
        <f t="shared" ca="1" si="72"/>
        <v>D</v>
      </c>
      <c r="DP23" s="301" t="str">
        <f t="shared" ca="1" si="72"/>
        <v>D</v>
      </c>
      <c r="DQ23" s="301" t="str">
        <f t="shared" ca="1" si="72"/>
        <v>D</v>
      </c>
      <c r="DR23" s="301" t="str">
        <f t="shared" ca="1" si="72"/>
        <v>D</v>
      </c>
      <c r="DS23" s="301" t="str">
        <f t="shared" ca="1" si="72"/>
        <v>D</v>
      </c>
      <c r="DT23" s="301" t="str">
        <f t="shared" ca="1" si="73"/>
        <v>D</v>
      </c>
      <c r="DU23" s="301" t="str">
        <f t="shared" ca="1" si="73"/>
        <v>D</v>
      </c>
      <c r="DV23" s="301" t="str">
        <f t="shared" ca="1" si="73"/>
        <v>D</v>
      </c>
      <c r="DW23" s="301" t="str">
        <f t="shared" ca="1" si="73"/>
        <v>D</v>
      </c>
      <c r="DX23" s="301" t="str">
        <f t="shared" ca="1" si="73"/>
        <v>D</v>
      </c>
      <c r="DY23" s="301" t="str">
        <f t="shared" ca="1" si="73"/>
        <v>D</v>
      </c>
      <c r="DZ23" s="301" t="str">
        <f t="shared" ca="1" si="73"/>
        <v>D</v>
      </c>
      <c r="EA23" s="301" t="str">
        <f t="shared" ca="1" si="73"/>
        <v>D</v>
      </c>
      <c r="EB23" s="301" t="str">
        <f t="shared" ca="1" si="73"/>
        <v>D</v>
      </c>
      <c r="EC23" s="301" t="str">
        <f t="shared" ca="1" si="73"/>
        <v>D</v>
      </c>
      <c r="ED23" s="301" t="str">
        <f t="shared" ca="1" si="73"/>
        <v>D</v>
      </c>
      <c r="EE23" s="301" t="str">
        <f t="shared" ca="1" si="73"/>
        <v>D</v>
      </c>
      <c r="EF23" s="301">
        <f t="shared" si="74"/>
        <v>0</v>
      </c>
      <c r="EG23" s="301" t="str">
        <f t="shared" ca="1" si="75"/>
        <v>D</v>
      </c>
      <c r="EH23" s="301" t="str">
        <f t="shared" ca="1" si="75"/>
        <v>D</v>
      </c>
      <c r="EI23" s="301" t="str">
        <f t="shared" ca="1" si="75"/>
        <v>D</v>
      </c>
      <c r="EJ23" s="301" t="str">
        <f t="shared" ca="1" si="75"/>
        <v>D</v>
      </c>
      <c r="EK23" s="301" t="str">
        <f t="shared" ca="1" si="75"/>
        <v>D</v>
      </c>
      <c r="EL23" s="301" t="str">
        <f t="shared" ca="1" si="75"/>
        <v>D</v>
      </c>
      <c r="EM23" s="301" t="str">
        <f t="shared" ca="1" si="75"/>
        <v>D</v>
      </c>
      <c r="EN23" s="301" t="str">
        <f t="shared" ca="1" si="75"/>
        <v>D</v>
      </c>
      <c r="EO23" s="301" t="str">
        <f t="shared" ca="1" si="75"/>
        <v>D</v>
      </c>
      <c r="EP23" s="301" t="str">
        <f t="shared" ca="1" si="75"/>
        <v>D</v>
      </c>
      <c r="EQ23" s="301" t="str">
        <f t="shared" ca="1" si="76"/>
        <v>D</v>
      </c>
      <c r="ER23" s="301" t="str">
        <f t="shared" ca="1" si="76"/>
        <v>D</v>
      </c>
      <c r="ES23" s="301" t="str">
        <f t="shared" ca="1" si="76"/>
        <v>D</v>
      </c>
      <c r="ET23" s="301" t="str">
        <f t="shared" ca="1" si="76"/>
        <v>D</v>
      </c>
      <c r="EU23" s="301" t="str">
        <f t="shared" ca="1" si="76"/>
        <v>D</v>
      </c>
      <c r="EV23" s="301" t="str">
        <f t="shared" ca="1" si="76"/>
        <v>D</v>
      </c>
      <c r="EW23" s="301" t="str">
        <f t="shared" ca="1" si="76"/>
        <v>D</v>
      </c>
      <c r="EX23" s="301" t="str">
        <f t="shared" ca="1" si="76"/>
        <v>D</v>
      </c>
      <c r="EY23" s="301" t="str">
        <f t="shared" ca="1" si="76"/>
        <v>D</v>
      </c>
      <c r="EZ23" s="301" t="str">
        <f t="shared" ca="1" si="76"/>
        <v>D</v>
      </c>
      <c r="FA23" s="301" t="str">
        <f t="shared" ca="1" si="77"/>
        <v>D</v>
      </c>
      <c r="FB23" s="301" t="str">
        <f t="shared" ca="1" si="77"/>
        <v>D</v>
      </c>
      <c r="FC23" s="301" t="str">
        <f t="shared" ca="1" si="77"/>
        <v>D</v>
      </c>
      <c r="FD23" s="301" t="str">
        <f t="shared" ca="1" si="77"/>
        <v>D</v>
      </c>
      <c r="FE23" s="301" t="str">
        <f t="shared" ca="1" si="77"/>
        <v>D</v>
      </c>
      <c r="FF23" s="301" t="str">
        <f t="shared" ca="1" si="77"/>
        <v>D</v>
      </c>
      <c r="FG23" s="301" t="str">
        <f t="shared" ca="1" si="77"/>
        <v>D</v>
      </c>
      <c r="FH23" s="301" t="str">
        <f t="shared" ca="1" si="77"/>
        <v>D</v>
      </c>
      <c r="FI23" s="301" t="str">
        <f t="shared" ca="1" si="77"/>
        <v>D</v>
      </c>
      <c r="FJ23" s="301" t="str">
        <f t="shared" ca="1" si="77"/>
        <v>D</v>
      </c>
      <c r="FK23" s="301" t="str">
        <f t="shared" ca="1" si="77"/>
        <v>D</v>
      </c>
      <c r="FL23" s="301" t="str">
        <f t="shared" ca="1" si="77"/>
        <v>D</v>
      </c>
    </row>
    <row r="24" spans="1:168" x14ac:dyDescent="0.2">
      <c r="A24" s="24" t="str">
        <f t="shared" si="78"/>
        <v>Kettenstäbe</v>
      </c>
      <c r="B24" s="317" t="str">
        <f t="shared" ca="1" si="0"/>
        <v/>
      </c>
      <c r="C24" s="332" t="str">
        <f ca="1">IF(OR(NOT(ISBLANK(D24)),NOT(ISBLANK(HLOOKUP(RASSEGENE,RASSE,$CD24,FALSE))),
NOT(ISBLANK(HLOOKUP(KULTURGENE,KULTUR,$CD24,FALSE))),
NOT(OR(ISBLANK(HLOOKUP(PROFGENE,INDIRECT(PROFGEBIET),$CD24,FALSE)),$CS24="N",$CS24="M")),
IF(PROFZWEITE="",FALSE,NOT(ISBLANK(HLOOKUP(PROFZWEITE,INDIRECT(PROFGEBIET2),$CD24,FALSE))))),"x","")</f>
        <v/>
      </c>
      <c r="D24" s="1110"/>
      <c r="E24" s="1424"/>
      <c r="F24" s="325"/>
      <c r="G24" s="958"/>
      <c r="H24" s="1196"/>
      <c r="I24" s="326"/>
      <c r="J24" s="1880" t="str">
        <f t="shared" ca="1" si="79"/>
        <v/>
      </c>
      <c r="K24" s="1881"/>
      <c r="L24" s="1881"/>
      <c r="M24" s="1881"/>
      <c r="N24" s="1882"/>
      <c r="O24" s="613" t="str">
        <f t="shared" ca="1" si="2"/>
        <v/>
      </c>
      <c r="P24" s="640"/>
      <c r="Q24" s="637" t="str">
        <f t="shared" si="89"/>
        <v/>
      </c>
      <c r="R24" s="1313"/>
      <c r="S24" s="1313"/>
      <c r="T24" s="1315"/>
      <c r="U24" s="1283"/>
      <c r="V24" s="628" t="str">
        <f t="shared" ca="1" si="3"/>
        <v/>
      </c>
      <c r="W24" s="164">
        <f t="shared" ca="1" si="4"/>
        <v>0</v>
      </c>
      <c r="X24" s="164">
        <f t="shared" ca="1" si="5"/>
        <v>0</v>
      </c>
      <c r="Y24" s="164">
        <f t="shared" ca="1" si="6"/>
        <v>0</v>
      </c>
      <c r="Z24" s="164">
        <f t="shared" ca="1" si="7"/>
        <v>0</v>
      </c>
      <c r="AA24" s="164">
        <f t="shared" ca="1" si="8"/>
        <v>0</v>
      </c>
      <c r="AB24" s="164">
        <f t="shared" ca="1" si="9"/>
        <v>0</v>
      </c>
      <c r="AC24" s="164">
        <f t="shared" ca="1" si="10"/>
        <v>0</v>
      </c>
      <c r="AD24" s="164">
        <f t="shared" ca="1" si="11"/>
        <v>0</v>
      </c>
      <c r="AE24" s="164">
        <f t="shared" ca="1" si="12"/>
        <v>0</v>
      </c>
      <c r="AF24" s="164">
        <f t="shared" ca="1" si="13"/>
        <v>0</v>
      </c>
      <c r="AG24" s="164">
        <f t="shared" ca="1" si="14"/>
        <v>0</v>
      </c>
      <c r="AH24" s="164">
        <f t="shared" ca="1" si="15"/>
        <v>0</v>
      </c>
      <c r="AI24" s="164">
        <f t="shared" ca="1" si="16"/>
        <v>0</v>
      </c>
      <c r="AJ24" s="164">
        <f t="shared" ca="1" si="17"/>
        <v>0</v>
      </c>
      <c r="AK24" s="164">
        <f t="shared" ca="1" si="18"/>
        <v>0</v>
      </c>
      <c r="AL24" s="164">
        <f t="shared" ca="1" si="19"/>
        <v>0</v>
      </c>
      <c r="AM24" s="164">
        <f t="shared" ca="1" si="20"/>
        <v>0</v>
      </c>
      <c r="AN24" s="164">
        <f t="shared" ca="1" si="21"/>
        <v>0</v>
      </c>
      <c r="AO24" s="164">
        <f t="shared" ca="1" si="22"/>
        <v>0</v>
      </c>
      <c r="AP24" s="164">
        <f t="shared" ca="1" si="23"/>
        <v>0</v>
      </c>
      <c r="AQ24" s="164">
        <f t="shared" ca="1" si="24"/>
        <v>0</v>
      </c>
      <c r="AR24" s="164">
        <f t="shared" ca="1" si="25"/>
        <v>0</v>
      </c>
      <c r="AS24" s="152"/>
      <c r="AT24" s="154">
        <f t="shared" ca="1" si="26"/>
        <v>0</v>
      </c>
      <c r="AU24" s="154">
        <f t="shared" ca="1" si="27"/>
        <v>0</v>
      </c>
      <c r="AV24" s="154">
        <f t="shared" ca="1" si="28"/>
        <v>0</v>
      </c>
      <c r="AW24" s="154">
        <f t="shared" ca="1" si="29"/>
        <v>0</v>
      </c>
      <c r="AX24" s="154">
        <f t="shared" ca="1" si="30"/>
        <v>0</v>
      </c>
      <c r="AY24" s="154">
        <f t="shared" ca="1" si="31"/>
        <v>0</v>
      </c>
      <c r="AZ24" s="154">
        <f t="shared" ca="1" si="32"/>
        <v>0</v>
      </c>
      <c r="BA24" s="154">
        <f t="shared" ca="1" si="33"/>
        <v>0</v>
      </c>
      <c r="BB24" s="154">
        <f t="shared" ca="1" si="34"/>
        <v>0</v>
      </c>
      <c r="BC24" s="154">
        <f t="shared" ca="1" si="35"/>
        <v>0</v>
      </c>
      <c r="BD24" s="154">
        <f t="shared" ca="1" si="36"/>
        <v>0</v>
      </c>
      <c r="BE24" s="154">
        <f t="shared" ca="1" si="37"/>
        <v>0</v>
      </c>
      <c r="BF24" s="154">
        <f t="shared" ca="1" si="38"/>
        <v>0</v>
      </c>
      <c r="BG24" s="154">
        <f t="shared" ca="1" si="39"/>
        <v>0</v>
      </c>
      <c r="BH24" s="154">
        <f t="shared" ca="1" si="40"/>
        <v>0</v>
      </c>
      <c r="BI24" s="154">
        <f t="shared" ca="1" si="41"/>
        <v>0</v>
      </c>
      <c r="BJ24" s="154">
        <f t="shared" ca="1" si="42"/>
        <v>0</v>
      </c>
      <c r="BK24" s="154">
        <f t="shared" ca="1" si="43"/>
        <v>0</v>
      </c>
      <c r="BL24" s="154">
        <f t="shared" ca="1" si="44"/>
        <v>0</v>
      </c>
      <c r="BM24" s="154">
        <f t="shared" ca="1" si="45"/>
        <v>0</v>
      </c>
      <c r="BN24" s="154">
        <f t="shared" ca="1" si="46"/>
        <v>0</v>
      </c>
      <c r="BO24" s="154">
        <f t="shared" ca="1" si="47"/>
        <v>0</v>
      </c>
      <c r="BP24" s="154">
        <f t="shared" ca="1" si="48"/>
        <v>0</v>
      </c>
      <c r="BQ24" s="154">
        <f t="shared" ca="1" si="49"/>
        <v>0</v>
      </c>
      <c r="BR24" s="154">
        <f t="shared" ca="1" si="50"/>
        <v>0</v>
      </c>
      <c r="BS24" s="154">
        <f t="shared" ca="1" si="51"/>
        <v>0</v>
      </c>
      <c r="BT24" s="154">
        <f t="shared" ca="1" si="52"/>
        <v>0</v>
      </c>
      <c r="BU24" s="154">
        <f t="shared" ca="1" si="53"/>
        <v>0</v>
      </c>
      <c r="BV24" s="154">
        <f t="shared" ca="1" si="54"/>
        <v>0</v>
      </c>
      <c r="BW24" s="154">
        <f t="shared" ca="1" si="55"/>
        <v>0</v>
      </c>
      <c r="BX24" s="154">
        <f t="shared" ca="1" si="56"/>
        <v>0</v>
      </c>
      <c r="BY24" s="154">
        <f t="shared" ca="1" si="57"/>
        <v>0</v>
      </c>
      <c r="BZ24" s="154">
        <f t="shared" ca="1" si="80"/>
        <v>0</v>
      </c>
      <c r="CA24" s="154">
        <f t="shared" ca="1" si="58"/>
        <v>0</v>
      </c>
      <c r="CB24" s="154">
        <f t="shared" ca="1" si="59"/>
        <v>0</v>
      </c>
      <c r="CC24" s="523"/>
      <c r="CD24" s="355">
        <f t="shared" si="60"/>
        <v>53</v>
      </c>
      <c r="CE24" s="268" t="str">
        <f t="shared" ca="1" si="81"/>
        <v>E</v>
      </c>
      <c r="CF24" s="355" t="str">
        <f ca="1">IF(EXACT($B24,""),$CF23,CONCATENATE($CF23,$A24))</f>
        <v/>
      </c>
      <c r="CG24" s="268"/>
      <c r="CH24" s="268"/>
      <c r="CI24" s="269">
        <f t="shared" ca="1" si="61"/>
        <v>0</v>
      </c>
      <c r="CJ24" s="269">
        <f t="shared" ca="1" si="62"/>
        <v>0</v>
      </c>
      <c r="CK24" s="269"/>
      <c r="CL24" s="269"/>
      <c r="CM24" s="268">
        <f t="shared" ca="1" si="82"/>
        <v>0</v>
      </c>
      <c r="CN24" s="269">
        <f t="shared" ca="1" si="83"/>
        <v>0</v>
      </c>
      <c r="CO24" s="268" t="str">
        <f ca="1">CHAR(CODE(VLOOKUP($A24,TL_KPF_WERTE,6,FALSE))+$CN24)</f>
        <v>E</v>
      </c>
      <c r="CP24" s="269" t="b">
        <f t="shared" ca="1" si="64"/>
        <v>1</v>
      </c>
      <c r="CQ24" s="269">
        <f t="shared" si="65"/>
        <v>0</v>
      </c>
      <c r="CR24" s="269">
        <f t="shared" si="66"/>
        <v>0</v>
      </c>
      <c r="CS24" s="269">
        <f t="shared" ca="1" si="67"/>
        <v>0</v>
      </c>
      <c r="CT24" s="302" t="str">
        <f t="shared" ca="1" si="84"/>
        <v>0</v>
      </c>
      <c r="CU24" s="269">
        <f t="shared" ca="1" si="68"/>
        <v>0</v>
      </c>
      <c r="CV24" s="268"/>
      <c r="CW24" s="269">
        <f t="shared" ca="1" si="69"/>
        <v>0</v>
      </c>
      <c r="CX24" s="301">
        <f t="shared" ca="1" si="70"/>
        <v>0</v>
      </c>
      <c r="CY24" s="301">
        <f t="shared" ca="1" si="85"/>
        <v>0</v>
      </c>
      <c r="CZ24" s="301">
        <f t="shared" ca="1" si="71"/>
        <v>0</v>
      </c>
      <c r="DA24" s="301">
        <f t="shared" ca="1" si="86"/>
        <v>0</v>
      </c>
      <c r="DB24" t="str">
        <f t="shared" ca="1" si="90"/>
        <v/>
      </c>
      <c r="DC24" s="301" t="str">
        <f t="shared" ca="1" si="91"/>
        <v/>
      </c>
      <c r="DD24" s="1337" t="str">
        <f t="shared" ca="1" si="87"/>
        <v/>
      </c>
      <c r="DE24" s="1337" t="str">
        <f t="shared" ca="1" si="88"/>
        <v/>
      </c>
      <c r="DG24" s="269"/>
      <c r="DH24" s="269"/>
      <c r="DI24" s="269" t="str">
        <f ca="1">IF(NOT(ISERR(FIND(A24,Abfragen!$O$264,1))),MID(Abfragen!$O$264,FIND("(",Abfragen!$O$264,FIND(A24,Abfragen!$O$264,1)+LEN(A24))+1,FIND(")",Abfragen!$O$264,FIND(A24,Abfragen!$O$264,1)+LEN(A24))-FIND("(",Abfragen!$O$264,FIND(A24,Abfragen!$O$264,1)+LEN(A24))-1),"")</f>
        <v/>
      </c>
      <c r="DJ24" s="301" t="str">
        <f t="shared" ref="DJ24:DS33" ca="1" si="92">IF(ISERR(FIND(";"&amp;DJ$13&amp;":0;",$F24)),
CHAR(CODE($CE24)+SUM(IF(VT_AKADKRI,IF(DJ$13&lt;$EF24+1,IF(ABS($CJ24)&gt;=2,$CJ24,-2-$CJ24),0),0),IF(AND(NT_STUBENHKR,OR(DJ$13&lt;=$E24,ISBLANK($E24))),1,0),IF(ISERR(FIND(";"&amp;DJ$13&amp;";",$F24)),0,-1),IF(ISERR(FIND(";"&amp;DJ$13&amp;":",$F24)),0,-VALUE(MID($F24,FIND(";"&amp;DJ$13&amp;":",$F24)+LEN(DJ$13)+2,1))))),0)</f>
        <v>E</v>
      </c>
      <c r="DK24" s="301" t="str">
        <f t="shared" ca="1" si="92"/>
        <v>E</v>
      </c>
      <c r="DL24" s="301" t="str">
        <f t="shared" ca="1" si="92"/>
        <v>E</v>
      </c>
      <c r="DM24" s="301" t="str">
        <f t="shared" ca="1" si="92"/>
        <v>E</v>
      </c>
      <c r="DN24" s="301" t="str">
        <f t="shared" ca="1" si="92"/>
        <v>E</v>
      </c>
      <c r="DO24" s="301" t="str">
        <f t="shared" ca="1" si="92"/>
        <v>E</v>
      </c>
      <c r="DP24" s="301" t="str">
        <f t="shared" ca="1" si="92"/>
        <v>E</v>
      </c>
      <c r="DQ24" s="301" t="str">
        <f t="shared" ca="1" si="92"/>
        <v>E</v>
      </c>
      <c r="DR24" s="301" t="str">
        <f t="shared" ca="1" si="92"/>
        <v>E</v>
      </c>
      <c r="DS24" s="301" t="str">
        <f t="shared" ca="1" si="92"/>
        <v>E</v>
      </c>
      <c r="DT24" s="301" t="str">
        <f t="shared" ref="DT24:EE33" ca="1" si="93">IF(ISERR(FIND(";"&amp;DT$13&amp;":0;",$F24)),
CHAR(CODE($CE24)+SUM(IF(VT_AKADKRI,IF(DT$13&lt;$EF24+1,IF(ABS($CJ24)&gt;=2,$CJ24,-2-$CJ24),0),0),IF(AND(NT_STUBENHKR,OR(DT$13&lt;=$E24,ISBLANK($E24))),1,0),IF(ISERR(FIND(";"&amp;DT$13&amp;";",$F24)),0,-1),IF(ISERR(FIND(";"&amp;DT$13&amp;":",$F24)),0,-VALUE(MID($F24,FIND(";"&amp;DT$13&amp;":",$F24)+LEN(DT$13)+2,1))))),0)</f>
        <v>E</v>
      </c>
      <c r="DU24" s="301" t="str">
        <f t="shared" ca="1" si="93"/>
        <v>E</v>
      </c>
      <c r="DV24" s="301" t="str">
        <f t="shared" ca="1" si="93"/>
        <v>E</v>
      </c>
      <c r="DW24" s="301" t="str">
        <f t="shared" ca="1" si="93"/>
        <v>E</v>
      </c>
      <c r="DX24" s="301" t="str">
        <f t="shared" ca="1" si="93"/>
        <v>E</v>
      </c>
      <c r="DY24" s="301" t="str">
        <f t="shared" ca="1" si="93"/>
        <v>E</v>
      </c>
      <c r="DZ24" s="301" t="str">
        <f t="shared" ca="1" si="93"/>
        <v>E</v>
      </c>
      <c r="EA24" s="301" t="str">
        <f t="shared" ca="1" si="93"/>
        <v>E</v>
      </c>
      <c r="EB24" s="301" t="str">
        <f t="shared" ca="1" si="93"/>
        <v>E</v>
      </c>
      <c r="EC24" s="301" t="str">
        <f t="shared" ca="1" si="93"/>
        <v>E</v>
      </c>
      <c r="ED24" s="301" t="str">
        <f t="shared" ca="1" si="93"/>
        <v>E</v>
      </c>
      <c r="EE24" s="301" t="str">
        <f t="shared" ca="1" si="93"/>
        <v>E</v>
      </c>
      <c r="EF24" s="301">
        <f t="shared" si="74"/>
        <v>0</v>
      </c>
      <c r="EG24" s="301" t="str">
        <f t="shared" ref="EG24:EP33" ca="1" si="94">IF(ISERR(FIND(";"&amp;EG$13&amp;":0;",$F24)),
CHAR(CODE($CE24)+
SUM(IF(AND(NT_STUBENHKR,OR(EG$13&lt;=$E24,ISBLANK($E24))),1,0),
IF(ISERR(FIND(";"&amp;EG$13&amp;";",$F24)),0,-1),
IF(ISERR(FIND(";"&amp;EG$13&amp;":",$F24)),0,-VALUE(MID($F24,FIND(";"&amp;EG$13&amp;":",$F24)+LEN(EG$13)+2,1))),
IF(ISERR(FIND(";"&amp;EG$13&amp;"+",$F24)),0,VALUE(MID($F24,FIND(";"&amp;EG$13&amp;"+",$F24)+LEN(EG$13)+2,1))),)),0)</f>
        <v>E</v>
      </c>
      <c r="EH24" s="301" t="str">
        <f t="shared" ca="1" si="94"/>
        <v>E</v>
      </c>
      <c r="EI24" s="301" t="str">
        <f t="shared" ca="1" si="94"/>
        <v>E</v>
      </c>
      <c r="EJ24" s="301" t="str">
        <f t="shared" ca="1" si="94"/>
        <v>E</v>
      </c>
      <c r="EK24" s="301" t="str">
        <f t="shared" ca="1" si="94"/>
        <v>E</v>
      </c>
      <c r="EL24" s="301" t="str">
        <f t="shared" ca="1" si="94"/>
        <v>E</v>
      </c>
      <c r="EM24" s="301" t="str">
        <f t="shared" ca="1" si="94"/>
        <v>E</v>
      </c>
      <c r="EN24" s="301" t="str">
        <f t="shared" ca="1" si="94"/>
        <v>E</v>
      </c>
      <c r="EO24" s="301" t="str">
        <f t="shared" ca="1" si="94"/>
        <v>E</v>
      </c>
      <c r="EP24" s="301" t="str">
        <f t="shared" ca="1" si="94"/>
        <v>E</v>
      </c>
      <c r="EQ24" s="301" t="str">
        <f t="shared" ref="EQ24:EZ33" ca="1" si="95">IF(ISERR(FIND(";"&amp;EQ$13&amp;":0;",$F24)),
CHAR(CODE($CE24)+
SUM(IF(AND(NT_STUBENHKR,OR(EQ$13&lt;=$E24,ISBLANK($E24))),1,0),
IF(ISERR(FIND(";"&amp;EQ$13&amp;";",$F24)),0,-1),
IF(ISERR(FIND(";"&amp;EQ$13&amp;":",$F24)),0,-VALUE(MID($F24,FIND(";"&amp;EQ$13&amp;":",$F24)+LEN(EQ$13)+2,1))),
IF(ISERR(FIND(";"&amp;EQ$13&amp;"+",$F24)),0,VALUE(MID($F24,FIND(";"&amp;EQ$13&amp;"+",$F24)+LEN(EQ$13)+2,1))),)),0)</f>
        <v>E</v>
      </c>
      <c r="ER24" s="301" t="str">
        <f t="shared" ca="1" si="95"/>
        <v>E</v>
      </c>
      <c r="ES24" s="301" t="str">
        <f t="shared" ca="1" si="95"/>
        <v>E</v>
      </c>
      <c r="ET24" s="301" t="str">
        <f t="shared" ca="1" si="95"/>
        <v>E</v>
      </c>
      <c r="EU24" s="301" t="str">
        <f t="shared" ca="1" si="95"/>
        <v>E</v>
      </c>
      <c r="EV24" s="301" t="str">
        <f t="shared" ca="1" si="95"/>
        <v>E</v>
      </c>
      <c r="EW24" s="301" t="str">
        <f t="shared" ca="1" si="95"/>
        <v>E</v>
      </c>
      <c r="EX24" s="301" t="str">
        <f t="shared" ca="1" si="95"/>
        <v>E</v>
      </c>
      <c r="EY24" s="301" t="str">
        <f t="shared" ca="1" si="95"/>
        <v>E</v>
      </c>
      <c r="EZ24" s="301" t="str">
        <f t="shared" ca="1" si="95"/>
        <v>E</v>
      </c>
      <c r="FA24" s="301" t="str">
        <f t="shared" ref="FA24:FL33" ca="1" si="96">IF(ISERR(FIND(";"&amp;FA$13&amp;":0;",$F24)),
CHAR(CODE($CE24)+
SUM(IF(AND(NT_STUBENHKR,OR(FA$13&lt;=$E24,ISBLANK($E24))),1,0),
IF(ISERR(FIND(";"&amp;FA$13&amp;";",$F24)),0,-1),
IF(ISERR(FIND(";"&amp;FA$13&amp;":",$F24)),0,-VALUE(MID($F24,FIND(";"&amp;FA$13&amp;":",$F24)+LEN(FA$13)+2,1))),
IF(ISERR(FIND(";"&amp;FA$13&amp;"+",$F24)),0,VALUE(MID($F24,FIND(";"&amp;FA$13&amp;"+",$F24)+LEN(FA$13)+2,1))),)),0)</f>
        <v>E</v>
      </c>
      <c r="FB24" s="301" t="str">
        <f t="shared" ca="1" si="96"/>
        <v>E</v>
      </c>
      <c r="FC24" s="301" t="str">
        <f t="shared" ca="1" si="96"/>
        <v>E</v>
      </c>
      <c r="FD24" s="301" t="str">
        <f t="shared" ca="1" si="96"/>
        <v>E</v>
      </c>
      <c r="FE24" s="301" t="str">
        <f t="shared" ca="1" si="96"/>
        <v>E</v>
      </c>
      <c r="FF24" s="301" t="str">
        <f t="shared" ca="1" si="96"/>
        <v>E</v>
      </c>
      <c r="FG24" s="301" t="str">
        <f t="shared" ca="1" si="96"/>
        <v>E</v>
      </c>
      <c r="FH24" s="301" t="str">
        <f t="shared" ca="1" si="96"/>
        <v>E</v>
      </c>
      <c r="FI24" s="301" t="str">
        <f t="shared" ca="1" si="96"/>
        <v>E</v>
      </c>
      <c r="FJ24" s="301" t="str">
        <f t="shared" ca="1" si="96"/>
        <v>E</v>
      </c>
      <c r="FK24" s="301" t="str">
        <f t="shared" ca="1" si="96"/>
        <v>E</v>
      </c>
      <c r="FL24" s="301" t="str">
        <f t="shared" ca="1" si="96"/>
        <v>E</v>
      </c>
    </row>
    <row r="25" spans="1:168" x14ac:dyDescent="0.2">
      <c r="A25" s="24" t="str">
        <f t="shared" si="78"/>
        <v>Kettenwaffen</v>
      </c>
      <c r="B25" s="317" t="str">
        <f t="shared" ca="1" si="0"/>
        <v/>
      </c>
      <c r="C25" s="332" t="str">
        <f ca="1">IF(OR(NOT(ISBLANK(D25)),NOT(ISBLANK(HLOOKUP(RASSEGENE,RASSE,$CD25,FALSE))),
NOT(ISBLANK(HLOOKUP(KULTURGENE,KULTUR,$CD25,FALSE))),
NOT(OR(ISBLANK(HLOOKUP(PROFGENE,INDIRECT(PROFGEBIET),$CD25,FALSE)),$CS25="N",$CS25="M")),
IF(PROFZWEITE="",FALSE,NOT(ISBLANK(HLOOKUP(PROFZWEITE,INDIRECT(PROFGEBIET2),$CD25,FALSE))))),"x","")</f>
        <v/>
      </c>
      <c r="D25" s="1110"/>
      <c r="E25" s="1424"/>
      <c r="F25" s="325"/>
      <c r="G25" s="958"/>
      <c r="H25" s="1196"/>
      <c r="I25" s="326"/>
      <c r="J25" s="1880" t="str">
        <f t="shared" ca="1" si="79"/>
        <v/>
      </c>
      <c r="K25" s="1881"/>
      <c r="L25" s="1881"/>
      <c r="M25" s="1881"/>
      <c r="N25" s="1882"/>
      <c r="O25" s="613" t="str">
        <f t="shared" ca="1" si="2"/>
        <v/>
      </c>
      <c r="P25" s="640"/>
      <c r="Q25" s="637" t="str">
        <f t="shared" si="89"/>
        <v/>
      </c>
      <c r="R25" s="1313"/>
      <c r="S25" s="1313"/>
      <c r="T25" s="1315"/>
      <c r="U25" s="1283"/>
      <c r="V25" s="628" t="str">
        <f t="shared" ca="1" si="3"/>
        <v/>
      </c>
      <c r="W25" s="164">
        <f t="shared" ca="1" si="4"/>
        <v>0</v>
      </c>
      <c r="X25" s="164">
        <f t="shared" ca="1" si="5"/>
        <v>0</v>
      </c>
      <c r="Y25" s="164">
        <f t="shared" ca="1" si="6"/>
        <v>0</v>
      </c>
      <c r="Z25" s="164">
        <f t="shared" ca="1" si="7"/>
        <v>0</v>
      </c>
      <c r="AA25" s="164">
        <f t="shared" ca="1" si="8"/>
        <v>0</v>
      </c>
      <c r="AB25" s="164">
        <f t="shared" ca="1" si="9"/>
        <v>0</v>
      </c>
      <c r="AC25" s="164">
        <f t="shared" ca="1" si="10"/>
        <v>0</v>
      </c>
      <c r="AD25" s="164">
        <f t="shared" ca="1" si="11"/>
        <v>0</v>
      </c>
      <c r="AE25" s="164">
        <f t="shared" ca="1" si="12"/>
        <v>0</v>
      </c>
      <c r="AF25" s="164">
        <f t="shared" ca="1" si="13"/>
        <v>0</v>
      </c>
      <c r="AG25" s="164">
        <f t="shared" ca="1" si="14"/>
        <v>0</v>
      </c>
      <c r="AH25" s="164">
        <f t="shared" ca="1" si="15"/>
        <v>0</v>
      </c>
      <c r="AI25" s="164">
        <f t="shared" ca="1" si="16"/>
        <v>0</v>
      </c>
      <c r="AJ25" s="164">
        <f t="shared" ca="1" si="17"/>
        <v>0</v>
      </c>
      <c r="AK25" s="164">
        <f t="shared" ca="1" si="18"/>
        <v>0</v>
      </c>
      <c r="AL25" s="164">
        <f t="shared" ca="1" si="19"/>
        <v>0</v>
      </c>
      <c r="AM25" s="164">
        <f t="shared" ca="1" si="20"/>
        <v>0</v>
      </c>
      <c r="AN25" s="164">
        <f t="shared" ca="1" si="21"/>
        <v>0</v>
      </c>
      <c r="AO25" s="164">
        <f t="shared" ca="1" si="22"/>
        <v>0</v>
      </c>
      <c r="AP25" s="164">
        <f t="shared" ca="1" si="23"/>
        <v>0</v>
      </c>
      <c r="AQ25" s="164">
        <f t="shared" ca="1" si="24"/>
        <v>0</v>
      </c>
      <c r="AR25" s="164">
        <f t="shared" ca="1" si="25"/>
        <v>0</v>
      </c>
      <c r="AS25" s="152"/>
      <c r="AT25" s="154">
        <f t="shared" ca="1" si="26"/>
        <v>0</v>
      </c>
      <c r="AU25" s="154">
        <f t="shared" ca="1" si="27"/>
        <v>0</v>
      </c>
      <c r="AV25" s="154">
        <f t="shared" ca="1" si="28"/>
        <v>0</v>
      </c>
      <c r="AW25" s="154">
        <f t="shared" ca="1" si="29"/>
        <v>0</v>
      </c>
      <c r="AX25" s="154">
        <f t="shared" ca="1" si="30"/>
        <v>0</v>
      </c>
      <c r="AY25" s="154">
        <f t="shared" ca="1" si="31"/>
        <v>0</v>
      </c>
      <c r="AZ25" s="154">
        <f t="shared" ca="1" si="32"/>
        <v>0</v>
      </c>
      <c r="BA25" s="154">
        <f t="shared" ca="1" si="33"/>
        <v>0</v>
      </c>
      <c r="BB25" s="154">
        <f t="shared" ca="1" si="34"/>
        <v>0</v>
      </c>
      <c r="BC25" s="154">
        <f t="shared" ca="1" si="35"/>
        <v>0</v>
      </c>
      <c r="BD25" s="154">
        <f t="shared" ca="1" si="36"/>
        <v>0</v>
      </c>
      <c r="BE25" s="154">
        <f t="shared" ca="1" si="37"/>
        <v>0</v>
      </c>
      <c r="BF25" s="154">
        <f t="shared" ca="1" si="38"/>
        <v>0</v>
      </c>
      <c r="BG25" s="154">
        <f t="shared" ca="1" si="39"/>
        <v>0</v>
      </c>
      <c r="BH25" s="154">
        <f t="shared" ca="1" si="40"/>
        <v>0</v>
      </c>
      <c r="BI25" s="154">
        <f t="shared" ca="1" si="41"/>
        <v>0</v>
      </c>
      <c r="BJ25" s="154">
        <f t="shared" ca="1" si="42"/>
        <v>0</v>
      </c>
      <c r="BK25" s="154">
        <f t="shared" ca="1" si="43"/>
        <v>0</v>
      </c>
      <c r="BL25" s="154">
        <f t="shared" ca="1" si="44"/>
        <v>0</v>
      </c>
      <c r="BM25" s="154">
        <f t="shared" ca="1" si="45"/>
        <v>0</v>
      </c>
      <c r="BN25" s="154">
        <f t="shared" ca="1" si="46"/>
        <v>0</v>
      </c>
      <c r="BO25" s="154">
        <f t="shared" ca="1" si="47"/>
        <v>0</v>
      </c>
      <c r="BP25" s="154">
        <f t="shared" ca="1" si="48"/>
        <v>0</v>
      </c>
      <c r="BQ25" s="154">
        <f t="shared" ca="1" si="49"/>
        <v>0</v>
      </c>
      <c r="BR25" s="154">
        <f t="shared" ca="1" si="50"/>
        <v>0</v>
      </c>
      <c r="BS25" s="154">
        <f t="shared" ca="1" si="51"/>
        <v>0</v>
      </c>
      <c r="BT25" s="154">
        <f t="shared" ca="1" si="52"/>
        <v>0</v>
      </c>
      <c r="BU25" s="154">
        <f t="shared" ca="1" si="53"/>
        <v>0</v>
      </c>
      <c r="BV25" s="154">
        <f t="shared" ca="1" si="54"/>
        <v>0</v>
      </c>
      <c r="BW25" s="154">
        <f t="shared" ca="1" si="55"/>
        <v>0</v>
      </c>
      <c r="BX25" s="154">
        <f t="shared" ca="1" si="56"/>
        <v>0</v>
      </c>
      <c r="BY25" s="154">
        <f t="shared" ca="1" si="57"/>
        <v>0</v>
      </c>
      <c r="BZ25" s="154">
        <f t="shared" ca="1" si="80"/>
        <v>0</v>
      </c>
      <c r="CA25" s="154">
        <f t="shared" ca="1" si="58"/>
        <v>0</v>
      </c>
      <c r="CB25" s="154">
        <f t="shared" ca="1" si="59"/>
        <v>0</v>
      </c>
      <c r="CC25" s="523"/>
      <c r="CD25" s="355">
        <f t="shared" si="60"/>
        <v>54</v>
      </c>
      <c r="CE25" s="268" t="str">
        <f t="shared" ca="1" si="81"/>
        <v>D</v>
      </c>
      <c r="CF25" s="355" t="str">
        <f ca="1">IF(EXACT($B25,""),$CF24,CONCATENATE($CF24,$A25))</f>
        <v/>
      </c>
      <c r="CG25" s="268"/>
      <c r="CH25" s="268"/>
      <c r="CI25" s="269">
        <f t="shared" ca="1" si="61"/>
        <v>0</v>
      </c>
      <c r="CJ25" s="269">
        <f t="shared" ca="1" si="62"/>
        <v>0</v>
      </c>
      <c r="CK25" s="269"/>
      <c r="CL25" s="269"/>
      <c r="CM25" s="268">
        <f t="shared" ca="1" si="82"/>
        <v>0</v>
      </c>
      <c r="CN25" s="269">
        <f t="shared" ca="1" si="83"/>
        <v>0</v>
      </c>
      <c r="CO25" s="268" t="str">
        <f ca="1">CHAR(CODE(VLOOKUP($A25,TL_KPF_WERTE,6,FALSE))+$CN25)</f>
        <v>D</v>
      </c>
      <c r="CP25" s="269" t="b">
        <f t="shared" ca="1" si="64"/>
        <v>1</v>
      </c>
      <c r="CQ25" s="269">
        <f t="shared" si="65"/>
        <v>0</v>
      </c>
      <c r="CR25" s="269">
        <f t="shared" si="66"/>
        <v>0</v>
      </c>
      <c r="CS25" s="269">
        <f t="shared" ca="1" si="67"/>
        <v>0</v>
      </c>
      <c r="CT25" s="302" t="str">
        <f t="shared" ca="1" si="84"/>
        <v>0</v>
      </c>
      <c r="CU25" s="269">
        <f t="shared" ca="1" si="68"/>
        <v>0</v>
      </c>
      <c r="CV25" s="268"/>
      <c r="CW25" s="269">
        <f t="shared" ca="1" si="69"/>
        <v>0</v>
      </c>
      <c r="CX25" s="301">
        <f t="shared" ca="1" si="70"/>
        <v>0</v>
      </c>
      <c r="CY25" s="301">
        <f t="shared" ca="1" si="85"/>
        <v>0</v>
      </c>
      <c r="CZ25" s="301">
        <f t="shared" ca="1" si="71"/>
        <v>0</v>
      </c>
      <c r="DA25" s="301">
        <f t="shared" ca="1" si="86"/>
        <v>0</v>
      </c>
      <c r="DB25" t="str">
        <f t="shared" ca="1" si="90"/>
        <v/>
      </c>
      <c r="DC25" s="301" t="str">
        <f t="shared" ca="1" si="91"/>
        <v/>
      </c>
      <c r="DD25" s="1337" t="str">
        <f t="shared" ca="1" si="87"/>
        <v/>
      </c>
      <c r="DE25" s="1337" t="str">
        <f t="shared" ca="1" si="88"/>
        <v/>
      </c>
      <c r="DG25" s="269"/>
      <c r="DH25" s="269"/>
      <c r="DI25" s="269" t="str">
        <f ca="1">IF(NOT(ISERR(FIND(A25,Abfragen!$O$264,1))),MID(Abfragen!$O$264,FIND("(",Abfragen!$O$264,FIND(A25,Abfragen!$O$264,1)+LEN(A25))+1,FIND(")",Abfragen!$O$264,FIND(A25,Abfragen!$O$264,1)+LEN(A25))-FIND("(",Abfragen!$O$264,FIND(A25,Abfragen!$O$264,1)+LEN(A25))-1),"")</f>
        <v/>
      </c>
      <c r="DJ25" s="301" t="str">
        <f t="shared" ca="1" si="92"/>
        <v>D</v>
      </c>
      <c r="DK25" s="301" t="str">
        <f t="shared" ca="1" si="92"/>
        <v>D</v>
      </c>
      <c r="DL25" s="301" t="str">
        <f t="shared" ca="1" si="92"/>
        <v>D</v>
      </c>
      <c r="DM25" s="301" t="str">
        <f t="shared" ca="1" si="92"/>
        <v>D</v>
      </c>
      <c r="DN25" s="301" t="str">
        <f t="shared" ca="1" si="92"/>
        <v>D</v>
      </c>
      <c r="DO25" s="301" t="str">
        <f t="shared" ca="1" si="92"/>
        <v>D</v>
      </c>
      <c r="DP25" s="301" t="str">
        <f t="shared" ca="1" si="92"/>
        <v>D</v>
      </c>
      <c r="DQ25" s="301" t="str">
        <f t="shared" ca="1" si="92"/>
        <v>D</v>
      </c>
      <c r="DR25" s="301" t="str">
        <f t="shared" ca="1" si="92"/>
        <v>D</v>
      </c>
      <c r="DS25" s="301" t="str">
        <f t="shared" ca="1" si="92"/>
        <v>D</v>
      </c>
      <c r="DT25" s="301" t="str">
        <f t="shared" ca="1" si="93"/>
        <v>D</v>
      </c>
      <c r="DU25" s="301" t="str">
        <f t="shared" ca="1" si="93"/>
        <v>D</v>
      </c>
      <c r="DV25" s="301" t="str">
        <f t="shared" ca="1" si="93"/>
        <v>D</v>
      </c>
      <c r="DW25" s="301" t="str">
        <f t="shared" ca="1" si="93"/>
        <v>D</v>
      </c>
      <c r="DX25" s="301" t="str">
        <f t="shared" ca="1" si="93"/>
        <v>D</v>
      </c>
      <c r="DY25" s="301" t="str">
        <f t="shared" ca="1" si="93"/>
        <v>D</v>
      </c>
      <c r="DZ25" s="301" t="str">
        <f t="shared" ca="1" si="93"/>
        <v>D</v>
      </c>
      <c r="EA25" s="301" t="str">
        <f t="shared" ca="1" si="93"/>
        <v>D</v>
      </c>
      <c r="EB25" s="301" t="str">
        <f t="shared" ca="1" si="93"/>
        <v>D</v>
      </c>
      <c r="EC25" s="301" t="str">
        <f t="shared" ca="1" si="93"/>
        <v>D</v>
      </c>
      <c r="ED25" s="301" t="str">
        <f t="shared" ca="1" si="93"/>
        <v>D</v>
      </c>
      <c r="EE25" s="301" t="str">
        <f t="shared" ca="1" si="93"/>
        <v>D</v>
      </c>
      <c r="EF25" s="301">
        <f t="shared" si="74"/>
        <v>0</v>
      </c>
      <c r="EG25" s="301" t="str">
        <f t="shared" ca="1" si="94"/>
        <v>D</v>
      </c>
      <c r="EH25" s="301" t="str">
        <f t="shared" ca="1" si="94"/>
        <v>D</v>
      </c>
      <c r="EI25" s="301" t="str">
        <f t="shared" ca="1" si="94"/>
        <v>D</v>
      </c>
      <c r="EJ25" s="301" t="str">
        <f t="shared" ca="1" si="94"/>
        <v>D</v>
      </c>
      <c r="EK25" s="301" t="str">
        <f t="shared" ca="1" si="94"/>
        <v>D</v>
      </c>
      <c r="EL25" s="301" t="str">
        <f t="shared" ca="1" si="94"/>
        <v>D</v>
      </c>
      <c r="EM25" s="301" t="str">
        <f t="shared" ca="1" si="94"/>
        <v>D</v>
      </c>
      <c r="EN25" s="301" t="str">
        <f t="shared" ca="1" si="94"/>
        <v>D</v>
      </c>
      <c r="EO25" s="301" t="str">
        <f t="shared" ca="1" si="94"/>
        <v>D</v>
      </c>
      <c r="EP25" s="301" t="str">
        <f t="shared" ca="1" si="94"/>
        <v>D</v>
      </c>
      <c r="EQ25" s="301" t="str">
        <f t="shared" ca="1" si="95"/>
        <v>D</v>
      </c>
      <c r="ER25" s="301" t="str">
        <f t="shared" ca="1" si="95"/>
        <v>D</v>
      </c>
      <c r="ES25" s="301" t="str">
        <f t="shared" ca="1" si="95"/>
        <v>D</v>
      </c>
      <c r="ET25" s="301" t="str">
        <f t="shared" ca="1" si="95"/>
        <v>D</v>
      </c>
      <c r="EU25" s="301" t="str">
        <f t="shared" ca="1" si="95"/>
        <v>D</v>
      </c>
      <c r="EV25" s="301" t="str">
        <f t="shared" ca="1" si="95"/>
        <v>D</v>
      </c>
      <c r="EW25" s="301" t="str">
        <f t="shared" ca="1" si="95"/>
        <v>D</v>
      </c>
      <c r="EX25" s="301" t="str">
        <f t="shared" ca="1" si="95"/>
        <v>D</v>
      </c>
      <c r="EY25" s="301" t="str">
        <f t="shared" ca="1" si="95"/>
        <v>D</v>
      </c>
      <c r="EZ25" s="301" t="str">
        <f t="shared" ca="1" si="95"/>
        <v>D</v>
      </c>
      <c r="FA25" s="301" t="str">
        <f t="shared" ca="1" si="96"/>
        <v>D</v>
      </c>
      <c r="FB25" s="301" t="str">
        <f t="shared" ca="1" si="96"/>
        <v>D</v>
      </c>
      <c r="FC25" s="301" t="str">
        <f t="shared" ca="1" si="96"/>
        <v>D</v>
      </c>
      <c r="FD25" s="301" t="str">
        <f t="shared" ca="1" si="96"/>
        <v>D</v>
      </c>
      <c r="FE25" s="301" t="str">
        <f t="shared" ca="1" si="96"/>
        <v>D</v>
      </c>
      <c r="FF25" s="301" t="str">
        <f t="shared" ca="1" si="96"/>
        <v>D</v>
      </c>
      <c r="FG25" s="301" t="str">
        <f t="shared" ca="1" si="96"/>
        <v>D</v>
      </c>
      <c r="FH25" s="301" t="str">
        <f t="shared" ca="1" si="96"/>
        <v>D</v>
      </c>
      <c r="FI25" s="301" t="str">
        <f t="shared" ca="1" si="96"/>
        <v>D</v>
      </c>
      <c r="FJ25" s="301" t="str">
        <f t="shared" ca="1" si="96"/>
        <v>D</v>
      </c>
      <c r="FK25" s="301" t="str">
        <f t="shared" ca="1" si="96"/>
        <v>D</v>
      </c>
      <c r="FL25" s="301" t="str">
        <f t="shared" ca="1" si="96"/>
        <v>D</v>
      </c>
    </row>
    <row r="26" spans="1:168" x14ac:dyDescent="0.2">
      <c r="A26" s="24" t="str">
        <f t="shared" si="78"/>
        <v>Lanzenreiten</v>
      </c>
      <c r="B26" s="317" t="str">
        <f t="shared" ca="1" si="0"/>
        <v/>
      </c>
      <c r="C26" s="332" t="str">
        <f ca="1">IF(OR(NOT(ISBLANK(D26)),NOT(ISBLANK(HLOOKUP(RASSEGENE,RASSE,$CD26,FALSE))),
NOT(ISBLANK(HLOOKUP(KULTURGENE,KULTUR,$CD26,FALSE))),
NOT(OR(ISBLANK(HLOOKUP(PROFGENE,INDIRECT(PROFGEBIET),$CD26,FALSE)),$CS26="N",$CS26="M")),
IF(PROFZWEITE="",FALSE,NOT(ISBLANK(HLOOKUP(PROFZWEITE,INDIRECT(PROFGEBIET2),$CD26,FALSE))))),"x","")</f>
        <v/>
      </c>
      <c r="D26" s="1110"/>
      <c r="E26" s="1424"/>
      <c r="F26" s="325"/>
      <c r="G26" s="958"/>
      <c r="H26" s="1196"/>
      <c r="I26" s="326"/>
      <c r="J26" s="1880" t="str">
        <f t="shared" ca="1" si="79"/>
        <v/>
      </c>
      <c r="K26" s="1881"/>
      <c r="L26" s="1881"/>
      <c r="M26" s="1881"/>
      <c r="N26" s="1882"/>
      <c r="O26" s="613" t="str">
        <f t="shared" ca="1" si="2"/>
        <v/>
      </c>
      <c r="P26" s="637" t="str">
        <f ca="1">IF(AND(C26="",G26="",I26=""),"",AT+B26+G26+I26)</f>
        <v/>
      </c>
      <c r="Q26" s="90"/>
      <c r="R26" s="633"/>
      <c r="S26" s="633"/>
      <c r="T26" s="1316"/>
      <c r="U26" s="959"/>
      <c r="V26" s="628"/>
      <c r="W26" s="164">
        <f t="shared" ca="1" si="4"/>
        <v>0</v>
      </c>
      <c r="X26" s="164">
        <f t="shared" ca="1" si="5"/>
        <v>0</v>
      </c>
      <c r="Y26" s="164">
        <f t="shared" ca="1" si="6"/>
        <v>0</v>
      </c>
      <c r="Z26" s="164">
        <f t="shared" ca="1" si="7"/>
        <v>0</v>
      </c>
      <c r="AA26" s="164">
        <f t="shared" ca="1" si="8"/>
        <v>0</v>
      </c>
      <c r="AB26" s="164">
        <f t="shared" ca="1" si="9"/>
        <v>0</v>
      </c>
      <c r="AC26" s="164">
        <f t="shared" ca="1" si="10"/>
        <v>0</v>
      </c>
      <c r="AD26" s="164">
        <f t="shared" ca="1" si="11"/>
        <v>0</v>
      </c>
      <c r="AE26" s="164">
        <f t="shared" ca="1" si="12"/>
        <v>0</v>
      </c>
      <c r="AF26" s="164">
        <f t="shared" ca="1" si="13"/>
        <v>0</v>
      </c>
      <c r="AG26" s="164">
        <f t="shared" ca="1" si="14"/>
        <v>0</v>
      </c>
      <c r="AH26" s="164">
        <f t="shared" ca="1" si="15"/>
        <v>0</v>
      </c>
      <c r="AI26" s="164">
        <f t="shared" ca="1" si="16"/>
        <v>0</v>
      </c>
      <c r="AJ26" s="164">
        <f t="shared" ca="1" si="17"/>
        <v>0</v>
      </c>
      <c r="AK26" s="164">
        <f t="shared" ca="1" si="18"/>
        <v>0</v>
      </c>
      <c r="AL26" s="164">
        <f t="shared" ca="1" si="19"/>
        <v>0</v>
      </c>
      <c r="AM26" s="164">
        <f t="shared" ca="1" si="20"/>
        <v>0</v>
      </c>
      <c r="AN26" s="164">
        <f t="shared" ca="1" si="21"/>
        <v>0</v>
      </c>
      <c r="AO26" s="164">
        <f t="shared" ca="1" si="22"/>
        <v>0</v>
      </c>
      <c r="AP26" s="164">
        <f t="shared" ca="1" si="23"/>
        <v>0</v>
      </c>
      <c r="AQ26" s="164">
        <f t="shared" ca="1" si="24"/>
        <v>0</v>
      </c>
      <c r="AR26" s="164">
        <f t="shared" ca="1" si="25"/>
        <v>0</v>
      </c>
      <c r="AS26" s="152"/>
      <c r="AT26" s="154">
        <f t="shared" ca="1" si="26"/>
        <v>0</v>
      </c>
      <c r="AU26" s="154">
        <f t="shared" ca="1" si="27"/>
        <v>0</v>
      </c>
      <c r="AV26" s="154">
        <f t="shared" ca="1" si="28"/>
        <v>0</v>
      </c>
      <c r="AW26" s="154">
        <f t="shared" ca="1" si="29"/>
        <v>0</v>
      </c>
      <c r="AX26" s="154">
        <f t="shared" ca="1" si="30"/>
        <v>0</v>
      </c>
      <c r="AY26" s="154">
        <f t="shared" ca="1" si="31"/>
        <v>0</v>
      </c>
      <c r="AZ26" s="154">
        <f t="shared" ca="1" si="32"/>
        <v>0</v>
      </c>
      <c r="BA26" s="154">
        <f t="shared" ca="1" si="33"/>
        <v>0</v>
      </c>
      <c r="BB26" s="154">
        <f t="shared" ca="1" si="34"/>
        <v>0</v>
      </c>
      <c r="BC26" s="154">
        <f t="shared" ca="1" si="35"/>
        <v>0</v>
      </c>
      <c r="BD26" s="154">
        <f t="shared" ca="1" si="36"/>
        <v>0</v>
      </c>
      <c r="BE26" s="154">
        <f t="shared" ca="1" si="37"/>
        <v>0</v>
      </c>
      <c r="BF26" s="154">
        <f t="shared" ca="1" si="38"/>
        <v>0</v>
      </c>
      <c r="BG26" s="154">
        <f t="shared" ca="1" si="39"/>
        <v>0</v>
      </c>
      <c r="BH26" s="154">
        <f t="shared" ca="1" si="40"/>
        <v>0</v>
      </c>
      <c r="BI26" s="154">
        <f t="shared" ca="1" si="41"/>
        <v>0</v>
      </c>
      <c r="BJ26" s="154">
        <f t="shared" ca="1" si="42"/>
        <v>0</v>
      </c>
      <c r="BK26" s="154">
        <f t="shared" ca="1" si="43"/>
        <v>0</v>
      </c>
      <c r="BL26" s="154">
        <f t="shared" ca="1" si="44"/>
        <v>0</v>
      </c>
      <c r="BM26" s="154">
        <f t="shared" ca="1" si="45"/>
        <v>0</v>
      </c>
      <c r="BN26" s="154">
        <f t="shared" ca="1" si="46"/>
        <v>0</v>
      </c>
      <c r="BO26" s="154">
        <f t="shared" ca="1" si="47"/>
        <v>0</v>
      </c>
      <c r="BP26" s="154">
        <f t="shared" ca="1" si="48"/>
        <v>0</v>
      </c>
      <c r="BQ26" s="154">
        <f t="shared" ca="1" si="49"/>
        <v>0</v>
      </c>
      <c r="BR26" s="154">
        <f t="shared" ca="1" si="50"/>
        <v>0</v>
      </c>
      <c r="BS26" s="154">
        <f t="shared" ca="1" si="51"/>
        <v>0</v>
      </c>
      <c r="BT26" s="154">
        <f t="shared" ca="1" si="52"/>
        <v>0</v>
      </c>
      <c r="BU26" s="154">
        <f t="shared" ca="1" si="53"/>
        <v>0</v>
      </c>
      <c r="BV26" s="154">
        <f t="shared" ca="1" si="54"/>
        <v>0</v>
      </c>
      <c r="BW26" s="154">
        <f t="shared" ca="1" si="55"/>
        <v>0</v>
      </c>
      <c r="BX26" s="154">
        <f t="shared" ca="1" si="56"/>
        <v>0</v>
      </c>
      <c r="BY26" s="154">
        <f t="shared" ca="1" si="57"/>
        <v>0</v>
      </c>
      <c r="BZ26" s="523"/>
      <c r="CA26" s="523"/>
      <c r="CB26" s="523"/>
      <c r="CC26" s="523"/>
      <c r="CD26" s="355">
        <f t="shared" si="60"/>
        <v>55</v>
      </c>
      <c r="CE26" s="268" t="str">
        <f t="shared" ca="1" si="81"/>
        <v>E</v>
      </c>
      <c r="CF26" s="355" t="str">
        <f ca="1">IF(EXACT($B26,""),$CF25,CONCATENATE($CF25,$A26))</f>
        <v/>
      </c>
      <c r="CG26" s="268"/>
      <c r="CH26" s="268"/>
      <c r="CI26" s="269">
        <f t="shared" ca="1" si="61"/>
        <v>0</v>
      </c>
      <c r="CJ26" s="269">
        <f t="shared" ca="1" si="62"/>
        <v>0</v>
      </c>
      <c r="CK26" s="269"/>
      <c r="CL26" s="269"/>
      <c r="CM26" s="268">
        <f t="shared" ca="1" si="82"/>
        <v>0</v>
      </c>
      <c r="CN26" s="269">
        <f t="shared" ca="1" si="83"/>
        <v>0</v>
      </c>
      <c r="CO26" s="268" t="str">
        <f ca="1">CHAR(CODE(VLOOKUP($A26,TL_KPF_WERTE,6,FALSE))+$CN26)</f>
        <v>E</v>
      </c>
      <c r="CP26" s="269" t="b">
        <f t="shared" ca="1" si="64"/>
        <v>1</v>
      </c>
      <c r="CQ26" s="269">
        <f t="shared" si="65"/>
        <v>0</v>
      </c>
      <c r="CR26" s="269">
        <f t="shared" si="66"/>
        <v>0</v>
      </c>
      <c r="CS26" s="269">
        <f t="shared" ca="1" si="67"/>
        <v>0</v>
      </c>
      <c r="CT26" s="302" t="str">
        <f t="shared" ca="1" si="84"/>
        <v>0</v>
      </c>
      <c r="CU26" s="269">
        <f t="shared" ca="1" si="68"/>
        <v>0</v>
      </c>
      <c r="CV26" s="268"/>
      <c r="CW26" s="269">
        <f t="shared" ca="1" si="69"/>
        <v>0</v>
      </c>
      <c r="CX26" s="301">
        <f t="shared" ca="1" si="70"/>
        <v>0</v>
      </c>
      <c r="CY26" s="301">
        <f t="shared" ca="1" si="85"/>
        <v>0</v>
      </c>
      <c r="CZ26" s="301">
        <f t="shared" ca="1" si="71"/>
        <v>0</v>
      </c>
      <c r="DA26" s="301">
        <f t="shared" ca="1" si="86"/>
        <v>0</v>
      </c>
      <c r="DC26" s="301" t="str">
        <f t="shared" ca="1" si="91"/>
        <v/>
      </c>
      <c r="DD26" s="1337" t="str">
        <f t="shared" ca="1" si="87"/>
        <v/>
      </c>
      <c r="DE26" s="1337" t="str">
        <f t="shared" ca="1" si="88"/>
        <v/>
      </c>
      <c r="DG26" s="269"/>
      <c r="DH26" s="269"/>
      <c r="DI26" s="269" t="str">
        <f ca="1">IF(NOT(ISERR(FIND(A26,Abfragen!$O$264,1))),MID(Abfragen!$O$264,FIND("(",Abfragen!$O$264,FIND(A26,Abfragen!$O$264,1)+LEN(A26))+1,FIND(")",Abfragen!$O$264,FIND(A26,Abfragen!$O$264,1)+LEN(A26))-FIND("(",Abfragen!$O$264,FIND(A26,Abfragen!$O$264,1)+LEN(A26))-1),"")</f>
        <v/>
      </c>
      <c r="DJ26" s="301" t="str">
        <f t="shared" ca="1" si="92"/>
        <v>E</v>
      </c>
      <c r="DK26" s="301" t="str">
        <f t="shared" ca="1" si="92"/>
        <v>E</v>
      </c>
      <c r="DL26" s="301" t="str">
        <f t="shared" ca="1" si="92"/>
        <v>E</v>
      </c>
      <c r="DM26" s="301" t="str">
        <f t="shared" ca="1" si="92"/>
        <v>E</v>
      </c>
      <c r="DN26" s="301" t="str">
        <f t="shared" ca="1" si="92"/>
        <v>E</v>
      </c>
      <c r="DO26" s="301" t="str">
        <f t="shared" ca="1" si="92"/>
        <v>E</v>
      </c>
      <c r="DP26" s="301" t="str">
        <f t="shared" ca="1" si="92"/>
        <v>E</v>
      </c>
      <c r="DQ26" s="301" t="str">
        <f t="shared" ca="1" si="92"/>
        <v>E</v>
      </c>
      <c r="DR26" s="301" t="str">
        <f t="shared" ca="1" si="92"/>
        <v>E</v>
      </c>
      <c r="DS26" s="301" t="str">
        <f t="shared" ca="1" si="92"/>
        <v>E</v>
      </c>
      <c r="DT26" s="301" t="str">
        <f t="shared" ca="1" si="93"/>
        <v>E</v>
      </c>
      <c r="DU26" s="301" t="str">
        <f t="shared" ca="1" si="93"/>
        <v>E</v>
      </c>
      <c r="DV26" s="301" t="str">
        <f t="shared" ca="1" si="93"/>
        <v>E</v>
      </c>
      <c r="DW26" s="301" t="str">
        <f t="shared" ca="1" si="93"/>
        <v>E</v>
      </c>
      <c r="DX26" s="301" t="str">
        <f t="shared" ca="1" si="93"/>
        <v>E</v>
      </c>
      <c r="DY26" s="301" t="str">
        <f t="shared" ca="1" si="93"/>
        <v>E</v>
      </c>
      <c r="DZ26" s="301" t="str">
        <f t="shared" ca="1" si="93"/>
        <v>E</v>
      </c>
      <c r="EA26" s="301" t="str">
        <f t="shared" ca="1" si="93"/>
        <v>E</v>
      </c>
      <c r="EB26" s="301" t="str">
        <f t="shared" ca="1" si="93"/>
        <v>E</v>
      </c>
      <c r="EC26" s="301" t="str">
        <f t="shared" ca="1" si="93"/>
        <v>E</v>
      </c>
      <c r="ED26" s="301" t="str">
        <f t="shared" ca="1" si="93"/>
        <v>E</v>
      </c>
      <c r="EE26" s="301" t="str">
        <f t="shared" ca="1" si="93"/>
        <v>E</v>
      </c>
      <c r="EF26" s="301">
        <f t="shared" si="74"/>
        <v>0</v>
      </c>
      <c r="EG26" s="301" t="str">
        <f t="shared" ca="1" si="94"/>
        <v>E</v>
      </c>
      <c r="EH26" s="301" t="str">
        <f t="shared" ca="1" si="94"/>
        <v>E</v>
      </c>
      <c r="EI26" s="301" t="str">
        <f t="shared" ca="1" si="94"/>
        <v>E</v>
      </c>
      <c r="EJ26" s="301" t="str">
        <f t="shared" ca="1" si="94"/>
        <v>E</v>
      </c>
      <c r="EK26" s="301" t="str">
        <f t="shared" ca="1" si="94"/>
        <v>E</v>
      </c>
      <c r="EL26" s="301" t="str">
        <f t="shared" ca="1" si="94"/>
        <v>E</v>
      </c>
      <c r="EM26" s="301" t="str">
        <f t="shared" ca="1" si="94"/>
        <v>E</v>
      </c>
      <c r="EN26" s="301" t="str">
        <f t="shared" ca="1" si="94"/>
        <v>E</v>
      </c>
      <c r="EO26" s="301" t="str">
        <f t="shared" ca="1" si="94"/>
        <v>E</v>
      </c>
      <c r="EP26" s="301" t="str">
        <f t="shared" ca="1" si="94"/>
        <v>E</v>
      </c>
      <c r="EQ26" s="301" t="str">
        <f t="shared" ca="1" si="95"/>
        <v>E</v>
      </c>
      <c r="ER26" s="301" t="str">
        <f t="shared" ca="1" si="95"/>
        <v>E</v>
      </c>
      <c r="ES26" s="301" t="str">
        <f t="shared" ca="1" si="95"/>
        <v>E</v>
      </c>
      <c r="ET26" s="301" t="str">
        <f t="shared" ca="1" si="95"/>
        <v>E</v>
      </c>
      <c r="EU26" s="301" t="str">
        <f t="shared" ca="1" si="95"/>
        <v>E</v>
      </c>
      <c r="EV26" s="301" t="str">
        <f t="shared" ca="1" si="95"/>
        <v>E</v>
      </c>
      <c r="EW26" s="301" t="str">
        <f t="shared" ca="1" si="95"/>
        <v>E</v>
      </c>
      <c r="EX26" s="301" t="str">
        <f t="shared" ca="1" si="95"/>
        <v>E</v>
      </c>
      <c r="EY26" s="301" t="str">
        <f t="shared" ca="1" si="95"/>
        <v>E</v>
      </c>
      <c r="EZ26" s="301" t="str">
        <f t="shared" ca="1" si="95"/>
        <v>E</v>
      </c>
      <c r="FA26" s="301" t="str">
        <f t="shared" ca="1" si="96"/>
        <v>E</v>
      </c>
      <c r="FB26" s="301" t="str">
        <f t="shared" ca="1" si="96"/>
        <v>E</v>
      </c>
      <c r="FC26" s="301" t="str">
        <f t="shared" ca="1" si="96"/>
        <v>E</v>
      </c>
      <c r="FD26" s="301" t="str">
        <f t="shared" ca="1" si="96"/>
        <v>E</v>
      </c>
      <c r="FE26" s="301" t="str">
        <f t="shared" ca="1" si="96"/>
        <v>E</v>
      </c>
      <c r="FF26" s="301" t="str">
        <f t="shared" ca="1" si="96"/>
        <v>E</v>
      </c>
      <c r="FG26" s="301" t="str">
        <f t="shared" ca="1" si="96"/>
        <v>E</v>
      </c>
      <c r="FH26" s="301" t="str">
        <f t="shared" ca="1" si="96"/>
        <v>E</v>
      </c>
      <c r="FI26" s="301" t="str">
        <f t="shared" ca="1" si="96"/>
        <v>E</v>
      </c>
      <c r="FJ26" s="301" t="str">
        <f t="shared" ca="1" si="96"/>
        <v>E</v>
      </c>
      <c r="FK26" s="301" t="str">
        <f t="shared" ca="1" si="96"/>
        <v>E</v>
      </c>
      <c r="FL26" s="301" t="str">
        <f t="shared" ca="1" si="96"/>
        <v>E</v>
      </c>
    </row>
    <row r="27" spans="1:168" x14ac:dyDescent="0.2">
      <c r="A27" s="24" t="str">
        <f t="shared" si="78"/>
        <v>Peitsche</v>
      </c>
      <c r="B27" s="317" t="str">
        <f t="shared" ca="1" si="0"/>
        <v/>
      </c>
      <c r="C27" s="332" t="str">
        <f ca="1">IF(OR(NOT(ISBLANK(D27)),NOT(ISBLANK(HLOOKUP(RASSEGENE,RASSE,$CD27,FALSE))),
NOT(ISBLANK(HLOOKUP(KULTURGENE,KULTUR,$CD27,FALSE))),
NOT(OR(ISBLANK(HLOOKUP(PROFGENE,INDIRECT(PROFGEBIET),$CD27,FALSE)),$CS27="N",$CS27="M")),
IF(PROFZWEITE="",FALSE,NOT(ISBLANK(HLOOKUP(PROFZWEITE,INDIRECT(PROFGEBIET2),$CD27,FALSE))))),"x","")</f>
        <v/>
      </c>
      <c r="D27" s="1110"/>
      <c r="E27" s="1424"/>
      <c r="F27" s="325"/>
      <c r="G27" s="958"/>
      <c r="H27" s="1196"/>
      <c r="I27" s="326"/>
      <c r="J27" s="1880" t="str">
        <f t="shared" ca="1" si="79"/>
        <v/>
      </c>
      <c r="K27" s="1881"/>
      <c r="L27" s="1881"/>
      <c r="M27" s="1881"/>
      <c r="N27" s="1882"/>
      <c r="O27" s="613" t="str">
        <f t="shared" ca="1" si="2"/>
        <v/>
      </c>
      <c r="P27" s="637" t="str">
        <f ca="1">IF(AND(C27="",G27="",I27=""),"",AT+B27+G27+I27)</f>
        <v/>
      </c>
      <c r="Q27" s="530"/>
      <c r="R27" s="633"/>
      <c r="S27" s="633"/>
      <c r="T27" s="1317"/>
      <c r="U27" s="959"/>
      <c r="V27" s="628"/>
      <c r="W27" s="164">
        <f t="shared" ca="1" si="4"/>
        <v>0</v>
      </c>
      <c r="X27" s="164">
        <f t="shared" ca="1" si="5"/>
        <v>0</v>
      </c>
      <c r="Y27" s="164">
        <f t="shared" ca="1" si="6"/>
        <v>0</v>
      </c>
      <c r="Z27" s="164">
        <f t="shared" ca="1" si="7"/>
        <v>0</v>
      </c>
      <c r="AA27" s="164">
        <f t="shared" ca="1" si="8"/>
        <v>0</v>
      </c>
      <c r="AB27" s="164">
        <f t="shared" ca="1" si="9"/>
        <v>0</v>
      </c>
      <c r="AC27" s="164">
        <f t="shared" ca="1" si="10"/>
        <v>0</v>
      </c>
      <c r="AD27" s="164">
        <f t="shared" ca="1" si="11"/>
        <v>0</v>
      </c>
      <c r="AE27" s="164">
        <f t="shared" ca="1" si="12"/>
        <v>0</v>
      </c>
      <c r="AF27" s="164">
        <f t="shared" ca="1" si="13"/>
        <v>0</v>
      </c>
      <c r="AG27" s="164">
        <f t="shared" ca="1" si="14"/>
        <v>0</v>
      </c>
      <c r="AH27" s="164">
        <f t="shared" ca="1" si="15"/>
        <v>0</v>
      </c>
      <c r="AI27" s="164">
        <f t="shared" ca="1" si="16"/>
        <v>0</v>
      </c>
      <c r="AJ27" s="164">
        <f t="shared" ca="1" si="17"/>
        <v>0</v>
      </c>
      <c r="AK27" s="164">
        <f t="shared" ca="1" si="18"/>
        <v>0</v>
      </c>
      <c r="AL27" s="164">
        <f t="shared" ca="1" si="19"/>
        <v>0</v>
      </c>
      <c r="AM27" s="164">
        <f t="shared" ca="1" si="20"/>
        <v>0</v>
      </c>
      <c r="AN27" s="164">
        <f t="shared" ca="1" si="21"/>
        <v>0</v>
      </c>
      <c r="AO27" s="164">
        <f t="shared" ca="1" si="22"/>
        <v>0</v>
      </c>
      <c r="AP27" s="164">
        <f t="shared" ca="1" si="23"/>
        <v>0</v>
      </c>
      <c r="AQ27" s="164">
        <f t="shared" ca="1" si="24"/>
        <v>0</v>
      </c>
      <c r="AR27" s="164">
        <f t="shared" ca="1" si="25"/>
        <v>0</v>
      </c>
      <c r="AS27" s="152"/>
      <c r="AT27" s="154">
        <f t="shared" ca="1" si="26"/>
        <v>0</v>
      </c>
      <c r="AU27" s="154">
        <f t="shared" ca="1" si="27"/>
        <v>0</v>
      </c>
      <c r="AV27" s="154">
        <f t="shared" ca="1" si="28"/>
        <v>0</v>
      </c>
      <c r="AW27" s="154">
        <f t="shared" ca="1" si="29"/>
        <v>0</v>
      </c>
      <c r="AX27" s="154">
        <f t="shared" ca="1" si="30"/>
        <v>0</v>
      </c>
      <c r="AY27" s="154">
        <f t="shared" ca="1" si="31"/>
        <v>0</v>
      </c>
      <c r="AZ27" s="154">
        <f t="shared" ca="1" si="32"/>
        <v>0</v>
      </c>
      <c r="BA27" s="154">
        <f t="shared" ca="1" si="33"/>
        <v>0</v>
      </c>
      <c r="BB27" s="154">
        <f t="shared" ca="1" si="34"/>
        <v>0</v>
      </c>
      <c r="BC27" s="154">
        <f t="shared" ca="1" si="35"/>
        <v>0</v>
      </c>
      <c r="BD27" s="154">
        <f t="shared" ca="1" si="36"/>
        <v>0</v>
      </c>
      <c r="BE27" s="154">
        <f t="shared" ca="1" si="37"/>
        <v>0</v>
      </c>
      <c r="BF27" s="154">
        <f t="shared" ca="1" si="38"/>
        <v>0</v>
      </c>
      <c r="BG27" s="154">
        <f t="shared" ca="1" si="39"/>
        <v>0</v>
      </c>
      <c r="BH27" s="154">
        <f t="shared" ca="1" si="40"/>
        <v>0</v>
      </c>
      <c r="BI27" s="154">
        <f t="shared" ca="1" si="41"/>
        <v>0</v>
      </c>
      <c r="BJ27" s="154">
        <f t="shared" ca="1" si="42"/>
        <v>0</v>
      </c>
      <c r="BK27" s="154">
        <f t="shared" ca="1" si="43"/>
        <v>0</v>
      </c>
      <c r="BL27" s="154">
        <f t="shared" ca="1" si="44"/>
        <v>0</v>
      </c>
      <c r="BM27" s="154">
        <f t="shared" ca="1" si="45"/>
        <v>0</v>
      </c>
      <c r="BN27" s="154">
        <f t="shared" ca="1" si="46"/>
        <v>0</v>
      </c>
      <c r="BO27" s="154">
        <f t="shared" ca="1" si="47"/>
        <v>0</v>
      </c>
      <c r="BP27" s="154">
        <f t="shared" ca="1" si="48"/>
        <v>0</v>
      </c>
      <c r="BQ27" s="154">
        <f t="shared" ca="1" si="49"/>
        <v>0</v>
      </c>
      <c r="BR27" s="154">
        <f t="shared" ca="1" si="50"/>
        <v>0</v>
      </c>
      <c r="BS27" s="154">
        <f t="shared" ca="1" si="51"/>
        <v>0</v>
      </c>
      <c r="BT27" s="154">
        <f t="shared" ca="1" si="52"/>
        <v>0</v>
      </c>
      <c r="BU27" s="154">
        <f t="shared" ca="1" si="53"/>
        <v>0</v>
      </c>
      <c r="BV27" s="154">
        <f t="shared" ca="1" si="54"/>
        <v>0</v>
      </c>
      <c r="BW27" s="154">
        <f t="shared" ca="1" si="55"/>
        <v>0</v>
      </c>
      <c r="BX27" s="154">
        <f t="shared" ca="1" si="56"/>
        <v>0</v>
      </c>
      <c r="BY27" s="154">
        <f t="shared" ca="1" si="57"/>
        <v>0</v>
      </c>
      <c r="BZ27" s="523"/>
      <c r="CA27" s="523"/>
      <c r="CB27" s="523"/>
      <c r="CC27" s="523"/>
      <c r="CD27" s="355">
        <f t="shared" si="60"/>
        <v>56</v>
      </c>
      <c r="CE27" s="268" t="str">
        <f t="shared" ca="1" si="81"/>
        <v>E</v>
      </c>
      <c r="CF27" s="355" t="str">
        <f ca="1">IF(EXACT($B27,""),$CF26,CONCATENATE($CF26,$A27))</f>
        <v/>
      </c>
      <c r="CG27" s="268"/>
      <c r="CH27" s="268"/>
      <c r="CI27" s="269">
        <f t="shared" ca="1" si="61"/>
        <v>0</v>
      </c>
      <c r="CJ27" s="269">
        <f t="shared" ca="1" si="62"/>
        <v>0</v>
      </c>
      <c r="CK27" s="269"/>
      <c r="CL27" s="269"/>
      <c r="CM27" s="268">
        <f t="shared" ca="1" si="82"/>
        <v>0</v>
      </c>
      <c r="CN27" s="269">
        <f t="shared" ca="1" si="83"/>
        <v>0</v>
      </c>
      <c r="CO27" s="268" t="str">
        <f ca="1">CHAR(CODE(VLOOKUP($A27,TL_KPF_WERTE,6,FALSE))+$CN27)</f>
        <v>E</v>
      </c>
      <c r="CP27" s="269" t="b">
        <f t="shared" ca="1" si="64"/>
        <v>1</v>
      </c>
      <c r="CQ27" s="269">
        <f t="shared" si="65"/>
        <v>0</v>
      </c>
      <c r="CR27" s="269">
        <f t="shared" si="66"/>
        <v>0</v>
      </c>
      <c r="CS27" s="269">
        <f t="shared" ca="1" si="67"/>
        <v>0</v>
      </c>
      <c r="CT27" s="302" t="str">
        <f t="shared" ca="1" si="84"/>
        <v>0</v>
      </c>
      <c r="CU27" s="269">
        <f t="shared" ca="1" si="68"/>
        <v>0</v>
      </c>
      <c r="CV27" s="268"/>
      <c r="CW27" s="269">
        <f t="shared" ca="1" si="69"/>
        <v>0</v>
      </c>
      <c r="CX27" s="301">
        <f t="shared" ca="1" si="70"/>
        <v>0</v>
      </c>
      <c r="CY27" s="301">
        <f t="shared" ca="1" si="85"/>
        <v>0</v>
      </c>
      <c r="CZ27" s="301">
        <f t="shared" ca="1" si="71"/>
        <v>0</v>
      </c>
      <c r="DA27" s="301">
        <f t="shared" ca="1" si="86"/>
        <v>0</v>
      </c>
      <c r="DC27" s="301" t="str">
        <f t="shared" ca="1" si="91"/>
        <v/>
      </c>
      <c r="DD27" s="1337" t="str">
        <f t="shared" ca="1" si="87"/>
        <v/>
      </c>
      <c r="DE27" s="1337" t="str">
        <f t="shared" ca="1" si="88"/>
        <v/>
      </c>
      <c r="DG27" s="269"/>
      <c r="DH27" s="269"/>
      <c r="DI27" s="269" t="str">
        <f ca="1">IF(NOT(ISERR(FIND(A27,Abfragen!$O$264,1))),MID(Abfragen!$O$264,FIND("(",Abfragen!$O$264,FIND(A27,Abfragen!$O$264,1)+LEN(A27))+1,FIND(")",Abfragen!$O$264,FIND(A27,Abfragen!$O$264,1)+LEN(A27))-FIND("(",Abfragen!$O$264,FIND(A27,Abfragen!$O$264,1)+LEN(A27))-1),"")</f>
        <v/>
      </c>
      <c r="DJ27" s="301" t="str">
        <f t="shared" ca="1" si="92"/>
        <v>E</v>
      </c>
      <c r="DK27" s="301" t="str">
        <f t="shared" ca="1" si="92"/>
        <v>E</v>
      </c>
      <c r="DL27" s="301" t="str">
        <f t="shared" ca="1" si="92"/>
        <v>E</v>
      </c>
      <c r="DM27" s="301" t="str">
        <f t="shared" ca="1" si="92"/>
        <v>E</v>
      </c>
      <c r="DN27" s="301" t="str">
        <f t="shared" ca="1" si="92"/>
        <v>E</v>
      </c>
      <c r="DO27" s="301" t="str">
        <f t="shared" ca="1" si="92"/>
        <v>E</v>
      </c>
      <c r="DP27" s="301" t="str">
        <f t="shared" ca="1" si="92"/>
        <v>E</v>
      </c>
      <c r="DQ27" s="301" t="str">
        <f t="shared" ca="1" si="92"/>
        <v>E</v>
      </c>
      <c r="DR27" s="301" t="str">
        <f t="shared" ca="1" si="92"/>
        <v>E</v>
      </c>
      <c r="DS27" s="301" t="str">
        <f t="shared" ca="1" si="92"/>
        <v>E</v>
      </c>
      <c r="DT27" s="301" t="str">
        <f t="shared" ca="1" si="93"/>
        <v>E</v>
      </c>
      <c r="DU27" s="301" t="str">
        <f t="shared" ca="1" si="93"/>
        <v>E</v>
      </c>
      <c r="DV27" s="301" t="str">
        <f t="shared" ca="1" si="93"/>
        <v>E</v>
      </c>
      <c r="DW27" s="301" t="str">
        <f t="shared" ca="1" si="93"/>
        <v>E</v>
      </c>
      <c r="DX27" s="301" t="str">
        <f t="shared" ca="1" si="93"/>
        <v>E</v>
      </c>
      <c r="DY27" s="301" t="str">
        <f t="shared" ca="1" si="93"/>
        <v>E</v>
      </c>
      <c r="DZ27" s="301" t="str">
        <f t="shared" ca="1" si="93"/>
        <v>E</v>
      </c>
      <c r="EA27" s="301" t="str">
        <f t="shared" ca="1" si="93"/>
        <v>E</v>
      </c>
      <c r="EB27" s="301" t="str">
        <f t="shared" ca="1" si="93"/>
        <v>E</v>
      </c>
      <c r="EC27" s="301" t="str">
        <f t="shared" ca="1" si="93"/>
        <v>E</v>
      </c>
      <c r="ED27" s="301" t="str">
        <f t="shared" ca="1" si="93"/>
        <v>E</v>
      </c>
      <c r="EE27" s="301" t="str">
        <f t="shared" ca="1" si="93"/>
        <v>E</v>
      </c>
      <c r="EF27" s="301">
        <f t="shared" si="74"/>
        <v>0</v>
      </c>
      <c r="EG27" s="301" t="str">
        <f t="shared" ca="1" si="94"/>
        <v>E</v>
      </c>
      <c r="EH27" s="301" t="str">
        <f t="shared" ca="1" si="94"/>
        <v>E</v>
      </c>
      <c r="EI27" s="301" t="str">
        <f t="shared" ca="1" si="94"/>
        <v>E</v>
      </c>
      <c r="EJ27" s="301" t="str">
        <f t="shared" ca="1" si="94"/>
        <v>E</v>
      </c>
      <c r="EK27" s="301" t="str">
        <f t="shared" ca="1" si="94"/>
        <v>E</v>
      </c>
      <c r="EL27" s="301" t="str">
        <f t="shared" ca="1" si="94"/>
        <v>E</v>
      </c>
      <c r="EM27" s="301" t="str">
        <f t="shared" ca="1" si="94"/>
        <v>E</v>
      </c>
      <c r="EN27" s="301" t="str">
        <f t="shared" ca="1" si="94"/>
        <v>E</v>
      </c>
      <c r="EO27" s="301" t="str">
        <f t="shared" ca="1" si="94"/>
        <v>E</v>
      </c>
      <c r="EP27" s="301" t="str">
        <f t="shared" ca="1" si="94"/>
        <v>E</v>
      </c>
      <c r="EQ27" s="301" t="str">
        <f t="shared" ca="1" si="95"/>
        <v>E</v>
      </c>
      <c r="ER27" s="301" t="str">
        <f t="shared" ca="1" si="95"/>
        <v>E</v>
      </c>
      <c r="ES27" s="301" t="str">
        <f t="shared" ca="1" si="95"/>
        <v>E</v>
      </c>
      <c r="ET27" s="301" t="str">
        <f t="shared" ca="1" si="95"/>
        <v>E</v>
      </c>
      <c r="EU27" s="301" t="str">
        <f t="shared" ca="1" si="95"/>
        <v>E</v>
      </c>
      <c r="EV27" s="301" t="str">
        <f t="shared" ca="1" si="95"/>
        <v>E</v>
      </c>
      <c r="EW27" s="301" t="str">
        <f t="shared" ca="1" si="95"/>
        <v>E</v>
      </c>
      <c r="EX27" s="301" t="str">
        <f t="shared" ca="1" si="95"/>
        <v>E</v>
      </c>
      <c r="EY27" s="301" t="str">
        <f t="shared" ca="1" si="95"/>
        <v>E</v>
      </c>
      <c r="EZ27" s="301" t="str">
        <f t="shared" ca="1" si="95"/>
        <v>E</v>
      </c>
      <c r="FA27" s="301" t="str">
        <f t="shared" ca="1" si="96"/>
        <v>E</v>
      </c>
      <c r="FB27" s="301" t="str">
        <f t="shared" ca="1" si="96"/>
        <v>E</v>
      </c>
      <c r="FC27" s="301" t="str">
        <f t="shared" ca="1" si="96"/>
        <v>E</v>
      </c>
      <c r="FD27" s="301" t="str">
        <f t="shared" ca="1" si="96"/>
        <v>E</v>
      </c>
      <c r="FE27" s="301" t="str">
        <f t="shared" ca="1" si="96"/>
        <v>E</v>
      </c>
      <c r="FF27" s="301" t="str">
        <f t="shared" ca="1" si="96"/>
        <v>E</v>
      </c>
      <c r="FG27" s="301" t="str">
        <f t="shared" ca="1" si="96"/>
        <v>E</v>
      </c>
      <c r="FH27" s="301" t="str">
        <f t="shared" ca="1" si="96"/>
        <v>E</v>
      </c>
      <c r="FI27" s="301" t="str">
        <f t="shared" ca="1" si="96"/>
        <v>E</v>
      </c>
      <c r="FJ27" s="301" t="str">
        <f t="shared" ca="1" si="96"/>
        <v>E</v>
      </c>
      <c r="FK27" s="301" t="str">
        <f t="shared" ca="1" si="96"/>
        <v>E</v>
      </c>
      <c r="FL27" s="301" t="str">
        <f t="shared" ca="1" si="96"/>
        <v>E</v>
      </c>
    </row>
    <row r="28" spans="1:168" x14ac:dyDescent="0.2">
      <c r="A28" s="24" t="str">
        <f t="shared" si="78"/>
        <v>Raufen</v>
      </c>
      <c r="B28" s="317">
        <f t="shared" ca="1" si="0"/>
        <v>0</v>
      </c>
      <c r="C28" s="332" t="s">
        <v>1321</v>
      </c>
      <c r="D28" s="1110"/>
      <c r="E28" s="1424"/>
      <c r="F28" s="325"/>
      <c r="G28" s="958"/>
      <c r="H28" s="1196"/>
      <c r="I28" s="326"/>
      <c r="J28" s="1880" t="str">
        <f t="shared" ca="1" si="79"/>
        <v>noch TaP zu verteilen! ►</v>
      </c>
      <c r="K28" s="1881"/>
      <c r="L28" s="1881"/>
      <c r="M28" s="1881"/>
      <c r="N28" s="1882"/>
      <c r="O28" s="613">
        <f t="shared" ca="1" si="2"/>
        <v>0</v>
      </c>
      <c r="P28" s="640"/>
      <c r="Q28" s="637" t="str">
        <f>IF(ISBLANK($P28),"",SUM(AT,PA,$B28,$G28,$I28)-$P28)</f>
        <v/>
      </c>
      <c r="R28" s="636"/>
      <c r="S28" s="633"/>
      <c r="T28" s="1317"/>
      <c r="U28" s="959"/>
      <c r="V28" s="628"/>
      <c r="W28" s="164">
        <f t="shared" ca="1" si="4"/>
        <v>0</v>
      </c>
      <c r="X28" s="164">
        <f t="shared" ca="1" si="5"/>
        <v>0</v>
      </c>
      <c r="Y28" s="164">
        <f t="shared" ca="1" si="6"/>
        <v>0</v>
      </c>
      <c r="Z28" s="164">
        <f t="shared" ca="1" si="7"/>
        <v>0</v>
      </c>
      <c r="AA28" s="164">
        <f t="shared" ca="1" si="8"/>
        <v>0</v>
      </c>
      <c r="AB28" s="164">
        <f t="shared" ca="1" si="9"/>
        <v>0</v>
      </c>
      <c r="AC28" s="164">
        <f t="shared" ca="1" si="10"/>
        <v>0</v>
      </c>
      <c r="AD28" s="164">
        <f t="shared" ca="1" si="11"/>
        <v>0</v>
      </c>
      <c r="AE28" s="164">
        <f t="shared" ca="1" si="12"/>
        <v>0</v>
      </c>
      <c r="AF28" s="164">
        <f t="shared" ca="1" si="13"/>
        <v>0</v>
      </c>
      <c r="AG28" s="164">
        <f t="shared" ca="1" si="14"/>
        <v>0</v>
      </c>
      <c r="AH28" s="164">
        <f t="shared" ca="1" si="15"/>
        <v>0</v>
      </c>
      <c r="AI28" s="164">
        <f t="shared" ca="1" si="16"/>
        <v>0</v>
      </c>
      <c r="AJ28" s="164">
        <f t="shared" ca="1" si="17"/>
        <v>0</v>
      </c>
      <c r="AK28" s="164">
        <f t="shared" ca="1" si="18"/>
        <v>0</v>
      </c>
      <c r="AL28" s="164">
        <f t="shared" ca="1" si="19"/>
        <v>0</v>
      </c>
      <c r="AM28" s="164">
        <f t="shared" ca="1" si="20"/>
        <v>0</v>
      </c>
      <c r="AN28" s="164">
        <f t="shared" ca="1" si="21"/>
        <v>0</v>
      </c>
      <c r="AO28" s="164">
        <f t="shared" ca="1" si="22"/>
        <v>0</v>
      </c>
      <c r="AP28" s="164">
        <f t="shared" ca="1" si="23"/>
        <v>0</v>
      </c>
      <c r="AQ28" s="164">
        <f t="shared" ca="1" si="24"/>
        <v>0</v>
      </c>
      <c r="AR28" s="164">
        <f t="shared" ca="1" si="25"/>
        <v>0</v>
      </c>
      <c r="AS28" s="152"/>
      <c r="AT28" s="154">
        <f t="shared" ca="1" si="26"/>
        <v>0</v>
      </c>
      <c r="AU28" s="154">
        <f t="shared" ca="1" si="27"/>
        <v>0</v>
      </c>
      <c r="AV28" s="154">
        <f t="shared" ca="1" si="28"/>
        <v>0</v>
      </c>
      <c r="AW28" s="154">
        <f t="shared" ca="1" si="29"/>
        <v>0</v>
      </c>
      <c r="AX28" s="154">
        <f t="shared" ca="1" si="30"/>
        <v>0</v>
      </c>
      <c r="AY28" s="154">
        <f t="shared" ca="1" si="31"/>
        <v>0</v>
      </c>
      <c r="AZ28" s="154">
        <f t="shared" ca="1" si="32"/>
        <v>0</v>
      </c>
      <c r="BA28" s="154">
        <f t="shared" ca="1" si="33"/>
        <v>0</v>
      </c>
      <c r="BB28" s="154">
        <f t="shared" ca="1" si="34"/>
        <v>0</v>
      </c>
      <c r="BC28" s="154">
        <f t="shared" ca="1" si="35"/>
        <v>0</v>
      </c>
      <c r="BD28" s="154">
        <f t="shared" ca="1" si="36"/>
        <v>0</v>
      </c>
      <c r="BE28" s="154">
        <f t="shared" ca="1" si="37"/>
        <v>0</v>
      </c>
      <c r="BF28" s="154">
        <f t="shared" ca="1" si="38"/>
        <v>0</v>
      </c>
      <c r="BG28" s="154">
        <f t="shared" ca="1" si="39"/>
        <v>0</v>
      </c>
      <c r="BH28" s="154">
        <f t="shared" ca="1" si="40"/>
        <v>0</v>
      </c>
      <c r="BI28" s="154">
        <f t="shared" ca="1" si="41"/>
        <v>0</v>
      </c>
      <c r="BJ28" s="154">
        <f t="shared" ca="1" si="42"/>
        <v>0</v>
      </c>
      <c r="BK28" s="154">
        <f t="shared" ca="1" si="43"/>
        <v>0</v>
      </c>
      <c r="BL28" s="154">
        <f t="shared" ca="1" si="44"/>
        <v>0</v>
      </c>
      <c r="BM28" s="154">
        <f t="shared" ca="1" si="45"/>
        <v>0</v>
      </c>
      <c r="BN28" s="154">
        <f t="shared" ca="1" si="46"/>
        <v>0</v>
      </c>
      <c r="BO28" s="154">
        <f t="shared" ca="1" si="47"/>
        <v>0</v>
      </c>
      <c r="BP28" s="154">
        <f t="shared" ca="1" si="48"/>
        <v>0</v>
      </c>
      <c r="BQ28" s="154">
        <f t="shared" ca="1" si="49"/>
        <v>0</v>
      </c>
      <c r="BR28" s="154">
        <f t="shared" ca="1" si="50"/>
        <v>0</v>
      </c>
      <c r="BS28" s="154">
        <f t="shared" ca="1" si="51"/>
        <v>0</v>
      </c>
      <c r="BT28" s="154">
        <f t="shared" ca="1" si="52"/>
        <v>0</v>
      </c>
      <c r="BU28" s="154">
        <f t="shared" ca="1" si="53"/>
        <v>0</v>
      </c>
      <c r="BV28" s="154">
        <f t="shared" ca="1" si="54"/>
        <v>0</v>
      </c>
      <c r="BW28" s="154">
        <f t="shared" ca="1" si="55"/>
        <v>0</v>
      </c>
      <c r="BX28" s="154">
        <f t="shared" ca="1" si="56"/>
        <v>0</v>
      </c>
      <c r="BY28" s="154">
        <f t="shared" ca="1" si="57"/>
        <v>0</v>
      </c>
      <c r="BZ28" s="523"/>
      <c r="CA28" s="523"/>
      <c r="CB28" s="523"/>
      <c r="CC28" s="523"/>
      <c r="CD28" s="355">
        <f t="shared" si="60"/>
        <v>57</v>
      </c>
      <c r="CE28" s="268" t="str">
        <f t="shared" ca="1" si="81"/>
        <v>C</v>
      </c>
      <c r="CF28" s="355"/>
      <c r="CG28" s="268"/>
      <c r="CH28" s="268"/>
      <c r="CI28" s="269">
        <f t="shared" ca="1" si="61"/>
        <v>0</v>
      </c>
      <c r="CJ28" s="269">
        <f t="shared" ca="1" si="62"/>
        <v>0</v>
      </c>
      <c r="CK28" s="269"/>
      <c r="CL28" s="269"/>
      <c r="CM28" s="268">
        <f t="shared" ca="1" si="82"/>
        <v>0</v>
      </c>
      <c r="CN28" s="269">
        <f t="shared" ca="1" si="83"/>
        <v>0</v>
      </c>
      <c r="CO28" s="271" t="str">
        <f ca="1">CHAR(CODE(VLOOKUP($A28,BASISSKT,4,FALSE))+$CN28)</f>
        <v>C</v>
      </c>
      <c r="CP28" s="269" t="b">
        <f t="shared" ca="1" si="64"/>
        <v>1</v>
      </c>
      <c r="CQ28" s="269">
        <f t="shared" si="65"/>
        <v>0</v>
      </c>
      <c r="CR28" s="269">
        <f t="shared" si="66"/>
        <v>0</v>
      </c>
      <c r="CS28" s="269">
        <f t="shared" ca="1" si="67"/>
        <v>0</v>
      </c>
      <c r="CT28" s="302" t="str">
        <f t="shared" ca="1" si="84"/>
        <v>0</v>
      </c>
      <c r="CU28" s="269">
        <f t="shared" ca="1" si="68"/>
        <v>0</v>
      </c>
      <c r="CV28" s="268"/>
      <c r="CW28" s="269">
        <f t="shared" ca="1" si="69"/>
        <v>0</v>
      </c>
      <c r="CX28" s="301">
        <f t="shared" ca="1" si="70"/>
        <v>0</v>
      </c>
      <c r="CY28" s="301">
        <f t="shared" ca="1" si="85"/>
        <v>0</v>
      </c>
      <c r="CZ28" s="301">
        <f t="shared" ca="1" si="71"/>
        <v>0</v>
      </c>
      <c r="DA28" s="301">
        <f t="shared" ca="1" si="86"/>
        <v>0</v>
      </c>
      <c r="DB28" t="str">
        <f ca="1">IF(AND(EXACT($C28,""),ISBLANK($I28)),"",IF(SUM($P28,$Q28)&lt;SUM(AT,PA,$B28,$G28,$I28),"noch TaP zu verteilen! ►",IF($P28&lt;AT,"Immer diese Pazifisten",IF($P28&gt;SUM(AT,$B28,$G28,$I28),"Ach, pfeif drauf! ATTACKE!",""))))</f>
        <v>noch TaP zu verteilen! ►</v>
      </c>
      <c r="DC28" s="301" t="str">
        <f t="shared" ca="1" si="91"/>
        <v/>
      </c>
      <c r="DD28" s="1337" t="str">
        <f t="shared" ca="1" si="87"/>
        <v/>
      </c>
      <c r="DE28" s="1337" t="str">
        <f t="shared" ca="1" si="88"/>
        <v/>
      </c>
      <c r="DG28" s="269"/>
      <c r="DH28" s="269"/>
      <c r="DI28" s="269" t="str">
        <f ca="1">IF(NOT(ISERR(FIND(A28,Abfragen!$O$264,1))),MID(Abfragen!$O$264,FIND("(",Abfragen!$O$264,FIND(A28,Abfragen!$O$264,1)+LEN(A28))+1,FIND(")",Abfragen!$O$264,FIND(A28,Abfragen!$O$264,1)+LEN(A28))-FIND("(",Abfragen!$O$264,FIND(A28,Abfragen!$O$264,1)+LEN(A28))-1),"")</f>
        <v/>
      </c>
      <c r="DJ28" s="301" t="str">
        <f t="shared" ca="1" si="92"/>
        <v>C</v>
      </c>
      <c r="DK28" s="301" t="str">
        <f t="shared" ca="1" si="92"/>
        <v>C</v>
      </c>
      <c r="DL28" s="301" t="str">
        <f t="shared" ca="1" si="92"/>
        <v>C</v>
      </c>
      <c r="DM28" s="301" t="str">
        <f t="shared" ca="1" si="92"/>
        <v>C</v>
      </c>
      <c r="DN28" s="301" t="str">
        <f t="shared" ca="1" si="92"/>
        <v>C</v>
      </c>
      <c r="DO28" s="301" t="str">
        <f t="shared" ca="1" si="92"/>
        <v>C</v>
      </c>
      <c r="DP28" s="301" t="str">
        <f t="shared" ca="1" si="92"/>
        <v>C</v>
      </c>
      <c r="DQ28" s="301" t="str">
        <f t="shared" ca="1" si="92"/>
        <v>C</v>
      </c>
      <c r="DR28" s="301" t="str">
        <f t="shared" ca="1" si="92"/>
        <v>C</v>
      </c>
      <c r="DS28" s="301" t="str">
        <f t="shared" ca="1" si="92"/>
        <v>C</v>
      </c>
      <c r="DT28" s="301" t="str">
        <f t="shared" ca="1" si="93"/>
        <v>C</v>
      </c>
      <c r="DU28" s="301" t="str">
        <f t="shared" ca="1" si="93"/>
        <v>C</v>
      </c>
      <c r="DV28" s="301" t="str">
        <f t="shared" ca="1" si="93"/>
        <v>C</v>
      </c>
      <c r="DW28" s="301" t="str">
        <f t="shared" ca="1" si="93"/>
        <v>C</v>
      </c>
      <c r="DX28" s="301" t="str">
        <f t="shared" ca="1" si="93"/>
        <v>C</v>
      </c>
      <c r="DY28" s="301" t="str">
        <f t="shared" ca="1" si="93"/>
        <v>C</v>
      </c>
      <c r="DZ28" s="301" t="str">
        <f t="shared" ca="1" si="93"/>
        <v>C</v>
      </c>
      <c r="EA28" s="301" t="str">
        <f t="shared" ca="1" si="93"/>
        <v>C</v>
      </c>
      <c r="EB28" s="301" t="str">
        <f t="shared" ca="1" si="93"/>
        <v>C</v>
      </c>
      <c r="EC28" s="301" t="str">
        <f t="shared" ca="1" si="93"/>
        <v>C</v>
      </c>
      <c r="ED28" s="301" t="str">
        <f t="shared" ca="1" si="93"/>
        <v>C</v>
      </c>
      <c r="EE28" s="301" t="str">
        <f t="shared" ca="1" si="93"/>
        <v>C</v>
      </c>
      <c r="EF28" s="301">
        <f t="shared" si="74"/>
        <v>0</v>
      </c>
      <c r="EG28" s="301" t="str">
        <f t="shared" ca="1" si="94"/>
        <v>C</v>
      </c>
      <c r="EH28" s="301" t="str">
        <f t="shared" ca="1" si="94"/>
        <v>C</v>
      </c>
      <c r="EI28" s="301" t="str">
        <f t="shared" ca="1" si="94"/>
        <v>C</v>
      </c>
      <c r="EJ28" s="301" t="str">
        <f t="shared" ca="1" si="94"/>
        <v>C</v>
      </c>
      <c r="EK28" s="301" t="str">
        <f t="shared" ca="1" si="94"/>
        <v>C</v>
      </c>
      <c r="EL28" s="301" t="str">
        <f t="shared" ca="1" si="94"/>
        <v>C</v>
      </c>
      <c r="EM28" s="301" t="str">
        <f t="shared" ca="1" si="94"/>
        <v>C</v>
      </c>
      <c r="EN28" s="301" t="str">
        <f t="shared" ca="1" si="94"/>
        <v>C</v>
      </c>
      <c r="EO28" s="301" t="str">
        <f t="shared" ca="1" si="94"/>
        <v>C</v>
      </c>
      <c r="EP28" s="301" t="str">
        <f t="shared" ca="1" si="94"/>
        <v>C</v>
      </c>
      <c r="EQ28" s="301" t="str">
        <f t="shared" ca="1" si="95"/>
        <v>C</v>
      </c>
      <c r="ER28" s="301" t="str">
        <f t="shared" ca="1" si="95"/>
        <v>C</v>
      </c>
      <c r="ES28" s="301" t="str">
        <f t="shared" ca="1" si="95"/>
        <v>C</v>
      </c>
      <c r="ET28" s="301" t="str">
        <f t="shared" ca="1" si="95"/>
        <v>C</v>
      </c>
      <c r="EU28" s="301" t="str">
        <f t="shared" ca="1" si="95"/>
        <v>C</v>
      </c>
      <c r="EV28" s="301" t="str">
        <f t="shared" ca="1" si="95"/>
        <v>C</v>
      </c>
      <c r="EW28" s="301" t="str">
        <f t="shared" ca="1" si="95"/>
        <v>C</v>
      </c>
      <c r="EX28" s="301" t="str">
        <f t="shared" ca="1" si="95"/>
        <v>C</v>
      </c>
      <c r="EY28" s="301" t="str">
        <f t="shared" ca="1" si="95"/>
        <v>C</v>
      </c>
      <c r="EZ28" s="301" t="str">
        <f t="shared" ca="1" si="95"/>
        <v>C</v>
      </c>
      <c r="FA28" s="301" t="str">
        <f t="shared" ca="1" si="96"/>
        <v>C</v>
      </c>
      <c r="FB28" s="301" t="str">
        <f t="shared" ca="1" si="96"/>
        <v>C</v>
      </c>
      <c r="FC28" s="301" t="str">
        <f t="shared" ca="1" si="96"/>
        <v>C</v>
      </c>
      <c r="FD28" s="301" t="str">
        <f t="shared" ca="1" si="96"/>
        <v>C</v>
      </c>
      <c r="FE28" s="301" t="str">
        <f t="shared" ca="1" si="96"/>
        <v>C</v>
      </c>
      <c r="FF28" s="301" t="str">
        <f t="shared" ca="1" si="96"/>
        <v>C</v>
      </c>
      <c r="FG28" s="301" t="str">
        <f t="shared" ca="1" si="96"/>
        <v>C</v>
      </c>
      <c r="FH28" s="301" t="str">
        <f t="shared" ca="1" si="96"/>
        <v>C</v>
      </c>
      <c r="FI28" s="301" t="str">
        <f t="shared" ca="1" si="96"/>
        <v>C</v>
      </c>
      <c r="FJ28" s="301" t="str">
        <f t="shared" ca="1" si="96"/>
        <v>C</v>
      </c>
      <c r="FK28" s="301" t="str">
        <f t="shared" ca="1" si="96"/>
        <v>C</v>
      </c>
      <c r="FL28" s="301" t="str">
        <f t="shared" ca="1" si="96"/>
        <v>C</v>
      </c>
    </row>
    <row r="29" spans="1:168" x14ac:dyDescent="0.2">
      <c r="A29" s="24" t="str">
        <f t="shared" si="78"/>
        <v>Ringen</v>
      </c>
      <c r="B29" s="317">
        <f t="shared" ca="1" si="0"/>
        <v>0</v>
      </c>
      <c r="C29" s="1071" t="s">
        <v>1321</v>
      </c>
      <c r="D29" s="1110"/>
      <c r="E29" s="1424"/>
      <c r="F29" s="325"/>
      <c r="G29" s="958"/>
      <c r="H29" s="1196"/>
      <c r="I29" s="326"/>
      <c r="J29" s="1880" t="str">
        <f t="shared" ca="1" si="79"/>
        <v>noch TaP zu verteilen! ►</v>
      </c>
      <c r="K29" s="1881"/>
      <c r="L29" s="1881"/>
      <c r="M29" s="1881"/>
      <c r="N29" s="1882"/>
      <c r="O29" s="613">
        <f t="shared" ca="1" si="2"/>
        <v>0</v>
      </c>
      <c r="P29" s="640"/>
      <c r="Q29" s="637" t="str">
        <f>IF(ISBLANK($P29),"",SUM(AT,PA,$B29,$G29,$I29)-$P29)</f>
        <v/>
      </c>
      <c r="R29" s="634"/>
      <c r="S29" s="635"/>
      <c r="T29" s="1318"/>
      <c r="U29" s="959"/>
      <c r="V29" s="628"/>
      <c r="W29" s="164">
        <f t="shared" ca="1" si="4"/>
        <v>0</v>
      </c>
      <c r="X29" s="164">
        <f t="shared" ca="1" si="5"/>
        <v>0</v>
      </c>
      <c r="Y29" s="164">
        <f t="shared" ca="1" si="6"/>
        <v>0</v>
      </c>
      <c r="Z29" s="164">
        <f t="shared" ca="1" si="7"/>
        <v>0</v>
      </c>
      <c r="AA29" s="164">
        <f t="shared" ca="1" si="8"/>
        <v>0</v>
      </c>
      <c r="AB29" s="164">
        <f t="shared" ca="1" si="9"/>
        <v>0</v>
      </c>
      <c r="AC29" s="164">
        <f t="shared" ca="1" si="10"/>
        <v>0</v>
      </c>
      <c r="AD29" s="164">
        <f t="shared" ca="1" si="11"/>
        <v>0</v>
      </c>
      <c r="AE29" s="164">
        <f t="shared" ca="1" si="12"/>
        <v>0</v>
      </c>
      <c r="AF29" s="164">
        <f t="shared" ca="1" si="13"/>
        <v>0</v>
      </c>
      <c r="AG29" s="164">
        <f t="shared" ca="1" si="14"/>
        <v>0</v>
      </c>
      <c r="AH29" s="164">
        <f t="shared" ca="1" si="15"/>
        <v>0</v>
      </c>
      <c r="AI29" s="164">
        <f t="shared" ca="1" si="16"/>
        <v>0</v>
      </c>
      <c r="AJ29" s="164">
        <f t="shared" ca="1" si="17"/>
        <v>0</v>
      </c>
      <c r="AK29" s="164">
        <f t="shared" ca="1" si="18"/>
        <v>0</v>
      </c>
      <c r="AL29" s="164">
        <f t="shared" ca="1" si="19"/>
        <v>0</v>
      </c>
      <c r="AM29" s="164">
        <f t="shared" ca="1" si="20"/>
        <v>0</v>
      </c>
      <c r="AN29" s="164">
        <f t="shared" ca="1" si="21"/>
        <v>0</v>
      </c>
      <c r="AO29" s="164">
        <f t="shared" ca="1" si="22"/>
        <v>0</v>
      </c>
      <c r="AP29" s="164">
        <f t="shared" ca="1" si="23"/>
        <v>0</v>
      </c>
      <c r="AQ29" s="164">
        <f t="shared" ca="1" si="24"/>
        <v>0</v>
      </c>
      <c r="AR29" s="164">
        <f t="shared" ca="1" si="25"/>
        <v>0</v>
      </c>
      <c r="AS29" s="152"/>
      <c r="AT29" s="154">
        <f t="shared" ca="1" si="26"/>
        <v>0</v>
      </c>
      <c r="AU29" s="154">
        <f t="shared" ca="1" si="27"/>
        <v>0</v>
      </c>
      <c r="AV29" s="154">
        <f t="shared" ca="1" si="28"/>
        <v>0</v>
      </c>
      <c r="AW29" s="154">
        <f t="shared" ca="1" si="29"/>
        <v>0</v>
      </c>
      <c r="AX29" s="154">
        <f t="shared" ca="1" si="30"/>
        <v>0</v>
      </c>
      <c r="AY29" s="154">
        <f t="shared" ca="1" si="31"/>
        <v>0</v>
      </c>
      <c r="AZ29" s="154">
        <f t="shared" ca="1" si="32"/>
        <v>0</v>
      </c>
      <c r="BA29" s="154">
        <f t="shared" ca="1" si="33"/>
        <v>0</v>
      </c>
      <c r="BB29" s="154">
        <f t="shared" ca="1" si="34"/>
        <v>0</v>
      </c>
      <c r="BC29" s="154">
        <f t="shared" ca="1" si="35"/>
        <v>0</v>
      </c>
      <c r="BD29" s="154">
        <f t="shared" ca="1" si="36"/>
        <v>0</v>
      </c>
      <c r="BE29" s="154">
        <f t="shared" ca="1" si="37"/>
        <v>0</v>
      </c>
      <c r="BF29" s="154">
        <f t="shared" ca="1" si="38"/>
        <v>0</v>
      </c>
      <c r="BG29" s="154">
        <f t="shared" ca="1" si="39"/>
        <v>0</v>
      </c>
      <c r="BH29" s="154">
        <f t="shared" ca="1" si="40"/>
        <v>0</v>
      </c>
      <c r="BI29" s="154">
        <f t="shared" ca="1" si="41"/>
        <v>0</v>
      </c>
      <c r="BJ29" s="154">
        <f t="shared" ca="1" si="42"/>
        <v>0</v>
      </c>
      <c r="BK29" s="154">
        <f t="shared" ca="1" si="43"/>
        <v>0</v>
      </c>
      <c r="BL29" s="154">
        <f t="shared" ca="1" si="44"/>
        <v>0</v>
      </c>
      <c r="BM29" s="154">
        <f t="shared" ca="1" si="45"/>
        <v>0</v>
      </c>
      <c r="BN29" s="154">
        <f t="shared" ca="1" si="46"/>
        <v>0</v>
      </c>
      <c r="BO29" s="154">
        <f t="shared" ca="1" si="47"/>
        <v>0</v>
      </c>
      <c r="BP29" s="154">
        <f t="shared" ca="1" si="48"/>
        <v>0</v>
      </c>
      <c r="BQ29" s="154">
        <f t="shared" ca="1" si="49"/>
        <v>0</v>
      </c>
      <c r="BR29" s="154">
        <f t="shared" ca="1" si="50"/>
        <v>0</v>
      </c>
      <c r="BS29" s="154">
        <f t="shared" ca="1" si="51"/>
        <v>0</v>
      </c>
      <c r="BT29" s="154">
        <f t="shared" ca="1" si="52"/>
        <v>0</v>
      </c>
      <c r="BU29" s="154">
        <f t="shared" ca="1" si="53"/>
        <v>0</v>
      </c>
      <c r="BV29" s="154">
        <f t="shared" ca="1" si="54"/>
        <v>0</v>
      </c>
      <c r="BW29" s="154">
        <f t="shared" ca="1" si="55"/>
        <v>0</v>
      </c>
      <c r="BX29" s="154">
        <f t="shared" ca="1" si="56"/>
        <v>0</v>
      </c>
      <c r="BY29" s="154">
        <f t="shared" ca="1" si="57"/>
        <v>0</v>
      </c>
      <c r="BZ29" s="523"/>
      <c r="CA29" s="523"/>
      <c r="CB29" s="523"/>
      <c r="CC29" s="523"/>
      <c r="CD29" s="355">
        <f t="shared" si="60"/>
        <v>58</v>
      </c>
      <c r="CE29" s="268" t="str">
        <f t="shared" ca="1" si="81"/>
        <v>D</v>
      </c>
      <c r="CF29" s="355"/>
      <c r="CG29" s="268"/>
      <c r="CH29" s="268"/>
      <c r="CI29" s="269">
        <f t="shared" ca="1" si="61"/>
        <v>0</v>
      </c>
      <c r="CJ29" s="269">
        <f t="shared" ca="1" si="62"/>
        <v>0</v>
      </c>
      <c r="CK29" s="269"/>
      <c r="CL29" s="564">
        <f>IF(VT_SCHLANGENMENSCH,-1,0)</f>
        <v>0</v>
      </c>
      <c r="CM29" s="268">
        <f t="shared" ca="1" si="82"/>
        <v>0</v>
      </c>
      <c r="CN29" s="269">
        <f t="shared" ca="1" si="83"/>
        <v>0</v>
      </c>
      <c r="CO29" s="268" t="str">
        <f ca="1">CHAR(CODE(VLOOKUP($A29,TL_KPF_WERTE,6,FALSE))+$CN29)</f>
        <v>D</v>
      </c>
      <c r="CP29" s="269" t="b">
        <f t="shared" ca="1" si="64"/>
        <v>1</v>
      </c>
      <c r="CQ29" s="269">
        <f t="shared" si="65"/>
        <v>0</v>
      </c>
      <c r="CR29" s="269">
        <f t="shared" si="66"/>
        <v>0</v>
      </c>
      <c r="CS29" s="269">
        <f t="shared" ca="1" si="67"/>
        <v>0</v>
      </c>
      <c r="CT29" s="302" t="str">
        <f t="shared" ca="1" si="84"/>
        <v>0</v>
      </c>
      <c r="CU29" s="269">
        <f t="shared" ca="1" si="68"/>
        <v>0</v>
      </c>
      <c r="CV29" s="271">
        <f>IF(VT_SCHLANGENMENSCH,1,0)</f>
        <v>0</v>
      </c>
      <c r="CW29" s="269">
        <f t="shared" ca="1" si="69"/>
        <v>0</v>
      </c>
      <c r="CX29" s="301">
        <f t="shared" ca="1" si="70"/>
        <v>0</v>
      </c>
      <c r="CY29" s="301">
        <f t="shared" ca="1" si="85"/>
        <v>0</v>
      </c>
      <c r="CZ29" s="301">
        <f t="shared" ca="1" si="71"/>
        <v>0</v>
      </c>
      <c r="DA29" s="301">
        <f t="shared" ca="1" si="86"/>
        <v>0</v>
      </c>
      <c r="DB29" t="str">
        <f ca="1">IF(AND(EXACT($C29,""),ISBLANK($I29)),"",IF(SUM($P29,$Q29)&lt;SUM(AT,PA,$B29,$G29,$I29),"noch TaP zu verteilen! ►",IF($P29&lt;AT,"Immer diese Pazifisten",IF($P29&gt;SUM(AT,$B29,$G29,$I29),"Ach, pfeif drauf! ATTACKE!",""))))</f>
        <v>noch TaP zu verteilen! ►</v>
      </c>
      <c r="DC29" s="301" t="str">
        <f t="shared" ca="1" si="91"/>
        <v/>
      </c>
      <c r="DD29" s="1337" t="str">
        <f t="shared" ca="1" si="87"/>
        <v/>
      </c>
      <c r="DE29" s="1337" t="str">
        <f t="shared" ca="1" si="88"/>
        <v/>
      </c>
      <c r="DG29" s="269"/>
      <c r="DH29" s="269"/>
      <c r="DI29" s="269" t="str">
        <f ca="1">IF(NOT(ISERR(FIND(A29,Abfragen!$O$264,1))),MID(Abfragen!$O$264,FIND("(",Abfragen!$O$264,FIND(A29,Abfragen!$O$264,1)+LEN(A29))+1,FIND(")",Abfragen!$O$264,FIND(A29,Abfragen!$O$264,1)+LEN(A29))-FIND("(",Abfragen!$O$264,FIND(A29,Abfragen!$O$264,1)+LEN(A29))-1),"")</f>
        <v/>
      </c>
      <c r="DJ29" s="301" t="str">
        <f t="shared" ca="1" si="92"/>
        <v>D</v>
      </c>
      <c r="DK29" s="301" t="str">
        <f t="shared" ca="1" si="92"/>
        <v>D</v>
      </c>
      <c r="DL29" s="301" t="str">
        <f t="shared" ca="1" si="92"/>
        <v>D</v>
      </c>
      <c r="DM29" s="301" t="str">
        <f t="shared" ca="1" si="92"/>
        <v>D</v>
      </c>
      <c r="DN29" s="301" t="str">
        <f t="shared" ca="1" si="92"/>
        <v>D</v>
      </c>
      <c r="DO29" s="301" t="str">
        <f t="shared" ca="1" si="92"/>
        <v>D</v>
      </c>
      <c r="DP29" s="301" t="str">
        <f t="shared" ca="1" si="92"/>
        <v>D</v>
      </c>
      <c r="DQ29" s="301" t="str">
        <f t="shared" ca="1" si="92"/>
        <v>D</v>
      </c>
      <c r="DR29" s="301" t="str">
        <f t="shared" ca="1" si="92"/>
        <v>D</v>
      </c>
      <c r="DS29" s="301" t="str">
        <f t="shared" ca="1" si="92"/>
        <v>D</v>
      </c>
      <c r="DT29" s="301" t="str">
        <f t="shared" ca="1" si="93"/>
        <v>D</v>
      </c>
      <c r="DU29" s="301" t="str">
        <f t="shared" ca="1" si="93"/>
        <v>D</v>
      </c>
      <c r="DV29" s="301" t="str">
        <f t="shared" ca="1" si="93"/>
        <v>D</v>
      </c>
      <c r="DW29" s="301" t="str">
        <f t="shared" ca="1" si="93"/>
        <v>D</v>
      </c>
      <c r="DX29" s="301" t="str">
        <f t="shared" ca="1" si="93"/>
        <v>D</v>
      </c>
      <c r="DY29" s="301" t="str">
        <f t="shared" ca="1" si="93"/>
        <v>D</v>
      </c>
      <c r="DZ29" s="301" t="str">
        <f t="shared" ca="1" si="93"/>
        <v>D</v>
      </c>
      <c r="EA29" s="301" t="str">
        <f t="shared" ca="1" si="93"/>
        <v>D</v>
      </c>
      <c r="EB29" s="301" t="str">
        <f t="shared" ca="1" si="93"/>
        <v>D</v>
      </c>
      <c r="EC29" s="301" t="str">
        <f t="shared" ca="1" si="93"/>
        <v>D</v>
      </c>
      <c r="ED29" s="301" t="str">
        <f t="shared" ca="1" si="93"/>
        <v>D</v>
      </c>
      <c r="EE29" s="301" t="str">
        <f t="shared" ca="1" si="93"/>
        <v>D</v>
      </c>
      <c r="EF29" s="301">
        <f t="shared" si="74"/>
        <v>0</v>
      </c>
      <c r="EG29" s="301" t="str">
        <f t="shared" ca="1" si="94"/>
        <v>D</v>
      </c>
      <c r="EH29" s="301" t="str">
        <f t="shared" ca="1" si="94"/>
        <v>D</v>
      </c>
      <c r="EI29" s="301" t="str">
        <f t="shared" ca="1" si="94"/>
        <v>D</v>
      </c>
      <c r="EJ29" s="301" t="str">
        <f t="shared" ca="1" si="94"/>
        <v>D</v>
      </c>
      <c r="EK29" s="301" t="str">
        <f t="shared" ca="1" si="94"/>
        <v>D</v>
      </c>
      <c r="EL29" s="301" t="str">
        <f t="shared" ca="1" si="94"/>
        <v>D</v>
      </c>
      <c r="EM29" s="301" t="str">
        <f t="shared" ca="1" si="94"/>
        <v>D</v>
      </c>
      <c r="EN29" s="301" t="str">
        <f t="shared" ca="1" si="94"/>
        <v>D</v>
      </c>
      <c r="EO29" s="301" t="str">
        <f t="shared" ca="1" si="94"/>
        <v>D</v>
      </c>
      <c r="EP29" s="301" t="str">
        <f t="shared" ca="1" si="94"/>
        <v>D</v>
      </c>
      <c r="EQ29" s="301" t="str">
        <f t="shared" ca="1" si="95"/>
        <v>D</v>
      </c>
      <c r="ER29" s="301" t="str">
        <f t="shared" ca="1" si="95"/>
        <v>D</v>
      </c>
      <c r="ES29" s="301" t="str">
        <f t="shared" ca="1" si="95"/>
        <v>D</v>
      </c>
      <c r="ET29" s="301" t="str">
        <f t="shared" ca="1" si="95"/>
        <v>D</v>
      </c>
      <c r="EU29" s="301" t="str">
        <f t="shared" ca="1" si="95"/>
        <v>D</v>
      </c>
      <c r="EV29" s="301" t="str">
        <f t="shared" ca="1" si="95"/>
        <v>D</v>
      </c>
      <c r="EW29" s="301" t="str">
        <f t="shared" ca="1" si="95"/>
        <v>D</v>
      </c>
      <c r="EX29" s="301" t="str">
        <f t="shared" ca="1" si="95"/>
        <v>D</v>
      </c>
      <c r="EY29" s="301" t="str">
        <f t="shared" ca="1" si="95"/>
        <v>D</v>
      </c>
      <c r="EZ29" s="301" t="str">
        <f t="shared" ca="1" si="95"/>
        <v>D</v>
      </c>
      <c r="FA29" s="301" t="str">
        <f t="shared" ca="1" si="96"/>
        <v>D</v>
      </c>
      <c r="FB29" s="301" t="str">
        <f t="shared" ca="1" si="96"/>
        <v>D</v>
      </c>
      <c r="FC29" s="301" t="str">
        <f t="shared" ca="1" si="96"/>
        <v>D</v>
      </c>
      <c r="FD29" s="301" t="str">
        <f t="shared" ca="1" si="96"/>
        <v>D</v>
      </c>
      <c r="FE29" s="301" t="str">
        <f t="shared" ca="1" si="96"/>
        <v>D</v>
      </c>
      <c r="FF29" s="301" t="str">
        <f t="shared" ca="1" si="96"/>
        <v>D</v>
      </c>
      <c r="FG29" s="301" t="str">
        <f t="shared" ca="1" si="96"/>
        <v>D</v>
      </c>
      <c r="FH29" s="301" t="str">
        <f t="shared" ca="1" si="96"/>
        <v>D</v>
      </c>
      <c r="FI29" s="301" t="str">
        <f t="shared" ca="1" si="96"/>
        <v>D</v>
      </c>
      <c r="FJ29" s="301" t="str">
        <f t="shared" ca="1" si="96"/>
        <v>D</v>
      </c>
      <c r="FK29" s="301" t="str">
        <f t="shared" ca="1" si="96"/>
        <v>D</v>
      </c>
      <c r="FL29" s="301" t="str">
        <f t="shared" ca="1" si="96"/>
        <v>D</v>
      </c>
    </row>
    <row r="30" spans="1:168" x14ac:dyDescent="0.2">
      <c r="A30" s="24" t="str">
        <f t="shared" si="78"/>
        <v>Säbel</v>
      </c>
      <c r="B30" s="317">
        <f t="shared" ca="1" si="0"/>
        <v>0</v>
      </c>
      <c r="C30" s="332" t="s">
        <v>1321</v>
      </c>
      <c r="D30" s="1110"/>
      <c r="E30" s="1424"/>
      <c r="F30" s="325"/>
      <c r="G30" s="958"/>
      <c r="H30" s="1196"/>
      <c r="I30" s="326"/>
      <c r="J30" s="1880" t="str">
        <f t="shared" ca="1" si="79"/>
        <v>noch TaP zu verteilen! ►</v>
      </c>
      <c r="K30" s="1881"/>
      <c r="L30" s="1881"/>
      <c r="M30" s="1881"/>
      <c r="N30" s="1882"/>
      <c r="O30" s="613">
        <f t="shared" ca="1" si="2"/>
        <v>0</v>
      </c>
      <c r="P30" s="640"/>
      <c r="Q30" s="637" t="str">
        <f>IF(ISBLANK($P30),"",SUM(AT,PA,$B30,$G30,$I30)-$P30)</f>
        <v/>
      </c>
      <c r="R30" s="1313"/>
      <c r="S30" s="1313"/>
      <c r="T30" s="1315"/>
      <c r="U30" s="1283"/>
      <c r="V30" s="628" t="str">
        <f t="shared" ref="V30:V40" ca="1" si="97">IF(R30="",IF(DI30="","","Wählen:"&amp;DI30),IF(DI30="",IF(O30&lt;7,"Taw&lt;7",IF(S30="","",IF(O30&lt;14,"Taw&lt;14",""))),""))</f>
        <v/>
      </c>
      <c r="W30" s="164">
        <f t="shared" ca="1" si="4"/>
        <v>0</v>
      </c>
      <c r="X30" s="164">
        <f t="shared" ca="1" si="5"/>
        <v>0</v>
      </c>
      <c r="Y30" s="164">
        <f t="shared" ca="1" si="6"/>
        <v>0</v>
      </c>
      <c r="Z30" s="164">
        <f t="shared" ca="1" si="7"/>
        <v>0</v>
      </c>
      <c r="AA30" s="164">
        <f t="shared" ca="1" si="8"/>
        <v>0</v>
      </c>
      <c r="AB30" s="164">
        <f t="shared" ca="1" si="9"/>
        <v>0</v>
      </c>
      <c r="AC30" s="164">
        <f t="shared" ca="1" si="10"/>
        <v>0</v>
      </c>
      <c r="AD30" s="164">
        <f t="shared" ca="1" si="11"/>
        <v>0</v>
      </c>
      <c r="AE30" s="164">
        <f t="shared" ca="1" si="12"/>
        <v>0</v>
      </c>
      <c r="AF30" s="164">
        <f t="shared" ca="1" si="13"/>
        <v>0</v>
      </c>
      <c r="AG30" s="164">
        <f t="shared" ca="1" si="14"/>
        <v>0</v>
      </c>
      <c r="AH30" s="164">
        <f t="shared" ca="1" si="15"/>
        <v>0</v>
      </c>
      <c r="AI30" s="164">
        <f t="shared" ca="1" si="16"/>
        <v>0</v>
      </c>
      <c r="AJ30" s="164">
        <f t="shared" ca="1" si="17"/>
        <v>0</v>
      </c>
      <c r="AK30" s="164">
        <f t="shared" ca="1" si="18"/>
        <v>0</v>
      </c>
      <c r="AL30" s="164">
        <f t="shared" ca="1" si="19"/>
        <v>0</v>
      </c>
      <c r="AM30" s="164">
        <f t="shared" ca="1" si="20"/>
        <v>0</v>
      </c>
      <c r="AN30" s="164">
        <f t="shared" ca="1" si="21"/>
        <v>0</v>
      </c>
      <c r="AO30" s="164">
        <f t="shared" ca="1" si="22"/>
        <v>0</v>
      </c>
      <c r="AP30" s="164">
        <f t="shared" ca="1" si="23"/>
        <v>0</v>
      </c>
      <c r="AQ30" s="164">
        <f t="shared" ca="1" si="24"/>
        <v>0</v>
      </c>
      <c r="AR30" s="164">
        <f t="shared" ca="1" si="25"/>
        <v>0</v>
      </c>
      <c r="AS30" s="152"/>
      <c r="AT30" s="154">
        <f t="shared" ca="1" si="26"/>
        <v>0</v>
      </c>
      <c r="AU30" s="154">
        <f t="shared" ca="1" si="27"/>
        <v>0</v>
      </c>
      <c r="AV30" s="154">
        <f t="shared" ca="1" si="28"/>
        <v>0</v>
      </c>
      <c r="AW30" s="154">
        <f t="shared" ca="1" si="29"/>
        <v>0</v>
      </c>
      <c r="AX30" s="154">
        <f t="shared" ca="1" si="30"/>
        <v>0</v>
      </c>
      <c r="AY30" s="154">
        <f t="shared" ca="1" si="31"/>
        <v>0</v>
      </c>
      <c r="AZ30" s="154">
        <f t="shared" ca="1" si="32"/>
        <v>0</v>
      </c>
      <c r="BA30" s="154">
        <f t="shared" ca="1" si="33"/>
        <v>0</v>
      </c>
      <c r="BB30" s="154">
        <f t="shared" ca="1" si="34"/>
        <v>0</v>
      </c>
      <c r="BC30" s="154">
        <f t="shared" ca="1" si="35"/>
        <v>0</v>
      </c>
      <c r="BD30" s="154">
        <f t="shared" ca="1" si="36"/>
        <v>0</v>
      </c>
      <c r="BE30" s="154">
        <f t="shared" ca="1" si="37"/>
        <v>0</v>
      </c>
      <c r="BF30" s="154">
        <f t="shared" ca="1" si="38"/>
        <v>0</v>
      </c>
      <c r="BG30" s="154">
        <f t="shared" ca="1" si="39"/>
        <v>0</v>
      </c>
      <c r="BH30" s="154">
        <f t="shared" ca="1" si="40"/>
        <v>0</v>
      </c>
      <c r="BI30" s="154">
        <f t="shared" ca="1" si="41"/>
        <v>0</v>
      </c>
      <c r="BJ30" s="154">
        <f t="shared" ca="1" si="42"/>
        <v>0</v>
      </c>
      <c r="BK30" s="154">
        <f t="shared" ca="1" si="43"/>
        <v>0</v>
      </c>
      <c r="BL30" s="154">
        <f t="shared" ca="1" si="44"/>
        <v>0</v>
      </c>
      <c r="BM30" s="154">
        <f t="shared" ca="1" si="45"/>
        <v>0</v>
      </c>
      <c r="BN30" s="154">
        <f t="shared" ca="1" si="46"/>
        <v>0</v>
      </c>
      <c r="BO30" s="154">
        <f t="shared" ca="1" si="47"/>
        <v>0</v>
      </c>
      <c r="BP30" s="154">
        <f t="shared" ca="1" si="48"/>
        <v>0</v>
      </c>
      <c r="BQ30" s="154">
        <f t="shared" ca="1" si="49"/>
        <v>0</v>
      </c>
      <c r="BR30" s="154">
        <f t="shared" ca="1" si="50"/>
        <v>0</v>
      </c>
      <c r="BS30" s="154">
        <f t="shared" ca="1" si="51"/>
        <v>0</v>
      </c>
      <c r="BT30" s="154">
        <f t="shared" ca="1" si="52"/>
        <v>0</v>
      </c>
      <c r="BU30" s="154">
        <f t="shared" ca="1" si="53"/>
        <v>0</v>
      </c>
      <c r="BV30" s="154">
        <f t="shared" ca="1" si="54"/>
        <v>0</v>
      </c>
      <c r="BW30" s="154">
        <f t="shared" ca="1" si="55"/>
        <v>0</v>
      </c>
      <c r="BX30" s="154">
        <f t="shared" ca="1" si="56"/>
        <v>0</v>
      </c>
      <c r="BY30" s="154">
        <f t="shared" ca="1" si="57"/>
        <v>0</v>
      </c>
      <c r="BZ30" s="154">
        <f t="shared" ref="BZ30:BZ40" ca="1" si="98">IF(AND(NOT(ISBLANK($O30)),NOT(ISBLANK($R30)),$T30="GP"),IF(U30="",2,1),0)</f>
        <v>0</v>
      </c>
      <c r="CA30" s="154">
        <f t="shared" ref="CA30:CA40" ca="1" si="99">IF(AND(NOT(ISBLANK($O30)),NOT(ISBLANK($R30)),OR($T30="Start-AP",$T30="Start-AP-2P")),
ROUND(HLOOKUP(CE30,SKT,2,FALSE)*IF(U30="",20,10)*IF(VT_AKADKRI,0.75,1),0),
0)</f>
        <v>0</v>
      </c>
      <c r="CB30" s="154">
        <f t="shared" ref="CB30:CB40" ca="1" si="100">IF(AND(NOT(ISBLANK($O30)),NOT(ISBLANK($R30)),OR($T30="",T30="AP")),
ROUND(HLOOKUP(CE30,SKT,2,FALSE)*20*IF(NOT(ISBLANK($S30)),3-IF(U30="Beide verbilligt",1.5,0)-IF(U30="S1 verbilligt",0.5,0)-IF(U30="S2 verbilligt",1,0),IF(OR(U30="S1 verbilligt",U30="Beide verbilligt"),0.5,1))*IF(VT_AKADKRI,0.75,1),0),
IF(ISBLANK($S30),0,ROUND(HLOOKUP(CE30,SKT,2,FALSE)*20*IF(OR(U30="S2 verbilligt",U30="Beide verbilligt"),1,2)*IF(VT_AKADKRI,0.75,1),0))
)</f>
        <v>0</v>
      </c>
      <c r="CC30" s="523"/>
      <c r="CD30" s="355">
        <f t="shared" si="60"/>
        <v>59</v>
      </c>
      <c r="CE30" s="268" t="str">
        <f t="shared" ca="1" si="81"/>
        <v>D</v>
      </c>
      <c r="CF30" s="355"/>
      <c r="CG30" s="268"/>
      <c r="CH30" s="268"/>
      <c r="CI30" s="269">
        <f t="shared" ca="1" si="61"/>
        <v>0</v>
      </c>
      <c r="CJ30" s="269">
        <f t="shared" ca="1" si="62"/>
        <v>0</v>
      </c>
      <c r="CK30" s="269"/>
      <c r="CL30" s="269"/>
      <c r="CM30" s="268">
        <f t="shared" ca="1" si="82"/>
        <v>0</v>
      </c>
      <c r="CN30" s="269">
        <f t="shared" ca="1" si="83"/>
        <v>0</v>
      </c>
      <c r="CO30" s="271" t="str">
        <f ca="1">CHAR(CODE(VLOOKUP($A30,BASISSKT,4,FALSE))+$CN30)</f>
        <v>D</v>
      </c>
      <c r="CP30" s="269" t="b">
        <f t="shared" ca="1" si="64"/>
        <v>1</v>
      </c>
      <c r="CQ30" s="269">
        <f t="shared" si="65"/>
        <v>0</v>
      </c>
      <c r="CR30" s="269">
        <f t="shared" si="66"/>
        <v>0</v>
      </c>
      <c r="CS30" s="269">
        <f t="shared" ca="1" si="67"/>
        <v>0</v>
      </c>
      <c r="CT30" s="302" t="str">
        <f t="shared" ca="1" si="84"/>
        <v>0</v>
      </c>
      <c r="CU30" s="269">
        <f t="shared" ca="1" si="68"/>
        <v>0</v>
      </c>
      <c r="CV30" s="268"/>
      <c r="CW30" s="269">
        <f t="shared" ca="1" si="69"/>
        <v>0</v>
      </c>
      <c r="CX30" s="301">
        <f t="shared" ca="1" si="70"/>
        <v>0</v>
      </c>
      <c r="CY30" s="301">
        <f t="shared" ca="1" si="85"/>
        <v>0</v>
      </c>
      <c r="CZ30" s="301">
        <f t="shared" ca="1" si="71"/>
        <v>0</v>
      </c>
      <c r="DA30" s="301">
        <f t="shared" ca="1" si="86"/>
        <v>0</v>
      </c>
      <c r="DB30" t="str">
        <f ca="1">IF(AND(EXACT($C30,""),ISBLANK($I30)),"",IF(SUM($P30,$Q30)&lt;SUM(AT,PA,$B30,$G30,$I30),"noch TaP zu verteilen! ►",IF($P30&lt;AT,"Immer diese Pazifisten",IF($P30&gt;SUM(AT,$B30,$G30,$I30),"Ach, pfeif drauf! ATTACKE!",""))))</f>
        <v>noch TaP zu verteilen! ►</v>
      </c>
      <c r="DC30" s="301" t="str">
        <f t="shared" ca="1" si="91"/>
        <v/>
      </c>
      <c r="DD30" s="1337" t="str">
        <f t="shared" ca="1" si="87"/>
        <v/>
      </c>
      <c r="DE30" s="1337" t="str">
        <f t="shared" ca="1" si="88"/>
        <v/>
      </c>
      <c r="DG30" s="269"/>
      <c r="DH30" s="269"/>
      <c r="DI30" s="269" t="str">
        <f ca="1">IF(NOT(ISERR(FIND(A30,Abfragen!$O$264,1))),MID(Abfragen!$O$264,FIND("(",Abfragen!$O$264,FIND(A30,Abfragen!$O$264,1)+LEN(A30))+1,FIND(")",Abfragen!$O$264,FIND(A30,Abfragen!$O$264,1)+LEN(A30))-FIND("(",Abfragen!$O$264,FIND(A30,Abfragen!$O$264,1)+LEN(A30))-1),"")</f>
        <v/>
      </c>
      <c r="DJ30" s="301" t="str">
        <f t="shared" ca="1" si="92"/>
        <v>D</v>
      </c>
      <c r="DK30" s="301" t="str">
        <f t="shared" ca="1" si="92"/>
        <v>D</v>
      </c>
      <c r="DL30" s="301" t="str">
        <f t="shared" ca="1" si="92"/>
        <v>D</v>
      </c>
      <c r="DM30" s="301" t="str">
        <f t="shared" ca="1" si="92"/>
        <v>D</v>
      </c>
      <c r="DN30" s="301" t="str">
        <f t="shared" ca="1" si="92"/>
        <v>D</v>
      </c>
      <c r="DO30" s="301" t="str">
        <f t="shared" ca="1" si="92"/>
        <v>D</v>
      </c>
      <c r="DP30" s="301" t="str">
        <f t="shared" ca="1" si="92"/>
        <v>D</v>
      </c>
      <c r="DQ30" s="301" t="str">
        <f t="shared" ca="1" si="92"/>
        <v>D</v>
      </c>
      <c r="DR30" s="301" t="str">
        <f t="shared" ca="1" si="92"/>
        <v>D</v>
      </c>
      <c r="DS30" s="301" t="str">
        <f t="shared" ca="1" si="92"/>
        <v>D</v>
      </c>
      <c r="DT30" s="301" t="str">
        <f t="shared" ca="1" si="93"/>
        <v>D</v>
      </c>
      <c r="DU30" s="301" t="str">
        <f t="shared" ca="1" si="93"/>
        <v>D</v>
      </c>
      <c r="DV30" s="301" t="str">
        <f t="shared" ca="1" si="93"/>
        <v>D</v>
      </c>
      <c r="DW30" s="301" t="str">
        <f t="shared" ca="1" si="93"/>
        <v>D</v>
      </c>
      <c r="DX30" s="301" t="str">
        <f t="shared" ca="1" si="93"/>
        <v>D</v>
      </c>
      <c r="DY30" s="301" t="str">
        <f t="shared" ca="1" si="93"/>
        <v>D</v>
      </c>
      <c r="DZ30" s="301" t="str">
        <f t="shared" ca="1" si="93"/>
        <v>D</v>
      </c>
      <c r="EA30" s="301" t="str">
        <f t="shared" ca="1" si="93"/>
        <v>D</v>
      </c>
      <c r="EB30" s="301" t="str">
        <f t="shared" ca="1" si="93"/>
        <v>D</v>
      </c>
      <c r="EC30" s="301" t="str">
        <f t="shared" ca="1" si="93"/>
        <v>D</v>
      </c>
      <c r="ED30" s="301" t="str">
        <f t="shared" ca="1" si="93"/>
        <v>D</v>
      </c>
      <c r="EE30" s="301" t="str">
        <f t="shared" ca="1" si="93"/>
        <v>D</v>
      </c>
      <c r="EF30" s="301">
        <f t="shared" si="74"/>
        <v>0</v>
      </c>
      <c r="EG30" s="301" t="str">
        <f t="shared" ca="1" si="94"/>
        <v>D</v>
      </c>
      <c r="EH30" s="301" t="str">
        <f t="shared" ca="1" si="94"/>
        <v>D</v>
      </c>
      <c r="EI30" s="301" t="str">
        <f t="shared" ca="1" si="94"/>
        <v>D</v>
      </c>
      <c r="EJ30" s="301" t="str">
        <f t="shared" ca="1" si="94"/>
        <v>D</v>
      </c>
      <c r="EK30" s="301" t="str">
        <f t="shared" ca="1" si="94"/>
        <v>D</v>
      </c>
      <c r="EL30" s="301" t="str">
        <f t="shared" ca="1" si="94"/>
        <v>D</v>
      </c>
      <c r="EM30" s="301" t="str">
        <f t="shared" ca="1" si="94"/>
        <v>D</v>
      </c>
      <c r="EN30" s="301" t="str">
        <f t="shared" ca="1" si="94"/>
        <v>D</v>
      </c>
      <c r="EO30" s="301" t="str">
        <f t="shared" ca="1" si="94"/>
        <v>D</v>
      </c>
      <c r="EP30" s="301" t="str">
        <f t="shared" ca="1" si="94"/>
        <v>D</v>
      </c>
      <c r="EQ30" s="301" t="str">
        <f t="shared" ca="1" si="95"/>
        <v>D</v>
      </c>
      <c r="ER30" s="301" t="str">
        <f t="shared" ca="1" si="95"/>
        <v>D</v>
      </c>
      <c r="ES30" s="301" t="str">
        <f t="shared" ca="1" si="95"/>
        <v>D</v>
      </c>
      <c r="ET30" s="301" t="str">
        <f t="shared" ca="1" si="95"/>
        <v>D</v>
      </c>
      <c r="EU30" s="301" t="str">
        <f t="shared" ca="1" si="95"/>
        <v>D</v>
      </c>
      <c r="EV30" s="301" t="str">
        <f t="shared" ca="1" si="95"/>
        <v>D</v>
      </c>
      <c r="EW30" s="301" t="str">
        <f t="shared" ca="1" si="95"/>
        <v>D</v>
      </c>
      <c r="EX30" s="301" t="str">
        <f t="shared" ca="1" si="95"/>
        <v>D</v>
      </c>
      <c r="EY30" s="301" t="str">
        <f t="shared" ca="1" si="95"/>
        <v>D</v>
      </c>
      <c r="EZ30" s="301" t="str">
        <f t="shared" ca="1" si="95"/>
        <v>D</v>
      </c>
      <c r="FA30" s="301" t="str">
        <f t="shared" ca="1" si="96"/>
        <v>D</v>
      </c>
      <c r="FB30" s="301" t="str">
        <f t="shared" ca="1" si="96"/>
        <v>D</v>
      </c>
      <c r="FC30" s="301" t="str">
        <f t="shared" ca="1" si="96"/>
        <v>D</v>
      </c>
      <c r="FD30" s="301" t="str">
        <f t="shared" ca="1" si="96"/>
        <v>D</v>
      </c>
      <c r="FE30" s="301" t="str">
        <f t="shared" ca="1" si="96"/>
        <v>D</v>
      </c>
      <c r="FF30" s="301" t="str">
        <f t="shared" ca="1" si="96"/>
        <v>D</v>
      </c>
      <c r="FG30" s="301" t="str">
        <f t="shared" ca="1" si="96"/>
        <v>D</v>
      </c>
      <c r="FH30" s="301" t="str">
        <f t="shared" ca="1" si="96"/>
        <v>D</v>
      </c>
      <c r="FI30" s="301" t="str">
        <f t="shared" ca="1" si="96"/>
        <v>D</v>
      </c>
      <c r="FJ30" s="301" t="str">
        <f t="shared" ca="1" si="96"/>
        <v>D</v>
      </c>
      <c r="FK30" s="301" t="str">
        <f t="shared" ca="1" si="96"/>
        <v>D</v>
      </c>
      <c r="FL30" s="301" t="str">
        <f t="shared" ca="1" si="96"/>
        <v>D</v>
      </c>
    </row>
    <row r="31" spans="1:168" x14ac:dyDescent="0.2">
      <c r="A31" s="24" t="str">
        <f t="shared" si="78"/>
        <v>Schleuder</v>
      </c>
      <c r="B31" s="317" t="str">
        <f t="shared" ca="1" si="0"/>
        <v/>
      </c>
      <c r="C31" s="332" t="str">
        <f ca="1">IF(OR(NOT(ISBLANK(D31)),NOT(ISBLANK(HLOOKUP(RASSEGENE,RASSE,$CD31,FALSE))),
NOT(ISBLANK(HLOOKUP(KULTURGENE,KULTUR,$CD31,FALSE))),
NOT(OR(ISBLANK(HLOOKUP(PROFGENE,INDIRECT(PROFGEBIET),$CD31,FALSE)),$CS31="N",$CS31="M")),
IF(PROFZWEITE="",FALSE,NOT(ISBLANK(HLOOKUP(PROFZWEITE,INDIRECT(PROFGEBIET2),$CD31,FALSE))))),"x","")</f>
        <v/>
      </c>
      <c r="D31" s="1110"/>
      <c r="E31" s="1424"/>
      <c r="F31" s="325"/>
      <c r="G31" s="958"/>
      <c r="H31" s="1196"/>
      <c r="I31" s="326"/>
      <c r="J31" s="1880" t="str">
        <f t="shared" ca="1" si="79"/>
        <v/>
      </c>
      <c r="K31" s="1881"/>
      <c r="L31" s="1881"/>
      <c r="M31" s="1881"/>
      <c r="N31" s="1882"/>
      <c r="O31" s="613" t="str">
        <f t="shared" ca="1" si="2"/>
        <v/>
      </c>
      <c r="P31" s="637" t="str">
        <f ca="1">IF(AND(C31="",G31="",I31=""),"",FK+B31+G31+I31)</f>
        <v/>
      </c>
      <c r="Q31" s="637"/>
      <c r="R31" s="1313"/>
      <c r="S31" s="1313"/>
      <c r="T31" s="1315"/>
      <c r="U31" s="1283"/>
      <c r="V31" s="628" t="str">
        <f t="shared" ca="1" si="97"/>
        <v/>
      </c>
      <c r="W31" s="164">
        <f t="shared" ca="1" si="4"/>
        <v>0</v>
      </c>
      <c r="X31" s="164">
        <f t="shared" ca="1" si="5"/>
        <v>0</v>
      </c>
      <c r="Y31" s="164">
        <f t="shared" ca="1" si="6"/>
        <v>0</v>
      </c>
      <c r="Z31" s="164">
        <f t="shared" ca="1" si="7"/>
        <v>0</v>
      </c>
      <c r="AA31" s="164">
        <f t="shared" ca="1" si="8"/>
        <v>0</v>
      </c>
      <c r="AB31" s="164">
        <f t="shared" ca="1" si="9"/>
        <v>0</v>
      </c>
      <c r="AC31" s="164">
        <f t="shared" ca="1" si="10"/>
        <v>0</v>
      </c>
      <c r="AD31" s="164">
        <f t="shared" ca="1" si="11"/>
        <v>0</v>
      </c>
      <c r="AE31" s="164">
        <f t="shared" ca="1" si="12"/>
        <v>0</v>
      </c>
      <c r="AF31" s="164">
        <f t="shared" ca="1" si="13"/>
        <v>0</v>
      </c>
      <c r="AG31" s="164">
        <f t="shared" ca="1" si="14"/>
        <v>0</v>
      </c>
      <c r="AH31" s="164">
        <f t="shared" ca="1" si="15"/>
        <v>0</v>
      </c>
      <c r="AI31" s="164">
        <f t="shared" ca="1" si="16"/>
        <v>0</v>
      </c>
      <c r="AJ31" s="164">
        <f t="shared" ca="1" si="17"/>
        <v>0</v>
      </c>
      <c r="AK31" s="164">
        <f t="shared" ca="1" si="18"/>
        <v>0</v>
      </c>
      <c r="AL31" s="164">
        <f t="shared" ca="1" si="19"/>
        <v>0</v>
      </c>
      <c r="AM31" s="164">
        <f t="shared" ca="1" si="20"/>
        <v>0</v>
      </c>
      <c r="AN31" s="164">
        <f t="shared" ca="1" si="21"/>
        <v>0</v>
      </c>
      <c r="AO31" s="164">
        <f t="shared" ca="1" si="22"/>
        <v>0</v>
      </c>
      <c r="AP31" s="164">
        <f t="shared" ca="1" si="23"/>
        <v>0</v>
      </c>
      <c r="AQ31" s="164">
        <f t="shared" ca="1" si="24"/>
        <v>0</v>
      </c>
      <c r="AR31" s="164">
        <f t="shared" ca="1" si="25"/>
        <v>0</v>
      </c>
      <c r="AS31" s="152"/>
      <c r="AT31" s="154">
        <f t="shared" ca="1" si="26"/>
        <v>0</v>
      </c>
      <c r="AU31" s="154">
        <f t="shared" ca="1" si="27"/>
        <v>0</v>
      </c>
      <c r="AV31" s="154">
        <f t="shared" ca="1" si="28"/>
        <v>0</v>
      </c>
      <c r="AW31" s="154">
        <f t="shared" ca="1" si="29"/>
        <v>0</v>
      </c>
      <c r="AX31" s="154">
        <f t="shared" ca="1" si="30"/>
        <v>0</v>
      </c>
      <c r="AY31" s="154">
        <f t="shared" ca="1" si="31"/>
        <v>0</v>
      </c>
      <c r="AZ31" s="154">
        <f t="shared" ca="1" si="32"/>
        <v>0</v>
      </c>
      <c r="BA31" s="154">
        <f t="shared" ca="1" si="33"/>
        <v>0</v>
      </c>
      <c r="BB31" s="154">
        <f t="shared" ca="1" si="34"/>
        <v>0</v>
      </c>
      <c r="BC31" s="154">
        <f t="shared" ca="1" si="35"/>
        <v>0</v>
      </c>
      <c r="BD31" s="154">
        <f t="shared" ca="1" si="36"/>
        <v>0</v>
      </c>
      <c r="BE31" s="154">
        <f t="shared" ca="1" si="37"/>
        <v>0</v>
      </c>
      <c r="BF31" s="154">
        <f t="shared" ca="1" si="38"/>
        <v>0</v>
      </c>
      <c r="BG31" s="154">
        <f t="shared" ca="1" si="39"/>
        <v>0</v>
      </c>
      <c r="BH31" s="154">
        <f t="shared" ca="1" si="40"/>
        <v>0</v>
      </c>
      <c r="BI31" s="154">
        <f t="shared" ca="1" si="41"/>
        <v>0</v>
      </c>
      <c r="BJ31" s="154">
        <f t="shared" ca="1" si="42"/>
        <v>0</v>
      </c>
      <c r="BK31" s="154">
        <f t="shared" ca="1" si="43"/>
        <v>0</v>
      </c>
      <c r="BL31" s="154">
        <f t="shared" ca="1" si="44"/>
        <v>0</v>
      </c>
      <c r="BM31" s="154">
        <f t="shared" ca="1" si="45"/>
        <v>0</v>
      </c>
      <c r="BN31" s="154">
        <f t="shared" ca="1" si="46"/>
        <v>0</v>
      </c>
      <c r="BO31" s="154">
        <f t="shared" ca="1" si="47"/>
        <v>0</v>
      </c>
      <c r="BP31" s="154">
        <f t="shared" ca="1" si="48"/>
        <v>0</v>
      </c>
      <c r="BQ31" s="154">
        <f t="shared" ca="1" si="49"/>
        <v>0</v>
      </c>
      <c r="BR31" s="154">
        <f t="shared" ca="1" si="50"/>
        <v>0</v>
      </c>
      <c r="BS31" s="154">
        <f t="shared" ca="1" si="51"/>
        <v>0</v>
      </c>
      <c r="BT31" s="154">
        <f t="shared" ca="1" si="52"/>
        <v>0</v>
      </c>
      <c r="BU31" s="154">
        <f t="shared" ca="1" si="53"/>
        <v>0</v>
      </c>
      <c r="BV31" s="154">
        <f t="shared" ca="1" si="54"/>
        <v>0</v>
      </c>
      <c r="BW31" s="154">
        <f t="shared" ca="1" si="55"/>
        <v>0</v>
      </c>
      <c r="BX31" s="154">
        <f t="shared" ca="1" si="56"/>
        <v>0</v>
      </c>
      <c r="BY31" s="154">
        <f t="shared" ca="1" si="57"/>
        <v>0</v>
      </c>
      <c r="BZ31" s="154">
        <f t="shared" ca="1" si="98"/>
        <v>0</v>
      </c>
      <c r="CA31" s="154">
        <f t="shared" ca="1" si="99"/>
        <v>0</v>
      </c>
      <c r="CB31" s="154">
        <f t="shared" ca="1" si="100"/>
        <v>0</v>
      </c>
      <c r="CC31" s="523"/>
      <c r="CD31" s="355">
        <f t="shared" si="60"/>
        <v>60</v>
      </c>
      <c r="CE31" s="268" t="str">
        <f t="shared" ca="1" si="81"/>
        <v>E</v>
      </c>
      <c r="CF31" s="355" t="str">
        <f ca="1">IF(EXACT($B31,""),$CF27,CONCATENATE($CF27,$A31))</f>
        <v/>
      </c>
      <c r="CG31" s="268"/>
      <c r="CH31" s="268"/>
      <c r="CI31" s="269">
        <f t="shared" ca="1" si="61"/>
        <v>0</v>
      </c>
      <c r="CJ31" s="269">
        <f t="shared" ca="1" si="62"/>
        <v>0</v>
      </c>
      <c r="CK31" s="269"/>
      <c r="CL31" s="269"/>
      <c r="CM31" s="268">
        <f t="shared" ca="1" si="82"/>
        <v>0</v>
      </c>
      <c r="CN31" s="269">
        <f t="shared" ca="1" si="83"/>
        <v>0</v>
      </c>
      <c r="CO31" s="268" t="str">
        <f ca="1">CHAR(CODE(VLOOKUP($A31,TL_KPF_WERTE,6,FALSE))+$CN31)</f>
        <v>E</v>
      </c>
      <c r="CP31" s="269" t="b">
        <f t="shared" ca="1" si="64"/>
        <v>1</v>
      </c>
      <c r="CQ31" s="269">
        <f t="shared" si="65"/>
        <v>0</v>
      </c>
      <c r="CR31" s="269">
        <f t="shared" si="66"/>
        <v>0</v>
      </c>
      <c r="CS31" s="269">
        <f t="shared" ca="1" si="67"/>
        <v>0</v>
      </c>
      <c r="CT31" s="302" t="str">
        <f t="shared" ca="1" si="84"/>
        <v>0</v>
      </c>
      <c r="CU31" s="269">
        <f t="shared" ca="1" si="68"/>
        <v>0</v>
      </c>
      <c r="CV31" s="268"/>
      <c r="CW31" s="269">
        <f t="shared" ca="1" si="69"/>
        <v>0</v>
      </c>
      <c r="CX31" s="301">
        <f t="shared" ca="1" si="70"/>
        <v>0</v>
      </c>
      <c r="CY31" s="301">
        <f t="shared" ca="1" si="85"/>
        <v>0</v>
      </c>
      <c r="CZ31" s="301">
        <f t="shared" ca="1" si="71"/>
        <v>0</v>
      </c>
      <c r="DA31" s="301">
        <f t="shared" ca="1" si="86"/>
        <v>0</v>
      </c>
      <c r="DC31" s="564" t="str">
        <f ca="1">IF($O31="","",IF($O31&gt;MAX(FF,GE,KK)+3-CJ31*2," TaW&gt; Max(FF, GE, KK) +"&amp;3-CJ31*2,""))</f>
        <v/>
      </c>
      <c r="DD31" s="1337" t="str">
        <f t="shared" ca="1" si="87"/>
        <v/>
      </c>
      <c r="DE31" s="1337" t="str">
        <f t="shared" ca="1" si="88"/>
        <v/>
      </c>
      <c r="DG31" s="269"/>
      <c r="DH31" s="269"/>
      <c r="DI31" s="269" t="str">
        <f ca="1">IF(NOT(ISERR(FIND(A31,Abfragen!$O$264,1))),MID(Abfragen!$O$264,FIND("(",Abfragen!$O$264,FIND(A31,Abfragen!$O$264,1)+LEN(A31))+1,FIND(")",Abfragen!$O$264,FIND(A31,Abfragen!$O$264,1)+LEN(A31))-FIND("(",Abfragen!$O$264,FIND(A31,Abfragen!$O$264,1)+LEN(A31))-1),"")</f>
        <v/>
      </c>
      <c r="DJ31" s="301" t="str">
        <f t="shared" ca="1" si="92"/>
        <v>E</v>
      </c>
      <c r="DK31" s="301" t="str">
        <f t="shared" ca="1" si="92"/>
        <v>E</v>
      </c>
      <c r="DL31" s="301" t="str">
        <f t="shared" ca="1" si="92"/>
        <v>E</v>
      </c>
      <c r="DM31" s="301" t="str">
        <f t="shared" ca="1" si="92"/>
        <v>E</v>
      </c>
      <c r="DN31" s="301" t="str">
        <f t="shared" ca="1" si="92"/>
        <v>E</v>
      </c>
      <c r="DO31" s="301" t="str">
        <f t="shared" ca="1" si="92"/>
        <v>E</v>
      </c>
      <c r="DP31" s="301" t="str">
        <f t="shared" ca="1" si="92"/>
        <v>E</v>
      </c>
      <c r="DQ31" s="301" t="str">
        <f t="shared" ca="1" si="92"/>
        <v>E</v>
      </c>
      <c r="DR31" s="301" t="str">
        <f t="shared" ca="1" si="92"/>
        <v>E</v>
      </c>
      <c r="DS31" s="301" t="str">
        <f t="shared" ca="1" si="92"/>
        <v>E</v>
      </c>
      <c r="DT31" s="301" t="str">
        <f t="shared" ca="1" si="93"/>
        <v>E</v>
      </c>
      <c r="DU31" s="301" t="str">
        <f t="shared" ca="1" si="93"/>
        <v>E</v>
      </c>
      <c r="DV31" s="301" t="str">
        <f t="shared" ca="1" si="93"/>
        <v>E</v>
      </c>
      <c r="DW31" s="301" t="str">
        <f t="shared" ca="1" si="93"/>
        <v>E</v>
      </c>
      <c r="DX31" s="301" t="str">
        <f t="shared" ca="1" si="93"/>
        <v>E</v>
      </c>
      <c r="DY31" s="301" t="str">
        <f t="shared" ca="1" si="93"/>
        <v>E</v>
      </c>
      <c r="DZ31" s="301" t="str">
        <f t="shared" ca="1" si="93"/>
        <v>E</v>
      </c>
      <c r="EA31" s="301" t="str">
        <f t="shared" ca="1" si="93"/>
        <v>E</v>
      </c>
      <c r="EB31" s="301" t="str">
        <f t="shared" ca="1" si="93"/>
        <v>E</v>
      </c>
      <c r="EC31" s="301" t="str">
        <f t="shared" ca="1" si="93"/>
        <v>E</v>
      </c>
      <c r="ED31" s="301" t="str">
        <f t="shared" ca="1" si="93"/>
        <v>E</v>
      </c>
      <c r="EE31" s="301" t="str">
        <f t="shared" ca="1" si="93"/>
        <v>E</v>
      </c>
      <c r="EF31" s="301">
        <f t="shared" si="74"/>
        <v>0</v>
      </c>
      <c r="EG31" s="301" t="str">
        <f t="shared" ca="1" si="94"/>
        <v>E</v>
      </c>
      <c r="EH31" s="301" t="str">
        <f t="shared" ca="1" si="94"/>
        <v>E</v>
      </c>
      <c r="EI31" s="301" t="str">
        <f t="shared" ca="1" si="94"/>
        <v>E</v>
      </c>
      <c r="EJ31" s="301" t="str">
        <f t="shared" ca="1" si="94"/>
        <v>E</v>
      </c>
      <c r="EK31" s="301" t="str">
        <f t="shared" ca="1" si="94"/>
        <v>E</v>
      </c>
      <c r="EL31" s="301" t="str">
        <f t="shared" ca="1" si="94"/>
        <v>E</v>
      </c>
      <c r="EM31" s="301" t="str">
        <f t="shared" ca="1" si="94"/>
        <v>E</v>
      </c>
      <c r="EN31" s="301" t="str">
        <f t="shared" ca="1" si="94"/>
        <v>E</v>
      </c>
      <c r="EO31" s="301" t="str">
        <f t="shared" ca="1" si="94"/>
        <v>E</v>
      </c>
      <c r="EP31" s="301" t="str">
        <f t="shared" ca="1" si="94"/>
        <v>E</v>
      </c>
      <c r="EQ31" s="301" t="str">
        <f t="shared" ca="1" si="95"/>
        <v>E</v>
      </c>
      <c r="ER31" s="301" t="str">
        <f t="shared" ca="1" si="95"/>
        <v>E</v>
      </c>
      <c r="ES31" s="301" t="str">
        <f t="shared" ca="1" si="95"/>
        <v>E</v>
      </c>
      <c r="ET31" s="301" t="str">
        <f t="shared" ca="1" si="95"/>
        <v>E</v>
      </c>
      <c r="EU31" s="301" t="str">
        <f t="shared" ca="1" si="95"/>
        <v>E</v>
      </c>
      <c r="EV31" s="301" t="str">
        <f t="shared" ca="1" si="95"/>
        <v>E</v>
      </c>
      <c r="EW31" s="301" t="str">
        <f t="shared" ca="1" si="95"/>
        <v>E</v>
      </c>
      <c r="EX31" s="301" t="str">
        <f t="shared" ca="1" si="95"/>
        <v>E</v>
      </c>
      <c r="EY31" s="301" t="str">
        <f t="shared" ca="1" si="95"/>
        <v>E</v>
      </c>
      <c r="EZ31" s="301" t="str">
        <f t="shared" ca="1" si="95"/>
        <v>E</v>
      </c>
      <c r="FA31" s="301" t="str">
        <f t="shared" ca="1" si="96"/>
        <v>E</v>
      </c>
      <c r="FB31" s="301" t="str">
        <f t="shared" ca="1" si="96"/>
        <v>E</v>
      </c>
      <c r="FC31" s="301" t="str">
        <f t="shared" ca="1" si="96"/>
        <v>E</v>
      </c>
      <c r="FD31" s="301" t="str">
        <f t="shared" ca="1" si="96"/>
        <v>E</v>
      </c>
      <c r="FE31" s="301" t="str">
        <f t="shared" ca="1" si="96"/>
        <v>E</v>
      </c>
      <c r="FF31" s="301" t="str">
        <f t="shared" ca="1" si="96"/>
        <v>E</v>
      </c>
      <c r="FG31" s="301" t="str">
        <f t="shared" ca="1" si="96"/>
        <v>E</v>
      </c>
      <c r="FH31" s="301" t="str">
        <f t="shared" ca="1" si="96"/>
        <v>E</v>
      </c>
      <c r="FI31" s="301" t="str">
        <f t="shared" ca="1" si="96"/>
        <v>E</v>
      </c>
      <c r="FJ31" s="301" t="str">
        <f t="shared" ca="1" si="96"/>
        <v>E</v>
      </c>
      <c r="FK31" s="301" t="str">
        <f t="shared" ca="1" si="96"/>
        <v>E</v>
      </c>
      <c r="FL31" s="301" t="str">
        <f t="shared" ca="1" si="96"/>
        <v>E</v>
      </c>
    </row>
    <row r="32" spans="1:168" x14ac:dyDescent="0.2">
      <c r="A32" s="24" t="str">
        <f t="shared" si="78"/>
        <v>Schwerter</v>
      </c>
      <c r="B32" s="317" t="str">
        <f t="shared" ca="1" si="0"/>
        <v/>
      </c>
      <c r="C32" s="332" t="str">
        <f ca="1">IF(OR(NOT(ISBLANK(D32)),NOT(ISBLANK(HLOOKUP(RASSEGENE,RASSE,$CD32,FALSE))),
NOT(ISBLANK(HLOOKUP(KULTURGENE,KULTUR,$CD32,FALSE))),
NOT(OR(ISBLANK(HLOOKUP(PROFGENE,INDIRECT(PROFGEBIET),$CD32,FALSE)),$CS32="N",$CS32="M")),
IF(PROFZWEITE="",FALSE,NOT(ISBLANK(HLOOKUP(PROFZWEITE,INDIRECT(PROFGEBIET2),$CD32,FALSE))))),"x","")</f>
        <v/>
      </c>
      <c r="D32" s="1110"/>
      <c r="E32" s="1424"/>
      <c r="F32" s="325"/>
      <c r="G32" s="958"/>
      <c r="H32" s="1196"/>
      <c r="I32" s="326"/>
      <c r="J32" s="1880" t="str">
        <f t="shared" ca="1" si="79"/>
        <v/>
      </c>
      <c r="K32" s="1881"/>
      <c r="L32" s="1881"/>
      <c r="M32" s="1881"/>
      <c r="N32" s="1882"/>
      <c r="O32" s="613" t="str">
        <f t="shared" ca="1" si="2"/>
        <v/>
      </c>
      <c r="P32" s="640"/>
      <c r="Q32" s="637" t="str">
        <f>IF(ISBLANK($P32),"",SUM(AT,PA,$B32,$G32,$I32)-$P32)</f>
        <v/>
      </c>
      <c r="R32" s="1313"/>
      <c r="S32" s="1313"/>
      <c r="T32" s="1315"/>
      <c r="U32" s="1283"/>
      <c r="V32" s="628" t="str">
        <f t="shared" ca="1" si="97"/>
        <v/>
      </c>
      <c r="W32" s="164">
        <f t="shared" ca="1" si="4"/>
        <v>0</v>
      </c>
      <c r="X32" s="164">
        <f t="shared" ca="1" si="5"/>
        <v>0</v>
      </c>
      <c r="Y32" s="164">
        <f t="shared" ca="1" si="6"/>
        <v>0</v>
      </c>
      <c r="Z32" s="164">
        <f t="shared" ca="1" si="7"/>
        <v>0</v>
      </c>
      <c r="AA32" s="164">
        <f t="shared" ca="1" si="8"/>
        <v>0</v>
      </c>
      <c r="AB32" s="164">
        <f t="shared" ca="1" si="9"/>
        <v>0</v>
      </c>
      <c r="AC32" s="164">
        <f t="shared" ca="1" si="10"/>
        <v>0</v>
      </c>
      <c r="AD32" s="164">
        <f t="shared" ca="1" si="11"/>
        <v>0</v>
      </c>
      <c r="AE32" s="164">
        <f t="shared" ca="1" si="12"/>
        <v>0</v>
      </c>
      <c r="AF32" s="164">
        <f t="shared" ca="1" si="13"/>
        <v>0</v>
      </c>
      <c r="AG32" s="164">
        <f t="shared" ca="1" si="14"/>
        <v>0</v>
      </c>
      <c r="AH32" s="164">
        <f t="shared" ca="1" si="15"/>
        <v>0</v>
      </c>
      <c r="AI32" s="164">
        <f t="shared" ca="1" si="16"/>
        <v>0</v>
      </c>
      <c r="AJ32" s="164">
        <f t="shared" ca="1" si="17"/>
        <v>0</v>
      </c>
      <c r="AK32" s="164">
        <f t="shared" ca="1" si="18"/>
        <v>0</v>
      </c>
      <c r="AL32" s="164">
        <f t="shared" ca="1" si="19"/>
        <v>0</v>
      </c>
      <c r="AM32" s="164">
        <f t="shared" ca="1" si="20"/>
        <v>0</v>
      </c>
      <c r="AN32" s="164">
        <f t="shared" ca="1" si="21"/>
        <v>0</v>
      </c>
      <c r="AO32" s="164">
        <f t="shared" ca="1" si="22"/>
        <v>0</v>
      </c>
      <c r="AP32" s="164">
        <f t="shared" ca="1" si="23"/>
        <v>0</v>
      </c>
      <c r="AQ32" s="164">
        <f t="shared" ca="1" si="24"/>
        <v>0</v>
      </c>
      <c r="AR32" s="164">
        <f t="shared" ca="1" si="25"/>
        <v>0</v>
      </c>
      <c r="AS32" s="152"/>
      <c r="AT32" s="154">
        <f t="shared" ca="1" si="26"/>
        <v>0</v>
      </c>
      <c r="AU32" s="154">
        <f t="shared" ca="1" si="27"/>
        <v>0</v>
      </c>
      <c r="AV32" s="154">
        <f t="shared" ca="1" si="28"/>
        <v>0</v>
      </c>
      <c r="AW32" s="154">
        <f t="shared" ca="1" si="29"/>
        <v>0</v>
      </c>
      <c r="AX32" s="154">
        <f t="shared" ca="1" si="30"/>
        <v>0</v>
      </c>
      <c r="AY32" s="154">
        <f t="shared" ca="1" si="31"/>
        <v>0</v>
      </c>
      <c r="AZ32" s="154">
        <f t="shared" ca="1" si="32"/>
        <v>0</v>
      </c>
      <c r="BA32" s="154">
        <f t="shared" ca="1" si="33"/>
        <v>0</v>
      </c>
      <c r="BB32" s="154">
        <f t="shared" ca="1" si="34"/>
        <v>0</v>
      </c>
      <c r="BC32" s="154">
        <f t="shared" ca="1" si="35"/>
        <v>0</v>
      </c>
      <c r="BD32" s="154">
        <f t="shared" ca="1" si="36"/>
        <v>0</v>
      </c>
      <c r="BE32" s="154">
        <f t="shared" ca="1" si="37"/>
        <v>0</v>
      </c>
      <c r="BF32" s="154">
        <f t="shared" ca="1" si="38"/>
        <v>0</v>
      </c>
      <c r="BG32" s="154">
        <f t="shared" ca="1" si="39"/>
        <v>0</v>
      </c>
      <c r="BH32" s="154">
        <f t="shared" ca="1" si="40"/>
        <v>0</v>
      </c>
      <c r="BI32" s="154">
        <f t="shared" ca="1" si="41"/>
        <v>0</v>
      </c>
      <c r="BJ32" s="154">
        <f t="shared" ca="1" si="42"/>
        <v>0</v>
      </c>
      <c r="BK32" s="154">
        <f t="shared" ca="1" si="43"/>
        <v>0</v>
      </c>
      <c r="BL32" s="154">
        <f t="shared" ca="1" si="44"/>
        <v>0</v>
      </c>
      <c r="BM32" s="154">
        <f t="shared" ca="1" si="45"/>
        <v>0</v>
      </c>
      <c r="BN32" s="154">
        <f t="shared" ca="1" si="46"/>
        <v>0</v>
      </c>
      <c r="BO32" s="154">
        <f t="shared" ca="1" si="47"/>
        <v>0</v>
      </c>
      <c r="BP32" s="154">
        <f t="shared" ca="1" si="48"/>
        <v>0</v>
      </c>
      <c r="BQ32" s="154">
        <f t="shared" ca="1" si="49"/>
        <v>0</v>
      </c>
      <c r="BR32" s="154">
        <f t="shared" ca="1" si="50"/>
        <v>0</v>
      </c>
      <c r="BS32" s="154">
        <f t="shared" ca="1" si="51"/>
        <v>0</v>
      </c>
      <c r="BT32" s="154">
        <f t="shared" ca="1" si="52"/>
        <v>0</v>
      </c>
      <c r="BU32" s="154">
        <f t="shared" ca="1" si="53"/>
        <v>0</v>
      </c>
      <c r="BV32" s="154">
        <f t="shared" ca="1" si="54"/>
        <v>0</v>
      </c>
      <c r="BW32" s="154">
        <f t="shared" ca="1" si="55"/>
        <v>0</v>
      </c>
      <c r="BX32" s="154">
        <f t="shared" ca="1" si="56"/>
        <v>0</v>
      </c>
      <c r="BY32" s="154">
        <f t="shared" ca="1" si="57"/>
        <v>0</v>
      </c>
      <c r="BZ32" s="154">
        <f t="shared" ca="1" si="98"/>
        <v>0</v>
      </c>
      <c r="CA32" s="154">
        <f t="shared" ca="1" si="99"/>
        <v>0</v>
      </c>
      <c r="CB32" s="154">
        <f t="shared" ca="1" si="100"/>
        <v>0</v>
      </c>
      <c r="CC32" s="523"/>
      <c r="CD32" s="355">
        <f t="shared" si="60"/>
        <v>61</v>
      </c>
      <c r="CE32" s="268" t="str">
        <f t="shared" ca="1" si="81"/>
        <v>E</v>
      </c>
      <c r="CF32" s="355" t="str">
        <f ca="1">IF(EXACT($B32,""),$CF31,CONCATENATE($CF31,$A32))</f>
        <v/>
      </c>
      <c r="CG32" s="268"/>
      <c r="CH32" s="268"/>
      <c r="CI32" s="269">
        <f t="shared" ca="1" si="61"/>
        <v>0</v>
      </c>
      <c r="CJ32" s="269">
        <f t="shared" ca="1" si="62"/>
        <v>0</v>
      </c>
      <c r="CK32" s="269"/>
      <c r="CL32" s="269"/>
      <c r="CM32" s="268">
        <f t="shared" ca="1" si="82"/>
        <v>0</v>
      </c>
      <c r="CN32" s="269">
        <f t="shared" ca="1" si="83"/>
        <v>0</v>
      </c>
      <c r="CO32" s="268" t="str">
        <f ca="1">CHAR(CODE(VLOOKUP($A32,TL_KPF_WERTE,6,FALSE))+$CN32)</f>
        <v>E</v>
      </c>
      <c r="CP32" s="269" t="b">
        <f t="shared" ca="1" si="64"/>
        <v>1</v>
      </c>
      <c r="CQ32" s="269">
        <f t="shared" si="65"/>
        <v>0</v>
      </c>
      <c r="CR32" s="269">
        <f t="shared" si="66"/>
        <v>0</v>
      </c>
      <c r="CS32" s="269">
        <f t="shared" ca="1" si="67"/>
        <v>0</v>
      </c>
      <c r="CT32" s="302" t="str">
        <f t="shared" ca="1" si="84"/>
        <v>0</v>
      </c>
      <c r="CU32" s="269">
        <f t="shared" ca="1" si="68"/>
        <v>0</v>
      </c>
      <c r="CV32" s="268"/>
      <c r="CW32" s="269">
        <f t="shared" ca="1" si="69"/>
        <v>0</v>
      </c>
      <c r="CX32" s="301">
        <f t="shared" ca="1" si="70"/>
        <v>0</v>
      </c>
      <c r="CY32" s="301">
        <f t="shared" ca="1" si="85"/>
        <v>0</v>
      </c>
      <c r="CZ32" s="301">
        <f t="shared" ca="1" si="71"/>
        <v>0</v>
      </c>
      <c r="DA32" s="301">
        <f t="shared" ca="1" si="86"/>
        <v>0</v>
      </c>
      <c r="DB32" t="str">
        <f ca="1">IF(AND(EXACT($C32,""),ISBLANK($I32)),"",IF(SUM($P32,$Q32)&lt;SUM(AT,PA,$B32,$G32,$I32),"noch TaP zu verteilen! ►",IF($P32&lt;AT,"Immer diese Pazifisten",IF($P32&gt;SUM(AT,$B32,$G32,$I32),"Ach, pfeif drauf! ATTACKE!",""))))</f>
        <v/>
      </c>
      <c r="DC32" s="301" t="str">
        <f ca="1">IF($O32="","",IF($O32&gt;MAX(GE,KK)+3-CJ32*2," TaW&gt; Max(GE;KK)+"&amp;3-CJ32*2,""))</f>
        <v/>
      </c>
      <c r="DD32" s="1337" t="str">
        <f t="shared" ca="1" si="87"/>
        <v/>
      </c>
      <c r="DE32" s="1337" t="str">
        <f t="shared" ca="1" si="88"/>
        <v/>
      </c>
      <c r="DG32" s="269"/>
      <c r="DH32" s="269"/>
      <c r="DI32" s="269" t="str">
        <f ca="1">IF(NOT(ISERR(FIND(A32,Abfragen!$O$264,1))),MID(Abfragen!$O$264,FIND("(",Abfragen!$O$264,FIND(A32,Abfragen!$O$264,1)+LEN(A32))+1,FIND(")",Abfragen!$O$264,FIND(A32,Abfragen!$O$264,1)+LEN(A32))-FIND("(",Abfragen!$O$264,FIND(A32,Abfragen!$O$264,1)+LEN(A32))-1),"")</f>
        <v/>
      </c>
      <c r="DJ32" s="301" t="str">
        <f t="shared" ca="1" si="92"/>
        <v>E</v>
      </c>
      <c r="DK32" s="301" t="str">
        <f t="shared" ca="1" si="92"/>
        <v>E</v>
      </c>
      <c r="DL32" s="301" t="str">
        <f t="shared" ca="1" si="92"/>
        <v>E</v>
      </c>
      <c r="DM32" s="301" t="str">
        <f t="shared" ca="1" si="92"/>
        <v>E</v>
      </c>
      <c r="DN32" s="301" t="str">
        <f t="shared" ca="1" si="92"/>
        <v>E</v>
      </c>
      <c r="DO32" s="301" t="str">
        <f t="shared" ca="1" si="92"/>
        <v>E</v>
      </c>
      <c r="DP32" s="301" t="str">
        <f t="shared" ca="1" si="92"/>
        <v>E</v>
      </c>
      <c r="DQ32" s="301" t="str">
        <f t="shared" ca="1" si="92"/>
        <v>E</v>
      </c>
      <c r="DR32" s="301" t="str">
        <f t="shared" ca="1" si="92"/>
        <v>E</v>
      </c>
      <c r="DS32" s="301" t="str">
        <f t="shared" ca="1" si="92"/>
        <v>E</v>
      </c>
      <c r="DT32" s="301" t="str">
        <f t="shared" ca="1" si="93"/>
        <v>E</v>
      </c>
      <c r="DU32" s="301" t="str">
        <f t="shared" ca="1" si="93"/>
        <v>E</v>
      </c>
      <c r="DV32" s="301" t="str">
        <f t="shared" ca="1" si="93"/>
        <v>E</v>
      </c>
      <c r="DW32" s="301" t="str">
        <f t="shared" ca="1" si="93"/>
        <v>E</v>
      </c>
      <c r="DX32" s="301" t="str">
        <f t="shared" ca="1" si="93"/>
        <v>E</v>
      </c>
      <c r="DY32" s="301" t="str">
        <f t="shared" ca="1" si="93"/>
        <v>E</v>
      </c>
      <c r="DZ32" s="301" t="str">
        <f t="shared" ca="1" si="93"/>
        <v>E</v>
      </c>
      <c r="EA32" s="301" t="str">
        <f t="shared" ca="1" si="93"/>
        <v>E</v>
      </c>
      <c r="EB32" s="301" t="str">
        <f t="shared" ca="1" si="93"/>
        <v>E</v>
      </c>
      <c r="EC32" s="301" t="str">
        <f t="shared" ca="1" si="93"/>
        <v>E</v>
      </c>
      <c r="ED32" s="301" t="str">
        <f t="shared" ca="1" si="93"/>
        <v>E</v>
      </c>
      <c r="EE32" s="301" t="str">
        <f t="shared" ca="1" si="93"/>
        <v>E</v>
      </c>
      <c r="EF32" s="301">
        <f t="shared" si="74"/>
        <v>0</v>
      </c>
      <c r="EG32" s="301" t="str">
        <f t="shared" ca="1" si="94"/>
        <v>E</v>
      </c>
      <c r="EH32" s="301" t="str">
        <f t="shared" ca="1" si="94"/>
        <v>E</v>
      </c>
      <c r="EI32" s="301" t="str">
        <f t="shared" ca="1" si="94"/>
        <v>E</v>
      </c>
      <c r="EJ32" s="301" t="str">
        <f t="shared" ca="1" si="94"/>
        <v>E</v>
      </c>
      <c r="EK32" s="301" t="str">
        <f t="shared" ca="1" si="94"/>
        <v>E</v>
      </c>
      <c r="EL32" s="301" t="str">
        <f t="shared" ca="1" si="94"/>
        <v>E</v>
      </c>
      <c r="EM32" s="301" t="str">
        <f t="shared" ca="1" si="94"/>
        <v>E</v>
      </c>
      <c r="EN32" s="301" t="str">
        <f t="shared" ca="1" si="94"/>
        <v>E</v>
      </c>
      <c r="EO32" s="301" t="str">
        <f t="shared" ca="1" si="94"/>
        <v>E</v>
      </c>
      <c r="EP32" s="301" t="str">
        <f t="shared" ca="1" si="94"/>
        <v>E</v>
      </c>
      <c r="EQ32" s="301" t="str">
        <f t="shared" ca="1" si="95"/>
        <v>E</v>
      </c>
      <c r="ER32" s="301" t="str">
        <f t="shared" ca="1" si="95"/>
        <v>E</v>
      </c>
      <c r="ES32" s="301" t="str">
        <f t="shared" ca="1" si="95"/>
        <v>E</v>
      </c>
      <c r="ET32" s="301" t="str">
        <f t="shared" ca="1" si="95"/>
        <v>E</v>
      </c>
      <c r="EU32" s="301" t="str">
        <f t="shared" ca="1" si="95"/>
        <v>E</v>
      </c>
      <c r="EV32" s="301" t="str">
        <f t="shared" ca="1" si="95"/>
        <v>E</v>
      </c>
      <c r="EW32" s="301" t="str">
        <f t="shared" ca="1" si="95"/>
        <v>E</v>
      </c>
      <c r="EX32" s="301" t="str">
        <f t="shared" ca="1" si="95"/>
        <v>E</v>
      </c>
      <c r="EY32" s="301" t="str">
        <f t="shared" ca="1" si="95"/>
        <v>E</v>
      </c>
      <c r="EZ32" s="301" t="str">
        <f t="shared" ca="1" si="95"/>
        <v>E</v>
      </c>
      <c r="FA32" s="301" t="str">
        <f t="shared" ca="1" si="96"/>
        <v>E</v>
      </c>
      <c r="FB32" s="301" t="str">
        <f t="shared" ca="1" si="96"/>
        <v>E</v>
      </c>
      <c r="FC32" s="301" t="str">
        <f t="shared" ca="1" si="96"/>
        <v>E</v>
      </c>
      <c r="FD32" s="301" t="str">
        <f t="shared" ca="1" si="96"/>
        <v>E</v>
      </c>
      <c r="FE32" s="301" t="str">
        <f t="shared" ca="1" si="96"/>
        <v>E</v>
      </c>
      <c r="FF32" s="301" t="str">
        <f t="shared" ca="1" si="96"/>
        <v>E</v>
      </c>
      <c r="FG32" s="301" t="str">
        <f t="shared" ca="1" si="96"/>
        <v>E</v>
      </c>
      <c r="FH32" s="301" t="str">
        <f t="shared" ca="1" si="96"/>
        <v>E</v>
      </c>
      <c r="FI32" s="301" t="str">
        <f t="shared" ca="1" si="96"/>
        <v>E</v>
      </c>
      <c r="FJ32" s="301" t="str">
        <f t="shared" ca="1" si="96"/>
        <v>E</v>
      </c>
      <c r="FK32" s="301" t="str">
        <f t="shared" ca="1" si="96"/>
        <v>E</v>
      </c>
      <c r="FL32" s="301" t="str">
        <f t="shared" ca="1" si="96"/>
        <v>E</v>
      </c>
    </row>
    <row r="33" spans="1:168" x14ac:dyDescent="0.2">
      <c r="A33" s="24" t="str">
        <f t="shared" si="78"/>
        <v>Speere</v>
      </c>
      <c r="B33" s="317" t="str">
        <f t="shared" ca="1" si="0"/>
        <v/>
      </c>
      <c r="C33" s="332" t="str">
        <f ca="1">IF(OR(NOT(ISBLANK(D33)),NOT(ISBLANK(HLOOKUP(RASSEGENE,RASSE,$CD33,FALSE))),
NOT(ISBLANK(HLOOKUP(KULTURGENE,KULTUR,$CD33,FALSE))),
NOT(OR(ISBLANK(HLOOKUP(PROFGENE,INDIRECT(PROFGEBIET),$CD33,FALSE)),$CS33="N",$CS33="M")),
IF(PROFZWEITE="",FALSE,NOT(ISBLANK(HLOOKUP(PROFZWEITE,INDIRECT(PROFGEBIET2),$CD33,FALSE))))),"x","")</f>
        <v/>
      </c>
      <c r="D33" s="1110"/>
      <c r="E33" s="1424"/>
      <c r="F33" s="325"/>
      <c r="G33" s="958"/>
      <c r="H33" s="1196"/>
      <c r="I33" s="326"/>
      <c r="J33" s="1880" t="str">
        <f t="shared" ca="1" si="79"/>
        <v/>
      </c>
      <c r="K33" s="1881"/>
      <c r="L33" s="1881"/>
      <c r="M33" s="1881"/>
      <c r="N33" s="1882"/>
      <c r="O33" s="613" t="str">
        <f t="shared" ca="1" si="2"/>
        <v/>
      </c>
      <c r="P33" s="640"/>
      <c r="Q33" s="637" t="str">
        <f>IF(ISBLANK($P33),"",SUM(AT,PA,$B33,$G33,$I33)-$P33)</f>
        <v/>
      </c>
      <c r="R33" s="1313"/>
      <c r="S33" s="1313"/>
      <c r="T33" s="1315"/>
      <c r="U33" s="1283"/>
      <c r="V33" s="628" t="str">
        <f t="shared" ca="1" si="97"/>
        <v/>
      </c>
      <c r="W33" s="164">
        <f t="shared" ca="1" si="4"/>
        <v>0</v>
      </c>
      <c r="X33" s="164">
        <f t="shared" ca="1" si="5"/>
        <v>0</v>
      </c>
      <c r="Y33" s="164">
        <f t="shared" ca="1" si="6"/>
        <v>0</v>
      </c>
      <c r="Z33" s="164">
        <f t="shared" ca="1" si="7"/>
        <v>0</v>
      </c>
      <c r="AA33" s="164">
        <f t="shared" ca="1" si="8"/>
        <v>0</v>
      </c>
      <c r="AB33" s="164">
        <f t="shared" ca="1" si="9"/>
        <v>0</v>
      </c>
      <c r="AC33" s="164">
        <f t="shared" ca="1" si="10"/>
        <v>0</v>
      </c>
      <c r="AD33" s="164">
        <f t="shared" ca="1" si="11"/>
        <v>0</v>
      </c>
      <c r="AE33" s="164">
        <f t="shared" ca="1" si="12"/>
        <v>0</v>
      </c>
      <c r="AF33" s="164">
        <f t="shared" ca="1" si="13"/>
        <v>0</v>
      </c>
      <c r="AG33" s="164">
        <f t="shared" ca="1" si="14"/>
        <v>0</v>
      </c>
      <c r="AH33" s="164">
        <f t="shared" ca="1" si="15"/>
        <v>0</v>
      </c>
      <c r="AI33" s="164">
        <f t="shared" ca="1" si="16"/>
        <v>0</v>
      </c>
      <c r="AJ33" s="164">
        <f t="shared" ca="1" si="17"/>
        <v>0</v>
      </c>
      <c r="AK33" s="164">
        <f t="shared" ca="1" si="18"/>
        <v>0</v>
      </c>
      <c r="AL33" s="164">
        <f t="shared" ca="1" si="19"/>
        <v>0</v>
      </c>
      <c r="AM33" s="164">
        <f t="shared" ca="1" si="20"/>
        <v>0</v>
      </c>
      <c r="AN33" s="164">
        <f t="shared" ca="1" si="21"/>
        <v>0</v>
      </c>
      <c r="AO33" s="164">
        <f t="shared" ca="1" si="22"/>
        <v>0</v>
      </c>
      <c r="AP33" s="164">
        <f t="shared" ca="1" si="23"/>
        <v>0</v>
      </c>
      <c r="AQ33" s="164">
        <f t="shared" ca="1" si="24"/>
        <v>0</v>
      </c>
      <c r="AR33" s="164">
        <f t="shared" ca="1" si="25"/>
        <v>0</v>
      </c>
      <c r="AS33" s="152"/>
      <c r="AT33" s="154">
        <f t="shared" ca="1" si="26"/>
        <v>0</v>
      </c>
      <c r="AU33" s="154">
        <f t="shared" ca="1" si="27"/>
        <v>0</v>
      </c>
      <c r="AV33" s="154">
        <f t="shared" ca="1" si="28"/>
        <v>0</v>
      </c>
      <c r="AW33" s="154">
        <f t="shared" ca="1" si="29"/>
        <v>0</v>
      </c>
      <c r="AX33" s="154">
        <f t="shared" ca="1" si="30"/>
        <v>0</v>
      </c>
      <c r="AY33" s="154">
        <f t="shared" ca="1" si="31"/>
        <v>0</v>
      </c>
      <c r="AZ33" s="154">
        <f t="shared" ca="1" si="32"/>
        <v>0</v>
      </c>
      <c r="BA33" s="154">
        <f t="shared" ca="1" si="33"/>
        <v>0</v>
      </c>
      <c r="BB33" s="154">
        <f t="shared" ca="1" si="34"/>
        <v>0</v>
      </c>
      <c r="BC33" s="154">
        <f t="shared" ca="1" si="35"/>
        <v>0</v>
      </c>
      <c r="BD33" s="154">
        <f t="shared" ca="1" si="36"/>
        <v>0</v>
      </c>
      <c r="BE33" s="154">
        <f t="shared" ca="1" si="37"/>
        <v>0</v>
      </c>
      <c r="BF33" s="154">
        <f t="shared" ca="1" si="38"/>
        <v>0</v>
      </c>
      <c r="BG33" s="154">
        <f t="shared" ca="1" si="39"/>
        <v>0</v>
      </c>
      <c r="BH33" s="154">
        <f t="shared" ca="1" si="40"/>
        <v>0</v>
      </c>
      <c r="BI33" s="154">
        <f t="shared" ca="1" si="41"/>
        <v>0</v>
      </c>
      <c r="BJ33" s="154">
        <f t="shared" ca="1" si="42"/>
        <v>0</v>
      </c>
      <c r="BK33" s="154">
        <f t="shared" ca="1" si="43"/>
        <v>0</v>
      </c>
      <c r="BL33" s="154">
        <f t="shared" ca="1" si="44"/>
        <v>0</v>
      </c>
      <c r="BM33" s="154">
        <f t="shared" ca="1" si="45"/>
        <v>0</v>
      </c>
      <c r="BN33" s="154">
        <f t="shared" ca="1" si="46"/>
        <v>0</v>
      </c>
      <c r="BO33" s="154">
        <f t="shared" ca="1" si="47"/>
        <v>0</v>
      </c>
      <c r="BP33" s="154">
        <f t="shared" ca="1" si="48"/>
        <v>0</v>
      </c>
      <c r="BQ33" s="154">
        <f t="shared" ca="1" si="49"/>
        <v>0</v>
      </c>
      <c r="BR33" s="154">
        <f t="shared" ca="1" si="50"/>
        <v>0</v>
      </c>
      <c r="BS33" s="154">
        <f t="shared" ca="1" si="51"/>
        <v>0</v>
      </c>
      <c r="BT33" s="154">
        <f t="shared" ca="1" si="52"/>
        <v>0</v>
      </c>
      <c r="BU33" s="154">
        <f t="shared" ca="1" si="53"/>
        <v>0</v>
      </c>
      <c r="BV33" s="154">
        <f t="shared" ca="1" si="54"/>
        <v>0</v>
      </c>
      <c r="BW33" s="154">
        <f t="shared" ca="1" si="55"/>
        <v>0</v>
      </c>
      <c r="BX33" s="154">
        <f t="shared" ca="1" si="56"/>
        <v>0</v>
      </c>
      <c r="BY33" s="154">
        <f t="shared" ca="1" si="57"/>
        <v>0</v>
      </c>
      <c r="BZ33" s="154">
        <f t="shared" ca="1" si="98"/>
        <v>0</v>
      </c>
      <c r="CA33" s="154">
        <f t="shared" ca="1" si="99"/>
        <v>0</v>
      </c>
      <c r="CB33" s="154">
        <f t="shared" ca="1" si="100"/>
        <v>0</v>
      </c>
      <c r="CC33" s="523"/>
      <c r="CD33" s="355">
        <f t="shared" si="60"/>
        <v>62</v>
      </c>
      <c r="CE33" s="268" t="str">
        <f t="shared" ca="1" si="81"/>
        <v>D</v>
      </c>
      <c r="CF33" s="355" t="str">
        <f ca="1">IF(EXACT($B33,""),$CF32,CONCATENATE($CF32,$A33))</f>
        <v/>
      </c>
      <c r="CG33" s="268"/>
      <c r="CH33" s="268"/>
      <c r="CI33" s="269">
        <f t="shared" ca="1" si="61"/>
        <v>0</v>
      </c>
      <c r="CJ33" s="269">
        <f t="shared" ca="1" si="62"/>
        <v>0</v>
      </c>
      <c r="CK33" s="269"/>
      <c r="CL33" s="269"/>
      <c r="CM33" s="268">
        <f t="shared" ca="1" si="82"/>
        <v>0</v>
      </c>
      <c r="CN33" s="269">
        <f t="shared" ca="1" si="83"/>
        <v>0</v>
      </c>
      <c r="CO33" s="268" t="str">
        <f ca="1">CHAR(CODE(VLOOKUP($A33,TL_KPF_WERTE,6,FALSE))+$CN33)</f>
        <v>D</v>
      </c>
      <c r="CP33" s="269" t="b">
        <f t="shared" ca="1" si="64"/>
        <v>1</v>
      </c>
      <c r="CQ33" s="269">
        <f t="shared" si="65"/>
        <v>0</v>
      </c>
      <c r="CR33" s="269">
        <f t="shared" si="66"/>
        <v>0</v>
      </c>
      <c r="CS33" s="269">
        <f t="shared" ca="1" si="67"/>
        <v>0</v>
      </c>
      <c r="CT33" s="302" t="str">
        <f t="shared" ca="1" si="84"/>
        <v>0</v>
      </c>
      <c r="CU33" s="269">
        <f t="shared" ca="1" si="68"/>
        <v>0</v>
      </c>
      <c r="CV33" s="268"/>
      <c r="CW33" s="269">
        <f t="shared" ca="1" si="69"/>
        <v>0</v>
      </c>
      <c r="CX33" s="301">
        <f t="shared" ca="1" si="70"/>
        <v>0</v>
      </c>
      <c r="CY33" s="301">
        <f t="shared" ca="1" si="85"/>
        <v>0</v>
      </c>
      <c r="CZ33" s="301">
        <f t="shared" ca="1" si="71"/>
        <v>0</v>
      </c>
      <c r="DA33" s="301">
        <f t="shared" ca="1" si="86"/>
        <v>0</v>
      </c>
      <c r="DB33" t="str">
        <f ca="1">IF(AND(EXACT($C33,""),ISBLANK($I33)),"",IF(SUM($P33,$Q33)&lt;SUM(AT,PA,$B33,$G33,$I33),"noch TaP zu verteilen! ►",IF($P33&lt;AT,"Immer diese Pazifisten",IF($P33&gt;SUM(AT,$B33,$G33,$I33),"Ach, pfeif drauf! ATTACKE!",""))))</f>
        <v/>
      </c>
      <c r="DC33" s="301" t="str">
        <f ca="1">IF($O33="","",IF($O33&gt;MAX(GE,KK)+3-CJ33*2," TaW&gt; Max(GE;KK)+"&amp;3-CJ33*2,""))</f>
        <v/>
      </c>
      <c r="DD33" s="1337" t="str">
        <f t="shared" ca="1" si="87"/>
        <v/>
      </c>
      <c r="DE33" s="1337" t="str">
        <f t="shared" ca="1" si="88"/>
        <v/>
      </c>
      <c r="DG33" s="269"/>
      <c r="DH33" s="269"/>
      <c r="DI33" s="269" t="str">
        <f ca="1">IF(NOT(ISERR(FIND(A33,Abfragen!$O$264,1))),MID(Abfragen!$O$264,FIND("(",Abfragen!$O$264,FIND(A33,Abfragen!$O$264,1)+LEN(A33))+1,FIND(")",Abfragen!$O$264,FIND(A33,Abfragen!$O$264,1)+LEN(A33))-FIND("(",Abfragen!$O$264,FIND(A33,Abfragen!$O$264,1)+LEN(A33))-1),"")</f>
        <v/>
      </c>
      <c r="DJ33" s="301" t="str">
        <f t="shared" ca="1" si="92"/>
        <v>D</v>
      </c>
      <c r="DK33" s="301" t="str">
        <f t="shared" ca="1" si="92"/>
        <v>D</v>
      </c>
      <c r="DL33" s="301" t="str">
        <f t="shared" ca="1" si="92"/>
        <v>D</v>
      </c>
      <c r="DM33" s="301" t="str">
        <f t="shared" ca="1" si="92"/>
        <v>D</v>
      </c>
      <c r="DN33" s="301" t="str">
        <f t="shared" ca="1" si="92"/>
        <v>D</v>
      </c>
      <c r="DO33" s="301" t="str">
        <f t="shared" ca="1" si="92"/>
        <v>D</v>
      </c>
      <c r="DP33" s="301" t="str">
        <f t="shared" ca="1" si="92"/>
        <v>D</v>
      </c>
      <c r="DQ33" s="301" t="str">
        <f t="shared" ca="1" si="92"/>
        <v>D</v>
      </c>
      <c r="DR33" s="301" t="str">
        <f t="shared" ca="1" si="92"/>
        <v>D</v>
      </c>
      <c r="DS33" s="301" t="str">
        <f t="shared" ca="1" si="92"/>
        <v>D</v>
      </c>
      <c r="DT33" s="301" t="str">
        <f t="shared" ca="1" si="93"/>
        <v>D</v>
      </c>
      <c r="DU33" s="301" t="str">
        <f t="shared" ca="1" si="93"/>
        <v>D</v>
      </c>
      <c r="DV33" s="301" t="str">
        <f t="shared" ca="1" si="93"/>
        <v>D</v>
      </c>
      <c r="DW33" s="301" t="str">
        <f t="shared" ca="1" si="93"/>
        <v>D</v>
      </c>
      <c r="DX33" s="301" t="str">
        <f t="shared" ca="1" si="93"/>
        <v>D</v>
      </c>
      <c r="DY33" s="301" t="str">
        <f t="shared" ca="1" si="93"/>
        <v>D</v>
      </c>
      <c r="DZ33" s="301" t="str">
        <f t="shared" ca="1" si="93"/>
        <v>D</v>
      </c>
      <c r="EA33" s="301" t="str">
        <f t="shared" ca="1" si="93"/>
        <v>D</v>
      </c>
      <c r="EB33" s="301" t="str">
        <f t="shared" ca="1" si="93"/>
        <v>D</v>
      </c>
      <c r="EC33" s="301" t="str">
        <f t="shared" ca="1" si="93"/>
        <v>D</v>
      </c>
      <c r="ED33" s="301" t="str">
        <f t="shared" ca="1" si="93"/>
        <v>D</v>
      </c>
      <c r="EE33" s="301" t="str">
        <f t="shared" ca="1" si="93"/>
        <v>D</v>
      </c>
      <c r="EF33" s="301">
        <f t="shared" si="74"/>
        <v>0</v>
      </c>
      <c r="EG33" s="301" t="str">
        <f t="shared" ca="1" si="94"/>
        <v>D</v>
      </c>
      <c r="EH33" s="301" t="str">
        <f t="shared" ca="1" si="94"/>
        <v>D</v>
      </c>
      <c r="EI33" s="301" t="str">
        <f t="shared" ca="1" si="94"/>
        <v>D</v>
      </c>
      <c r="EJ33" s="301" t="str">
        <f t="shared" ca="1" si="94"/>
        <v>D</v>
      </c>
      <c r="EK33" s="301" t="str">
        <f t="shared" ca="1" si="94"/>
        <v>D</v>
      </c>
      <c r="EL33" s="301" t="str">
        <f t="shared" ca="1" si="94"/>
        <v>D</v>
      </c>
      <c r="EM33" s="301" t="str">
        <f t="shared" ca="1" si="94"/>
        <v>D</v>
      </c>
      <c r="EN33" s="301" t="str">
        <f t="shared" ca="1" si="94"/>
        <v>D</v>
      </c>
      <c r="EO33" s="301" t="str">
        <f t="shared" ca="1" si="94"/>
        <v>D</v>
      </c>
      <c r="EP33" s="301" t="str">
        <f t="shared" ca="1" si="94"/>
        <v>D</v>
      </c>
      <c r="EQ33" s="301" t="str">
        <f t="shared" ca="1" si="95"/>
        <v>D</v>
      </c>
      <c r="ER33" s="301" t="str">
        <f t="shared" ca="1" si="95"/>
        <v>D</v>
      </c>
      <c r="ES33" s="301" t="str">
        <f t="shared" ca="1" si="95"/>
        <v>D</v>
      </c>
      <c r="ET33" s="301" t="str">
        <f t="shared" ca="1" si="95"/>
        <v>D</v>
      </c>
      <c r="EU33" s="301" t="str">
        <f t="shared" ca="1" si="95"/>
        <v>D</v>
      </c>
      <c r="EV33" s="301" t="str">
        <f t="shared" ca="1" si="95"/>
        <v>D</v>
      </c>
      <c r="EW33" s="301" t="str">
        <f t="shared" ca="1" si="95"/>
        <v>D</v>
      </c>
      <c r="EX33" s="301" t="str">
        <f t="shared" ca="1" si="95"/>
        <v>D</v>
      </c>
      <c r="EY33" s="301" t="str">
        <f t="shared" ca="1" si="95"/>
        <v>D</v>
      </c>
      <c r="EZ33" s="301" t="str">
        <f t="shared" ca="1" si="95"/>
        <v>D</v>
      </c>
      <c r="FA33" s="301" t="str">
        <f t="shared" ca="1" si="96"/>
        <v>D</v>
      </c>
      <c r="FB33" s="301" t="str">
        <f t="shared" ca="1" si="96"/>
        <v>D</v>
      </c>
      <c r="FC33" s="301" t="str">
        <f t="shared" ca="1" si="96"/>
        <v>D</v>
      </c>
      <c r="FD33" s="301" t="str">
        <f t="shared" ca="1" si="96"/>
        <v>D</v>
      </c>
      <c r="FE33" s="301" t="str">
        <f t="shared" ca="1" si="96"/>
        <v>D</v>
      </c>
      <c r="FF33" s="301" t="str">
        <f t="shared" ca="1" si="96"/>
        <v>D</v>
      </c>
      <c r="FG33" s="301" t="str">
        <f t="shared" ca="1" si="96"/>
        <v>D</v>
      </c>
      <c r="FH33" s="301" t="str">
        <f t="shared" ca="1" si="96"/>
        <v>D</v>
      </c>
      <c r="FI33" s="301" t="str">
        <f t="shared" ca="1" si="96"/>
        <v>D</v>
      </c>
      <c r="FJ33" s="301" t="str">
        <f t="shared" ca="1" si="96"/>
        <v>D</v>
      </c>
      <c r="FK33" s="301" t="str">
        <f t="shared" ca="1" si="96"/>
        <v>D</v>
      </c>
      <c r="FL33" s="301" t="str">
        <f t="shared" ca="1" si="96"/>
        <v>D</v>
      </c>
    </row>
    <row r="34" spans="1:168" x14ac:dyDescent="0.2">
      <c r="A34" s="24" t="str">
        <f t="shared" si="78"/>
        <v>Stäbe</v>
      </c>
      <c r="B34" s="317" t="str">
        <f t="shared" ca="1" si="0"/>
        <v/>
      </c>
      <c r="C34" s="332" t="str">
        <f ca="1">IF(OR(NOT(ISBLANK(D34)),NOT(ISBLANK(HLOOKUP(RASSEGENE,RASSE,$CD34,FALSE))),
NOT(ISBLANK(HLOOKUP(KULTURGENE,KULTUR,$CD34,FALSE))),
NOT(OR(ISBLANK(HLOOKUP(PROFGENE,INDIRECT(PROFGEBIET),$CD34,FALSE)),$CS34="N",$CS34="M")),
IF(PROFZWEITE="",FALSE,NOT(ISBLANK(HLOOKUP(PROFZWEITE,INDIRECT(PROFGEBIET2),$CD34,FALSE))))),"x","")</f>
        <v/>
      </c>
      <c r="D34" s="1110"/>
      <c r="E34" s="1424"/>
      <c r="F34" s="325"/>
      <c r="G34" s="958"/>
      <c r="H34" s="1196"/>
      <c r="I34" s="326"/>
      <c r="J34" s="1880" t="str">
        <f t="shared" ca="1" si="79"/>
        <v/>
      </c>
      <c r="K34" s="1881"/>
      <c r="L34" s="1881"/>
      <c r="M34" s="1881"/>
      <c r="N34" s="1882"/>
      <c r="O34" s="613" t="str">
        <f t="shared" ca="1" si="2"/>
        <v/>
      </c>
      <c r="P34" s="640"/>
      <c r="Q34" s="637" t="str">
        <f>IF(ISBLANK($P34),"",SUM(AT,PA,$B34,$G34,$I34)-$P34)</f>
        <v/>
      </c>
      <c r="R34" s="1313"/>
      <c r="S34" s="1313"/>
      <c r="T34" s="1315"/>
      <c r="U34" s="1283"/>
      <c r="V34" s="628" t="str">
        <f t="shared" ca="1" si="97"/>
        <v/>
      </c>
      <c r="W34" s="164">
        <f t="shared" ca="1" si="4"/>
        <v>0</v>
      </c>
      <c r="X34" s="164">
        <f t="shared" ca="1" si="5"/>
        <v>0</v>
      </c>
      <c r="Y34" s="164">
        <f t="shared" ca="1" si="6"/>
        <v>0</v>
      </c>
      <c r="Z34" s="164">
        <f t="shared" ca="1" si="7"/>
        <v>0</v>
      </c>
      <c r="AA34" s="164">
        <f t="shared" ca="1" si="8"/>
        <v>0</v>
      </c>
      <c r="AB34" s="164">
        <f t="shared" ca="1" si="9"/>
        <v>0</v>
      </c>
      <c r="AC34" s="164">
        <f t="shared" ca="1" si="10"/>
        <v>0</v>
      </c>
      <c r="AD34" s="164">
        <f t="shared" ca="1" si="11"/>
        <v>0</v>
      </c>
      <c r="AE34" s="164">
        <f t="shared" ca="1" si="12"/>
        <v>0</v>
      </c>
      <c r="AF34" s="164">
        <f t="shared" ca="1" si="13"/>
        <v>0</v>
      </c>
      <c r="AG34" s="164">
        <f t="shared" ca="1" si="14"/>
        <v>0</v>
      </c>
      <c r="AH34" s="164">
        <f t="shared" ca="1" si="15"/>
        <v>0</v>
      </c>
      <c r="AI34" s="164">
        <f t="shared" ca="1" si="16"/>
        <v>0</v>
      </c>
      <c r="AJ34" s="164">
        <f t="shared" ca="1" si="17"/>
        <v>0</v>
      </c>
      <c r="AK34" s="164">
        <f t="shared" ca="1" si="18"/>
        <v>0</v>
      </c>
      <c r="AL34" s="164">
        <f t="shared" ca="1" si="19"/>
        <v>0</v>
      </c>
      <c r="AM34" s="164">
        <f t="shared" ca="1" si="20"/>
        <v>0</v>
      </c>
      <c r="AN34" s="164">
        <f t="shared" ca="1" si="21"/>
        <v>0</v>
      </c>
      <c r="AO34" s="164">
        <f t="shared" ca="1" si="22"/>
        <v>0</v>
      </c>
      <c r="AP34" s="164">
        <f t="shared" ca="1" si="23"/>
        <v>0</v>
      </c>
      <c r="AQ34" s="164">
        <f t="shared" ca="1" si="24"/>
        <v>0</v>
      </c>
      <c r="AR34" s="164">
        <f t="shared" ca="1" si="25"/>
        <v>0</v>
      </c>
      <c r="AS34" s="152"/>
      <c r="AT34" s="154">
        <f t="shared" ca="1" si="26"/>
        <v>0</v>
      </c>
      <c r="AU34" s="154">
        <f t="shared" ca="1" si="27"/>
        <v>0</v>
      </c>
      <c r="AV34" s="154">
        <f t="shared" ca="1" si="28"/>
        <v>0</v>
      </c>
      <c r="AW34" s="154">
        <f t="shared" ca="1" si="29"/>
        <v>0</v>
      </c>
      <c r="AX34" s="154">
        <f t="shared" ca="1" si="30"/>
        <v>0</v>
      </c>
      <c r="AY34" s="154">
        <f t="shared" ca="1" si="31"/>
        <v>0</v>
      </c>
      <c r="AZ34" s="154">
        <f t="shared" ca="1" si="32"/>
        <v>0</v>
      </c>
      <c r="BA34" s="154">
        <f t="shared" ca="1" si="33"/>
        <v>0</v>
      </c>
      <c r="BB34" s="154">
        <f t="shared" ca="1" si="34"/>
        <v>0</v>
      </c>
      <c r="BC34" s="154">
        <f t="shared" ca="1" si="35"/>
        <v>0</v>
      </c>
      <c r="BD34" s="154">
        <f t="shared" ca="1" si="36"/>
        <v>0</v>
      </c>
      <c r="BE34" s="154">
        <f t="shared" ca="1" si="37"/>
        <v>0</v>
      </c>
      <c r="BF34" s="154">
        <f t="shared" ca="1" si="38"/>
        <v>0</v>
      </c>
      <c r="BG34" s="154">
        <f t="shared" ca="1" si="39"/>
        <v>0</v>
      </c>
      <c r="BH34" s="154">
        <f t="shared" ca="1" si="40"/>
        <v>0</v>
      </c>
      <c r="BI34" s="154">
        <f t="shared" ca="1" si="41"/>
        <v>0</v>
      </c>
      <c r="BJ34" s="154">
        <f t="shared" ca="1" si="42"/>
        <v>0</v>
      </c>
      <c r="BK34" s="154">
        <f t="shared" ca="1" si="43"/>
        <v>0</v>
      </c>
      <c r="BL34" s="154">
        <f t="shared" ca="1" si="44"/>
        <v>0</v>
      </c>
      <c r="BM34" s="154">
        <f t="shared" ca="1" si="45"/>
        <v>0</v>
      </c>
      <c r="BN34" s="154">
        <f t="shared" ca="1" si="46"/>
        <v>0</v>
      </c>
      <c r="BO34" s="154">
        <f t="shared" ca="1" si="47"/>
        <v>0</v>
      </c>
      <c r="BP34" s="154">
        <f t="shared" ca="1" si="48"/>
        <v>0</v>
      </c>
      <c r="BQ34" s="154">
        <f t="shared" ca="1" si="49"/>
        <v>0</v>
      </c>
      <c r="BR34" s="154">
        <f t="shared" ca="1" si="50"/>
        <v>0</v>
      </c>
      <c r="BS34" s="154">
        <f t="shared" ca="1" si="51"/>
        <v>0</v>
      </c>
      <c r="BT34" s="154">
        <f t="shared" ca="1" si="52"/>
        <v>0</v>
      </c>
      <c r="BU34" s="154">
        <f t="shared" ca="1" si="53"/>
        <v>0</v>
      </c>
      <c r="BV34" s="154">
        <f t="shared" ca="1" si="54"/>
        <v>0</v>
      </c>
      <c r="BW34" s="154">
        <f t="shared" ca="1" si="55"/>
        <v>0</v>
      </c>
      <c r="BX34" s="154">
        <f t="shared" ca="1" si="56"/>
        <v>0</v>
      </c>
      <c r="BY34" s="154">
        <f t="shared" ca="1" si="57"/>
        <v>0</v>
      </c>
      <c r="BZ34" s="154">
        <f t="shared" ca="1" si="98"/>
        <v>0</v>
      </c>
      <c r="CA34" s="154">
        <f t="shared" ca="1" si="99"/>
        <v>0</v>
      </c>
      <c r="CB34" s="154">
        <f t="shared" ca="1" si="100"/>
        <v>0</v>
      </c>
      <c r="CC34" s="523"/>
      <c r="CD34" s="355">
        <f t="shared" si="60"/>
        <v>63</v>
      </c>
      <c r="CE34" s="268" t="str">
        <f t="shared" ca="1" si="81"/>
        <v>D</v>
      </c>
      <c r="CF34" s="355" t="str">
        <f ca="1">IF(EXACT($B34,""),$CF33,CONCATENATE($CF33,$A34))</f>
        <v/>
      </c>
      <c r="CG34" s="268"/>
      <c r="CH34" s="268"/>
      <c r="CI34" s="269">
        <f t="shared" ca="1" si="61"/>
        <v>0</v>
      </c>
      <c r="CJ34" s="269">
        <f t="shared" ca="1" si="62"/>
        <v>0</v>
      </c>
      <c r="CK34" s="269"/>
      <c r="CL34" s="269"/>
      <c r="CM34" s="268">
        <f t="shared" ca="1" si="82"/>
        <v>0</v>
      </c>
      <c r="CN34" s="269">
        <f t="shared" ca="1" si="83"/>
        <v>0</v>
      </c>
      <c r="CO34" s="268" t="str">
        <f ca="1">CHAR(CODE(VLOOKUP($A34,TL_KPF_WERTE,6,FALSE))+$CN34)</f>
        <v>D</v>
      </c>
      <c r="CP34" s="269" t="b">
        <f t="shared" ca="1" si="64"/>
        <v>1</v>
      </c>
      <c r="CQ34" s="269">
        <f t="shared" si="65"/>
        <v>0</v>
      </c>
      <c r="CR34" s="269">
        <f t="shared" si="66"/>
        <v>0</v>
      </c>
      <c r="CS34" s="269">
        <f t="shared" ca="1" si="67"/>
        <v>0</v>
      </c>
      <c r="CT34" s="302" t="str">
        <f t="shared" ca="1" si="84"/>
        <v>0</v>
      </c>
      <c r="CU34" s="269">
        <f t="shared" ca="1" si="68"/>
        <v>0</v>
      </c>
      <c r="CV34" s="268"/>
      <c r="CW34" s="269">
        <f t="shared" ca="1" si="69"/>
        <v>0</v>
      </c>
      <c r="CX34" s="301">
        <f t="shared" ca="1" si="70"/>
        <v>0</v>
      </c>
      <c r="CY34" s="301">
        <f t="shared" ca="1" si="85"/>
        <v>0</v>
      </c>
      <c r="CZ34" s="301">
        <f t="shared" ca="1" si="71"/>
        <v>0</v>
      </c>
      <c r="DA34" s="301">
        <f t="shared" ca="1" si="86"/>
        <v>0</v>
      </c>
      <c r="DB34" t="str">
        <f ca="1">IF(AND(EXACT($C34,""),ISBLANK($I34)),"",IF(SUM($P34,$Q34)&lt;SUM(AT,PA,$B34,$G34,$I34),"noch TaP zu verteilen! ►",IF($P34&lt;AT,"Immer diese Pazifisten",IF($P34&gt;SUM(AT,$B34,$G34,$I34),"Ach, pfeif drauf! ATTACKE!",""))))</f>
        <v/>
      </c>
      <c r="DC34" s="301" t="str">
        <f ca="1">IF($O34="","",IF($O34&gt;MAX(GE,KK)+3-CJ34*2," TaW&gt; Max(GE;KK)+"&amp;3-CJ34*2,""))</f>
        <v/>
      </c>
      <c r="DD34" s="1337" t="str">
        <f t="shared" ca="1" si="87"/>
        <v/>
      </c>
      <c r="DE34" s="1337" t="str">
        <f t="shared" ca="1" si="88"/>
        <v/>
      </c>
      <c r="DG34" s="269"/>
      <c r="DH34" s="269"/>
      <c r="DI34" s="269" t="str">
        <f ca="1">IF(NOT(ISERR(FIND(A34,Abfragen!$O$264,1))),MID(Abfragen!$O$264,FIND("(",Abfragen!$O$264,FIND(A34,Abfragen!$O$264,1)+LEN(A34))+1,FIND(")",Abfragen!$O$264,FIND(A34,Abfragen!$O$264,1)+LEN(A34))-FIND("(",Abfragen!$O$264,FIND(A34,Abfragen!$O$264,1)+LEN(A34))-1),"")</f>
        <v/>
      </c>
      <c r="DJ34" s="301" t="str">
        <f t="shared" ref="DJ34:DS40" ca="1" si="101">IF(ISERR(FIND(";"&amp;DJ$13&amp;":0;",$F34)),
CHAR(CODE($CE34)+SUM(IF(VT_AKADKRI,IF(DJ$13&lt;$EF34+1,IF(ABS($CJ34)&gt;=2,$CJ34,-2-$CJ34),0),0),IF(AND(NT_STUBENHKR,OR(DJ$13&lt;=$E34,ISBLANK($E34))),1,0),IF(ISERR(FIND(";"&amp;DJ$13&amp;";",$F34)),0,-1),IF(ISERR(FIND(";"&amp;DJ$13&amp;":",$F34)),0,-VALUE(MID($F34,FIND(";"&amp;DJ$13&amp;":",$F34)+LEN(DJ$13)+2,1))))),0)</f>
        <v>D</v>
      </c>
      <c r="DK34" s="301" t="str">
        <f t="shared" ca="1" si="101"/>
        <v>D</v>
      </c>
      <c r="DL34" s="301" t="str">
        <f t="shared" ca="1" si="101"/>
        <v>D</v>
      </c>
      <c r="DM34" s="301" t="str">
        <f t="shared" ca="1" si="101"/>
        <v>D</v>
      </c>
      <c r="DN34" s="301" t="str">
        <f t="shared" ca="1" si="101"/>
        <v>D</v>
      </c>
      <c r="DO34" s="301" t="str">
        <f t="shared" ca="1" si="101"/>
        <v>D</v>
      </c>
      <c r="DP34" s="301" t="str">
        <f t="shared" ca="1" si="101"/>
        <v>D</v>
      </c>
      <c r="DQ34" s="301" t="str">
        <f t="shared" ca="1" si="101"/>
        <v>D</v>
      </c>
      <c r="DR34" s="301" t="str">
        <f t="shared" ca="1" si="101"/>
        <v>D</v>
      </c>
      <c r="DS34" s="301" t="str">
        <f t="shared" ca="1" si="101"/>
        <v>D</v>
      </c>
      <c r="DT34" s="301" t="str">
        <f t="shared" ref="DT34:EE40" ca="1" si="102">IF(ISERR(FIND(";"&amp;DT$13&amp;":0;",$F34)),
CHAR(CODE($CE34)+SUM(IF(VT_AKADKRI,IF(DT$13&lt;$EF34+1,IF(ABS($CJ34)&gt;=2,$CJ34,-2-$CJ34),0),0),IF(AND(NT_STUBENHKR,OR(DT$13&lt;=$E34,ISBLANK($E34))),1,0),IF(ISERR(FIND(";"&amp;DT$13&amp;";",$F34)),0,-1),IF(ISERR(FIND(";"&amp;DT$13&amp;":",$F34)),0,-VALUE(MID($F34,FIND(";"&amp;DT$13&amp;":",$F34)+LEN(DT$13)+2,1))))),0)</f>
        <v>D</v>
      </c>
      <c r="DU34" s="301" t="str">
        <f t="shared" ca="1" si="102"/>
        <v>D</v>
      </c>
      <c r="DV34" s="301" t="str">
        <f t="shared" ca="1" si="102"/>
        <v>D</v>
      </c>
      <c r="DW34" s="301" t="str">
        <f t="shared" ca="1" si="102"/>
        <v>D</v>
      </c>
      <c r="DX34" s="301" t="str">
        <f t="shared" ca="1" si="102"/>
        <v>D</v>
      </c>
      <c r="DY34" s="301" t="str">
        <f t="shared" ca="1" si="102"/>
        <v>D</v>
      </c>
      <c r="DZ34" s="301" t="str">
        <f t="shared" ca="1" si="102"/>
        <v>D</v>
      </c>
      <c r="EA34" s="301" t="str">
        <f t="shared" ca="1" si="102"/>
        <v>D</v>
      </c>
      <c r="EB34" s="301" t="str">
        <f t="shared" ca="1" si="102"/>
        <v>D</v>
      </c>
      <c r="EC34" s="301" t="str">
        <f t="shared" ca="1" si="102"/>
        <v>D</v>
      </c>
      <c r="ED34" s="301" t="str">
        <f t="shared" ca="1" si="102"/>
        <v>D</v>
      </c>
      <c r="EE34" s="301" t="str">
        <f t="shared" ca="1" si="102"/>
        <v>D</v>
      </c>
      <c r="EF34" s="301">
        <f t="shared" si="74"/>
        <v>0</v>
      </c>
      <c r="EG34" s="301" t="str">
        <f t="shared" ref="EG34:EP40" ca="1" si="103">IF(ISERR(FIND(";"&amp;EG$13&amp;":0;",$F34)),
CHAR(CODE($CE34)+
SUM(IF(AND(NT_STUBENHKR,OR(EG$13&lt;=$E34,ISBLANK($E34))),1,0),
IF(ISERR(FIND(";"&amp;EG$13&amp;";",$F34)),0,-1),
IF(ISERR(FIND(";"&amp;EG$13&amp;":",$F34)),0,-VALUE(MID($F34,FIND(";"&amp;EG$13&amp;":",$F34)+LEN(EG$13)+2,1))),
IF(ISERR(FIND(";"&amp;EG$13&amp;"+",$F34)),0,VALUE(MID($F34,FIND(";"&amp;EG$13&amp;"+",$F34)+LEN(EG$13)+2,1))),)),0)</f>
        <v>D</v>
      </c>
      <c r="EH34" s="301" t="str">
        <f t="shared" ca="1" si="103"/>
        <v>D</v>
      </c>
      <c r="EI34" s="301" t="str">
        <f t="shared" ca="1" si="103"/>
        <v>D</v>
      </c>
      <c r="EJ34" s="301" t="str">
        <f t="shared" ca="1" si="103"/>
        <v>D</v>
      </c>
      <c r="EK34" s="301" t="str">
        <f t="shared" ca="1" si="103"/>
        <v>D</v>
      </c>
      <c r="EL34" s="301" t="str">
        <f t="shared" ca="1" si="103"/>
        <v>D</v>
      </c>
      <c r="EM34" s="301" t="str">
        <f t="shared" ca="1" si="103"/>
        <v>D</v>
      </c>
      <c r="EN34" s="301" t="str">
        <f t="shared" ca="1" si="103"/>
        <v>D</v>
      </c>
      <c r="EO34" s="301" t="str">
        <f t="shared" ca="1" si="103"/>
        <v>D</v>
      </c>
      <c r="EP34" s="301" t="str">
        <f t="shared" ca="1" si="103"/>
        <v>D</v>
      </c>
      <c r="EQ34" s="301" t="str">
        <f t="shared" ref="EQ34:EZ40" ca="1" si="104">IF(ISERR(FIND(";"&amp;EQ$13&amp;":0;",$F34)),
CHAR(CODE($CE34)+
SUM(IF(AND(NT_STUBENHKR,OR(EQ$13&lt;=$E34,ISBLANK($E34))),1,0),
IF(ISERR(FIND(";"&amp;EQ$13&amp;";",$F34)),0,-1),
IF(ISERR(FIND(";"&amp;EQ$13&amp;":",$F34)),0,-VALUE(MID($F34,FIND(";"&amp;EQ$13&amp;":",$F34)+LEN(EQ$13)+2,1))),
IF(ISERR(FIND(";"&amp;EQ$13&amp;"+",$F34)),0,VALUE(MID($F34,FIND(";"&amp;EQ$13&amp;"+",$F34)+LEN(EQ$13)+2,1))),)),0)</f>
        <v>D</v>
      </c>
      <c r="ER34" s="301" t="str">
        <f t="shared" ca="1" si="104"/>
        <v>D</v>
      </c>
      <c r="ES34" s="301" t="str">
        <f t="shared" ca="1" si="104"/>
        <v>D</v>
      </c>
      <c r="ET34" s="301" t="str">
        <f t="shared" ca="1" si="104"/>
        <v>D</v>
      </c>
      <c r="EU34" s="301" t="str">
        <f t="shared" ca="1" si="104"/>
        <v>D</v>
      </c>
      <c r="EV34" s="301" t="str">
        <f t="shared" ca="1" si="104"/>
        <v>D</v>
      </c>
      <c r="EW34" s="301" t="str">
        <f t="shared" ca="1" si="104"/>
        <v>D</v>
      </c>
      <c r="EX34" s="301" t="str">
        <f t="shared" ca="1" si="104"/>
        <v>D</v>
      </c>
      <c r="EY34" s="301" t="str">
        <f t="shared" ca="1" si="104"/>
        <v>D</v>
      </c>
      <c r="EZ34" s="301" t="str">
        <f t="shared" ca="1" si="104"/>
        <v>D</v>
      </c>
      <c r="FA34" s="301" t="str">
        <f t="shared" ref="FA34:FL40" ca="1" si="105">IF(ISERR(FIND(";"&amp;FA$13&amp;":0;",$F34)),
CHAR(CODE($CE34)+
SUM(IF(AND(NT_STUBENHKR,OR(FA$13&lt;=$E34,ISBLANK($E34))),1,0),
IF(ISERR(FIND(";"&amp;FA$13&amp;";",$F34)),0,-1),
IF(ISERR(FIND(";"&amp;FA$13&amp;":",$F34)),0,-VALUE(MID($F34,FIND(";"&amp;FA$13&amp;":",$F34)+LEN(FA$13)+2,1))),
IF(ISERR(FIND(";"&amp;FA$13&amp;"+",$F34)),0,VALUE(MID($F34,FIND(";"&amp;FA$13&amp;"+",$F34)+LEN(FA$13)+2,1))),)),0)</f>
        <v>D</v>
      </c>
      <c r="FB34" s="301" t="str">
        <f t="shared" ca="1" si="105"/>
        <v>D</v>
      </c>
      <c r="FC34" s="301" t="str">
        <f t="shared" ca="1" si="105"/>
        <v>D</v>
      </c>
      <c r="FD34" s="301" t="str">
        <f t="shared" ca="1" si="105"/>
        <v>D</v>
      </c>
      <c r="FE34" s="301" t="str">
        <f t="shared" ca="1" si="105"/>
        <v>D</v>
      </c>
      <c r="FF34" s="301" t="str">
        <f t="shared" ca="1" si="105"/>
        <v>D</v>
      </c>
      <c r="FG34" s="301" t="str">
        <f t="shared" ca="1" si="105"/>
        <v>D</v>
      </c>
      <c r="FH34" s="301" t="str">
        <f t="shared" ca="1" si="105"/>
        <v>D</v>
      </c>
      <c r="FI34" s="301" t="str">
        <f t="shared" ca="1" si="105"/>
        <v>D</v>
      </c>
      <c r="FJ34" s="301" t="str">
        <f t="shared" ca="1" si="105"/>
        <v>D</v>
      </c>
      <c r="FK34" s="301" t="str">
        <f t="shared" ca="1" si="105"/>
        <v>D</v>
      </c>
      <c r="FL34" s="301" t="str">
        <f t="shared" ca="1" si="105"/>
        <v>D</v>
      </c>
    </row>
    <row r="35" spans="1:168" x14ac:dyDescent="0.2">
      <c r="A35" s="24" t="str">
        <f t="shared" si="78"/>
        <v>Wurfbeile</v>
      </c>
      <c r="B35" s="317" t="str">
        <f t="shared" ca="1" si="0"/>
        <v/>
      </c>
      <c r="C35" s="332" t="str">
        <f ca="1">IF(OR(NOT(ISBLANK(D35)),NOT(ISBLANK(HLOOKUP(RASSEGENE,RASSE,$CD35,FALSE))),
NOT(ISBLANK(HLOOKUP(KULTURGENE,KULTUR,$CD35,FALSE))),
NOT(OR(ISBLANK(HLOOKUP(PROFGENE,INDIRECT(PROFGEBIET),$CD35,FALSE)),$CS35="N",$CS35="M")),
IF(PROFZWEITE="",FALSE,NOT(ISBLANK(HLOOKUP(PROFZWEITE,INDIRECT(PROFGEBIET2),$CD35,FALSE))))),"x","")</f>
        <v/>
      </c>
      <c r="D35" s="1110"/>
      <c r="E35" s="1424"/>
      <c r="F35" s="325"/>
      <c r="G35" s="958"/>
      <c r="H35" s="1196"/>
      <c r="I35" s="326"/>
      <c r="J35" s="1880" t="str">
        <f t="shared" ca="1" si="79"/>
        <v/>
      </c>
      <c r="K35" s="1881"/>
      <c r="L35" s="1881"/>
      <c r="M35" s="1881"/>
      <c r="N35" s="1882"/>
      <c r="O35" s="613" t="str">
        <f t="shared" ca="1" si="2"/>
        <v/>
      </c>
      <c r="P35" s="637" t="str">
        <f ca="1">IF(AND(C35="",G35="",I35=""),"",FK+B35+G35+I35)</f>
        <v/>
      </c>
      <c r="Q35" s="90"/>
      <c r="R35" s="1313"/>
      <c r="S35" s="1313"/>
      <c r="T35" s="1315"/>
      <c r="U35" s="1283"/>
      <c r="V35" s="628" t="str">
        <f t="shared" ca="1" si="97"/>
        <v/>
      </c>
      <c r="W35" s="164">
        <f t="shared" ca="1" si="4"/>
        <v>0</v>
      </c>
      <c r="X35" s="164">
        <f t="shared" ca="1" si="5"/>
        <v>0</v>
      </c>
      <c r="Y35" s="164">
        <f t="shared" ca="1" si="6"/>
        <v>0</v>
      </c>
      <c r="Z35" s="164">
        <f t="shared" ca="1" si="7"/>
        <v>0</v>
      </c>
      <c r="AA35" s="164">
        <f t="shared" ca="1" si="8"/>
        <v>0</v>
      </c>
      <c r="AB35" s="164">
        <f t="shared" ca="1" si="9"/>
        <v>0</v>
      </c>
      <c r="AC35" s="164">
        <f t="shared" ca="1" si="10"/>
        <v>0</v>
      </c>
      <c r="AD35" s="164">
        <f t="shared" ca="1" si="11"/>
        <v>0</v>
      </c>
      <c r="AE35" s="164">
        <f t="shared" ca="1" si="12"/>
        <v>0</v>
      </c>
      <c r="AF35" s="164">
        <f t="shared" ca="1" si="13"/>
        <v>0</v>
      </c>
      <c r="AG35" s="164">
        <f t="shared" ca="1" si="14"/>
        <v>0</v>
      </c>
      <c r="AH35" s="164">
        <f t="shared" ca="1" si="15"/>
        <v>0</v>
      </c>
      <c r="AI35" s="164">
        <f t="shared" ca="1" si="16"/>
        <v>0</v>
      </c>
      <c r="AJ35" s="164">
        <f t="shared" ca="1" si="17"/>
        <v>0</v>
      </c>
      <c r="AK35" s="164">
        <f t="shared" ca="1" si="18"/>
        <v>0</v>
      </c>
      <c r="AL35" s="164">
        <f t="shared" ca="1" si="19"/>
        <v>0</v>
      </c>
      <c r="AM35" s="164">
        <f t="shared" ca="1" si="20"/>
        <v>0</v>
      </c>
      <c r="AN35" s="164">
        <f t="shared" ca="1" si="21"/>
        <v>0</v>
      </c>
      <c r="AO35" s="164">
        <f t="shared" ca="1" si="22"/>
        <v>0</v>
      </c>
      <c r="AP35" s="164">
        <f t="shared" ca="1" si="23"/>
        <v>0</v>
      </c>
      <c r="AQ35" s="164">
        <f t="shared" ca="1" si="24"/>
        <v>0</v>
      </c>
      <c r="AR35" s="164">
        <f t="shared" ca="1" si="25"/>
        <v>0</v>
      </c>
      <c r="AS35" s="152"/>
      <c r="AT35" s="154">
        <f t="shared" ca="1" si="26"/>
        <v>0</v>
      </c>
      <c r="AU35" s="154">
        <f t="shared" ca="1" si="27"/>
        <v>0</v>
      </c>
      <c r="AV35" s="154">
        <f t="shared" ca="1" si="28"/>
        <v>0</v>
      </c>
      <c r="AW35" s="154">
        <f t="shared" ca="1" si="29"/>
        <v>0</v>
      </c>
      <c r="AX35" s="154">
        <f t="shared" ca="1" si="30"/>
        <v>0</v>
      </c>
      <c r="AY35" s="154">
        <f t="shared" ca="1" si="31"/>
        <v>0</v>
      </c>
      <c r="AZ35" s="154">
        <f t="shared" ca="1" si="32"/>
        <v>0</v>
      </c>
      <c r="BA35" s="154">
        <f t="shared" ca="1" si="33"/>
        <v>0</v>
      </c>
      <c r="BB35" s="154">
        <f t="shared" ca="1" si="34"/>
        <v>0</v>
      </c>
      <c r="BC35" s="154">
        <f t="shared" ca="1" si="35"/>
        <v>0</v>
      </c>
      <c r="BD35" s="154">
        <f t="shared" ca="1" si="36"/>
        <v>0</v>
      </c>
      <c r="BE35" s="154">
        <f t="shared" ca="1" si="37"/>
        <v>0</v>
      </c>
      <c r="BF35" s="154">
        <f t="shared" ca="1" si="38"/>
        <v>0</v>
      </c>
      <c r="BG35" s="154">
        <f t="shared" ca="1" si="39"/>
        <v>0</v>
      </c>
      <c r="BH35" s="154">
        <f t="shared" ca="1" si="40"/>
        <v>0</v>
      </c>
      <c r="BI35" s="154">
        <f t="shared" ca="1" si="41"/>
        <v>0</v>
      </c>
      <c r="BJ35" s="154">
        <f t="shared" ca="1" si="42"/>
        <v>0</v>
      </c>
      <c r="BK35" s="154">
        <f t="shared" ca="1" si="43"/>
        <v>0</v>
      </c>
      <c r="BL35" s="154">
        <f t="shared" ca="1" si="44"/>
        <v>0</v>
      </c>
      <c r="BM35" s="154">
        <f t="shared" ca="1" si="45"/>
        <v>0</v>
      </c>
      <c r="BN35" s="154">
        <f t="shared" ca="1" si="46"/>
        <v>0</v>
      </c>
      <c r="BO35" s="154">
        <f t="shared" ca="1" si="47"/>
        <v>0</v>
      </c>
      <c r="BP35" s="154">
        <f t="shared" ca="1" si="48"/>
        <v>0</v>
      </c>
      <c r="BQ35" s="154">
        <f t="shared" ca="1" si="49"/>
        <v>0</v>
      </c>
      <c r="BR35" s="154">
        <f t="shared" ca="1" si="50"/>
        <v>0</v>
      </c>
      <c r="BS35" s="154">
        <f t="shared" ca="1" si="51"/>
        <v>0</v>
      </c>
      <c r="BT35" s="154">
        <f t="shared" ca="1" si="52"/>
        <v>0</v>
      </c>
      <c r="BU35" s="154">
        <f t="shared" ca="1" si="53"/>
        <v>0</v>
      </c>
      <c r="BV35" s="154">
        <f t="shared" ca="1" si="54"/>
        <v>0</v>
      </c>
      <c r="BW35" s="154">
        <f t="shared" ca="1" si="55"/>
        <v>0</v>
      </c>
      <c r="BX35" s="154">
        <f t="shared" ca="1" si="56"/>
        <v>0</v>
      </c>
      <c r="BY35" s="154">
        <f t="shared" ca="1" si="57"/>
        <v>0</v>
      </c>
      <c r="BZ35" s="154">
        <f t="shared" ca="1" si="98"/>
        <v>0</v>
      </c>
      <c r="CA35" s="154">
        <f t="shared" ca="1" si="99"/>
        <v>0</v>
      </c>
      <c r="CB35" s="154">
        <f t="shared" ca="1" si="100"/>
        <v>0</v>
      </c>
      <c r="CC35" s="523"/>
      <c r="CD35" s="355">
        <f t="shared" si="60"/>
        <v>64</v>
      </c>
      <c r="CE35" s="268" t="str">
        <f t="shared" ca="1" si="81"/>
        <v>D</v>
      </c>
      <c r="CF35" s="355" t="str">
        <f ca="1">IF(EXACT($B35,""),$CF34,CONCATENATE($CF34,$A35))</f>
        <v/>
      </c>
      <c r="CG35" s="268"/>
      <c r="CH35" s="268"/>
      <c r="CI35" s="269">
        <f t="shared" ca="1" si="61"/>
        <v>0</v>
      </c>
      <c r="CJ35" s="269">
        <f t="shared" ca="1" si="62"/>
        <v>0</v>
      </c>
      <c r="CK35" s="269"/>
      <c r="CL35" s="269"/>
      <c r="CM35" s="268">
        <f t="shared" ca="1" si="82"/>
        <v>0</v>
      </c>
      <c r="CN35" s="269">
        <f t="shared" ca="1" si="83"/>
        <v>0</v>
      </c>
      <c r="CO35" s="268" t="str">
        <f ca="1">CHAR(CODE(VLOOKUP($A35,TL_KPF_WERTE,6,FALSE))+$CN35)</f>
        <v>D</v>
      </c>
      <c r="CP35" s="269" t="b">
        <f t="shared" ca="1" si="64"/>
        <v>1</v>
      </c>
      <c r="CQ35" s="269">
        <f t="shared" si="65"/>
        <v>0</v>
      </c>
      <c r="CR35" s="269">
        <f t="shared" si="66"/>
        <v>0</v>
      </c>
      <c r="CS35" s="269">
        <f t="shared" ca="1" si="67"/>
        <v>0</v>
      </c>
      <c r="CT35" s="302" t="str">
        <f t="shared" ca="1" si="84"/>
        <v>0</v>
      </c>
      <c r="CU35" s="269">
        <f t="shared" ca="1" si="68"/>
        <v>0</v>
      </c>
      <c r="CV35" s="268"/>
      <c r="CW35" s="269">
        <f t="shared" ca="1" si="69"/>
        <v>0</v>
      </c>
      <c r="CX35" s="301">
        <f t="shared" ca="1" si="70"/>
        <v>0</v>
      </c>
      <c r="CY35" s="301">
        <f t="shared" ca="1" si="85"/>
        <v>0</v>
      </c>
      <c r="CZ35" s="301">
        <f t="shared" ca="1" si="71"/>
        <v>0</v>
      </c>
      <c r="DA35" s="301">
        <f t="shared" ca="1" si="86"/>
        <v>0</v>
      </c>
      <c r="DC35" s="564" t="str">
        <f ca="1">IF($O35="","",IF($O35&gt;MAX(FF,GE,KK)+3-CJ35*2," TaW&gt; Max(FF, GE, KK) +"&amp;3-CJ35*2,""))</f>
        <v/>
      </c>
      <c r="DD35" s="1337" t="str">
        <f t="shared" ca="1" si="87"/>
        <v/>
      </c>
      <c r="DE35" s="1337" t="str">
        <f t="shared" ca="1" si="88"/>
        <v/>
      </c>
      <c r="DG35" s="269"/>
      <c r="DH35" s="269"/>
      <c r="DI35" s="269" t="str">
        <f ca="1">IF(NOT(ISERR(FIND(A35,Abfragen!$O$264,1))),MID(Abfragen!$O$264,FIND("(",Abfragen!$O$264,FIND(A35,Abfragen!$O$264,1)+LEN(A35))+1,FIND(")",Abfragen!$O$264,FIND(A35,Abfragen!$O$264,1)+LEN(A35))-FIND("(",Abfragen!$O$264,FIND(A35,Abfragen!$O$264,1)+LEN(A35))-1),"")</f>
        <v/>
      </c>
      <c r="DJ35" s="301" t="str">
        <f t="shared" ca="1" si="101"/>
        <v>D</v>
      </c>
      <c r="DK35" s="301" t="str">
        <f t="shared" ca="1" si="101"/>
        <v>D</v>
      </c>
      <c r="DL35" s="301" t="str">
        <f t="shared" ca="1" si="101"/>
        <v>D</v>
      </c>
      <c r="DM35" s="301" t="str">
        <f t="shared" ca="1" si="101"/>
        <v>D</v>
      </c>
      <c r="DN35" s="301" t="str">
        <f t="shared" ca="1" si="101"/>
        <v>D</v>
      </c>
      <c r="DO35" s="301" t="str">
        <f t="shared" ca="1" si="101"/>
        <v>D</v>
      </c>
      <c r="DP35" s="301" t="str">
        <f t="shared" ca="1" si="101"/>
        <v>D</v>
      </c>
      <c r="DQ35" s="301" t="str">
        <f t="shared" ca="1" si="101"/>
        <v>D</v>
      </c>
      <c r="DR35" s="301" t="str">
        <f t="shared" ca="1" si="101"/>
        <v>D</v>
      </c>
      <c r="DS35" s="301" t="str">
        <f t="shared" ca="1" si="101"/>
        <v>D</v>
      </c>
      <c r="DT35" s="301" t="str">
        <f t="shared" ca="1" si="102"/>
        <v>D</v>
      </c>
      <c r="DU35" s="301" t="str">
        <f t="shared" ca="1" si="102"/>
        <v>D</v>
      </c>
      <c r="DV35" s="301" t="str">
        <f t="shared" ca="1" si="102"/>
        <v>D</v>
      </c>
      <c r="DW35" s="301" t="str">
        <f t="shared" ca="1" si="102"/>
        <v>D</v>
      </c>
      <c r="DX35" s="301" t="str">
        <f t="shared" ca="1" si="102"/>
        <v>D</v>
      </c>
      <c r="DY35" s="301" t="str">
        <f t="shared" ca="1" si="102"/>
        <v>D</v>
      </c>
      <c r="DZ35" s="301" t="str">
        <f t="shared" ca="1" si="102"/>
        <v>D</v>
      </c>
      <c r="EA35" s="301" t="str">
        <f t="shared" ca="1" si="102"/>
        <v>D</v>
      </c>
      <c r="EB35" s="301" t="str">
        <f t="shared" ca="1" si="102"/>
        <v>D</v>
      </c>
      <c r="EC35" s="301" t="str">
        <f t="shared" ca="1" si="102"/>
        <v>D</v>
      </c>
      <c r="ED35" s="301" t="str">
        <f t="shared" ca="1" si="102"/>
        <v>D</v>
      </c>
      <c r="EE35" s="301" t="str">
        <f t="shared" ca="1" si="102"/>
        <v>D</v>
      </c>
      <c r="EF35" s="301">
        <f t="shared" si="74"/>
        <v>0</v>
      </c>
      <c r="EG35" s="301" t="str">
        <f t="shared" ca="1" si="103"/>
        <v>D</v>
      </c>
      <c r="EH35" s="301" t="str">
        <f t="shared" ca="1" si="103"/>
        <v>D</v>
      </c>
      <c r="EI35" s="301" t="str">
        <f t="shared" ca="1" si="103"/>
        <v>D</v>
      </c>
      <c r="EJ35" s="301" t="str">
        <f t="shared" ca="1" si="103"/>
        <v>D</v>
      </c>
      <c r="EK35" s="301" t="str">
        <f t="shared" ca="1" si="103"/>
        <v>D</v>
      </c>
      <c r="EL35" s="301" t="str">
        <f t="shared" ca="1" si="103"/>
        <v>D</v>
      </c>
      <c r="EM35" s="301" t="str">
        <f t="shared" ca="1" si="103"/>
        <v>D</v>
      </c>
      <c r="EN35" s="301" t="str">
        <f t="shared" ca="1" si="103"/>
        <v>D</v>
      </c>
      <c r="EO35" s="301" t="str">
        <f t="shared" ca="1" si="103"/>
        <v>D</v>
      </c>
      <c r="EP35" s="301" t="str">
        <f t="shared" ca="1" si="103"/>
        <v>D</v>
      </c>
      <c r="EQ35" s="301" t="str">
        <f t="shared" ca="1" si="104"/>
        <v>D</v>
      </c>
      <c r="ER35" s="301" t="str">
        <f t="shared" ca="1" si="104"/>
        <v>D</v>
      </c>
      <c r="ES35" s="301" t="str">
        <f t="shared" ca="1" si="104"/>
        <v>D</v>
      </c>
      <c r="ET35" s="301" t="str">
        <f t="shared" ca="1" si="104"/>
        <v>D</v>
      </c>
      <c r="EU35" s="301" t="str">
        <f t="shared" ca="1" si="104"/>
        <v>D</v>
      </c>
      <c r="EV35" s="301" t="str">
        <f t="shared" ca="1" si="104"/>
        <v>D</v>
      </c>
      <c r="EW35" s="301" t="str">
        <f t="shared" ca="1" si="104"/>
        <v>D</v>
      </c>
      <c r="EX35" s="301" t="str">
        <f t="shared" ca="1" si="104"/>
        <v>D</v>
      </c>
      <c r="EY35" s="301" t="str">
        <f t="shared" ca="1" si="104"/>
        <v>D</v>
      </c>
      <c r="EZ35" s="301" t="str">
        <f t="shared" ca="1" si="104"/>
        <v>D</v>
      </c>
      <c r="FA35" s="301" t="str">
        <f t="shared" ca="1" si="105"/>
        <v>D</v>
      </c>
      <c r="FB35" s="301" t="str">
        <f t="shared" ca="1" si="105"/>
        <v>D</v>
      </c>
      <c r="FC35" s="301" t="str">
        <f t="shared" ca="1" si="105"/>
        <v>D</v>
      </c>
      <c r="FD35" s="301" t="str">
        <f t="shared" ca="1" si="105"/>
        <v>D</v>
      </c>
      <c r="FE35" s="301" t="str">
        <f t="shared" ca="1" si="105"/>
        <v>D</v>
      </c>
      <c r="FF35" s="301" t="str">
        <f t="shared" ca="1" si="105"/>
        <v>D</v>
      </c>
      <c r="FG35" s="301" t="str">
        <f t="shared" ca="1" si="105"/>
        <v>D</v>
      </c>
      <c r="FH35" s="301" t="str">
        <f t="shared" ca="1" si="105"/>
        <v>D</v>
      </c>
      <c r="FI35" s="301" t="str">
        <f t="shared" ca="1" si="105"/>
        <v>D</v>
      </c>
      <c r="FJ35" s="301" t="str">
        <f t="shared" ca="1" si="105"/>
        <v>D</v>
      </c>
      <c r="FK35" s="301" t="str">
        <f t="shared" ca="1" si="105"/>
        <v>D</v>
      </c>
      <c r="FL35" s="301" t="str">
        <f t="shared" ca="1" si="105"/>
        <v>D</v>
      </c>
    </row>
    <row r="36" spans="1:168" x14ac:dyDescent="0.2">
      <c r="A36" s="24" t="str">
        <f t="shared" si="78"/>
        <v>Wurfmesser</v>
      </c>
      <c r="B36" s="317">
        <f t="shared" ca="1" si="0"/>
        <v>0</v>
      </c>
      <c r="C36" s="332" t="s">
        <v>1321</v>
      </c>
      <c r="D36" s="1110"/>
      <c r="E36" s="1424"/>
      <c r="F36" s="325"/>
      <c r="G36" s="958"/>
      <c r="H36" s="1196"/>
      <c r="I36" s="326"/>
      <c r="J36" s="1880" t="str">
        <f t="shared" ca="1" si="79"/>
        <v/>
      </c>
      <c r="K36" s="1881"/>
      <c r="L36" s="1881"/>
      <c r="M36" s="1881"/>
      <c r="N36" s="1882"/>
      <c r="O36" s="613">
        <f t="shared" ca="1" si="2"/>
        <v>0</v>
      </c>
      <c r="P36" s="637">
        <f ca="1">IF(AND(C36="",G36="",I36=""),"",FK+B36+G36+I36)</f>
        <v>5</v>
      </c>
      <c r="Q36" s="90"/>
      <c r="R36" s="1313"/>
      <c r="S36" s="1313"/>
      <c r="T36" s="1315"/>
      <c r="U36" s="1283"/>
      <c r="V36" s="628" t="str">
        <f t="shared" ca="1" si="97"/>
        <v/>
      </c>
      <c r="W36" s="164">
        <f t="shared" ca="1" si="4"/>
        <v>0</v>
      </c>
      <c r="X36" s="164">
        <f t="shared" ca="1" si="5"/>
        <v>0</v>
      </c>
      <c r="Y36" s="164">
        <f t="shared" ca="1" si="6"/>
        <v>0</v>
      </c>
      <c r="Z36" s="164">
        <f t="shared" ca="1" si="7"/>
        <v>0</v>
      </c>
      <c r="AA36" s="164">
        <f t="shared" ca="1" si="8"/>
        <v>0</v>
      </c>
      <c r="AB36" s="164">
        <f t="shared" ca="1" si="9"/>
        <v>0</v>
      </c>
      <c r="AC36" s="164">
        <f t="shared" ca="1" si="10"/>
        <v>0</v>
      </c>
      <c r="AD36" s="164">
        <f t="shared" ca="1" si="11"/>
        <v>0</v>
      </c>
      <c r="AE36" s="164">
        <f t="shared" ca="1" si="12"/>
        <v>0</v>
      </c>
      <c r="AF36" s="164">
        <f t="shared" ca="1" si="13"/>
        <v>0</v>
      </c>
      <c r="AG36" s="164">
        <f t="shared" ca="1" si="14"/>
        <v>0</v>
      </c>
      <c r="AH36" s="164">
        <f t="shared" ca="1" si="15"/>
        <v>0</v>
      </c>
      <c r="AI36" s="164">
        <f t="shared" ca="1" si="16"/>
        <v>0</v>
      </c>
      <c r="AJ36" s="164">
        <f t="shared" ca="1" si="17"/>
        <v>0</v>
      </c>
      <c r="AK36" s="164">
        <f t="shared" ca="1" si="18"/>
        <v>0</v>
      </c>
      <c r="AL36" s="164">
        <f t="shared" ca="1" si="19"/>
        <v>0</v>
      </c>
      <c r="AM36" s="164">
        <f t="shared" ca="1" si="20"/>
        <v>0</v>
      </c>
      <c r="AN36" s="164">
        <f t="shared" ca="1" si="21"/>
        <v>0</v>
      </c>
      <c r="AO36" s="164">
        <f t="shared" ca="1" si="22"/>
        <v>0</v>
      </c>
      <c r="AP36" s="164">
        <f t="shared" ca="1" si="23"/>
        <v>0</v>
      </c>
      <c r="AQ36" s="164">
        <f t="shared" ca="1" si="24"/>
        <v>0</v>
      </c>
      <c r="AR36" s="164">
        <f t="shared" ca="1" si="25"/>
        <v>0</v>
      </c>
      <c r="AS36" s="152"/>
      <c r="AT36" s="154">
        <f t="shared" ca="1" si="26"/>
        <v>0</v>
      </c>
      <c r="AU36" s="154">
        <f t="shared" ca="1" si="27"/>
        <v>0</v>
      </c>
      <c r="AV36" s="154">
        <f t="shared" ca="1" si="28"/>
        <v>0</v>
      </c>
      <c r="AW36" s="154">
        <f t="shared" ca="1" si="29"/>
        <v>0</v>
      </c>
      <c r="AX36" s="154">
        <f t="shared" ca="1" si="30"/>
        <v>0</v>
      </c>
      <c r="AY36" s="154">
        <f t="shared" ca="1" si="31"/>
        <v>0</v>
      </c>
      <c r="AZ36" s="154">
        <f t="shared" ca="1" si="32"/>
        <v>0</v>
      </c>
      <c r="BA36" s="154">
        <f t="shared" ca="1" si="33"/>
        <v>0</v>
      </c>
      <c r="BB36" s="154">
        <f t="shared" ca="1" si="34"/>
        <v>0</v>
      </c>
      <c r="BC36" s="154">
        <f t="shared" ca="1" si="35"/>
        <v>0</v>
      </c>
      <c r="BD36" s="154">
        <f t="shared" ca="1" si="36"/>
        <v>0</v>
      </c>
      <c r="BE36" s="154">
        <f t="shared" ca="1" si="37"/>
        <v>0</v>
      </c>
      <c r="BF36" s="154">
        <f t="shared" ca="1" si="38"/>
        <v>0</v>
      </c>
      <c r="BG36" s="154">
        <f t="shared" ca="1" si="39"/>
        <v>0</v>
      </c>
      <c r="BH36" s="154">
        <f t="shared" ca="1" si="40"/>
        <v>0</v>
      </c>
      <c r="BI36" s="154">
        <f t="shared" ca="1" si="41"/>
        <v>0</v>
      </c>
      <c r="BJ36" s="154">
        <f t="shared" ca="1" si="42"/>
        <v>0</v>
      </c>
      <c r="BK36" s="154">
        <f t="shared" ca="1" si="43"/>
        <v>0</v>
      </c>
      <c r="BL36" s="154">
        <f t="shared" ca="1" si="44"/>
        <v>0</v>
      </c>
      <c r="BM36" s="154">
        <f t="shared" ca="1" si="45"/>
        <v>0</v>
      </c>
      <c r="BN36" s="154">
        <f t="shared" ca="1" si="46"/>
        <v>0</v>
      </c>
      <c r="BO36" s="154">
        <f t="shared" ca="1" si="47"/>
        <v>0</v>
      </c>
      <c r="BP36" s="154">
        <f t="shared" ca="1" si="48"/>
        <v>0</v>
      </c>
      <c r="BQ36" s="154">
        <f t="shared" ca="1" si="49"/>
        <v>0</v>
      </c>
      <c r="BR36" s="154">
        <f t="shared" ca="1" si="50"/>
        <v>0</v>
      </c>
      <c r="BS36" s="154">
        <f t="shared" ca="1" si="51"/>
        <v>0</v>
      </c>
      <c r="BT36" s="154">
        <f t="shared" ca="1" si="52"/>
        <v>0</v>
      </c>
      <c r="BU36" s="154">
        <f t="shared" ca="1" si="53"/>
        <v>0</v>
      </c>
      <c r="BV36" s="154">
        <f t="shared" ca="1" si="54"/>
        <v>0</v>
      </c>
      <c r="BW36" s="154">
        <f t="shared" ca="1" si="55"/>
        <v>0</v>
      </c>
      <c r="BX36" s="154">
        <f t="shared" ca="1" si="56"/>
        <v>0</v>
      </c>
      <c r="BY36" s="154">
        <f t="shared" ca="1" si="57"/>
        <v>0</v>
      </c>
      <c r="BZ36" s="154">
        <f t="shared" ca="1" si="98"/>
        <v>0</v>
      </c>
      <c r="CA36" s="154">
        <f t="shared" ca="1" si="99"/>
        <v>0</v>
      </c>
      <c r="CB36" s="154">
        <f t="shared" ca="1" si="100"/>
        <v>0</v>
      </c>
      <c r="CC36" s="523"/>
      <c r="CD36" s="355">
        <f t="shared" si="60"/>
        <v>65</v>
      </c>
      <c r="CE36" s="268" t="str">
        <f t="shared" ca="1" si="81"/>
        <v>C</v>
      </c>
      <c r="CF36" s="355"/>
      <c r="CG36" s="268"/>
      <c r="CH36" s="268"/>
      <c r="CI36" s="269">
        <f t="shared" ca="1" si="61"/>
        <v>0</v>
      </c>
      <c r="CJ36" s="269">
        <f t="shared" ca="1" si="62"/>
        <v>0</v>
      </c>
      <c r="CK36" s="269"/>
      <c r="CL36" s="269"/>
      <c r="CM36" s="268">
        <f t="shared" ca="1" si="82"/>
        <v>0</v>
      </c>
      <c r="CN36" s="269">
        <f t="shared" ca="1" si="83"/>
        <v>0</v>
      </c>
      <c r="CO36" s="271" t="str">
        <f ca="1">CHAR(CODE(VLOOKUP($A36,BASISSKT,4,FALSE))+$CN36)</f>
        <v>C</v>
      </c>
      <c r="CP36" s="269" t="b">
        <f t="shared" ca="1" si="64"/>
        <v>1</v>
      </c>
      <c r="CQ36" s="269">
        <f t="shared" si="65"/>
        <v>0</v>
      </c>
      <c r="CR36" s="269">
        <f t="shared" si="66"/>
        <v>0</v>
      </c>
      <c r="CS36" s="269">
        <f t="shared" ca="1" si="67"/>
        <v>0</v>
      </c>
      <c r="CT36" s="302" t="str">
        <f t="shared" ca="1" si="84"/>
        <v>0</v>
      </c>
      <c r="CU36" s="269">
        <f t="shared" ca="1" si="68"/>
        <v>0</v>
      </c>
      <c r="CV36" s="268"/>
      <c r="CW36" s="269">
        <f t="shared" ca="1" si="69"/>
        <v>0</v>
      </c>
      <c r="CX36" s="301">
        <f t="shared" ca="1" si="70"/>
        <v>0</v>
      </c>
      <c r="CY36" s="301">
        <f t="shared" ca="1" si="85"/>
        <v>0</v>
      </c>
      <c r="CZ36" s="301">
        <f t="shared" ca="1" si="71"/>
        <v>0</v>
      </c>
      <c r="DA36" s="301">
        <f t="shared" ca="1" si="86"/>
        <v>0</v>
      </c>
      <c r="DC36" s="564" t="str">
        <f ca="1">IF($O36="","",IF($O36&gt;MAX(FF,GE,KK)+3-CJ36*2," TaW&gt; Max(FF, GE, KK) +"&amp;3-CJ36*2,""))</f>
        <v/>
      </c>
      <c r="DD36" s="1337" t="str">
        <f t="shared" ca="1" si="87"/>
        <v/>
      </c>
      <c r="DE36" s="1337" t="str">
        <f t="shared" ca="1" si="88"/>
        <v/>
      </c>
      <c r="DG36" s="269"/>
      <c r="DH36" s="269"/>
      <c r="DI36" s="269" t="str">
        <f ca="1">IF(NOT(ISERR(FIND(A36,Abfragen!$O$264,1))),MID(Abfragen!$O$264,FIND("(",Abfragen!$O$264,FIND(A36,Abfragen!$O$264,1)+LEN(A36))+1,FIND(")",Abfragen!$O$264,FIND(A36,Abfragen!$O$264,1)+LEN(A36))-FIND("(",Abfragen!$O$264,FIND(A36,Abfragen!$O$264,1)+LEN(A36))-1),"")</f>
        <v/>
      </c>
      <c r="DJ36" s="301" t="str">
        <f t="shared" ca="1" si="101"/>
        <v>C</v>
      </c>
      <c r="DK36" s="301" t="str">
        <f t="shared" ca="1" si="101"/>
        <v>C</v>
      </c>
      <c r="DL36" s="301" t="str">
        <f t="shared" ca="1" si="101"/>
        <v>C</v>
      </c>
      <c r="DM36" s="301" t="str">
        <f t="shared" ca="1" si="101"/>
        <v>C</v>
      </c>
      <c r="DN36" s="301" t="str">
        <f t="shared" ca="1" si="101"/>
        <v>C</v>
      </c>
      <c r="DO36" s="301" t="str">
        <f t="shared" ca="1" si="101"/>
        <v>C</v>
      </c>
      <c r="DP36" s="301" t="str">
        <f t="shared" ca="1" si="101"/>
        <v>C</v>
      </c>
      <c r="DQ36" s="301" t="str">
        <f t="shared" ca="1" si="101"/>
        <v>C</v>
      </c>
      <c r="DR36" s="301" t="str">
        <f t="shared" ca="1" si="101"/>
        <v>C</v>
      </c>
      <c r="DS36" s="301" t="str">
        <f t="shared" ca="1" si="101"/>
        <v>C</v>
      </c>
      <c r="DT36" s="301" t="str">
        <f t="shared" ca="1" si="102"/>
        <v>C</v>
      </c>
      <c r="DU36" s="301" t="str">
        <f t="shared" ca="1" si="102"/>
        <v>C</v>
      </c>
      <c r="DV36" s="301" t="str">
        <f t="shared" ca="1" si="102"/>
        <v>C</v>
      </c>
      <c r="DW36" s="301" t="str">
        <f t="shared" ca="1" si="102"/>
        <v>C</v>
      </c>
      <c r="DX36" s="301" t="str">
        <f t="shared" ca="1" si="102"/>
        <v>C</v>
      </c>
      <c r="DY36" s="301" t="str">
        <f t="shared" ca="1" si="102"/>
        <v>C</v>
      </c>
      <c r="DZ36" s="301" t="str">
        <f t="shared" ca="1" si="102"/>
        <v>C</v>
      </c>
      <c r="EA36" s="301" t="str">
        <f t="shared" ca="1" si="102"/>
        <v>C</v>
      </c>
      <c r="EB36" s="301" t="str">
        <f t="shared" ca="1" si="102"/>
        <v>C</v>
      </c>
      <c r="EC36" s="301" t="str">
        <f t="shared" ca="1" si="102"/>
        <v>C</v>
      </c>
      <c r="ED36" s="301" t="str">
        <f t="shared" ca="1" si="102"/>
        <v>C</v>
      </c>
      <c r="EE36" s="301" t="str">
        <f t="shared" ca="1" si="102"/>
        <v>C</v>
      </c>
      <c r="EF36" s="301">
        <f t="shared" si="74"/>
        <v>0</v>
      </c>
      <c r="EG36" s="301" t="str">
        <f t="shared" ca="1" si="103"/>
        <v>C</v>
      </c>
      <c r="EH36" s="301" t="str">
        <f t="shared" ca="1" si="103"/>
        <v>C</v>
      </c>
      <c r="EI36" s="301" t="str">
        <f t="shared" ca="1" si="103"/>
        <v>C</v>
      </c>
      <c r="EJ36" s="301" t="str">
        <f t="shared" ca="1" si="103"/>
        <v>C</v>
      </c>
      <c r="EK36" s="301" t="str">
        <f t="shared" ca="1" si="103"/>
        <v>C</v>
      </c>
      <c r="EL36" s="301" t="str">
        <f t="shared" ca="1" si="103"/>
        <v>C</v>
      </c>
      <c r="EM36" s="301" t="str">
        <f t="shared" ca="1" si="103"/>
        <v>C</v>
      </c>
      <c r="EN36" s="301" t="str">
        <f t="shared" ca="1" si="103"/>
        <v>C</v>
      </c>
      <c r="EO36" s="301" t="str">
        <f t="shared" ca="1" si="103"/>
        <v>C</v>
      </c>
      <c r="EP36" s="301" t="str">
        <f t="shared" ca="1" si="103"/>
        <v>C</v>
      </c>
      <c r="EQ36" s="301" t="str">
        <f t="shared" ca="1" si="104"/>
        <v>C</v>
      </c>
      <c r="ER36" s="301" t="str">
        <f t="shared" ca="1" si="104"/>
        <v>C</v>
      </c>
      <c r="ES36" s="301" t="str">
        <f t="shared" ca="1" si="104"/>
        <v>C</v>
      </c>
      <c r="ET36" s="301" t="str">
        <f t="shared" ca="1" si="104"/>
        <v>C</v>
      </c>
      <c r="EU36" s="301" t="str">
        <f t="shared" ca="1" si="104"/>
        <v>C</v>
      </c>
      <c r="EV36" s="301" t="str">
        <f t="shared" ca="1" si="104"/>
        <v>C</v>
      </c>
      <c r="EW36" s="301" t="str">
        <f t="shared" ca="1" si="104"/>
        <v>C</v>
      </c>
      <c r="EX36" s="301" t="str">
        <f t="shared" ca="1" si="104"/>
        <v>C</v>
      </c>
      <c r="EY36" s="301" t="str">
        <f t="shared" ca="1" si="104"/>
        <v>C</v>
      </c>
      <c r="EZ36" s="301" t="str">
        <f t="shared" ca="1" si="104"/>
        <v>C</v>
      </c>
      <c r="FA36" s="301" t="str">
        <f t="shared" ca="1" si="105"/>
        <v>C</v>
      </c>
      <c r="FB36" s="301" t="str">
        <f t="shared" ca="1" si="105"/>
        <v>C</v>
      </c>
      <c r="FC36" s="301" t="str">
        <f t="shared" ca="1" si="105"/>
        <v>C</v>
      </c>
      <c r="FD36" s="301" t="str">
        <f t="shared" ca="1" si="105"/>
        <v>C</v>
      </c>
      <c r="FE36" s="301" t="str">
        <f t="shared" ca="1" si="105"/>
        <v>C</v>
      </c>
      <c r="FF36" s="301" t="str">
        <f t="shared" ca="1" si="105"/>
        <v>C</v>
      </c>
      <c r="FG36" s="301" t="str">
        <f t="shared" ca="1" si="105"/>
        <v>C</v>
      </c>
      <c r="FH36" s="301" t="str">
        <f t="shared" ca="1" si="105"/>
        <v>C</v>
      </c>
      <c r="FI36" s="301" t="str">
        <f t="shared" ca="1" si="105"/>
        <v>C</v>
      </c>
      <c r="FJ36" s="301" t="str">
        <f t="shared" ca="1" si="105"/>
        <v>C</v>
      </c>
      <c r="FK36" s="301" t="str">
        <f t="shared" ca="1" si="105"/>
        <v>C</v>
      </c>
      <c r="FL36" s="301" t="str">
        <f t="shared" ca="1" si="105"/>
        <v>C</v>
      </c>
    </row>
    <row r="37" spans="1:168" x14ac:dyDescent="0.2">
      <c r="A37" s="24" t="str">
        <f t="shared" si="78"/>
        <v>Wurfspeere</v>
      </c>
      <c r="B37" s="317" t="str">
        <f t="shared" ca="1" si="0"/>
        <v/>
      </c>
      <c r="C37" s="332" t="str">
        <f ca="1">IF(OR(NOT(ISBLANK(D37)),NOT(ISBLANK(HLOOKUP(RASSEGENE,RASSE,$CD37,FALSE))),
NOT(ISBLANK(HLOOKUP(KULTURGENE,KULTUR,$CD37,FALSE))),
NOT(OR(ISBLANK(HLOOKUP(PROFGENE,INDIRECT(PROFGEBIET),$CD37,FALSE)),$CS37="N",$CS37="M")),
IF(PROFZWEITE="",FALSE,NOT(ISBLANK(HLOOKUP(PROFZWEITE,INDIRECT(PROFGEBIET2),$CD37,FALSE))))),"x","")</f>
        <v/>
      </c>
      <c r="D37" s="1110"/>
      <c r="E37" s="1424"/>
      <c r="F37" s="325"/>
      <c r="G37" s="958"/>
      <c r="H37" s="1196"/>
      <c r="I37" s="326"/>
      <c r="J37" s="1880" t="str">
        <f t="shared" ca="1" si="79"/>
        <v/>
      </c>
      <c r="K37" s="1881"/>
      <c r="L37" s="1881"/>
      <c r="M37" s="1881"/>
      <c r="N37" s="1882"/>
      <c r="O37" s="613" t="str">
        <f t="shared" ca="1" si="2"/>
        <v/>
      </c>
      <c r="P37" s="637" t="str">
        <f ca="1">IF(AND(C37="",G37="",I37=""),"",FK+B37+G37+I37)</f>
        <v/>
      </c>
      <c r="Q37" s="90"/>
      <c r="R37" s="1313"/>
      <c r="S37" s="1313"/>
      <c r="T37" s="1315"/>
      <c r="U37" s="1283"/>
      <c r="V37" s="628" t="str">
        <f t="shared" ca="1" si="97"/>
        <v/>
      </c>
      <c r="W37" s="164">
        <f t="shared" ca="1" si="4"/>
        <v>0</v>
      </c>
      <c r="X37" s="164">
        <f t="shared" ca="1" si="5"/>
        <v>0</v>
      </c>
      <c r="Y37" s="164">
        <f t="shared" ca="1" si="6"/>
        <v>0</v>
      </c>
      <c r="Z37" s="164">
        <f t="shared" ca="1" si="7"/>
        <v>0</v>
      </c>
      <c r="AA37" s="164">
        <f t="shared" ca="1" si="8"/>
        <v>0</v>
      </c>
      <c r="AB37" s="164">
        <f t="shared" ca="1" si="9"/>
        <v>0</v>
      </c>
      <c r="AC37" s="164">
        <f t="shared" ca="1" si="10"/>
        <v>0</v>
      </c>
      <c r="AD37" s="164">
        <f t="shared" ca="1" si="11"/>
        <v>0</v>
      </c>
      <c r="AE37" s="164">
        <f t="shared" ca="1" si="12"/>
        <v>0</v>
      </c>
      <c r="AF37" s="164">
        <f t="shared" ca="1" si="13"/>
        <v>0</v>
      </c>
      <c r="AG37" s="164">
        <f t="shared" ca="1" si="14"/>
        <v>0</v>
      </c>
      <c r="AH37" s="164">
        <f t="shared" ca="1" si="15"/>
        <v>0</v>
      </c>
      <c r="AI37" s="164">
        <f t="shared" ca="1" si="16"/>
        <v>0</v>
      </c>
      <c r="AJ37" s="164">
        <f t="shared" ca="1" si="17"/>
        <v>0</v>
      </c>
      <c r="AK37" s="164">
        <f t="shared" ca="1" si="18"/>
        <v>0</v>
      </c>
      <c r="AL37" s="164">
        <f t="shared" ca="1" si="19"/>
        <v>0</v>
      </c>
      <c r="AM37" s="164">
        <f t="shared" ca="1" si="20"/>
        <v>0</v>
      </c>
      <c r="AN37" s="164">
        <f t="shared" ca="1" si="21"/>
        <v>0</v>
      </c>
      <c r="AO37" s="164">
        <f t="shared" ca="1" si="22"/>
        <v>0</v>
      </c>
      <c r="AP37" s="164">
        <f t="shared" ca="1" si="23"/>
        <v>0</v>
      </c>
      <c r="AQ37" s="164">
        <f t="shared" ca="1" si="24"/>
        <v>0</v>
      </c>
      <c r="AR37" s="164">
        <f t="shared" ca="1" si="25"/>
        <v>0</v>
      </c>
      <c r="AS37" s="152"/>
      <c r="AT37" s="154">
        <f t="shared" ca="1" si="26"/>
        <v>0</v>
      </c>
      <c r="AU37" s="154">
        <f t="shared" ca="1" si="27"/>
        <v>0</v>
      </c>
      <c r="AV37" s="154">
        <f t="shared" ca="1" si="28"/>
        <v>0</v>
      </c>
      <c r="AW37" s="154">
        <f t="shared" ca="1" si="29"/>
        <v>0</v>
      </c>
      <c r="AX37" s="154">
        <f t="shared" ca="1" si="30"/>
        <v>0</v>
      </c>
      <c r="AY37" s="154">
        <f t="shared" ca="1" si="31"/>
        <v>0</v>
      </c>
      <c r="AZ37" s="154">
        <f t="shared" ca="1" si="32"/>
        <v>0</v>
      </c>
      <c r="BA37" s="154">
        <f t="shared" ca="1" si="33"/>
        <v>0</v>
      </c>
      <c r="BB37" s="154">
        <f t="shared" ca="1" si="34"/>
        <v>0</v>
      </c>
      <c r="BC37" s="154">
        <f t="shared" ca="1" si="35"/>
        <v>0</v>
      </c>
      <c r="BD37" s="154">
        <f t="shared" ca="1" si="36"/>
        <v>0</v>
      </c>
      <c r="BE37" s="154">
        <f t="shared" ca="1" si="37"/>
        <v>0</v>
      </c>
      <c r="BF37" s="154">
        <f t="shared" ca="1" si="38"/>
        <v>0</v>
      </c>
      <c r="BG37" s="154">
        <f t="shared" ca="1" si="39"/>
        <v>0</v>
      </c>
      <c r="BH37" s="154">
        <f t="shared" ca="1" si="40"/>
        <v>0</v>
      </c>
      <c r="BI37" s="154">
        <f t="shared" ca="1" si="41"/>
        <v>0</v>
      </c>
      <c r="BJ37" s="154">
        <f t="shared" ca="1" si="42"/>
        <v>0</v>
      </c>
      <c r="BK37" s="154">
        <f t="shared" ca="1" si="43"/>
        <v>0</v>
      </c>
      <c r="BL37" s="154">
        <f t="shared" ca="1" si="44"/>
        <v>0</v>
      </c>
      <c r="BM37" s="154">
        <f t="shared" ca="1" si="45"/>
        <v>0</v>
      </c>
      <c r="BN37" s="154">
        <f t="shared" ca="1" si="46"/>
        <v>0</v>
      </c>
      <c r="BO37" s="154">
        <f t="shared" ca="1" si="47"/>
        <v>0</v>
      </c>
      <c r="BP37" s="154">
        <f t="shared" ca="1" si="48"/>
        <v>0</v>
      </c>
      <c r="BQ37" s="154">
        <f t="shared" ca="1" si="49"/>
        <v>0</v>
      </c>
      <c r="BR37" s="154">
        <f t="shared" ca="1" si="50"/>
        <v>0</v>
      </c>
      <c r="BS37" s="154">
        <f t="shared" ca="1" si="51"/>
        <v>0</v>
      </c>
      <c r="BT37" s="154">
        <f t="shared" ca="1" si="52"/>
        <v>0</v>
      </c>
      <c r="BU37" s="154">
        <f t="shared" ca="1" si="53"/>
        <v>0</v>
      </c>
      <c r="BV37" s="154">
        <f t="shared" ca="1" si="54"/>
        <v>0</v>
      </c>
      <c r="BW37" s="154">
        <f t="shared" ca="1" si="55"/>
        <v>0</v>
      </c>
      <c r="BX37" s="154">
        <f t="shared" ca="1" si="56"/>
        <v>0</v>
      </c>
      <c r="BY37" s="154">
        <f t="shared" ca="1" si="57"/>
        <v>0</v>
      </c>
      <c r="BZ37" s="154">
        <f t="shared" ca="1" si="98"/>
        <v>0</v>
      </c>
      <c r="CA37" s="154">
        <f t="shared" ca="1" si="99"/>
        <v>0</v>
      </c>
      <c r="CB37" s="154">
        <f t="shared" ca="1" si="100"/>
        <v>0</v>
      </c>
      <c r="CC37" s="523"/>
      <c r="CD37" s="355">
        <f t="shared" si="60"/>
        <v>66</v>
      </c>
      <c r="CE37" s="268" t="str">
        <f t="shared" ca="1" si="81"/>
        <v>C</v>
      </c>
      <c r="CF37" s="355" t="str">
        <f ca="1">IF(EXACT($B37,""),$CF35,CONCATENATE($CF35,$A37))</f>
        <v/>
      </c>
      <c r="CG37" s="268"/>
      <c r="CH37" s="268"/>
      <c r="CI37" s="269">
        <f t="shared" ca="1" si="61"/>
        <v>0</v>
      </c>
      <c r="CJ37" s="269">
        <f t="shared" ca="1" si="62"/>
        <v>0</v>
      </c>
      <c r="CK37" s="269"/>
      <c r="CL37" s="269"/>
      <c r="CM37" s="268">
        <f t="shared" ca="1" si="82"/>
        <v>0</v>
      </c>
      <c r="CN37" s="269">
        <f t="shared" ca="1" si="83"/>
        <v>0</v>
      </c>
      <c r="CO37" s="268" t="str">
        <f ca="1">CHAR(CODE(VLOOKUP($A37,TL_KPF_WERTE,6,FALSE))+$CN37)</f>
        <v>C</v>
      </c>
      <c r="CP37" s="269" t="b">
        <f t="shared" ca="1" si="64"/>
        <v>1</v>
      </c>
      <c r="CQ37" s="269">
        <f t="shared" si="65"/>
        <v>0</v>
      </c>
      <c r="CR37" s="269">
        <f t="shared" si="66"/>
        <v>0</v>
      </c>
      <c r="CS37" s="269">
        <f t="shared" ca="1" si="67"/>
        <v>0</v>
      </c>
      <c r="CT37" s="302" t="str">
        <f t="shared" ca="1" si="84"/>
        <v>0</v>
      </c>
      <c r="CU37" s="269">
        <f t="shared" ca="1" si="68"/>
        <v>0</v>
      </c>
      <c r="CV37" s="268"/>
      <c r="CW37" s="269">
        <f t="shared" ca="1" si="69"/>
        <v>0</v>
      </c>
      <c r="CX37" s="301">
        <f t="shared" ca="1" si="70"/>
        <v>0</v>
      </c>
      <c r="CY37" s="301">
        <f t="shared" ca="1" si="85"/>
        <v>0</v>
      </c>
      <c r="CZ37" s="301">
        <f t="shared" ca="1" si="71"/>
        <v>0</v>
      </c>
      <c r="DA37" s="301">
        <f t="shared" ca="1" si="86"/>
        <v>0</v>
      </c>
      <c r="DC37" s="564" t="str">
        <f ca="1">IF($O37="","",IF($O37&gt;MAX(FF,GE,KK)+3-CJ37*2," TaW&gt; Max(FF, GE, KK) +"&amp;3-CJ37*2,""))</f>
        <v/>
      </c>
      <c r="DD37" s="1337" t="str">
        <f t="shared" ca="1" si="87"/>
        <v/>
      </c>
      <c r="DE37" s="1337" t="str">
        <f t="shared" ca="1" si="88"/>
        <v/>
      </c>
      <c r="DG37" s="269"/>
      <c r="DH37" s="269"/>
      <c r="DI37" s="269" t="str">
        <f ca="1">IF(NOT(ISERR(FIND(A37,Abfragen!$O$264,1))),MID(Abfragen!$O$264,FIND("(",Abfragen!$O$264,FIND(A37,Abfragen!$O$264,1)+LEN(A37))+1,FIND(")",Abfragen!$O$264,FIND(A37,Abfragen!$O$264,1)+LEN(A37))-FIND("(",Abfragen!$O$264,FIND(A37,Abfragen!$O$264,1)+LEN(A37))-1),"")</f>
        <v/>
      </c>
      <c r="DJ37" s="301" t="str">
        <f t="shared" ca="1" si="101"/>
        <v>C</v>
      </c>
      <c r="DK37" s="301" t="str">
        <f t="shared" ca="1" si="101"/>
        <v>C</v>
      </c>
      <c r="DL37" s="301" t="str">
        <f t="shared" ca="1" si="101"/>
        <v>C</v>
      </c>
      <c r="DM37" s="301" t="str">
        <f t="shared" ca="1" si="101"/>
        <v>C</v>
      </c>
      <c r="DN37" s="301" t="str">
        <f t="shared" ca="1" si="101"/>
        <v>C</v>
      </c>
      <c r="DO37" s="301" t="str">
        <f t="shared" ca="1" si="101"/>
        <v>C</v>
      </c>
      <c r="DP37" s="301" t="str">
        <f t="shared" ca="1" si="101"/>
        <v>C</v>
      </c>
      <c r="DQ37" s="301" t="str">
        <f t="shared" ca="1" si="101"/>
        <v>C</v>
      </c>
      <c r="DR37" s="301" t="str">
        <f t="shared" ca="1" si="101"/>
        <v>C</v>
      </c>
      <c r="DS37" s="301" t="str">
        <f t="shared" ca="1" si="101"/>
        <v>C</v>
      </c>
      <c r="DT37" s="301" t="str">
        <f t="shared" ca="1" si="102"/>
        <v>C</v>
      </c>
      <c r="DU37" s="301" t="str">
        <f t="shared" ca="1" si="102"/>
        <v>C</v>
      </c>
      <c r="DV37" s="301" t="str">
        <f t="shared" ca="1" si="102"/>
        <v>C</v>
      </c>
      <c r="DW37" s="301" t="str">
        <f t="shared" ca="1" si="102"/>
        <v>C</v>
      </c>
      <c r="DX37" s="301" t="str">
        <f t="shared" ca="1" si="102"/>
        <v>C</v>
      </c>
      <c r="DY37" s="301" t="str">
        <f t="shared" ca="1" si="102"/>
        <v>C</v>
      </c>
      <c r="DZ37" s="301" t="str">
        <f t="shared" ca="1" si="102"/>
        <v>C</v>
      </c>
      <c r="EA37" s="301" t="str">
        <f t="shared" ca="1" si="102"/>
        <v>C</v>
      </c>
      <c r="EB37" s="301" t="str">
        <f t="shared" ca="1" si="102"/>
        <v>C</v>
      </c>
      <c r="EC37" s="301" t="str">
        <f t="shared" ca="1" si="102"/>
        <v>C</v>
      </c>
      <c r="ED37" s="301" t="str">
        <f t="shared" ca="1" si="102"/>
        <v>C</v>
      </c>
      <c r="EE37" s="301" t="str">
        <f t="shared" ca="1" si="102"/>
        <v>C</v>
      </c>
      <c r="EF37" s="301">
        <f t="shared" si="74"/>
        <v>0</v>
      </c>
      <c r="EG37" s="301" t="str">
        <f t="shared" ca="1" si="103"/>
        <v>C</v>
      </c>
      <c r="EH37" s="301" t="str">
        <f t="shared" ca="1" si="103"/>
        <v>C</v>
      </c>
      <c r="EI37" s="301" t="str">
        <f t="shared" ca="1" si="103"/>
        <v>C</v>
      </c>
      <c r="EJ37" s="301" t="str">
        <f t="shared" ca="1" si="103"/>
        <v>C</v>
      </c>
      <c r="EK37" s="301" t="str">
        <f t="shared" ca="1" si="103"/>
        <v>C</v>
      </c>
      <c r="EL37" s="301" t="str">
        <f t="shared" ca="1" si="103"/>
        <v>C</v>
      </c>
      <c r="EM37" s="301" t="str">
        <f t="shared" ca="1" si="103"/>
        <v>C</v>
      </c>
      <c r="EN37" s="301" t="str">
        <f t="shared" ca="1" si="103"/>
        <v>C</v>
      </c>
      <c r="EO37" s="301" t="str">
        <f t="shared" ca="1" si="103"/>
        <v>C</v>
      </c>
      <c r="EP37" s="301" t="str">
        <f t="shared" ca="1" si="103"/>
        <v>C</v>
      </c>
      <c r="EQ37" s="301" t="str">
        <f t="shared" ca="1" si="104"/>
        <v>C</v>
      </c>
      <c r="ER37" s="301" t="str">
        <f t="shared" ca="1" si="104"/>
        <v>C</v>
      </c>
      <c r="ES37" s="301" t="str">
        <f t="shared" ca="1" si="104"/>
        <v>C</v>
      </c>
      <c r="ET37" s="301" t="str">
        <f t="shared" ca="1" si="104"/>
        <v>C</v>
      </c>
      <c r="EU37" s="301" t="str">
        <f t="shared" ca="1" si="104"/>
        <v>C</v>
      </c>
      <c r="EV37" s="301" t="str">
        <f t="shared" ca="1" si="104"/>
        <v>C</v>
      </c>
      <c r="EW37" s="301" t="str">
        <f t="shared" ca="1" si="104"/>
        <v>C</v>
      </c>
      <c r="EX37" s="301" t="str">
        <f t="shared" ca="1" si="104"/>
        <v>C</v>
      </c>
      <c r="EY37" s="301" t="str">
        <f t="shared" ca="1" si="104"/>
        <v>C</v>
      </c>
      <c r="EZ37" s="301" t="str">
        <f t="shared" ca="1" si="104"/>
        <v>C</v>
      </c>
      <c r="FA37" s="301" t="str">
        <f t="shared" ca="1" si="105"/>
        <v>C</v>
      </c>
      <c r="FB37" s="301" t="str">
        <f t="shared" ca="1" si="105"/>
        <v>C</v>
      </c>
      <c r="FC37" s="301" t="str">
        <f t="shared" ca="1" si="105"/>
        <v>C</v>
      </c>
      <c r="FD37" s="301" t="str">
        <f t="shared" ca="1" si="105"/>
        <v>C</v>
      </c>
      <c r="FE37" s="301" t="str">
        <f t="shared" ca="1" si="105"/>
        <v>C</v>
      </c>
      <c r="FF37" s="301" t="str">
        <f t="shared" ca="1" si="105"/>
        <v>C</v>
      </c>
      <c r="FG37" s="301" t="str">
        <f t="shared" ca="1" si="105"/>
        <v>C</v>
      </c>
      <c r="FH37" s="301" t="str">
        <f t="shared" ca="1" si="105"/>
        <v>C</v>
      </c>
      <c r="FI37" s="301" t="str">
        <f t="shared" ca="1" si="105"/>
        <v>C</v>
      </c>
      <c r="FJ37" s="301" t="str">
        <f t="shared" ca="1" si="105"/>
        <v>C</v>
      </c>
      <c r="FK37" s="301" t="str">
        <f t="shared" ca="1" si="105"/>
        <v>C</v>
      </c>
      <c r="FL37" s="301" t="str">
        <f t="shared" ca="1" si="105"/>
        <v>C</v>
      </c>
    </row>
    <row r="38" spans="1:168" x14ac:dyDescent="0.2">
      <c r="A38" s="24" t="str">
        <f t="shared" si="78"/>
        <v>Zweihandflegel</v>
      </c>
      <c r="B38" s="317" t="str">
        <f t="shared" ca="1" si="0"/>
        <v/>
      </c>
      <c r="C38" s="332" t="str">
        <f ca="1">IF(OR(NOT(ISBLANK(D38)),NOT(ISBLANK(HLOOKUP(RASSEGENE,RASSE,$CD38,FALSE))),
NOT(ISBLANK(HLOOKUP(KULTURGENE,KULTUR,$CD38,FALSE))),
NOT(OR(ISBLANK(HLOOKUP(PROFGENE,INDIRECT(PROFGEBIET),$CD38,FALSE)),$CS38="N",$CS38="M")),
IF(PROFZWEITE="",FALSE,NOT(ISBLANK(HLOOKUP(PROFZWEITE,INDIRECT(PROFGEBIET2),$CD38,FALSE))))),"x","")</f>
        <v/>
      </c>
      <c r="D38" s="1110"/>
      <c r="E38" s="1424"/>
      <c r="F38" s="325"/>
      <c r="G38" s="958"/>
      <c r="H38" s="1196"/>
      <c r="I38" s="326"/>
      <c r="J38" s="1880" t="str">
        <f t="shared" ca="1" si="79"/>
        <v/>
      </c>
      <c r="K38" s="1881"/>
      <c r="L38" s="1881"/>
      <c r="M38" s="1881"/>
      <c r="N38" s="1882"/>
      <c r="O38" s="613" t="str">
        <f t="shared" ca="1" si="2"/>
        <v/>
      </c>
      <c r="P38" s="640"/>
      <c r="Q38" s="637" t="str">
        <f>IF(ISBLANK($P38),"",SUM(AT,PA,$B38,$G38,$I38)-$P38)</f>
        <v/>
      </c>
      <c r="R38" s="1313"/>
      <c r="S38" s="1313"/>
      <c r="T38" s="1315"/>
      <c r="U38" s="1283"/>
      <c r="V38" s="628" t="str">
        <f t="shared" ca="1" si="97"/>
        <v/>
      </c>
      <c r="W38" s="164">
        <f t="shared" ca="1" si="4"/>
        <v>0</v>
      </c>
      <c r="X38" s="164">
        <f t="shared" ca="1" si="5"/>
        <v>0</v>
      </c>
      <c r="Y38" s="164">
        <f t="shared" ca="1" si="6"/>
        <v>0</v>
      </c>
      <c r="Z38" s="164">
        <f t="shared" ca="1" si="7"/>
        <v>0</v>
      </c>
      <c r="AA38" s="164">
        <f t="shared" ca="1" si="8"/>
        <v>0</v>
      </c>
      <c r="AB38" s="164">
        <f t="shared" ca="1" si="9"/>
        <v>0</v>
      </c>
      <c r="AC38" s="164">
        <f t="shared" ca="1" si="10"/>
        <v>0</v>
      </c>
      <c r="AD38" s="164">
        <f t="shared" ca="1" si="11"/>
        <v>0</v>
      </c>
      <c r="AE38" s="164">
        <f t="shared" ca="1" si="12"/>
        <v>0</v>
      </c>
      <c r="AF38" s="164">
        <f t="shared" ca="1" si="13"/>
        <v>0</v>
      </c>
      <c r="AG38" s="164">
        <f t="shared" ca="1" si="14"/>
        <v>0</v>
      </c>
      <c r="AH38" s="164">
        <f t="shared" ca="1" si="15"/>
        <v>0</v>
      </c>
      <c r="AI38" s="164">
        <f t="shared" ca="1" si="16"/>
        <v>0</v>
      </c>
      <c r="AJ38" s="164">
        <f t="shared" ca="1" si="17"/>
        <v>0</v>
      </c>
      <c r="AK38" s="164">
        <f t="shared" ca="1" si="18"/>
        <v>0</v>
      </c>
      <c r="AL38" s="164">
        <f t="shared" ca="1" si="19"/>
        <v>0</v>
      </c>
      <c r="AM38" s="164">
        <f t="shared" ca="1" si="20"/>
        <v>0</v>
      </c>
      <c r="AN38" s="164">
        <f t="shared" ca="1" si="21"/>
        <v>0</v>
      </c>
      <c r="AO38" s="164">
        <f t="shared" ca="1" si="22"/>
        <v>0</v>
      </c>
      <c r="AP38" s="164">
        <f t="shared" ca="1" si="23"/>
        <v>0</v>
      </c>
      <c r="AQ38" s="164">
        <f t="shared" ca="1" si="24"/>
        <v>0</v>
      </c>
      <c r="AR38" s="164">
        <f t="shared" ca="1" si="25"/>
        <v>0</v>
      </c>
      <c r="AS38" s="152"/>
      <c r="AT38" s="154">
        <f t="shared" ca="1" si="26"/>
        <v>0</v>
      </c>
      <c r="AU38" s="154">
        <f t="shared" ca="1" si="27"/>
        <v>0</v>
      </c>
      <c r="AV38" s="154">
        <f t="shared" ca="1" si="28"/>
        <v>0</v>
      </c>
      <c r="AW38" s="154">
        <f t="shared" ca="1" si="29"/>
        <v>0</v>
      </c>
      <c r="AX38" s="154">
        <f t="shared" ca="1" si="30"/>
        <v>0</v>
      </c>
      <c r="AY38" s="154">
        <f t="shared" ca="1" si="31"/>
        <v>0</v>
      </c>
      <c r="AZ38" s="154">
        <f t="shared" ca="1" si="32"/>
        <v>0</v>
      </c>
      <c r="BA38" s="154">
        <f t="shared" ca="1" si="33"/>
        <v>0</v>
      </c>
      <c r="BB38" s="154">
        <f t="shared" ca="1" si="34"/>
        <v>0</v>
      </c>
      <c r="BC38" s="154">
        <f t="shared" ca="1" si="35"/>
        <v>0</v>
      </c>
      <c r="BD38" s="154">
        <f t="shared" ca="1" si="36"/>
        <v>0</v>
      </c>
      <c r="BE38" s="154">
        <f t="shared" ca="1" si="37"/>
        <v>0</v>
      </c>
      <c r="BF38" s="154">
        <f t="shared" ca="1" si="38"/>
        <v>0</v>
      </c>
      <c r="BG38" s="154">
        <f t="shared" ca="1" si="39"/>
        <v>0</v>
      </c>
      <c r="BH38" s="154">
        <f t="shared" ca="1" si="40"/>
        <v>0</v>
      </c>
      <c r="BI38" s="154">
        <f t="shared" ca="1" si="41"/>
        <v>0</v>
      </c>
      <c r="BJ38" s="154">
        <f t="shared" ca="1" si="42"/>
        <v>0</v>
      </c>
      <c r="BK38" s="154">
        <f t="shared" ca="1" si="43"/>
        <v>0</v>
      </c>
      <c r="BL38" s="154">
        <f t="shared" ca="1" si="44"/>
        <v>0</v>
      </c>
      <c r="BM38" s="154">
        <f t="shared" ca="1" si="45"/>
        <v>0</v>
      </c>
      <c r="BN38" s="154">
        <f t="shared" ca="1" si="46"/>
        <v>0</v>
      </c>
      <c r="BO38" s="154">
        <f t="shared" ca="1" si="47"/>
        <v>0</v>
      </c>
      <c r="BP38" s="154">
        <f t="shared" ca="1" si="48"/>
        <v>0</v>
      </c>
      <c r="BQ38" s="154">
        <f t="shared" ca="1" si="49"/>
        <v>0</v>
      </c>
      <c r="BR38" s="154">
        <f t="shared" ca="1" si="50"/>
        <v>0</v>
      </c>
      <c r="BS38" s="154">
        <f t="shared" ca="1" si="51"/>
        <v>0</v>
      </c>
      <c r="BT38" s="154">
        <f t="shared" ca="1" si="52"/>
        <v>0</v>
      </c>
      <c r="BU38" s="154">
        <f t="shared" ca="1" si="53"/>
        <v>0</v>
      </c>
      <c r="BV38" s="154">
        <f t="shared" ca="1" si="54"/>
        <v>0</v>
      </c>
      <c r="BW38" s="154">
        <f t="shared" ca="1" si="55"/>
        <v>0</v>
      </c>
      <c r="BX38" s="154">
        <f t="shared" ca="1" si="56"/>
        <v>0</v>
      </c>
      <c r="BY38" s="154">
        <f t="shared" ca="1" si="57"/>
        <v>0</v>
      </c>
      <c r="BZ38" s="154">
        <f t="shared" ca="1" si="98"/>
        <v>0</v>
      </c>
      <c r="CA38" s="154">
        <f t="shared" ca="1" si="99"/>
        <v>0</v>
      </c>
      <c r="CB38" s="154">
        <f t="shared" ca="1" si="100"/>
        <v>0</v>
      </c>
      <c r="CC38" s="523"/>
      <c r="CD38" s="355">
        <f t="shared" si="60"/>
        <v>67</v>
      </c>
      <c r="CE38" s="268" t="str">
        <f t="shared" ca="1" si="81"/>
        <v>D</v>
      </c>
      <c r="CF38" s="355" t="str">
        <f ca="1">IF(EXACT($B38,""),$CF37,CONCATENATE($CF37,$A38))</f>
        <v/>
      </c>
      <c r="CG38" s="268"/>
      <c r="CH38" s="268"/>
      <c r="CI38" s="269">
        <f t="shared" ca="1" si="61"/>
        <v>0</v>
      </c>
      <c r="CJ38" s="269">
        <f t="shared" ca="1" si="62"/>
        <v>0</v>
      </c>
      <c r="CK38" s="269"/>
      <c r="CL38" s="269"/>
      <c r="CM38" s="268">
        <f t="shared" ca="1" si="82"/>
        <v>0</v>
      </c>
      <c r="CN38" s="269">
        <f t="shared" ca="1" si="83"/>
        <v>0</v>
      </c>
      <c r="CO38" s="268" t="str">
        <f ca="1">CHAR(CODE(VLOOKUP($A38,TL_KPF_WERTE,6,FALSE))+$CN38)</f>
        <v>D</v>
      </c>
      <c r="CP38" s="269" t="b">
        <f t="shared" ca="1" si="64"/>
        <v>1</v>
      </c>
      <c r="CQ38" s="269">
        <f t="shared" si="65"/>
        <v>0</v>
      </c>
      <c r="CR38" s="269">
        <f t="shared" si="66"/>
        <v>0</v>
      </c>
      <c r="CS38" s="269">
        <f t="shared" ca="1" si="67"/>
        <v>0</v>
      </c>
      <c r="CT38" s="302" t="str">
        <f t="shared" ca="1" si="84"/>
        <v>0</v>
      </c>
      <c r="CU38" s="269">
        <f t="shared" ca="1" si="68"/>
        <v>0</v>
      </c>
      <c r="CV38" s="268"/>
      <c r="CW38" s="269">
        <f t="shared" ca="1" si="69"/>
        <v>0</v>
      </c>
      <c r="CX38" s="301">
        <f t="shared" ca="1" si="70"/>
        <v>0</v>
      </c>
      <c r="CY38" s="301">
        <f t="shared" ca="1" si="85"/>
        <v>0</v>
      </c>
      <c r="CZ38" s="301">
        <f t="shared" ca="1" si="71"/>
        <v>0</v>
      </c>
      <c r="DA38" s="301">
        <f t="shared" ca="1" si="86"/>
        <v>0</v>
      </c>
      <c r="DB38" t="str">
        <f ca="1">IF(AND(EXACT($C38,""),ISBLANK($I38)),"",IF(SUM($P38,$Q38)&lt;SUM(AT,PA,$B38,$G38,$I38),"noch TaP zu verteilen! ►",IF($P38&lt;AT,"Immer diese Pazifisten",IF($P38&gt;SUM(AT,$B38,$G38,$I38),"Ach, pfeif drauf! ATTACKE!",""))))</f>
        <v/>
      </c>
      <c r="DC38" s="301" t="str">
        <f ca="1">IF($O38="","",IF($O38&gt;MAX(GE,KK)+3-CJ38*2," TaW&gt; Max(GE;KK)+"&amp;3-CJ38*2,""))</f>
        <v/>
      </c>
      <c r="DD38" s="1337" t="str">
        <f t="shared" ca="1" si="87"/>
        <v/>
      </c>
      <c r="DE38" s="1337" t="str">
        <f t="shared" ca="1" si="88"/>
        <v/>
      </c>
      <c r="DG38" s="269"/>
      <c r="DH38" s="269"/>
      <c r="DI38" s="269" t="str">
        <f ca="1">IF(NOT(ISERR(FIND(A38,Abfragen!$O$264,1))),MID(Abfragen!$O$264,FIND("(",Abfragen!$O$264,FIND(A38,Abfragen!$O$264,1)+LEN(A38))+1,FIND(")",Abfragen!$O$264,FIND(A38,Abfragen!$O$264,1)+LEN(A38))-FIND("(",Abfragen!$O$264,FIND(A38,Abfragen!$O$264,1)+LEN(A38))-1),"")</f>
        <v/>
      </c>
      <c r="DJ38" s="301" t="str">
        <f t="shared" ca="1" si="101"/>
        <v>D</v>
      </c>
      <c r="DK38" s="301" t="str">
        <f t="shared" ca="1" si="101"/>
        <v>D</v>
      </c>
      <c r="DL38" s="301" t="str">
        <f t="shared" ca="1" si="101"/>
        <v>D</v>
      </c>
      <c r="DM38" s="301" t="str">
        <f t="shared" ca="1" si="101"/>
        <v>D</v>
      </c>
      <c r="DN38" s="301" t="str">
        <f t="shared" ca="1" si="101"/>
        <v>D</v>
      </c>
      <c r="DO38" s="301" t="str">
        <f t="shared" ca="1" si="101"/>
        <v>D</v>
      </c>
      <c r="DP38" s="301" t="str">
        <f t="shared" ca="1" si="101"/>
        <v>D</v>
      </c>
      <c r="DQ38" s="301" t="str">
        <f t="shared" ca="1" si="101"/>
        <v>D</v>
      </c>
      <c r="DR38" s="301" t="str">
        <f t="shared" ca="1" si="101"/>
        <v>D</v>
      </c>
      <c r="DS38" s="301" t="str">
        <f t="shared" ca="1" si="101"/>
        <v>D</v>
      </c>
      <c r="DT38" s="301" t="str">
        <f t="shared" ca="1" si="102"/>
        <v>D</v>
      </c>
      <c r="DU38" s="301" t="str">
        <f t="shared" ca="1" si="102"/>
        <v>D</v>
      </c>
      <c r="DV38" s="301" t="str">
        <f t="shared" ca="1" si="102"/>
        <v>D</v>
      </c>
      <c r="DW38" s="301" t="str">
        <f t="shared" ca="1" si="102"/>
        <v>D</v>
      </c>
      <c r="DX38" s="301" t="str">
        <f t="shared" ca="1" si="102"/>
        <v>D</v>
      </c>
      <c r="DY38" s="301" t="str">
        <f t="shared" ca="1" si="102"/>
        <v>D</v>
      </c>
      <c r="DZ38" s="301" t="str">
        <f t="shared" ca="1" si="102"/>
        <v>D</v>
      </c>
      <c r="EA38" s="301" t="str">
        <f t="shared" ca="1" si="102"/>
        <v>D</v>
      </c>
      <c r="EB38" s="301" t="str">
        <f t="shared" ca="1" si="102"/>
        <v>D</v>
      </c>
      <c r="EC38" s="301" t="str">
        <f t="shared" ca="1" si="102"/>
        <v>D</v>
      </c>
      <c r="ED38" s="301" t="str">
        <f t="shared" ca="1" si="102"/>
        <v>D</v>
      </c>
      <c r="EE38" s="301" t="str">
        <f t="shared" ca="1" si="102"/>
        <v>D</v>
      </c>
      <c r="EF38" s="301">
        <f t="shared" si="74"/>
        <v>0</v>
      </c>
      <c r="EG38" s="301" t="str">
        <f t="shared" ca="1" si="103"/>
        <v>D</v>
      </c>
      <c r="EH38" s="301" t="str">
        <f t="shared" ca="1" si="103"/>
        <v>D</v>
      </c>
      <c r="EI38" s="301" t="str">
        <f t="shared" ca="1" si="103"/>
        <v>D</v>
      </c>
      <c r="EJ38" s="301" t="str">
        <f t="shared" ca="1" si="103"/>
        <v>D</v>
      </c>
      <c r="EK38" s="301" t="str">
        <f t="shared" ca="1" si="103"/>
        <v>D</v>
      </c>
      <c r="EL38" s="301" t="str">
        <f t="shared" ca="1" si="103"/>
        <v>D</v>
      </c>
      <c r="EM38" s="301" t="str">
        <f t="shared" ca="1" si="103"/>
        <v>D</v>
      </c>
      <c r="EN38" s="301" t="str">
        <f t="shared" ca="1" si="103"/>
        <v>D</v>
      </c>
      <c r="EO38" s="301" t="str">
        <f t="shared" ca="1" si="103"/>
        <v>D</v>
      </c>
      <c r="EP38" s="301" t="str">
        <f t="shared" ca="1" si="103"/>
        <v>D</v>
      </c>
      <c r="EQ38" s="301" t="str">
        <f t="shared" ca="1" si="104"/>
        <v>D</v>
      </c>
      <c r="ER38" s="301" t="str">
        <f t="shared" ca="1" si="104"/>
        <v>D</v>
      </c>
      <c r="ES38" s="301" t="str">
        <f t="shared" ca="1" si="104"/>
        <v>D</v>
      </c>
      <c r="ET38" s="301" t="str">
        <f t="shared" ca="1" si="104"/>
        <v>D</v>
      </c>
      <c r="EU38" s="301" t="str">
        <f t="shared" ca="1" si="104"/>
        <v>D</v>
      </c>
      <c r="EV38" s="301" t="str">
        <f t="shared" ca="1" si="104"/>
        <v>D</v>
      </c>
      <c r="EW38" s="301" t="str">
        <f t="shared" ca="1" si="104"/>
        <v>D</v>
      </c>
      <c r="EX38" s="301" t="str">
        <f t="shared" ca="1" si="104"/>
        <v>D</v>
      </c>
      <c r="EY38" s="301" t="str">
        <f t="shared" ca="1" si="104"/>
        <v>D</v>
      </c>
      <c r="EZ38" s="301" t="str">
        <f t="shared" ca="1" si="104"/>
        <v>D</v>
      </c>
      <c r="FA38" s="301" t="str">
        <f t="shared" ca="1" si="105"/>
        <v>D</v>
      </c>
      <c r="FB38" s="301" t="str">
        <f t="shared" ca="1" si="105"/>
        <v>D</v>
      </c>
      <c r="FC38" s="301" t="str">
        <f t="shared" ca="1" si="105"/>
        <v>D</v>
      </c>
      <c r="FD38" s="301" t="str">
        <f t="shared" ca="1" si="105"/>
        <v>D</v>
      </c>
      <c r="FE38" s="301" t="str">
        <f t="shared" ca="1" si="105"/>
        <v>D</v>
      </c>
      <c r="FF38" s="301" t="str">
        <f t="shared" ca="1" si="105"/>
        <v>D</v>
      </c>
      <c r="FG38" s="301" t="str">
        <f t="shared" ca="1" si="105"/>
        <v>D</v>
      </c>
      <c r="FH38" s="301" t="str">
        <f t="shared" ca="1" si="105"/>
        <v>D</v>
      </c>
      <c r="FI38" s="301" t="str">
        <f t="shared" ca="1" si="105"/>
        <v>D</v>
      </c>
      <c r="FJ38" s="301" t="str">
        <f t="shared" ca="1" si="105"/>
        <v>D</v>
      </c>
      <c r="FK38" s="301" t="str">
        <f t="shared" ca="1" si="105"/>
        <v>D</v>
      </c>
      <c r="FL38" s="301" t="str">
        <f t="shared" ca="1" si="105"/>
        <v>D</v>
      </c>
    </row>
    <row r="39" spans="1:168" x14ac:dyDescent="0.2">
      <c r="A39" s="24" t="str">
        <f t="shared" si="78"/>
        <v>Zweihand-Hiebwaffen</v>
      </c>
      <c r="B39" s="317" t="str">
        <f t="shared" ca="1" si="0"/>
        <v/>
      </c>
      <c r="C39" s="332" t="str">
        <f ca="1">IF(OR(NOT(ISBLANK(D39)),NOT(ISBLANK(HLOOKUP(RASSEGENE,RASSE,$CD39,FALSE))),
NOT(ISBLANK(HLOOKUP(KULTURGENE,KULTUR,$CD39,FALSE))),
NOT(OR(ISBLANK(HLOOKUP(PROFGENE,INDIRECT(PROFGEBIET),$CD39,FALSE)),$CS39="N",$CS39="M")),
IF(PROFZWEITE="",FALSE,NOT(ISBLANK(HLOOKUP(PROFZWEITE,INDIRECT(PROFGEBIET2),$CD39,FALSE))))),"x","")</f>
        <v/>
      </c>
      <c r="D39" s="1110"/>
      <c r="E39" s="1424"/>
      <c r="F39" s="325"/>
      <c r="G39" s="958"/>
      <c r="H39" s="1196"/>
      <c r="I39" s="326"/>
      <c r="J39" s="1880" t="str">
        <f t="shared" ca="1" si="79"/>
        <v/>
      </c>
      <c r="K39" s="1881"/>
      <c r="L39" s="1881"/>
      <c r="M39" s="1881"/>
      <c r="N39" s="1882"/>
      <c r="O39" s="613" t="str">
        <f t="shared" ca="1" si="2"/>
        <v/>
      </c>
      <c r="P39" s="640"/>
      <c r="Q39" s="637" t="str">
        <f>IF(ISBLANK($P39),"",SUM(AT,PA,$B39,$G39,$I39)-$P39)</f>
        <v/>
      </c>
      <c r="R39" s="1313"/>
      <c r="S39" s="1313"/>
      <c r="T39" s="1315"/>
      <c r="U39" s="1283"/>
      <c r="V39" s="628" t="str">
        <f t="shared" ca="1" si="97"/>
        <v/>
      </c>
      <c r="W39" s="164">
        <f t="shared" ca="1" si="4"/>
        <v>0</v>
      </c>
      <c r="X39" s="164">
        <f t="shared" ca="1" si="5"/>
        <v>0</v>
      </c>
      <c r="Y39" s="164">
        <f t="shared" ca="1" si="6"/>
        <v>0</v>
      </c>
      <c r="Z39" s="164">
        <f t="shared" ca="1" si="7"/>
        <v>0</v>
      </c>
      <c r="AA39" s="164">
        <f t="shared" ca="1" si="8"/>
        <v>0</v>
      </c>
      <c r="AB39" s="164">
        <f t="shared" ca="1" si="9"/>
        <v>0</v>
      </c>
      <c r="AC39" s="164">
        <f t="shared" ca="1" si="10"/>
        <v>0</v>
      </c>
      <c r="AD39" s="164">
        <f t="shared" ca="1" si="11"/>
        <v>0</v>
      </c>
      <c r="AE39" s="164">
        <f t="shared" ca="1" si="12"/>
        <v>0</v>
      </c>
      <c r="AF39" s="164">
        <f t="shared" ca="1" si="13"/>
        <v>0</v>
      </c>
      <c r="AG39" s="164">
        <f t="shared" ca="1" si="14"/>
        <v>0</v>
      </c>
      <c r="AH39" s="164">
        <f t="shared" ca="1" si="15"/>
        <v>0</v>
      </c>
      <c r="AI39" s="164">
        <f t="shared" ca="1" si="16"/>
        <v>0</v>
      </c>
      <c r="AJ39" s="164">
        <f t="shared" ca="1" si="17"/>
        <v>0</v>
      </c>
      <c r="AK39" s="164">
        <f t="shared" ca="1" si="18"/>
        <v>0</v>
      </c>
      <c r="AL39" s="164">
        <f t="shared" ca="1" si="19"/>
        <v>0</v>
      </c>
      <c r="AM39" s="164">
        <f t="shared" ca="1" si="20"/>
        <v>0</v>
      </c>
      <c r="AN39" s="164">
        <f t="shared" ca="1" si="21"/>
        <v>0</v>
      </c>
      <c r="AO39" s="164">
        <f t="shared" ca="1" si="22"/>
        <v>0</v>
      </c>
      <c r="AP39" s="164">
        <f t="shared" ca="1" si="23"/>
        <v>0</v>
      </c>
      <c r="AQ39" s="164">
        <f t="shared" ca="1" si="24"/>
        <v>0</v>
      </c>
      <c r="AR39" s="164">
        <f t="shared" ca="1" si="25"/>
        <v>0</v>
      </c>
      <c r="AS39" s="152"/>
      <c r="AT39" s="154">
        <f t="shared" ca="1" si="26"/>
        <v>0</v>
      </c>
      <c r="AU39" s="154">
        <f t="shared" ca="1" si="27"/>
        <v>0</v>
      </c>
      <c r="AV39" s="154">
        <f t="shared" ca="1" si="28"/>
        <v>0</v>
      </c>
      <c r="AW39" s="154">
        <f t="shared" ca="1" si="29"/>
        <v>0</v>
      </c>
      <c r="AX39" s="154">
        <f t="shared" ca="1" si="30"/>
        <v>0</v>
      </c>
      <c r="AY39" s="154">
        <f t="shared" ca="1" si="31"/>
        <v>0</v>
      </c>
      <c r="AZ39" s="154">
        <f t="shared" ca="1" si="32"/>
        <v>0</v>
      </c>
      <c r="BA39" s="154">
        <f t="shared" ca="1" si="33"/>
        <v>0</v>
      </c>
      <c r="BB39" s="154">
        <f t="shared" ca="1" si="34"/>
        <v>0</v>
      </c>
      <c r="BC39" s="154">
        <f t="shared" ca="1" si="35"/>
        <v>0</v>
      </c>
      <c r="BD39" s="154">
        <f t="shared" ca="1" si="36"/>
        <v>0</v>
      </c>
      <c r="BE39" s="154">
        <f t="shared" ca="1" si="37"/>
        <v>0</v>
      </c>
      <c r="BF39" s="154">
        <f t="shared" ca="1" si="38"/>
        <v>0</v>
      </c>
      <c r="BG39" s="154">
        <f t="shared" ca="1" si="39"/>
        <v>0</v>
      </c>
      <c r="BH39" s="154">
        <f t="shared" ca="1" si="40"/>
        <v>0</v>
      </c>
      <c r="BI39" s="154">
        <f t="shared" ca="1" si="41"/>
        <v>0</v>
      </c>
      <c r="BJ39" s="154">
        <f t="shared" ca="1" si="42"/>
        <v>0</v>
      </c>
      <c r="BK39" s="154">
        <f t="shared" ca="1" si="43"/>
        <v>0</v>
      </c>
      <c r="BL39" s="154">
        <f t="shared" ca="1" si="44"/>
        <v>0</v>
      </c>
      <c r="BM39" s="154">
        <f t="shared" ca="1" si="45"/>
        <v>0</v>
      </c>
      <c r="BN39" s="154">
        <f t="shared" ca="1" si="46"/>
        <v>0</v>
      </c>
      <c r="BO39" s="154">
        <f t="shared" ca="1" si="47"/>
        <v>0</v>
      </c>
      <c r="BP39" s="154">
        <f t="shared" ca="1" si="48"/>
        <v>0</v>
      </c>
      <c r="BQ39" s="154">
        <f t="shared" ca="1" si="49"/>
        <v>0</v>
      </c>
      <c r="BR39" s="154">
        <f t="shared" ca="1" si="50"/>
        <v>0</v>
      </c>
      <c r="BS39" s="154">
        <f t="shared" ca="1" si="51"/>
        <v>0</v>
      </c>
      <c r="BT39" s="154">
        <f t="shared" ca="1" si="52"/>
        <v>0</v>
      </c>
      <c r="BU39" s="154">
        <f t="shared" ca="1" si="53"/>
        <v>0</v>
      </c>
      <c r="BV39" s="154">
        <f t="shared" ca="1" si="54"/>
        <v>0</v>
      </c>
      <c r="BW39" s="154">
        <f t="shared" ca="1" si="55"/>
        <v>0</v>
      </c>
      <c r="BX39" s="154">
        <f t="shared" ca="1" si="56"/>
        <v>0</v>
      </c>
      <c r="BY39" s="154">
        <f t="shared" ca="1" si="57"/>
        <v>0</v>
      </c>
      <c r="BZ39" s="154">
        <f t="shared" ca="1" si="98"/>
        <v>0</v>
      </c>
      <c r="CA39" s="154">
        <f t="shared" ca="1" si="99"/>
        <v>0</v>
      </c>
      <c r="CB39" s="154">
        <f t="shared" ca="1" si="100"/>
        <v>0</v>
      </c>
      <c r="CC39" s="523"/>
      <c r="CD39" s="355">
        <f t="shared" si="60"/>
        <v>68</v>
      </c>
      <c r="CE39" s="268" t="str">
        <f t="shared" ca="1" si="81"/>
        <v>D</v>
      </c>
      <c r="CF39" s="355" t="str">
        <f ca="1">IF(EXACT($B39,""),$CF38,CONCATENATE($CF38,$A39))</f>
        <v/>
      </c>
      <c r="CG39" s="268"/>
      <c r="CH39" s="268"/>
      <c r="CI39" s="269">
        <f t="shared" ca="1" si="61"/>
        <v>0</v>
      </c>
      <c r="CJ39" s="269">
        <f t="shared" ca="1" si="62"/>
        <v>0</v>
      </c>
      <c r="CK39" s="269"/>
      <c r="CL39" s="269"/>
      <c r="CM39" s="268">
        <f t="shared" ca="1" si="82"/>
        <v>0</v>
      </c>
      <c r="CN39" s="269">
        <f t="shared" ca="1" si="83"/>
        <v>0</v>
      </c>
      <c r="CO39" s="268" t="str">
        <f ca="1">CHAR(CODE(VLOOKUP($A39,TL_KPF_WERTE,6,FALSE))+$CN39)</f>
        <v>D</v>
      </c>
      <c r="CP39" s="269" t="b">
        <f t="shared" ca="1" si="64"/>
        <v>1</v>
      </c>
      <c r="CQ39" s="269">
        <f t="shared" si="65"/>
        <v>0</v>
      </c>
      <c r="CR39" s="269">
        <f t="shared" si="66"/>
        <v>0</v>
      </c>
      <c r="CS39" s="269">
        <f t="shared" ca="1" si="67"/>
        <v>0</v>
      </c>
      <c r="CT39" s="302" t="str">
        <f t="shared" ca="1" si="84"/>
        <v>0</v>
      </c>
      <c r="CU39" s="269">
        <f t="shared" ca="1" si="68"/>
        <v>0</v>
      </c>
      <c r="CV39" s="268"/>
      <c r="CW39" s="269">
        <f t="shared" ca="1" si="69"/>
        <v>0</v>
      </c>
      <c r="CX39" s="301">
        <f t="shared" ca="1" si="70"/>
        <v>0</v>
      </c>
      <c r="CY39" s="301">
        <f t="shared" ca="1" si="85"/>
        <v>0</v>
      </c>
      <c r="CZ39" s="301">
        <f t="shared" ca="1" si="71"/>
        <v>0</v>
      </c>
      <c r="DA39" s="301">
        <f t="shared" ca="1" si="86"/>
        <v>0</v>
      </c>
      <c r="DB39" t="str">
        <f ca="1">IF(AND(EXACT($C39,""),ISBLANK($I39)),"",IF(SUM($P39,$Q39)&lt;SUM(AT,PA,$B39,$G39,$I39),"noch TaP zu verteilen! ►",IF($P39&lt;AT,"Immer diese Pazifisten",IF($P39&gt;SUM(AT,$B39,$G39,$I39),"Ach, pfeif drauf! ATTACKE!",""))))</f>
        <v/>
      </c>
      <c r="DC39" s="301" t="str">
        <f ca="1">IF($O39="","",IF($O39&gt;MAX(GE,KK)+3-CJ39*2," TaW&gt; Max(GE;KK)+"&amp;3-CJ39*2,""))</f>
        <v/>
      </c>
      <c r="DD39" s="1337" t="str">
        <f t="shared" ca="1" si="87"/>
        <v/>
      </c>
      <c r="DE39" s="1337" t="str">
        <f t="shared" ca="1" si="88"/>
        <v/>
      </c>
      <c r="DG39" s="269"/>
      <c r="DH39" s="269"/>
      <c r="DI39" s="269" t="str">
        <f ca="1">IF(NOT(ISERR(FIND(A39,Abfragen!$O$264,1))),MID(Abfragen!$O$264,FIND("(",Abfragen!$O$264,FIND(A39,Abfragen!$O$264,1)+LEN(A39))+1,FIND(")",Abfragen!$O$264,FIND(A39,Abfragen!$O$264,1)+LEN(A39))-FIND("(",Abfragen!$O$264,FIND(A39,Abfragen!$O$264,1)+LEN(A39))-1),"")</f>
        <v/>
      </c>
      <c r="DJ39" s="301" t="str">
        <f t="shared" ca="1" si="101"/>
        <v>D</v>
      </c>
      <c r="DK39" s="301" t="str">
        <f t="shared" ca="1" si="101"/>
        <v>D</v>
      </c>
      <c r="DL39" s="301" t="str">
        <f t="shared" ca="1" si="101"/>
        <v>D</v>
      </c>
      <c r="DM39" s="301" t="str">
        <f t="shared" ca="1" si="101"/>
        <v>D</v>
      </c>
      <c r="DN39" s="301" t="str">
        <f t="shared" ca="1" si="101"/>
        <v>D</v>
      </c>
      <c r="DO39" s="301" t="str">
        <f t="shared" ca="1" si="101"/>
        <v>D</v>
      </c>
      <c r="DP39" s="301" t="str">
        <f t="shared" ca="1" si="101"/>
        <v>D</v>
      </c>
      <c r="DQ39" s="301" t="str">
        <f t="shared" ca="1" si="101"/>
        <v>D</v>
      </c>
      <c r="DR39" s="301" t="str">
        <f t="shared" ca="1" si="101"/>
        <v>D</v>
      </c>
      <c r="DS39" s="301" t="str">
        <f t="shared" ca="1" si="101"/>
        <v>D</v>
      </c>
      <c r="DT39" s="301" t="str">
        <f t="shared" ca="1" si="102"/>
        <v>D</v>
      </c>
      <c r="DU39" s="301" t="str">
        <f t="shared" ca="1" si="102"/>
        <v>D</v>
      </c>
      <c r="DV39" s="301" t="str">
        <f t="shared" ca="1" si="102"/>
        <v>D</v>
      </c>
      <c r="DW39" s="301" t="str">
        <f t="shared" ca="1" si="102"/>
        <v>D</v>
      </c>
      <c r="DX39" s="301" t="str">
        <f t="shared" ca="1" si="102"/>
        <v>D</v>
      </c>
      <c r="DY39" s="301" t="str">
        <f t="shared" ca="1" si="102"/>
        <v>D</v>
      </c>
      <c r="DZ39" s="301" t="str">
        <f t="shared" ca="1" si="102"/>
        <v>D</v>
      </c>
      <c r="EA39" s="301" t="str">
        <f t="shared" ca="1" si="102"/>
        <v>D</v>
      </c>
      <c r="EB39" s="301" t="str">
        <f t="shared" ca="1" si="102"/>
        <v>D</v>
      </c>
      <c r="EC39" s="301" t="str">
        <f t="shared" ca="1" si="102"/>
        <v>D</v>
      </c>
      <c r="ED39" s="301" t="str">
        <f t="shared" ca="1" si="102"/>
        <v>D</v>
      </c>
      <c r="EE39" s="301" t="str">
        <f t="shared" ca="1" si="102"/>
        <v>D</v>
      </c>
      <c r="EF39" s="301">
        <f t="shared" si="74"/>
        <v>0</v>
      </c>
      <c r="EG39" s="301" t="str">
        <f t="shared" ca="1" si="103"/>
        <v>D</v>
      </c>
      <c r="EH39" s="301" t="str">
        <f t="shared" ca="1" si="103"/>
        <v>D</v>
      </c>
      <c r="EI39" s="301" t="str">
        <f t="shared" ca="1" si="103"/>
        <v>D</v>
      </c>
      <c r="EJ39" s="301" t="str">
        <f t="shared" ca="1" si="103"/>
        <v>D</v>
      </c>
      <c r="EK39" s="301" t="str">
        <f t="shared" ca="1" si="103"/>
        <v>D</v>
      </c>
      <c r="EL39" s="301" t="str">
        <f t="shared" ca="1" si="103"/>
        <v>D</v>
      </c>
      <c r="EM39" s="301" t="str">
        <f t="shared" ca="1" si="103"/>
        <v>D</v>
      </c>
      <c r="EN39" s="301" t="str">
        <f t="shared" ca="1" si="103"/>
        <v>D</v>
      </c>
      <c r="EO39" s="301" t="str">
        <f t="shared" ca="1" si="103"/>
        <v>D</v>
      </c>
      <c r="EP39" s="301" t="str">
        <f t="shared" ca="1" si="103"/>
        <v>D</v>
      </c>
      <c r="EQ39" s="301" t="str">
        <f t="shared" ca="1" si="104"/>
        <v>D</v>
      </c>
      <c r="ER39" s="301" t="str">
        <f t="shared" ca="1" si="104"/>
        <v>D</v>
      </c>
      <c r="ES39" s="301" t="str">
        <f t="shared" ca="1" si="104"/>
        <v>D</v>
      </c>
      <c r="ET39" s="301" t="str">
        <f t="shared" ca="1" si="104"/>
        <v>D</v>
      </c>
      <c r="EU39" s="301" t="str">
        <f t="shared" ca="1" si="104"/>
        <v>D</v>
      </c>
      <c r="EV39" s="301" t="str">
        <f t="shared" ca="1" si="104"/>
        <v>D</v>
      </c>
      <c r="EW39" s="301" t="str">
        <f t="shared" ca="1" si="104"/>
        <v>D</v>
      </c>
      <c r="EX39" s="301" t="str">
        <f t="shared" ca="1" si="104"/>
        <v>D</v>
      </c>
      <c r="EY39" s="301" t="str">
        <f t="shared" ca="1" si="104"/>
        <v>D</v>
      </c>
      <c r="EZ39" s="301" t="str">
        <f t="shared" ca="1" si="104"/>
        <v>D</v>
      </c>
      <c r="FA39" s="301" t="str">
        <f t="shared" ca="1" si="105"/>
        <v>D</v>
      </c>
      <c r="FB39" s="301" t="str">
        <f t="shared" ca="1" si="105"/>
        <v>D</v>
      </c>
      <c r="FC39" s="301" t="str">
        <f t="shared" ca="1" si="105"/>
        <v>D</v>
      </c>
      <c r="FD39" s="301" t="str">
        <f t="shared" ca="1" si="105"/>
        <v>D</v>
      </c>
      <c r="FE39" s="301" t="str">
        <f t="shared" ca="1" si="105"/>
        <v>D</v>
      </c>
      <c r="FF39" s="301" t="str">
        <f t="shared" ca="1" si="105"/>
        <v>D</v>
      </c>
      <c r="FG39" s="301" t="str">
        <f t="shared" ca="1" si="105"/>
        <v>D</v>
      </c>
      <c r="FH39" s="301" t="str">
        <f t="shared" ca="1" si="105"/>
        <v>D</v>
      </c>
      <c r="FI39" s="301" t="str">
        <f t="shared" ca="1" si="105"/>
        <v>D</v>
      </c>
      <c r="FJ39" s="301" t="str">
        <f t="shared" ca="1" si="105"/>
        <v>D</v>
      </c>
      <c r="FK39" s="301" t="str">
        <f t="shared" ca="1" si="105"/>
        <v>D</v>
      </c>
      <c r="FL39" s="301" t="str">
        <f t="shared" ca="1" si="105"/>
        <v>D</v>
      </c>
    </row>
    <row r="40" spans="1:168" x14ac:dyDescent="0.2">
      <c r="A40" s="24" t="str">
        <f t="shared" si="78"/>
        <v>Zweihandschwerter/-säbel</v>
      </c>
      <c r="B40" s="317" t="str">
        <f t="shared" ca="1" si="0"/>
        <v/>
      </c>
      <c r="C40" s="332" t="str">
        <f ca="1">IF(OR(NOT(ISBLANK(D40)),NOT(ISBLANK(HLOOKUP(RASSEGENE,RASSE,$CD40,FALSE))),
NOT(ISBLANK(HLOOKUP(KULTURGENE,KULTUR,$CD40,FALSE))),
NOT(OR(ISBLANK(HLOOKUP(PROFGENE,INDIRECT(PROFGEBIET),$CD40,FALSE)),$CS40="N",$CS40="M")),
IF(PROFZWEITE="",FALSE,NOT(ISBLANK(HLOOKUP(PROFZWEITE,INDIRECT(PROFGEBIET2),$CD40,FALSE))))),"x","")</f>
        <v/>
      </c>
      <c r="D40" s="1110"/>
      <c r="E40" s="1424"/>
      <c r="F40" s="325"/>
      <c r="G40" s="958"/>
      <c r="H40" s="1196"/>
      <c r="I40" s="326"/>
      <c r="J40" s="1889" t="str">
        <f t="shared" ca="1" si="79"/>
        <v/>
      </c>
      <c r="K40" s="1890"/>
      <c r="L40" s="1890"/>
      <c r="M40" s="1890"/>
      <c r="N40" s="1891"/>
      <c r="O40" s="613" t="str">
        <f t="shared" ca="1" si="2"/>
        <v/>
      </c>
      <c r="P40" s="640"/>
      <c r="Q40" s="637" t="str">
        <f>IF(ISBLANK($P40),"",SUM(AT,PA,$B40,$G40,$I40)-$P40)</f>
        <v/>
      </c>
      <c r="R40" s="1313"/>
      <c r="S40" s="1313"/>
      <c r="T40" s="1315"/>
      <c r="U40" s="1283"/>
      <c r="V40" s="628" t="str">
        <f t="shared" ca="1" si="97"/>
        <v/>
      </c>
      <c r="W40" s="164">
        <f t="shared" ca="1" si="4"/>
        <v>0</v>
      </c>
      <c r="X40" s="164">
        <f t="shared" ca="1" si="5"/>
        <v>0</v>
      </c>
      <c r="Y40" s="164">
        <f t="shared" ca="1" si="6"/>
        <v>0</v>
      </c>
      <c r="Z40" s="164">
        <f t="shared" ca="1" si="7"/>
        <v>0</v>
      </c>
      <c r="AA40" s="164">
        <f t="shared" ca="1" si="8"/>
        <v>0</v>
      </c>
      <c r="AB40" s="164">
        <f t="shared" ca="1" si="9"/>
        <v>0</v>
      </c>
      <c r="AC40" s="164">
        <f t="shared" ca="1" si="10"/>
        <v>0</v>
      </c>
      <c r="AD40" s="164">
        <f t="shared" ca="1" si="11"/>
        <v>0</v>
      </c>
      <c r="AE40" s="164">
        <f t="shared" ca="1" si="12"/>
        <v>0</v>
      </c>
      <c r="AF40" s="164">
        <f t="shared" ca="1" si="13"/>
        <v>0</v>
      </c>
      <c r="AG40" s="164">
        <f t="shared" ca="1" si="14"/>
        <v>0</v>
      </c>
      <c r="AH40" s="164">
        <f t="shared" ca="1" si="15"/>
        <v>0</v>
      </c>
      <c r="AI40" s="164">
        <f t="shared" ca="1" si="16"/>
        <v>0</v>
      </c>
      <c r="AJ40" s="164">
        <f t="shared" ca="1" si="17"/>
        <v>0</v>
      </c>
      <c r="AK40" s="164">
        <f t="shared" ca="1" si="18"/>
        <v>0</v>
      </c>
      <c r="AL40" s="164">
        <f t="shared" ca="1" si="19"/>
        <v>0</v>
      </c>
      <c r="AM40" s="164">
        <f t="shared" ca="1" si="20"/>
        <v>0</v>
      </c>
      <c r="AN40" s="164">
        <f t="shared" ca="1" si="21"/>
        <v>0</v>
      </c>
      <c r="AO40" s="164">
        <f t="shared" ca="1" si="22"/>
        <v>0</v>
      </c>
      <c r="AP40" s="164">
        <f t="shared" ca="1" si="23"/>
        <v>0</v>
      </c>
      <c r="AQ40" s="164">
        <f t="shared" ca="1" si="24"/>
        <v>0</v>
      </c>
      <c r="AR40" s="164">
        <f t="shared" ca="1" si="25"/>
        <v>0</v>
      </c>
      <c r="AS40" s="152"/>
      <c r="AT40" s="154">
        <f t="shared" ca="1" si="26"/>
        <v>0</v>
      </c>
      <c r="AU40" s="154">
        <f t="shared" ca="1" si="27"/>
        <v>0</v>
      </c>
      <c r="AV40" s="154">
        <f t="shared" ca="1" si="28"/>
        <v>0</v>
      </c>
      <c r="AW40" s="154">
        <f t="shared" ca="1" si="29"/>
        <v>0</v>
      </c>
      <c r="AX40" s="154">
        <f t="shared" ca="1" si="30"/>
        <v>0</v>
      </c>
      <c r="AY40" s="154">
        <f t="shared" ca="1" si="31"/>
        <v>0</v>
      </c>
      <c r="AZ40" s="154">
        <f t="shared" ca="1" si="32"/>
        <v>0</v>
      </c>
      <c r="BA40" s="154">
        <f t="shared" ca="1" si="33"/>
        <v>0</v>
      </c>
      <c r="BB40" s="154">
        <f t="shared" ca="1" si="34"/>
        <v>0</v>
      </c>
      <c r="BC40" s="154">
        <f t="shared" ca="1" si="35"/>
        <v>0</v>
      </c>
      <c r="BD40" s="154">
        <f t="shared" ca="1" si="36"/>
        <v>0</v>
      </c>
      <c r="BE40" s="154">
        <f t="shared" ca="1" si="37"/>
        <v>0</v>
      </c>
      <c r="BF40" s="154">
        <f t="shared" ca="1" si="38"/>
        <v>0</v>
      </c>
      <c r="BG40" s="154">
        <f t="shared" ca="1" si="39"/>
        <v>0</v>
      </c>
      <c r="BH40" s="154">
        <f t="shared" ca="1" si="40"/>
        <v>0</v>
      </c>
      <c r="BI40" s="154">
        <f t="shared" ca="1" si="41"/>
        <v>0</v>
      </c>
      <c r="BJ40" s="154">
        <f t="shared" ca="1" si="42"/>
        <v>0</v>
      </c>
      <c r="BK40" s="154">
        <f t="shared" ca="1" si="43"/>
        <v>0</v>
      </c>
      <c r="BL40" s="154">
        <f t="shared" ca="1" si="44"/>
        <v>0</v>
      </c>
      <c r="BM40" s="154">
        <f t="shared" ca="1" si="45"/>
        <v>0</v>
      </c>
      <c r="BN40" s="154">
        <f t="shared" ca="1" si="46"/>
        <v>0</v>
      </c>
      <c r="BO40" s="154">
        <f t="shared" ca="1" si="47"/>
        <v>0</v>
      </c>
      <c r="BP40" s="154">
        <f t="shared" ca="1" si="48"/>
        <v>0</v>
      </c>
      <c r="BQ40" s="154">
        <f t="shared" ca="1" si="49"/>
        <v>0</v>
      </c>
      <c r="BR40" s="154">
        <f t="shared" ca="1" si="50"/>
        <v>0</v>
      </c>
      <c r="BS40" s="154">
        <f t="shared" ca="1" si="51"/>
        <v>0</v>
      </c>
      <c r="BT40" s="154">
        <f t="shared" ca="1" si="52"/>
        <v>0</v>
      </c>
      <c r="BU40" s="154">
        <f t="shared" ca="1" si="53"/>
        <v>0</v>
      </c>
      <c r="BV40" s="154">
        <f t="shared" ca="1" si="54"/>
        <v>0</v>
      </c>
      <c r="BW40" s="154">
        <f t="shared" ca="1" si="55"/>
        <v>0</v>
      </c>
      <c r="BX40" s="154">
        <f t="shared" ca="1" si="56"/>
        <v>0</v>
      </c>
      <c r="BY40" s="154">
        <f t="shared" ca="1" si="57"/>
        <v>0</v>
      </c>
      <c r="BZ40" s="154">
        <f t="shared" ca="1" si="98"/>
        <v>0</v>
      </c>
      <c r="CA40" s="154">
        <f t="shared" ca="1" si="99"/>
        <v>0</v>
      </c>
      <c r="CB40" s="154">
        <f t="shared" ca="1" si="100"/>
        <v>0</v>
      </c>
      <c r="CC40" s="523"/>
      <c r="CD40" s="355">
        <f t="shared" si="60"/>
        <v>69</v>
      </c>
      <c r="CE40" s="268" t="str">
        <f t="shared" ca="1" si="81"/>
        <v>E</v>
      </c>
      <c r="CF40" s="355" t="str">
        <f ca="1">IF(EXACT($B40,""),$CF39,CONCATENATE($CF39,$A40))</f>
        <v/>
      </c>
      <c r="CG40" s="268"/>
      <c r="CH40" s="268"/>
      <c r="CI40" s="269">
        <f t="shared" ca="1" si="61"/>
        <v>0</v>
      </c>
      <c r="CJ40" s="269">
        <f t="shared" ca="1" si="62"/>
        <v>0</v>
      </c>
      <c r="CK40" s="269"/>
      <c r="CL40" s="269"/>
      <c r="CM40" s="268">
        <f t="shared" ca="1" si="82"/>
        <v>0</v>
      </c>
      <c r="CN40" s="269">
        <f t="shared" ca="1" si="83"/>
        <v>0</v>
      </c>
      <c r="CO40" s="268" t="str">
        <f ca="1">CHAR(CODE(VLOOKUP($A40,TL_KPF_WERTE,6,FALSE))+$CN40)</f>
        <v>E</v>
      </c>
      <c r="CP40" s="269" t="b">
        <f t="shared" ca="1" si="64"/>
        <v>1</v>
      </c>
      <c r="CQ40" s="269">
        <f t="shared" si="65"/>
        <v>0</v>
      </c>
      <c r="CR40" s="269">
        <f t="shared" si="66"/>
        <v>0</v>
      </c>
      <c r="CS40" s="269">
        <f t="shared" ca="1" si="67"/>
        <v>0</v>
      </c>
      <c r="CT40" s="302" t="str">
        <f t="shared" ca="1" si="84"/>
        <v>0</v>
      </c>
      <c r="CU40" s="269">
        <f t="shared" ca="1" si="68"/>
        <v>0</v>
      </c>
      <c r="CV40" s="268"/>
      <c r="CW40" s="269">
        <f t="shared" ca="1" si="69"/>
        <v>0</v>
      </c>
      <c r="CX40" s="301">
        <f t="shared" ca="1" si="70"/>
        <v>0</v>
      </c>
      <c r="CY40" s="301">
        <f t="shared" ca="1" si="85"/>
        <v>0</v>
      </c>
      <c r="CZ40" s="301">
        <f t="shared" ca="1" si="71"/>
        <v>0</v>
      </c>
      <c r="DA40" s="301">
        <f t="shared" ca="1" si="86"/>
        <v>0</v>
      </c>
      <c r="DB40" t="str">
        <f ca="1">IF(AND(EXACT($C40,""),ISBLANK($I40)),"",IF(SUM($P40,$Q40)&lt;SUM(AT,PA,$B40,$G40,$I40),"noch TaP zu verteilen! ►",IF($P40&lt;AT,"Immer diese Pazifisten",IF($P40&gt;SUM(AT,$B40,$G40,$I40),"Ach, pfeif drauf! ATTACKE!",""))))</f>
        <v/>
      </c>
      <c r="DC40" s="301" t="str">
        <f ca="1">IF($O40="","",IF($O40&gt;MAX(GE,KK)+3-CJ40*2," TaW&gt; Max(GE;KK)+"&amp;3-CJ40*2,""))</f>
        <v/>
      </c>
      <c r="DD40" s="1337" t="str">
        <f t="shared" ca="1" si="87"/>
        <v/>
      </c>
      <c r="DE40" s="1337" t="str">
        <f t="shared" ca="1" si="88"/>
        <v/>
      </c>
      <c r="DG40" s="269"/>
      <c r="DH40" s="269"/>
      <c r="DI40" s="269" t="str">
        <f ca="1">IF(NOT(ISERR(FIND(A40,Abfragen!$O$264,1))),MID(Abfragen!$O$264,FIND("(",Abfragen!$O$264,FIND(A40,Abfragen!$O$264,1)+LEN(A40))+1,FIND(")",Abfragen!$O$264,FIND(A40,Abfragen!$O$264,1)+LEN(A40))-FIND("(",Abfragen!$O$264,FIND(A40,Abfragen!$O$264,1)+LEN(A40))-1),"")</f>
        <v/>
      </c>
      <c r="DJ40" s="301" t="str">
        <f t="shared" ca="1" si="101"/>
        <v>E</v>
      </c>
      <c r="DK40" s="301" t="str">
        <f t="shared" ca="1" si="101"/>
        <v>E</v>
      </c>
      <c r="DL40" s="301" t="str">
        <f t="shared" ca="1" si="101"/>
        <v>E</v>
      </c>
      <c r="DM40" s="301" t="str">
        <f t="shared" ca="1" si="101"/>
        <v>E</v>
      </c>
      <c r="DN40" s="301" t="str">
        <f t="shared" ca="1" si="101"/>
        <v>E</v>
      </c>
      <c r="DO40" s="301" t="str">
        <f t="shared" ca="1" si="101"/>
        <v>E</v>
      </c>
      <c r="DP40" s="301" t="str">
        <f t="shared" ca="1" si="101"/>
        <v>E</v>
      </c>
      <c r="DQ40" s="301" t="str">
        <f t="shared" ca="1" si="101"/>
        <v>E</v>
      </c>
      <c r="DR40" s="301" t="str">
        <f t="shared" ca="1" si="101"/>
        <v>E</v>
      </c>
      <c r="DS40" s="301" t="str">
        <f t="shared" ca="1" si="101"/>
        <v>E</v>
      </c>
      <c r="DT40" s="301" t="str">
        <f t="shared" ca="1" si="102"/>
        <v>E</v>
      </c>
      <c r="DU40" s="301" t="str">
        <f t="shared" ca="1" si="102"/>
        <v>E</v>
      </c>
      <c r="DV40" s="301" t="str">
        <f t="shared" ca="1" si="102"/>
        <v>E</v>
      </c>
      <c r="DW40" s="301" t="str">
        <f t="shared" ca="1" si="102"/>
        <v>E</v>
      </c>
      <c r="DX40" s="301" t="str">
        <f t="shared" ca="1" si="102"/>
        <v>E</v>
      </c>
      <c r="DY40" s="301" t="str">
        <f t="shared" ca="1" si="102"/>
        <v>E</v>
      </c>
      <c r="DZ40" s="301" t="str">
        <f t="shared" ca="1" si="102"/>
        <v>E</v>
      </c>
      <c r="EA40" s="301" t="str">
        <f t="shared" ca="1" si="102"/>
        <v>E</v>
      </c>
      <c r="EB40" s="301" t="str">
        <f t="shared" ca="1" si="102"/>
        <v>E</v>
      </c>
      <c r="EC40" s="301" t="str">
        <f t="shared" ca="1" si="102"/>
        <v>E</v>
      </c>
      <c r="ED40" s="301" t="str">
        <f t="shared" ca="1" si="102"/>
        <v>E</v>
      </c>
      <c r="EE40" s="301" t="str">
        <f t="shared" ca="1" si="102"/>
        <v>E</v>
      </c>
      <c r="EF40" s="301">
        <f t="shared" si="74"/>
        <v>0</v>
      </c>
      <c r="EG40" s="301" t="str">
        <f t="shared" ca="1" si="103"/>
        <v>E</v>
      </c>
      <c r="EH40" s="301" t="str">
        <f t="shared" ca="1" si="103"/>
        <v>E</v>
      </c>
      <c r="EI40" s="301" t="str">
        <f t="shared" ca="1" si="103"/>
        <v>E</v>
      </c>
      <c r="EJ40" s="301" t="str">
        <f t="shared" ca="1" si="103"/>
        <v>E</v>
      </c>
      <c r="EK40" s="301" t="str">
        <f t="shared" ca="1" si="103"/>
        <v>E</v>
      </c>
      <c r="EL40" s="301" t="str">
        <f t="shared" ca="1" si="103"/>
        <v>E</v>
      </c>
      <c r="EM40" s="301" t="str">
        <f t="shared" ca="1" si="103"/>
        <v>E</v>
      </c>
      <c r="EN40" s="301" t="str">
        <f t="shared" ca="1" si="103"/>
        <v>E</v>
      </c>
      <c r="EO40" s="301" t="str">
        <f t="shared" ca="1" si="103"/>
        <v>E</v>
      </c>
      <c r="EP40" s="301" t="str">
        <f t="shared" ca="1" si="103"/>
        <v>E</v>
      </c>
      <c r="EQ40" s="301" t="str">
        <f t="shared" ca="1" si="104"/>
        <v>E</v>
      </c>
      <c r="ER40" s="301" t="str">
        <f t="shared" ca="1" si="104"/>
        <v>E</v>
      </c>
      <c r="ES40" s="301" t="str">
        <f t="shared" ca="1" si="104"/>
        <v>E</v>
      </c>
      <c r="ET40" s="301" t="str">
        <f t="shared" ca="1" si="104"/>
        <v>E</v>
      </c>
      <c r="EU40" s="301" t="str">
        <f t="shared" ca="1" si="104"/>
        <v>E</v>
      </c>
      <c r="EV40" s="301" t="str">
        <f t="shared" ca="1" si="104"/>
        <v>E</v>
      </c>
      <c r="EW40" s="301" t="str">
        <f t="shared" ca="1" si="104"/>
        <v>E</v>
      </c>
      <c r="EX40" s="301" t="str">
        <f t="shared" ca="1" si="104"/>
        <v>E</v>
      </c>
      <c r="EY40" s="301" t="str">
        <f t="shared" ca="1" si="104"/>
        <v>E</v>
      </c>
      <c r="EZ40" s="301" t="str">
        <f t="shared" ca="1" si="104"/>
        <v>E</v>
      </c>
      <c r="FA40" s="301" t="str">
        <f t="shared" ca="1" si="105"/>
        <v>E</v>
      </c>
      <c r="FB40" s="301" t="str">
        <f t="shared" ca="1" si="105"/>
        <v>E</v>
      </c>
      <c r="FC40" s="301" t="str">
        <f t="shared" ca="1" si="105"/>
        <v>E</v>
      </c>
      <c r="FD40" s="301" t="str">
        <f t="shared" ca="1" si="105"/>
        <v>E</v>
      </c>
      <c r="FE40" s="301" t="str">
        <f t="shared" ca="1" si="105"/>
        <v>E</v>
      </c>
      <c r="FF40" s="301" t="str">
        <f t="shared" ca="1" si="105"/>
        <v>E</v>
      </c>
      <c r="FG40" s="301" t="str">
        <f t="shared" ca="1" si="105"/>
        <v>E</v>
      </c>
      <c r="FH40" s="301" t="str">
        <f t="shared" ca="1" si="105"/>
        <v>E</v>
      </c>
      <c r="FI40" s="301" t="str">
        <f t="shared" ca="1" si="105"/>
        <v>E</v>
      </c>
      <c r="FJ40" s="301" t="str">
        <f t="shared" ca="1" si="105"/>
        <v>E</v>
      </c>
      <c r="FK40" s="301" t="str">
        <f t="shared" ca="1" si="105"/>
        <v>E</v>
      </c>
      <c r="FL40" s="301" t="str">
        <f t="shared" ca="1" si="105"/>
        <v>E</v>
      </c>
    </row>
    <row r="41" spans="1:168" ht="15.75" x14ac:dyDescent="0.25">
      <c r="A41" s="84" t="str">
        <f>INDEX(BEGABUNFAEH,4)</f>
        <v>Körperl. Talente</v>
      </c>
      <c r="B41" s="6"/>
      <c r="C41" s="1456" t="str">
        <f ca="1">IF(OR(VT_VETERAN,VT_BBILDUNG),
IF(COUNTIF($W$13:$W$157,"&lt;&gt;0")&gt;8,"Mehr als 8 Talente aktiviert",""),
IF(COUNTIF($W$13:$W$157,"&lt;&gt;0")&gt;5,"Mehr als 5 Talente aktiviert",""))</f>
        <v/>
      </c>
      <c r="D41" s="1456"/>
      <c r="E41" s="1456"/>
      <c r="F41" s="1456"/>
      <c r="G41" s="1456"/>
      <c r="H41" s="1456"/>
      <c r="I41" s="1456"/>
      <c r="J41" s="1879" t="str">
        <f ca="1">IF(APGUT&lt;0,"Keine AP mehr übrig!",IF(TL_GP_UEBRIG&lt;0,"Keine Start-AP mehr übrig!",IF(STARTAP2_UEBRIG&lt;0,"Keine 2. Prof.-Start-AP mehr übrig!","▼ Fehlermeldungen ▼  "&amp;"(AP: "&amp;APGUT&amp;")")))</f>
        <v>▼ Fehlermeldungen ▼  (AP: 0)</v>
      </c>
      <c r="K41" s="1879"/>
      <c r="L41" s="1879"/>
      <c r="M41" s="1879"/>
      <c r="N41" s="1879"/>
      <c r="O41" s="613" t="s">
        <v>718</v>
      </c>
      <c r="P41" s="1112" t="str">
        <f ca="1">"AT: "&amp;AT</f>
        <v>AT: 5</v>
      </c>
      <c r="Q41" s="1112" t="str">
        <f ca="1">"PA: "&amp;PA</f>
        <v>PA: 5</v>
      </c>
      <c r="R41" s="1126" t="s">
        <v>3165</v>
      </c>
      <c r="S41" s="1126" t="s">
        <v>3166</v>
      </c>
      <c r="T41" s="1126" t="s">
        <v>2171</v>
      </c>
      <c r="U41" s="1126" t="s">
        <v>4644</v>
      </c>
      <c r="V41" s="1126" t="s">
        <v>2638</v>
      </c>
      <c r="W41" s="6">
        <v>0</v>
      </c>
      <c r="X41" s="6">
        <v>1</v>
      </c>
      <c r="Y41" s="6">
        <v>2</v>
      </c>
      <c r="Z41" s="6">
        <v>3</v>
      </c>
      <c r="AA41" s="6">
        <v>4</v>
      </c>
      <c r="AB41" s="6">
        <v>5</v>
      </c>
      <c r="AC41" s="6">
        <v>6</v>
      </c>
      <c r="AD41" s="6">
        <v>7</v>
      </c>
      <c r="AE41" s="6">
        <v>8</v>
      </c>
      <c r="AF41" s="6">
        <v>9</v>
      </c>
      <c r="AG41" s="6">
        <v>10</v>
      </c>
      <c r="AH41" s="6">
        <v>11</v>
      </c>
      <c r="AI41" s="6">
        <v>12</v>
      </c>
      <c r="AJ41" s="6">
        <v>13</v>
      </c>
      <c r="AK41" s="6">
        <v>14</v>
      </c>
      <c r="AL41" s="6">
        <v>15</v>
      </c>
      <c r="AM41" s="6">
        <v>16</v>
      </c>
      <c r="AN41" s="6">
        <v>17</v>
      </c>
      <c r="AO41" s="6">
        <v>18</v>
      </c>
      <c r="AP41" s="6">
        <v>19</v>
      </c>
      <c r="AQ41" s="6">
        <v>20</v>
      </c>
      <c r="AR41" s="6">
        <v>21</v>
      </c>
      <c r="AS41" s="194"/>
      <c r="AT41" s="134">
        <v>0</v>
      </c>
      <c r="AU41" s="6">
        <v>1</v>
      </c>
      <c r="AV41" s="6">
        <v>2</v>
      </c>
      <c r="AW41" s="6">
        <v>3</v>
      </c>
      <c r="AX41" s="6">
        <v>4</v>
      </c>
      <c r="AY41" s="6">
        <v>5</v>
      </c>
      <c r="AZ41" s="6">
        <v>6</v>
      </c>
      <c r="BA41" s="6">
        <v>7</v>
      </c>
      <c r="BB41" s="6">
        <v>8</v>
      </c>
      <c r="BC41" s="6">
        <v>9</v>
      </c>
      <c r="BD41" s="6">
        <v>10</v>
      </c>
      <c r="BE41" s="6">
        <v>11</v>
      </c>
      <c r="BF41" s="6">
        <v>12</v>
      </c>
      <c r="BG41" s="6">
        <v>13</v>
      </c>
      <c r="BH41" s="6">
        <v>14</v>
      </c>
      <c r="BI41" s="6">
        <v>15</v>
      </c>
      <c r="BJ41" s="6">
        <v>16</v>
      </c>
      <c r="BK41" s="6">
        <v>17</v>
      </c>
      <c r="BL41" s="6">
        <v>18</v>
      </c>
      <c r="BM41" s="6">
        <v>19</v>
      </c>
      <c r="BN41" s="6">
        <v>20</v>
      </c>
      <c r="BO41" s="6">
        <v>21</v>
      </c>
      <c r="BP41" s="6">
        <v>22</v>
      </c>
      <c r="BQ41" s="6">
        <v>23</v>
      </c>
      <c r="BR41" s="6">
        <v>24</v>
      </c>
      <c r="BS41" s="6">
        <v>25</v>
      </c>
      <c r="BT41" s="6">
        <v>26</v>
      </c>
      <c r="BU41" s="6">
        <v>27</v>
      </c>
      <c r="BV41" s="6">
        <v>28</v>
      </c>
      <c r="BW41" s="6">
        <v>29</v>
      </c>
      <c r="BX41" s="6">
        <v>30</v>
      </c>
      <c r="BY41" s="6">
        <v>31</v>
      </c>
      <c r="BZ41" s="6" t="s">
        <v>3170</v>
      </c>
      <c r="CA41" s="6" t="s">
        <v>3170</v>
      </c>
      <c r="CB41" s="6" t="s">
        <v>3170</v>
      </c>
      <c r="CC41" s="90"/>
      <c r="CD41" s="90"/>
      <c r="CE41" s="90"/>
      <c r="CF41" s="90"/>
      <c r="CG41" s="90"/>
      <c r="CH41" s="90"/>
      <c r="CI41" s="90" t="str">
        <f ca="1">$CF40</f>
        <v/>
      </c>
      <c r="CJ41" s="90"/>
      <c r="CK41" s="90"/>
      <c r="CL41" s="90"/>
      <c r="CM41" s="90"/>
      <c r="CN41" s="90"/>
      <c r="CO41" s="90"/>
      <c r="CP41" s="90"/>
      <c r="CQ41" s="90"/>
      <c r="CR41" s="90"/>
      <c r="CS41" s="90"/>
      <c r="CT41" s="90"/>
      <c r="CU41" s="90"/>
      <c r="CV41" s="90"/>
      <c r="CW41" s="90"/>
      <c r="CX41" s="90"/>
      <c r="CY41" s="90"/>
      <c r="CZ41" s="90"/>
      <c r="DA41" s="90"/>
      <c r="DC41" s="90"/>
      <c r="DD41" s="90"/>
      <c r="DE41" s="90"/>
      <c r="DF41" s="90"/>
      <c r="DG41" s="90"/>
      <c r="DH41" s="90"/>
      <c r="DI41" s="90"/>
      <c r="DJ41" s="134"/>
      <c r="DK41" s="134"/>
      <c r="DL41" s="134"/>
      <c r="DM41" s="134"/>
      <c r="DN41" s="134"/>
      <c r="DO41" s="134"/>
      <c r="DP41" s="134"/>
      <c r="DQ41" s="134"/>
      <c r="DR41" s="134"/>
      <c r="DS41" s="134"/>
      <c r="DT41" s="134"/>
      <c r="DU41" s="134"/>
      <c r="DV41" s="134"/>
      <c r="DW41" s="134"/>
      <c r="DX41" s="134"/>
      <c r="DY41" s="134"/>
      <c r="DZ41" s="134"/>
      <c r="EA41" s="134"/>
      <c r="EB41" s="134"/>
      <c r="EC41" s="134"/>
      <c r="ED41" s="134"/>
      <c r="EE41" s="134"/>
      <c r="EF41" s="205"/>
      <c r="EG41" s="72" t="s">
        <v>6718</v>
      </c>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4"/>
      <c r="FG41" s="134"/>
      <c r="FH41" s="134"/>
      <c r="FI41" s="134"/>
      <c r="FJ41" s="134"/>
      <c r="FK41" s="134"/>
      <c r="FL41" s="134"/>
    </row>
    <row r="42" spans="1:168" x14ac:dyDescent="0.2">
      <c r="A42" s="38" t="str">
        <f>INDEX(TL_KRP,ROW()-41)</f>
        <v>Akrobatik</v>
      </c>
      <c r="B42" s="317" t="str">
        <f t="shared" ref="B42:B59" ca="1" si="106">IF(AND(OR(NOT(ISBLANK($D42)),NOT(ISBLANK($G42)),NOT(ISBLANK($I42))),EXACT($C42,"")),0,IF(EXACT($C42,""),"",
SUM(CX42,IF(ISERROR(FIND("L",D42,1)),D42,LEFT(D42,LEN(D42)-1)))
))</f>
        <v/>
      </c>
      <c r="C42" s="332" t="str">
        <f ca="1">IF(OR(NOT(ISBLANK(D42)),NOT(ISBLANK(HLOOKUP(RASSEGENE,RASSE,$CD42,FALSE))),
NOT(ISBLANK(HLOOKUP(KULTURGENE,KULTUR,$CD42,FALSE))),
NOT(OR(ISBLANK(HLOOKUP(PROFGENE,INDIRECT(PROFGEBIET),$CD42,FALSE)),$CS42="N",$CS42="M")),
IF(PROFZWEITE="",FALSE,NOT(ISBLANK(HLOOKUP(PROFZWEITE,INDIRECT(PROFGEBIET2),$CD42,FALSE))))),"x","")</f>
        <v/>
      </c>
      <c r="D42" s="1110"/>
      <c r="E42" s="1424"/>
      <c r="F42" s="325"/>
      <c r="G42" s="958"/>
      <c r="H42" s="1196"/>
      <c r="I42" s="326"/>
      <c r="J42" s="1892" t="str">
        <f t="shared" ref="J42:J59" ca="1" si="107">DB42&amp;DC42</f>
        <v/>
      </c>
      <c r="K42" s="1893"/>
      <c r="L42" s="1893"/>
      <c r="M42" s="1893"/>
      <c r="N42" s="1894"/>
      <c r="O42" s="613" t="str">
        <f t="shared" ref="O42:O59" ca="1" si="108">IF(AND(EXACT($B42,""),ISBLANK($G42),ISBLANK($I42)),"",IF(AND(EXACT($C42,""),ISBLANK(G42),ISBLANK(I42)),"",SUM($B42,G42,$I42)))</f>
        <v/>
      </c>
      <c r="P42" s="90"/>
      <c r="Q42" s="25"/>
      <c r="R42" s="1313"/>
      <c r="S42" s="1313"/>
      <c r="T42" s="1315"/>
      <c r="U42" s="1283"/>
      <c r="V42" s="628" t="str">
        <f t="shared" ref="V42:V59" ca="1" si="109">IF(R42="",IF(DI42="","","Wählen:"&amp;DI42),IF(DI42="",IF(O42&lt;7,"Taw&lt;7",IF(S42="","",IF(O42&lt;14,"Taw&lt;14",""))),""))</f>
        <v/>
      </c>
      <c r="W42" s="164">
        <f t="shared" ref="W42:W59" ca="1" si="110">IF($DJ42=0,0,IF(NOT(ISBLANK($G42)),
IF(SUM($B42)&lt;=0,SUM(IF($G42&lt;ABS($B42),$G42,ABS($B42)),IF(C42="B",0,1))*HLOOKUP(IF(CODE($DJ42)&lt;65,"A+",$DJ42),SKT,3,FALSE),0),0))</f>
        <v>0</v>
      </c>
      <c r="X42" s="164">
        <f t="shared" ref="X42:X59" ca="1" si="111">IF(DK42=0,0,IF(AND(NOT(ISBLANK($G42)),$B42&lt;X$13,SUM($B42,$G42)&gt;=X$13),
HLOOKUP(IF(CODE(DK42)&lt;65,"A+",DK42),SKT,X$13+3,FALSE),0))</f>
        <v>0</v>
      </c>
      <c r="Y42" s="164">
        <f t="shared" ref="Y42:Y59" ca="1" si="112">IF(DL42=0,0,IF(AND(NOT(ISBLANK($G42)),$B42&lt;Y$13,SUM($B42,$G42)&gt;=Y$13),
HLOOKUP(IF(CODE(DL42)&lt;65,"A+",DL42),SKT,Y$13+3,FALSE),0))</f>
        <v>0</v>
      </c>
      <c r="Z42" s="164">
        <f t="shared" ref="Z42:Z59" ca="1" si="113">IF(DM42=0,0,IF(AND(NOT(ISBLANK($G42)),$B42&lt;Z$13,SUM($B42,$G42)&gt;=Z$13),
HLOOKUP(IF(CODE(DM42)&lt;65,"A+",DM42),SKT,Z$13+3,FALSE),0))</f>
        <v>0</v>
      </c>
      <c r="AA42" s="164">
        <f t="shared" ref="AA42:AA59" ca="1" si="114">IF(DN42=0,0,IF(AND(NOT(ISBLANK($G42)),$B42&lt;AA$13,SUM($B42,$G42)&gt;=AA$13),
HLOOKUP(IF(CODE(DN42)&lt;65,"A+",DN42),SKT,AA$13+3,FALSE),0))</f>
        <v>0</v>
      </c>
      <c r="AB42" s="164">
        <f t="shared" ref="AB42:AB59" ca="1" si="115">IF(DO42=0,0,IF(AND(NOT(ISBLANK($G42)),$B42&lt;AB$13,SUM($B42,$G42)&gt;=AB$13),
HLOOKUP(IF(CODE(DO42)&lt;65,"A+",DO42),SKT,AB$13+3,FALSE),0))</f>
        <v>0</v>
      </c>
      <c r="AC42" s="164">
        <f t="shared" ref="AC42:AC59" ca="1" si="116">IF(DP42=0,0,IF(AND(NOT(ISBLANK($G42)),$B42&lt;AC$13,SUM($B42,$G42)&gt;=AC$13),
HLOOKUP(IF(CODE(DP42)&lt;65,"A+",DP42),SKT,AC$13+3,FALSE),0))</f>
        <v>0</v>
      </c>
      <c r="AD42" s="164">
        <f t="shared" ref="AD42:AD59" ca="1" si="117">IF(DQ42=0,0,IF(AND(NOT(ISBLANK($G42)),$B42&lt;AD$13,SUM($B42,$G42)&gt;=AD$13),
HLOOKUP(IF(CODE(DQ42)&lt;65,"A+",DQ42),SKT,AD$13+3,FALSE),0))</f>
        <v>0</v>
      </c>
      <c r="AE42" s="164">
        <f t="shared" ref="AE42:AE59" ca="1" si="118">IF(DR42=0,0,IF(AND(NOT(ISBLANK($G42)),$B42&lt;AE$13,SUM($B42,$G42)&gt;=AE$13),
HLOOKUP(IF(CODE(DR42)&lt;65,"A+",DR42),SKT,AE$13+3,FALSE),0))</f>
        <v>0</v>
      </c>
      <c r="AF42" s="164">
        <f t="shared" ref="AF42:AF59" ca="1" si="119">IF(DS42=0,0,IF(AND(NOT(ISBLANK($G42)),$B42&lt;AF$13,SUM($B42,$G42)&gt;=AF$13),
HLOOKUP(IF(CODE(DS42)&lt;65,"A+",DS42),SKT,AF$13+3,FALSE),0))</f>
        <v>0</v>
      </c>
      <c r="AG42" s="164">
        <f t="shared" ref="AG42:AG59" ca="1" si="120">IF(DT42=0,0,IF(AND(NOT(ISBLANK($G42)),$B42&lt;AG$13,SUM($B42,$G42)&gt;=AG$13),
HLOOKUP(IF(CODE(DT42)&lt;65,"A+",DT42),SKT,AG$13+3,FALSE),0))</f>
        <v>0</v>
      </c>
      <c r="AH42" s="164">
        <f t="shared" ref="AH42:AH59" ca="1" si="121">IF(DU42=0,0,IF(AND(NOT(ISBLANK($G42)),$B42&lt;AH$13,SUM($B42,$G42)&gt;=AH$13),
HLOOKUP(IF(CODE(DU42)&lt;65,"A+",DU42),SKT,AH$13+3,FALSE),0))</f>
        <v>0</v>
      </c>
      <c r="AI42" s="164">
        <f t="shared" ref="AI42:AI59" ca="1" si="122">IF(DV42=0,0,IF(AND(NOT(ISBLANK($G42)),$B42&lt;AI$13,SUM($B42,$G42)&gt;=AI$13),
HLOOKUP(IF(CODE(DV42)&lt;65,"A+",DV42),SKT,AI$13+3,FALSE),0))</f>
        <v>0</v>
      </c>
      <c r="AJ42" s="164">
        <f t="shared" ref="AJ42:AJ59" ca="1" si="123">IF(DW42=0,0,IF(AND(NOT(ISBLANK($G42)),$B42&lt;AJ$13,SUM($B42,$G42)&gt;=AJ$13),
HLOOKUP(IF(CODE(DW42)&lt;65,"A+",DW42),SKT,AJ$13+3,FALSE),0))</f>
        <v>0</v>
      </c>
      <c r="AK42" s="164">
        <f t="shared" ref="AK42:AK59" ca="1" si="124">IF(DX42=0,0,IF(AND(NOT(ISBLANK($G42)),$B42&lt;AK$13,SUM($B42,$G42)&gt;=AK$13),
HLOOKUP(IF(CODE(DX42)&lt;65,"A+",DX42),SKT,AK$13+3,FALSE),0))</f>
        <v>0</v>
      </c>
      <c r="AL42" s="164">
        <f t="shared" ref="AL42:AL59" ca="1" si="125">IF(DY42=0,0,IF(AND(NOT(ISBLANK($G42)),$B42&lt;AL$13,SUM($B42,$G42)&gt;=AL$13),
HLOOKUP(IF(CODE(DY42)&lt;65,"A+",DY42),SKT,AL$13+3,FALSE),0))</f>
        <v>0</v>
      </c>
      <c r="AM42" s="164">
        <f t="shared" ref="AM42:AM59" ca="1" si="126">IF(DZ42=0,0,IF(AND(NOT(ISBLANK($G42)),$B42&lt;AM$13,SUM($B42,$G42)&gt;=AM$13),
HLOOKUP(IF(CODE(DZ42)&lt;65,"A+",DZ42),SKT,AM$13+3,FALSE),0))</f>
        <v>0</v>
      </c>
      <c r="AN42" s="164">
        <f t="shared" ref="AN42:AN59" ca="1" si="127">IF(EA42=0,0,IF(AND(NOT(ISBLANK($G42)),$B42&lt;AN$13,SUM($B42,$G42)&gt;=AN$13),
HLOOKUP(IF(CODE(EA42)&lt;65,"A+",EA42),SKT,AN$13+3,FALSE),0))</f>
        <v>0</v>
      </c>
      <c r="AO42" s="164">
        <f t="shared" ref="AO42:AO59" ca="1" si="128">IF(EB42=0,0,IF(AND(NOT(ISBLANK($G42)),$B42&lt;AO$13,SUM($B42,$G42)&gt;=AO$13),
HLOOKUP(IF(CODE(EB42)&lt;65,"A+",EB42),SKT,AO$13+3,FALSE),0))</f>
        <v>0</v>
      </c>
      <c r="AP42" s="164">
        <f t="shared" ref="AP42:AP59" ca="1" si="129">IF(EC42=0,0,IF(AND(NOT(ISBLANK($G42)),$B42&lt;AP$13,SUM($B42,$G42)&gt;=AP$13),
HLOOKUP(IF(CODE(EC42)&lt;65,"A+",EC42),SKT,AP$13+3,FALSE),0))</f>
        <v>0</v>
      </c>
      <c r="AQ42" s="164">
        <f t="shared" ref="AQ42:AQ59" ca="1" si="130">IF(ED42=0,0,IF(AND(NOT(ISBLANK($G42)),$B42&lt;AQ$13,SUM($B42,$G42)&gt;=AQ$13),
HLOOKUP(IF(CODE(ED42)&lt;65,"A+",ED42),SKT,AQ$13+3,FALSE),0))</f>
        <v>0</v>
      </c>
      <c r="AR42" s="164">
        <f t="shared" ref="AR42:AR59" ca="1" si="131">IF(EE42=0,0,IF(AND(NOT(ISBLANK($G42)),$B42&lt;AR$13,SUM($B42,$G42)&gt;=AR$13),
HLOOKUP(IF(CODE(EE42)&lt;65,"A+",EE42),SKT,AR$13+3,FALSE),0))</f>
        <v>0</v>
      </c>
      <c r="AS42" s="195"/>
      <c r="AT42" s="154">
        <f t="shared" ref="AT42:AT59" ca="1" si="132">IF($EG42=0,0,IF(AND(ISBLANK($G42),NOT(ISBLANK($I42))),ROUND(SUM(
IF(SUM($B42,$G42,H42)&lt;0,IF($I42&lt;ABS(SUM($B42,$G42,H42)),$I42,IF(C42="B",0,1)+ABS(SUM($B42,$G42,H42))),0),
IF(SUM($B42,$G42,H42)=0,IF(C42="B",0,1),0))
*HLOOKUP(IF(CODE($EG42)&lt;65,"A+",$EG42),SKT,3,FALSE)*5,0),0))</f>
        <v>0</v>
      </c>
      <c r="AU42" s="154">
        <f t="shared" ref="AU42:AU59" ca="1" si="133">IF(EH42=0,0,IF(AND(NOT(ISBLANK($I42)),SUM($B42,$G42)&lt;AU$13,SUM($B42,$G42,$I42)&gt;=AU$13),
HLOOKUP(IF(CODE(EH42)&lt;65,"A+",EH42),SKT,AU$13+3,FALSE),0))</f>
        <v>0</v>
      </c>
      <c r="AV42" s="154">
        <f t="shared" ref="AV42:AV59" ca="1" si="134">IF(EI42=0,0,IF(AND(NOT(ISBLANK($I42)),SUM($B42,$G42)&lt;AV$13,SUM($B42,$G42,$I42)&gt;=AV$13),
HLOOKUP(IF(CODE(EI42)&lt;65,"A+",EI42),SKT,AV$13+3,FALSE),0))</f>
        <v>0</v>
      </c>
      <c r="AW42" s="154">
        <f t="shared" ref="AW42:AW59" ca="1" si="135">IF(EJ42=0,0,IF(AND(NOT(ISBLANK($I42)),SUM($B42,$G42)&lt;AW$13,SUM($B42,$G42,$I42)&gt;=AW$13),
HLOOKUP(IF(CODE(EJ42)&lt;65,"A+",EJ42),SKT,AW$13+3,FALSE),0))</f>
        <v>0</v>
      </c>
      <c r="AX42" s="154">
        <f t="shared" ref="AX42:AX59" ca="1" si="136">IF(EK42=0,0,IF(AND(NOT(ISBLANK($I42)),SUM($B42,$G42)&lt;AX$13,SUM($B42,$G42,$I42)&gt;=AX$13),
HLOOKUP(IF(CODE(EK42)&lt;65,"A+",EK42),SKT,AX$13+3,FALSE),0))</f>
        <v>0</v>
      </c>
      <c r="AY42" s="154">
        <f t="shared" ref="AY42:AY59" ca="1" si="137">IF(EL42=0,0,IF(AND(NOT(ISBLANK($I42)),SUM($B42,$G42)&lt;AY$13,SUM($B42,$G42,$I42)&gt;=AY$13),
HLOOKUP(IF(CODE(EL42)&lt;65,"A+",EL42),SKT,AY$13+3,FALSE),0))</f>
        <v>0</v>
      </c>
      <c r="AZ42" s="154">
        <f t="shared" ref="AZ42:AZ59" ca="1" si="138">IF(EM42=0,0,IF(AND(NOT(ISBLANK($I42)),SUM($B42,$G42)&lt;AZ$13,SUM($B42,$G42,$I42)&gt;=AZ$13),
HLOOKUP(IF(CODE(EM42)&lt;65,"A+",EM42),SKT,AZ$13+3,FALSE),0))</f>
        <v>0</v>
      </c>
      <c r="BA42" s="154">
        <f t="shared" ref="BA42:BA59" ca="1" si="139">IF(EN42=0,0,IF(AND(NOT(ISBLANK($I42)),SUM($B42,$G42)&lt;BA$13,SUM($B42,$G42,$I42)&gt;=BA$13),
HLOOKUP(IF(CODE(EN42)&lt;65,"A+",EN42),SKT,BA$13+3,FALSE),0))</f>
        <v>0</v>
      </c>
      <c r="BB42" s="154">
        <f t="shared" ref="BB42:BB59" ca="1" si="140">IF(EO42=0,0,IF(AND(NOT(ISBLANK($I42)),SUM($B42,$G42)&lt;BB$13,SUM($B42,$G42,$I42)&gt;=BB$13),
HLOOKUP(IF(CODE(EO42)&lt;65,"A+",EO42),SKT,BB$13+3,FALSE),0))</f>
        <v>0</v>
      </c>
      <c r="BC42" s="154">
        <f t="shared" ref="BC42:BC59" ca="1" si="141">IF(EP42=0,0,IF(AND(NOT(ISBLANK($I42)),SUM($B42,$G42)&lt;BC$13,SUM($B42,$G42,$I42)&gt;=BC$13),
HLOOKUP(IF(CODE(EP42)&lt;65,"A+",EP42),SKT,BC$13+3,FALSE),0))</f>
        <v>0</v>
      </c>
      <c r="BD42" s="154">
        <f t="shared" ref="BD42:BD59" ca="1" si="142">IF(EQ42=0,0,IF(AND(NOT(ISBLANK($I42)),SUM($B42,$G42)&lt;BD$13,SUM($B42,$G42,$I42)&gt;=BD$13),
HLOOKUP(IF(CODE(EQ42)&lt;65,"A+",EQ42),SKT,BD$13+3,FALSE),0))</f>
        <v>0</v>
      </c>
      <c r="BE42" s="154">
        <f t="shared" ref="BE42:BE59" ca="1" si="143">IF(ER42=0,0,IF(AND(NOT(ISBLANK($I42)),SUM($B42,$G42)&lt;BE$13,SUM($B42,$G42,$I42)&gt;=BE$13),
HLOOKUP(IF(CODE(ER42)&lt;65,"A+",ER42),SKT,BE$13+3,FALSE),0))</f>
        <v>0</v>
      </c>
      <c r="BF42" s="154">
        <f t="shared" ref="BF42:BF59" ca="1" si="144">IF(ES42=0,0,IF(AND(NOT(ISBLANK($I42)),SUM($B42,$G42)&lt;BF$13,SUM($B42,$G42,$I42)&gt;=BF$13),
HLOOKUP(IF(CODE(ES42)&lt;65,"A+",ES42),SKT,BF$13+3,FALSE),0))</f>
        <v>0</v>
      </c>
      <c r="BG42" s="154">
        <f t="shared" ref="BG42:BG59" ca="1" si="145">IF(ET42=0,0,IF(AND(NOT(ISBLANK($I42)),SUM($B42,$G42)&lt;BG$13,SUM($B42,$G42,$I42)&gt;=BG$13),
HLOOKUP(IF(CODE(ET42)&lt;65,"A+",ET42),SKT,BG$13+3,FALSE),0))</f>
        <v>0</v>
      </c>
      <c r="BH42" s="154">
        <f t="shared" ref="BH42:BH59" ca="1" si="146">IF(EU42=0,0,IF(AND(NOT(ISBLANK($I42)),SUM($B42,$G42)&lt;BH$13,SUM($B42,$G42,$I42)&gt;=BH$13),
HLOOKUP(IF(CODE(EU42)&lt;65,"A+",EU42),SKT,BH$13+3,FALSE),0))</f>
        <v>0</v>
      </c>
      <c r="BI42" s="154">
        <f t="shared" ref="BI42:BI59" ca="1" si="147">IF(EV42=0,0,IF(AND(NOT(ISBLANK($I42)),SUM($B42,$G42)&lt;BI$13,SUM($B42,$G42,$I42)&gt;=BI$13),
HLOOKUP(IF(CODE(EV42)&lt;65,"A+",EV42),SKT,BI$13+3,FALSE),0))</f>
        <v>0</v>
      </c>
      <c r="BJ42" s="154">
        <f t="shared" ref="BJ42:BJ59" ca="1" si="148">IF(EW42=0,0,IF(AND(NOT(ISBLANK($I42)),SUM($B42,$G42)&lt;BJ$13,SUM($B42,$G42,$I42)&gt;=BJ$13),
HLOOKUP(IF(CODE(EW42)&lt;65,"A+",EW42),SKT,BJ$13+3,FALSE),0))</f>
        <v>0</v>
      </c>
      <c r="BK42" s="154">
        <f t="shared" ref="BK42:BK59" ca="1" si="149">IF(EX42=0,0,IF(AND(NOT(ISBLANK($I42)),SUM($B42,$G42)&lt;BK$13,SUM($B42,$G42,$I42)&gt;=BK$13),
HLOOKUP(IF(CODE(EX42)&lt;65,"A+",EX42),SKT,BK$13+3,FALSE),0))</f>
        <v>0</v>
      </c>
      <c r="BL42" s="154">
        <f t="shared" ref="BL42:BL59" ca="1" si="150">IF(EY42=0,0,IF(AND(NOT(ISBLANK($I42)),SUM($B42,$G42)&lt;BL$13,SUM($B42,$G42,$I42)&gt;=BL$13),
HLOOKUP(IF(CODE(EY42)&lt;65,"A+",EY42),SKT,BL$13+3,FALSE),0))</f>
        <v>0</v>
      </c>
      <c r="BM42" s="154">
        <f t="shared" ref="BM42:BM59" ca="1" si="151">IF(EZ42=0,0,IF(AND(NOT(ISBLANK($I42)),SUM($B42,$G42)&lt;BM$13,SUM($B42,$G42,$I42)&gt;=BM$13),
HLOOKUP(IF(CODE(EZ42)&lt;65,"A+",EZ42),SKT,BM$13+3,FALSE),0))</f>
        <v>0</v>
      </c>
      <c r="BN42" s="154">
        <f t="shared" ref="BN42:BN59" ca="1" si="152">IF(FA42=0,0,IF(AND(NOT(ISBLANK($I42)),SUM($B42,$G42)&lt;BN$13,SUM($B42,$G42,$I42)&gt;=BN$13),
HLOOKUP(IF(CODE(FA42)&lt;65,"A+",FA42),SKT,BN$13+3,FALSE),0))</f>
        <v>0</v>
      </c>
      <c r="BO42" s="154">
        <f t="shared" ref="BO42:BO59" ca="1" si="153">IF(FB42=0,0,IF(AND(NOT(ISBLANK($I42)),SUM($B42,$G42)&lt;BO$13,SUM($B42,$G42,$I42)&gt;=BO$13),
HLOOKUP(IF(CODE(FB42)&lt;65,"A+",FB42),SKT,BO$13+3,FALSE),0))</f>
        <v>0</v>
      </c>
      <c r="BP42" s="154">
        <f t="shared" ref="BP42:BP59" ca="1" si="154">IF(FC42=0,0,IF(AND(NOT(ISBLANK($I42)),SUM($B42,$G42)&lt;BP$13,SUM($B42,$G42,$I42)&gt;=BP$13),
HLOOKUP(IF(CODE(FC42)&lt;65,"A+",FC42),SKT,BP$13+3,FALSE),0))</f>
        <v>0</v>
      </c>
      <c r="BQ42" s="154">
        <f t="shared" ref="BQ42:BQ59" ca="1" si="155">IF(FD42=0,0,IF(AND(NOT(ISBLANK($I42)),SUM($B42,$G42)&lt;BQ$13,SUM($B42,$G42,$I42)&gt;=BQ$13),
HLOOKUP(IF(CODE(FD42)&lt;65,"A+",FD42),SKT,BQ$13+3,FALSE),0))</f>
        <v>0</v>
      </c>
      <c r="BR42" s="154">
        <f t="shared" ref="BR42:BR59" ca="1" si="156">IF(FE42=0,0,IF(AND(NOT(ISBLANK($I42)),SUM($B42,$G42)&lt;BR$13,SUM($B42,$G42,$I42)&gt;=BR$13),
HLOOKUP(IF(CODE(FE42)&lt;65,"A+",FE42),SKT,BR$13+3,FALSE),0))</f>
        <v>0</v>
      </c>
      <c r="BS42" s="154">
        <f t="shared" ref="BS42:BS59" ca="1" si="157">IF(FF42=0,0,IF(AND(NOT(ISBLANK($I42)),SUM($B42,$G42)&lt;BS$13,SUM($B42,$G42,$I42)&gt;=BS$13),
HLOOKUP(IF(CODE(FF42)&lt;65,"A+",FF42),SKT,BS$13+3,FALSE),0))</f>
        <v>0</v>
      </c>
      <c r="BT42" s="154">
        <f t="shared" ref="BT42:BT59" ca="1" si="158">IF(FG42=0,0,IF(AND(NOT(ISBLANK($I42)),SUM($B42,$G42)&lt;BT$13,SUM($B42,$G42,$I42)&gt;=BT$13),
HLOOKUP(IF(CODE(FG42)&lt;65,"A+",FG42),SKT,BT$13+3,FALSE),0))</f>
        <v>0</v>
      </c>
      <c r="BU42" s="154">
        <f t="shared" ref="BU42:BU59" ca="1" si="159">IF(FH42=0,0,IF(AND(NOT(ISBLANK($I42)),SUM($B42,$G42)&lt;BU$13,SUM($B42,$G42,$I42)&gt;=BU$13),
HLOOKUP(IF(CODE(FH42)&lt;65,"A+",FH42),SKT,BU$13+3,FALSE),0))</f>
        <v>0</v>
      </c>
      <c r="BV42" s="154">
        <f t="shared" ref="BV42:BV59" ca="1" si="160">IF(FI42=0,0,IF(AND(NOT(ISBLANK($I42)),SUM($B42,$G42)&lt;BV$13,SUM($B42,$G42,$I42)&gt;=BV$13),
HLOOKUP(IF(CODE(FI42)&lt;65,"A+",FI42),SKT,BV$13+3,FALSE),0))</f>
        <v>0</v>
      </c>
      <c r="BW42" s="154">
        <f t="shared" ref="BW42:BW59" ca="1" si="161">IF(FJ42=0,0,IF(AND(NOT(ISBLANK($I42)),SUM($B42,$G42)&lt;BW$13,SUM($B42,$G42,$I42)&gt;=BW$13),
HLOOKUP(IF(CODE(FJ42)&lt;65,"A+",FJ42),SKT,BW$13+3,FALSE),0))</f>
        <v>0</v>
      </c>
      <c r="BX42" s="154">
        <f t="shared" ref="BX42:BX59" ca="1" si="162">IF(FK42=0,0,IF(AND(NOT(ISBLANK($I42)),SUM($B42,$G42)&lt;BX$13,SUM($B42,$G42,$I42)&gt;=BX$13),
HLOOKUP(IF(CODE(FK42)&lt;65,"A+",FK42),SKT,BX$13+3,FALSE),0))</f>
        <v>0</v>
      </c>
      <c r="BY42" s="154">
        <f t="shared" ref="BY42:BY59" ca="1" si="163">IF(FL42=0,0,IF(AND(NOT(ISBLANK($I42)),SUM($B42,$G42)&lt;BY$13,SUM($B42,$G42,$I42)&gt;=BY$13),
HLOOKUP(IF(CODE(FL42)&lt;65,"A+",FL42),SKT,BY$13+3,FALSE),0))</f>
        <v>0</v>
      </c>
      <c r="BZ42" s="154">
        <f>IF(T42="GP",1,0)</f>
        <v>0</v>
      </c>
      <c r="CA42" s="154">
        <f t="shared" ref="CA42:CA59" si="164">IF(OR(T42="Start-AP",T42="Start-AP-2P"),
IF(R42="",0,IF(DI42="",1,0))*IF(U42="",20,10)*HLOOKUP(CE42,SKT,2,FALSE),0)</f>
        <v>0</v>
      </c>
      <c r="CB42" s="154">
        <f t="shared" ref="CB42:CB59" ca="1" si="165">IF(OR(T42="",T42="AP"),
(IF(R42="",0,IF(DI42="",IF(OR(U42="S1 verbilligt",U42="Beide verbilligt"),0.5,1),0))+IF(S42="",0,IF(OR(U42="S2 verbilligt",U42="Beide verbilligt"),1,2)))*20*HLOOKUP(CE42,SKT,2,FALSE),IF(S42="",0,IF(OR(U42="S2 verbilligt",U42="Beide verbilligt"),1,2))*20*HLOOKUP(CE42,SKT,2,FALSE))</f>
        <v>0</v>
      </c>
      <c r="CC42" s="523"/>
      <c r="CD42" s="355">
        <f t="shared" ref="CD42:CD59" si="166">VLOOKUP($A42,ZEILENBEZUG,2,FALSE)</f>
        <v>70</v>
      </c>
      <c r="CE42" s="268" t="str">
        <f t="shared" ref="CE42:CE59" ca="1" si="167">CO42</f>
        <v>D</v>
      </c>
      <c r="CF42" s="355" t="str">
        <f ca="1">IF(EXACT($B42,""),"",$A42)</f>
        <v/>
      </c>
      <c r="CG42" s="268"/>
      <c r="CH42" s="268"/>
      <c r="CI42" s="269">
        <f t="shared" ref="CI42:CI59" ca="1" si="168">IF(AND(ISNA(VLOOKUP($A$41,UNFAEH,1,FALSE)),ISNA(VLOOKUP($A42,UNFAEH,1,FALSE)),ISERR(FIND($A$41,GEW_UNFAEH,1)),ISERR(FIND($A42,$AH$3,1))),0,1)</f>
        <v>0</v>
      </c>
      <c r="CJ42" s="269">
        <f t="shared" ref="CJ42:CJ59" ca="1" si="169">IF(AND(ISNA(VLOOKUP($A$41,BEGABG,1,FALSE)),ISNA(VLOOKUP($A42,BEGABG,1,FALSE)),ISERR(FIND($A$41,GEW_BEGABUNG,1)),ISERR(FIND($A42,$X$5,1))),0,-1)</f>
        <v>0</v>
      </c>
      <c r="CK42" s="268"/>
      <c r="CL42" s="271">
        <f>IF(VT_SCHLANGENMENSCH,-1,0)</f>
        <v>0</v>
      </c>
      <c r="CM42" s="268">
        <f t="shared" ca="1" si="82"/>
        <v>0</v>
      </c>
      <c r="CN42" s="269">
        <f t="shared" ca="1" si="83"/>
        <v>0</v>
      </c>
      <c r="CO42" s="268" t="str">
        <f t="shared" ref="CO42:CO59" ca="1" si="170">CHAR(CODE("D")+$CN42)</f>
        <v>D</v>
      </c>
      <c r="CP42" s="269" t="b">
        <f ca="1">IF(NT_ELFWELT,
IF(OR(
RIGHT(HLOOKUP(PROFGENE,INDIRECT(PROFGEBIET),$CD42,FALSE),1)="L",
RIGHT(HLOOKUP(KULTURGENE,KULTUR,$CD42,FALSE),1)="L",
RIGHT(D42)="L"),TRUE,FALSE),
TRUE)</f>
        <v>1</v>
      </c>
      <c r="CQ42" s="269">
        <f t="shared" ref="CQ42:CQ59" si="171">IF(RASSEGENE="",0,HLOOKUP(RASSEGENE,RASSE,$CD42,FALSE))</f>
        <v>0</v>
      </c>
      <c r="CR42" s="269">
        <f t="shared" ref="CR42:CR59" si="172">IF(KULTURGENE="LEER",0,IF(LEN(HLOOKUP(KULTURGENE,KULTUR,$CD42,FALSE))&gt;0,LEFT(HLOOKUP(KULTURGENE,KULTUR,$CD42,FALSE),IF(ISERR(SEARCH("L",HLOOKUP(KULTURGENE,KULTUR,$CD42,FALSE),1)),LEN(HLOOKUP(KULTURGENE,KULTUR,$CD42,FALSE)),SEARCH("L",HLOOKUP(KULTURGENE,KULTUR,$CD42,FALSE),1)-1)),0))</f>
        <v>0</v>
      </c>
      <c r="CS42" s="269">
        <f t="shared" ref="CS42:CS59" ca="1" si="173">IF(PROFGENE="LEER",0,HLOOKUP(PROFGENE,INDIRECT(PROFGEBIET),$CD42,FALSE))</f>
        <v>0</v>
      </c>
      <c r="CT42" s="302" t="str">
        <f t="shared" ref="CT42:CT59" ca="1" si="174">IF(LEN(CS42)&gt;0,LEFT(CS42,IF(ISERR(SEARCH("L",CS42,1)),IF(ISERR(SEARCH("M",CS42,1)),IF(ISERR(SEARCH("N",CS42,1)),LEN(CS42),SEARCH("N",CS42,1)-1),SEARCH("M",CS42,1)-1),SEARCH("L",CS42,1)-1)),0)</f>
        <v>0</v>
      </c>
      <c r="CU42" s="269">
        <f t="shared" ref="CU42:CU59" ca="1" si="175">IF(LEN(PROFZWEITE)&lt;1,0,HLOOKUP(PROFZWEITE,INDIRECT(PROFGEBIET2),$CD42,FALSE))</f>
        <v>0</v>
      </c>
      <c r="CV42" s="271">
        <f>IF(VT_SCHLANGENMENSCH,1,0)</f>
        <v>0</v>
      </c>
      <c r="CW42" s="269">
        <f t="shared" ref="CW42:CW59" ca="1" si="176">IF(AND(ISNA(VLOOKUP($A42,BEGABG,1,FALSE)),ISERR(FIND($A42,$X$5,1))),0,1)</f>
        <v>0</v>
      </c>
      <c r="CX42" s="301">
        <f t="shared" ref="CX42:CX59" ca="1" si="177">CQ42+CR42+IF(CT42="",0,CT42)+CV42+CW42</f>
        <v>0</v>
      </c>
      <c r="CY42" s="301">
        <f t="shared" ca="1" si="85"/>
        <v>0</v>
      </c>
      <c r="CZ42" s="301">
        <f t="shared" ref="CZ42:CZ59" ca="1" si="178">SUM(W42:AR42)-IF(OR(VT_VETERAN,VT_BBILDUNG),DA42,0)</f>
        <v>0</v>
      </c>
      <c r="DA42" s="301">
        <f t="shared" ref="DA42:DA59" ca="1" si="179">IF(H42="",0,SUM(INDIRECT(
ADDRESS(ROW(),COLUMN($W42)+CY42+IF(CY42=0,0,1))
&amp;":"&amp;
ADDRESS(ROW(),COLUMN($AR42))
)))</f>
        <v>0</v>
      </c>
      <c r="DB42" t="str">
        <f ca="1">IF(AND(NT_STUBENHKR,G42&gt;2),"Als Stubenhoker max. um 2 steigerbar",IF(AND(NOT(AND(ISBLANK($G42),ISBLANK($I42))),O47&lt;4),"Körperbeherrschung 4+",IF(AND(NOT(ISBLANK($G42)),OR(EXACT($AH$5,$A$41),EXACT($AH$6,$A$41),EXACT($AH$7,$A$41),EXACT($AH$8,$A$41),EXACT($AH$9,$A$41))),"Nicht möglich (Unfähigkeit)!","")))</f>
        <v/>
      </c>
      <c r="DC42" s="301" t="str">
        <f t="shared" ref="DC42:DC59" ca="1" si="180">IF($O42="","",IF($O42&gt;MAX(INDIRECT(VLOOKUP($A42,TL_ALLE,2,FALSE)),INDIRECT(VLOOKUP($A42,TL_ALLE,3,FALSE)),INDIRECT(VLOOKUP($A42,TL_ALLE,4,FALSE)))+3-CJ42*2," TaW&gt; MAX(EIGN-Wert)+"&amp;3-CJ42*2,""))</f>
        <v/>
      </c>
      <c r="DD42" s="1337" t="str">
        <f ca="1">IF(PROFGEBGENE="Goetter",IF(RIGHT(HLOOKUP(PROFGENE,INDIRECT(PROFGEBIET),$CD42,FALSE),1)="M",$A42&amp;",",""),IF(AKTIV_SPTWHE,IF(EXACT(UPPER(RIGHT(HLOOKUP(PROFSPTWHE,SPTWHE,$CD42,FALSE))),"M"),$A42&amp;",",""),IF(PROFGEBZWEITE="Goetter (BGB)",IF(RIGHT(HLOOKUP(PROFZWEITE,INDIRECT(PROFGEBIET2),$CD42,FALSE),1)="M",$A42&amp;",",""),"")))</f>
        <v/>
      </c>
      <c r="DE42" s="1337" t="str">
        <f ca="1">IF(PROFGEBGENE="Goetter",IF(RIGHT(HLOOKUP(PROFGENE,INDIRECT(PROFGEBIET),$CD42,FALSE),1)="N",$A42&amp;",",""),IF(AKTIV_SPTWHE,IF(EXACT(UPPER(RIGHT(HLOOKUP(PROFSPTWHE,SPTWHE,$CD42,FALSE))),"N"),$A42&amp;",",""),IF(PROFGEBZWEITE="Goetter (BGB)",IF(RIGHT(HLOOKUP(PROFZWEITE,INDIRECT(PROFGEBIET2),$CD42,FALSE),1)="N",$A42&amp;",",""),"")))</f>
        <v/>
      </c>
      <c r="DG42" s="269" t="str">
        <f t="shared" ref="DG42:DG59" ca="1" si="181">IF(DI42="",IF(VLOOKUP(A42,TALENTE_GP,4,FALSE)="Kultur","KULTUREN","Tabellen_Andere!BA"&amp;MATCH(A42,TALENTE)+1&amp;":BF"&amp;MATCH(A42,TALENTE)+1),ADDRESS(ROW(),COLUMN()+2,1,1))</f>
        <v>Tabellen_Andere!BA4:BF4</v>
      </c>
      <c r="DH42" s="269" t="str">
        <f>IF(VLOOKUP(A42,TALENTE_GP,4,FALSE)="Kultur","KULTUREN","Tabellen_Andere!BA"&amp;MATCH(A42,TALENTE)+1&amp;":BF"&amp;MATCH(A42,TALENTE)+1)</f>
        <v>Tabellen_Andere!BA4:BF4</v>
      </c>
      <c r="DI42" s="269" t="str">
        <f ca="1">IF(NOT(ISERR(FIND(A42,Abfragen!$O$264,1))),MID(Abfragen!$O$264,FIND("(",Abfragen!$O$264,FIND(A42,Abfragen!$O$264,1)+LEN(A42))+1,FIND(")",Abfragen!$O$264,FIND(A42,Abfragen!$O$264,1)+LEN(A42))-FIND("(",Abfragen!$O$264,FIND(A42,Abfragen!$O$264,1)+LEN(A42))-1),"")</f>
        <v/>
      </c>
      <c r="DJ42" s="301" t="str">
        <f t="shared" ref="DJ42:DS51" ca="1" si="182">IF(ISERR(FIND(";"&amp;DJ$13&amp;":0;",$F42)),
CHAR(CODE($CE42)+SUM(IF(AND(NT_STUBENHKR,OR(DJ$13&lt;=$E42,ISBLANK($E42))),1,0),IF(ISERR(FIND(";"&amp;DJ$13&amp;";",$F42)),0,-1),IF(ISERR(FIND(";"&amp;DJ$13&amp;":",$F42)),0,-VALUE(MID($F42,FIND(";"&amp;DJ$13&amp;":",$F42)+LEN(DJ$13)+2,1))))),0)</f>
        <v>D</v>
      </c>
      <c r="DK42" s="301" t="str">
        <f t="shared" ca="1" si="182"/>
        <v>D</v>
      </c>
      <c r="DL42" s="301" t="str">
        <f t="shared" ca="1" si="182"/>
        <v>D</v>
      </c>
      <c r="DM42" s="301" t="str">
        <f t="shared" ca="1" si="182"/>
        <v>D</v>
      </c>
      <c r="DN42" s="301" t="str">
        <f t="shared" ca="1" si="182"/>
        <v>D</v>
      </c>
      <c r="DO42" s="301" t="str">
        <f t="shared" ca="1" si="182"/>
        <v>D</v>
      </c>
      <c r="DP42" s="301" t="str">
        <f t="shared" ca="1" si="182"/>
        <v>D</v>
      </c>
      <c r="DQ42" s="301" t="str">
        <f t="shared" ca="1" si="182"/>
        <v>D</v>
      </c>
      <c r="DR42" s="301" t="str">
        <f t="shared" ca="1" si="182"/>
        <v>D</v>
      </c>
      <c r="DS42" s="301" t="str">
        <f t="shared" ca="1" si="182"/>
        <v>D</v>
      </c>
      <c r="DT42" s="301" t="str">
        <f t="shared" ref="DT42:EE51" ca="1" si="183">IF(ISERR(FIND(";"&amp;DT$13&amp;":0;",$F42)),
CHAR(CODE($CE42)+SUM(IF(AND(NT_STUBENHKR,OR(DT$13&lt;=$E42,ISBLANK($E42))),1,0),IF(ISERR(FIND(";"&amp;DT$13&amp;";",$F42)),0,-1),IF(ISERR(FIND(";"&amp;DT$13&amp;":",$F42)),0,-VALUE(MID($F42,FIND(";"&amp;DT$13&amp;":",$F42)+LEN(DT$13)+2,1))))),0)</f>
        <v>D</v>
      </c>
      <c r="DU42" s="301" t="str">
        <f t="shared" ca="1" si="183"/>
        <v>D</v>
      </c>
      <c r="DV42" s="301" t="str">
        <f t="shared" ca="1" si="183"/>
        <v>D</v>
      </c>
      <c r="DW42" s="301" t="str">
        <f t="shared" ca="1" si="183"/>
        <v>D</v>
      </c>
      <c r="DX42" s="301" t="str">
        <f t="shared" ca="1" si="183"/>
        <v>D</v>
      </c>
      <c r="DY42" s="301" t="str">
        <f t="shared" ca="1" si="183"/>
        <v>D</v>
      </c>
      <c r="DZ42" s="301" t="str">
        <f t="shared" ca="1" si="183"/>
        <v>D</v>
      </c>
      <c r="EA42" s="301" t="str">
        <f t="shared" ca="1" si="183"/>
        <v>D</v>
      </c>
      <c r="EB42" s="301" t="str">
        <f t="shared" ca="1" si="183"/>
        <v>D</v>
      </c>
      <c r="EC42" s="301" t="str">
        <f t="shared" ca="1" si="183"/>
        <v>D</v>
      </c>
      <c r="ED42" s="301" t="str">
        <f t="shared" ca="1" si="183"/>
        <v>D</v>
      </c>
      <c r="EE42" s="301" t="str">
        <f t="shared" ca="1" si="183"/>
        <v>D</v>
      </c>
      <c r="EF42" s="205"/>
      <c r="EG42" s="301" t="str">
        <f t="shared" ref="EG42:EP51" ca="1" si="184">IF(ISERR(FIND(";"&amp;EG$13&amp;":0;",$F42)),
CHAR(CODE($CE42)+
SUM(IF(AND(NT_STUBENHKR,OR(EG$13&lt;=$E42,ISBLANK($E42))),1,0),
IF(ISERR(FIND(";"&amp;EG$13&amp;";",$F42)),0,-1),
IF(ISERR(FIND(";"&amp;EG$13&amp;":",$F42)),0,-VALUE(MID($F42,FIND(";"&amp;EG$13&amp;":",$F42)+LEN(EG$13)+2,1))),
IF(ISERR(FIND(";"&amp;EG$13&amp;"+",$F42)),0,VALUE(MID($F42,FIND(";"&amp;EG$13&amp;"+",$F42)+LEN(EG$13)+2,1))),)),0)</f>
        <v>D</v>
      </c>
      <c r="EH42" s="301" t="str">
        <f t="shared" ca="1" si="184"/>
        <v>D</v>
      </c>
      <c r="EI42" s="301" t="str">
        <f t="shared" ca="1" si="184"/>
        <v>D</v>
      </c>
      <c r="EJ42" s="301" t="str">
        <f t="shared" ca="1" si="184"/>
        <v>D</v>
      </c>
      <c r="EK42" s="301" t="str">
        <f t="shared" ca="1" si="184"/>
        <v>D</v>
      </c>
      <c r="EL42" s="301" t="str">
        <f t="shared" ca="1" si="184"/>
        <v>D</v>
      </c>
      <c r="EM42" s="301" t="str">
        <f t="shared" ca="1" si="184"/>
        <v>D</v>
      </c>
      <c r="EN42" s="301" t="str">
        <f t="shared" ca="1" si="184"/>
        <v>D</v>
      </c>
      <c r="EO42" s="301" t="str">
        <f t="shared" ca="1" si="184"/>
        <v>D</v>
      </c>
      <c r="EP42" s="301" t="str">
        <f t="shared" ca="1" si="184"/>
        <v>D</v>
      </c>
      <c r="EQ42" s="301" t="str">
        <f t="shared" ref="EQ42:EZ51" ca="1" si="185">IF(ISERR(FIND(";"&amp;EQ$13&amp;":0;",$F42)),
CHAR(CODE($CE42)+
SUM(IF(AND(NT_STUBENHKR,OR(EQ$13&lt;=$E42,ISBLANK($E42))),1,0),
IF(ISERR(FIND(";"&amp;EQ$13&amp;";",$F42)),0,-1),
IF(ISERR(FIND(";"&amp;EQ$13&amp;":",$F42)),0,-VALUE(MID($F42,FIND(";"&amp;EQ$13&amp;":",$F42)+LEN(EQ$13)+2,1))),
IF(ISERR(FIND(";"&amp;EQ$13&amp;"+",$F42)),0,VALUE(MID($F42,FIND(";"&amp;EQ$13&amp;"+",$F42)+LEN(EQ$13)+2,1))),)),0)</f>
        <v>D</v>
      </c>
      <c r="ER42" s="301" t="str">
        <f t="shared" ca="1" si="185"/>
        <v>D</v>
      </c>
      <c r="ES42" s="301" t="str">
        <f t="shared" ca="1" si="185"/>
        <v>D</v>
      </c>
      <c r="ET42" s="301" t="str">
        <f t="shared" ca="1" si="185"/>
        <v>D</v>
      </c>
      <c r="EU42" s="301" t="str">
        <f t="shared" ca="1" si="185"/>
        <v>D</v>
      </c>
      <c r="EV42" s="301" t="str">
        <f t="shared" ca="1" si="185"/>
        <v>D</v>
      </c>
      <c r="EW42" s="301" t="str">
        <f t="shared" ca="1" si="185"/>
        <v>D</v>
      </c>
      <c r="EX42" s="301" t="str">
        <f t="shared" ca="1" si="185"/>
        <v>D</v>
      </c>
      <c r="EY42" s="301" t="str">
        <f t="shared" ca="1" si="185"/>
        <v>D</v>
      </c>
      <c r="EZ42" s="301" t="str">
        <f t="shared" ca="1" si="185"/>
        <v>D</v>
      </c>
      <c r="FA42" s="301" t="str">
        <f t="shared" ref="FA42:FL51" ca="1" si="186">IF(ISERR(FIND(";"&amp;FA$13&amp;":0;",$F42)),
CHAR(CODE($CE42)+
SUM(IF(AND(NT_STUBENHKR,OR(FA$13&lt;=$E42,ISBLANK($E42))),1,0),
IF(ISERR(FIND(";"&amp;FA$13&amp;";",$F42)),0,-1),
IF(ISERR(FIND(";"&amp;FA$13&amp;":",$F42)),0,-VALUE(MID($F42,FIND(";"&amp;FA$13&amp;":",$F42)+LEN(FA$13)+2,1))),
IF(ISERR(FIND(";"&amp;FA$13&amp;"+",$F42)),0,VALUE(MID($F42,FIND(";"&amp;FA$13&amp;"+",$F42)+LEN(FA$13)+2,1))),)),0)</f>
        <v>D</v>
      </c>
      <c r="FB42" s="301" t="str">
        <f t="shared" ca="1" si="186"/>
        <v>D</v>
      </c>
      <c r="FC42" s="301" t="str">
        <f t="shared" ca="1" si="186"/>
        <v>D</v>
      </c>
      <c r="FD42" s="301" t="str">
        <f t="shared" ca="1" si="186"/>
        <v>D</v>
      </c>
      <c r="FE42" s="301" t="str">
        <f t="shared" ca="1" si="186"/>
        <v>D</v>
      </c>
      <c r="FF42" s="301" t="str">
        <f t="shared" ca="1" si="186"/>
        <v>D</v>
      </c>
      <c r="FG42" s="301" t="str">
        <f t="shared" ca="1" si="186"/>
        <v>D</v>
      </c>
      <c r="FH42" s="301" t="str">
        <f t="shared" ca="1" si="186"/>
        <v>D</v>
      </c>
      <c r="FI42" s="301" t="str">
        <f t="shared" ca="1" si="186"/>
        <v>D</v>
      </c>
      <c r="FJ42" s="301" t="str">
        <f t="shared" ca="1" si="186"/>
        <v>D</v>
      </c>
      <c r="FK42" s="301" t="str">
        <f t="shared" ca="1" si="186"/>
        <v>D</v>
      </c>
      <c r="FL42" s="301" t="str">
        <f t="shared" ca="1" si="186"/>
        <v>D</v>
      </c>
    </row>
    <row r="43" spans="1:168" x14ac:dyDescent="0.2">
      <c r="A43" s="38" t="str">
        <f t="shared" ref="A43:A59" si="187">INDEX(TL_KRP,ROW()-41)</f>
        <v>Athletik</v>
      </c>
      <c r="B43" s="317">
        <f t="shared" ca="1" si="106"/>
        <v>0</v>
      </c>
      <c r="C43" s="1071" t="s">
        <v>1321</v>
      </c>
      <c r="D43" s="1110"/>
      <c r="E43" s="1424"/>
      <c r="F43" s="325"/>
      <c r="G43" s="958"/>
      <c r="H43" s="1196"/>
      <c r="I43" s="326"/>
      <c r="J43" s="1886" t="str">
        <f t="shared" ca="1" si="107"/>
        <v/>
      </c>
      <c r="K43" s="1887"/>
      <c r="L43" s="1887"/>
      <c r="M43" s="1887"/>
      <c r="N43" s="1888"/>
      <c r="O43" s="613">
        <f t="shared" ca="1" si="108"/>
        <v>0</v>
      </c>
      <c r="P43" s="90"/>
      <c r="Q43" s="25"/>
      <c r="R43" s="1313"/>
      <c r="S43" s="1313"/>
      <c r="T43" s="1315"/>
      <c r="U43" s="1283"/>
      <c r="V43" s="628" t="str">
        <f t="shared" ca="1" si="109"/>
        <v/>
      </c>
      <c r="W43" s="164">
        <f t="shared" ca="1" si="110"/>
        <v>0</v>
      </c>
      <c r="X43" s="164">
        <f t="shared" ca="1" si="111"/>
        <v>0</v>
      </c>
      <c r="Y43" s="164">
        <f t="shared" ca="1" si="112"/>
        <v>0</v>
      </c>
      <c r="Z43" s="164">
        <f t="shared" ca="1" si="113"/>
        <v>0</v>
      </c>
      <c r="AA43" s="164">
        <f t="shared" ca="1" si="114"/>
        <v>0</v>
      </c>
      <c r="AB43" s="164">
        <f t="shared" ca="1" si="115"/>
        <v>0</v>
      </c>
      <c r="AC43" s="164">
        <f t="shared" ca="1" si="116"/>
        <v>0</v>
      </c>
      <c r="AD43" s="164">
        <f t="shared" ca="1" si="117"/>
        <v>0</v>
      </c>
      <c r="AE43" s="164">
        <f t="shared" ca="1" si="118"/>
        <v>0</v>
      </c>
      <c r="AF43" s="164">
        <f t="shared" ca="1" si="119"/>
        <v>0</v>
      </c>
      <c r="AG43" s="164">
        <f t="shared" ca="1" si="120"/>
        <v>0</v>
      </c>
      <c r="AH43" s="164">
        <f t="shared" ca="1" si="121"/>
        <v>0</v>
      </c>
      <c r="AI43" s="164">
        <f t="shared" ca="1" si="122"/>
        <v>0</v>
      </c>
      <c r="AJ43" s="164">
        <f t="shared" ca="1" si="123"/>
        <v>0</v>
      </c>
      <c r="AK43" s="164">
        <f t="shared" ca="1" si="124"/>
        <v>0</v>
      </c>
      <c r="AL43" s="164">
        <f t="shared" ca="1" si="125"/>
        <v>0</v>
      </c>
      <c r="AM43" s="164">
        <f t="shared" ca="1" si="126"/>
        <v>0</v>
      </c>
      <c r="AN43" s="164">
        <f t="shared" ca="1" si="127"/>
        <v>0</v>
      </c>
      <c r="AO43" s="164">
        <f t="shared" ca="1" si="128"/>
        <v>0</v>
      </c>
      <c r="AP43" s="164">
        <f t="shared" ca="1" si="129"/>
        <v>0</v>
      </c>
      <c r="AQ43" s="164">
        <f t="shared" ca="1" si="130"/>
        <v>0</v>
      </c>
      <c r="AR43" s="164">
        <f t="shared" ca="1" si="131"/>
        <v>0</v>
      </c>
      <c r="AS43" s="195"/>
      <c r="AT43" s="154">
        <f t="shared" ca="1" si="132"/>
        <v>0</v>
      </c>
      <c r="AU43" s="154">
        <f t="shared" ca="1" si="133"/>
        <v>0</v>
      </c>
      <c r="AV43" s="154">
        <f t="shared" ca="1" si="134"/>
        <v>0</v>
      </c>
      <c r="AW43" s="154">
        <f t="shared" ca="1" si="135"/>
        <v>0</v>
      </c>
      <c r="AX43" s="154">
        <f t="shared" ca="1" si="136"/>
        <v>0</v>
      </c>
      <c r="AY43" s="154">
        <f t="shared" ca="1" si="137"/>
        <v>0</v>
      </c>
      <c r="AZ43" s="154">
        <f t="shared" ca="1" si="138"/>
        <v>0</v>
      </c>
      <c r="BA43" s="154">
        <f t="shared" ca="1" si="139"/>
        <v>0</v>
      </c>
      <c r="BB43" s="154">
        <f t="shared" ca="1" si="140"/>
        <v>0</v>
      </c>
      <c r="BC43" s="154">
        <f t="shared" ca="1" si="141"/>
        <v>0</v>
      </c>
      <c r="BD43" s="154">
        <f t="shared" ca="1" si="142"/>
        <v>0</v>
      </c>
      <c r="BE43" s="154">
        <f t="shared" ca="1" si="143"/>
        <v>0</v>
      </c>
      <c r="BF43" s="154">
        <f t="shared" ca="1" si="144"/>
        <v>0</v>
      </c>
      <c r="BG43" s="154">
        <f t="shared" ca="1" si="145"/>
        <v>0</v>
      </c>
      <c r="BH43" s="154">
        <f t="shared" ca="1" si="146"/>
        <v>0</v>
      </c>
      <c r="BI43" s="154">
        <f t="shared" ca="1" si="147"/>
        <v>0</v>
      </c>
      <c r="BJ43" s="154">
        <f t="shared" ca="1" si="148"/>
        <v>0</v>
      </c>
      <c r="BK43" s="154">
        <f t="shared" ca="1" si="149"/>
        <v>0</v>
      </c>
      <c r="BL43" s="154">
        <f t="shared" ca="1" si="150"/>
        <v>0</v>
      </c>
      <c r="BM43" s="154">
        <f t="shared" ca="1" si="151"/>
        <v>0</v>
      </c>
      <c r="BN43" s="154">
        <f t="shared" ca="1" si="152"/>
        <v>0</v>
      </c>
      <c r="BO43" s="154">
        <f t="shared" ca="1" si="153"/>
        <v>0</v>
      </c>
      <c r="BP43" s="154">
        <f t="shared" ca="1" si="154"/>
        <v>0</v>
      </c>
      <c r="BQ43" s="154">
        <f t="shared" ca="1" si="155"/>
        <v>0</v>
      </c>
      <c r="BR43" s="154">
        <f t="shared" ca="1" si="156"/>
        <v>0</v>
      </c>
      <c r="BS43" s="154">
        <f t="shared" ca="1" si="157"/>
        <v>0</v>
      </c>
      <c r="BT43" s="154">
        <f t="shared" ca="1" si="158"/>
        <v>0</v>
      </c>
      <c r="BU43" s="154">
        <f t="shared" ca="1" si="159"/>
        <v>0</v>
      </c>
      <c r="BV43" s="154">
        <f t="shared" ca="1" si="160"/>
        <v>0</v>
      </c>
      <c r="BW43" s="154">
        <f t="shared" ca="1" si="161"/>
        <v>0</v>
      </c>
      <c r="BX43" s="154">
        <f t="shared" ca="1" si="162"/>
        <v>0</v>
      </c>
      <c r="BY43" s="154">
        <f t="shared" ca="1" si="163"/>
        <v>0</v>
      </c>
      <c r="BZ43" s="154">
        <f>IF(T43="GP",1,0)</f>
        <v>0</v>
      </c>
      <c r="CA43" s="154">
        <f t="shared" si="164"/>
        <v>0</v>
      </c>
      <c r="CB43" s="154">
        <f t="shared" ca="1" si="165"/>
        <v>0</v>
      </c>
      <c r="CC43" s="523"/>
      <c r="CD43" s="355">
        <f t="shared" si="166"/>
        <v>71</v>
      </c>
      <c r="CE43" s="268" t="str">
        <f t="shared" ca="1" si="167"/>
        <v>D</v>
      </c>
      <c r="CF43" s="355"/>
      <c r="CG43" s="268"/>
      <c r="CH43" s="268"/>
      <c r="CI43" s="269">
        <f t="shared" ca="1" si="168"/>
        <v>0</v>
      </c>
      <c r="CJ43" s="269">
        <f t="shared" ca="1" si="169"/>
        <v>0</v>
      </c>
      <c r="CK43" s="268"/>
      <c r="CL43" s="268"/>
      <c r="CM43" s="268">
        <f t="shared" si="82"/>
        <v>0</v>
      </c>
      <c r="CN43" s="269">
        <f t="shared" ca="1" si="83"/>
        <v>0</v>
      </c>
      <c r="CO43" s="268" t="str">
        <f t="shared" ca="1" si="170"/>
        <v>D</v>
      </c>
      <c r="CP43" s="271" t="b">
        <f>TRUE</f>
        <v>1</v>
      </c>
      <c r="CQ43" s="269">
        <f t="shared" si="171"/>
        <v>0</v>
      </c>
      <c r="CR43" s="269">
        <f t="shared" si="172"/>
        <v>0</v>
      </c>
      <c r="CS43" s="269">
        <f t="shared" ca="1" si="173"/>
        <v>0</v>
      </c>
      <c r="CT43" s="302" t="str">
        <f t="shared" ca="1" si="174"/>
        <v>0</v>
      </c>
      <c r="CU43" s="269">
        <f t="shared" ca="1" si="175"/>
        <v>0</v>
      </c>
      <c r="CV43" s="268"/>
      <c r="CW43" s="269">
        <f t="shared" ca="1" si="176"/>
        <v>0</v>
      </c>
      <c r="CX43" s="301">
        <f t="shared" ca="1" si="177"/>
        <v>0</v>
      </c>
      <c r="CY43" s="301">
        <f t="shared" ca="1" si="85"/>
        <v>0</v>
      </c>
      <c r="CZ43" s="301">
        <f t="shared" ca="1" si="178"/>
        <v>0</v>
      </c>
      <c r="DA43" s="301">
        <f t="shared" ca="1" si="179"/>
        <v>0</v>
      </c>
      <c r="DB43" t="str">
        <f t="shared" ref="DB43:DB55" ca="1" si="188">IF(AND(NT_STUBENHKR,G43&gt;2),"Als Stubenhoker max. um 2 steigerbar",IF(AND(NOT(ISBLANK($G43)),OR(EXACT($AH$5,$A$41),EXACT($AH$6,$A$41),EXACT($AH$7,$A$41),EXACT($AH$8,$A$41),EXACT($AH$9,$A$41))),"Nicht möglich (Unfähigkeit)!",""))</f>
        <v/>
      </c>
      <c r="DC43" s="301" t="str">
        <f t="shared" ca="1" si="180"/>
        <v/>
      </c>
      <c r="DD43" s="1337" t="str">
        <f t="shared" ref="DD43:DD59" ca="1" si="189">IF(PROFGEBGENE="Goetter",IF(RIGHT(HLOOKUP(PROFGENE,INDIRECT(PROFGEBIET),$CD43,FALSE),1)="M",CONCATENATE(DD42,$A43,","),DD42),IF(AKTIV_SPTWHE,IF(EXACT(UPPER(RIGHT(HLOOKUP(PROFSPTWHE,SPTWHE,$CD43,FALSE))),"M"),CONCATENATE(DD42,$A43,","),DD42),IF(PROFGEBZWEITE="Goetter (BGB)",IF(RIGHT(HLOOKUP(PROFZWEITE,INDIRECT(PROFGEBIET2),$CD43,FALSE),1)="M",CONCATENATE(DD42,$A43,","),DD42),"")))</f>
        <v/>
      </c>
      <c r="DE43" s="1337" t="str">
        <f t="shared" ref="DE43:DE59" ca="1" si="190">IF(PROFGEBGENE="Goetter",IF(RIGHT(HLOOKUP(PROFGENE,INDIRECT(PROFGEBIET),$CD43,FALSE),1)="N",CONCATENATE(DE42,$A43,","),DE42),IF(AKTIV_SPTWHE,IF(EXACT(UPPER(RIGHT(HLOOKUP(PROFSPTWHE,SPTWHE,$CD43,FALSE))),"N"),CONCATENATE(DE42,$A43,","),DE42),IF(PROFGEBZWEITE="Goetter (BGB)",IF(RIGHT(HLOOKUP(PROFZWEITE,INDIRECT(PROFGEBIET2),$CD43,FALSE),1)="N",CONCATENATE(DE42,$A43,","),DE42),"")))</f>
        <v/>
      </c>
      <c r="DG43" s="269" t="str">
        <f t="shared" ca="1" si="181"/>
        <v>Tabellen_Andere!BA9:BF9</v>
      </c>
      <c r="DH43" s="269" t="str">
        <f t="shared" ref="DH43:DH59" si="191">IF(VLOOKUP(A43,TALENTE_GP,4,FALSE)="Kultur","KULTUREN","Tabellen_Andere!BA"&amp;MATCH(A43,TALENTE)+1&amp;":BF"&amp;MATCH(A43,TALENTE)+1)</f>
        <v>Tabellen_Andere!BA9:BF9</v>
      </c>
      <c r="DI43" s="269" t="str">
        <f ca="1">IF(NOT(ISERR(FIND(A43,Abfragen!$O$264,1))),MID(Abfragen!$O$264,FIND("(",Abfragen!$O$264,FIND(A43,Abfragen!$O$264,1)+LEN(A43))+1,FIND(")",Abfragen!$O$264,FIND(A43,Abfragen!$O$264,1)+LEN(A43))-FIND("(",Abfragen!$O$264,FIND(A43,Abfragen!$O$264,1)+LEN(A43))-1),"")</f>
        <v/>
      </c>
      <c r="DJ43" s="301" t="str">
        <f t="shared" ca="1" si="182"/>
        <v>D</v>
      </c>
      <c r="DK43" s="301" t="str">
        <f t="shared" ca="1" si="182"/>
        <v>D</v>
      </c>
      <c r="DL43" s="301" t="str">
        <f t="shared" ca="1" si="182"/>
        <v>D</v>
      </c>
      <c r="DM43" s="301" t="str">
        <f t="shared" ca="1" si="182"/>
        <v>D</v>
      </c>
      <c r="DN43" s="301" t="str">
        <f t="shared" ca="1" si="182"/>
        <v>D</v>
      </c>
      <c r="DO43" s="301" t="str">
        <f t="shared" ca="1" si="182"/>
        <v>D</v>
      </c>
      <c r="DP43" s="301" t="str">
        <f t="shared" ca="1" si="182"/>
        <v>D</v>
      </c>
      <c r="DQ43" s="301" t="str">
        <f t="shared" ca="1" si="182"/>
        <v>D</v>
      </c>
      <c r="DR43" s="301" t="str">
        <f t="shared" ca="1" si="182"/>
        <v>D</v>
      </c>
      <c r="DS43" s="301" t="str">
        <f t="shared" ca="1" si="182"/>
        <v>D</v>
      </c>
      <c r="DT43" s="301" t="str">
        <f t="shared" ca="1" si="183"/>
        <v>D</v>
      </c>
      <c r="DU43" s="301" t="str">
        <f t="shared" ca="1" si="183"/>
        <v>D</v>
      </c>
      <c r="DV43" s="301" t="str">
        <f t="shared" ca="1" si="183"/>
        <v>D</v>
      </c>
      <c r="DW43" s="301" t="str">
        <f t="shared" ca="1" si="183"/>
        <v>D</v>
      </c>
      <c r="DX43" s="301" t="str">
        <f t="shared" ca="1" si="183"/>
        <v>D</v>
      </c>
      <c r="DY43" s="301" t="str">
        <f t="shared" ca="1" si="183"/>
        <v>D</v>
      </c>
      <c r="DZ43" s="301" t="str">
        <f t="shared" ca="1" si="183"/>
        <v>D</v>
      </c>
      <c r="EA43" s="301" t="str">
        <f t="shared" ca="1" si="183"/>
        <v>D</v>
      </c>
      <c r="EB43" s="301" t="str">
        <f t="shared" ca="1" si="183"/>
        <v>D</v>
      </c>
      <c r="EC43" s="301" t="str">
        <f t="shared" ca="1" si="183"/>
        <v>D</v>
      </c>
      <c r="ED43" s="301" t="str">
        <f t="shared" ca="1" si="183"/>
        <v>D</v>
      </c>
      <c r="EE43" s="301" t="str">
        <f t="shared" ca="1" si="183"/>
        <v>D</v>
      </c>
      <c r="EF43" s="205"/>
      <c r="EG43" s="301" t="str">
        <f t="shared" ca="1" si="184"/>
        <v>D</v>
      </c>
      <c r="EH43" s="301" t="str">
        <f t="shared" ca="1" si="184"/>
        <v>D</v>
      </c>
      <c r="EI43" s="301" t="str">
        <f t="shared" ca="1" si="184"/>
        <v>D</v>
      </c>
      <c r="EJ43" s="301" t="str">
        <f t="shared" ca="1" si="184"/>
        <v>D</v>
      </c>
      <c r="EK43" s="301" t="str">
        <f t="shared" ca="1" si="184"/>
        <v>D</v>
      </c>
      <c r="EL43" s="301" t="str">
        <f t="shared" ca="1" si="184"/>
        <v>D</v>
      </c>
      <c r="EM43" s="301" t="str">
        <f t="shared" ca="1" si="184"/>
        <v>D</v>
      </c>
      <c r="EN43" s="301" t="str">
        <f t="shared" ca="1" si="184"/>
        <v>D</v>
      </c>
      <c r="EO43" s="301" t="str">
        <f t="shared" ca="1" si="184"/>
        <v>D</v>
      </c>
      <c r="EP43" s="301" t="str">
        <f t="shared" ca="1" si="184"/>
        <v>D</v>
      </c>
      <c r="EQ43" s="301" t="str">
        <f t="shared" ca="1" si="185"/>
        <v>D</v>
      </c>
      <c r="ER43" s="301" t="str">
        <f t="shared" ca="1" si="185"/>
        <v>D</v>
      </c>
      <c r="ES43" s="301" t="str">
        <f t="shared" ca="1" si="185"/>
        <v>D</v>
      </c>
      <c r="ET43" s="301" t="str">
        <f t="shared" ca="1" si="185"/>
        <v>D</v>
      </c>
      <c r="EU43" s="301" t="str">
        <f t="shared" ca="1" si="185"/>
        <v>D</v>
      </c>
      <c r="EV43" s="301" t="str">
        <f t="shared" ca="1" si="185"/>
        <v>D</v>
      </c>
      <c r="EW43" s="301" t="str">
        <f t="shared" ca="1" si="185"/>
        <v>D</v>
      </c>
      <c r="EX43" s="301" t="str">
        <f t="shared" ca="1" si="185"/>
        <v>D</v>
      </c>
      <c r="EY43" s="301" t="str">
        <f t="shared" ca="1" si="185"/>
        <v>D</v>
      </c>
      <c r="EZ43" s="301" t="str">
        <f t="shared" ca="1" si="185"/>
        <v>D</v>
      </c>
      <c r="FA43" s="301" t="str">
        <f t="shared" ca="1" si="186"/>
        <v>D</v>
      </c>
      <c r="FB43" s="301" t="str">
        <f t="shared" ca="1" si="186"/>
        <v>D</v>
      </c>
      <c r="FC43" s="301" t="str">
        <f t="shared" ca="1" si="186"/>
        <v>D</v>
      </c>
      <c r="FD43" s="301" t="str">
        <f t="shared" ca="1" si="186"/>
        <v>D</v>
      </c>
      <c r="FE43" s="301" t="str">
        <f t="shared" ca="1" si="186"/>
        <v>D</v>
      </c>
      <c r="FF43" s="301" t="str">
        <f t="shared" ca="1" si="186"/>
        <v>D</v>
      </c>
      <c r="FG43" s="301" t="str">
        <f t="shared" ca="1" si="186"/>
        <v>D</v>
      </c>
      <c r="FH43" s="301" t="str">
        <f t="shared" ca="1" si="186"/>
        <v>D</v>
      </c>
      <c r="FI43" s="301" t="str">
        <f t="shared" ca="1" si="186"/>
        <v>D</v>
      </c>
      <c r="FJ43" s="301" t="str">
        <f t="shared" ca="1" si="186"/>
        <v>D</v>
      </c>
      <c r="FK43" s="301" t="str">
        <f t="shared" ca="1" si="186"/>
        <v>D</v>
      </c>
      <c r="FL43" s="301" t="str">
        <f t="shared" ca="1" si="186"/>
        <v>D</v>
      </c>
    </row>
    <row r="44" spans="1:168" x14ac:dyDescent="0.2">
      <c r="A44" s="38" t="str">
        <f t="shared" si="187"/>
        <v>Fliegen</v>
      </c>
      <c r="B44" s="317" t="str">
        <f t="shared" ca="1" si="106"/>
        <v/>
      </c>
      <c r="C44" s="332" t="str">
        <f ca="1">IF(OR(NOT(ISBLANK(D44)),NOT(ISBLANK(HLOOKUP(RASSEGENE,RASSE,$CD44,FALSE))),
NOT(ISBLANK(HLOOKUP(KULTURGENE,KULTUR,$CD44,FALSE))),
NOT(OR(ISBLANK(HLOOKUP(PROFGENE,INDIRECT(PROFGEBIET),$CD44,FALSE)),$CS44="N",$CS44="M")),
IF(PROFZWEITE="",FALSE,NOT(ISBLANK(HLOOKUP(PROFZWEITE,INDIRECT(PROFGEBIET2),$CD44,FALSE))))),"x","")</f>
        <v/>
      </c>
      <c r="D44" s="1110"/>
      <c r="E44" s="1424"/>
      <c r="F44" s="325"/>
      <c r="G44" s="958"/>
      <c r="H44" s="1196"/>
      <c r="I44" s="326"/>
      <c r="J44" s="1886" t="str">
        <f t="shared" ca="1" si="107"/>
        <v/>
      </c>
      <c r="K44" s="1887"/>
      <c r="L44" s="1887"/>
      <c r="M44" s="1887"/>
      <c r="N44" s="1888"/>
      <c r="O44" s="613" t="str">
        <f t="shared" ca="1" si="108"/>
        <v/>
      </c>
      <c r="P44" s="90"/>
      <c r="Q44" s="25"/>
      <c r="R44" s="1313"/>
      <c r="S44" s="1313"/>
      <c r="T44" s="1315"/>
      <c r="U44" s="1283"/>
      <c r="V44" s="628" t="str">
        <f t="shared" ca="1" si="109"/>
        <v/>
      </c>
      <c r="W44" s="164">
        <f t="shared" ca="1" si="110"/>
        <v>0</v>
      </c>
      <c r="X44" s="164">
        <f t="shared" ca="1" si="111"/>
        <v>0</v>
      </c>
      <c r="Y44" s="164">
        <f t="shared" ca="1" si="112"/>
        <v>0</v>
      </c>
      <c r="Z44" s="164">
        <f t="shared" ca="1" si="113"/>
        <v>0</v>
      </c>
      <c r="AA44" s="164">
        <f t="shared" ca="1" si="114"/>
        <v>0</v>
      </c>
      <c r="AB44" s="164">
        <f t="shared" ca="1" si="115"/>
        <v>0</v>
      </c>
      <c r="AC44" s="164">
        <f t="shared" ca="1" si="116"/>
        <v>0</v>
      </c>
      <c r="AD44" s="164">
        <f t="shared" ca="1" si="117"/>
        <v>0</v>
      </c>
      <c r="AE44" s="164">
        <f t="shared" ca="1" si="118"/>
        <v>0</v>
      </c>
      <c r="AF44" s="164">
        <f t="shared" ca="1" si="119"/>
        <v>0</v>
      </c>
      <c r="AG44" s="164">
        <f t="shared" ca="1" si="120"/>
        <v>0</v>
      </c>
      <c r="AH44" s="164">
        <f t="shared" ca="1" si="121"/>
        <v>0</v>
      </c>
      <c r="AI44" s="164">
        <f t="shared" ca="1" si="122"/>
        <v>0</v>
      </c>
      <c r="AJ44" s="164">
        <f t="shared" ca="1" si="123"/>
        <v>0</v>
      </c>
      <c r="AK44" s="164">
        <f t="shared" ca="1" si="124"/>
        <v>0</v>
      </c>
      <c r="AL44" s="164">
        <f t="shared" ca="1" si="125"/>
        <v>0</v>
      </c>
      <c r="AM44" s="164">
        <f t="shared" ca="1" si="126"/>
        <v>0</v>
      </c>
      <c r="AN44" s="164">
        <f t="shared" ca="1" si="127"/>
        <v>0</v>
      </c>
      <c r="AO44" s="164">
        <f t="shared" ca="1" si="128"/>
        <v>0</v>
      </c>
      <c r="AP44" s="164">
        <f t="shared" ca="1" si="129"/>
        <v>0</v>
      </c>
      <c r="AQ44" s="164">
        <f t="shared" ca="1" si="130"/>
        <v>0</v>
      </c>
      <c r="AR44" s="164">
        <f t="shared" ca="1" si="131"/>
        <v>0</v>
      </c>
      <c r="AS44" s="195"/>
      <c r="AT44" s="154">
        <f t="shared" ca="1" si="132"/>
        <v>0</v>
      </c>
      <c r="AU44" s="154">
        <f t="shared" ca="1" si="133"/>
        <v>0</v>
      </c>
      <c r="AV44" s="154">
        <f t="shared" ca="1" si="134"/>
        <v>0</v>
      </c>
      <c r="AW44" s="154">
        <f t="shared" ca="1" si="135"/>
        <v>0</v>
      </c>
      <c r="AX44" s="154">
        <f t="shared" ca="1" si="136"/>
        <v>0</v>
      </c>
      <c r="AY44" s="154">
        <f t="shared" ca="1" si="137"/>
        <v>0</v>
      </c>
      <c r="AZ44" s="154">
        <f t="shared" ca="1" si="138"/>
        <v>0</v>
      </c>
      <c r="BA44" s="154">
        <f t="shared" ca="1" si="139"/>
        <v>0</v>
      </c>
      <c r="BB44" s="154">
        <f t="shared" ca="1" si="140"/>
        <v>0</v>
      </c>
      <c r="BC44" s="154">
        <f t="shared" ca="1" si="141"/>
        <v>0</v>
      </c>
      <c r="BD44" s="154">
        <f t="shared" ca="1" si="142"/>
        <v>0</v>
      </c>
      <c r="BE44" s="154">
        <f t="shared" ca="1" si="143"/>
        <v>0</v>
      </c>
      <c r="BF44" s="154">
        <f t="shared" ca="1" si="144"/>
        <v>0</v>
      </c>
      <c r="BG44" s="154">
        <f t="shared" ca="1" si="145"/>
        <v>0</v>
      </c>
      <c r="BH44" s="154">
        <f t="shared" ca="1" si="146"/>
        <v>0</v>
      </c>
      <c r="BI44" s="154">
        <f t="shared" ca="1" si="147"/>
        <v>0</v>
      </c>
      <c r="BJ44" s="154">
        <f t="shared" ca="1" si="148"/>
        <v>0</v>
      </c>
      <c r="BK44" s="154">
        <f t="shared" ca="1" si="149"/>
        <v>0</v>
      </c>
      <c r="BL44" s="154">
        <f t="shared" ca="1" si="150"/>
        <v>0</v>
      </c>
      <c r="BM44" s="154">
        <f t="shared" ca="1" si="151"/>
        <v>0</v>
      </c>
      <c r="BN44" s="154">
        <f t="shared" ca="1" si="152"/>
        <v>0</v>
      </c>
      <c r="BO44" s="154">
        <f t="shared" ca="1" si="153"/>
        <v>0</v>
      </c>
      <c r="BP44" s="154">
        <f t="shared" ca="1" si="154"/>
        <v>0</v>
      </c>
      <c r="BQ44" s="154">
        <f t="shared" ca="1" si="155"/>
        <v>0</v>
      </c>
      <c r="BR44" s="154">
        <f t="shared" ca="1" si="156"/>
        <v>0</v>
      </c>
      <c r="BS44" s="154">
        <f t="shared" ca="1" si="157"/>
        <v>0</v>
      </c>
      <c r="BT44" s="154">
        <f t="shared" ca="1" si="158"/>
        <v>0</v>
      </c>
      <c r="BU44" s="154">
        <f t="shared" ca="1" si="159"/>
        <v>0</v>
      </c>
      <c r="BV44" s="154">
        <f t="shared" ca="1" si="160"/>
        <v>0</v>
      </c>
      <c r="BW44" s="154">
        <f t="shared" ca="1" si="161"/>
        <v>0</v>
      </c>
      <c r="BX44" s="154">
        <f t="shared" ca="1" si="162"/>
        <v>0</v>
      </c>
      <c r="BY44" s="154">
        <f t="shared" ca="1" si="163"/>
        <v>0</v>
      </c>
      <c r="BZ44" s="154">
        <f t="shared" ref="BZ44:BZ59" si="192">IF(T44="GP",1,0)</f>
        <v>0</v>
      </c>
      <c r="CA44" s="154">
        <f t="shared" si="164"/>
        <v>0</v>
      </c>
      <c r="CB44" s="154">
        <f t="shared" ca="1" si="165"/>
        <v>0</v>
      </c>
      <c r="CC44" s="523"/>
      <c r="CD44" s="355">
        <f t="shared" si="166"/>
        <v>72</v>
      </c>
      <c r="CE44" s="268" t="str">
        <f t="shared" ca="1" si="167"/>
        <v>D</v>
      </c>
      <c r="CF44" s="355" t="str">
        <f ca="1">IF(EXACT($B44,""),$CF42,CONCATENATE($CF42,$A44))</f>
        <v/>
      </c>
      <c r="CG44" s="268"/>
      <c r="CH44" s="268"/>
      <c r="CI44" s="269">
        <f t="shared" ca="1" si="168"/>
        <v>0</v>
      </c>
      <c r="CJ44" s="269">
        <f t="shared" ca="1" si="169"/>
        <v>0</v>
      </c>
      <c r="CK44" s="268"/>
      <c r="CL44" s="268"/>
      <c r="CM44" s="268">
        <f t="shared" ca="1" si="82"/>
        <v>0</v>
      </c>
      <c r="CN44" s="269">
        <f t="shared" ca="1" si="83"/>
        <v>0</v>
      </c>
      <c r="CO44" s="268" t="str">
        <f t="shared" ca="1" si="170"/>
        <v>D</v>
      </c>
      <c r="CP44" s="269" t="b">
        <f ca="1">IF(NT_ELFWELT,
IF(OR(
RIGHT(HLOOKUP(PROFGENE,INDIRECT(PROFGEBIET),$CD44,FALSE),1)="L",
RIGHT(HLOOKUP(KULTURGENE,KULTUR,$CD44,FALSE),1)="L",
RIGHT(D44)="L"),TRUE,FALSE),
TRUE)</f>
        <v>1</v>
      </c>
      <c r="CQ44" s="269">
        <f t="shared" si="171"/>
        <v>0</v>
      </c>
      <c r="CR44" s="269">
        <f t="shared" si="172"/>
        <v>0</v>
      </c>
      <c r="CS44" s="269">
        <f t="shared" ca="1" si="173"/>
        <v>0</v>
      </c>
      <c r="CT44" s="302" t="str">
        <f t="shared" ca="1" si="174"/>
        <v>0</v>
      </c>
      <c r="CU44" s="269">
        <f t="shared" ca="1" si="175"/>
        <v>0</v>
      </c>
      <c r="CV44" s="268"/>
      <c r="CW44" s="269">
        <f t="shared" ca="1" si="176"/>
        <v>0</v>
      </c>
      <c r="CX44" s="301">
        <f t="shared" ca="1" si="177"/>
        <v>0</v>
      </c>
      <c r="CY44" s="301">
        <f t="shared" ca="1" si="85"/>
        <v>0</v>
      </c>
      <c r="CZ44" s="301">
        <f t="shared" ca="1" si="178"/>
        <v>0</v>
      </c>
      <c r="DA44" s="301">
        <f t="shared" ca="1" si="179"/>
        <v>0</v>
      </c>
      <c r="DB44" t="str">
        <f t="shared" ca="1" si="188"/>
        <v/>
      </c>
      <c r="DC44" s="301" t="str">
        <f t="shared" ca="1" si="180"/>
        <v/>
      </c>
      <c r="DD44" s="1337" t="str">
        <f t="shared" ca="1" si="189"/>
        <v/>
      </c>
      <c r="DE44" s="1337" t="str">
        <f t="shared" ca="1" si="190"/>
        <v/>
      </c>
      <c r="DG44" s="269" t="str">
        <f t="shared" ca="1" si="181"/>
        <v>Tabellen_Andere!BA35:BF35</v>
      </c>
      <c r="DH44" s="269" t="str">
        <f t="shared" si="191"/>
        <v>Tabellen_Andere!BA35:BF35</v>
      </c>
      <c r="DI44" s="269" t="str">
        <f ca="1">IF(NOT(ISERR(FIND(A44,Abfragen!$O$264,1))),MID(Abfragen!$O$264,FIND("(",Abfragen!$O$264,FIND(A44,Abfragen!$O$264,1)+LEN(A44))+1,FIND(")",Abfragen!$O$264,FIND(A44,Abfragen!$O$264,1)+LEN(A44))-FIND("(",Abfragen!$O$264,FIND(A44,Abfragen!$O$264,1)+LEN(A44))-1),"")</f>
        <v/>
      </c>
      <c r="DJ44" s="301" t="str">
        <f t="shared" ca="1" si="182"/>
        <v>D</v>
      </c>
      <c r="DK44" s="301" t="str">
        <f t="shared" ca="1" si="182"/>
        <v>D</v>
      </c>
      <c r="DL44" s="301" t="str">
        <f t="shared" ca="1" si="182"/>
        <v>D</v>
      </c>
      <c r="DM44" s="301" t="str">
        <f t="shared" ca="1" si="182"/>
        <v>D</v>
      </c>
      <c r="DN44" s="301" t="str">
        <f t="shared" ca="1" si="182"/>
        <v>D</v>
      </c>
      <c r="DO44" s="301" t="str">
        <f t="shared" ca="1" si="182"/>
        <v>D</v>
      </c>
      <c r="DP44" s="301" t="str">
        <f t="shared" ca="1" si="182"/>
        <v>D</v>
      </c>
      <c r="DQ44" s="301" t="str">
        <f t="shared" ca="1" si="182"/>
        <v>D</v>
      </c>
      <c r="DR44" s="301" t="str">
        <f t="shared" ca="1" si="182"/>
        <v>D</v>
      </c>
      <c r="DS44" s="301" t="str">
        <f t="shared" ca="1" si="182"/>
        <v>D</v>
      </c>
      <c r="DT44" s="301" t="str">
        <f t="shared" ca="1" si="183"/>
        <v>D</v>
      </c>
      <c r="DU44" s="301" t="str">
        <f t="shared" ca="1" si="183"/>
        <v>D</v>
      </c>
      <c r="DV44" s="301" t="str">
        <f t="shared" ca="1" si="183"/>
        <v>D</v>
      </c>
      <c r="DW44" s="301" t="str">
        <f t="shared" ca="1" si="183"/>
        <v>D</v>
      </c>
      <c r="DX44" s="301" t="str">
        <f t="shared" ca="1" si="183"/>
        <v>D</v>
      </c>
      <c r="DY44" s="301" t="str">
        <f t="shared" ca="1" si="183"/>
        <v>D</v>
      </c>
      <c r="DZ44" s="301" t="str">
        <f t="shared" ca="1" si="183"/>
        <v>D</v>
      </c>
      <c r="EA44" s="301" t="str">
        <f t="shared" ca="1" si="183"/>
        <v>D</v>
      </c>
      <c r="EB44" s="301" t="str">
        <f t="shared" ca="1" si="183"/>
        <v>D</v>
      </c>
      <c r="EC44" s="301" t="str">
        <f t="shared" ca="1" si="183"/>
        <v>D</v>
      </c>
      <c r="ED44" s="301" t="str">
        <f t="shared" ca="1" si="183"/>
        <v>D</v>
      </c>
      <c r="EE44" s="301" t="str">
        <f t="shared" ca="1" si="183"/>
        <v>D</v>
      </c>
      <c r="EF44" s="205"/>
      <c r="EG44" s="301" t="str">
        <f t="shared" ca="1" si="184"/>
        <v>D</v>
      </c>
      <c r="EH44" s="301" t="str">
        <f t="shared" ca="1" si="184"/>
        <v>D</v>
      </c>
      <c r="EI44" s="301" t="str">
        <f t="shared" ca="1" si="184"/>
        <v>D</v>
      </c>
      <c r="EJ44" s="301" t="str">
        <f t="shared" ca="1" si="184"/>
        <v>D</v>
      </c>
      <c r="EK44" s="301" t="str">
        <f t="shared" ca="1" si="184"/>
        <v>D</v>
      </c>
      <c r="EL44" s="301" t="str">
        <f t="shared" ca="1" si="184"/>
        <v>D</v>
      </c>
      <c r="EM44" s="301" t="str">
        <f t="shared" ca="1" si="184"/>
        <v>D</v>
      </c>
      <c r="EN44" s="301" t="str">
        <f t="shared" ca="1" si="184"/>
        <v>D</v>
      </c>
      <c r="EO44" s="301" t="str">
        <f t="shared" ca="1" si="184"/>
        <v>D</v>
      </c>
      <c r="EP44" s="301" t="str">
        <f t="shared" ca="1" si="184"/>
        <v>D</v>
      </c>
      <c r="EQ44" s="301" t="str">
        <f t="shared" ca="1" si="185"/>
        <v>D</v>
      </c>
      <c r="ER44" s="301" t="str">
        <f t="shared" ca="1" si="185"/>
        <v>D</v>
      </c>
      <c r="ES44" s="301" t="str">
        <f t="shared" ca="1" si="185"/>
        <v>D</v>
      </c>
      <c r="ET44" s="301" t="str">
        <f t="shared" ca="1" si="185"/>
        <v>D</v>
      </c>
      <c r="EU44" s="301" t="str">
        <f t="shared" ca="1" si="185"/>
        <v>D</v>
      </c>
      <c r="EV44" s="301" t="str">
        <f t="shared" ca="1" si="185"/>
        <v>D</v>
      </c>
      <c r="EW44" s="301" t="str">
        <f t="shared" ca="1" si="185"/>
        <v>D</v>
      </c>
      <c r="EX44" s="301" t="str">
        <f t="shared" ca="1" si="185"/>
        <v>D</v>
      </c>
      <c r="EY44" s="301" t="str">
        <f t="shared" ca="1" si="185"/>
        <v>D</v>
      </c>
      <c r="EZ44" s="301" t="str">
        <f t="shared" ca="1" si="185"/>
        <v>D</v>
      </c>
      <c r="FA44" s="301" t="str">
        <f t="shared" ca="1" si="186"/>
        <v>D</v>
      </c>
      <c r="FB44" s="301" t="str">
        <f t="shared" ca="1" si="186"/>
        <v>D</v>
      </c>
      <c r="FC44" s="301" t="str">
        <f t="shared" ca="1" si="186"/>
        <v>D</v>
      </c>
      <c r="FD44" s="301" t="str">
        <f t="shared" ca="1" si="186"/>
        <v>D</v>
      </c>
      <c r="FE44" s="301" t="str">
        <f t="shared" ca="1" si="186"/>
        <v>D</v>
      </c>
      <c r="FF44" s="301" t="str">
        <f t="shared" ca="1" si="186"/>
        <v>D</v>
      </c>
      <c r="FG44" s="301" t="str">
        <f t="shared" ca="1" si="186"/>
        <v>D</v>
      </c>
      <c r="FH44" s="301" t="str">
        <f t="shared" ca="1" si="186"/>
        <v>D</v>
      </c>
      <c r="FI44" s="301" t="str">
        <f t="shared" ca="1" si="186"/>
        <v>D</v>
      </c>
      <c r="FJ44" s="301" t="str">
        <f t="shared" ca="1" si="186"/>
        <v>D</v>
      </c>
      <c r="FK44" s="301" t="str">
        <f t="shared" ca="1" si="186"/>
        <v>D</v>
      </c>
      <c r="FL44" s="301" t="str">
        <f t="shared" ca="1" si="186"/>
        <v>D</v>
      </c>
    </row>
    <row r="45" spans="1:168" x14ac:dyDescent="0.2">
      <c r="A45" s="38" t="str">
        <f t="shared" si="187"/>
        <v>Gaukeleien</v>
      </c>
      <c r="B45" s="317" t="str">
        <f t="shared" ca="1" si="106"/>
        <v/>
      </c>
      <c r="C45" s="332" t="str">
        <f ca="1">IF(OR(NOT(ISBLANK(D45)),NOT(ISBLANK(HLOOKUP(RASSEGENE,RASSE,$CD45,FALSE))),
NOT(ISBLANK(HLOOKUP(KULTURGENE,KULTUR,$CD45,FALSE))),
NOT(OR(ISBLANK(HLOOKUP(PROFGENE,INDIRECT(PROFGEBIET),$CD45,FALSE)),$CS45="N",$CS45="M")),
IF(PROFZWEITE="",FALSE,NOT(ISBLANK(HLOOKUP(PROFZWEITE,INDIRECT(PROFGEBIET2),$CD45,FALSE))))),"x","")</f>
        <v/>
      </c>
      <c r="D45" s="1110"/>
      <c r="E45" s="1424"/>
      <c r="F45" s="325"/>
      <c r="G45" s="958"/>
      <c r="H45" s="1196"/>
      <c r="I45" s="326"/>
      <c r="J45" s="1886" t="str">
        <f t="shared" ca="1" si="107"/>
        <v/>
      </c>
      <c r="K45" s="1887"/>
      <c r="L45" s="1887"/>
      <c r="M45" s="1887"/>
      <c r="N45" s="1888"/>
      <c r="O45" s="613" t="str">
        <f t="shared" ca="1" si="108"/>
        <v/>
      </c>
      <c r="P45" s="90"/>
      <c r="Q45" s="25"/>
      <c r="R45" s="1313"/>
      <c r="S45" s="1313"/>
      <c r="T45" s="1315"/>
      <c r="U45" s="1283"/>
      <c r="V45" s="628" t="str">
        <f t="shared" ca="1" si="109"/>
        <v/>
      </c>
      <c r="W45" s="164">
        <f t="shared" ca="1" si="110"/>
        <v>0</v>
      </c>
      <c r="X45" s="164">
        <f t="shared" ca="1" si="111"/>
        <v>0</v>
      </c>
      <c r="Y45" s="164">
        <f t="shared" ca="1" si="112"/>
        <v>0</v>
      </c>
      <c r="Z45" s="164">
        <f t="shared" ca="1" si="113"/>
        <v>0</v>
      </c>
      <c r="AA45" s="164">
        <f t="shared" ca="1" si="114"/>
        <v>0</v>
      </c>
      <c r="AB45" s="164">
        <f t="shared" ca="1" si="115"/>
        <v>0</v>
      </c>
      <c r="AC45" s="164">
        <f t="shared" ca="1" si="116"/>
        <v>0</v>
      </c>
      <c r="AD45" s="164">
        <f t="shared" ca="1" si="117"/>
        <v>0</v>
      </c>
      <c r="AE45" s="164">
        <f t="shared" ca="1" si="118"/>
        <v>0</v>
      </c>
      <c r="AF45" s="164">
        <f t="shared" ca="1" si="119"/>
        <v>0</v>
      </c>
      <c r="AG45" s="164">
        <f t="shared" ca="1" si="120"/>
        <v>0</v>
      </c>
      <c r="AH45" s="164">
        <f t="shared" ca="1" si="121"/>
        <v>0</v>
      </c>
      <c r="AI45" s="164">
        <f t="shared" ca="1" si="122"/>
        <v>0</v>
      </c>
      <c r="AJ45" s="164">
        <f t="shared" ca="1" si="123"/>
        <v>0</v>
      </c>
      <c r="AK45" s="164">
        <f t="shared" ca="1" si="124"/>
        <v>0</v>
      </c>
      <c r="AL45" s="164">
        <f t="shared" ca="1" si="125"/>
        <v>0</v>
      </c>
      <c r="AM45" s="164">
        <f t="shared" ca="1" si="126"/>
        <v>0</v>
      </c>
      <c r="AN45" s="164">
        <f t="shared" ca="1" si="127"/>
        <v>0</v>
      </c>
      <c r="AO45" s="164">
        <f t="shared" ca="1" si="128"/>
        <v>0</v>
      </c>
      <c r="AP45" s="164">
        <f t="shared" ca="1" si="129"/>
        <v>0</v>
      </c>
      <c r="AQ45" s="164">
        <f t="shared" ca="1" si="130"/>
        <v>0</v>
      </c>
      <c r="AR45" s="164">
        <f t="shared" ca="1" si="131"/>
        <v>0</v>
      </c>
      <c r="AS45" s="195"/>
      <c r="AT45" s="154">
        <f t="shared" ca="1" si="132"/>
        <v>0</v>
      </c>
      <c r="AU45" s="154">
        <f t="shared" ca="1" si="133"/>
        <v>0</v>
      </c>
      <c r="AV45" s="154">
        <f t="shared" ca="1" si="134"/>
        <v>0</v>
      </c>
      <c r="AW45" s="154">
        <f t="shared" ca="1" si="135"/>
        <v>0</v>
      </c>
      <c r="AX45" s="154">
        <f t="shared" ca="1" si="136"/>
        <v>0</v>
      </c>
      <c r="AY45" s="154">
        <f t="shared" ca="1" si="137"/>
        <v>0</v>
      </c>
      <c r="AZ45" s="154">
        <f t="shared" ca="1" si="138"/>
        <v>0</v>
      </c>
      <c r="BA45" s="154">
        <f t="shared" ca="1" si="139"/>
        <v>0</v>
      </c>
      <c r="BB45" s="154">
        <f t="shared" ca="1" si="140"/>
        <v>0</v>
      </c>
      <c r="BC45" s="154">
        <f t="shared" ca="1" si="141"/>
        <v>0</v>
      </c>
      <c r="BD45" s="154">
        <f t="shared" ca="1" si="142"/>
        <v>0</v>
      </c>
      <c r="BE45" s="154">
        <f t="shared" ca="1" si="143"/>
        <v>0</v>
      </c>
      <c r="BF45" s="154">
        <f t="shared" ca="1" si="144"/>
        <v>0</v>
      </c>
      <c r="BG45" s="154">
        <f t="shared" ca="1" si="145"/>
        <v>0</v>
      </c>
      <c r="BH45" s="154">
        <f t="shared" ca="1" si="146"/>
        <v>0</v>
      </c>
      <c r="BI45" s="154">
        <f t="shared" ca="1" si="147"/>
        <v>0</v>
      </c>
      <c r="BJ45" s="154">
        <f t="shared" ca="1" si="148"/>
        <v>0</v>
      </c>
      <c r="BK45" s="154">
        <f t="shared" ca="1" si="149"/>
        <v>0</v>
      </c>
      <c r="BL45" s="154">
        <f t="shared" ca="1" si="150"/>
        <v>0</v>
      </c>
      <c r="BM45" s="154">
        <f t="shared" ca="1" si="151"/>
        <v>0</v>
      </c>
      <c r="BN45" s="154">
        <f t="shared" ca="1" si="152"/>
        <v>0</v>
      </c>
      <c r="BO45" s="154">
        <f t="shared" ca="1" si="153"/>
        <v>0</v>
      </c>
      <c r="BP45" s="154">
        <f t="shared" ca="1" si="154"/>
        <v>0</v>
      </c>
      <c r="BQ45" s="154">
        <f t="shared" ca="1" si="155"/>
        <v>0</v>
      </c>
      <c r="BR45" s="154">
        <f t="shared" ca="1" si="156"/>
        <v>0</v>
      </c>
      <c r="BS45" s="154">
        <f t="shared" ca="1" si="157"/>
        <v>0</v>
      </c>
      <c r="BT45" s="154">
        <f t="shared" ca="1" si="158"/>
        <v>0</v>
      </c>
      <c r="BU45" s="154">
        <f t="shared" ca="1" si="159"/>
        <v>0</v>
      </c>
      <c r="BV45" s="154">
        <f t="shared" ca="1" si="160"/>
        <v>0</v>
      </c>
      <c r="BW45" s="154">
        <f t="shared" ca="1" si="161"/>
        <v>0</v>
      </c>
      <c r="BX45" s="154">
        <f t="shared" ca="1" si="162"/>
        <v>0</v>
      </c>
      <c r="BY45" s="154">
        <f t="shared" ca="1" si="163"/>
        <v>0</v>
      </c>
      <c r="BZ45" s="154">
        <f t="shared" si="192"/>
        <v>0</v>
      </c>
      <c r="CA45" s="154">
        <f t="shared" si="164"/>
        <v>0</v>
      </c>
      <c r="CB45" s="154">
        <f t="shared" ca="1" si="165"/>
        <v>0</v>
      </c>
      <c r="CC45" s="523"/>
      <c r="CD45" s="355">
        <f t="shared" si="166"/>
        <v>73</v>
      </c>
      <c r="CE45" s="268" t="str">
        <f t="shared" ca="1" si="167"/>
        <v>D</v>
      </c>
      <c r="CF45" s="355" t="str">
        <f ca="1">IF(EXACT($B45,""),$CF44,CONCATENATE($CF44,$A45))</f>
        <v/>
      </c>
      <c r="CG45" s="268"/>
      <c r="CH45" s="268"/>
      <c r="CI45" s="269">
        <f t="shared" ca="1" si="168"/>
        <v>0</v>
      </c>
      <c r="CJ45" s="269">
        <f t="shared" ca="1" si="169"/>
        <v>0</v>
      </c>
      <c r="CK45" s="268"/>
      <c r="CL45" s="271">
        <f>IF(VT_SCHLANGENMENSCH,-1,0)</f>
        <v>0</v>
      </c>
      <c r="CM45" s="268">
        <f t="shared" ca="1" si="82"/>
        <v>0</v>
      </c>
      <c r="CN45" s="269">
        <f t="shared" ca="1" si="83"/>
        <v>0</v>
      </c>
      <c r="CO45" s="268" t="str">
        <f t="shared" ca="1" si="170"/>
        <v>D</v>
      </c>
      <c r="CP45" s="269" t="b">
        <f ca="1">IF(NT_ELFWELT,
IF(OR(
RIGHT(HLOOKUP(PROFGENE,INDIRECT(PROFGEBIET),$CD45,FALSE),1)="L",
RIGHT(HLOOKUP(KULTURGENE,KULTUR,$CD45,FALSE),1)="L",
RIGHT(D45)="L"),TRUE,FALSE),
TRUE)</f>
        <v>1</v>
      </c>
      <c r="CQ45" s="269">
        <f t="shared" si="171"/>
        <v>0</v>
      </c>
      <c r="CR45" s="269">
        <f t="shared" si="172"/>
        <v>0</v>
      </c>
      <c r="CS45" s="269">
        <f t="shared" ca="1" si="173"/>
        <v>0</v>
      </c>
      <c r="CT45" s="302" t="str">
        <f t="shared" ca="1" si="174"/>
        <v>0</v>
      </c>
      <c r="CU45" s="269">
        <f t="shared" ca="1" si="175"/>
        <v>0</v>
      </c>
      <c r="CV45" s="271">
        <f>IF(VT_SCHLANGENMENSCH,1,0)</f>
        <v>0</v>
      </c>
      <c r="CW45" s="269">
        <f t="shared" ca="1" si="176"/>
        <v>0</v>
      </c>
      <c r="CX45" s="301">
        <f t="shared" ca="1" si="177"/>
        <v>0</v>
      </c>
      <c r="CY45" s="301">
        <f t="shared" ca="1" si="85"/>
        <v>0</v>
      </c>
      <c r="CZ45" s="301">
        <f t="shared" ca="1" si="178"/>
        <v>0</v>
      </c>
      <c r="DA45" s="301">
        <f t="shared" ca="1" si="179"/>
        <v>0</v>
      </c>
      <c r="DB45" t="str">
        <f t="shared" ca="1" si="188"/>
        <v/>
      </c>
      <c r="DC45" s="301" t="str">
        <f t="shared" ca="1" si="180"/>
        <v/>
      </c>
      <c r="DD45" s="1337" t="str">
        <f t="shared" ca="1" si="189"/>
        <v/>
      </c>
      <c r="DE45" s="1337" t="str">
        <f t="shared" ca="1" si="190"/>
        <v/>
      </c>
      <c r="DG45" s="269" t="str">
        <f t="shared" ca="1" si="181"/>
        <v>Tabellen_Andere!BA38:BF38</v>
      </c>
      <c r="DH45" s="269" t="str">
        <f t="shared" si="191"/>
        <v>Tabellen_Andere!BA38:BF38</v>
      </c>
      <c r="DI45" s="269" t="str">
        <f ca="1">IF(NOT(ISERR(FIND(A45,Abfragen!$O$264,1))),MID(Abfragen!$O$264,FIND("(",Abfragen!$O$264,FIND(A45,Abfragen!$O$264,1)+LEN(A45))+1,FIND(")",Abfragen!$O$264,FIND(A45,Abfragen!$O$264,1)+LEN(A45))-FIND("(",Abfragen!$O$264,FIND(A45,Abfragen!$O$264,1)+LEN(A45))-1),"")</f>
        <v/>
      </c>
      <c r="DJ45" s="301" t="str">
        <f t="shared" ca="1" si="182"/>
        <v>D</v>
      </c>
      <c r="DK45" s="301" t="str">
        <f t="shared" ca="1" si="182"/>
        <v>D</v>
      </c>
      <c r="DL45" s="301" t="str">
        <f t="shared" ca="1" si="182"/>
        <v>D</v>
      </c>
      <c r="DM45" s="301" t="str">
        <f t="shared" ca="1" si="182"/>
        <v>D</v>
      </c>
      <c r="DN45" s="301" t="str">
        <f t="shared" ca="1" si="182"/>
        <v>D</v>
      </c>
      <c r="DO45" s="301" t="str">
        <f t="shared" ca="1" si="182"/>
        <v>D</v>
      </c>
      <c r="DP45" s="301" t="str">
        <f t="shared" ca="1" si="182"/>
        <v>D</v>
      </c>
      <c r="DQ45" s="301" t="str">
        <f t="shared" ca="1" si="182"/>
        <v>D</v>
      </c>
      <c r="DR45" s="301" t="str">
        <f t="shared" ca="1" si="182"/>
        <v>D</v>
      </c>
      <c r="DS45" s="301" t="str">
        <f t="shared" ca="1" si="182"/>
        <v>D</v>
      </c>
      <c r="DT45" s="301" t="str">
        <f t="shared" ca="1" si="183"/>
        <v>D</v>
      </c>
      <c r="DU45" s="301" t="str">
        <f t="shared" ca="1" si="183"/>
        <v>D</v>
      </c>
      <c r="DV45" s="301" t="str">
        <f t="shared" ca="1" si="183"/>
        <v>D</v>
      </c>
      <c r="DW45" s="301" t="str">
        <f t="shared" ca="1" si="183"/>
        <v>D</v>
      </c>
      <c r="DX45" s="301" t="str">
        <f t="shared" ca="1" si="183"/>
        <v>D</v>
      </c>
      <c r="DY45" s="301" t="str">
        <f t="shared" ca="1" si="183"/>
        <v>D</v>
      </c>
      <c r="DZ45" s="301" t="str">
        <f t="shared" ca="1" si="183"/>
        <v>D</v>
      </c>
      <c r="EA45" s="301" t="str">
        <f t="shared" ca="1" si="183"/>
        <v>D</v>
      </c>
      <c r="EB45" s="301" t="str">
        <f t="shared" ca="1" si="183"/>
        <v>D</v>
      </c>
      <c r="EC45" s="301" t="str">
        <f t="shared" ca="1" si="183"/>
        <v>D</v>
      </c>
      <c r="ED45" s="301" t="str">
        <f t="shared" ca="1" si="183"/>
        <v>D</v>
      </c>
      <c r="EE45" s="301" t="str">
        <f t="shared" ca="1" si="183"/>
        <v>D</v>
      </c>
      <c r="EF45" s="205"/>
      <c r="EG45" s="301" t="str">
        <f t="shared" ca="1" si="184"/>
        <v>D</v>
      </c>
      <c r="EH45" s="301" t="str">
        <f t="shared" ca="1" si="184"/>
        <v>D</v>
      </c>
      <c r="EI45" s="301" t="str">
        <f t="shared" ca="1" si="184"/>
        <v>D</v>
      </c>
      <c r="EJ45" s="301" t="str">
        <f t="shared" ca="1" si="184"/>
        <v>D</v>
      </c>
      <c r="EK45" s="301" t="str">
        <f t="shared" ca="1" si="184"/>
        <v>D</v>
      </c>
      <c r="EL45" s="301" t="str">
        <f t="shared" ca="1" si="184"/>
        <v>D</v>
      </c>
      <c r="EM45" s="301" t="str">
        <f t="shared" ca="1" si="184"/>
        <v>D</v>
      </c>
      <c r="EN45" s="301" t="str">
        <f t="shared" ca="1" si="184"/>
        <v>D</v>
      </c>
      <c r="EO45" s="301" t="str">
        <f t="shared" ca="1" si="184"/>
        <v>D</v>
      </c>
      <c r="EP45" s="301" t="str">
        <f t="shared" ca="1" si="184"/>
        <v>D</v>
      </c>
      <c r="EQ45" s="301" t="str">
        <f t="shared" ca="1" si="185"/>
        <v>D</v>
      </c>
      <c r="ER45" s="301" t="str">
        <f t="shared" ca="1" si="185"/>
        <v>D</v>
      </c>
      <c r="ES45" s="301" t="str">
        <f t="shared" ca="1" si="185"/>
        <v>D</v>
      </c>
      <c r="ET45" s="301" t="str">
        <f t="shared" ca="1" si="185"/>
        <v>D</v>
      </c>
      <c r="EU45" s="301" t="str">
        <f t="shared" ca="1" si="185"/>
        <v>D</v>
      </c>
      <c r="EV45" s="301" t="str">
        <f t="shared" ca="1" si="185"/>
        <v>D</v>
      </c>
      <c r="EW45" s="301" t="str">
        <f t="shared" ca="1" si="185"/>
        <v>D</v>
      </c>
      <c r="EX45" s="301" t="str">
        <f t="shared" ca="1" si="185"/>
        <v>D</v>
      </c>
      <c r="EY45" s="301" t="str">
        <f t="shared" ca="1" si="185"/>
        <v>D</v>
      </c>
      <c r="EZ45" s="301" t="str">
        <f t="shared" ca="1" si="185"/>
        <v>D</v>
      </c>
      <c r="FA45" s="301" t="str">
        <f t="shared" ca="1" si="186"/>
        <v>D</v>
      </c>
      <c r="FB45" s="301" t="str">
        <f t="shared" ca="1" si="186"/>
        <v>D</v>
      </c>
      <c r="FC45" s="301" t="str">
        <f t="shared" ca="1" si="186"/>
        <v>D</v>
      </c>
      <c r="FD45" s="301" t="str">
        <f t="shared" ca="1" si="186"/>
        <v>D</v>
      </c>
      <c r="FE45" s="301" t="str">
        <f t="shared" ca="1" si="186"/>
        <v>D</v>
      </c>
      <c r="FF45" s="301" t="str">
        <f t="shared" ca="1" si="186"/>
        <v>D</v>
      </c>
      <c r="FG45" s="301" t="str">
        <f t="shared" ca="1" si="186"/>
        <v>D</v>
      </c>
      <c r="FH45" s="301" t="str">
        <f t="shared" ca="1" si="186"/>
        <v>D</v>
      </c>
      <c r="FI45" s="301" t="str">
        <f t="shared" ca="1" si="186"/>
        <v>D</v>
      </c>
      <c r="FJ45" s="301" t="str">
        <f t="shared" ca="1" si="186"/>
        <v>D</v>
      </c>
      <c r="FK45" s="301" t="str">
        <f t="shared" ca="1" si="186"/>
        <v>D</v>
      </c>
      <c r="FL45" s="301" t="str">
        <f t="shared" ca="1" si="186"/>
        <v>D</v>
      </c>
    </row>
    <row r="46" spans="1:168" x14ac:dyDescent="0.2">
      <c r="A46" s="38" t="str">
        <f t="shared" si="187"/>
        <v>Klettern</v>
      </c>
      <c r="B46" s="317">
        <f t="shared" ca="1" si="106"/>
        <v>0</v>
      </c>
      <c r="C46" s="332" t="s">
        <v>1321</v>
      </c>
      <c r="D46" s="1110"/>
      <c r="E46" s="1424"/>
      <c r="F46" s="325"/>
      <c r="G46" s="963"/>
      <c r="H46" s="1196"/>
      <c r="I46" s="326"/>
      <c r="J46" s="1886" t="str">
        <f t="shared" ca="1" si="107"/>
        <v/>
      </c>
      <c r="K46" s="1887"/>
      <c r="L46" s="1887"/>
      <c r="M46" s="1887"/>
      <c r="N46" s="1888"/>
      <c r="O46" s="613">
        <f t="shared" ca="1" si="108"/>
        <v>0</v>
      </c>
      <c r="P46" s="90"/>
      <c r="Q46" s="25"/>
      <c r="R46" s="1313"/>
      <c r="S46" s="1313"/>
      <c r="T46" s="1315"/>
      <c r="U46" s="1283"/>
      <c r="V46" s="628" t="str">
        <f t="shared" ca="1" si="109"/>
        <v/>
      </c>
      <c r="W46" s="164">
        <f t="shared" ca="1" si="110"/>
        <v>0</v>
      </c>
      <c r="X46" s="164">
        <f t="shared" ca="1" si="111"/>
        <v>0</v>
      </c>
      <c r="Y46" s="164">
        <f t="shared" ca="1" si="112"/>
        <v>0</v>
      </c>
      <c r="Z46" s="164">
        <f t="shared" ca="1" si="113"/>
        <v>0</v>
      </c>
      <c r="AA46" s="164">
        <f t="shared" ca="1" si="114"/>
        <v>0</v>
      </c>
      <c r="AB46" s="164">
        <f t="shared" ca="1" si="115"/>
        <v>0</v>
      </c>
      <c r="AC46" s="164">
        <f t="shared" ca="1" si="116"/>
        <v>0</v>
      </c>
      <c r="AD46" s="164">
        <f t="shared" ca="1" si="117"/>
        <v>0</v>
      </c>
      <c r="AE46" s="164">
        <f t="shared" ca="1" si="118"/>
        <v>0</v>
      </c>
      <c r="AF46" s="164">
        <f t="shared" ca="1" si="119"/>
        <v>0</v>
      </c>
      <c r="AG46" s="164">
        <f t="shared" ca="1" si="120"/>
        <v>0</v>
      </c>
      <c r="AH46" s="164">
        <f t="shared" ca="1" si="121"/>
        <v>0</v>
      </c>
      <c r="AI46" s="164">
        <f t="shared" ca="1" si="122"/>
        <v>0</v>
      </c>
      <c r="AJ46" s="164">
        <f t="shared" ca="1" si="123"/>
        <v>0</v>
      </c>
      <c r="AK46" s="164">
        <f t="shared" ca="1" si="124"/>
        <v>0</v>
      </c>
      <c r="AL46" s="164">
        <f t="shared" ca="1" si="125"/>
        <v>0</v>
      </c>
      <c r="AM46" s="164">
        <f t="shared" ca="1" si="126"/>
        <v>0</v>
      </c>
      <c r="AN46" s="164">
        <f t="shared" ca="1" si="127"/>
        <v>0</v>
      </c>
      <c r="AO46" s="164">
        <f t="shared" ca="1" si="128"/>
        <v>0</v>
      </c>
      <c r="AP46" s="164">
        <f t="shared" ca="1" si="129"/>
        <v>0</v>
      </c>
      <c r="AQ46" s="164">
        <f t="shared" ca="1" si="130"/>
        <v>0</v>
      </c>
      <c r="AR46" s="164">
        <f t="shared" ca="1" si="131"/>
        <v>0</v>
      </c>
      <c r="AS46" s="195"/>
      <c r="AT46" s="154">
        <f t="shared" ca="1" si="132"/>
        <v>0</v>
      </c>
      <c r="AU46" s="154">
        <f t="shared" ca="1" si="133"/>
        <v>0</v>
      </c>
      <c r="AV46" s="154">
        <f t="shared" ca="1" si="134"/>
        <v>0</v>
      </c>
      <c r="AW46" s="154">
        <f t="shared" ca="1" si="135"/>
        <v>0</v>
      </c>
      <c r="AX46" s="154">
        <f t="shared" ca="1" si="136"/>
        <v>0</v>
      </c>
      <c r="AY46" s="154">
        <f t="shared" ca="1" si="137"/>
        <v>0</v>
      </c>
      <c r="AZ46" s="154">
        <f t="shared" ca="1" si="138"/>
        <v>0</v>
      </c>
      <c r="BA46" s="154">
        <f t="shared" ca="1" si="139"/>
        <v>0</v>
      </c>
      <c r="BB46" s="154">
        <f t="shared" ca="1" si="140"/>
        <v>0</v>
      </c>
      <c r="BC46" s="154">
        <f t="shared" ca="1" si="141"/>
        <v>0</v>
      </c>
      <c r="BD46" s="154">
        <f t="shared" ca="1" si="142"/>
        <v>0</v>
      </c>
      <c r="BE46" s="154">
        <f t="shared" ca="1" si="143"/>
        <v>0</v>
      </c>
      <c r="BF46" s="154">
        <f t="shared" ca="1" si="144"/>
        <v>0</v>
      </c>
      <c r="BG46" s="154">
        <f t="shared" ca="1" si="145"/>
        <v>0</v>
      </c>
      <c r="BH46" s="154">
        <f t="shared" ca="1" si="146"/>
        <v>0</v>
      </c>
      <c r="BI46" s="154">
        <f t="shared" ca="1" si="147"/>
        <v>0</v>
      </c>
      <c r="BJ46" s="154">
        <f t="shared" ca="1" si="148"/>
        <v>0</v>
      </c>
      <c r="BK46" s="154">
        <f t="shared" ca="1" si="149"/>
        <v>0</v>
      </c>
      <c r="BL46" s="154">
        <f t="shared" ca="1" si="150"/>
        <v>0</v>
      </c>
      <c r="BM46" s="154">
        <f t="shared" ca="1" si="151"/>
        <v>0</v>
      </c>
      <c r="BN46" s="154">
        <f t="shared" ca="1" si="152"/>
        <v>0</v>
      </c>
      <c r="BO46" s="154">
        <f t="shared" ca="1" si="153"/>
        <v>0</v>
      </c>
      <c r="BP46" s="154">
        <f t="shared" ca="1" si="154"/>
        <v>0</v>
      </c>
      <c r="BQ46" s="154">
        <f t="shared" ca="1" si="155"/>
        <v>0</v>
      </c>
      <c r="BR46" s="154">
        <f t="shared" ca="1" si="156"/>
        <v>0</v>
      </c>
      <c r="BS46" s="154">
        <f t="shared" ca="1" si="157"/>
        <v>0</v>
      </c>
      <c r="BT46" s="154">
        <f t="shared" ca="1" si="158"/>
        <v>0</v>
      </c>
      <c r="BU46" s="154">
        <f t="shared" ca="1" si="159"/>
        <v>0</v>
      </c>
      <c r="BV46" s="154">
        <f t="shared" ca="1" si="160"/>
        <v>0</v>
      </c>
      <c r="BW46" s="154">
        <f t="shared" ca="1" si="161"/>
        <v>0</v>
      </c>
      <c r="BX46" s="154">
        <f t="shared" ca="1" si="162"/>
        <v>0</v>
      </c>
      <c r="BY46" s="154">
        <f t="shared" ca="1" si="163"/>
        <v>0</v>
      </c>
      <c r="BZ46" s="154">
        <f t="shared" si="192"/>
        <v>0</v>
      </c>
      <c r="CA46" s="154">
        <f t="shared" si="164"/>
        <v>0</v>
      </c>
      <c r="CB46" s="154">
        <f t="shared" ca="1" si="165"/>
        <v>0</v>
      </c>
      <c r="CC46" s="523"/>
      <c r="CD46" s="355">
        <f t="shared" si="166"/>
        <v>74</v>
      </c>
      <c r="CE46" s="268" t="str">
        <f t="shared" ca="1" si="167"/>
        <v>D</v>
      </c>
      <c r="CF46" s="355"/>
      <c r="CG46" s="268"/>
      <c r="CH46" s="268"/>
      <c r="CI46" s="269">
        <f t="shared" ca="1" si="168"/>
        <v>0</v>
      </c>
      <c r="CJ46" s="269">
        <f t="shared" ca="1" si="169"/>
        <v>0</v>
      </c>
      <c r="CK46" s="268"/>
      <c r="CL46" s="268"/>
      <c r="CM46" s="268">
        <f t="shared" ca="1" si="82"/>
        <v>0</v>
      </c>
      <c r="CN46" s="269">
        <f t="shared" ca="1" si="83"/>
        <v>0</v>
      </c>
      <c r="CO46" s="268" t="str">
        <f t="shared" ca="1" si="170"/>
        <v>D</v>
      </c>
      <c r="CP46" s="269" t="b">
        <f ca="1">IF(NT_ELFWELT,
IF(OR(
RIGHT(HLOOKUP(PROFGENE,INDIRECT(PROFGEBIET),$CD46,FALSE),1)="L",
RIGHT(HLOOKUP(KULTURGENE,KULTUR,$CD46,FALSE),1)="L",
RIGHT(D46)="L"),TRUE,FALSE),
TRUE)</f>
        <v>1</v>
      </c>
      <c r="CQ46" s="269">
        <f t="shared" si="171"/>
        <v>0</v>
      </c>
      <c r="CR46" s="269">
        <f t="shared" si="172"/>
        <v>0</v>
      </c>
      <c r="CS46" s="269">
        <f t="shared" ca="1" si="173"/>
        <v>0</v>
      </c>
      <c r="CT46" s="302" t="str">
        <f t="shared" ca="1" si="174"/>
        <v>0</v>
      </c>
      <c r="CU46" s="269">
        <f t="shared" ca="1" si="175"/>
        <v>0</v>
      </c>
      <c r="CV46" s="268"/>
      <c r="CW46" s="269">
        <f t="shared" ca="1" si="176"/>
        <v>0</v>
      </c>
      <c r="CX46" s="301">
        <f t="shared" ca="1" si="177"/>
        <v>0</v>
      </c>
      <c r="CY46" s="301">
        <f t="shared" ca="1" si="85"/>
        <v>0</v>
      </c>
      <c r="CZ46" s="301">
        <f t="shared" ca="1" si="178"/>
        <v>0</v>
      </c>
      <c r="DA46" s="301">
        <f t="shared" ca="1" si="179"/>
        <v>0</v>
      </c>
      <c r="DB46" t="str">
        <f t="shared" ca="1" si="188"/>
        <v/>
      </c>
      <c r="DC46" s="301" t="str">
        <f t="shared" ca="1" si="180"/>
        <v/>
      </c>
      <c r="DD46" s="1337" t="str">
        <f t="shared" ca="1" si="189"/>
        <v/>
      </c>
      <c r="DE46" s="1337" t="str">
        <f t="shared" ca="1" si="190"/>
        <v/>
      </c>
      <c r="DG46" s="269" t="str">
        <f t="shared" ca="1" si="181"/>
        <v>Tabellen_Andere!BA63:BF63</v>
      </c>
      <c r="DH46" s="269" t="str">
        <f t="shared" si="191"/>
        <v>Tabellen_Andere!BA63:BF63</v>
      </c>
      <c r="DI46" s="269" t="str">
        <f ca="1">IF(NOT(ISERR(FIND(A46,Abfragen!$O$264,1))),MID(Abfragen!$O$264,FIND("(",Abfragen!$O$264,FIND(A46,Abfragen!$O$264,1)+LEN(A46))+1,FIND(")",Abfragen!$O$264,FIND(A46,Abfragen!$O$264,1)+LEN(A46))-FIND("(",Abfragen!$O$264,FIND(A46,Abfragen!$O$264,1)+LEN(A46))-1),"")</f>
        <v/>
      </c>
      <c r="DJ46" s="301" t="str">
        <f t="shared" ca="1" si="182"/>
        <v>D</v>
      </c>
      <c r="DK46" s="301" t="str">
        <f t="shared" ca="1" si="182"/>
        <v>D</v>
      </c>
      <c r="DL46" s="301" t="str">
        <f t="shared" ca="1" si="182"/>
        <v>D</v>
      </c>
      <c r="DM46" s="301" t="str">
        <f t="shared" ca="1" si="182"/>
        <v>D</v>
      </c>
      <c r="DN46" s="301" t="str">
        <f t="shared" ca="1" si="182"/>
        <v>D</v>
      </c>
      <c r="DO46" s="301" t="str">
        <f t="shared" ca="1" si="182"/>
        <v>D</v>
      </c>
      <c r="DP46" s="301" t="str">
        <f t="shared" ca="1" si="182"/>
        <v>D</v>
      </c>
      <c r="DQ46" s="301" t="str">
        <f t="shared" ca="1" si="182"/>
        <v>D</v>
      </c>
      <c r="DR46" s="301" t="str">
        <f t="shared" ca="1" si="182"/>
        <v>D</v>
      </c>
      <c r="DS46" s="301" t="str">
        <f t="shared" ca="1" si="182"/>
        <v>D</v>
      </c>
      <c r="DT46" s="301" t="str">
        <f t="shared" ca="1" si="183"/>
        <v>D</v>
      </c>
      <c r="DU46" s="301" t="str">
        <f t="shared" ca="1" si="183"/>
        <v>D</v>
      </c>
      <c r="DV46" s="301" t="str">
        <f t="shared" ca="1" si="183"/>
        <v>D</v>
      </c>
      <c r="DW46" s="301" t="str">
        <f t="shared" ca="1" si="183"/>
        <v>D</v>
      </c>
      <c r="DX46" s="301" t="str">
        <f t="shared" ca="1" si="183"/>
        <v>D</v>
      </c>
      <c r="DY46" s="301" t="str">
        <f t="shared" ca="1" si="183"/>
        <v>D</v>
      </c>
      <c r="DZ46" s="301" t="str">
        <f t="shared" ca="1" si="183"/>
        <v>D</v>
      </c>
      <c r="EA46" s="301" t="str">
        <f t="shared" ca="1" si="183"/>
        <v>D</v>
      </c>
      <c r="EB46" s="301" t="str">
        <f t="shared" ca="1" si="183"/>
        <v>D</v>
      </c>
      <c r="EC46" s="301" t="str">
        <f t="shared" ca="1" si="183"/>
        <v>D</v>
      </c>
      <c r="ED46" s="301" t="str">
        <f t="shared" ca="1" si="183"/>
        <v>D</v>
      </c>
      <c r="EE46" s="301" t="str">
        <f t="shared" ca="1" si="183"/>
        <v>D</v>
      </c>
      <c r="EF46" s="205"/>
      <c r="EG46" s="301" t="str">
        <f t="shared" ca="1" si="184"/>
        <v>D</v>
      </c>
      <c r="EH46" s="301" t="str">
        <f t="shared" ca="1" si="184"/>
        <v>D</v>
      </c>
      <c r="EI46" s="301" t="str">
        <f t="shared" ca="1" si="184"/>
        <v>D</v>
      </c>
      <c r="EJ46" s="301" t="str">
        <f t="shared" ca="1" si="184"/>
        <v>D</v>
      </c>
      <c r="EK46" s="301" t="str">
        <f t="shared" ca="1" si="184"/>
        <v>D</v>
      </c>
      <c r="EL46" s="301" t="str">
        <f t="shared" ca="1" si="184"/>
        <v>D</v>
      </c>
      <c r="EM46" s="301" t="str">
        <f t="shared" ca="1" si="184"/>
        <v>D</v>
      </c>
      <c r="EN46" s="301" t="str">
        <f t="shared" ca="1" si="184"/>
        <v>D</v>
      </c>
      <c r="EO46" s="301" t="str">
        <f t="shared" ca="1" si="184"/>
        <v>D</v>
      </c>
      <c r="EP46" s="301" t="str">
        <f t="shared" ca="1" si="184"/>
        <v>D</v>
      </c>
      <c r="EQ46" s="301" t="str">
        <f t="shared" ca="1" si="185"/>
        <v>D</v>
      </c>
      <c r="ER46" s="301" t="str">
        <f t="shared" ca="1" si="185"/>
        <v>D</v>
      </c>
      <c r="ES46" s="301" t="str">
        <f t="shared" ca="1" si="185"/>
        <v>D</v>
      </c>
      <c r="ET46" s="301" t="str">
        <f t="shared" ca="1" si="185"/>
        <v>D</v>
      </c>
      <c r="EU46" s="301" t="str">
        <f t="shared" ca="1" si="185"/>
        <v>D</v>
      </c>
      <c r="EV46" s="301" t="str">
        <f t="shared" ca="1" si="185"/>
        <v>D</v>
      </c>
      <c r="EW46" s="301" t="str">
        <f t="shared" ca="1" si="185"/>
        <v>D</v>
      </c>
      <c r="EX46" s="301" t="str">
        <f t="shared" ca="1" si="185"/>
        <v>D</v>
      </c>
      <c r="EY46" s="301" t="str">
        <f t="shared" ca="1" si="185"/>
        <v>D</v>
      </c>
      <c r="EZ46" s="301" t="str">
        <f t="shared" ca="1" si="185"/>
        <v>D</v>
      </c>
      <c r="FA46" s="301" t="str">
        <f t="shared" ca="1" si="186"/>
        <v>D</v>
      </c>
      <c r="FB46" s="301" t="str">
        <f t="shared" ca="1" si="186"/>
        <v>D</v>
      </c>
      <c r="FC46" s="301" t="str">
        <f t="shared" ca="1" si="186"/>
        <v>D</v>
      </c>
      <c r="FD46" s="301" t="str">
        <f t="shared" ca="1" si="186"/>
        <v>D</v>
      </c>
      <c r="FE46" s="301" t="str">
        <f t="shared" ca="1" si="186"/>
        <v>D</v>
      </c>
      <c r="FF46" s="301" t="str">
        <f t="shared" ca="1" si="186"/>
        <v>D</v>
      </c>
      <c r="FG46" s="301" t="str">
        <f t="shared" ca="1" si="186"/>
        <v>D</v>
      </c>
      <c r="FH46" s="301" t="str">
        <f t="shared" ca="1" si="186"/>
        <v>D</v>
      </c>
      <c r="FI46" s="301" t="str">
        <f t="shared" ca="1" si="186"/>
        <v>D</v>
      </c>
      <c r="FJ46" s="301" t="str">
        <f t="shared" ca="1" si="186"/>
        <v>D</v>
      </c>
      <c r="FK46" s="301" t="str">
        <f t="shared" ca="1" si="186"/>
        <v>D</v>
      </c>
      <c r="FL46" s="301" t="str">
        <f t="shared" ca="1" si="186"/>
        <v>D</v>
      </c>
    </row>
    <row r="47" spans="1:168" x14ac:dyDescent="0.2">
      <c r="A47" s="38" t="str">
        <f t="shared" si="187"/>
        <v>Körperbeherrschung</v>
      </c>
      <c r="B47" s="317">
        <f t="shared" ca="1" si="106"/>
        <v>0</v>
      </c>
      <c r="C47" s="332" t="s">
        <v>1321</v>
      </c>
      <c r="D47" s="1110"/>
      <c r="E47" s="1424"/>
      <c r="F47" s="325"/>
      <c r="G47" s="963"/>
      <c r="H47" s="1196"/>
      <c r="I47" s="326"/>
      <c r="J47" s="1886" t="str">
        <f t="shared" ca="1" si="107"/>
        <v/>
      </c>
      <c r="K47" s="1887"/>
      <c r="L47" s="1887"/>
      <c r="M47" s="1887"/>
      <c r="N47" s="1888"/>
      <c r="O47" s="613">
        <f t="shared" ca="1" si="108"/>
        <v>0</v>
      </c>
      <c r="P47" s="90"/>
      <c r="Q47" s="25"/>
      <c r="R47" s="1313"/>
      <c r="S47" s="1313"/>
      <c r="T47" s="1315"/>
      <c r="U47" s="1283"/>
      <c r="V47" s="628" t="str">
        <f t="shared" ca="1" si="109"/>
        <v/>
      </c>
      <c r="W47" s="164">
        <f t="shared" ca="1" si="110"/>
        <v>0</v>
      </c>
      <c r="X47" s="164">
        <f t="shared" ca="1" si="111"/>
        <v>0</v>
      </c>
      <c r="Y47" s="164">
        <f t="shared" ca="1" si="112"/>
        <v>0</v>
      </c>
      <c r="Z47" s="164">
        <f t="shared" ca="1" si="113"/>
        <v>0</v>
      </c>
      <c r="AA47" s="164">
        <f t="shared" ca="1" si="114"/>
        <v>0</v>
      </c>
      <c r="AB47" s="164">
        <f t="shared" ca="1" si="115"/>
        <v>0</v>
      </c>
      <c r="AC47" s="164">
        <f t="shared" ca="1" si="116"/>
        <v>0</v>
      </c>
      <c r="AD47" s="164">
        <f t="shared" ca="1" si="117"/>
        <v>0</v>
      </c>
      <c r="AE47" s="164">
        <f t="shared" ca="1" si="118"/>
        <v>0</v>
      </c>
      <c r="AF47" s="164">
        <f t="shared" ca="1" si="119"/>
        <v>0</v>
      </c>
      <c r="AG47" s="164">
        <f t="shared" ca="1" si="120"/>
        <v>0</v>
      </c>
      <c r="AH47" s="164">
        <f t="shared" ca="1" si="121"/>
        <v>0</v>
      </c>
      <c r="AI47" s="164">
        <f t="shared" ca="1" si="122"/>
        <v>0</v>
      </c>
      <c r="AJ47" s="164">
        <f t="shared" ca="1" si="123"/>
        <v>0</v>
      </c>
      <c r="AK47" s="164">
        <f t="shared" ca="1" si="124"/>
        <v>0</v>
      </c>
      <c r="AL47" s="164">
        <f t="shared" ca="1" si="125"/>
        <v>0</v>
      </c>
      <c r="AM47" s="164">
        <f t="shared" ca="1" si="126"/>
        <v>0</v>
      </c>
      <c r="AN47" s="164">
        <f t="shared" ca="1" si="127"/>
        <v>0</v>
      </c>
      <c r="AO47" s="164">
        <f t="shared" ca="1" si="128"/>
        <v>0</v>
      </c>
      <c r="AP47" s="164">
        <f t="shared" ca="1" si="129"/>
        <v>0</v>
      </c>
      <c r="AQ47" s="164">
        <f t="shared" ca="1" si="130"/>
        <v>0</v>
      </c>
      <c r="AR47" s="164">
        <f t="shared" ca="1" si="131"/>
        <v>0</v>
      </c>
      <c r="AS47" s="195"/>
      <c r="AT47" s="154">
        <f t="shared" ca="1" si="132"/>
        <v>0</v>
      </c>
      <c r="AU47" s="154">
        <f t="shared" ca="1" si="133"/>
        <v>0</v>
      </c>
      <c r="AV47" s="154">
        <f t="shared" ca="1" si="134"/>
        <v>0</v>
      </c>
      <c r="AW47" s="154">
        <f t="shared" ca="1" si="135"/>
        <v>0</v>
      </c>
      <c r="AX47" s="154">
        <f t="shared" ca="1" si="136"/>
        <v>0</v>
      </c>
      <c r="AY47" s="154">
        <f t="shared" ca="1" si="137"/>
        <v>0</v>
      </c>
      <c r="AZ47" s="154">
        <f t="shared" ca="1" si="138"/>
        <v>0</v>
      </c>
      <c r="BA47" s="154">
        <f t="shared" ca="1" si="139"/>
        <v>0</v>
      </c>
      <c r="BB47" s="154">
        <f t="shared" ca="1" si="140"/>
        <v>0</v>
      </c>
      <c r="BC47" s="154">
        <f t="shared" ca="1" si="141"/>
        <v>0</v>
      </c>
      <c r="BD47" s="154">
        <f t="shared" ca="1" si="142"/>
        <v>0</v>
      </c>
      <c r="BE47" s="154">
        <f t="shared" ca="1" si="143"/>
        <v>0</v>
      </c>
      <c r="BF47" s="154">
        <f t="shared" ca="1" si="144"/>
        <v>0</v>
      </c>
      <c r="BG47" s="154">
        <f t="shared" ca="1" si="145"/>
        <v>0</v>
      </c>
      <c r="BH47" s="154">
        <f t="shared" ca="1" si="146"/>
        <v>0</v>
      </c>
      <c r="BI47" s="154">
        <f t="shared" ca="1" si="147"/>
        <v>0</v>
      </c>
      <c r="BJ47" s="154">
        <f t="shared" ca="1" si="148"/>
        <v>0</v>
      </c>
      <c r="BK47" s="154">
        <f t="shared" ca="1" si="149"/>
        <v>0</v>
      </c>
      <c r="BL47" s="154">
        <f t="shared" ca="1" si="150"/>
        <v>0</v>
      </c>
      <c r="BM47" s="154">
        <f t="shared" ca="1" si="151"/>
        <v>0</v>
      </c>
      <c r="BN47" s="154">
        <f t="shared" ca="1" si="152"/>
        <v>0</v>
      </c>
      <c r="BO47" s="154">
        <f t="shared" ca="1" si="153"/>
        <v>0</v>
      </c>
      <c r="BP47" s="154">
        <f t="shared" ca="1" si="154"/>
        <v>0</v>
      </c>
      <c r="BQ47" s="154">
        <f t="shared" ca="1" si="155"/>
        <v>0</v>
      </c>
      <c r="BR47" s="154">
        <f t="shared" ca="1" si="156"/>
        <v>0</v>
      </c>
      <c r="BS47" s="154">
        <f t="shared" ca="1" si="157"/>
        <v>0</v>
      </c>
      <c r="BT47" s="154">
        <f t="shared" ca="1" si="158"/>
        <v>0</v>
      </c>
      <c r="BU47" s="154">
        <f t="shared" ca="1" si="159"/>
        <v>0</v>
      </c>
      <c r="BV47" s="154">
        <f t="shared" ca="1" si="160"/>
        <v>0</v>
      </c>
      <c r="BW47" s="154">
        <f t="shared" ca="1" si="161"/>
        <v>0</v>
      </c>
      <c r="BX47" s="154">
        <f t="shared" ca="1" si="162"/>
        <v>0</v>
      </c>
      <c r="BY47" s="154">
        <f t="shared" ca="1" si="163"/>
        <v>0</v>
      </c>
      <c r="BZ47" s="154">
        <f t="shared" si="192"/>
        <v>0</v>
      </c>
      <c r="CA47" s="154">
        <f t="shared" si="164"/>
        <v>0</v>
      </c>
      <c r="CB47" s="154">
        <f t="shared" ca="1" si="165"/>
        <v>0</v>
      </c>
      <c r="CC47" s="523"/>
      <c r="CD47" s="355">
        <f t="shared" si="166"/>
        <v>75</v>
      </c>
      <c r="CE47" s="268" t="str">
        <f t="shared" ca="1" si="167"/>
        <v>D</v>
      </c>
      <c r="CF47" s="355"/>
      <c r="CG47" s="268"/>
      <c r="CH47" s="268"/>
      <c r="CI47" s="269">
        <f t="shared" ca="1" si="168"/>
        <v>0</v>
      </c>
      <c r="CJ47" s="269">
        <f t="shared" ca="1" si="169"/>
        <v>0</v>
      </c>
      <c r="CK47" s="268"/>
      <c r="CL47" s="271">
        <f>IF(VT_SCHLANGENMENSCH,-1,0)</f>
        <v>0</v>
      </c>
      <c r="CM47" s="268">
        <f t="shared" si="82"/>
        <v>0</v>
      </c>
      <c r="CN47" s="269">
        <f t="shared" ca="1" si="83"/>
        <v>0</v>
      </c>
      <c r="CO47" s="268" t="str">
        <f t="shared" ca="1" si="170"/>
        <v>D</v>
      </c>
      <c r="CP47" s="271" t="b">
        <f>TRUE</f>
        <v>1</v>
      </c>
      <c r="CQ47" s="269">
        <f t="shared" si="171"/>
        <v>0</v>
      </c>
      <c r="CR47" s="269">
        <f t="shared" si="172"/>
        <v>0</v>
      </c>
      <c r="CS47" s="269">
        <f t="shared" ca="1" si="173"/>
        <v>0</v>
      </c>
      <c r="CT47" s="302" t="str">
        <f t="shared" ca="1" si="174"/>
        <v>0</v>
      </c>
      <c r="CU47" s="269">
        <f t="shared" ca="1" si="175"/>
        <v>0</v>
      </c>
      <c r="CV47" s="271">
        <f>IF(VT_SCHLANGENMENSCH,1,0)</f>
        <v>0</v>
      </c>
      <c r="CW47" s="269">
        <f t="shared" ca="1" si="176"/>
        <v>0</v>
      </c>
      <c r="CX47" s="301">
        <f t="shared" ca="1" si="177"/>
        <v>0</v>
      </c>
      <c r="CY47" s="301">
        <f t="shared" ca="1" si="85"/>
        <v>0</v>
      </c>
      <c r="CZ47" s="301">
        <f t="shared" ca="1" si="178"/>
        <v>0</v>
      </c>
      <c r="DA47" s="301">
        <f t="shared" ca="1" si="179"/>
        <v>0</v>
      </c>
      <c r="DB47" t="str">
        <f t="shared" ca="1" si="188"/>
        <v/>
      </c>
      <c r="DC47" s="301" t="str">
        <f t="shared" ca="1" si="180"/>
        <v/>
      </c>
      <c r="DD47" s="1337" t="str">
        <f t="shared" ca="1" si="189"/>
        <v/>
      </c>
      <c r="DE47" s="1337" t="str">
        <f t="shared" ca="1" si="190"/>
        <v/>
      </c>
      <c r="DG47" s="269" t="str">
        <f t="shared" ca="1" si="181"/>
        <v>Tabellen_Andere!BA65:BF65</v>
      </c>
      <c r="DH47" s="269" t="str">
        <f t="shared" si="191"/>
        <v>Tabellen_Andere!BA65:BF65</v>
      </c>
      <c r="DI47" s="269" t="str">
        <f ca="1">IF(NOT(ISERR(FIND(A47,Abfragen!$O$264,1))),MID(Abfragen!$O$264,FIND("(",Abfragen!$O$264,FIND(A47,Abfragen!$O$264,1)+LEN(A47))+1,FIND(")",Abfragen!$O$264,FIND(A47,Abfragen!$O$264,1)+LEN(A47))-FIND("(",Abfragen!$O$264,FIND(A47,Abfragen!$O$264,1)+LEN(A47))-1),"")</f>
        <v/>
      </c>
      <c r="DJ47" s="301" t="str">
        <f t="shared" ca="1" si="182"/>
        <v>D</v>
      </c>
      <c r="DK47" s="301" t="str">
        <f t="shared" ca="1" si="182"/>
        <v>D</v>
      </c>
      <c r="DL47" s="301" t="str">
        <f t="shared" ca="1" si="182"/>
        <v>D</v>
      </c>
      <c r="DM47" s="301" t="str">
        <f t="shared" ca="1" si="182"/>
        <v>D</v>
      </c>
      <c r="DN47" s="301" t="str">
        <f t="shared" ca="1" si="182"/>
        <v>D</v>
      </c>
      <c r="DO47" s="301" t="str">
        <f t="shared" ca="1" si="182"/>
        <v>D</v>
      </c>
      <c r="DP47" s="301" t="str">
        <f t="shared" ca="1" si="182"/>
        <v>D</v>
      </c>
      <c r="DQ47" s="301" t="str">
        <f t="shared" ca="1" si="182"/>
        <v>D</v>
      </c>
      <c r="DR47" s="301" t="str">
        <f t="shared" ca="1" si="182"/>
        <v>D</v>
      </c>
      <c r="DS47" s="301" t="str">
        <f t="shared" ca="1" si="182"/>
        <v>D</v>
      </c>
      <c r="DT47" s="301" t="str">
        <f t="shared" ca="1" si="183"/>
        <v>D</v>
      </c>
      <c r="DU47" s="301" t="str">
        <f t="shared" ca="1" si="183"/>
        <v>D</v>
      </c>
      <c r="DV47" s="301" t="str">
        <f t="shared" ca="1" si="183"/>
        <v>D</v>
      </c>
      <c r="DW47" s="301" t="str">
        <f t="shared" ca="1" si="183"/>
        <v>D</v>
      </c>
      <c r="DX47" s="301" t="str">
        <f t="shared" ca="1" si="183"/>
        <v>D</v>
      </c>
      <c r="DY47" s="301" t="str">
        <f t="shared" ca="1" si="183"/>
        <v>D</v>
      </c>
      <c r="DZ47" s="301" t="str">
        <f t="shared" ca="1" si="183"/>
        <v>D</v>
      </c>
      <c r="EA47" s="301" t="str">
        <f t="shared" ca="1" si="183"/>
        <v>D</v>
      </c>
      <c r="EB47" s="301" t="str">
        <f t="shared" ca="1" si="183"/>
        <v>D</v>
      </c>
      <c r="EC47" s="301" t="str">
        <f t="shared" ca="1" si="183"/>
        <v>D</v>
      </c>
      <c r="ED47" s="301" t="str">
        <f t="shared" ca="1" si="183"/>
        <v>D</v>
      </c>
      <c r="EE47" s="301" t="str">
        <f t="shared" ca="1" si="183"/>
        <v>D</v>
      </c>
      <c r="EF47" s="205"/>
      <c r="EG47" s="301" t="str">
        <f t="shared" ca="1" si="184"/>
        <v>D</v>
      </c>
      <c r="EH47" s="301" t="str">
        <f t="shared" ca="1" si="184"/>
        <v>D</v>
      </c>
      <c r="EI47" s="301" t="str">
        <f t="shared" ca="1" si="184"/>
        <v>D</v>
      </c>
      <c r="EJ47" s="301" t="str">
        <f t="shared" ca="1" si="184"/>
        <v>D</v>
      </c>
      <c r="EK47" s="301" t="str">
        <f t="shared" ca="1" si="184"/>
        <v>D</v>
      </c>
      <c r="EL47" s="301" t="str">
        <f t="shared" ca="1" si="184"/>
        <v>D</v>
      </c>
      <c r="EM47" s="301" t="str">
        <f t="shared" ca="1" si="184"/>
        <v>D</v>
      </c>
      <c r="EN47" s="301" t="str">
        <f t="shared" ca="1" si="184"/>
        <v>D</v>
      </c>
      <c r="EO47" s="301" t="str">
        <f t="shared" ca="1" si="184"/>
        <v>D</v>
      </c>
      <c r="EP47" s="301" t="str">
        <f t="shared" ca="1" si="184"/>
        <v>D</v>
      </c>
      <c r="EQ47" s="301" t="str">
        <f t="shared" ca="1" si="185"/>
        <v>D</v>
      </c>
      <c r="ER47" s="301" t="str">
        <f t="shared" ca="1" si="185"/>
        <v>D</v>
      </c>
      <c r="ES47" s="301" t="str">
        <f t="shared" ca="1" si="185"/>
        <v>D</v>
      </c>
      <c r="ET47" s="301" t="str">
        <f t="shared" ca="1" si="185"/>
        <v>D</v>
      </c>
      <c r="EU47" s="301" t="str">
        <f t="shared" ca="1" si="185"/>
        <v>D</v>
      </c>
      <c r="EV47" s="301" t="str">
        <f t="shared" ca="1" si="185"/>
        <v>D</v>
      </c>
      <c r="EW47" s="301" t="str">
        <f t="shared" ca="1" si="185"/>
        <v>D</v>
      </c>
      <c r="EX47" s="301" t="str">
        <f t="shared" ca="1" si="185"/>
        <v>D</v>
      </c>
      <c r="EY47" s="301" t="str">
        <f t="shared" ca="1" si="185"/>
        <v>D</v>
      </c>
      <c r="EZ47" s="301" t="str">
        <f t="shared" ca="1" si="185"/>
        <v>D</v>
      </c>
      <c r="FA47" s="301" t="str">
        <f t="shared" ca="1" si="186"/>
        <v>D</v>
      </c>
      <c r="FB47" s="301" t="str">
        <f t="shared" ca="1" si="186"/>
        <v>D</v>
      </c>
      <c r="FC47" s="301" t="str">
        <f t="shared" ca="1" si="186"/>
        <v>D</v>
      </c>
      <c r="FD47" s="301" t="str">
        <f t="shared" ca="1" si="186"/>
        <v>D</v>
      </c>
      <c r="FE47" s="301" t="str">
        <f t="shared" ca="1" si="186"/>
        <v>D</v>
      </c>
      <c r="FF47" s="301" t="str">
        <f t="shared" ca="1" si="186"/>
        <v>D</v>
      </c>
      <c r="FG47" s="301" t="str">
        <f t="shared" ca="1" si="186"/>
        <v>D</v>
      </c>
      <c r="FH47" s="301" t="str">
        <f t="shared" ca="1" si="186"/>
        <v>D</v>
      </c>
      <c r="FI47" s="301" t="str">
        <f t="shared" ca="1" si="186"/>
        <v>D</v>
      </c>
      <c r="FJ47" s="301" t="str">
        <f t="shared" ca="1" si="186"/>
        <v>D</v>
      </c>
      <c r="FK47" s="301" t="str">
        <f t="shared" ca="1" si="186"/>
        <v>D</v>
      </c>
      <c r="FL47" s="301" t="str">
        <f t="shared" ca="1" si="186"/>
        <v>D</v>
      </c>
    </row>
    <row r="48" spans="1:168" x14ac:dyDescent="0.2">
      <c r="A48" s="38" t="str">
        <f t="shared" si="187"/>
        <v>Reiten</v>
      </c>
      <c r="B48" s="317" t="str">
        <f t="shared" ca="1" si="106"/>
        <v/>
      </c>
      <c r="C48" s="332" t="str">
        <f ca="1">IF(OR(NOT(ISBLANK(D48)),NOT(ISBLANK(HLOOKUP(RASSEGENE,RASSE,$CD48,FALSE))),
NOT(ISBLANK(HLOOKUP(KULTURGENE,KULTUR,$CD48,FALSE))),
NOT(OR(ISBLANK(HLOOKUP(PROFGENE,INDIRECT(PROFGEBIET),$CD48,FALSE)),$CS48="N",$CS48="M")),
IF(PROFZWEITE="",FALSE,NOT(ISBLANK(HLOOKUP(PROFZWEITE,INDIRECT(PROFGEBIET2),$CD48,FALSE))))),"x","")</f>
        <v/>
      </c>
      <c r="D48" s="1110"/>
      <c r="E48" s="1424"/>
      <c r="F48" s="325"/>
      <c r="G48" s="958"/>
      <c r="H48" s="1196"/>
      <c r="I48" s="326"/>
      <c r="J48" s="1886" t="str">
        <f t="shared" ca="1" si="107"/>
        <v/>
      </c>
      <c r="K48" s="1887"/>
      <c r="L48" s="1887"/>
      <c r="M48" s="1887"/>
      <c r="N48" s="1888"/>
      <c r="O48" s="613" t="str">
        <f t="shared" ca="1" si="108"/>
        <v/>
      </c>
      <c r="P48" s="90"/>
      <c r="Q48" s="25"/>
      <c r="R48" s="1313"/>
      <c r="S48" s="1313"/>
      <c r="T48" s="1315"/>
      <c r="U48" s="1283"/>
      <c r="V48" s="628" t="str">
        <f t="shared" ca="1" si="109"/>
        <v/>
      </c>
      <c r="W48" s="164">
        <f t="shared" ca="1" si="110"/>
        <v>0</v>
      </c>
      <c r="X48" s="164">
        <f t="shared" ca="1" si="111"/>
        <v>0</v>
      </c>
      <c r="Y48" s="164">
        <f t="shared" ca="1" si="112"/>
        <v>0</v>
      </c>
      <c r="Z48" s="164">
        <f t="shared" ca="1" si="113"/>
        <v>0</v>
      </c>
      <c r="AA48" s="164">
        <f t="shared" ca="1" si="114"/>
        <v>0</v>
      </c>
      <c r="AB48" s="164">
        <f t="shared" ca="1" si="115"/>
        <v>0</v>
      </c>
      <c r="AC48" s="164">
        <f t="shared" ca="1" si="116"/>
        <v>0</v>
      </c>
      <c r="AD48" s="164">
        <f t="shared" ca="1" si="117"/>
        <v>0</v>
      </c>
      <c r="AE48" s="164">
        <f t="shared" ca="1" si="118"/>
        <v>0</v>
      </c>
      <c r="AF48" s="164">
        <f t="shared" ca="1" si="119"/>
        <v>0</v>
      </c>
      <c r="AG48" s="164">
        <f t="shared" ca="1" si="120"/>
        <v>0</v>
      </c>
      <c r="AH48" s="164">
        <f t="shared" ca="1" si="121"/>
        <v>0</v>
      </c>
      <c r="AI48" s="164">
        <f t="shared" ca="1" si="122"/>
        <v>0</v>
      </c>
      <c r="AJ48" s="164">
        <f t="shared" ca="1" si="123"/>
        <v>0</v>
      </c>
      <c r="AK48" s="164">
        <f t="shared" ca="1" si="124"/>
        <v>0</v>
      </c>
      <c r="AL48" s="164">
        <f t="shared" ca="1" si="125"/>
        <v>0</v>
      </c>
      <c r="AM48" s="164">
        <f t="shared" ca="1" si="126"/>
        <v>0</v>
      </c>
      <c r="AN48" s="164">
        <f t="shared" ca="1" si="127"/>
        <v>0</v>
      </c>
      <c r="AO48" s="164">
        <f t="shared" ca="1" si="128"/>
        <v>0</v>
      </c>
      <c r="AP48" s="164">
        <f t="shared" ca="1" si="129"/>
        <v>0</v>
      </c>
      <c r="AQ48" s="164">
        <f t="shared" ca="1" si="130"/>
        <v>0</v>
      </c>
      <c r="AR48" s="164">
        <f t="shared" ca="1" si="131"/>
        <v>0</v>
      </c>
      <c r="AS48" s="195"/>
      <c r="AT48" s="154">
        <f t="shared" ca="1" si="132"/>
        <v>0</v>
      </c>
      <c r="AU48" s="154">
        <f t="shared" ca="1" si="133"/>
        <v>0</v>
      </c>
      <c r="AV48" s="154">
        <f t="shared" ca="1" si="134"/>
        <v>0</v>
      </c>
      <c r="AW48" s="154">
        <f t="shared" ca="1" si="135"/>
        <v>0</v>
      </c>
      <c r="AX48" s="154">
        <f t="shared" ca="1" si="136"/>
        <v>0</v>
      </c>
      <c r="AY48" s="154">
        <f t="shared" ca="1" si="137"/>
        <v>0</v>
      </c>
      <c r="AZ48" s="154">
        <f t="shared" ca="1" si="138"/>
        <v>0</v>
      </c>
      <c r="BA48" s="154">
        <f t="shared" ca="1" si="139"/>
        <v>0</v>
      </c>
      <c r="BB48" s="154">
        <f t="shared" ca="1" si="140"/>
        <v>0</v>
      </c>
      <c r="BC48" s="154">
        <f t="shared" ca="1" si="141"/>
        <v>0</v>
      </c>
      <c r="BD48" s="154">
        <f t="shared" ca="1" si="142"/>
        <v>0</v>
      </c>
      <c r="BE48" s="154">
        <f t="shared" ca="1" si="143"/>
        <v>0</v>
      </c>
      <c r="BF48" s="154">
        <f t="shared" ca="1" si="144"/>
        <v>0</v>
      </c>
      <c r="BG48" s="154">
        <f t="shared" ca="1" si="145"/>
        <v>0</v>
      </c>
      <c r="BH48" s="154">
        <f t="shared" ca="1" si="146"/>
        <v>0</v>
      </c>
      <c r="BI48" s="154">
        <f t="shared" ca="1" si="147"/>
        <v>0</v>
      </c>
      <c r="BJ48" s="154">
        <f t="shared" ca="1" si="148"/>
        <v>0</v>
      </c>
      <c r="BK48" s="154">
        <f t="shared" ca="1" si="149"/>
        <v>0</v>
      </c>
      <c r="BL48" s="154">
        <f t="shared" ca="1" si="150"/>
        <v>0</v>
      </c>
      <c r="BM48" s="154">
        <f t="shared" ca="1" si="151"/>
        <v>0</v>
      </c>
      <c r="BN48" s="154">
        <f t="shared" ca="1" si="152"/>
        <v>0</v>
      </c>
      <c r="BO48" s="154">
        <f t="shared" ca="1" si="153"/>
        <v>0</v>
      </c>
      <c r="BP48" s="154">
        <f t="shared" ca="1" si="154"/>
        <v>0</v>
      </c>
      <c r="BQ48" s="154">
        <f t="shared" ca="1" si="155"/>
        <v>0</v>
      </c>
      <c r="BR48" s="154">
        <f t="shared" ca="1" si="156"/>
        <v>0</v>
      </c>
      <c r="BS48" s="154">
        <f t="shared" ca="1" si="157"/>
        <v>0</v>
      </c>
      <c r="BT48" s="154">
        <f t="shared" ca="1" si="158"/>
        <v>0</v>
      </c>
      <c r="BU48" s="154">
        <f t="shared" ca="1" si="159"/>
        <v>0</v>
      </c>
      <c r="BV48" s="154">
        <f t="shared" ca="1" si="160"/>
        <v>0</v>
      </c>
      <c r="BW48" s="154">
        <f t="shared" ca="1" si="161"/>
        <v>0</v>
      </c>
      <c r="BX48" s="154">
        <f t="shared" ca="1" si="162"/>
        <v>0</v>
      </c>
      <c r="BY48" s="154">
        <f t="shared" ca="1" si="163"/>
        <v>0</v>
      </c>
      <c r="BZ48" s="154">
        <f t="shared" si="192"/>
        <v>0</v>
      </c>
      <c r="CA48" s="154">
        <f t="shared" si="164"/>
        <v>0</v>
      </c>
      <c r="CB48" s="154">
        <f t="shared" ca="1" si="165"/>
        <v>0</v>
      </c>
      <c r="CC48" s="523"/>
      <c r="CD48" s="355">
        <f t="shared" si="166"/>
        <v>76</v>
      </c>
      <c r="CE48" s="268" t="str">
        <f t="shared" ca="1" si="167"/>
        <v>D</v>
      </c>
      <c r="CF48" s="355" t="str">
        <f ca="1">IF(EXACT($B48,""),$CF45,CONCATENATE($CF45,$A48))</f>
        <v/>
      </c>
      <c r="CG48" s="268"/>
      <c r="CH48" s="268"/>
      <c r="CI48" s="269">
        <f t="shared" ca="1" si="168"/>
        <v>0</v>
      </c>
      <c r="CJ48" s="269">
        <f t="shared" ca="1" si="169"/>
        <v>0</v>
      </c>
      <c r="CK48" s="268"/>
      <c r="CL48" s="268"/>
      <c r="CM48" s="268">
        <f t="shared" ca="1" si="82"/>
        <v>0</v>
      </c>
      <c r="CN48" s="269">
        <f t="shared" ca="1" si="83"/>
        <v>0</v>
      </c>
      <c r="CO48" s="268" t="str">
        <f t="shared" ca="1" si="170"/>
        <v>D</v>
      </c>
      <c r="CP48" s="269" t="b">
        <f ca="1">IF(NT_ELFWELT,
IF(OR(
RIGHT(HLOOKUP(PROFGENE,INDIRECT(PROFGEBIET),$CD48,FALSE),1)="L",
RIGHT(HLOOKUP(KULTURGENE,KULTUR,$CD48,FALSE),1)="L",
RIGHT(D48)="L"),TRUE,FALSE),
TRUE)</f>
        <v>1</v>
      </c>
      <c r="CQ48" s="269">
        <f t="shared" si="171"/>
        <v>0</v>
      </c>
      <c r="CR48" s="269">
        <f t="shared" si="172"/>
        <v>0</v>
      </c>
      <c r="CS48" s="269">
        <f t="shared" ca="1" si="173"/>
        <v>0</v>
      </c>
      <c r="CT48" s="302" t="str">
        <f t="shared" ca="1" si="174"/>
        <v>0</v>
      </c>
      <c r="CU48" s="269">
        <f t="shared" ca="1" si="175"/>
        <v>0</v>
      </c>
      <c r="CV48" s="268"/>
      <c r="CW48" s="269">
        <f t="shared" ca="1" si="176"/>
        <v>0</v>
      </c>
      <c r="CX48" s="301">
        <f t="shared" ca="1" si="177"/>
        <v>0</v>
      </c>
      <c r="CY48" s="301">
        <f t="shared" ca="1" si="85"/>
        <v>0</v>
      </c>
      <c r="CZ48" s="301">
        <f t="shared" ca="1" si="178"/>
        <v>0</v>
      </c>
      <c r="DA48" s="301">
        <f t="shared" ca="1" si="179"/>
        <v>0</v>
      </c>
      <c r="DB48" t="str">
        <f t="shared" ca="1" si="188"/>
        <v/>
      </c>
      <c r="DC48" s="301" t="str">
        <f t="shared" ca="1" si="180"/>
        <v/>
      </c>
      <c r="DD48" s="1337" t="str">
        <f t="shared" ca="1" si="189"/>
        <v/>
      </c>
      <c r="DE48" s="1337" t="str">
        <f t="shared" ca="1" si="190"/>
        <v/>
      </c>
      <c r="DG48" s="269" t="str">
        <f t="shared" ca="1" si="181"/>
        <v>Tabellen_Andere!BA86:BF86</v>
      </c>
      <c r="DH48" s="269" t="str">
        <f t="shared" si="191"/>
        <v>Tabellen_Andere!BA86:BF86</v>
      </c>
      <c r="DI48" s="269" t="str">
        <f ca="1">IF(NOT(ISERR(FIND(A48,Abfragen!$O$264,1))),MID(Abfragen!$O$264,FIND("(",Abfragen!$O$264,FIND(A48,Abfragen!$O$264,1)+LEN(A48))+1,FIND(")",Abfragen!$O$264,FIND(A48,Abfragen!$O$264,1)+LEN(A48))-FIND("(",Abfragen!$O$264,FIND(A48,Abfragen!$O$264,1)+LEN(A48))-1),"")</f>
        <v/>
      </c>
      <c r="DJ48" s="301" t="str">
        <f t="shared" ca="1" si="182"/>
        <v>D</v>
      </c>
      <c r="DK48" s="301" t="str">
        <f t="shared" ca="1" si="182"/>
        <v>D</v>
      </c>
      <c r="DL48" s="301" t="str">
        <f t="shared" ca="1" si="182"/>
        <v>D</v>
      </c>
      <c r="DM48" s="301" t="str">
        <f t="shared" ca="1" si="182"/>
        <v>D</v>
      </c>
      <c r="DN48" s="301" t="str">
        <f t="shared" ca="1" si="182"/>
        <v>D</v>
      </c>
      <c r="DO48" s="301" t="str">
        <f t="shared" ca="1" si="182"/>
        <v>D</v>
      </c>
      <c r="DP48" s="301" t="str">
        <f t="shared" ca="1" si="182"/>
        <v>D</v>
      </c>
      <c r="DQ48" s="301" t="str">
        <f t="shared" ca="1" si="182"/>
        <v>D</v>
      </c>
      <c r="DR48" s="301" t="str">
        <f t="shared" ca="1" si="182"/>
        <v>D</v>
      </c>
      <c r="DS48" s="301" t="str">
        <f t="shared" ca="1" si="182"/>
        <v>D</v>
      </c>
      <c r="DT48" s="301" t="str">
        <f t="shared" ca="1" si="183"/>
        <v>D</v>
      </c>
      <c r="DU48" s="301" t="str">
        <f t="shared" ca="1" si="183"/>
        <v>D</v>
      </c>
      <c r="DV48" s="301" t="str">
        <f t="shared" ca="1" si="183"/>
        <v>D</v>
      </c>
      <c r="DW48" s="301" t="str">
        <f t="shared" ca="1" si="183"/>
        <v>D</v>
      </c>
      <c r="DX48" s="301" t="str">
        <f t="shared" ca="1" si="183"/>
        <v>D</v>
      </c>
      <c r="DY48" s="301" t="str">
        <f t="shared" ca="1" si="183"/>
        <v>D</v>
      </c>
      <c r="DZ48" s="301" t="str">
        <f t="shared" ca="1" si="183"/>
        <v>D</v>
      </c>
      <c r="EA48" s="301" t="str">
        <f t="shared" ca="1" si="183"/>
        <v>D</v>
      </c>
      <c r="EB48" s="301" t="str">
        <f t="shared" ca="1" si="183"/>
        <v>D</v>
      </c>
      <c r="EC48" s="301" t="str">
        <f t="shared" ca="1" si="183"/>
        <v>D</v>
      </c>
      <c r="ED48" s="301" t="str">
        <f t="shared" ca="1" si="183"/>
        <v>D</v>
      </c>
      <c r="EE48" s="301" t="str">
        <f t="shared" ca="1" si="183"/>
        <v>D</v>
      </c>
      <c r="EF48" s="205"/>
      <c r="EG48" s="301" t="str">
        <f t="shared" ca="1" si="184"/>
        <v>D</v>
      </c>
      <c r="EH48" s="301" t="str">
        <f t="shared" ca="1" si="184"/>
        <v>D</v>
      </c>
      <c r="EI48" s="301" t="str">
        <f t="shared" ca="1" si="184"/>
        <v>D</v>
      </c>
      <c r="EJ48" s="301" t="str">
        <f t="shared" ca="1" si="184"/>
        <v>D</v>
      </c>
      <c r="EK48" s="301" t="str">
        <f t="shared" ca="1" si="184"/>
        <v>D</v>
      </c>
      <c r="EL48" s="301" t="str">
        <f t="shared" ca="1" si="184"/>
        <v>D</v>
      </c>
      <c r="EM48" s="301" t="str">
        <f t="shared" ca="1" si="184"/>
        <v>D</v>
      </c>
      <c r="EN48" s="301" t="str">
        <f t="shared" ca="1" si="184"/>
        <v>D</v>
      </c>
      <c r="EO48" s="301" t="str">
        <f t="shared" ca="1" si="184"/>
        <v>D</v>
      </c>
      <c r="EP48" s="301" t="str">
        <f t="shared" ca="1" si="184"/>
        <v>D</v>
      </c>
      <c r="EQ48" s="301" t="str">
        <f t="shared" ca="1" si="185"/>
        <v>D</v>
      </c>
      <c r="ER48" s="301" t="str">
        <f t="shared" ca="1" si="185"/>
        <v>D</v>
      </c>
      <c r="ES48" s="301" t="str">
        <f t="shared" ca="1" si="185"/>
        <v>D</v>
      </c>
      <c r="ET48" s="301" t="str">
        <f t="shared" ca="1" si="185"/>
        <v>D</v>
      </c>
      <c r="EU48" s="301" t="str">
        <f t="shared" ca="1" si="185"/>
        <v>D</v>
      </c>
      <c r="EV48" s="301" t="str">
        <f t="shared" ca="1" si="185"/>
        <v>D</v>
      </c>
      <c r="EW48" s="301" t="str">
        <f t="shared" ca="1" si="185"/>
        <v>D</v>
      </c>
      <c r="EX48" s="301" t="str">
        <f t="shared" ca="1" si="185"/>
        <v>D</v>
      </c>
      <c r="EY48" s="301" t="str">
        <f t="shared" ca="1" si="185"/>
        <v>D</v>
      </c>
      <c r="EZ48" s="301" t="str">
        <f t="shared" ca="1" si="185"/>
        <v>D</v>
      </c>
      <c r="FA48" s="301" t="str">
        <f t="shared" ca="1" si="186"/>
        <v>D</v>
      </c>
      <c r="FB48" s="301" t="str">
        <f t="shared" ca="1" si="186"/>
        <v>D</v>
      </c>
      <c r="FC48" s="301" t="str">
        <f t="shared" ca="1" si="186"/>
        <v>D</v>
      </c>
      <c r="FD48" s="301" t="str">
        <f t="shared" ca="1" si="186"/>
        <v>D</v>
      </c>
      <c r="FE48" s="301" t="str">
        <f t="shared" ca="1" si="186"/>
        <v>D</v>
      </c>
      <c r="FF48" s="301" t="str">
        <f t="shared" ca="1" si="186"/>
        <v>D</v>
      </c>
      <c r="FG48" s="301" t="str">
        <f t="shared" ca="1" si="186"/>
        <v>D</v>
      </c>
      <c r="FH48" s="301" t="str">
        <f t="shared" ca="1" si="186"/>
        <v>D</v>
      </c>
      <c r="FI48" s="301" t="str">
        <f t="shared" ca="1" si="186"/>
        <v>D</v>
      </c>
      <c r="FJ48" s="301" t="str">
        <f t="shared" ca="1" si="186"/>
        <v>D</v>
      </c>
      <c r="FK48" s="301" t="str">
        <f t="shared" ca="1" si="186"/>
        <v>D</v>
      </c>
      <c r="FL48" s="301" t="str">
        <f t="shared" ca="1" si="186"/>
        <v>D</v>
      </c>
    </row>
    <row r="49" spans="1:168" x14ac:dyDescent="0.2">
      <c r="A49" s="38" t="str">
        <f t="shared" si="187"/>
        <v>Schleichen</v>
      </c>
      <c r="B49" s="317">
        <f t="shared" ca="1" si="106"/>
        <v>0</v>
      </c>
      <c r="C49" s="332" t="s">
        <v>1321</v>
      </c>
      <c r="D49" s="1110"/>
      <c r="E49" s="1424"/>
      <c r="F49" s="325"/>
      <c r="G49" s="963"/>
      <c r="H49" s="1196"/>
      <c r="I49" s="326"/>
      <c r="J49" s="1886" t="str">
        <f t="shared" ca="1" si="107"/>
        <v/>
      </c>
      <c r="K49" s="1887"/>
      <c r="L49" s="1887"/>
      <c r="M49" s="1887"/>
      <c r="N49" s="1888"/>
      <c r="O49" s="613">
        <f t="shared" ca="1" si="108"/>
        <v>0</v>
      </c>
      <c r="P49" s="90"/>
      <c r="Q49" s="25"/>
      <c r="R49" s="1313"/>
      <c r="S49" s="1313"/>
      <c r="T49" s="1315"/>
      <c r="U49" s="1283"/>
      <c r="V49" s="628" t="str">
        <f t="shared" ca="1" si="109"/>
        <v/>
      </c>
      <c r="W49" s="164">
        <f t="shared" ca="1" si="110"/>
        <v>0</v>
      </c>
      <c r="X49" s="164">
        <f t="shared" ca="1" si="111"/>
        <v>0</v>
      </c>
      <c r="Y49" s="164">
        <f t="shared" ca="1" si="112"/>
        <v>0</v>
      </c>
      <c r="Z49" s="164">
        <f t="shared" ca="1" si="113"/>
        <v>0</v>
      </c>
      <c r="AA49" s="164">
        <f t="shared" ca="1" si="114"/>
        <v>0</v>
      </c>
      <c r="AB49" s="164">
        <f t="shared" ca="1" si="115"/>
        <v>0</v>
      </c>
      <c r="AC49" s="164">
        <f t="shared" ca="1" si="116"/>
        <v>0</v>
      </c>
      <c r="AD49" s="164">
        <f t="shared" ca="1" si="117"/>
        <v>0</v>
      </c>
      <c r="AE49" s="164">
        <f t="shared" ca="1" si="118"/>
        <v>0</v>
      </c>
      <c r="AF49" s="164">
        <f t="shared" ca="1" si="119"/>
        <v>0</v>
      </c>
      <c r="AG49" s="164">
        <f t="shared" ca="1" si="120"/>
        <v>0</v>
      </c>
      <c r="AH49" s="164">
        <f t="shared" ca="1" si="121"/>
        <v>0</v>
      </c>
      <c r="AI49" s="164">
        <f t="shared" ca="1" si="122"/>
        <v>0</v>
      </c>
      <c r="AJ49" s="164">
        <f t="shared" ca="1" si="123"/>
        <v>0</v>
      </c>
      <c r="AK49" s="164">
        <f t="shared" ca="1" si="124"/>
        <v>0</v>
      </c>
      <c r="AL49" s="164">
        <f t="shared" ca="1" si="125"/>
        <v>0</v>
      </c>
      <c r="AM49" s="164">
        <f t="shared" ca="1" si="126"/>
        <v>0</v>
      </c>
      <c r="AN49" s="164">
        <f t="shared" ca="1" si="127"/>
        <v>0</v>
      </c>
      <c r="AO49" s="164">
        <f t="shared" ca="1" si="128"/>
        <v>0</v>
      </c>
      <c r="AP49" s="164">
        <f t="shared" ca="1" si="129"/>
        <v>0</v>
      </c>
      <c r="AQ49" s="164">
        <f t="shared" ca="1" si="130"/>
        <v>0</v>
      </c>
      <c r="AR49" s="164">
        <f t="shared" ca="1" si="131"/>
        <v>0</v>
      </c>
      <c r="AS49" s="195"/>
      <c r="AT49" s="154">
        <f t="shared" ca="1" si="132"/>
        <v>0</v>
      </c>
      <c r="AU49" s="154">
        <f t="shared" ca="1" si="133"/>
        <v>0</v>
      </c>
      <c r="AV49" s="154">
        <f t="shared" ca="1" si="134"/>
        <v>0</v>
      </c>
      <c r="AW49" s="154">
        <f t="shared" ca="1" si="135"/>
        <v>0</v>
      </c>
      <c r="AX49" s="154">
        <f t="shared" ca="1" si="136"/>
        <v>0</v>
      </c>
      <c r="AY49" s="154">
        <f t="shared" ca="1" si="137"/>
        <v>0</v>
      </c>
      <c r="AZ49" s="154">
        <f t="shared" ca="1" si="138"/>
        <v>0</v>
      </c>
      <c r="BA49" s="154">
        <f t="shared" ca="1" si="139"/>
        <v>0</v>
      </c>
      <c r="BB49" s="154">
        <f t="shared" ca="1" si="140"/>
        <v>0</v>
      </c>
      <c r="BC49" s="154">
        <f t="shared" ca="1" si="141"/>
        <v>0</v>
      </c>
      <c r="BD49" s="154">
        <f t="shared" ca="1" si="142"/>
        <v>0</v>
      </c>
      <c r="BE49" s="154">
        <f t="shared" ca="1" si="143"/>
        <v>0</v>
      </c>
      <c r="BF49" s="154">
        <f t="shared" ca="1" si="144"/>
        <v>0</v>
      </c>
      <c r="BG49" s="154">
        <f t="shared" ca="1" si="145"/>
        <v>0</v>
      </c>
      <c r="BH49" s="154">
        <f t="shared" ca="1" si="146"/>
        <v>0</v>
      </c>
      <c r="BI49" s="154">
        <f t="shared" ca="1" si="147"/>
        <v>0</v>
      </c>
      <c r="BJ49" s="154">
        <f t="shared" ca="1" si="148"/>
        <v>0</v>
      </c>
      <c r="BK49" s="154">
        <f t="shared" ca="1" si="149"/>
        <v>0</v>
      </c>
      <c r="BL49" s="154">
        <f t="shared" ca="1" si="150"/>
        <v>0</v>
      </c>
      <c r="BM49" s="154">
        <f t="shared" ca="1" si="151"/>
        <v>0</v>
      </c>
      <c r="BN49" s="154">
        <f t="shared" ca="1" si="152"/>
        <v>0</v>
      </c>
      <c r="BO49" s="154">
        <f t="shared" ca="1" si="153"/>
        <v>0</v>
      </c>
      <c r="BP49" s="154">
        <f t="shared" ca="1" si="154"/>
        <v>0</v>
      </c>
      <c r="BQ49" s="154">
        <f t="shared" ca="1" si="155"/>
        <v>0</v>
      </c>
      <c r="BR49" s="154">
        <f t="shared" ca="1" si="156"/>
        <v>0</v>
      </c>
      <c r="BS49" s="154">
        <f t="shared" ca="1" si="157"/>
        <v>0</v>
      </c>
      <c r="BT49" s="154">
        <f t="shared" ca="1" si="158"/>
        <v>0</v>
      </c>
      <c r="BU49" s="154">
        <f t="shared" ca="1" si="159"/>
        <v>0</v>
      </c>
      <c r="BV49" s="154">
        <f t="shared" ca="1" si="160"/>
        <v>0</v>
      </c>
      <c r="BW49" s="154">
        <f t="shared" ca="1" si="161"/>
        <v>0</v>
      </c>
      <c r="BX49" s="154">
        <f t="shared" ca="1" si="162"/>
        <v>0</v>
      </c>
      <c r="BY49" s="154">
        <f t="shared" ca="1" si="163"/>
        <v>0</v>
      </c>
      <c r="BZ49" s="154">
        <f t="shared" si="192"/>
        <v>0</v>
      </c>
      <c r="CA49" s="154">
        <f t="shared" si="164"/>
        <v>0</v>
      </c>
      <c r="CB49" s="154">
        <f t="shared" ca="1" si="165"/>
        <v>0</v>
      </c>
      <c r="CC49" s="523"/>
      <c r="CD49" s="355">
        <f t="shared" si="166"/>
        <v>77</v>
      </c>
      <c r="CE49" s="268" t="str">
        <f t="shared" ca="1" si="167"/>
        <v>D</v>
      </c>
      <c r="CF49" s="355"/>
      <c r="CG49" s="268"/>
      <c r="CH49" s="268"/>
      <c r="CI49" s="269">
        <f t="shared" ca="1" si="168"/>
        <v>0</v>
      </c>
      <c r="CJ49" s="269">
        <f t="shared" ca="1" si="169"/>
        <v>0</v>
      </c>
      <c r="CK49" s="268"/>
      <c r="CL49" s="271">
        <f>IF(VT_SCHLANGENMENSCH,-1,0)</f>
        <v>0</v>
      </c>
      <c r="CM49" s="268">
        <f t="shared" si="82"/>
        <v>0</v>
      </c>
      <c r="CN49" s="269">
        <f t="shared" ca="1" si="83"/>
        <v>0</v>
      </c>
      <c r="CO49" s="268" t="str">
        <f t="shared" ca="1" si="170"/>
        <v>D</v>
      </c>
      <c r="CP49" s="271" t="b">
        <f>TRUE</f>
        <v>1</v>
      </c>
      <c r="CQ49" s="269">
        <f t="shared" si="171"/>
        <v>0</v>
      </c>
      <c r="CR49" s="269">
        <f t="shared" si="172"/>
        <v>0</v>
      </c>
      <c r="CS49" s="269">
        <f t="shared" ca="1" si="173"/>
        <v>0</v>
      </c>
      <c r="CT49" s="302" t="str">
        <f t="shared" ca="1" si="174"/>
        <v>0</v>
      </c>
      <c r="CU49" s="269">
        <f t="shared" ca="1" si="175"/>
        <v>0</v>
      </c>
      <c r="CV49" s="271">
        <f>IF(VT_SCHLANGENMENSCH,1,0)</f>
        <v>0</v>
      </c>
      <c r="CW49" s="269">
        <f t="shared" ca="1" si="176"/>
        <v>0</v>
      </c>
      <c r="CX49" s="301">
        <f t="shared" ca="1" si="177"/>
        <v>0</v>
      </c>
      <c r="CY49" s="301">
        <f t="shared" ca="1" si="85"/>
        <v>0</v>
      </c>
      <c r="CZ49" s="301">
        <f t="shared" ca="1" si="178"/>
        <v>0</v>
      </c>
      <c r="DA49" s="301">
        <f t="shared" ca="1" si="179"/>
        <v>0</v>
      </c>
      <c r="DB49" t="str">
        <f t="shared" ca="1" si="188"/>
        <v/>
      </c>
      <c r="DC49" s="301" t="str">
        <f t="shared" ca="1" si="180"/>
        <v/>
      </c>
      <c r="DD49" s="1337" t="str">
        <f t="shared" ca="1" si="189"/>
        <v/>
      </c>
      <c r="DE49" s="1337" t="str">
        <f t="shared" ca="1" si="190"/>
        <v/>
      </c>
      <c r="DG49" s="269" t="str">
        <f t="shared" ca="1" si="181"/>
        <v>Tabellen_Andere!BA93:BF93</v>
      </c>
      <c r="DH49" s="269" t="str">
        <f t="shared" si="191"/>
        <v>Tabellen_Andere!BA93:BF93</v>
      </c>
      <c r="DI49" s="269" t="str">
        <f ca="1">IF(NOT(ISERR(FIND(A49,Abfragen!$O$264,1))),MID(Abfragen!$O$264,FIND("(",Abfragen!$O$264,FIND(A49,Abfragen!$O$264,1)+LEN(A49))+1,FIND(")",Abfragen!$O$264,FIND(A49,Abfragen!$O$264,1)+LEN(A49))-FIND("(",Abfragen!$O$264,FIND(A49,Abfragen!$O$264,1)+LEN(A49))-1),"")</f>
        <v/>
      </c>
      <c r="DJ49" s="301" t="str">
        <f t="shared" ca="1" si="182"/>
        <v>D</v>
      </c>
      <c r="DK49" s="301" t="str">
        <f t="shared" ca="1" si="182"/>
        <v>D</v>
      </c>
      <c r="DL49" s="301" t="str">
        <f t="shared" ca="1" si="182"/>
        <v>D</v>
      </c>
      <c r="DM49" s="301" t="str">
        <f t="shared" ca="1" si="182"/>
        <v>D</v>
      </c>
      <c r="DN49" s="301" t="str">
        <f t="shared" ca="1" si="182"/>
        <v>D</v>
      </c>
      <c r="DO49" s="301" t="str">
        <f t="shared" ca="1" si="182"/>
        <v>D</v>
      </c>
      <c r="DP49" s="301" t="str">
        <f t="shared" ca="1" si="182"/>
        <v>D</v>
      </c>
      <c r="DQ49" s="301" t="str">
        <f t="shared" ca="1" si="182"/>
        <v>D</v>
      </c>
      <c r="DR49" s="301" t="str">
        <f t="shared" ca="1" si="182"/>
        <v>D</v>
      </c>
      <c r="DS49" s="301" t="str">
        <f t="shared" ca="1" si="182"/>
        <v>D</v>
      </c>
      <c r="DT49" s="301" t="str">
        <f t="shared" ca="1" si="183"/>
        <v>D</v>
      </c>
      <c r="DU49" s="301" t="str">
        <f t="shared" ca="1" si="183"/>
        <v>D</v>
      </c>
      <c r="DV49" s="301" t="str">
        <f t="shared" ca="1" si="183"/>
        <v>D</v>
      </c>
      <c r="DW49" s="301" t="str">
        <f t="shared" ca="1" si="183"/>
        <v>D</v>
      </c>
      <c r="DX49" s="301" t="str">
        <f t="shared" ca="1" si="183"/>
        <v>D</v>
      </c>
      <c r="DY49" s="301" t="str">
        <f t="shared" ca="1" si="183"/>
        <v>D</v>
      </c>
      <c r="DZ49" s="301" t="str">
        <f t="shared" ca="1" si="183"/>
        <v>D</v>
      </c>
      <c r="EA49" s="301" t="str">
        <f t="shared" ca="1" si="183"/>
        <v>D</v>
      </c>
      <c r="EB49" s="301" t="str">
        <f t="shared" ca="1" si="183"/>
        <v>D</v>
      </c>
      <c r="EC49" s="301" t="str">
        <f t="shared" ca="1" si="183"/>
        <v>D</v>
      </c>
      <c r="ED49" s="301" t="str">
        <f t="shared" ca="1" si="183"/>
        <v>D</v>
      </c>
      <c r="EE49" s="301" t="str">
        <f t="shared" ca="1" si="183"/>
        <v>D</v>
      </c>
      <c r="EF49" s="205"/>
      <c r="EG49" s="301" t="str">
        <f t="shared" ca="1" si="184"/>
        <v>D</v>
      </c>
      <c r="EH49" s="301" t="str">
        <f t="shared" ca="1" si="184"/>
        <v>D</v>
      </c>
      <c r="EI49" s="301" t="str">
        <f t="shared" ca="1" si="184"/>
        <v>D</v>
      </c>
      <c r="EJ49" s="301" t="str">
        <f t="shared" ca="1" si="184"/>
        <v>D</v>
      </c>
      <c r="EK49" s="301" t="str">
        <f t="shared" ca="1" si="184"/>
        <v>D</v>
      </c>
      <c r="EL49" s="301" t="str">
        <f t="shared" ca="1" si="184"/>
        <v>D</v>
      </c>
      <c r="EM49" s="301" t="str">
        <f t="shared" ca="1" si="184"/>
        <v>D</v>
      </c>
      <c r="EN49" s="301" t="str">
        <f t="shared" ca="1" si="184"/>
        <v>D</v>
      </c>
      <c r="EO49" s="301" t="str">
        <f t="shared" ca="1" si="184"/>
        <v>D</v>
      </c>
      <c r="EP49" s="301" t="str">
        <f t="shared" ca="1" si="184"/>
        <v>D</v>
      </c>
      <c r="EQ49" s="301" t="str">
        <f t="shared" ca="1" si="185"/>
        <v>D</v>
      </c>
      <c r="ER49" s="301" t="str">
        <f t="shared" ca="1" si="185"/>
        <v>D</v>
      </c>
      <c r="ES49" s="301" t="str">
        <f t="shared" ca="1" si="185"/>
        <v>D</v>
      </c>
      <c r="ET49" s="301" t="str">
        <f t="shared" ca="1" si="185"/>
        <v>D</v>
      </c>
      <c r="EU49" s="301" t="str">
        <f t="shared" ca="1" si="185"/>
        <v>D</v>
      </c>
      <c r="EV49" s="301" t="str">
        <f t="shared" ca="1" si="185"/>
        <v>D</v>
      </c>
      <c r="EW49" s="301" t="str">
        <f t="shared" ca="1" si="185"/>
        <v>D</v>
      </c>
      <c r="EX49" s="301" t="str">
        <f t="shared" ca="1" si="185"/>
        <v>D</v>
      </c>
      <c r="EY49" s="301" t="str">
        <f t="shared" ca="1" si="185"/>
        <v>D</v>
      </c>
      <c r="EZ49" s="301" t="str">
        <f t="shared" ca="1" si="185"/>
        <v>D</v>
      </c>
      <c r="FA49" s="301" t="str">
        <f t="shared" ca="1" si="186"/>
        <v>D</v>
      </c>
      <c r="FB49" s="301" t="str">
        <f t="shared" ca="1" si="186"/>
        <v>D</v>
      </c>
      <c r="FC49" s="301" t="str">
        <f t="shared" ca="1" si="186"/>
        <v>D</v>
      </c>
      <c r="FD49" s="301" t="str">
        <f t="shared" ca="1" si="186"/>
        <v>D</v>
      </c>
      <c r="FE49" s="301" t="str">
        <f t="shared" ca="1" si="186"/>
        <v>D</v>
      </c>
      <c r="FF49" s="301" t="str">
        <f t="shared" ca="1" si="186"/>
        <v>D</v>
      </c>
      <c r="FG49" s="301" t="str">
        <f t="shared" ca="1" si="186"/>
        <v>D</v>
      </c>
      <c r="FH49" s="301" t="str">
        <f t="shared" ca="1" si="186"/>
        <v>D</v>
      </c>
      <c r="FI49" s="301" t="str">
        <f t="shared" ca="1" si="186"/>
        <v>D</v>
      </c>
      <c r="FJ49" s="301" t="str">
        <f t="shared" ca="1" si="186"/>
        <v>D</v>
      </c>
      <c r="FK49" s="301" t="str">
        <f t="shared" ca="1" si="186"/>
        <v>D</v>
      </c>
      <c r="FL49" s="301" t="str">
        <f t="shared" ca="1" si="186"/>
        <v>D</v>
      </c>
    </row>
    <row r="50" spans="1:168" x14ac:dyDescent="0.2">
      <c r="A50" s="38" t="str">
        <f t="shared" si="187"/>
        <v>Schwimmen</v>
      </c>
      <c r="B50" s="317">
        <f t="shared" ca="1" si="106"/>
        <v>0</v>
      </c>
      <c r="C50" s="332" t="s">
        <v>1321</v>
      </c>
      <c r="D50" s="1127"/>
      <c r="E50" s="1424"/>
      <c r="F50" s="325"/>
      <c r="G50" s="963"/>
      <c r="H50" s="1196"/>
      <c r="I50" s="326"/>
      <c r="J50" s="1886" t="str">
        <f t="shared" ca="1" si="107"/>
        <v/>
      </c>
      <c r="K50" s="1887"/>
      <c r="L50" s="1887"/>
      <c r="M50" s="1887"/>
      <c r="N50" s="1888"/>
      <c r="O50" s="613">
        <f t="shared" ca="1" si="108"/>
        <v>0</v>
      </c>
      <c r="P50" s="90"/>
      <c r="Q50" s="25"/>
      <c r="R50" s="1313"/>
      <c r="S50" s="1313"/>
      <c r="T50" s="1315"/>
      <c r="U50" s="1283"/>
      <c r="V50" s="628" t="str">
        <f t="shared" ca="1" si="109"/>
        <v/>
      </c>
      <c r="W50" s="164">
        <f t="shared" ca="1" si="110"/>
        <v>0</v>
      </c>
      <c r="X50" s="164">
        <f t="shared" ca="1" si="111"/>
        <v>0</v>
      </c>
      <c r="Y50" s="164">
        <f t="shared" ca="1" si="112"/>
        <v>0</v>
      </c>
      <c r="Z50" s="164">
        <f t="shared" ca="1" si="113"/>
        <v>0</v>
      </c>
      <c r="AA50" s="164">
        <f t="shared" ca="1" si="114"/>
        <v>0</v>
      </c>
      <c r="AB50" s="164">
        <f t="shared" ca="1" si="115"/>
        <v>0</v>
      </c>
      <c r="AC50" s="164">
        <f t="shared" ca="1" si="116"/>
        <v>0</v>
      </c>
      <c r="AD50" s="164">
        <f t="shared" ca="1" si="117"/>
        <v>0</v>
      </c>
      <c r="AE50" s="164">
        <f t="shared" ca="1" si="118"/>
        <v>0</v>
      </c>
      <c r="AF50" s="164">
        <f t="shared" ca="1" si="119"/>
        <v>0</v>
      </c>
      <c r="AG50" s="164">
        <f t="shared" ca="1" si="120"/>
        <v>0</v>
      </c>
      <c r="AH50" s="164">
        <f t="shared" ca="1" si="121"/>
        <v>0</v>
      </c>
      <c r="AI50" s="164">
        <f t="shared" ca="1" si="122"/>
        <v>0</v>
      </c>
      <c r="AJ50" s="164">
        <f t="shared" ca="1" si="123"/>
        <v>0</v>
      </c>
      <c r="AK50" s="164">
        <f t="shared" ca="1" si="124"/>
        <v>0</v>
      </c>
      <c r="AL50" s="164">
        <f t="shared" ca="1" si="125"/>
        <v>0</v>
      </c>
      <c r="AM50" s="164">
        <f t="shared" ca="1" si="126"/>
        <v>0</v>
      </c>
      <c r="AN50" s="164">
        <f t="shared" ca="1" si="127"/>
        <v>0</v>
      </c>
      <c r="AO50" s="164">
        <f t="shared" ca="1" si="128"/>
        <v>0</v>
      </c>
      <c r="AP50" s="164">
        <f t="shared" ca="1" si="129"/>
        <v>0</v>
      </c>
      <c r="AQ50" s="164">
        <f t="shared" ca="1" si="130"/>
        <v>0</v>
      </c>
      <c r="AR50" s="164">
        <f t="shared" ca="1" si="131"/>
        <v>0</v>
      </c>
      <c r="AS50" s="195"/>
      <c r="AT50" s="154">
        <f t="shared" ca="1" si="132"/>
        <v>0</v>
      </c>
      <c r="AU50" s="154">
        <f t="shared" ca="1" si="133"/>
        <v>0</v>
      </c>
      <c r="AV50" s="154">
        <f t="shared" ca="1" si="134"/>
        <v>0</v>
      </c>
      <c r="AW50" s="154">
        <f t="shared" ca="1" si="135"/>
        <v>0</v>
      </c>
      <c r="AX50" s="154">
        <f t="shared" ca="1" si="136"/>
        <v>0</v>
      </c>
      <c r="AY50" s="154">
        <f t="shared" ca="1" si="137"/>
        <v>0</v>
      </c>
      <c r="AZ50" s="154">
        <f t="shared" ca="1" si="138"/>
        <v>0</v>
      </c>
      <c r="BA50" s="154">
        <f t="shared" ca="1" si="139"/>
        <v>0</v>
      </c>
      <c r="BB50" s="154">
        <f t="shared" ca="1" si="140"/>
        <v>0</v>
      </c>
      <c r="BC50" s="154">
        <f t="shared" ca="1" si="141"/>
        <v>0</v>
      </c>
      <c r="BD50" s="154">
        <f t="shared" ca="1" si="142"/>
        <v>0</v>
      </c>
      <c r="BE50" s="154">
        <f t="shared" ca="1" si="143"/>
        <v>0</v>
      </c>
      <c r="BF50" s="154">
        <f t="shared" ca="1" si="144"/>
        <v>0</v>
      </c>
      <c r="BG50" s="154">
        <f t="shared" ca="1" si="145"/>
        <v>0</v>
      </c>
      <c r="BH50" s="154">
        <f t="shared" ca="1" si="146"/>
        <v>0</v>
      </c>
      <c r="BI50" s="154">
        <f t="shared" ca="1" si="147"/>
        <v>0</v>
      </c>
      <c r="BJ50" s="154">
        <f t="shared" ca="1" si="148"/>
        <v>0</v>
      </c>
      <c r="BK50" s="154">
        <f t="shared" ca="1" si="149"/>
        <v>0</v>
      </c>
      <c r="BL50" s="154">
        <f t="shared" ca="1" si="150"/>
        <v>0</v>
      </c>
      <c r="BM50" s="154">
        <f t="shared" ca="1" si="151"/>
        <v>0</v>
      </c>
      <c r="BN50" s="154">
        <f t="shared" ca="1" si="152"/>
        <v>0</v>
      </c>
      <c r="BO50" s="154">
        <f t="shared" ca="1" si="153"/>
        <v>0</v>
      </c>
      <c r="BP50" s="154">
        <f t="shared" ca="1" si="154"/>
        <v>0</v>
      </c>
      <c r="BQ50" s="154">
        <f t="shared" ca="1" si="155"/>
        <v>0</v>
      </c>
      <c r="BR50" s="154">
        <f t="shared" ca="1" si="156"/>
        <v>0</v>
      </c>
      <c r="BS50" s="154">
        <f t="shared" ca="1" si="157"/>
        <v>0</v>
      </c>
      <c r="BT50" s="154">
        <f t="shared" ca="1" si="158"/>
        <v>0</v>
      </c>
      <c r="BU50" s="154">
        <f t="shared" ca="1" si="159"/>
        <v>0</v>
      </c>
      <c r="BV50" s="154">
        <f t="shared" ca="1" si="160"/>
        <v>0</v>
      </c>
      <c r="BW50" s="154">
        <f t="shared" ca="1" si="161"/>
        <v>0</v>
      </c>
      <c r="BX50" s="154">
        <f t="shared" ca="1" si="162"/>
        <v>0</v>
      </c>
      <c r="BY50" s="154">
        <f t="shared" ca="1" si="163"/>
        <v>0</v>
      </c>
      <c r="BZ50" s="154">
        <f t="shared" si="192"/>
        <v>0</v>
      </c>
      <c r="CA50" s="154">
        <f t="shared" si="164"/>
        <v>0</v>
      </c>
      <c r="CB50" s="154">
        <f t="shared" ca="1" si="165"/>
        <v>0</v>
      </c>
      <c r="CC50" s="523"/>
      <c r="CD50" s="355">
        <f t="shared" si="166"/>
        <v>78</v>
      </c>
      <c r="CE50" s="268" t="str">
        <f t="shared" ca="1" si="167"/>
        <v>D</v>
      </c>
      <c r="CF50" s="355"/>
      <c r="CG50" s="268"/>
      <c r="CH50" s="268"/>
      <c r="CI50" s="269">
        <f t="shared" ca="1" si="168"/>
        <v>0</v>
      </c>
      <c r="CJ50" s="269">
        <f t="shared" ca="1" si="169"/>
        <v>0</v>
      </c>
      <c r="CK50" s="268"/>
      <c r="CL50" s="268"/>
      <c r="CM50" s="268">
        <f t="shared" ca="1" si="82"/>
        <v>0</v>
      </c>
      <c r="CN50" s="269">
        <f t="shared" ca="1" si="83"/>
        <v>0</v>
      </c>
      <c r="CO50" s="268" t="str">
        <f t="shared" ca="1" si="170"/>
        <v>D</v>
      </c>
      <c r="CP50" s="269" t="b">
        <f ca="1">IF(NT_ELFWELT,
IF(OR(
RIGHT(HLOOKUP(PROFGENE,INDIRECT(PROFGEBIET),$CD50,FALSE),1)="L",
RIGHT(HLOOKUP(KULTURGENE,KULTUR,$CD50,FALSE),1)="L",
RIGHT(D50)="L"),TRUE,FALSE),
TRUE)</f>
        <v>1</v>
      </c>
      <c r="CQ50" s="269">
        <f t="shared" si="171"/>
        <v>0</v>
      </c>
      <c r="CR50" s="269">
        <f t="shared" si="172"/>
        <v>0</v>
      </c>
      <c r="CS50" s="269">
        <f t="shared" ca="1" si="173"/>
        <v>0</v>
      </c>
      <c r="CT50" s="302" t="str">
        <f t="shared" ca="1" si="174"/>
        <v>0</v>
      </c>
      <c r="CU50" s="269">
        <f t="shared" ca="1" si="175"/>
        <v>0</v>
      </c>
      <c r="CV50" s="268"/>
      <c r="CW50" s="269">
        <f t="shared" ca="1" si="176"/>
        <v>0</v>
      </c>
      <c r="CX50" s="301">
        <f t="shared" ca="1" si="177"/>
        <v>0</v>
      </c>
      <c r="CY50" s="301">
        <f t="shared" ca="1" si="85"/>
        <v>0</v>
      </c>
      <c r="CZ50" s="301">
        <f t="shared" ca="1" si="178"/>
        <v>0</v>
      </c>
      <c r="DA50" s="301">
        <f t="shared" ca="1" si="179"/>
        <v>0</v>
      </c>
      <c r="DB50" t="str">
        <f t="shared" ca="1" si="188"/>
        <v/>
      </c>
      <c r="DC50" s="301" t="str">
        <f t="shared" ca="1" si="180"/>
        <v/>
      </c>
      <c r="DD50" s="1337" t="str">
        <f t="shared" ca="1" si="189"/>
        <v/>
      </c>
      <c r="DE50" s="1337" t="str">
        <f t="shared" ca="1" si="190"/>
        <v/>
      </c>
      <c r="DG50" s="269" t="str">
        <f t="shared" ca="1" si="181"/>
        <v>Tabellen_Andere!BA100:BF100</v>
      </c>
      <c r="DH50" s="269" t="str">
        <f t="shared" si="191"/>
        <v>Tabellen_Andere!BA100:BF100</v>
      </c>
      <c r="DI50" s="269" t="str">
        <f ca="1">IF(NOT(ISERR(FIND(A50,Abfragen!$O$264,1))),MID(Abfragen!$O$264,FIND("(",Abfragen!$O$264,FIND(A50,Abfragen!$O$264,1)+LEN(A50))+1,FIND(")",Abfragen!$O$264,FIND(A50,Abfragen!$O$264,1)+LEN(A50))-FIND("(",Abfragen!$O$264,FIND(A50,Abfragen!$O$264,1)+LEN(A50))-1),"")</f>
        <v/>
      </c>
      <c r="DJ50" s="301" t="str">
        <f t="shared" ca="1" si="182"/>
        <v>D</v>
      </c>
      <c r="DK50" s="301" t="str">
        <f t="shared" ca="1" si="182"/>
        <v>D</v>
      </c>
      <c r="DL50" s="301" t="str">
        <f t="shared" ca="1" si="182"/>
        <v>D</v>
      </c>
      <c r="DM50" s="301" t="str">
        <f t="shared" ca="1" si="182"/>
        <v>D</v>
      </c>
      <c r="DN50" s="301" t="str">
        <f t="shared" ca="1" si="182"/>
        <v>D</v>
      </c>
      <c r="DO50" s="301" t="str">
        <f t="shared" ca="1" si="182"/>
        <v>D</v>
      </c>
      <c r="DP50" s="301" t="str">
        <f t="shared" ca="1" si="182"/>
        <v>D</v>
      </c>
      <c r="DQ50" s="301" t="str">
        <f t="shared" ca="1" si="182"/>
        <v>D</v>
      </c>
      <c r="DR50" s="301" t="str">
        <f t="shared" ca="1" si="182"/>
        <v>D</v>
      </c>
      <c r="DS50" s="301" t="str">
        <f t="shared" ca="1" si="182"/>
        <v>D</v>
      </c>
      <c r="DT50" s="301" t="str">
        <f t="shared" ca="1" si="183"/>
        <v>D</v>
      </c>
      <c r="DU50" s="301" t="str">
        <f t="shared" ca="1" si="183"/>
        <v>D</v>
      </c>
      <c r="DV50" s="301" t="str">
        <f t="shared" ca="1" si="183"/>
        <v>D</v>
      </c>
      <c r="DW50" s="301" t="str">
        <f t="shared" ca="1" si="183"/>
        <v>D</v>
      </c>
      <c r="DX50" s="301" t="str">
        <f t="shared" ca="1" si="183"/>
        <v>D</v>
      </c>
      <c r="DY50" s="301" t="str">
        <f t="shared" ca="1" si="183"/>
        <v>D</v>
      </c>
      <c r="DZ50" s="301" t="str">
        <f t="shared" ca="1" si="183"/>
        <v>D</v>
      </c>
      <c r="EA50" s="301" t="str">
        <f t="shared" ca="1" si="183"/>
        <v>D</v>
      </c>
      <c r="EB50" s="301" t="str">
        <f t="shared" ca="1" si="183"/>
        <v>D</v>
      </c>
      <c r="EC50" s="301" t="str">
        <f t="shared" ca="1" si="183"/>
        <v>D</v>
      </c>
      <c r="ED50" s="301" t="str">
        <f t="shared" ca="1" si="183"/>
        <v>D</v>
      </c>
      <c r="EE50" s="301" t="str">
        <f t="shared" ca="1" si="183"/>
        <v>D</v>
      </c>
      <c r="EF50" s="205"/>
      <c r="EG50" s="301" t="str">
        <f t="shared" ca="1" si="184"/>
        <v>D</v>
      </c>
      <c r="EH50" s="301" t="str">
        <f t="shared" ca="1" si="184"/>
        <v>D</v>
      </c>
      <c r="EI50" s="301" t="str">
        <f t="shared" ca="1" si="184"/>
        <v>D</v>
      </c>
      <c r="EJ50" s="301" t="str">
        <f t="shared" ca="1" si="184"/>
        <v>D</v>
      </c>
      <c r="EK50" s="301" t="str">
        <f t="shared" ca="1" si="184"/>
        <v>D</v>
      </c>
      <c r="EL50" s="301" t="str">
        <f t="shared" ca="1" si="184"/>
        <v>D</v>
      </c>
      <c r="EM50" s="301" t="str">
        <f t="shared" ca="1" si="184"/>
        <v>D</v>
      </c>
      <c r="EN50" s="301" t="str">
        <f t="shared" ca="1" si="184"/>
        <v>D</v>
      </c>
      <c r="EO50" s="301" t="str">
        <f t="shared" ca="1" si="184"/>
        <v>D</v>
      </c>
      <c r="EP50" s="301" t="str">
        <f t="shared" ca="1" si="184"/>
        <v>D</v>
      </c>
      <c r="EQ50" s="301" t="str">
        <f t="shared" ca="1" si="185"/>
        <v>D</v>
      </c>
      <c r="ER50" s="301" t="str">
        <f t="shared" ca="1" si="185"/>
        <v>D</v>
      </c>
      <c r="ES50" s="301" t="str">
        <f t="shared" ca="1" si="185"/>
        <v>D</v>
      </c>
      <c r="ET50" s="301" t="str">
        <f t="shared" ca="1" si="185"/>
        <v>D</v>
      </c>
      <c r="EU50" s="301" t="str">
        <f t="shared" ca="1" si="185"/>
        <v>D</v>
      </c>
      <c r="EV50" s="301" t="str">
        <f t="shared" ca="1" si="185"/>
        <v>D</v>
      </c>
      <c r="EW50" s="301" t="str">
        <f t="shared" ca="1" si="185"/>
        <v>D</v>
      </c>
      <c r="EX50" s="301" t="str">
        <f t="shared" ca="1" si="185"/>
        <v>D</v>
      </c>
      <c r="EY50" s="301" t="str">
        <f t="shared" ca="1" si="185"/>
        <v>D</v>
      </c>
      <c r="EZ50" s="301" t="str">
        <f t="shared" ca="1" si="185"/>
        <v>D</v>
      </c>
      <c r="FA50" s="301" t="str">
        <f t="shared" ca="1" si="186"/>
        <v>D</v>
      </c>
      <c r="FB50" s="301" t="str">
        <f t="shared" ca="1" si="186"/>
        <v>D</v>
      </c>
      <c r="FC50" s="301" t="str">
        <f t="shared" ca="1" si="186"/>
        <v>D</v>
      </c>
      <c r="FD50" s="301" t="str">
        <f t="shared" ca="1" si="186"/>
        <v>D</v>
      </c>
      <c r="FE50" s="301" t="str">
        <f t="shared" ca="1" si="186"/>
        <v>D</v>
      </c>
      <c r="FF50" s="301" t="str">
        <f t="shared" ca="1" si="186"/>
        <v>D</v>
      </c>
      <c r="FG50" s="301" t="str">
        <f t="shared" ca="1" si="186"/>
        <v>D</v>
      </c>
      <c r="FH50" s="301" t="str">
        <f t="shared" ca="1" si="186"/>
        <v>D</v>
      </c>
      <c r="FI50" s="301" t="str">
        <f t="shared" ca="1" si="186"/>
        <v>D</v>
      </c>
      <c r="FJ50" s="301" t="str">
        <f t="shared" ca="1" si="186"/>
        <v>D</v>
      </c>
      <c r="FK50" s="301" t="str">
        <f t="shared" ca="1" si="186"/>
        <v>D</v>
      </c>
      <c r="FL50" s="301" t="str">
        <f t="shared" ca="1" si="186"/>
        <v>D</v>
      </c>
    </row>
    <row r="51" spans="1:168" x14ac:dyDescent="0.2">
      <c r="A51" s="38" t="str">
        <f t="shared" si="187"/>
        <v>Selbstbeherrschung</v>
      </c>
      <c r="B51" s="317">
        <f t="shared" ca="1" si="106"/>
        <v>0</v>
      </c>
      <c r="C51" s="332" t="s">
        <v>1321</v>
      </c>
      <c r="D51" s="1110"/>
      <c r="E51" s="1424"/>
      <c r="F51" s="325"/>
      <c r="G51" s="963"/>
      <c r="H51" s="1196"/>
      <c r="I51" s="326"/>
      <c r="J51" s="1886" t="str">
        <f t="shared" ca="1" si="107"/>
        <v/>
      </c>
      <c r="K51" s="1887"/>
      <c r="L51" s="1887"/>
      <c r="M51" s="1887"/>
      <c r="N51" s="1888"/>
      <c r="O51" s="613">
        <f t="shared" ca="1" si="108"/>
        <v>0</v>
      </c>
      <c r="P51" s="90"/>
      <c r="Q51" s="25"/>
      <c r="R51" s="1313"/>
      <c r="S51" s="1313"/>
      <c r="T51" s="1315"/>
      <c r="U51" s="1283"/>
      <c r="V51" s="628" t="str">
        <f t="shared" ca="1" si="109"/>
        <v/>
      </c>
      <c r="W51" s="164">
        <f t="shared" ca="1" si="110"/>
        <v>0</v>
      </c>
      <c r="X51" s="164">
        <f t="shared" ca="1" si="111"/>
        <v>0</v>
      </c>
      <c r="Y51" s="164">
        <f t="shared" ca="1" si="112"/>
        <v>0</v>
      </c>
      <c r="Z51" s="164">
        <f t="shared" ca="1" si="113"/>
        <v>0</v>
      </c>
      <c r="AA51" s="164">
        <f t="shared" ca="1" si="114"/>
        <v>0</v>
      </c>
      <c r="AB51" s="164">
        <f t="shared" ca="1" si="115"/>
        <v>0</v>
      </c>
      <c r="AC51" s="164">
        <f t="shared" ca="1" si="116"/>
        <v>0</v>
      </c>
      <c r="AD51" s="164">
        <f t="shared" ca="1" si="117"/>
        <v>0</v>
      </c>
      <c r="AE51" s="164">
        <f t="shared" ca="1" si="118"/>
        <v>0</v>
      </c>
      <c r="AF51" s="164">
        <f t="shared" ca="1" si="119"/>
        <v>0</v>
      </c>
      <c r="AG51" s="164">
        <f t="shared" ca="1" si="120"/>
        <v>0</v>
      </c>
      <c r="AH51" s="164">
        <f t="shared" ca="1" si="121"/>
        <v>0</v>
      </c>
      <c r="AI51" s="164">
        <f t="shared" ca="1" si="122"/>
        <v>0</v>
      </c>
      <c r="AJ51" s="164">
        <f t="shared" ca="1" si="123"/>
        <v>0</v>
      </c>
      <c r="AK51" s="164">
        <f t="shared" ca="1" si="124"/>
        <v>0</v>
      </c>
      <c r="AL51" s="164">
        <f t="shared" ca="1" si="125"/>
        <v>0</v>
      </c>
      <c r="AM51" s="164">
        <f t="shared" ca="1" si="126"/>
        <v>0</v>
      </c>
      <c r="AN51" s="164">
        <f t="shared" ca="1" si="127"/>
        <v>0</v>
      </c>
      <c r="AO51" s="164">
        <f t="shared" ca="1" si="128"/>
        <v>0</v>
      </c>
      <c r="AP51" s="164">
        <f t="shared" ca="1" si="129"/>
        <v>0</v>
      </c>
      <c r="AQ51" s="164">
        <f t="shared" ca="1" si="130"/>
        <v>0</v>
      </c>
      <c r="AR51" s="164">
        <f t="shared" ca="1" si="131"/>
        <v>0</v>
      </c>
      <c r="AS51" s="195"/>
      <c r="AT51" s="154">
        <f t="shared" ca="1" si="132"/>
        <v>0</v>
      </c>
      <c r="AU51" s="154">
        <f t="shared" ca="1" si="133"/>
        <v>0</v>
      </c>
      <c r="AV51" s="154">
        <f t="shared" ca="1" si="134"/>
        <v>0</v>
      </c>
      <c r="AW51" s="154">
        <f t="shared" ca="1" si="135"/>
        <v>0</v>
      </c>
      <c r="AX51" s="154">
        <f t="shared" ca="1" si="136"/>
        <v>0</v>
      </c>
      <c r="AY51" s="154">
        <f t="shared" ca="1" si="137"/>
        <v>0</v>
      </c>
      <c r="AZ51" s="154">
        <f t="shared" ca="1" si="138"/>
        <v>0</v>
      </c>
      <c r="BA51" s="154">
        <f t="shared" ca="1" si="139"/>
        <v>0</v>
      </c>
      <c r="BB51" s="154">
        <f t="shared" ca="1" si="140"/>
        <v>0</v>
      </c>
      <c r="BC51" s="154">
        <f t="shared" ca="1" si="141"/>
        <v>0</v>
      </c>
      <c r="BD51" s="154">
        <f t="shared" ca="1" si="142"/>
        <v>0</v>
      </c>
      <c r="BE51" s="154">
        <f t="shared" ca="1" si="143"/>
        <v>0</v>
      </c>
      <c r="BF51" s="154">
        <f t="shared" ca="1" si="144"/>
        <v>0</v>
      </c>
      <c r="BG51" s="154">
        <f t="shared" ca="1" si="145"/>
        <v>0</v>
      </c>
      <c r="BH51" s="154">
        <f t="shared" ca="1" si="146"/>
        <v>0</v>
      </c>
      <c r="BI51" s="154">
        <f t="shared" ca="1" si="147"/>
        <v>0</v>
      </c>
      <c r="BJ51" s="154">
        <f t="shared" ca="1" si="148"/>
        <v>0</v>
      </c>
      <c r="BK51" s="154">
        <f t="shared" ca="1" si="149"/>
        <v>0</v>
      </c>
      <c r="BL51" s="154">
        <f t="shared" ca="1" si="150"/>
        <v>0</v>
      </c>
      <c r="BM51" s="154">
        <f t="shared" ca="1" si="151"/>
        <v>0</v>
      </c>
      <c r="BN51" s="154">
        <f t="shared" ca="1" si="152"/>
        <v>0</v>
      </c>
      <c r="BO51" s="154">
        <f t="shared" ca="1" si="153"/>
        <v>0</v>
      </c>
      <c r="BP51" s="154">
        <f t="shared" ca="1" si="154"/>
        <v>0</v>
      </c>
      <c r="BQ51" s="154">
        <f t="shared" ca="1" si="155"/>
        <v>0</v>
      </c>
      <c r="BR51" s="154">
        <f t="shared" ca="1" si="156"/>
        <v>0</v>
      </c>
      <c r="BS51" s="154">
        <f t="shared" ca="1" si="157"/>
        <v>0</v>
      </c>
      <c r="BT51" s="154">
        <f t="shared" ca="1" si="158"/>
        <v>0</v>
      </c>
      <c r="BU51" s="154">
        <f t="shared" ca="1" si="159"/>
        <v>0</v>
      </c>
      <c r="BV51" s="154">
        <f t="shared" ca="1" si="160"/>
        <v>0</v>
      </c>
      <c r="BW51" s="154">
        <f t="shared" ca="1" si="161"/>
        <v>0</v>
      </c>
      <c r="BX51" s="154">
        <f t="shared" ca="1" si="162"/>
        <v>0</v>
      </c>
      <c r="BY51" s="154">
        <f t="shared" ca="1" si="163"/>
        <v>0</v>
      </c>
      <c r="BZ51" s="154">
        <f t="shared" si="192"/>
        <v>0</v>
      </c>
      <c r="CA51" s="154">
        <f t="shared" si="164"/>
        <v>0</v>
      </c>
      <c r="CB51" s="154">
        <f t="shared" ca="1" si="165"/>
        <v>0</v>
      </c>
      <c r="CC51" s="523"/>
      <c r="CD51" s="355">
        <f t="shared" si="166"/>
        <v>79</v>
      </c>
      <c r="CE51" s="268" t="str">
        <f t="shared" ca="1" si="167"/>
        <v>D</v>
      </c>
      <c r="CF51" s="355"/>
      <c r="CG51" s="268"/>
      <c r="CH51" s="268"/>
      <c r="CI51" s="269">
        <f t="shared" ca="1" si="168"/>
        <v>0</v>
      </c>
      <c r="CJ51" s="269">
        <f t="shared" ca="1" si="169"/>
        <v>0</v>
      </c>
      <c r="CK51" s="268"/>
      <c r="CL51" s="268"/>
      <c r="CM51" s="268">
        <f t="shared" ca="1" si="82"/>
        <v>0</v>
      </c>
      <c r="CN51" s="269">
        <f t="shared" ca="1" si="83"/>
        <v>0</v>
      </c>
      <c r="CO51" s="268" t="str">
        <f t="shared" ca="1" si="170"/>
        <v>D</v>
      </c>
      <c r="CP51" s="269" t="b">
        <f ca="1">IF(NT_ELFWELT,
IF(OR(
RIGHT(HLOOKUP(PROFGENE,INDIRECT(PROFGEBIET),$CD51,FALSE),1)="L",
RIGHT(HLOOKUP(KULTURGENE,KULTUR,$CD51,FALSE),1)="L",
RIGHT(D51)="L"),TRUE,FALSE),
TRUE)</f>
        <v>1</v>
      </c>
      <c r="CQ51" s="269">
        <f t="shared" si="171"/>
        <v>0</v>
      </c>
      <c r="CR51" s="269">
        <f t="shared" si="172"/>
        <v>0</v>
      </c>
      <c r="CS51" s="269">
        <f t="shared" ca="1" si="173"/>
        <v>0</v>
      </c>
      <c r="CT51" s="302" t="str">
        <f t="shared" ca="1" si="174"/>
        <v>0</v>
      </c>
      <c r="CU51" s="269">
        <f t="shared" ca="1" si="175"/>
        <v>0</v>
      </c>
      <c r="CV51" s="268"/>
      <c r="CW51" s="269">
        <f t="shared" ca="1" si="176"/>
        <v>0</v>
      </c>
      <c r="CX51" s="301">
        <f t="shared" ca="1" si="177"/>
        <v>0</v>
      </c>
      <c r="CY51" s="301">
        <f t="shared" ca="1" si="85"/>
        <v>0</v>
      </c>
      <c r="CZ51" s="301">
        <f t="shared" ca="1" si="178"/>
        <v>0</v>
      </c>
      <c r="DA51" s="301">
        <f t="shared" ca="1" si="179"/>
        <v>0</v>
      </c>
      <c r="DB51" t="str">
        <f t="shared" ca="1" si="188"/>
        <v/>
      </c>
      <c r="DC51" s="301" t="str">
        <f t="shared" ca="1" si="180"/>
        <v/>
      </c>
      <c r="DD51" s="1337" t="str">
        <f t="shared" ca="1" si="189"/>
        <v/>
      </c>
      <c r="DE51" s="1337" t="str">
        <f t="shared" ca="1" si="190"/>
        <v/>
      </c>
      <c r="DG51" s="269" t="str">
        <f t="shared" ca="1" si="181"/>
        <v>Tabellen_Andere!BA104:BF104</v>
      </c>
      <c r="DH51" s="269" t="str">
        <f t="shared" si="191"/>
        <v>Tabellen_Andere!BA104:BF104</v>
      </c>
      <c r="DI51" s="269" t="str">
        <f ca="1">IF(NOT(ISERR(FIND(A51,Abfragen!$O$264,1))),MID(Abfragen!$O$264,FIND("(",Abfragen!$O$264,FIND(A51,Abfragen!$O$264,1)+LEN(A51))+1,FIND(")",Abfragen!$O$264,FIND(A51,Abfragen!$O$264,1)+LEN(A51))-FIND("(",Abfragen!$O$264,FIND(A51,Abfragen!$O$264,1)+LEN(A51))-1),"")</f>
        <v/>
      </c>
      <c r="DJ51" s="301" t="str">
        <f t="shared" ca="1" si="182"/>
        <v>D</v>
      </c>
      <c r="DK51" s="301" t="str">
        <f t="shared" ca="1" si="182"/>
        <v>D</v>
      </c>
      <c r="DL51" s="301" t="str">
        <f t="shared" ca="1" si="182"/>
        <v>D</v>
      </c>
      <c r="DM51" s="301" t="str">
        <f t="shared" ca="1" si="182"/>
        <v>D</v>
      </c>
      <c r="DN51" s="301" t="str">
        <f t="shared" ca="1" si="182"/>
        <v>D</v>
      </c>
      <c r="DO51" s="301" t="str">
        <f t="shared" ca="1" si="182"/>
        <v>D</v>
      </c>
      <c r="DP51" s="301" t="str">
        <f t="shared" ca="1" si="182"/>
        <v>D</v>
      </c>
      <c r="DQ51" s="301" t="str">
        <f t="shared" ca="1" si="182"/>
        <v>D</v>
      </c>
      <c r="DR51" s="301" t="str">
        <f t="shared" ca="1" si="182"/>
        <v>D</v>
      </c>
      <c r="DS51" s="301" t="str">
        <f t="shared" ca="1" si="182"/>
        <v>D</v>
      </c>
      <c r="DT51" s="301" t="str">
        <f t="shared" ca="1" si="183"/>
        <v>D</v>
      </c>
      <c r="DU51" s="301" t="str">
        <f t="shared" ca="1" si="183"/>
        <v>D</v>
      </c>
      <c r="DV51" s="301" t="str">
        <f t="shared" ca="1" si="183"/>
        <v>D</v>
      </c>
      <c r="DW51" s="301" t="str">
        <f t="shared" ca="1" si="183"/>
        <v>D</v>
      </c>
      <c r="DX51" s="301" t="str">
        <f t="shared" ca="1" si="183"/>
        <v>D</v>
      </c>
      <c r="DY51" s="301" t="str">
        <f t="shared" ca="1" si="183"/>
        <v>D</v>
      </c>
      <c r="DZ51" s="301" t="str">
        <f t="shared" ca="1" si="183"/>
        <v>D</v>
      </c>
      <c r="EA51" s="301" t="str">
        <f t="shared" ca="1" si="183"/>
        <v>D</v>
      </c>
      <c r="EB51" s="301" t="str">
        <f t="shared" ca="1" si="183"/>
        <v>D</v>
      </c>
      <c r="EC51" s="301" t="str">
        <f t="shared" ca="1" si="183"/>
        <v>D</v>
      </c>
      <c r="ED51" s="301" t="str">
        <f t="shared" ca="1" si="183"/>
        <v>D</v>
      </c>
      <c r="EE51" s="301" t="str">
        <f t="shared" ca="1" si="183"/>
        <v>D</v>
      </c>
      <c r="EF51" s="205"/>
      <c r="EG51" s="301" t="str">
        <f t="shared" ca="1" si="184"/>
        <v>D</v>
      </c>
      <c r="EH51" s="301" t="str">
        <f t="shared" ca="1" si="184"/>
        <v>D</v>
      </c>
      <c r="EI51" s="301" t="str">
        <f t="shared" ca="1" si="184"/>
        <v>D</v>
      </c>
      <c r="EJ51" s="301" t="str">
        <f t="shared" ca="1" si="184"/>
        <v>D</v>
      </c>
      <c r="EK51" s="301" t="str">
        <f t="shared" ca="1" si="184"/>
        <v>D</v>
      </c>
      <c r="EL51" s="301" t="str">
        <f t="shared" ca="1" si="184"/>
        <v>D</v>
      </c>
      <c r="EM51" s="301" t="str">
        <f t="shared" ca="1" si="184"/>
        <v>D</v>
      </c>
      <c r="EN51" s="301" t="str">
        <f t="shared" ca="1" si="184"/>
        <v>D</v>
      </c>
      <c r="EO51" s="301" t="str">
        <f t="shared" ca="1" si="184"/>
        <v>D</v>
      </c>
      <c r="EP51" s="301" t="str">
        <f t="shared" ca="1" si="184"/>
        <v>D</v>
      </c>
      <c r="EQ51" s="301" t="str">
        <f t="shared" ca="1" si="185"/>
        <v>D</v>
      </c>
      <c r="ER51" s="301" t="str">
        <f t="shared" ca="1" si="185"/>
        <v>D</v>
      </c>
      <c r="ES51" s="301" t="str">
        <f t="shared" ca="1" si="185"/>
        <v>D</v>
      </c>
      <c r="ET51" s="301" t="str">
        <f t="shared" ca="1" si="185"/>
        <v>D</v>
      </c>
      <c r="EU51" s="301" t="str">
        <f t="shared" ca="1" si="185"/>
        <v>D</v>
      </c>
      <c r="EV51" s="301" t="str">
        <f t="shared" ca="1" si="185"/>
        <v>D</v>
      </c>
      <c r="EW51" s="301" t="str">
        <f t="shared" ca="1" si="185"/>
        <v>D</v>
      </c>
      <c r="EX51" s="301" t="str">
        <f t="shared" ca="1" si="185"/>
        <v>D</v>
      </c>
      <c r="EY51" s="301" t="str">
        <f t="shared" ca="1" si="185"/>
        <v>D</v>
      </c>
      <c r="EZ51" s="301" t="str">
        <f t="shared" ca="1" si="185"/>
        <v>D</v>
      </c>
      <c r="FA51" s="301" t="str">
        <f t="shared" ca="1" si="186"/>
        <v>D</v>
      </c>
      <c r="FB51" s="301" t="str">
        <f t="shared" ca="1" si="186"/>
        <v>D</v>
      </c>
      <c r="FC51" s="301" t="str">
        <f t="shared" ca="1" si="186"/>
        <v>D</v>
      </c>
      <c r="FD51" s="301" t="str">
        <f t="shared" ca="1" si="186"/>
        <v>D</v>
      </c>
      <c r="FE51" s="301" t="str">
        <f t="shared" ca="1" si="186"/>
        <v>D</v>
      </c>
      <c r="FF51" s="301" t="str">
        <f t="shared" ca="1" si="186"/>
        <v>D</v>
      </c>
      <c r="FG51" s="301" t="str">
        <f t="shared" ca="1" si="186"/>
        <v>D</v>
      </c>
      <c r="FH51" s="301" t="str">
        <f t="shared" ca="1" si="186"/>
        <v>D</v>
      </c>
      <c r="FI51" s="301" t="str">
        <f t="shared" ca="1" si="186"/>
        <v>D</v>
      </c>
      <c r="FJ51" s="301" t="str">
        <f t="shared" ca="1" si="186"/>
        <v>D</v>
      </c>
      <c r="FK51" s="301" t="str">
        <f t="shared" ca="1" si="186"/>
        <v>D</v>
      </c>
      <c r="FL51" s="301" t="str">
        <f t="shared" ca="1" si="186"/>
        <v>D</v>
      </c>
    </row>
    <row r="52" spans="1:168" x14ac:dyDescent="0.2">
      <c r="A52" s="38" t="str">
        <f t="shared" si="187"/>
        <v>Sich Verstecken</v>
      </c>
      <c r="B52" s="317">
        <f t="shared" ca="1" si="106"/>
        <v>0</v>
      </c>
      <c r="C52" s="332" t="s">
        <v>1321</v>
      </c>
      <c r="D52" s="1110"/>
      <c r="E52" s="1424"/>
      <c r="F52" s="325"/>
      <c r="G52" s="963"/>
      <c r="H52" s="1196"/>
      <c r="I52" s="326"/>
      <c r="J52" s="1886" t="str">
        <f t="shared" ca="1" si="107"/>
        <v/>
      </c>
      <c r="K52" s="1887"/>
      <c r="L52" s="1887"/>
      <c r="M52" s="1887"/>
      <c r="N52" s="1888"/>
      <c r="O52" s="613">
        <f t="shared" ca="1" si="108"/>
        <v>0</v>
      </c>
      <c r="P52" s="90"/>
      <c r="Q52" s="25"/>
      <c r="R52" s="1313"/>
      <c r="S52" s="1313"/>
      <c r="T52" s="1315"/>
      <c r="U52" s="1283"/>
      <c r="V52" s="628" t="str">
        <f t="shared" ca="1" si="109"/>
        <v/>
      </c>
      <c r="W52" s="164">
        <f t="shared" ca="1" si="110"/>
        <v>0</v>
      </c>
      <c r="X52" s="164">
        <f t="shared" ca="1" si="111"/>
        <v>0</v>
      </c>
      <c r="Y52" s="164">
        <f t="shared" ca="1" si="112"/>
        <v>0</v>
      </c>
      <c r="Z52" s="164">
        <f t="shared" ca="1" si="113"/>
        <v>0</v>
      </c>
      <c r="AA52" s="164">
        <f t="shared" ca="1" si="114"/>
        <v>0</v>
      </c>
      <c r="AB52" s="164">
        <f t="shared" ca="1" si="115"/>
        <v>0</v>
      </c>
      <c r="AC52" s="164">
        <f t="shared" ca="1" si="116"/>
        <v>0</v>
      </c>
      <c r="AD52" s="164">
        <f t="shared" ca="1" si="117"/>
        <v>0</v>
      </c>
      <c r="AE52" s="164">
        <f t="shared" ca="1" si="118"/>
        <v>0</v>
      </c>
      <c r="AF52" s="164">
        <f t="shared" ca="1" si="119"/>
        <v>0</v>
      </c>
      <c r="AG52" s="164">
        <f t="shared" ca="1" si="120"/>
        <v>0</v>
      </c>
      <c r="AH52" s="164">
        <f t="shared" ca="1" si="121"/>
        <v>0</v>
      </c>
      <c r="AI52" s="164">
        <f t="shared" ca="1" si="122"/>
        <v>0</v>
      </c>
      <c r="AJ52" s="164">
        <f t="shared" ca="1" si="123"/>
        <v>0</v>
      </c>
      <c r="AK52" s="164">
        <f t="shared" ca="1" si="124"/>
        <v>0</v>
      </c>
      <c r="AL52" s="164">
        <f t="shared" ca="1" si="125"/>
        <v>0</v>
      </c>
      <c r="AM52" s="164">
        <f t="shared" ca="1" si="126"/>
        <v>0</v>
      </c>
      <c r="AN52" s="164">
        <f t="shared" ca="1" si="127"/>
        <v>0</v>
      </c>
      <c r="AO52" s="164">
        <f t="shared" ca="1" si="128"/>
        <v>0</v>
      </c>
      <c r="AP52" s="164">
        <f t="shared" ca="1" si="129"/>
        <v>0</v>
      </c>
      <c r="AQ52" s="164">
        <f t="shared" ca="1" si="130"/>
        <v>0</v>
      </c>
      <c r="AR52" s="164">
        <f t="shared" ca="1" si="131"/>
        <v>0</v>
      </c>
      <c r="AS52" s="195"/>
      <c r="AT52" s="154">
        <f t="shared" ca="1" si="132"/>
        <v>0</v>
      </c>
      <c r="AU52" s="154">
        <f t="shared" ca="1" si="133"/>
        <v>0</v>
      </c>
      <c r="AV52" s="154">
        <f t="shared" ca="1" si="134"/>
        <v>0</v>
      </c>
      <c r="AW52" s="154">
        <f t="shared" ca="1" si="135"/>
        <v>0</v>
      </c>
      <c r="AX52" s="154">
        <f t="shared" ca="1" si="136"/>
        <v>0</v>
      </c>
      <c r="AY52" s="154">
        <f t="shared" ca="1" si="137"/>
        <v>0</v>
      </c>
      <c r="AZ52" s="154">
        <f t="shared" ca="1" si="138"/>
        <v>0</v>
      </c>
      <c r="BA52" s="154">
        <f t="shared" ca="1" si="139"/>
        <v>0</v>
      </c>
      <c r="BB52" s="154">
        <f t="shared" ca="1" si="140"/>
        <v>0</v>
      </c>
      <c r="BC52" s="154">
        <f t="shared" ca="1" si="141"/>
        <v>0</v>
      </c>
      <c r="BD52" s="154">
        <f t="shared" ca="1" si="142"/>
        <v>0</v>
      </c>
      <c r="BE52" s="154">
        <f t="shared" ca="1" si="143"/>
        <v>0</v>
      </c>
      <c r="BF52" s="154">
        <f t="shared" ca="1" si="144"/>
        <v>0</v>
      </c>
      <c r="BG52" s="154">
        <f t="shared" ca="1" si="145"/>
        <v>0</v>
      </c>
      <c r="BH52" s="154">
        <f t="shared" ca="1" si="146"/>
        <v>0</v>
      </c>
      <c r="BI52" s="154">
        <f t="shared" ca="1" si="147"/>
        <v>0</v>
      </c>
      <c r="BJ52" s="154">
        <f t="shared" ca="1" si="148"/>
        <v>0</v>
      </c>
      <c r="BK52" s="154">
        <f t="shared" ca="1" si="149"/>
        <v>0</v>
      </c>
      <c r="BL52" s="154">
        <f t="shared" ca="1" si="150"/>
        <v>0</v>
      </c>
      <c r="BM52" s="154">
        <f t="shared" ca="1" si="151"/>
        <v>0</v>
      </c>
      <c r="BN52" s="154">
        <f t="shared" ca="1" si="152"/>
        <v>0</v>
      </c>
      <c r="BO52" s="154">
        <f t="shared" ca="1" si="153"/>
        <v>0</v>
      </c>
      <c r="BP52" s="154">
        <f t="shared" ca="1" si="154"/>
        <v>0</v>
      </c>
      <c r="BQ52" s="154">
        <f t="shared" ca="1" si="155"/>
        <v>0</v>
      </c>
      <c r="BR52" s="154">
        <f t="shared" ca="1" si="156"/>
        <v>0</v>
      </c>
      <c r="BS52" s="154">
        <f t="shared" ca="1" si="157"/>
        <v>0</v>
      </c>
      <c r="BT52" s="154">
        <f t="shared" ca="1" si="158"/>
        <v>0</v>
      </c>
      <c r="BU52" s="154">
        <f t="shared" ca="1" si="159"/>
        <v>0</v>
      </c>
      <c r="BV52" s="154">
        <f t="shared" ca="1" si="160"/>
        <v>0</v>
      </c>
      <c r="BW52" s="154">
        <f t="shared" ca="1" si="161"/>
        <v>0</v>
      </c>
      <c r="BX52" s="154">
        <f t="shared" ca="1" si="162"/>
        <v>0</v>
      </c>
      <c r="BY52" s="154">
        <f t="shared" ca="1" si="163"/>
        <v>0</v>
      </c>
      <c r="BZ52" s="154">
        <f t="shared" si="192"/>
        <v>0</v>
      </c>
      <c r="CA52" s="154">
        <f t="shared" si="164"/>
        <v>0</v>
      </c>
      <c r="CB52" s="154">
        <f t="shared" ca="1" si="165"/>
        <v>0</v>
      </c>
      <c r="CC52" s="523"/>
      <c r="CD52" s="355">
        <f t="shared" si="166"/>
        <v>80</v>
      </c>
      <c r="CE52" s="268" t="str">
        <f t="shared" ca="1" si="167"/>
        <v>D</v>
      </c>
      <c r="CF52" s="355"/>
      <c r="CG52" s="268"/>
      <c r="CH52" s="268"/>
      <c r="CI52" s="269">
        <f t="shared" ca="1" si="168"/>
        <v>0</v>
      </c>
      <c r="CJ52" s="269">
        <f t="shared" ca="1" si="169"/>
        <v>0</v>
      </c>
      <c r="CK52" s="268"/>
      <c r="CL52" s="271">
        <f>IF(VT_SCHLANGENMENSCH,-1,0)</f>
        <v>0</v>
      </c>
      <c r="CM52" s="268">
        <f t="shared" ca="1" si="82"/>
        <v>0</v>
      </c>
      <c r="CN52" s="269">
        <f t="shared" ca="1" si="83"/>
        <v>0</v>
      </c>
      <c r="CO52" s="268" t="str">
        <f t="shared" ca="1" si="170"/>
        <v>D</v>
      </c>
      <c r="CP52" s="269" t="b">
        <f ca="1">IF(NT_ELFWELT,
IF(OR(
RIGHT(HLOOKUP(PROFGENE,INDIRECT(PROFGEBIET),$CD52,FALSE),1)="L",
RIGHT(HLOOKUP(KULTURGENE,KULTUR,$CD52,FALSE),1)="L",
RIGHT(D52)="L"),TRUE,FALSE),
TRUE)</f>
        <v>1</v>
      </c>
      <c r="CQ52" s="269">
        <f t="shared" si="171"/>
        <v>0</v>
      </c>
      <c r="CR52" s="269">
        <f t="shared" si="172"/>
        <v>0</v>
      </c>
      <c r="CS52" s="269">
        <f t="shared" ca="1" si="173"/>
        <v>0</v>
      </c>
      <c r="CT52" s="302" t="str">
        <f t="shared" ca="1" si="174"/>
        <v>0</v>
      </c>
      <c r="CU52" s="269">
        <f t="shared" ca="1" si="175"/>
        <v>0</v>
      </c>
      <c r="CV52" s="271">
        <f>IF(VT_SCHLANGENMENSCH,1,0)</f>
        <v>0</v>
      </c>
      <c r="CW52" s="269">
        <f t="shared" ca="1" si="176"/>
        <v>0</v>
      </c>
      <c r="CX52" s="301">
        <f t="shared" ca="1" si="177"/>
        <v>0</v>
      </c>
      <c r="CY52" s="301">
        <f t="shared" ca="1" si="85"/>
        <v>0</v>
      </c>
      <c r="CZ52" s="301">
        <f t="shared" ca="1" si="178"/>
        <v>0</v>
      </c>
      <c r="DA52" s="301">
        <f t="shared" ca="1" si="179"/>
        <v>0</v>
      </c>
      <c r="DB52" t="str">
        <f t="shared" ca="1" si="188"/>
        <v/>
      </c>
      <c r="DC52" s="301" t="str">
        <f t="shared" ca="1" si="180"/>
        <v/>
      </c>
      <c r="DD52" s="1337" t="str">
        <f t="shared" ca="1" si="189"/>
        <v/>
      </c>
      <c r="DE52" s="1337" t="str">
        <f t="shared" ca="1" si="190"/>
        <v/>
      </c>
      <c r="DG52" s="269" t="str">
        <f t="shared" ca="1" si="181"/>
        <v>Tabellen_Andere!BA106:BF106</v>
      </c>
      <c r="DH52" s="269" t="str">
        <f t="shared" si="191"/>
        <v>Tabellen_Andere!BA106:BF106</v>
      </c>
      <c r="DI52" s="269" t="str">
        <f ca="1">IF(NOT(ISERR(FIND(A52,Abfragen!$O$264,1))),MID(Abfragen!$O$264,FIND("(",Abfragen!$O$264,FIND(A52,Abfragen!$O$264,1)+LEN(A52))+1,FIND(")",Abfragen!$O$264,FIND(A52,Abfragen!$O$264,1)+LEN(A52))-FIND("(",Abfragen!$O$264,FIND(A52,Abfragen!$O$264,1)+LEN(A52))-1),"")</f>
        <v/>
      </c>
      <c r="DJ52" s="301" t="str">
        <f t="shared" ref="DJ52:DS59" ca="1" si="193">IF(ISERR(FIND(";"&amp;DJ$13&amp;":0;",$F52)),
CHAR(CODE($CE52)+SUM(IF(AND(NT_STUBENHKR,OR(DJ$13&lt;=$E52,ISBLANK($E52))),1,0),IF(ISERR(FIND(";"&amp;DJ$13&amp;";",$F52)),0,-1),IF(ISERR(FIND(";"&amp;DJ$13&amp;":",$F52)),0,-VALUE(MID($F52,FIND(";"&amp;DJ$13&amp;":",$F52)+LEN(DJ$13)+2,1))))),0)</f>
        <v>D</v>
      </c>
      <c r="DK52" s="301" t="str">
        <f t="shared" ca="1" si="193"/>
        <v>D</v>
      </c>
      <c r="DL52" s="301" t="str">
        <f t="shared" ca="1" si="193"/>
        <v>D</v>
      </c>
      <c r="DM52" s="301" t="str">
        <f t="shared" ca="1" si="193"/>
        <v>D</v>
      </c>
      <c r="DN52" s="301" t="str">
        <f t="shared" ca="1" si="193"/>
        <v>D</v>
      </c>
      <c r="DO52" s="301" t="str">
        <f t="shared" ca="1" si="193"/>
        <v>D</v>
      </c>
      <c r="DP52" s="301" t="str">
        <f t="shared" ca="1" si="193"/>
        <v>D</v>
      </c>
      <c r="DQ52" s="301" t="str">
        <f t="shared" ca="1" si="193"/>
        <v>D</v>
      </c>
      <c r="DR52" s="301" t="str">
        <f t="shared" ca="1" si="193"/>
        <v>D</v>
      </c>
      <c r="DS52" s="301" t="str">
        <f t="shared" ca="1" si="193"/>
        <v>D</v>
      </c>
      <c r="DT52" s="301" t="str">
        <f t="shared" ref="DT52:EE59" ca="1" si="194">IF(ISERR(FIND(";"&amp;DT$13&amp;":0;",$F52)),
CHAR(CODE($CE52)+SUM(IF(AND(NT_STUBENHKR,OR(DT$13&lt;=$E52,ISBLANK($E52))),1,0),IF(ISERR(FIND(";"&amp;DT$13&amp;";",$F52)),0,-1),IF(ISERR(FIND(";"&amp;DT$13&amp;":",$F52)),0,-VALUE(MID($F52,FIND(";"&amp;DT$13&amp;":",$F52)+LEN(DT$13)+2,1))))),0)</f>
        <v>D</v>
      </c>
      <c r="DU52" s="301" t="str">
        <f t="shared" ca="1" si="194"/>
        <v>D</v>
      </c>
      <c r="DV52" s="301" t="str">
        <f t="shared" ca="1" si="194"/>
        <v>D</v>
      </c>
      <c r="DW52" s="301" t="str">
        <f t="shared" ca="1" si="194"/>
        <v>D</v>
      </c>
      <c r="DX52" s="301" t="str">
        <f t="shared" ca="1" si="194"/>
        <v>D</v>
      </c>
      <c r="DY52" s="301" t="str">
        <f t="shared" ca="1" si="194"/>
        <v>D</v>
      </c>
      <c r="DZ52" s="301" t="str">
        <f t="shared" ca="1" si="194"/>
        <v>D</v>
      </c>
      <c r="EA52" s="301" t="str">
        <f t="shared" ca="1" si="194"/>
        <v>D</v>
      </c>
      <c r="EB52" s="301" t="str">
        <f t="shared" ca="1" si="194"/>
        <v>D</v>
      </c>
      <c r="EC52" s="301" t="str">
        <f t="shared" ca="1" si="194"/>
        <v>D</v>
      </c>
      <c r="ED52" s="301" t="str">
        <f t="shared" ca="1" si="194"/>
        <v>D</v>
      </c>
      <c r="EE52" s="301" t="str">
        <f t="shared" ca="1" si="194"/>
        <v>D</v>
      </c>
      <c r="EF52" s="205"/>
      <c r="EG52" s="301" t="str">
        <f t="shared" ref="EG52:EP59" ca="1" si="195">IF(ISERR(FIND(";"&amp;EG$13&amp;":0;",$F52)),
CHAR(CODE($CE52)+
SUM(IF(AND(NT_STUBENHKR,OR(EG$13&lt;=$E52,ISBLANK($E52))),1,0),
IF(ISERR(FIND(";"&amp;EG$13&amp;";",$F52)),0,-1),
IF(ISERR(FIND(";"&amp;EG$13&amp;":",$F52)),0,-VALUE(MID($F52,FIND(";"&amp;EG$13&amp;":",$F52)+LEN(EG$13)+2,1))),
IF(ISERR(FIND(";"&amp;EG$13&amp;"+",$F52)),0,VALUE(MID($F52,FIND(";"&amp;EG$13&amp;"+",$F52)+LEN(EG$13)+2,1))),)),0)</f>
        <v>D</v>
      </c>
      <c r="EH52" s="301" t="str">
        <f t="shared" ca="1" si="195"/>
        <v>D</v>
      </c>
      <c r="EI52" s="301" t="str">
        <f t="shared" ca="1" si="195"/>
        <v>D</v>
      </c>
      <c r="EJ52" s="301" t="str">
        <f t="shared" ca="1" si="195"/>
        <v>D</v>
      </c>
      <c r="EK52" s="301" t="str">
        <f t="shared" ca="1" si="195"/>
        <v>D</v>
      </c>
      <c r="EL52" s="301" t="str">
        <f t="shared" ca="1" si="195"/>
        <v>D</v>
      </c>
      <c r="EM52" s="301" t="str">
        <f t="shared" ca="1" si="195"/>
        <v>D</v>
      </c>
      <c r="EN52" s="301" t="str">
        <f t="shared" ca="1" si="195"/>
        <v>D</v>
      </c>
      <c r="EO52" s="301" t="str">
        <f t="shared" ca="1" si="195"/>
        <v>D</v>
      </c>
      <c r="EP52" s="301" t="str">
        <f t="shared" ca="1" si="195"/>
        <v>D</v>
      </c>
      <c r="EQ52" s="301" t="str">
        <f t="shared" ref="EQ52:EZ59" ca="1" si="196">IF(ISERR(FIND(";"&amp;EQ$13&amp;":0;",$F52)),
CHAR(CODE($CE52)+
SUM(IF(AND(NT_STUBENHKR,OR(EQ$13&lt;=$E52,ISBLANK($E52))),1,0),
IF(ISERR(FIND(";"&amp;EQ$13&amp;";",$F52)),0,-1),
IF(ISERR(FIND(";"&amp;EQ$13&amp;":",$F52)),0,-VALUE(MID($F52,FIND(";"&amp;EQ$13&amp;":",$F52)+LEN(EQ$13)+2,1))),
IF(ISERR(FIND(";"&amp;EQ$13&amp;"+",$F52)),0,VALUE(MID($F52,FIND(";"&amp;EQ$13&amp;"+",$F52)+LEN(EQ$13)+2,1))),)),0)</f>
        <v>D</v>
      </c>
      <c r="ER52" s="301" t="str">
        <f t="shared" ca="1" si="196"/>
        <v>D</v>
      </c>
      <c r="ES52" s="301" t="str">
        <f t="shared" ca="1" si="196"/>
        <v>D</v>
      </c>
      <c r="ET52" s="301" t="str">
        <f t="shared" ca="1" si="196"/>
        <v>D</v>
      </c>
      <c r="EU52" s="301" t="str">
        <f t="shared" ca="1" si="196"/>
        <v>D</v>
      </c>
      <c r="EV52" s="301" t="str">
        <f t="shared" ca="1" si="196"/>
        <v>D</v>
      </c>
      <c r="EW52" s="301" t="str">
        <f t="shared" ca="1" si="196"/>
        <v>D</v>
      </c>
      <c r="EX52" s="301" t="str">
        <f t="shared" ca="1" si="196"/>
        <v>D</v>
      </c>
      <c r="EY52" s="301" t="str">
        <f t="shared" ca="1" si="196"/>
        <v>D</v>
      </c>
      <c r="EZ52" s="301" t="str">
        <f t="shared" ca="1" si="196"/>
        <v>D</v>
      </c>
      <c r="FA52" s="301" t="str">
        <f t="shared" ref="FA52:FL59" ca="1" si="197">IF(ISERR(FIND(";"&amp;FA$13&amp;":0;",$F52)),
CHAR(CODE($CE52)+
SUM(IF(AND(NT_STUBENHKR,OR(FA$13&lt;=$E52,ISBLANK($E52))),1,0),
IF(ISERR(FIND(";"&amp;FA$13&amp;";",$F52)),0,-1),
IF(ISERR(FIND(";"&amp;FA$13&amp;":",$F52)),0,-VALUE(MID($F52,FIND(";"&amp;FA$13&amp;":",$F52)+LEN(FA$13)+2,1))),
IF(ISERR(FIND(";"&amp;FA$13&amp;"+",$F52)),0,VALUE(MID($F52,FIND(";"&amp;FA$13&amp;"+",$F52)+LEN(FA$13)+2,1))),)),0)</f>
        <v>D</v>
      </c>
      <c r="FB52" s="301" t="str">
        <f t="shared" ca="1" si="197"/>
        <v>D</v>
      </c>
      <c r="FC52" s="301" t="str">
        <f t="shared" ca="1" si="197"/>
        <v>D</v>
      </c>
      <c r="FD52" s="301" t="str">
        <f t="shared" ca="1" si="197"/>
        <v>D</v>
      </c>
      <c r="FE52" s="301" t="str">
        <f t="shared" ca="1" si="197"/>
        <v>D</v>
      </c>
      <c r="FF52" s="301" t="str">
        <f t="shared" ca="1" si="197"/>
        <v>D</v>
      </c>
      <c r="FG52" s="301" t="str">
        <f t="shared" ca="1" si="197"/>
        <v>D</v>
      </c>
      <c r="FH52" s="301" t="str">
        <f t="shared" ca="1" si="197"/>
        <v>D</v>
      </c>
      <c r="FI52" s="301" t="str">
        <f t="shared" ca="1" si="197"/>
        <v>D</v>
      </c>
      <c r="FJ52" s="301" t="str">
        <f t="shared" ca="1" si="197"/>
        <v>D</v>
      </c>
      <c r="FK52" s="301" t="str">
        <f t="shared" ca="1" si="197"/>
        <v>D</v>
      </c>
      <c r="FL52" s="301" t="str">
        <f t="shared" ca="1" si="197"/>
        <v>D</v>
      </c>
    </row>
    <row r="53" spans="1:168" x14ac:dyDescent="0.2">
      <c r="A53" s="38" t="str">
        <f t="shared" si="187"/>
        <v>Singen</v>
      </c>
      <c r="B53" s="317">
        <f t="shared" ca="1" si="106"/>
        <v>0</v>
      </c>
      <c r="C53" s="332" t="s">
        <v>1321</v>
      </c>
      <c r="D53" s="1110"/>
      <c r="E53" s="1424"/>
      <c r="F53" s="325"/>
      <c r="G53" s="963"/>
      <c r="H53" s="1196"/>
      <c r="I53" s="326"/>
      <c r="J53" s="1886" t="str">
        <f t="shared" ca="1" si="107"/>
        <v/>
      </c>
      <c r="K53" s="1887"/>
      <c r="L53" s="1887"/>
      <c r="M53" s="1887"/>
      <c r="N53" s="1888"/>
      <c r="O53" s="613">
        <f t="shared" ca="1" si="108"/>
        <v>0</v>
      </c>
      <c r="P53" s="90"/>
      <c r="Q53" s="25"/>
      <c r="R53" s="1313"/>
      <c r="S53" s="1313"/>
      <c r="T53" s="1315"/>
      <c r="U53" s="1283"/>
      <c r="V53" s="628" t="str">
        <f t="shared" ca="1" si="109"/>
        <v/>
      </c>
      <c r="W53" s="164">
        <f t="shared" ca="1" si="110"/>
        <v>0</v>
      </c>
      <c r="X53" s="164">
        <f t="shared" ca="1" si="111"/>
        <v>0</v>
      </c>
      <c r="Y53" s="164">
        <f t="shared" ca="1" si="112"/>
        <v>0</v>
      </c>
      <c r="Z53" s="164">
        <f t="shared" ca="1" si="113"/>
        <v>0</v>
      </c>
      <c r="AA53" s="164">
        <f t="shared" ca="1" si="114"/>
        <v>0</v>
      </c>
      <c r="AB53" s="164">
        <f t="shared" ca="1" si="115"/>
        <v>0</v>
      </c>
      <c r="AC53" s="164">
        <f t="shared" ca="1" si="116"/>
        <v>0</v>
      </c>
      <c r="AD53" s="164">
        <f t="shared" ca="1" si="117"/>
        <v>0</v>
      </c>
      <c r="AE53" s="164">
        <f t="shared" ca="1" si="118"/>
        <v>0</v>
      </c>
      <c r="AF53" s="164">
        <f t="shared" ca="1" si="119"/>
        <v>0</v>
      </c>
      <c r="AG53" s="164">
        <f t="shared" ca="1" si="120"/>
        <v>0</v>
      </c>
      <c r="AH53" s="164">
        <f t="shared" ca="1" si="121"/>
        <v>0</v>
      </c>
      <c r="AI53" s="164">
        <f t="shared" ca="1" si="122"/>
        <v>0</v>
      </c>
      <c r="AJ53" s="164">
        <f t="shared" ca="1" si="123"/>
        <v>0</v>
      </c>
      <c r="AK53" s="164">
        <f t="shared" ca="1" si="124"/>
        <v>0</v>
      </c>
      <c r="AL53" s="164">
        <f t="shared" ca="1" si="125"/>
        <v>0</v>
      </c>
      <c r="AM53" s="164">
        <f t="shared" ca="1" si="126"/>
        <v>0</v>
      </c>
      <c r="AN53" s="164">
        <f t="shared" ca="1" si="127"/>
        <v>0</v>
      </c>
      <c r="AO53" s="164">
        <f t="shared" ca="1" si="128"/>
        <v>0</v>
      </c>
      <c r="AP53" s="164">
        <f t="shared" ca="1" si="129"/>
        <v>0</v>
      </c>
      <c r="AQ53" s="164">
        <f t="shared" ca="1" si="130"/>
        <v>0</v>
      </c>
      <c r="AR53" s="164">
        <f t="shared" ca="1" si="131"/>
        <v>0</v>
      </c>
      <c r="AS53" s="195"/>
      <c r="AT53" s="154">
        <f t="shared" ca="1" si="132"/>
        <v>0</v>
      </c>
      <c r="AU53" s="154">
        <f t="shared" ca="1" si="133"/>
        <v>0</v>
      </c>
      <c r="AV53" s="154">
        <f t="shared" ca="1" si="134"/>
        <v>0</v>
      </c>
      <c r="AW53" s="154">
        <f t="shared" ca="1" si="135"/>
        <v>0</v>
      </c>
      <c r="AX53" s="154">
        <f t="shared" ca="1" si="136"/>
        <v>0</v>
      </c>
      <c r="AY53" s="154">
        <f t="shared" ca="1" si="137"/>
        <v>0</v>
      </c>
      <c r="AZ53" s="154">
        <f t="shared" ca="1" si="138"/>
        <v>0</v>
      </c>
      <c r="BA53" s="154">
        <f t="shared" ca="1" si="139"/>
        <v>0</v>
      </c>
      <c r="BB53" s="154">
        <f t="shared" ca="1" si="140"/>
        <v>0</v>
      </c>
      <c r="BC53" s="154">
        <f t="shared" ca="1" si="141"/>
        <v>0</v>
      </c>
      <c r="BD53" s="154">
        <f t="shared" ca="1" si="142"/>
        <v>0</v>
      </c>
      <c r="BE53" s="154">
        <f t="shared" ca="1" si="143"/>
        <v>0</v>
      </c>
      <c r="BF53" s="154">
        <f t="shared" ca="1" si="144"/>
        <v>0</v>
      </c>
      <c r="BG53" s="154">
        <f t="shared" ca="1" si="145"/>
        <v>0</v>
      </c>
      <c r="BH53" s="154">
        <f t="shared" ca="1" si="146"/>
        <v>0</v>
      </c>
      <c r="BI53" s="154">
        <f t="shared" ca="1" si="147"/>
        <v>0</v>
      </c>
      <c r="BJ53" s="154">
        <f t="shared" ca="1" si="148"/>
        <v>0</v>
      </c>
      <c r="BK53" s="154">
        <f t="shared" ca="1" si="149"/>
        <v>0</v>
      </c>
      <c r="BL53" s="154">
        <f t="shared" ca="1" si="150"/>
        <v>0</v>
      </c>
      <c r="BM53" s="154">
        <f t="shared" ca="1" si="151"/>
        <v>0</v>
      </c>
      <c r="BN53" s="154">
        <f t="shared" ca="1" si="152"/>
        <v>0</v>
      </c>
      <c r="BO53" s="154">
        <f t="shared" ca="1" si="153"/>
        <v>0</v>
      </c>
      <c r="BP53" s="154">
        <f t="shared" ca="1" si="154"/>
        <v>0</v>
      </c>
      <c r="BQ53" s="154">
        <f t="shared" ca="1" si="155"/>
        <v>0</v>
      </c>
      <c r="BR53" s="154">
        <f t="shared" ca="1" si="156"/>
        <v>0</v>
      </c>
      <c r="BS53" s="154">
        <f t="shared" ca="1" si="157"/>
        <v>0</v>
      </c>
      <c r="BT53" s="154">
        <f t="shared" ca="1" si="158"/>
        <v>0</v>
      </c>
      <c r="BU53" s="154">
        <f t="shared" ca="1" si="159"/>
        <v>0</v>
      </c>
      <c r="BV53" s="154">
        <f t="shared" ca="1" si="160"/>
        <v>0</v>
      </c>
      <c r="BW53" s="154">
        <f t="shared" ca="1" si="161"/>
        <v>0</v>
      </c>
      <c r="BX53" s="154">
        <f t="shared" ca="1" si="162"/>
        <v>0</v>
      </c>
      <c r="BY53" s="154">
        <f t="shared" ca="1" si="163"/>
        <v>0</v>
      </c>
      <c r="BZ53" s="154">
        <f t="shared" si="192"/>
        <v>0</v>
      </c>
      <c r="CA53" s="154">
        <f t="shared" si="164"/>
        <v>0</v>
      </c>
      <c r="CB53" s="154">
        <f t="shared" ca="1" si="165"/>
        <v>0</v>
      </c>
      <c r="CC53" s="523"/>
      <c r="CD53" s="355">
        <f t="shared" si="166"/>
        <v>81</v>
      </c>
      <c r="CE53" s="268" t="str">
        <f t="shared" ca="1" si="167"/>
        <v>D</v>
      </c>
      <c r="CF53" s="355"/>
      <c r="CG53" s="268"/>
      <c r="CH53" s="268"/>
      <c r="CI53" s="269">
        <f t="shared" ca="1" si="168"/>
        <v>0</v>
      </c>
      <c r="CJ53" s="269">
        <f t="shared" ca="1" si="169"/>
        <v>0</v>
      </c>
      <c r="CK53" s="268"/>
      <c r="CL53" s="268"/>
      <c r="CM53" s="268">
        <f t="shared" si="82"/>
        <v>0</v>
      </c>
      <c r="CN53" s="269">
        <f t="shared" ca="1" si="83"/>
        <v>0</v>
      </c>
      <c r="CO53" s="268" t="str">
        <f t="shared" ca="1" si="170"/>
        <v>D</v>
      </c>
      <c r="CP53" s="271" t="b">
        <f>TRUE</f>
        <v>1</v>
      </c>
      <c r="CQ53" s="269">
        <f t="shared" si="171"/>
        <v>0</v>
      </c>
      <c r="CR53" s="269">
        <f t="shared" si="172"/>
        <v>0</v>
      </c>
      <c r="CS53" s="269">
        <f t="shared" ca="1" si="173"/>
        <v>0</v>
      </c>
      <c r="CT53" s="302" t="str">
        <f t="shared" ca="1" si="174"/>
        <v>0</v>
      </c>
      <c r="CU53" s="269">
        <f t="shared" ca="1" si="175"/>
        <v>0</v>
      </c>
      <c r="CV53" s="268"/>
      <c r="CW53" s="269">
        <f t="shared" ca="1" si="176"/>
        <v>0</v>
      </c>
      <c r="CX53" s="301">
        <f t="shared" ca="1" si="177"/>
        <v>0</v>
      </c>
      <c r="CY53" s="301">
        <f t="shared" ca="1" si="85"/>
        <v>0</v>
      </c>
      <c r="CZ53" s="301">
        <f t="shared" ca="1" si="178"/>
        <v>0</v>
      </c>
      <c r="DA53" s="301">
        <f t="shared" ca="1" si="179"/>
        <v>0</v>
      </c>
      <c r="DB53" t="str">
        <f t="shared" ca="1" si="188"/>
        <v/>
      </c>
      <c r="DC53" s="301" t="str">
        <f t="shared" ca="1" si="180"/>
        <v/>
      </c>
      <c r="DD53" s="1337" t="str">
        <f t="shared" ca="1" si="189"/>
        <v/>
      </c>
      <c r="DE53" s="1337" t="str">
        <f t="shared" ca="1" si="190"/>
        <v/>
      </c>
      <c r="DG53" s="269" t="str">
        <f t="shared" ca="1" si="181"/>
        <v>Tabellen_Andere!BA107:BF107</v>
      </c>
      <c r="DH53" s="269" t="str">
        <f t="shared" si="191"/>
        <v>Tabellen_Andere!BA107:BF107</v>
      </c>
      <c r="DI53" s="269" t="str">
        <f ca="1">IF(NOT(ISERR(FIND(A53,Abfragen!$O$264,1))),MID(Abfragen!$O$264,FIND("(",Abfragen!$O$264,FIND(A53,Abfragen!$O$264,1)+LEN(A53))+1,FIND(")",Abfragen!$O$264,FIND(A53,Abfragen!$O$264,1)+LEN(A53))-FIND("(",Abfragen!$O$264,FIND(A53,Abfragen!$O$264,1)+LEN(A53))-1),"")</f>
        <v/>
      </c>
      <c r="DJ53" s="301" t="str">
        <f t="shared" ca="1" si="193"/>
        <v>D</v>
      </c>
      <c r="DK53" s="301" t="str">
        <f t="shared" ca="1" si="193"/>
        <v>D</v>
      </c>
      <c r="DL53" s="301" t="str">
        <f t="shared" ca="1" si="193"/>
        <v>D</v>
      </c>
      <c r="DM53" s="301" t="str">
        <f t="shared" ca="1" si="193"/>
        <v>D</v>
      </c>
      <c r="DN53" s="301" t="str">
        <f t="shared" ca="1" si="193"/>
        <v>D</v>
      </c>
      <c r="DO53" s="301" t="str">
        <f t="shared" ca="1" si="193"/>
        <v>D</v>
      </c>
      <c r="DP53" s="301" t="str">
        <f t="shared" ca="1" si="193"/>
        <v>D</v>
      </c>
      <c r="DQ53" s="301" t="str">
        <f t="shared" ca="1" si="193"/>
        <v>D</v>
      </c>
      <c r="DR53" s="301" t="str">
        <f t="shared" ca="1" si="193"/>
        <v>D</v>
      </c>
      <c r="DS53" s="301" t="str">
        <f t="shared" ca="1" si="193"/>
        <v>D</v>
      </c>
      <c r="DT53" s="301" t="str">
        <f t="shared" ca="1" si="194"/>
        <v>D</v>
      </c>
      <c r="DU53" s="301" t="str">
        <f t="shared" ca="1" si="194"/>
        <v>D</v>
      </c>
      <c r="DV53" s="301" t="str">
        <f t="shared" ca="1" si="194"/>
        <v>D</v>
      </c>
      <c r="DW53" s="301" t="str">
        <f t="shared" ca="1" si="194"/>
        <v>D</v>
      </c>
      <c r="DX53" s="301" t="str">
        <f t="shared" ca="1" si="194"/>
        <v>D</v>
      </c>
      <c r="DY53" s="301" t="str">
        <f t="shared" ca="1" si="194"/>
        <v>D</v>
      </c>
      <c r="DZ53" s="301" t="str">
        <f t="shared" ca="1" si="194"/>
        <v>D</v>
      </c>
      <c r="EA53" s="301" t="str">
        <f t="shared" ca="1" si="194"/>
        <v>D</v>
      </c>
      <c r="EB53" s="301" t="str">
        <f t="shared" ca="1" si="194"/>
        <v>D</v>
      </c>
      <c r="EC53" s="301" t="str">
        <f t="shared" ca="1" si="194"/>
        <v>D</v>
      </c>
      <c r="ED53" s="301" t="str">
        <f t="shared" ca="1" si="194"/>
        <v>D</v>
      </c>
      <c r="EE53" s="301" t="str">
        <f t="shared" ca="1" si="194"/>
        <v>D</v>
      </c>
      <c r="EF53" s="205"/>
      <c r="EG53" s="301" t="str">
        <f t="shared" ca="1" si="195"/>
        <v>D</v>
      </c>
      <c r="EH53" s="301" t="str">
        <f t="shared" ca="1" si="195"/>
        <v>D</v>
      </c>
      <c r="EI53" s="301" t="str">
        <f t="shared" ca="1" si="195"/>
        <v>D</v>
      </c>
      <c r="EJ53" s="301" t="str">
        <f t="shared" ca="1" si="195"/>
        <v>D</v>
      </c>
      <c r="EK53" s="301" t="str">
        <f t="shared" ca="1" si="195"/>
        <v>D</v>
      </c>
      <c r="EL53" s="301" t="str">
        <f t="shared" ca="1" si="195"/>
        <v>D</v>
      </c>
      <c r="EM53" s="301" t="str">
        <f t="shared" ca="1" si="195"/>
        <v>D</v>
      </c>
      <c r="EN53" s="301" t="str">
        <f t="shared" ca="1" si="195"/>
        <v>D</v>
      </c>
      <c r="EO53" s="301" t="str">
        <f t="shared" ca="1" si="195"/>
        <v>D</v>
      </c>
      <c r="EP53" s="301" t="str">
        <f t="shared" ca="1" si="195"/>
        <v>D</v>
      </c>
      <c r="EQ53" s="301" t="str">
        <f t="shared" ca="1" si="196"/>
        <v>D</v>
      </c>
      <c r="ER53" s="301" t="str">
        <f t="shared" ca="1" si="196"/>
        <v>D</v>
      </c>
      <c r="ES53" s="301" t="str">
        <f t="shared" ca="1" si="196"/>
        <v>D</v>
      </c>
      <c r="ET53" s="301" t="str">
        <f t="shared" ca="1" si="196"/>
        <v>D</v>
      </c>
      <c r="EU53" s="301" t="str">
        <f t="shared" ca="1" si="196"/>
        <v>D</v>
      </c>
      <c r="EV53" s="301" t="str">
        <f t="shared" ca="1" si="196"/>
        <v>D</v>
      </c>
      <c r="EW53" s="301" t="str">
        <f t="shared" ca="1" si="196"/>
        <v>D</v>
      </c>
      <c r="EX53" s="301" t="str">
        <f t="shared" ca="1" si="196"/>
        <v>D</v>
      </c>
      <c r="EY53" s="301" t="str">
        <f t="shared" ca="1" si="196"/>
        <v>D</v>
      </c>
      <c r="EZ53" s="301" t="str">
        <f t="shared" ca="1" si="196"/>
        <v>D</v>
      </c>
      <c r="FA53" s="301" t="str">
        <f t="shared" ca="1" si="197"/>
        <v>D</v>
      </c>
      <c r="FB53" s="301" t="str">
        <f t="shared" ca="1" si="197"/>
        <v>D</v>
      </c>
      <c r="FC53" s="301" t="str">
        <f t="shared" ca="1" si="197"/>
        <v>D</v>
      </c>
      <c r="FD53" s="301" t="str">
        <f t="shared" ca="1" si="197"/>
        <v>D</v>
      </c>
      <c r="FE53" s="301" t="str">
        <f t="shared" ca="1" si="197"/>
        <v>D</v>
      </c>
      <c r="FF53" s="301" t="str">
        <f t="shared" ca="1" si="197"/>
        <v>D</v>
      </c>
      <c r="FG53" s="301" t="str">
        <f t="shared" ca="1" si="197"/>
        <v>D</v>
      </c>
      <c r="FH53" s="301" t="str">
        <f t="shared" ca="1" si="197"/>
        <v>D</v>
      </c>
      <c r="FI53" s="301" t="str">
        <f t="shared" ca="1" si="197"/>
        <v>D</v>
      </c>
      <c r="FJ53" s="301" t="str">
        <f t="shared" ca="1" si="197"/>
        <v>D</v>
      </c>
      <c r="FK53" s="301" t="str">
        <f t="shared" ca="1" si="197"/>
        <v>D</v>
      </c>
      <c r="FL53" s="301" t="str">
        <f t="shared" ca="1" si="197"/>
        <v>D</v>
      </c>
    </row>
    <row r="54" spans="1:168" x14ac:dyDescent="0.2">
      <c r="A54" s="38" t="str">
        <f t="shared" si="187"/>
        <v>Sinnenschärfe</v>
      </c>
      <c r="B54" s="317">
        <f t="shared" ca="1" si="106"/>
        <v>0</v>
      </c>
      <c r="C54" s="332" t="s">
        <v>1321</v>
      </c>
      <c r="D54" s="1110"/>
      <c r="E54" s="1424"/>
      <c r="F54" s="325"/>
      <c r="G54" s="963"/>
      <c r="H54" s="1196"/>
      <c r="I54" s="326"/>
      <c r="J54" s="1886" t="str">
        <f t="shared" ca="1" si="107"/>
        <v/>
      </c>
      <c r="K54" s="1887"/>
      <c r="L54" s="1887"/>
      <c r="M54" s="1887"/>
      <c r="N54" s="1888"/>
      <c r="O54" s="613">
        <f t="shared" ca="1" si="108"/>
        <v>0</v>
      </c>
      <c r="P54" s="90"/>
      <c r="Q54" s="25"/>
      <c r="R54" s="1313"/>
      <c r="S54" s="1313"/>
      <c r="T54" s="1315"/>
      <c r="U54" s="1283"/>
      <c r="V54" s="628" t="str">
        <f t="shared" ca="1" si="109"/>
        <v/>
      </c>
      <c r="W54" s="164">
        <f t="shared" ca="1" si="110"/>
        <v>0</v>
      </c>
      <c r="X54" s="164">
        <f t="shared" ca="1" si="111"/>
        <v>0</v>
      </c>
      <c r="Y54" s="164">
        <f t="shared" ca="1" si="112"/>
        <v>0</v>
      </c>
      <c r="Z54" s="164">
        <f t="shared" ca="1" si="113"/>
        <v>0</v>
      </c>
      <c r="AA54" s="164">
        <f t="shared" ca="1" si="114"/>
        <v>0</v>
      </c>
      <c r="AB54" s="164">
        <f t="shared" ca="1" si="115"/>
        <v>0</v>
      </c>
      <c r="AC54" s="164">
        <f t="shared" ca="1" si="116"/>
        <v>0</v>
      </c>
      <c r="AD54" s="164">
        <f t="shared" ca="1" si="117"/>
        <v>0</v>
      </c>
      <c r="AE54" s="164">
        <f t="shared" ca="1" si="118"/>
        <v>0</v>
      </c>
      <c r="AF54" s="164">
        <f t="shared" ca="1" si="119"/>
        <v>0</v>
      </c>
      <c r="AG54" s="164">
        <f t="shared" ca="1" si="120"/>
        <v>0</v>
      </c>
      <c r="AH54" s="164">
        <f t="shared" ca="1" si="121"/>
        <v>0</v>
      </c>
      <c r="AI54" s="164">
        <f t="shared" ca="1" si="122"/>
        <v>0</v>
      </c>
      <c r="AJ54" s="164">
        <f t="shared" ca="1" si="123"/>
        <v>0</v>
      </c>
      <c r="AK54" s="164">
        <f t="shared" ca="1" si="124"/>
        <v>0</v>
      </c>
      <c r="AL54" s="164">
        <f t="shared" ca="1" si="125"/>
        <v>0</v>
      </c>
      <c r="AM54" s="164">
        <f t="shared" ca="1" si="126"/>
        <v>0</v>
      </c>
      <c r="AN54" s="164">
        <f t="shared" ca="1" si="127"/>
        <v>0</v>
      </c>
      <c r="AO54" s="164">
        <f t="shared" ca="1" si="128"/>
        <v>0</v>
      </c>
      <c r="AP54" s="164">
        <f t="shared" ca="1" si="129"/>
        <v>0</v>
      </c>
      <c r="AQ54" s="164">
        <f t="shared" ca="1" si="130"/>
        <v>0</v>
      </c>
      <c r="AR54" s="164">
        <f t="shared" ca="1" si="131"/>
        <v>0</v>
      </c>
      <c r="AS54" s="195"/>
      <c r="AT54" s="154">
        <f t="shared" ca="1" si="132"/>
        <v>0</v>
      </c>
      <c r="AU54" s="154">
        <f t="shared" ca="1" si="133"/>
        <v>0</v>
      </c>
      <c r="AV54" s="154">
        <f t="shared" ca="1" si="134"/>
        <v>0</v>
      </c>
      <c r="AW54" s="154">
        <f t="shared" ca="1" si="135"/>
        <v>0</v>
      </c>
      <c r="AX54" s="154">
        <f t="shared" ca="1" si="136"/>
        <v>0</v>
      </c>
      <c r="AY54" s="154">
        <f t="shared" ca="1" si="137"/>
        <v>0</v>
      </c>
      <c r="AZ54" s="154">
        <f t="shared" ca="1" si="138"/>
        <v>0</v>
      </c>
      <c r="BA54" s="154">
        <f t="shared" ca="1" si="139"/>
        <v>0</v>
      </c>
      <c r="BB54" s="154">
        <f t="shared" ca="1" si="140"/>
        <v>0</v>
      </c>
      <c r="BC54" s="154">
        <f t="shared" ca="1" si="141"/>
        <v>0</v>
      </c>
      <c r="BD54" s="154">
        <f t="shared" ca="1" si="142"/>
        <v>0</v>
      </c>
      <c r="BE54" s="154">
        <f t="shared" ca="1" si="143"/>
        <v>0</v>
      </c>
      <c r="BF54" s="154">
        <f t="shared" ca="1" si="144"/>
        <v>0</v>
      </c>
      <c r="BG54" s="154">
        <f t="shared" ca="1" si="145"/>
        <v>0</v>
      </c>
      <c r="BH54" s="154">
        <f t="shared" ca="1" si="146"/>
        <v>0</v>
      </c>
      <c r="BI54" s="154">
        <f t="shared" ca="1" si="147"/>
        <v>0</v>
      </c>
      <c r="BJ54" s="154">
        <f t="shared" ca="1" si="148"/>
        <v>0</v>
      </c>
      <c r="BK54" s="154">
        <f t="shared" ca="1" si="149"/>
        <v>0</v>
      </c>
      <c r="BL54" s="154">
        <f t="shared" ca="1" si="150"/>
        <v>0</v>
      </c>
      <c r="BM54" s="154">
        <f t="shared" ca="1" si="151"/>
        <v>0</v>
      </c>
      <c r="BN54" s="154">
        <f t="shared" ca="1" si="152"/>
        <v>0</v>
      </c>
      <c r="BO54" s="154">
        <f t="shared" ca="1" si="153"/>
        <v>0</v>
      </c>
      <c r="BP54" s="154">
        <f t="shared" ca="1" si="154"/>
        <v>0</v>
      </c>
      <c r="BQ54" s="154">
        <f t="shared" ca="1" si="155"/>
        <v>0</v>
      </c>
      <c r="BR54" s="154">
        <f t="shared" ca="1" si="156"/>
        <v>0</v>
      </c>
      <c r="BS54" s="154">
        <f t="shared" ca="1" si="157"/>
        <v>0</v>
      </c>
      <c r="BT54" s="154">
        <f t="shared" ca="1" si="158"/>
        <v>0</v>
      </c>
      <c r="BU54" s="154">
        <f t="shared" ca="1" si="159"/>
        <v>0</v>
      </c>
      <c r="BV54" s="154">
        <f t="shared" ca="1" si="160"/>
        <v>0</v>
      </c>
      <c r="BW54" s="154">
        <f t="shared" ca="1" si="161"/>
        <v>0</v>
      </c>
      <c r="BX54" s="154">
        <f t="shared" ca="1" si="162"/>
        <v>0</v>
      </c>
      <c r="BY54" s="154">
        <f t="shared" ca="1" si="163"/>
        <v>0</v>
      </c>
      <c r="BZ54" s="154">
        <f t="shared" si="192"/>
        <v>0</v>
      </c>
      <c r="CA54" s="154">
        <f t="shared" si="164"/>
        <v>0</v>
      </c>
      <c r="CB54" s="154">
        <f t="shared" ca="1" si="165"/>
        <v>0</v>
      </c>
      <c r="CC54" s="523"/>
      <c r="CD54" s="355">
        <f t="shared" si="166"/>
        <v>82</v>
      </c>
      <c r="CE54" s="268" t="str">
        <f t="shared" ca="1" si="167"/>
        <v>D</v>
      </c>
      <c r="CF54" s="355"/>
      <c r="CG54" s="268"/>
      <c r="CH54" s="268"/>
      <c r="CI54" s="269">
        <f t="shared" ca="1" si="168"/>
        <v>0</v>
      </c>
      <c r="CJ54" s="269">
        <f t="shared" ca="1" si="169"/>
        <v>0</v>
      </c>
      <c r="CK54" s="268"/>
      <c r="CL54" s="268"/>
      <c r="CM54" s="268">
        <f t="shared" si="82"/>
        <v>0</v>
      </c>
      <c r="CN54" s="269">
        <f t="shared" ca="1" si="83"/>
        <v>0</v>
      </c>
      <c r="CO54" s="268" t="str">
        <f t="shared" ca="1" si="170"/>
        <v>D</v>
      </c>
      <c r="CP54" s="271" t="b">
        <f>TRUE</f>
        <v>1</v>
      </c>
      <c r="CQ54" s="269">
        <f t="shared" si="171"/>
        <v>0</v>
      </c>
      <c r="CR54" s="269">
        <f t="shared" si="172"/>
        <v>0</v>
      </c>
      <c r="CS54" s="269">
        <f t="shared" ca="1" si="173"/>
        <v>0</v>
      </c>
      <c r="CT54" s="302" t="str">
        <f t="shared" ca="1" si="174"/>
        <v>0</v>
      </c>
      <c r="CU54" s="269">
        <f t="shared" ca="1" si="175"/>
        <v>0</v>
      </c>
      <c r="CV54" s="268"/>
      <c r="CW54" s="269">
        <f t="shared" ca="1" si="176"/>
        <v>0</v>
      </c>
      <c r="CX54" s="301">
        <f t="shared" ca="1" si="177"/>
        <v>0</v>
      </c>
      <c r="CY54" s="301">
        <f t="shared" ca="1" si="85"/>
        <v>0</v>
      </c>
      <c r="CZ54" s="301">
        <f t="shared" ca="1" si="178"/>
        <v>0</v>
      </c>
      <c r="DA54" s="301">
        <f t="shared" ca="1" si="179"/>
        <v>0</v>
      </c>
      <c r="DB54" t="str">
        <f t="shared" ca="1" si="188"/>
        <v/>
      </c>
      <c r="DC54" s="301" t="str">
        <f t="shared" ca="1" si="180"/>
        <v/>
      </c>
      <c r="DD54" s="1337" t="str">
        <f t="shared" ca="1" si="189"/>
        <v/>
      </c>
      <c r="DE54" s="1337" t="str">
        <f t="shared" ca="1" si="190"/>
        <v/>
      </c>
      <c r="DG54" s="269" t="str">
        <f t="shared" ca="1" si="181"/>
        <v>Tabellen_Andere!BA108:BF108</v>
      </c>
      <c r="DH54" s="269" t="str">
        <f t="shared" si="191"/>
        <v>Tabellen_Andere!BA108:BF108</v>
      </c>
      <c r="DI54" s="269" t="str">
        <f ca="1">IF(NOT(ISERR(FIND(A54,Abfragen!$O$264,1))),MID(Abfragen!$O$264,FIND("(",Abfragen!$O$264,FIND(A54,Abfragen!$O$264,1)+LEN(A54))+1,FIND(")",Abfragen!$O$264,FIND(A54,Abfragen!$O$264,1)+LEN(A54))-FIND("(",Abfragen!$O$264,FIND(A54,Abfragen!$O$264,1)+LEN(A54))-1),"")</f>
        <v/>
      </c>
      <c r="DJ54" s="301" t="str">
        <f t="shared" ca="1" si="193"/>
        <v>D</v>
      </c>
      <c r="DK54" s="301" t="str">
        <f t="shared" ca="1" si="193"/>
        <v>D</v>
      </c>
      <c r="DL54" s="301" t="str">
        <f t="shared" ca="1" si="193"/>
        <v>D</v>
      </c>
      <c r="DM54" s="301" t="str">
        <f t="shared" ca="1" si="193"/>
        <v>D</v>
      </c>
      <c r="DN54" s="301" t="str">
        <f t="shared" ca="1" si="193"/>
        <v>D</v>
      </c>
      <c r="DO54" s="301" t="str">
        <f t="shared" ca="1" si="193"/>
        <v>D</v>
      </c>
      <c r="DP54" s="301" t="str">
        <f t="shared" ca="1" si="193"/>
        <v>D</v>
      </c>
      <c r="DQ54" s="301" t="str">
        <f t="shared" ca="1" si="193"/>
        <v>D</v>
      </c>
      <c r="DR54" s="301" t="str">
        <f t="shared" ca="1" si="193"/>
        <v>D</v>
      </c>
      <c r="DS54" s="301" t="str">
        <f t="shared" ca="1" si="193"/>
        <v>D</v>
      </c>
      <c r="DT54" s="301" t="str">
        <f t="shared" ca="1" si="194"/>
        <v>D</v>
      </c>
      <c r="DU54" s="301" t="str">
        <f t="shared" ca="1" si="194"/>
        <v>D</v>
      </c>
      <c r="DV54" s="301" t="str">
        <f t="shared" ca="1" si="194"/>
        <v>D</v>
      </c>
      <c r="DW54" s="301" t="str">
        <f t="shared" ca="1" si="194"/>
        <v>D</v>
      </c>
      <c r="DX54" s="301" t="str">
        <f t="shared" ca="1" si="194"/>
        <v>D</v>
      </c>
      <c r="DY54" s="301" t="str">
        <f t="shared" ca="1" si="194"/>
        <v>D</v>
      </c>
      <c r="DZ54" s="301" t="str">
        <f t="shared" ca="1" si="194"/>
        <v>D</v>
      </c>
      <c r="EA54" s="301" t="str">
        <f t="shared" ca="1" si="194"/>
        <v>D</v>
      </c>
      <c r="EB54" s="301" t="str">
        <f t="shared" ca="1" si="194"/>
        <v>D</v>
      </c>
      <c r="EC54" s="301" t="str">
        <f t="shared" ca="1" si="194"/>
        <v>D</v>
      </c>
      <c r="ED54" s="301" t="str">
        <f t="shared" ca="1" si="194"/>
        <v>D</v>
      </c>
      <c r="EE54" s="301" t="str">
        <f t="shared" ca="1" si="194"/>
        <v>D</v>
      </c>
      <c r="EF54" s="205"/>
      <c r="EG54" s="301" t="str">
        <f t="shared" ca="1" si="195"/>
        <v>D</v>
      </c>
      <c r="EH54" s="301" t="str">
        <f t="shared" ca="1" si="195"/>
        <v>D</v>
      </c>
      <c r="EI54" s="301" t="str">
        <f t="shared" ca="1" si="195"/>
        <v>D</v>
      </c>
      <c r="EJ54" s="301" t="str">
        <f t="shared" ca="1" si="195"/>
        <v>D</v>
      </c>
      <c r="EK54" s="301" t="str">
        <f t="shared" ca="1" si="195"/>
        <v>D</v>
      </c>
      <c r="EL54" s="301" t="str">
        <f t="shared" ca="1" si="195"/>
        <v>D</v>
      </c>
      <c r="EM54" s="301" t="str">
        <f t="shared" ca="1" si="195"/>
        <v>D</v>
      </c>
      <c r="EN54" s="301" t="str">
        <f t="shared" ca="1" si="195"/>
        <v>D</v>
      </c>
      <c r="EO54" s="301" t="str">
        <f t="shared" ca="1" si="195"/>
        <v>D</v>
      </c>
      <c r="EP54" s="301" t="str">
        <f t="shared" ca="1" si="195"/>
        <v>D</v>
      </c>
      <c r="EQ54" s="301" t="str">
        <f t="shared" ca="1" si="196"/>
        <v>D</v>
      </c>
      <c r="ER54" s="301" t="str">
        <f t="shared" ca="1" si="196"/>
        <v>D</v>
      </c>
      <c r="ES54" s="301" t="str">
        <f t="shared" ca="1" si="196"/>
        <v>D</v>
      </c>
      <c r="ET54" s="301" t="str">
        <f t="shared" ca="1" si="196"/>
        <v>D</v>
      </c>
      <c r="EU54" s="301" t="str">
        <f t="shared" ca="1" si="196"/>
        <v>D</v>
      </c>
      <c r="EV54" s="301" t="str">
        <f t="shared" ca="1" si="196"/>
        <v>D</v>
      </c>
      <c r="EW54" s="301" t="str">
        <f t="shared" ca="1" si="196"/>
        <v>D</v>
      </c>
      <c r="EX54" s="301" t="str">
        <f t="shared" ca="1" si="196"/>
        <v>D</v>
      </c>
      <c r="EY54" s="301" t="str">
        <f t="shared" ca="1" si="196"/>
        <v>D</v>
      </c>
      <c r="EZ54" s="301" t="str">
        <f t="shared" ca="1" si="196"/>
        <v>D</v>
      </c>
      <c r="FA54" s="301" t="str">
        <f t="shared" ca="1" si="197"/>
        <v>D</v>
      </c>
      <c r="FB54" s="301" t="str">
        <f t="shared" ca="1" si="197"/>
        <v>D</v>
      </c>
      <c r="FC54" s="301" t="str">
        <f t="shared" ca="1" si="197"/>
        <v>D</v>
      </c>
      <c r="FD54" s="301" t="str">
        <f t="shared" ca="1" si="197"/>
        <v>D</v>
      </c>
      <c r="FE54" s="301" t="str">
        <f t="shared" ca="1" si="197"/>
        <v>D</v>
      </c>
      <c r="FF54" s="301" t="str">
        <f t="shared" ca="1" si="197"/>
        <v>D</v>
      </c>
      <c r="FG54" s="301" t="str">
        <f t="shared" ca="1" si="197"/>
        <v>D</v>
      </c>
      <c r="FH54" s="301" t="str">
        <f t="shared" ca="1" si="197"/>
        <v>D</v>
      </c>
      <c r="FI54" s="301" t="str">
        <f t="shared" ca="1" si="197"/>
        <v>D</v>
      </c>
      <c r="FJ54" s="301" t="str">
        <f t="shared" ca="1" si="197"/>
        <v>D</v>
      </c>
      <c r="FK54" s="301" t="str">
        <f t="shared" ca="1" si="197"/>
        <v>D</v>
      </c>
      <c r="FL54" s="301" t="str">
        <f t="shared" ca="1" si="197"/>
        <v>D</v>
      </c>
    </row>
    <row r="55" spans="1:168" x14ac:dyDescent="0.2">
      <c r="A55" s="38" t="str">
        <f t="shared" si="187"/>
        <v>Skifahren</v>
      </c>
      <c r="B55" s="317" t="str">
        <f t="shared" ca="1" si="106"/>
        <v/>
      </c>
      <c r="C55" s="332" t="str">
        <f ca="1">IF(OR(NOT(ISBLANK(D55)),NOT(ISBLANK(HLOOKUP(RASSEGENE,RASSE,$CD55,FALSE))),
NOT(ISBLANK(HLOOKUP(KULTURGENE,KULTUR,$CD55,FALSE))),
NOT(OR(ISBLANK(HLOOKUP(PROFGENE,INDIRECT(PROFGEBIET),$CD55,FALSE)),$CS55="N",$CS55="M")),
IF(PROFZWEITE="",FALSE,NOT(ISBLANK(HLOOKUP(PROFZWEITE,INDIRECT(PROFGEBIET2),$CD55,FALSE))))),"x","")</f>
        <v/>
      </c>
      <c r="D55" s="1110"/>
      <c r="E55" s="1424"/>
      <c r="F55" s="325"/>
      <c r="G55" s="958"/>
      <c r="H55" s="1196"/>
      <c r="I55" s="326"/>
      <c r="J55" s="1886" t="str">
        <f t="shared" ca="1" si="107"/>
        <v/>
      </c>
      <c r="K55" s="1887"/>
      <c r="L55" s="1887"/>
      <c r="M55" s="1887"/>
      <c r="N55" s="1888"/>
      <c r="O55" s="613" t="str">
        <f t="shared" ca="1" si="108"/>
        <v/>
      </c>
      <c r="P55" s="90"/>
      <c r="Q55" s="25"/>
      <c r="R55" s="1313"/>
      <c r="S55" s="1313"/>
      <c r="T55" s="1315"/>
      <c r="U55" s="1283"/>
      <c r="V55" s="628" t="str">
        <f t="shared" ca="1" si="109"/>
        <v/>
      </c>
      <c r="W55" s="164">
        <f t="shared" ca="1" si="110"/>
        <v>0</v>
      </c>
      <c r="X55" s="164">
        <f t="shared" ca="1" si="111"/>
        <v>0</v>
      </c>
      <c r="Y55" s="164">
        <f t="shared" ca="1" si="112"/>
        <v>0</v>
      </c>
      <c r="Z55" s="164">
        <f t="shared" ca="1" si="113"/>
        <v>0</v>
      </c>
      <c r="AA55" s="164">
        <f t="shared" ca="1" si="114"/>
        <v>0</v>
      </c>
      <c r="AB55" s="164">
        <f t="shared" ca="1" si="115"/>
        <v>0</v>
      </c>
      <c r="AC55" s="164">
        <f t="shared" ca="1" si="116"/>
        <v>0</v>
      </c>
      <c r="AD55" s="164">
        <f t="shared" ca="1" si="117"/>
        <v>0</v>
      </c>
      <c r="AE55" s="164">
        <f t="shared" ca="1" si="118"/>
        <v>0</v>
      </c>
      <c r="AF55" s="164">
        <f t="shared" ca="1" si="119"/>
        <v>0</v>
      </c>
      <c r="AG55" s="164">
        <f t="shared" ca="1" si="120"/>
        <v>0</v>
      </c>
      <c r="AH55" s="164">
        <f t="shared" ca="1" si="121"/>
        <v>0</v>
      </c>
      <c r="AI55" s="164">
        <f t="shared" ca="1" si="122"/>
        <v>0</v>
      </c>
      <c r="AJ55" s="164">
        <f t="shared" ca="1" si="123"/>
        <v>0</v>
      </c>
      <c r="AK55" s="164">
        <f t="shared" ca="1" si="124"/>
        <v>0</v>
      </c>
      <c r="AL55" s="164">
        <f t="shared" ca="1" si="125"/>
        <v>0</v>
      </c>
      <c r="AM55" s="164">
        <f t="shared" ca="1" si="126"/>
        <v>0</v>
      </c>
      <c r="AN55" s="164">
        <f t="shared" ca="1" si="127"/>
        <v>0</v>
      </c>
      <c r="AO55" s="164">
        <f t="shared" ca="1" si="128"/>
        <v>0</v>
      </c>
      <c r="AP55" s="164">
        <f t="shared" ca="1" si="129"/>
        <v>0</v>
      </c>
      <c r="AQ55" s="164">
        <f t="shared" ca="1" si="130"/>
        <v>0</v>
      </c>
      <c r="AR55" s="164">
        <f t="shared" ca="1" si="131"/>
        <v>0</v>
      </c>
      <c r="AS55" s="195"/>
      <c r="AT55" s="154">
        <f t="shared" ca="1" si="132"/>
        <v>0</v>
      </c>
      <c r="AU55" s="154">
        <f t="shared" ca="1" si="133"/>
        <v>0</v>
      </c>
      <c r="AV55" s="154">
        <f t="shared" ca="1" si="134"/>
        <v>0</v>
      </c>
      <c r="AW55" s="154">
        <f t="shared" ca="1" si="135"/>
        <v>0</v>
      </c>
      <c r="AX55" s="154">
        <f t="shared" ca="1" si="136"/>
        <v>0</v>
      </c>
      <c r="AY55" s="154">
        <f t="shared" ca="1" si="137"/>
        <v>0</v>
      </c>
      <c r="AZ55" s="154">
        <f t="shared" ca="1" si="138"/>
        <v>0</v>
      </c>
      <c r="BA55" s="154">
        <f t="shared" ca="1" si="139"/>
        <v>0</v>
      </c>
      <c r="BB55" s="154">
        <f t="shared" ca="1" si="140"/>
        <v>0</v>
      </c>
      <c r="BC55" s="154">
        <f t="shared" ca="1" si="141"/>
        <v>0</v>
      </c>
      <c r="BD55" s="154">
        <f t="shared" ca="1" si="142"/>
        <v>0</v>
      </c>
      <c r="BE55" s="154">
        <f t="shared" ca="1" si="143"/>
        <v>0</v>
      </c>
      <c r="BF55" s="154">
        <f t="shared" ca="1" si="144"/>
        <v>0</v>
      </c>
      <c r="BG55" s="154">
        <f t="shared" ca="1" si="145"/>
        <v>0</v>
      </c>
      <c r="BH55" s="154">
        <f t="shared" ca="1" si="146"/>
        <v>0</v>
      </c>
      <c r="BI55" s="154">
        <f t="shared" ca="1" si="147"/>
        <v>0</v>
      </c>
      <c r="BJ55" s="154">
        <f t="shared" ca="1" si="148"/>
        <v>0</v>
      </c>
      <c r="BK55" s="154">
        <f t="shared" ca="1" si="149"/>
        <v>0</v>
      </c>
      <c r="BL55" s="154">
        <f t="shared" ca="1" si="150"/>
        <v>0</v>
      </c>
      <c r="BM55" s="154">
        <f t="shared" ca="1" si="151"/>
        <v>0</v>
      </c>
      <c r="BN55" s="154">
        <f t="shared" ca="1" si="152"/>
        <v>0</v>
      </c>
      <c r="BO55" s="154">
        <f t="shared" ca="1" si="153"/>
        <v>0</v>
      </c>
      <c r="BP55" s="154">
        <f t="shared" ca="1" si="154"/>
        <v>0</v>
      </c>
      <c r="BQ55" s="154">
        <f t="shared" ca="1" si="155"/>
        <v>0</v>
      </c>
      <c r="BR55" s="154">
        <f t="shared" ca="1" si="156"/>
        <v>0</v>
      </c>
      <c r="BS55" s="154">
        <f t="shared" ca="1" si="157"/>
        <v>0</v>
      </c>
      <c r="BT55" s="154">
        <f t="shared" ca="1" si="158"/>
        <v>0</v>
      </c>
      <c r="BU55" s="154">
        <f t="shared" ca="1" si="159"/>
        <v>0</v>
      </c>
      <c r="BV55" s="154">
        <f t="shared" ca="1" si="160"/>
        <v>0</v>
      </c>
      <c r="BW55" s="154">
        <f t="shared" ca="1" si="161"/>
        <v>0</v>
      </c>
      <c r="BX55" s="154">
        <f t="shared" ca="1" si="162"/>
        <v>0</v>
      </c>
      <c r="BY55" s="154">
        <f t="shared" ca="1" si="163"/>
        <v>0</v>
      </c>
      <c r="BZ55" s="154">
        <f t="shared" si="192"/>
        <v>0</v>
      </c>
      <c r="CA55" s="154">
        <f t="shared" si="164"/>
        <v>0</v>
      </c>
      <c r="CB55" s="154">
        <f t="shared" ca="1" si="165"/>
        <v>0</v>
      </c>
      <c r="CC55" s="523"/>
      <c r="CD55" s="355">
        <f t="shared" si="166"/>
        <v>83</v>
      </c>
      <c r="CE55" s="268" t="str">
        <f t="shared" ca="1" si="167"/>
        <v>D</v>
      </c>
      <c r="CF55" s="355" t="str">
        <f ca="1">IF(EXACT($B55,""),$CF48,CONCATENATE($CF48,$A55))</f>
        <v/>
      </c>
      <c r="CG55" s="268"/>
      <c r="CH55" s="268"/>
      <c r="CI55" s="269">
        <f t="shared" ca="1" si="168"/>
        <v>0</v>
      </c>
      <c r="CJ55" s="269">
        <f t="shared" ca="1" si="169"/>
        <v>0</v>
      </c>
      <c r="CK55" s="268"/>
      <c r="CL55" s="268"/>
      <c r="CM55" s="268">
        <f t="shared" ca="1" si="82"/>
        <v>0</v>
      </c>
      <c r="CN55" s="269">
        <f t="shared" ca="1" si="83"/>
        <v>0</v>
      </c>
      <c r="CO55" s="268" t="str">
        <f t="shared" ca="1" si="170"/>
        <v>D</v>
      </c>
      <c r="CP55" s="269" t="b">
        <f ca="1">IF(NT_ELFWELT,
IF(OR(
RIGHT(HLOOKUP(PROFGENE,INDIRECT(PROFGEBIET),$CD55,FALSE),1)="L",
RIGHT(HLOOKUP(KULTURGENE,KULTUR,$CD55,FALSE),1)="L",
RIGHT(D55)="L"),TRUE,FALSE),
TRUE)</f>
        <v>1</v>
      </c>
      <c r="CQ55" s="269">
        <f t="shared" si="171"/>
        <v>0</v>
      </c>
      <c r="CR55" s="269">
        <f t="shared" si="172"/>
        <v>0</v>
      </c>
      <c r="CS55" s="269">
        <f t="shared" ca="1" si="173"/>
        <v>0</v>
      </c>
      <c r="CT55" s="302" t="str">
        <f t="shared" ca="1" si="174"/>
        <v>0</v>
      </c>
      <c r="CU55" s="269">
        <f t="shared" ca="1" si="175"/>
        <v>0</v>
      </c>
      <c r="CV55" s="268"/>
      <c r="CW55" s="269">
        <f t="shared" ca="1" si="176"/>
        <v>0</v>
      </c>
      <c r="CX55" s="301">
        <f t="shared" ca="1" si="177"/>
        <v>0</v>
      </c>
      <c r="CY55" s="301">
        <f t="shared" ca="1" si="85"/>
        <v>0</v>
      </c>
      <c r="CZ55" s="301">
        <f t="shared" ca="1" si="178"/>
        <v>0</v>
      </c>
      <c r="DA55" s="301">
        <f t="shared" ca="1" si="179"/>
        <v>0</v>
      </c>
      <c r="DB55" t="str">
        <f t="shared" ca="1" si="188"/>
        <v/>
      </c>
      <c r="DC55" s="301" t="str">
        <f t="shared" ca="1" si="180"/>
        <v/>
      </c>
      <c r="DD55" s="1337" t="str">
        <f t="shared" ca="1" si="189"/>
        <v/>
      </c>
      <c r="DE55" s="1337" t="str">
        <f t="shared" ca="1" si="190"/>
        <v/>
      </c>
      <c r="DG55" s="269" t="str">
        <f t="shared" ca="1" si="181"/>
        <v>Tabellen_Andere!BA109:BF109</v>
      </c>
      <c r="DH55" s="269" t="str">
        <f t="shared" si="191"/>
        <v>Tabellen_Andere!BA109:BF109</v>
      </c>
      <c r="DI55" s="269" t="str">
        <f ca="1">IF(NOT(ISERR(FIND(A55,Abfragen!$O$264,1))),MID(Abfragen!$O$264,FIND("(",Abfragen!$O$264,FIND(A55,Abfragen!$O$264,1)+LEN(A55))+1,FIND(")",Abfragen!$O$264,FIND(A55,Abfragen!$O$264,1)+LEN(A55))-FIND("(",Abfragen!$O$264,FIND(A55,Abfragen!$O$264,1)+LEN(A55))-1),"")</f>
        <v/>
      </c>
      <c r="DJ55" s="301" t="str">
        <f t="shared" ca="1" si="193"/>
        <v>D</v>
      </c>
      <c r="DK55" s="301" t="str">
        <f t="shared" ca="1" si="193"/>
        <v>D</v>
      </c>
      <c r="DL55" s="301" t="str">
        <f t="shared" ca="1" si="193"/>
        <v>D</v>
      </c>
      <c r="DM55" s="301" t="str">
        <f t="shared" ca="1" si="193"/>
        <v>D</v>
      </c>
      <c r="DN55" s="301" t="str">
        <f t="shared" ca="1" si="193"/>
        <v>D</v>
      </c>
      <c r="DO55" s="301" t="str">
        <f t="shared" ca="1" si="193"/>
        <v>D</v>
      </c>
      <c r="DP55" s="301" t="str">
        <f t="shared" ca="1" si="193"/>
        <v>D</v>
      </c>
      <c r="DQ55" s="301" t="str">
        <f t="shared" ca="1" si="193"/>
        <v>D</v>
      </c>
      <c r="DR55" s="301" t="str">
        <f t="shared" ca="1" si="193"/>
        <v>D</v>
      </c>
      <c r="DS55" s="301" t="str">
        <f t="shared" ca="1" si="193"/>
        <v>D</v>
      </c>
      <c r="DT55" s="301" t="str">
        <f t="shared" ca="1" si="194"/>
        <v>D</v>
      </c>
      <c r="DU55" s="301" t="str">
        <f t="shared" ca="1" si="194"/>
        <v>D</v>
      </c>
      <c r="DV55" s="301" t="str">
        <f t="shared" ca="1" si="194"/>
        <v>D</v>
      </c>
      <c r="DW55" s="301" t="str">
        <f t="shared" ca="1" si="194"/>
        <v>D</v>
      </c>
      <c r="DX55" s="301" t="str">
        <f t="shared" ca="1" si="194"/>
        <v>D</v>
      </c>
      <c r="DY55" s="301" t="str">
        <f t="shared" ca="1" si="194"/>
        <v>D</v>
      </c>
      <c r="DZ55" s="301" t="str">
        <f t="shared" ca="1" si="194"/>
        <v>D</v>
      </c>
      <c r="EA55" s="301" t="str">
        <f t="shared" ca="1" si="194"/>
        <v>D</v>
      </c>
      <c r="EB55" s="301" t="str">
        <f t="shared" ca="1" si="194"/>
        <v>D</v>
      </c>
      <c r="EC55" s="301" t="str">
        <f t="shared" ca="1" si="194"/>
        <v>D</v>
      </c>
      <c r="ED55" s="301" t="str">
        <f t="shared" ca="1" si="194"/>
        <v>D</v>
      </c>
      <c r="EE55" s="301" t="str">
        <f t="shared" ca="1" si="194"/>
        <v>D</v>
      </c>
      <c r="EF55" s="205"/>
      <c r="EG55" s="301" t="str">
        <f t="shared" ca="1" si="195"/>
        <v>D</v>
      </c>
      <c r="EH55" s="301" t="str">
        <f t="shared" ca="1" si="195"/>
        <v>D</v>
      </c>
      <c r="EI55" s="301" t="str">
        <f t="shared" ca="1" si="195"/>
        <v>D</v>
      </c>
      <c r="EJ55" s="301" t="str">
        <f t="shared" ca="1" si="195"/>
        <v>D</v>
      </c>
      <c r="EK55" s="301" t="str">
        <f t="shared" ca="1" si="195"/>
        <v>D</v>
      </c>
      <c r="EL55" s="301" t="str">
        <f t="shared" ca="1" si="195"/>
        <v>D</v>
      </c>
      <c r="EM55" s="301" t="str">
        <f t="shared" ca="1" si="195"/>
        <v>D</v>
      </c>
      <c r="EN55" s="301" t="str">
        <f t="shared" ca="1" si="195"/>
        <v>D</v>
      </c>
      <c r="EO55" s="301" t="str">
        <f t="shared" ca="1" si="195"/>
        <v>D</v>
      </c>
      <c r="EP55" s="301" t="str">
        <f t="shared" ca="1" si="195"/>
        <v>D</v>
      </c>
      <c r="EQ55" s="301" t="str">
        <f t="shared" ca="1" si="196"/>
        <v>D</v>
      </c>
      <c r="ER55" s="301" t="str">
        <f t="shared" ca="1" si="196"/>
        <v>D</v>
      </c>
      <c r="ES55" s="301" t="str">
        <f t="shared" ca="1" si="196"/>
        <v>D</v>
      </c>
      <c r="ET55" s="301" t="str">
        <f t="shared" ca="1" si="196"/>
        <v>D</v>
      </c>
      <c r="EU55" s="301" t="str">
        <f t="shared" ca="1" si="196"/>
        <v>D</v>
      </c>
      <c r="EV55" s="301" t="str">
        <f t="shared" ca="1" si="196"/>
        <v>D</v>
      </c>
      <c r="EW55" s="301" t="str">
        <f t="shared" ca="1" si="196"/>
        <v>D</v>
      </c>
      <c r="EX55" s="301" t="str">
        <f t="shared" ca="1" si="196"/>
        <v>D</v>
      </c>
      <c r="EY55" s="301" t="str">
        <f t="shared" ca="1" si="196"/>
        <v>D</v>
      </c>
      <c r="EZ55" s="301" t="str">
        <f t="shared" ca="1" si="196"/>
        <v>D</v>
      </c>
      <c r="FA55" s="301" t="str">
        <f t="shared" ca="1" si="197"/>
        <v>D</v>
      </c>
      <c r="FB55" s="301" t="str">
        <f t="shared" ca="1" si="197"/>
        <v>D</v>
      </c>
      <c r="FC55" s="301" t="str">
        <f t="shared" ca="1" si="197"/>
        <v>D</v>
      </c>
      <c r="FD55" s="301" t="str">
        <f t="shared" ca="1" si="197"/>
        <v>D</v>
      </c>
      <c r="FE55" s="301" t="str">
        <f t="shared" ca="1" si="197"/>
        <v>D</v>
      </c>
      <c r="FF55" s="301" t="str">
        <f t="shared" ca="1" si="197"/>
        <v>D</v>
      </c>
      <c r="FG55" s="301" t="str">
        <f t="shared" ca="1" si="197"/>
        <v>D</v>
      </c>
      <c r="FH55" s="301" t="str">
        <f t="shared" ca="1" si="197"/>
        <v>D</v>
      </c>
      <c r="FI55" s="301" t="str">
        <f t="shared" ca="1" si="197"/>
        <v>D</v>
      </c>
      <c r="FJ55" s="301" t="str">
        <f t="shared" ca="1" si="197"/>
        <v>D</v>
      </c>
      <c r="FK55" s="301" t="str">
        <f t="shared" ca="1" si="197"/>
        <v>D</v>
      </c>
      <c r="FL55" s="301" t="str">
        <f t="shared" ca="1" si="197"/>
        <v>D</v>
      </c>
    </row>
    <row r="56" spans="1:168" x14ac:dyDescent="0.2">
      <c r="A56" s="38" t="str">
        <f t="shared" si="187"/>
        <v>Stimmen imitieren</v>
      </c>
      <c r="B56" s="317" t="str">
        <f t="shared" ca="1" si="106"/>
        <v/>
      </c>
      <c r="C56" s="332" t="str">
        <f ca="1">IF(OR(NOT(ISBLANK(D56)),NOT(ISBLANK(HLOOKUP(RASSEGENE,RASSE,$CD56,FALSE))),
NOT(ISBLANK(HLOOKUP(KULTURGENE,KULTUR,$CD56,FALSE))),
NOT(OR(ISBLANK(HLOOKUP(PROFGENE,INDIRECT(PROFGEBIET),$CD56,FALSE)),$CS56="N",$CS56="M")),
IF(PROFZWEITE="",FALSE,NOT(ISBLANK(HLOOKUP(PROFZWEITE,INDIRECT(PROFGEBIET2),$CD56,FALSE))))),"x","")</f>
        <v/>
      </c>
      <c r="D56" s="1110"/>
      <c r="E56" s="1424"/>
      <c r="F56" s="325"/>
      <c r="G56" s="958"/>
      <c r="H56" s="1196"/>
      <c r="I56" s="326"/>
      <c r="J56" s="1886" t="str">
        <f t="shared" ca="1" si="107"/>
        <v/>
      </c>
      <c r="K56" s="1887"/>
      <c r="L56" s="1887"/>
      <c r="M56" s="1887"/>
      <c r="N56" s="1888"/>
      <c r="O56" s="613" t="str">
        <f t="shared" ca="1" si="108"/>
        <v/>
      </c>
      <c r="P56" s="90"/>
      <c r="Q56" s="25"/>
      <c r="R56" s="1313"/>
      <c r="S56" s="1313"/>
      <c r="T56" s="1315"/>
      <c r="U56" s="1283"/>
      <c r="V56" s="628" t="str">
        <f t="shared" ca="1" si="109"/>
        <v/>
      </c>
      <c r="W56" s="164">
        <f t="shared" ca="1" si="110"/>
        <v>0</v>
      </c>
      <c r="X56" s="164">
        <f t="shared" ca="1" si="111"/>
        <v>0</v>
      </c>
      <c r="Y56" s="164">
        <f t="shared" ca="1" si="112"/>
        <v>0</v>
      </c>
      <c r="Z56" s="164">
        <f t="shared" ca="1" si="113"/>
        <v>0</v>
      </c>
      <c r="AA56" s="164">
        <f t="shared" ca="1" si="114"/>
        <v>0</v>
      </c>
      <c r="AB56" s="164">
        <f t="shared" ca="1" si="115"/>
        <v>0</v>
      </c>
      <c r="AC56" s="164">
        <f t="shared" ca="1" si="116"/>
        <v>0</v>
      </c>
      <c r="AD56" s="164">
        <f t="shared" ca="1" si="117"/>
        <v>0</v>
      </c>
      <c r="AE56" s="164">
        <f t="shared" ca="1" si="118"/>
        <v>0</v>
      </c>
      <c r="AF56" s="164">
        <f t="shared" ca="1" si="119"/>
        <v>0</v>
      </c>
      <c r="AG56" s="164">
        <f t="shared" ca="1" si="120"/>
        <v>0</v>
      </c>
      <c r="AH56" s="164">
        <f t="shared" ca="1" si="121"/>
        <v>0</v>
      </c>
      <c r="AI56" s="164">
        <f t="shared" ca="1" si="122"/>
        <v>0</v>
      </c>
      <c r="AJ56" s="164">
        <f t="shared" ca="1" si="123"/>
        <v>0</v>
      </c>
      <c r="AK56" s="164">
        <f t="shared" ca="1" si="124"/>
        <v>0</v>
      </c>
      <c r="AL56" s="164">
        <f t="shared" ca="1" si="125"/>
        <v>0</v>
      </c>
      <c r="AM56" s="164">
        <f t="shared" ca="1" si="126"/>
        <v>0</v>
      </c>
      <c r="AN56" s="164">
        <f t="shared" ca="1" si="127"/>
        <v>0</v>
      </c>
      <c r="AO56" s="164">
        <f t="shared" ca="1" si="128"/>
        <v>0</v>
      </c>
      <c r="AP56" s="164">
        <f t="shared" ca="1" si="129"/>
        <v>0</v>
      </c>
      <c r="AQ56" s="164">
        <f t="shared" ca="1" si="130"/>
        <v>0</v>
      </c>
      <c r="AR56" s="164">
        <f t="shared" ca="1" si="131"/>
        <v>0</v>
      </c>
      <c r="AS56" s="195"/>
      <c r="AT56" s="154">
        <f t="shared" ca="1" si="132"/>
        <v>0</v>
      </c>
      <c r="AU56" s="154">
        <f t="shared" ca="1" si="133"/>
        <v>0</v>
      </c>
      <c r="AV56" s="154">
        <f t="shared" ca="1" si="134"/>
        <v>0</v>
      </c>
      <c r="AW56" s="154">
        <f t="shared" ca="1" si="135"/>
        <v>0</v>
      </c>
      <c r="AX56" s="154">
        <f t="shared" ca="1" si="136"/>
        <v>0</v>
      </c>
      <c r="AY56" s="154">
        <f t="shared" ca="1" si="137"/>
        <v>0</v>
      </c>
      <c r="AZ56" s="154">
        <f t="shared" ca="1" si="138"/>
        <v>0</v>
      </c>
      <c r="BA56" s="154">
        <f t="shared" ca="1" si="139"/>
        <v>0</v>
      </c>
      <c r="BB56" s="154">
        <f t="shared" ca="1" si="140"/>
        <v>0</v>
      </c>
      <c r="BC56" s="154">
        <f t="shared" ca="1" si="141"/>
        <v>0</v>
      </c>
      <c r="BD56" s="154">
        <f t="shared" ca="1" si="142"/>
        <v>0</v>
      </c>
      <c r="BE56" s="154">
        <f t="shared" ca="1" si="143"/>
        <v>0</v>
      </c>
      <c r="BF56" s="154">
        <f t="shared" ca="1" si="144"/>
        <v>0</v>
      </c>
      <c r="BG56" s="154">
        <f t="shared" ca="1" si="145"/>
        <v>0</v>
      </c>
      <c r="BH56" s="154">
        <f t="shared" ca="1" si="146"/>
        <v>0</v>
      </c>
      <c r="BI56" s="154">
        <f t="shared" ca="1" si="147"/>
        <v>0</v>
      </c>
      <c r="BJ56" s="154">
        <f t="shared" ca="1" si="148"/>
        <v>0</v>
      </c>
      <c r="BK56" s="154">
        <f t="shared" ca="1" si="149"/>
        <v>0</v>
      </c>
      <c r="BL56" s="154">
        <f t="shared" ca="1" si="150"/>
        <v>0</v>
      </c>
      <c r="BM56" s="154">
        <f t="shared" ca="1" si="151"/>
        <v>0</v>
      </c>
      <c r="BN56" s="154">
        <f t="shared" ca="1" si="152"/>
        <v>0</v>
      </c>
      <c r="BO56" s="154">
        <f t="shared" ca="1" si="153"/>
        <v>0</v>
      </c>
      <c r="BP56" s="154">
        <f t="shared" ca="1" si="154"/>
        <v>0</v>
      </c>
      <c r="BQ56" s="154">
        <f t="shared" ca="1" si="155"/>
        <v>0</v>
      </c>
      <c r="BR56" s="154">
        <f t="shared" ca="1" si="156"/>
        <v>0</v>
      </c>
      <c r="BS56" s="154">
        <f t="shared" ca="1" si="157"/>
        <v>0</v>
      </c>
      <c r="BT56" s="154">
        <f t="shared" ca="1" si="158"/>
        <v>0</v>
      </c>
      <c r="BU56" s="154">
        <f t="shared" ca="1" si="159"/>
        <v>0</v>
      </c>
      <c r="BV56" s="154">
        <f t="shared" ca="1" si="160"/>
        <v>0</v>
      </c>
      <c r="BW56" s="154">
        <f t="shared" ca="1" si="161"/>
        <v>0</v>
      </c>
      <c r="BX56" s="154">
        <f t="shared" ca="1" si="162"/>
        <v>0</v>
      </c>
      <c r="BY56" s="154">
        <f t="shared" ca="1" si="163"/>
        <v>0</v>
      </c>
      <c r="BZ56" s="154">
        <f t="shared" si="192"/>
        <v>0</v>
      </c>
      <c r="CA56" s="154">
        <f t="shared" si="164"/>
        <v>0</v>
      </c>
      <c r="CB56" s="154">
        <f t="shared" ca="1" si="165"/>
        <v>0</v>
      </c>
      <c r="CC56" s="523"/>
      <c r="CD56" s="355">
        <f t="shared" si="166"/>
        <v>84</v>
      </c>
      <c r="CE56" s="268" t="str">
        <f t="shared" ca="1" si="167"/>
        <v>D</v>
      </c>
      <c r="CF56" s="355" t="str">
        <f ca="1">IF(EXACT($B56,""),$CF55,CONCATENATE($CF55,$A56))</f>
        <v/>
      </c>
      <c r="CG56" s="268"/>
      <c r="CH56" s="268"/>
      <c r="CI56" s="269">
        <f t="shared" ca="1" si="168"/>
        <v>0</v>
      </c>
      <c r="CJ56" s="269">
        <f t="shared" ca="1" si="169"/>
        <v>0</v>
      </c>
      <c r="CK56" s="268"/>
      <c r="CL56" s="268"/>
      <c r="CM56" s="268">
        <f t="shared" ca="1" si="82"/>
        <v>0</v>
      </c>
      <c r="CN56" s="269">
        <f t="shared" ca="1" si="83"/>
        <v>0</v>
      </c>
      <c r="CO56" s="268" t="str">
        <f t="shared" ca="1" si="170"/>
        <v>D</v>
      </c>
      <c r="CP56" s="269" t="b">
        <f ca="1">IF(NT_ELFWELT,
IF(OR(
RIGHT(HLOOKUP(PROFGENE,INDIRECT(PROFGEBIET),$CD56,FALSE),1)="L",
RIGHT(HLOOKUP(KULTURGENE,KULTUR,$CD56,FALSE),1)="L",
RIGHT(D56)="L"),TRUE,FALSE),
TRUE)</f>
        <v>1</v>
      </c>
      <c r="CQ56" s="269">
        <f t="shared" si="171"/>
        <v>0</v>
      </c>
      <c r="CR56" s="269">
        <f t="shared" si="172"/>
        <v>0</v>
      </c>
      <c r="CS56" s="269">
        <f t="shared" ca="1" si="173"/>
        <v>0</v>
      </c>
      <c r="CT56" s="302" t="str">
        <f t="shared" ca="1" si="174"/>
        <v>0</v>
      </c>
      <c r="CU56" s="269">
        <f t="shared" ca="1" si="175"/>
        <v>0</v>
      </c>
      <c r="CV56" s="268"/>
      <c r="CW56" s="269">
        <f t="shared" ca="1" si="176"/>
        <v>0</v>
      </c>
      <c r="CX56" s="301">
        <f t="shared" ca="1" si="177"/>
        <v>0</v>
      </c>
      <c r="CY56" s="301">
        <f t="shared" ca="1" si="85"/>
        <v>0</v>
      </c>
      <c r="CZ56" s="301">
        <f t="shared" ca="1" si="178"/>
        <v>0</v>
      </c>
      <c r="DA56" s="301">
        <f t="shared" ca="1" si="179"/>
        <v>0</v>
      </c>
      <c r="DB56" t="str">
        <f ca="1">IF(AND(NT_STUBENHKR,G56&gt;2),"Als Stubenhoker max. um 2 steigerbar",IF(AND(NOT(AND(ISBLANK($G56),ISBLANK($I56))),O54&lt;4),"Sinnenschärfe 4+",IF(AND(NOT(ISBLANK($G56)),OR(EXACT($AH$5,$A$41),EXACT($AH$6,$A$41),EXACT($AH$7,$A$41),EXACT($AH$8,$A$41),EXACT($AH$9,$A$41))),"Nicht möglich (Unfähigkeit)!","")))</f>
        <v/>
      </c>
      <c r="DC56" s="301" t="str">
        <f t="shared" ca="1" si="180"/>
        <v/>
      </c>
      <c r="DD56" s="1337" t="str">
        <f t="shared" ca="1" si="189"/>
        <v/>
      </c>
      <c r="DE56" s="1337" t="str">
        <f t="shared" ca="1" si="190"/>
        <v/>
      </c>
      <c r="DG56" s="269" t="str">
        <f t="shared" ca="1" si="181"/>
        <v>Tabellen_Andere!BA119:BF119</v>
      </c>
      <c r="DH56" s="269" t="str">
        <f t="shared" si="191"/>
        <v>Tabellen_Andere!BA119:BF119</v>
      </c>
      <c r="DI56" s="269" t="str">
        <f ca="1">IF(NOT(ISERR(FIND(A56,Abfragen!$O$264,1))),MID(Abfragen!$O$264,FIND("(",Abfragen!$O$264,FIND(A56,Abfragen!$O$264,1)+LEN(A56))+1,FIND(")",Abfragen!$O$264,FIND(A56,Abfragen!$O$264,1)+LEN(A56))-FIND("(",Abfragen!$O$264,FIND(A56,Abfragen!$O$264,1)+LEN(A56))-1),"")</f>
        <v/>
      </c>
      <c r="DJ56" s="301" t="str">
        <f t="shared" ca="1" si="193"/>
        <v>D</v>
      </c>
      <c r="DK56" s="301" t="str">
        <f t="shared" ca="1" si="193"/>
        <v>D</v>
      </c>
      <c r="DL56" s="301" t="str">
        <f t="shared" ca="1" si="193"/>
        <v>D</v>
      </c>
      <c r="DM56" s="301" t="str">
        <f t="shared" ca="1" si="193"/>
        <v>D</v>
      </c>
      <c r="DN56" s="301" t="str">
        <f t="shared" ca="1" si="193"/>
        <v>D</v>
      </c>
      <c r="DO56" s="301" t="str">
        <f t="shared" ca="1" si="193"/>
        <v>D</v>
      </c>
      <c r="DP56" s="301" t="str">
        <f t="shared" ca="1" si="193"/>
        <v>D</v>
      </c>
      <c r="DQ56" s="301" t="str">
        <f t="shared" ca="1" si="193"/>
        <v>D</v>
      </c>
      <c r="DR56" s="301" t="str">
        <f t="shared" ca="1" si="193"/>
        <v>D</v>
      </c>
      <c r="DS56" s="301" t="str">
        <f t="shared" ca="1" si="193"/>
        <v>D</v>
      </c>
      <c r="DT56" s="301" t="str">
        <f t="shared" ca="1" si="194"/>
        <v>D</v>
      </c>
      <c r="DU56" s="301" t="str">
        <f t="shared" ca="1" si="194"/>
        <v>D</v>
      </c>
      <c r="DV56" s="301" t="str">
        <f t="shared" ca="1" si="194"/>
        <v>D</v>
      </c>
      <c r="DW56" s="301" t="str">
        <f t="shared" ca="1" si="194"/>
        <v>D</v>
      </c>
      <c r="DX56" s="301" t="str">
        <f t="shared" ca="1" si="194"/>
        <v>D</v>
      </c>
      <c r="DY56" s="301" t="str">
        <f t="shared" ca="1" si="194"/>
        <v>D</v>
      </c>
      <c r="DZ56" s="301" t="str">
        <f t="shared" ca="1" si="194"/>
        <v>D</v>
      </c>
      <c r="EA56" s="301" t="str">
        <f t="shared" ca="1" si="194"/>
        <v>D</v>
      </c>
      <c r="EB56" s="301" t="str">
        <f t="shared" ca="1" si="194"/>
        <v>D</v>
      </c>
      <c r="EC56" s="301" t="str">
        <f t="shared" ca="1" si="194"/>
        <v>D</v>
      </c>
      <c r="ED56" s="301" t="str">
        <f t="shared" ca="1" si="194"/>
        <v>D</v>
      </c>
      <c r="EE56" s="301" t="str">
        <f t="shared" ca="1" si="194"/>
        <v>D</v>
      </c>
      <c r="EF56" s="205"/>
      <c r="EG56" s="301" t="str">
        <f t="shared" ca="1" si="195"/>
        <v>D</v>
      </c>
      <c r="EH56" s="301" t="str">
        <f t="shared" ca="1" si="195"/>
        <v>D</v>
      </c>
      <c r="EI56" s="301" t="str">
        <f t="shared" ca="1" si="195"/>
        <v>D</v>
      </c>
      <c r="EJ56" s="301" t="str">
        <f t="shared" ca="1" si="195"/>
        <v>D</v>
      </c>
      <c r="EK56" s="301" t="str">
        <f t="shared" ca="1" si="195"/>
        <v>D</v>
      </c>
      <c r="EL56" s="301" t="str">
        <f t="shared" ca="1" si="195"/>
        <v>D</v>
      </c>
      <c r="EM56" s="301" t="str">
        <f t="shared" ca="1" si="195"/>
        <v>D</v>
      </c>
      <c r="EN56" s="301" t="str">
        <f t="shared" ca="1" si="195"/>
        <v>D</v>
      </c>
      <c r="EO56" s="301" t="str">
        <f t="shared" ca="1" si="195"/>
        <v>D</v>
      </c>
      <c r="EP56" s="301" t="str">
        <f t="shared" ca="1" si="195"/>
        <v>D</v>
      </c>
      <c r="EQ56" s="301" t="str">
        <f t="shared" ca="1" si="196"/>
        <v>D</v>
      </c>
      <c r="ER56" s="301" t="str">
        <f t="shared" ca="1" si="196"/>
        <v>D</v>
      </c>
      <c r="ES56" s="301" t="str">
        <f t="shared" ca="1" si="196"/>
        <v>D</v>
      </c>
      <c r="ET56" s="301" t="str">
        <f t="shared" ca="1" si="196"/>
        <v>D</v>
      </c>
      <c r="EU56" s="301" t="str">
        <f t="shared" ca="1" si="196"/>
        <v>D</v>
      </c>
      <c r="EV56" s="301" t="str">
        <f t="shared" ca="1" si="196"/>
        <v>D</v>
      </c>
      <c r="EW56" s="301" t="str">
        <f t="shared" ca="1" si="196"/>
        <v>D</v>
      </c>
      <c r="EX56" s="301" t="str">
        <f t="shared" ca="1" si="196"/>
        <v>D</v>
      </c>
      <c r="EY56" s="301" t="str">
        <f t="shared" ca="1" si="196"/>
        <v>D</v>
      </c>
      <c r="EZ56" s="301" t="str">
        <f t="shared" ca="1" si="196"/>
        <v>D</v>
      </c>
      <c r="FA56" s="301" t="str">
        <f t="shared" ca="1" si="197"/>
        <v>D</v>
      </c>
      <c r="FB56" s="301" t="str">
        <f t="shared" ca="1" si="197"/>
        <v>D</v>
      </c>
      <c r="FC56" s="301" t="str">
        <f t="shared" ca="1" si="197"/>
        <v>D</v>
      </c>
      <c r="FD56" s="301" t="str">
        <f t="shared" ca="1" si="197"/>
        <v>D</v>
      </c>
      <c r="FE56" s="301" t="str">
        <f t="shared" ca="1" si="197"/>
        <v>D</v>
      </c>
      <c r="FF56" s="301" t="str">
        <f t="shared" ca="1" si="197"/>
        <v>D</v>
      </c>
      <c r="FG56" s="301" t="str">
        <f t="shared" ca="1" si="197"/>
        <v>D</v>
      </c>
      <c r="FH56" s="301" t="str">
        <f t="shared" ca="1" si="197"/>
        <v>D</v>
      </c>
      <c r="FI56" s="301" t="str">
        <f t="shared" ca="1" si="197"/>
        <v>D</v>
      </c>
      <c r="FJ56" s="301" t="str">
        <f t="shared" ca="1" si="197"/>
        <v>D</v>
      </c>
      <c r="FK56" s="301" t="str">
        <f t="shared" ca="1" si="197"/>
        <v>D</v>
      </c>
      <c r="FL56" s="301" t="str">
        <f t="shared" ca="1" si="197"/>
        <v>D</v>
      </c>
    </row>
    <row r="57" spans="1:168" x14ac:dyDescent="0.2">
      <c r="A57" s="38" t="str">
        <f t="shared" si="187"/>
        <v>Tanzen</v>
      </c>
      <c r="B57" s="317">
        <f t="shared" ca="1" si="106"/>
        <v>0</v>
      </c>
      <c r="C57" s="332" t="s">
        <v>1321</v>
      </c>
      <c r="D57" s="1110"/>
      <c r="E57" s="1424"/>
      <c r="F57" s="325"/>
      <c r="G57" s="963"/>
      <c r="H57" s="1196"/>
      <c r="I57" s="326"/>
      <c r="J57" s="1886" t="str">
        <f t="shared" ca="1" si="107"/>
        <v/>
      </c>
      <c r="K57" s="1887"/>
      <c r="L57" s="1887"/>
      <c r="M57" s="1887"/>
      <c r="N57" s="1888"/>
      <c r="O57" s="613">
        <f t="shared" ca="1" si="108"/>
        <v>0</v>
      </c>
      <c r="P57" s="90"/>
      <c r="Q57" s="25"/>
      <c r="R57" s="1313"/>
      <c r="S57" s="1313"/>
      <c r="T57" s="1315"/>
      <c r="U57" s="1283"/>
      <c r="V57" s="628" t="str">
        <f t="shared" ca="1" si="109"/>
        <v/>
      </c>
      <c r="W57" s="164">
        <f t="shared" ca="1" si="110"/>
        <v>0</v>
      </c>
      <c r="X57" s="164">
        <f t="shared" ca="1" si="111"/>
        <v>0</v>
      </c>
      <c r="Y57" s="164">
        <f t="shared" ca="1" si="112"/>
        <v>0</v>
      </c>
      <c r="Z57" s="164">
        <f t="shared" ca="1" si="113"/>
        <v>0</v>
      </c>
      <c r="AA57" s="164">
        <f t="shared" ca="1" si="114"/>
        <v>0</v>
      </c>
      <c r="AB57" s="164">
        <f t="shared" ca="1" si="115"/>
        <v>0</v>
      </c>
      <c r="AC57" s="164">
        <f t="shared" ca="1" si="116"/>
        <v>0</v>
      </c>
      <c r="AD57" s="164">
        <f t="shared" ca="1" si="117"/>
        <v>0</v>
      </c>
      <c r="AE57" s="164">
        <f t="shared" ca="1" si="118"/>
        <v>0</v>
      </c>
      <c r="AF57" s="164">
        <f t="shared" ca="1" si="119"/>
        <v>0</v>
      </c>
      <c r="AG57" s="164">
        <f t="shared" ca="1" si="120"/>
        <v>0</v>
      </c>
      <c r="AH57" s="164">
        <f t="shared" ca="1" si="121"/>
        <v>0</v>
      </c>
      <c r="AI57" s="164">
        <f t="shared" ca="1" si="122"/>
        <v>0</v>
      </c>
      <c r="AJ57" s="164">
        <f t="shared" ca="1" si="123"/>
        <v>0</v>
      </c>
      <c r="AK57" s="164">
        <f t="shared" ca="1" si="124"/>
        <v>0</v>
      </c>
      <c r="AL57" s="164">
        <f t="shared" ca="1" si="125"/>
        <v>0</v>
      </c>
      <c r="AM57" s="164">
        <f t="shared" ca="1" si="126"/>
        <v>0</v>
      </c>
      <c r="AN57" s="164">
        <f t="shared" ca="1" si="127"/>
        <v>0</v>
      </c>
      <c r="AO57" s="164">
        <f t="shared" ca="1" si="128"/>
        <v>0</v>
      </c>
      <c r="AP57" s="164">
        <f t="shared" ca="1" si="129"/>
        <v>0</v>
      </c>
      <c r="AQ57" s="164">
        <f t="shared" ca="1" si="130"/>
        <v>0</v>
      </c>
      <c r="AR57" s="164">
        <f t="shared" ca="1" si="131"/>
        <v>0</v>
      </c>
      <c r="AS57" s="195"/>
      <c r="AT57" s="154">
        <f t="shared" ca="1" si="132"/>
        <v>0</v>
      </c>
      <c r="AU57" s="154">
        <f t="shared" ca="1" si="133"/>
        <v>0</v>
      </c>
      <c r="AV57" s="154">
        <f t="shared" ca="1" si="134"/>
        <v>0</v>
      </c>
      <c r="AW57" s="154">
        <f t="shared" ca="1" si="135"/>
        <v>0</v>
      </c>
      <c r="AX57" s="154">
        <f t="shared" ca="1" si="136"/>
        <v>0</v>
      </c>
      <c r="AY57" s="154">
        <f t="shared" ca="1" si="137"/>
        <v>0</v>
      </c>
      <c r="AZ57" s="154">
        <f t="shared" ca="1" si="138"/>
        <v>0</v>
      </c>
      <c r="BA57" s="154">
        <f t="shared" ca="1" si="139"/>
        <v>0</v>
      </c>
      <c r="BB57" s="154">
        <f t="shared" ca="1" si="140"/>
        <v>0</v>
      </c>
      <c r="BC57" s="154">
        <f t="shared" ca="1" si="141"/>
        <v>0</v>
      </c>
      <c r="BD57" s="154">
        <f t="shared" ca="1" si="142"/>
        <v>0</v>
      </c>
      <c r="BE57" s="154">
        <f t="shared" ca="1" si="143"/>
        <v>0</v>
      </c>
      <c r="BF57" s="154">
        <f t="shared" ca="1" si="144"/>
        <v>0</v>
      </c>
      <c r="BG57" s="154">
        <f t="shared" ca="1" si="145"/>
        <v>0</v>
      </c>
      <c r="BH57" s="154">
        <f t="shared" ca="1" si="146"/>
        <v>0</v>
      </c>
      <c r="BI57" s="154">
        <f t="shared" ca="1" si="147"/>
        <v>0</v>
      </c>
      <c r="BJ57" s="154">
        <f t="shared" ca="1" si="148"/>
        <v>0</v>
      </c>
      <c r="BK57" s="154">
        <f t="shared" ca="1" si="149"/>
        <v>0</v>
      </c>
      <c r="BL57" s="154">
        <f t="shared" ca="1" si="150"/>
        <v>0</v>
      </c>
      <c r="BM57" s="154">
        <f t="shared" ca="1" si="151"/>
        <v>0</v>
      </c>
      <c r="BN57" s="154">
        <f t="shared" ca="1" si="152"/>
        <v>0</v>
      </c>
      <c r="BO57" s="154">
        <f t="shared" ca="1" si="153"/>
        <v>0</v>
      </c>
      <c r="BP57" s="154">
        <f t="shared" ca="1" si="154"/>
        <v>0</v>
      </c>
      <c r="BQ57" s="154">
        <f t="shared" ca="1" si="155"/>
        <v>0</v>
      </c>
      <c r="BR57" s="154">
        <f t="shared" ca="1" si="156"/>
        <v>0</v>
      </c>
      <c r="BS57" s="154">
        <f t="shared" ca="1" si="157"/>
        <v>0</v>
      </c>
      <c r="BT57" s="154">
        <f t="shared" ca="1" si="158"/>
        <v>0</v>
      </c>
      <c r="BU57" s="154">
        <f t="shared" ca="1" si="159"/>
        <v>0</v>
      </c>
      <c r="BV57" s="154">
        <f t="shared" ca="1" si="160"/>
        <v>0</v>
      </c>
      <c r="BW57" s="154">
        <f t="shared" ca="1" si="161"/>
        <v>0</v>
      </c>
      <c r="BX57" s="154">
        <f t="shared" ca="1" si="162"/>
        <v>0</v>
      </c>
      <c r="BY57" s="154">
        <f t="shared" ca="1" si="163"/>
        <v>0</v>
      </c>
      <c r="BZ57" s="154">
        <f t="shared" si="192"/>
        <v>0</v>
      </c>
      <c r="CA57" s="154">
        <f t="shared" si="164"/>
        <v>0</v>
      </c>
      <c r="CB57" s="154">
        <f t="shared" ca="1" si="165"/>
        <v>0</v>
      </c>
      <c r="CC57" s="523"/>
      <c r="CD57" s="355">
        <f t="shared" si="166"/>
        <v>85</v>
      </c>
      <c r="CE57" s="268" t="str">
        <f t="shared" ca="1" si="167"/>
        <v>D</v>
      </c>
      <c r="CF57" s="355"/>
      <c r="CG57" s="268"/>
      <c r="CH57" s="268"/>
      <c r="CI57" s="269">
        <f t="shared" ca="1" si="168"/>
        <v>0</v>
      </c>
      <c r="CJ57" s="269">
        <f t="shared" ca="1" si="169"/>
        <v>0</v>
      </c>
      <c r="CK57" s="268"/>
      <c r="CL57" s="271">
        <f>IF(VT_SCHLANGENMENSCH,-1,0)</f>
        <v>0</v>
      </c>
      <c r="CM57" s="268">
        <f t="shared" si="82"/>
        <v>0</v>
      </c>
      <c r="CN57" s="269">
        <f t="shared" ca="1" si="83"/>
        <v>0</v>
      </c>
      <c r="CO57" s="268" t="str">
        <f t="shared" ca="1" si="170"/>
        <v>D</v>
      </c>
      <c r="CP57" s="271" t="b">
        <f>TRUE</f>
        <v>1</v>
      </c>
      <c r="CQ57" s="269">
        <f t="shared" si="171"/>
        <v>0</v>
      </c>
      <c r="CR57" s="269">
        <f t="shared" si="172"/>
        <v>0</v>
      </c>
      <c r="CS57" s="269">
        <f t="shared" ca="1" si="173"/>
        <v>0</v>
      </c>
      <c r="CT57" s="302" t="str">
        <f t="shared" ca="1" si="174"/>
        <v>0</v>
      </c>
      <c r="CU57" s="269">
        <f t="shared" ca="1" si="175"/>
        <v>0</v>
      </c>
      <c r="CV57" s="271">
        <f>IF(VT_SCHLANGENMENSCH,1,0)</f>
        <v>0</v>
      </c>
      <c r="CW57" s="269">
        <f t="shared" ca="1" si="176"/>
        <v>0</v>
      </c>
      <c r="CX57" s="301">
        <f t="shared" ca="1" si="177"/>
        <v>0</v>
      </c>
      <c r="CY57" s="301">
        <f t="shared" ca="1" si="85"/>
        <v>0</v>
      </c>
      <c r="CZ57" s="301">
        <f t="shared" ca="1" si="178"/>
        <v>0</v>
      </c>
      <c r="DA57" s="301">
        <f t="shared" ca="1" si="179"/>
        <v>0</v>
      </c>
      <c r="DB57" t="str">
        <f ca="1">IF(AND(NT_STUBENHKR,G57&gt;2),"Als Stubenhoker max. um 2 steigerbar",IF(AND(NOT(ISBLANK($G57)),OR(EXACT($AH$5,$A$41),EXACT($AH$6,$A$41),EXACT($AH$7,$A$41),EXACT($AH$8,$A$41),EXACT($AH$9,$A$41))),"Nicht möglich (Unfähigkeit)!",""))</f>
        <v/>
      </c>
      <c r="DC57" s="301" t="str">
        <f t="shared" ca="1" si="180"/>
        <v/>
      </c>
      <c r="DD57" s="1337" t="str">
        <f t="shared" ca="1" si="189"/>
        <v/>
      </c>
      <c r="DE57" s="1337" t="str">
        <f t="shared" ca="1" si="190"/>
        <v/>
      </c>
      <c r="DG57" s="269" t="str">
        <f t="shared" ca="1" si="181"/>
        <v>Tabellen_Andere!BA121:BF121</v>
      </c>
      <c r="DH57" s="269" t="str">
        <f t="shared" si="191"/>
        <v>Tabellen_Andere!BA121:BF121</v>
      </c>
      <c r="DI57" s="269" t="str">
        <f ca="1">IF(NOT(ISERR(FIND(A57,Abfragen!$O$264,1))),MID(Abfragen!$O$264,FIND("(",Abfragen!$O$264,FIND(A57,Abfragen!$O$264,1)+LEN(A57))+1,FIND(")",Abfragen!$O$264,FIND(A57,Abfragen!$O$264,1)+LEN(A57))-FIND("(",Abfragen!$O$264,FIND(A57,Abfragen!$O$264,1)+LEN(A57))-1),"")</f>
        <v/>
      </c>
      <c r="DJ57" s="301" t="str">
        <f t="shared" ca="1" si="193"/>
        <v>D</v>
      </c>
      <c r="DK57" s="301" t="str">
        <f t="shared" ca="1" si="193"/>
        <v>D</v>
      </c>
      <c r="DL57" s="301" t="str">
        <f t="shared" ca="1" si="193"/>
        <v>D</v>
      </c>
      <c r="DM57" s="301" t="str">
        <f t="shared" ca="1" si="193"/>
        <v>D</v>
      </c>
      <c r="DN57" s="301" t="str">
        <f t="shared" ca="1" si="193"/>
        <v>D</v>
      </c>
      <c r="DO57" s="301" t="str">
        <f t="shared" ca="1" si="193"/>
        <v>D</v>
      </c>
      <c r="DP57" s="301" t="str">
        <f t="shared" ca="1" si="193"/>
        <v>D</v>
      </c>
      <c r="DQ57" s="301" t="str">
        <f t="shared" ca="1" si="193"/>
        <v>D</v>
      </c>
      <c r="DR57" s="301" t="str">
        <f t="shared" ca="1" si="193"/>
        <v>D</v>
      </c>
      <c r="DS57" s="301" t="str">
        <f t="shared" ca="1" si="193"/>
        <v>D</v>
      </c>
      <c r="DT57" s="301" t="str">
        <f t="shared" ca="1" si="194"/>
        <v>D</v>
      </c>
      <c r="DU57" s="301" t="str">
        <f t="shared" ca="1" si="194"/>
        <v>D</v>
      </c>
      <c r="DV57" s="301" t="str">
        <f t="shared" ca="1" si="194"/>
        <v>D</v>
      </c>
      <c r="DW57" s="301" t="str">
        <f t="shared" ca="1" si="194"/>
        <v>D</v>
      </c>
      <c r="DX57" s="301" t="str">
        <f t="shared" ca="1" si="194"/>
        <v>D</v>
      </c>
      <c r="DY57" s="301" t="str">
        <f t="shared" ca="1" si="194"/>
        <v>D</v>
      </c>
      <c r="DZ57" s="301" t="str">
        <f t="shared" ca="1" si="194"/>
        <v>D</v>
      </c>
      <c r="EA57" s="301" t="str">
        <f t="shared" ca="1" si="194"/>
        <v>D</v>
      </c>
      <c r="EB57" s="301" t="str">
        <f t="shared" ca="1" si="194"/>
        <v>D</v>
      </c>
      <c r="EC57" s="301" t="str">
        <f t="shared" ca="1" si="194"/>
        <v>D</v>
      </c>
      <c r="ED57" s="301" t="str">
        <f t="shared" ca="1" si="194"/>
        <v>D</v>
      </c>
      <c r="EE57" s="301" t="str">
        <f t="shared" ca="1" si="194"/>
        <v>D</v>
      </c>
      <c r="EF57" s="205"/>
      <c r="EG57" s="301" t="str">
        <f t="shared" ca="1" si="195"/>
        <v>D</v>
      </c>
      <c r="EH57" s="301" t="str">
        <f t="shared" ca="1" si="195"/>
        <v>D</v>
      </c>
      <c r="EI57" s="301" t="str">
        <f t="shared" ca="1" si="195"/>
        <v>D</v>
      </c>
      <c r="EJ57" s="301" t="str">
        <f t="shared" ca="1" si="195"/>
        <v>D</v>
      </c>
      <c r="EK57" s="301" t="str">
        <f t="shared" ca="1" si="195"/>
        <v>D</v>
      </c>
      <c r="EL57" s="301" t="str">
        <f t="shared" ca="1" si="195"/>
        <v>D</v>
      </c>
      <c r="EM57" s="301" t="str">
        <f t="shared" ca="1" si="195"/>
        <v>D</v>
      </c>
      <c r="EN57" s="301" t="str">
        <f t="shared" ca="1" si="195"/>
        <v>D</v>
      </c>
      <c r="EO57" s="301" t="str">
        <f t="shared" ca="1" si="195"/>
        <v>D</v>
      </c>
      <c r="EP57" s="301" t="str">
        <f t="shared" ca="1" si="195"/>
        <v>D</v>
      </c>
      <c r="EQ57" s="301" t="str">
        <f t="shared" ca="1" si="196"/>
        <v>D</v>
      </c>
      <c r="ER57" s="301" t="str">
        <f t="shared" ca="1" si="196"/>
        <v>D</v>
      </c>
      <c r="ES57" s="301" t="str">
        <f t="shared" ca="1" si="196"/>
        <v>D</v>
      </c>
      <c r="ET57" s="301" t="str">
        <f t="shared" ca="1" si="196"/>
        <v>D</v>
      </c>
      <c r="EU57" s="301" t="str">
        <f t="shared" ca="1" si="196"/>
        <v>D</v>
      </c>
      <c r="EV57" s="301" t="str">
        <f t="shared" ca="1" si="196"/>
        <v>D</v>
      </c>
      <c r="EW57" s="301" t="str">
        <f t="shared" ca="1" si="196"/>
        <v>D</v>
      </c>
      <c r="EX57" s="301" t="str">
        <f t="shared" ca="1" si="196"/>
        <v>D</v>
      </c>
      <c r="EY57" s="301" t="str">
        <f t="shared" ca="1" si="196"/>
        <v>D</v>
      </c>
      <c r="EZ57" s="301" t="str">
        <f t="shared" ca="1" si="196"/>
        <v>D</v>
      </c>
      <c r="FA57" s="301" t="str">
        <f t="shared" ca="1" si="197"/>
        <v>D</v>
      </c>
      <c r="FB57" s="301" t="str">
        <f t="shared" ca="1" si="197"/>
        <v>D</v>
      </c>
      <c r="FC57" s="301" t="str">
        <f t="shared" ca="1" si="197"/>
        <v>D</v>
      </c>
      <c r="FD57" s="301" t="str">
        <f t="shared" ca="1" si="197"/>
        <v>D</v>
      </c>
      <c r="FE57" s="301" t="str">
        <f t="shared" ca="1" si="197"/>
        <v>D</v>
      </c>
      <c r="FF57" s="301" t="str">
        <f t="shared" ca="1" si="197"/>
        <v>D</v>
      </c>
      <c r="FG57" s="301" t="str">
        <f t="shared" ca="1" si="197"/>
        <v>D</v>
      </c>
      <c r="FH57" s="301" t="str">
        <f t="shared" ca="1" si="197"/>
        <v>D</v>
      </c>
      <c r="FI57" s="301" t="str">
        <f t="shared" ca="1" si="197"/>
        <v>D</v>
      </c>
      <c r="FJ57" s="301" t="str">
        <f t="shared" ca="1" si="197"/>
        <v>D</v>
      </c>
      <c r="FK57" s="301" t="str">
        <f t="shared" ca="1" si="197"/>
        <v>D</v>
      </c>
      <c r="FL57" s="301" t="str">
        <f t="shared" ca="1" si="197"/>
        <v>D</v>
      </c>
    </row>
    <row r="58" spans="1:168" x14ac:dyDescent="0.2">
      <c r="A58" s="38" t="str">
        <f t="shared" si="187"/>
        <v>Taschendiebstahl</v>
      </c>
      <c r="B58" s="317" t="str">
        <f t="shared" ca="1" si="106"/>
        <v/>
      </c>
      <c r="C58" s="332" t="str">
        <f ca="1">IF(OR(NOT(ISBLANK(D58)),NOT(ISBLANK(HLOOKUP(RASSEGENE,RASSE,$CD58,FALSE))),
NOT(ISBLANK(HLOOKUP(KULTURGENE,KULTUR,$CD58,FALSE))),
NOT(OR(ISBLANK(HLOOKUP(PROFGENE,INDIRECT(PROFGEBIET),$CD58,FALSE)),$CS58="N",$CS58="M")),
IF(PROFZWEITE="",FALSE,NOT(ISBLANK(HLOOKUP(PROFZWEITE,INDIRECT(PROFGEBIET2),$CD58,FALSE))))),"x","")</f>
        <v/>
      </c>
      <c r="D58" s="1110"/>
      <c r="E58" s="1424"/>
      <c r="F58" s="325"/>
      <c r="G58" s="958"/>
      <c r="H58" s="1196"/>
      <c r="I58" s="326"/>
      <c r="J58" s="1886" t="str">
        <f t="shared" ca="1" si="107"/>
        <v/>
      </c>
      <c r="K58" s="1887"/>
      <c r="L58" s="1887"/>
      <c r="M58" s="1887"/>
      <c r="N58" s="1888"/>
      <c r="O58" s="613" t="str">
        <f t="shared" ca="1" si="108"/>
        <v/>
      </c>
      <c r="P58" s="90"/>
      <c r="Q58" s="25"/>
      <c r="R58" s="1313"/>
      <c r="S58" s="1313"/>
      <c r="T58" s="1315"/>
      <c r="U58" s="1283"/>
      <c r="V58" s="628" t="str">
        <f t="shared" ca="1" si="109"/>
        <v/>
      </c>
      <c r="W58" s="164">
        <f t="shared" ca="1" si="110"/>
        <v>0</v>
      </c>
      <c r="X58" s="164">
        <f t="shared" ca="1" si="111"/>
        <v>0</v>
      </c>
      <c r="Y58" s="164">
        <f t="shared" ca="1" si="112"/>
        <v>0</v>
      </c>
      <c r="Z58" s="164">
        <f t="shared" ca="1" si="113"/>
        <v>0</v>
      </c>
      <c r="AA58" s="164">
        <f t="shared" ca="1" si="114"/>
        <v>0</v>
      </c>
      <c r="AB58" s="164">
        <f t="shared" ca="1" si="115"/>
        <v>0</v>
      </c>
      <c r="AC58" s="164">
        <f t="shared" ca="1" si="116"/>
        <v>0</v>
      </c>
      <c r="AD58" s="164">
        <f t="shared" ca="1" si="117"/>
        <v>0</v>
      </c>
      <c r="AE58" s="164">
        <f t="shared" ca="1" si="118"/>
        <v>0</v>
      </c>
      <c r="AF58" s="164">
        <f t="shared" ca="1" si="119"/>
        <v>0</v>
      </c>
      <c r="AG58" s="164">
        <f t="shared" ca="1" si="120"/>
        <v>0</v>
      </c>
      <c r="AH58" s="164">
        <f t="shared" ca="1" si="121"/>
        <v>0</v>
      </c>
      <c r="AI58" s="164">
        <f t="shared" ca="1" si="122"/>
        <v>0</v>
      </c>
      <c r="AJ58" s="164">
        <f t="shared" ca="1" si="123"/>
        <v>0</v>
      </c>
      <c r="AK58" s="164">
        <f t="shared" ca="1" si="124"/>
        <v>0</v>
      </c>
      <c r="AL58" s="164">
        <f t="shared" ca="1" si="125"/>
        <v>0</v>
      </c>
      <c r="AM58" s="164">
        <f t="shared" ca="1" si="126"/>
        <v>0</v>
      </c>
      <c r="AN58" s="164">
        <f t="shared" ca="1" si="127"/>
        <v>0</v>
      </c>
      <c r="AO58" s="164">
        <f t="shared" ca="1" si="128"/>
        <v>0</v>
      </c>
      <c r="AP58" s="164">
        <f t="shared" ca="1" si="129"/>
        <v>0</v>
      </c>
      <c r="AQ58" s="164">
        <f t="shared" ca="1" si="130"/>
        <v>0</v>
      </c>
      <c r="AR58" s="164">
        <f t="shared" ca="1" si="131"/>
        <v>0</v>
      </c>
      <c r="AS58" s="195"/>
      <c r="AT58" s="154">
        <f t="shared" ca="1" si="132"/>
        <v>0</v>
      </c>
      <c r="AU58" s="154">
        <f t="shared" ca="1" si="133"/>
        <v>0</v>
      </c>
      <c r="AV58" s="154">
        <f t="shared" ca="1" si="134"/>
        <v>0</v>
      </c>
      <c r="AW58" s="154">
        <f t="shared" ca="1" si="135"/>
        <v>0</v>
      </c>
      <c r="AX58" s="154">
        <f t="shared" ca="1" si="136"/>
        <v>0</v>
      </c>
      <c r="AY58" s="154">
        <f t="shared" ca="1" si="137"/>
        <v>0</v>
      </c>
      <c r="AZ58" s="154">
        <f t="shared" ca="1" si="138"/>
        <v>0</v>
      </c>
      <c r="BA58" s="154">
        <f t="shared" ca="1" si="139"/>
        <v>0</v>
      </c>
      <c r="BB58" s="154">
        <f t="shared" ca="1" si="140"/>
        <v>0</v>
      </c>
      <c r="BC58" s="154">
        <f t="shared" ca="1" si="141"/>
        <v>0</v>
      </c>
      <c r="BD58" s="154">
        <f t="shared" ca="1" si="142"/>
        <v>0</v>
      </c>
      <c r="BE58" s="154">
        <f t="shared" ca="1" si="143"/>
        <v>0</v>
      </c>
      <c r="BF58" s="154">
        <f t="shared" ca="1" si="144"/>
        <v>0</v>
      </c>
      <c r="BG58" s="154">
        <f t="shared" ca="1" si="145"/>
        <v>0</v>
      </c>
      <c r="BH58" s="154">
        <f t="shared" ca="1" si="146"/>
        <v>0</v>
      </c>
      <c r="BI58" s="154">
        <f t="shared" ca="1" si="147"/>
        <v>0</v>
      </c>
      <c r="BJ58" s="154">
        <f t="shared" ca="1" si="148"/>
        <v>0</v>
      </c>
      <c r="BK58" s="154">
        <f t="shared" ca="1" si="149"/>
        <v>0</v>
      </c>
      <c r="BL58" s="154">
        <f t="shared" ca="1" si="150"/>
        <v>0</v>
      </c>
      <c r="BM58" s="154">
        <f t="shared" ca="1" si="151"/>
        <v>0</v>
      </c>
      <c r="BN58" s="154">
        <f t="shared" ca="1" si="152"/>
        <v>0</v>
      </c>
      <c r="BO58" s="154">
        <f t="shared" ca="1" si="153"/>
        <v>0</v>
      </c>
      <c r="BP58" s="154">
        <f t="shared" ca="1" si="154"/>
        <v>0</v>
      </c>
      <c r="BQ58" s="154">
        <f t="shared" ca="1" si="155"/>
        <v>0</v>
      </c>
      <c r="BR58" s="154">
        <f t="shared" ca="1" si="156"/>
        <v>0</v>
      </c>
      <c r="BS58" s="154">
        <f t="shared" ca="1" si="157"/>
        <v>0</v>
      </c>
      <c r="BT58" s="154">
        <f t="shared" ca="1" si="158"/>
        <v>0</v>
      </c>
      <c r="BU58" s="154">
        <f t="shared" ca="1" si="159"/>
        <v>0</v>
      </c>
      <c r="BV58" s="154">
        <f t="shared" ca="1" si="160"/>
        <v>0</v>
      </c>
      <c r="BW58" s="154">
        <f t="shared" ca="1" si="161"/>
        <v>0</v>
      </c>
      <c r="BX58" s="154">
        <f t="shared" ca="1" si="162"/>
        <v>0</v>
      </c>
      <c r="BY58" s="154">
        <f t="shared" ca="1" si="163"/>
        <v>0</v>
      </c>
      <c r="BZ58" s="154">
        <f t="shared" si="192"/>
        <v>0</v>
      </c>
      <c r="CA58" s="154">
        <f t="shared" si="164"/>
        <v>0</v>
      </c>
      <c r="CB58" s="154">
        <f t="shared" ca="1" si="165"/>
        <v>0</v>
      </c>
      <c r="CC58" s="523"/>
      <c r="CD58" s="355">
        <f t="shared" si="166"/>
        <v>86</v>
      </c>
      <c r="CE58" s="268" t="str">
        <f t="shared" ca="1" si="167"/>
        <v>D</v>
      </c>
      <c r="CF58" s="355" t="str">
        <f ca="1">IF(EXACT($B58,""),$CF56,CONCATENATE($CF56,$A58))</f>
        <v/>
      </c>
      <c r="CG58" s="268"/>
      <c r="CH58" s="268"/>
      <c r="CI58" s="269">
        <f t="shared" ca="1" si="168"/>
        <v>0</v>
      </c>
      <c r="CJ58" s="269">
        <f t="shared" ca="1" si="169"/>
        <v>0</v>
      </c>
      <c r="CK58" s="268"/>
      <c r="CL58" s="268"/>
      <c r="CM58" s="268">
        <f t="shared" ca="1" si="82"/>
        <v>0</v>
      </c>
      <c r="CN58" s="269">
        <f t="shared" ca="1" si="83"/>
        <v>0</v>
      </c>
      <c r="CO58" s="268" t="str">
        <f t="shared" ca="1" si="170"/>
        <v>D</v>
      </c>
      <c r="CP58" s="269" t="b">
        <f ca="1">IF(NT_ELFWELT,
IF(OR(
RIGHT(HLOOKUP(PROFGENE,INDIRECT(PROFGEBIET),$CD58,FALSE),1)="L",
RIGHT(HLOOKUP(KULTURGENE,KULTUR,$CD58,FALSE),1)="L",
RIGHT(D58)="L"),TRUE,FALSE),
TRUE)</f>
        <v>1</v>
      </c>
      <c r="CQ58" s="269">
        <f t="shared" si="171"/>
        <v>0</v>
      </c>
      <c r="CR58" s="269">
        <f t="shared" si="172"/>
        <v>0</v>
      </c>
      <c r="CS58" s="269">
        <f t="shared" ca="1" si="173"/>
        <v>0</v>
      </c>
      <c r="CT58" s="302" t="str">
        <f t="shared" ca="1" si="174"/>
        <v>0</v>
      </c>
      <c r="CU58" s="269">
        <f t="shared" ca="1" si="175"/>
        <v>0</v>
      </c>
      <c r="CV58" s="268"/>
      <c r="CW58" s="269">
        <f t="shared" ca="1" si="176"/>
        <v>0</v>
      </c>
      <c r="CX58" s="301">
        <f t="shared" ca="1" si="177"/>
        <v>0</v>
      </c>
      <c r="CY58" s="301">
        <f t="shared" ca="1" si="85"/>
        <v>0</v>
      </c>
      <c r="CZ58" s="301">
        <f t="shared" ca="1" si="178"/>
        <v>0</v>
      </c>
      <c r="DA58" s="301">
        <f t="shared" ca="1" si="179"/>
        <v>0</v>
      </c>
      <c r="DB58" t="str">
        <f ca="1">IF(AND(NT_STUBENHKR,G58&gt;2),"Als Stubenhoker max. um 2 steigerbar",IF(AND(NOT(ISBLANK($I58)),O66&lt;4,SUM(B58,G58,I58)&gt;=10),"Menschenkenntnis 4+",IF(AND(NOT(ISBLANK($G58)),OR(EXACT($AH$5,$A$41),EXACT($AH$6,$A$41),EXACT($AH$7,$A$41),EXACT($AH$8,$A$41),EXACT($AH$9,$A$41))),"Nicht möglich (Unfähigkeit)!","")))</f>
        <v/>
      </c>
      <c r="DC58" s="301" t="str">
        <f t="shared" ca="1" si="180"/>
        <v/>
      </c>
      <c r="DD58" s="1337" t="str">
        <f t="shared" ca="1" si="189"/>
        <v/>
      </c>
      <c r="DE58" s="1337" t="str">
        <f t="shared" ca="1" si="190"/>
        <v/>
      </c>
      <c r="DG58" s="269" t="str">
        <f t="shared" ca="1" si="181"/>
        <v>Tabellen_Andere!BA122:BF122</v>
      </c>
      <c r="DH58" s="269" t="str">
        <f t="shared" si="191"/>
        <v>Tabellen_Andere!BA122:BF122</v>
      </c>
      <c r="DI58" s="269" t="str">
        <f ca="1">IF(NOT(ISERR(FIND(A58,Abfragen!$O$264,1))),MID(Abfragen!$O$264,FIND("(",Abfragen!$O$264,FIND(A58,Abfragen!$O$264,1)+LEN(A58))+1,FIND(")",Abfragen!$O$264,FIND(A58,Abfragen!$O$264,1)+LEN(A58))-FIND("(",Abfragen!$O$264,FIND(A58,Abfragen!$O$264,1)+LEN(A58))-1),"")</f>
        <v/>
      </c>
      <c r="DJ58" s="301" t="str">
        <f t="shared" ca="1" si="193"/>
        <v>D</v>
      </c>
      <c r="DK58" s="301" t="str">
        <f t="shared" ca="1" si="193"/>
        <v>D</v>
      </c>
      <c r="DL58" s="301" t="str">
        <f t="shared" ca="1" si="193"/>
        <v>D</v>
      </c>
      <c r="DM58" s="301" t="str">
        <f t="shared" ca="1" si="193"/>
        <v>D</v>
      </c>
      <c r="DN58" s="301" t="str">
        <f t="shared" ca="1" si="193"/>
        <v>D</v>
      </c>
      <c r="DO58" s="301" t="str">
        <f t="shared" ca="1" si="193"/>
        <v>D</v>
      </c>
      <c r="DP58" s="301" t="str">
        <f t="shared" ca="1" si="193"/>
        <v>D</v>
      </c>
      <c r="DQ58" s="301" t="str">
        <f t="shared" ca="1" si="193"/>
        <v>D</v>
      </c>
      <c r="DR58" s="301" t="str">
        <f t="shared" ca="1" si="193"/>
        <v>D</v>
      </c>
      <c r="DS58" s="301" t="str">
        <f t="shared" ca="1" si="193"/>
        <v>D</v>
      </c>
      <c r="DT58" s="301" t="str">
        <f t="shared" ca="1" si="194"/>
        <v>D</v>
      </c>
      <c r="DU58" s="301" t="str">
        <f t="shared" ca="1" si="194"/>
        <v>D</v>
      </c>
      <c r="DV58" s="301" t="str">
        <f t="shared" ca="1" si="194"/>
        <v>D</v>
      </c>
      <c r="DW58" s="301" t="str">
        <f t="shared" ca="1" si="194"/>
        <v>D</v>
      </c>
      <c r="DX58" s="301" t="str">
        <f t="shared" ca="1" si="194"/>
        <v>D</v>
      </c>
      <c r="DY58" s="301" t="str">
        <f t="shared" ca="1" si="194"/>
        <v>D</v>
      </c>
      <c r="DZ58" s="301" t="str">
        <f t="shared" ca="1" si="194"/>
        <v>D</v>
      </c>
      <c r="EA58" s="301" t="str">
        <f t="shared" ca="1" si="194"/>
        <v>D</v>
      </c>
      <c r="EB58" s="301" t="str">
        <f t="shared" ca="1" si="194"/>
        <v>D</v>
      </c>
      <c r="EC58" s="301" t="str">
        <f t="shared" ca="1" si="194"/>
        <v>D</v>
      </c>
      <c r="ED58" s="301" t="str">
        <f t="shared" ca="1" si="194"/>
        <v>D</v>
      </c>
      <c r="EE58" s="301" t="str">
        <f t="shared" ca="1" si="194"/>
        <v>D</v>
      </c>
      <c r="EF58" s="205"/>
      <c r="EG58" s="301" t="str">
        <f t="shared" ca="1" si="195"/>
        <v>D</v>
      </c>
      <c r="EH58" s="301" t="str">
        <f t="shared" ca="1" si="195"/>
        <v>D</v>
      </c>
      <c r="EI58" s="301" t="str">
        <f t="shared" ca="1" si="195"/>
        <v>D</v>
      </c>
      <c r="EJ58" s="301" t="str">
        <f t="shared" ca="1" si="195"/>
        <v>D</v>
      </c>
      <c r="EK58" s="301" t="str">
        <f t="shared" ca="1" si="195"/>
        <v>D</v>
      </c>
      <c r="EL58" s="301" t="str">
        <f t="shared" ca="1" si="195"/>
        <v>D</v>
      </c>
      <c r="EM58" s="301" t="str">
        <f t="shared" ca="1" si="195"/>
        <v>D</v>
      </c>
      <c r="EN58" s="301" t="str">
        <f t="shared" ca="1" si="195"/>
        <v>D</v>
      </c>
      <c r="EO58" s="301" t="str">
        <f t="shared" ca="1" si="195"/>
        <v>D</v>
      </c>
      <c r="EP58" s="301" t="str">
        <f t="shared" ca="1" si="195"/>
        <v>D</v>
      </c>
      <c r="EQ58" s="301" t="str">
        <f t="shared" ca="1" si="196"/>
        <v>D</v>
      </c>
      <c r="ER58" s="301" t="str">
        <f t="shared" ca="1" si="196"/>
        <v>D</v>
      </c>
      <c r="ES58" s="301" t="str">
        <f t="shared" ca="1" si="196"/>
        <v>D</v>
      </c>
      <c r="ET58" s="301" t="str">
        <f t="shared" ca="1" si="196"/>
        <v>D</v>
      </c>
      <c r="EU58" s="301" t="str">
        <f t="shared" ca="1" si="196"/>
        <v>D</v>
      </c>
      <c r="EV58" s="301" t="str">
        <f t="shared" ca="1" si="196"/>
        <v>D</v>
      </c>
      <c r="EW58" s="301" t="str">
        <f t="shared" ca="1" si="196"/>
        <v>D</v>
      </c>
      <c r="EX58" s="301" t="str">
        <f t="shared" ca="1" si="196"/>
        <v>D</v>
      </c>
      <c r="EY58" s="301" t="str">
        <f t="shared" ca="1" si="196"/>
        <v>D</v>
      </c>
      <c r="EZ58" s="301" t="str">
        <f t="shared" ca="1" si="196"/>
        <v>D</v>
      </c>
      <c r="FA58" s="301" t="str">
        <f t="shared" ca="1" si="197"/>
        <v>D</v>
      </c>
      <c r="FB58" s="301" t="str">
        <f t="shared" ca="1" si="197"/>
        <v>D</v>
      </c>
      <c r="FC58" s="301" t="str">
        <f t="shared" ca="1" si="197"/>
        <v>D</v>
      </c>
      <c r="FD58" s="301" t="str">
        <f t="shared" ca="1" si="197"/>
        <v>D</v>
      </c>
      <c r="FE58" s="301" t="str">
        <f t="shared" ca="1" si="197"/>
        <v>D</v>
      </c>
      <c r="FF58" s="301" t="str">
        <f t="shared" ca="1" si="197"/>
        <v>D</v>
      </c>
      <c r="FG58" s="301" t="str">
        <f t="shared" ca="1" si="197"/>
        <v>D</v>
      </c>
      <c r="FH58" s="301" t="str">
        <f t="shared" ca="1" si="197"/>
        <v>D</v>
      </c>
      <c r="FI58" s="301" t="str">
        <f t="shared" ca="1" si="197"/>
        <v>D</v>
      </c>
      <c r="FJ58" s="301" t="str">
        <f t="shared" ca="1" si="197"/>
        <v>D</v>
      </c>
      <c r="FK58" s="301" t="str">
        <f t="shared" ca="1" si="197"/>
        <v>D</v>
      </c>
      <c r="FL58" s="301" t="str">
        <f t="shared" ca="1" si="197"/>
        <v>D</v>
      </c>
    </row>
    <row r="59" spans="1:168" x14ac:dyDescent="0.2">
      <c r="A59" s="38" t="str">
        <f t="shared" si="187"/>
        <v>Zechen</v>
      </c>
      <c r="B59" s="317">
        <f t="shared" ca="1" si="106"/>
        <v>0</v>
      </c>
      <c r="C59" s="332" t="s">
        <v>1321</v>
      </c>
      <c r="D59" s="1110"/>
      <c r="E59" s="1424"/>
      <c r="F59" s="325"/>
      <c r="G59" s="963"/>
      <c r="H59" s="1196"/>
      <c r="I59" s="326"/>
      <c r="J59" s="1886" t="str">
        <f t="shared" ca="1" si="107"/>
        <v/>
      </c>
      <c r="K59" s="1887"/>
      <c r="L59" s="1887"/>
      <c r="M59" s="1887"/>
      <c r="N59" s="1888"/>
      <c r="O59" s="613">
        <f t="shared" ca="1" si="108"/>
        <v>0</v>
      </c>
      <c r="P59" s="90"/>
      <c r="Q59" s="25"/>
      <c r="R59" s="1313"/>
      <c r="S59" s="1313"/>
      <c r="T59" s="1315"/>
      <c r="U59" s="1283"/>
      <c r="V59" s="628" t="str">
        <f t="shared" ca="1" si="109"/>
        <v/>
      </c>
      <c r="W59" s="164">
        <f t="shared" ca="1" si="110"/>
        <v>0</v>
      </c>
      <c r="X59" s="164">
        <f t="shared" ca="1" si="111"/>
        <v>0</v>
      </c>
      <c r="Y59" s="164">
        <f t="shared" ca="1" si="112"/>
        <v>0</v>
      </c>
      <c r="Z59" s="164">
        <f t="shared" ca="1" si="113"/>
        <v>0</v>
      </c>
      <c r="AA59" s="164">
        <f t="shared" ca="1" si="114"/>
        <v>0</v>
      </c>
      <c r="AB59" s="164">
        <f t="shared" ca="1" si="115"/>
        <v>0</v>
      </c>
      <c r="AC59" s="164">
        <f t="shared" ca="1" si="116"/>
        <v>0</v>
      </c>
      <c r="AD59" s="164">
        <f t="shared" ca="1" si="117"/>
        <v>0</v>
      </c>
      <c r="AE59" s="164">
        <f t="shared" ca="1" si="118"/>
        <v>0</v>
      </c>
      <c r="AF59" s="164">
        <f t="shared" ca="1" si="119"/>
        <v>0</v>
      </c>
      <c r="AG59" s="164">
        <f t="shared" ca="1" si="120"/>
        <v>0</v>
      </c>
      <c r="AH59" s="164">
        <f t="shared" ca="1" si="121"/>
        <v>0</v>
      </c>
      <c r="AI59" s="164">
        <f t="shared" ca="1" si="122"/>
        <v>0</v>
      </c>
      <c r="AJ59" s="164">
        <f t="shared" ca="1" si="123"/>
        <v>0</v>
      </c>
      <c r="AK59" s="164">
        <f t="shared" ca="1" si="124"/>
        <v>0</v>
      </c>
      <c r="AL59" s="164">
        <f t="shared" ca="1" si="125"/>
        <v>0</v>
      </c>
      <c r="AM59" s="164">
        <f t="shared" ca="1" si="126"/>
        <v>0</v>
      </c>
      <c r="AN59" s="164">
        <f t="shared" ca="1" si="127"/>
        <v>0</v>
      </c>
      <c r="AO59" s="164">
        <f t="shared" ca="1" si="128"/>
        <v>0</v>
      </c>
      <c r="AP59" s="164">
        <f t="shared" ca="1" si="129"/>
        <v>0</v>
      </c>
      <c r="AQ59" s="164">
        <f t="shared" ca="1" si="130"/>
        <v>0</v>
      </c>
      <c r="AR59" s="164">
        <f t="shared" ca="1" si="131"/>
        <v>0</v>
      </c>
      <c r="AS59" s="195"/>
      <c r="AT59" s="154">
        <f t="shared" ca="1" si="132"/>
        <v>0</v>
      </c>
      <c r="AU59" s="154">
        <f t="shared" ca="1" si="133"/>
        <v>0</v>
      </c>
      <c r="AV59" s="154">
        <f t="shared" ca="1" si="134"/>
        <v>0</v>
      </c>
      <c r="AW59" s="154">
        <f t="shared" ca="1" si="135"/>
        <v>0</v>
      </c>
      <c r="AX59" s="154">
        <f t="shared" ca="1" si="136"/>
        <v>0</v>
      </c>
      <c r="AY59" s="154">
        <f t="shared" ca="1" si="137"/>
        <v>0</v>
      </c>
      <c r="AZ59" s="154">
        <f t="shared" ca="1" si="138"/>
        <v>0</v>
      </c>
      <c r="BA59" s="154">
        <f t="shared" ca="1" si="139"/>
        <v>0</v>
      </c>
      <c r="BB59" s="154">
        <f t="shared" ca="1" si="140"/>
        <v>0</v>
      </c>
      <c r="BC59" s="154">
        <f t="shared" ca="1" si="141"/>
        <v>0</v>
      </c>
      <c r="BD59" s="154">
        <f t="shared" ca="1" si="142"/>
        <v>0</v>
      </c>
      <c r="BE59" s="154">
        <f t="shared" ca="1" si="143"/>
        <v>0</v>
      </c>
      <c r="BF59" s="154">
        <f t="shared" ca="1" si="144"/>
        <v>0</v>
      </c>
      <c r="BG59" s="154">
        <f t="shared" ca="1" si="145"/>
        <v>0</v>
      </c>
      <c r="BH59" s="154">
        <f t="shared" ca="1" si="146"/>
        <v>0</v>
      </c>
      <c r="BI59" s="154">
        <f t="shared" ca="1" si="147"/>
        <v>0</v>
      </c>
      <c r="BJ59" s="154">
        <f t="shared" ca="1" si="148"/>
        <v>0</v>
      </c>
      <c r="BK59" s="154">
        <f t="shared" ca="1" si="149"/>
        <v>0</v>
      </c>
      <c r="BL59" s="154">
        <f t="shared" ca="1" si="150"/>
        <v>0</v>
      </c>
      <c r="BM59" s="154">
        <f t="shared" ca="1" si="151"/>
        <v>0</v>
      </c>
      <c r="BN59" s="154">
        <f t="shared" ca="1" si="152"/>
        <v>0</v>
      </c>
      <c r="BO59" s="154">
        <f t="shared" ca="1" si="153"/>
        <v>0</v>
      </c>
      <c r="BP59" s="154">
        <f t="shared" ca="1" si="154"/>
        <v>0</v>
      </c>
      <c r="BQ59" s="154">
        <f t="shared" ca="1" si="155"/>
        <v>0</v>
      </c>
      <c r="BR59" s="154">
        <f t="shared" ca="1" si="156"/>
        <v>0</v>
      </c>
      <c r="BS59" s="154">
        <f t="shared" ca="1" si="157"/>
        <v>0</v>
      </c>
      <c r="BT59" s="154">
        <f t="shared" ca="1" si="158"/>
        <v>0</v>
      </c>
      <c r="BU59" s="154">
        <f t="shared" ca="1" si="159"/>
        <v>0</v>
      </c>
      <c r="BV59" s="154">
        <f t="shared" ca="1" si="160"/>
        <v>0</v>
      </c>
      <c r="BW59" s="154">
        <f t="shared" ca="1" si="161"/>
        <v>0</v>
      </c>
      <c r="BX59" s="154">
        <f t="shared" ca="1" si="162"/>
        <v>0</v>
      </c>
      <c r="BY59" s="154">
        <f t="shared" ca="1" si="163"/>
        <v>0</v>
      </c>
      <c r="BZ59" s="154">
        <f t="shared" si="192"/>
        <v>0</v>
      </c>
      <c r="CA59" s="154">
        <f t="shared" si="164"/>
        <v>0</v>
      </c>
      <c r="CB59" s="154">
        <f t="shared" ca="1" si="165"/>
        <v>0</v>
      </c>
      <c r="CC59" s="523"/>
      <c r="CD59" s="355">
        <f t="shared" si="166"/>
        <v>87</v>
      </c>
      <c r="CE59" s="268" t="str">
        <f t="shared" ca="1" si="167"/>
        <v>D</v>
      </c>
      <c r="CF59" s="355"/>
      <c r="CG59" s="268"/>
      <c r="CH59" s="268"/>
      <c r="CI59" s="269">
        <f t="shared" ca="1" si="168"/>
        <v>0</v>
      </c>
      <c r="CJ59" s="269">
        <f t="shared" ca="1" si="169"/>
        <v>0</v>
      </c>
      <c r="CK59" s="268"/>
      <c r="CL59" s="268"/>
      <c r="CM59" s="268">
        <f t="shared" ca="1" si="82"/>
        <v>0</v>
      </c>
      <c r="CN59" s="269">
        <f t="shared" ca="1" si="83"/>
        <v>0</v>
      </c>
      <c r="CO59" s="268" t="str">
        <f t="shared" ca="1" si="170"/>
        <v>D</v>
      </c>
      <c r="CP59" s="269" t="b">
        <f ca="1">IF(NT_ELFWELT,
IF(OR(
RIGHT(HLOOKUP(PROFGENE,INDIRECT(PROFGEBIET),$CD59,FALSE),1)="L",
RIGHT(HLOOKUP(KULTURGENE,KULTUR,$CD59,FALSE),1)="L",
RIGHT(D59)="L"),TRUE,FALSE),
TRUE)</f>
        <v>1</v>
      </c>
      <c r="CQ59" s="269">
        <f t="shared" si="171"/>
        <v>0</v>
      </c>
      <c r="CR59" s="269">
        <f t="shared" si="172"/>
        <v>0</v>
      </c>
      <c r="CS59" s="269">
        <f t="shared" ca="1" si="173"/>
        <v>0</v>
      </c>
      <c r="CT59" s="302" t="str">
        <f t="shared" ca="1" si="174"/>
        <v>0</v>
      </c>
      <c r="CU59" s="269">
        <f t="shared" ca="1" si="175"/>
        <v>0</v>
      </c>
      <c r="CV59" s="268"/>
      <c r="CW59" s="269">
        <f t="shared" ca="1" si="176"/>
        <v>0</v>
      </c>
      <c r="CX59" s="301">
        <f t="shared" ca="1" si="177"/>
        <v>0</v>
      </c>
      <c r="CY59" s="301">
        <f t="shared" ca="1" si="85"/>
        <v>0</v>
      </c>
      <c r="CZ59" s="301">
        <f t="shared" ca="1" si="178"/>
        <v>0</v>
      </c>
      <c r="DA59" s="301">
        <f t="shared" ca="1" si="179"/>
        <v>0</v>
      </c>
      <c r="DB59" t="str">
        <f ca="1">IF(AND(NT_STUBENHKR,G59&gt;2),"Als Stubenhoker max. um 2 steigerbar",IF(AND(NOT(ISBLANK($G59)),OR(EXACT($AH$5,$A$41),EXACT($AH$6,$A$41),EXACT($AH$7,$A$41),EXACT($AH$8,$A$41),EXACT($AH$9,$A$41))),"Nicht möglich (Unfähigkeit)!",""))</f>
        <v/>
      </c>
      <c r="DC59" s="301" t="str">
        <f t="shared" ca="1" si="180"/>
        <v/>
      </c>
      <c r="DD59" s="1337" t="str">
        <f t="shared" ca="1" si="189"/>
        <v/>
      </c>
      <c r="DE59" s="1337" t="str">
        <f t="shared" ca="1" si="190"/>
        <v/>
      </c>
      <c r="DG59" s="269" t="str">
        <f t="shared" ca="1" si="181"/>
        <v>Tabellen_Andere!BA136:BF136</v>
      </c>
      <c r="DH59" s="269" t="str">
        <f t="shared" si="191"/>
        <v>Tabellen_Andere!BA136:BF136</v>
      </c>
      <c r="DI59" s="269" t="str">
        <f ca="1">IF(NOT(ISERR(FIND(A59,Abfragen!$O$264,1))),MID(Abfragen!$O$264,FIND("(",Abfragen!$O$264,FIND(A59,Abfragen!$O$264,1)+LEN(A59))+1,FIND(")",Abfragen!$O$264,FIND(A59,Abfragen!$O$264,1)+LEN(A59))-FIND("(",Abfragen!$O$264,FIND(A59,Abfragen!$O$264,1)+LEN(A59))-1),"")</f>
        <v/>
      </c>
      <c r="DJ59" s="301" t="str">
        <f t="shared" ca="1" si="193"/>
        <v>D</v>
      </c>
      <c r="DK59" s="301" t="str">
        <f t="shared" ca="1" si="193"/>
        <v>D</v>
      </c>
      <c r="DL59" s="301" t="str">
        <f t="shared" ca="1" si="193"/>
        <v>D</v>
      </c>
      <c r="DM59" s="301" t="str">
        <f t="shared" ca="1" si="193"/>
        <v>D</v>
      </c>
      <c r="DN59" s="301" t="str">
        <f t="shared" ca="1" si="193"/>
        <v>D</v>
      </c>
      <c r="DO59" s="301" t="str">
        <f t="shared" ca="1" si="193"/>
        <v>D</v>
      </c>
      <c r="DP59" s="301" t="str">
        <f t="shared" ca="1" si="193"/>
        <v>D</v>
      </c>
      <c r="DQ59" s="301" t="str">
        <f t="shared" ca="1" si="193"/>
        <v>D</v>
      </c>
      <c r="DR59" s="301" t="str">
        <f t="shared" ca="1" si="193"/>
        <v>D</v>
      </c>
      <c r="DS59" s="301" t="str">
        <f t="shared" ca="1" si="193"/>
        <v>D</v>
      </c>
      <c r="DT59" s="301" t="str">
        <f t="shared" ca="1" si="194"/>
        <v>D</v>
      </c>
      <c r="DU59" s="301" t="str">
        <f t="shared" ca="1" si="194"/>
        <v>D</v>
      </c>
      <c r="DV59" s="301" t="str">
        <f t="shared" ca="1" si="194"/>
        <v>D</v>
      </c>
      <c r="DW59" s="301" t="str">
        <f t="shared" ca="1" si="194"/>
        <v>D</v>
      </c>
      <c r="DX59" s="301" t="str">
        <f t="shared" ca="1" si="194"/>
        <v>D</v>
      </c>
      <c r="DY59" s="301" t="str">
        <f t="shared" ca="1" si="194"/>
        <v>D</v>
      </c>
      <c r="DZ59" s="301" t="str">
        <f t="shared" ca="1" si="194"/>
        <v>D</v>
      </c>
      <c r="EA59" s="301" t="str">
        <f t="shared" ca="1" si="194"/>
        <v>D</v>
      </c>
      <c r="EB59" s="301" t="str">
        <f t="shared" ca="1" si="194"/>
        <v>D</v>
      </c>
      <c r="EC59" s="301" t="str">
        <f t="shared" ca="1" si="194"/>
        <v>D</v>
      </c>
      <c r="ED59" s="301" t="str">
        <f t="shared" ca="1" si="194"/>
        <v>D</v>
      </c>
      <c r="EE59" s="301" t="str">
        <f t="shared" ca="1" si="194"/>
        <v>D</v>
      </c>
      <c r="EF59" s="205"/>
      <c r="EG59" s="301" t="str">
        <f t="shared" ca="1" si="195"/>
        <v>D</v>
      </c>
      <c r="EH59" s="301" t="str">
        <f t="shared" ca="1" si="195"/>
        <v>D</v>
      </c>
      <c r="EI59" s="301" t="str">
        <f t="shared" ca="1" si="195"/>
        <v>D</v>
      </c>
      <c r="EJ59" s="301" t="str">
        <f t="shared" ca="1" si="195"/>
        <v>D</v>
      </c>
      <c r="EK59" s="301" t="str">
        <f t="shared" ca="1" si="195"/>
        <v>D</v>
      </c>
      <c r="EL59" s="301" t="str">
        <f t="shared" ca="1" si="195"/>
        <v>D</v>
      </c>
      <c r="EM59" s="301" t="str">
        <f t="shared" ca="1" si="195"/>
        <v>D</v>
      </c>
      <c r="EN59" s="301" t="str">
        <f t="shared" ca="1" si="195"/>
        <v>D</v>
      </c>
      <c r="EO59" s="301" t="str">
        <f t="shared" ca="1" si="195"/>
        <v>D</v>
      </c>
      <c r="EP59" s="301" t="str">
        <f t="shared" ca="1" si="195"/>
        <v>D</v>
      </c>
      <c r="EQ59" s="301" t="str">
        <f t="shared" ca="1" si="196"/>
        <v>D</v>
      </c>
      <c r="ER59" s="301" t="str">
        <f t="shared" ca="1" si="196"/>
        <v>D</v>
      </c>
      <c r="ES59" s="301" t="str">
        <f t="shared" ca="1" si="196"/>
        <v>D</v>
      </c>
      <c r="ET59" s="301" t="str">
        <f t="shared" ca="1" si="196"/>
        <v>D</v>
      </c>
      <c r="EU59" s="301" t="str">
        <f t="shared" ca="1" si="196"/>
        <v>D</v>
      </c>
      <c r="EV59" s="301" t="str">
        <f t="shared" ca="1" si="196"/>
        <v>D</v>
      </c>
      <c r="EW59" s="301" t="str">
        <f t="shared" ca="1" si="196"/>
        <v>D</v>
      </c>
      <c r="EX59" s="301" t="str">
        <f t="shared" ca="1" si="196"/>
        <v>D</v>
      </c>
      <c r="EY59" s="301" t="str">
        <f t="shared" ca="1" si="196"/>
        <v>D</v>
      </c>
      <c r="EZ59" s="301" t="str">
        <f t="shared" ca="1" si="196"/>
        <v>D</v>
      </c>
      <c r="FA59" s="301" t="str">
        <f t="shared" ca="1" si="197"/>
        <v>D</v>
      </c>
      <c r="FB59" s="301" t="str">
        <f t="shared" ca="1" si="197"/>
        <v>D</v>
      </c>
      <c r="FC59" s="301" t="str">
        <f t="shared" ca="1" si="197"/>
        <v>D</v>
      </c>
      <c r="FD59" s="301" t="str">
        <f t="shared" ca="1" si="197"/>
        <v>D</v>
      </c>
      <c r="FE59" s="301" t="str">
        <f t="shared" ca="1" si="197"/>
        <v>D</v>
      </c>
      <c r="FF59" s="301" t="str">
        <f t="shared" ca="1" si="197"/>
        <v>D</v>
      </c>
      <c r="FG59" s="301" t="str">
        <f t="shared" ca="1" si="197"/>
        <v>D</v>
      </c>
      <c r="FH59" s="301" t="str">
        <f t="shared" ca="1" si="197"/>
        <v>D</v>
      </c>
      <c r="FI59" s="301" t="str">
        <f t="shared" ca="1" si="197"/>
        <v>D</v>
      </c>
      <c r="FJ59" s="301" t="str">
        <f t="shared" ca="1" si="197"/>
        <v>D</v>
      </c>
      <c r="FK59" s="301" t="str">
        <f t="shared" ca="1" si="197"/>
        <v>D</v>
      </c>
      <c r="FL59" s="301" t="str">
        <f t="shared" ca="1" si="197"/>
        <v>D</v>
      </c>
    </row>
    <row r="60" spans="1:168" ht="15.75" x14ac:dyDescent="0.25">
      <c r="A60" s="300" t="str">
        <f>INDEX(BEGABUNFAEH,5)</f>
        <v>Gesellschftl. Talente</v>
      </c>
      <c r="B60" s="131"/>
      <c r="C60" s="1456" t="str">
        <f ca="1">IF(OR(VT_VETERAN,VT_BBILDUNG),
IF(COUNTIF($W$13:$W$157,"&lt;&gt;0")&gt;8,"Mehr als 8 Talente aktiviert",""),
IF(COUNTIF($W$13:$W$157,"&lt;&gt;0")&gt;5,"Mehr als 5 Talente aktiviert",""))</f>
        <v/>
      </c>
      <c r="D60" s="1456"/>
      <c r="E60" s="1456"/>
      <c r="F60" s="1456"/>
      <c r="G60" s="1456"/>
      <c r="H60" s="1456"/>
      <c r="I60" s="1456"/>
      <c r="J60" s="1879" t="str">
        <f ca="1">IF(APGUT&lt;0,"Keine AP mehr übrig!",IF(TL_GP_UEBRIG&lt;0,"Keine Start-AP mehr übrig!",IF(STARTAP2_UEBRIG&lt;0,"Keine 2. Prof.-Start-AP mehr übrig!","▼ Fehlermeldungen ▼  "&amp;"(AP: "&amp;APGUT&amp;")")))</f>
        <v>▼ Fehlermeldungen ▼  (AP: 0)</v>
      </c>
      <c r="K60" s="1879"/>
      <c r="L60" s="1879"/>
      <c r="M60" s="1879"/>
      <c r="N60" s="1879"/>
      <c r="O60" s="749" t="s">
        <v>718</v>
      </c>
      <c r="P60" s="90"/>
      <c r="Q60" s="25"/>
      <c r="R60" s="1126"/>
      <c r="S60" s="1126"/>
      <c r="T60" s="1126"/>
      <c r="U60" s="1126"/>
      <c r="V60" s="1126" t="s">
        <v>2638</v>
      </c>
      <c r="W60" s="134">
        <v>0</v>
      </c>
      <c r="X60" s="6">
        <v>1</v>
      </c>
      <c r="Y60" s="6">
        <v>2</v>
      </c>
      <c r="Z60" s="6">
        <v>3</v>
      </c>
      <c r="AA60" s="6">
        <v>4</v>
      </c>
      <c r="AB60" s="6">
        <v>5</v>
      </c>
      <c r="AC60" s="6">
        <v>6</v>
      </c>
      <c r="AD60" s="6">
        <v>7</v>
      </c>
      <c r="AE60" s="6">
        <v>8</v>
      </c>
      <c r="AF60" s="6">
        <v>9</v>
      </c>
      <c r="AG60" s="6">
        <v>10</v>
      </c>
      <c r="AH60" s="6">
        <v>11</v>
      </c>
      <c r="AI60" s="6">
        <v>12</v>
      </c>
      <c r="AJ60" s="6">
        <v>13</v>
      </c>
      <c r="AK60" s="6">
        <v>14</v>
      </c>
      <c r="AL60" s="6">
        <v>15</v>
      </c>
      <c r="AM60" s="6">
        <v>16</v>
      </c>
      <c r="AN60" s="6">
        <v>17</v>
      </c>
      <c r="AO60" s="6">
        <v>18</v>
      </c>
      <c r="AP60" s="6">
        <v>19</v>
      </c>
      <c r="AQ60" s="6">
        <v>20</v>
      </c>
      <c r="AR60" s="6">
        <v>21</v>
      </c>
      <c r="AS60" s="194"/>
      <c r="AT60" s="134">
        <v>0</v>
      </c>
      <c r="AU60" s="6">
        <v>1</v>
      </c>
      <c r="AV60" s="6">
        <v>2</v>
      </c>
      <c r="AW60" s="6">
        <v>3</v>
      </c>
      <c r="AX60" s="6">
        <v>4</v>
      </c>
      <c r="AY60" s="6">
        <v>5</v>
      </c>
      <c r="AZ60" s="6">
        <v>6</v>
      </c>
      <c r="BA60" s="6">
        <v>7</v>
      </c>
      <c r="BB60" s="6">
        <v>8</v>
      </c>
      <c r="BC60" s="6">
        <v>9</v>
      </c>
      <c r="BD60" s="6">
        <v>10</v>
      </c>
      <c r="BE60" s="6">
        <v>11</v>
      </c>
      <c r="BF60" s="6">
        <v>12</v>
      </c>
      <c r="BG60" s="6">
        <v>13</v>
      </c>
      <c r="BH60" s="6">
        <v>14</v>
      </c>
      <c r="BI60" s="6">
        <v>15</v>
      </c>
      <c r="BJ60" s="6">
        <v>16</v>
      </c>
      <c r="BK60" s="6">
        <v>17</v>
      </c>
      <c r="BL60" s="6">
        <v>18</v>
      </c>
      <c r="BM60" s="6">
        <v>19</v>
      </c>
      <c r="BN60" s="6">
        <v>20</v>
      </c>
      <c r="BO60" s="6">
        <v>21</v>
      </c>
      <c r="BP60" s="6">
        <v>22</v>
      </c>
      <c r="BQ60" s="6">
        <v>23</v>
      </c>
      <c r="BR60" s="6">
        <v>24</v>
      </c>
      <c r="BS60" s="6">
        <v>25</v>
      </c>
      <c r="BT60" s="6">
        <v>26</v>
      </c>
      <c r="BU60" s="6">
        <v>27</v>
      </c>
      <c r="BV60" s="6">
        <v>28</v>
      </c>
      <c r="BW60" s="6">
        <v>29</v>
      </c>
      <c r="BX60" s="6">
        <v>30</v>
      </c>
      <c r="BY60" s="6">
        <v>31</v>
      </c>
      <c r="BZ60" s="6" t="s">
        <v>3170</v>
      </c>
      <c r="CA60" s="6" t="s">
        <v>3170</v>
      </c>
      <c r="CB60" s="6" t="s">
        <v>3170</v>
      </c>
      <c r="CC60" s="90"/>
      <c r="CD60" s="90"/>
      <c r="CE60" s="90" t="s">
        <v>1480</v>
      </c>
      <c r="CF60" s="90" t="str">
        <f ca="1">$CF58</f>
        <v/>
      </c>
      <c r="CG60" s="90"/>
      <c r="CH60" s="90"/>
      <c r="CI60" s="90"/>
      <c r="CJ60" s="90"/>
      <c r="CK60" s="90"/>
      <c r="CL60" s="90"/>
      <c r="CM60" s="90"/>
      <c r="CN60" s="90"/>
      <c r="CO60" s="90"/>
      <c r="CP60" s="90"/>
      <c r="CQ60" s="90"/>
      <c r="CR60" s="90"/>
      <c r="CS60" s="90"/>
      <c r="CT60" s="90"/>
      <c r="CU60" s="90"/>
      <c r="CV60" s="90"/>
      <c r="CW60" s="90"/>
      <c r="CX60" s="90"/>
      <c r="CY60" s="90"/>
      <c r="CZ60" s="90"/>
      <c r="DA60" s="90"/>
      <c r="DC60" s="90"/>
      <c r="DD60" s="90"/>
      <c r="DE60" s="90"/>
      <c r="DF60" s="90"/>
      <c r="DG60" s="90"/>
      <c r="DH60" s="90"/>
      <c r="DI60" s="90" t="str">
        <f ca="1">IF(NOT(ISERR(FIND(A60,Abfragen!$O$264,1))),MID(Abfragen!$O$264,FIND("(",Abfragen!$O$264,FIND(A60,Abfragen!$O$264,1)+LEN(A60))+1,FIND(")",Abfragen!$O$264,FIND(A60,Abfragen!$O$264,1)+LEN(A60))-FIND("(",Abfragen!$O$264,FIND(A60,Abfragen!$O$264,1)+LEN(A60))-1),"")</f>
        <v/>
      </c>
      <c r="DJ60" s="134"/>
      <c r="DK60" s="134"/>
      <c r="DL60" s="134"/>
      <c r="DM60" s="134"/>
      <c r="DN60" s="134"/>
      <c r="DO60" s="134"/>
      <c r="DP60" s="134"/>
      <c r="DQ60" s="134"/>
      <c r="DR60" s="134"/>
      <c r="DS60" s="134"/>
      <c r="DT60" s="134"/>
      <c r="DU60" s="134"/>
      <c r="DV60" s="134"/>
      <c r="DW60" s="134"/>
      <c r="DX60" s="134"/>
      <c r="DY60" s="134"/>
      <c r="DZ60" s="134"/>
      <c r="EA60" s="134"/>
      <c r="EB60" s="134"/>
      <c r="EC60" s="134"/>
      <c r="ED60" s="134"/>
      <c r="EE60" s="134"/>
      <c r="EF60" s="205"/>
      <c r="EG60" s="72" t="s">
        <v>6718</v>
      </c>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c r="FK60" s="134"/>
      <c r="FL60" s="134"/>
    </row>
    <row r="61" spans="1:168" x14ac:dyDescent="0.2">
      <c r="A61" s="24" t="str">
        <f>INDEX(TL_GES,ROW()-60)</f>
        <v>Betören</v>
      </c>
      <c r="B61" s="317" t="str">
        <f t="shared" ref="B61:B71" ca="1" si="198">IF(AND(OR(NOT(ISBLANK($D61)),NOT(ISBLANK($G61)),NOT(ISBLANK($I61))),EXACT($C61,"")),0,IF(EXACT($C61,""),"",
SUM(CX61,IF(ISERROR(FIND("L",D61,1)),D61,LEFT(D61,LEN(D61)-1)))
))</f>
        <v/>
      </c>
      <c r="C61" s="332" t="str">
        <f ca="1">IF(OR(NOT(ISBLANK(D61)),NOT(ISBLANK(HLOOKUP(RASSEGENE,RASSE,$CD61,FALSE))),
NOT(ISBLANK(HLOOKUP(KULTURGENE,KULTUR,$CD61,FALSE))),
NOT(OR(ISBLANK(HLOOKUP(PROFGENE,INDIRECT(PROFGEBIET),$CD61,FALSE)),$CS61="N",$CS61="M")),
IF(PROFZWEITE="",FALSE,NOT(ISBLANK(HLOOKUP(PROFZWEITE,INDIRECT(PROFGEBIET2),$CD61,FALSE))))),"x","")</f>
        <v/>
      </c>
      <c r="D61" s="1110"/>
      <c r="E61" s="966"/>
      <c r="F61" s="325"/>
      <c r="G61" s="958"/>
      <c r="H61" s="1196"/>
      <c r="I61" s="326"/>
      <c r="J61" s="1880" t="str">
        <f t="shared" ref="J61:J71" ca="1" si="199">DB61&amp;DC61</f>
        <v/>
      </c>
      <c r="K61" s="1881"/>
      <c r="L61" s="1881"/>
      <c r="M61" s="1881"/>
      <c r="N61" s="1882"/>
      <c r="O61" s="613" t="str">
        <f t="shared" ref="O61:O71" ca="1" si="200">IF(AND(EXACT($B61,""),ISBLANK($G61),ISBLANK($I61)),"",IF(AND(EXACT($C61,""),ISBLANK(G61),ISBLANK(I61)),"",SUM($B61,G61,$I61)))</f>
        <v/>
      </c>
      <c r="P61" s="90"/>
      <c r="Q61" s="25"/>
      <c r="R61" s="1313"/>
      <c r="S61" s="1313"/>
      <c r="T61" s="1315"/>
      <c r="U61" s="1283"/>
      <c r="V61" s="628" t="str">
        <f t="shared" ref="V61:V71" ca="1" si="201">IF(R61="",IF(DI61="","","Wählen:"&amp;DI61),IF(DI61="",IF(O61&lt;7,"Taw&lt;7",IF(S61="","",IF(O61&lt;14,"Taw&lt;14",""))),""))</f>
        <v/>
      </c>
      <c r="W61" s="164">
        <f t="shared" ref="W61:W71" ca="1" si="202">IF($DJ61=0,0,IF(NOT(ISBLANK($G61)),
IF(SUM($B61)&lt;=0,SUM(IF($G61&lt;ABS($B61),$G61,ABS($B61)),IF(C61="B",0,1))*HLOOKUP(IF(CODE($DJ61)&lt;65,"A+",$DJ61),SKT,3,FALSE),0),0))</f>
        <v>0</v>
      </c>
      <c r="X61" s="164">
        <f t="shared" ref="X61:X71" ca="1" si="203">IF(DK61=0,0,IF(AND(NOT(ISBLANK($G61)),$B61&lt;X$13,SUM($B61,$G61)&gt;=X$13),
HLOOKUP(IF(CODE(DK61)&lt;65,"A+",DK61),SKT,X$13+3,FALSE),0))</f>
        <v>0</v>
      </c>
      <c r="Y61" s="164">
        <f t="shared" ref="Y61:Y71" ca="1" si="204">IF(DL61=0,0,IF(AND(NOT(ISBLANK($G61)),$B61&lt;Y$13,SUM($B61,$G61)&gt;=Y$13),
HLOOKUP(IF(CODE(DL61)&lt;65,"A+",DL61),SKT,Y$13+3,FALSE),0))</f>
        <v>0</v>
      </c>
      <c r="Z61" s="164">
        <f t="shared" ref="Z61:Z71" ca="1" si="205">IF(DM61=0,0,IF(AND(NOT(ISBLANK($G61)),$B61&lt;Z$13,SUM($B61,$G61)&gt;=Z$13),
HLOOKUP(IF(CODE(DM61)&lt;65,"A+",DM61),SKT,Z$13+3,FALSE),0))</f>
        <v>0</v>
      </c>
      <c r="AA61" s="164">
        <f t="shared" ref="AA61:AA71" ca="1" si="206">IF(DN61=0,0,IF(AND(NOT(ISBLANK($G61)),$B61&lt;AA$13,SUM($B61,$G61)&gt;=AA$13),
HLOOKUP(IF(CODE(DN61)&lt;65,"A+",DN61),SKT,AA$13+3,FALSE),0))</f>
        <v>0</v>
      </c>
      <c r="AB61" s="164">
        <f t="shared" ref="AB61:AB71" ca="1" si="207">IF(DO61=0,0,IF(AND(NOT(ISBLANK($G61)),$B61&lt;AB$13,SUM($B61,$G61)&gt;=AB$13),
HLOOKUP(IF(CODE(DO61)&lt;65,"A+",DO61),SKT,AB$13+3,FALSE),0))</f>
        <v>0</v>
      </c>
      <c r="AC61" s="164">
        <f t="shared" ref="AC61:AC71" ca="1" si="208">IF(DP61=0,0,IF(AND(NOT(ISBLANK($G61)),$B61&lt;AC$13,SUM($B61,$G61)&gt;=AC$13),
HLOOKUP(IF(CODE(DP61)&lt;65,"A+",DP61),SKT,AC$13+3,FALSE),0))</f>
        <v>0</v>
      </c>
      <c r="AD61" s="164">
        <f t="shared" ref="AD61:AD71" ca="1" si="209">IF(DQ61=0,0,IF(AND(NOT(ISBLANK($G61)),$B61&lt;AD$13,SUM($B61,$G61)&gt;=AD$13),
HLOOKUP(IF(CODE(DQ61)&lt;65,"A+",DQ61),SKT,AD$13+3,FALSE),0))</f>
        <v>0</v>
      </c>
      <c r="AE61" s="164">
        <f t="shared" ref="AE61:AE71" ca="1" si="210">IF(DR61=0,0,IF(AND(NOT(ISBLANK($G61)),$B61&lt;AE$13,SUM($B61,$G61)&gt;=AE$13),
HLOOKUP(IF(CODE(DR61)&lt;65,"A+",DR61),SKT,AE$13+3,FALSE),0))</f>
        <v>0</v>
      </c>
      <c r="AF61" s="164">
        <f t="shared" ref="AF61:AF71" ca="1" si="211">IF(DS61=0,0,IF(AND(NOT(ISBLANK($G61)),$B61&lt;AF$13,SUM($B61,$G61)&gt;=AF$13),
HLOOKUP(IF(CODE(DS61)&lt;65,"A+",DS61),SKT,AF$13+3,FALSE),0))</f>
        <v>0</v>
      </c>
      <c r="AG61" s="164">
        <f t="shared" ref="AG61:AG71" ca="1" si="212">IF(DT61=0,0,IF(AND(NOT(ISBLANK($G61)),$B61&lt;AG$13,SUM($B61,$G61)&gt;=AG$13),
HLOOKUP(IF(CODE(DT61)&lt;65,"A+",DT61),SKT,AG$13+3,FALSE),0))</f>
        <v>0</v>
      </c>
      <c r="AH61" s="164">
        <f t="shared" ref="AH61:AH71" ca="1" si="213">IF(DU61=0,0,IF(AND(NOT(ISBLANK($G61)),$B61&lt;AH$13,SUM($B61,$G61)&gt;=AH$13),
HLOOKUP(IF(CODE(DU61)&lt;65,"A+",DU61),SKT,AH$13+3,FALSE),0))</f>
        <v>0</v>
      </c>
      <c r="AI61" s="164">
        <f t="shared" ref="AI61:AI71" ca="1" si="214">IF(DV61=0,0,IF(AND(NOT(ISBLANK($G61)),$B61&lt;AI$13,SUM($B61,$G61)&gt;=AI$13),
HLOOKUP(IF(CODE(DV61)&lt;65,"A+",DV61),SKT,AI$13+3,FALSE),0))</f>
        <v>0</v>
      </c>
      <c r="AJ61" s="164">
        <f t="shared" ref="AJ61:AJ71" ca="1" si="215">IF(DW61=0,0,IF(AND(NOT(ISBLANK($G61)),$B61&lt;AJ$13,SUM($B61,$G61)&gt;=AJ$13),
HLOOKUP(IF(CODE(DW61)&lt;65,"A+",DW61),SKT,AJ$13+3,FALSE),0))</f>
        <v>0</v>
      </c>
      <c r="AK61" s="164">
        <f t="shared" ref="AK61:AK71" ca="1" si="216">IF(DX61=0,0,IF(AND(NOT(ISBLANK($G61)),$B61&lt;AK$13,SUM($B61,$G61)&gt;=AK$13),
HLOOKUP(IF(CODE(DX61)&lt;65,"A+",DX61),SKT,AK$13+3,FALSE),0))</f>
        <v>0</v>
      </c>
      <c r="AL61" s="164">
        <f t="shared" ref="AL61:AL71" ca="1" si="217">IF(DY61=0,0,IF(AND(NOT(ISBLANK($G61)),$B61&lt;AL$13,SUM($B61,$G61)&gt;=AL$13),
HLOOKUP(IF(CODE(DY61)&lt;65,"A+",DY61),SKT,AL$13+3,FALSE),0))</f>
        <v>0</v>
      </c>
      <c r="AM61" s="164">
        <f t="shared" ref="AM61:AM71" ca="1" si="218">IF(DZ61=0,0,IF(AND(NOT(ISBLANK($G61)),$B61&lt;AM$13,SUM($B61,$G61)&gt;=AM$13),
HLOOKUP(IF(CODE(DZ61)&lt;65,"A+",DZ61),SKT,AM$13+3,FALSE),0))</f>
        <v>0</v>
      </c>
      <c r="AN61" s="164">
        <f t="shared" ref="AN61:AN71" ca="1" si="219">IF(EA61=0,0,IF(AND(NOT(ISBLANK($G61)),$B61&lt;AN$13,SUM($B61,$G61)&gt;=AN$13),
HLOOKUP(IF(CODE(EA61)&lt;65,"A+",EA61),SKT,AN$13+3,FALSE),0))</f>
        <v>0</v>
      </c>
      <c r="AO61" s="164">
        <f t="shared" ref="AO61:AO71" ca="1" si="220">IF(EB61=0,0,IF(AND(NOT(ISBLANK($G61)),$B61&lt;AO$13,SUM($B61,$G61)&gt;=AO$13),
HLOOKUP(IF(CODE(EB61)&lt;65,"A+",EB61),SKT,AO$13+3,FALSE),0))</f>
        <v>0</v>
      </c>
      <c r="AP61" s="164">
        <f t="shared" ref="AP61:AP71" ca="1" si="221">IF(EC61=0,0,IF(AND(NOT(ISBLANK($G61)),$B61&lt;AP$13,SUM($B61,$G61)&gt;=AP$13),
HLOOKUP(IF(CODE(EC61)&lt;65,"A+",EC61),SKT,AP$13+3,FALSE),0))</f>
        <v>0</v>
      </c>
      <c r="AQ61" s="164">
        <f t="shared" ref="AQ61:AQ71" ca="1" si="222">IF(ED61=0,0,IF(AND(NOT(ISBLANK($G61)),$B61&lt;AQ$13,SUM($B61,$G61)&gt;=AQ$13),
HLOOKUP(IF(CODE(ED61)&lt;65,"A+",ED61),SKT,AQ$13+3,FALSE),0))</f>
        <v>0</v>
      </c>
      <c r="AR61" s="164">
        <f t="shared" ref="AR61:AR71" ca="1" si="223">IF(EE61=0,0,IF(AND(NOT(ISBLANK($G61)),$B61&lt;AR$13,SUM($B61,$G61)&gt;=AR$13),
HLOOKUP(IF(CODE(EE61)&lt;65,"A+",EE61),SKT,AR$13+3,FALSE),0))</f>
        <v>0</v>
      </c>
      <c r="AS61" s="195"/>
      <c r="AT61" s="154">
        <f t="shared" ref="AT61:AT71" ca="1" si="224">IF($EG61=0,0,IF(AND(ISBLANK($G61),NOT(ISBLANK($I61))),ROUND(SUM(
IF(SUM($B61,$G61,H61)&lt;0,IF($I61&lt;ABS(SUM($B61,$G61,H61)),$I61,IF(C61="B",0,1)+ABS(SUM($B61,$G61,H61))),0),
IF(SUM($B61,$G61,H61)=0,IF(C61="B",0,1),0))
*HLOOKUP(IF(CODE($EG61)&lt;65,"A+",$EG61),SKT,3,FALSE)*5,0),0))</f>
        <v>0</v>
      </c>
      <c r="AU61" s="154">
        <f t="shared" ref="AU61:AU71" ca="1" si="225">IF(EH61=0,0,IF(AND(NOT(ISBLANK($I61)),SUM($B61,$G61)&lt;AU$13,SUM($B61,$G61,$I61)&gt;=AU$13),
HLOOKUP(IF(CODE(EH61)&lt;65,"A+",EH61),SKT,AU$13+3,FALSE),0))</f>
        <v>0</v>
      </c>
      <c r="AV61" s="154">
        <f t="shared" ref="AV61:AV71" ca="1" si="226">IF(EI61=0,0,IF(AND(NOT(ISBLANK($I61)),SUM($B61,$G61)&lt;AV$13,SUM($B61,$G61,$I61)&gt;=AV$13),
HLOOKUP(IF(CODE(EI61)&lt;65,"A+",EI61),SKT,AV$13+3,FALSE),0))</f>
        <v>0</v>
      </c>
      <c r="AW61" s="154">
        <f t="shared" ref="AW61:AW71" ca="1" si="227">IF(EJ61=0,0,IF(AND(NOT(ISBLANK($I61)),SUM($B61,$G61)&lt;AW$13,SUM($B61,$G61,$I61)&gt;=AW$13),
HLOOKUP(IF(CODE(EJ61)&lt;65,"A+",EJ61),SKT,AW$13+3,FALSE),0))</f>
        <v>0</v>
      </c>
      <c r="AX61" s="154">
        <f t="shared" ref="AX61:AX71" ca="1" si="228">IF(EK61=0,0,IF(AND(NOT(ISBLANK($I61)),SUM($B61,$G61)&lt;AX$13,SUM($B61,$G61,$I61)&gt;=AX$13),
HLOOKUP(IF(CODE(EK61)&lt;65,"A+",EK61),SKT,AX$13+3,FALSE),0))</f>
        <v>0</v>
      </c>
      <c r="AY61" s="154">
        <f t="shared" ref="AY61:AY71" ca="1" si="229">IF(EL61=0,0,IF(AND(NOT(ISBLANK($I61)),SUM($B61,$G61)&lt;AY$13,SUM($B61,$G61,$I61)&gt;=AY$13),
HLOOKUP(IF(CODE(EL61)&lt;65,"A+",EL61),SKT,AY$13+3,FALSE),0))</f>
        <v>0</v>
      </c>
      <c r="AZ61" s="154">
        <f t="shared" ref="AZ61:AZ71" ca="1" si="230">IF(EM61=0,0,IF(AND(NOT(ISBLANK($I61)),SUM($B61,$G61)&lt;AZ$13,SUM($B61,$G61,$I61)&gt;=AZ$13),
HLOOKUP(IF(CODE(EM61)&lt;65,"A+",EM61),SKT,AZ$13+3,FALSE),0))</f>
        <v>0</v>
      </c>
      <c r="BA61" s="154">
        <f t="shared" ref="BA61:BA71" ca="1" si="231">IF(EN61=0,0,IF(AND(NOT(ISBLANK($I61)),SUM($B61,$G61)&lt;BA$13,SUM($B61,$G61,$I61)&gt;=BA$13),
HLOOKUP(IF(CODE(EN61)&lt;65,"A+",EN61),SKT,BA$13+3,FALSE),0))</f>
        <v>0</v>
      </c>
      <c r="BB61" s="154">
        <f t="shared" ref="BB61:BB71" ca="1" si="232">IF(EO61=0,0,IF(AND(NOT(ISBLANK($I61)),SUM($B61,$G61)&lt;BB$13,SUM($B61,$G61,$I61)&gt;=BB$13),
HLOOKUP(IF(CODE(EO61)&lt;65,"A+",EO61),SKT,BB$13+3,FALSE),0))</f>
        <v>0</v>
      </c>
      <c r="BC61" s="154">
        <f t="shared" ref="BC61:BC71" ca="1" si="233">IF(EP61=0,0,IF(AND(NOT(ISBLANK($I61)),SUM($B61,$G61)&lt;BC$13,SUM($B61,$G61,$I61)&gt;=BC$13),
HLOOKUP(IF(CODE(EP61)&lt;65,"A+",EP61),SKT,BC$13+3,FALSE),0))</f>
        <v>0</v>
      </c>
      <c r="BD61" s="154">
        <f t="shared" ref="BD61:BD71" ca="1" si="234">IF(EQ61=0,0,IF(AND(NOT(ISBLANK($I61)),SUM($B61,$G61)&lt;BD$13,SUM($B61,$G61,$I61)&gt;=BD$13),
HLOOKUP(IF(CODE(EQ61)&lt;65,"A+",EQ61),SKT,BD$13+3,FALSE),0))</f>
        <v>0</v>
      </c>
      <c r="BE61" s="154">
        <f t="shared" ref="BE61:BE71" ca="1" si="235">IF(ER61=0,0,IF(AND(NOT(ISBLANK($I61)),SUM($B61,$G61)&lt;BE$13,SUM($B61,$G61,$I61)&gt;=BE$13),
HLOOKUP(IF(CODE(ER61)&lt;65,"A+",ER61),SKT,BE$13+3,FALSE),0))</f>
        <v>0</v>
      </c>
      <c r="BF61" s="154">
        <f t="shared" ref="BF61:BF71" ca="1" si="236">IF(ES61=0,0,IF(AND(NOT(ISBLANK($I61)),SUM($B61,$G61)&lt;BF$13,SUM($B61,$G61,$I61)&gt;=BF$13),
HLOOKUP(IF(CODE(ES61)&lt;65,"A+",ES61),SKT,BF$13+3,FALSE),0))</f>
        <v>0</v>
      </c>
      <c r="BG61" s="154">
        <f t="shared" ref="BG61:BG71" ca="1" si="237">IF(ET61=0,0,IF(AND(NOT(ISBLANK($I61)),SUM($B61,$G61)&lt;BG$13,SUM($B61,$G61,$I61)&gt;=BG$13),
HLOOKUP(IF(CODE(ET61)&lt;65,"A+",ET61),SKT,BG$13+3,FALSE),0))</f>
        <v>0</v>
      </c>
      <c r="BH61" s="154">
        <f t="shared" ref="BH61:BH71" ca="1" si="238">IF(EU61=0,0,IF(AND(NOT(ISBLANK($I61)),SUM($B61,$G61)&lt;BH$13,SUM($B61,$G61,$I61)&gt;=BH$13),
HLOOKUP(IF(CODE(EU61)&lt;65,"A+",EU61),SKT,BH$13+3,FALSE),0))</f>
        <v>0</v>
      </c>
      <c r="BI61" s="154">
        <f t="shared" ref="BI61:BI71" ca="1" si="239">IF(EV61=0,0,IF(AND(NOT(ISBLANK($I61)),SUM($B61,$G61)&lt;BI$13,SUM($B61,$G61,$I61)&gt;=BI$13),
HLOOKUP(IF(CODE(EV61)&lt;65,"A+",EV61),SKT,BI$13+3,FALSE),0))</f>
        <v>0</v>
      </c>
      <c r="BJ61" s="154">
        <f t="shared" ref="BJ61:BJ71" ca="1" si="240">IF(EW61=0,0,IF(AND(NOT(ISBLANK($I61)),SUM($B61,$G61)&lt;BJ$13,SUM($B61,$G61,$I61)&gt;=BJ$13),
HLOOKUP(IF(CODE(EW61)&lt;65,"A+",EW61),SKT,BJ$13+3,FALSE),0))</f>
        <v>0</v>
      </c>
      <c r="BK61" s="154">
        <f t="shared" ref="BK61:BK71" ca="1" si="241">IF(EX61=0,0,IF(AND(NOT(ISBLANK($I61)),SUM($B61,$G61)&lt;BK$13,SUM($B61,$G61,$I61)&gt;=BK$13),
HLOOKUP(IF(CODE(EX61)&lt;65,"A+",EX61),SKT,BK$13+3,FALSE),0))</f>
        <v>0</v>
      </c>
      <c r="BL61" s="154">
        <f t="shared" ref="BL61:BL71" ca="1" si="242">IF(EY61=0,0,IF(AND(NOT(ISBLANK($I61)),SUM($B61,$G61)&lt;BL$13,SUM($B61,$G61,$I61)&gt;=BL$13),
HLOOKUP(IF(CODE(EY61)&lt;65,"A+",EY61),SKT,BL$13+3,FALSE),0))</f>
        <v>0</v>
      </c>
      <c r="BM61" s="154">
        <f t="shared" ref="BM61:BM71" ca="1" si="243">IF(EZ61=0,0,IF(AND(NOT(ISBLANK($I61)),SUM($B61,$G61)&lt;BM$13,SUM($B61,$G61,$I61)&gt;=BM$13),
HLOOKUP(IF(CODE(EZ61)&lt;65,"A+",EZ61),SKT,BM$13+3,FALSE),0))</f>
        <v>0</v>
      </c>
      <c r="BN61" s="154">
        <f t="shared" ref="BN61:BN71" ca="1" si="244">IF(FA61=0,0,IF(AND(NOT(ISBLANK($I61)),SUM($B61,$G61)&lt;BN$13,SUM($B61,$G61,$I61)&gt;=BN$13),
HLOOKUP(IF(CODE(FA61)&lt;65,"A+",FA61),SKT,BN$13+3,FALSE),0))</f>
        <v>0</v>
      </c>
      <c r="BO61" s="154">
        <f t="shared" ref="BO61:BO71" ca="1" si="245">IF(FB61=0,0,IF(AND(NOT(ISBLANK($I61)),SUM($B61,$G61)&lt;BO$13,SUM($B61,$G61,$I61)&gt;=BO$13),
HLOOKUP(IF(CODE(FB61)&lt;65,"A+",FB61),SKT,BO$13+3,FALSE),0))</f>
        <v>0</v>
      </c>
      <c r="BP61" s="154">
        <f t="shared" ref="BP61:BP71" ca="1" si="246">IF(FC61=0,0,IF(AND(NOT(ISBLANK($I61)),SUM($B61,$G61)&lt;BP$13,SUM($B61,$G61,$I61)&gt;=BP$13),
HLOOKUP(IF(CODE(FC61)&lt;65,"A+",FC61),SKT,BP$13+3,FALSE),0))</f>
        <v>0</v>
      </c>
      <c r="BQ61" s="154">
        <f t="shared" ref="BQ61:BQ71" ca="1" si="247">IF(FD61=0,0,IF(AND(NOT(ISBLANK($I61)),SUM($B61,$G61)&lt;BQ$13,SUM($B61,$G61,$I61)&gt;=BQ$13),
HLOOKUP(IF(CODE(FD61)&lt;65,"A+",FD61),SKT,BQ$13+3,FALSE),0))</f>
        <v>0</v>
      </c>
      <c r="BR61" s="154">
        <f t="shared" ref="BR61:BR71" ca="1" si="248">IF(FE61=0,0,IF(AND(NOT(ISBLANK($I61)),SUM($B61,$G61)&lt;BR$13,SUM($B61,$G61,$I61)&gt;=BR$13),
HLOOKUP(IF(CODE(FE61)&lt;65,"A+",FE61),SKT,BR$13+3,FALSE),0))</f>
        <v>0</v>
      </c>
      <c r="BS61" s="154">
        <f t="shared" ref="BS61:BS71" ca="1" si="249">IF(FF61=0,0,IF(AND(NOT(ISBLANK($I61)),SUM($B61,$G61)&lt;BS$13,SUM($B61,$G61,$I61)&gt;=BS$13),
HLOOKUP(IF(CODE(FF61)&lt;65,"A+",FF61),SKT,BS$13+3,FALSE),0))</f>
        <v>0</v>
      </c>
      <c r="BT61" s="154">
        <f t="shared" ref="BT61:BT71" ca="1" si="250">IF(FG61=0,0,IF(AND(NOT(ISBLANK($I61)),SUM($B61,$G61)&lt;BT$13,SUM($B61,$G61,$I61)&gt;=BT$13),
HLOOKUP(IF(CODE(FG61)&lt;65,"A+",FG61),SKT,BT$13+3,FALSE),0))</f>
        <v>0</v>
      </c>
      <c r="BU61" s="154">
        <f t="shared" ref="BU61:BU71" ca="1" si="251">IF(FH61=0,0,IF(AND(NOT(ISBLANK($I61)),SUM($B61,$G61)&lt;BU$13,SUM($B61,$G61,$I61)&gt;=BU$13),
HLOOKUP(IF(CODE(FH61)&lt;65,"A+",FH61),SKT,BU$13+3,FALSE),0))</f>
        <v>0</v>
      </c>
      <c r="BV61" s="154">
        <f t="shared" ref="BV61:BV71" ca="1" si="252">IF(FI61=0,0,IF(AND(NOT(ISBLANK($I61)),SUM($B61,$G61)&lt;BV$13,SUM($B61,$G61,$I61)&gt;=BV$13),
HLOOKUP(IF(CODE(FI61)&lt;65,"A+",FI61),SKT,BV$13+3,FALSE),0))</f>
        <v>0</v>
      </c>
      <c r="BW61" s="154">
        <f t="shared" ref="BW61:BW71" ca="1" si="253">IF(FJ61=0,0,IF(AND(NOT(ISBLANK($I61)),SUM($B61,$G61)&lt;BW$13,SUM($B61,$G61,$I61)&gt;=BW$13),
HLOOKUP(IF(CODE(FJ61)&lt;65,"A+",FJ61),SKT,BW$13+3,FALSE),0))</f>
        <v>0</v>
      </c>
      <c r="BX61" s="154">
        <f t="shared" ref="BX61:BX71" ca="1" si="254">IF(FK61=0,0,IF(AND(NOT(ISBLANK($I61)),SUM($B61,$G61)&lt;BX$13,SUM($B61,$G61,$I61)&gt;=BX$13),
HLOOKUP(IF(CODE(FK61)&lt;65,"A+",FK61),SKT,BX$13+3,FALSE),0))</f>
        <v>0</v>
      </c>
      <c r="BY61" s="154">
        <f t="shared" ref="BY61:BY71" ca="1" si="255">IF(FL61=0,0,IF(AND(NOT(ISBLANK($I61)),SUM($B61,$G61)&lt;BY$13,SUM($B61,$G61,$I61)&gt;=BY$13),
HLOOKUP(IF(CODE(FL61)&lt;65,"A+",FL61),SKT,BY$13+3,FALSE),0))</f>
        <v>0</v>
      </c>
      <c r="BZ61" s="154">
        <f t="shared" ref="BZ61:BZ71" si="256">IF(T61="GP",1,0)</f>
        <v>0</v>
      </c>
      <c r="CA61" s="154">
        <f t="shared" ref="CA61:CA71" si="257">IF(OR(T61="Start-AP",T61="Start-AP-2P"),
IF(R61="",0,IF(DI61="",1,0))*IF(U61="",20,10)*HLOOKUP(CE61,SKT,2,FALSE),0)</f>
        <v>0</v>
      </c>
      <c r="CB61" s="154">
        <f t="shared" ref="CB61:CB71" ca="1" si="258">IF(OR(T61="",T61="AP"),
(IF(R61="",0,IF(DI61="",IF(OR(U61="S1 verbilligt",U61="Beide verbilligt"),0.5,1),0))+IF(S61="",0,IF(OR(U61="S2 verbilligt",U61="Beide verbilligt"),1,2)))*20*HLOOKUP(CE61,SKT,2,FALSE),IF(S61="",0,IF(OR(U61="S2 verbilligt",U61="Beide verbilligt"),1,2))*20*HLOOKUP(CE61,SKT,2,FALSE))</f>
        <v>0</v>
      </c>
      <c r="CC61" s="523"/>
      <c r="CD61" s="355">
        <f t="shared" ref="CD61:CD71" si="259">VLOOKUP($A61,ZEILENBEZUG,2,FALSE)</f>
        <v>88</v>
      </c>
      <c r="CE61" s="268" t="str">
        <f t="shared" ref="CE61:CE71" ca="1" si="260">CO61</f>
        <v>B</v>
      </c>
      <c r="CF61" s="355" t="str">
        <f ca="1">IF(EXACT($B61,""),"",$A61)</f>
        <v/>
      </c>
      <c r="CG61" s="268"/>
      <c r="CH61" s="268"/>
      <c r="CI61" s="269">
        <f t="shared" ref="CI61:CI71" ca="1" si="261">IF(AND(ISNA(VLOOKUP($A$60,UNFAEH,1,FALSE)),ISNA(VLOOKUP($A61,UNFAEH,1,FALSE)),ISERR(FIND($A$60,GEW_UNFAEH,1)),ISERR(FIND($A61,$AH$3,1))),0,1)</f>
        <v>0</v>
      </c>
      <c r="CJ61" s="269">
        <f t="shared" ref="CJ61:CJ71" ca="1" si="262">IF(AND(ISNA(VLOOKUP($A$60,BEGABG,1,FALSE)),ISNA(VLOOKUP($A61,BEGABG,1,FALSE)),ISERR(FIND($A$60,GEW_BEGABUNG,1)),ISERR(FIND($A61,$X$5,1))),0,-1)</f>
        <v>0</v>
      </c>
      <c r="CK61" s="268"/>
      <c r="CL61" s="268"/>
      <c r="CM61" s="268">
        <f t="shared" ca="1" si="82"/>
        <v>0</v>
      </c>
      <c r="CN61" s="269">
        <f t="shared" ca="1" si="83"/>
        <v>0</v>
      </c>
      <c r="CO61" s="268" t="str">
        <f t="shared" ref="CO61:CO71" ca="1" si="263">CHAR(CODE("B")+$CN61)</f>
        <v>B</v>
      </c>
      <c r="CP61" s="269" t="b">
        <f t="shared" ref="CP61:CP71" ca="1" si="264">IF(NT_ELFWELT,
IF(OR(
RIGHT(HLOOKUP(PROFGENE,INDIRECT(PROFGEBIET),$CD61,FALSE),1)="L",
RIGHT(HLOOKUP(KULTURGENE,KULTUR,$CD61,FALSE),1)="L",
RIGHT(D61)="L"),TRUE,FALSE),
TRUE)</f>
        <v>1</v>
      </c>
      <c r="CQ61" s="269">
        <f t="shared" ref="CQ61:CQ71" si="265">IF(RASSEGENE="",0,HLOOKUP(RASSEGENE,RASSE,$CD61,FALSE))</f>
        <v>0</v>
      </c>
      <c r="CR61" s="269">
        <f t="shared" ref="CR61:CR71" si="266">IF(KULTURGENE="LEER",0,IF(LEN(HLOOKUP(KULTURGENE,KULTUR,$CD61,FALSE))&gt;0,LEFT(HLOOKUP(KULTURGENE,KULTUR,$CD61,FALSE),IF(ISERR(SEARCH("L",HLOOKUP(KULTURGENE,KULTUR,$CD61,FALSE),1)),LEN(HLOOKUP(KULTURGENE,KULTUR,$CD61,FALSE)),SEARCH("L",HLOOKUP(KULTURGENE,KULTUR,$CD61,FALSE),1)-1)),0))</f>
        <v>0</v>
      </c>
      <c r="CS61" s="269">
        <f t="shared" ref="CS61:CS71" ca="1" si="267">IF(PROFGENE="LEER",0,HLOOKUP(PROFGENE,INDIRECT(PROFGEBIET),$CD61,FALSE))</f>
        <v>0</v>
      </c>
      <c r="CT61" s="302" t="str">
        <f t="shared" ref="CT61:CT71" ca="1" si="268">IF(LEN(CS61)&gt;0,LEFT(CS61,IF(ISERR(SEARCH("L",CS61,1)),IF(ISERR(SEARCH("M",CS61,1)),IF(ISERR(SEARCH("N",CS61,1)),LEN(CS61),SEARCH("N",CS61,1)-1),SEARCH("M",CS61,1)-1),SEARCH("L",CS61,1)-1)),0)</f>
        <v>0</v>
      </c>
      <c r="CU61" s="269">
        <f t="shared" ref="CU61:CU71" ca="1" si="269">IF(LEN(PROFZWEITE)&lt;1,0,HLOOKUP(PROFZWEITE,INDIRECT(PROFGEBIET2),$CD61,FALSE))</f>
        <v>0</v>
      </c>
      <c r="CV61" s="268"/>
      <c r="CW61" s="269">
        <f t="shared" ref="CW61:CW71" ca="1" si="270">IF(AND(ISNA(VLOOKUP($A61,BEGABG,1,FALSE)),ISERR(FIND($A61,$X$5,1))),0,1)</f>
        <v>0</v>
      </c>
      <c r="CX61" s="301">
        <f t="shared" ref="CX61:CX71" ca="1" si="271">CQ61+CR61+IF(CT61="",0,CT61)+CV61+CW61</f>
        <v>0</v>
      </c>
      <c r="CY61" s="301">
        <f t="shared" ca="1" si="85"/>
        <v>0</v>
      </c>
      <c r="CZ61" s="301">
        <f t="shared" ref="CZ61:CZ71" ca="1" si="272">SUM(W61:AR61)-IF(OR(VT_VETERAN,VT_BBILDUNG),DA61,0)</f>
        <v>0</v>
      </c>
      <c r="DA61" s="301">
        <f t="shared" ref="DA61:DA71" ca="1" si="273">IF(H61="",0,SUM(INDIRECT(
ADDRESS(ROW(),COLUMN($W61)+CY61+IF(CY61=0,0,1))
&amp;":"&amp;
ADDRESS(ROW(),COLUMN($AR61))
)))</f>
        <v>0</v>
      </c>
      <c r="DB61" t="str">
        <f ca="1">IF(AND(NOT(AND(ISBLANK($G61),ISBLANK($I61))),$O$66&lt;4),"Menschenkenntnis 4+",IF(AND(NOT(ISBLANK($G61)),OR(EXACT($AH$5,$A$60),EXACT($AH$6,$A$60),EXACT($AH$7,$A$60),EXACT($AH$8,$A$60),EXACT($AH$9,$A$60))),"Nicht möglich (Unfähigkeit)!",""))</f>
        <v/>
      </c>
      <c r="DC61" s="301" t="str">
        <f t="shared" ref="DC61:DC71" ca="1" si="274">IF($O61="","",IF($O61&gt;MAX(INDIRECT(VLOOKUP($A61,TL_ALLE,2,FALSE)),INDIRECT(VLOOKUP($A61,TL_ALLE,3,FALSE)),INDIRECT(VLOOKUP($A61,TL_ALLE,4,FALSE)))+3-CJ61*2," TaW&gt; MAX(EIGN-Wert)+"&amp;3-CJ61*2,""))</f>
        <v/>
      </c>
      <c r="DD61" s="1337" t="str">
        <f ca="1">IF(PROFGEBGENE="Goetter",IF(RIGHT(HLOOKUP(PROFGENE,INDIRECT(PROFGEBIET),$CD61,FALSE),1)="M",$A61&amp;",",""),IF(AKTIV_SPTWHE,IF(EXACT(UPPER(RIGHT(HLOOKUP(PROFSPTWHE,SPTWHE,$CD61,FALSE))),"M"),$A61&amp;",",""),IF(PROFGEBZWEITE="Goetter (BGB)",IF(RIGHT(HLOOKUP(PROFZWEITE,INDIRECT(PROFGEBIET2),$CD61,FALSE),1)="M",$A61&amp;",",""),"")))</f>
        <v/>
      </c>
      <c r="DE61" s="1337" t="str">
        <f ca="1">IF(PROFGEBGENE="Goetter",IF(RIGHT(HLOOKUP(PROFGENE,INDIRECT(PROFGEBIET),$CD61,FALSE),1)="N",$A61&amp;",",""),IF(AKTIV_SPTWHE,IF(EXACT(UPPER(RIGHT(HLOOKUP(PROFSPTWHE,SPTWHE,$CD61,FALSE))),"N"),$A61&amp;",",""),IF(PROFGEBZWEITE="Goetter (BGB)",IF(RIGHT(HLOOKUP(PROFZWEITE,INDIRECT(PROFGEBIET2),$CD61,FALSE),1)="N",$A61&amp;",",""),"")))</f>
        <v/>
      </c>
      <c r="DG61" s="269" t="str">
        <f ca="1">IF(DI61="",IF(VLOOKUP(A61,TALENTE_GP,4,FALSE)="Kultur","KULTUREN","Tabellen_Andere!BA"&amp;MATCH(A61,TALENTE)+1&amp;":BF"&amp;MATCH(A61,TALENTE)+1),ADDRESS(ROW(),COLUMN()+2,1,1))</f>
        <v>Tabellen_Andere!BA13:BF13</v>
      </c>
      <c r="DH61" s="269" t="str">
        <f>IF(VLOOKUP(A61,TALENTE_GP,4,FALSE)="Kultur","KULTUREN","Tabellen_Andere!BA"&amp;MATCH(A61,TALENTE)+1&amp;":BF"&amp;MATCH(A61,TALENTE)+1)</f>
        <v>Tabellen_Andere!BA13:BF13</v>
      </c>
      <c r="DI61" s="269" t="str">
        <f ca="1">IF(NOT(ISERR(FIND(A61,Abfragen!$O$264,1))),MID(Abfragen!$O$264,FIND("(",Abfragen!$O$264,FIND(A61,Abfragen!$O$264,1)+LEN(A61))+1,FIND(")",Abfragen!$O$264,FIND(A61,Abfragen!$O$264,1)+LEN(A61))-FIND("(",Abfragen!$O$264,FIND(A61,Abfragen!$O$264,1)+LEN(A61))-1),"")</f>
        <v/>
      </c>
      <c r="DJ61" s="301" t="str">
        <f ca="1">IF(ISERR(FIND(";"&amp;DJ$13&amp;":0;",$F61)),
CHAR(CODE($CE61)+SUM(IF(ISERR(FIND(";"&amp;DJ$13&amp;";",$F61)),0,-1),IF(ISERR(FIND(";"&amp;DJ$13&amp;":",$F61)),0,-VALUE(MID($F61,FIND(";"&amp;DJ$13&amp;":",$F61)+LEN(DJ$13)+2,1))))),0)</f>
        <v>B</v>
      </c>
      <c r="DK61" s="301" t="str">
        <f t="shared" ref="DK61:EE74" ca="1" si="275">IF(ISERR(FIND(";"&amp;DK$13&amp;":0;",$F61)),
CHAR(CODE($CE61)+SUM(IF(ISERR(FIND(";"&amp;DK$13&amp;";",$F61)),0,-1),IF(ISERR(FIND(";"&amp;DK$13&amp;":",$F61)),0,-VALUE(MID($F61,FIND(";"&amp;DK$13&amp;":",$F61)+LEN(DK$13)+2,1))))),0)</f>
        <v>B</v>
      </c>
      <c r="DL61" s="301" t="str">
        <f t="shared" ca="1" si="275"/>
        <v>B</v>
      </c>
      <c r="DM61" s="301" t="str">
        <f t="shared" ca="1" si="275"/>
        <v>B</v>
      </c>
      <c r="DN61" s="301" t="str">
        <f t="shared" ca="1" si="275"/>
        <v>B</v>
      </c>
      <c r="DO61" s="301" t="str">
        <f t="shared" ca="1" si="275"/>
        <v>B</v>
      </c>
      <c r="DP61" s="301" t="str">
        <f t="shared" ca="1" si="275"/>
        <v>B</v>
      </c>
      <c r="DQ61" s="301" t="str">
        <f t="shared" ca="1" si="275"/>
        <v>B</v>
      </c>
      <c r="DR61" s="301" t="str">
        <f t="shared" ca="1" si="275"/>
        <v>B</v>
      </c>
      <c r="DS61" s="301" t="str">
        <f t="shared" ca="1" si="275"/>
        <v>B</v>
      </c>
      <c r="DT61" s="301" t="str">
        <f t="shared" ca="1" si="275"/>
        <v>B</v>
      </c>
      <c r="DU61" s="301" t="str">
        <f t="shared" ca="1" si="275"/>
        <v>B</v>
      </c>
      <c r="DV61" s="301" t="str">
        <f t="shared" ca="1" si="275"/>
        <v>B</v>
      </c>
      <c r="DW61" s="301" t="str">
        <f t="shared" ca="1" si="275"/>
        <v>B</v>
      </c>
      <c r="DX61" s="301" t="str">
        <f t="shared" ca="1" si="275"/>
        <v>B</v>
      </c>
      <c r="DY61" s="301" t="str">
        <f t="shared" ca="1" si="275"/>
        <v>B</v>
      </c>
      <c r="DZ61" s="301" t="str">
        <f t="shared" ca="1" si="275"/>
        <v>B</v>
      </c>
      <c r="EA61" s="301" t="str">
        <f t="shared" ca="1" si="275"/>
        <v>B</v>
      </c>
      <c r="EB61" s="301" t="str">
        <f t="shared" ca="1" si="275"/>
        <v>B</v>
      </c>
      <c r="EC61" s="301" t="str">
        <f t="shared" ca="1" si="275"/>
        <v>B</v>
      </c>
      <c r="ED61" s="301" t="str">
        <f t="shared" ca="1" si="275"/>
        <v>B</v>
      </c>
      <c r="EE61" s="301" t="str">
        <f t="shared" ca="1" si="275"/>
        <v>B</v>
      </c>
      <c r="EF61" s="205"/>
      <c r="EG61" s="301" t="str">
        <f t="shared" ref="EG61:EG71" ca="1" si="276">IF(ISERR(FIND(";"&amp;EG$13&amp;":0;",$F61)),
CHAR(CODE($CE61)+SUM(IF(ISERR(FIND(";"&amp;EG$13&amp;";",$F61)),0,-1),
IF(ISERR(FIND(";"&amp;EG$13&amp;":",$F61)),0,-VALUE(MID($F61,FIND(";"&amp;EG$13&amp;":",$F61)+LEN(EG$13)+2,1))),
IF(ISERR(FIND(";"&amp;EG$13&amp;"+",$F61)),0,VALUE(MID($F61,FIND(";"&amp;EG$13&amp;"+",$F61)+LEN(EG$13)+2,1))))),0)</f>
        <v>B</v>
      </c>
      <c r="EH61" s="301" t="str">
        <f t="shared" ref="EH61:FL69" ca="1" si="277">IF(ISERR(FIND(";"&amp;EH$13&amp;":0;",$F61)),
CHAR(CODE($CE61)+SUM(IF(ISERR(FIND(";"&amp;EH$13&amp;";",$F61)),0,-1),
IF(ISERR(FIND(";"&amp;EH$13&amp;":",$F61)),0,-VALUE(MID($F61,FIND(";"&amp;EH$13&amp;":",$F61)+LEN(EH$13)+2,1))),
IF(ISERR(FIND(";"&amp;EH$13&amp;"+",$F61)),0,VALUE(MID($F61,FIND(";"&amp;EH$13&amp;"+",$F61)+LEN(EH$13)+2,1))))),0)</f>
        <v>B</v>
      </c>
      <c r="EI61" s="301" t="str">
        <f t="shared" ca="1" si="277"/>
        <v>B</v>
      </c>
      <c r="EJ61" s="301" t="str">
        <f t="shared" ca="1" si="277"/>
        <v>B</v>
      </c>
      <c r="EK61" s="301" t="str">
        <f t="shared" ca="1" si="277"/>
        <v>B</v>
      </c>
      <c r="EL61" s="301" t="str">
        <f t="shared" ca="1" si="277"/>
        <v>B</v>
      </c>
      <c r="EM61" s="301" t="str">
        <f t="shared" ca="1" si="277"/>
        <v>B</v>
      </c>
      <c r="EN61" s="301" t="str">
        <f t="shared" ca="1" si="277"/>
        <v>B</v>
      </c>
      <c r="EO61" s="301" t="str">
        <f t="shared" ca="1" si="277"/>
        <v>B</v>
      </c>
      <c r="EP61" s="301" t="str">
        <f t="shared" ca="1" si="277"/>
        <v>B</v>
      </c>
      <c r="EQ61" s="301" t="str">
        <f t="shared" ca="1" si="277"/>
        <v>B</v>
      </c>
      <c r="ER61" s="301" t="str">
        <f t="shared" ca="1" si="277"/>
        <v>B</v>
      </c>
      <c r="ES61" s="301" t="str">
        <f t="shared" ca="1" si="277"/>
        <v>B</v>
      </c>
      <c r="ET61" s="301" t="str">
        <f t="shared" ca="1" si="277"/>
        <v>B</v>
      </c>
      <c r="EU61" s="301" t="str">
        <f t="shared" ca="1" si="277"/>
        <v>B</v>
      </c>
      <c r="EV61" s="301" t="str">
        <f t="shared" ca="1" si="277"/>
        <v>B</v>
      </c>
      <c r="EW61" s="301" t="str">
        <f t="shared" ca="1" si="277"/>
        <v>B</v>
      </c>
      <c r="EX61" s="301" t="str">
        <f t="shared" ca="1" si="277"/>
        <v>B</v>
      </c>
      <c r="EY61" s="301" t="str">
        <f t="shared" ca="1" si="277"/>
        <v>B</v>
      </c>
      <c r="EZ61" s="301" t="str">
        <f t="shared" ca="1" si="277"/>
        <v>B</v>
      </c>
      <c r="FA61" s="301" t="str">
        <f t="shared" ca="1" si="277"/>
        <v>B</v>
      </c>
      <c r="FB61" s="301" t="str">
        <f t="shared" ca="1" si="277"/>
        <v>B</v>
      </c>
      <c r="FC61" s="301" t="str">
        <f t="shared" ca="1" si="277"/>
        <v>B</v>
      </c>
      <c r="FD61" s="301" t="str">
        <f t="shared" ca="1" si="277"/>
        <v>B</v>
      </c>
      <c r="FE61" s="301" t="str">
        <f t="shared" ca="1" si="277"/>
        <v>B</v>
      </c>
      <c r="FF61" s="301" t="str">
        <f t="shared" ca="1" si="277"/>
        <v>B</v>
      </c>
      <c r="FG61" s="301" t="str">
        <f t="shared" ca="1" si="277"/>
        <v>B</v>
      </c>
      <c r="FH61" s="301" t="str">
        <f t="shared" ca="1" si="277"/>
        <v>B</v>
      </c>
      <c r="FI61" s="301" t="str">
        <f t="shared" ca="1" si="277"/>
        <v>B</v>
      </c>
      <c r="FJ61" s="301" t="str">
        <f t="shared" ca="1" si="277"/>
        <v>B</v>
      </c>
      <c r="FK61" s="301" t="str">
        <f t="shared" ca="1" si="277"/>
        <v>B</v>
      </c>
      <c r="FL61" s="301" t="str">
        <f t="shared" ca="1" si="277"/>
        <v>B</v>
      </c>
    </row>
    <row r="62" spans="1:168" x14ac:dyDescent="0.2">
      <c r="A62" s="24" t="str">
        <f t="shared" ref="A62:A71" si="278">INDEX(TL_GES,ROW()-60)</f>
        <v>Etikette</v>
      </c>
      <c r="B62" s="317" t="str">
        <f t="shared" ca="1" si="198"/>
        <v/>
      </c>
      <c r="C62" s="332" t="str">
        <f ca="1">IF(OR(NOT(ISBLANK(D62)),NOT(ISBLANK(HLOOKUP(RASSEGENE,RASSE,$CD62,FALSE))),
NOT(ISBLANK(HLOOKUP(KULTURGENE,KULTUR,$CD62,FALSE))),
NOT(OR(ISBLANK(HLOOKUP(PROFGENE,INDIRECT(PROFGEBIET),$CD62,FALSE)),$CS62="N",$CS62="M")),
IF(PROFZWEITE="",FALSE,NOT(ISBLANK(HLOOKUP(PROFZWEITE,INDIRECT(PROFGEBIET2),$CD62,FALSE))))),"x","")</f>
        <v/>
      </c>
      <c r="D62" s="1110"/>
      <c r="E62" s="966"/>
      <c r="F62" s="325"/>
      <c r="G62" s="958"/>
      <c r="H62" s="1196"/>
      <c r="I62" s="326"/>
      <c r="J62" s="1880" t="str">
        <f t="shared" ca="1" si="199"/>
        <v/>
      </c>
      <c r="K62" s="1881"/>
      <c r="L62" s="1881"/>
      <c r="M62" s="1881"/>
      <c r="N62" s="1882"/>
      <c r="O62" s="613" t="str">
        <f t="shared" ca="1" si="200"/>
        <v/>
      </c>
      <c r="P62" s="90"/>
      <c r="Q62" s="25"/>
      <c r="R62" s="1313"/>
      <c r="S62" s="1313"/>
      <c r="T62" s="1315"/>
      <c r="U62" s="1283"/>
      <c r="V62" s="628" t="str">
        <f t="shared" ca="1" si="201"/>
        <v/>
      </c>
      <c r="W62" s="164">
        <f t="shared" ca="1" si="202"/>
        <v>0</v>
      </c>
      <c r="X62" s="164">
        <f t="shared" ca="1" si="203"/>
        <v>0</v>
      </c>
      <c r="Y62" s="164">
        <f t="shared" ca="1" si="204"/>
        <v>0</v>
      </c>
      <c r="Z62" s="164">
        <f t="shared" ca="1" si="205"/>
        <v>0</v>
      </c>
      <c r="AA62" s="164">
        <f t="shared" ca="1" si="206"/>
        <v>0</v>
      </c>
      <c r="AB62" s="164">
        <f t="shared" ca="1" si="207"/>
        <v>0</v>
      </c>
      <c r="AC62" s="164">
        <f t="shared" ca="1" si="208"/>
        <v>0</v>
      </c>
      <c r="AD62" s="164">
        <f t="shared" ca="1" si="209"/>
        <v>0</v>
      </c>
      <c r="AE62" s="164">
        <f t="shared" ca="1" si="210"/>
        <v>0</v>
      </c>
      <c r="AF62" s="164">
        <f t="shared" ca="1" si="211"/>
        <v>0</v>
      </c>
      <c r="AG62" s="164">
        <f t="shared" ca="1" si="212"/>
        <v>0</v>
      </c>
      <c r="AH62" s="164">
        <f t="shared" ca="1" si="213"/>
        <v>0</v>
      </c>
      <c r="AI62" s="164">
        <f t="shared" ca="1" si="214"/>
        <v>0</v>
      </c>
      <c r="AJ62" s="164">
        <f t="shared" ca="1" si="215"/>
        <v>0</v>
      </c>
      <c r="AK62" s="164">
        <f t="shared" ca="1" si="216"/>
        <v>0</v>
      </c>
      <c r="AL62" s="164">
        <f t="shared" ca="1" si="217"/>
        <v>0</v>
      </c>
      <c r="AM62" s="164">
        <f t="shared" ca="1" si="218"/>
        <v>0</v>
      </c>
      <c r="AN62" s="164">
        <f t="shared" ca="1" si="219"/>
        <v>0</v>
      </c>
      <c r="AO62" s="164">
        <f t="shared" ca="1" si="220"/>
        <v>0</v>
      </c>
      <c r="AP62" s="164">
        <f t="shared" ca="1" si="221"/>
        <v>0</v>
      </c>
      <c r="AQ62" s="164">
        <f t="shared" ca="1" si="222"/>
        <v>0</v>
      </c>
      <c r="AR62" s="164">
        <f t="shared" ca="1" si="223"/>
        <v>0</v>
      </c>
      <c r="AS62" s="195"/>
      <c r="AT62" s="154">
        <f t="shared" ca="1" si="224"/>
        <v>0</v>
      </c>
      <c r="AU62" s="154">
        <f t="shared" ca="1" si="225"/>
        <v>0</v>
      </c>
      <c r="AV62" s="154">
        <f t="shared" ca="1" si="226"/>
        <v>0</v>
      </c>
      <c r="AW62" s="154">
        <f t="shared" ca="1" si="227"/>
        <v>0</v>
      </c>
      <c r="AX62" s="154">
        <f t="shared" ca="1" si="228"/>
        <v>0</v>
      </c>
      <c r="AY62" s="154">
        <f t="shared" ca="1" si="229"/>
        <v>0</v>
      </c>
      <c r="AZ62" s="154">
        <f t="shared" ca="1" si="230"/>
        <v>0</v>
      </c>
      <c r="BA62" s="154">
        <f t="shared" ca="1" si="231"/>
        <v>0</v>
      </c>
      <c r="BB62" s="154">
        <f t="shared" ca="1" si="232"/>
        <v>0</v>
      </c>
      <c r="BC62" s="154">
        <f t="shared" ca="1" si="233"/>
        <v>0</v>
      </c>
      <c r="BD62" s="154">
        <f t="shared" ca="1" si="234"/>
        <v>0</v>
      </c>
      <c r="BE62" s="154">
        <f t="shared" ca="1" si="235"/>
        <v>0</v>
      </c>
      <c r="BF62" s="154">
        <f t="shared" ca="1" si="236"/>
        <v>0</v>
      </c>
      <c r="BG62" s="154">
        <f t="shared" ca="1" si="237"/>
        <v>0</v>
      </c>
      <c r="BH62" s="154">
        <f t="shared" ca="1" si="238"/>
        <v>0</v>
      </c>
      <c r="BI62" s="154">
        <f t="shared" ca="1" si="239"/>
        <v>0</v>
      </c>
      <c r="BJ62" s="154">
        <f t="shared" ca="1" si="240"/>
        <v>0</v>
      </c>
      <c r="BK62" s="154">
        <f t="shared" ca="1" si="241"/>
        <v>0</v>
      </c>
      <c r="BL62" s="154">
        <f t="shared" ca="1" si="242"/>
        <v>0</v>
      </c>
      <c r="BM62" s="154">
        <f t="shared" ca="1" si="243"/>
        <v>0</v>
      </c>
      <c r="BN62" s="154">
        <f t="shared" ca="1" si="244"/>
        <v>0</v>
      </c>
      <c r="BO62" s="154">
        <f t="shared" ca="1" si="245"/>
        <v>0</v>
      </c>
      <c r="BP62" s="154">
        <f t="shared" ca="1" si="246"/>
        <v>0</v>
      </c>
      <c r="BQ62" s="154">
        <f t="shared" ca="1" si="247"/>
        <v>0</v>
      </c>
      <c r="BR62" s="154">
        <f t="shared" ca="1" si="248"/>
        <v>0</v>
      </c>
      <c r="BS62" s="154">
        <f t="shared" ca="1" si="249"/>
        <v>0</v>
      </c>
      <c r="BT62" s="154">
        <f t="shared" ca="1" si="250"/>
        <v>0</v>
      </c>
      <c r="BU62" s="154">
        <f t="shared" ca="1" si="251"/>
        <v>0</v>
      </c>
      <c r="BV62" s="154">
        <f t="shared" ca="1" si="252"/>
        <v>0</v>
      </c>
      <c r="BW62" s="154">
        <f t="shared" ca="1" si="253"/>
        <v>0</v>
      </c>
      <c r="BX62" s="154">
        <f t="shared" ca="1" si="254"/>
        <v>0</v>
      </c>
      <c r="BY62" s="154">
        <f t="shared" ca="1" si="255"/>
        <v>0</v>
      </c>
      <c r="BZ62" s="154">
        <f t="shared" si="256"/>
        <v>0</v>
      </c>
      <c r="CA62" s="154">
        <f t="shared" si="257"/>
        <v>0</v>
      </c>
      <c r="CB62" s="154">
        <f t="shared" ca="1" si="258"/>
        <v>0</v>
      </c>
      <c r="CC62" s="523"/>
      <c r="CD62" s="355">
        <f t="shared" si="259"/>
        <v>89</v>
      </c>
      <c r="CE62" s="268" t="str">
        <f t="shared" ca="1" si="260"/>
        <v>B</v>
      </c>
      <c r="CF62" s="355" t="str">
        <f ca="1">IF(EXACT($B62,""),$CF61,CONCATENATE($CF61,$A62))</f>
        <v/>
      </c>
      <c r="CG62" s="268"/>
      <c r="CH62" s="268"/>
      <c r="CI62" s="269">
        <f t="shared" ca="1" si="261"/>
        <v>0</v>
      </c>
      <c r="CJ62" s="269">
        <f t="shared" ca="1" si="262"/>
        <v>0</v>
      </c>
      <c r="CK62" s="268"/>
      <c r="CL62" s="268"/>
      <c r="CM62" s="268">
        <f t="shared" ca="1" si="82"/>
        <v>0</v>
      </c>
      <c r="CN62" s="269">
        <f t="shared" ca="1" si="83"/>
        <v>0</v>
      </c>
      <c r="CO62" s="268" t="str">
        <f t="shared" ca="1" si="263"/>
        <v>B</v>
      </c>
      <c r="CP62" s="269" t="b">
        <f t="shared" ca="1" si="264"/>
        <v>1</v>
      </c>
      <c r="CQ62" s="269">
        <f t="shared" si="265"/>
        <v>0</v>
      </c>
      <c r="CR62" s="269">
        <f t="shared" si="266"/>
        <v>0</v>
      </c>
      <c r="CS62" s="269">
        <f t="shared" ca="1" si="267"/>
        <v>0</v>
      </c>
      <c r="CT62" s="302" t="str">
        <f t="shared" ca="1" si="268"/>
        <v>0</v>
      </c>
      <c r="CU62" s="269">
        <f t="shared" ca="1" si="269"/>
        <v>0</v>
      </c>
      <c r="CV62" s="268"/>
      <c r="CW62" s="269">
        <f t="shared" ca="1" si="270"/>
        <v>0</v>
      </c>
      <c r="CX62" s="301">
        <f t="shared" ca="1" si="271"/>
        <v>0</v>
      </c>
      <c r="CY62" s="301">
        <f t="shared" ca="1" si="85"/>
        <v>0</v>
      </c>
      <c r="CZ62" s="301">
        <f t="shared" ca="1" si="272"/>
        <v>0</v>
      </c>
      <c r="DA62" s="301">
        <f t="shared" ca="1" si="273"/>
        <v>0</v>
      </c>
      <c r="DB62" t="str">
        <f ca="1">IF(AND(NOT(ISBLANK($G62)),OR(EXACT($AH$5,$A$60),EXACT($AH$6,$A$60),EXACT($AH$7,$A$60),EXACT($AH$8,$A$60),EXACT($AH$9,$A$60))),"Nicht möglich (Unfähigkeit)!","")</f>
        <v/>
      </c>
      <c r="DC62" s="301" t="str">
        <f t="shared" ca="1" si="274"/>
        <v/>
      </c>
      <c r="DD62" s="1337" t="str">
        <f t="shared" ref="DD62:DD71" ca="1" si="279">IF(PROFGEBGENE="Goetter",IF(RIGHT(HLOOKUP(PROFGENE,INDIRECT(PROFGEBIET),$CD62,FALSE),1)="M",CONCATENATE(DD61,$A62,","),DD61),IF(AKTIV_SPTWHE,IF(EXACT(UPPER(RIGHT(HLOOKUP(PROFSPTWHE,SPTWHE,$CD62,FALSE))),"M"),CONCATENATE(DD61,$A62,","),DD61),IF(PROFGEBZWEITE="Goetter (BGB)",IF(RIGHT(HLOOKUP(PROFZWEITE,INDIRECT(PROFGEBIET2),$CD62,FALSE),1)="M",CONCATENATE(DD61,$A62,","),DD61),"")))</f>
        <v/>
      </c>
      <c r="DE62" s="1337" t="str">
        <f t="shared" ref="DE62:DE71" ca="1" si="280">IF(PROFGEBGENE="Goetter",IF(RIGHT(HLOOKUP(PROFGENE,INDIRECT(PROFGEBIET),$CD62,FALSE),1)="N",CONCATENATE(DE61,$A62,","),DE61),IF(AKTIV_SPTWHE,IF(EXACT(UPPER(RIGHT(HLOOKUP(PROFSPTWHE,SPTWHE,$CD62,FALSE))),"N"),CONCATENATE(DE61,$A62,","),DE61),IF(PROFGEBZWEITE="Goetter (BGB)",IF(RIGHT(HLOOKUP(PROFZWEITE,INDIRECT(PROFGEBIET2),$CD62,FALSE),1)="N",CONCATENATE(DE61,$A62,","),DE61),"")))</f>
        <v/>
      </c>
      <c r="DG62" s="269" t="str">
        <f ca="1">IF(DI62="",IF(VLOOKUP(A62,TALENTE_GP,4,FALSE)="Kultur","KULTUREN","Tabellen_Andere!BA"&amp;MATCH(A62,TALENTE)+1&amp;":BE"&amp;MATCH(A62,TALENTE)+1),ADDRESS(ROW(),COLUMN()+2,1,1))</f>
        <v>KULTUREN</v>
      </c>
      <c r="DH62" s="269" t="str">
        <f>IF(VLOOKUP(A62,TALENTE_GP,4,FALSE)="Kultur","KULTUREN","Tabellen_Andere!BA"&amp;MATCH(A62,TALENTE)+1&amp;":BE"&amp;MATCH(A62,TALENTE)+1)</f>
        <v>KULTUREN</v>
      </c>
      <c r="DI62" s="269" t="str">
        <f ca="1">IF(NOT(ISERR(FIND(A62,Abfragen!$O$264,1))),MID(Abfragen!$O$264,FIND("(",Abfragen!$O$264,FIND(A62,Abfragen!$O$264,1)+LEN(A62))+1,FIND(")",Abfragen!$O$264,FIND(A62,Abfragen!$O$264,1)+LEN(A62))-FIND("(",Abfragen!$O$264,FIND(A62,Abfragen!$O$264,1)+LEN(A62))-1),"")</f>
        <v/>
      </c>
      <c r="DJ62" s="301" t="str">
        <f t="shared" ref="DJ62:DJ71" ca="1" si="281">IF(ISERR(FIND(";"&amp;DJ$13&amp;":0;",$F62)),
CHAR(CODE($CE62)+SUM(IF(ISERR(FIND(";"&amp;DJ$13&amp;";",$F62)),0,-1),IF(ISERR(FIND(";"&amp;DJ$13&amp;":",$F62)),0,-VALUE(MID($F62,FIND(";"&amp;DJ$13&amp;":",$F62)+LEN(DJ$13)+2,1))))),0)</f>
        <v>B</v>
      </c>
      <c r="DK62" s="301" t="str">
        <f t="shared" ca="1" si="275"/>
        <v>B</v>
      </c>
      <c r="DL62" s="301" t="str">
        <f t="shared" ca="1" si="275"/>
        <v>B</v>
      </c>
      <c r="DM62" s="301" t="str">
        <f t="shared" ca="1" si="275"/>
        <v>B</v>
      </c>
      <c r="DN62" s="301" t="str">
        <f t="shared" ca="1" si="275"/>
        <v>B</v>
      </c>
      <c r="DO62" s="301" t="str">
        <f t="shared" ca="1" si="275"/>
        <v>B</v>
      </c>
      <c r="DP62" s="301" t="str">
        <f t="shared" ca="1" si="275"/>
        <v>B</v>
      </c>
      <c r="DQ62" s="301" t="str">
        <f t="shared" ca="1" si="275"/>
        <v>B</v>
      </c>
      <c r="DR62" s="301" t="str">
        <f t="shared" ca="1" si="275"/>
        <v>B</v>
      </c>
      <c r="DS62" s="301" t="str">
        <f t="shared" ca="1" si="275"/>
        <v>B</v>
      </c>
      <c r="DT62" s="301" t="str">
        <f t="shared" ca="1" si="275"/>
        <v>B</v>
      </c>
      <c r="DU62" s="301" t="str">
        <f t="shared" ca="1" si="275"/>
        <v>B</v>
      </c>
      <c r="DV62" s="301" t="str">
        <f t="shared" ca="1" si="275"/>
        <v>B</v>
      </c>
      <c r="DW62" s="301" t="str">
        <f t="shared" ca="1" si="275"/>
        <v>B</v>
      </c>
      <c r="DX62" s="301" t="str">
        <f t="shared" ca="1" si="275"/>
        <v>B</v>
      </c>
      <c r="DY62" s="301" t="str">
        <f t="shared" ca="1" si="275"/>
        <v>B</v>
      </c>
      <c r="DZ62" s="301" t="str">
        <f t="shared" ca="1" si="275"/>
        <v>B</v>
      </c>
      <c r="EA62" s="301" t="str">
        <f t="shared" ca="1" si="275"/>
        <v>B</v>
      </c>
      <c r="EB62" s="301" t="str">
        <f t="shared" ca="1" si="275"/>
        <v>B</v>
      </c>
      <c r="EC62" s="301" t="str">
        <f t="shared" ca="1" si="275"/>
        <v>B</v>
      </c>
      <c r="ED62" s="301" t="str">
        <f t="shared" ca="1" si="275"/>
        <v>B</v>
      </c>
      <c r="EE62" s="301" t="str">
        <f t="shared" ca="1" si="275"/>
        <v>B</v>
      </c>
      <c r="EF62" s="205"/>
      <c r="EG62" s="301" t="str">
        <f t="shared" ca="1" si="276"/>
        <v>B</v>
      </c>
      <c r="EH62" s="301" t="str">
        <f t="shared" ca="1" si="277"/>
        <v>B</v>
      </c>
      <c r="EI62" s="301" t="str">
        <f t="shared" ca="1" si="277"/>
        <v>B</v>
      </c>
      <c r="EJ62" s="301" t="str">
        <f t="shared" ca="1" si="277"/>
        <v>B</v>
      </c>
      <c r="EK62" s="301" t="str">
        <f t="shared" ca="1" si="277"/>
        <v>B</v>
      </c>
      <c r="EL62" s="301" t="str">
        <f t="shared" ca="1" si="277"/>
        <v>B</v>
      </c>
      <c r="EM62" s="301" t="str">
        <f t="shared" ca="1" si="277"/>
        <v>B</v>
      </c>
      <c r="EN62" s="301" t="str">
        <f t="shared" ca="1" si="277"/>
        <v>B</v>
      </c>
      <c r="EO62" s="301" t="str">
        <f t="shared" ca="1" si="277"/>
        <v>B</v>
      </c>
      <c r="EP62" s="301" t="str">
        <f t="shared" ca="1" si="277"/>
        <v>B</v>
      </c>
      <c r="EQ62" s="301" t="str">
        <f t="shared" ca="1" si="277"/>
        <v>B</v>
      </c>
      <c r="ER62" s="301" t="str">
        <f t="shared" ca="1" si="277"/>
        <v>B</v>
      </c>
      <c r="ES62" s="301" t="str">
        <f t="shared" ca="1" si="277"/>
        <v>B</v>
      </c>
      <c r="ET62" s="301" t="str">
        <f t="shared" ca="1" si="277"/>
        <v>B</v>
      </c>
      <c r="EU62" s="301" t="str">
        <f t="shared" ca="1" si="277"/>
        <v>B</v>
      </c>
      <c r="EV62" s="301" t="str">
        <f t="shared" ca="1" si="277"/>
        <v>B</v>
      </c>
      <c r="EW62" s="301" t="str">
        <f t="shared" ca="1" si="277"/>
        <v>B</v>
      </c>
      <c r="EX62" s="301" t="str">
        <f t="shared" ca="1" si="277"/>
        <v>B</v>
      </c>
      <c r="EY62" s="301" t="str">
        <f t="shared" ca="1" si="277"/>
        <v>B</v>
      </c>
      <c r="EZ62" s="301" t="str">
        <f t="shared" ca="1" si="277"/>
        <v>B</v>
      </c>
      <c r="FA62" s="301" t="str">
        <f t="shared" ca="1" si="277"/>
        <v>B</v>
      </c>
      <c r="FB62" s="301" t="str">
        <f t="shared" ca="1" si="277"/>
        <v>B</v>
      </c>
      <c r="FC62" s="301" t="str">
        <f t="shared" ca="1" si="277"/>
        <v>B</v>
      </c>
      <c r="FD62" s="301" t="str">
        <f t="shared" ca="1" si="277"/>
        <v>B</v>
      </c>
      <c r="FE62" s="301" t="str">
        <f t="shared" ca="1" si="277"/>
        <v>B</v>
      </c>
      <c r="FF62" s="301" t="str">
        <f t="shared" ca="1" si="277"/>
        <v>B</v>
      </c>
      <c r="FG62" s="301" t="str">
        <f t="shared" ca="1" si="277"/>
        <v>B</v>
      </c>
      <c r="FH62" s="301" t="str">
        <f t="shared" ca="1" si="277"/>
        <v>B</v>
      </c>
      <c r="FI62" s="301" t="str">
        <f t="shared" ca="1" si="277"/>
        <v>B</v>
      </c>
      <c r="FJ62" s="301" t="str">
        <f t="shared" ca="1" si="277"/>
        <v>B</v>
      </c>
      <c r="FK62" s="301" t="str">
        <f t="shared" ca="1" si="277"/>
        <v>B</v>
      </c>
      <c r="FL62" s="301" t="str">
        <f t="shared" ca="1" si="277"/>
        <v>B</v>
      </c>
    </row>
    <row r="63" spans="1:168" x14ac:dyDescent="0.2">
      <c r="A63" s="1529" t="str">
        <f t="shared" si="278"/>
        <v>Galanterie</v>
      </c>
      <c r="B63" s="317" t="str">
        <f t="shared" ca="1" si="198"/>
        <v/>
      </c>
      <c r="C63" s="332" t="str">
        <f ca="1">IF(OR(NOT(ISBLANK(D63)),NOT(ISBLANK(HLOOKUP(RASSEGENE,RASSE,$CD63,FALSE))),
NOT(ISBLANK(HLOOKUP(KULTURGENE,KULTUR,$CD63,FALSE))),
NOT(OR(ISBLANK(HLOOKUP(PROFGENE,INDIRECT(PROFGEBIET),$CD63,FALSE)),$CS63="N",$CS63="M")),
IF(PROFZWEITE="",FALSE,NOT(ISBLANK(HLOOKUP(PROFZWEITE,INDIRECT(PROFGEBIET2),$CD63,FALSE))))),"x","")</f>
        <v/>
      </c>
      <c r="D63" s="1110"/>
      <c r="E63" s="966"/>
      <c r="F63" s="325"/>
      <c r="G63" s="958"/>
      <c r="H63" s="1196"/>
      <c r="I63" s="326"/>
      <c r="J63" s="1880" t="str">
        <f t="shared" ca="1" si="199"/>
        <v/>
      </c>
      <c r="K63" s="1881"/>
      <c r="L63" s="1881"/>
      <c r="M63" s="1881"/>
      <c r="N63" s="1882"/>
      <c r="O63" s="613" t="str">
        <f t="shared" ca="1" si="200"/>
        <v/>
      </c>
      <c r="P63" s="90"/>
      <c r="Q63" s="25"/>
      <c r="R63" s="1313"/>
      <c r="S63" s="1313"/>
      <c r="T63" s="1315"/>
      <c r="U63" s="1283"/>
      <c r="V63" s="628" t="str">
        <f t="shared" ca="1" si="201"/>
        <v/>
      </c>
      <c r="W63" s="164">
        <f t="shared" ca="1" si="202"/>
        <v>0</v>
      </c>
      <c r="X63" s="164">
        <f t="shared" ca="1" si="203"/>
        <v>0</v>
      </c>
      <c r="Y63" s="164">
        <f t="shared" ca="1" si="204"/>
        <v>0</v>
      </c>
      <c r="Z63" s="164">
        <f t="shared" ca="1" si="205"/>
        <v>0</v>
      </c>
      <c r="AA63" s="164">
        <f t="shared" ca="1" si="206"/>
        <v>0</v>
      </c>
      <c r="AB63" s="164">
        <f t="shared" ca="1" si="207"/>
        <v>0</v>
      </c>
      <c r="AC63" s="164">
        <f t="shared" ca="1" si="208"/>
        <v>0</v>
      </c>
      <c r="AD63" s="164">
        <f t="shared" ca="1" si="209"/>
        <v>0</v>
      </c>
      <c r="AE63" s="164">
        <f t="shared" ca="1" si="210"/>
        <v>0</v>
      </c>
      <c r="AF63" s="164">
        <f t="shared" ca="1" si="211"/>
        <v>0</v>
      </c>
      <c r="AG63" s="164">
        <f t="shared" ca="1" si="212"/>
        <v>0</v>
      </c>
      <c r="AH63" s="164">
        <f t="shared" ca="1" si="213"/>
        <v>0</v>
      </c>
      <c r="AI63" s="164">
        <f t="shared" ca="1" si="214"/>
        <v>0</v>
      </c>
      <c r="AJ63" s="164">
        <f t="shared" ca="1" si="215"/>
        <v>0</v>
      </c>
      <c r="AK63" s="164">
        <f t="shared" ca="1" si="216"/>
        <v>0</v>
      </c>
      <c r="AL63" s="164">
        <f t="shared" ca="1" si="217"/>
        <v>0</v>
      </c>
      <c r="AM63" s="164">
        <f t="shared" ca="1" si="218"/>
        <v>0</v>
      </c>
      <c r="AN63" s="164">
        <f t="shared" ca="1" si="219"/>
        <v>0</v>
      </c>
      <c r="AO63" s="164">
        <f t="shared" ca="1" si="220"/>
        <v>0</v>
      </c>
      <c r="AP63" s="164">
        <f t="shared" ca="1" si="221"/>
        <v>0</v>
      </c>
      <c r="AQ63" s="164">
        <f t="shared" ca="1" si="222"/>
        <v>0</v>
      </c>
      <c r="AR63" s="164">
        <f t="shared" ca="1" si="223"/>
        <v>0</v>
      </c>
      <c r="AS63" s="195"/>
      <c r="AT63" s="154">
        <f t="shared" ca="1" si="224"/>
        <v>0</v>
      </c>
      <c r="AU63" s="154">
        <f t="shared" ca="1" si="225"/>
        <v>0</v>
      </c>
      <c r="AV63" s="154">
        <f t="shared" ca="1" si="226"/>
        <v>0</v>
      </c>
      <c r="AW63" s="154">
        <f t="shared" ca="1" si="227"/>
        <v>0</v>
      </c>
      <c r="AX63" s="154">
        <f t="shared" ca="1" si="228"/>
        <v>0</v>
      </c>
      <c r="AY63" s="154">
        <f t="shared" ca="1" si="229"/>
        <v>0</v>
      </c>
      <c r="AZ63" s="154">
        <f t="shared" ca="1" si="230"/>
        <v>0</v>
      </c>
      <c r="BA63" s="154">
        <f t="shared" ca="1" si="231"/>
        <v>0</v>
      </c>
      <c r="BB63" s="154">
        <f t="shared" ca="1" si="232"/>
        <v>0</v>
      </c>
      <c r="BC63" s="154">
        <f t="shared" ca="1" si="233"/>
        <v>0</v>
      </c>
      <c r="BD63" s="154">
        <f t="shared" ca="1" si="234"/>
        <v>0</v>
      </c>
      <c r="BE63" s="154">
        <f t="shared" ca="1" si="235"/>
        <v>0</v>
      </c>
      <c r="BF63" s="154">
        <f t="shared" ca="1" si="236"/>
        <v>0</v>
      </c>
      <c r="BG63" s="154">
        <f t="shared" ca="1" si="237"/>
        <v>0</v>
      </c>
      <c r="BH63" s="154">
        <f t="shared" ca="1" si="238"/>
        <v>0</v>
      </c>
      <c r="BI63" s="154">
        <f t="shared" ca="1" si="239"/>
        <v>0</v>
      </c>
      <c r="BJ63" s="154">
        <f t="shared" ca="1" si="240"/>
        <v>0</v>
      </c>
      <c r="BK63" s="154">
        <f t="shared" ca="1" si="241"/>
        <v>0</v>
      </c>
      <c r="BL63" s="154">
        <f t="shared" ca="1" si="242"/>
        <v>0</v>
      </c>
      <c r="BM63" s="154">
        <f t="shared" ca="1" si="243"/>
        <v>0</v>
      </c>
      <c r="BN63" s="154">
        <f t="shared" ca="1" si="244"/>
        <v>0</v>
      </c>
      <c r="BO63" s="154">
        <f t="shared" ca="1" si="245"/>
        <v>0</v>
      </c>
      <c r="BP63" s="154">
        <f t="shared" ca="1" si="246"/>
        <v>0</v>
      </c>
      <c r="BQ63" s="154">
        <f t="shared" ca="1" si="247"/>
        <v>0</v>
      </c>
      <c r="BR63" s="154">
        <f t="shared" ca="1" si="248"/>
        <v>0</v>
      </c>
      <c r="BS63" s="154">
        <f t="shared" ca="1" si="249"/>
        <v>0</v>
      </c>
      <c r="BT63" s="154">
        <f t="shared" ca="1" si="250"/>
        <v>0</v>
      </c>
      <c r="BU63" s="154">
        <f t="shared" ca="1" si="251"/>
        <v>0</v>
      </c>
      <c r="BV63" s="154">
        <f t="shared" ca="1" si="252"/>
        <v>0</v>
      </c>
      <c r="BW63" s="154">
        <f t="shared" ca="1" si="253"/>
        <v>0</v>
      </c>
      <c r="BX63" s="154">
        <f t="shared" ca="1" si="254"/>
        <v>0</v>
      </c>
      <c r="BY63" s="154">
        <f t="shared" ca="1" si="255"/>
        <v>0</v>
      </c>
      <c r="BZ63" s="154">
        <f t="shared" si="256"/>
        <v>0</v>
      </c>
      <c r="CA63" s="154">
        <f t="shared" si="257"/>
        <v>0</v>
      </c>
      <c r="CB63" s="154">
        <f t="shared" ca="1" si="258"/>
        <v>0</v>
      </c>
      <c r="CC63" s="523"/>
      <c r="CD63" s="355">
        <f t="shared" si="259"/>
        <v>90</v>
      </c>
      <c r="CE63" s="268" t="str">
        <f t="shared" ca="1" si="260"/>
        <v>B</v>
      </c>
      <c r="CF63" s="355" t="str">
        <f ca="1">IF(EXACT($B63,""),$CF62,CONCATENATE($CF62,$A63))</f>
        <v/>
      </c>
      <c r="CG63" s="268"/>
      <c r="CH63" s="268"/>
      <c r="CI63" s="269">
        <f t="shared" ca="1" si="261"/>
        <v>0</v>
      </c>
      <c r="CJ63" s="269">
        <f t="shared" ca="1" si="262"/>
        <v>0</v>
      </c>
      <c r="CK63" s="268"/>
      <c r="CL63" s="268"/>
      <c r="CM63" s="268">
        <f t="shared" ca="1" si="82"/>
        <v>0</v>
      </c>
      <c r="CN63" s="269">
        <f t="shared" ca="1" si="83"/>
        <v>0</v>
      </c>
      <c r="CO63" s="268" t="str">
        <f t="shared" ca="1" si="263"/>
        <v>B</v>
      </c>
      <c r="CP63" s="269" t="b">
        <f t="shared" ca="1" si="264"/>
        <v>1</v>
      </c>
      <c r="CQ63" s="269">
        <f t="shared" si="265"/>
        <v>0</v>
      </c>
      <c r="CR63" s="269">
        <f t="shared" si="266"/>
        <v>0</v>
      </c>
      <c r="CS63" s="269">
        <f t="shared" ca="1" si="267"/>
        <v>0</v>
      </c>
      <c r="CT63" s="302" t="str">
        <f t="shared" ca="1" si="268"/>
        <v>0</v>
      </c>
      <c r="CU63" s="269">
        <f t="shared" ca="1" si="269"/>
        <v>0</v>
      </c>
      <c r="CV63" s="268"/>
      <c r="CW63" s="269">
        <f t="shared" ca="1" si="270"/>
        <v>0</v>
      </c>
      <c r="CX63" s="301">
        <f t="shared" ca="1" si="271"/>
        <v>0</v>
      </c>
      <c r="CY63" s="301">
        <f t="shared" ca="1" si="85"/>
        <v>0</v>
      </c>
      <c r="CZ63" s="301">
        <f t="shared" ca="1" si="272"/>
        <v>0</v>
      </c>
      <c r="DA63" s="301">
        <f t="shared" ca="1" si="273"/>
        <v>0</v>
      </c>
      <c r="DB63" t="str">
        <f ca="1">IF(AND(NOT(ISBLANK($G63)),OR(EXACT($AH$5,$A$60),EXACT($AH$6,$A$60),EXACT($AH$7,$A$60),EXACT($AH$8,$A$60),EXACT($AH$9,$A$60))),"Nicht möglich (Unfähigkeit)!","")</f>
        <v/>
      </c>
      <c r="DC63" s="301" t="str">
        <f t="shared" ca="1" si="274"/>
        <v/>
      </c>
      <c r="DD63" s="1337" t="str">
        <f t="shared" ca="1" si="279"/>
        <v/>
      </c>
      <c r="DE63" s="1337" t="str">
        <f t="shared" ca="1" si="280"/>
        <v/>
      </c>
      <c r="DG63" s="269" t="str">
        <f ca="1">IF(DI63="",IF(VLOOKUP(A63,TALENTE_GP,4,FALSE)="Kultur","KULTUREN","Tabellen_Andere!BA"&amp;MATCH(A63,TALENTE)+1&amp;":BF"&amp;MATCH(A63,TALENTE)+1),ADDRESS(ROW(),COLUMN()+2,1,1))</f>
        <v>Tabellen_Andere!BA36:BF36</v>
      </c>
      <c r="DH63" s="269" t="str">
        <f>IF(VLOOKUP(A63,TALENTE_GP,4,FALSE)="Kultur","KULTUREN","Tabellen_Andere!BA"&amp;MATCH(A63,TALENTE)+1&amp;":BF"&amp;MATCH(A63,TALENTE)+1)</f>
        <v>Tabellen_Andere!BA36:BF36</v>
      </c>
      <c r="DI63" s="269" t="str">
        <f ca="1">IF(NOT(ISERR(FIND(A63,Abfragen!$O$264,1))),MID(Abfragen!$O$264,FIND("(",Abfragen!$O$264,FIND(A63,Abfragen!$O$264,1)+LEN(A63))+1,FIND(")",Abfragen!$O$264,FIND(A63,Abfragen!$O$264,1)+LEN(A63))-FIND("(",Abfragen!$O$264,FIND(A63,Abfragen!$O$264,1)+LEN(A63))-1),"")</f>
        <v/>
      </c>
      <c r="DJ63" s="301" t="str">
        <f t="shared" ca="1" si="281"/>
        <v>B</v>
      </c>
      <c r="DK63" s="301" t="str">
        <f t="shared" ca="1" si="275"/>
        <v>B</v>
      </c>
      <c r="DL63" s="301" t="str">
        <f t="shared" ca="1" si="275"/>
        <v>B</v>
      </c>
      <c r="DM63" s="301" t="str">
        <f t="shared" ca="1" si="275"/>
        <v>B</v>
      </c>
      <c r="DN63" s="301" t="str">
        <f t="shared" ca="1" si="275"/>
        <v>B</v>
      </c>
      <c r="DO63" s="301" t="str">
        <f t="shared" ca="1" si="275"/>
        <v>B</v>
      </c>
      <c r="DP63" s="301" t="str">
        <f t="shared" ca="1" si="275"/>
        <v>B</v>
      </c>
      <c r="DQ63" s="301" t="str">
        <f t="shared" ca="1" si="275"/>
        <v>B</v>
      </c>
      <c r="DR63" s="301" t="str">
        <f t="shared" ca="1" si="275"/>
        <v>B</v>
      </c>
      <c r="DS63" s="301" t="str">
        <f t="shared" ca="1" si="275"/>
        <v>B</v>
      </c>
      <c r="DT63" s="301" t="str">
        <f t="shared" ca="1" si="275"/>
        <v>B</v>
      </c>
      <c r="DU63" s="301" t="str">
        <f t="shared" ca="1" si="275"/>
        <v>B</v>
      </c>
      <c r="DV63" s="301" t="str">
        <f t="shared" ca="1" si="275"/>
        <v>B</v>
      </c>
      <c r="DW63" s="301" t="str">
        <f t="shared" ca="1" si="275"/>
        <v>B</v>
      </c>
      <c r="DX63" s="301" t="str">
        <f t="shared" ca="1" si="275"/>
        <v>B</v>
      </c>
      <c r="DY63" s="301" t="str">
        <f t="shared" ca="1" si="275"/>
        <v>B</v>
      </c>
      <c r="DZ63" s="301" t="str">
        <f t="shared" ca="1" si="275"/>
        <v>B</v>
      </c>
      <c r="EA63" s="301" t="str">
        <f t="shared" ca="1" si="275"/>
        <v>B</v>
      </c>
      <c r="EB63" s="301" t="str">
        <f t="shared" ca="1" si="275"/>
        <v>B</v>
      </c>
      <c r="EC63" s="301" t="str">
        <f t="shared" ca="1" si="275"/>
        <v>B</v>
      </c>
      <c r="ED63" s="301" t="str">
        <f t="shared" ca="1" si="275"/>
        <v>B</v>
      </c>
      <c r="EE63" s="301" t="str">
        <f t="shared" ca="1" si="275"/>
        <v>B</v>
      </c>
      <c r="EF63" s="205"/>
      <c r="EG63" s="301" t="str">
        <f t="shared" ca="1" si="276"/>
        <v>B</v>
      </c>
      <c r="EH63" s="301" t="str">
        <f t="shared" ca="1" si="277"/>
        <v>B</v>
      </c>
      <c r="EI63" s="301" t="str">
        <f t="shared" ca="1" si="277"/>
        <v>B</v>
      </c>
      <c r="EJ63" s="301" t="str">
        <f t="shared" ca="1" si="277"/>
        <v>B</v>
      </c>
      <c r="EK63" s="301" t="str">
        <f t="shared" ca="1" si="277"/>
        <v>B</v>
      </c>
      <c r="EL63" s="301" t="str">
        <f t="shared" ca="1" si="277"/>
        <v>B</v>
      </c>
      <c r="EM63" s="301" t="str">
        <f t="shared" ca="1" si="277"/>
        <v>B</v>
      </c>
      <c r="EN63" s="301" t="str">
        <f t="shared" ca="1" si="277"/>
        <v>B</v>
      </c>
      <c r="EO63" s="301" t="str">
        <f t="shared" ca="1" si="277"/>
        <v>B</v>
      </c>
      <c r="EP63" s="301" t="str">
        <f t="shared" ca="1" si="277"/>
        <v>B</v>
      </c>
      <c r="EQ63" s="301" t="str">
        <f t="shared" ca="1" si="277"/>
        <v>B</v>
      </c>
      <c r="ER63" s="301" t="str">
        <f t="shared" ca="1" si="277"/>
        <v>B</v>
      </c>
      <c r="ES63" s="301" t="str">
        <f t="shared" ca="1" si="277"/>
        <v>B</v>
      </c>
      <c r="ET63" s="301" t="str">
        <f t="shared" ca="1" si="277"/>
        <v>B</v>
      </c>
      <c r="EU63" s="301" t="str">
        <f t="shared" ca="1" si="277"/>
        <v>B</v>
      </c>
      <c r="EV63" s="301" t="str">
        <f t="shared" ca="1" si="277"/>
        <v>B</v>
      </c>
      <c r="EW63" s="301" t="str">
        <f t="shared" ca="1" si="277"/>
        <v>B</v>
      </c>
      <c r="EX63" s="301" t="str">
        <f t="shared" ca="1" si="277"/>
        <v>B</v>
      </c>
      <c r="EY63" s="301" t="str">
        <f t="shared" ca="1" si="277"/>
        <v>B</v>
      </c>
      <c r="EZ63" s="301" t="str">
        <f t="shared" ca="1" si="277"/>
        <v>B</v>
      </c>
      <c r="FA63" s="301" t="str">
        <f t="shared" ca="1" si="277"/>
        <v>B</v>
      </c>
      <c r="FB63" s="301" t="str">
        <f t="shared" ca="1" si="277"/>
        <v>B</v>
      </c>
      <c r="FC63" s="301" t="str">
        <f t="shared" ca="1" si="277"/>
        <v>B</v>
      </c>
      <c r="FD63" s="301" t="str">
        <f t="shared" ca="1" si="277"/>
        <v>B</v>
      </c>
      <c r="FE63" s="301" t="str">
        <f t="shared" ca="1" si="277"/>
        <v>B</v>
      </c>
      <c r="FF63" s="301" t="str">
        <f t="shared" ca="1" si="277"/>
        <v>B</v>
      </c>
      <c r="FG63" s="301" t="str">
        <f t="shared" ca="1" si="277"/>
        <v>B</v>
      </c>
      <c r="FH63" s="301" t="str">
        <f t="shared" ca="1" si="277"/>
        <v>B</v>
      </c>
      <c r="FI63" s="301" t="str">
        <f t="shared" ca="1" si="277"/>
        <v>B</v>
      </c>
      <c r="FJ63" s="301" t="str">
        <f t="shared" ca="1" si="277"/>
        <v>B</v>
      </c>
      <c r="FK63" s="301" t="str">
        <f t="shared" ca="1" si="277"/>
        <v>B</v>
      </c>
      <c r="FL63" s="301" t="str">
        <f t="shared" ca="1" si="277"/>
        <v>B</v>
      </c>
    </row>
    <row r="64" spans="1:168" x14ac:dyDescent="0.2">
      <c r="A64" s="24" t="str">
        <f t="shared" si="278"/>
        <v>Gassenwissen</v>
      </c>
      <c r="B64" s="317" t="str">
        <f t="shared" ca="1" si="198"/>
        <v/>
      </c>
      <c r="C64" s="332" t="str">
        <f ca="1">IF(OR(NOT(ISBLANK(D64)),NOT(ISBLANK(HLOOKUP(RASSEGENE,RASSE,$CD64,FALSE))),
NOT(ISBLANK(HLOOKUP(KULTURGENE,KULTUR,$CD64,FALSE))),
NOT(OR(ISBLANK(HLOOKUP(PROFGENE,INDIRECT(PROFGEBIET),$CD64,FALSE)),$CS64="N",$CS64="M")),
IF(PROFZWEITE="",FALSE,NOT(ISBLANK(HLOOKUP(PROFZWEITE,INDIRECT(PROFGEBIET2),$CD64,FALSE))))),"x","")</f>
        <v/>
      </c>
      <c r="D64" s="1110"/>
      <c r="E64" s="966"/>
      <c r="F64" s="325"/>
      <c r="G64" s="958"/>
      <c r="H64" s="1196"/>
      <c r="I64" s="326"/>
      <c r="J64" s="1880" t="str">
        <f t="shared" ca="1" si="199"/>
        <v/>
      </c>
      <c r="K64" s="1881"/>
      <c r="L64" s="1881"/>
      <c r="M64" s="1881"/>
      <c r="N64" s="1882"/>
      <c r="O64" s="613" t="str">
        <f t="shared" ca="1" si="200"/>
        <v/>
      </c>
      <c r="P64" s="90"/>
      <c r="Q64" s="25"/>
      <c r="R64" s="1313"/>
      <c r="S64" s="1313"/>
      <c r="T64" s="1315"/>
      <c r="U64" s="1283"/>
      <c r="V64" s="628" t="str">
        <f t="shared" ca="1" si="201"/>
        <v/>
      </c>
      <c r="W64" s="164">
        <f t="shared" ca="1" si="202"/>
        <v>0</v>
      </c>
      <c r="X64" s="164">
        <f t="shared" ca="1" si="203"/>
        <v>0</v>
      </c>
      <c r="Y64" s="164">
        <f t="shared" ca="1" si="204"/>
        <v>0</v>
      </c>
      <c r="Z64" s="164">
        <f t="shared" ca="1" si="205"/>
        <v>0</v>
      </c>
      <c r="AA64" s="164">
        <f t="shared" ca="1" si="206"/>
        <v>0</v>
      </c>
      <c r="AB64" s="164">
        <f t="shared" ca="1" si="207"/>
        <v>0</v>
      </c>
      <c r="AC64" s="164">
        <f t="shared" ca="1" si="208"/>
        <v>0</v>
      </c>
      <c r="AD64" s="164">
        <f t="shared" ca="1" si="209"/>
        <v>0</v>
      </c>
      <c r="AE64" s="164">
        <f t="shared" ca="1" si="210"/>
        <v>0</v>
      </c>
      <c r="AF64" s="164">
        <f t="shared" ca="1" si="211"/>
        <v>0</v>
      </c>
      <c r="AG64" s="164">
        <f t="shared" ca="1" si="212"/>
        <v>0</v>
      </c>
      <c r="AH64" s="164">
        <f t="shared" ca="1" si="213"/>
        <v>0</v>
      </c>
      <c r="AI64" s="164">
        <f t="shared" ca="1" si="214"/>
        <v>0</v>
      </c>
      <c r="AJ64" s="164">
        <f t="shared" ca="1" si="215"/>
        <v>0</v>
      </c>
      <c r="AK64" s="164">
        <f t="shared" ca="1" si="216"/>
        <v>0</v>
      </c>
      <c r="AL64" s="164">
        <f t="shared" ca="1" si="217"/>
        <v>0</v>
      </c>
      <c r="AM64" s="164">
        <f t="shared" ca="1" si="218"/>
        <v>0</v>
      </c>
      <c r="AN64" s="164">
        <f t="shared" ca="1" si="219"/>
        <v>0</v>
      </c>
      <c r="AO64" s="164">
        <f t="shared" ca="1" si="220"/>
        <v>0</v>
      </c>
      <c r="AP64" s="164">
        <f t="shared" ca="1" si="221"/>
        <v>0</v>
      </c>
      <c r="AQ64" s="164">
        <f t="shared" ca="1" si="222"/>
        <v>0</v>
      </c>
      <c r="AR64" s="164">
        <f t="shared" ca="1" si="223"/>
        <v>0</v>
      </c>
      <c r="AS64" s="195"/>
      <c r="AT64" s="154">
        <f t="shared" ca="1" si="224"/>
        <v>0</v>
      </c>
      <c r="AU64" s="154">
        <f t="shared" ca="1" si="225"/>
        <v>0</v>
      </c>
      <c r="AV64" s="154">
        <f t="shared" ca="1" si="226"/>
        <v>0</v>
      </c>
      <c r="AW64" s="154">
        <f t="shared" ca="1" si="227"/>
        <v>0</v>
      </c>
      <c r="AX64" s="154">
        <f t="shared" ca="1" si="228"/>
        <v>0</v>
      </c>
      <c r="AY64" s="154">
        <f t="shared" ca="1" si="229"/>
        <v>0</v>
      </c>
      <c r="AZ64" s="154">
        <f t="shared" ca="1" si="230"/>
        <v>0</v>
      </c>
      <c r="BA64" s="154">
        <f t="shared" ca="1" si="231"/>
        <v>0</v>
      </c>
      <c r="BB64" s="154">
        <f t="shared" ca="1" si="232"/>
        <v>0</v>
      </c>
      <c r="BC64" s="154">
        <f t="shared" ca="1" si="233"/>
        <v>0</v>
      </c>
      <c r="BD64" s="154">
        <f t="shared" ca="1" si="234"/>
        <v>0</v>
      </c>
      <c r="BE64" s="154">
        <f t="shared" ca="1" si="235"/>
        <v>0</v>
      </c>
      <c r="BF64" s="154">
        <f t="shared" ca="1" si="236"/>
        <v>0</v>
      </c>
      <c r="BG64" s="154">
        <f t="shared" ca="1" si="237"/>
        <v>0</v>
      </c>
      <c r="BH64" s="154">
        <f t="shared" ca="1" si="238"/>
        <v>0</v>
      </c>
      <c r="BI64" s="154">
        <f t="shared" ca="1" si="239"/>
        <v>0</v>
      </c>
      <c r="BJ64" s="154">
        <f t="shared" ca="1" si="240"/>
        <v>0</v>
      </c>
      <c r="BK64" s="154">
        <f t="shared" ca="1" si="241"/>
        <v>0</v>
      </c>
      <c r="BL64" s="154">
        <f t="shared" ca="1" si="242"/>
        <v>0</v>
      </c>
      <c r="BM64" s="154">
        <f t="shared" ca="1" si="243"/>
        <v>0</v>
      </c>
      <c r="BN64" s="154">
        <f t="shared" ca="1" si="244"/>
        <v>0</v>
      </c>
      <c r="BO64" s="154">
        <f t="shared" ca="1" si="245"/>
        <v>0</v>
      </c>
      <c r="BP64" s="154">
        <f t="shared" ca="1" si="246"/>
        <v>0</v>
      </c>
      <c r="BQ64" s="154">
        <f t="shared" ca="1" si="247"/>
        <v>0</v>
      </c>
      <c r="BR64" s="154">
        <f t="shared" ca="1" si="248"/>
        <v>0</v>
      </c>
      <c r="BS64" s="154">
        <f t="shared" ca="1" si="249"/>
        <v>0</v>
      </c>
      <c r="BT64" s="154">
        <f t="shared" ca="1" si="250"/>
        <v>0</v>
      </c>
      <c r="BU64" s="154">
        <f t="shared" ca="1" si="251"/>
        <v>0</v>
      </c>
      <c r="BV64" s="154">
        <f t="shared" ca="1" si="252"/>
        <v>0</v>
      </c>
      <c r="BW64" s="154">
        <f t="shared" ca="1" si="253"/>
        <v>0</v>
      </c>
      <c r="BX64" s="154">
        <f t="shared" ca="1" si="254"/>
        <v>0</v>
      </c>
      <c r="BY64" s="154">
        <f t="shared" ca="1" si="255"/>
        <v>0</v>
      </c>
      <c r="BZ64" s="154">
        <f t="shared" si="256"/>
        <v>0</v>
      </c>
      <c r="CA64" s="154">
        <f t="shared" si="257"/>
        <v>0</v>
      </c>
      <c r="CB64" s="154">
        <f t="shared" ca="1" si="258"/>
        <v>0</v>
      </c>
      <c r="CC64" s="523"/>
      <c r="CD64" s="355">
        <f t="shared" si="259"/>
        <v>91</v>
      </c>
      <c r="CE64" s="268" t="str">
        <f t="shared" ca="1" si="260"/>
        <v>B</v>
      </c>
      <c r="CF64" s="355" t="str">
        <f ca="1">IF(EXACT($B64,""),$CF63,CONCATENATE($CF63,$A64))</f>
        <v/>
      </c>
      <c r="CG64" s="268"/>
      <c r="CH64" s="268"/>
      <c r="CI64" s="269">
        <f t="shared" ca="1" si="261"/>
        <v>0</v>
      </c>
      <c r="CJ64" s="269">
        <f t="shared" ca="1" si="262"/>
        <v>0</v>
      </c>
      <c r="CK64" s="268"/>
      <c r="CL64" s="268"/>
      <c r="CM64" s="268">
        <f t="shared" ca="1" si="82"/>
        <v>0</v>
      </c>
      <c r="CN64" s="269">
        <f t="shared" ca="1" si="83"/>
        <v>0</v>
      </c>
      <c r="CO64" s="268" t="str">
        <f t="shared" ca="1" si="263"/>
        <v>B</v>
      </c>
      <c r="CP64" s="269" t="b">
        <f t="shared" ca="1" si="264"/>
        <v>1</v>
      </c>
      <c r="CQ64" s="269">
        <f t="shared" si="265"/>
        <v>0</v>
      </c>
      <c r="CR64" s="269">
        <f t="shared" si="266"/>
        <v>0</v>
      </c>
      <c r="CS64" s="269">
        <f t="shared" ca="1" si="267"/>
        <v>0</v>
      </c>
      <c r="CT64" s="302" t="str">
        <f t="shared" ca="1" si="268"/>
        <v>0</v>
      </c>
      <c r="CU64" s="269">
        <f t="shared" ca="1" si="269"/>
        <v>0</v>
      </c>
      <c r="CV64" s="268"/>
      <c r="CW64" s="269">
        <f t="shared" ca="1" si="270"/>
        <v>0</v>
      </c>
      <c r="CX64" s="301">
        <f t="shared" ca="1" si="271"/>
        <v>0</v>
      </c>
      <c r="CY64" s="301">
        <f t="shared" ca="1" si="85"/>
        <v>0</v>
      </c>
      <c r="CZ64" s="301">
        <f t="shared" ca="1" si="272"/>
        <v>0</v>
      </c>
      <c r="DA64" s="301">
        <f t="shared" ca="1" si="273"/>
        <v>0</v>
      </c>
      <c r="DB64" t="str">
        <f ca="1">IF(AND(NOT(ISBLANK($G64)),OR(EXACT($AH$5,$A$60),EXACT($AH$6,$A$60),EXACT($AH$7,$A$60),EXACT($AH$8,$A$60),EXACT($AH$9,$A$60))),"Nicht möglich (Unfähigkeit)!","")</f>
        <v/>
      </c>
      <c r="DC64" s="301" t="str">
        <f t="shared" ca="1" si="274"/>
        <v/>
      </c>
      <c r="DD64" s="1337" t="str">
        <f t="shared" ca="1" si="279"/>
        <v/>
      </c>
      <c r="DE64" s="1337" t="str">
        <f t="shared" ca="1" si="280"/>
        <v/>
      </c>
      <c r="DG64" s="269" t="str">
        <f ca="1">IF(DI64="",IF(VLOOKUP(A64,TALENTE_GP,4,FALSE)="Kultur","KULTUREN","Tabellen_Andere!BA"&amp;MATCH(A64,TALENTE)+1&amp;":BF"&amp;MATCH(A64,TALENTE)+1),ADDRESS(ROW(),COLUMN()+2,1,1))</f>
        <v>Tabellen_Andere!BA37:BF37</v>
      </c>
      <c r="DH64" s="269" t="str">
        <f>IF(VLOOKUP(A64,TALENTE_GP,4,FALSE)="Kultur","KULTUREN","Tabellen_Andere!BA"&amp;MATCH(A64,TALENTE)+1&amp;":BF"&amp;MATCH(A64,TALENTE)+1)</f>
        <v>Tabellen_Andere!BA37:BF37</v>
      </c>
      <c r="DI64" s="269" t="str">
        <f ca="1">IF(NOT(ISERR(FIND(A64,Abfragen!$O$264,1))),MID(Abfragen!$O$264,FIND("(",Abfragen!$O$264,FIND(A64,Abfragen!$O$264,1)+LEN(A64))+1,FIND(")",Abfragen!$O$264,FIND(A64,Abfragen!$O$264,1)+LEN(A64))-FIND("(",Abfragen!$O$264,FIND(A64,Abfragen!$O$264,1)+LEN(A64))-1),"")</f>
        <v/>
      </c>
      <c r="DJ64" s="301" t="str">
        <f t="shared" ca="1" si="281"/>
        <v>B</v>
      </c>
      <c r="DK64" s="301" t="str">
        <f t="shared" ca="1" si="275"/>
        <v>B</v>
      </c>
      <c r="DL64" s="301" t="str">
        <f t="shared" ca="1" si="275"/>
        <v>B</v>
      </c>
      <c r="DM64" s="301" t="str">
        <f t="shared" ca="1" si="275"/>
        <v>B</v>
      </c>
      <c r="DN64" s="301" t="str">
        <f t="shared" ca="1" si="275"/>
        <v>B</v>
      </c>
      <c r="DO64" s="301" t="str">
        <f t="shared" ca="1" si="275"/>
        <v>B</v>
      </c>
      <c r="DP64" s="301" t="str">
        <f t="shared" ca="1" si="275"/>
        <v>B</v>
      </c>
      <c r="DQ64" s="301" t="str">
        <f t="shared" ca="1" si="275"/>
        <v>B</v>
      </c>
      <c r="DR64" s="301" t="str">
        <f t="shared" ca="1" si="275"/>
        <v>B</v>
      </c>
      <c r="DS64" s="301" t="str">
        <f t="shared" ca="1" si="275"/>
        <v>B</v>
      </c>
      <c r="DT64" s="301" t="str">
        <f t="shared" ca="1" si="275"/>
        <v>B</v>
      </c>
      <c r="DU64" s="301" t="str">
        <f t="shared" ca="1" si="275"/>
        <v>B</v>
      </c>
      <c r="DV64" s="301" t="str">
        <f t="shared" ca="1" si="275"/>
        <v>B</v>
      </c>
      <c r="DW64" s="301" t="str">
        <f t="shared" ca="1" si="275"/>
        <v>B</v>
      </c>
      <c r="DX64" s="301" t="str">
        <f t="shared" ca="1" si="275"/>
        <v>B</v>
      </c>
      <c r="DY64" s="301" t="str">
        <f t="shared" ca="1" si="275"/>
        <v>B</v>
      </c>
      <c r="DZ64" s="301" t="str">
        <f t="shared" ca="1" si="275"/>
        <v>B</v>
      </c>
      <c r="EA64" s="301" t="str">
        <f t="shared" ca="1" si="275"/>
        <v>B</v>
      </c>
      <c r="EB64" s="301" t="str">
        <f t="shared" ca="1" si="275"/>
        <v>B</v>
      </c>
      <c r="EC64" s="301" t="str">
        <f t="shared" ca="1" si="275"/>
        <v>B</v>
      </c>
      <c r="ED64" s="301" t="str">
        <f t="shared" ca="1" si="275"/>
        <v>B</v>
      </c>
      <c r="EE64" s="301" t="str">
        <f t="shared" ca="1" si="275"/>
        <v>B</v>
      </c>
      <c r="EF64" s="205"/>
      <c r="EG64" s="301" t="str">
        <f t="shared" ca="1" si="276"/>
        <v>B</v>
      </c>
      <c r="EH64" s="301" t="str">
        <f t="shared" ca="1" si="277"/>
        <v>B</v>
      </c>
      <c r="EI64" s="301" t="str">
        <f t="shared" ca="1" si="277"/>
        <v>B</v>
      </c>
      <c r="EJ64" s="301" t="str">
        <f t="shared" ca="1" si="277"/>
        <v>B</v>
      </c>
      <c r="EK64" s="301" t="str">
        <f t="shared" ca="1" si="277"/>
        <v>B</v>
      </c>
      <c r="EL64" s="301" t="str">
        <f t="shared" ca="1" si="277"/>
        <v>B</v>
      </c>
      <c r="EM64" s="301" t="str">
        <f t="shared" ca="1" si="277"/>
        <v>B</v>
      </c>
      <c r="EN64" s="301" t="str">
        <f t="shared" ca="1" si="277"/>
        <v>B</v>
      </c>
      <c r="EO64" s="301" t="str">
        <f t="shared" ca="1" si="277"/>
        <v>B</v>
      </c>
      <c r="EP64" s="301" t="str">
        <f t="shared" ca="1" si="277"/>
        <v>B</v>
      </c>
      <c r="EQ64" s="301" t="str">
        <f t="shared" ca="1" si="277"/>
        <v>B</v>
      </c>
      <c r="ER64" s="301" t="str">
        <f t="shared" ca="1" si="277"/>
        <v>B</v>
      </c>
      <c r="ES64" s="301" t="str">
        <f t="shared" ca="1" si="277"/>
        <v>B</v>
      </c>
      <c r="ET64" s="301" t="str">
        <f t="shared" ca="1" si="277"/>
        <v>B</v>
      </c>
      <c r="EU64" s="301" t="str">
        <f t="shared" ca="1" si="277"/>
        <v>B</v>
      </c>
      <c r="EV64" s="301" t="str">
        <f t="shared" ca="1" si="277"/>
        <v>B</v>
      </c>
      <c r="EW64" s="301" t="str">
        <f t="shared" ca="1" si="277"/>
        <v>B</v>
      </c>
      <c r="EX64" s="301" t="str">
        <f t="shared" ca="1" si="277"/>
        <v>B</v>
      </c>
      <c r="EY64" s="301" t="str">
        <f t="shared" ca="1" si="277"/>
        <v>B</v>
      </c>
      <c r="EZ64" s="301" t="str">
        <f t="shared" ca="1" si="277"/>
        <v>B</v>
      </c>
      <c r="FA64" s="301" t="str">
        <f t="shared" ca="1" si="277"/>
        <v>B</v>
      </c>
      <c r="FB64" s="301" t="str">
        <f t="shared" ca="1" si="277"/>
        <v>B</v>
      </c>
      <c r="FC64" s="301" t="str">
        <f t="shared" ca="1" si="277"/>
        <v>B</v>
      </c>
      <c r="FD64" s="301" t="str">
        <f t="shared" ca="1" si="277"/>
        <v>B</v>
      </c>
      <c r="FE64" s="301" t="str">
        <f t="shared" ca="1" si="277"/>
        <v>B</v>
      </c>
      <c r="FF64" s="301" t="str">
        <f t="shared" ca="1" si="277"/>
        <v>B</v>
      </c>
      <c r="FG64" s="301" t="str">
        <f t="shared" ca="1" si="277"/>
        <v>B</v>
      </c>
      <c r="FH64" s="301" t="str">
        <f t="shared" ca="1" si="277"/>
        <v>B</v>
      </c>
      <c r="FI64" s="301" t="str">
        <f t="shared" ca="1" si="277"/>
        <v>B</v>
      </c>
      <c r="FJ64" s="301" t="str">
        <f t="shared" ca="1" si="277"/>
        <v>B</v>
      </c>
      <c r="FK64" s="301" t="str">
        <f t="shared" ca="1" si="277"/>
        <v>B</v>
      </c>
      <c r="FL64" s="301" t="str">
        <f t="shared" ca="1" si="277"/>
        <v>B</v>
      </c>
    </row>
    <row r="65" spans="1:168" x14ac:dyDescent="0.2">
      <c r="A65" s="24" t="str">
        <f t="shared" si="278"/>
        <v>Lehren</v>
      </c>
      <c r="B65" s="317" t="str">
        <f t="shared" ca="1" si="198"/>
        <v/>
      </c>
      <c r="C65" s="332" t="str">
        <f ca="1">IF(OR(NOT(ISBLANK(D65)),NOT(ISBLANK(HLOOKUP(RASSEGENE,RASSE,$CD65,FALSE))),
NOT(ISBLANK(HLOOKUP(KULTURGENE,KULTUR,$CD65,FALSE))),
NOT(OR(ISBLANK(HLOOKUP(PROFGENE,INDIRECT(PROFGEBIET),$CD65,FALSE)),$CS65="N",$CS65="M")),
IF(PROFZWEITE="",FALSE,NOT(ISBLANK(HLOOKUP(PROFZWEITE,INDIRECT(PROFGEBIET2),$CD65,FALSE))))),"x","")</f>
        <v/>
      </c>
      <c r="D65" s="1110"/>
      <c r="E65" s="966"/>
      <c r="F65" s="325"/>
      <c r="G65" s="958"/>
      <c r="H65" s="1196"/>
      <c r="I65" s="326"/>
      <c r="J65" s="1880" t="str">
        <f t="shared" ca="1" si="199"/>
        <v/>
      </c>
      <c r="K65" s="1881"/>
      <c r="L65" s="1881"/>
      <c r="M65" s="1881"/>
      <c r="N65" s="1882"/>
      <c r="O65" s="613" t="str">
        <f t="shared" ca="1" si="200"/>
        <v/>
      </c>
      <c r="P65" s="90"/>
      <c r="Q65" s="25"/>
      <c r="R65" s="1313"/>
      <c r="S65" s="1313"/>
      <c r="T65" s="1315"/>
      <c r="U65" s="1283"/>
      <c r="V65" s="628" t="str">
        <f t="shared" ca="1" si="201"/>
        <v/>
      </c>
      <c r="W65" s="164">
        <f t="shared" ca="1" si="202"/>
        <v>0</v>
      </c>
      <c r="X65" s="164">
        <f t="shared" ca="1" si="203"/>
        <v>0</v>
      </c>
      <c r="Y65" s="164">
        <f t="shared" ca="1" si="204"/>
        <v>0</v>
      </c>
      <c r="Z65" s="164">
        <f t="shared" ca="1" si="205"/>
        <v>0</v>
      </c>
      <c r="AA65" s="164">
        <f t="shared" ca="1" si="206"/>
        <v>0</v>
      </c>
      <c r="AB65" s="164">
        <f t="shared" ca="1" si="207"/>
        <v>0</v>
      </c>
      <c r="AC65" s="164">
        <f t="shared" ca="1" si="208"/>
        <v>0</v>
      </c>
      <c r="AD65" s="164">
        <f t="shared" ca="1" si="209"/>
        <v>0</v>
      </c>
      <c r="AE65" s="164">
        <f t="shared" ca="1" si="210"/>
        <v>0</v>
      </c>
      <c r="AF65" s="164">
        <f t="shared" ca="1" si="211"/>
        <v>0</v>
      </c>
      <c r="AG65" s="164">
        <f t="shared" ca="1" si="212"/>
        <v>0</v>
      </c>
      <c r="AH65" s="164">
        <f t="shared" ca="1" si="213"/>
        <v>0</v>
      </c>
      <c r="AI65" s="164">
        <f t="shared" ca="1" si="214"/>
        <v>0</v>
      </c>
      <c r="AJ65" s="164">
        <f t="shared" ca="1" si="215"/>
        <v>0</v>
      </c>
      <c r="AK65" s="164">
        <f t="shared" ca="1" si="216"/>
        <v>0</v>
      </c>
      <c r="AL65" s="164">
        <f t="shared" ca="1" si="217"/>
        <v>0</v>
      </c>
      <c r="AM65" s="164">
        <f t="shared" ca="1" si="218"/>
        <v>0</v>
      </c>
      <c r="AN65" s="164">
        <f t="shared" ca="1" si="219"/>
        <v>0</v>
      </c>
      <c r="AO65" s="164">
        <f t="shared" ca="1" si="220"/>
        <v>0</v>
      </c>
      <c r="AP65" s="164">
        <f t="shared" ca="1" si="221"/>
        <v>0</v>
      </c>
      <c r="AQ65" s="164">
        <f t="shared" ca="1" si="222"/>
        <v>0</v>
      </c>
      <c r="AR65" s="164">
        <f t="shared" ca="1" si="223"/>
        <v>0</v>
      </c>
      <c r="AS65" s="195"/>
      <c r="AT65" s="154">
        <f t="shared" ca="1" si="224"/>
        <v>0</v>
      </c>
      <c r="AU65" s="154">
        <f t="shared" ca="1" si="225"/>
        <v>0</v>
      </c>
      <c r="AV65" s="154">
        <f t="shared" ca="1" si="226"/>
        <v>0</v>
      </c>
      <c r="AW65" s="154">
        <f t="shared" ca="1" si="227"/>
        <v>0</v>
      </c>
      <c r="AX65" s="154">
        <f t="shared" ca="1" si="228"/>
        <v>0</v>
      </c>
      <c r="AY65" s="154">
        <f t="shared" ca="1" si="229"/>
        <v>0</v>
      </c>
      <c r="AZ65" s="154">
        <f t="shared" ca="1" si="230"/>
        <v>0</v>
      </c>
      <c r="BA65" s="154">
        <f t="shared" ca="1" si="231"/>
        <v>0</v>
      </c>
      <c r="BB65" s="154">
        <f t="shared" ca="1" si="232"/>
        <v>0</v>
      </c>
      <c r="BC65" s="154">
        <f t="shared" ca="1" si="233"/>
        <v>0</v>
      </c>
      <c r="BD65" s="154">
        <f t="shared" ca="1" si="234"/>
        <v>0</v>
      </c>
      <c r="BE65" s="154">
        <f t="shared" ca="1" si="235"/>
        <v>0</v>
      </c>
      <c r="BF65" s="154">
        <f t="shared" ca="1" si="236"/>
        <v>0</v>
      </c>
      <c r="BG65" s="154">
        <f t="shared" ca="1" si="237"/>
        <v>0</v>
      </c>
      <c r="BH65" s="154">
        <f t="shared" ca="1" si="238"/>
        <v>0</v>
      </c>
      <c r="BI65" s="154">
        <f t="shared" ca="1" si="239"/>
        <v>0</v>
      </c>
      <c r="BJ65" s="154">
        <f t="shared" ca="1" si="240"/>
        <v>0</v>
      </c>
      <c r="BK65" s="154">
        <f t="shared" ca="1" si="241"/>
        <v>0</v>
      </c>
      <c r="BL65" s="154">
        <f t="shared" ca="1" si="242"/>
        <v>0</v>
      </c>
      <c r="BM65" s="154">
        <f t="shared" ca="1" si="243"/>
        <v>0</v>
      </c>
      <c r="BN65" s="154">
        <f t="shared" ca="1" si="244"/>
        <v>0</v>
      </c>
      <c r="BO65" s="154">
        <f t="shared" ca="1" si="245"/>
        <v>0</v>
      </c>
      <c r="BP65" s="154">
        <f t="shared" ca="1" si="246"/>
        <v>0</v>
      </c>
      <c r="BQ65" s="154">
        <f t="shared" ca="1" si="247"/>
        <v>0</v>
      </c>
      <c r="BR65" s="154">
        <f t="shared" ca="1" si="248"/>
        <v>0</v>
      </c>
      <c r="BS65" s="154">
        <f t="shared" ca="1" si="249"/>
        <v>0</v>
      </c>
      <c r="BT65" s="154">
        <f t="shared" ca="1" si="250"/>
        <v>0</v>
      </c>
      <c r="BU65" s="154">
        <f t="shared" ca="1" si="251"/>
        <v>0</v>
      </c>
      <c r="BV65" s="154">
        <f t="shared" ca="1" si="252"/>
        <v>0</v>
      </c>
      <c r="BW65" s="154">
        <f t="shared" ca="1" si="253"/>
        <v>0</v>
      </c>
      <c r="BX65" s="154">
        <f t="shared" ca="1" si="254"/>
        <v>0</v>
      </c>
      <c r="BY65" s="154">
        <f t="shared" ca="1" si="255"/>
        <v>0</v>
      </c>
      <c r="BZ65" s="154">
        <f t="shared" si="256"/>
        <v>0</v>
      </c>
      <c r="CA65" s="154">
        <f t="shared" si="257"/>
        <v>0</v>
      </c>
      <c r="CB65" s="154">
        <f t="shared" ca="1" si="258"/>
        <v>0</v>
      </c>
      <c r="CC65" s="523"/>
      <c r="CD65" s="355">
        <f t="shared" si="259"/>
        <v>92</v>
      </c>
      <c r="CE65" s="268" t="str">
        <f t="shared" ca="1" si="260"/>
        <v>B</v>
      </c>
      <c r="CF65" s="355" t="str">
        <f ca="1">IF(EXACT($B65,""),$CF64,CONCATENATE($CF64,$A65))</f>
        <v/>
      </c>
      <c r="CG65" s="268"/>
      <c r="CH65" s="268"/>
      <c r="CI65" s="269">
        <f t="shared" ca="1" si="261"/>
        <v>0</v>
      </c>
      <c r="CJ65" s="269">
        <f t="shared" ca="1" si="262"/>
        <v>0</v>
      </c>
      <c r="CK65" s="268"/>
      <c r="CL65" s="268"/>
      <c r="CM65" s="268">
        <f t="shared" ca="1" si="82"/>
        <v>0</v>
      </c>
      <c r="CN65" s="269">
        <f t="shared" ca="1" si="83"/>
        <v>0</v>
      </c>
      <c r="CO65" s="268" t="str">
        <f t="shared" ca="1" si="263"/>
        <v>B</v>
      </c>
      <c r="CP65" s="269" t="b">
        <f t="shared" ca="1" si="264"/>
        <v>1</v>
      </c>
      <c r="CQ65" s="269">
        <f t="shared" si="265"/>
        <v>0</v>
      </c>
      <c r="CR65" s="269">
        <f t="shared" si="266"/>
        <v>0</v>
      </c>
      <c r="CS65" s="269">
        <f t="shared" ca="1" si="267"/>
        <v>0</v>
      </c>
      <c r="CT65" s="302" t="str">
        <f t="shared" ca="1" si="268"/>
        <v>0</v>
      </c>
      <c r="CU65" s="269">
        <f t="shared" ca="1" si="269"/>
        <v>0</v>
      </c>
      <c r="CV65" s="268"/>
      <c r="CW65" s="269">
        <f t="shared" ca="1" si="270"/>
        <v>0</v>
      </c>
      <c r="CX65" s="301">
        <f t="shared" ca="1" si="271"/>
        <v>0</v>
      </c>
      <c r="CY65" s="301">
        <f t="shared" ca="1" si="85"/>
        <v>0</v>
      </c>
      <c r="CZ65" s="301">
        <f t="shared" ca="1" si="272"/>
        <v>0</v>
      </c>
      <c r="DA65" s="301">
        <f t="shared" ca="1" si="273"/>
        <v>0</v>
      </c>
      <c r="DB65" t="str">
        <f ca="1">IF(AND(NOT(ISBLANK($I65)),O66&lt;4,SUM(B65,G65,I65)&gt;=10),"Menschenkenntnis 4+",IF(AND(NOT(ISBLANK($G65)),OR(EXACT($AH$5,$A$60),EXACT($AH$6,$A$60),EXACT($AH$7,$A$60),EXACT($AH$8,$A$60),EXACT($AH$9,$A$60))),"Nicht möglich (Unfähigkeit)!",""))</f>
        <v/>
      </c>
      <c r="DC65" s="301" t="str">
        <f t="shared" ca="1" si="274"/>
        <v/>
      </c>
      <c r="DD65" s="1337" t="str">
        <f t="shared" ca="1" si="279"/>
        <v/>
      </c>
      <c r="DE65" s="1337" t="str">
        <f t="shared" ca="1" si="280"/>
        <v/>
      </c>
      <c r="DG65" s="269" t="str">
        <f ca="1">IF(DI65="",IF(VLOOKUP(A65,TALENTE_GP,4,FALSE)="Kultur","KULTUREN","Tabellen_Andere!BA"&amp;MATCH(A65,TALENTE)+1&amp;":BF"&amp;MATCH(A65,TALENTE)+1),ADDRESS(ROW(),COLUMN()+2,1,1))</f>
        <v>Tabellen_Andere!BA71:BF71</v>
      </c>
      <c r="DH65" s="269" t="str">
        <f>IF(VLOOKUP(A65,TALENTE_GP,4,FALSE)="Kultur","KULTUREN","Tabellen_Andere!BA"&amp;MATCH(A65,TALENTE)+1&amp;":BF"&amp;MATCH(A65,TALENTE)+1)</f>
        <v>Tabellen_Andere!BA71:BF71</v>
      </c>
      <c r="DI65" s="269" t="str">
        <f ca="1">IF(NOT(ISERR(FIND(A65,Abfragen!$O$264,1))),MID(Abfragen!$O$264,FIND("(",Abfragen!$O$264,FIND(A65,Abfragen!$O$264,1)+LEN(A65))+1,FIND(")",Abfragen!$O$264,FIND(A65,Abfragen!$O$264,1)+LEN(A65))-FIND("(",Abfragen!$O$264,FIND(A65,Abfragen!$O$264,1)+LEN(A65))-1),"")</f>
        <v/>
      </c>
      <c r="DJ65" s="301" t="str">
        <f t="shared" ca="1" si="281"/>
        <v>B</v>
      </c>
      <c r="DK65" s="301" t="str">
        <f t="shared" ca="1" si="275"/>
        <v>B</v>
      </c>
      <c r="DL65" s="301" t="str">
        <f t="shared" ca="1" si="275"/>
        <v>B</v>
      </c>
      <c r="DM65" s="301" t="str">
        <f t="shared" ca="1" si="275"/>
        <v>B</v>
      </c>
      <c r="DN65" s="301" t="str">
        <f t="shared" ca="1" si="275"/>
        <v>B</v>
      </c>
      <c r="DO65" s="301" t="str">
        <f t="shared" ca="1" si="275"/>
        <v>B</v>
      </c>
      <c r="DP65" s="301" t="str">
        <f t="shared" ca="1" si="275"/>
        <v>B</v>
      </c>
      <c r="DQ65" s="301" t="str">
        <f t="shared" ca="1" si="275"/>
        <v>B</v>
      </c>
      <c r="DR65" s="301" t="str">
        <f t="shared" ca="1" si="275"/>
        <v>B</v>
      </c>
      <c r="DS65" s="301" t="str">
        <f t="shared" ca="1" si="275"/>
        <v>B</v>
      </c>
      <c r="DT65" s="301" t="str">
        <f t="shared" ca="1" si="275"/>
        <v>B</v>
      </c>
      <c r="DU65" s="301" t="str">
        <f t="shared" ca="1" si="275"/>
        <v>B</v>
      </c>
      <c r="DV65" s="301" t="str">
        <f t="shared" ca="1" si="275"/>
        <v>B</v>
      </c>
      <c r="DW65" s="301" t="str">
        <f t="shared" ca="1" si="275"/>
        <v>B</v>
      </c>
      <c r="DX65" s="301" t="str">
        <f t="shared" ca="1" si="275"/>
        <v>B</v>
      </c>
      <c r="DY65" s="301" t="str">
        <f t="shared" ca="1" si="275"/>
        <v>B</v>
      </c>
      <c r="DZ65" s="301" t="str">
        <f t="shared" ca="1" si="275"/>
        <v>B</v>
      </c>
      <c r="EA65" s="301" t="str">
        <f t="shared" ca="1" si="275"/>
        <v>B</v>
      </c>
      <c r="EB65" s="301" t="str">
        <f t="shared" ca="1" si="275"/>
        <v>B</v>
      </c>
      <c r="EC65" s="301" t="str">
        <f t="shared" ca="1" si="275"/>
        <v>B</v>
      </c>
      <c r="ED65" s="301" t="str">
        <f t="shared" ca="1" si="275"/>
        <v>B</v>
      </c>
      <c r="EE65" s="301" t="str">
        <f t="shared" ca="1" si="275"/>
        <v>B</v>
      </c>
      <c r="EF65" s="205"/>
      <c r="EG65" s="301" t="str">
        <f t="shared" ca="1" si="276"/>
        <v>B</v>
      </c>
      <c r="EH65" s="301" t="str">
        <f t="shared" ca="1" si="277"/>
        <v>B</v>
      </c>
      <c r="EI65" s="301" t="str">
        <f t="shared" ca="1" si="277"/>
        <v>B</v>
      </c>
      <c r="EJ65" s="301" t="str">
        <f t="shared" ca="1" si="277"/>
        <v>B</v>
      </c>
      <c r="EK65" s="301" t="str">
        <f t="shared" ca="1" si="277"/>
        <v>B</v>
      </c>
      <c r="EL65" s="301" t="str">
        <f t="shared" ca="1" si="277"/>
        <v>B</v>
      </c>
      <c r="EM65" s="301" t="str">
        <f t="shared" ca="1" si="277"/>
        <v>B</v>
      </c>
      <c r="EN65" s="301" t="str">
        <f t="shared" ca="1" si="277"/>
        <v>B</v>
      </c>
      <c r="EO65" s="301" t="str">
        <f t="shared" ca="1" si="277"/>
        <v>B</v>
      </c>
      <c r="EP65" s="301" t="str">
        <f t="shared" ca="1" si="277"/>
        <v>B</v>
      </c>
      <c r="EQ65" s="301" t="str">
        <f t="shared" ca="1" si="277"/>
        <v>B</v>
      </c>
      <c r="ER65" s="301" t="str">
        <f t="shared" ca="1" si="277"/>
        <v>B</v>
      </c>
      <c r="ES65" s="301" t="str">
        <f t="shared" ca="1" si="277"/>
        <v>B</v>
      </c>
      <c r="ET65" s="301" t="str">
        <f t="shared" ca="1" si="277"/>
        <v>B</v>
      </c>
      <c r="EU65" s="301" t="str">
        <f t="shared" ca="1" si="277"/>
        <v>B</v>
      </c>
      <c r="EV65" s="301" t="str">
        <f t="shared" ca="1" si="277"/>
        <v>B</v>
      </c>
      <c r="EW65" s="301" t="str">
        <f t="shared" ca="1" si="277"/>
        <v>B</v>
      </c>
      <c r="EX65" s="301" t="str">
        <f t="shared" ca="1" si="277"/>
        <v>B</v>
      </c>
      <c r="EY65" s="301" t="str">
        <f t="shared" ca="1" si="277"/>
        <v>B</v>
      </c>
      <c r="EZ65" s="301" t="str">
        <f t="shared" ca="1" si="277"/>
        <v>B</v>
      </c>
      <c r="FA65" s="301" t="str">
        <f t="shared" ca="1" si="277"/>
        <v>B</v>
      </c>
      <c r="FB65" s="301" t="str">
        <f t="shared" ca="1" si="277"/>
        <v>B</v>
      </c>
      <c r="FC65" s="301" t="str">
        <f t="shared" ca="1" si="277"/>
        <v>B</v>
      </c>
      <c r="FD65" s="301" t="str">
        <f t="shared" ca="1" si="277"/>
        <v>B</v>
      </c>
      <c r="FE65" s="301" t="str">
        <f t="shared" ca="1" si="277"/>
        <v>B</v>
      </c>
      <c r="FF65" s="301" t="str">
        <f t="shared" ca="1" si="277"/>
        <v>B</v>
      </c>
      <c r="FG65" s="301" t="str">
        <f t="shared" ca="1" si="277"/>
        <v>B</v>
      </c>
      <c r="FH65" s="301" t="str">
        <f t="shared" ca="1" si="277"/>
        <v>B</v>
      </c>
      <c r="FI65" s="301" t="str">
        <f t="shared" ca="1" si="277"/>
        <v>B</v>
      </c>
      <c r="FJ65" s="301" t="str">
        <f t="shared" ca="1" si="277"/>
        <v>B</v>
      </c>
      <c r="FK65" s="301" t="str">
        <f t="shared" ca="1" si="277"/>
        <v>B</v>
      </c>
      <c r="FL65" s="301" t="str">
        <f t="shared" ca="1" si="277"/>
        <v>B</v>
      </c>
    </row>
    <row r="66" spans="1:168" x14ac:dyDescent="0.2">
      <c r="A66" s="24" t="str">
        <f t="shared" si="278"/>
        <v>Menschenkenntnis</v>
      </c>
      <c r="B66" s="317">
        <f t="shared" ca="1" si="198"/>
        <v>0</v>
      </c>
      <c r="C66" s="332" t="s">
        <v>1321</v>
      </c>
      <c r="D66" s="1110"/>
      <c r="E66" s="966"/>
      <c r="F66" s="325"/>
      <c r="G66" s="963"/>
      <c r="H66" s="1196"/>
      <c r="I66" s="326"/>
      <c r="J66" s="1880" t="str">
        <f t="shared" ca="1" si="199"/>
        <v/>
      </c>
      <c r="K66" s="1881"/>
      <c r="L66" s="1881"/>
      <c r="M66" s="1881"/>
      <c r="N66" s="1882"/>
      <c r="O66" s="613">
        <f t="shared" ca="1" si="200"/>
        <v>0</v>
      </c>
      <c r="P66" s="90"/>
      <c r="Q66" s="25"/>
      <c r="R66" s="1313"/>
      <c r="S66" s="1313"/>
      <c r="T66" s="1315"/>
      <c r="U66" s="1283"/>
      <c r="V66" s="628" t="str">
        <f t="shared" ca="1" si="201"/>
        <v/>
      </c>
      <c r="W66" s="164">
        <f t="shared" ca="1" si="202"/>
        <v>0</v>
      </c>
      <c r="X66" s="164">
        <f t="shared" ca="1" si="203"/>
        <v>0</v>
      </c>
      <c r="Y66" s="164">
        <f t="shared" ca="1" si="204"/>
        <v>0</v>
      </c>
      <c r="Z66" s="164">
        <f t="shared" ca="1" si="205"/>
        <v>0</v>
      </c>
      <c r="AA66" s="164">
        <f t="shared" ca="1" si="206"/>
        <v>0</v>
      </c>
      <c r="AB66" s="164">
        <f t="shared" ca="1" si="207"/>
        <v>0</v>
      </c>
      <c r="AC66" s="164">
        <f t="shared" ca="1" si="208"/>
        <v>0</v>
      </c>
      <c r="AD66" s="164">
        <f t="shared" ca="1" si="209"/>
        <v>0</v>
      </c>
      <c r="AE66" s="164">
        <f t="shared" ca="1" si="210"/>
        <v>0</v>
      </c>
      <c r="AF66" s="164">
        <f t="shared" ca="1" si="211"/>
        <v>0</v>
      </c>
      <c r="AG66" s="164">
        <f t="shared" ca="1" si="212"/>
        <v>0</v>
      </c>
      <c r="AH66" s="164">
        <f t="shared" ca="1" si="213"/>
        <v>0</v>
      </c>
      <c r="AI66" s="164">
        <f t="shared" ca="1" si="214"/>
        <v>0</v>
      </c>
      <c r="AJ66" s="164">
        <f t="shared" ca="1" si="215"/>
        <v>0</v>
      </c>
      <c r="AK66" s="164">
        <f t="shared" ca="1" si="216"/>
        <v>0</v>
      </c>
      <c r="AL66" s="164">
        <f t="shared" ca="1" si="217"/>
        <v>0</v>
      </c>
      <c r="AM66" s="164">
        <f t="shared" ca="1" si="218"/>
        <v>0</v>
      </c>
      <c r="AN66" s="164">
        <f t="shared" ca="1" si="219"/>
        <v>0</v>
      </c>
      <c r="AO66" s="164">
        <f t="shared" ca="1" si="220"/>
        <v>0</v>
      </c>
      <c r="AP66" s="164">
        <f t="shared" ca="1" si="221"/>
        <v>0</v>
      </c>
      <c r="AQ66" s="164">
        <f t="shared" ca="1" si="222"/>
        <v>0</v>
      </c>
      <c r="AR66" s="164">
        <f t="shared" ca="1" si="223"/>
        <v>0</v>
      </c>
      <c r="AS66" s="195"/>
      <c r="AT66" s="154">
        <f t="shared" ca="1" si="224"/>
        <v>0</v>
      </c>
      <c r="AU66" s="154">
        <f t="shared" ca="1" si="225"/>
        <v>0</v>
      </c>
      <c r="AV66" s="154">
        <f t="shared" ca="1" si="226"/>
        <v>0</v>
      </c>
      <c r="AW66" s="154">
        <f t="shared" ca="1" si="227"/>
        <v>0</v>
      </c>
      <c r="AX66" s="154">
        <f t="shared" ca="1" si="228"/>
        <v>0</v>
      </c>
      <c r="AY66" s="154">
        <f t="shared" ca="1" si="229"/>
        <v>0</v>
      </c>
      <c r="AZ66" s="154">
        <f t="shared" ca="1" si="230"/>
        <v>0</v>
      </c>
      <c r="BA66" s="154">
        <f t="shared" ca="1" si="231"/>
        <v>0</v>
      </c>
      <c r="BB66" s="154">
        <f t="shared" ca="1" si="232"/>
        <v>0</v>
      </c>
      <c r="BC66" s="154">
        <f t="shared" ca="1" si="233"/>
        <v>0</v>
      </c>
      <c r="BD66" s="154">
        <f t="shared" ca="1" si="234"/>
        <v>0</v>
      </c>
      <c r="BE66" s="154">
        <f t="shared" ca="1" si="235"/>
        <v>0</v>
      </c>
      <c r="BF66" s="154">
        <f t="shared" ca="1" si="236"/>
        <v>0</v>
      </c>
      <c r="BG66" s="154">
        <f t="shared" ca="1" si="237"/>
        <v>0</v>
      </c>
      <c r="BH66" s="154">
        <f t="shared" ca="1" si="238"/>
        <v>0</v>
      </c>
      <c r="BI66" s="154">
        <f t="shared" ca="1" si="239"/>
        <v>0</v>
      </c>
      <c r="BJ66" s="154">
        <f t="shared" ca="1" si="240"/>
        <v>0</v>
      </c>
      <c r="BK66" s="154">
        <f t="shared" ca="1" si="241"/>
        <v>0</v>
      </c>
      <c r="BL66" s="154">
        <f t="shared" ca="1" si="242"/>
        <v>0</v>
      </c>
      <c r="BM66" s="154">
        <f t="shared" ca="1" si="243"/>
        <v>0</v>
      </c>
      <c r="BN66" s="154">
        <f t="shared" ca="1" si="244"/>
        <v>0</v>
      </c>
      <c r="BO66" s="154">
        <f t="shared" ca="1" si="245"/>
        <v>0</v>
      </c>
      <c r="BP66" s="154">
        <f t="shared" ca="1" si="246"/>
        <v>0</v>
      </c>
      <c r="BQ66" s="154">
        <f t="shared" ca="1" si="247"/>
        <v>0</v>
      </c>
      <c r="BR66" s="154">
        <f t="shared" ca="1" si="248"/>
        <v>0</v>
      </c>
      <c r="BS66" s="154">
        <f t="shared" ca="1" si="249"/>
        <v>0</v>
      </c>
      <c r="BT66" s="154">
        <f t="shared" ca="1" si="250"/>
        <v>0</v>
      </c>
      <c r="BU66" s="154">
        <f t="shared" ca="1" si="251"/>
        <v>0</v>
      </c>
      <c r="BV66" s="154">
        <f t="shared" ca="1" si="252"/>
        <v>0</v>
      </c>
      <c r="BW66" s="154">
        <f t="shared" ca="1" si="253"/>
        <v>0</v>
      </c>
      <c r="BX66" s="154">
        <f t="shared" ca="1" si="254"/>
        <v>0</v>
      </c>
      <c r="BY66" s="154">
        <f t="shared" ca="1" si="255"/>
        <v>0</v>
      </c>
      <c r="BZ66" s="154">
        <f t="shared" si="256"/>
        <v>0</v>
      </c>
      <c r="CA66" s="154">
        <f t="shared" si="257"/>
        <v>0</v>
      </c>
      <c r="CB66" s="154">
        <f t="shared" ca="1" si="258"/>
        <v>0</v>
      </c>
      <c r="CC66" s="523"/>
      <c r="CD66" s="355">
        <f t="shared" si="259"/>
        <v>93</v>
      </c>
      <c r="CE66" s="268" t="str">
        <f t="shared" ca="1" si="260"/>
        <v>B</v>
      </c>
      <c r="CF66" s="355"/>
      <c r="CG66" s="268"/>
      <c r="CH66" s="268"/>
      <c r="CI66" s="269">
        <f t="shared" ca="1" si="261"/>
        <v>0</v>
      </c>
      <c r="CJ66" s="269">
        <f t="shared" ca="1" si="262"/>
        <v>0</v>
      </c>
      <c r="CK66" s="268"/>
      <c r="CL66" s="268"/>
      <c r="CM66" s="268">
        <f t="shared" ca="1" si="82"/>
        <v>0</v>
      </c>
      <c r="CN66" s="269">
        <f t="shared" ca="1" si="83"/>
        <v>0</v>
      </c>
      <c r="CO66" s="268" t="str">
        <f t="shared" ca="1" si="263"/>
        <v>B</v>
      </c>
      <c r="CP66" s="269" t="b">
        <f t="shared" ca="1" si="264"/>
        <v>1</v>
      </c>
      <c r="CQ66" s="269">
        <f t="shared" si="265"/>
        <v>0</v>
      </c>
      <c r="CR66" s="269">
        <f t="shared" si="266"/>
        <v>0</v>
      </c>
      <c r="CS66" s="269">
        <f t="shared" ca="1" si="267"/>
        <v>0</v>
      </c>
      <c r="CT66" s="302" t="str">
        <f t="shared" ca="1" si="268"/>
        <v>0</v>
      </c>
      <c r="CU66" s="269">
        <f t="shared" ca="1" si="269"/>
        <v>0</v>
      </c>
      <c r="CV66" s="268"/>
      <c r="CW66" s="269">
        <f t="shared" ca="1" si="270"/>
        <v>0</v>
      </c>
      <c r="CX66" s="301">
        <f t="shared" ca="1" si="271"/>
        <v>0</v>
      </c>
      <c r="CY66" s="301">
        <f t="shared" ca="1" si="85"/>
        <v>0</v>
      </c>
      <c r="CZ66" s="301">
        <f t="shared" ca="1" si="272"/>
        <v>0</v>
      </c>
      <c r="DA66" s="301">
        <f t="shared" ca="1" si="273"/>
        <v>0</v>
      </c>
      <c r="DB66" t="str">
        <f ca="1">IF(AND(NOT(ISBLANK($G66)),OR(EXACT($AH$5,$A$60),EXACT($AH$6,$A$60),EXACT($AH$7,$A$60),EXACT($AH$8,$A$60),EXACT($AH$9,$A$60))),"Nicht möglich (Unfähigkeit)!","")</f>
        <v/>
      </c>
      <c r="DC66" s="301" t="str">
        <f t="shared" ca="1" si="274"/>
        <v/>
      </c>
      <c r="DD66" s="1337" t="str">
        <f t="shared" ca="1" si="279"/>
        <v/>
      </c>
      <c r="DE66" s="1337" t="str">
        <f t="shared" ca="1" si="280"/>
        <v/>
      </c>
      <c r="DG66" s="269" t="str">
        <f ca="1">IF(DI66="",IF(VLOOKUP(A66,TALENTE_GP,4,FALSE)="Kultur","KULTUREN","Tabellen_Andere!BA"&amp;MATCH(A66,TALENTE)+1&amp;":BE"&amp;MATCH(A66,TALENTE)+1),ADDRESS(ROW(),COLUMN()+2,1,1))</f>
        <v>KULTUREN</v>
      </c>
      <c r="DH66" s="269" t="str">
        <f>IF(VLOOKUP(A66,TALENTE_GP,4,FALSE)="Kultur","KULTUREN","Tabellen_Andere!BA"&amp;MATCH(A66,TALENTE)+1&amp;":BE"&amp;MATCH(A66,TALENTE)+1)</f>
        <v>KULTUREN</v>
      </c>
      <c r="DI66" s="269" t="str">
        <f ca="1">IF(NOT(ISERR(FIND(A66,Abfragen!$O$264,1))),MID(Abfragen!$O$264,FIND("(",Abfragen!$O$264,FIND(A66,Abfragen!$O$264,1)+LEN(A66))+1,FIND(")",Abfragen!$O$264,FIND(A66,Abfragen!$O$264,1)+LEN(A66))-FIND("(",Abfragen!$O$264,FIND(A66,Abfragen!$O$264,1)+LEN(A66))-1),"")</f>
        <v/>
      </c>
      <c r="DJ66" s="301" t="str">
        <f t="shared" ca="1" si="281"/>
        <v>B</v>
      </c>
      <c r="DK66" s="301" t="str">
        <f t="shared" ca="1" si="275"/>
        <v>B</v>
      </c>
      <c r="DL66" s="301" t="str">
        <f t="shared" ca="1" si="275"/>
        <v>B</v>
      </c>
      <c r="DM66" s="301" t="str">
        <f t="shared" ca="1" si="275"/>
        <v>B</v>
      </c>
      <c r="DN66" s="301" t="str">
        <f t="shared" ca="1" si="275"/>
        <v>B</v>
      </c>
      <c r="DO66" s="301" t="str">
        <f t="shared" ca="1" si="275"/>
        <v>B</v>
      </c>
      <c r="DP66" s="301" t="str">
        <f t="shared" ca="1" si="275"/>
        <v>B</v>
      </c>
      <c r="DQ66" s="301" t="str">
        <f t="shared" ca="1" si="275"/>
        <v>B</v>
      </c>
      <c r="DR66" s="301" t="str">
        <f t="shared" ca="1" si="275"/>
        <v>B</v>
      </c>
      <c r="DS66" s="301" t="str">
        <f t="shared" ca="1" si="275"/>
        <v>B</v>
      </c>
      <c r="DT66" s="301" t="str">
        <f t="shared" ca="1" si="275"/>
        <v>B</v>
      </c>
      <c r="DU66" s="301" t="str">
        <f t="shared" ca="1" si="275"/>
        <v>B</v>
      </c>
      <c r="DV66" s="301" t="str">
        <f t="shared" ca="1" si="275"/>
        <v>B</v>
      </c>
      <c r="DW66" s="301" t="str">
        <f t="shared" ca="1" si="275"/>
        <v>B</v>
      </c>
      <c r="DX66" s="301" t="str">
        <f t="shared" ca="1" si="275"/>
        <v>B</v>
      </c>
      <c r="DY66" s="301" t="str">
        <f t="shared" ca="1" si="275"/>
        <v>B</v>
      </c>
      <c r="DZ66" s="301" t="str">
        <f t="shared" ca="1" si="275"/>
        <v>B</v>
      </c>
      <c r="EA66" s="301" t="str">
        <f t="shared" ca="1" si="275"/>
        <v>B</v>
      </c>
      <c r="EB66" s="301" t="str">
        <f t="shared" ca="1" si="275"/>
        <v>B</v>
      </c>
      <c r="EC66" s="301" t="str">
        <f t="shared" ca="1" si="275"/>
        <v>B</v>
      </c>
      <c r="ED66" s="301" t="str">
        <f t="shared" ca="1" si="275"/>
        <v>B</v>
      </c>
      <c r="EE66" s="301" t="str">
        <f t="shared" ca="1" si="275"/>
        <v>B</v>
      </c>
      <c r="EF66" s="205"/>
      <c r="EG66" s="301" t="str">
        <f t="shared" ca="1" si="276"/>
        <v>B</v>
      </c>
      <c r="EH66" s="301" t="str">
        <f t="shared" ca="1" si="277"/>
        <v>B</v>
      </c>
      <c r="EI66" s="301" t="str">
        <f t="shared" ca="1" si="277"/>
        <v>B</v>
      </c>
      <c r="EJ66" s="301" t="str">
        <f t="shared" ca="1" si="277"/>
        <v>B</v>
      </c>
      <c r="EK66" s="301" t="str">
        <f t="shared" ca="1" si="277"/>
        <v>B</v>
      </c>
      <c r="EL66" s="301" t="str">
        <f t="shared" ca="1" si="277"/>
        <v>B</v>
      </c>
      <c r="EM66" s="301" t="str">
        <f t="shared" ca="1" si="277"/>
        <v>B</v>
      </c>
      <c r="EN66" s="301" t="str">
        <f t="shared" ca="1" si="277"/>
        <v>B</v>
      </c>
      <c r="EO66" s="301" t="str">
        <f t="shared" ca="1" si="277"/>
        <v>B</v>
      </c>
      <c r="EP66" s="301" t="str">
        <f t="shared" ca="1" si="277"/>
        <v>B</v>
      </c>
      <c r="EQ66" s="301" t="str">
        <f t="shared" ca="1" si="277"/>
        <v>B</v>
      </c>
      <c r="ER66" s="301" t="str">
        <f t="shared" ca="1" si="277"/>
        <v>B</v>
      </c>
      <c r="ES66" s="301" t="str">
        <f t="shared" ca="1" si="277"/>
        <v>B</v>
      </c>
      <c r="ET66" s="301" t="str">
        <f t="shared" ca="1" si="277"/>
        <v>B</v>
      </c>
      <c r="EU66" s="301" t="str">
        <f t="shared" ca="1" si="277"/>
        <v>B</v>
      </c>
      <c r="EV66" s="301" t="str">
        <f t="shared" ca="1" si="277"/>
        <v>B</v>
      </c>
      <c r="EW66" s="301" t="str">
        <f t="shared" ca="1" si="277"/>
        <v>B</v>
      </c>
      <c r="EX66" s="301" t="str">
        <f t="shared" ca="1" si="277"/>
        <v>B</v>
      </c>
      <c r="EY66" s="301" t="str">
        <f t="shared" ca="1" si="277"/>
        <v>B</v>
      </c>
      <c r="EZ66" s="301" t="str">
        <f t="shared" ca="1" si="277"/>
        <v>B</v>
      </c>
      <c r="FA66" s="301" t="str">
        <f t="shared" ca="1" si="277"/>
        <v>B</v>
      </c>
      <c r="FB66" s="301" t="str">
        <f t="shared" ca="1" si="277"/>
        <v>B</v>
      </c>
      <c r="FC66" s="301" t="str">
        <f t="shared" ca="1" si="277"/>
        <v>B</v>
      </c>
      <c r="FD66" s="301" t="str">
        <f t="shared" ca="1" si="277"/>
        <v>B</v>
      </c>
      <c r="FE66" s="301" t="str">
        <f t="shared" ca="1" si="277"/>
        <v>B</v>
      </c>
      <c r="FF66" s="301" t="str">
        <f t="shared" ca="1" si="277"/>
        <v>B</v>
      </c>
      <c r="FG66" s="301" t="str">
        <f t="shared" ca="1" si="277"/>
        <v>B</v>
      </c>
      <c r="FH66" s="301" t="str">
        <f t="shared" ca="1" si="277"/>
        <v>B</v>
      </c>
      <c r="FI66" s="301" t="str">
        <f t="shared" ca="1" si="277"/>
        <v>B</v>
      </c>
      <c r="FJ66" s="301" t="str">
        <f t="shared" ca="1" si="277"/>
        <v>B</v>
      </c>
      <c r="FK66" s="301" t="str">
        <f t="shared" ca="1" si="277"/>
        <v>B</v>
      </c>
      <c r="FL66" s="301" t="str">
        <f t="shared" ca="1" si="277"/>
        <v>B</v>
      </c>
    </row>
    <row r="67" spans="1:168" x14ac:dyDescent="0.2">
      <c r="A67" s="24" t="str">
        <f t="shared" si="278"/>
        <v>Schauspielerei</v>
      </c>
      <c r="B67" s="317" t="str">
        <f t="shared" ca="1" si="198"/>
        <v/>
      </c>
      <c r="C67" s="332" t="str">
        <f ca="1">IF(OR(NOT(ISBLANK(D67)),NOT(ISBLANK(HLOOKUP(RASSEGENE,RASSE,$CD67,FALSE))),
NOT(ISBLANK(HLOOKUP(KULTURGENE,KULTUR,$CD67,FALSE))),
NOT(OR(ISBLANK(HLOOKUP(PROFGENE,INDIRECT(PROFGEBIET),$CD67,FALSE)),$CS67="N",$CS67="M")),
IF(PROFZWEITE="",FALSE,NOT(ISBLANK(HLOOKUP(PROFZWEITE,INDIRECT(PROFGEBIET2),$CD67,FALSE))))),"x","")</f>
        <v/>
      </c>
      <c r="D67" s="1110"/>
      <c r="E67" s="966"/>
      <c r="F67" s="325"/>
      <c r="G67" s="958"/>
      <c r="H67" s="1196"/>
      <c r="I67" s="326"/>
      <c r="J67" s="1880" t="str">
        <f t="shared" ca="1" si="199"/>
        <v/>
      </c>
      <c r="K67" s="1881"/>
      <c r="L67" s="1881"/>
      <c r="M67" s="1881"/>
      <c r="N67" s="1882"/>
      <c r="O67" s="613" t="str">
        <f t="shared" ca="1" si="200"/>
        <v/>
      </c>
      <c r="P67" s="90"/>
      <c r="Q67" s="25"/>
      <c r="R67" s="1313"/>
      <c r="S67" s="1313"/>
      <c r="T67" s="1315"/>
      <c r="U67" s="1283"/>
      <c r="V67" s="628" t="str">
        <f t="shared" ca="1" si="201"/>
        <v/>
      </c>
      <c r="W67" s="164">
        <f t="shared" ca="1" si="202"/>
        <v>0</v>
      </c>
      <c r="X67" s="164">
        <f t="shared" ca="1" si="203"/>
        <v>0</v>
      </c>
      <c r="Y67" s="164">
        <f t="shared" ca="1" si="204"/>
        <v>0</v>
      </c>
      <c r="Z67" s="164">
        <f t="shared" ca="1" si="205"/>
        <v>0</v>
      </c>
      <c r="AA67" s="164">
        <f t="shared" ca="1" si="206"/>
        <v>0</v>
      </c>
      <c r="AB67" s="164">
        <f t="shared" ca="1" si="207"/>
        <v>0</v>
      </c>
      <c r="AC67" s="164">
        <f t="shared" ca="1" si="208"/>
        <v>0</v>
      </c>
      <c r="AD67" s="164">
        <f t="shared" ca="1" si="209"/>
        <v>0</v>
      </c>
      <c r="AE67" s="164">
        <f t="shared" ca="1" si="210"/>
        <v>0</v>
      </c>
      <c r="AF67" s="164">
        <f t="shared" ca="1" si="211"/>
        <v>0</v>
      </c>
      <c r="AG67" s="164">
        <f t="shared" ca="1" si="212"/>
        <v>0</v>
      </c>
      <c r="AH67" s="164">
        <f t="shared" ca="1" si="213"/>
        <v>0</v>
      </c>
      <c r="AI67" s="164">
        <f t="shared" ca="1" si="214"/>
        <v>0</v>
      </c>
      <c r="AJ67" s="164">
        <f t="shared" ca="1" si="215"/>
        <v>0</v>
      </c>
      <c r="AK67" s="164">
        <f t="shared" ca="1" si="216"/>
        <v>0</v>
      </c>
      <c r="AL67" s="164">
        <f t="shared" ca="1" si="217"/>
        <v>0</v>
      </c>
      <c r="AM67" s="164">
        <f t="shared" ca="1" si="218"/>
        <v>0</v>
      </c>
      <c r="AN67" s="164">
        <f t="shared" ca="1" si="219"/>
        <v>0</v>
      </c>
      <c r="AO67" s="164">
        <f t="shared" ca="1" si="220"/>
        <v>0</v>
      </c>
      <c r="AP67" s="164">
        <f t="shared" ca="1" si="221"/>
        <v>0</v>
      </c>
      <c r="AQ67" s="164">
        <f t="shared" ca="1" si="222"/>
        <v>0</v>
      </c>
      <c r="AR67" s="164">
        <f t="shared" ca="1" si="223"/>
        <v>0</v>
      </c>
      <c r="AS67" s="195"/>
      <c r="AT67" s="154">
        <f t="shared" ca="1" si="224"/>
        <v>0</v>
      </c>
      <c r="AU67" s="154">
        <f t="shared" ca="1" si="225"/>
        <v>0</v>
      </c>
      <c r="AV67" s="154">
        <f t="shared" ca="1" si="226"/>
        <v>0</v>
      </c>
      <c r="AW67" s="154">
        <f t="shared" ca="1" si="227"/>
        <v>0</v>
      </c>
      <c r="AX67" s="154">
        <f t="shared" ca="1" si="228"/>
        <v>0</v>
      </c>
      <c r="AY67" s="154">
        <f t="shared" ca="1" si="229"/>
        <v>0</v>
      </c>
      <c r="AZ67" s="154">
        <f t="shared" ca="1" si="230"/>
        <v>0</v>
      </c>
      <c r="BA67" s="154">
        <f t="shared" ca="1" si="231"/>
        <v>0</v>
      </c>
      <c r="BB67" s="154">
        <f t="shared" ca="1" si="232"/>
        <v>0</v>
      </c>
      <c r="BC67" s="154">
        <f t="shared" ca="1" si="233"/>
        <v>0</v>
      </c>
      <c r="BD67" s="154">
        <f t="shared" ca="1" si="234"/>
        <v>0</v>
      </c>
      <c r="BE67" s="154">
        <f t="shared" ca="1" si="235"/>
        <v>0</v>
      </c>
      <c r="BF67" s="154">
        <f t="shared" ca="1" si="236"/>
        <v>0</v>
      </c>
      <c r="BG67" s="154">
        <f t="shared" ca="1" si="237"/>
        <v>0</v>
      </c>
      <c r="BH67" s="154">
        <f t="shared" ca="1" si="238"/>
        <v>0</v>
      </c>
      <c r="BI67" s="154">
        <f t="shared" ca="1" si="239"/>
        <v>0</v>
      </c>
      <c r="BJ67" s="154">
        <f t="shared" ca="1" si="240"/>
        <v>0</v>
      </c>
      <c r="BK67" s="154">
        <f t="shared" ca="1" si="241"/>
        <v>0</v>
      </c>
      <c r="BL67" s="154">
        <f t="shared" ca="1" si="242"/>
        <v>0</v>
      </c>
      <c r="BM67" s="154">
        <f t="shared" ca="1" si="243"/>
        <v>0</v>
      </c>
      <c r="BN67" s="154">
        <f t="shared" ca="1" si="244"/>
        <v>0</v>
      </c>
      <c r="BO67" s="154">
        <f t="shared" ca="1" si="245"/>
        <v>0</v>
      </c>
      <c r="BP67" s="154">
        <f t="shared" ca="1" si="246"/>
        <v>0</v>
      </c>
      <c r="BQ67" s="154">
        <f t="shared" ca="1" si="247"/>
        <v>0</v>
      </c>
      <c r="BR67" s="154">
        <f t="shared" ca="1" si="248"/>
        <v>0</v>
      </c>
      <c r="BS67" s="154">
        <f t="shared" ca="1" si="249"/>
        <v>0</v>
      </c>
      <c r="BT67" s="154">
        <f t="shared" ca="1" si="250"/>
        <v>0</v>
      </c>
      <c r="BU67" s="154">
        <f t="shared" ca="1" si="251"/>
        <v>0</v>
      </c>
      <c r="BV67" s="154">
        <f t="shared" ca="1" si="252"/>
        <v>0</v>
      </c>
      <c r="BW67" s="154">
        <f t="shared" ca="1" si="253"/>
        <v>0</v>
      </c>
      <c r="BX67" s="154">
        <f t="shared" ca="1" si="254"/>
        <v>0</v>
      </c>
      <c r="BY67" s="154">
        <f t="shared" ca="1" si="255"/>
        <v>0</v>
      </c>
      <c r="BZ67" s="154">
        <f t="shared" si="256"/>
        <v>0</v>
      </c>
      <c r="CA67" s="154">
        <f t="shared" si="257"/>
        <v>0</v>
      </c>
      <c r="CB67" s="154">
        <f t="shared" ca="1" si="258"/>
        <v>0</v>
      </c>
      <c r="CC67" s="523"/>
      <c r="CD67" s="355">
        <f t="shared" si="259"/>
        <v>94</v>
      </c>
      <c r="CE67" s="268" t="str">
        <f t="shared" ca="1" si="260"/>
        <v>B</v>
      </c>
      <c r="CF67" s="355" t="str">
        <f ca="1">IF(EXACT($B67,""),$CF65,CONCATENATE($CF65,$A67))</f>
        <v/>
      </c>
      <c r="CG67" s="268"/>
      <c r="CH67" s="268"/>
      <c r="CI67" s="269">
        <f t="shared" ca="1" si="261"/>
        <v>0</v>
      </c>
      <c r="CJ67" s="269">
        <f t="shared" ca="1" si="262"/>
        <v>0</v>
      </c>
      <c r="CK67" s="268"/>
      <c r="CL67" s="268"/>
      <c r="CM67" s="268">
        <f t="shared" ca="1" si="82"/>
        <v>0</v>
      </c>
      <c r="CN67" s="269">
        <f t="shared" ca="1" si="83"/>
        <v>0</v>
      </c>
      <c r="CO67" s="268" t="str">
        <f t="shared" ca="1" si="263"/>
        <v>B</v>
      </c>
      <c r="CP67" s="269" t="b">
        <f t="shared" ca="1" si="264"/>
        <v>1</v>
      </c>
      <c r="CQ67" s="269">
        <f t="shared" si="265"/>
        <v>0</v>
      </c>
      <c r="CR67" s="269">
        <f t="shared" si="266"/>
        <v>0</v>
      </c>
      <c r="CS67" s="269">
        <f t="shared" ca="1" si="267"/>
        <v>0</v>
      </c>
      <c r="CT67" s="302" t="str">
        <f t="shared" ca="1" si="268"/>
        <v>0</v>
      </c>
      <c r="CU67" s="269">
        <f t="shared" ca="1" si="269"/>
        <v>0</v>
      </c>
      <c r="CV67" s="268"/>
      <c r="CW67" s="269">
        <f t="shared" ca="1" si="270"/>
        <v>0</v>
      </c>
      <c r="CX67" s="301">
        <f t="shared" ca="1" si="271"/>
        <v>0</v>
      </c>
      <c r="CY67" s="301">
        <f t="shared" ca="1" si="85"/>
        <v>0</v>
      </c>
      <c r="CZ67" s="301">
        <f t="shared" ca="1" si="272"/>
        <v>0</v>
      </c>
      <c r="DA67" s="301">
        <f t="shared" ca="1" si="273"/>
        <v>0</v>
      </c>
      <c r="DB67" t="str">
        <f ca="1">IF(AND(NOT(AND(ISBLANK($G67),ISBLANK($I67))),SUM(B67,G67,I67)&gt;=10,OR(O62="",O69="",O71="",O62&lt;4,O69&lt;4,O53&lt;4,O70&lt;4,O71&lt;4)),"Etikette/Verkleiden/Singen/Überreden/Überzeugen 4+",IF(AND(NOT(ISBLANK($G67)),OR(EXACT($AH$5,$A$60),EXACT($AH$6,$A$60),EXACT($AH$7,$A$60),EXACT($AH$8,$A$60),EXACT($AH$9,$A$60))),"Nicht möglich (Unfähigkeit)!",""))</f>
        <v/>
      </c>
      <c r="DC67" s="301" t="str">
        <f t="shared" ca="1" si="274"/>
        <v/>
      </c>
      <c r="DD67" s="1337" t="str">
        <f t="shared" ca="1" si="279"/>
        <v/>
      </c>
      <c r="DE67" s="1337" t="str">
        <f t="shared" ca="1" si="280"/>
        <v/>
      </c>
      <c r="DG67" s="269" t="str">
        <f ca="1">IF(DI67="",IF(VLOOKUP(A67,TALENTE_GP,4,FALSE)="Kultur","KULTUREN","Tabellen_Andere!BA"&amp;MATCH(A67,TALENTE)+1&amp;":BF"&amp;MATCH(A67,TALENTE)+1),ADDRESS(ROW(),COLUMN()+2,1,1))</f>
        <v>Tabellen_Andere!BA91:BF91</v>
      </c>
      <c r="DH67" s="269" t="str">
        <f>IF(VLOOKUP(A67,TALENTE_GP,4,FALSE)="Kultur","KULTUREN","Tabellen_Andere!BA"&amp;MATCH(A67,TALENTE)+1&amp;":BF"&amp;MATCH(A67,TALENTE)+1)</f>
        <v>Tabellen_Andere!BA91:BF91</v>
      </c>
      <c r="DI67" s="269" t="str">
        <f ca="1">IF(NOT(ISERR(FIND(A67,Abfragen!$O$264,1))),MID(Abfragen!$O$264,FIND("(",Abfragen!$O$264,FIND(A67,Abfragen!$O$264,1)+LEN(A67))+1,FIND(")",Abfragen!$O$264,FIND(A67,Abfragen!$O$264,1)+LEN(A67))-FIND("(",Abfragen!$O$264,FIND(A67,Abfragen!$O$264,1)+LEN(A67))-1),"")</f>
        <v/>
      </c>
      <c r="DJ67" s="301" t="str">
        <f t="shared" ca="1" si="281"/>
        <v>B</v>
      </c>
      <c r="DK67" s="301" t="str">
        <f t="shared" ca="1" si="275"/>
        <v>B</v>
      </c>
      <c r="DL67" s="301" t="str">
        <f t="shared" ca="1" si="275"/>
        <v>B</v>
      </c>
      <c r="DM67" s="301" t="str">
        <f t="shared" ca="1" si="275"/>
        <v>B</v>
      </c>
      <c r="DN67" s="301" t="str">
        <f t="shared" ca="1" si="275"/>
        <v>B</v>
      </c>
      <c r="DO67" s="301" t="str">
        <f t="shared" ca="1" si="275"/>
        <v>B</v>
      </c>
      <c r="DP67" s="301" t="str">
        <f t="shared" ca="1" si="275"/>
        <v>B</v>
      </c>
      <c r="DQ67" s="301" t="str">
        <f t="shared" ca="1" si="275"/>
        <v>B</v>
      </c>
      <c r="DR67" s="301" t="str">
        <f t="shared" ca="1" si="275"/>
        <v>B</v>
      </c>
      <c r="DS67" s="301" t="str">
        <f t="shared" ca="1" si="275"/>
        <v>B</v>
      </c>
      <c r="DT67" s="301" t="str">
        <f t="shared" ca="1" si="275"/>
        <v>B</v>
      </c>
      <c r="DU67" s="301" t="str">
        <f t="shared" ca="1" si="275"/>
        <v>B</v>
      </c>
      <c r="DV67" s="301" t="str">
        <f t="shared" ca="1" si="275"/>
        <v>B</v>
      </c>
      <c r="DW67" s="301" t="str">
        <f t="shared" ca="1" si="275"/>
        <v>B</v>
      </c>
      <c r="DX67" s="301" t="str">
        <f t="shared" ca="1" si="275"/>
        <v>B</v>
      </c>
      <c r="DY67" s="301" t="str">
        <f t="shared" ca="1" si="275"/>
        <v>B</v>
      </c>
      <c r="DZ67" s="301" t="str">
        <f t="shared" ca="1" si="275"/>
        <v>B</v>
      </c>
      <c r="EA67" s="301" t="str">
        <f t="shared" ca="1" si="275"/>
        <v>B</v>
      </c>
      <c r="EB67" s="301" t="str">
        <f t="shared" ca="1" si="275"/>
        <v>B</v>
      </c>
      <c r="EC67" s="301" t="str">
        <f t="shared" ca="1" si="275"/>
        <v>B</v>
      </c>
      <c r="ED67" s="301" t="str">
        <f t="shared" ca="1" si="275"/>
        <v>B</v>
      </c>
      <c r="EE67" s="301" t="str">
        <f t="shared" ca="1" si="275"/>
        <v>B</v>
      </c>
      <c r="EF67" s="205"/>
      <c r="EG67" s="301" t="str">
        <f t="shared" ca="1" si="276"/>
        <v>B</v>
      </c>
      <c r="EH67" s="301" t="str">
        <f t="shared" ca="1" si="277"/>
        <v>B</v>
      </c>
      <c r="EI67" s="301" t="str">
        <f t="shared" ca="1" si="277"/>
        <v>B</v>
      </c>
      <c r="EJ67" s="301" t="str">
        <f t="shared" ca="1" si="277"/>
        <v>B</v>
      </c>
      <c r="EK67" s="301" t="str">
        <f t="shared" ca="1" si="277"/>
        <v>B</v>
      </c>
      <c r="EL67" s="301" t="str">
        <f t="shared" ca="1" si="277"/>
        <v>B</v>
      </c>
      <c r="EM67" s="301" t="str">
        <f t="shared" ca="1" si="277"/>
        <v>B</v>
      </c>
      <c r="EN67" s="301" t="str">
        <f t="shared" ca="1" si="277"/>
        <v>B</v>
      </c>
      <c r="EO67" s="301" t="str">
        <f t="shared" ca="1" si="277"/>
        <v>B</v>
      </c>
      <c r="EP67" s="301" t="str">
        <f t="shared" ca="1" si="277"/>
        <v>B</v>
      </c>
      <c r="EQ67" s="301" t="str">
        <f t="shared" ca="1" si="277"/>
        <v>B</v>
      </c>
      <c r="ER67" s="301" t="str">
        <f t="shared" ca="1" si="277"/>
        <v>B</v>
      </c>
      <c r="ES67" s="301" t="str">
        <f t="shared" ca="1" si="277"/>
        <v>B</v>
      </c>
      <c r="ET67" s="301" t="str">
        <f t="shared" ca="1" si="277"/>
        <v>B</v>
      </c>
      <c r="EU67" s="301" t="str">
        <f t="shared" ca="1" si="277"/>
        <v>B</v>
      </c>
      <c r="EV67" s="301" t="str">
        <f t="shared" ca="1" si="277"/>
        <v>B</v>
      </c>
      <c r="EW67" s="301" t="str">
        <f t="shared" ca="1" si="277"/>
        <v>B</v>
      </c>
      <c r="EX67" s="301" t="str">
        <f t="shared" ca="1" si="277"/>
        <v>B</v>
      </c>
      <c r="EY67" s="301" t="str">
        <f t="shared" ca="1" si="277"/>
        <v>B</v>
      </c>
      <c r="EZ67" s="301" t="str">
        <f t="shared" ca="1" si="277"/>
        <v>B</v>
      </c>
      <c r="FA67" s="301" t="str">
        <f t="shared" ca="1" si="277"/>
        <v>B</v>
      </c>
      <c r="FB67" s="301" t="str">
        <f t="shared" ca="1" si="277"/>
        <v>B</v>
      </c>
      <c r="FC67" s="301" t="str">
        <f t="shared" ca="1" si="277"/>
        <v>B</v>
      </c>
      <c r="FD67" s="301" t="str">
        <f t="shared" ca="1" si="277"/>
        <v>B</v>
      </c>
      <c r="FE67" s="301" t="str">
        <f t="shared" ca="1" si="277"/>
        <v>B</v>
      </c>
      <c r="FF67" s="301" t="str">
        <f t="shared" ca="1" si="277"/>
        <v>B</v>
      </c>
      <c r="FG67" s="301" t="str">
        <f t="shared" ca="1" si="277"/>
        <v>B</v>
      </c>
      <c r="FH67" s="301" t="str">
        <f t="shared" ca="1" si="277"/>
        <v>B</v>
      </c>
      <c r="FI67" s="301" t="str">
        <f t="shared" ca="1" si="277"/>
        <v>B</v>
      </c>
      <c r="FJ67" s="301" t="str">
        <f t="shared" ca="1" si="277"/>
        <v>B</v>
      </c>
      <c r="FK67" s="301" t="str">
        <f t="shared" ca="1" si="277"/>
        <v>B</v>
      </c>
      <c r="FL67" s="301" t="str">
        <f t="shared" ca="1" si="277"/>
        <v>B</v>
      </c>
    </row>
    <row r="68" spans="1:168" x14ac:dyDescent="0.2">
      <c r="A68" s="24" t="str">
        <f t="shared" si="278"/>
        <v>Schriftl. Ausdruck</v>
      </c>
      <c r="B68" s="317" t="str">
        <f t="shared" ca="1" si="198"/>
        <v/>
      </c>
      <c r="C68" s="332" t="str">
        <f ca="1">IF(OR(NOT(ISBLANK(D68)),NOT(ISBLANK(HLOOKUP(RASSEGENE,RASSE,$CD68,FALSE))),
NOT(ISBLANK(HLOOKUP(KULTURGENE,KULTUR,$CD68,FALSE))),
NOT(OR(ISBLANK(HLOOKUP(PROFGENE,INDIRECT(PROFGEBIET),$CD68,FALSE)),$CS68="N",$CS68="M")),
IF(PROFZWEITE="",FALSE,NOT(ISBLANK(HLOOKUP(PROFZWEITE,INDIRECT(PROFGEBIET2),$CD68,FALSE))))),"x","")</f>
        <v/>
      </c>
      <c r="D68" s="1110"/>
      <c r="E68" s="966"/>
      <c r="F68" s="325"/>
      <c r="G68" s="958"/>
      <c r="H68" s="1196"/>
      <c r="I68" s="326"/>
      <c r="J68" s="1880" t="str">
        <f t="shared" ca="1" si="199"/>
        <v/>
      </c>
      <c r="K68" s="1881"/>
      <c r="L68" s="1881"/>
      <c r="M68" s="1881"/>
      <c r="N68" s="1882"/>
      <c r="O68" s="613" t="str">
        <f t="shared" ca="1" si="200"/>
        <v/>
      </c>
      <c r="P68" s="90"/>
      <c r="Q68" s="25"/>
      <c r="R68" s="1313"/>
      <c r="S68" s="1313"/>
      <c r="T68" s="1315"/>
      <c r="U68" s="1283"/>
      <c r="V68" s="628" t="str">
        <f t="shared" ca="1" si="201"/>
        <v/>
      </c>
      <c r="W68" s="164">
        <f t="shared" ca="1" si="202"/>
        <v>0</v>
      </c>
      <c r="X68" s="164">
        <f t="shared" ca="1" si="203"/>
        <v>0</v>
      </c>
      <c r="Y68" s="164">
        <f t="shared" ca="1" si="204"/>
        <v>0</v>
      </c>
      <c r="Z68" s="164">
        <f t="shared" ca="1" si="205"/>
        <v>0</v>
      </c>
      <c r="AA68" s="164">
        <f t="shared" ca="1" si="206"/>
        <v>0</v>
      </c>
      <c r="AB68" s="164">
        <f t="shared" ca="1" si="207"/>
        <v>0</v>
      </c>
      <c r="AC68" s="164">
        <f t="shared" ca="1" si="208"/>
        <v>0</v>
      </c>
      <c r="AD68" s="164">
        <f t="shared" ca="1" si="209"/>
        <v>0</v>
      </c>
      <c r="AE68" s="164">
        <f t="shared" ca="1" si="210"/>
        <v>0</v>
      </c>
      <c r="AF68" s="164">
        <f t="shared" ca="1" si="211"/>
        <v>0</v>
      </c>
      <c r="AG68" s="164">
        <f t="shared" ca="1" si="212"/>
        <v>0</v>
      </c>
      <c r="AH68" s="164">
        <f t="shared" ca="1" si="213"/>
        <v>0</v>
      </c>
      <c r="AI68" s="164">
        <f t="shared" ca="1" si="214"/>
        <v>0</v>
      </c>
      <c r="AJ68" s="164">
        <f t="shared" ca="1" si="215"/>
        <v>0</v>
      </c>
      <c r="AK68" s="164">
        <f t="shared" ca="1" si="216"/>
        <v>0</v>
      </c>
      <c r="AL68" s="164">
        <f t="shared" ca="1" si="217"/>
        <v>0</v>
      </c>
      <c r="AM68" s="164">
        <f t="shared" ca="1" si="218"/>
        <v>0</v>
      </c>
      <c r="AN68" s="164">
        <f t="shared" ca="1" si="219"/>
        <v>0</v>
      </c>
      <c r="AO68" s="164">
        <f t="shared" ca="1" si="220"/>
        <v>0</v>
      </c>
      <c r="AP68" s="164">
        <f t="shared" ca="1" si="221"/>
        <v>0</v>
      </c>
      <c r="AQ68" s="164">
        <f t="shared" ca="1" si="222"/>
        <v>0</v>
      </c>
      <c r="AR68" s="164">
        <f t="shared" ca="1" si="223"/>
        <v>0</v>
      </c>
      <c r="AS68" s="195"/>
      <c r="AT68" s="154">
        <f t="shared" ca="1" si="224"/>
        <v>0</v>
      </c>
      <c r="AU68" s="154">
        <f t="shared" ca="1" si="225"/>
        <v>0</v>
      </c>
      <c r="AV68" s="154">
        <f t="shared" ca="1" si="226"/>
        <v>0</v>
      </c>
      <c r="AW68" s="154">
        <f t="shared" ca="1" si="227"/>
        <v>0</v>
      </c>
      <c r="AX68" s="154">
        <f t="shared" ca="1" si="228"/>
        <v>0</v>
      </c>
      <c r="AY68" s="154">
        <f t="shared" ca="1" si="229"/>
        <v>0</v>
      </c>
      <c r="AZ68" s="154">
        <f t="shared" ca="1" si="230"/>
        <v>0</v>
      </c>
      <c r="BA68" s="154">
        <f t="shared" ca="1" si="231"/>
        <v>0</v>
      </c>
      <c r="BB68" s="154">
        <f t="shared" ca="1" si="232"/>
        <v>0</v>
      </c>
      <c r="BC68" s="154">
        <f t="shared" ca="1" si="233"/>
        <v>0</v>
      </c>
      <c r="BD68" s="154">
        <f t="shared" ca="1" si="234"/>
        <v>0</v>
      </c>
      <c r="BE68" s="154">
        <f t="shared" ca="1" si="235"/>
        <v>0</v>
      </c>
      <c r="BF68" s="154">
        <f t="shared" ca="1" si="236"/>
        <v>0</v>
      </c>
      <c r="BG68" s="154">
        <f t="shared" ca="1" si="237"/>
        <v>0</v>
      </c>
      <c r="BH68" s="154">
        <f t="shared" ca="1" si="238"/>
        <v>0</v>
      </c>
      <c r="BI68" s="154">
        <f t="shared" ca="1" si="239"/>
        <v>0</v>
      </c>
      <c r="BJ68" s="154">
        <f t="shared" ca="1" si="240"/>
        <v>0</v>
      </c>
      <c r="BK68" s="154">
        <f t="shared" ca="1" si="241"/>
        <v>0</v>
      </c>
      <c r="BL68" s="154">
        <f t="shared" ca="1" si="242"/>
        <v>0</v>
      </c>
      <c r="BM68" s="154">
        <f t="shared" ca="1" si="243"/>
        <v>0</v>
      </c>
      <c r="BN68" s="154">
        <f t="shared" ca="1" si="244"/>
        <v>0</v>
      </c>
      <c r="BO68" s="154">
        <f t="shared" ca="1" si="245"/>
        <v>0</v>
      </c>
      <c r="BP68" s="154">
        <f t="shared" ca="1" si="246"/>
        <v>0</v>
      </c>
      <c r="BQ68" s="154">
        <f t="shared" ca="1" si="247"/>
        <v>0</v>
      </c>
      <c r="BR68" s="154">
        <f t="shared" ca="1" si="248"/>
        <v>0</v>
      </c>
      <c r="BS68" s="154">
        <f t="shared" ca="1" si="249"/>
        <v>0</v>
      </c>
      <c r="BT68" s="154">
        <f t="shared" ca="1" si="250"/>
        <v>0</v>
      </c>
      <c r="BU68" s="154">
        <f t="shared" ca="1" si="251"/>
        <v>0</v>
      </c>
      <c r="BV68" s="154">
        <f t="shared" ca="1" si="252"/>
        <v>0</v>
      </c>
      <c r="BW68" s="154">
        <f t="shared" ca="1" si="253"/>
        <v>0</v>
      </c>
      <c r="BX68" s="154">
        <f t="shared" ca="1" si="254"/>
        <v>0</v>
      </c>
      <c r="BY68" s="154">
        <f t="shared" ca="1" si="255"/>
        <v>0</v>
      </c>
      <c r="BZ68" s="154">
        <f t="shared" si="256"/>
        <v>0</v>
      </c>
      <c r="CA68" s="154">
        <f t="shared" si="257"/>
        <v>0</v>
      </c>
      <c r="CB68" s="154">
        <f t="shared" ca="1" si="258"/>
        <v>0</v>
      </c>
      <c r="CC68" s="523"/>
      <c r="CD68" s="355">
        <f t="shared" si="259"/>
        <v>95</v>
      </c>
      <c r="CE68" s="268" t="str">
        <f t="shared" ca="1" si="260"/>
        <v>B</v>
      </c>
      <c r="CF68" s="355" t="str">
        <f ca="1">IF(EXACT($B68,""),$CF67,CONCATENATE($CF67,$A68))</f>
        <v/>
      </c>
      <c r="CG68" s="268"/>
      <c r="CH68" s="268"/>
      <c r="CI68" s="269">
        <f t="shared" ca="1" si="261"/>
        <v>0</v>
      </c>
      <c r="CJ68" s="269">
        <f t="shared" ca="1" si="262"/>
        <v>0</v>
      </c>
      <c r="CK68" s="268"/>
      <c r="CL68" s="268"/>
      <c r="CM68" s="268">
        <f t="shared" ca="1" si="82"/>
        <v>0</v>
      </c>
      <c r="CN68" s="269">
        <f t="shared" ca="1" si="83"/>
        <v>0</v>
      </c>
      <c r="CO68" s="268" t="str">
        <f t="shared" ca="1" si="263"/>
        <v>B</v>
      </c>
      <c r="CP68" s="269" t="b">
        <f t="shared" ca="1" si="264"/>
        <v>1</v>
      </c>
      <c r="CQ68" s="269">
        <f t="shared" si="265"/>
        <v>0</v>
      </c>
      <c r="CR68" s="269">
        <f t="shared" si="266"/>
        <v>0</v>
      </c>
      <c r="CS68" s="269">
        <f t="shared" ca="1" si="267"/>
        <v>0</v>
      </c>
      <c r="CT68" s="302" t="str">
        <f t="shared" ca="1" si="268"/>
        <v>0</v>
      </c>
      <c r="CU68" s="269">
        <f t="shared" ca="1" si="269"/>
        <v>0</v>
      </c>
      <c r="CV68" s="268"/>
      <c r="CW68" s="269">
        <f t="shared" ca="1" si="270"/>
        <v>0</v>
      </c>
      <c r="CX68" s="301">
        <f t="shared" ca="1" si="271"/>
        <v>0</v>
      </c>
      <c r="CY68" s="301">
        <f t="shared" ca="1" si="85"/>
        <v>0</v>
      </c>
      <c r="CZ68" s="301">
        <f t="shared" ca="1" si="272"/>
        <v>0</v>
      </c>
      <c r="DA68" s="301">
        <f t="shared" ca="1" si="273"/>
        <v>0</v>
      </c>
      <c r="DB68" t="str">
        <f ca="1">IF(AND(NOT(ISBLANK($I68)),$O$246&lt;4),"L/S einer Schrift 4+",IF(AND(NOT(ISBLANK($G68)),OR(EXACT($AH$5,$A$60),EXACT($AH$6,$A$60),EXACT($AH$7,$A$60),EXACT($AH$8,$A$60),EXACT($AH$9,$A$60))),"Nicht möglich (Unfähigkeit)!",""))</f>
        <v/>
      </c>
      <c r="DC68" s="301" t="str">
        <f t="shared" ca="1" si="274"/>
        <v/>
      </c>
      <c r="DD68" s="1337" t="str">
        <f t="shared" ca="1" si="279"/>
        <v/>
      </c>
      <c r="DE68" s="1337" t="str">
        <f t="shared" ca="1" si="280"/>
        <v/>
      </c>
      <c r="DG68" s="269" t="str">
        <f ca="1">IF(DI68="",IF(VLOOKUP(A68,TALENTE_GP,4,FALSE)="Kultur","KULTUREN","Tabellen_Andere!BA"&amp;MATCH(A68,TALENTE)+1&amp;":BF"&amp;MATCH(A68,TALENTE)+1),ADDRESS(ROW(),COLUMN()+2,1,1))</f>
        <v>Tabellen_Andere!BA98:BF98</v>
      </c>
      <c r="DH68" s="269" t="str">
        <f>IF(VLOOKUP(A68,TALENTE_GP,4,FALSE)="Kultur","KULTUREN","Tabellen_Andere!BA"&amp;MATCH(A68,TALENTE)+1&amp;":BF"&amp;MATCH(A68,TALENTE)+1)</f>
        <v>Tabellen_Andere!BA98:BF98</v>
      </c>
      <c r="DI68" s="269" t="str">
        <f ca="1">IF(NOT(ISERR(FIND(A68,Abfragen!$O$264,1))),MID(Abfragen!$O$264,FIND("(",Abfragen!$O$264,FIND(A68,Abfragen!$O$264,1)+LEN(A68))+1,FIND(")",Abfragen!$O$264,FIND(A68,Abfragen!$O$264,1)+LEN(A68))-FIND("(",Abfragen!$O$264,FIND(A68,Abfragen!$O$264,1)+LEN(A68))-1),"")</f>
        <v/>
      </c>
      <c r="DJ68" s="301" t="str">
        <f t="shared" ca="1" si="281"/>
        <v>B</v>
      </c>
      <c r="DK68" s="301" t="str">
        <f t="shared" ca="1" si="275"/>
        <v>B</v>
      </c>
      <c r="DL68" s="301" t="str">
        <f t="shared" ca="1" si="275"/>
        <v>B</v>
      </c>
      <c r="DM68" s="301" t="str">
        <f t="shared" ca="1" si="275"/>
        <v>B</v>
      </c>
      <c r="DN68" s="301" t="str">
        <f t="shared" ca="1" si="275"/>
        <v>B</v>
      </c>
      <c r="DO68" s="301" t="str">
        <f t="shared" ca="1" si="275"/>
        <v>B</v>
      </c>
      <c r="DP68" s="301" t="str">
        <f t="shared" ca="1" si="275"/>
        <v>B</v>
      </c>
      <c r="DQ68" s="301" t="str">
        <f t="shared" ca="1" si="275"/>
        <v>B</v>
      </c>
      <c r="DR68" s="301" t="str">
        <f t="shared" ca="1" si="275"/>
        <v>B</v>
      </c>
      <c r="DS68" s="301" t="str">
        <f t="shared" ca="1" si="275"/>
        <v>B</v>
      </c>
      <c r="DT68" s="301" t="str">
        <f t="shared" ca="1" si="275"/>
        <v>B</v>
      </c>
      <c r="DU68" s="301" t="str">
        <f t="shared" ca="1" si="275"/>
        <v>B</v>
      </c>
      <c r="DV68" s="301" t="str">
        <f t="shared" ca="1" si="275"/>
        <v>B</v>
      </c>
      <c r="DW68" s="301" t="str">
        <f t="shared" ca="1" si="275"/>
        <v>B</v>
      </c>
      <c r="DX68" s="301" t="str">
        <f t="shared" ca="1" si="275"/>
        <v>B</v>
      </c>
      <c r="DY68" s="301" t="str">
        <f t="shared" ca="1" si="275"/>
        <v>B</v>
      </c>
      <c r="DZ68" s="301" t="str">
        <f t="shared" ca="1" si="275"/>
        <v>B</v>
      </c>
      <c r="EA68" s="301" t="str">
        <f t="shared" ca="1" si="275"/>
        <v>B</v>
      </c>
      <c r="EB68" s="301" t="str">
        <f t="shared" ca="1" si="275"/>
        <v>B</v>
      </c>
      <c r="EC68" s="301" t="str">
        <f t="shared" ca="1" si="275"/>
        <v>B</v>
      </c>
      <c r="ED68" s="301" t="str">
        <f t="shared" ca="1" si="275"/>
        <v>B</v>
      </c>
      <c r="EE68" s="301" t="str">
        <f t="shared" ca="1" si="275"/>
        <v>B</v>
      </c>
      <c r="EF68" s="205"/>
      <c r="EG68" s="301" t="str">
        <f t="shared" ca="1" si="276"/>
        <v>B</v>
      </c>
      <c r="EH68" s="301" t="str">
        <f t="shared" ca="1" si="277"/>
        <v>B</v>
      </c>
      <c r="EI68" s="301" t="str">
        <f t="shared" ca="1" si="277"/>
        <v>B</v>
      </c>
      <c r="EJ68" s="301" t="str">
        <f t="shared" ca="1" si="277"/>
        <v>B</v>
      </c>
      <c r="EK68" s="301" t="str">
        <f t="shared" ca="1" si="277"/>
        <v>B</v>
      </c>
      <c r="EL68" s="301" t="str">
        <f t="shared" ca="1" si="277"/>
        <v>B</v>
      </c>
      <c r="EM68" s="301" t="str">
        <f t="shared" ca="1" si="277"/>
        <v>B</v>
      </c>
      <c r="EN68" s="301" t="str">
        <f t="shared" ca="1" si="277"/>
        <v>B</v>
      </c>
      <c r="EO68" s="301" t="str">
        <f t="shared" ca="1" si="277"/>
        <v>B</v>
      </c>
      <c r="EP68" s="301" t="str">
        <f t="shared" ca="1" si="277"/>
        <v>B</v>
      </c>
      <c r="EQ68" s="301" t="str">
        <f t="shared" ca="1" si="277"/>
        <v>B</v>
      </c>
      <c r="ER68" s="301" t="str">
        <f t="shared" ca="1" si="277"/>
        <v>B</v>
      </c>
      <c r="ES68" s="301" t="str">
        <f t="shared" ca="1" si="277"/>
        <v>B</v>
      </c>
      <c r="ET68" s="301" t="str">
        <f t="shared" ca="1" si="277"/>
        <v>B</v>
      </c>
      <c r="EU68" s="301" t="str">
        <f t="shared" ca="1" si="277"/>
        <v>B</v>
      </c>
      <c r="EV68" s="301" t="str">
        <f t="shared" ca="1" si="277"/>
        <v>B</v>
      </c>
      <c r="EW68" s="301" t="str">
        <f t="shared" ca="1" si="277"/>
        <v>B</v>
      </c>
      <c r="EX68" s="301" t="str">
        <f t="shared" ca="1" si="277"/>
        <v>B</v>
      </c>
      <c r="EY68" s="301" t="str">
        <f t="shared" ca="1" si="277"/>
        <v>B</v>
      </c>
      <c r="EZ68" s="301" t="str">
        <f t="shared" ca="1" si="277"/>
        <v>B</v>
      </c>
      <c r="FA68" s="301" t="str">
        <f t="shared" ca="1" si="277"/>
        <v>B</v>
      </c>
      <c r="FB68" s="301" t="str">
        <f t="shared" ca="1" si="277"/>
        <v>B</v>
      </c>
      <c r="FC68" s="301" t="str">
        <f t="shared" ca="1" si="277"/>
        <v>B</v>
      </c>
      <c r="FD68" s="301" t="str">
        <f t="shared" ca="1" si="277"/>
        <v>B</v>
      </c>
      <c r="FE68" s="301" t="str">
        <f t="shared" ca="1" si="277"/>
        <v>B</v>
      </c>
      <c r="FF68" s="301" t="str">
        <f t="shared" ca="1" si="277"/>
        <v>B</v>
      </c>
      <c r="FG68" s="301" t="str">
        <f t="shared" ca="1" si="277"/>
        <v>B</v>
      </c>
      <c r="FH68" s="301" t="str">
        <f t="shared" ca="1" si="277"/>
        <v>B</v>
      </c>
      <c r="FI68" s="301" t="str">
        <f t="shared" ca="1" si="277"/>
        <v>B</v>
      </c>
      <c r="FJ68" s="301" t="str">
        <f t="shared" ca="1" si="277"/>
        <v>B</v>
      </c>
      <c r="FK68" s="301" t="str">
        <f t="shared" ca="1" si="277"/>
        <v>B</v>
      </c>
      <c r="FL68" s="301" t="str">
        <f t="shared" ca="1" si="277"/>
        <v>B</v>
      </c>
    </row>
    <row r="69" spans="1:168" x14ac:dyDescent="0.2">
      <c r="A69" s="24" t="str">
        <f t="shared" si="278"/>
        <v>Sich Verkleiden</v>
      </c>
      <c r="B69" s="317" t="str">
        <f t="shared" ca="1" si="198"/>
        <v/>
      </c>
      <c r="C69" s="332" t="str">
        <f ca="1">IF(OR(NOT(ISBLANK(D69)),NOT(ISBLANK(HLOOKUP(RASSEGENE,RASSE,$CD69,FALSE))),
NOT(ISBLANK(HLOOKUP(KULTURGENE,KULTUR,$CD69,FALSE))),
NOT(OR(ISBLANK(HLOOKUP(PROFGENE,INDIRECT(PROFGEBIET),$CD69,FALSE)),$CS69="N",$CS69="M")),
IF(PROFZWEITE="",FALSE,NOT(ISBLANK(HLOOKUP(PROFZWEITE,INDIRECT(PROFGEBIET2),$CD69,FALSE))))),"x","")</f>
        <v/>
      </c>
      <c r="D69" s="1110"/>
      <c r="E69" s="966"/>
      <c r="F69" s="325"/>
      <c r="G69" s="958"/>
      <c r="H69" s="1196"/>
      <c r="I69" s="326"/>
      <c r="J69" s="1880" t="str">
        <f t="shared" ca="1" si="199"/>
        <v/>
      </c>
      <c r="K69" s="1881"/>
      <c r="L69" s="1881"/>
      <c r="M69" s="1881"/>
      <c r="N69" s="1882"/>
      <c r="O69" s="613" t="str">
        <f t="shared" ca="1" si="200"/>
        <v/>
      </c>
      <c r="P69" s="90"/>
      <c r="Q69" s="25"/>
      <c r="R69" s="1313"/>
      <c r="S69" s="1313"/>
      <c r="T69" s="1315"/>
      <c r="U69" s="1283"/>
      <c r="V69" s="628" t="str">
        <f t="shared" ca="1" si="201"/>
        <v/>
      </c>
      <c r="W69" s="164">
        <f t="shared" ca="1" si="202"/>
        <v>0</v>
      </c>
      <c r="X69" s="164">
        <f t="shared" ca="1" si="203"/>
        <v>0</v>
      </c>
      <c r="Y69" s="164">
        <f t="shared" ca="1" si="204"/>
        <v>0</v>
      </c>
      <c r="Z69" s="164">
        <f t="shared" ca="1" si="205"/>
        <v>0</v>
      </c>
      <c r="AA69" s="164">
        <f t="shared" ca="1" si="206"/>
        <v>0</v>
      </c>
      <c r="AB69" s="164">
        <f t="shared" ca="1" si="207"/>
        <v>0</v>
      </c>
      <c r="AC69" s="164">
        <f t="shared" ca="1" si="208"/>
        <v>0</v>
      </c>
      <c r="AD69" s="164">
        <f t="shared" ca="1" si="209"/>
        <v>0</v>
      </c>
      <c r="AE69" s="164">
        <f t="shared" ca="1" si="210"/>
        <v>0</v>
      </c>
      <c r="AF69" s="164">
        <f t="shared" ca="1" si="211"/>
        <v>0</v>
      </c>
      <c r="AG69" s="164">
        <f t="shared" ca="1" si="212"/>
        <v>0</v>
      </c>
      <c r="AH69" s="164">
        <f t="shared" ca="1" si="213"/>
        <v>0</v>
      </c>
      <c r="AI69" s="164">
        <f t="shared" ca="1" si="214"/>
        <v>0</v>
      </c>
      <c r="AJ69" s="164">
        <f t="shared" ca="1" si="215"/>
        <v>0</v>
      </c>
      <c r="AK69" s="164">
        <f t="shared" ca="1" si="216"/>
        <v>0</v>
      </c>
      <c r="AL69" s="164">
        <f t="shared" ca="1" si="217"/>
        <v>0</v>
      </c>
      <c r="AM69" s="164">
        <f t="shared" ca="1" si="218"/>
        <v>0</v>
      </c>
      <c r="AN69" s="164">
        <f t="shared" ca="1" si="219"/>
        <v>0</v>
      </c>
      <c r="AO69" s="164">
        <f t="shared" ca="1" si="220"/>
        <v>0</v>
      </c>
      <c r="AP69" s="164">
        <f t="shared" ca="1" si="221"/>
        <v>0</v>
      </c>
      <c r="AQ69" s="164">
        <f t="shared" ca="1" si="222"/>
        <v>0</v>
      </c>
      <c r="AR69" s="164">
        <f t="shared" ca="1" si="223"/>
        <v>0</v>
      </c>
      <c r="AS69" s="195"/>
      <c r="AT69" s="154">
        <f t="shared" ca="1" si="224"/>
        <v>0</v>
      </c>
      <c r="AU69" s="154">
        <f t="shared" ca="1" si="225"/>
        <v>0</v>
      </c>
      <c r="AV69" s="154">
        <f t="shared" ca="1" si="226"/>
        <v>0</v>
      </c>
      <c r="AW69" s="154">
        <f t="shared" ca="1" si="227"/>
        <v>0</v>
      </c>
      <c r="AX69" s="154">
        <f t="shared" ca="1" si="228"/>
        <v>0</v>
      </c>
      <c r="AY69" s="154">
        <f t="shared" ca="1" si="229"/>
        <v>0</v>
      </c>
      <c r="AZ69" s="154">
        <f t="shared" ca="1" si="230"/>
        <v>0</v>
      </c>
      <c r="BA69" s="154">
        <f t="shared" ca="1" si="231"/>
        <v>0</v>
      </c>
      <c r="BB69" s="154">
        <f t="shared" ca="1" si="232"/>
        <v>0</v>
      </c>
      <c r="BC69" s="154">
        <f t="shared" ca="1" si="233"/>
        <v>0</v>
      </c>
      <c r="BD69" s="154">
        <f t="shared" ca="1" si="234"/>
        <v>0</v>
      </c>
      <c r="BE69" s="154">
        <f t="shared" ca="1" si="235"/>
        <v>0</v>
      </c>
      <c r="BF69" s="154">
        <f t="shared" ca="1" si="236"/>
        <v>0</v>
      </c>
      <c r="BG69" s="154">
        <f t="shared" ca="1" si="237"/>
        <v>0</v>
      </c>
      <c r="BH69" s="154">
        <f t="shared" ca="1" si="238"/>
        <v>0</v>
      </c>
      <c r="BI69" s="154">
        <f t="shared" ca="1" si="239"/>
        <v>0</v>
      </c>
      <c r="BJ69" s="154">
        <f t="shared" ca="1" si="240"/>
        <v>0</v>
      </c>
      <c r="BK69" s="154">
        <f t="shared" ca="1" si="241"/>
        <v>0</v>
      </c>
      <c r="BL69" s="154">
        <f t="shared" ca="1" si="242"/>
        <v>0</v>
      </c>
      <c r="BM69" s="154">
        <f t="shared" ca="1" si="243"/>
        <v>0</v>
      </c>
      <c r="BN69" s="154">
        <f t="shared" ca="1" si="244"/>
        <v>0</v>
      </c>
      <c r="BO69" s="154">
        <f t="shared" ca="1" si="245"/>
        <v>0</v>
      </c>
      <c r="BP69" s="154">
        <f t="shared" ca="1" si="246"/>
        <v>0</v>
      </c>
      <c r="BQ69" s="154">
        <f t="shared" ca="1" si="247"/>
        <v>0</v>
      </c>
      <c r="BR69" s="154">
        <f t="shared" ca="1" si="248"/>
        <v>0</v>
      </c>
      <c r="BS69" s="154">
        <f t="shared" ca="1" si="249"/>
        <v>0</v>
      </c>
      <c r="BT69" s="154">
        <f t="shared" ca="1" si="250"/>
        <v>0</v>
      </c>
      <c r="BU69" s="154">
        <f t="shared" ca="1" si="251"/>
        <v>0</v>
      </c>
      <c r="BV69" s="154">
        <f t="shared" ca="1" si="252"/>
        <v>0</v>
      </c>
      <c r="BW69" s="154">
        <f t="shared" ca="1" si="253"/>
        <v>0</v>
      </c>
      <c r="BX69" s="154">
        <f t="shared" ca="1" si="254"/>
        <v>0</v>
      </c>
      <c r="BY69" s="154">
        <f t="shared" ca="1" si="255"/>
        <v>0</v>
      </c>
      <c r="BZ69" s="154">
        <f t="shared" si="256"/>
        <v>0</v>
      </c>
      <c r="CA69" s="154">
        <f t="shared" si="257"/>
        <v>0</v>
      </c>
      <c r="CB69" s="154">
        <f t="shared" ca="1" si="258"/>
        <v>0</v>
      </c>
      <c r="CC69" s="523"/>
      <c r="CD69" s="355">
        <f t="shared" si="259"/>
        <v>96</v>
      </c>
      <c r="CE69" s="268" t="str">
        <f t="shared" ca="1" si="260"/>
        <v>B</v>
      </c>
      <c r="CF69" s="355" t="str">
        <f ca="1">IF(EXACT($B69,""),$CF68,CONCATENATE($CF68,$A69))</f>
        <v/>
      </c>
      <c r="CG69" s="268"/>
      <c r="CH69" s="268"/>
      <c r="CI69" s="269">
        <f t="shared" ca="1" si="261"/>
        <v>0</v>
      </c>
      <c r="CJ69" s="269">
        <f t="shared" ca="1" si="262"/>
        <v>0</v>
      </c>
      <c r="CK69" s="268"/>
      <c r="CL69" s="268"/>
      <c r="CM69" s="268">
        <f t="shared" ca="1" si="82"/>
        <v>0</v>
      </c>
      <c r="CN69" s="269">
        <f t="shared" ca="1" si="83"/>
        <v>0</v>
      </c>
      <c r="CO69" s="268" t="str">
        <f t="shared" ca="1" si="263"/>
        <v>B</v>
      </c>
      <c r="CP69" s="269" t="b">
        <f t="shared" ca="1" si="264"/>
        <v>1</v>
      </c>
      <c r="CQ69" s="269">
        <f t="shared" si="265"/>
        <v>0</v>
      </c>
      <c r="CR69" s="269">
        <f t="shared" si="266"/>
        <v>0</v>
      </c>
      <c r="CS69" s="269">
        <f t="shared" ca="1" si="267"/>
        <v>0</v>
      </c>
      <c r="CT69" s="302" t="str">
        <f t="shared" ca="1" si="268"/>
        <v>0</v>
      </c>
      <c r="CU69" s="269">
        <f t="shared" ca="1" si="269"/>
        <v>0</v>
      </c>
      <c r="CV69" s="268"/>
      <c r="CW69" s="269">
        <f t="shared" ca="1" si="270"/>
        <v>0</v>
      </c>
      <c r="CX69" s="301">
        <f t="shared" ca="1" si="271"/>
        <v>0</v>
      </c>
      <c r="CY69" s="301">
        <f t="shared" ca="1" si="85"/>
        <v>0</v>
      </c>
      <c r="CZ69" s="301">
        <f t="shared" ca="1" si="272"/>
        <v>0</v>
      </c>
      <c r="DA69" s="301">
        <f t="shared" ca="1" si="273"/>
        <v>0</v>
      </c>
      <c r="DB69" t="str">
        <f ca="1">IF(AND(NOT(ISBLANK($G69)),OR(EXACT($AH$5,$A$60),EXACT($AH$6,$A$60),EXACT($AH$7,$A$60),EXACT($AH$8,$A$60),EXACT($AH$9,$A$60))),"Nicht möglich (Unfähigkeit)!","")</f>
        <v/>
      </c>
      <c r="DC69" s="301" t="str">
        <f t="shared" ca="1" si="274"/>
        <v/>
      </c>
      <c r="DD69" s="1337" t="str">
        <f t="shared" ca="1" si="279"/>
        <v/>
      </c>
      <c r="DE69" s="1337" t="str">
        <f t="shared" ca="1" si="280"/>
        <v/>
      </c>
      <c r="DG69" s="269" t="str">
        <f ca="1">IF(DI69="",IF(VLOOKUP(A69,TALENTE_GP,4,FALSE)="Kultur","KULTUREN","Tabellen_Andere!BA"&amp;MATCH(A69,TALENTE)+1&amp;":BF"&amp;MATCH(A69,TALENTE)+1),ADDRESS(ROW(),COLUMN()+2,1,1))</f>
        <v>Tabellen_Andere!BA105:BF105</v>
      </c>
      <c r="DH69" s="269" t="str">
        <f>IF(VLOOKUP(A69,TALENTE_GP,4,FALSE)="Kultur","KULTUREN","Tabellen_Andere!BA"&amp;MATCH(A69,TALENTE)+1&amp;":BF"&amp;MATCH(A69,TALENTE)+1)</f>
        <v>Tabellen_Andere!BA105:BF105</v>
      </c>
      <c r="DI69" s="269" t="str">
        <f ca="1">IF(NOT(ISERR(FIND(A69,Abfragen!$O$264,1))),MID(Abfragen!$O$264,FIND("(",Abfragen!$O$264,FIND(A69,Abfragen!$O$264,1)+LEN(A69))+1,FIND(")",Abfragen!$O$264,FIND(A69,Abfragen!$O$264,1)+LEN(A69))-FIND("(",Abfragen!$O$264,FIND(A69,Abfragen!$O$264,1)+LEN(A69))-1),"")</f>
        <v/>
      </c>
      <c r="DJ69" s="301" t="str">
        <f t="shared" ca="1" si="281"/>
        <v>B</v>
      </c>
      <c r="DK69" s="301" t="str">
        <f t="shared" ca="1" si="275"/>
        <v>B</v>
      </c>
      <c r="DL69" s="301" t="str">
        <f t="shared" ca="1" si="275"/>
        <v>B</v>
      </c>
      <c r="DM69" s="301" t="str">
        <f t="shared" ca="1" si="275"/>
        <v>B</v>
      </c>
      <c r="DN69" s="301" t="str">
        <f t="shared" ca="1" si="275"/>
        <v>B</v>
      </c>
      <c r="DO69" s="301" t="str">
        <f t="shared" ca="1" si="275"/>
        <v>B</v>
      </c>
      <c r="DP69" s="301" t="str">
        <f t="shared" ca="1" si="275"/>
        <v>B</v>
      </c>
      <c r="DQ69" s="301" t="str">
        <f t="shared" ca="1" si="275"/>
        <v>B</v>
      </c>
      <c r="DR69" s="301" t="str">
        <f t="shared" ca="1" si="275"/>
        <v>B</v>
      </c>
      <c r="DS69" s="301" t="str">
        <f t="shared" ca="1" si="275"/>
        <v>B</v>
      </c>
      <c r="DT69" s="301" t="str">
        <f t="shared" ca="1" si="275"/>
        <v>B</v>
      </c>
      <c r="DU69" s="301" t="str">
        <f t="shared" ca="1" si="275"/>
        <v>B</v>
      </c>
      <c r="DV69" s="301" t="str">
        <f t="shared" ca="1" si="275"/>
        <v>B</v>
      </c>
      <c r="DW69" s="301" t="str">
        <f t="shared" ca="1" si="275"/>
        <v>B</v>
      </c>
      <c r="DX69" s="301" t="str">
        <f t="shared" ca="1" si="275"/>
        <v>B</v>
      </c>
      <c r="DY69" s="301" t="str">
        <f t="shared" ca="1" si="275"/>
        <v>B</v>
      </c>
      <c r="DZ69" s="301" t="str">
        <f t="shared" ca="1" si="275"/>
        <v>B</v>
      </c>
      <c r="EA69" s="301" t="str">
        <f t="shared" ca="1" si="275"/>
        <v>B</v>
      </c>
      <c r="EB69" s="301" t="str">
        <f t="shared" ca="1" si="275"/>
        <v>B</v>
      </c>
      <c r="EC69" s="301" t="str">
        <f t="shared" ca="1" si="275"/>
        <v>B</v>
      </c>
      <c r="ED69" s="301" t="str">
        <f t="shared" ca="1" si="275"/>
        <v>B</v>
      </c>
      <c r="EE69" s="301" t="str">
        <f t="shared" ca="1" si="275"/>
        <v>B</v>
      </c>
      <c r="EF69" s="205"/>
      <c r="EG69" s="301" t="str">
        <f t="shared" ca="1" si="276"/>
        <v>B</v>
      </c>
      <c r="EH69" s="301" t="str">
        <f t="shared" ca="1" si="277"/>
        <v>B</v>
      </c>
      <c r="EI69" s="301" t="str">
        <f t="shared" ca="1" si="277"/>
        <v>B</v>
      </c>
      <c r="EJ69" s="301" t="str">
        <f t="shared" ca="1" si="277"/>
        <v>B</v>
      </c>
      <c r="EK69" s="301" t="str">
        <f t="shared" ca="1" si="277"/>
        <v>B</v>
      </c>
      <c r="EL69" s="301" t="str">
        <f t="shared" ca="1" si="277"/>
        <v>B</v>
      </c>
      <c r="EM69" s="301" t="str">
        <f t="shared" ca="1" si="277"/>
        <v>B</v>
      </c>
      <c r="EN69" s="301" t="str">
        <f t="shared" ca="1" si="277"/>
        <v>B</v>
      </c>
      <c r="EO69" s="301" t="str">
        <f t="shared" ref="EO69:FD71" ca="1" si="282">IF(ISERR(FIND(";"&amp;EO$13&amp;":0;",$F69)),
CHAR(CODE($CE69)+SUM(IF(ISERR(FIND(";"&amp;EO$13&amp;";",$F69)),0,-1),
IF(ISERR(FIND(";"&amp;EO$13&amp;":",$F69)),0,-VALUE(MID($F69,FIND(";"&amp;EO$13&amp;":",$F69)+LEN(EO$13)+2,1))),
IF(ISERR(FIND(";"&amp;EO$13&amp;"+",$F69)),0,VALUE(MID($F69,FIND(";"&amp;EO$13&amp;"+",$F69)+LEN(EO$13)+2,1))))),0)</f>
        <v>B</v>
      </c>
      <c r="EP69" s="301" t="str">
        <f t="shared" ca="1" si="282"/>
        <v>B</v>
      </c>
      <c r="EQ69" s="301" t="str">
        <f t="shared" ca="1" si="282"/>
        <v>B</v>
      </c>
      <c r="ER69" s="301" t="str">
        <f t="shared" ca="1" si="282"/>
        <v>B</v>
      </c>
      <c r="ES69" s="301" t="str">
        <f t="shared" ca="1" si="282"/>
        <v>B</v>
      </c>
      <c r="ET69" s="301" t="str">
        <f t="shared" ca="1" si="282"/>
        <v>B</v>
      </c>
      <c r="EU69" s="301" t="str">
        <f t="shared" ca="1" si="282"/>
        <v>B</v>
      </c>
      <c r="EV69" s="301" t="str">
        <f t="shared" ca="1" si="282"/>
        <v>B</v>
      </c>
      <c r="EW69" s="301" t="str">
        <f t="shared" ca="1" si="282"/>
        <v>B</v>
      </c>
      <c r="EX69" s="301" t="str">
        <f t="shared" ca="1" si="282"/>
        <v>B</v>
      </c>
      <c r="EY69" s="301" t="str">
        <f t="shared" ca="1" si="282"/>
        <v>B</v>
      </c>
      <c r="EZ69" s="301" t="str">
        <f t="shared" ca="1" si="282"/>
        <v>B</v>
      </c>
      <c r="FA69" s="301" t="str">
        <f t="shared" ca="1" si="282"/>
        <v>B</v>
      </c>
      <c r="FB69" s="301" t="str">
        <f t="shared" ca="1" si="282"/>
        <v>B</v>
      </c>
      <c r="FC69" s="301" t="str">
        <f t="shared" ca="1" si="282"/>
        <v>B</v>
      </c>
      <c r="FD69" s="301" t="str">
        <f t="shared" ca="1" si="282"/>
        <v>B</v>
      </c>
      <c r="FE69" s="301" t="str">
        <f t="shared" ref="FE69:FL71" ca="1" si="283">IF(ISERR(FIND(";"&amp;FE$13&amp;":0;",$F69)),
CHAR(CODE($CE69)+SUM(IF(ISERR(FIND(";"&amp;FE$13&amp;";",$F69)),0,-1),
IF(ISERR(FIND(";"&amp;FE$13&amp;":",$F69)),0,-VALUE(MID($F69,FIND(";"&amp;FE$13&amp;":",$F69)+LEN(FE$13)+2,1))),
IF(ISERR(FIND(";"&amp;FE$13&amp;"+",$F69)),0,VALUE(MID($F69,FIND(";"&amp;FE$13&amp;"+",$F69)+LEN(FE$13)+2,1))))),0)</f>
        <v>B</v>
      </c>
      <c r="FF69" s="301" t="str">
        <f t="shared" ca="1" si="283"/>
        <v>B</v>
      </c>
      <c r="FG69" s="301" t="str">
        <f t="shared" ca="1" si="283"/>
        <v>B</v>
      </c>
      <c r="FH69" s="301" t="str">
        <f t="shared" ca="1" si="283"/>
        <v>B</v>
      </c>
      <c r="FI69" s="301" t="str">
        <f t="shared" ca="1" si="283"/>
        <v>B</v>
      </c>
      <c r="FJ69" s="301" t="str">
        <f t="shared" ca="1" si="283"/>
        <v>B</v>
      </c>
      <c r="FK69" s="301" t="str">
        <f t="shared" ca="1" si="283"/>
        <v>B</v>
      </c>
      <c r="FL69" s="301" t="str">
        <f t="shared" ca="1" si="283"/>
        <v>B</v>
      </c>
    </row>
    <row r="70" spans="1:168" x14ac:dyDescent="0.2">
      <c r="A70" s="24" t="str">
        <f t="shared" si="278"/>
        <v>Überreden</v>
      </c>
      <c r="B70" s="317">
        <f t="shared" ca="1" si="198"/>
        <v>0</v>
      </c>
      <c r="C70" s="332" t="s">
        <v>1321</v>
      </c>
      <c r="D70" s="1110"/>
      <c r="E70" s="966"/>
      <c r="F70" s="325"/>
      <c r="G70" s="963"/>
      <c r="H70" s="1196"/>
      <c r="I70" s="326"/>
      <c r="J70" s="1880" t="str">
        <f t="shared" ca="1" si="199"/>
        <v/>
      </c>
      <c r="K70" s="1881"/>
      <c r="L70" s="1881"/>
      <c r="M70" s="1881"/>
      <c r="N70" s="1882"/>
      <c r="O70" s="613">
        <f t="shared" ca="1" si="200"/>
        <v>0</v>
      </c>
      <c r="P70" s="90"/>
      <c r="Q70" s="25"/>
      <c r="R70" s="1313"/>
      <c r="S70" s="1313"/>
      <c r="T70" s="1315"/>
      <c r="U70" s="1283"/>
      <c r="V70" s="628" t="str">
        <f t="shared" ca="1" si="201"/>
        <v/>
      </c>
      <c r="W70" s="164">
        <f t="shared" ca="1" si="202"/>
        <v>0</v>
      </c>
      <c r="X70" s="164">
        <f t="shared" ca="1" si="203"/>
        <v>0</v>
      </c>
      <c r="Y70" s="164">
        <f t="shared" ca="1" si="204"/>
        <v>0</v>
      </c>
      <c r="Z70" s="164">
        <f t="shared" ca="1" si="205"/>
        <v>0</v>
      </c>
      <c r="AA70" s="164">
        <f t="shared" ca="1" si="206"/>
        <v>0</v>
      </c>
      <c r="AB70" s="164">
        <f t="shared" ca="1" si="207"/>
        <v>0</v>
      </c>
      <c r="AC70" s="164">
        <f t="shared" ca="1" si="208"/>
        <v>0</v>
      </c>
      <c r="AD70" s="164">
        <f t="shared" ca="1" si="209"/>
        <v>0</v>
      </c>
      <c r="AE70" s="164">
        <f t="shared" ca="1" si="210"/>
        <v>0</v>
      </c>
      <c r="AF70" s="164">
        <f t="shared" ca="1" si="211"/>
        <v>0</v>
      </c>
      <c r="AG70" s="164">
        <f t="shared" ca="1" si="212"/>
        <v>0</v>
      </c>
      <c r="AH70" s="164">
        <f t="shared" ca="1" si="213"/>
        <v>0</v>
      </c>
      <c r="AI70" s="164">
        <f t="shared" ca="1" si="214"/>
        <v>0</v>
      </c>
      <c r="AJ70" s="164">
        <f t="shared" ca="1" si="215"/>
        <v>0</v>
      </c>
      <c r="AK70" s="164">
        <f t="shared" ca="1" si="216"/>
        <v>0</v>
      </c>
      <c r="AL70" s="164">
        <f t="shared" ca="1" si="217"/>
        <v>0</v>
      </c>
      <c r="AM70" s="164">
        <f t="shared" ca="1" si="218"/>
        <v>0</v>
      </c>
      <c r="AN70" s="164">
        <f t="shared" ca="1" si="219"/>
        <v>0</v>
      </c>
      <c r="AO70" s="164">
        <f t="shared" ca="1" si="220"/>
        <v>0</v>
      </c>
      <c r="AP70" s="164">
        <f t="shared" ca="1" si="221"/>
        <v>0</v>
      </c>
      <c r="AQ70" s="164">
        <f t="shared" ca="1" si="222"/>
        <v>0</v>
      </c>
      <c r="AR70" s="164">
        <f t="shared" ca="1" si="223"/>
        <v>0</v>
      </c>
      <c r="AS70" s="195"/>
      <c r="AT70" s="154">
        <f t="shared" ca="1" si="224"/>
        <v>0</v>
      </c>
      <c r="AU70" s="154">
        <f t="shared" ca="1" si="225"/>
        <v>0</v>
      </c>
      <c r="AV70" s="154">
        <f t="shared" ca="1" si="226"/>
        <v>0</v>
      </c>
      <c r="AW70" s="154">
        <f t="shared" ca="1" si="227"/>
        <v>0</v>
      </c>
      <c r="AX70" s="154">
        <f t="shared" ca="1" si="228"/>
        <v>0</v>
      </c>
      <c r="AY70" s="154">
        <f t="shared" ca="1" si="229"/>
        <v>0</v>
      </c>
      <c r="AZ70" s="154">
        <f t="shared" ca="1" si="230"/>
        <v>0</v>
      </c>
      <c r="BA70" s="154">
        <f t="shared" ca="1" si="231"/>
        <v>0</v>
      </c>
      <c r="BB70" s="154">
        <f t="shared" ca="1" si="232"/>
        <v>0</v>
      </c>
      <c r="BC70" s="154">
        <f t="shared" ca="1" si="233"/>
        <v>0</v>
      </c>
      <c r="BD70" s="154">
        <f t="shared" ca="1" si="234"/>
        <v>0</v>
      </c>
      <c r="BE70" s="154">
        <f t="shared" ca="1" si="235"/>
        <v>0</v>
      </c>
      <c r="BF70" s="154">
        <f t="shared" ca="1" si="236"/>
        <v>0</v>
      </c>
      <c r="BG70" s="154">
        <f t="shared" ca="1" si="237"/>
        <v>0</v>
      </c>
      <c r="BH70" s="154">
        <f t="shared" ca="1" si="238"/>
        <v>0</v>
      </c>
      <c r="BI70" s="154">
        <f t="shared" ca="1" si="239"/>
        <v>0</v>
      </c>
      <c r="BJ70" s="154">
        <f t="shared" ca="1" si="240"/>
        <v>0</v>
      </c>
      <c r="BK70" s="154">
        <f t="shared" ca="1" si="241"/>
        <v>0</v>
      </c>
      <c r="BL70" s="154">
        <f t="shared" ca="1" si="242"/>
        <v>0</v>
      </c>
      <c r="BM70" s="154">
        <f t="shared" ca="1" si="243"/>
        <v>0</v>
      </c>
      <c r="BN70" s="154">
        <f t="shared" ca="1" si="244"/>
        <v>0</v>
      </c>
      <c r="BO70" s="154">
        <f t="shared" ca="1" si="245"/>
        <v>0</v>
      </c>
      <c r="BP70" s="154">
        <f t="shared" ca="1" si="246"/>
        <v>0</v>
      </c>
      <c r="BQ70" s="154">
        <f t="shared" ca="1" si="247"/>
        <v>0</v>
      </c>
      <c r="BR70" s="154">
        <f t="shared" ca="1" si="248"/>
        <v>0</v>
      </c>
      <c r="BS70" s="154">
        <f t="shared" ca="1" si="249"/>
        <v>0</v>
      </c>
      <c r="BT70" s="154">
        <f t="shared" ca="1" si="250"/>
        <v>0</v>
      </c>
      <c r="BU70" s="154">
        <f t="shared" ca="1" si="251"/>
        <v>0</v>
      </c>
      <c r="BV70" s="154">
        <f t="shared" ca="1" si="252"/>
        <v>0</v>
      </c>
      <c r="BW70" s="154">
        <f t="shared" ca="1" si="253"/>
        <v>0</v>
      </c>
      <c r="BX70" s="154">
        <f t="shared" ca="1" si="254"/>
        <v>0</v>
      </c>
      <c r="BY70" s="154">
        <f t="shared" ca="1" si="255"/>
        <v>0</v>
      </c>
      <c r="BZ70" s="154">
        <f t="shared" si="256"/>
        <v>0</v>
      </c>
      <c r="CA70" s="154">
        <f t="shared" si="257"/>
        <v>0</v>
      </c>
      <c r="CB70" s="154">
        <f t="shared" ca="1" si="258"/>
        <v>0</v>
      </c>
      <c r="CC70" s="523"/>
      <c r="CD70" s="355">
        <f t="shared" si="259"/>
        <v>97</v>
      </c>
      <c r="CE70" s="268" t="str">
        <f t="shared" ca="1" si="260"/>
        <v>B</v>
      </c>
      <c r="CF70" s="355"/>
      <c r="CG70" s="268"/>
      <c r="CH70" s="268"/>
      <c r="CI70" s="269">
        <f t="shared" ca="1" si="261"/>
        <v>0</v>
      </c>
      <c r="CJ70" s="269">
        <f t="shared" ca="1" si="262"/>
        <v>0</v>
      </c>
      <c r="CK70" s="268"/>
      <c r="CL70" s="268"/>
      <c r="CM70" s="268">
        <f t="shared" ca="1" si="82"/>
        <v>0</v>
      </c>
      <c r="CN70" s="269">
        <f t="shared" ca="1" si="83"/>
        <v>0</v>
      </c>
      <c r="CO70" s="268" t="str">
        <f t="shared" ca="1" si="263"/>
        <v>B</v>
      </c>
      <c r="CP70" s="269" t="b">
        <f t="shared" ca="1" si="264"/>
        <v>1</v>
      </c>
      <c r="CQ70" s="269">
        <f t="shared" si="265"/>
        <v>0</v>
      </c>
      <c r="CR70" s="269">
        <f t="shared" si="266"/>
        <v>0</v>
      </c>
      <c r="CS70" s="269">
        <f t="shared" ca="1" si="267"/>
        <v>0</v>
      </c>
      <c r="CT70" s="302" t="str">
        <f t="shared" ca="1" si="268"/>
        <v>0</v>
      </c>
      <c r="CU70" s="269">
        <f t="shared" ca="1" si="269"/>
        <v>0</v>
      </c>
      <c r="CV70" s="268"/>
      <c r="CW70" s="269">
        <f t="shared" ca="1" si="270"/>
        <v>0</v>
      </c>
      <c r="CX70" s="301">
        <f t="shared" ca="1" si="271"/>
        <v>0</v>
      </c>
      <c r="CY70" s="301">
        <f t="shared" ca="1" si="85"/>
        <v>0</v>
      </c>
      <c r="CZ70" s="301">
        <f t="shared" ca="1" si="272"/>
        <v>0</v>
      </c>
      <c r="DA70" s="301">
        <f t="shared" ca="1" si="273"/>
        <v>0</v>
      </c>
      <c r="DB70" t="str">
        <f ca="1">IF(AND(NOT(ISBLANK($I70)),O66&lt;4,SUM(B70,G70,I70)&gt;=10),"Menschenkenntnis 4+",IF(AND(NOT(ISBLANK($G70)),OR(EXACT($AH$5,$A$60),EXACT($AH$6,$A$60),EXACT($AH$7,$A$60),EXACT($AH$8,$A$60),EXACT($AH$9,$A$60))),"Nicht möglich (Unfähigkeit)!",""))</f>
        <v/>
      </c>
      <c r="DC70" s="301" t="str">
        <f t="shared" ca="1" si="274"/>
        <v/>
      </c>
      <c r="DD70" s="1337" t="str">
        <f t="shared" ca="1" si="279"/>
        <v/>
      </c>
      <c r="DE70" s="1337" t="str">
        <f t="shared" ca="1" si="280"/>
        <v/>
      </c>
      <c r="DG70" s="269" t="str">
        <f ca="1">IF(DI70="",IF(VLOOKUP(A70,TALENTE_GP,4,FALSE)="Kultur","KULTUREN","Tabellen_Andere!BA"&amp;MATCH(A70,TALENTE)+1&amp;":BF"&amp;MATCH(A70,TALENTE)+1),ADDRESS(ROW(),COLUMN()+2,1,1))</f>
        <v>Tabellen_Andere!BA126:BF126</v>
      </c>
      <c r="DH70" s="269" t="str">
        <f>IF(VLOOKUP(A70,TALENTE_GP,4,FALSE)="Kultur","KULTUREN","Tabellen_Andere!BA"&amp;MATCH(A70,TALENTE)+1&amp;":BF"&amp;MATCH(A70,TALENTE)+1)</f>
        <v>Tabellen_Andere!BA126:BF126</v>
      </c>
      <c r="DI70" s="269" t="str">
        <f ca="1">IF(NOT(ISERR(FIND(A70,Abfragen!$O$264,1))),MID(Abfragen!$O$264,FIND("(",Abfragen!$O$264,FIND(A70,Abfragen!$O$264,1)+LEN(A70))+1,FIND(")",Abfragen!$O$264,FIND(A70,Abfragen!$O$264,1)+LEN(A70))-FIND("(",Abfragen!$O$264,FIND(A70,Abfragen!$O$264,1)+LEN(A70))-1),"")</f>
        <v/>
      </c>
      <c r="DJ70" s="301" t="str">
        <f t="shared" ca="1" si="281"/>
        <v>B</v>
      </c>
      <c r="DK70" s="301" t="str">
        <f t="shared" ca="1" si="275"/>
        <v>B</v>
      </c>
      <c r="DL70" s="301" t="str">
        <f t="shared" ca="1" si="275"/>
        <v>B</v>
      </c>
      <c r="DM70" s="301" t="str">
        <f t="shared" ca="1" si="275"/>
        <v>B</v>
      </c>
      <c r="DN70" s="301" t="str">
        <f t="shared" ca="1" si="275"/>
        <v>B</v>
      </c>
      <c r="DO70" s="301" t="str">
        <f t="shared" ca="1" si="275"/>
        <v>B</v>
      </c>
      <c r="DP70" s="301" t="str">
        <f t="shared" ca="1" si="275"/>
        <v>B</v>
      </c>
      <c r="DQ70" s="301" t="str">
        <f t="shared" ca="1" si="275"/>
        <v>B</v>
      </c>
      <c r="DR70" s="301" t="str">
        <f t="shared" ca="1" si="275"/>
        <v>B</v>
      </c>
      <c r="DS70" s="301" t="str">
        <f t="shared" ca="1" si="275"/>
        <v>B</v>
      </c>
      <c r="DT70" s="301" t="str">
        <f t="shared" ca="1" si="275"/>
        <v>B</v>
      </c>
      <c r="DU70" s="301" t="str">
        <f t="shared" ca="1" si="275"/>
        <v>B</v>
      </c>
      <c r="DV70" s="301" t="str">
        <f t="shared" ca="1" si="275"/>
        <v>B</v>
      </c>
      <c r="DW70" s="301" t="str">
        <f t="shared" ca="1" si="275"/>
        <v>B</v>
      </c>
      <c r="DX70" s="301" t="str">
        <f t="shared" ca="1" si="275"/>
        <v>B</v>
      </c>
      <c r="DY70" s="301" t="str">
        <f t="shared" ca="1" si="275"/>
        <v>B</v>
      </c>
      <c r="DZ70" s="301" t="str">
        <f t="shared" ca="1" si="275"/>
        <v>B</v>
      </c>
      <c r="EA70" s="301" t="str">
        <f t="shared" ca="1" si="275"/>
        <v>B</v>
      </c>
      <c r="EB70" s="301" t="str">
        <f t="shared" ca="1" si="275"/>
        <v>B</v>
      </c>
      <c r="EC70" s="301" t="str">
        <f t="shared" ca="1" si="275"/>
        <v>B</v>
      </c>
      <c r="ED70" s="301" t="str">
        <f t="shared" ca="1" si="275"/>
        <v>B</v>
      </c>
      <c r="EE70" s="301" t="str">
        <f t="shared" ca="1" si="275"/>
        <v>B</v>
      </c>
      <c r="EF70" s="205"/>
      <c r="EG70" s="301" t="str">
        <f t="shared" ca="1" si="276"/>
        <v>B</v>
      </c>
      <c r="EH70" s="301" t="str">
        <f t="shared" ref="EH70:EV71" ca="1" si="284">IF(ISERR(FIND(";"&amp;EH$13&amp;":0;",$F70)),
CHAR(CODE($CE70)+SUM(IF(ISERR(FIND(";"&amp;EH$13&amp;";",$F70)),0,-1),
IF(ISERR(FIND(";"&amp;EH$13&amp;":",$F70)),0,-VALUE(MID($F70,FIND(";"&amp;EH$13&amp;":",$F70)+LEN(EH$13)+2,1))),
IF(ISERR(FIND(";"&amp;EH$13&amp;"+",$F70)),0,VALUE(MID($F70,FIND(";"&amp;EH$13&amp;"+",$F70)+LEN(EH$13)+2,1))))),0)</f>
        <v>B</v>
      </c>
      <c r="EI70" s="301" t="str">
        <f t="shared" ca="1" si="284"/>
        <v>B</v>
      </c>
      <c r="EJ70" s="301" t="str">
        <f t="shared" ca="1" si="284"/>
        <v>B</v>
      </c>
      <c r="EK70" s="301" t="str">
        <f t="shared" ca="1" si="284"/>
        <v>B</v>
      </c>
      <c r="EL70" s="301" t="str">
        <f t="shared" ca="1" si="284"/>
        <v>B</v>
      </c>
      <c r="EM70" s="301" t="str">
        <f t="shared" ca="1" si="284"/>
        <v>B</v>
      </c>
      <c r="EN70" s="301" t="str">
        <f t="shared" ca="1" si="284"/>
        <v>B</v>
      </c>
      <c r="EO70" s="301" t="str">
        <f t="shared" ca="1" si="284"/>
        <v>B</v>
      </c>
      <c r="EP70" s="301" t="str">
        <f t="shared" ca="1" si="284"/>
        <v>B</v>
      </c>
      <c r="EQ70" s="301" t="str">
        <f t="shared" ca="1" si="284"/>
        <v>B</v>
      </c>
      <c r="ER70" s="301" t="str">
        <f t="shared" ca="1" si="284"/>
        <v>B</v>
      </c>
      <c r="ES70" s="301" t="str">
        <f t="shared" ca="1" si="284"/>
        <v>B</v>
      </c>
      <c r="ET70" s="301" t="str">
        <f t="shared" ca="1" si="284"/>
        <v>B</v>
      </c>
      <c r="EU70" s="301" t="str">
        <f t="shared" ca="1" si="284"/>
        <v>B</v>
      </c>
      <c r="EV70" s="301" t="str">
        <f t="shared" ca="1" si="284"/>
        <v>B</v>
      </c>
      <c r="EW70" s="301" t="str">
        <f t="shared" ca="1" si="282"/>
        <v>B</v>
      </c>
      <c r="EX70" s="301" t="str">
        <f t="shared" ca="1" si="282"/>
        <v>B</v>
      </c>
      <c r="EY70" s="301" t="str">
        <f t="shared" ca="1" si="282"/>
        <v>B</v>
      </c>
      <c r="EZ70" s="301" t="str">
        <f t="shared" ca="1" si="282"/>
        <v>B</v>
      </c>
      <c r="FA70" s="301" t="str">
        <f t="shared" ca="1" si="282"/>
        <v>B</v>
      </c>
      <c r="FB70" s="301" t="str">
        <f t="shared" ca="1" si="282"/>
        <v>B</v>
      </c>
      <c r="FC70" s="301" t="str">
        <f t="shared" ca="1" si="282"/>
        <v>B</v>
      </c>
      <c r="FD70" s="301" t="str">
        <f t="shared" ca="1" si="282"/>
        <v>B</v>
      </c>
      <c r="FE70" s="301" t="str">
        <f t="shared" ca="1" si="283"/>
        <v>B</v>
      </c>
      <c r="FF70" s="301" t="str">
        <f t="shared" ca="1" si="283"/>
        <v>B</v>
      </c>
      <c r="FG70" s="301" t="str">
        <f t="shared" ca="1" si="283"/>
        <v>B</v>
      </c>
      <c r="FH70" s="301" t="str">
        <f t="shared" ca="1" si="283"/>
        <v>B</v>
      </c>
      <c r="FI70" s="301" t="str">
        <f t="shared" ca="1" si="283"/>
        <v>B</v>
      </c>
      <c r="FJ70" s="301" t="str">
        <f t="shared" ca="1" si="283"/>
        <v>B</v>
      </c>
      <c r="FK70" s="301" t="str">
        <f t="shared" ca="1" si="283"/>
        <v>B</v>
      </c>
      <c r="FL70" s="301" t="str">
        <f t="shared" ca="1" si="283"/>
        <v>B</v>
      </c>
    </row>
    <row r="71" spans="1:168" x14ac:dyDescent="0.2">
      <c r="A71" s="24" t="str">
        <f t="shared" si="278"/>
        <v>Überzeugen</v>
      </c>
      <c r="B71" s="317" t="str">
        <f t="shared" ca="1" si="198"/>
        <v/>
      </c>
      <c r="C71" s="332" t="str">
        <f ca="1">IF(OR(NOT(ISBLANK(D71)),NOT(ISBLANK(HLOOKUP(RASSEGENE,RASSE,$CD71,FALSE))),
NOT(ISBLANK(HLOOKUP(KULTURGENE,KULTUR,$CD71,FALSE))),
NOT(OR(ISBLANK(HLOOKUP(PROFGENE,INDIRECT(PROFGEBIET),$CD71,FALSE)),$CS71="N",$CS71="M")),
IF(PROFZWEITE="",FALSE,NOT(ISBLANK(HLOOKUP(PROFZWEITE,INDIRECT(PROFGEBIET2),$CD71,FALSE))))),"x","")</f>
        <v/>
      </c>
      <c r="D71" s="1110"/>
      <c r="E71" s="966"/>
      <c r="F71" s="325"/>
      <c r="G71" s="958"/>
      <c r="H71" s="1196"/>
      <c r="I71" s="326"/>
      <c r="J71" s="1880" t="str">
        <f t="shared" ca="1" si="199"/>
        <v/>
      </c>
      <c r="K71" s="1881"/>
      <c r="L71" s="1881"/>
      <c r="M71" s="1881"/>
      <c r="N71" s="1882"/>
      <c r="O71" s="613" t="str">
        <f t="shared" ca="1" si="200"/>
        <v/>
      </c>
      <c r="P71" s="90"/>
      <c r="Q71" s="25"/>
      <c r="R71" s="1313"/>
      <c r="S71" s="1313"/>
      <c r="T71" s="1315"/>
      <c r="U71" s="1283"/>
      <c r="V71" s="628" t="str">
        <f t="shared" ca="1" si="201"/>
        <v/>
      </c>
      <c r="W71" s="164">
        <f t="shared" ca="1" si="202"/>
        <v>0</v>
      </c>
      <c r="X71" s="164">
        <f t="shared" ca="1" si="203"/>
        <v>0</v>
      </c>
      <c r="Y71" s="164">
        <f t="shared" ca="1" si="204"/>
        <v>0</v>
      </c>
      <c r="Z71" s="164">
        <f t="shared" ca="1" si="205"/>
        <v>0</v>
      </c>
      <c r="AA71" s="164">
        <f t="shared" ca="1" si="206"/>
        <v>0</v>
      </c>
      <c r="AB71" s="164">
        <f t="shared" ca="1" si="207"/>
        <v>0</v>
      </c>
      <c r="AC71" s="164">
        <f t="shared" ca="1" si="208"/>
        <v>0</v>
      </c>
      <c r="AD71" s="164">
        <f t="shared" ca="1" si="209"/>
        <v>0</v>
      </c>
      <c r="AE71" s="164">
        <f t="shared" ca="1" si="210"/>
        <v>0</v>
      </c>
      <c r="AF71" s="164">
        <f t="shared" ca="1" si="211"/>
        <v>0</v>
      </c>
      <c r="AG71" s="164">
        <f t="shared" ca="1" si="212"/>
        <v>0</v>
      </c>
      <c r="AH71" s="164">
        <f t="shared" ca="1" si="213"/>
        <v>0</v>
      </c>
      <c r="AI71" s="164">
        <f t="shared" ca="1" si="214"/>
        <v>0</v>
      </c>
      <c r="AJ71" s="164">
        <f t="shared" ca="1" si="215"/>
        <v>0</v>
      </c>
      <c r="AK71" s="164">
        <f t="shared" ca="1" si="216"/>
        <v>0</v>
      </c>
      <c r="AL71" s="164">
        <f t="shared" ca="1" si="217"/>
        <v>0</v>
      </c>
      <c r="AM71" s="164">
        <f t="shared" ca="1" si="218"/>
        <v>0</v>
      </c>
      <c r="AN71" s="164">
        <f t="shared" ca="1" si="219"/>
        <v>0</v>
      </c>
      <c r="AO71" s="164">
        <f t="shared" ca="1" si="220"/>
        <v>0</v>
      </c>
      <c r="AP71" s="164">
        <f t="shared" ca="1" si="221"/>
        <v>0</v>
      </c>
      <c r="AQ71" s="164">
        <f t="shared" ca="1" si="222"/>
        <v>0</v>
      </c>
      <c r="AR71" s="164">
        <f t="shared" ca="1" si="223"/>
        <v>0</v>
      </c>
      <c r="AS71" s="195"/>
      <c r="AT71" s="154">
        <f t="shared" ca="1" si="224"/>
        <v>0</v>
      </c>
      <c r="AU71" s="154">
        <f t="shared" ca="1" si="225"/>
        <v>0</v>
      </c>
      <c r="AV71" s="154">
        <f t="shared" ca="1" si="226"/>
        <v>0</v>
      </c>
      <c r="AW71" s="154">
        <f t="shared" ca="1" si="227"/>
        <v>0</v>
      </c>
      <c r="AX71" s="154">
        <f t="shared" ca="1" si="228"/>
        <v>0</v>
      </c>
      <c r="AY71" s="154">
        <f t="shared" ca="1" si="229"/>
        <v>0</v>
      </c>
      <c r="AZ71" s="154">
        <f t="shared" ca="1" si="230"/>
        <v>0</v>
      </c>
      <c r="BA71" s="154">
        <f t="shared" ca="1" si="231"/>
        <v>0</v>
      </c>
      <c r="BB71" s="154">
        <f t="shared" ca="1" si="232"/>
        <v>0</v>
      </c>
      <c r="BC71" s="154">
        <f t="shared" ca="1" si="233"/>
        <v>0</v>
      </c>
      <c r="BD71" s="154">
        <f t="shared" ca="1" si="234"/>
        <v>0</v>
      </c>
      <c r="BE71" s="154">
        <f t="shared" ca="1" si="235"/>
        <v>0</v>
      </c>
      <c r="BF71" s="154">
        <f t="shared" ca="1" si="236"/>
        <v>0</v>
      </c>
      <c r="BG71" s="154">
        <f t="shared" ca="1" si="237"/>
        <v>0</v>
      </c>
      <c r="BH71" s="154">
        <f t="shared" ca="1" si="238"/>
        <v>0</v>
      </c>
      <c r="BI71" s="154">
        <f t="shared" ca="1" si="239"/>
        <v>0</v>
      </c>
      <c r="BJ71" s="154">
        <f t="shared" ca="1" si="240"/>
        <v>0</v>
      </c>
      <c r="BK71" s="154">
        <f t="shared" ca="1" si="241"/>
        <v>0</v>
      </c>
      <c r="BL71" s="154">
        <f t="shared" ca="1" si="242"/>
        <v>0</v>
      </c>
      <c r="BM71" s="154">
        <f t="shared" ca="1" si="243"/>
        <v>0</v>
      </c>
      <c r="BN71" s="154">
        <f t="shared" ca="1" si="244"/>
        <v>0</v>
      </c>
      <c r="BO71" s="154">
        <f t="shared" ca="1" si="245"/>
        <v>0</v>
      </c>
      <c r="BP71" s="154">
        <f t="shared" ca="1" si="246"/>
        <v>0</v>
      </c>
      <c r="BQ71" s="154">
        <f t="shared" ca="1" si="247"/>
        <v>0</v>
      </c>
      <c r="BR71" s="154">
        <f t="shared" ca="1" si="248"/>
        <v>0</v>
      </c>
      <c r="BS71" s="154">
        <f t="shared" ca="1" si="249"/>
        <v>0</v>
      </c>
      <c r="BT71" s="154">
        <f t="shared" ca="1" si="250"/>
        <v>0</v>
      </c>
      <c r="BU71" s="154">
        <f t="shared" ca="1" si="251"/>
        <v>0</v>
      </c>
      <c r="BV71" s="154">
        <f t="shared" ca="1" si="252"/>
        <v>0</v>
      </c>
      <c r="BW71" s="154">
        <f t="shared" ca="1" si="253"/>
        <v>0</v>
      </c>
      <c r="BX71" s="154">
        <f t="shared" ca="1" si="254"/>
        <v>0</v>
      </c>
      <c r="BY71" s="154">
        <f t="shared" ca="1" si="255"/>
        <v>0</v>
      </c>
      <c r="BZ71" s="154">
        <f t="shared" si="256"/>
        <v>0</v>
      </c>
      <c r="CA71" s="154">
        <f t="shared" si="257"/>
        <v>0</v>
      </c>
      <c r="CB71" s="154">
        <f t="shared" ca="1" si="258"/>
        <v>0</v>
      </c>
      <c r="CC71" s="523"/>
      <c r="CD71" s="355">
        <f t="shared" si="259"/>
        <v>98</v>
      </c>
      <c r="CE71" s="268" t="str">
        <f t="shared" ca="1" si="260"/>
        <v>B</v>
      </c>
      <c r="CF71" s="355" t="str">
        <f ca="1">IF(EXACT($B71,""),$CF69,CONCATENATE($CF69,$A71))</f>
        <v/>
      </c>
      <c r="CG71" s="268"/>
      <c r="CH71" s="268"/>
      <c r="CI71" s="269">
        <f t="shared" ca="1" si="261"/>
        <v>0</v>
      </c>
      <c r="CJ71" s="269">
        <f t="shared" ca="1" si="262"/>
        <v>0</v>
      </c>
      <c r="CK71" s="268"/>
      <c r="CL71" s="268"/>
      <c r="CM71" s="268">
        <f t="shared" ca="1" si="82"/>
        <v>0</v>
      </c>
      <c r="CN71" s="269">
        <f t="shared" ca="1" si="83"/>
        <v>0</v>
      </c>
      <c r="CO71" s="268" t="str">
        <f t="shared" ca="1" si="263"/>
        <v>B</v>
      </c>
      <c r="CP71" s="269" t="b">
        <f t="shared" ca="1" si="264"/>
        <v>1</v>
      </c>
      <c r="CQ71" s="269">
        <f t="shared" si="265"/>
        <v>0</v>
      </c>
      <c r="CR71" s="269">
        <f t="shared" si="266"/>
        <v>0</v>
      </c>
      <c r="CS71" s="269">
        <f t="shared" ca="1" si="267"/>
        <v>0</v>
      </c>
      <c r="CT71" s="302" t="str">
        <f t="shared" ca="1" si="268"/>
        <v>0</v>
      </c>
      <c r="CU71" s="269">
        <f t="shared" ca="1" si="269"/>
        <v>0</v>
      </c>
      <c r="CV71" s="268"/>
      <c r="CW71" s="269">
        <f t="shared" ca="1" si="270"/>
        <v>0</v>
      </c>
      <c r="CX71" s="301">
        <f t="shared" ca="1" si="271"/>
        <v>0</v>
      </c>
      <c r="CY71" s="301">
        <f t="shared" ca="1" si="85"/>
        <v>0</v>
      </c>
      <c r="CZ71" s="301">
        <f t="shared" ca="1" si="272"/>
        <v>0</v>
      </c>
      <c r="DA71" s="301">
        <f t="shared" ca="1" si="273"/>
        <v>0</v>
      </c>
      <c r="DB71" t="str">
        <f ca="1">IF(AND(NOT(AND(ISBLANK($G71),ISBLANK($I71))),$O$66&lt;4),"Menschenkenntnis 4+",IF(AND(NOT(ISBLANK($G71)),OR(EXACT($AH$5,$A$60),EXACT($AH$6,$A$60),EXACT($AH$7,$A$60),EXACT($AH$8,$A$60),EXACT($AH$9,$A$60))),"Nicht möglich (Unfähigkeit)!",""))</f>
        <v/>
      </c>
      <c r="DC71" s="301" t="str">
        <f t="shared" ca="1" si="274"/>
        <v/>
      </c>
      <c r="DD71" s="1337" t="str">
        <f t="shared" ca="1" si="279"/>
        <v/>
      </c>
      <c r="DE71" s="1337" t="str">
        <f t="shared" ca="1" si="280"/>
        <v/>
      </c>
      <c r="DG71" s="269" t="str">
        <f ca="1">IF(DI71="",IF(VLOOKUP(A71,TALENTE_GP,4,FALSE)="Kultur","KULTUREN","Tabellen_Andere!BA"&amp;MATCH(A71,TALENTE)+1&amp;":BF"&amp;MATCH(A71,TALENTE)+1),ADDRESS(ROW(),COLUMN()+2,1,1))</f>
        <v>Tabellen_Andere!BA127:BF127</v>
      </c>
      <c r="DH71" s="269" t="str">
        <f>IF(VLOOKUP(A71,TALENTE_GP,4,FALSE)="Kultur","KULTUREN","Tabellen_Andere!BA"&amp;MATCH(A71,TALENTE)+1&amp;":BF"&amp;MATCH(A71,TALENTE)+1)</f>
        <v>Tabellen_Andere!BA127:BF127</v>
      </c>
      <c r="DI71" s="269" t="str">
        <f ca="1">IF(NOT(ISERR(FIND(A71,Abfragen!$O$264,1))),MID(Abfragen!$O$264,FIND("(",Abfragen!$O$264,FIND(A71,Abfragen!$O$264,1)+LEN(A71))+1,FIND(")",Abfragen!$O$264,FIND(A71,Abfragen!$O$264,1)+LEN(A71))-FIND("(",Abfragen!$O$264,FIND(A71,Abfragen!$O$264,1)+LEN(A71))-1),"")</f>
        <v/>
      </c>
      <c r="DJ71" s="301" t="str">
        <f t="shared" ca="1" si="281"/>
        <v>B</v>
      </c>
      <c r="DK71" s="301" t="str">
        <f t="shared" ca="1" si="275"/>
        <v>B</v>
      </c>
      <c r="DL71" s="301" t="str">
        <f t="shared" ca="1" si="275"/>
        <v>B</v>
      </c>
      <c r="DM71" s="301" t="str">
        <f t="shared" ca="1" si="275"/>
        <v>B</v>
      </c>
      <c r="DN71" s="301" t="str">
        <f t="shared" ca="1" si="275"/>
        <v>B</v>
      </c>
      <c r="DO71" s="301" t="str">
        <f t="shared" ca="1" si="275"/>
        <v>B</v>
      </c>
      <c r="DP71" s="301" t="str">
        <f t="shared" ca="1" si="275"/>
        <v>B</v>
      </c>
      <c r="DQ71" s="301" t="str">
        <f t="shared" ca="1" si="275"/>
        <v>B</v>
      </c>
      <c r="DR71" s="301" t="str">
        <f t="shared" ca="1" si="275"/>
        <v>B</v>
      </c>
      <c r="DS71" s="301" t="str">
        <f t="shared" ca="1" si="275"/>
        <v>B</v>
      </c>
      <c r="DT71" s="301" t="str">
        <f t="shared" ca="1" si="275"/>
        <v>B</v>
      </c>
      <c r="DU71" s="301" t="str">
        <f t="shared" ca="1" si="275"/>
        <v>B</v>
      </c>
      <c r="DV71" s="301" t="str">
        <f t="shared" ca="1" si="275"/>
        <v>B</v>
      </c>
      <c r="DW71" s="301" t="str">
        <f t="shared" ca="1" si="275"/>
        <v>B</v>
      </c>
      <c r="DX71" s="301" t="str">
        <f t="shared" ca="1" si="275"/>
        <v>B</v>
      </c>
      <c r="DY71" s="301" t="str">
        <f t="shared" ca="1" si="275"/>
        <v>B</v>
      </c>
      <c r="DZ71" s="301" t="str">
        <f t="shared" ca="1" si="275"/>
        <v>B</v>
      </c>
      <c r="EA71" s="301" t="str">
        <f t="shared" ca="1" si="275"/>
        <v>B</v>
      </c>
      <c r="EB71" s="301" t="str">
        <f t="shared" ca="1" si="275"/>
        <v>B</v>
      </c>
      <c r="EC71" s="301" t="str">
        <f t="shared" ca="1" si="275"/>
        <v>B</v>
      </c>
      <c r="ED71" s="301" t="str">
        <f t="shared" ca="1" si="275"/>
        <v>B</v>
      </c>
      <c r="EE71" s="301" t="str">
        <f t="shared" ca="1" si="275"/>
        <v>B</v>
      </c>
      <c r="EF71" s="205"/>
      <c r="EG71" s="301" t="str">
        <f t="shared" ca="1" si="276"/>
        <v>B</v>
      </c>
      <c r="EH71" s="301" t="str">
        <f t="shared" ca="1" si="284"/>
        <v>B</v>
      </c>
      <c r="EI71" s="301" t="str">
        <f t="shared" ca="1" si="284"/>
        <v>B</v>
      </c>
      <c r="EJ71" s="301" t="str">
        <f t="shared" ca="1" si="284"/>
        <v>B</v>
      </c>
      <c r="EK71" s="301" t="str">
        <f t="shared" ca="1" si="284"/>
        <v>B</v>
      </c>
      <c r="EL71" s="301" t="str">
        <f t="shared" ca="1" si="284"/>
        <v>B</v>
      </c>
      <c r="EM71" s="301" t="str">
        <f t="shared" ca="1" si="284"/>
        <v>B</v>
      </c>
      <c r="EN71" s="301" t="str">
        <f t="shared" ca="1" si="284"/>
        <v>B</v>
      </c>
      <c r="EO71" s="301" t="str">
        <f t="shared" ca="1" si="284"/>
        <v>B</v>
      </c>
      <c r="EP71" s="301" t="str">
        <f t="shared" ca="1" si="284"/>
        <v>B</v>
      </c>
      <c r="EQ71" s="301" t="str">
        <f t="shared" ca="1" si="284"/>
        <v>B</v>
      </c>
      <c r="ER71" s="301" t="str">
        <f t="shared" ca="1" si="284"/>
        <v>B</v>
      </c>
      <c r="ES71" s="301" t="str">
        <f t="shared" ca="1" si="284"/>
        <v>B</v>
      </c>
      <c r="ET71" s="301" t="str">
        <f t="shared" ca="1" si="284"/>
        <v>B</v>
      </c>
      <c r="EU71" s="301" t="str">
        <f t="shared" ca="1" si="284"/>
        <v>B</v>
      </c>
      <c r="EV71" s="301" t="str">
        <f t="shared" ca="1" si="284"/>
        <v>B</v>
      </c>
      <c r="EW71" s="301" t="str">
        <f t="shared" ca="1" si="282"/>
        <v>B</v>
      </c>
      <c r="EX71" s="301" t="str">
        <f t="shared" ca="1" si="282"/>
        <v>B</v>
      </c>
      <c r="EY71" s="301" t="str">
        <f t="shared" ca="1" si="282"/>
        <v>B</v>
      </c>
      <c r="EZ71" s="301" t="str">
        <f t="shared" ca="1" si="282"/>
        <v>B</v>
      </c>
      <c r="FA71" s="301" t="str">
        <f t="shared" ca="1" si="282"/>
        <v>B</v>
      </c>
      <c r="FB71" s="301" t="str">
        <f t="shared" ca="1" si="282"/>
        <v>B</v>
      </c>
      <c r="FC71" s="301" t="str">
        <f t="shared" ca="1" si="282"/>
        <v>B</v>
      </c>
      <c r="FD71" s="301" t="str">
        <f t="shared" ca="1" si="282"/>
        <v>B</v>
      </c>
      <c r="FE71" s="301" t="str">
        <f t="shared" ca="1" si="283"/>
        <v>B</v>
      </c>
      <c r="FF71" s="301" t="str">
        <f t="shared" ca="1" si="283"/>
        <v>B</v>
      </c>
      <c r="FG71" s="301" t="str">
        <f t="shared" ca="1" si="283"/>
        <v>B</v>
      </c>
      <c r="FH71" s="301" t="str">
        <f t="shared" ca="1" si="283"/>
        <v>B</v>
      </c>
      <c r="FI71" s="301" t="str">
        <f t="shared" ca="1" si="283"/>
        <v>B</v>
      </c>
      <c r="FJ71" s="301" t="str">
        <f t="shared" ca="1" si="283"/>
        <v>B</v>
      </c>
      <c r="FK71" s="301" t="str">
        <f t="shared" ca="1" si="283"/>
        <v>B</v>
      </c>
      <c r="FL71" s="301" t="str">
        <f t="shared" ca="1" si="283"/>
        <v>B</v>
      </c>
    </row>
    <row r="72" spans="1:168" ht="15.75" x14ac:dyDescent="0.25">
      <c r="A72" s="1527" t="str">
        <f>INDEX(BEGABUNFAEH,6)</f>
        <v>Natur-Talente</v>
      </c>
      <c r="B72" s="131"/>
      <c r="C72" s="1456" t="str">
        <f ca="1">IF(OR(VT_VETERAN,VT_BBILDUNG),
IF(COUNTIF($W$13:$W$157,"&lt;&gt;0")&gt;8,"Mehr als 8 Talente aktiviert",""),
IF(COUNTIF($W$13:$W$157,"&lt;&gt;0")&gt;5,"Mehr als 5 Talente aktiviert",""))</f>
        <v/>
      </c>
      <c r="D72" s="1456"/>
      <c r="E72" s="1456"/>
      <c r="F72" s="1456"/>
      <c r="G72" s="1456"/>
      <c r="H72" s="1456"/>
      <c r="I72" s="1456"/>
      <c r="J72" s="1879" t="str">
        <f ca="1">IF(APGUT&lt;0,"Keine AP mehr übrig!",IF(TL_GP_UEBRIG&lt;0,"Keine Start-AP mehr übrig!",IF(STARTAP2_UEBRIG&lt;0,"Keine 2. Prof.-Start-AP mehr übrig!","▼ Fehlermeldungen ▼  "&amp;"(AP: "&amp;APGUT&amp;")")))</f>
        <v>▼ Fehlermeldungen ▼  (AP: 0)</v>
      </c>
      <c r="K72" s="1879"/>
      <c r="L72" s="1879"/>
      <c r="M72" s="1879"/>
      <c r="N72" s="1879"/>
      <c r="O72" s="749" t="s">
        <v>718</v>
      </c>
      <c r="P72" s="90"/>
      <c r="Q72" s="25"/>
      <c r="R72" s="1126"/>
      <c r="S72" s="1126"/>
      <c r="T72" s="1126"/>
      <c r="U72" s="1126"/>
      <c r="V72" s="1126" t="s">
        <v>2638</v>
      </c>
      <c r="W72" s="134">
        <v>0</v>
      </c>
      <c r="X72" s="6">
        <v>1</v>
      </c>
      <c r="Y72" s="6">
        <v>2</v>
      </c>
      <c r="Z72" s="6">
        <v>3</v>
      </c>
      <c r="AA72" s="6">
        <v>4</v>
      </c>
      <c r="AB72" s="6">
        <v>5</v>
      </c>
      <c r="AC72" s="6">
        <v>6</v>
      </c>
      <c r="AD72" s="6">
        <v>7</v>
      </c>
      <c r="AE72" s="6">
        <v>8</v>
      </c>
      <c r="AF72" s="6">
        <v>9</v>
      </c>
      <c r="AG72" s="6">
        <v>10</v>
      </c>
      <c r="AH72" s="6">
        <v>11</v>
      </c>
      <c r="AI72" s="6">
        <v>12</v>
      </c>
      <c r="AJ72" s="6">
        <v>13</v>
      </c>
      <c r="AK72" s="6">
        <v>14</v>
      </c>
      <c r="AL72" s="6">
        <v>15</v>
      </c>
      <c r="AM72" s="6">
        <v>16</v>
      </c>
      <c r="AN72" s="6">
        <v>17</v>
      </c>
      <c r="AO72" s="6">
        <v>18</v>
      </c>
      <c r="AP72" s="6">
        <v>19</v>
      </c>
      <c r="AQ72" s="6">
        <v>20</v>
      </c>
      <c r="AR72" s="6">
        <v>21</v>
      </c>
      <c r="AS72" s="194"/>
      <c r="AT72" s="134">
        <v>0</v>
      </c>
      <c r="AU72" s="6">
        <v>1</v>
      </c>
      <c r="AV72" s="6">
        <v>2</v>
      </c>
      <c r="AW72" s="6">
        <v>3</v>
      </c>
      <c r="AX72" s="6">
        <v>4</v>
      </c>
      <c r="AY72" s="6">
        <v>5</v>
      </c>
      <c r="AZ72" s="6">
        <v>6</v>
      </c>
      <c r="BA72" s="6">
        <v>7</v>
      </c>
      <c r="BB72" s="6">
        <v>8</v>
      </c>
      <c r="BC72" s="6">
        <v>9</v>
      </c>
      <c r="BD72" s="6">
        <v>10</v>
      </c>
      <c r="BE72" s="6">
        <v>11</v>
      </c>
      <c r="BF72" s="6">
        <v>12</v>
      </c>
      <c r="BG72" s="6">
        <v>13</v>
      </c>
      <c r="BH72" s="6">
        <v>14</v>
      </c>
      <c r="BI72" s="6">
        <v>15</v>
      </c>
      <c r="BJ72" s="6">
        <v>16</v>
      </c>
      <c r="BK72" s="6">
        <v>17</v>
      </c>
      <c r="BL72" s="6">
        <v>18</v>
      </c>
      <c r="BM72" s="6">
        <v>19</v>
      </c>
      <c r="BN72" s="6">
        <v>20</v>
      </c>
      <c r="BO72" s="6">
        <v>21</v>
      </c>
      <c r="BP72" s="6">
        <v>22</v>
      </c>
      <c r="BQ72" s="6">
        <v>23</v>
      </c>
      <c r="BR72" s="6">
        <v>24</v>
      </c>
      <c r="BS72" s="6">
        <v>25</v>
      </c>
      <c r="BT72" s="6">
        <v>26</v>
      </c>
      <c r="BU72" s="6">
        <v>27</v>
      </c>
      <c r="BV72" s="6">
        <v>28</v>
      </c>
      <c r="BW72" s="6">
        <v>29</v>
      </c>
      <c r="BX72" s="6">
        <v>30</v>
      </c>
      <c r="BY72" s="6">
        <v>31</v>
      </c>
      <c r="BZ72" s="6" t="s">
        <v>3170</v>
      </c>
      <c r="CA72" s="6" t="s">
        <v>3170</v>
      </c>
      <c r="CB72" s="6" t="s">
        <v>3170</v>
      </c>
      <c r="CC72" s="90"/>
      <c r="CD72" s="90"/>
      <c r="CE72" s="90" t="s">
        <v>1480</v>
      </c>
      <c r="CF72" s="90" t="str">
        <f ca="1">$CF71</f>
        <v/>
      </c>
      <c r="CG72" s="90"/>
      <c r="CH72" s="90"/>
      <c r="CI72" s="90"/>
      <c r="CJ72" s="90"/>
      <c r="CK72" s="90"/>
      <c r="CL72" s="90"/>
      <c r="CM72" s="90"/>
      <c r="CN72" s="90"/>
      <c r="CO72" s="90"/>
      <c r="CP72" s="90"/>
      <c r="CQ72" s="90"/>
      <c r="CR72" s="90"/>
      <c r="CS72" s="90"/>
      <c r="CT72" s="90"/>
      <c r="CU72" s="90"/>
      <c r="CV72" s="90"/>
      <c r="CW72" s="90"/>
      <c r="CX72" s="90"/>
      <c r="CY72" s="90"/>
      <c r="CZ72" s="90"/>
      <c r="DA72" s="90"/>
      <c r="DC72" s="90"/>
      <c r="DD72" s="90"/>
      <c r="DE72" s="90"/>
      <c r="DF72" s="90"/>
      <c r="DG72" s="90"/>
      <c r="DH72" s="90"/>
      <c r="DI72" s="90"/>
      <c r="DJ72" s="134"/>
      <c r="DK72" s="134"/>
      <c r="DL72" s="134"/>
      <c r="DM72" s="134"/>
      <c r="DN72" s="134"/>
      <c r="DO72" s="134"/>
      <c r="DP72" s="134"/>
      <c r="DQ72" s="134"/>
      <c r="DR72" s="134"/>
      <c r="DS72" s="134"/>
      <c r="DT72" s="134"/>
      <c r="DU72" s="134"/>
      <c r="DV72" s="134"/>
      <c r="DW72" s="134"/>
      <c r="DX72" s="134"/>
      <c r="DY72" s="134"/>
      <c r="DZ72" s="134"/>
      <c r="EA72" s="134"/>
      <c r="EB72" s="134"/>
      <c r="EC72" s="134"/>
      <c r="ED72" s="134"/>
      <c r="EE72" s="134"/>
      <c r="EF72" s="205"/>
      <c r="EG72" s="72" t="s">
        <v>6718</v>
      </c>
      <c r="EH72" s="134"/>
      <c r="EI72" s="134"/>
      <c r="EJ72" s="134"/>
      <c r="EK72" s="134"/>
      <c r="EL72" s="134"/>
      <c r="EM72" s="134"/>
      <c r="EN72" s="134"/>
      <c r="EO72" s="134"/>
      <c r="EP72" s="134"/>
      <c r="EQ72" s="134"/>
      <c r="ER72" s="134"/>
      <c r="ES72" s="134"/>
      <c r="ET72" s="134"/>
      <c r="EU72" s="134"/>
      <c r="EV72" s="134"/>
      <c r="EW72" s="134"/>
      <c r="EX72" s="134"/>
      <c r="EY72" s="134"/>
      <c r="EZ72" s="134"/>
      <c r="FA72" s="134"/>
      <c r="FB72" s="134"/>
      <c r="FC72" s="134"/>
      <c r="FD72" s="134"/>
      <c r="FE72" s="134"/>
      <c r="FF72" s="134"/>
      <c r="FG72" s="134"/>
      <c r="FH72" s="134"/>
      <c r="FI72" s="134"/>
      <c r="FJ72" s="134"/>
      <c r="FK72" s="134"/>
      <c r="FL72" s="134"/>
    </row>
    <row r="73" spans="1:168" x14ac:dyDescent="0.2">
      <c r="A73" s="70" t="str">
        <f>INDEX(TL_NAT,ROW()-72)</f>
        <v>Fährtensuchen</v>
      </c>
      <c r="B73" s="317">
        <f t="shared" ref="B73:B80" ca="1" si="285">IF(AND(OR(NOT(ISBLANK($D73)),NOT(ISBLANK($G73)),NOT(ISBLANK($I73))),EXACT($C73,"")),0,IF(EXACT($C73,""),"",
SUM(CX73,IF(ISERROR(FIND("L",D73,1)),D73,LEFT(D73,LEN(D73)-1)))
))</f>
        <v>0</v>
      </c>
      <c r="C73" s="332" t="s">
        <v>1321</v>
      </c>
      <c r="D73" s="1110"/>
      <c r="E73" s="966"/>
      <c r="F73" s="325"/>
      <c r="G73" s="963"/>
      <c r="H73" s="1196"/>
      <c r="I73" s="326"/>
      <c r="J73" s="1886" t="str">
        <f t="shared" ref="J73:J80" ca="1" si="286">DB73&amp;DC73</f>
        <v/>
      </c>
      <c r="K73" s="1887"/>
      <c r="L73" s="1887"/>
      <c r="M73" s="1887"/>
      <c r="N73" s="1888"/>
      <c r="O73" s="613">
        <f t="shared" ref="O73:O80" ca="1" si="287">IF(AND(EXACT($B73,""),ISBLANK($G73),ISBLANK($I73)),"",IF(AND(EXACT($C73,""),ISBLANK(G73),ISBLANK(I73)),"",SUM($B73,G73,$I73)))</f>
        <v>0</v>
      </c>
      <c r="P73" s="90"/>
      <c r="Q73" s="25"/>
      <c r="R73" s="1313"/>
      <c r="S73" s="1313"/>
      <c r="T73" s="1315"/>
      <c r="U73" s="1283"/>
      <c r="V73" s="628" t="str">
        <f t="shared" ref="V73:V80" ca="1" si="288">IF(R73="",IF(DI73="","","Wählen:"&amp;DI73),IF(DI73="",IF(O73&lt;7,"Taw&lt;7",IF(S73="","",IF(O73&lt;14,"Taw&lt;14",""))),""))</f>
        <v/>
      </c>
      <c r="W73" s="164">
        <f t="shared" ref="W73:W80" ca="1" si="289">IF($DJ73=0,0,IF(NOT(ISBLANK($G73)),
IF(SUM($B73)&lt;=0,SUM(IF($G73&lt;ABS($B73),$G73,ABS($B73)),IF(C73="B",0,1))*HLOOKUP(IF(CODE($DJ73)&lt;65,"A+",$DJ73),SKT,3,FALSE),0),0))</f>
        <v>0</v>
      </c>
      <c r="X73" s="164">
        <f t="shared" ref="X73:AG80" ca="1" si="290">IF(DK73=0,0,IF(AND(NOT(ISBLANK($G73)),$B73&lt;X$13,SUM($B73,$G73)&gt;=X$13),
HLOOKUP(IF(CODE(DK73)&lt;65,"A+",DK73),SKT,X$13+3,FALSE),0))</f>
        <v>0</v>
      </c>
      <c r="Y73" s="164">
        <f t="shared" ca="1" si="290"/>
        <v>0</v>
      </c>
      <c r="Z73" s="164">
        <f t="shared" ca="1" si="290"/>
        <v>0</v>
      </c>
      <c r="AA73" s="164">
        <f t="shared" ca="1" si="290"/>
        <v>0</v>
      </c>
      <c r="AB73" s="164">
        <f t="shared" ca="1" si="290"/>
        <v>0</v>
      </c>
      <c r="AC73" s="164">
        <f t="shared" ca="1" si="290"/>
        <v>0</v>
      </c>
      <c r="AD73" s="164">
        <f t="shared" ca="1" si="290"/>
        <v>0</v>
      </c>
      <c r="AE73" s="164">
        <f t="shared" ca="1" si="290"/>
        <v>0</v>
      </c>
      <c r="AF73" s="164">
        <f t="shared" ca="1" si="290"/>
        <v>0</v>
      </c>
      <c r="AG73" s="164">
        <f t="shared" ca="1" si="290"/>
        <v>0</v>
      </c>
      <c r="AH73" s="164">
        <f t="shared" ref="AH73:AQ80" ca="1" si="291">IF(DU73=0,0,IF(AND(NOT(ISBLANK($G73)),$B73&lt;AH$13,SUM($B73,$G73)&gt;=AH$13),
HLOOKUP(IF(CODE(DU73)&lt;65,"A+",DU73),SKT,AH$13+3,FALSE),0))</f>
        <v>0</v>
      </c>
      <c r="AI73" s="164">
        <f t="shared" ca="1" si="291"/>
        <v>0</v>
      </c>
      <c r="AJ73" s="164">
        <f t="shared" ca="1" si="291"/>
        <v>0</v>
      </c>
      <c r="AK73" s="164">
        <f t="shared" ca="1" si="291"/>
        <v>0</v>
      </c>
      <c r="AL73" s="164">
        <f t="shared" ca="1" si="291"/>
        <v>0</v>
      </c>
      <c r="AM73" s="164">
        <f t="shared" ca="1" si="291"/>
        <v>0</v>
      </c>
      <c r="AN73" s="164">
        <f t="shared" ca="1" si="291"/>
        <v>0</v>
      </c>
      <c r="AO73" s="164">
        <f t="shared" ca="1" si="291"/>
        <v>0</v>
      </c>
      <c r="AP73" s="164">
        <f t="shared" ca="1" si="291"/>
        <v>0</v>
      </c>
      <c r="AQ73" s="164">
        <f t="shared" ca="1" si="291"/>
        <v>0</v>
      </c>
      <c r="AR73" s="164">
        <f t="shared" ref="AR73:AR80" ca="1" si="292">IF(EE73=0,0,IF(AND(NOT(ISBLANK($G73)),$B73&lt;AR$13,SUM($B73,$G73)&gt;=AR$13),
HLOOKUP(IF(CODE(EE73)&lt;65,"A+",EE73),SKT,AR$13+3,FALSE),0))</f>
        <v>0</v>
      </c>
      <c r="AS73" s="195"/>
      <c r="AT73" s="154">
        <f t="shared" ref="AT73:AT80" ca="1" si="293">IF($EG73=0,0,IF(AND(ISBLANK($G73),NOT(ISBLANK($I73))),ROUND(SUM(
IF(SUM($B73,$G73,H73)&lt;0,IF($I73&lt;ABS(SUM($B73,$G73,H73)),$I73,IF(C73="B",0,1)+ABS(SUM($B73,$G73,H73))),0),
IF(SUM($B73,$G73,H73)=0,IF(C73="B",0,1),0))
*HLOOKUP(IF(CODE($EG73)&lt;65,"A+",$EG73),SKT,3,FALSE)*5,0),0))</f>
        <v>0</v>
      </c>
      <c r="AU73" s="154">
        <f t="shared" ref="AU73:BD80" ca="1" si="294">IF(EH73=0,0,IF(AND(NOT(ISBLANK($I73)),SUM($B73,$G73)&lt;AU$13,SUM($B73,$G73,$I73)&gt;=AU$13),
HLOOKUP(IF(CODE(EH73)&lt;65,"A+",EH73),SKT,AU$13+3,FALSE),0))</f>
        <v>0</v>
      </c>
      <c r="AV73" s="154">
        <f t="shared" ca="1" si="294"/>
        <v>0</v>
      </c>
      <c r="AW73" s="154">
        <f t="shared" ca="1" si="294"/>
        <v>0</v>
      </c>
      <c r="AX73" s="154">
        <f t="shared" ca="1" si="294"/>
        <v>0</v>
      </c>
      <c r="AY73" s="154">
        <f t="shared" ca="1" si="294"/>
        <v>0</v>
      </c>
      <c r="AZ73" s="154">
        <f t="shared" ca="1" si="294"/>
        <v>0</v>
      </c>
      <c r="BA73" s="154">
        <f t="shared" ca="1" si="294"/>
        <v>0</v>
      </c>
      <c r="BB73" s="154">
        <f t="shared" ca="1" si="294"/>
        <v>0</v>
      </c>
      <c r="BC73" s="154">
        <f t="shared" ca="1" si="294"/>
        <v>0</v>
      </c>
      <c r="BD73" s="154">
        <f t="shared" ca="1" si="294"/>
        <v>0</v>
      </c>
      <c r="BE73" s="154">
        <f t="shared" ref="BE73:BN80" ca="1" si="295">IF(ER73=0,0,IF(AND(NOT(ISBLANK($I73)),SUM($B73,$G73)&lt;BE$13,SUM($B73,$G73,$I73)&gt;=BE$13),
HLOOKUP(IF(CODE(ER73)&lt;65,"A+",ER73),SKT,BE$13+3,FALSE),0))</f>
        <v>0</v>
      </c>
      <c r="BF73" s="154">
        <f t="shared" ca="1" si="295"/>
        <v>0</v>
      </c>
      <c r="BG73" s="154">
        <f t="shared" ca="1" si="295"/>
        <v>0</v>
      </c>
      <c r="BH73" s="154">
        <f t="shared" ca="1" si="295"/>
        <v>0</v>
      </c>
      <c r="BI73" s="154">
        <f t="shared" ca="1" si="295"/>
        <v>0</v>
      </c>
      <c r="BJ73" s="154">
        <f t="shared" ca="1" si="295"/>
        <v>0</v>
      </c>
      <c r="BK73" s="154">
        <f t="shared" ca="1" si="295"/>
        <v>0</v>
      </c>
      <c r="BL73" s="154">
        <f t="shared" ca="1" si="295"/>
        <v>0</v>
      </c>
      <c r="BM73" s="154">
        <f t="shared" ca="1" si="295"/>
        <v>0</v>
      </c>
      <c r="BN73" s="154">
        <f t="shared" ca="1" si="295"/>
        <v>0</v>
      </c>
      <c r="BO73" s="154">
        <f t="shared" ref="BO73:BX80" ca="1" si="296">IF(FB73=0,0,IF(AND(NOT(ISBLANK($I73)),SUM($B73,$G73)&lt;BO$13,SUM($B73,$G73,$I73)&gt;=BO$13),
HLOOKUP(IF(CODE(FB73)&lt;65,"A+",FB73),SKT,BO$13+3,FALSE),0))</f>
        <v>0</v>
      </c>
      <c r="BP73" s="154">
        <f t="shared" ca="1" si="296"/>
        <v>0</v>
      </c>
      <c r="BQ73" s="154">
        <f t="shared" ca="1" si="296"/>
        <v>0</v>
      </c>
      <c r="BR73" s="154">
        <f t="shared" ca="1" si="296"/>
        <v>0</v>
      </c>
      <c r="BS73" s="154">
        <f t="shared" ca="1" si="296"/>
        <v>0</v>
      </c>
      <c r="BT73" s="154">
        <f t="shared" ca="1" si="296"/>
        <v>0</v>
      </c>
      <c r="BU73" s="154">
        <f t="shared" ca="1" si="296"/>
        <v>0</v>
      </c>
      <c r="BV73" s="154">
        <f t="shared" ca="1" si="296"/>
        <v>0</v>
      </c>
      <c r="BW73" s="154">
        <f t="shared" ca="1" si="296"/>
        <v>0</v>
      </c>
      <c r="BX73" s="154">
        <f t="shared" ca="1" si="296"/>
        <v>0</v>
      </c>
      <c r="BY73" s="154">
        <f t="shared" ref="BY73:BY80" ca="1" si="297">IF(FL73=0,0,IF(AND(NOT(ISBLANK($I73)),SUM($B73,$G73)&lt;BY$13,SUM($B73,$G73,$I73)&gt;=BY$13),
HLOOKUP(IF(CODE(FL73)&lt;65,"A+",FL73),SKT,BY$13+3,FALSE),0))</f>
        <v>0</v>
      </c>
      <c r="BZ73" s="154">
        <f t="shared" ref="BZ73:BZ80" si="298">IF(T73="GP",1,0)</f>
        <v>0</v>
      </c>
      <c r="CA73" s="154">
        <f t="shared" ref="CA73:CA80" si="299">IF(OR(T73="Start-AP",T73="Start-AP-2P"),
IF(R73="",0,IF(DI73="",1,0))*IF(U73="",20,10)*HLOOKUP(CE73,SKT,2,FALSE),0)</f>
        <v>0</v>
      </c>
      <c r="CB73" s="154">
        <f t="shared" ref="CB73:CB80" ca="1" si="300">IF(OR(T73="",T73="AP"),
(IF(R73="",0,IF(DI73="",IF(OR(U73="S1 verbilligt",U73="Beide verbilligt"),0.5,1),0))+IF(S73="",0,IF(OR(U73="S2 verbilligt",U73="Beide verbilligt"),1,2)))*20*HLOOKUP(CE73,SKT,2,FALSE),IF(S73="",0,IF(OR(U73="S2 verbilligt",U73="Beide verbilligt"),1,2))*20*HLOOKUP(CE73,SKT,2,FALSE))</f>
        <v>0</v>
      </c>
      <c r="CC73" s="523"/>
      <c r="CD73" s="355">
        <f t="shared" ref="CD73:CD80" si="301">VLOOKUP($A73,ZEILENBEZUG,2,FALSE)</f>
        <v>99</v>
      </c>
      <c r="CE73" s="268" t="str">
        <f t="shared" ref="CE73:CE80" ca="1" si="302">CO73</f>
        <v>B</v>
      </c>
      <c r="CF73" s="355"/>
      <c r="CG73" s="268"/>
      <c r="CH73" s="268"/>
      <c r="CI73" s="269">
        <f t="shared" ref="CI73:CI80" ca="1" si="303">IF(AND(ISNA(VLOOKUP($A$72,UNFAEH,1,FALSE)),ISNA(VLOOKUP($A73,UNFAEH,1,FALSE)),ISERR(FIND($A$72,GEW_UNFAEH,1)),ISERR(FIND($A73,$AH$3,1))),0,1)</f>
        <v>0</v>
      </c>
      <c r="CJ73" s="269">
        <f t="shared" ref="CJ73:CJ80" ca="1" si="304">IF(AND(ISNA(VLOOKUP($A$72,BEGABG,1,FALSE)),ISNA(VLOOKUP($A73,BEGABG,1,FALSE)),ISERR(FIND($A$72,GEW_BEGABUNG,1)),ISERR(FIND($A73,$X$5,1))),0,-1)</f>
        <v>0</v>
      </c>
      <c r="CK73" s="268"/>
      <c r="CL73" s="268"/>
      <c r="CM73" s="268">
        <f t="shared" ca="1" si="82"/>
        <v>0</v>
      </c>
      <c r="CN73" s="269">
        <f t="shared" ca="1" si="83"/>
        <v>0</v>
      </c>
      <c r="CO73" s="268" t="str">
        <f t="shared" ref="CO73:CO80" ca="1" si="305">CHAR(CODE("B")+$CN73)</f>
        <v>B</v>
      </c>
      <c r="CP73" s="269" t="b">
        <f ca="1">IF(NT_ELFWELT,
IF(OR(
RIGHT(HLOOKUP(PROFGENE,INDIRECT(PROFGEBIET),$CD73,FALSE),1)="L",
RIGHT(HLOOKUP(KULTURGENE,KULTUR,$CD73,FALSE),1)="L",
RIGHT(D73)="L"),TRUE,FALSE),
TRUE)</f>
        <v>1</v>
      </c>
      <c r="CQ73" s="269">
        <f t="shared" ref="CQ73:CQ80" si="306">IF(RASSEGENE="",0,HLOOKUP(RASSEGENE,RASSE,$CD73,FALSE))</f>
        <v>0</v>
      </c>
      <c r="CR73" s="269">
        <f t="shared" ref="CR73:CR80" si="307">IF(KULTURGENE="LEER",0,IF(LEN(HLOOKUP(KULTURGENE,KULTUR,$CD73,FALSE))&gt;0,LEFT(HLOOKUP(KULTURGENE,KULTUR,$CD73,FALSE),IF(ISERR(SEARCH("L",HLOOKUP(KULTURGENE,KULTUR,$CD73,FALSE),1)),LEN(HLOOKUP(KULTURGENE,KULTUR,$CD73,FALSE)),SEARCH("L",HLOOKUP(KULTURGENE,KULTUR,$CD73,FALSE),1)-1)),0))</f>
        <v>0</v>
      </c>
      <c r="CS73" s="269">
        <f t="shared" ref="CS73:CS80" ca="1" si="308">IF(PROFGENE="LEER",0,HLOOKUP(PROFGENE,INDIRECT(PROFGEBIET),$CD73,FALSE))</f>
        <v>0</v>
      </c>
      <c r="CT73" s="302" t="str">
        <f t="shared" ref="CT73:CT80" ca="1" si="309">IF(LEN(CS73)&gt;0,LEFT(CS73,IF(ISERR(SEARCH("L",CS73,1)),IF(ISERR(SEARCH("M",CS73,1)),IF(ISERR(SEARCH("N",CS73,1)),LEN(CS73),SEARCH("N",CS73,1)-1),SEARCH("M",CS73,1)-1),SEARCH("L",CS73,1)-1)),0)</f>
        <v>0</v>
      </c>
      <c r="CU73" s="269">
        <f t="shared" ref="CU73:CU80" ca="1" si="310">IF(LEN(PROFZWEITE)&lt;1,0,HLOOKUP(PROFZWEITE,INDIRECT(PROFGEBIET2),$CD73,FALSE))</f>
        <v>0</v>
      </c>
      <c r="CV73" s="268"/>
      <c r="CW73" s="269">
        <f t="shared" ref="CW73:CW80" ca="1" si="311">IF(AND(ISNA(VLOOKUP($A73,BEGABG,1,FALSE)),ISERR(FIND($A73,$X$5,1))),0,1)</f>
        <v>0</v>
      </c>
      <c r="CX73" s="301">
        <f t="shared" ref="CX73:CX80" ca="1" si="312">CQ73+CR73+IF(CT73="",0,CT73)+CV73+CW73</f>
        <v>0</v>
      </c>
      <c r="CY73" s="301">
        <f t="shared" ca="1" si="85"/>
        <v>0</v>
      </c>
      <c r="CZ73" s="301">
        <f t="shared" ref="CZ73:CZ80" ca="1" si="313">SUM(W73:AR73)-IF(OR(VT_VETERAN,VT_BBILDUNG),DA73,0)</f>
        <v>0</v>
      </c>
      <c r="DA73" s="301">
        <f t="shared" ref="DA73:DA80" ca="1" si="314">IF(H73="",0,SUM(INDIRECT(
ADDRESS(ROW(),COLUMN($W73)+CY73+IF(CY73=0,0,1))
&amp;":"&amp;
ADDRESS(ROW(),COLUMN($AR73))
)))</f>
        <v>0</v>
      </c>
      <c r="DB73" t="str">
        <f ca="1">IF(AND(NOT(AND(ISBLANK($G73),ISBLANK($I73))),TAW_SINNENSCHAERFE&lt;4,SUM(B73,G73,I73)&gt;=10),"Sinnenschärfe 4+","")</f>
        <v/>
      </c>
      <c r="DC73" s="301" t="str">
        <f t="shared" ref="DC73:DC80" ca="1" si="315">IF($O73="","",IF($O73&gt;MAX(INDIRECT(VLOOKUP($A73,TL_ALLE,2,FALSE)),INDIRECT(VLOOKUP($A73,TL_ALLE,3,FALSE)),INDIRECT(VLOOKUP($A73,TL_ALLE,4,FALSE)))+3-CJ73*2," TaW&gt; MAX(EIGN-Wert)+"&amp;3-CJ73*2,""))</f>
        <v/>
      </c>
      <c r="DD73" s="1337" t="str">
        <f ca="1">IF(PROFGEBGENE="Goetter",IF(RIGHT(HLOOKUP(PROFGENE,INDIRECT(PROFGEBIET),$CD73,FALSE),1)="M",$A73&amp;",",""),IF(AKTIV_SPTWHE,IF(EXACT(UPPER(RIGHT(HLOOKUP(PROFSPTWHE,SPTWHE,$CD73,FALSE))),"M"),$A73&amp;",",""),IF(PROFGEBZWEITE="Goetter (BGB)",IF(RIGHT(HLOOKUP(PROFZWEITE,INDIRECT(PROFGEBIET2),$CD73,FALSE),1)="M",$A73&amp;",",""),"")))</f>
        <v/>
      </c>
      <c r="DE73" s="1337" t="str">
        <f ca="1">IF(PROFGEBGENE="Goetter",IF(RIGHT(HLOOKUP(PROFGENE,INDIRECT(PROFGEBIET),$CD73,FALSE),1)="N",$A73&amp;",",""),IF(AKTIV_SPTWHE,IF(EXACT(UPPER(RIGHT(HLOOKUP(PROFSPTWHE,SPTWHE,$CD73,FALSE))),"N"),$A73&amp;",",""),IF(PROFGEBZWEITE="Goetter (BGB)",IF(RIGHT(HLOOKUP(PROFZWEITE,INDIRECT(PROFGEBIET2),$CD73,FALSE),1)="N",$A73&amp;",",""),"")))</f>
        <v/>
      </c>
      <c r="DG73" s="269" t="str">
        <f t="shared" ref="DG73:DG80" ca="1" si="316">IF(DI73="",IF(VLOOKUP(A73,TALENTE_GP,4,FALSE)="Kultur","KULTUREN","Tabellen_Andere!BA"&amp;MATCH(A73,TALENTE)+1&amp;":BF"&amp;MATCH(A73,TALENTE)+1),ADDRESS(ROW(),COLUMN()+2,1,1))</f>
        <v>Tabellen_Andere!BA25:BF25</v>
      </c>
      <c r="DH73" s="269" t="str">
        <f t="shared" ref="DH73:DH80" si="317">IF(VLOOKUP(A73,TALENTE_GP,4,FALSE)="Kultur","KULTUREN","Tabellen_Andere!BA"&amp;MATCH(A73,TALENTE)+1&amp;":BF"&amp;MATCH(A73,TALENTE)+1)</f>
        <v>Tabellen_Andere!BA25:BF25</v>
      </c>
      <c r="DI73" s="269" t="str">
        <f ca="1">IF(NOT(ISERR(FIND(A73,Abfragen!$O$264,1))),MID(Abfragen!$O$264,FIND("(",Abfragen!$O$264,FIND(A73,Abfragen!$O$264,1)+LEN(A73))+1,FIND(")",Abfragen!$O$264,FIND(A73,Abfragen!$O$264,1)+LEN(A73))-FIND("(",Abfragen!$O$264,FIND(A73,Abfragen!$O$264,1)+LEN(A73))-1),"")</f>
        <v/>
      </c>
      <c r="DJ73" s="301" t="str">
        <f t="shared" ref="DJ73:DY80" ca="1" si="318">IF(ISERR(FIND(";"&amp;DJ$13&amp;":0;",$F73)),
CHAR(CODE($CE73)+SUM(IF(ISERR(FIND(";"&amp;DJ$13&amp;";",$F73)),0,-1),IF(ISERR(FIND(";"&amp;DJ$13&amp;":",$F73)),0,-VALUE(MID($F73,FIND(";"&amp;DJ$13&amp;":",$F73)+LEN(DJ$13)+2,1))))),0)</f>
        <v>B</v>
      </c>
      <c r="DK73" s="301" t="str">
        <f t="shared" ca="1" si="275"/>
        <v>B</v>
      </c>
      <c r="DL73" s="301" t="str">
        <f t="shared" ca="1" si="275"/>
        <v>B</v>
      </c>
      <c r="DM73" s="301" t="str">
        <f t="shared" ca="1" si="275"/>
        <v>B</v>
      </c>
      <c r="DN73" s="301" t="str">
        <f t="shared" ca="1" si="275"/>
        <v>B</v>
      </c>
      <c r="DO73" s="301" t="str">
        <f t="shared" ca="1" si="275"/>
        <v>B</v>
      </c>
      <c r="DP73" s="301" t="str">
        <f t="shared" ca="1" si="275"/>
        <v>B</v>
      </c>
      <c r="DQ73" s="301" t="str">
        <f t="shared" ca="1" si="275"/>
        <v>B</v>
      </c>
      <c r="DR73" s="301" t="str">
        <f t="shared" ca="1" si="275"/>
        <v>B</v>
      </c>
      <c r="DS73" s="301" t="str">
        <f t="shared" ca="1" si="275"/>
        <v>B</v>
      </c>
      <c r="DT73" s="301" t="str">
        <f t="shared" ca="1" si="275"/>
        <v>B</v>
      </c>
      <c r="DU73" s="301" t="str">
        <f t="shared" ca="1" si="275"/>
        <v>B</v>
      </c>
      <c r="DV73" s="301" t="str">
        <f t="shared" ca="1" si="275"/>
        <v>B</v>
      </c>
      <c r="DW73" s="301" t="str">
        <f t="shared" ca="1" si="275"/>
        <v>B</v>
      </c>
      <c r="DX73" s="301" t="str">
        <f t="shared" ca="1" si="275"/>
        <v>B</v>
      </c>
      <c r="DY73" s="301" t="str">
        <f t="shared" ca="1" si="275"/>
        <v>B</v>
      </c>
      <c r="DZ73" s="301" t="str">
        <f t="shared" ca="1" si="275"/>
        <v>B</v>
      </c>
      <c r="EA73" s="301" t="str">
        <f t="shared" ca="1" si="275"/>
        <v>B</v>
      </c>
      <c r="EB73" s="301" t="str">
        <f t="shared" ca="1" si="275"/>
        <v>B</v>
      </c>
      <c r="EC73" s="301" t="str">
        <f t="shared" ca="1" si="275"/>
        <v>B</v>
      </c>
      <c r="ED73" s="301" t="str">
        <f t="shared" ca="1" si="275"/>
        <v>B</v>
      </c>
      <c r="EE73" s="301" t="str">
        <f t="shared" ca="1" si="275"/>
        <v>B</v>
      </c>
      <c r="EF73" s="205"/>
      <c r="EG73" s="301" t="str">
        <f ca="1">IF(ISERR(FIND(";"&amp;EG$13&amp;":0;",$F73)),
CHAR(CODE($CE73)+SUM(IF(ISERR(FIND(";"&amp;EG$13&amp;";",$F73)),0,-1),
IF(ISERR(FIND(";"&amp;EG$13&amp;":",$F73)),0,-VALUE(MID($F73,FIND(";"&amp;EG$13&amp;":",$F73)+LEN(EG$13)+2,1))),
IF(ISERR(FIND(";"&amp;EG$13&amp;"+",$F73)),0,VALUE(MID($F73,FIND(";"&amp;EG$13&amp;"+",$F73)+LEN(EG$13)+2,1)))
)),0)</f>
        <v>B</v>
      </c>
      <c r="EH73" s="301" t="str">
        <f t="shared" ref="EH73:FL80" ca="1" si="319">IF(ISERR(FIND(";"&amp;EH$13&amp;":0;",$F73)),
CHAR(CODE($CE73)+SUM(IF(ISERR(FIND(";"&amp;EH$13&amp;";",$F73)),0,-1),
IF(ISERR(FIND(";"&amp;EH$13&amp;":",$F73)),0,-VALUE(MID($F73,FIND(";"&amp;EH$13&amp;":",$F73)+LEN(EH$13)+2,1))),
IF(ISERR(FIND(";"&amp;EH$13&amp;"+",$F73)),0,VALUE(MID($F73,FIND(";"&amp;EH$13&amp;"+",$F73)+LEN(EH$13)+2,1)))
)),0)</f>
        <v>B</v>
      </c>
      <c r="EI73" s="301" t="str">
        <f t="shared" ca="1" si="319"/>
        <v>B</v>
      </c>
      <c r="EJ73" s="301" t="str">
        <f t="shared" ca="1" si="319"/>
        <v>B</v>
      </c>
      <c r="EK73" s="301" t="str">
        <f t="shared" ca="1" si="319"/>
        <v>B</v>
      </c>
      <c r="EL73" s="301" t="str">
        <f t="shared" ca="1" si="319"/>
        <v>B</v>
      </c>
      <c r="EM73" s="301" t="str">
        <f t="shared" ca="1" si="319"/>
        <v>B</v>
      </c>
      <c r="EN73" s="301" t="str">
        <f t="shared" ca="1" si="319"/>
        <v>B</v>
      </c>
      <c r="EO73" s="301" t="str">
        <f t="shared" ca="1" si="319"/>
        <v>B</v>
      </c>
      <c r="EP73" s="301" t="str">
        <f t="shared" ca="1" si="319"/>
        <v>B</v>
      </c>
      <c r="EQ73" s="301" t="str">
        <f t="shared" ca="1" si="319"/>
        <v>B</v>
      </c>
      <c r="ER73" s="301" t="str">
        <f t="shared" ca="1" si="319"/>
        <v>B</v>
      </c>
      <c r="ES73" s="301" t="str">
        <f t="shared" ca="1" si="319"/>
        <v>B</v>
      </c>
      <c r="ET73" s="301" t="str">
        <f t="shared" ca="1" si="319"/>
        <v>B</v>
      </c>
      <c r="EU73" s="301" t="str">
        <f t="shared" ca="1" si="319"/>
        <v>B</v>
      </c>
      <c r="EV73" s="301" t="str">
        <f t="shared" ca="1" si="319"/>
        <v>B</v>
      </c>
      <c r="EW73" s="301" t="str">
        <f t="shared" ca="1" si="319"/>
        <v>B</v>
      </c>
      <c r="EX73" s="301" t="str">
        <f t="shared" ca="1" si="319"/>
        <v>B</v>
      </c>
      <c r="EY73" s="301" t="str">
        <f t="shared" ca="1" si="319"/>
        <v>B</v>
      </c>
      <c r="EZ73" s="301" t="str">
        <f t="shared" ca="1" si="319"/>
        <v>B</v>
      </c>
      <c r="FA73" s="301" t="str">
        <f t="shared" ca="1" si="319"/>
        <v>B</v>
      </c>
      <c r="FB73" s="301" t="str">
        <f t="shared" ca="1" si="319"/>
        <v>B</v>
      </c>
      <c r="FC73" s="301" t="str">
        <f t="shared" ca="1" si="319"/>
        <v>B</v>
      </c>
      <c r="FD73" s="301" t="str">
        <f t="shared" ca="1" si="319"/>
        <v>B</v>
      </c>
      <c r="FE73" s="301" t="str">
        <f t="shared" ca="1" si="319"/>
        <v>B</v>
      </c>
      <c r="FF73" s="301" t="str">
        <f t="shared" ca="1" si="319"/>
        <v>B</v>
      </c>
      <c r="FG73" s="301" t="str">
        <f t="shared" ca="1" si="319"/>
        <v>B</v>
      </c>
      <c r="FH73" s="301" t="str">
        <f t="shared" ca="1" si="319"/>
        <v>B</v>
      </c>
      <c r="FI73" s="301" t="str">
        <f t="shared" ca="1" si="319"/>
        <v>B</v>
      </c>
      <c r="FJ73" s="301" t="str">
        <f t="shared" ca="1" si="319"/>
        <v>B</v>
      </c>
      <c r="FK73" s="301" t="str">
        <f t="shared" ca="1" si="319"/>
        <v>B</v>
      </c>
      <c r="FL73" s="301" t="str">
        <f t="shared" ca="1" si="319"/>
        <v>B</v>
      </c>
    </row>
    <row r="74" spans="1:168" x14ac:dyDescent="0.2">
      <c r="A74" s="70" t="str">
        <f t="shared" ref="A74:A80" si="320">INDEX(TL_NAT,ROW()-72)</f>
        <v>Fallenstellen</v>
      </c>
      <c r="B74" s="317" t="str">
        <f t="shared" ca="1" si="285"/>
        <v/>
      </c>
      <c r="C74" s="332" t="str">
        <f ca="1">IF(OR(NOT(ISBLANK(D74)),NOT(ISBLANK(HLOOKUP(RASSEGENE,RASSE,$CD74,FALSE))),
NOT(ISBLANK(HLOOKUP(KULTURGENE,KULTUR,$CD74,FALSE))),
NOT(OR(ISBLANK(HLOOKUP(PROFGENE,INDIRECT(PROFGEBIET),$CD74,FALSE)),$CS74="N",$CS74="M")),
IF(PROFZWEITE="",FALSE,NOT(ISBLANK(HLOOKUP(PROFZWEITE,INDIRECT(PROFGEBIET2),$CD74,FALSE))))),"x","")</f>
        <v/>
      </c>
      <c r="D74" s="1110"/>
      <c r="E74" s="966"/>
      <c r="F74" s="325"/>
      <c r="G74" s="958"/>
      <c r="H74" s="1196"/>
      <c r="I74" s="326"/>
      <c r="J74" s="1886" t="str">
        <f t="shared" ca="1" si="286"/>
        <v/>
      </c>
      <c r="K74" s="1887"/>
      <c r="L74" s="1887"/>
      <c r="M74" s="1887"/>
      <c r="N74" s="1888"/>
      <c r="O74" s="613" t="str">
        <f t="shared" ca="1" si="287"/>
        <v/>
      </c>
      <c r="P74" s="90"/>
      <c r="Q74" s="25"/>
      <c r="R74" s="1313"/>
      <c r="S74" s="1313"/>
      <c r="T74" s="1315"/>
      <c r="U74" s="1283"/>
      <c r="V74" s="628" t="str">
        <f t="shared" ca="1" si="288"/>
        <v/>
      </c>
      <c r="W74" s="164">
        <f t="shared" ca="1" si="289"/>
        <v>0</v>
      </c>
      <c r="X74" s="164">
        <f t="shared" ca="1" si="290"/>
        <v>0</v>
      </c>
      <c r="Y74" s="164">
        <f t="shared" ca="1" si="290"/>
        <v>0</v>
      </c>
      <c r="Z74" s="164">
        <f t="shared" ca="1" si="290"/>
        <v>0</v>
      </c>
      <c r="AA74" s="164">
        <f t="shared" ca="1" si="290"/>
        <v>0</v>
      </c>
      <c r="AB74" s="164">
        <f t="shared" ca="1" si="290"/>
        <v>0</v>
      </c>
      <c r="AC74" s="164">
        <f t="shared" ca="1" si="290"/>
        <v>0</v>
      </c>
      <c r="AD74" s="164">
        <f t="shared" ca="1" si="290"/>
        <v>0</v>
      </c>
      <c r="AE74" s="164">
        <f t="shared" ca="1" si="290"/>
        <v>0</v>
      </c>
      <c r="AF74" s="164">
        <f t="shared" ca="1" si="290"/>
        <v>0</v>
      </c>
      <c r="AG74" s="164">
        <f t="shared" ca="1" si="290"/>
        <v>0</v>
      </c>
      <c r="AH74" s="164">
        <f t="shared" ca="1" si="291"/>
        <v>0</v>
      </c>
      <c r="AI74" s="164">
        <f t="shared" ca="1" si="291"/>
        <v>0</v>
      </c>
      <c r="AJ74" s="164">
        <f t="shared" ca="1" si="291"/>
        <v>0</v>
      </c>
      <c r="AK74" s="164">
        <f t="shared" ca="1" si="291"/>
        <v>0</v>
      </c>
      <c r="AL74" s="164">
        <f t="shared" ca="1" si="291"/>
        <v>0</v>
      </c>
      <c r="AM74" s="164">
        <f t="shared" ca="1" si="291"/>
        <v>0</v>
      </c>
      <c r="AN74" s="164">
        <f t="shared" ca="1" si="291"/>
        <v>0</v>
      </c>
      <c r="AO74" s="164">
        <f t="shared" ca="1" si="291"/>
        <v>0</v>
      </c>
      <c r="AP74" s="164">
        <f t="shared" ca="1" si="291"/>
        <v>0</v>
      </c>
      <c r="AQ74" s="164">
        <f t="shared" ca="1" si="291"/>
        <v>0</v>
      </c>
      <c r="AR74" s="164">
        <f t="shared" ca="1" si="292"/>
        <v>0</v>
      </c>
      <c r="AS74" s="195"/>
      <c r="AT74" s="154">
        <f t="shared" ca="1" si="293"/>
        <v>0</v>
      </c>
      <c r="AU74" s="154">
        <f t="shared" ca="1" si="294"/>
        <v>0</v>
      </c>
      <c r="AV74" s="154">
        <f t="shared" ca="1" si="294"/>
        <v>0</v>
      </c>
      <c r="AW74" s="154">
        <f t="shared" ca="1" si="294"/>
        <v>0</v>
      </c>
      <c r="AX74" s="154">
        <f t="shared" ca="1" si="294"/>
        <v>0</v>
      </c>
      <c r="AY74" s="154">
        <f t="shared" ca="1" si="294"/>
        <v>0</v>
      </c>
      <c r="AZ74" s="154">
        <f t="shared" ca="1" si="294"/>
        <v>0</v>
      </c>
      <c r="BA74" s="154">
        <f t="shared" ca="1" si="294"/>
        <v>0</v>
      </c>
      <c r="BB74" s="154">
        <f t="shared" ca="1" si="294"/>
        <v>0</v>
      </c>
      <c r="BC74" s="154">
        <f t="shared" ca="1" si="294"/>
        <v>0</v>
      </c>
      <c r="BD74" s="154">
        <f t="shared" ca="1" si="294"/>
        <v>0</v>
      </c>
      <c r="BE74" s="154">
        <f t="shared" ca="1" si="295"/>
        <v>0</v>
      </c>
      <c r="BF74" s="154">
        <f t="shared" ca="1" si="295"/>
        <v>0</v>
      </c>
      <c r="BG74" s="154">
        <f t="shared" ca="1" si="295"/>
        <v>0</v>
      </c>
      <c r="BH74" s="154">
        <f t="shared" ca="1" si="295"/>
        <v>0</v>
      </c>
      <c r="BI74" s="154">
        <f t="shared" ca="1" si="295"/>
        <v>0</v>
      </c>
      <c r="BJ74" s="154">
        <f t="shared" ca="1" si="295"/>
        <v>0</v>
      </c>
      <c r="BK74" s="154">
        <f t="shared" ca="1" si="295"/>
        <v>0</v>
      </c>
      <c r="BL74" s="154">
        <f t="shared" ca="1" si="295"/>
        <v>0</v>
      </c>
      <c r="BM74" s="154">
        <f t="shared" ca="1" si="295"/>
        <v>0</v>
      </c>
      <c r="BN74" s="154">
        <f t="shared" ca="1" si="295"/>
        <v>0</v>
      </c>
      <c r="BO74" s="154">
        <f t="shared" ca="1" si="296"/>
        <v>0</v>
      </c>
      <c r="BP74" s="154">
        <f t="shared" ca="1" si="296"/>
        <v>0</v>
      </c>
      <c r="BQ74" s="154">
        <f t="shared" ca="1" si="296"/>
        <v>0</v>
      </c>
      <c r="BR74" s="154">
        <f t="shared" ca="1" si="296"/>
        <v>0</v>
      </c>
      <c r="BS74" s="154">
        <f t="shared" ca="1" si="296"/>
        <v>0</v>
      </c>
      <c r="BT74" s="154">
        <f t="shared" ca="1" si="296"/>
        <v>0</v>
      </c>
      <c r="BU74" s="154">
        <f t="shared" ca="1" si="296"/>
        <v>0</v>
      </c>
      <c r="BV74" s="154">
        <f t="shared" ca="1" si="296"/>
        <v>0</v>
      </c>
      <c r="BW74" s="154">
        <f t="shared" ca="1" si="296"/>
        <v>0</v>
      </c>
      <c r="BX74" s="154">
        <f t="shared" ca="1" si="296"/>
        <v>0</v>
      </c>
      <c r="BY74" s="154">
        <f t="shared" ca="1" si="297"/>
        <v>0</v>
      </c>
      <c r="BZ74" s="154">
        <f t="shared" si="298"/>
        <v>0</v>
      </c>
      <c r="CA74" s="154">
        <f t="shared" si="299"/>
        <v>0</v>
      </c>
      <c r="CB74" s="154">
        <f t="shared" ca="1" si="300"/>
        <v>0</v>
      </c>
      <c r="CC74" s="523"/>
      <c r="CD74" s="355">
        <f t="shared" si="301"/>
        <v>100</v>
      </c>
      <c r="CE74" s="268" t="str">
        <f t="shared" ca="1" si="302"/>
        <v>B</v>
      </c>
      <c r="CF74" s="355" t="str">
        <f ca="1">IF(EXACT($B74,""),"",$A74)</f>
        <v/>
      </c>
      <c r="CG74" s="268"/>
      <c r="CH74" s="268"/>
      <c r="CI74" s="269">
        <f t="shared" ca="1" si="303"/>
        <v>0</v>
      </c>
      <c r="CJ74" s="269">
        <f t="shared" ca="1" si="304"/>
        <v>0</v>
      </c>
      <c r="CK74" s="268"/>
      <c r="CL74" s="268"/>
      <c r="CM74" s="268">
        <f t="shared" ca="1" si="82"/>
        <v>0</v>
      </c>
      <c r="CN74" s="269">
        <f t="shared" ca="1" si="83"/>
        <v>0</v>
      </c>
      <c r="CO74" s="268" t="str">
        <f t="shared" ca="1" si="305"/>
        <v>B</v>
      </c>
      <c r="CP74" s="269" t="b">
        <f ca="1">IF(NT_ELFWELT,
IF(OR(
RIGHT(HLOOKUP(PROFGENE,INDIRECT(PROFGEBIET),$CD74,FALSE),1)="L",
RIGHT(HLOOKUP(KULTURGENE,KULTUR,$CD74,FALSE),1)="L",
RIGHT(D74)="L"),TRUE,FALSE),
TRUE)</f>
        <v>1</v>
      </c>
      <c r="CQ74" s="269">
        <f t="shared" si="306"/>
        <v>0</v>
      </c>
      <c r="CR74" s="269">
        <f t="shared" si="307"/>
        <v>0</v>
      </c>
      <c r="CS74" s="269">
        <f t="shared" ca="1" si="308"/>
        <v>0</v>
      </c>
      <c r="CT74" s="302" t="str">
        <f t="shared" ca="1" si="309"/>
        <v>0</v>
      </c>
      <c r="CU74" s="269">
        <f t="shared" ca="1" si="310"/>
        <v>0</v>
      </c>
      <c r="CV74" s="268"/>
      <c r="CW74" s="269">
        <f t="shared" ca="1" si="311"/>
        <v>0</v>
      </c>
      <c r="CX74" s="301">
        <f t="shared" ca="1" si="312"/>
        <v>0</v>
      </c>
      <c r="CY74" s="301">
        <f t="shared" ca="1" si="85"/>
        <v>0</v>
      </c>
      <c r="CZ74" s="301">
        <f t="shared" ca="1" si="313"/>
        <v>0</v>
      </c>
      <c r="DA74" s="301">
        <f t="shared" ca="1" si="314"/>
        <v>0</v>
      </c>
      <c r="DB74" t="str">
        <f ca="1">IF(AND(NOT(AND(ISBLANK($G74),ISBLANK($I74))),$O$80&lt;4,SUM(B74,G74,I74)&gt;=10),"Wildnisleben 4+","")</f>
        <v/>
      </c>
      <c r="DC74" s="301" t="str">
        <f t="shared" ca="1" si="315"/>
        <v/>
      </c>
      <c r="DD74" s="1337" t="str">
        <f t="shared" ref="DD74:DD80" ca="1" si="321">IF(PROFGEBGENE="Goetter",IF(RIGHT(HLOOKUP(PROFGENE,INDIRECT(PROFGEBIET),$CD74,FALSE),1)="M",CONCATENATE(DD73,$A74,","),DD73),IF(AKTIV_SPTWHE,IF(EXACT(UPPER(RIGHT(HLOOKUP(PROFSPTWHE,SPTWHE,$CD74,FALSE))),"M"),CONCATENATE(DD73,$A74,","),DD73),IF(PROFGEBZWEITE="Goetter (BGB)",IF(RIGHT(HLOOKUP(PROFZWEITE,INDIRECT(PROFGEBIET2),$CD74,FALSE),1)="M",CONCATENATE(DD73,$A74,","),DD73),"")))</f>
        <v/>
      </c>
      <c r="DE74" s="1337" t="str">
        <f t="shared" ref="DE74:DE80" ca="1" si="322">IF(PROFGEBGENE="Goetter",IF(RIGHT(HLOOKUP(PROFGENE,INDIRECT(PROFGEBIET),$CD74,FALSE),1)="N",CONCATENATE(DE73,$A74,","),DE73),IF(AKTIV_SPTWHE,IF(EXACT(UPPER(RIGHT(HLOOKUP(PROFSPTWHE,SPTWHE,$CD74,FALSE))),"N"),CONCATENATE(DE73,$A74,","),DE73),IF(PROFGEBZWEITE="Goetter (BGB)",IF(RIGHT(HLOOKUP(PROFZWEITE,INDIRECT(PROFGEBIET2),$CD74,FALSE),1)="N",CONCATENATE(DE73,$A74,","),DE73),"")))</f>
        <v/>
      </c>
      <c r="DG74" s="269" t="str">
        <f t="shared" ca="1" si="316"/>
        <v>Tabellen_Andere!BA27:BF27</v>
      </c>
      <c r="DH74" s="269" t="str">
        <f t="shared" si="317"/>
        <v>Tabellen_Andere!BA27:BF27</v>
      </c>
      <c r="DI74" s="269" t="str">
        <f ca="1">IF(NOT(ISERR(FIND(A74,Abfragen!$O$264,1))),MID(Abfragen!$O$264,FIND("(",Abfragen!$O$264,FIND(A74,Abfragen!$O$264,1)+LEN(A74))+1,FIND(")",Abfragen!$O$264,FIND(A74,Abfragen!$O$264,1)+LEN(A74))-FIND("(",Abfragen!$O$264,FIND(A74,Abfragen!$O$264,1)+LEN(A74))-1),"")</f>
        <v/>
      </c>
      <c r="DJ74" s="301" t="str">
        <f t="shared" ca="1" si="318"/>
        <v>B</v>
      </c>
      <c r="DK74" s="301" t="str">
        <f t="shared" ca="1" si="275"/>
        <v>B</v>
      </c>
      <c r="DL74" s="301" t="str">
        <f t="shared" ca="1" si="275"/>
        <v>B</v>
      </c>
      <c r="DM74" s="301" t="str">
        <f t="shared" ca="1" si="275"/>
        <v>B</v>
      </c>
      <c r="DN74" s="301" t="str">
        <f t="shared" ref="DN74:EC74" ca="1" si="323">IF(ISERR(FIND(";"&amp;DN$13&amp;":0;",$F74)),
CHAR(CODE($CE74)+SUM(IF(ISERR(FIND(";"&amp;DN$13&amp;";",$F74)),0,-1),IF(ISERR(FIND(";"&amp;DN$13&amp;":",$F74)),0,-VALUE(MID($F74,FIND(";"&amp;DN$13&amp;":",$F74)+LEN(DN$13)+2,1))))),0)</f>
        <v>B</v>
      </c>
      <c r="DO74" s="301" t="str">
        <f t="shared" ca="1" si="323"/>
        <v>B</v>
      </c>
      <c r="DP74" s="301" t="str">
        <f t="shared" ca="1" si="323"/>
        <v>B</v>
      </c>
      <c r="DQ74" s="301" t="str">
        <f t="shared" ca="1" si="323"/>
        <v>B</v>
      </c>
      <c r="DR74" s="301" t="str">
        <f t="shared" ca="1" si="323"/>
        <v>B</v>
      </c>
      <c r="DS74" s="301" t="str">
        <f t="shared" ca="1" si="323"/>
        <v>B</v>
      </c>
      <c r="DT74" s="301" t="str">
        <f t="shared" ca="1" si="323"/>
        <v>B</v>
      </c>
      <c r="DU74" s="301" t="str">
        <f t="shared" ca="1" si="323"/>
        <v>B</v>
      </c>
      <c r="DV74" s="301" t="str">
        <f t="shared" ca="1" si="323"/>
        <v>B</v>
      </c>
      <c r="DW74" s="301" t="str">
        <f t="shared" ca="1" si="323"/>
        <v>B</v>
      </c>
      <c r="DX74" s="301" t="str">
        <f t="shared" ca="1" si="323"/>
        <v>B</v>
      </c>
      <c r="DY74" s="301" t="str">
        <f t="shared" ca="1" si="323"/>
        <v>B</v>
      </c>
      <c r="DZ74" s="301" t="str">
        <f t="shared" ca="1" si="323"/>
        <v>B</v>
      </c>
      <c r="EA74" s="301" t="str">
        <f t="shared" ca="1" si="323"/>
        <v>B</v>
      </c>
      <c r="EB74" s="301" t="str">
        <f t="shared" ca="1" si="323"/>
        <v>B</v>
      </c>
      <c r="EC74" s="301" t="str">
        <f t="shared" ca="1" si="323"/>
        <v>B</v>
      </c>
      <c r="ED74" s="301" t="str">
        <f t="shared" ref="ED74:EE80" ca="1" si="324">IF(ISERR(FIND(";"&amp;ED$13&amp;":0;",$F74)),
CHAR(CODE($CE74)+SUM(IF(ISERR(FIND(";"&amp;ED$13&amp;";",$F74)),0,-1),IF(ISERR(FIND(";"&amp;ED$13&amp;":",$F74)),0,-VALUE(MID($F74,FIND(";"&amp;ED$13&amp;":",$F74)+LEN(ED$13)+2,1))))),0)</f>
        <v>B</v>
      </c>
      <c r="EE74" s="301" t="str">
        <f t="shared" ca="1" si="324"/>
        <v>B</v>
      </c>
      <c r="EF74" s="205"/>
      <c r="EG74" s="301" t="str">
        <f t="shared" ref="EG74:EG80" ca="1" si="325">IF(ISERR(FIND(";"&amp;EG$13&amp;":0;",$F74)),
CHAR(CODE($CE74)+SUM(IF(ISERR(FIND(";"&amp;EG$13&amp;";",$F74)),0,-1),
IF(ISERR(FIND(";"&amp;EG$13&amp;":",$F74)),0,-VALUE(MID($F74,FIND(";"&amp;EG$13&amp;":",$F74)+LEN(EG$13)+2,1))),
IF(ISERR(FIND(";"&amp;EG$13&amp;"+",$F74)),0,VALUE(MID($F74,FIND(";"&amp;EG$13&amp;"+",$F74)+LEN(EG$13)+2,1)))
)),0)</f>
        <v>B</v>
      </c>
      <c r="EH74" s="301" t="str">
        <f t="shared" ca="1" si="319"/>
        <v>B</v>
      </c>
      <c r="EI74" s="301" t="str">
        <f t="shared" ca="1" si="319"/>
        <v>B</v>
      </c>
      <c r="EJ74" s="301" t="str">
        <f t="shared" ca="1" si="319"/>
        <v>B</v>
      </c>
      <c r="EK74" s="301" t="str">
        <f t="shared" ca="1" si="319"/>
        <v>B</v>
      </c>
      <c r="EL74" s="301" t="str">
        <f t="shared" ca="1" si="319"/>
        <v>B</v>
      </c>
      <c r="EM74" s="301" t="str">
        <f t="shared" ca="1" si="319"/>
        <v>B</v>
      </c>
      <c r="EN74" s="301" t="str">
        <f t="shared" ca="1" si="319"/>
        <v>B</v>
      </c>
      <c r="EO74" s="301" t="str">
        <f t="shared" ca="1" si="319"/>
        <v>B</v>
      </c>
      <c r="EP74" s="301" t="str">
        <f t="shared" ca="1" si="319"/>
        <v>B</v>
      </c>
      <c r="EQ74" s="301" t="str">
        <f t="shared" ca="1" si="319"/>
        <v>B</v>
      </c>
      <c r="ER74" s="301" t="str">
        <f t="shared" ca="1" si="319"/>
        <v>B</v>
      </c>
      <c r="ES74" s="301" t="str">
        <f t="shared" ca="1" si="319"/>
        <v>B</v>
      </c>
      <c r="ET74" s="301" t="str">
        <f t="shared" ca="1" si="319"/>
        <v>B</v>
      </c>
      <c r="EU74" s="301" t="str">
        <f t="shared" ca="1" si="319"/>
        <v>B</v>
      </c>
      <c r="EV74" s="301" t="str">
        <f t="shared" ca="1" si="319"/>
        <v>B</v>
      </c>
      <c r="EW74" s="301" t="str">
        <f t="shared" ca="1" si="319"/>
        <v>B</v>
      </c>
      <c r="EX74" s="301" t="str">
        <f t="shared" ca="1" si="319"/>
        <v>B</v>
      </c>
      <c r="EY74" s="301" t="str">
        <f t="shared" ca="1" si="319"/>
        <v>B</v>
      </c>
      <c r="EZ74" s="301" t="str">
        <f t="shared" ca="1" si="319"/>
        <v>B</v>
      </c>
      <c r="FA74" s="301" t="str">
        <f t="shared" ca="1" si="319"/>
        <v>B</v>
      </c>
      <c r="FB74" s="301" t="str">
        <f t="shared" ca="1" si="319"/>
        <v>B</v>
      </c>
      <c r="FC74" s="301" t="str">
        <f t="shared" ca="1" si="319"/>
        <v>B</v>
      </c>
      <c r="FD74" s="301" t="str">
        <f t="shared" ca="1" si="319"/>
        <v>B</v>
      </c>
      <c r="FE74" s="301" t="str">
        <f t="shared" ca="1" si="319"/>
        <v>B</v>
      </c>
      <c r="FF74" s="301" t="str">
        <f t="shared" ca="1" si="319"/>
        <v>B</v>
      </c>
      <c r="FG74" s="301" t="str">
        <f t="shared" ca="1" si="319"/>
        <v>B</v>
      </c>
      <c r="FH74" s="301" t="str">
        <f t="shared" ca="1" si="319"/>
        <v>B</v>
      </c>
      <c r="FI74" s="301" t="str">
        <f t="shared" ca="1" si="319"/>
        <v>B</v>
      </c>
      <c r="FJ74" s="301" t="str">
        <f t="shared" ca="1" si="319"/>
        <v>B</v>
      </c>
      <c r="FK74" s="301" t="str">
        <f t="shared" ca="1" si="319"/>
        <v>B</v>
      </c>
      <c r="FL74" s="301" t="str">
        <f t="shared" ca="1" si="319"/>
        <v>B</v>
      </c>
    </row>
    <row r="75" spans="1:168" x14ac:dyDescent="0.2">
      <c r="A75" s="70" t="str">
        <f t="shared" si="320"/>
        <v>Fesseln/Entfesseln</v>
      </c>
      <c r="B75" s="317" t="str">
        <f t="shared" ca="1" si="285"/>
        <v/>
      </c>
      <c r="C75" s="332" t="str">
        <f ca="1">IF(OR(NOT(ISBLANK(D75)),NOT(ISBLANK(HLOOKUP(RASSEGENE,RASSE,$CD75,FALSE))),
NOT(ISBLANK(HLOOKUP(KULTURGENE,KULTUR,$CD75,FALSE))),
NOT(OR(ISBLANK(HLOOKUP(PROFGENE,INDIRECT(PROFGEBIET),$CD75,FALSE)),$CS75="N",$CS75="M")),
IF(PROFZWEITE="",FALSE,NOT(ISBLANK(HLOOKUP(PROFZWEITE,INDIRECT(PROFGEBIET2),$CD75,FALSE))))),"x","")</f>
        <v/>
      </c>
      <c r="D75" s="1110"/>
      <c r="E75" s="966"/>
      <c r="F75" s="325"/>
      <c r="G75" s="958"/>
      <c r="H75" s="1196"/>
      <c r="I75" s="326"/>
      <c r="J75" s="1886" t="str">
        <f t="shared" ca="1" si="286"/>
        <v/>
      </c>
      <c r="K75" s="1887"/>
      <c r="L75" s="1887"/>
      <c r="M75" s="1887"/>
      <c r="N75" s="1888"/>
      <c r="O75" s="613" t="str">
        <f t="shared" ca="1" si="287"/>
        <v/>
      </c>
      <c r="P75" s="90"/>
      <c r="Q75" s="25"/>
      <c r="R75" s="1313"/>
      <c r="S75" s="1313"/>
      <c r="T75" s="1315"/>
      <c r="U75" s="1283"/>
      <c r="V75" s="628" t="str">
        <f t="shared" ca="1" si="288"/>
        <v/>
      </c>
      <c r="W75" s="164">
        <f t="shared" ca="1" si="289"/>
        <v>0</v>
      </c>
      <c r="X75" s="164">
        <f t="shared" ca="1" si="290"/>
        <v>0</v>
      </c>
      <c r="Y75" s="164">
        <f t="shared" ca="1" si="290"/>
        <v>0</v>
      </c>
      <c r="Z75" s="164">
        <f t="shared" ca="1" si="290"/>
        <v>0</v>
      </c>
      <c r="AA75" s="164">
        <f t="shared" ca="1" si="290"/>
        <v>0</v>
      </c>
      <c r="AB75" s="164">
        <f t="shared" ca="1" si="290"/>
        <v>0</v>
      </c>
      <c r="AC75" s="164">
        <f t="shared" ca="1" si="290"/>
        <v>0</v>
      </c>
      <c r="AD75" s="164">
        <f t="shared" ca="1" si="290"/>
        <v>0</v>
      </c>
      <c r="AE75" s="164">
        <f t="shared" ca="1" si="290"/>
        <v>0</v>
      </c>
      <c r="AF75" s="164">
        <f t="shared" ca="1" si="290"/>
        <v>0</v>
      </c>
      <c r="AG75" s="164">
        <f t="shared" ca="1" si="290"/>
        <v>0</v>
      </c>
      <c r="AH75" s="164">
        <f t="shared" ca="1" si="291"/>
        <v>0</v>
      </c>
      <c r="AI75" s="164">
        <f t="shared" ca="1" si="291"/>
        <v>0</v>
      </c>
      <c r="AJ75" s="164">
        <f t="shared" ca="1" si="291"/>
        <v>0</v>
      </c>
      <c r="AK75" s="164">
        <f t="shared" ca="1" si="291"/>
        <v>0</v>
      </c>
      <c r="AL75" s="164">
        <f t="shared" ca="1" si="291"/>
        <v>0</v>
      </c>
      <c r="AM75" s="164">
        <f t="shared" ca="1" si="291"/>
        <v>0</v>
      </c>
      <c r="AN75" s="164">
        <f t="shared" ca="1" si="291"/>
        <v>0</v>
      </c>
      <c r="AO75" s="164">
        <f t="shared" ca="1" si="291"/>
        <v>0</v>
      </c>
      <c r="AP75" s="164">
        <f t="shared" ca="1" si="291"/>
        <v>0</v>
      </c>
      <c r="AQ75" s="164">
        <f t="shared" ca="1" si="291"/>
        <v>0</v>
      </c>
      <c r="AR75" s="164">
        <f t="shared" ca="1" si="292"/>
        <v>0</v>
      </c>
      <c r="AS75" s="195"/>
      <c r="AT75" s="154">
        <f t="shared" ca="1" si="293"/>
        <v>0</v>
      </c>
      <c r="AU75" s="154">
        <f t="shared" ca="1" si="294"/>
        <v>0</v>
      </c>
      <c r="AV75" s="154">
        <f t="shared" ca="1" si="294"/>
        <v>0</v>
      </c>
      <c r="AW75" s="154">
        <f t="shared" ca="1" si="294"/>
        <v>0</v>
      </c>
      <c r="AX75" s="154">
        <f t="shared" ca="1" si="294"/>
        <v>0</v>
      </c>
      <c r="AY75" s="154">
        <f t="shared" ca="1" si="294"/>
        <v>0</v>
      </c>
      <c r="AZ75" s="154">
        <f t="shared" ca="1" si="294"/>
        <v>0</v>
      </c>
      <c r="BA75" s="154">
        <f t="shared" ca="1" si="294"/>
        <v>0</v>
      </c>
      <c r="BB75" s="154">
        <f t="shared" ca="1" si="294"/>
        <v>0</v>
      </c>
      <c r="BC75" s="154">
        <f t="shared" ca="1" si="294"/>
        <v>0</v>
      </c>
      <c r="BD75" s="154">
        <f t="shared" ca="1" si="294"/>
        <v>0</v>
      </c>
      <c r="BE75" s="154">
        <f t="shared" ca="1" si="295"/>
        <v>0</v>
      </c>
      <c r="BF75" s="154">
        <f t="shared" ca="1" si="295"/>
        <v>0</v>
      </c>
      <c r="BG75" s="154">
        <f t="shared" ca="1" si="295"/>
        <v>0</v>
      </c>
      <c r="BH75" s="154">
        <f t="shared" ca="1" si="295"/>
        <v>0</v>
      </c>
      <c r="BI75" s="154">
        <f t="shared" ca="1" si="295"/>
        <v>0</v>
      </c>
      <c r="BJ75" s="154">
        <f t="shared" ca="1" si="295"/>
        <v>0</v>
      </c>
      <c r="BK75" s="154">
        <f t="shared" ca="1" si="295"/>
        <v>0</v>
      </c>
      <c r="BL75" s="154">
        <f t="shared" ca="1" si="295"/>
        <v>0</v>
      </c>
      <c r="BM75" s="154">
        <f t="shared" ca="1" si="295"/>
        <v>0</v>
      </c>
      <c r="BN75" s="154">
        <f t="shared" ca="1" si="295"/>
        <v>0</v>
      </c>
      <c r="BO75" s="154">
        <f t="shared" ca="1" si="296"/>
        <v>0</v>
      </c>
      <c r="BP75" s="154">
        <f t="shared" ca="1" si="296"/>
        <v>0</v>
      </c>
      <c r="BQ75" s="154">
        <f t="shared" ca="1" si="296"/>
        <v>0</v>
      </c>
      <c r="BR75" s="154">
        <f t="shared" ca="1" si="296"/>
        <v>0</v>
      </c>
      <c r="BS75" s="154">
        <f t="shared" ca="1" si="296"/>
        <v>0</v>
      </c>
      <c r="BT75" s="154">
        <f t="shared" ca="1" si="296"/>
        <v>0</v>
      </c>
      <c r="BU75" s="154">
        <f t="shared" ca="1" si="296"/>
        <v>0</v>
      </c>
      <c r="BV75" s="154">
        <f t="shared" ca="1" si="296"/>
        <v>0</v>
      </c>
      <c r="BW75" s="154">
        <f t="shared" ca="1" si="296"/>
        <v>0</v>
      </c>
      <c r="BX75" s="154">
        <f t="shared" ca="1" si="296"/>
        <v>0</v>
      </c>
      <c r="BY75" s="154">
        <f t="shared" ca="1" si="297"/>
        <v>0</v>
      </c>
      <c r="BZ75" s="154">
        <f t="shared" si="298"/>
        <v>0</v>
      </c>
      <c r="CA75" s="154">
        <f t="shared" si="299"/>
        <v>0</v>
      </c>
      <c r="CB75" s="154">
        <f t="shared" ca="1" si="300"/>
        <v>0</v>
      </c>
      <c r="CC75" s="523"/>
      <c r="CD75" s="355">
        <f t="shared" si="301"/>
        <v>101</v>
      </c>
      <c r="CE75" s="268" t="str">
        <f t="shared" ca="1" si="302"/>
        <v>B</v>
      </c>
      <c r="CF75" s="355" t="str">
        <f ca="1">IF(EXACT($B75,""),$CF74,CONCATENATE($CF74,$A75))</f>
        <v/>
      </c>
      <c r="CG75" s="268"/>
      <c r="CH75" s="268"/>
      <c r="CI75" s="269">
        <f t="shared" ca="1" si="303"/>
        <v>0</v>
      </c>
      <c r="CJ75" s="269">
        <f t="shared" ca="1" si="304"/>
        <v>0</v>
      </c>
      <c r="CK75" s="268"/>
      <c r="CL75" s="271">
        <f>IF(VT_SCHLANGENMENSCH,-1,0)</f>
        <v>0</v>
      </c>
      <c r="CM75" s="268">
        <f t="shared" ca="1" si="82"/>
        <v>0</v>
      </c>
      <c r="CN75" s="269">
        <f t="shared" ca="1" si="83"/>
        <v>0</v>
      </c>
      <c r="CO75" s="268" t="str">
        <f t="shared" ca="1" si="305"/>
        <v>B</v>
      </c>
      <c r="CP75" s="269" t="b">
        <f ca="1">IF(NT_ELFWELT,
IF(OR(
RIGHT(HLOOKUP(PROFGENE,INDIRECT(PROFGEBIET),$CD75,FALSE),1)="L",
RIGHT(HLOOKUP(KULTURGENE,KULTUR,$CD75,FALSE),1)="L",
RIGHT(D75)="L"),TRUE,FALSE),
TRUE)</f>
        <v>1</v>
      </c>
      <c r="CQ75" s="269">
        <f t="shared" si="306"/>
        <v>0</v>
      </c>
      <c r="CR75" s="269">
        <f t="shared" si="307"/>
        <v>0</v>
      </c>
      <c r="CS75" s="269">
        <f t="shared" ca="1" si="308"/>
        <v>0</v>
      </c>
      <c r="CT75" s="302" t="str">
        <f t="shared" ca="1" si="309"/>
        <v>0</v>
      </c>
      <c r="CU75" s="269">
        <f t="shared" ca="1" si="310"/>
        <v>0</v>
      </c>
      <c r="CV75" s="271">
        <f>IF(VT_SCHLANGENMENSCH,1,0)</f>
        <v>0</v>
      </c>
      <c r="CW75" s="269">
        <f t="shared" ca="1" si="311"/>
        <v>0</v>
      </c>
      <c r="CX75" s="301">
        <f t="shared" ca="1" si="312"/>
        <v>0</v>
      </c>
      <c r="CY75" s="301">
        <f t="shared" ca="1" si="85"/>
        <v>0</v>
      </c>
      <c r="CZ75" s="301">
        <f t="shared" ca="1" si="313"/>
        <v>0</v>
      </c>
      <c r="DA75" s="301">
        <f t="shared" ca="1" si="314"/>
        <v>0</v>
      </c>
      <c r="DC75" s="301" t="str">
        <f t="shared" ca="1" si="315"/>
        <v/>
      </c>
      <c r="DD75" s="1337" t="str">
        <f t="shared" ca="1" si="321"/>
        <v/>
      </c>
      <c r="DE75" s="1337" t="str">
        <f t="shared" ca="1" si="322"/>
        <v/>
      </c>
      <c r="DG75" s="269" t="str">
        <f t="shared" ca="1" si="316"/>
        <v>Tabellen_Andere!BA31:BF31</v>
      </c>
      <c r="DH75" s="269" t="str">
        <f t="shared" si="317"/>
        <v>Tabellen_Andere!BA31:BF31</v>
      </c>
      <c r="DI75" s="269" t="str">
        <f ca="1">IF(NOT(ISERR(FIND(A75,Abfragen!$O$264,1))),MID(Abfragen!$O$264,FIND("(",Abfragen!$O$264,FIND(A75,Abfragen!$O$264,1)+LEN(A75))+1,FIND(")",Abfragen!$O$264,FIND(A75,Abfragen!$O$264,1)+LEN(A75))-FIND("(",Abfragen!$O$264,FIND(A75,Abfragen!$O$264,1)+LEN(A75))-1),"")</f>
        <v/>
      </c>
      <c r="DJ75" s="301" t="str">
        <f t="shared" ca="1" si="318"/>
        <v>B</v>
      </c>
      <c r="DK75" s="301" t="str">
        <f t="shared" ca="1" si="318"/>
        <v>B</v>
      </c>
      <c r="DL75" s="301" t="str">
        <f t="shared" ca="1" si="318"/>
        <v>B</v>
      </c>
      <c r="DM75" s="301" t="str">
        <f t="shared" ca="1" si="318"/>
        <v>B</v>
      </c>
      <c r="DN75" s="301" t="str">
        <f t="shared" ca="1" si="318"/>
        <v>B</v>
      </c>
      <c r="DO75" s="301" t="str">
        <f t="shared" ca="1" si="318"/>
        <v>B</v>
      </c>
      <c r="DP75" s="301" t="str">
        <f t="shared" ca="1" si="318"/>
        <v>B</v>
      </c>
      <c r="DQ75" s="301" t="str">
        <f t="shared" ca="1" si="318"/>
        <v>B</v>
      </c>
      <c r="DR75" s="301" t="str">
        <f t="shared" ca="1" si="318"/>
        <v>B</v>
      </c>
      <c r="DS75" s="301" t="str">
        <f t="shared" ca="1" si="318"/>
        <v>B</v>
      </c>
      <c r="DT75" s="301" t="str">
        <f t="shared" ca="1" si="318"/>
        <v>B</v>
      </c>
      <c r="DU75" s="301" t="str">
        <f t="shared" ca="1" si="318"/>
        <v>B</v>
      </c>
      <c r="DV75" s="301" t="str">
        <f t="shared" ca="1" si="318"/>
        <v>B</v>
      </c>
      <c r="DW75" s="301" t="str">
        <f t="shared" ca="1" si="318"/>
        <v>B</v>
      </c>
      <c r="DX75" s="301" t="str">
        <f t="shared" ca="1" si="318"/>
        <v>B</v>
      </c>
      <c r="DY75" s="301" t="str">
        <f t="shared" ca="1" si="318"/>
        <v>B</v>
      </c>
      <c r="DZ75" s="301" t="str">
        <f t="shared" ref="DZ75:EC80" ca="1" si="326">IF(ISERR(FIND(";"&amp;DZ$13&amp;":0;",$F75)),
CHAR(CODE($CE75)+SUM(IF(ISERR(FIND(";"&amp;DZ$13&amp;";",$F75)),0,-1),IF(ISERR(FIND(";"&amp;DZ$13&amp;":",$F75)),0,-VALUE(MID($F75,FIND(";"&amp;DZ$13&amp;":",$F75)+LEN(DZ$13)+2,1))))),0)</f>
        <v>B</v>
      </c>
      <c r="EA75" s="301" t="str">
        <f t="shared" ca="1" si="326"/>
        <v>B</v>
      </c>
      <c r="EB75" s="301" t="str">
        <f t="shared" ca="1" si="326"/>
        <v>B</v>
      </c>
      <c r="EC75" s="301" t="str">
        <f t="shared" ca="1" si="326"/>
        <v>B</v>
      </c>
      <c r="ED75" s="301" t="str">
        <f t="shared" ca="1" si="324"/>
        <v>B</v>
      </c>
      <c r="EE75" s="301" t="str">
        <f t="shared" ca="1" si="324"/>
        <v>B</v>
      </c>
      <c r="EF75" s="205"/>
      <c r="EG75" s="301" t="str">
        <f t="shared" ca="1" si="325"/>
        <v>B</v>
      </c>
      <c r="EH75" s="301" t="str">
        <f t="shared" ca="1" si="319"/>
        <v>B</v>
      </c>
      <c r="EI75" s="301" t="str">
        <f t="shared" ca="1" si="319"/>
        <v>B</v>
      </c>
      <c r="EJ75" s="301" t="str">
        <f t="shared" ca="1" si="319"/>
        <v>B</v>
      </c>
      <c r="EK75" s="301" t="str">
        <f t="shared" ca="1" si="319"/>
        <v>B</v>
      </c>
      <c r="EL75" s="301" t="str">
        <f t="shared" ca="1" si="319"/>
        <v>B</v>
      </c>
      <c r="EM75" s="301" t="str">
        <f t="shared" ca="1" si="319"/>
        <v>B</v>
      </c>
      <c r="EN75" s="301" t="str">
        <f t="shared" ca="1" si="319"/>
        <v>B</v>
      </c>
      <c r="EO75" s="301" t="str">
        <f t="shared" ca="1" si="319"/>
        <v>B</v>
      </c>
      <c r="EP75" s="301" t="str">
        <f t="shared" ca="1" si="319"/>
        <v>B</v>
      </c>
      <c r="EQ75" s="301" t="str">
        <f t="shared" ca="1" si="319"/>
        <v>B</v>
      </c>
      <c r="ER75" s="301" t="str">
        <f t="shared" ca="1" si="319"/>
        <v>B</v>
      </c>
      <c r="ES75" s="301" t="str">
        <f t="shared" ca="1" si="319"/>
        <v>B</v>
      </c>
      <c r="ET75" s="301" t="str">
        <f t="shared" ca="1" si="319"/>
        <v>B</v>
      </c>
      <c r="EU75" s="301" t="str">
        <f t="shared" ca="1" si="319"/>
        <v>B</v>
      </c>
      <c r="EV75" s="301" t="str">
        <f t="shared" ca="1" si="319"/>
        <v>B</v>
      </c>
      <c r="EW75" s="301" t="str">
        <f t="shared" ca="1" si="319"/>
        <v>B</v>
      </c>
      <c r="EX75" s="301" t="str">
        <f t="shared" ca="1" si="319"/>
        <v>B</v>
      </c>
      <c r="EY75" s="301" t="str">
        <f t="shared" ca="1" si="319"/>
        <v>B</v>
      </c>
      <c r="EZ75" s="301" t="str">
        <f t="shared" ca="1" si="319"/>
        <v>B</v>
      </c>
      <c r="FA75" s="301" t="str">
        <f t="shared" ca="1" si="319"/>
        <v>B</v>
      </c>
      <c r="FB75" s="301" t="str">
        <f t="shared" ca="1" si="319"/>
        <v>B</v>
      </c>
      <c r="FC75" s="301" t="str">
        <f t="shared" ca="1" si="319"/>
        <v>B</v>
      </c>
      <c r="FD75" s="301" t="str">
        <f t="shared" ca="1" si="319"/>
        <v>B</v>
      </c>
      <c r="FE75" s="301" t="str">
        <f t="shared" ca="1" si="319"/>
        <v>B</v>
      </c>
      <c r="FF75" s="301" t="str">
        <f t="shared" ca="1" si="319"/>
        <v>B</v>
      </c>
      <c r="FG75" s="301" t="str">
        <f t="shared" ca="1" si="319"/>
        <v>B</v>
      </c>
      <c r="FH75" s="301" t="str">
        <f t="shared" ca="1" si="319"/>
        <v>B</v>
      </c>
      <c r="FI75" s="301" t="str">
        <f t="shared" ca="1" si="319"/>
        <v>B</v>
      </c>
      <c r="FJ75" s="301" t="str">
        <f t="shared" ca="1" si="319"/>
        <v>B</v>
      </c>
      <c r="FK75" s="301" t="str">
        <f t="shared" ca="1" si="319"/>
        <v>B</v>
      </c>
      <c r="FL75" s="301" t="str">
        <f t="shared" ca="1" si="319"/>
        <v>B</v>
      </c>
    </row>
    <row r="76" spans="1:168" x14ac:dyDescent="0.2">
      <c r="A76" s="70" t="str">
        <f t="shared" si="320"/>
        <v>Fischen/Angeln</v>
      </c>
      <c r="B76" s="317" t="str">
        <f t="shared" ca="1" si="285"/>
        <v/>
      </c>
      <c r="C76" s="332" t="str">
        <f ca="1">IF(OR(NOT(ISBLANK(D76)),NOT(ISBLANK(HLOOKUP(RASSEGENE,RASSE,$CD76,FALSE))),
NOT(ISBLANK(HLOOKUP(KULTURGENE,KULTUR,$CD76,FALSE))),
NOT(OR(ISBLANK(HLOOKUP(PROFGENE,INDIRECT(PROFGEBIET),$CD76,FALSE)),$CS76="N",$CS76="M")),
IF(PROFZWEITE="",FALSE,NOT(ISBLANK(HLOOKUP(PROFZWEITE,INDIRECT(PROFGEBIET2),$CD76,FALSE))))),"x","")</f>
        <v/>
      </c>
      <c r="D76" s="1110"/>
      <c r="E76" s="966"/>
      <c r="F76" s="325"/>
      <c r="G76" s="958"/>
      <c r="H76" s="1196"/>
      <c r="I76" s="326"/>
      <c r="J76" s="1886" t="str">
        <f t="shared" ca="1" si="286"/>
        <v/>
      </c>
      <c r="K76" s="1887"/>
      <c r="L76" s="1887"/>
      <c r="M76" s="1887"/>
      <c r="N76" s="1888"/>
      <c r="O76" s="613" t="str">
        <f t="shared" ca="1" si="287"/>
        <v/>
      </c>
      <c r="P76" s="90"/>
      <c r="Q76" s="25"/>
      <c r="R76" s="1313"/>
      <c r="S76" s="1313"/>
      <c r="T76" s="1315"/>
      <c r="U76" s="1283"/>
      <c r="V76" s="628" t="str">
        <f t="shared" ca="1" si="288"/>
        <v/>
      </c>
      <c r="W76" s="164">
        <f t="shared" ca="1" si="289"/>
        <v>0</v>
      </c>
      <c r="X76" s="164">
        <f t="shared" ca="1" si="290"/>
        <v>0</v>
      </c>
      <c r="Y76" s="164">
        <f t="shared" ca="1" si="290"/>
        <v>0</v>
      </c>
      <c r="Z76" s="164">
        <f t="shared" ca="1" si="290"/>
        <v>0</v>
      </c>
      <c r="AA76" s="164">
        <f t="shared" ca="1" si="290"/>
        <v>0</v>
      </c>
      <c r="AB76" s="164">
        <f t="shared" ca="1" si="290"/>
        <v>0</v>
      </c>
      <c r="AC76" s="164">
        <f t="shared" ca="1" si="290"/>
        <v>0</v>
      </c>
      <c r="AD76" s="164">
        <f t="shared" ca="1" si="290"/>
        <v>0</v>
      </c>
      <c r="AE76" s="164">
        <f t="shared" ca="1" si="290"/>
        <v>0</v>
      </c>
      <c r="AF76" s="164">
        <f t="shared" ca="1" si="290"/>
        <v>0</v>
      </c>
      <c r="AG76" s="164">
        <f t="shared" ca="1" si="290"/>
        <v>0</v>
      </c>
      <c r="AH76" s="164">
        <f t="shared" ca="1" si="291"/>
        <v>0</v>
      </c>
      <c r="AI76" s="164">
        <f t="shared" ca="1" si="291"/>
        <v>0</v>
      </c>
      <c r="AJ76" s="164">
        <f t="shared" ca="1" si="291"/>
        <v>0</v>
      </c>
      <c r="AK76" s="164">
        <f t="shared" ca="1" si="291"/>
        <v>0</v>
      </c>
      <c r="AL76" s="164">
        <f t="shared" ca="1" si="291"/>
        <v>0</v>
      </c>
      <c r="AM76" s="164">
        <f t="shared" ca="1" si="291"/>
        <v>0</v>
      </c>
      <c r="AN76" s="164">
        <f t="shared" ca="1" si="291"/>
        <v>0</v>
      </c>
      <c r="AO76" s="164">
        <f t="shared" ca="1" si="291"/>
        <v>0</v>
      </c>
      <c r="AP76" s="164">
        <f t="shared" ca="1" si="291"/>
        <v>0</v>
      </c>
      <c r="AQ76" s="164">
        <f t="shared" ca="1" si="291"/>
        <v>0</v>
      </c>
      <c r="AR76" s="164">
        <f t="shared" ca="1" si="292"/>
        <v>0</v>
      </c>
      <c r="AS76" s="195"/>
      <c r="AT76" s="154">
        <f t="shared" ca="1" si="293"/>
        <v>0</v>
      </c>
      <c r="AU76" s="154">
        <f t="shared" ca="1" si="294"/>
        <v>0</v>
      </c>
      <c r="AV76" s="154">
        <f t="shared" ca="1" si="294"/>
        <v>0</v>
      </c>
      <c r="AW76" s="154">
        <f t="shared" ca="1" si="294"/>
        <v>0</v>
      </c>
      <c r="AX76" s="154">
        <f t="shared" ca="1" si="294"/>
        <v>0</v>
      </c>
      <c r="AY76" s="154">
        <f t="shared" ca="1" si="294"/>
        <v>0</v>
      </c>
      <c r="AZ76" s="154">
        <f t="shared" ca="1" si="294"/>
        <v>0</v>
      </c>
      <c r="BA76" s="154">
        <f t="shared" ca="1" si="294"/>
        <v>0</v>
      </c>
      <c r="BB76" s="154">
        <f t="shared" ca="1" si="294"/>
        <v>0</v>
      </c>
      <c r="BC76" s="154">
        <f t="shared" ca="1" si="294"/>
        <v>0</v>
      </c>
      <c r="BD76" s="154">
        <f t="shared" ca="1" si="294"/>
        <v>0</v>
      </c>
      <c r="BE76" s="154">
        <f t="shared" ca="1" si="295"/>
        <v>0</v>
      </c>
      <c r="BF76" s="154">
        <f t="shared" ca="1" si="295"/>
        <v>0</v>
      </c>
      <c r="BG76" s="154">
        <f t="shared" ca="1" si="295"/>
        <v>0</v>
      </c>
      <c r="BH76" s="154">
        <f t="shared" ca="1" si="295"/>
        <v>0</v>
      </c>
      <c r="BI76" s="154">
        <f t="shared" ca="1" si="295"/>
        <v>0</v>
      </c>
      <c r="BJ76" s="154">
        <f t="shared" ca="1" si="295"/>
        <v>0</v>
      </c>
      <c r="BK76" s="154">
        <f t="shared" ca="1" si="295"/>
        <v>0</v>
      </c>
      <c r="BL76" s="154">
        <f t="shared" ca="1" si="295"/>
        <v>0</v>
      </c>
      <c r="BM76" s="154">
        <f t="shared" ca="1" si="295"/>
        <v>0</v>
      </c>
      <c r="BN76" s="154">
        <f t="shared" ca="1" si="295"/>
        <v>0</v>
      </c>
      <c r="BO76" s="154">
        <f t="shared" ca="1" si="296"/>
        <v>0</v>
      </c>
      <c r="BP76" s="154">
        <f t="shared" ca="1" si="296"/>
        <v>0</v>
      </c>
      <c r="BQ76" s="154">
        <f t="shared" ca="1" si="296"/>
        <v>0</v>
      </c>
      <c r="BR76" s="154">
        <f t="shared" ca="1" si="296"/>
        <v>0</v>
      </c>
      <c r="BS76" s="154">
        <f t="shared" ca="1" si="296"/>
        <v>0</v>
      </c>
      <c r="BT76" s="154">
        <f t="shared" ca="1" si="296"/>
        <v>0</v>
      </c>
      <c r="BU76" s="154">
        <f t="shared" ca="1" si="296"/>
        <v>0</v>
      </c>
      <c r="BV76" s="154">
        <f t="shared" ca="1" si="296"/>
        <v>0</v>
      </c>
      <c r="BW76" s="154">
        <f t="shared" ca="1" si="296"/>
        <v>0</v>
      </c>
      <c r="BX76" s="154">
        <f t="shared" ca="1" si="296"/>
        <v>0</v>
      </c>
      <c r="BY76" s="154">
        <f t="shared" ca="1" si="297"/>
        <v>0</v>
      </c>
      <c r="BZ76" s="154">
        <f t="shared" si="298"/>
        <v>0</v>
      </c>
      <c r="CA76" s="154">
        <f t="shared" si="299"/>
        <v>0</v>
      </c>
      <c r="CB76" s="154">
        <f t="shared" ca="1" si="300"/>
        <v>0</v>
      </c>
      <c r="CC76" s="523"/>
      <c r="CD76" s="355">
        <f t="shared" si="301"/>
        <v>102</v>
      </c>
      <c r="CE76" s="268" t="str">
        <f t="shared" ca="1" si="302"/>
        <v>B</v>
      </c>
      <c r="CF76" s="355" t="str">
        <f ca="1">IF(EXACT($B76,""),$CF75,CONCATENATE($CF75,$A76))</f>
        <v/>
      </c>
      <c r="CG76" s="268"/>
      <c r="CH76" s="268"/>
      <c r="CI76" s="269">
        <f t="shared" ca="1" si="303"/>
        <v>0</v>
      </c>
      <c r="CJ76" s="269">
        <f t="shared" ca="1" si="304"/>
        <v>0</v>
      </c>
      <c r="CK76" s="268"/>
      <c r="CL76" s="268"/>
      <c r="CM76" s="268">
        <f t="shared" ca="1" si="82"/>
        <v>0</v>
      </c>
      <c r="CN76" s="269">
        <f t="shared" ca="1" si="83"/>
        <v>0</v>
      </c>
      <c r="CO76" s="268" t="str">
        <f t="shared" ca="1" si="305"/>
        <v>B</v>
      </c>
      <c r="CP76" s="269" t="b">
        <f ca="1">IF(NT_ELFWELT,
IF(OR(
RIGHT(HLOOKUP(PROFGENE,INDIRECT(PROFGEBIET),$CD76,FALSE),1)="L",
RIGHT(HLOOKUP(KULTURGENE,KULTUR,$CD76,FALSE),1)="L",
RIGHT(D76)="L"),TRUE,FALSE),
TRUE)</f>
        <v>1</v>
      </c>
      <c r="CQ76" s="269">
        <f t="shared" si="306"/>
        <v>0</v>
      </c>
      <c r="CR76" s="269">
        <f t="shared" si="307"/>
        <v>0</v>
      </c>
      <c r="CS76" s="269">
        <f t="shared" ca="1" si="308"/>
        <v>0</v>
      </c>
      <c r="CT76" s="302" t="str">
        <f t="shared" ca="1" si="309"/>
        <v>0</v>
      </c>
      <c r="CU76" s="269">
        <f t="shared" ca="1" si="310"/>
        <v>0</v>
      </c>
      <c r="CV76" s="268"/>
      <c r="CW76" s="269">
        <f t="shared" ca="1" si="311"/>
        <v>0</v>
      </c>
      <c r="CX76" s="301">
        <f t="shared" ca="1" si="312"/>
        <v>0</v>
      </c>
      <c r="CY76" s="301">
        <f t="shared" ca="1" si="85"/>
        <v>0</v>
      </c>
      <c r="CZ76" s="301">
        <f t="shared" ca="1" si="313"/>
        <v>0</v>
      </c>
      <c r="DA76" s="301">
        <f t="shared" ca="1" si="314"/>
        <v>0</v>
      </c>
      <c r="DC76" s="301" t="str">
        <f t="shared" ca="1" si="315"/>
        <v/>
      </c>
      <c r="DD76" s="1337" t="str">
        <f t="shared" ca="1" si="321"/>
        <v/>
      </c>
      <c r="DE76" s="1337" t="str">
        <f t="shared" ca="1" si="322"/>
        <v/>
      </c>
      <c r="DG76" s="269" t="str">
        <f t="shared" ca="1" si="316"/>
        <v>Tabellen_Andere!BA33:BF33</v>
      </c>
      <c r="DH76" s="269" t="str">
        <f t="shared" si="317"/>
        <v>Tabellen_Andere!BA33:BF33</v>
      </c>
      <c r="DI76" s="269" t="str">
        <f ca="1">IF(NOT(ISERR(FIND(A76,Abfragen!$O$264,1))),MID(Abfragen!$O$264,FIND("(",Abfragen!$O$264,FIND(A76,Abfragen!$O$264,1)+LEN(A76))+1,FIND(")",Abfragen!$O$264,FIND(A76,Abfragen!$O$264,1)+LEN(A76))-FIND("(",Abfragen!$O$264,FIND(A76,Abfragen!$O$264,1)+LEN(A76))-1),"")</f>
        <v/>
      </c>
      <c r="DJ76" s="301" t="str">
        <f t="shared" ca="1" si="318"/>
        <v>B</v>
      </c>
      <c r="DK76" s="301" t="str">
        <f t="shared" ca="1" si="318"/>
        <v>B</v>
      </c>
      <c r="DL76" s="301" t="str">
        <f t="shared" ca="1" si="318"/>
        <v>B</v>
      </c>
      <c r="DM76" s="301" t="str">
        <f t="shared" ca="1" si="318"/>
        <v>B</v>
      </c>
      <c r="DN76" s="301" t="str">
        <f t="shared" ca="1" si="318"/>
        <v>B</v>
      </c>
      <c r="DO76" s="301" t="str">
        <f t="shared" ca="1" si="318"/>
        <v>B</v>
      </c>
      <c r="DP76" s="301" t="str">
        <f t="shared" ca="1" si="318"/>
        <v>B</v>
      </c>
      <c r="DQ76" s="301" t="str">
        <f t="shared" ca="1" si="318"/>
        <v>B</v>
      </c>
      <c r="DR76" s="301" t="str">
        <f t="shared" ca="1" si="318"/>
        <v>B</v>
      </c>
      <c r="DS76" s="301" t="str">
        <f t="shared" ca="1" si="318"/>
        <v>B</v>
      </c>
      <c r="DT76" s="301" t="str">
        <f t="shared" ca="1" si="318"/>
        <v>B</v>
      </c>
      <c r="DU76" s="301" t="str">
        <f t="shared" ca="1" si="318"/>
        <v>B</v>
      </c>
      <c r="DV76" s="301" t="str">
        <f t="shared" ca="1" si="318"/>
        <v>B</v>
      </c>
      <c r="DW76" s="301" t="str">
        <f t="shared" ca="1" si="318"/>
        <v>B</v>
      </c>
      <c r="DX76" s="301" t="str">
        <f t="shared" ca="1" si="318"/>
        <v>B</v>
      </c>
      <c r="DY76" s="301" t="str">
        <f t="shared" ca="1" si="318"/>
        <v>B</v>
      </c>
      <c r="DZ76" s="301" t="str">
        <f t="shared" ca="1" si="326"/>
        <v>B</v>
      </c>
      <c r="EA76" s="301" t="str">
        <f t="shared" ca="1" si="326"/>
        <v>B</v>
      </c>
      <c r="EB76" s="301" t="str">
        <f t="shared" ca="1" si="326"/>
        <v>B</v>
      </c>
      <c r="EC76" s="301" t="str">
        <f t="shared" ca="1" si="326"/>
        <v>B</v>
      </c>
      <c r="ED76" s="301" t="str">
        <f t="shared" ca="1" si="324"/>
        <v>B</v>
      </c>
      <c r="EE76" s="301" t="str">
        <f t="shared" ca="1" si="324"/>
        <v>B</v>
      </c>
      <c r="EF76" s="205"/>
      <c r="EG76" s="301" t="str">
        <f t="shared" ca="1" si="325"/>
        <v>B</v>
      </c>
      <c r="EH76" s="301" t="str">
        <f t="shared" ca="1" si="319"/>
        <v>B</v>
      </c>
      <c r="EI76" s="301" t="str">
        <f t="shared" ca="1" si="319"/>
        <v>B</v>
      </c>
      <c r="EJ76" s="301" t="str">
        <f t="shared" ca="1" si="319"/>
        <v>B</v>
      </c>
      <c r="EK76" s="301" t="str">
        <f t="shared" ca="1" si="319"/>
        <v>B</v>
      </c>
      <c r="EL76" s="301" t="str">
        <f t="shared" ca="1" si="319"/>
        <v>B</v>
      </c>
      <c r="EM76" s="301" t="str">
        <f t="shared" ca="1" si="319"/>
        <v>B</v>
      </c>
      <c r="EN76" s="301" t="str">
        <f t="shared" ca="1" si="319"/>
        <v>B</v>
      </c>
      <c r="EO76" s="301" t="str">
        <f t="shared" ca="1" si="319"/>
        <v>B</v>
      </c>
      <c r="EP76" s="301" t="str">
        <f t="shared" ca="1" si="319"/>
        <v>B</v>
      </c>
      <c r="EQ76" s="301" t="str">
        <f t="shared" ca="1" si="319"/>
        <v>B</v>
      </c>
      <c r="ER76" s="301" t="str">
        <f t="shared" ca="1" si="319"/>
        <v>B</v>
      </c>
      <c r="ES76" s="301" t="str">
        <f t="shared" ca="1" si="319"/>
        <v>B</v>
      </c>
      <c r="ET76" s="301" t="str">
        <f t="shared" ca="1" si="319"/>
        <v>B</v>
      </c>
      <c r="EU76" s="301" t="str">
        <f t="shared" ca="1" si="319"/>
        <v>B</v>
      </c>
      <c r="EV76" s="301" t="str">
        <f t="shared" ca="1" si="319"/>
        <v>B</v>
      </c>
      <c r="EW76" s="301" t="str">
        <f t="shared" ca="1" si="319"/>
        <v>B</v>
      </c>
      <c r="EX76" s="301" t="str">
        <f t="shared" ca="1" si="319"/>
        <v>B</v>
      </c>
      <c r="EY76" s="301" t="str">
        <f t="shared" ca="1" si="319"/>
        <v>B</v>
      </c>
      <c r="EZ76" s="301" t="str">
        <f t="shared" ca="1" si="319"/>
        <v>B</v>
      </c>
      <c r="FA76" s="301" t="str">
        <f t="shared" ca="1" si="319"/>
        <v>B</v>
      </c>
      <c r="FB76" s="301" t="str">
        <f t="shared" ca="1" si="319"/>
        <v>B</v>
      </c>
      <c r="FC76" s="301" t="str">
        <f t="shared" ca="1" si="319"/>
        <v>B</v>
      </c>
      <c r="FD76" s="301" t="str">
        <f t="shared" ca="1" si="319"/>
        <v>B</v>
      </c>
      <c r="FE76" s="301" t="str">
        <f t="shared" ca="1" si="319"/>
        <v>B</v>
      </c>
      <c r="FF76" s="301" t="str">
        <f t="shared" ca="1" si="319"/>
        <v>B</v>
      </c>
      <c r="FG76" s="301" t="str">
        <f t="shared" ca="1" si="319"/>
        <v>B</v>
      </c>
      <c r="FH76" s="301" t="str">
        <f t="shared" ca="1" si="319"/>
        <v>B</v>
      </c>
      <c r="FI76" s="301" t="str">
        <f t="shared" ca="1" si="319"/>
        <v>B</v>
      </c>
      <c r="FJ76" s="301" t="str">
        <f t="shared" ca="1" si="319"/>
        <v>B</v>
      </c>
      <c r="FK76" s="301" t="str">
        <f t="shared" ca="1" si="319"/>
        <v>B</v>
      </c>
      <c r="FL76" s="301" t="str">
        <f t="shared" ca="1" si="319"/>
        <v>B</v>
      </c>
    </row>
    <row r="77" spans="1:168" x14ac:dyDescent="0.2">
      <c r="A77" s="70" t="str">
        <f t="shared" si="320"/>
        <v>Orientierung</v>
      </c>
      <c r="B77" s="317">
        <f t="shared" ca="1" si="285"/>
        <v>0</v>
      </c>
      <c r="C77" s="332" t="s">
        <v>1321</v>
      </c>
      <c r="D77" s="1110"/>
      <c r="E77" s="966"/>
      <c r="F77" s="325"/>
      <c r="G77" s="963"/>
      <c r="H77" s="1196"/>
      <c r="I77" s="326"/>
      <c r="J77" s="1886" t="str">
        <f t="shared" ca="1" si="286"/>
        <v/>
      </c>
      <c r="K77" s="1887"/>
      <c r="L77" s="1887"/>
      <c r="M77" s="1887"/>
      <c r="N77" s="1888"/>
      <c r="O77" s="613">
        <f t="shared" ca="1" si="287"/>
        <v>0</v>
      </c>
      <c r="P77" s="90"/>
      <c r="Q77" s="25"/>
      <c r="R77" s="1313"/>
      <c r="S77" s="1313"/>
      <c r="T77" s="1315"/>
      <c r="U77" s="1283"/>
      <c r="V77" s="628" t="str">
        <f t="shared" ca="1" si="288"/>
        <v/>
      </c>
      <c r="W77" s="164">
        <f t="shared" ca="1" si="289"/>
        <v>0</v>
      </c>
      <c r="X77" s="164">
        <f t="shared" ca="1" si="290"/>
        <v>0</v>
      </c>
      <c r="Y77" s="164">
        <f t="shared" ca="1" si="290"/>
        <v>0</v>
      </c>
      <c r="Z77" s="164">
        <f t="shared" ca="1" si="290"/>
        <v>0</v>
      </c>
      <c r="AA77" s="164">
        <f t="shared" ca="1" si="290"/>
        <v>0</v>
      </c>
      <c r="AB77" s="164">
        <f t="shared" ca="1" si="290"/>
        <v>0</v>
      </c>
      <c r="AC77" s="164">
        <f t="shared" ca="1" si="290"/>
        <v>0</v>
      </c>
      <c r="AD77" s="164">
        <f t="shared" ca="1" si="290"/>
        <v>0</v>
      </c>
      <c r="AE77" s="164">
        <f t="shared" ca="1" si="290"/>
        <v>0</v>
      </c>
      <c r="AF77" s="164">
        <f t="shared" ca="1" si="290"/>
        <v>0</v>
      </c>
      <c r="AG77" s="164">
        <f t="shared" ca="1" si="290"/>
        <v>0</v>
      </c>
      <c r="AH77" s="164">
        <f t="shared" ca="1" si="291"/>
        <v>0</v>
      </c>
      <c r="AI77" s="164">
        <f t="shared" ca="1" si="291"/>
        <v>0</v>
      </c>
      <c r="AJ77" s="164">
        <f t="shared" ca="1" si="291"/>
        <v>0</v>
      </c>
      <c r="AK77" s="164">
        <f t="shared" ca="1" si="291"/>
        <v>0</v>
      </c>
      <c r="AL77" s="164">
        <f t="shared" ca="1" si="291"/>
        <v>0</v>
      </c>
      <c r="AM77" s="164">
        <f t="shared" ca="1" si="291"/>
        <v>0</v>
      </c>
      <c r="AN77" s="164">
        <f t="shared" ca="1" si="291"/>
        <v>0</v>
      </c>
      <c r="AO77" s="164">
        <f t="shared" ca="1" si="291"/>
        <v>0</v>
      </c>
      <c r="AP77" s="164">
        <f t="shared" ca="1" si="291"/>
        <v>0</v>
      </c>
      <c r="AQ77" s="164">
        <f t="shared" ca="1" si="291"/>
        <v>0</v>
      </c>
      <c r="AR77" s="164">
        <f t="shared" ca="1" si="292"/>
        <v>0</v>
      </c>
      <c r="AS77" s="195"/>
      <c r="AT77" s="154">
        <f t="shared" ca="1" si="293"/>
        <v>0</v>
      </c>
      <c r="AU77" s="154">
        <f t="shared" ca="1" si="294"/>
        <v>0</v>
      </c>
      <c r="AV77" s="154">
        <f t="shared" ca="1" si="294"/>
        <v>0</v>
      </c>
      <c r="AW77" s="154">
        <f t="shared" ca="1" si="294"/>
        <v>0</v>
      </c>
      <c r="AX77" s="154">
        <f t="shared" ca="1" si="294"/>
        <v>0</v>
      </c>
      <c r="AY77" s="154">
        <f t="shared" ca="1" si="294"/>
        <v>0</v>
      </c>
      <c r="AZ77" s="154">
        <f t="shared" ca="1" si="294"/>
        <v>0</v>
      </c>
      <c r="BA77" s="154">
        <f t="shared" ca="1" si="294"/>
        <v>0</v>
      </c>
      <c r="BB77" s="154">
        <f t="shared" ca="1" si="294"/>
        <v>0</v>
      </c>
      <c r="BC77" s="154">
        <f t="shared" ca="1" si="294"/>
        <v>0</v>
      </c>
      <c r="BD77" s="154">
        <f t="shared" ca="1" si="294"/>
        <v>0</v>
      </c>
      <c r="BE77" s="154">
        <f t="shared" ca="1" si="295"/>
        <v>0</v>
      </c>
      <c r="BF77" s="154">
        <f t="shared" ca="1" si="295"/>
        <v>0</v>
      </c>
      <c r="BG77" s="154">
        <f t="shared" ca="1" si="295"/>
        <v>0</v>
      </c>
      <c r="BH77" s="154">
        <f t="shared" ca="1" si="295"/>
        <v>0</v>
      </c>
      <c r="BI77" s="154">
        <f t="shared" ca="1" si="295"/>
        <v>0</v>
      </c>
      <c r="BJ77" s="154">
        <f t="shared" ca="1" si="295"/>
        <v>0</v>
      </c>
      <c r="BK77" s="154">
        <f t="shared" ca="1" si="295"/>
        <v>0</v>
      </c>
      <c r="BL77" s="154">
        <f t="shared" ca="1" si="295"/>
        <v>0</v>
      </c>
      <c r="BM77" s="154">
        <f t="shared" ca="1" si="295"/>
        <v>0</v>
      </c>
      <c r="BN77" s="154">
        <f t="shared" ca="1" si="295"/>
        <v>0</v>
      </c>
      <c r="BO77" s="154">
        <f t="shared" ca="1" si="296"/>
        <v>0</v>
      </c>
      <c r="BP77" s="154">
        <f t="shared" ca="1" si="296"/>
        <v>0</v>
      </c>
      <c r="BQ77" s="154">
        <f t="shared" ca="1" si="296"/>
        <v>0</v>
      </c>
      <c r="BR77" s="154">
        <f t="shared" ca="1" si="296"/>
        <v>0</v>
      </c>
      <c r="BS77" s="154">
        <f t="shared" ca="1" si="296"/>
        <v>0</v>
      </c>
      <c r="BT77" s="154">
        <f t="shared" ca="1" si="296"/>
        <v>0</v>
      </c>
      <c r="BU77" s="154">
        <f t="shared" ca="1" si="296"/>
        <v>0</v>
      </c>
      <c r="BV77" s="154">
        <f t="shared" ca="1" si="296"/>
        <v>0</v>
      </c>
      <c r="BW77" s="154">
        <f t="shared" ca="1" si="296"/>
        <v>0</v>
      </c>
      <c r="BX77" s="154">
        <f t="shared" ca="1" si="296"/>
        <v>0</v>
      </c>
      <c r="BY77" s="154">
        <f t="shared" ca="1" si="297"/>
        <v>0</v>
      </c>
      <c r="BZ77" s="154">
        <f t="shared" si="298"/>
        <v>0</v>
      </c>
      <c r="CA77" s="154">
        <f t="shared" si="299"/>
        <v>0</v>
      </c>
      <c r="CB77" s="154">
        <f t="shared" ca="1" si="300"/>
        <v>0</v>
      </c>
      <c r="CC77" s="523"/>
      <c r="CD77" s="355">
        <f t="shared" si="301"/>
        <v>103</v>
      </c>
      <c r="CE77" s="268" t="str">
        <f t="shared" ca="1" si="302"/>
        <v>B</v>
      </c>
      <c r="CF77" s="355"/>
      <c r="CG77" s="268"/>
      <c r="CH77" s="268"/>
      <c r="CI77" s="269">
        <f t="shared" ca="1" si="303"/>
        <v>0</v>
      </c>
      <c r="CJ77" s="269">
        <f t="shared" ca="1" si="304"/>
        <v>0</v>
      </c>
      <c r="CK77" s="268"/>
      <c r="CL77" s="268"/>
      <c r="CM77" s="268">
        <f t="shared" si="82"/>
        <v>0</v>
      </c>
      <c r="CN77" s="269">
        <f t="shared" ca="1" si="83"/>
        <v>0</v>
      </c>
      <c r="CO77" s="268" t="str">
        <f t="shared" ca="1" si="305"/>
        <v>B</v>
      </c>
      <c r="CP77" s="271" t="b">
        <f>TRUE</f>
        <v>1</v>
      </c>
      <c r="CQ77" s="269">
        <f t="shared" si="306"/>
        <v>0</v>
      </c>
      <c r="CR77" s="269">
        <f t="shared" si="307"/>
        <v>0</v>
      </c>
      <c r="CS77" s="269">
        <f t="shared" ca="1" si="308"/>
        <v>0</v>
      </c>
      <c r="CT77" s="302" t="str">
        <f t="shared" ca="1" si="309"/>
        <v>0</v>
      </c>
      <c r="CU77" s="269">
        <f t="shared" ca="1" si="310"/>
        <v>0</v>
      </c>
      <c r="CV77" s="268"/>
      <c r="CW77" s="269">
        <f t="shared" ca="1" si="311"/>
        <v>0</v>
      </c>
      <c r="CX77" s="301">
        <f t="shared" ca="1" si="312"/>
        <v>0</v>
      </c>
      <c r="CY77" s="301">
        <f t="shared" ca="1" si="85"/>
        <v>0</v>
      </c>
      <c r="CZ77" s="301">
        <f t="shared" ca="1" si="313"/>
        <v>0</v>
      </c>
      <c r="DA77" s="301">
        <f t="shared" ca="1" si="314"/>
        <v>0</v>
      </c>
      <c r="DC77" s="301" t="str">
        <f t="shared" ca="1" si="315"/>
        <v/>
      </c>
      <c r="DD77" s="1337" t="str">
        <f t="shared" ca="1" si="321"/>
        <v/>
      </c>
      <c r="DE77" s="1337" t="str">
        <f t="shared" ca="1" si="322"/>
        <v/>
      </c>
      <c r="DG77" s="269" t="str">
        <f t="shared" ca="1" si="316"/>
        <v>Tabellen_Andere!BA79:BF79</v>
      </c>
      <c r="DH77" s="269" t="str">
        <f t="shared" si="317"/>
        <v>Tabellen_Andere!BA79:BF79</v>
      </c>
      <c r="DI77" s="269" t="str">
        <f ca="1">IF(NOT(ISERR(FIND(A77,Abfragen!$O$264,1))),MID(Abfragen!$O$264,FIND("(",Abfragen!$O$264,FIND(A77,Abfragen!$O$264,1)+LEN(A77))+1,FIND(")",Abfragen!$O$264,FIND(A77,Abfragen!$O$264,1)+LEN(A77))-FIND("(",Abfragen!$O$264,FIND(A77,Abfragen!$O$264,1)+LEN(A77))-1),"")</f>
        <v/>
      </c>
      <c r="DJ77" s="301" t="str">
        <f t="shared" ca="1" si="318"/>
        <v>B</v>
      </c>
      <c r="DK77" s="301" t="str">
        <f t="shared" ca="1" si="318"/>
        <v>B</v>
      </c>
      <c r="DL77" s="301" t="str">
        <f t="shared" ca="1" si="318"/>
        <v>B</v>
      </c>
      <c r="DM77" s="301" t="str">
        <f t="shared" ca="1" si="318"/>
        <v>B</v>
      </c>
      <c r="DN77" s="301" t="str">
        <f t="shared" ca="1" si="318"/>
        <v>B</v>
      </c>
      <c r="DO77" s="301" t="str">
        <f t="shared" ca="1" si="318"/>
        <v>B</v>
      </c>
      <c r="DP77" s="301" t="str">
        <f t="shared" ca="1" si="318"/>
        <v>B</v>
      </c>
      <c r="DQ77" s="301" t="str">
        <f t="shared" ca="1" si="318"/>
        <v>B</v>
      </c>
      <c r="DR77" s="301" t="str">
        <f t="shared" ca="1" si="318"/>
        <v>B</v>
      </c>
      <c r="DS77" s="301" t="str">
        <f t="shared" ca="1" si="318"/>
        <v>B</v>
      </c>
      <c r="DT77" s="301" t="str">
        <f t="shared" ca="1" si="318"/>
        <v>B</v>
      </c>
      <c r="DU77" s="301" t="str">
        <f t="shared" ca="1" si="318"/>
        <v>B</v>
      </c>
      <c r="DV77" s="301" t="str">
        <f t="shared" ca="1" si="318"/>
        <v>B</v>
      </c>
      <c r="DW77" s="301" t="str">
        <f t="shared" ca="1" si="318"/>
        <v>B</v>
      </c>
      <c r="DX77" s="301" t="str">
        <f t="shared" ca="1" si="318"/>
        <v>B</v>
      </c>
      <c r="DY77" s="301" t="str">
        <f t="shared" ca="1" si="318"/>
        <v>B</v>
      </c>
      <c r="DZ77" s="301" t="str">
        <f t="shared" ca="1" si="326"/>
        <v>B</v>
      </c>
      <c r="EA77" s="301" t="str">
        <f t="shared" ca="1" si="326"/>
        <v>B</v>
      </c>
      <c r="EB77" s="301" t="str">
        <f t="shared" ca="1" si="326"/>
        <v>B</v>
      </c>
      <c r="EC77" s="301" t="str">
        <f t="shared" ca="1" si="326"/>
        <v>B</v>
      </c>
      <c r="ED77" s="301" t="str">
        <f t="shared" ca="1" si="324"/>
        <v>B</v>
      </c>
      <c r="EE77" s="301" t="str">
        <f t="shared" ca="1" si="324"/>
        <v>B</v>
      </c>
      <c r="EF77" s="205"/>
      <c r="EG77" s="301" t="str">
        <f t="shared" ca="1" si="325"/>
        <v>B</v>
      </c>
      <c r="EH77" s="301" t="str">
        <f t="shared" ca="1" si="319"/>
        <v>B</v>
      </c>
      <c r="EI77" s="301" t="str">
        <f t="shared" ca="1" si="319"/>
        <v>B</v>
      </c>
      <c r="EJ77" s="301" t="str">
        <f t="shared" ca="1" si="319"/>
        <v>B</v>
      </c>
      <c r="EK77" s="301" t="str">
        <f t="shared" ca="1" si="319"/>
        <v>B</v>
      </c>
      <c r="EL77" s="301" t="str">
        <f t="shared" ca="1" si="319"/>
        <v>B</v>
      </c>
      <c r="EM77" s="301" t="str">
        <f t="shared" ca="1" si="319"/>
        <v>B</v>
      </c>
      <c r="EN77" s="301" t="str">
        <f t="shared" ca="1" si="319"/>
        <v>B</v>
      </c>
      <c r="EO77" s="301" t="str">
        <f t="shared" ca="1" si="319"/>
        <v>B</v>
      </c>
      <c r="EP77" s="301" t="str">
        <f t="shared" ca="1" si="319"/>
        <v>B</v>
      </c>
      <c r="EQ77" s="301" t="str">
        <f t="shared" ca="1" si="319"/>
        <v>B</v>
      </c>
      <c r="ER77" s="301" t="str">
        <f t="shared" ca="1" si="319"/>
        <v>B</v>
      </c>
      <c r="ES77" s="301" t="str">
        <f t="shared" ca="1" si="319"/>
        <v>B</v>
      </c>
      <c r="ET77" s="301" t="str">
        <f t="shared" ca="1" si="319"/>
        <v>B</v>
      </c>
      <c r="EU77" s="301" t="str">
        <f t="shared" ca="1" si="319"/>
        <v>B</v>
      </c>
      <c r="EV77" s="301" t="str">
        <f t="shared" ca="1" si="319"/>
        <v>B</v>
      </c>
      <c r="EW77" s="301" t="str">
        <f t="shared" ca="1" si="319"/>
        <v>B</v>
      </c>
      <c r="EX77" s="301" t="str">
        <f t="shared" ca="1" si="319"/>
        <v>B</v>
      </c>
      <c r="EY77" s="301" t="str">
        <f t="shared" ca="1" si="319"/>
        <v>B</v>
      </c>
      <c r="EZ77" s="301" t="str">
        <f t="shared" ca="1" si="319"/>
        <v>B</v>
      </c>
      <c r="FA77" s="301" t="str">
        <f t="shared" ca="1" si="319"/>
        <v>B</v>
      </c>
      <c r="FB77" s="301" t="str">
        <f t="shared" ca="1" si="319"/>
        <v>B</v>
      </c>
      <c r="FC77" s="301" t="str">
        <f t="shared" ca="1" si="319"/>
        <v>B</v>
      </c>
      <c r="FD77" s="301" t="str">
        <f t="shared" ca="1" si="319"/>
        <v>B</v>
      </c>
      <c r="FE77" s="301" t="str">
        <f t="shared" ca="1" si="319"/>
        <v>B</v>
      </c>
      <c r="FF77" s="301" t="str">
        <f t="shared" ca="1" si="319"/>
        <v>B</v>
      </c>
      <c r="FG77" s="301" t="str">
        <f t="shared" ca="1" si="319"/>
        <v>B</v>
      </c>
      <c r="FH77" s="301" t="str">
        <f t="shared" ca="1" si="319"/>
        <v>B</v>
      </c>
      <c r="FI77" s="301" t="str">
        <f t="shared" ca="1" si="319"/>
        <v>B</v>
      </c>
      <c r="FJ77" s="301" t="str">
        <f t="shared" ca="1" si="319"/>
        <v>B</v>
      </c>
      <c r="FK77" s="301" t="str">
        <f t="shared" ca="1" si="319"/>
        <v>B</v>
      </c>
      <c r="FL77" s="301" t="str">
        <f t="shared" ca="1" si="319"/>
        <v>B</v>
      </c>
    </row>
    <row r="78" spans="1:168" x14ac:dyDescent="0.2">
      <c r="A78" s="1528" t="str">
        <f t="shared" si="320"/>
        <v>Seefischerei</v>
      </c>
      <c r="B78" s="317" t="str">
        <f t="shared" ca="1" si="285"/>
        <v/>
      </c>
      <c r="C78" s="332" t="str">
        <f ca="1">IF(OR(NOT(ISBLANK(D78)),NOT(ISBLANK(HLOOKUP(RASSEGENE,RASSE,$CD78,FALSE))),
NOT(ISBLANK(HLOOKUP(KULTURGENE,KULTUR,$CD78,FALSE))),
NOT(OR(ISBLANK(HLOOKUP(PROFGENE,INDIRECT(PROFGEBIET),$CD78,FALSE)),$CS78="N",$CS78="M")),
IF(PROFZWEITE="",FALSE,NOT(ISBLANK(HLOOKUP(PROFZWEITE,INDIRECT(PROFGEBIET2),$CD78,FALSE))))),"x","")</f>
        <v/>
      </c>
      <c r="D78" s="1110"/>
      <c r="E78" s="966"/>
      <c r="F78" s="325"/>
      <c r="G78" s="958"/>
      <c r="H78" s="1196"/>
      <c r="I78" s="326"/>
      <c r="J78" s="1886" t="str">
        <f t="shared" ca="1" si="286"/>
        <v/>
      </c>
      <c r="K78" s="1887"/>
      <c r="L78" s="1887"/>
      <c r="M78" s="1887"/>
      <c r="N78" s="1888"/>
      <c r="O78" s="613" t="str">
        <f t="shared" ca="1" si="287"/>
        <v/>
      </c>
      <c r="P78" s="90"/>
      <c r="Q78" s="25"/>
      <c r="R78" s="1313"/>
      <c r="S78" s="1313"/>
      <c r="T78" s="1315"/>
      <c r="U78" s="1283"/>
      <c r="V78" s="628" t="str">
        <f t="shared" ca="1" si="288"/>
        <v/>
      </c>
      <c r="W78" s="164">
        <f t="shared" ca="1" si="289"/>
        <v>0</v>
      </c>
      <c r="X78" s="164">
        <f t="shared" ca="1" si="290"/>
        <v>0</v>
      </c>
      <c r="Y78" s="164">
        <f t="shared" ca="1" si="290"/>
        <v>0</v>
      </c>
      <c r="Z78" s="164">
        <f t="shared" ca="1" si="290"/>
        <v>0</v>
      </c>
      <c r="AA78" s="164">
        <f t="shared" ca="1" si="290"/>
        <v>0</v>
      </c>
      <c r="AB78" s="164">
        <f t="shared" ca="1" si="290"/>
        <v>0</v>
      </c>
      <c r="AC78" s="164">
        <f t="shared" ca="1" si="290"/>
        <v>0</v>
      </c>
      <c r="AD78" s="164">
        <f t="shared" ca="1" si="290"/>
        <v>0</v>
      </c>
      <c r="AE78" s="164">
        <f t="shared" ca="1" si="290"/>
        <v>0</v>
      </c>
      <c r="AF78" s="164">
        <f t="shared" ca="1" si="290"/>
        <v>0</v>
      </c>
      <c r="AG78" s="164">
        <f t="shared" ca="1" si="290"/>
        <v>0</v>
      </c>
      <c r="AH78" s="164">
        <f t="shared" ca="1" si="291"/>
        <v>0</v>
      </c>
      <c r="AI78" s="164">
        <f t="shared" ca="1" si="291"/>
        <v>0</v>
      </c>
      <c r="AJ78" s="164">
        <f t="shared" ca="1" si="291"/>
        <v>0</v>
      </c>
      <c r="AK78" s="164">
        <f t="shared" ca="1" si="291"/>
        <v>0</v>
      </c>
      <c r="AL78" s="164">
        <f t="shared" ca="1" si="291"/>
        <v>0</v>
      </c>
      <c r="AM78" s="164">
        <f t="shared" ca="1" si="291"/>
        <v>0</v>
      </c>
      <c r="AN78" s="164">
        <f t="shared" ca="1" si="291"/>
        <v>0</v>
      </c>
      <c r="AO78" s="164">
        <f t="shared" ca="1" si="291"/>
        <v>0</v>
      </c>
      <c r="AP78" s="164">
        <f t="shared" ca="1" si="291"/>
        <v>0</v>
      </c>
      <c r="AQ78" s="164">
        <f t="shared" ca="1" si="291"/>
        <v>0</v>
      </c>
      <c r="AR78" s="164">
        <f t="shared" ca="1" si="292"/>
        <v>0</v>
      </c>
      <c r="AS78" s="195"/>
      <c r="AT78" s="154">
        <f t="shared" ca="1" si="293"/>
        <v>0</v>
      </c>
      <c r="AU78" s="154">
        <f t="shared" ca="1" si="294"/>
        <v>0</v>
      </c>
      <c r="AV78" s="154">
        <f t="shared" ca="1" si="294"/>
        <v>0</v>
      </c>
      <c r="AW78" s="154">
        <f t="shared" ca="1" si="294"/>
        <v>0</v>
      </c>
      <c r="AX78" s="154">
        <f t="shared" ca="1" si="294"/>
        <v>0</v>
      </c>
      <c r="AY78" s="154">
        <f t="shared" ca="1" si="294"/>
        <v>0</v>
      </c>
      <c r="AZ78" s="154">
        <f t="shared" ca="1" si="294"/>
        <v>0</v>
      </c>
      <c r="BA78" s="154">
        <f t="shared" ca="1" si="294"/>
        <v>0</v>
      </c>
      <c r="BB78" s="154">
        <f t="shared" ca="1" si="294"/>
        <v>0</v>
      </c>
      <c r="BC78" s="154">
        <f t="shared" ca="1" si="294"/>
        <v>0</v>
      </c>
      <c r="BD78" s="154">
        <f t="shared" ca="1" si="294"/>
        <v>0</v>
      </c>
      <c r="BE78" s="154">
        <f t="shared" ca="1" si="295"/>
        <v>0</v>
      </c>
      <c r="BF78" s="154">
        <f t="shared" ca="1" si="295"/>
        <v>0</v>
      </c>
      <c r="BG78" s="154">
        <f t="shared" ca="1" si="295"/>
        <v>0</v>
      </c>
      <c r="BH78" s="154">
        <f t="shared" ca="1" si="295"/>
        <v>0</v>
      </c>
      <c r="BI78" s="154">
        <f t="shared" ca="1" si="295"/>
        <v>0</v>
      </c>
      <c r="BJ78" s="154">
        <f t="shared" ca="1" si="295"/>
        <v>0</v>
      </c>
      <c r="BK78" s="154">
        <f t="shared" ca="1" si="295"/>
        <v>0</v>
      </c>
      <c r="BL78" s="154">
        <f t="shared" ca="1" si="295"/>
        <v>0</v>
      </c>
      <c r="BM78" s="154">
        <f t="shared" ca="1" si="295"/>
        <v>0</v>
      </c>
      <c r="BN78" s="154">
        <f t="shared" ca="1" si="295"/>
        <v>0</v>
      </c>
      <c r="BO78" s="154">
        <f t="shared" ca="1" si="296"/>
        <v>0</v>
      </c>
      <c r="BP78" s="154">
        <f t="shared" ca="1" si="296"/>
        <v>0</v>
      </c>
      <c r="BQ78" s="154">
        <f t="shared" ca="1" si="296"/>
        <v>0</v>
      </c>
      <c r="BR78" s="154">
        <f t="shared" ca="1" si="296"/>
        <v>0</v>
      </c>
      <c r="BS78" s="154">
        <f t="shared" ca="1" si="296"/>
        <v>0</v>
      </c>
      <c r="BT78" s="154">
        <f t="shared" ca="1" si="296"/>
        <v>0</v>
      </c>
      <c r="BU78" s="154">
        <f t="shared" ca="1" si="296"/>
        <v>0</v>
      </c>
      <c r="BV78" s="154">
        <f t="shared" ca="1" si="296"/>
        <v>0</v>
      </c>
      <c r="BW78" s="154">
        <f t="shared" ca="1" si="296"/>
        <v>0</v>
      </c>
      <c r="BX78" s="154">
        <f t="shared" ca="1" si="296"/>
        <v>0</v>
      </c>
      <c r="BY78" s="154">
        <f t="shared" ca="1" si="297"/>
        <v>0</v>
      </c>
      <c r="BZ78" s="154">
        <f t="shared" si="298"/>
        <v>0</v>
      </c>
      <c r="CA78" s="154">
        <f t="shared" si="299"/>
        <v>0</v>
      </c>
      <c r="CB78" s="154">
        <f t="shared" ca="1" si="300"/>
        <v>0</v>
      </c>
      <c r="CC78" s="523"/>
      <c r="CD78" s="355">
        <f t="shared" si="301"/>
        <v>104</v>
      </c>
      <c r="CE78" s="268" t="str">
        <f t="shared" ca="1" si="302"/>
        <v>B</v>
      </c>
      <c r="CF78" s="355" t="str">
        <f ca="1">IF(EXACT($B78,""),$CF76,CONCATENATE($CF76,$A78))</f>
        <v/>
      </c>
      <c r="CG78" s="268"/>
      <c r="CH78" s="268"/>
      <c r="CI78" s="269">
        <f t="shared" ca="1" si="303"/>
        <v>0</v>
      </c>
      <c r="CJ78" s="269">
        <f t="shared" ca="1" si="304"/>
        <v>0</v>
      </c>
      <c r="CK78" s="268"/>
      <c r="CL78" s="268"/>
      <c r="CM78" s="268">
        <f t="shared" ca="1" si="82"/>
        <v>0</v>
      </c>
      <c r="CN78" s="269">
        <f t="shared" ca="1" si="83"/>
        <v>0</v>
      </c>
      <c r="CO78" s="268" t="str">
        <f t="shared" ca="1" si="305"/>
        <v>B</v>
      </c>
      <c r="CP78" s="269" t="b">
        <f ca="1">IF(NT_ELFWELT,
IF(OR(
RIGHT(HLOOKUP(PROFGENE,INDIRECT(PROFGEBIET),$CD78,FALSE),1)="L",
RIGHT(HLOOKUP(KULTURGENE,KULTUR,$CD78,FALSE),1)="L",
RIGHT(D78)="L"),TRUE,FALSE),
TRUE)</f>
        <v>1</v>
      </c>
      <c r="CQ78" s="269">
        <f t="shared" si="306"/>
        <v>0</v>
      </c>
      <c r="CR78" s="269">
        <f t="shared" si="307"/>
        <v>0</v>
      </c>
      <c r="CS78" s="269">
        <f t="shared" ca="1" si="308"/>
        <v>0</v>
      </c>
      <c r="CT78" s="302" t="str">
        <f t="shared" ca="1" si="309"/>
        <v>0</v>
      </c>
      <c r="CU78" s="269">
        <f t="shared" ca="1" si="310"/>
        <v>0</v>
      </c>
      <c r="CV78" s="268"/>
      <c r="CW78" s="269">
        <f t="shared" ca="1" si="311"/>
        <v>0</v>
      </c>
      <c r="CX78" s="301">
        <f t="shared" ca="1" si="312"/>
        <v>0</v>
      </c>
      <c r="CY78" s="301">
        <f t="shared" ca="1" si="85"/>
        <v>0</v>
      </c>
      <c r="CZ78" s="301">
        <f t="shared" ca="1" si="313"/>
        <v>0</v>
      </c>
      <c r="DA78" s="301">
        <f t="shared" ca="1" si="314"/>
        <v>0</v>
      </c>
      <c r="DC78" s="301" t="str">
        <f t="shared" ca="1" si="315"/>
        <v/>
      </c>
      <c r="DD78" s="1337" t="str">
        <f t="shared" ca="1" si="321"/>
        <v/>
      </c>
      <c r="DE78" s="1337" t="str">
        <f t="shared" ca="1" si="322"/>
        <v/>
      </c>
      <c r="DG78" s="269" t="str">
        <f t="shared" ca="1" si="316"/>
        <v>Tabellen_Andere!BA102:BF102</v>
      </c>
      <c r="DH78" s="269" t="str">
        <f t="shared" si="317"/>
        <v>Tabellen_Andere!BA102:BF102</v>
      </c>
      <c r="DI78" s="269" t="str">
        <f ca="1">IF(NOT(ISERR(FIND(A78,Abfragen!$O$264,1))),MID(Abfragen!$O$264,FIND("(",Abfragen!$O$264,FIND(A78,Abfragen!$O$264,1)+LEN(A78))+1,FIND(")",Abfragen!$O$264,FIND(A78,Abfragen!$O$264,1)+LEN(A78))-FIND("(",Abfragen!$O$264,FIND(A78,Abfragen!$O$264,1)+LEN(A78))-1),"")</f>
        <v/>
      </c>
      <c r="DJ78" s="301" t="str">
        <f t="shared" ca="1" si="318"/>
        <v>B</v>
      </c>
      <c r="DK78" s="301" t="str">
        <f t="shared" ca="1" si="318"/>
        <v>B</v>
      </c>
      <c r="DL78" s="301" t="str">
        <f t="shared" ca="1" si="318"/>
        <v>B</v>
      </c>
      <c r="DM78" s="301" t="str">
        <f t="shared" ca="1" si="318"/>
        <v>B</v>
      </c>
      <c r="DN78" s="301" t="str">
        <f t="shared" ca="1" si="318"/>
        <v>B</v>
      </c>
      <c r="DO78" s="301" t="str">
        <f t="shared" ca="1" si="318"/>
        <v>B</v>
      </c>
      <c r="DP78" s="301" t="str">
        <f t="shared" ca="1" si="318"/>
        <v>B</v>
      </c>
      <c r="DQ78" s="301" t="str">
        <f t="shared" ca="1" si="318"/>
        <v>B</v>
      </c>
      <c r="DR78" s="301" t="str">
        <f t="shared" ca="1" si="318"/>
        <v>B</v>
      </c>
      <c r="DS78" s="301" t="str">
        <f t="shared" ca="1" si="318"/>
        <v>B</v>
      </c>
      <c r="DT78" s="301" t="str">
        <f t="shared" ca="1" si="318"/>
        <v>B</v>
      </c>
      <c r="DU78" s="301" t="str">
        <f t="shared" ca="1" si="318"/>
        <v>B</v>
      </c>
      <c r="DV78" s="301" t="str">
        <f t="shared" ca="1" si="318"/>
        <v>B</v>
      </c>
      <c r="DW78" s="301" t="str">
        <f t="shared" ca="1" si="318"/>
        <v>B</v>
      </c>
      <c r="DX78" s="301" t="str">
        <f t="shared" ca="1" si="318"/>
        <v>B</v>
      </c>
      <c r="DY78" s="301" t="str">
        <f t="shared" ca="1" si="318"/>
        <v>B</v>
      </c>
      <c r="DZ78" s="301" t="str">
        <f t="shared" ca="1" si="326"/>
        <v>B</v>
      </c>
      <c r="EA78" s="301" t="str">
        <f t="shared" ca="1" si="326"/>
        <v>B</v>
      </c>
      <c r="EB78" s="301" t="str">
        <f t="shared" ca="1" si="326"/>
        <v>B</v>
      </c>
      <c r="EC78" s="301" t="str">
        <f t="shared" ca="1" si="326"/>
        <v>B</v>
      </c>
      <c r="ED78" s="301" t="str">
        <f t="shared" ca="1" si="324"/>
        <v>B</v>
      </c>
      <c r="EE78" s="301" t="str">
        <f t="shared" ca="1" si="324"/>
        <v>B</v>
      </c>
      <c r="EF78" s="205"/>
      <c r="EG78" s="301" t="str">
        <f t="shared" ca="1" si="325"/>
        <v>B</v>
      </c>
      <c r="EH78" s="301" t="str">
        <f t="shared" ca="1" si="319"/>
        <v>B</v>
      </c>
      <c r="EI78" s="301" t="str">
        <f t="shared" ca="1" si="319"/>
        <v>B</v>
      </c>
      <c r="EJ78" s="301" t="str">
        <f t="shared" ca="1" si="319"/>
        <v>B</v>
      </c>
      <c r="EK78" s="301" t="str">
        <f t="shared" ca="1" si="319"/>
        <v>B</v>
      </c>
      <c r="EL78" s="301" t="str">
        <f t="shared" ca="1" si="319"/>
        <v>B</v>
      </c>
      <c r="EM78" s="301" t="str">
        <f t="shared" ca="1" si="319"/>
        <v>B</v>
      </c>
      <c r="EN78" s="301" t="str">
        <f t="shared" ca="1" si="319"/>
        <v>B</v>
      </c>
      <c r="EO78" s="301" t="str">
        <f t="shared" ca="1" si="319"/>
        <v>B</v>
      </c>
      <c r="EP78" s="301" t="str">
        <f t="shared" ca="1" si="319"/>
        <v>B</v>
      </c>
      <c r="EQ78" s="301" t="str">
        <f t="shared" ca="1" si="319"/>
        <v>B</v>
      </c>
      <c r="ER78" s="301" t="str">
        <f t="shared" ca="1" si="319"/>
        <v>B</v>
      </c>
      <c r="ES78" s="301" t="str">
        <f t="shared" ca="1" si="319"/>
        <v>B</v>
      </c>
      <c r="ET78" s="301" t="str">
        <f t="shared" ca="1" si="319"/>
        <v>B</v>
      </c>
      <c r="EU78" s="301" t="str">
        <f t="shared" ca="1" si="319"/>
        <v>B</v>
      </c>
      <c r="EV78" s="301" t="str">
        <f t="shared" ca="1" si="319"/>
        <v>B</v>
      </c>
      <c r="EW78" s="301" t="str">
        <f t="shared" ca="1" si="319"/>
        <v>B</v>
      </c>
      <c r="EX78" s="301" t="str">
        <f t="shared" ca="1" si="319"/>
        <v>B</v>
      </c>
      <c r="EY78" s="301" t="str">
        <f t="shared" ca="1" si="319"/>
        <v>B</v>
      </c>
      <c r="EZ78" s="301" t="str">
        <f t="shared" ca="1" si="319"/>
        <v>B</v>
      </c>
      <c r="FA78" s="301" t="str">
        <f t="shared" ca="1" si="319"/>
        <v>B</v>
      </c>
      <c r="FB78" s="301" t="str">
        <f t="shared" ca="1" si="319"/>
        <v>B</v>
      </c>
      <c r="FC78" s="301" t="str">
        <f t="shared" ca="1" si="319"/>
        <v>B</v>
      </c>
      <c r="FD78" s="301" t="str">
        <f t="shared" ca="1" si="319"/>
        <v>B</v>
      </c>
      <c r="FE78" s="301" t="str">
        <f t="shared" ca="1" si="319"/>
        <v>B</v>
      </c>
      <c r="FF78" s="301" t="str">
        <f t="shared" ca="1" si="319"/>
        <v>B</v>
      </c>
      <c r="FG78" s="301" t="str">
        <f t="shared" ca="1" si="319"/>
        <v>B</v>
      </c>
      <c r="FH78" s="301" t="str">
        <f t="shared" ca="1" si="319"/>
        <v>B</v>
      </c>
      <c r="FI78" s="301" t="str">
        <f t="shared" ca="1" si="319"/>
        <v>B</v>
      </c>
      <c r="FJ78" s="301" t="str">
        <f t="shared" ca="1" si="319"/>
        <v>B</v>
      </c>
      <c r="FK78" s="301" t="str">
        <f t="shared" ca="1" si="319"/>
        <v>B</v>
      </c>
      <c r="FL78" s="301" t="str">
        <f t="shared" ca="1" si="319"/>
        <v>B</v>
      </c>
    </row>
    <row r="79" spans="1:168" x14ac:dyDescent="0.2">
      <c r="A79" s="70" t="str">
        <f t="shared" si="320"/>
        <v>Wettervorhersage</v>
      </c>
      <c r="B79" s="317" t="str">
        <f t="shared" ca="1" si="285"/>
        <v/>
      </c>
      <c r="C79" s="332" t="str">
        <f ca="1">IF(OR(NOT(ISBLANK(D79)),NOT(ISBLANK(HLOOKUP(RASSEGENE,RASSE,$CD79,FALSE))),
NOT(ISBLANK(HLOOKUP(KULTURGENE,KULTUR,$CD79,FALSE))),
NOT(OR(ISBLANK(HLOOKUP(PROFGENE,INDIRECT(PROFGEBIET),$CD79,FALSE)),$CS79="N",$CS79="M")),
IF(PROFZWEITE="",FALSE,NOT(ISBLANK(HLOOKUP(PROFZWEITE,INDIRECT(PROFGEBIET2),$CD79,FALSE))))),"x","")</f>
        <v/>
      </c>
      <c r="D79" s="1110"/>
      <c r="E79" s="966"/>
      <c r="F79" s="325"/>
      <c r="G79" s="958"/>
      <c r="H79" s="1196"/>
      <c r="I79" s="326"/>
      <c r="J79" s="1886" t="str">
        <f t="shared" ca="1" si="286"/>
        <v/>
      </c>
      <c r="K79" s="1887"/>
      <c r="L79" s="1887"/>
      <c r="M79" s="1887"/>
      <c r="N79" s="1888"/>
      <c r="O79" s="613" t="str">
        <f t="shared" ca="1" si="287"/>
        <v/>
      </c>
      <c r="P79" s="90"/>
      <c r="Q79" s="25"/>
      <c r="R79" s="1313"/>
      <c r="S79" s="1313"/>
      <c r="T79" s="1315"/>
      <c r="U79" s="1283"/>
      <c r="V79" s="628" t="str">
        <f t="shared" ca="1" si="288"/>
        <v/>
      </c>
      <c r="W79" s="164">
        <f t="shared" ca="1" si="289"/>
        <v>0</v>
      </c>
      <c r="X79" s="164">
        <f t="shared" ca="1" si="290"/>
        <v>0</v>
      </c>
      <c r="Y79" s="164">
        <f t="shared" ca="1" si="290"/>
        <v>0</v>
      </c>
      <c r="Z79" s="164">
        <f t="shared" ca="1" si="290"/>
        <v>0</v>
      </c>
      <c r="AA79" s="164">
        <f t="shared" ca="1" si="290"/>
        <v>0</v>
      </c>
      <c r="AB79" s="164">
        <f t="shared" ca="1" si="290"/>
        <v>0</v>
      </c>
      <c r="AC79" s="164">
        <f t="shared" ca="1" si="290"/>
        <v>0</v>
      </c>
      <c r="AD79" s="164">
        <f t="shared" ca="1" si="290"/>
        <v>0</v>
      </c>
      <c r="AE79" s="164">
        <f t="shared" ca="1" si="290"/>
        <v>0</v>
      </c>
      <c r="AF79" s="164">
        <f t="shared" ca="1" si="290"/>
        <v>0</v>
      </c>
      <c r="AG79" s="164">
        <f t="shared" ca="1" si="290"/>
        <v>0</v>
      </c>
      <c r="AH79" s="164">
        <f t="shared" ca="1" si="291"/>
        <v>0</v>
      </c>
      <c r="AI79" s="164">
        <f t="shared" ca="1" si="291"/>
        <v>0</v>
      </c>
      <c r="AJ79" s="164">
        <f t="shared" ca="1" si="291"/>
        <v>0</v>
      </c>
      <c r="AK79" s="164">
        <f t="shared" ca="1" si="291"/>
        <v>0</v>
      </c>
      <c r="AL79" s="164">
        <f t="shared" ca="1" si="291"/>
        <v>0</v>
      </c>
      <c r="AM79" s="164">
        <f t="shared" ca="1" si="291"/>
        <v>0</v>
      </c>
      <c r="AN79" s="164">
        <f t="shared" ca="1" si="291"/>
        <v>0</v>
      </c>
      <c r="AO79" s="164">
        <f t="shared" ca="1" si="291"/>
        <v>0</v>
      </c>
      <c r="AP79" s="164">
        <f t="shared" ca="1" si="291"/>
        <v>0</v>
      </c>
      <c r="AQ79" s="164">
        <f t="shared" ca="1" si="291"/>
        <v>0</v>
      </c>
      <c r="AR79" s="164">
        <f t="shared" ca="1" si="292"/>
        <v>0</v>
      </c>
      <c r="AS79" s="195"/>
      <c r="AT79" s="154">
        <f t="shared" ca="1" si="293"/>
        <v>0</v>
      </c>
      <c r="AU79" s="154">
        <f t="shared" ca="1" si="294"/>
        <v>0</v>
      </c>
      <c r="AV79" s="154">
        <f t="shared" ca="1" si="294"/>
        <v>0</v>
      </c>
      <c r="AW79" s="154">
        <f t="shared" ca="1" si="294"/>
        <v>0</v>
      </c>
      <c r="AX79" s="154">
        <f t="shared" ca="1" si="294"/>
        <v>0</v>
      </c>
      <c r="AY79" s="154">
        <f t="shared" ca="1" si="294"/>
        <v>0</v>
      </c>
      <c r="AZ79" s="154">
        <f t="shared" ca="1" si="294"/>
        <v>0</v>
      </c>
      <c r="BA79" s="154">
        <f t="shared" ca="1" si="294"/>
        <v>0</v>
      </c>
      <c r="BB79" s="154">
        <f t="shared" ca="1" si="294"/>
        <v>0</v>
      </c>
      <c r="BC79" s="154">
        <f t="shared" ca="1" si="294"/>
        <v>0</v>
      </c>
      <c r="BD79" s="154">
        <f t="shared" ca="1" si="294"/>
        <v>0</v>
      </c>
      <c r="BE79" s="154">
        <f t="shared" ca="1" si="295"/>
        <v>0</v>
      </c>
      <c r="BF79" s="154">
        <f t="shared" ca="1" si="295"/>
        <v>0</v>
      </c>
      <c r="BG79" s="154">
        <f t="shared" ca="1" si="295"/>
        <v>0</v>
      </c>
      <c r="BH79" s="154">
        <f t="shared" ca="1" si="295"/>
        <v>0</v>
      </c>
      <c r="BI79" s="154">
        <f t="shared" ca="1" si="295"/>
        <v>0</v>
      </c>
      <c r="BJ79" s="154">
        <f t="shared" ca="1" si="295"/>
        <v>0</v>
      </c>
      <c r="BK79" s="154">
        <f t="shared" ca="1" si="295"/>
        <v>0</v>
      </c>
      <c r="BL79" s="154">
        <f t="shared" ca="1" si="295"/>
        <v>0</v>
      </c>
      <c r="BM79" s="154">
        <f t="shared" ca="1" si="295"/>
        <v>0</v>
      </c>
      <c r="BN79" s="154">
        <f t="shared" ca="1" si="295"/>
        <v>0</v>
      </c>
      <c r="BO79" s="154">
        <f t="shared" ca="1" si="296"/>
        <v>0</v>
      </c>
      <c r="BP79" s="154">
        <f t="shared" ca="1" si="296"/>
        <v>0</v>
      </c>
      <c r="BQ79" s="154">
        <f t="shared" ca="1" si="296"/>
        <v>0</v>
      </c>
      <c r="BR79" s="154">
        <f t="shared" ca="1" si="296"/>
        <v>0</v>
      </c>
      <c r="BS79" s="154">
        <f t="shared" ca="1" si="296"/>
        <v>0</v>
      </c>
      <c r="BT79" s="154">
        <f t="shared" ca="1" si="296"/>
        <v>0</v>
      </c>
      <c r="BU79" s="154">
        <f t="shared" ca="1" si="296"/>
        <v>0</v>
      </c>
      <c r="BV79" s="154">
        <f t="shared" ca="1" si="296"/>
        <v>0</v>
      </c>
      <c r="BW79" s="154">
        <f t="shared" ca="1" si="296"/>
        <v>0</v>
      </c>
      <c r="BX79" s="154">
        <f t="shared" ca="1" si="296"/>
        <v>0</v>
      </c>
      <c r="BY79" s="154">
        <f t="shared" ca="1" si="297"/>
        <v>0</v>
      </c>
      <c r="BZ79" s="154">
        <f t="shared" si="298"/>
        <v>0</v>
      </c>
      <c r="CA79" s="154">
        <f t="shared" si="299"/>
        <v>0</v>
      </c>
      <c r="CB79" s="154">
        <f t="shared" ca="1" si="300"/>
        <v>0</v>
      </c>
      <c r="CC79" s="523"/>
      <c r="CD79" s="355">
        <f t="shared" si="301"/>
        <v>105</v>
      </c>
      <c r="CE79" s="268" t="str">
        <f t="shared" ca="1" si="302"/>
        <v>B</v>
      </c>
      <c r="CF79" s="355" t="str">
        <f ca="1">IF(EXACT($B79,""),$CF78,CONCATENATE($CF78,$A79))</f>
        <v/>
      </c>
      <c r="CG79" s="268"/>
      <c r="CH79" s="268"/>
      <c r="CI79" s="269">
        <f t="shared" ca="1" si="303"/>
        <v>0</v>
      </c>
      <c r="CJ79" s="269">
        <f t="shared" ca="1" si="304"/>
        <v>0</v>
      </c>
      <c r="CK79" s="268"/>
      <c r="CL79" s="268"/>
      <c r="CM79" s="268">
        <f t="shared" ref="CM79:CM142" si="327">IF(CP79,0,1)</f>
        <v>0</v>
      </c>
      <c r="CN79" s="269">
        <f t="shared" ref="CN79:CN142" ca="1" si="328">SUM(CI79:CM79)</f>
        <v>0</v>
      </c>
      <c r="CO79" s="268" t="str">
        <f t="shared" ca="1" si="305"/>
        <v>B</v>
      </c>
      <c r="CP79" s="271" t="b">
        <f>TRUE</f>
        <v>1</v>
      </c>
      <c r="CQ79" s="269">
        <f t="shared" si="306"/>
        <v>0</v>
      </c>
      <c r="CR79" s="269">
        <f t="shared" si="307"/>
        <v>0</v>
      </c>
      <c r="CS79" s="269">
        <f t="shared" ca="1" si="308"/>
        <v>0</v>
      </c>
      <c r="CT79" s="302" t="str">
        <f t="shared" ca="1" si="309"/>
        <v>0</v>
      </c>
      <c r="CU79" s="269">
        <f t="shared" ca="1" si="310"/>
        <v>0</v>
      </c>
      <c r="CV79" s="268"/>
      <c r="CW79" s="269">
        <f t="shared" ca="1" si="311"/>
        <v>0</v>
      </c>
      <c r="CX79" s="301">
        <f t="shared" ca="1" si="312"/>
        <v>0</v>
      </c>
      <c r="CY79" s="301">
        <f t="shared" ref="CY79:CY142" ca="1" si="329">IF(B79="",0,VALUE(B79))+IF(G79="",0,VALUE(G79))- IF(H79="",0,VALUE(H79))</f>
        <v>0</v>
      </c>
      <c r="CZ79" s="301">
        <f t="shared" ca="1" si="313"/>
        <v>0</v>
      </c>
      <c r="DA79" s="301">
        <f t="shared" ca="1" si="314"/>
        <v>0</v>
      </c>
      <c r="DC79" s="301" t="str">
        <f t="shared" ca="1" si="315"/>
        <v/>
      </c>
      <c r="DD79" s="1337" t="str">
        <f t="shared" ca="1" si="321"/>
        <v/>
      </c>
      <c r="DE79" s="1337" t="str">
        <f t="shared" ca="1" si="322"/>
        <v/>
      </c>
      <c r="DG79" s="269" t="str">
        <f t="shared" ca="1" si="316"/>
        <v>Tabellen_Andere!BA130:BF130</v>
      </c>
      <c r="DH79" s="269" t="str">
        <f t="shared" si="317"/>
        <v>Tabellen_Andere!BA130:BF130</v>
      </c>
      <c r="DI79" s="269" t="str">
        <f ca="1">IF(NOT(ISERR(FIND(A79,Abfragen!$O$264,1))),MID(Abfragen!$O$264,FIND("(",Abfragen!$O$264,FIND(A79,Abfragen!$O$264,1)+LEN(A79))+1,FIND(")",Abfragen!$O$264,FIND(A79,Abfragen!$O$264,1)+LEN(A79))-FIND("(",Abfragen!$O$264,FIND(A79,Abfragen!$O$264,1)+LEN(A79))-1),"")</f>
        <v/>
      </c>
      <c r="DJ79" s="301" t="str">
        <f t="shared" ca="1" si="318"/>
        <v>B</v>
      </c>
      <c r="DK79" s="301" t="str">
        <f t="shared" ca="1" si="318"/>
        <v>B</v>
      </c>
      <c r="DL79" s="301" t="str">
        <f t="shared" ca="1" si="318"/>
        <v>B</v>
      </c>
      <c r="DM79" s="301" t="str">
        <f t="shared" ca="1" si="318"/>
        <v>B</v>
      </c>
      <c r="DN79" s="301" t="str">
        <f t="shared" ca="1" si="318"/>
        <v>B</v>
      </c>
      <c r="DO79" s="301" t="str">
        <f t="shared" ca="1" si="318"/>
        <v>B</v>
      </c>
      <c r="DP79" s="301" t="str">
        <f t="shared" ca="1" si="318"/>
        <v>B</v>
      </c>
      <c r="DQ79" s="301" t="str">
        <f t="shared" ca="1" si="318"/>
        <v>B</v>
      </c>
      <c r="DR79" s="301" t="str">
        <f t="shared" ca="1" si="318"/>
        <v>B</v>
      </c>
      <c r="DS79" s="301" t="str">
        <f t="shared" ca="1" si="318"/>
        <v>B</v>
      </c>
      <c r="DT79" s="301" t="str">
        <f t="shared" ca="1" si="318"/>
        <v>B</v>
      </c>
      <c r="DU79" s="301" t="str">
        <f t="shared" ca="1" si="318"/>
        <v>B</v>
      </c>
      <c r="DV79" s="301" t="str">
        <f t="shared" ca="1" si="318"/>
        <v>B</v>
      </c>
      <c r="DW79" s="301" t="str">
        <f t="shared" ca="1" si="318"/>
        <v>B</v>
      </c>
      <c r="DX79" s="301" t="str">
        <f t="shared" ca="1" si="318"/>
        <v>B</v>
      </c>
      <c r="DY79" s="301" t="str">
        <f t="shared" ca="1" si="318"/>
        <v>B</v>
      </c>
      <c r="DZ79" s="301" t="str">
        <f t="shared" ca="1" si="326"/>
        <v>B</v>
      </c>
      <c r="EA79" s="301" t="str">
        <f t="shared" ca="1" si="326"/>
        <v>B</v>
      </c>
      <c r="EB79" s="301" t="str">
        <f t="shared" ca="1" si="326"/>
        <v>B</v>
      </c>
      <c r="EC79" s="301" t="str">
        <f t="shared" ca="1" si="326"/>
        <v>B</v>
      </c>
      <c r="ED79" s="301" t="str">
        <f t="shared" ca="1" si="324"/>
        <v>B</v>
      </c>
      <c r="EE79" s="301" t="str">
        <f t="shared" ca="1" si="324"/>
        <v>B</v>
      </c>
      <c r="EF79" s="205"/>
      <c r="EG79" s="301" t="str">
        <f t="shared" ca="1" si="325"/>
        <v>B</v>
      </c>
      <c r="EH79" s="301" t="str">
        <f t="shared" ca="1" si="319"/>
        <v>B</v>
      </c>
      <c r="EI79" s="301" t="str">
        <f t="shared" ca="1" si="319"/>
        <v>B</v>
      </c>
      <c r="EJ79" s="301" t="str">
        <f t="shared" ca="1" si="319"/>
        <v>B</v>
      </c>
      <c r="EK79" s="301" t="str">
        <f t="shared" ca="1" si="319"/>
        <v>B</v>
      </c>
      <c r="EL79" s="301" t="str">
        <f t="shared" ca="1" si="319"/>
        <v>B</v>
      </c>
      <c r="EM79" s="301" t="str">
        <f t="shared" ca="1" si="319"/>
        <v>B</v>
      </c>
      <c r="EN79" s="301" t="str">
        <f t="shared" ca="1" si="319"/>
        <v>B</v>
      </c>
      <c r="EO79" s="301" t="str">
        <f t="shared" ca="1" si="319"/>
        <v>B</v>
      </c>
      <c r="EP79" s="301" t="str">
        <f t="shared" ca="1" si="319"/>
        <v>B</v>
      </c>
      <c r="EQ79" s="301" t="str">
        <f t="shared" ca="1" si="319"/>
        <v>B</v>
      </c>
      <c r="ER79" s="301" t="str">
        <f t="shared" ca="1" si="319"/>
        <v>B</v>
      </c>
      <c r="ES79" s="301" t="str">
        <f t="shared" ca="1" si="319"/>
        <v>B</v>
      </c>
      <c r="ET79" s="301" t="str">
        <f t="shared" ca="1" si="319"/>
        <v>B</v>
      </c>
      <c r="EU79" s="301" t="str">
        <f t="shared" ca="1" si="319"/>
        <v>B</v>
      </c>
      <c r="EV79" s="301" t="str">
        <f t="shared" ca="1" si="319"/>
        <v>B</v>
      </c>
      <c r="EW79" s="301" t="str">
        <f t="shared" ca="1" si="319"/>
        <v>B</v>
      </c>
      <c r="EX79" s="301" t="str">
        <f t="shared" ca="1" si="319"/>
        <v>B</v>
      </c>
      <c r="EY79" s="301" t="str">
        <f t="shared" ca="1" si="319"/>
        <v>B</v>
      </c>
      <c r="EZ79" s="301" t="str">
        <f t="shared" ca="1" si="319"/>
        <v>B</v>
      </c>
      <c r="FA79" s="301" t="str">
        <f t="shared" ca="1" si="319"/>
        <v>B</v>
      </c>
      <c r="FB79" s="301" t="str">
        <f t="shared" ca="1" si="319"/>
        <v>B</v>
      </c>
      <c r="FC79" s="301" t="str">
        <f t="shared" ca="1" si="319"/>
        <v>B</v>
      </c>
      <c r="FD79" s="301" t="str">
        <f t="shared" ca="1" si="319"/>
        <v>B</v>
      </c>
      <c r="FE79" s="301" t="str">
        <f t="shared" ca="1" si="319"/>
        <v>B</v>
      </c>
      <c r="FF79" s="301" t="str">
        <f t="shared" ca="1" si="319"/>
        <v>B</v>
      </c>
      <c r="FG79" s="301" t="str">
        <f t="shared" ca="1" si="319"/>
        <v>B</v>
      </c>
      <c r="FH79" s="301" t="str">
        <f t="shared" ca="1" si="319"/>
        <v>B</v>
      </c>
      <c r="FI79" s="301" t="str">
        <f t="shared" ca="1" si="319"/>
        <v>B</v>
      </c>
      <c r="FJ79" s="301" t="str">
        <f t="shared" ca="1" si="319"/>
        <v>B</v>
      </c>
      <c r="FK79" s="301" t="str">
        <f t="shared" ca="1" si="319"/>
        <v>B</v>
      </c>
      <c r="FL79" s="301" t="str">
        <f t="shared" ca="1" si="319"/>
        <v>B</v>
      </c>
    </row>
    <row r="80" spans="1:168" x14ac:dyDescent="0.2">
      <c r="A80" s="70" t="str">
        <f t="shared" si="320"/>
        <v>Wildnisleben</v>
      </c>
      <c r="B80" s="317">
        <f t="shared" ca="1" si="285"/>
        <v>0</v>
      </c>
      <c r="C80" s="332" t="s">
        <v>1321</v>
      </c>
      <c r="D80" s="1110"/>
      <c r="E80" s="966"/>
      <c r="F80" s="325"/>
      <c r="G80" s="963"/>
      <c r="H80" s="1196"/>
      <c r="I80" s="326"/>
      <c r="J80" s="1944" t="str">
        <f t="shared" ca="1" si="286"/>
        <v/>
      </c>
      <c r="K80" s="1945"/>
      <c r="L80" s="1945"/>
      <c r="M80" s="1945"/>
      <c r="N80" s="1946"/>
      <c r="O80" s="613">
        <f t="shared" ca="1" si="287"/>
        <v>0</v>
      </c>
      <c r="P80" s="90"/>
      <c r="Q80" s="25"/>
      <c r="R80" s="1313"/>
      <c r="S80" s="1313"/>
      <c r="T80" s="1315"/>
      <c r="U80" s="1283"/>
      <c r="V80" s="628" t="str">
        <f t="shared" ca="1" si="288"/>
        <v/>
      </c>
      <c r="W80" s="164">
        <f t="shared" ca="1" si="289"/>
        <v>0</v>
      </c>
      <c r="X80" s="164">
        <f t="shared" ca="1" si="290"/>
        <v>0</v>
      </c>
      <c r="Y80" s="164">
        <f t="shared" ca="1" si="290"/>
        <v>0</v>
      </c>
      <c r="Z80" s="164">
        <f t="shared" ca="1" si="290"/>
        <v>0</v>
      </c>
      <c r="AA80" s="164">
        <f t="shared" ca="1" si="290"/>
        <v>0</v>
      </c>
      <c r="AB80" s="164">
        <f t="shared" ca="1" si="290"/>
        <v>0</v>
      </c>
      <c r="AC80" s="164">
        <f t="shared" ca="1" si="290"/>
        <v>0</v>
      </c>
      <c r="AD80" s="164">
        <f t="shared" ca="1" si="290"/>
        <v>0</v>
      </c>
      <c r="AE80" s="164">
        <f t="shared" ca="1" si="290"/>
        <v>0</v>
      </c>
      <c r="AF80" s="164">
        <f t="shared" ca="1" si="290"/>
        <v>0</v>
      </c>
      <c r="AG80" s="164">
        <f t="shared" ca="1" si="290"/>
        <v>0</v>
      </c>
      <c r="AH80" s="164">
        <f t="shared" ca="1" si="291"/>
        <v>0</v>
      </c>
      <c r="AI80" s="164">
        <f t="shared" ca="1" si="291"/>
        <v>0</v>
      </c>
      <c r="AJ80" s="164">
        <f t="shared" ca="1" si="291"/>
        <v>0</v>
      </c>
      <c r="AK80" s="164">
        <f t="shared" ca="1" si="291"/>
        <v>0</v>
      </c>
      <c r="AL80" s="164">
        <f t="shared" ca="1" si="291"/>
        <v>0</v>
      </c>
      <c r="AM80" s="164">
        <f t="shared" ca="1" si="291"/>
        <v>0</v>
      </c>
      <c r="AN80" s="164">
        <f t="shared" ca="1" si="291"/>
        <v>0</v>
      </c>
      <c r="AO80" s="164">
        <f t="shared" ca="1" si="291"/>
        <v>0</v>
      </c>
      <c r="AP80" s="164">
        <f t="shared" ca="1" si="291"/>
        <v>0</v>
      </c>
      <c r="AQ80" s="164">
        <f t="shared" ca="1" si="291"/>
        <v>0</v>
      </c>
      <c r="AR80" s="164">
        <f t="shared" ca="1" si="292"/>
        <v>0</v>
      </c>
      <c r="AS80" s="195"/>
      <c r="AT80" s="154">
        <f t="shared" ca="1" si="293"/>
        <v>0</v>
      </c>
      <c r="AU80" s="154">
        <f t="shared" ca="1" si="294"/>
        <v>0</v>
      </c>
      <c r="AV80" s="154">
        <f t="shared" ca="1" si="294"/>
        <v>0</v>
      </c>
      <c r="AW80" s="154">
        <f t="shared" ca="1" si="294"/>
        <v>0</v>
      </c>
      <c r="AX80" s="154">
        <f t="shared" ca="1" si="294"/>
        <v>0</v>
      </c>
      <c r="AY80" s="154">
        <f t="shared" ca="1" si="294"/>
        <v>0</v>
      </c>
      <c r="AZ80" s="154">
        <f t="shared" ca="1" si="294"/>
        <v>0</v>
      </c>
      <c r="BA80" s="154">
        <f t="shared" ca="1" si="294"/>
        <v>0</v>
      </c>
      <c r="BB80" s="154">
        <f t="shared" ca="1" si="294"/>
        <v>0</v>
      </c>
      <c r="BC80" s="154">
        <f t="shared" ca="1" si="294"/>
        <v>0</v>
      </c>
      <c r="BD80" s="154">
        <f t="shared" ca="1" si="294"/>
        <v>0</v>
      </c>
      <c r="BE80" s="154">
        <f t="shared" ca="1" si="295"/>
        <v>0</v>
      </c>
      <c r="BF80" s="154">
        <f t="shared" ca="1" si="295"/>
        <v>0</v>
      </c>
      <c r="BG80" s="154">
        <f t="shared" ca="1" si="295"/>
        <v>0</v>
      </c>
      <c r="BH80" s="154">
        <f t="shared" ca="1" si="295"/>
        <v>0</v>
      </c>
      <c r="BI80" s="154">
        <f t="shared" ca="1" si="295"/>
        <v>0</v>
      </c>
      <c r="BJ80" s="154">
        <f t="shared" ca="1" si="295"/>
        <v>0</v>
      </c>
      <c r="BK80" s="154">
        <f t="shared" ca="1" si="295"/>
        <v>0</v>
      </c>
      <c r="BL80" s="154">
        <f t="shared" ca="1" si="295"/>
        <v>0</v>
      </c>
      <c r="BM80" s="154">
        <f t="shared" ca="1" si="295"/>
        <v>0</v>
      </c>
      <c r="BN80" s="154">
        <f t="shared" ca="1" si="295"/>
        <v>0</v>
      </c>
      <c r="BO80" s="154">
        <f t="shared" ca="1" si="296"/>
        <v>0</v>
      </c>
      <c r="BP80" s="154">
        <f t="shared" ca="1" si="296"/>
        <v>0</v>
      </c>
      <c r="BQ80" s="154">
        <f t="shared" ca="1" si="296"/>
        <v>0</v>
      </c>
      <c r="BR80" s="154">
        <f t="shared" ca="1" si="296"/>
        <v>0</v>
      </c>
      <c r="BS80" s="154">
        <f t="shared" ca="1" si="296"/>
        <v>0</v>
      </c>
      <c r="BT80" s="154">
        <f t="shared" ca="1" si="296"/>
        <v>0</v>
      </c>
      <c r="BU80" s="154">
        <f t="shared" ca="1" si="296"/>
        <v>0</v>
      </c>
      <c r="BV80" s="154">
        <f t="shared" ca="1" si="296"/>
        <v>0</v>
      </c>
      <c r="BW80" s="154">
        <f t="shared" ca="1" si="296"/>
        <v>0</v>
      </c>
      <c r="BX80" s="154">
        <f t="shared" ca="1" si="296"/>
        <v>0</v>
      </c>
      <c r="BY80" s="154">
        <f t="shared" ca="1" si="297"/>
        <v>0</v>
      </c>
      <c r="BZ80" s="154">
        <f t="shared" si="298"/>
        <v>0</v>
      </c>
      <c r="CA80" s="154">
        <f t="shared" si="299"/>
        <v>0</v>
      </c>
      <c r="CB80" s="154">
        <f t="shared" ca="1" si="300"/>
        <v>0</v>
      </c>
      <c r="CC80" s="523"/>
      <c r="CD80" s="355">
        <f t="shared" si="301"/>
        <v>106</v>
      </c>
      <c r="CE80" s="268" t="str">
        <f t="shared" ca="1" si="302"/>
        <v>B</v>
      </c>
      <c r="CF80" s="355"/>
      <c r="CG80" s="268"/>
      <c r="CH80" s="268"/>
      <c r="CI80" s="269">
        <f t="shared" ca="1" si="303"/>
        <v>0</v>
      </c>
      <c r="CJ80" s="269">
        <f t="shared" ca="1" si="304"/>
        <v>0</v>
      </c>
      <c r="CK80" s="268"/>
      <c r="CL80" s="268"/>
      <c r="CM80" s="268">
        <f t="shared" ca="1" si="327"/>
        <v>0</v>
      </c>
      <c r="CN80" s="269">
        <f t="shared" ca="1" si="328"/>
        <v>0</v>
      </c>
      <c r="CO80" s="268" t="str">
        <f t="shared" ca="1" si="305"/>
        <v>B</v>
      </c>
      <c r="CP80" s="269" t="b">
        <f ca="1">IF(NT_ELFWELT,
IF(OR(
RIGHT(HLOOKUP(PROFGENE,INDIRECT(PROFGEBIET),$CD80,FALSE),1)="L",
RIGHT(HLOOKUP(KULTURGENE,KULTUR,$CD80,FALSE),1)="L",
RIGHT(D80)="L"),TRUE,FALSE),
TRUE)</f>
        <v>1</v>
      </c>
      <c r="CQ80" s="269">
        <f t="shared" si="306"/>
        <v>0</v>
      </c>
      <c r="CR80" s="269">
        <f t="shared" si="307"/>
        <v>0</v>
      </c>
      <c r="CS80" s="269">
        <f t="shared" ca="1" si="308"/>
        <v>0</v>
      </c>
      <c r="CT80" s="302" t="str">
        <f t="shared" ca="1" si="309"/>
        <v>0</v>
      </c>
      <c r="CU80" s="269">
        <f t="shared" ca="1" si="310"/>
        <v>0</v>
      </c>
      <c r="CV80" s="268"/>
      <c r="CW80" s="269">
        <f t="shared" ca="1" si="311"/>
        <v>0</v>
      </c>
      <c r="CX80" s="301">
        <f t="shared" ca="1" si="312"/>
        <v>0</v>
      </c>
      <c r="CY80" s="301">
        <f t="shared" ca="1" si="329"/>
        <v>0</v>
      </c>
      <c r="CZ80" s="301">
        <f t="shared" ca="1" si="313"/>
        <v>0</v>
      </c>
      <c r="DA80" s="301">
        <f t="shared" ca="1" si="314"/>
        <v>0</v>
      </c>
      <c r="DC80" s="301" t="str">
        <f t="shared" ca="1" si="315"/>
        <v/>
      </c>
      <c r="DD80" s="1337" t="str">
        <f t="shared" ca="1" si="321"/>
        <v/>
      </c>
      <c r="DE80" s="1337" t="str">
        <f t="shared" ca="1" si="322"/>
        <v/>
      </c>
      <c r="DG80" s="269" t="str">
        <f t="shared" ca="1" si="316"/>
        <v>Tabellen_Andere!BA131:BF131</v>
      </c>
      <c r="DH80" s="269" t="str">
        <f t="shared" si="317"/>
        <v>Tabellen_Andere!BA131:BF131</v>
      </c>
      <c r="DI80" s="269" t="str">
        <f ca="1">IF(NOT(ISERR(FIND(A80,Abfragen!$O$264,1))),MID(Abfragen!$O$264,FIND("(",Abfragen!$O$264,FIND(A80,Abfragen!$O$264,1)+LEN(A80))+1,FIND(")",Abfragen!$O$264,FIND(A80,Abfragen!$O$264,1)+LEN(A80))-FIND("(",Abfragen!$O$264,FIND(A80,Abfragen!$O$264,1)+LEN(A80))-1),"")</f>
        <v/>
      </c>
      <c r="DJ80" s="301" t="str">
        <f t="shared" ca="1" si="318"/>
        <v>B</v>
      </c>
      <c r="DK80" s="301" t="str">
        <f t="shared" ca="1" si="318"/>
        <v>B</v>
      </c>
      <c r="DL80" s="301" t="str">
        <f t="shared" ca="1" si="318"/>
        <v>B</v>
      </c>
      <c r="DM80" s="301" t="str">
        <f t="shared" ca="1" si="318"/>
        <v>B</v>
      </c>
      <c r="DN80" s="301" t="str">
        <f t="shared" ca="1" si="318"/>
        <v>B</v>
      </c>
      <c r="DO80" s="301" t="str">
        <f t="shared" ca="1" si="318"/>
        <v>B</v>
      </c>
      <c r="DP80" s="301" t="str">
        <f t="shared" ca="1" si="318"/>
        <v>B</v>
      </c>
      <c r="DQ80" s="301" t="str">
        <f t="shared" ca="1" si="318"/>
        <v>B</v>
      </c>
      <c r="DR80" s="301" t="str">
        <f t="shared" ca="1" si="318"/>
        <v>B</v>
      </c>
      <c r="DS80" s="301" t="str">
        <f t="shared" ca="1" si="318"/>
        <v>B</v>
      </c>
      <c r="DT80" s="301" t="str">
        <f t="shared" ca="1" si="318"/>
        <v>B</v>
      </c>
      <c r="DU80" s="301" t="str">
        <f t="shared" ca="1" si="318"/>
        <v>B</v>
      </c>
      <c r="DV80" s="301" t="str">
        <f t="shared" ca="1" si="318"/>
        <v>B</v>
      </c>
      <c r="DW80" s="301" t="str">
        <f t="shared" ca="1" si="318"/>
        <v>B</v>
      </c>
      <c r="DX80" s="301" t="str">
        <f t="shared" ca="1" si="318"/>
        <v>B</v>
      </c>
      <c r="DY80" s="301" t="str">
        <f t="shared" ca="1" si="318"/>
        <v>B</v>
      </c>
      <c r="DZ80" s="301" t="str">
        <f t="shared" ca="1" si="326"/>
        <v>B</v>
      </c>
      <c r="EA80" s="301" t="str">
        <f t="shared" ca="1" si="326"/>
        <v>B</v>
      </c>
      <c r="EB80" s="301" t="str">
        <f t="shared" ca="1" si="326"/>
        <v>B</v>
      </c>
      <c r="EC80" s="301" t="str">
        <f t="shared" ca="1" si="326"/>
        <v>B</v>
      </c>
      <c r="ED80" s="301" t="str">
        <f t="shared" ca="1" si="324"/>
        <v>B</v>
      </c>
      <c r="EE80" s="301" t="str">
        <f t="shared" ca="1" si="324"/>
        <v>B</v>
      </c>
      <c r="EF80" s="205"/>
      <c r="EG80" s="301" t="str">
        <f t="shared" ca="1" si="325"/>
        <v>B</v>
      </c>
      <c r="EH80" s="301" t="str">
        <f t="shared" ca="1" si="319"/>
        <v>B</v>
      </c>
      <c r="EI80" s="301" t="str">
        <f t="shared" ca="1" si="319"/>
        <v>B</v>
      </c>
      <c r="EJ80" s="301" t="str">
        <f t="shared" ca="1" si="319"/>
        <v>B</v>
      </c>
      <c r="EK80" s="301" t="str">
        <f t="shared" ca="1" si="319"/>
        <v>B</v>
      </c>
      <c r="EL80" s="301" t="str">
        <f t="shared" ca="1" si="319"/>
        <v>B</v>
      </c>
      <c r="EM80" s="301" t="str">
        <f t="shared" ca="1" si="319"/>
        <v>B</v>
      </c>
      <c r="EN80" s="301" t="str">
        <f t="shared" ca="1" si="319"/>
        <v>B</v>
      </c>
      <c r="EO80" s="301" t="str">
        <f t="shared" ca="1" si="319"/>
        <v>B</v>
      </c>
      <c r="EP80" s="301" t="str">
        <f t="shared" ca="1" si="319"/>
        <v>B</v>
      </c>
      <c r="EQ80" s="301" t="str">
        <f t="shared" ca="1" si="319"/>
        <v>B</v>
      </c>
      <c r="ER80" s="301" t="str">
        <f t="shared" ca="1" si="319"/>
        <v>B</v>
      </c>
      <c r="ES80" s="301" t="str">
        <f t="shared" ca="1" si="319"/>
        <v>B</v>
      </c>
      <c r="ET80" s="301" t="str">
        <f t="shared" ca="1" si="319"/>
        <v>B</v>
      </c>
      <c r="EU80" s="301" t="str">
        <f t="shared" ca="1" si="319"/>
        <v>B</v>
      </c>
      <c r="EV80" s="301" t="str">
        <f t="shared" ca="1" si="319"/>
        <v>B</v>
      </c>
      <c r="EW80" s="301" t="str">
        <f t="shared" ca="1" si="319"/>
        <v>B</v>
      </c>
      <c r="EX80" s="301" t="str">
        <f t="shared" ca="1" si="319"/>
        <v>B</v>
      </c>
      <c r="EY80" s="301" t="str">
        <f t="shared" ca="1" si="319"/>
        <v>B</v>
      </c>
      <c r="EZ80" s="301" t="str">
        <f t="shared" ca="1" si="319"/>
        <v>B</v>
      </c>
      <c r="FA80" s="301" t="str">
        <f t="shared" ca="1" si="319"/>
        <v>B</v>
      </c>
      <c r="FB80" s="301" t="str">
        <f t="shared" ca="1" si="319"/>
        <v>B</v>
      </c>
      <c r="FC80" s="301" t="str">
        <f t="shared" ca="1" si="319"/>
        <v>B</v>
      </c>
      <c r="FD80" s="301" t="str">
        <f t="shared" ca="1" si="319"/>
        <v>B</v>
      </c>
      <c r="FE80" s="301" t="str">
        <f t="shared" ca="1" si="319"/>
        <v>B</v>
      </c>
      <c r="FF80" s="301" t="str">
        <f t="shared" ca="1" si="319"/>
        <v>B</v>
      </c>
      <c r="FG80" s="301" t="str">
        <f t="shared" ca="1" si="319"/>
        <v>B</v>
      </c>
      <c r="FH80" s="301" t="str">
        <f t="shared" ca="1" si="319"/>
        <v>B</v>
      </c>
      <c r="FI80" s="301" t="str">
        <f t="shared" ca="1" si="319"/>
        <v>B</v>
      </c>
      <c r="FJ80" s="301" t="str">
        <f t="shared" ca="1" si="319"/>
        <v>B</v>
      </c>
      <c r="FK80" s="301" t="str">
        <f t="shared" ca="1" si="319"/>
        <v>B</v>
      </c>
      <c r="FL80" s="301" t="str">
        <f t="shared" ca="1" si="319"/>
        <v>B</v>
      </c>
    </row>
    <row r="81" spans="1:168" ht="15.75" x14ac:dyDescent="0.25">
      <c r="A81" s="300" t="str">
        <f>INDEX(BEGABUNFAEH,7)</f>
        <v>Wissenstalente</v>
      </c>
      <c r="B81" s="131"/>
      <c r="C81" s="1456" t="str">
        <f ca="1">IF(OR(VT_VETERAN,VT_BBILDUNG),
IF(COUNTIF($W$13:$W$157,"&lt;&gt;0")&gt;8,"Mehr als 8 Talente aktiviert",""),
IF(COUNTIF($W$13:$W$157,"&lt;&gt;0")&gt;5,"Mehr als 5 Talente aktiviert",""))</f>
        <v/>
      </c>
      <c r="D81" s="1456"/>
      <c r="E81" s="1456"/>
      <c r="F81" s="1456"/>
      <c r="G81" s="1456"/>
      <c r="H81" s="1456"/>
      <c r="I81" s="1456"/>
      <c r="J81" s="1879" t="str">
        <f ca="1">IF(APGUT&lt;0,"Keine AP mehr übrig!",IF(TL_GP_UEBRIG&lt;0,"Keine Start-AP mehr übrig!",IF(STARTAP2_UEBRIG&lt;0,"Keine 2. Prof.-Start-AP mehr übrig!","▼ Fehlermeldungen ▼  "&amp;"(AP: "&amp;APGUT&amp;")")))</f>
        <v>▼ Fehlermeldungen ▼  (AP: 0)</v>
      </c>
      <c r="K81" s="1879"/>
      <c r="L81" s="1879"/>
      <c r="M81" s="1879"/>
      <c r="N81" s="1879"/>
      <c r="O81" s="749" t="s">
        <v>718</v>
      </c>
      <c r="P81" s="90"/>
      <c r="Q81" s="25"/>
      <c r="R81" s="1126"/>
      <c r="S81" s="1126"/>
      <c r="T81" s="1126"/>
      <c r="U81" s="1126"/>
      <c r="V81" s="1126" t="s">
        <v>2638</v>
      </c>
      <c r="W81" s="134">
        <v>0</v>
      </c>
      <c r="X81" s="6">
        <v>1</v>
      </c>
      <c r="Y81" s="6">
        <v>2</v>
      </c>
      <c r="Z81" s="6">
        <v>3</v>
      </c>
      <c r="AA81" s="6">
        <v>4</v>
      </c>
      <c r="AB81" s="6">
        <v>5</v>
      </c>
      <c r="AC81" s="6">
        <v>6</v>
      </c>
      <c r="AD81" s="6">
        <v>7</v>
      </c>
      <c r="AE81" s="6">
        <v>8</v>
      </c>
      <c r="AF81" s="6">
        <v>9</v>
      </c>
      <c r="AG81" s="6">
        <v>10</v>
      </c>
      <c r="AH81" s="6">
        <v>11</v>
      </c>
      <c r="AI81" s="6">
        <v>12</v>
      </c>
      <c r="AJ81" s="6">
        <v>13</v>
      </c>
      <c r="AK81" s="6">
        <v>14</v>
      </c>
      <c r="AL81" s="6">
        <v>15</v>
      </c>
      <c r="AM81" s="6">
        <v>16</v>
      </c>
      <c r="AN81" s="6">
        <v>17</v>
      </c>
      <c r="AO81" s="6">
        <v>18</v>
      </c>
      <c r="AP81" s="6">
        <v>19</v>
      </c>
      <c r="AQ81" s="6">
        <v>20</v>
      </c>
      <c r="AR81" s="6">
        <v>21</v>
      </c>
      <c r="AS81" s="194"/>
      <c r="AT81" s="134">
        <v>0</v>
      </c>
      <c r="AU81" s="6">
        <v>1</v>
      </c>
      <c r="AV81" s="6">
        <v>2</v>
      </c>
      <c r="AW81" s="6">
        <v>3</v>
      </c>
      <c r="AX81" s="6">
        <v>4</v>
      </c>
      <c r="AY81" s="6">
        <v>5</v>
      </c>
      <c r="AZ81" s="6">
        <v>6</v>
      </c>
      <c r="BA81" s="6">
        <v>7</v>
      </c>
      <c r="BB81" s="6">
        <v>8</v>
      </c>
      <c r="BC81" s="6">
        <v>9</v>
      </c>
      <c r="BD81" s="6">
        <v>10</v>
      </c>
      <c r="BE81" s="6">
        <v>11</v>
      </c>
      <c r="BF81" s="6">
        <v>12</v>
      </c>
      <c r="BG81" s="6">
        <v>13</v>
      </c>
      <c r="BH81" s="6">
        <v>14</v>
      </c>
      <c r="BI81" s="6">
        <v>15</v>
      </c>
      <c r="BJ81" s="6">
        <v>16</v>
      </c>
      <c r="BK81" s="6">
        <v>17</v>
      </c>
      <c r="BL81" s="6">
        <v>18</v>
      </c>
      <c r="BM81" s="6">
        <v>19</v>
      </c>
      <c r="BN81" s="6">
        <v>20</v>
      </c>
      <c r="BO81" s="6">
        <v>21</v>
      </c>
      <c r="BP81" s="6">
        <v>22</v>
      </c>
      <c r="BQ81" s="6">
        <v>23</v>
      </c>
      <c r="BR81" s="6">
        <v>24</v>
      </c>
      <c r="BS81" s="6">
        <v>25</v>
      </c>
      <c r="BT81" s="6">
        <v>26</v>
      </c>
      <c r="BU81" s="6">
        <v>27</v>
      </c>
      <c r="BV81" s="6">
        <v>28</v>
      </c>
      <c r="BW81" s="6">
        <v>29</v>
      </c>
      <c r="BX81" s="6">
        <v>30</v>
      </c>
      <c r="BY81" s="6">
        <v>31</v>
      </c>
      <c r="BZ81" s="6" t="s">
        <v>3170</v>
      </c>
      <c r="CA81" s="6" t="s">
        <v>3170</v>
      </c>
      <c r="CB81" s="6" t="s">
        <v>3170</v>
      </c>
      <c r="CC81" s="90"/>
      <c r="CD81" s="90"/>
      <c r="CE81" s="90" t="s">
        <v>1480</v>
      </c>
      <c r="CF81" s="90" t="str">
        <f ca="1">$CF79</f>
        <v/>
      </c>
      <c r="CG81" s="90"/>
      <c r="CH81" s="90"/>
      <c r="CI81" s="90"/>
      <c r="CJ81" s="90"/>
      <c r="CK81" s="90"/>
      <c r="CL81" s="90"/>
      <c r="CM81" s="90"/>
      <c r="CN81" s="90"/>
      <c r="CO81" s="90"/>
      <c r="CP81" s="90"/>
      <c r="CQ81" s="90"/>
      <c r="CR81" s="90"/>
      <c r="CS81" s="90"/>
      <c r="CT81" s="90"/>
      <c r="CU81" s="90"/>
      <c r="CV81" s="90"/>
      <c r="CW81" s="90"/>
      <c r="CX81" s="90"/>
      <c r="CY81" s="90"/>
      <c r="CZ81" s="90"/>
      <c r="DA81" s="90"/>
      <c r="DC81" s="90"/>
      <c r="DD81" s="90"/>
      <c r="DE81" s="90"/>
      <c r="DF81" s="90"/>
      <c r="DG81" s="90"/>
      <c r="DH81" s="90"/>
      <c r="DI81" s="90"/>
      <c r="DJ81" s="90">
        <v>0</v>
      </c>
      <c r="DK81" s="6">
        <v>1</v>
      </c>
      <c r="DL81" s="6">
        <v>2</v>
      </c>
      <c r="DM81" s="6">
        <v>3</v>
      </c>
      <c r="DN81" s="6">
        <v>4</v>
      </c>
      <c r="DO81" s="6">
        <v>5</v>
      </c>
      <c r="DP81" s="6">
        <v>6</v>
      </c>
      <c r="DQ81" s="6">
        <v>7</v>
      </c>
      <c r="DR81" s="6">
        <v>8</v>
      </c>
      <c r="DS81" s="6">
        <v>9</v>
      </c>
      <c r="DT81" s="6">
        <v>10</v>
      </c>
      <c r="DU81" s="6">
        <v>11</v>
      </c>
      <c r="DV81" s="6">
        <v>12</v>
      </c>
      <c r="DW81" s="6">
        <v>13</v>
      </c>
      <c r="DX81" s="6">
        <v>14</v>
      </c>
      <c r="DY81" s="6">
        <v>15</v>
      </c>
      <c r="DZ81" s="6">
        <v>16</v>
      </c>
      <c r="EA81" s="6">
        <v>17</v>
      </c>
      <c r="EB81" s="6">
        <v>18</v>
      </c>
      <c r="EC81" s="6">
        <v>19</v>
      </c>
      <c r="ED81" s="6">
        <v>20</v>
      </c>
      <c r="EE81" s="6">
        <v>21</v>
      </c>
      <c r="EF81" s="6" t="s">
        <v>7066</v>
      </c>
      <c r="EG81" s="72" t="s">
        <v>6718</v>
      </c>
      <c r="EH81" s="134"/>
      <c r="EI81" s="134"/>
      <c r="EJ81" s="134"/>
      <c r="EK81" s="134"/>
      <c r="EL81" s="134"/>
      <c r="EM81" s="134"/>
      <c r="EN81" s="134"/>
      <c r="EO81" s="134"/>
      <c r="EP81" s="134"/>
      <c r="EQ81" s="134"/>
      <c r="ER81" s="134"/>
      <c r="ES81" s="134"/>
      <c r="ET81" s="134"/>
      <c r="EU81" s="134"/>
      <c r="EV81" s="134"/>
      <c r="EW81" s="134"/>
      <c r="EX81" s="134"/>
      <c r="EY81" s="134"/>
      <c r="EZ81" s="134"/>
      <c r="FA81" s="134"/>
      <c r="FB81" s="134"/>
      <c r="FC81" s="134"/>
      <c r="FD81" s="134"/>
      <c r="FE81" s="134"/>
      <c r="FF81" s="134"/>
      <c r="FG81" s="134"/>
      <c r="FH81" s="134"/>
      <c r="FI81" s="134"/>
      <c r="FJ81" s="134"/>
      <c r="FK81" s="134"/>
      <c r="FL81" s="134"/>
    </row>
    <row r="82" spans="1:168" x14ac:dyDescent="0.2">
      <c r="A82" s="24" t="str">
        <f>INDEX(TL_WIS,ROW()-81)</f>
        <v>Anatomie</v>
      </c>
      <c r="B82" s="317" t="str">
        <f t="shared" ref="B82:B105" ca="1" si="330">IF(AND(OR(NOT(ISBLANK($D82)),NOT(ISBLANK($G82)),NOT(ISBLANK($I82))),EXACT($C82,"")),0,IF(EXACT($C82,""),"",
SUM(CX82,IF(ISERROR(FIND("L",D82,1)),D82,LEFT(D82,LEN(D82)-1)))
))</f>
        <v/>
      </c>
      <c r="C82" s="332" t="str">
        <f t="shared" ref="C82:C87" ca="1" si="331">IF(OR(NOT(ISBLANK(D82)),NOT(ISBLANK(HLOOKUP(RASSEGENE,RASSE,$CD82,FALSE))),
NOT(ISBLANK(HLOOKUP(KULTURGENE,KULTUR,$CD82,FALSE))),
NOT(OR(ISBLANK(HLOOKUP(PROFGENE,INDIRECT(PROFGEBIET),$CD82,FALSE)),$CS82="N",$CS82="M")),
IF(PROFZWEITE="",FALSE,NOT(ISBLANK(HLOOKUP(PROFZWEITE,INDIRECT(PROFGEBIET2),$CD82,FALSE))))),"x","")</f>
        <v/>
      </c>
      <c r="D82" s="1110"/>
      <c r="E82" s="966"/>
      <c r="F82" s="325"/>
      <c r="G82" s="958"/>
      <c r="H82" s="1196"/>
      <c r="I82" s="326"/>
      <c r="J82" s="1947" t="str">
        <f t="shared" ref="J82:J105" ca="1" si="332">DB82&amp;DC82</f>
        <v/>
      </c>
      <c r="K82" s="1893"/>
      <c r="L82" s="1893"/>
      <c r="M82" s="1893"/>
      <c r="N82" s="1894"/>
      <c r="O82" s="613" t="str">
        <f t="shared" ref="O82:O105" ca="1" si="333">IF(AND(EXACT($B82,""),ISBLANK($G82),ISBLANK($I82)),"",IF(AND(EXACT($C82,""),ISBLANK(G82),ISBLANK(I82)),"",SUM($B82,G82,$I82)))</f>
        <v/>
      </c>
      <c r="P82" s="90"/>
      <c r="Q82" s="25"/>
      <c r="R82" s="1313"/>
      <c r="S82" s="1313"/>
      <c r="T82" s="1315"/>
      <c r="U82" s="1283"/>
      <c r="V82" s="628" t="str">
        <f t="shared" ref="V82:V105" ca="1" si="334">IF(R82="",IF(DI82="","","Wählen:"&amp;DI82),IF(DI82="",IF(O82&lt;7,"Taw&lt;7",IF(S82="","",IF(O82&lt;14,"Taw&lt;14",""))),""))</f>
        <v/>
      </c>
      <c r="W82" s="164">
        <f t="shared" ref="W82:W105" ca="1" si="335">IF($DJ82=0,0,IF(NOT(ISBLANK($G82)),
IF(SUM($B82)&lt;=0,ROUND(SUM(IF($G82&lt;ABS($B82),$G82,ABS($B82)),IF(C82="B",0,1))*HLOOKUP(IF(CODE($DJ82)&lt;65,"A+",$DJ82),SKT,3,FALSE)*IF(VT_EIDGED,0.5,1),0),0),0))</f>
        <v>0</v>
      </c>
      <c r="X82" s="164">
        <f t="shared" ref="X82:X105" ca="1" si="336">IF(DK82=0,0,IF(AND(NOT(ISBLANK($G82)),$B82&lt;X$13,SUM($B82,$G82)&gt;=X$13),
ROUND(HLOOKUP(IF(CODE(DK82)&lt;65,"A+",DK82),SKT,X$13+3,FALSE)*IF(VT_EIDGED,0.5,1),0),0))</f>
        <v>0</v>
      </c>
      <c r="Y82" s="164">
        <f t="shared" ref="Y82:Y105" ca="1" si="337">IF(DL82=0,0,IF(AND(NOT(ISBLANK($G82)),$B82&lt;Y$13,SUM($B82,$G82)&gt;=Y$13),
ROUND(HLOOKUP(IF(CODE(DL82)&lt;65,"A+",DL82),SKT,Y$13+3,FALSE)*IF(VT_EIDGED,0.5,1),0),0))</f>
        <v>0</v>
      </c>
      <c r="Z82" s="164">
        <f t="shared" ref="Z82:Z105" ca="1" si="338">IF(DM82=0,0,IF(AND(NOT(ISBLANK($G82)),$B82&lt;Z$13,SUM($B82,$G82)&gt;=Z$13),
ROUND(HLOOKUP(IF(CODE(DM82)&lt;65,"A+",DM82),SKT,Z$13+3,FALSE)*IF(VT_EIDGED,0.5,1),0),0))</f>
        <v>0</v>
      </c>
      <c r="AA82" s="164">
        <f t="shared" ref="AA82:AA105" ca="1" si="339">IF(DN82=0,0,IF(AND(NOT(ISBLANK($G82)),$B82&lt;AA$13,SUM($B82,$G82)&gt;=AA$13),
ROUND(HLOOKUP(IF(CODE(DN82)&lt;65,"A+",DN82),SKT,AA$13+3,FALSE)*IF(VT_EIDGED,0.5,1),0),0))</f>
        <v>0</v>
      </c>
      <c r="AB82" s="164">
        <f t="shared" ref="AB82:AB105" ca="1" si="340">IF(DO82=0,0,IF(AND(NOT(ISBLANK($G82)),$B82&lt;AB$13,SUM($B82,$G82)&gt;=AB$13),
ROUND(HLOOKUP(IF(CODE(DO82)&lt;65,"A+",DO82),SKT,AB$13+3,FALSE)*IF(VT_EIDGED,0.5,1),0),0))</f>
        <v>0</v>
      </c>
      <c r="AC82" s="164">
        <f t="shared" ref="AC82:AC105" ca="1" si="341">IF(DP82=0,0,IF(AND(NOT(ISBLANK($G82)),$B82&lt;AC$13,SUM($B82,$G82)&gt;=AC$13),
ROUND(HLOOKUP(IF(CODE(DP82)&lt;65,"A+",DP82),SKT,AC$13+3,FALSE)*IF(VT_EIDGED,0.5,1),0),0))</f>
        <v>0</v>
      </c>
      <c r="AD82" s="164">
        <f t="shared" ref="AD82:AD105" ca="1" si="342">IF(DQ82=0,0,IF(AND(NOT(ISBLANK($G82)),$B82&lt;AD$13,SUM($B82,$G82)&gt;=AD$13),
ROUND(HLOOKUP(IF(CODE(DQ82)&lt;65,"A+",DQ82),SKT,AD$13+3,FALSE)*IF(VT_EIDGED,0.5,1),0),0))</f>
        <v>0</v>
      </c>
      <c r="AE82" s="164">
        <f t="shared" ref="AE82:AE105" ca="1" si="343">IF(DR82=0,0,IF(AND(NOT(ISBLANK($G82)),$B82&lt;AE$13,SUM($B82,$G82)&gt;=AE$13),
ROUND(HLOOKUP(IF(CODE(DR82)&lt;65,"A+",DR82),SKT,AE$13+3,FALSE)*IF(VT_EIDGED,0.5,1),0),0))</f>
        <v>0</v>
      </c>
      <c r="AF82" s="164">
        <f t="shared" ref="AF82:AF105" ca="1" si="344">IF(DS82=0,0,IF(AND(NOT(ISBLANK($G82)),$B82&lt;AF$13,SUM($B82,$G82)&gt;=AF$13),
ROUND(HLOOKUP(IF(CODE(DS82)&lt;65,"A+",DS82),SKT,AF$13+3,FALSE)*IF(VT_EIDGED,0.5,1),0),0))</f>
        <v>0</v>
      </c>
      <c r="AG82" s="164">
        <f t="shared" ref="AG82:AG105" ca="1" si="345">IF(DT82=0,0,IF(AND(NOT(ISBLANK($G82)),$B82&lt;AG$13,SUM($B82,$G82)&gt;=AG$13),
ROUND(HLOOKUP(IF(CODE(DT82)&lt;65,"A+",DT82),SKT,AG$13+3,FALSE)*IF(VT_EIDGED,0.5,1),0),0))</f>
        <v>0</v>
      </c>
      <c r="AH82" s="164">
        <f t="shared" ref="AH82:AH105" ca="1" si="346">IF(DU82=0,0,IF(AND(NOT(ISBLANK($G82)),$B82&lt;AH$13,SUM($B82,$G82)&gt;=AH$13),
ROUND(HLOOKUP(IF(CODE(DU82)&lt;65,"A+",DU82),SKT,AH$13+3,FALSE)*IF(VT_EIDGED,0.5,1),0),0))</f>
        <v>0</v>
      </c>
      <c r="AI82" s="164">
        <f t="shared" ref="AI82:AI105" ca="1" si="347">IF(DV82=0,0,IF(AND(NOT(ISBLANK($G82)),$B82&lt;AI$13,SUM($B82,$G82)&gt;=AI$13),
ROUND(HLOOKUP(IF(CODE(DV82)&lt;65,"A+",DV82),SKT,AI$13+3,FALSE)*IF(VT_EIDGED,0.5,1),0),0))</f>
        <v>0</v>
      </c>
      <c r="AJ82" s="164">
        <f t="shared" ref="AJ82:AJ105" ca="1" si="348">IF(DW82=0,0,IF(AND(NOT(ISBLANK($G82)),$B82&lt;AJ$13,SUM($B82,$G82)&gt;=AJ$13),
ROUND(HLOOKUP(IF(CODE(DW82)&lt;65,"A+",DW82),SKT,AJ$13+3,FALSE)*IF(VT_EIDGED,0.5,1),0),0))</f>
        <v>0</v>
      </c>
      <c r="AK82" s="164">
        <f t="shared" ref="AK82:AK105" ca="1" si="349">IF(DX82=0,0,IF(AND(NOT(ISBLANK($G82)),$B82&lt;AK$13,SUM($B82,$G82)&gt;=AK$13),
ROUND(HLOOKUP(IF(CODE(DX82)&lt;65,"A+",DX82),SKT,AK$13+3,FALSE)*IF(VT_EIDGED,0.5,1),0),0))</f>
        <v>0</v>
      </c>
      <c r="AL82" s="164">
        <f t="shared" ref="AL82:AL105" ca="1" si="350">IF(DY82=0,0,IF(AND(NOT(ISBLANK($G82)),$B82&lt;AL$13,SUM($B82,$G82)&gt;=AL$13),
ROUND(HLOOKUP(IF(CODE(DY82)&lt;65,"A+",DY82),SKT,AL$13+3,FALSE)*IF(VT_EIDGED,0.5,1),0),0))</f>
        <v>0</v>
      </c>
      <c r="AM82" s="164">
        <f t="shared" ref="AM82:AM105" ca="1" si="351">IF(DZ82=0,0,IF(AND(NOT(ISBLANK($G82)),$B82&lt;AM$13,SUM($B82,$G82)&gt;=AM$13),
ROUND(HLOOKUP(IF(CODE(DZ82)&lt;65,"A+",DZ82),SKT,AM$13+3,FALSE)*IF(VT_EIDGED,0.5,1),0),0))</f>
        <v>0</v>
      </c>
      <c r="AN82" s="164">
        <f t="shared" ref="AN82:AN105" ca="1" si="352">IF(EA82=0,0,IF(AND(NOT(ISBLANK($G82)),$B82&lt;AN$13,SUM($B82,$G82)&gt;=AN$13),
ROUND(HLOOKUP(IF(CODE(EA82)&lt;65,"A+",EA82),SKT,AN$13+3,FALSE)*IF(VT_EIDGED,0.5,1),0),0))</f>
        <v>0</v>
      </c>
      <c r="AO82" s="164">
        <f t="shared" ref="AO82:AO105" ca="1" si="353">IF(EB82=0,0,IF(AND(NOT(ISBLANK($G82)),$B82&lt;AO$13,SUM($B82,$G82)&gt;=AO$13),
ROUND(HLOOKUP(IF(CODE(EB82)&lt;65,"A+",EB82),SKT,AO$13+3,FALSE)*IF(VT_EIDGED,0.5,1),0),0))</f>
        <v>0</v>
      </c>
      <c r="AP82" s="164">
        <f t="shared" ref="AP82:AP105" ca="1" si="354">IF(EC82=0,0,IF(AND(NOT(ISBLANK($G82)),$B82&lt;AP$13,SUM($B82,$G82)&gt;=AP$13),
ROUND(HLOOKUP(IF(CODE(EC82)&lt;65,"A+",EC82),SKT,AP$13+3,FALSE)*IF(VT_EIDGED,0.5,1),0),0))</f>
        <v>0</v>
      </c>
      <c r="AQ82" s="164">
        <f t="shared" ref="AQ82:AQ105" ca="1" si="355">IF(ED82=0,0,IF(AND(NOT(ISBLANK($G82)),$B82&lt;AQ$13,SUM($B82,$G82)&gt;=AQ$13),
ROUND(HLOOKUP(IF(CODE(ED82)&lt;65,"A+",ED82),SKT,AQ$13+3,FALSE)*IF(VT_EIDGED,0.5,1),0),0))</f>
        <v>0</v>
      </c>
      <c r="AR82" s="164">
        <f t="shared" ref="AR82:AR105" ca="1" si="356">IF(EE82=0,0,IF(AND(NOT(ISBLANK($G82)),$B82&lt;AR$13,SUM($B82,$G82)&gt;=AR$13),
ROUND(HLOOKUP(IF(CODE(EE82)&lt;65,"A+",EE82),SKT,AR$13+3,FALSE)*IF(VT_EIDGED,0.5,1),0),0))</f>
        <v>0</v>
      </c>
      <c r="AS82" s="195"/>
      <c r="AT82" s="154">
        <f t="shared" ref="AT82:AT105" ca="1" si="357">IF($EG82=0,0,IF(AND(ISBLANK($G82),NOT(ISBLANK($I82))),ROUND(SUM(
IF(SUM($B82,$G82,H82)&lt;0,IF($I82&lt;ABS(SUM($B82,$G82,H82)),$I82,IF(C82="B",0,1)+ABS(SUM($B82,$G82,H82))),0),
IF(SUM($B82,$G82,H82)=0,IF(C82="B",0,1),0))
*HLOOKUP(IF(CODE($EG82)&lt;65,"A+",$EG82),SKT,3,FALSE)*5*IF(VT_EIDGED,0.5,1),0),0))</f>
        <v>0</v>
      </c>
      <c r="AU82" s="154">
        <f t="shared" ref="AU82:AU105" ca="1" si="358">IF(EH82=0,0,IF(AND(NOT(ISBLANK($I82)),SUM($B82,$G82)&lt;AU$13,SUM($B82,$G82,$I82)&gt;=AU$13),
ROUND(HLOOKUP(IF(CODE(EH82)&lt;65,"A+",EH82),SKT,AU$13+3,FALSE)*IF(VT_EIDGED,0.5,1),0),0))</f>
        <v>0</v>
      </c>
      <c r="AV82" s="154">
        <f t="shared" ref="AV82:AV105" ca="1" si="359">IF(EI82=0,0,IF(AND(NOT(ISBLANK($I82)),SUM($B82,$G82)&lt;AV$13,SUM($B82,$G82,$I82)&gt;=AV$13),
ROUND(HLOOKUP(IF(CODE(EI82)&lt;65,"A+",EI82),SKT,AV$13+3,FALSE)*IF(VT_EIDGED,0.5,1),0),0))</f>
        <v>0</v>
      </c>
      <c r="AW82" s="154">
        <f t="shared" ref="AW82:AW105" ca="1" si="360">IF(EJ82=0,0,IF(AND(NOT(ISBLANK($I82)),SUM($B82,$G82)&lt;AW$13,SUM($B82,$G82,$I82)&gt;=AW$13),
ROUND(HLOOKUP(IF(CODE(EJ82)&lt;65,"A+",EJ82),SKT,AW$13+3,FALSE)*IF(VT_EIDGED,0.5,1),0),0))</f>
        <v>0</v>
      </c>
      <c r="AX82" s="154">
        <f t="shared" ref="AX82:AX105" ca="1" si="361">IF(EK82=0,0,IF(AND(NOT(ISBLANK($I82)),SUM($B82,$G82)&lt;AX$13,SUM($B82,$G82,$I82)&gt;=AX$13),
ROUND(HLOOKUP(IF(CODE(EK82)&lt;65,"A+",EK82),SKT,AX$13+3,FALSE)*IF(VT_EIDGED,0.5,1),0),0))</f>
        <v>0</v>
      </c>
      <c r="AY82" s="154">
        <f t="shared" ref="AY82:AY105" ca="1" si="362">IF(EL82=0,0,IF(AND(NOT(ISBLANK($I82)),SUM($B82,$G82)&lt;AY$13,SUM($B82,$G82,$I82)&gt;=AY$13),
ROUND(HLOOKUP(IF(CODE(EL82)&lt;65,"A+",EL82),SKT,AY$13+3,FALSE)*IF(VT_EIDGED,0.5,1),0),0))</f>
        <v>0</v>
      </c>
      <c r="AZ82" s="154">
        <f t="shared" ref="AZ82:AZ105" ca="1" si="363">IF(EM82=0,0,IF(AND(NOT(ISBLANK($I82)),SUM($B82,$G82)&lt;AZ$13,SUM($B82,$G82,$I82)&gt;=AZ$13),
ROUND(HLOOKUP(IF(CODE(EM82)&lt;65,"A+",EM82),SKT,AZ$13+3,FALSE)*IF(VT_EIDGED,0.5,1),0),0))</f>
        <v>0</v>
      </c>
      <c r="BA82" s="154">
        <f t="shared" ref="BA82:BA105" ca="1" si="364">IF(EN82=0,0,IF(AND(NOT(ISBLANK($I82)),SUM($B82,$G82)&lt;BA$13,SUM($B82,$G82,$I82)&gt;=BA$13),
ROUND(HLOOKUP(IF(CODE(EN82)&lt;65,"A+",EN82),SKT,BA$13+3,FALSE)*IF(VT_EIDGED,0.5,1),0),0))</f>
        <v>0</v>
      </c>
      <c r="BB82" s="154">
        <f t="shared" ref="BB82:BB105" ca="1" si="365">IF(EO82=0,0,IF(AND(NOT(ISBLANK($I82)),SUM($B82,$G82)&lt;BB$13,SUM($B82,$G82,$I82)&gt;=BB$13),
ROUND(HLOOKUP(IF(CODE(EO82)&lt;65,"A+",EO82),SKT,BB$13+3,FALSE)*IF(VT_EIDGED,0.5,1),0),0))</f>
        <v>0</v>
      </c>
      <c r="BC82" s="154">
        <f t="shared" ref="BC82:BC105" ca="1" si="366">IF(EP82=0,0,IF(AND(NOT(ISBLANK($I82)),SUM($B82,$G82)&lt;BC$13,SUM($B82,$G82,$I82)&gt;=BC$13),
ROUND(HLOOKUP(IF(CODE(EP82)&lt;65,"A+",EP82),SKT,BC$13+3,FALSE)*IF(VT_EIDGED,0.5,1),0),0))</f>
        <v>0</v>
      </c>
      <c r="BD82" s="154">
        <f t="shared" ref="BD82:BD105" ca="1" si="367">IF(EQ82=0,0,IF(AND(NOT(ISBLANK($I82)),SUM($B82,$G82)&lt;BD$13,SUM($B82,$G82,$I82)&gt;=BD$13),
ROUND(HLOOKUP(IF(CODE(EQ82)&lt;65,"A+",EQ82),SKT,BD$13+3,FALSE)*IF(VT_EIDGED,0.5,1),0),0))</f>
        <v>0</v>
      </c>
      <c r="BE82" s="154">
        <f t="shared" ref="BE82:BE105" ca="1" si="368">IF(ER82=0,0,IF(AND(NOT(ISBLANK($I82)),SUM($B82,$G82)&lt;BE$13,SUM($B82,$G82,$I82)&gt;=BE$13),
ROUND(HLOOKUP(IF(CODE(ER82)&lt;65,"A+",ER82),SKT,BE$13+3,FALSE)*IF(VT_EIDGED,0.5,1),0),0))</f>
        <v>0</v>
      </c>
      <c r="BF82" s="154">
        <f t="shared" ref="BF82:BF105" ca="1" si="369">IF(ES82=0,0,IF(AND(NOT(ISBLANK($I82)),SUM($B82,$G82)&lt;BF$13,SUM($B82,$G82,$I82)&gt;=BF$13),
ROUND(HLOOKUP(IF(CODE(ES82)&lt;65,"A+",ES82),SKT,BF$13+3,FALSE)*IF(VT_EIDGED,0.5,1),0),0))</f>
        <v>0</v>
      </c>
      <c r="BG82" s="154">
        <f t="shared" ref="BG82:BG105" ca="1" si="370">IF(ET82=0,0,IF(AND(NOT(ISBLANK($I82)),SUM($B82,$G82)&lt;BG$13,SUM($B82,$G82,$I82)&gt;=BG$13),
ROUND(HLOOKUP(IF(CODE(ET82)&lt;65,"A+",ET82),SKT,BG$13+3,FALSE)*IF(VT_EIDGED,0.5,1),0),0))</f>
        <v>0</v>
      </c>
      <c r="BH82" s="154">
        <f t="shared" ref="BH82:BH105" ca="1" si="371">IF(EU82=0,0,IF(AND(NOT(ISBLANK($I82)),SUM($B82,$G82)&lt;BH$13,SUM($B82,$G82,$I82)&gt;=BH$13),
ROUND(HLOOKUP(IF(CODE(EU82)&lt;65,"A+",EU82),SKT,BH$13+3,FALSE)*IF(VT_EIDGED,0.5,1),0),0))</f>
        <v>0</v>
      </c>
      <c r="BI82" s="154">
        <f t="shared" ref="BI82:BI105" ca="1" si="372">IF(EV82=0,0,IF(AND(NOT(ISBLANK($I82)),SUM($B82,$G82)&lt;BI$13,SUM($B82,$G82,$I82)&gt;=BI$13),
ROUND(HLOOKUP(IF(CODE(EV82)&lt;65,"A+",EV82),SKT,BI$13+3,FALSE)*IF(VT_EIDGED,0.5,1),0),0))</f>
        <v>0</v>
      </c>
      <c r="BJ82" s="154">
        <f t="shared" ref="BJ82:BJ105" ca="1" si="373">IF(EW82=0,0,IF(AND(NOT(ISBLANK($I82)),SUM($B82,$G82)&lt;BJ$13,SUM($B82,$G82,$I82)&gt;=BJ$13),
ROUND(HLOOKUP(IF(CODE(EW82)&lt;65,"A+",EW82),SKT,BJ$13+3,FALSE)*IF(VT_EIDGED,0.5,1),0),0))</f>
        <v>0</v>
      </c>
      <c r="BK82" s="154">
        <f t="shared" ref="BK82:BK105" ca="1" si="374">IF(EX82=0,0,IF(AND(NOT(ISBLANK($I82)),SUM($B82,$G82)&lt;BK$13,SUM($B82,$G82,$I82)&gt;=BK$13),
ROUND(HLOOKUP(IF(CODE(EX82)&lt;65,"A+",EX82),SKT,BK$13+3,FALSE)*IF(VT_EIDGED,0.5,1),0),0))</f>
        <v>0</v>
      </c>
      <c r="BL82" s="154">
        <f t="shared" ref="BL82:BL105" ca="1" si="375">IF(EY82=0,0,IF(AND(NOT(ISBLANK($I82)),SUM($B82,$G82)&lt;BL$13,SUM($B82,$G82,$I82)&gt;=BL$13),
ROUND(HLOOKUP(IF(CODE(EY82)&lt;65,"A+",EY82),SKT,BL$13+3,FALSE)*IF(VT_EIDGED,0.5,1),0),0))</f>
        <v>0</v>
      </c>
      <c r="BM82" s="154">
        <f t="shared" ref="BM82:BM105" ca="1" si="376">IF(EZ82=0,0,IF(AND(NOT(ISBLANK($I82)),SUM($B82,$G82)&lt;BM$13,SUM($B82,$G82,$I82)&gt;=BM$13),
ROUND(HLOOKUP(IF(CODE(EZ82)&lt;65,"A+",EZ82),SKT,BM$13+3,FALSE)*IF(VT_EIDGED,0.5,1),0),0))</f>
        <v>0</v>
      </c>
      <c r="BN82" s="154">
        <f t="shared" ref="BN82:BN105" ca="1" si="377">IF(FA82=0,0,IF(AND(NOT(ISBLANK($I82)),SUM($B82,$G82)&lt;BN$13,SUM($B82,$G82,$I82)&gt;=BN$13),
ROUND(HLOOKUP(IF(CODE(FA82)&lt;65,"A+",FA82),SKT,BN$13+3,FALSE)*IF(VT_EIDGED,0.5,1),0),0))</f>
        <v>0</v>
      </c>
      <c r="BO82" s="154">
        <f t="shared" ref="BO82:BO105" ca="1" si="378">IF(FB82=0,0,IF(AND(NOT(ISBLANK($I82)),SUM($B82,$G82)&lt;BO$13,SUM($B82,$G82,$I82)&gt;=BO$13),
ROUND(HLOOKUP(IF(CODE(FB82)&lt;65,"A+",FB82),SKT,BO$13+3,FALSE)*IF(VT_EIDGED,0.5,1),0),0))</f>
        <v>0</v>
      </c>
      <c r="BP82" s="154">
        <f t="shared" ref="BP82:BP105" ca="1" si="379">IF(FC82=0,0,IF(AND(NOT(ISBLANK($I82)),SUM($B82,$G82)&lt;BP$13,SUM($B82,$G82,$I82)&gt;=BP$13),
ROUND(HLOOKUP(IF(CODE(FC82)&lt;65,"A+",FC82),SKT,BP$13+3,FALSE)*IF(VT_EIDGED,0.5,1),0),0))</f>
        <v>0</v>
      </c>
      <c r="BQ82" s="154">
        <f t="shared" ref="BQ82:BQ105" ca="1" si="380">IF(FD82=0,0,IF(AND(NOT(ISBLANK($I82)),SUM($B82,$G82)&lt;BQ$13,SUM($B82,$G82,$I82)&gt;=BQ$13),
ROUND(HLOOKUP(IF(CODE(FD82)&lt;65,"A+",FD82),SKT,BQ$13+3,FALSE)*IF(VT_EIDGED,0.5,1),0),0))</f>
        <v>0</v>
      </c>
      <c r="BR82" s="154">
        <f t="shared" ref="BR82:BR105" ca="1" si="381">IF(FE82=0,0,IF(AND(NOT(ISBLANK($I82)),SUM($B82,$G82)&lt;BR$13,SUM($B82,$G82,$I82)&gt;=BR$13),
ROUND(HLOOKUP(IF(CODE(FE82)&lt;65,"A+",FE82),SKT,BR$13+3,FALSE)*IF(VT_EIDGED,0.5,1),0),0))</f>
        <v>0</v>
      </c>
      <c r="BS82" s="154">
        <f t="shared" ref="BS82:BS105" ca="1" si="382">IF(FF82=0,0,IF(AND(NOT(ISBLANK($I82)),SUM($B82,$G82)&lt;BS$13,SUM($B82,$G82,$I82)&gt;=BS$13),
ROUND(HLOOKUP(IF(CODE(FF82)&lt;65,"A+",FF82),SKT,BS$13+3,FALSE)*IF(VT_EIDGED,0.5,1),0),0))</f>
        <v>0</v>
      </c>
      <c r="BT82" s="154">
        <f t="shared" ref="BT82:BT105" ca="1" si="383">IF(FG82=0,0,IF(AND(NOT(ISBLANK($I82)),SUM($B82,$G82)&lt;BT$13,SUM($B82,$G82,$I82)&gt;=BT$13),
ROUND(HLOOKUP(IF(CODE(FG82)&lt;65,"A+",FG82),SKT,BT$13+3,FALSE)*IF(VT_EIDGED,0.5,1),0),0))</f>
        <v>0</v>
      </c>
      <c r="BU82" s="154">
        <f t="shared" ref="BU82:BU105" ca="1" si="384">IF(FH82=0,0,IF(AND(NOT(ISBLANK($I82)),SUM($B82,$G82)&lt;BU$13,SUM($B82,$G82,$I82)&gt;=BU$13),
ROUND(HLOOKUP(IF(CODE(FH82)&lt;65,"A+",FH82),SKT,BU$13+3,FALSE)*IF(VT_EIDGED,0.5,1),0),0))</f>
        <v>0</v>
      </c>
      <c r="BV82" s="154">
        <f t="shared" ref="BV82:BV105" ca="1" si="385">IF(FI82=0,0,IF(AND(NOT(ISBLANK($I82)),SUM($B82,$G82)&lt;BV$13,SUM($B82,$G82,$I82)&gt;=BV$13),
ROUND(HLOOKUP(IF(CODE(FI82)&lt;65,"A+",FI82),SKT,BV$13+3,FALSE)*IF(VT_EIDGED,0.5,1),0),0))</f>
        <v>0</v>
      </c>
      <c r="BW82" s="154">
        <f t="shared" ref="BW82:BW105" ca="1" si="386">IF(FJ82=0,0,IF(AND(NOT(ISBLANK($I82)),SUM($B82,$G82)&lt;BW$13,SUM($B82,$G82,$I82)&gt;=BW$13),
ROUND(HLOOKUP(IF(CODE(FJ82)&lt;65,"A+",FJ82),SKT,BW$13+3,FALSE)*IF(VT_EIDGED,0.5,1),0),0))</f>
        <v>0</v>
      </c>
      <c r="BX82" s="154">
        <f t="shared" ref="BX82:BX105" ca="1" si="387">IF(FK82=0,0,IF(AND(NOT(ISBLANK($I82)),SUM($B82,$G82)&lt;BX$13,SUM($B82,$G82,$I82)&gt;=BX$13),
ROUND(HLOOKUP(IF(CODE(FK82)&lt;65,"A+",FK82),SKT,BX$13+3,FALSE)*IF(VT_EIDGED,0.5,1),0),0))</f>
        <v>0</v>
      </c>
      <c r="BY82" s="154">
        <f t="shared" ref="BY82:BY105" ca="1" si="388">IF(FL82=0,0,IF(AND(NOT(ISBLANK($I82)),SUM($B82,$G82)&lt;BY$13,SUM($B82,$G82,$I82)&gt;=BY$13),
ROUND(HLOOKUP(IF(CODE(FL82)&lt;65,"A+",FL82),SKT,BY$13+3,FALSE)*IF(VT_EIDGED,0.5,1),0),0))</f>
        <v>0</v>
      </c>
      <c r="BZ82" s="154">
        <f>IF(T82="GP",1,0)</f>
        <v>0</v>
      </c>
      <c r="CA82" s="154">
        <f>IF(OR(T82="Start-AP",T82="Start-AP-2P"),
IF(R82="",0,IF(DI82="",1,0))*IF(U82="",20,10)*HLOOKUP(CE82,SKT,2,FALSE),0)</f>
        <v>0</v>
      </c>
      <c r="CB82" s="154">
        <f ca="1">IF(OR(T82="",T82="AP"),
(IF(R82="",0,IF(DI82="",IF(OR(U82="S1 verbilligt",U82="Beide verbilligt"),0.5,1),0))+IF(S82="",0,IF(OR(U82="S2 verbilligt",U82="Beide verbilligt"),1,2)))*20*HLOOKUP(CE82,SKT,2,FALSE),IF(S82="",0,IF(OR(U82="S2 verbilligt",U82="Beide verbilligt"),1,2))*20*HLOOKUP(CE82,SKT,2,FALSE))</f>
        <v>0</v>
      </c>
      <c r="CC82" s="523"/>
      <c r="CD82" s="355">
        <f t="shared" ref="CD82:CD105" si="389">VLOOKUP($A82,ZEILENBEZUG,2,FALSE)</f>
        <v>107</v>
      </c>
      <c r="CE82" s="751" t="str">
        <f t="shared" ref="CE82:CE105" ca="1" si="390">CO82</f>
        <v>B</v>
      </c>
      <c r="CF82" s="355" t="str">
        <f ca="1">IF(EXACT($B82,""),"",$A82)</f>
        <v/>
      </c>
      <c r="CG82" s="268">
        <f>IF(ZS_SE_VIEW,SUM(
IF(ZS_AKADEMIE="",0,IF(HLOOKUP(ZS_AKADEMIE,PROFMAGIE,$CD82,FALSE)&gt;0,1,0)),
IF(AND(ZS_IAAK="Ja",IF(HLOOKUP(Tabellen_Magie!$IK$1,PROFMAGIE,$CD82,FALSE)&gt;0,TRUE,FALSE)),1,0)),0)</f>
        <v>0</v>
      </c>
      <c r="CH82" s="268"/>
      <c r="CI82" s="269">
        <f t="shared" ref="CI82:CI105" ca="1" si="391">IF(AND(ISNA(VLOOKUP($A$81,UNFAEH,1,FALSE)),ISNA(VLOOKUP($A82,UNFAEH,1,FALSE)),ISERR(FIND($A$81,GEW_UNFAEH,1)),ISERR(FIND($A82,$AH$3,1))),0,1)</f>
        <v>0</v>
      </c>
      <c r="CJ82" s="269">
        <f t="shared" ref="CJ82:CJ105" ca="1" si="392">IF(AND(ISNA(VLOOKUP($A$81,BEGABG,1,FALSE)),ISNA(VLOOKUP($A82,BEGABG,1,FALSE)),ISERR(FIND($A$81,GEW_BEGABUNG,1)),ISERR(FIND($A82,$X$5,1))),0,-1)</f>
        <v>0</v>
      </c>
      <c r="CK82" s="268"/>
      <c r="CL82" s="268"/>
      <c r="CM82" s="268">
        <f t="shared" ca="1" si="327"/>
        <v>0</v>
      </c>
      <c r="CN82" s="269">
        <f t="shared" ca="1" si="328"/>
        <v>0</v>
      </c>
      <c r="CO82" s="268" t="str">
        <f t="shared" ref="CO82:CO102" ca="1" si="393">CHAR(CODE("B")+$CN82)</f>
        <v>B</v>
      </c>
      <c r="CP82" s="269" t="b">
        <f t="shared" ref="CP82:CP105" ca="1" si="394">IF(NT_ELFWELT,
IF(OR(
RIGHT(HLOOKUP(PROFGENE,INDIRECT(PROFGEBIET),$CD82,FALSE),1)="L",
RIGHT(HLOOKUP(KULTURGENE,KULTUR,$CD82,FALSE),1)="L",
RIGHT(D82)="L"),TRUE,FALSE),
TRUE)</f>
        <v>1</v>
      </c>
      <c r="CQ82" s="269">
        <f t="shared" ref="CQ82:CQ105" si="395">IF(RASSEGENE="",0,HLOOKUP(RASSEGENE,RASSE,$CD82,FALSE))</f>
        <v>0</v>
      </c>
      <c r="CR82" s="269">
        <f t="shared" ref="CR82:CR105" si="396">IF(KULTURGENE="LEER",0,IF(LEN(HLOOKUP(KULTURGENE,KULTUR,$CD82,FALSE))&gt;0,LEFT(HLOOKUP(KULTURGENE,KULTUR,$CD82,FALSE),IF(ISERR(SEARCH("L",HLOOKUP(KULTURGENE,KULTUR,$CD82,FALSE),1)),LEN(HLOOKUP(KULTURGENE,KULTUR,$CD82,FALSE)),SEARCH("L",HLOOKUP(KULTURGENE,KULTUR,$CD82,FALSE),1)-1)),0))</f>
        <v>0</v>
      </c>
      <c r="CS82" s="269">
        <f t="shared" ref="CS82:CS105" ca="1" si="397">IF(PROFGENE="LEER",0,HLOOKUP(PROFGENE,INDIRECT(PROFGEBIET),$CD82,FALSE))</f>
        <v>0</v>
      </c>
      <c r="CT82" s="302" t="str">
        <f t="shared" ref="CT82:CT105" ca="1" si="398">IF(LEN(CS82)&gt;0,LEFT(CS82,IF(ISERR(SEARCH("L",CS82,1)),IF(ISERR(SEARCH("M",CS82,1)),IF(ISERR(SEARCH("N",CS82,1)),LEN(CS82),SEARCH("N",CS82,1)-1),SEARCH("M",CS82,1)-1),SEARCH("L",CS82,1)-1)),0)</f>
        <v>0</v>
      </c>
      <c r="CU82" s="269">
        <f t="shared" ref="CU82:CU105" ca="1" si="399">IF(LEN(PROFZWEITE)&lt;1,0,HLOOKUP(PROFZWEITE,INDIRECT(PROFGEBIET2),$CD82,FALSE))</f>
        <v>0</v>
      </c>
      <c r="CV82" s="268"/>
      <c r="CW82" s="269">
        <f t="shared" ref="CW82:CW105" ca="1" si="400">IF(AND(ISNA(VLOOKUP($A82,BEGABG,1,FALSE)),ISERR(FIND($A82,$X$5,1))),0,1)</f>
        <v>0</v>
      </c>
      <c r="CX82" s="301">
        <f t="shared" ref="CX82:CX105" ca="1" si="401">CQ82+CR82+IF(CT82="",0,CT82)+CV82+CW82</f>
        <v>0</v>
      </c>
      <c r="CY82" s="301">
        <f t="shared" ca="1" si="329"/>
        <v>0</v>
      </c>
      <c r="CZ82" s="301">
        <f t="shared" ref="CZ82:CZ105" ca="1" si="402">SUM(W82:AR82)-IF(OR(VT_VETERAN,VT_BBILDUNG),DA82,0)</f>
        <v>0</v>
      </c>
      <c r="DA82" s="301">
        <f t="shared" ref="DA82:DA105" ca="1" si="403">IF(H82="",0,SUM(INDIRECT(
ADDRESS(ROW(),COLUMN($W82)+CY82+IF(CY82=0,0,1))
&amp;":"&amp;
ADDRESS(ROW(),COLUMN($AR82))
)))</f>
        <v>0</v>
      </c>
      <c r="DB82" t="str">
        <f>IF(AND(NOT(AND(ISBLANK($G82),ISBLANK($I82))),NT_TOTENANGST),"NT Totenangst vorhanden",
IF(CG82&gt;0,CG82 &amp; " SE aus Zweit-/Drittstudium",""))</f>
        <v/>
      </c>
      <c r="DC82" s="301" t="str">
        <f t="shared" ref="DC82:DC105" ca="1" si="404">IF($O82="","",IF($O82&gt;MAX(INDIRECT(VLOOKUP($A82,TL_ALLE,2,FALSE)),INDIRECT(VLOOKUP($A82,TL_ALLE,3,FALSE)),INDIRECT(VLOOKUP($A82,TL_ALLE,4,FALSE)))+3-CJ82*2," TaW&gt; MAX(EIGN-Wert)+"&amp;3-CJ82*2,""))</f>
        <v/>
      </c>
      <c r="DD82" s="1337" t="str">
        <f ca="1">IF(PROFGEBGENE="Goetter",IF(RIGHT(HLOOKUP(PROFGENE,INDIRECT(PROFGEBIET),$CD82,FALSE),1)="M",$A82&amp;",",""),IF(AKTIV_SPTWHE,IF(EXACT(UPPER(RIGHT(HLOOKUP(PROFSPTWHE,SPTWHE,$CD82,FALSE))),"M"),$A82&amp;",",""),IF(PROFGEBZWEITE="Goetter (BGB)",IF(RIGHT(HLOOKUP(PROFZWEITE,INDIRECT(PROFGEBIET2),$CD82,FALSE),1)="M",$A82&amp;",",""),"")))</f>
        <v/>
      </c>
      <c r="DE82" s="1337" t="str">
        <f ca="1">IF(PROFGEBGENE="Goetter",IF(RIGHT(HLOOKUP(PROFGENE,INDIRECT(PROFGEBIET),$CD82,FALSE),1)="N",$A82&amp;",",""),IF(AKTIV_SPTWHE,IF(EXACT(UPPER(RIGHT(HLOOKUP(PROFSPTWHE,SPTWHE,$CD82,FALSE))),"N"),$A82&amp;",",""),IF(PROFGEBZWEITE="Goetter (BGB)",IF(RIGHT(HLOOKUP(PROFZWEITE,INDIRECT(PROFGEBIET2),$CD82,FALSE),1)="N",$A82&amp;",",""),"")))</f>
        <v/>
      </c>
      <c r="DG82" s="269" t="str">
        <f t="shared" ref="DG82:DG98" ca="1" si="405">IF(DI82="",IF(VLOOKUP(A82,TALENTE_GP,4,FALSE)="Kultur","KULTUREN","Tabellen_Andere!BA"&amp;MATCH(A82,TALENTE)+1&amp;":BF"&amp;MATCH(A82,TALENTE)+1),ADDRESS(ROW(),COLUMN()+2,1,1))</f>
        <v>Tabellen_Andere!BA6:BF6</v>
      </c>
      <c r="DH82" s="269" t="str">
        <f>IF(VLOOKUP(A82,TALENTE_GP,4,FALSE)="Kultur","KULTUREN","Tabellen_Andere!BA"&amp;MATCH(A82,TALENTE)+1&amp;":BF"&amp;MATCH(A82,TALENTE)+1)</f>
        <v>Tabellen_Andere!BA6:BF6</v>
      </c>
      <c r="DI82" s="269" t="str">
        <f ca="1">IF(NOT(ISERR(FIND(A82,Abfragen!$O$264,1))),MID(Abfragen!$O$264,FIND("(",Abfragen!$O$264,FIND(A82,Abfragen!$O$264,1)+LEN(A82))+1,FIND(")",Abfragen!$O$264,FIND(A82,Abfragen!$O$264,1)+LEN(A82))-FIND("(",Abfragen!$O$264,FIND(A82,Abfragen!$O$264,1)+LEN(A82))-1),"")</f>
        <v/>
      </c>
      <c r="DJ82" s="301" t="str">
        <f t="shared" ref="DJ82:DJ105" ca="1" si="406">IF(ISERR(FIND(";"&amp;DJ$13&amp;":0;",$F82)),
CHAR(CODE($CE82)+SUM(IF(OR(VT_AKADGEL,VT_AKADMAG),IF(W$81&lt;$EF82+1,IF(ABS($CJ82)&gt;0,$CJ82,-1),0),0),IF(ISERR(FIND(";"&amp;DJ$13&amp;";",$F82)),0,-1),IF(ISERR(FIND(";"&amp;DJ$13&amp;":",$F82)),0,-VALUE(MID($F82,FIND(";"&amp;DJ$13&amp;":",$F82)+LEN(DJ$13)+2,1))))),0)</f>
        <v>B</v>
      </c>
      <c r="DK82" s="301" t="str">
        <f t="shared" ref="DK82:DK105" ca="1" si="407">IF(ISERR(FIND(";"&amp;DK$13&amp;":0;",$F82)),
CHAR(CODE($CE82)+SUM(IF(OR(VT_AKADGEL,VT_AKADMAG),IF(X$81&lt;$EF82+1,IF(ABS($CJ82)&gt;0,$CJ82,-1),0),0),IF(ISERR(FIND(";"&amp;DK$13&amp;";",$F82)),0,-1),IF(ISERR(FIND(";"&amp;DK$13&amp;":",$F82)),0,-VALUE(MID($F82,FIND(";"&amp;DK$13&amp;":",$F82)+LEN(DK$13)+2,1))))),0)</f>
        <v>B</v>
      </c>
      <c r="DL82" s="301" t="str">
        <f t="shared" ref="DL82:DL105" ca="1" si="408">IF(ISERR(FIND(";"&amp;DL$13&amp;":0;",$F82)),
CHAR(CODE($CE82)+SUM(IF(OR(VT_AKADGEL,VT_AKADMAG),IF(Y$81&lt;$EF82+1,IF(ABS($CJ82)&gt;0,$CJ82,-1),0),0),IF(ISERR(FIND(";"&amp;DL$13&amp;";",$F82)),0,-1),IF(ISERR(FIND(";"&amp;DL$13&amp;":",$F82)),0,-VALUE(MID($F82,FIND(";"&amp;DL$13&amp;":",$F82)+LEN(DL$13)+2,1))))),0)</f>
        <v>B</v>
      </c>
      <c r="DM82" s="301" t="str">
        <f t="shared" ref="DM82:DM105" ca="1" si="409">IF(ISERR(FIND(";"&amp;DM$13&amp;":0;",$F82)),
CHAR(CODE($CE82)+SUM(IF(OR(VT_AKADGEL,VT_AKADMAG),IF(Z$81&lt;$EF82+1,IF(ABS($CJ82)&gt;0,$CJ82,-1),0),0),IF(ISERR(FIND(";"&amp;DM$13&amp;";",$F82)),0,-1),IF(ISERR(FIND(";"&amp;DM$13&amp;":",$F82)),0,-VALUE(MID($F82,FIND(";"&amp;DM$13&amp;":",$F82)+LEN(DM$13)+2,1))))),0)</f>
        <v>B</v>
      </c>
      <c r="DN82" s="301" t="str">
        <f t="shared" ref="DN82:DN105" ca="1" si="410">IF(ISERR(FIND(";"&amp;DN$13&amp;":0;",$F82)),
CHAR(CODE($CE82)+SUM(IF(OR(VT_AKADGEL,VT_AKADMAG),IF(AA$81&lt;$EF82+1,IF(ABS($CJ82)&gt;0,$CJ82,-1),0),0),IF(ISERR(FIND(";"&amp;DN$13&amp;";",$F82)),0,-1),IF(ISERR(FIND(";"&amp;DN$13&amp;":",$F82)),0,-VALUE(MID($F82,FIND(";"&amp;DN$13&amp;":",$F82)+LEN(DN$13)+2,1))))),0)</f>
        <v>B</v>
      </c>
      <c r="DO82" s="301" t="str">
        <f t="shared" ref="DO82:DO105" ca="1" si="411">IF(ISERR(FIND(";"&amp;DO$13&amp;":0;",$F82)),
CHAR(CODE($CE82)+SUM(IF(OR(VT_AKADGEL,VT_AKADMAG),IF(AB$81&lt;$EF82+1,IF(ABS($CJ82)&gt;0,$CJ82,-1),0),0),IF(ISERR(FIND(";"&amp;DO$13&amp;";",$F82)),0,-1),IF(ISERR(FIND(";"&amp;DO$13&amp;":",$F82)),0,-VALUE(MID($F82,FIND(";"&amp;DO$13&amp;":",$F82)+LEN(DO$13)+2,1))))),0)</f>
        <v>B</v>
      </c>
      <c r="DP82" s="301" t="str">
        <f t="shared" ref="DP82:DP105" ca="1" si="412">IF(ISERR(FIND(";"&amp;DP$13&amp;":0;",$F82)),
CHAR(CODE($CE82)+SUM(IF(OR(VT_AKADGEL,VT_AKADMAG),IF(AC$81&lt;$EF82+1,IF(ABS($CJ82)&gt;0,$CJ82,-1),0),0),IF(ISERR(FIND(";"&amp;DP$13&amp;";",$F82)),0,-1),IF(ISERR(FIND(";"&amp;DP$13&amp;":",$F82)),0,-VALUE(MID($F82,FIND(";"&amp;DP$13&amp;":",$F82)+LEN(DP$13)+2,1))))),0)</f>
        <v>B</v>
      </c>
      <c r="DQ82" s="301" t="str">
        <f t="shared" ref="DQ82:DQ105" ca="1" si="413">IF(ISERR(FIND(";"&amp;DQ$13&amp;":0;",$F82)),
CHAR(CODE($CE82)+SUM(IF(OR(VT_AKADGEL,VT_AKADMAG),IF(AD$81&lt;$EF82+1,IF(ABS($CJ82)&gt;0,$CJ82,-1),0),0),IF(ISERR(FIND(";"&amp;DQ$13&amp;";",$F82)),0,-1),IF(ISERR(FIND(";"&amp;DQ$13&amp;":",$F82)),0,-VALUE(MID($F82,FIND(";"&amp;DQ$13&amp;":",$F82)+LEN(DQ$13)+2,1))))),0)</f>
        <v>B</v>
      </c>
      <c r="DR82" s="301" t="str">
        <f t="shared" ref="DR82:DR105" ca="1" si="414">IF(ISERR(FIND(";"&amp;DR$13&amp;":0;",$F82)),
CHAR(CODE($CE82)+SUM(IF(OR(VT_AKADGEL,VT_AKADMAG),IF(AE$81&lt;$EF82+1,IF(ABS($CJ82)&gt;0,$CJ82,-1),0),0),IF(ISERR(FIND(";"&amp;DR$13&amp;";",$F82)),0,-1),IF(ISERR(FIND(";"&amp;DR$13&amp;":",$F82)),0,-VALUE(MID($F82,FIND(";"&amp;DR$13&amp;":",$F82)+LEN(DR$13)+2,1))))),0)</f>
        <v>B</v>
      </c>
      <c r="DS82" s="301" t="str">
        <f t="shared" ref="DS82:DS105" ca="1" si="415">IF(ISERR(FIND(";"&amp;DS$13&amp;":0;",$F82)),
CHAR(CODE($CE82)+SUM(IF(OR(VT_AKADGEL,VT_AKADMAG),IF(AF$81&lt;$EF82+1,IF(ABS($CJ82)&gt;0,$CJ82,-1),0),0),IF(ISERR(FIND(";"&amp;DS$13&amp;";",$F82)),0,-1),IF(ISERR(FIND(";"&amp;DS$13&amp;":",$F82)),0,-VALUE(MID($F82,FIND(";"&amp;DS$13&amp;":",$F82)+LEN(DS$13)+2,1))))),0)</f>
        <v>B</v>
      </c>
      <c r="DT82" s="301" t="str">
        <f t="shared" ref="DT82:DT105" ca="1" si="416">IF(ISERR(FIND(";"&amp;DT$13&amp;":0;",$F82)),
CHAR(CODE($CE82)+SUM(IF(OR(VT_AKADGEL,VT_AKADMAG),IF(AG$81&lt;$EF82+1,IF(ABS($CJ82)&gt;0,$CJ82,-1),0),0),IF(ISERR(FIND(";"&amp;DT$13&amp;";",$F82)),0,-1),IF(ISERR(FIND(";"&amp;DT$13&amp;":",$F82)),0,-VALUE(MID($F82,FIND(";"&amp;DT$13&amp;":",$F82)+LEN(DT$13)+2,1))))),0)</f>
        <v>B</v>
      </c>
      <c r="DU82" s="301" t="str">
        <f t="shared" ref="DU82:DU105" ca="1" si="417">IF(ISERR(FIND(";"&amp;DU$13&amp;":0;",$F82)),
CHAR(CODE($CE82)+SUM(IF(OR(VT_AKADGEL,VT_AKADMAG),IF(AH$81&lt;$EF82+1,IF(ABS($CJ82)&gt;0,$CJ82,-1),0),0),IF(ISERR(FIND(";"&amp;DU$13&amp;";",$F82)),0,-1),IF(ISERR(FIND(";"&amp;DU$13&amp;":",$F82)),0,-VALUE(MID($F82,FIND(";"&amp;DU$13&amp;":",$F82)+LEN(DU$13)+2,1))))),0)</f>
        <v>B</v>
      </c>
      <c r="DV82" s="301" t="str">
        <f t="shared" ref="DV82:DV105" ca="1" si="418">IF(ISERR(FIND(";"&amp;DV$13&amp;":0;",$F82)),
CHAR(CODE($CE82)+SUM(IF(OR(VT_AKADGEL,VT_AKADMAG),IF(AI$81&lt;$EF82+1,IF(ABS($CJ82)&gt;0,$CJ82,-1),0),0),IF(ISERR(FIND(";"&amp;DV$13&amp;";",$F82)),0,-1),IF(ISERR(FIND(";"&amp;DV$13&amp;":",$F82)),0,-VALUE(MID($F82,FIND(";"&amp;DV$13&amp;":",$F82)+LEN(DV$13)+2,1))))),0)</f>
        <v>B</v>
      </c>
      <c r="DW82" s="301" t="str">
        <f t="shared" ref="DW82:DW105" ca="1" si="419">IF(ISERR(FIND(";"&amp;DW$13&amp;":0;",$F82)),
CHAR(CODE($CE82)+SUM(IF(OR(VT_AKADGEL,VT_AKADMAG),IF(AJ$81&lt;$EF82+1,IF(ABS($CJ82)&gt;0,$CJ82,-1),0),0),IF(ISERR(FIND(";"&amp;DW$13&amp;";",$F82)),0,-1),IF(ISERR(FIND(";"&amp;DW$13&amp;":",$F82)),0,-VALUE(MID($F82,FIND(";"&amp;DW$13&amp;":",$F82)+LEN(DW$13)+2,1))))),0)</f>
        <v>B</v>
      </c>
      <c r="DX82" s="301" t="str">
        <f t="shared" ref="DX82:DX105" ca="1" si="420">IF(ISERR(FIND(";"&amp;DX$13&amp;":0;",$F82)),
CHAR(CODE($CE82)+SUM(IF(OR(VT_AKADGEL,VT_AKADMAG),IF(AK$81&lt;$EF82+1,IF(ABS($CJ82)&gt;0,$CJ82,-1),0),0),IF(ISERR(FIND(";"&amp;DX$13&amp;";",$F82)),0,-1),IF(ISERR(FIND(";"&amp;DX$13&amp;":",$F82)),0,-VALUE(MID($F82,FIND(";"&amp;DX$13&amp;":",$F82)+LEN(DX$13)+2,1))))),0)</f>
        <v>B</v>
      </c>
      <c r="DY82" s="301" t="str">
        <f t="shared" ref="DY82:DY105" ca="1" si="421">IF(ISERR(FIND(";"&amp;DY$13&amp;":0;",$F82)),
CHAR(CODE($CE82)+SUM(IF(OR(VT_AKADGEL,VT_AKADMAG),IF(AL$81&lt;$EF82+1,IF(ABS($CJ82)&gt;0,$CJ82,-1),0),0),IF(ISERR(FIND(";"&amp;DY$13&amp;";",$F82)),0,-1),IF(ISERR(FIND(";"&amp;DY$13&amp;":",$F82)),0,-VALUE(MID($F82,FIND(";"&amp;DY$13&amp;":",$F82)+LEN(DY$13)+2,1))))),0)</f>
        <v>B</v>
      </c>
      <c r="DZ82" s="301" t="str">
        <f t="shared" ref="DZ82:DZ105" ca="1" si="422">IF(ISERR(FIND(";"&amp;DZ$13&amp;":0;",$F82)),
CHAR(CODE($CE82)+SUM(IF(OR(VT_AKADGEL,VT_AKADMAG),IF(AM$81&lt;$EF82+1,IF(ABS($CJ82)&gt;0,$CJ82,-1),0),0),IF(ISERR(FIND(";"&amp;DZ$13&amp;";",$F82)),0,-1),IF(ISERR(FIND(";"&amp;DZ$13&amp;":",$F82)),0,-VALUE(MID($F82,FIND(";"&amp;DZ$13&amp;":",$F82)+LEN(DZ$13)+2,1))))),0)</f>
        <v>B</v>
      </c>
      <c r="EA82" s="301" t="str">
        <f t="shared" ref="EA82:EA105" ca="1" si="423">IF(ISERR(FIND(";"&amp;EA$13&amp;":0;",$F82)),
CHAR(CODE($CE82)+SUM(IF(OR(VT_AKADGEL,VT_AKADMAG),IF(AN$81&lt;$EF82+1,IF(ABS($CJ82)&gt;0,$CJ82,-1),0),0),IF(ISERR(FIND(";"&amp;EA$13&amp;";",$F82)),0,-1),IF(ISERR(FIND(";"&amp;EA$13&amp;":",$F82)),0,-VALUE(MID($F82,FIND(";"&amp;EA$13&amp;":",$F82)+LEN(EA$13)+2,1))))),0)</f>
        <v>B</v>
      </c>
      <c r="EB82" s="301" t="str">
        <f t="shared" ref="EB82:EB105" ca="1" si="424">IF(ISERR(FIND(";"&amp;EB$13&amp;":0;",$F82)),
CHAR(CODE($CE82)+SUM(IF(OR(VT_AKADGEL,VT_AKADMAG),IF(AO$81&lt;$EF82+1,IF(ABS($CJ82)&gt;0,$CJ82,-1),0),0),IF(ISERR(FIND(";"&amp;EB$13&amp;";",$F82)),0,-1),IF(ISERR(FIND(";"&amp;EB$13&amp;":",$F82)),0,-VALUE(MID($F82,FIND(";"&amp;EB$13&amp;":",$F82)+LEN(EB$13)+2,1))))),0)</f>
        <v>B</v>
      </c>
      <c r="EC82" s="301" t="str">
        <f t="shared" ref="EC82:EC105" ca="1" si="425">IF(ISERR(FIND(";"&amp;EC$13&amp;":0;",$F82)),
CHAR(CODE($CE82)+SUM(IF(OR(VT_AKADGEL,VT_AKADMAG),IF(AP$81&lt;$EF82+1,IF(ABS($CJ82)&gt;0,$CJ82,-1),0),0),IF(ISERR(FIND(";"&amp;EC$13&amp;";",$F82)),0,-1),IF(ISERR(FIND(";"&amp;EC$13&amp;":",$F82)),0,-VALUE(MID($F82,FIND(";"&amp;EC$13&amp;":",$F82)+LEN(EC$13)+2,1))))),0)</f>
        <v>B</v>
      </c>
      <c r="ED82" s="301" t="str">
        <f t="shared" ref="ED82:ED105" ca="1" si="426">IF(ISERR(FIND(";"&amp;ED$13&amp;":0;",$F82)),
CHAR(CODE($CE82)+SUM(IF(OR(VT_AKADGEL,VT_AKADMAG),IF(AQ$81&lt;$EF82+1,IF(ABS($CJ82)&gt;0,$CJ82,-1),0),0),IF(ISERR(FIND(";"&amp;ED$13&amp;";",$F82)),0,-1),IF(ISERR(FIND(";"&amp;ED$13&amp;":",$F82)),0,-VALUE(MID($F82,FIND(";"&amp;ED$13&amp;":",$F82)+LEN(ED$13)+2,1))))),0)</f>
        <v>B</v>
      </c>
      <c r="EE82" s="301" t="str">
        <f t="shared" ref="EE82:EE105" ca="1" si="427">IF(ISERR(FIND(";"&amp;EE$13&amp;":0;",$F82)),
CHAR(CODE($CE82)+SUM(IF(OR(VT_AKADGEL,VT_AKADMAG),IF(AR$81&lt;$EF82+1,IF(ABS($CJ82)&gt;0,$CJ82,-1),0),0),IF(ISERR(FIND(";"&amp;EE$13&amp;";",$F82)),0,-1),IF(ISERR(FIND(";"&amp;EE$13&amp;":",$F82)),0,-VALUE(MID($F82,FIND(";"&amp;EE$13&amp;":",$F82)+LEN(EE$13)+2,1))))),0)</f>
        <v>B</v>
      </c>
      <c r="EF82" s="301">
        <f t="shared" ref="EF82:EF105" si="428">IF(OR(VT_AKADGEL,VT_AKADMAG),IF(OR(VT_VETERAN,AND(CU82&lt;&gt;0,VT_BBILDUNG)),15,10),0)</f>
        <v>0</v>
      </c>
      <c r="EG82" s="301" t="str">
        <f t="shared" ref="EG82:EP91" ca="1" si="429">IF(ISERR(FIND(";"&amp;EG$13&amp;":0;",$F82)),
CHAR(CODE($CE82)+SUM(IF(NT_Unstet,1,0),
IF(ISERR(FIND(";"&amp;EG$13&amp;";",$F82)),0,-1),
IF(ISERR(FIND(";"&amp;EG$13&amp;":",$F82)),0,-VALUE(MID($F82,FIND(";"&amp;EG$13&amp;":",$F82)+LEN(EG$13)+2,1))),
IF(ISERR(FIND(";"&amp;EG$13&amp;"+",$F82)),0,VALUE(MID($F82,FIND(";"&amp;EG$13&amp;"+",$F82)+LEN(EG$13)+2,1))))),0)</f>
        <v>B</v>
      </c>
      <c r="EH82" s="301" t="str">
        <f t="shared" ca="1" si="429"/>
        <v>B</v>
      </c>
      <c r="EI82" s="301" t="str">
        <f t="shared" ca="1" si="429"/>
        <v>B</v>
      </c>
      <c r="EJ82" s="301" t="str">
        <f t="shared" ca="1" si="429"/>
        <v>B</v>
      </c>
      <c r="EK82" s="301" t="str">
        <f t="shared" ca="1" si="429"/>
        <v>B</v>
      </c>
      <c r="EL82" s="301" t="str">
        <f t="shared" ca="1" si="429"/>
        <v>B</v>
      </c>
      <c r="EM82" s="301" t="str">
        <f t="shared" ca="1" si="429"/>
        <v>B</v>
      </c>
      <c r="EN82" s="301" t="str">
        <f t="shared" ca="1" si="429"/>
        <v>B</v>
      </c>
      <c r="EO82" s="301" t="str">
        <f t="shared" ca="1" si="429"/>
        <v>B</v>
      </c>
      <c r="EP82" s="301" t="str">
        <f t="shared" ca="1" si="429"/>
        <v>B</v>
      </c>
      <c r="EQ82" s="301" t="str">
        <f t="shared" ref="EQ82:EZ91" ca="1" si="430">IF(ISERR(FIND(";"&amp;EQ$13&amp;":0;",$F82)),
CHAR(CODE($CE82)+SUM(IF(NT_Unstet,1,0),
IF(ISERR(FIND(";"&amp;EQ$13&amp;";",$F82)),0,-1),
IF(ISERR(FIND(";"&amp;EQ$13&amp;":",$F82)),0,-VALUE(MID($F82,FIND(";"&amp;EQ$13&amp;":",$F82)+LEN(EQ$13)+2,1))),
IF(ISERR(FIND(";"&amp;EQ$13&amp;"+",$F82)),0,VALUE(MID($F82,FIND(";"&amp;EQ$13&amp;"+",$F82)+LEN(EQ$13)+2,1))))),0)</f>
        <v>B</v>
      </c>
      <c r="ER82" s="301" t="str">
        <f t="shared" ca="1" si="430"/>
        <v>B</v>
      </c>
      <c r="ES82" s="301" t="str">
        <f t="shared" ca="1" si="430"/>
        <v>B</v>
      </c>
      <c r="ET82" s="301" t="str">
        <f t="shared" ca="1" si="430"/>
        <v>B</v>
      </c>
      <c r="EU82" s="301" t="str">
        <f t="shared" ca="1" si="430"/>
        <v>B</v>
      </c>
      <c r="EV82" s="301" t="str">
        <f t="shared" ca="1" si="430"/>
        <v>B</v>
      </c>
      <c r="EW82" s="301" t="str">
        <f t="shared" ca="1" si="430"/>
        <v>B</v>
      </c>
      <c r="EX82" s="301" t="str">
        <f t="shared" ca="1" si="430"/>
        <v>B</v>
      </c>
      <c r="EY82" s="301" t="str">
        <f t="shared" ca="1" si="430"/>
        <v>B</v>
      </c>
      <c r="EZ82" s="301" t="str">
        <f t="shared" ca="1" si="430"/>
        <v>B</v>
      </c>
      <c r="FA82" s="301" t="str">
        <f t="shared" ref="FA82:FL91" ca="1" si="431">IF(ISERR(FIND(";"&amp;FA$13&amp;":0;",$F82)),
CHAR(CODE($CE82)+SUM(IF(NT_Unstet,1,0),
IF(ISERR(FIND(";"&amp;FA$13&amp;";",$F82)),0,-1),
IF(ISERR(FIND(";"&amp;FA$13&amp;":",$F82)),0,-VALUE(MID($F82,FIND(";"&amp;FA$13&amp;":",$F82)+LEN(FA$13)+2,1))),
IF(ISERR(FIND(";"&amp;FA$13&amp;"+",$F82)),0,VALUE(MID($F82,FIND(";"&amp;FA$13&amp;"+",$F82)+LEN(FA$13)+2,1))))),0)</f>
        <v>B</v>
      </c>
      <c r="FB82" s="301" t="str">
        <f t="shared" ca="1" si="431"/>
        <v>B</v>
      </c>
      <c r="FC82" s="301" t="str">
        <f t="shared" ca="1" si="431"/>
        <v>B</v>
      </c>
      <c r="FD82" s="301" t="str">
        <f t="shared" ca="1" si="431"/>
        <v>B</v>
      </c>
      <c r="FE82" s="301" t="str">
        <f t="shared" ca="1" si="431"/>
        <v>B</v>
      </c>
      <c r="FF82" s="301" t="str">
        <f t="shared" ca="1" si="431"/>
        <v>B</v>
      </c>
      <c r="FG82" s="301" t="str">
        <f t="shared" ca="1" si="431"/>
        <v>B</v>
      </c>
      <c r="FH82" s="301" t="str">
        <f t="shared" ca="1" si="431"/>
        <v>B</v>
      </c>
      <c r="FI82" s="301" t="str">
        <f t="shared" ca="1" si="431"/>
        <v>B</v>
      </c>
      <c r="FJ82" s="301" t="str">
        <f t="shared" ca="1" si="431"/>
        <v>B</v>
      </c>
      <c r="FK82" s="301" t="str">
        <f t="shared" ca="1" si="431"/>
        <v>B</v>
      </c>
      <c r="FL82" s="301" t="str">
        <f t="shared" ca="1" si="431"/>
        <v>B</v>
      </c>
    </row>
    <row r="83" spans="1:168" x14ac:dyDescent="0.2">
      <c r="A83" s="24" t="str">
        <f t="shared" ref="A83:A105" si="432">INDEX(TL_WIS,ROW()-81)</f>
        <v>Baukunst</v>
      </c>
      <c r="B83" s="317" t="str">
        <f t="shared" ca="1" si="330"/>
        <v/>
      </c>
      <c r="C83" s="332" t="str">
        <f t="shared" ca="1" si="331"/>
        <v/>
      </c>
      <c r="D83" s="1110"/>
      <c r="E83" s="966"/>
      <c r="F83" s="325"/>
      <c r="G83" s="958"/>
      <c r="H83" s="1196"/>
      <c r="I83" s="326"/>
      <c r="J83" s="1886" t="str">
        <f t="shared" ca="1" si="332"/>
        <v/>
      </c>
      <c r="K83" s="1887"/>
      <c r="L83" s="1887"/>
      <c r="M83" s="1887"/>
      <c r="N83" s="1888"/>
      <c r="O83" s="613" t="str">
        <f t="shared" ca="1" si="333"/>
        <v/>
      </c>
      <c r="P83" s="90"/>
      <c r="Q83" s="25"/>
      <c r="R83" s="1313"/>
      <c r="S83" s="1313"/>
      <c r="T83" s="1315"/>
      <c r="U83" s="1283"/>
      <c r="V83" s="628" t="str">
        <f t="shared" ca="1" si="334"/>
        <v/>
      </c>
      <c r="W83" s="164">
        <f t="shared" ca="1" si="335"/>
        <v>0</v>
      </c>
      <c r="X83" s="164">
        <f t="shared" ca="1" si="336"/>
        <v>0</v>
      </c>
      <c r="Y83" s="164">
        <f t="shared" ca="1" si="337"/>
        <v>0</v>
      </c>
      <c r="Z83" s="164">
        <f t="shared" ca="1" si="338"/>
        <v>0</v>
      </c>
      <c r="AA83" s="164">
        <f t="shared" ca="1" si="339"/>
        <v>0</v>
      </c>
      <c r="AB83" s="164">
        <f t="shared" ca="1" si="340"/>
        <v>0</v>
      </c>
      <c r="AC83" s="164">
        <f t="shared" ca="1" si="341"/>
        <v>0</v>
      </c>
      <c r="AD83" s="164">
        <f t="shared" ca="1" si="342"/>
        <v>0</v>
      </c>
      <c r="AE83" s="164">
        <f t="shared" ca="1" si="343"/>
        <v>0</v>
      </c>
      <c r="AF83" s="164">
        <f t="shared" ca="1" si="344"/>
        <v>0</v>
      </c>
      <c r="AG83" s="164">
        <f t="shared" ca="1" si="345"/>
        <v>0</v>
      </c>
      <c r="AH83" s="164">
        <f t="shared" ca="1" si="346"/>
        <v>0</v>
      </c>
      <c r="AI83" s="164">
        <f t="shared" ca="1" si="347"/>
        <v>0</v>
      </c>
      <c r="AJ83" s="164">
        <f t="shared" ca="1" si="348"/>
        <v>0</v>
      </c>
      <c r="AK83" s="164">
        <f t="shared" ca="1" si="349"/>
        <v>0</v>
      </c>
      <c r="AL83" s="164">
        <f t="shared" ca="1" si="350"/>
        <v>0</v>
      </c>
      <c r="AM83" s="164">
        <f t="shared" ca="1" si="351"/>
        <v>0</v>
      </c>
      <c r="AN83" s="164">
        <f t="shared" ca="1" si="352"/>
        <v>0</v>
      </c>
      <c r="AO83" s="164">
        <f t="shared" ca="1" si="353"/>
        <v>0</v>
      </c>
      <c r="AP83" s="164">
        <f t="shared" ca="1" si="354"/>
        <v>0</v>
      </c>
      <c r="AQ83" s="164">
        <f t="shared" ca="1" si="355"/>
        <v>0</v>
      </c>
      <c r="AR83" s="164">
        <f t="shared" ca="1" si="356"/>
        <v>0</v>
      </c>
      <c r="AS83" s="195"/>
      <c r="AT83" s="154">
        <f t="shared" ca="1" si="357"/>
        <v>0</v>
      </c>
      <c r="AU83" s="154">
        <f t="shared" ca="1" si="358"/>
        <v>0</v>
      </c>
      <c r="AV83" s="154">
        <f t="shared" ca="1" si="359"/>
        <v>0</v>
      </c>
      <c r="AW83" s="154">
        <f t="shared" ca="1" si="360"/>
        <v>0</v>
      </c>
      <c r="AX83" s="154">
        <f t="shared" ca="1" si="361"/>
        <v>0</v>
      </c>
      <c r="AY83" s="154">
        <f t="shared" ca="1" si="362"/>
        <v>0</v>
      </c>
      <c r="AZ83" s="154">
        <f t="shared" ca="1" si="363"/>
        <v>0</v>
      </c>
      <c r="BA83" s="154">
        <f t="shared" ca="1" si="364"/>
        <v>0</v>
      </c>
      <c r="BB83" s="154">
        <f t="shared" ca="1" si="365"/>
        <v>0</v>
      </c>
      <c r="BC83" s="154">
        <f t="shared" ca="1" si="366"/>
        <v>0</v>
      </c>
      <c r="BD83" s="154">
        <f t="shared" ca="1" si="367"/>
        <v>0</v>
      </c>
      <c r="BE83" s="154">
        <f t="shared" ca="1" si="368"/>
        <v>0</v>
      </c>
      <c r="BF83" s="154">
        <f t="shared" ca="1" si="369"/>
        <v>0</v>
      </c>
      <c r="BG83" s="154">
        <f t="shared" ca="1" si="370"/>
        <v>0</v>
      </c>
      <c r="BH83" s="154">
        <f t="shared" ca="1" si="371"/>
        <v>0</v>
      </c>
      <c r="BI83" s="154">
        <f t="shared" ca="1" si="372"/>
        <v>0</v>
      </c>
      <c r="BJ83" s="154">
        <f t="shared" ca="1" si="373"/>
        <v>0</v>
      </c>
      <c r="BK83" s="154">
        <f t="shared" ca="1" si="374"/>
        <v>0</v>
      </c>
      <c r="BL83" s="154">
        <f t="shared" ca="1" si="375"/>
        <v>0</v>
      </c>
      <c r="BM83" s="154">
        <f t="shared" ca="1" si="376"/>
        <v>0</v>
      </c>
      <c r="BN83" s="154">
        <f t="shared" ca="1" si="377"/>
        <v>0</v>
      </c>
      <c r="BO83" s="154">
        <f t="shared" ca="1" si="378"/>
        <v>0</v>
      </c>
      <c r="BP83" s="154">
        <f t="shared" ca="1" si="379"/>
        <v>0</v>
      </c>
      <c r="BQ83" s="154">
        <f t="shared" ca="1" si="380"/>
        <v>0</v>
      </c>
      <c r="BR83" s="154">
        <f t="shared" ca="1" si="381"/>
        <v>0</v>
      </c>
      <c r="BS83" s="154">
        <f t="shared" ca="1" si="382"/>
        <v>0</v>
      </c>
      <c r="BT83" s="154">
        <f t="shared" ca="1" si="383"/>
        <v>0</v>
      </c>
      <c r="BU83" s="154">
        <f t="shared" ca="1" si="384"/>
        <v>0</v>
      </c>
      <c r="BV83" s="154">
        <f t="shared" ca="1" si="385"/>
        <v>0</v>
      </c>
      <c r="BW83" s="154">
        <f t="shared" ca="1" si="386"/>
        <v>0</v>
      </c>
      <c r="BX83" s="154">
        <f t="shared" ca="1" si="387"/>
        <v>0</v>
      </c>
      <c r="BY83" s="154">
        <f t="shared" ca="1" si="388"/>
        <v>0</v>
      </c>
      <c r="BZ83" s="154">
        <f t="shared" ref="BZ83:BZ105" si="433">IF(T83="GP",1,0)</f>
        <v>0</v>
      </c>
      <c r="CA83" s="154">
        <f t="shared" ref="CA83:CA105" si="434">IF(OR(T83="Start-AP",T83="Start-AP-2P"),
ROUND(IF(R83="",0,IF(DI83="",1,0))*IF(U83="",20,10)*HLOOKUP(CE83,SKT,2,FALSE)*IF(VT_EIDGED,0.5,IF(VT_GUTGED,0.75,1)),0),0)</f>
        <v>0</v>
      </c>
      <c r="CB83" s="154">
        <f t="shared" ref="CB83:CB105" ca="1" si="435">ROUND(
IF(OR(T83="",T83="AP"),
(IF(R83="",0,IF(DI83="",IF(OR(U83="S1 verbilligt",U83="Beide verbilligt"),0.5,1),0))+IF(S83="",0,IF(OR(U83="S2 verbilligt",U83="Beide verbilligt"),1,2)))*20*HLOOKUP(CE83,SKT,2,FALSE),IF(S83="",0,IF(OR(U83="S2 verbilligt",U83="Beide verbilligt"),1,2))*20*HLOOKUP(CE83,SKT,2,FALSE))*IF(VT_EIDGED,0.5,IF(VT_GUTGED,0.75,1)),0)</f>
        <v>0</v>
      </c>
      <c r="CC83" s="523"/>
      <c r="CD83" s="355">
        <f t="shared" si="389"/>
        <v>108</v>
      </c>
      <c r="CE83" s="751" t="str">
        <f t="shared" ca="1" si="390"/>
        <v>B</v>
      </c>
      <c r="CF83" s="355" t="str">
        <f ca="1">IF(EXACT($B83,""),$CF82,CONCATENATE($CF82,$A83))</f>
        <v/>
      </c>
      <c r="CG83" s="268">
        <f>IF(ZS_SE_VIEW,SUM(
IF(ZS_AKADEMIE="",0,IF(HLOOKUP(ZS_AKADEMIE,PROFMAGIE,$CD83,FALSE)&gt;0,1,0)),
IF(AND(ZS_IAAK="Ja",IF(HLOOKUP(Tabellen_Magie!$IK$1,PROFMAGIE,$CD83,FALSE)&gt;0,TRUE,FALSE)),1,0)),0)</f>
        <v>0</v>
      </c>
      <c r="CH83" s="268"/>
      <c r="CI83" s="269">
        <f t="shared" ca="1" si="391"/>
        <v>0</v>
      </c>
      <c r="CJ83" s="269">
        <f t="shared" ca="1" si="392"/>
        <v>0</v>
      </c>
      <c r="CK83" s="268"/>
      <c r="CL83" s="268"/>
      <c r="CM83" s="268">
        <f t="shared" ca="1" si="327"/>
        <v>0</v>
      </c>
      <c r="CN83" s="269">
        <f t="shared" ca="1" si="328"/>
        <v>0</v>
      </c>
      <c r="CO83" s="268" t="str">
        <f t="shared" ca="1" si="393"/>
        <v>B</v>
      </c>
      <c r="CP83" s="269" t="b">
        <f t="shared" ca="1" si="394"/>
        <v>1</v>
      </c>
      <c r="CQ83" s="269">
        <f t="shared" si="395"/>
        <v>0</v>
      </c>
      <c r="CR83" s="269">
        <f t="shared" si="396"/>
        <v>0</v>
      </c>
      <c r="CS83" s="269">
        <f t="shared" ca="1" si="397"/>
        <v>0</v>
      </c>
      <c r="CT83" s="302" t="str">
        <f t="shared" ca="1" si="398"/>
        <v>0</v>
      </c>
      <c r="CU83" s="269">
        <f t="shared" ca="1" si="399"/>
        <v>0</v>
      </c>
      <c r="CV83" s="268"/>
      <c r="CW83" s="269">
        <f t="shared" ca="1" si="400"/>
        <v>0</v>
      </c>
      <c r="CX83" s="301">
        <f t="shared" ca="1" si="401"/>
        <v>0</v>
      </c>
      <c r="CY83" s="301">
        <f t="shared" ca="1" si="329"/>
        <v>0</v>
      </c>
      <c r="CZ83" s="301">
        <f t="shared" ca="1" si="402"/>
        <v>0</v>
      </c>
      <c r="DA83" s="301">
        <f t="shared" ca="1" si="403"/>
        <v>0</v>
      </c>
      <c r="DB83" t="str">
        <f ca="1">IF(AND(NOT(AND(ISBLANK($G83),ISBLANK($I83))),OR($O$246&lt;4,$O$138&lt;5,$O$97&lt;5)),"L/S 4+, M/Z &amp; Rechnen 5+",IF(CG83&gt;0,CG83 &amp; " SE aus Zweit-/Drittstudium",""))</f>
        <v/>
      </c>
      <c r="DC83" s="301" t="str">
        <f t="shared" ca="1" si="404"/>
        <v/>
      </c>
      <c r="DD83" s="1337" t="str">
        <f t="shared" ref="DD83:DD105" ca="1" si="436">IF(PROFGEBGENE="Goetter",IF(RIGHT(HLOOKUP(PROFGENE,INDIRECT(PROFGEBIET),$CD83,FALSE),1)="M",CONCATENATE(DD82,$A83,","),DD82),IF(AKTIV_SPTWHE,IF(EXACT(UPPER(RIGHT(HLOOKUP(PROFSPTWHE,SPTWHE,$CD83,FALSE))),"M"),CONCATENATE(DD82,$A83,","),DD82),IF(PROFGEBZWEITE="Goetter (BGB)",IF(RIGHT(HLOOKUP(PROFZWEITE,INDIRECT(PROFGEBIET2),$CD83,FALSE),1)="M",CONCATENATE(DD82,$A83,","),DD82),"")))</f>
        <v/>
      </c>
      <c r="DE83" s="1337" t="str">
        <f t="shared" ref="DE83:DE105" ca="1" si="437">IF(PROFGEBGENE="Goetter",IF(RIGHT(HLOOKUP(PROFGENE,INDIRECT(PROFGEBIET),$CD83,FALSE),1)="N",CONCATENATE(DE82,$A83,","),DE82),IF(AKTIV_SPTWHE,IF(EXACT(UPPER(RIGHT(HLOOKUP(PROFSPTWHE,SPTWHE,$CD83,FALSE))),"N"),CONCATENATE(DE82,$A83,","),DE82),IF(PROFGEBZWEITE="Goetter (BGB)",IF(RIGHT(HLOOKUP(PROFZWEITE,INDIRECT(PROFGEBIET2),$CD83,FALSE),1)="N",CONCATENATE(DE82,$A83,","),DE82),"")))</f>
        <v/>
      </c>
      <c r="DG83" s="269" t="str">
        <f t="shared" ca="1" si="405"/>
        <v>Tabellen_Andere!BA10:BF10</v>
      </c>
      <c r="DH83" s="269" t="str">
        <f t="shared" ref="DH83:DH98" si="438">IF(VLOOKUP(A83,TALENTE_GP,4,FALSE)="Kultur","KULTUREN","Tabellen_Andere!BA"&amp;MATCH(A83,TALENTE)+1&amp;":BF"&amp;MATCH(A83,TALENTE)+1)</f>
        <v>Tabellen_Andere!BA10:BF10</v>
      </c>
      <c r="DI83" s="269" t="str">
        <f ca="1">IF(NOT(ISERR(FIND(A83,Abfragen!$O$264,1))),MID(Abfragen!$O$264,FIND("(",Abfragen!$O$264,FIND(A83,Abfragen!$O$264,1)+LEN(A83))+1,FIND(")",Abfragen!$O$264,FIND(A83,Abfragen!$O$264,1)+LEN(A83))-FIND("(",Abfragen!$O$264,FIND(A83,Abfragen!$O$264,1)+LEN(A83))-1),"")</f>
        <v/>
      </c>
      <c r="DJ83" s="301" t="str">
        <f t="shared" ca="1" si="406"/>
        <v>B</v>
      </c>
      <c r="DK83" s="301" t="str">
        <f t="shared" ca="1" si="407"/>
        <v>B</v>
      </c>
      <c r="DL83" s="301" t="str">
        <f t="shared" ca="1" si="408"/>
        <v>B</v>
      </c>
      <c r="DM83" s="301" t="str">
        <f t="shared" ca="1" si="409"/>
        <v>B</v>
      </c>
      <c r="DN83" s="301" t="str">
        <f t="shared" ca="1" si="410"/>
        <v>B</v>
      </c>
      <c r="DO83" s="301" t="str">
        <f t="shared" ca="1" si="411"/>
        <v>B</v>
      </c>
      <c r="DP83" s="301" t="str">
        <f t="shared" ca="1" si="412"/>
        <v>B</v>
      </c>
      <c r="DQ83" s="301" t="str">
        <f t="shared" ca="1" si="413"/>
        <v>B</v>
      </c>
      <c r="DR83" s="301" t="str">
        <f t="shared" ca="1" si="414"/>
        <v>B</v>
      </c>
      <c r="DS83" s="301" t="str">
        <f t="shared" ca="1" si="415"/>
        <v>B</v>
      </c>
      <c r="DT83" s="301" t="str">
        <f t="shared" ca="1" si="416"/>
        <v>B</v>
      </c>
      <c r="DU83" s="301" t="str">
        <f t="shared" ca="1" si="417"/>
        <v>B</v>
      </c>
      <c r="DV83" s="301" t="str">
        <f t="shared" ca="1" si="418"/>
        <v>B</v>
      </c>
      <c r="DW83" s="301" t="str">
        <f t="shared" ca="1" si="419"/>
        <v>B</v>
      </c>
      <c r="DX83" s="301" t="str">
        <f t="shared" ca="1" si="420"/>
        <v>B</v>
      </c>
      <c r="DY83" s="301" t="str">
        <f t="shared" ca="1" si="421"/>
        <v>B</v>
      </c>
      <c r="DZ83" s="301" t="str">
        <f t="shared" ca="1" si="422"/>
        <v>B</v>
      </c>
      <c r="EA83" s="301" t="str">
        <f t="shared" ca="1" si="423"/>
        <v>B</v>
      </c>
      <c r="EB83" s="301" t="str">
        <f t="shared" ca="1" si="424"/>
        <v>B</v>
      </c>
      <c r="EC83" s="301" t="str">
        <f t="shared" ca="1" si="425"/>
        <v>B</v>
      </c>
      <c r="ED83" s="301" t="str">
        <f t="shared" ca="1" si="426"/>
        <v>B</v>
      </c>
      <c r="EE83" s="301" t="str">
        <f t="shared" ca="1" si="427"/>
        <v>B</v>
      </c>
      <c r="EF83" s="301">
        <f t="shared" si="428"/>
        <v>0</v>
      </c>
      <c r="EG83" s="301" t="str">
        <f t="shared" ca="1" si="429"/>
        <v>B</v>
      </c>
      <c r="EH83" s="301" t="str">
        <f t="shared" ca="1" si="429"/>
        <v>B</v>
      </c>
      <c r="EI83" s="301" t="str">
        <f t="shared" ca="1" si="429"/>
        <v>B</v>
      </c>
      <c r="EJ83" s="301" t="str">
        <f t="shared" ca="1" si="429"/>
        <v>B</v>
      </c>
      <c r="EK83" s="301" t="str">
        <f t="shared" ca="1" si="429"/>
        <v>B</v>
      </c>
      <c r="EL83" s="301" t="str">
        <f t="shared" ca="1" si="429"/>
        <v>B</v>
      </c>
      <c r="EM83" s="301" t="str">
        <f t="shared" ca="1" si="429"/>
        <v>B</v>
      </c>
      <c r="EN83" s="301" t="str">
        <f t="shared" ca="1" si="429"/>
        <v>B</v>
      </c>
      <c r="EO83" s="301" t="str">
        <f t="shared" ca="1" si="429"/>
        <v>B</v>
      </c>
      <c r="EP83" s="301" t="str">
        <f t="shared" ca="1" si="429"/>
        <v>B</v>
      </c>
      <c r="EQ83" s="301" t="str">
        <f t="shared" ca="1" si="430"/>
        <v>B</v>
      </c>
      <c r="ER83" s="301" t="str">
        <f t="shared" ca="1" si="430"/>
        <v>B</v>
      </c>
      <c r="ES83" s="301" t="str">
        <f t="shared" ca="1" si="430"/>
        <v>B</v>
      </c>
      <c r="ET83" s="301" t="str">
        <f t="shared" ca="1" si="430"/>
        <v>B</v>
      </c>
      <c r="EU83" s="301" t="str">
        <f t="shared" ca="1" si="430"/>
        <v>B</v>
      </c>
      <c r="EV83" s="301" t="str">
        <f t="shared" ca="1" si="430"/>
        <v>B</v>
      </c>
      <c r="EW83" s="301" t="str">
        <f t="shared" ca="1" si="430"/>
        <v>B</v>
      </c>
      <c r="EX83" s="301" t="str">
        <f t="shared" ca="1" si="430"/>
        <v>B</v>
      </c>
      <c r="EY83" s="301" t="str">
        <f t="shared" ca="1" si="430"/>
        <v>B</v>
      </c>
      <c r="EZ83" s="301" t="str">
        <f t="shared" ca="1" si="430"/>
        <v>B</v>
      </c>
      <c r="FA83" s="301" t="str">
        <f t="shared" ca="1" si="431"/>
        <v>B</v>
      </c>
      <c r="FB83" s="301" t="str">
        <f t="shared" ca="1" si="431"/>
        <v>B</v>
      </c>
      <c r="FC83" s="301" t="str">
        <f t="shared" ca="1" si="431"/>
        <v>B</v>
      </c>
      <c r="FD83" s="301" t="str">
        <f t="shared" ca="1" si="431"/>
        <v>B</v>
      </c>
      <c r="FE83" s="301" t="str">
        <f t="shared" ca="1" si="431"/>
        <v>B</v>
      </c>
      <c r="FF83" s="301" t="str">
        <f t="shared" ca="1" si="431"/>
        <v>B</v>
      </c>
      <c r="FG83" s="301" t="str">
        <f t="shared" ca="1" si="431"/>
        <v>B</v>
      </c>
      <c r="FH83" s="301" t="str">
        <f t="shared" ca="1" si="431"/>
        <v>B</v>
      </c>
      <c r="FI83" s="301" t="str">
        <f t="shared" ca="1" si="431"/>
        <v>B</v>
      </c>
      <c r="FJ83" s="301" t="str">
        <f t="shared" ca="1" si="431"/>
        <v>B</v>
      </c>
      <c r="FK83" s="301" t="str">
        <f t="shared" ca="1" si="431"/>
        <v>B</v>
      </c>
      <c r="FL83" s="301" t="str">
        <f t="shared" ca="1" si="431"/>
        <v>B</v>
      </c>
    </row>
    <row r="84" spans="1:168" x14ac:dyDescent="0.2">
      <c r="A84" s="24" t="str">
        <f t="shared" si="432"/>
        <v>Brett-/Kartenspiel</v>
      </c>
      <c r="B84" s="317" t="str">
        <f t="shared" ca="1" si="330"/>
        <v/>
      </c>
      <c r="C84" s="332" t="str">
        <f t="shared" ca="1" si="331"/>
        <v/>
      </c>
      <c r="D84" s="1110"/>
      <c r="E84" s="966"/>
      <c r="F84" s="325"/>
      <c r="G84" s="958"/>
      <c r="H84" s="1196"/>
      <c r="I84" s="326"/>
      <c r="J84" s="1886" t="str">
        <f t="shared" ca="1" si="332"/>
        <v/>
      </c>
      <c r="K84" s="1887"/>
      <c r="L84" s="1887"/>
      <c r="M84" s="1887"/>
      <c r="N84" s="1888"/>
      <c r="O84" s="613" t="str">
        <f t="shared" ca="1" si="333"/>
        <v/>
      </c>
      <c r="P84" s="90"/>
      <c r="Q84" s="25"/>
      <c r="R84" s="1313"/>
      <c r="S84" s="1313"/>
      <c r="T84" s="1315"/>
      <c r="U84" s="1283"/>
      <c r="V84" s="628" t="str">
        <f t="shared" ca="1" si="334"/>
        <v/>
      </c>
      <c r="W84" s="164">
        <f t="shared" ca="1" si="335"/>
        <v>0</v>
      </c>
      <c r="X84" s="164">
        <f t="shared" ca="1" si="336"/>
        <v>0</v>
      </c>
      <c r="Y84" s="164">
        <f t="shared" ca="1" si="337"/>
        <v>0</v>
      </c>
      <c r="Z84" s="164">
        <f t="shared" ca="1" si="338"/>
        <v>0</v>
      </c>
      <c r="AA84" s="164">
        <f t="shared" ca="1" si="339"/>
        <v>0</v>
      </c>
      <c r="AB84" s="164">
        <f t="shared" ca="1" si="340"/>
        <v>0</v>
      </c>
      <c r="AC84" s="164">
        <f t="shared" ca="1" si="341"/>
        <v>0</v>
      </c>
      <c r="AD84" s="164">
        <f t="shared" ca="1" si="342"/>
        <v>0</v>
      </c>
      <c r="AE84" s="164">
        <f t="shared" ca="1" si="343"/>
        <v>0</v>
      </c>
      <c r="AF84" s="164">
        <f t="shared" ca="1" si="344"/>
        <v>0</v>
      </c>
      <c r="AG84" s="164">
        <f t="shared" ca="1" si="345"/>
        <v>0</v>
      </c>
      <c r="AH84" s="164">
        <f t="shared" ca="1" si="346"/>
        <v>0</v>
      </c>
      <c r="AI84" s="164">
        <f t="shared" ca="1" si="347"/>
        <v>0</v>
      </c>
      <c r="AJ84" s="164">
        <f t="shared" ca="1" si="348"/>
        <v>0</v>
      </c>
      <c r="AK84" s="164">
        <f t="shared" ca="1" si="349"/>
        <v>0</v>
      </c>
      <c r="AL84" s="164">
        <f t="shared" ca="1" si="350"/>
        <v>0</v>
      </c>
      <c r="AM84" s="164">
        <f t="shared" ca="1" si="351"/>
        <v>0</v>
      </c>
      <c r="AN84" s="164">
        <f t="shared" ca="1" si="352"/>
        <v>0</v>
      </c>
      <c r="AO84" s="164">
        <f t="shared" ca="1" si="353"/>
        <v>0</v>
      </c>
      <c r="AP84" s="164">
        <f t="shared" ca="1" si="354"/>
        <v>0</v>
      </c>
      <c r="AQ84" s="164">
        <f t="shared" ca="1" si="355"/>
        <v>0</v>
      </c>
      <c r="AR84" s="164">
        <f t="shared" ca="1" si="356"/>
        <v>0</v>
      </c>
      <c r="AS84" s="195"/>
      <c r="AT84" s="154">
        <f t="shared" ca="1" si="357"/>
        <v>0</v>
      </c>
      <c r="AU84" s="154">
        <f t="shared" ca="1" si="358"/>
        <v>0</v>
      </c>
      <c r="AV84" s="154">
        <f t="shared" ca="1" si="359"/>
        <v>0</v>
      </c>
      <c r="AW84" s="154">
        <f t="shared" ca="1" si="360"/>
        <v>0</v>
      </c>
      <c r="AX84" s="154">
        <f t="shared" ca="1" si="361"/>
        <v>0</v>
      </c>
      <c r="AY84" s="154">
        <f t="shared" ca="1" si="362"/>
        <v>0</v>
      </c>
      <c r="AZ84" s="154">
        <f t="shared" ca="1" si="363"/>
        <v>0</v>
      </c>
      <c r="BA84" s="154">
        <f t="shared" ca="1" si="364"/>
        <v>0</v>
      </c>
      <c r="BB84" s="154">
        <f t="shared" ca="1" si="365"/>
        <v>0</v>
      </c>
      <c r="BC84" s="154">
        <f t="shared" ca="1" si="366"/>
        <v>0</v>
      </c>
      <c r="BD84" s="154">
        <f t="shared" ca="1" si="367"/>
        <v>0</v>
      </c>
      <c r="BE84" s="154">
        <f t="shared" ca="1" si="368"/>
        <v>0</v>
      </c>
      <c r="BF84" s="154">
        <f t="shared" ca="1" si="369"/>
        <v>0</v>
      </c>
      <c r="BG84" s="154">
        <f t="shared" ca="1" si="370"/>
        <v>0</v>
      </c>
      <c r="BH84" s="154">
        <f t="shared" ca="1" si="371"/>
        <v>0</v>
      </c>
      <c r="BI84" s="154">
        <f t="shared" ca="1" si="372"/>
        <v>0</v>
      </c>
      <c r="BJ84" s="154">
        <f t="shared" ca="1" si="373"/>
        <v>0</v>
      </c>
      <c r="BK84" s="154">
        <f t="shared" ca="1" si="374"/>
        <v>0</v>
      </c>
      <c r="BL84" s="154">
        <f t="shared" ca="1" si="375"/>
        <v>0</v>
      </c>
      <c r="BM84" s="154">
        <f t="shared" ca="1" si="376"/>
        <v>0</v>
      </c>
      <c r="BN84" s="154">
        <f t="shared" ca="1" si="377"/>
        <v>0</v>
      </c>
      <c r="BO84" s="154">
        <f t="shared" ca="1" si="378"/>
        <v>0</v>
      </c>
      <c r="BP84" s="154">
        <f t="shared" ca="1" si="379"/>
        <v>0</v>
      </c>
      <c r="BQ84" s="154">
        <f t="shared" ca="1" si="380"/>
        <v>0</v>
      </c>
      <c r="BR84" s="154">
        <f t="shared" ca="1" si="381"/>
        <v>0</v>
      </c>
      <c r="BS84" s="154">
        <f t="shared" ca="1" si="382"/>
        <v>0</v>
      </c>
      <c r="BT84" s="154">
        <f t="shared" ca="1" si="383"/>
        <v>0</v>
      </c>
      <c r="BU84" s="154">
        <f t="shared" ca="1" si="384"/>
        <v>0</v>
      </c>
      <c r="BV84" s="154">
        <f t="shared" ca="1" si="385"/>
        <v>0</v>
      </c>
      <c r="BW84" s="154">
        <f t="shared" ca="1" si="386"/>
        <v>0</v>
      </c>
      <c r="BX84" s="154">
        <f t="shared" ca="1" si="387"/>
        <v>0</v>
      </c>
      <c r="BY84" s="154">
        <f t="shared" ca="1" si="388"/>
        <v>0</v>
      </c>
      <c r="BZ84" s="154">
        <f t="shared" si="433"/>
        <v>0</v>
      </c>
      <c r="CA84" s="154">
        <f t="shared" si="434"/>
        <v>0</v>
      </c>
      <c r="CB84" s="154">
        <f t="shared" ca="1" si="435"/>
        <v>0</v>
      </c>
      <c r="CC84" s="523"/>
      <c r="CD84" s="355">
        <f t="shared" si="389"/>
        <v>109</v>
      </c>
      <c r="CE84" s="751" t="str">
        <f t="shared" ca="1" si="390"/>
        <v>B</v>
      </c>
      <c r="CF84" s="355" t="str">
        <f ca="1">IF(EXACT($B84,""),$CF83,CONCATENATE($CF83,$A84))</f>
        <v/>
      </c>
      <c r="CG84" s="268">
        <f>IF(ZS_SE_VIEW,SUM(
IF(ZS_AKADEMIE="",0,IF(HLOOKUP(ZS_AKADEMIE,PROFMAGIE,$CD84,FALSE)&gt;0,1,0)),
IF(AND(ZS_IAAK="Ja",IF(HLOOKUP(Tabellen_Magie!$IK$1,PROFMAGIE,$CD84,FALSE)&gt;0,TRUE,FALSE)),1,0)),0)</f>
        <v>0</v>
      </c>
      <c r="CH84" s="268"/>
      <c r="CI84" s="269">
        <f t="shared" ca="1" si="391"/>
        <v>0</v>
      </c>
      <c r="CJ84" s="269">
        <f t="shared" ca="1" si="392"/>
        <v>0</v>
      </c>
      <c r="CK84" s="268"/>
      <c r="CL84" s="268"/>
      <c r="CM84" s="268">
        <f t="shared" ca="1" si="327"/>
        <v>0</v>
      </c>
      <c r="CN84" s="269">
        <f t="shared" ca="1" si="328"/>
        <v>0</v>
      </c>
      <c r="CO84" s="268" t="str">
        <f t="shared" ca="1" si="393"/>
        <v>B</v>
      </c>
      <c r="CP84" s="269" t="b">
        <f t="shared" ca="1" si="394"/>
        <v>1</v>
      </c>
      <c r="CQ84" s="269">
        <f t="shared" si="395"/>
        <v>0</v>
      </c>
      <c r="CR84" s="269">
        <f t="shared" si="396"/>
        <v>0</v>
      </c>
      <c r="CS84" s="269">
        <f t="shared" ca="1" si="397"/>
        <v>0</v>
      </c>
      <c r="CT84" s="302" t="str">
        <f t="shared" ca="1" si="398"/>
        <v>0</v>
      </c>
      <c r="CU84" s="269">
        <f t="shared" ca="1" si="399"/>
        <v>0</v>
      </c>
      <c r="CV84" s="268"/>
      <c r="CW84" s="269">
        <f t="shared" ca="1" si="400"/>
        <v>0</v>
      </c>
      <c r="CX84" s="301">
        <f t="shared" ca="1" si="401"/>
        <v>0</v>
      </c>
      <c r="CY84" s="301">
        <f t="shared" ca="1" si="329"/>
        <v>0</v>
      </c>
      <c r="CZ84" s="301">
        <f t="shared" ca="1" si="402"/>
        <v>0</v>
      </c>
      <c r="DA84" s="301">
        <f t="shared" ca="1" si="403"/>
        <v>0</v>
      </c>
      <c r="DB84" t="str">
        <f>IF(CG84&gt;0,CG84 &amp; " SE aus Zweit-/Drittstudium","")</f>
        <v/>
      </c>
      <c r="DC84" s="301" t="str">
        <f t="shared" ca="1" si="404"/>
        <v/>
      </c>
      <c r="DD84" s="1337" t="str">
        <f t="shared" ca="1" si="436"/>
        <v/>
      </c>
      <c r="DE84" s="1337" t="str">
        <f t="shared" ca="1" si="437"/>
        <v/>
      </c>
      <c r="DG84" s="269" t="str">
        <f t="shared" ca="1" si="405"/>
        <v>Tabellen_Andere!BA19:BF19</v>
      </c>
      <c r="DH84" s="269" t="str">
        <f t="shared" si="438"/>
        <v>Tabellen_Andere!BA19:BF19</v>
      </c>
      <c r="DI84" s="269" t="str">
        <f ca="1">IF(NOT(ISERR(FIND(A84,Abfragen!$O$264,1))),MID(Abfragen!$O$264,FIND("(",Abfragen!$O$264,FIND(A84,Abfragen!$O$264,1)+LEN(A84))+1,FIND(")",Abfragen!$O$264,FIND(A84,Abfragen!$O$264,1)+LEN(A84))-FIND("(",Abfragen!$O$264,FIND(A84,Abfragen!$O$264,1)+LEN(A84))-1),"")</f>
        <v/>
      </c>
      <c r="DJ84" s="301" t="str">
        <f t="shared" ca="1" si="406"/>
        <v>B</v>
      </c>
      <c r="DK84" s="301" t="str">
        <f t="shared" ca="1" si="407"/>
        <v>B</v>
      </c>
      <c r="DL84" s="301" t="str">
        <f t="shared" ca="1" si="408"/>
        <v>B</v>
      </c>
      <c r="DM84" s="301" t="str">
        <f t="shared" ca="1" si="409"/>
        <v>B</v>
      </c>
      <c r="DN84" s="301" t="str">
        <f t="shared" ca="1" si="410"/>
        <v>B</v>
      </c>
      <c r="DO84" s="301" t="str">
        <f t="shared" ca="1" si="411"/>
        <v>B</v>
      </c>
      <c r="DP84" s="301" t="str">
        <f t="shared" ca="1" si="412"/>
        <v>B</v>
      </c>
      <c r="DQ84" s="301" t="str">
        <f t="shared" ca="1" si="413"/>
        <v>B</v>
      </c>
      <c r="DR84" s="301" t="str">
        <f t="shared" ca="1" si="414"/>
        <v>B</v>
      </c>
      <c r="DS84" s="301" t="str">
        <f t="shared" ca="1" si="415"/>
        <v>B</v>
      </c>
      <c r="DT84" s="301" t="str">
        <f t="shared" ca="1" si="416"/>
        <v>B</v>
      </c>
      <c r="DU84" s="301" t="str">
        <f t="shared" ca="1" si="417"/>
        <v>B</v>
      </c>
      <c r="DV84" s="301" t="str">
        <f t="shared" ca="1" si="418"/>
        <v>B</v>
      </c>
      <c r="DW84" s="301" t="str">
        <f t="shared" ca="1" si="419"/>
        <v>B</v>
      </c>
      <c r="DX84" s="301" t="str">
        <f t="shared" ca="1" si="420"/>
        <v>B</v>
      </c>
      <c r="DY84" s="301" t="str">
        <f t="shared" ca="1" si="421"/>
        <v>B</v>
      </c>
      <c r="DZ84" s="301" t="str">
        <f t="shared" ca="1" si="422"/>
        <v>B</v>
      </c>
      <c r="EA84" s="301" t="str">
        <f t="shared" ca="1" si="423"/>
        <v>B</v>
      </c>
      <c r="EB84" s="301" t="str">
        <f t="shared" ca="1" si="424"/>
        <v>B</v>
      </c>
      <c r="EC84" s="301" t="str">
        <f t="shared" ca="1" si="425"/>
        <v>B</v>
      </c>
      <c r="ED84" s="301" t="str">
        <f t="shared" ca="1" si="426"/>
        <v>B</v>
      </c>
      <c r="EE84" s="301" t="str">
        <f t="shared" ca="1" si="427"/>
        <v>B</v>
      </c>
      <c r="EF84" s="301">
        <f t="shared" si="428"/>
        <v>0</v>
      </c>
      <c r="EG84" s="301" t="str">
        <f t="shared" ca="1" si="429"/>
        <v>B</v>
      </c>
      <c r="EH84" s="301" t="str">
        <f t="shared" ca="1" si="429"/>
        <v>B</v>
      </c>
      <c r="EI84" s="301" t="str">
        <f t="shared" ca="1" si="429"/>
        <v>B</v>
      </c>
      <c r="EJ84" s="301" t="str">
        <f t="shared" ca="1" si="429"/>
        <v>B</v>
      </c>
      <c r="EK84" s="301" t="str">
        <f t="shared" ca="1" si="429"/>
        <v>B</v>
      </c>
      <c r="EL84" s="301" t="str">
        <f t="shared" ca="1" si="429"/>
        <v>B</v>
      </c>
      <c r="EM84" s="301" t="str">
        <f t="shared" ca="1" si="429"/>
        <v>B</v>
      </c>
      <c r="EN84" s="301" t="str">
        <f t="shared" ca="1" si="429"/>
        <v>B</v>
      </c>
      <c r="EO84" s="301" t="str">
        <f t="shared" ca="1" si="429"/>
        <v>B</v>
      </c>
      <c r="EP84" s="301" t="str">
        <f t="shared" ca="1" si="429"/>
        <v>B</v>
      </c>
      <c r="EQ84" s="301" t="str">
        <f t="shared" ca="1" si="430"/>
        <v>B</v>
      </c>
      <c r="ER84" s="301" t="str">
        <f t="shared" ca="1" si="430"/>
        <v>B</v>
      </c>
      <c r="ES84" s="301" t="str">
        <f t="shared" ca="1" si="430"/>
        <v>B</v>
      </c>
      <c r="ET84" s="301" t="str">
        <f t="shared" ca="1" si="430"/>
        <v>B</v>
      </c>
      <c r="EU84" s="301" t="str">
        <f t="shared" ca="1" si="430"/>
        <v>B</v>
      </c>
      <c r="EV84" s="301" t="str">
        <f t="shared" ca="1" si="430"/>
        <v>B</v>
      </c>
      <c r="EW84" s="301" t="str">
        <f t="shared" ca="1" si="430"/>
        <v>B</v>
      </c>
      <c r="EX84" s="301" t="str">
        <f t="shared" ca="1" si="430"/>
        <v>B</v>
      </c>
      <c r="EY84" s="301" t="str">
        <f t="shared" ca="1" si="430"/>
        <v>B</v>
      </c>
      <c r="EZ84" s="301" t="str">
        <f t="shared" ca="1" si="430"/>
        <v>B</v>
      </c>
      <c r="FA84" s="301" t="str">
        <f t="shared" ca="1" si="431"/>
        <v>B</v>
      </c>
      <c r="FB84" s="301" t="str">
        <f t="shared" ca="1" si="431"/>
        <v>B</v>
      </c>
      <c r="FC84" s="301" t="str">
        <f t="shared" ca="1" si="431"/>
        <v>B</v>
      </c>
      <c r="FD84" s="301" t="str">
        <f t="shared" ca="1" si="431"/>
        <v>B</v>
      </c>
      <c r="FE84" s="301" t="str">
        <f t="shared" ca="1" si="431"/>
        <v>B</v>
      </c>
      <c r="FF84" s="301" t="str">
        <f t="shared" ca="1" si="431"/>
        <v>B</v>
      </c>
      <c r="FG84" s="301" t="str">
        <f t="shared" ca="1" si="431"/>
        <v>B</v>
      </c>
      <c r="FH84" s="301" t="str">
        <f t="shared" ca="1" si="431"/>
        <v>B</v>
      </c>
      <c r="FI84" s="301" t="str">
        <f t="shared" ca="1" si="431"/>
        <v>B</v>
      </c>
      <c r="FJ84" s="301" t="str">
        <f t="shared" ca="1" si="431"/>
        <v>B</v>
      </c>
      <c r="FK84" s="301" t="str">
        <f t="shared" ca="1" si="431"/>
        <v>B</v>
      </c>
      <c r="FL84" s="301" t="str">
        <f t="shared" ca="1" si="431"/>
        <v>B</v>
      </c>
    </row>
    <row r="85" spans="1:168" x14ac:dyDescent="0.2">
      <c r="A85" s="24" t="str">
        <f t="shared" si="432"/>
        <v>Geographie</v>
      </c>
      <c r="B85" s="317" t="str">
        <f t="shared" ca="1" si="330"/>
        <v/>
      </c>
      <c r="C85" s="332" t="str">
        <f t="shared" ca="1" si="331"/>
        <v/>
      </c>
      <c r="D85" s="1110"/>
      <c r="E85" s="966"/>
      <c r="F85" s="325"/>
      <c r="G85" s="958"/>
      <c r="H85" s="1196"/>
      <c r="I85" s="326"/>
      <c r="J85" s="1886" t="str">
        <f t="shared" ca="1" si="332"/>
        <v/>
      </c>
      <c r="K85" s="1887"/>
      <c r="L85" s="1887"/>
      <c r="M85" s="1887"/>
      <c r="N85" s="1888"/>
      <c r="O85" s="613" t="str">
        <f t="shared" ca="1" si="333"/>
        <v/>
      </c>
      <c r="P85" s="90"/>
      <c r="Q85" s="25"/>
      <c r="R85" s="1313"/>
      <c r="S85" s="1313"/>
      <c r="T85" s="1315"/>
      <c r="U85" s="1283"/>
      <c r="V85" s="628" t="str">
        <f t="shared" ca="1" si="334"/>
        <v/>
      </c>
      <c r="W85" s="164">
        <f t="shared" ca="1" si="335"/>
        <v>0</v>
      </c>
      <c r="X85" s="164">
        <f t="shared" ca="1" si="336"/>
        <v>0</v>
      </c>
      <c r="Y85" s="164">
        <f t="shared" ca="1" si="337"/>
        <v>0</v>
      </c>
      <c r="Z85" s="164">
        <f t="shared" ca="1" si="338"/>
        <v>0</v>
      </c>
      <c r="AA85" s="164">
        <f t="shared" ca="1" si="339"/>
        <v>0</v>
      </c>
      <c r="AB85" s="164">
        <f t="shared" ca="1" si="340"/>
        <v>0</v>
      </c>
      <c r="AC85" s="164">
        <f t="shared" ca="1" si="341"/>
        <v>0</v>
      </c>
      <c r="AD85" s="164">
        <f t="shared" ca="1" si="342"/>
        <v>0</v>
      </c>
      <c r="AE85" s="164">
        <f t="shared" ca="1" si="343"/>
        <v>0</v>
      </c>
      <c r="AF85" s="164">
        <f t="shared" ca="1" si="344"/>
        <v>0</v>
      </c>
      <c r="AG85" s="164">
        <f t="shared" ca="1" si="345"/>
        <v>0</v>
      </c>
      <c r="AH85" s="164">
        <f t="shared" ca="1" si="346"/>
        <v>0</v>
      </c>
      <c r="AI85" s="164">
        <f t="shared" ca="1" si="347"/>
        <v>0</v>
      </c>
      <c r="AJ85" s="164">
        <f t="shared" ca="1" si="348"/>
        <v>0</v>
      </c>
      <c r="AK85" s="164">
        <f t="shared" ca="1" si="349"/>
        <v>0</v>
      </c>
      <c r="AL85" s="164">
        <f t="shared" ca="1" si="350"/>
        <v>0</v>
      </c>
      <c r="AM85" s="164">
        <f t="shared" ca="1" si="351"/>
        <v>0</v>
      </c>
      <c r="AN85" s="164">
        <f t="shared" ca="1" si="352"/>
        <v>0</v>
      </c>
      <c r="AO85" s="164">
        <f t="shared" ca="1" si="353"/>
        <v>0</v>
      </c>
      <c r="AP85" s="164">
        <f t="shared" ca="1" si="354"/>
        <v>0</v>
      </c>
      <c r="AQ85" s="164">
        <f t="shared" ca="1" si="355"/>
        <v>0</v>
      </c>
      <c r="AR85" s="164">
        <f t="shared" ca="1" si="356"/>
        <v>0</v>
      </c>
      <c r="AS85" s="195"/>
      <c r="AT85" s="154">
        <f t="shared" ca="1" si="357"/>
        <v>0</v>
      </c>
      <c r="AU85" s="154">
        <f t="shared" ca="1" si="358"/>
        <v>0</v>
      </c>
      <c r="AV85" s="154">
        <f t="shared" ca="1" si="359"/>
        <v>0</v>
      </c>
      <c r="AW85" s="154">
        <f t="shared" ca="1" si="360"/>
        <v>0</v>
      </c>
      <c r="AX85" s="154">
        <f t="shared" ca="1" si="361"/>
        <v>0</v>
      </c>
      <c r="AY85" s="154">
        <f t="shared" ca="1" si="362"/>
        <v>0</v>
      </c>
      <c r="AZ85" s="154">
        <f t="shared" ca="1" si="363"/>
        <v>0</v>
      </c>
      <c r="BA85" s="154">
        <f t="shared" ca="1" si="364"/>
        <v>0</v>
      </c>
      <c r="BB85" s="154">
        <f t="shared" ca="1" si="365"/>
        <v>0</v>
      </c>
      <c r="BC85" s="154">
        <f t="shared" ca="1" si="366"/>
        <v>0</v>
      </c>
      <c r="BD85" s="154">
        <f t="shared" ca="1" si="367"/>
        <v>0</v>
      </c>
      <c r="BE85" s="154">
        <f t="shared" ca="1" si="368"/>
        <v>0</v>
      </c>
      <c r="BF85" s="154">
        <f t="shared" ca="1" si="369"/>
        <v>0</v>
      </c>
      <c r="BG85" s="154">
        <f t="shared" ca="1" si="370"/>
        <v>0</v>
      </c>
      <c r="BH85" s="154">
        <f t="shared" ca="1" si="371"/>
        <v>0</v>
      </c>
      <c r="BI85" s="154">
        <f t="shared" ca="1" si="372"/>
        <v>0</v>
      </c>
      <c r="BJ85" s="154">
        <f t="shared" ca="1" si="373"/>
        <v>0</v>
      </c>
      <c r="BK85" s="154">
        <f t="shared" ca="1" si="374"/>
        <v>0</v>
      </c>
      <c r="BL85" s="154">
        <f t="shared" ca="1" si="375"/>
        <v>0</v>
      </c>
      <c r="BM85" s="154">
        <f t="shared" ca="1" si="376"/>
        <v>0</v>
      </c>
      <c r="BN85" s="154">
        <f t="shared" ca="1" si="377"/>
        <v>0</v>
      </c>
      <c r="BO85" s="154">
        <f t="shared" ca="1" si="378"/>
        <v>0</v>
      </c>
      <c r="BP85" s="154">
        <f t="shared" ca="1" si="379"/>
        <v>0</v>
      </c>
      <c r="BQ85" s="154">
        <f t="shared" ca="1" si="380"/>
        <v>0</v>
      </c>
      <c r="BR85" s="154">
        <f t="shared" ca="1" si="381"/>
        <v>0</v>
      </c>
      <c r="BS85" s="154">
        <f t="shared" ca="1" si="382"/>
        <v>0</v>
      </c>
      <c r="BT85" s="154">
        <f t="shared" ca="1" si="383"/>
        <v>0</v>
      </c>
      <c r="BU85" s="154">
        <f t="shared" ca="1" si="384"/>
        <v>0</v>
      </c>
      <c r="BV85" s="154">
        <f t="shared" ca="1" si="385"/>
        <v>0</v>
      </c>
      <c r="BW85" s="154">
        <f t="shared" ca="1" si="386"/>
        <v>0</v>
      </c>
      <c r="BX85" s="154">
        <f t="shared" ca="1" si="387"/>
        <v>0</v>
      </c>
      <c r="BY85" s="154">
        <f t="shared" ca="1" si="388"/>
        <v>0</v>
      </c>
      <c r="BZ85" s="154">
        <f t="shared" si="433"/>
        <v>0</v>
      </c>
      <c r="CA85" s="154">
        <f t="shared" si="434"/>
        <v>0</v>
      </c>
      <c r="CB85" s="154">
        <f t="shared" ca="1" si="435"/>
        <v>0</v>
      </c>
      <c r="CC85" s="523"/>
      <c r="CD85" s="355">
        <f t="shared" si="389"/>
        <v>110</v>
      </c>
      <c r="CE85" s="751" t="str">
        <f t="shared" ca="1" si="390"/>
        <v>B</v>
      </c>
      <c r="CF85" s="355" t="str">
        <f ca="1">IF(EXACT($B85,""),$CF84,CONCATENATE($CF84,$A85))</f>
        <v/>
      </c>
      <c r="CG85" s="268">
        <f>IF(ZS_SE_VIEW,SUM(
IF(ZS_AKADEMIE="",0,IF(HLOOKUP(ZS_AKADEMIE,PROFMAGIE,$CD85,FALSE)&gt;0,1,0)),
IF(AND(ZS_IAAK="Ja",IF(HLOOKUP(Tabellen_Magie!$IK$1,PROFMAGIE,$CD85,FALSE)&gt;0,TRUE,FALSE)),1,0)),0)</f>
        <v>0</v>
      </c>
      <c r="CH85" s="268"/>
      <c r="CI85" s="269">
        <f t="shared" ca="1" si="391"/>
        <v>0</v>
      </c>
      <c r="CJ85" s="269">
        <f t="shared" ca="1" si="392"/>
        <v>0</v>
      </c>
      <c r="CK85" s="268"/>
      <c r="CL85" s="268"/>
      <c r="CM85" s="268">
        <f t="shared" ca="1" si="327"/>
        <v>0</v>
      </c>
      <c r="CN85" s="269">
        <f t="shared" ca="1" si="328"/>
        <v>0</v>
      </c>
      <c r="CO85" s="268" t="str">
        <f t="shared" ca="1" si="393"/>
        <v>B</v>
      </c>
      <c r="CP85" s="269" t="b">
        <f t="shared" ca="1" si="394"/>
        <v>1</v>
      </c>
      <c r="CQ85" s="269">
        <f t="shared" si="395"/>
        <v>0</v>
      </c>
      <c r="CR85" s="269">
        <f t="shared" si="396"/>
        <v>0</v>
      </c>
      <c r="CS85" s="269">
        <f t="shared" ca="1" si="397"/>
        <v>0</v>
      </c>
      <c r="CT85" s="302" t="str">
        <f t="shared" ca="1" si="398"/>
        <v>0</v>
      </c>
      <c r="CU85" s="269">
        <f t="shared" ca="1" si="399"/>
        <v>0</v>
      </c>
      <c r="CV85" s="268"/>
      <c r="CW85" s="269">
        <f t="shared" ca="1" si="400"/>
        <v>0</v>
      </c>
      <c r="CX85" s="301">
        <f t="shared" ca="1" si="401"/>
        <v>0</v>
      </c>
      <c r="CY85" s="301">
        <f t="shared" ca="1" si="329"/>
        <v>0</v>
      </c>
      <c r="CZ85" s="301">
        <f t="shared" ca="1" si="402"/>
        <v>0</v>
      </c>
      <c r="DA85" s="301">
        <f t="shared" ca="1" si="403"/>
        <v>0</v>
      </c>
      <c r="DB85" t="str">
        <f>IF(CG85&gt;0,CG85 &amp; " SE aus Zweit-/Drittstudium","")</f>
        <v/>
      </c>
      <c r="DC85" s="301" t="str">
        <f t="shared" ca="1" si="404"/>
        <v/>
      </c>
      <c r="DD85" s="1337" t="str">
        <f t="shared" ca="1" si="436"/>
        <v/>
      </c>
      <c r="DE85" s="1337" t="str">
        <f t="shared" ca="1" si="437"/>
        <v/>
      </c>
      <c r="DG85" s="269" t="str">
        <f t="shared" ca="1" si="405"/>
        <v>Tabellen_Andere!BA39:BF39</v>
      </c>
      <c r="DH85" s="269" t="str">
        <f t="shared" si="438"/>
        <v>Tabellen_Andere!BA39:BF39</v>
      </c>
      <c r="DI85" s="269" t="str">
        <f ca="1">IF(NOT(ISERR(FIND(A85,Abfragen!$O$264,1))),MID(Abfragen!$O$264,FIND("(",Abfragen!$O$264,FIND(A85,Abfragen!$O$264,1)+LEN(A85))+1,FIND(")",Abfragen!$O$264,FIND(A85,Abfragen!$O$264,1)+LEN(A85))-FIND("(",Abfragen!$O$264,FIND(A85,Abfragen!$O$264,1)+LEN(A85))-1),"")</f>
        <v/>
      </c>
      <c r="DJ85" s="301" t="str">
        <f t="shared" ca="1" si="406"/>
        <v>B</v>
      </c>
      <c r="DK85" s="301" t="str">
        <f t="shared" ca="1" si="407"/>
        <v>B</v>
      </c>
      <c r="DL85" s="301" t="str">
        <f t="shared" ca="1" si="408"/>
        <v>B</v>
      </c>
      <c r="DM85" s="301" t="str">
        <f t="shared" ca="1" si="409"/>
        <v>B</v>
      </c>
      <c r="DN85" s="301" t="str">
        <f t="shared" ca="1" si="410"/>
        <v>B</v>
      </c>
      <c r="DO85" s="301" t="str">
        <f t="shared" ca="1" si="411"/>
        <v>B</v>
      </c>
      <c r="DP85" s="301" t="str">
        <f t="shared" ca="1" si="412"/>
        <v>B</v>
      </c>
      <c r="DQ85" s="301" t="str">
        <f t="shared" ca="1" si="413"/>
        <v>B</v>
      </c>
      <c r="DR85" s="301" t="str">
        <f t="shared" ca="1" si="414"/>
        <v>B</v>
      </c>
      <c r="DS85" s="301" t="str">
        <f t="shared" ca="1" si="415"/>
        <v>B</v>
      </c>
      <c r="DT85" s="301" t="str">
        <f t="shared" ca="1" si="416"/>
        <v>B</v>
      </c>
      <c r="DU85" s="301" t="str">
        <f t="shared" ca="1" si="417"/>
        <v>B</v>
      </c>
      <c r="DV85" s="301" t="str">
        <f t="shared" ca="1" si="418"/>
        <v>B</v>
      </c>
      <c r="DW85" s="301" t="str">
        <f t="shared" ca="1" si="419"/>
        <v>B</v>
      </c>
      <c r="DX85" s="301" t="str">
        <f t="shared" ca="1" si="420"/>
        <v>B</v>
      </c>
      <c r="DY85" s="301" t="str">
        <f t="shared" ca="1" si="421"/>
        <v>B</v>
      </c>
      <c r="DZ85" s="301" t="str">
        <f t="shared" ca="1" si="422"/>
        <v>B</v>
      </c>
      <c r="EA85" s="301" t="str">
        <f t="shared" ca="1" si="423"/>
        <v>B</v>
      </c>
      <c r="EB85" s="301" t="str">
        <f t="shared" ca="1" si="424"/>
        <v>B</v>
      </c>
      <c r="EC85" s="301" t="str">
        <f t="shared" ca="1" si="425"/>
        <v>B</v>
      </c>
      <c r="ED85" s="301" t="str">
        <f t="shared" ca="1" si="426"/>
        <v>B</v>
      </c>
      <c r="EE85" s="301" t="str">
        <f t="shared" ca="1" si="427"/>
        <v>B</v>
      </c>
      <c r="EF85" s="301">
        <f t="shared" si="428"/>
        <v>0</v>
      </c>
      <c r="EG85" s="301" t="str">
        <f t="shared" ca="1" si="429"/>
        <v>B</v>
      </c>
      <c r="EH85" s="301" t="str">
        <f t="shared" ca="1" si="429"/>
        <v>B</v>
      </c>
      <c r="EI85" s="301" t="str">
        <f t="shared" ca="1" si="429"/>
        <v>B</v>
      </c>
      <c r="EJ85" s="301" t="str">
        <f t="shared" ca="1" si="429"/>
        <v>B</v>
      </c>
      <c r="EK85" s="301" t="str">
        <f t="shared" ca="1" si="429"/>
        <v>B</v>
      </c>
      <c r="EL85" s="301" t="str">
        <f t="shared" ca="1" si="429"/>
        <v>B</v>
      </c>
      <c r="EM85" s="301" t="str">
        <f t="shared" ca="1" si="429"/>
        <v>B</v>
      </c>
      <c r="EN85" s="301" t="str">
        <f t="shared" ca="1" si="429"/>
        <v>B</v>
      </c>
      <c r="EO85" s="301" t="str">
        <f t="shared" ca="1" si="429"/>
        <v>B</v>
      </c>
      <c r="EP85" s="301" t="str">
        <f t="shared" ca="1" si="429"/>
        <v>B</v>
      </c>
      <c r="EQ85" s="301" t="str">
        <f t="shared" ca="1" si="430"/>
        <v>B</v>
      </c>
      <c r="ER85" s="301" t="str">
        <f t="shared" ca="1" si="430"/>
        <v>B</v>
      </c>
      <c r="ES85" s="301" t="str">
        <f t="shared" ca="1" si="430"/>
        <v>B</v>
      </c>
      <c r="ET85" s="301" t="str">
        <f t="shared" ca="1" si="430"/>
        <v>B</v>
      </c>
      <c r="EU85" s="301" t="str">
        <f t="shared" ca="1" si="430"/>
        <v>B</v>
      </c>
      <c r="EV85" s="301" t="str">
        <f t="shared" ca="1" si="430"/>
        <v>B</v>
      </c>
      <c r="EW85" s="301" t="str">
        <f t="shared" ca="1" si="430"/>
        <v>B</v>
      </c>
      <c r="EX85" s="301" t="str">
        <f t="shared" ca="1" si="430"/>
        <v>B</v>
      </c>
      <c r="EY85" s="301" t="str">
        <f t="shared" ca="1" si="430"/>
        <v>B</v>
      </c>
      <c r="EZ85" s="301" t="str">
        <f t="shared" ca="1" si="430"/>
        <v>B</v>
      </c>
      <c r="FA85" s="301" t="str">
        <f t="shared" ca="1" si="431"/>
        <v>B</v>
      </c>
      <c r="FB85" s="301" t="str">
        <f t="shared" ca="1" si="431"/>
        <v>B</v>
      </c>
      <c r="FC85" s="301" t="str">
        <f t="shared" ca="1" si="431"/>
        <v>B</v>
      </c>
      <c r="FD85" s="301" t="str">
        <f t="shared" ca="1" si="431"/>
        <v>B</v>
      </c>
      <c r="FE85" s="301" t="str">
        <f t="shared" ca="1" si="431"/>
        <v>B</v>
      </c>
      <c r="FF85" s="301" t="str">
        <f t="shared" ca="1" si="431"/>
        <v>B</v>
      </c>
      <c r="FG85" s="301" t="str">
        <f t="shared" ca="1" si="431"/>
        <v>B</v>
      </c>
      <c r="FH85" s="301" t="str">
        <f t="shared" ca="1" si="431"/>
        <v>B</v>
      </c>
      <c r="FI85" s="301" t="str">
        <f t="shared" ca="1" si="431"/>
        <v>B</v>
      </c>
      <c r="FJ85" s="301" t="str">
        <f t="shared" ca="1" si="431"/>
        <v>B</v>
      </c>
      <c r="FK85" s="301" t="str">
        <f t="shared" ca="1" si="431"/>
        <v>B</v>
      </c>
      <c r="FL85" s="301" t="str">
        <f t="shared" ca="1" si="431"/>
        <v>B</v>
      </c>
    </row>
    <row r="86" spans="1:168" x14ac:dyDescent="0.2">
      <c r="A86" s="24" t="str">
        <f t="shared" si="432"/>
        <v>Geschichtswissen</v>
      </c>
      <c r="B86" s="317" t="str">
        <f t="shared" ca="1" si="330"/>
        <v/>
      </c>
      <c r="C86" s="332" t="str">
        <f t="shared" ca="1" si="331"/>
        <v/>
      </c>
      <c r="D86" s="1110"/>
      <c r="E86" s="966"/>
      <c r="F86" s="325"/>
      <c r="G86" s="958"/>
      <c r="H86" s="1196"/>
      <c r="I86" s="326"/>
      <c r="J86" s="1886" t="str">
        <f t="shared" ca="1" si="332"/>
        <v/>
      </c>
      <c r="K86" s="1887"/>
      <c r="L86" s="1887"/>
      <c r="M86" s="1887"/>
      <c r="N86" s="1888"/>
      <c r="O86" s="613" t="str">
        <f t="shared" ca="1" si="333"/>
        <v/>
      </c>
      <c r="P86" s="90"/>
      <c r="Q86" s="25"/>
      <c r="R86" s="1313"/>
      <c r="S86" s="1313"/>
      <c r="T86" s="1315"/>
      <c r="U86" s="1283"/>
      <c r="V86" s="628" t="str">
        <f t="shared" ca="1" si="334"/>
        <v/>
      </c>
      <c r="W86" s="164">
        <f t="shared" ca="1" si="335"/>
        <v>0</v>
      </c>
      <c r="X86" s="164">
        <f t="shared" ca="1" si="336"/>
        <v>0</v>
      </c>
      <c r="Y86" s="164">
        <f t="shared" ca="1" si="337"/>
        <v>0</v>
      </c>
      <c r="Z86" s="164">
        <f t="shared" ca="1" si="338"/>
        <v>0</v>
      </c>
      <c r="AA86" s="164">
        <f t="shared" ca="1" si="339"/>
        <v>0</v>
      </c>
      <c r="AB86" s="164">
        <f t="shared" ca="1" si="340"/>
        <v>0</v>
      </c>
      <c r="AC86" s="164">
        <f t="shared" ca="1" si="341"/>
        <v>0</v>
      </c>
      <c r="AD86" s="164">
        <f t="shared" ca="1" si="342"/>
        <v>0</v>
      </c>
      <c r="AE86" s="164">
        <f t="shared" ca="1" si="343"/>
        <v>0</v>
      </c>
      <c r="AF86" s="164">
        <f t="shared" ca="1" si="344"/>
        <v>0</v>
      </c>
      <c r="AG86" s="164">
        <f t="shared" ca="1" si="345"/>
        <v>0</v>
      </c>
      <c r="AH86" s="164">
        <f t="shared" ca="1" si="346"/>
        <v>0</v>
      </c>
      <c r="AI86" s="164">
        <f t="shared" ca="1" si="347"/>
        <v>0</v>
      </c>
      <c r="AJ86" s="164">
        <f t="shared" ca="1" si="348"/>
        <v>0</v>
      </c>
      <c r="AK86" s="164">
        <f t="shared" ca="1" si="349"/>
        <v>0</v>
      </c>
      <c r="AL86" s="164">
        <f t="shared" ca="1" si="350"/>
        <v>0</v>
      </c>
      <c r="AM86" s="164">
        <f t="shared" ca="1" si="351"/>
        <v>0</v>
      </c>
      <c r="AN86" s="164">
        <f t="shared" ca="1" si="352"/>
        <v>0</v>
      </c>
      <c r="AO86" s="164">
        <f t="shared" ca="1" si="353"/>
        <v>0</v>
      </c>
      <c r="AP86" s="164">
        <f t="shared" ca="1" si="354"/>
        <v>0</v>
      </c>
      <c r="AQ86" s="164">
        <f t="shared" ca="1" si="355"/>
        <v>0</v>
      </c>
      <c r="AR86" s="164">
        <f t="shared" ca="1" si="356"/>
        <v>0</v>
      </c>
      <c r="AS86" s="195"/>
      <c r="AT86" s="154">
        <f t="shared" ca="1" si="357"/>
        <v>0</v>
      </c>
      <c r="AU86" s="154">
        <f t="shared" ca="1" si="358"/>
        <v>0</v>
      </c>
      <c r="AV86" s="154">
        <f t="shared" ca="1" si="359"/>
        <v>0</v>
      </c>
      <c r="AW86" s="154">
        <f t="shared" ca="1" si="360"/>
        <v>0</v>
      </c>
      <c r="AX86" s="154">
        <f t="shared" ca="1" si="361"/>
        <v>0</v>
      </c>
      <c r="AY86" s="154">
        <f t="shared" ca="1" si="362"/>
        <v>0</v>
      </c>
      <c r="AZ86" s="154">
        <f t="shared" ca="1" si="363"/>
        <v>0</v>
      </c>
      <c r="BA86" s="154">
        <f t="shared" ca="1" si="364"/>
        <v>0</v>
      </c>
      <c r="BB86" s="154">
        <f t="shared" ca="1" si="365"/>
        <v>0</v>
      </c>
      <c r="BC86" s="154">
        <f t="shared" ca="1" si="366"/>
        <v>0</v>
      </c>
      <c r="BD86" s="154">
        <f t="shared" ca="1" si="367"/>
        <v>0</v>
      </c>
      <c r="BE86" s="154">
        <f t="shared" ca="1" si="368"/>
        <v>0</v>
      </c>
      <c r="BF86" s="154">
        <f t="shared" ca="1" si="369"/>
        <v>0</v>
      </c>
      <c r="BG86" s="154">
        <f t="shared" ca="1" si="370"/>
        <v>0</v>
      </c>
      <c r="BH86" s="154">
        <f t="shared" ca="1" si="371"/>
        <v>0</v>
      </c>
      <c r="BI86" s="154">
        <f t="shared" ca="1" si="372"/>
        <v>0</v>
      </c>
      <c r="BJ86" s="154">
        <f t="shared" ca="1" si="373"/>
        <v>0</v>
      </c>
      <c r="BK86" s="154">
        <f t="shared" ca="1" si="374"/>
        <v>0</v>
      </c>
      <c r="BL86" s="154">
        <f t="shared" ca="1" si="375"/>
        <v>0</v>
      </c>
      <c r="BM86" s="154">
        <f t="shared" ca="1" si="376"/>
        <v>0</v>
      </c>
      <c r="BN86" s="154">
        <f t="shared" ca="1" si="377"/>
        <v>0</v>
      </c>
      <c r="BO86" s="154">
        <f t="shared" ca="1" si="378"/>
        <v>0</v>
      </c>
      <c r="BP86" s="154">
        <f t="shared" ca="1" si="379"/>
        <v>0</v>
      </c>
      <c r="BQ86" s="154">
        <f t="shared" ca="1" si="380"/>
        <v>0</v>
      </c>
      <c r="BR86" s="154">
        <f t="shared" ca="1" si="381"/>
        <v>0</v>
      </c>
      <c r="BS86" s="154">
        <f t="shared" ca="1" si="382"/>
        <v>0</v>
      </c>
      <c r="BT86" s="154">
        <f t="shared" ca="1" si="383"/>
        <v>0</v>
      </c>
      <c r="BU86" s="154">
        <f t="shared" ca="1" si="384"/>
        <v>0</v>
      </c>
      <c r="BV86" s="154">
        <f t="shared" ca="1" si="385"/>
        <v>0</v>
      </c>
      <c r="BW86" s="154">
        <f t="shared" ca="1" si="386"/>
        <v>0</v>
      </c>
      <c r="BX86" s="154">
        <f t="shared" ca="1" si="387"/>
        <v>0</v>
      </c>
      <c r="BY86" s="154">
        <f t="shared" ca="1" si="388"/>
        <v>0</v>
      </c>
      <c r="BZ86" s="154">
        <f t="shared" si="433"/>
        <v>0</v>
      </c>
      <c r="CA86" s="154">
        <f t="shared" si="434"/>
        <v>0</v>
      </c>
      <c r="CB86" s="154">
        <f t="shared" ca="1" si="435"/>
        <v>0</v>
      </c>
      <c r="CC86" s="523"/>
      <c r="CD86" s="355">
        <f t="shared" si="389"/>
        <v>111</v>
      </c>
      <c r="CE86" s="751" t="str">
        <f t="shared" ca="1" si="390"/>
        <v>B</v>
      </c>
      <c r="CF86" s="355" t="str">
        <f ca="1">IF(EXACT($B86,""),$CF85,CONCATENATE($CF85,$A86))</f>
        <v/>
      </c>
      <c r="CG86" s="268">
        <f>IF(ZS_SE_VIEW,SUM(
IF(ZS_AKADEMIE="",0,IF(HLOOKUP(ZS_AKADEMIE,PROFMAGIE,$CD86,FALSE)&gt;0,1,0)),
IF(AND(ZS_IAAK="Ja",IF(HLOOKUP(Tabellen_Magie!$IK$1,PROFMAGIE,$CD86,FALSE)&gt;0,TRUE,FALSE)),1,0)),0)</f>
        <v>0</v>
      </c>
      <c r="CH86" s="268"/>
      <c r="CI86" s="269">
        <f t="shared" ca="1" si="391"/>
        <v>0</v>
      </c>
      <c r="CJ86" s="269">
        <f t="shared" ca="1" si="392"/>
        <v>0</v>
      </c>
      <c r="CK86" s="268"/>
      <c r="CL86" s="268"/>
      <c r="CM86" s="268">
        <f t="shared" ca="1" si="327"/>
        <v>0</v>
      </c>
      <c r="CN86" s="269">
        <f t="shared" ca="1" si="328"/>
        <v>0</v>
      </c>
      <c r="CO86" s="268" t="str">
        <f t="shared" ca="1" si="393"/>
        <v>B</v>
      </c>
      <c r="CP86" s="269" t="b">
        <f t="shared" ca="1" si="394"/>
        <v>1</v>
      </c>
      <c r="CQ86" s="269">
        <f t="shared" si="395"/>
        <v>0</v>
      </c>
      <c r="CR86" s="269">
        <f t="shared" si="396"/>
        <v>0</v>
      </c>
      <c r="CS86" s="269">
        <f t="shared" ca="1" si="397"/>
        <v>0</v>
      </c>
      <c r="CT86" s="302" t="str">
        <f t="shared" ca="1" si="398"/>
        <v>0</v>
      </c>
      <c r="CU86" s="269">
        <f t="shared" ca="1" si="399"/>
        <v>0</v>
      </c>
      <c r="CV86" s="268"/>
      <c r="CW86" s="269">
        <f t="shared" ca="1" si="400"/>
        <v>0</v>
      </c>
      <c r="CX86" s="301">
        <f t="shared" ca="1" si="401"/>
        <v>0</v>
      </c>
      <c r="CY86" s="301">
        <f t="shared" ca="1" si="329"/>
        <v>0</v>
      </c>
      <c r="CZ86" s="301">
        <f t="shared" ca="1" si="402"/>
        <v>0</v>
      </c>
      <c r="DA86" s="301">
        <f t="shared" ca="1" si="403"/>
        <v>0</v>
      </c>
      <c r="DB86" t="str">
        <f ca="1">IF(AND(NOT(AND(ISBLANK($G86),ISBLANK($I86))),$O$246&lt;4),"L/S 4+",IF(CG86&gt;0,CG86 &amp; " SE aus Zweit-/Drittstudium",""))</f>
        <v/>
      </c>
      <c r="DC86" s="301" t="str">
        <f t="shared" ca="1" si="404"/>
        <v/>
      </c>
      <c r="DD86" s="1337" t="str">
        <f t="shared" ca="1" si="436"/>
        <v/>
      </c>
      <c r="DE86" s="1337" t="str">
        <f t="shared" ca="1" si="437"/>
        <v/>
      </c>
      <c r="DG86" s="269" t="str">
        <f t="shared" ca="1" si="405"/>
        <v>Tabellen_Andere!BA41:BF41</v>
      </c>
      <c r="DH86" s="269" t="str">
        <f t="shared" si="438"/>
        <v>Tabellen_Andere!BA41:BF41</v>
      </c>
      <c r="DI86" s="269" t="str">
        <f ca="1">IF(NOT(ISERR(FIND(A86,Abfragen!$O$264,1))),MID(Abfragen!$O$264,FIND("(",Abfragen!$O$264,FIND(A86,Abfragen!$O$264,1)+LEN(A86))+1,FIND(")",Abfragen!$O$264,FIND(A86,Abfragen!$O$264,1)+LEN(A86))-FIND("(",Abfragen!$O$264,FIND(A86,Abfragen!$O$264,1)+LEN(A86))-1),"")</f>
        <v/>
      </c>
      <c r="DJ86" s="301" t="str">
        <f t="shared" ca="1" si="406"/>
        <v>B</v>
      </c>
      <c r="DK86" s="301" t="str">
        <f t="shared" ca="1" si="407"/>
        <v>B</v>
      </c>
      <c r="DL86" s="301" t="str">
        <f t="shared" ca="1" si="408"/>
        <v>B</v>
      </c>
      <c r="DM86" s="301" t="str">
        <f t="shared" ca="1" si="409"/>
        <v>B</v>
      </c>
      <c r="DN86" s="301" t="str">
        <f t="shared" ca="1" si="410"/>
        <v>B</v>
      </c>
      <c r="DO86" s="301" t="str">
        <f t="shared" ca="1" si="411"/>
        <v>B</v>
      </c>
      <c r="DP86" s="301" t="str">
        <f t="shared" ca="1" si="412"/>
        <v>B</v>
      </c>
      <c r="DQ86" s="301" t="str">
        <f t="shared" ca="1" si="413"/>
        <v>B</v>
      </c>
      <c r="DR86" s="301" t="str">
        <f t="shared" ca="1" si="414"/>
        <v>B</v>
      </c>
      <c r="DS86" s="301" t="str">
        <f t="shared" ca="1" si="415"/>
        <v>B</v>
      </c>
      <c r="DT86" s="301" t="str">
        <f t="shared" ca="1" si="416"/>
        <v>B</v>
      </c>
      <c r="DU86" s="301" t="str">
        <f t="shared" ca="1" si="417"/>
        <v>B</v>
      </c>
      <c r="DV86" s="301" t="str">
        <f t="shared" ca="1" si="418"/>
        <v>B</v>
      </c>
      <c r="DW86" s="301" t="str">
        <f t="shared" ca="1" si="419"/>
        <v>B</v>
      </c>
      <c r="DX86" s="301" t="str">
        <f t="shared" ca="1" si="420"/>
        <v>B</v>
      </c>
      <c r="DY86" s="301" t="str">
        <f t="shared" ca="1" si="421"/>
        <v>B</v>
      </c>
      <c r="DZ86" s="301" t="str">
        <f t="shared" ca="1" si="422"/>
        <v>B</v>
      </c>
      <c r="EA86" s="301" t="str">
        <f t="shared" ca="1" si="423"/>
        <v>B</v>
      </c>
      <c r="EB86" s="301" t="str">
        <f t="shared" ca="1" si="424"/>
        <v>B</v>
      </c>
      <c r="EC86" s="301" t="str">
        <f t="shared" ca="1" si="425"/>
        <v>B</v>
      </c>
      <c r="ED86" s="301" t="str">
        <f t="shared" ca="1" si="426"/>
        <v>B</v>
      </c>
      <c r="EE86" s="301" t="str">
        <f t="shared" ca="1" si="427"/>
        <v>B</v>
      </c>
      <c r="EF86" s="301">
        <f t="shared" si="428"/>
        <v>0</v>
      </c>
      <c r="EG86" s="301" t="str">
        <f t="shared" ca="1" si="429"/>
        <v>B</v>
      </c>
      <c r="EH86" s="301" t="str">
        <f t="shared" ca="1" si="429"/>
        <v>B</v>
      </c>
      <c r="EI86" s="301" t="str">
        <f t="shared" ca="1" si="429"/>
        <v>B</v>
      </c>
      <c r="EJ86" s="301" t="str">
        <f t="shared" ca="1" si="429"/>
        <v>B</v>
      </c>
      <c r="EK86" s="301" t="str">
        <f t="shared" ca="1" si="429"/>
        <v>B</v>
      </c>
      <c r="EL86" s="301" t="str">
        <f t="shared" ca="1" si="429"/>
        <v>B</v>
      </c>
      <c r="EM86" s="301" t="str">
        <f t="shared" ca="1" si="429"/>
        <v>B</v>
      </c>
      <c r="EN86" s="301" t="str">
        <f t="shared" ca="1" si="429"/>
        <v>B</v>
      </c>
      <c r="EO86" s="301" t="str">
        <f t="shared" ca="1" si="429"/>
        <v>B</v>
      </c>
      <c r="EP86" s="301" t="str">
        <f t="shared" ca="1" si="429"/>
        <v>B</v>
      </c>
      <c r="EQ86" s="301" t="str">
        <f t="shared" ca="1" si="430"/>
        <v>B</v>
      </c>
      <c r="ER86" s="301" t="str">
        <f t="shared" ca="1" si="430"/>
        <v>B</v>
      </c>
      <c r="ES86" s="301" t="str">
        <f t="shared" ca="1" si="430"/>
        <v>B</v>
      </c>
      <c r="ET86" s="301" t="str">
        <f t="shared" ca="1" si="430"/>
        <v>B</v>
      </c>
      <c r="EU86" s="301" t="str">
        <f t="shared" ca="1" si="430"/>
        <v>B</v>
      </c>
      <c r="EV86" s="301" t="str">
        <f t="shared" ca="1" si="430"/>
        <v>B</v>
      </c>
      <c r="EW86" s="301" t="str">
        <f t="shared" ca="1" si="430"/>
        <v>B</v>
      </c>
      <c r="EX86" s="301" t="str">
        <f t="shared" ca="1" si="430"/>
        <v>B</v>
      </c>
      <c r="EY86" s="301" t="str">
        <f t="shared" ca="1" si="430"/>
        <v>B</v>
      </c>
      <c r="EZ86" s="301" t="str">
        <f t="shared" ca="1" si="430"/>
        <v>B</v>
      </c>
      <c r="FA86" s="301" t="str">
        <f t="shared" ca="1" si="431"/>
        <v>B</v>
      </c>
      <c r="FB86" s="301" t="str">
        <f t="shared" ca="1" si="431"/>
        <v>B</v>
      </c>
      <c r="FC86" s="301" t="str">
        <f t="shared" ca="1" si="431"/>
        <v>B</v>
      </c>
      <c r="FD86" s="301" t="str">
        <f t="shared" ca="1" si="431"/>
        <v>B</v>
      </c>
      <c r="FE86" s="301" t="str">
        <f t="shared" ca="1" si="431"/>
        <v>B</v>
      </c>
      <c r="FF86" s="301" t="str">
        <f t="shared" ca="1" si="431"/>
        <v>B</v>
      </c>
      <c r="FG86" s="301" t="str">
        <f t="shared" ca="1" si="431"/>
        <v>B</v>
      </c>
      <c r="FH86" s="301" t="str">
        <f t="shared" ca="1" si="431"/>
        <v>B</v>
      </c>
      <c r="FI86" s="301" t="str">
        <f t="shared" ca="1" si="431"/>
        <v>B</v>
      </c>
      <c r="FJ86" s="301" t="str">
        <f t="shared" ca="1" si="431"/>
        <v>B</v>
      </c>
      <c r="FK86" s="301" t="str">
        <f t="shared" ca="1" si="431"/>
        <v>B</v>
      </c>
      <c r="FL86" s="301" t="str">
        <f t="shared" ca="1" si="431"/>
        <v>B</v>
      </c>
    </row>
    <row r="87" spans="1:168" x14ac:dyDescent="0.2">
      <c r="A87" s="24" t="str">
        <f t="shared" si="432"/>
        <v>Gesteinskunde</v>
      </c>
      <c r="B87" s="317" t="str">
        <f t="shared" ca="1" si="330"/>
        <v/>
      </c>
      <c r="C87" s="332" t="str">
        <f t="shared" ca="1" si="331"/>
        <v/>
      </c>
      <c r="D87" s="1110"/>
      <c r="E87" s="966"/>
      <c r="F87" s="325"/>
      <c r="G87" s="958"/>
      <c r="H87" s="1196"/>
      <c r="I87" s="326"/>
      <c r="J87" s="1886" t="str">
        <f t="shared" ca="1" si="332"/>
        <v/>
      </c>
      <c r="K87" s="1887"/>
      <c r="L87" s="1887"/>
      <c r="M87" s="1887"/>
      <c r="N87" s="1888"/>
      <c r="O87" s="613" t="str">
        <f t="shared" ca="1" si="333"/>
        <v/>
      </c>
      <c r="P87" s="90"/>
      <c r="Q87" s="25"/>
      <c r="R87" s="1313"/>
      <c r="S87" s="1313"/>
      <c r="T87" s="1315"/>
      <c r="U87" s="1283"/>
      <c r="V87" s="628" t="str">
        <f t="shared" ca="1" si="334"/>
        <v/>
      </c>
      <c r="W87" s="164">
        <f t="shared" ca="1" si="335"/>
        <v>0</v>
      </c>
      <c r="X87" s="164">
        <f t="shared" ca="1" si="336"/>
        <v>0</v>
      </c>
      <c r="Y87" s="164">
        <f t="shared" ca="1" si="337"/>
        <v>0</v>
      </c>
      <c r="Z87" s="164">
        <f t="shared" ca="1" si="338"/>
        <v>0</v>
      </c>
      <c r="AA87" s="164">
        <f t="shared" ca="1" si="339"/>
        <v>0</v>
      </c>
      <c r="AB87" s="164">
        <f t="shared" ca="1" si="340"/>
        <v>0</v>
      </c>
      <c r="AC87" s="164">
        <f t="shared" ca="1" si="341"/>
        <v>0</v>
      </c>
      <c r="AD87" s="164">
        <f t="shared" ca="1" si="342"/>
        <v>0</v>
      </c>
      <c r="AE87" s="164">
        <f t="shared" ca="1" si="343"/>
        <v>0</v>
      </c>
      <c r="AF87" s="164">
        <f t="shared" ca="1" si="344"/>
        <v>0</v>
      </c>
      <c r="AG87" s="164">
        <f t="shared" ca="1" si="345"/>
        <v>0</v>
      </c>
      <c r="AH87" s="164">
        <f t="shared" ca="1" si="346"/>
        <v>0</v>
      </c>
      <c r="AI87" s="164">
        <f t="shared" ca="1" si="347"/>
        <v>0</v>
      </c>
      <c r="AJ87" s="164">
        <f t="shared" ca="1" si="348"/>
        <v>0</v>
      </c>
      <c r="AK87" s="164">
        <f t="shared" ca="1" si="349"/>
        <v>0</v>
      </c>
      <c r="AL87" s="164">
        <f t="shared" ca="1" si="350"/>
        <v>0</v>
      </c>
      <c r="AM87" s="164">
        <f t="shared" ca="1" si="351"/>
        <v>0</v>
      </c>
      <c r="AN87" s="164">
        <f t="shared" ca="1" si="352"/>
        <v>0</v>
      </c>
      <c r="AO87" s="164">
        <f t="shared" ca="1" si="353"/>
        <v>0</v>
      </c>
      <c r="AP87" s="164">
        <f t="shared" ca="1" si="354"/>
        <v>0</v>
      </c>
      <c r="AQ87" s="164">
        <f t="shared" ca="1" si="355"/>
        <v>0</v>
      </c>
      <c r="AR87" s="164">
        <f t="shared" ca="1" si="356"/>
        <v>0</v>
      </c>
      <c r="AS87" s="195"/>
      <c r="AT87" s="154">
        <f t="shared" ca="1" si="357"/>
        <v>0</v>
      </c>
      <c r="AU87" s="154">
        <f t="shared" ca="1" si="358"/>
        <v>0</v>
      </c>
      <c r="AV87" s="154">
        <f t="shared" ca="1" si="359"/>
        <v>0</v>
      </c>
      <c r="AW87" s="154">
        <f t="shared" ca="1" si="360"/>
        <v>0</v>
      </c>
      <c r="AX87" s="154">
        <f t="shared" ca="1" si="361"/>
        <v>0</v>
      </c>
      <c r="AY87" s="154">
        <f t="shared" ca="1" si="362"/>
        <v>0</v>
      </c>
      <c r="AZ87" s="154">
        <f t="shared" ca="1" si="363"/>
        <v>0</v>
      </c>
      <c r="BA87" s="154">
        <f t="shared" ca="1" si="364"/>
        <v>0</v>
      </c>
      <c r="BB87" s="154">
        <f t="shared" ca="1" si="365"/>
        <v>0</v>
      </c>
      <c r="BC87" s="154">
        <f t="shared" ca="1" si="366"/>
        <v>0</v>
      </c>
      <c r="BD87" s="154">
        <f t="shared" ca="1" si="367"/>
        <v>0</v>
      </c>
      <c r="BE87" s="154">
        <f t="shared" ca="1" si="368"/>
        <v>0</v>
      </c>
      <c r="BF87" s="154">
        <f t="shared" ca="1" si="369"/>
        <v>0</v>
      </c>
      <c r="BG87" s="154">
        <f t="shared" ca="1" si="370"/>
        <v>0</v>
      </c>
      <c r="BH87" s="154">
        <f t="shared" ca="1" si="371"/>
        <v>0</v>
      </c>
      <c r="BI87" s="154">
        <f t="shared" ca="1" si="372"/>
        <v>0</v>
      </c>
      <c r="BJ87" s="154">
        <f t="shared" ca="1" si="373"/>
        <v>0</v>
      </c>
      <c r="BK87" s="154">
        <f t="shared" ca="1" si="374"/>
        <v>0</v>
      </c>
      <c r="BL87" s="154">
        <f t="shared" ca="1" si="375"/>
        <v>0</v>
      </c>
      <c r="BM87" s="154">
        <f t="shared" ca="1" si="376"/>
        <v>0</v>
      </c>
      <c r="BN87" s="154">
        <f t="shared" ca="1" si="377"/>
        <v>0</v>
      </c>
      <c r="BO87" s="154">
        <f t="shared" ca="1" si="378"/>
        <v>0</v>
      </c>
      <c r="BP87" s="154">
        <f t="shared" ca="1" si="379"/>
        <v>0</v>
      </c>
      <c r="BQ87" s="154">
        <f t="shared" ca="1" si="380"/>
        <v>0</v>
      </c>
      <c r="BR87" s="154">
        <f t="shared" ca="1" si="381"/>
        <v>0</v>
      </c>
      <c r="BS87" s="154">
        <f t="shared" ca="1" si="382"/>
        <v>0</v>
      </c>
      <c r="BT87" s="154">
        <f t="shared" ca="1" si="383"/>
        <v>0</v>
      </c>
      <c r="BU87" s="154">
        <f t="shared" ca="1" si="384"/>
        <v>0</v>
      </c>
      <c r="BV87" s="154">
        <f t="shared" ca="1" si="385"/>
        <v>0</v>
      </c>
      <c r="BW87" s="154">
        <f t="shared" ca="1" si="386"/>
        <v>0</v>
      </c>
      <c r="BX87" s="154">
        <f t="shared" ca="1" si="387"/>
        <v>0</v>
      </c>
      <c r="BY87" s="154">
        <f t="shared" ca="1" si="388"/>
        <v>0</v>
      </c>
      <c r="BZ87" s="154">
        <f t="shared" si="433"/>
        <v>0</v>
      </c>
      <c r="CA87" s="154">
        <f t="shared" si="434"/>
        <v>0</v>
      </c>
      <c r="CB87" s="154">
        <f t="shared" ca="1" si="435"/>
        <v>0</v>
      </c>
      <c r="CC87" s="523"/>
      <c r="CD87" s="355">
        <f t="shared" si="389"/>
        <v>112</v>
      </c>
      <c r="CE87" s="751" t="str">
        <f t="shared" ca="1" si="390"/>
        <v>B</v>
      </c>
      <c r="CF87" s="355" t="str">
        <f ca="1">IF(EXACT($B87,""),$CF86,CONCATENATE($CF86,$A87))</f>
        <v/>
      </c>
      <c r="CG87" s="268">
        <f>IF(ZS_SE_VIEW,SUM(
IF(ZS_AKADEMIE="",0,IF(HLOOKUP(ZS_AKADEMIE,PROFMAGIE,$CD87,FALSE)&gt;0,1,0)),
IF(AND(ZS_IAAK="Ja",IF(HLOOKUP(Tabellen_Magie!$IK$1,PROFMAGIE,$CD87,FALSE)&gt;0,TRUE,FALSE)),1,0)),0)</f>
        <v>0</v>
      </c>
      <c r="CH87" s="268"/>
      <c r="CI87" s="269">
        <f t="shared" ca="1" si="391"/>
        <v>0</v>
      </c>
      <c r="CJ87" s="269">
        <f t="shared" ca="1" si="392"/>
        <v>0</v>
      </c>
      <c r="CK87" s="268"/>
      <c r="CL87" s="268"/>
      <c r="CM87" s="268">
        <f t="shared" ca="1" si="327"/>
        <v>0</v>
      </c>
      <c r="CN87" s="269">
        <f t="shared" ca="1" si="328"/>
        <v>0</v>
      </c>
      <c r="CO87" s="268" t="str">
        <f t="shared" ca="1" si="393"/>
        <v>B</v>
      </c>
      <c r="CP87" s="269" t="b">
        <f t="shared" ca="1" si="394"/>
        <v>1</v>
      </c>
      <c r="CQ87" s="269">
        <f t="shared" si="395"/>
        <v>0</v>
      </c>
      <c r="CR87" s="269">
        <f t="shared" si="396"/>
        <v>0</v>
      </c>
      <c r="CS87" s="269">
        <f t="shared" ca="1" si="397"/>
        <v>0</v>
      </c>
      <c r="CT87" s="302" t="str">
        <f t="shared" ca="1" si="398"/>
        <v>0</v>
      </c>
      <c r="CU87" s="269">
        <f t="shared" ca="1" si="399"/>
        <v>0</v>
      </c>
      <c r="CV87" s="268"/>
      <c r="CW87" s="269">
        <f t="shared" ca="1" si="400"/>
        <v>0</v>
      </c>
      <c r="CX87" s="301">
        <f t="shared" ca="1" si="401"/>
        <v>0</v>
      </c>
      <c r="CY87" s="301">
        <f t="shared" ca="1" si="329"/>
        <v>0</v>
      </c>
      <c r="CZ87" s="301">
        <f t="shared" ca="1" si="402"/>
        <v>0</v>
      </c>
      <c r="DA87" s="301">
        <f t="shared" ca="1" si="403"/>
        <v>0</v>
      </c>
      <c r="DB87" t="str">
        <f>IF(CG87&gt;0,CG87 &amp; " SE aus Zweit-/Drittstudium","")</f>
        <v/>
      </c>
      <c r="DC87" s="301" t="str">
        <f t="shared" ca="1" si="404"/>
        <v/>
      </c>
      <c r="DD87" s="1337" t="str">
        <f t="shared" ca="1" si="436"/>
        <v/>
      </c>
      <c r="DE87" s="1337" t="str">
        <f t="shared" ca="1" si="437"/>
        <v/>
      </c>
      <c r="DG87" s="269" t="str">
        <f t="shared" ca="1" si="405"/>
        <v>Tabellen_Andere!BA42:BF42</v>
      </c>
      <c r="DH87" s="269" t="str">
        <f t="shared" si="438"/>
        <v>Tabellen_Andere!BA42:BF42</v>
      </c>
      <c r="DI87" s="269" t="str">
        <f ca="1">IF(NOT(ISERR(FIND(A87,Abfragen!$O$264,1))),MID(Abfragen!$O$264,FIND("(",Abfragen!$O$264,FIND(A87,Abfragen!$O$264,1)+LEN(A87))+1,FIND(")",Abfragen!$O$264,FIND(A87,Abfragen!$O$264,1)+LEN(A87))-FIND("(",Abfragen!$O$264,FIND(A87,Abfragen!$O$264,1)+LEN(A87))-1),"")</f>
        <v/>
      </c>
      <c r="DJ87" s="301" t="str">
        <f t="shared" ca="1" si="406"/>
        <v>B</v>
      </c>
      <c r="DK87" s="301" t="str">
        <f t="shared" ca="1" si="407"/>
        <v>B</v>
      </c>
      <c r="DL87" s="301" t="str">
        <f t="shared" ca="1" si="408"/>
        <v>B</v>
      </c>
      <c r="DM87" s="301" t="str">
        <f t="shared" ca="1" si="409"/>
        <v>B</v>
      </c>
      <c r="DN87" s="301" t="str">
        <f t="shared" ca="1" si="410"/>
        <v>B</v>
      </c>
      <c r="DO87" s="301" t="str">
        <f t="shared" ca="1" si="411"/>
        <v>B</v>
      </c>
      <c r="DP87" s="301" t="str">
        <f t="shared" ca="1" si="412"/>
        <v>B</v>
      </c>
      <c r="DQ87" s="301" t="str">
        <f t="shared" ca="1" si="413"/>
        <v>B</v>
      </c>
      <c r="DR87" s="301" t="str">
        <f t="shared" ca="1" si="414"/>
        <v>B</v>
      </c>
      <c r="DS87" s="301" t="str">
        <f t="shared" ca="1" si="415"/>
        <v>B</v>
      </c>
      <c r="DT87" s="301" t="str">
        <f t="shared" ca="1" si="416"/>
        <v>B</v>
      </c>
      <c r="DU87" s="301" t="str">
        <f t="shared" ca="1" si="417"/>
        <v>B</v>
      </c>
      <c r="DV87" s="301" t="str">
        <f t="shared" ca="1" si="418"/>
        <v>B</v>
      </c>
      <c r="DW87" s="301" t="str">
        <f t="shared" ca="1" si="419"/>
        <v>B</v>
      </c>
      <c r="DX87" s="301" t="str">
        <f t="shared" ca="1" si="420"/>
        <v>B</v>
      </c>
      <c r="DY87" s="301" t="str">
        <f t="shared" ca="1" si="421"/>
        <v>B</v>
      </c>
      <c r="DZ87" s="301" t="str">
        <f t="shared" ca="1" si="422"/>
        <v>B</v>
      </c>
      <c r="EA87" s="301" t="str">
        <f t="shared" ca="1" si="423"/>
        <v>B</v>
      </c>
      <c r="EB87" s="301" t="str">
        <f t="shared" ca="1" si="424"/>
        <v>B</v>
      </c>
      <c r="EC87" s="301" t="str">
        <f t="shared" ca="1" si="425"/>
        <v>B</v>
      </c>
      <c r="ED87" s="301" t="str">
        <f t="shared" ca="1" si="426"/>
        <v>B</v>
      </c>
      <c r="EE87" s="301" t="str">
        <f t="shared" ca="1" si="427"/>
        <v>B</v>
      </c>
      <c r="EF87" s="301">
        <f t="shared" si="428"/>
        <v>0</v>
      </c>
      <c r="EG87" s="301" t="str">
        <f t="shared" ca="1" si="429"/>
        <v>B</v>
      </c>
      <c r="EH87" s="301" t="str">
        <f t="shared" ca="1" si="429"/>
        <v>B</v>
      </c>
      <c r="EI87" s="301" t="str">
        <f t="shared" ca="1" si="429"/>
        <v>B</v>
      </c>
      <c r="EJ87" s="301" t="str">
        <f t="shared" ca="1" si="429"/>
        <v>B</v>
      </c>
      <c r="EK87" s="301" t="str">
        <f t="shared" ca="1" si="429"/>
        <v>B</v>
      </c>
      <c r="EL87" s="301" t="str">
        <f t="shared" ca="1" si="429"/>
        <v>B</v>
      </c>
      <c r="EM87" s="301" t="str">
        <f t="shared" ca="1" si="429"/>
        <v>B</v>
      </c>
      <c r="EN87" s="301" t="str">
        <f t="shared" ca="1" si="429"/>
        <v>B</v>
      </c>
      <c r="EO87" s="301" t="str">
        <f t="shared" ca="1" si="429"/>
        <v>B</v>
      </c>
      <c r="EP87" s="301" t="str">
        <f t="shared" ca="1" si="429"/>
        <v>B</v>
      </c>
      <c r="EQ87" s="301" t="str">
        <f t="shared" ca="1" si="430"/>
        <v>B</v>
      </c>
      <c r="ER87" s="301" t="str">
        <f t="shared" ca="1" si="430"/>
        <v>B</v>
      </c>
      <c r="ES87" s="301" t="str">
        <f t="shared" ca="1" si="430"/>
        <v>B</v>
      </c>
      <c r="ET87" s="301" t="str">
        <f t="shared" ca="1" si="430"/>
        <v>B</v>
      </c>
      <c r="EU87" s="301" t="str">
        <f t="shared" ca="1" si="430"/>
        <v>B</v>
      </c>
      <c r="EV87" s="301" t="str">
        <f t="shared" ca="1" si="430"/>
        <v>B</v>
      </c>
      <c r="EW87" s="301" t="str">
        <f t="shared" ca="1" si="430"/>
        <v>B</v>
      </c>
      <c r="EX87" s="301" t="str">
        <f t="shared" ca="1" si="430"/>
        <v>B</v>
      </c>
      <c r="EY87" s="301" t="str">
        <f t="shared" ca="1" si="430"/>
        <v>B</v>
      </c>
      <c r="EZ87" s="301" t="str">
        <f t="shared" ca="1" si="430"/>
        <v>B</v>
      </c>
      <c r="FA87" s="301" t="str">
        <f t="shared" ca="1" si="431"/>
        <v>B</v>
      </c>
      <c r="FB87" s="301" t="str">
        <f t="shared" ca="1" si="431"/>
        <v>B</v>
      </c>
      <c r="FC87" s="301" t="str">
        <f t="shared" ca="1" si="431"/>
        <v>B</v>
      </c>
      <c r="FD87" s="301" t="str">
        <f t="shared" ca="1" si="431"/>
        <v>B</v>
      </c>
      <c r="FE87" s="301" t="str">
        <f t="shared" ca="1" si="431"/>
        <v>B</v>
      </c>
      <c r="FF87" s="301" t="str">
        <f t="shared" ca="1" si="431"/>
        <v>B</v>
      </c>
      <c r="FG87" s="301" t="str">
        <f t="shared" ca="1" si="431"/>
        <v>B</v>
      </c>
      <c r="FH87" s="301" t="str">
        <f t="shared" ca="1" si="431"/>
        <v>B</v>
      </c>
      <c r="FI87" s="301" t="str">
        <f t="shared" ca="1" si="431"/>
        <v>B</v>
      </c>
      <c r="FJ87" s="301" t="str">
        <f t="shared" ca="1" si="431"/>
        <v>B</v>
      </c>
      <c r="FK87" s="301" t="str">
        <f t="shared" ca="1" si="431"/>
        <v>B</v>
      </c>
      <c r="FL87" s="301" t="str">
        <f t="shared" ca="1" si="431"/>
        <v>B</v>
      </c>
    </row>
    <row r="88" spans="1:168" x14ac:dyDescent="0.2">
      <c r="A88" s="24" t="str">
        <f t="shared" si="432"/>
        <v>Götter/Kulte</v>
      </c>
      <c r="B88" s="317">
        <f t="shared" ca="1" si="330"/>
        <v>0</v>
      </c>
      <c r="C88" s="332" t="s">
        <v>1321</v>
      </c>
      <c r="D88" s="1110"/>
      <c r="E88" s="966"/>
      <c r="F88" s="325"/>
      <c r="G88" s="958"/>
      <c r="H88" s="1196"/>
      <c r="I88" s="326"/>
      <c r="J88" s="1886" t="str">
        <f t="shared" ca="1" si="332"/>
        <v/>
      </c>
      <c r="K88" s="1887"/>
      <c r="L88" s="1887"/>
      <c r="M88" s="1887"/>
      <c r="N88" s="1888"/>
      <c r="O88" s="613">
        <f t="shared" ca="1" si="333"/>
        <v>0</v>
      </c>
      <c r="P88" s="90"/>
      <c r="Q88" s="25"/>
      <c r="R88" s="1067"/>
      <c r="S88" s="1067"/>
      <c r="T88" s="1315"/>
      <c r="U88" s="1283"/>
      <c r="V88" s="628" t="str">
        <f t="shared" ca="1" si="334"/>
        <v/>
      </c>
      <c r="W88" s="164">
        <f t="shared" ca="1" si="335"/>
        <v>0</v>
      </c>
      <c r="X88" s="164">
        <f t="shared" ca="1" si="336"/>
        <v>0</v>
      </c>
      <c r="Y88" s="164">
        <f t="shared" ca="1" si="337"/>
        <v>0</v>
      </c>
      <c r="Z88" s="164">
        <f t="shared" ca="1" si="338"/>
        <v>0</v>
      </c>
      <c r="AA88" s="164">
        <f t="shared" ca="1" si="339"/>
        <v>0</v>
      </c>
      <c r="AB88" s="164">
        <f t="shared" ca="1" si="340"/>
        <v>0</v>
      </c>
      <c r="AC88" s="164">
        <f t="shared" ca="1" si="341"/>
        <v>0</v>
      </c>
      <c r="AD88" s="164">
        <f t="shared" ca="1" si="342"/>
        <v>0</v>
      </c>
      <c r="AE88" s="164">
        <f t="shared" ca="1" si="343"/>
        <v>0</v>
      </c>
      <c r="AF88" s="164">
        <f t="shared" ca="1" si="344"/>
        <v>0</v>
      </c>
      <c r="AG88" s="164">
        <f t="shared" ca="1" si="345"/>
        <v>0</v>
      </c>
      <c r="AH88" s="164">
        <f t="shared" ca="1" si="346"/>
        <v>0</v>
      </c>
      <c r="AI88" s="164">
        <f t="shared" ca="1" si="347"/>
        <v>0</v>
      </c>
      <c r="AJ88" s="164">
        <f t="shared" ca="1" si="348"/>
        <v>0</v>
      </c>
      <c r="AK88" s="164">
        <f t="shared" ca="1" si="349"/>
        <v>0</v>
      </c>
      <c r="AL88" s="164">
        <f t="shared" ca="1" si="350"/>
        <v>0</v>
      </c>
      <c r="AM88" s="164">
        <f t="shared" ca="1" si="351"/>
        <v>0</v>
      </c>
      <c r="AN88" s="164">
        <f t="shared" ca="1" si="352"/>
        <v>0</v>
      </c>
      <c r="AO88" s="164">
        <f t="shared" ca="1" si="353"/>
        <v>0</v>
      </c>
      <c r="AP88" s="164">
        <f t="shared" ca="1" si="354"/>
        <v>0</v>
      </c>
      <c r="AQ88" s="164">
        <f t="shared" ca="1" si="355"/>
        <v>0</v>
      </c>
      <c r="AR88" s="164">
        <f t="shared" ca="1" si="356"/>
        <v>0</v>
      </c>
      <c r="AS88" s="195"/>
      <c r="AT88" s="154">
        <f t="shared" ca="1" si="357"/>
        <v>0</v>
      </c>
      <c r="AU88" s="154">
        <f t="shared" ca="1" si="358"/>
        <v>0</v>
      </c>
      <c r="AV88" s="154">
        <f t="shared" ca="1" si="359"/>
        <v>0</v>
      </c>
      <c r="AW88" s="154">
        <f t="shared" ca="1" si="360"/>
        <v>0</v>
      </c>
      <c r="AX88" s="154">
        <f t="shared" ca="1" si="361"/>
        <v>0</v>
      </c>
      <c r="AY88" s="154">
        <f t="shared" ca="1" si="362"/>
        <v>0</v>
      </c>
      <c r="AZ88" s="154">
        <f t="shared" ca="1" si="363"/>
        <v>0</v>
      </c>
      <c r="BA88" s="154">
        <f t="shared" ca="1" si="364"/>
        <v>0</v>
      </c>
      <c r="BB88" s="154">
        <f t="shared" ca="1" si="365"/>
        <v>0</v>
      </c>
      <c r="BC88" s="154">
        <f t="shared" ca="1" si="366"/>
        <v>0</v>
      </c>
      <c r="BD88" s="154">
        <f t="shared" ca="1" si="367"/>
        <v>0</v>
      </c>
      <c r="BE88" s="154">
        <f t="shared" ca="1" si="368"/>
        <v>0</v>
      </c>
      <c r="BF88" s="154">
        <f t="shared" ca="1" si="369"/>
        <v>0</v>
      </c>
      <c r="BG88" s="154">
        <f t="shared" ca="1" si="370"/>
        <v>0</v>
      </c>
      <c r="BH88" s="154">
        <f t="shared" ca="1" si="371"/>
        <v>0</v>
      </c>
      <c r="BI88" s="154">
        <f t="shared" ca="1" si="372"/>
        <v>0</v>
      </c>
      <c r="BJ88" s="154">
        <f t="shared" ca="1" si="373"/>
        <v>0</v>
      </c>
      <c r="BK88" s="154">
        <f t="shared" ca="1" si="374"/>
        <v>0</v>
      </c>
      <c r="BL88" s="154">
        <f t="shared" ca="1" si="375"/>
        <v>0</v>
      </c>
      <c r="BM88" s="154">
        <f t="shared" ca="1" si="376"/>
        <v>0</v>
      </c>
      <c r="BN88" s="154">
        <f t="shared" ca="1" si="377"/>
        <v>0</v>
      </c>
      <c r="BO88" s="154">
        <f t="shared" ca="1" si="378"/>
        <v>0</v>
      </c>
      <c r="BP88" s="154">
        <f t="shared" ca="1" si="379"/>
        <v>0</v>
      </c>
      <c r="BQ88" s="154">
        <f t="shared" ca="1" si="380"/>
        <v>0</v>
      </c>
      <c r="BR88" s="154">
        <f t="shared" ca="1" si="381"/>
        <v>0</v>
      </c>
      <c r="BS88" s="154">
        <f t="shared" ca="1" si="382"/>
        <v>0</v>
      </c>
      <c r="BT88" s="154">
        <f t="shared" ca="1" si="383"/>
        <v>0</v>
      </c>
      <c r="BU88" s="154">
        <f t="shared" ca="1" si="384"/>
        <v>0</v>
      </c>
      <c r="BV88" s="154">
        <f t="shared" ca="1" si="385"/>
        <v>0</v>
      </c>
      <c r="BW88" s="154">
        <f t="shared" ca="1" si="386"/>
        <v>0</v>
      </c>
      <c r="BX88" s="154">
        <f t="shared" ca="1" si="387"/>
        <v>0</v>
      </c>
      <c r="BY88" s="154">
        <f t="shared" ca="1" si="388"/>
        <v>0</v>
      </c>
      <c r="BZ88" s="154">
        <f t="shared" si="433"/>
        <v>0</v>
      </c>
      <c r="CA88" s="154">
        <f t="shared" si="434"/>
        <v>0</v>
      </c>
      <c r="CB88" s="154">
        <f t="shared" ca="1" si="435"/>
        <v>0</v>
      </c>
      <c r="CC88" s="523"/>
      <c r="CD88" s="355">
        <f t="shared" si="389"/>
        <v>113</v>
      </c>
      <c r="CE88" s="751" t="str">
        <f t="shared" ca="1" si="390"/>
        <v>B</v>
      </c>
      <c r="CF88" s="355"/>
      <c r="CG88" s="268">
        <f>IF(ZS_SE_VIEW,SUM(
IF(ZS_AKADEMIE="",0,IF(HLOOKUP(ZS_AKADEMIE,PROFMAGIE,$CD88,FALSE)&gt;0,1,0)),
IF(AND(ZS_IAAK="Ja",IF(HLOOKUP(Tabellen_Magie!$IK$1,PROFMAGIE,$CD88,FALSE)&gt;0,TRUE,FALSE)),1,0)),0)</f>
        <v>0</v>
      </c>
      <c r="CH88" s="268"/>
      <c r="CI88" s="269">
        <f t="shared" ca="1" si="391"/>
        <v>0</v>
      </c>
      <c r="CJ88" s="269">
        <f t="shared" ca="1" si="392"/>
        <v>0</v>
      </c>
      <c r="CK88" s="268"/>
      <c r="CL88" s="268"/>
      <c r="CM88" s="268">
        <f t="shared" ca="1" si="327"/>
        <v>0</v>
      </c>
      <c r="CN88" s="269">
        <f t="shared" ca="1" si="328"/>
        <v>0</v>
      </c>
      <c r="CO88" s="268" t="str">
        <f t="shared" ca="1" si="393"/>
        <v>B</v>
      </c>
      <c r="CP88" s="269" t="b">
        <f t="shared" ca="1" si="394"/>
        <v>1</v>
      </c>
      <c r="CQ88" s="269">
        <f t="shared" si="395"/>
        <v>0</v>
      </c>
      <c r="CR88" s="269">
        <f t="shared" si="396"/>
        <v>0</v>
      </c>
      <c r="CS88" s="269">
        <f t="shared" ca="1" si="397"/>
        <v>0</v>
      </c>
      <c r="CT88" s="302" t="str">
        <f t="shared" ca="1" si="398"/>
        <v>0</v>
      </c>
      <c r="CU88" s="269">
        <f t="shared" ca="1" si="399"/>
        <v>0</v>
      </c>
      <c r="CV88" s="268"/>
      <c r="CW88" s="269">
        <f t="shared" ca="1" si="400"/>
        <v>0</v>
      </c>
      <c r="CX88" s="301">
        <f t="shared" ca="1" si="401"/>
        <v>0</v>
      </c>
      <c r="CY88" s="301">
        <f t="shared" ca="1" si="329"/>
        <v>0</v>
      </c>
      <c r="CZ88" s="301">
        <f t="shared" ca="1" si="402"/>
        <v>0</v>
      </c>
      <c r="DA88" s="301">
        <f t="shared" ca="1" si="403"/>
        <v>0</v>
      </c>
      <c r="DB88" t="str">
        <f>IF(CG88&gt;0,CG88 &amp; " SE aus Zweit-/Drittstudium","")</f>
        <v/>
      </c>
      <c r="DC88" s="301" t="str">
        <f t="shared" ca="1" si="404"/>
        <v/>
      </c>
      <c r="DD88" s="1337" t="str">
        <f t="shared" ca="1" si="436"/>
        <v/>
      </c>
      <c r="DE88" s="1337" t="str">
        <f t="shared" ca="1" si="437"/>
        <v/>
      </c>
      <c r="DG88" s="269" t="str">
        <f t="shared" ca="1" si="405"/>
        <v>Tabellen_Andere!BA44:BF44</v>
      </c>
      <c r="DH88" s="269" t="str">
        <f t="shared" si="438"/>
        <v>Tabellen_Andere!BA44:BF44</v>
      </c>
      <c r="DI88" s="269" t="str">
        <f ca="1">IF(NOT(ISERR(FIND(A88,Abfragen!$O$264,1))),MID(Abfragen!$O$264,FIND("(",Abfragen!$O$264,FIND(A88,Abfragen!$O$264,1)+LEN(A88))+1,FIND(")",Abfragen!$O$264,FIND(A88,Abfragen!$O$264,1)+LEN(A88))-FIND("(",Abfragen!$O$264,FIND(A88,Abfragen!$O$264,1)+LEN(A88))-1),"")</f>
        <v/>
      </c>
      <c r="DJ88" s="301" t="str">
        <f t="shared" ca="1" si="406"/>
        <v>B</v>
      </c>
      <c r="DK88" s="301" t="str">
        <f t="shared" ca="1" si="407"/>
        <v>B</v>
      </c>
      <c r="DL88" s="301" t="str">
        <f t="shared" ca="1" si="408"/>
        <v>B</v>
      </c>
      <c r="DM88" s="301" t="str">
        <f t="shared" ca="1" si="409"/>
        <v>B</v>
      </c>
      <c r="DN88" s="301" t="str">
        <f t="shared" ca="1" si="410"/>
        <v>B</v>
      </c>
      <c r="DO88" s="301" t="str">
        <f t="shared" ca="1" si="411"/>
        <v>B</v>
      </c>
      <c r="DP88" s="301" t="str">
        <f t="shared" ca="1" si="412"/>
        <v>B</v>
      </c>
      <c r="DQ88" s="301" t="str">
        <f t="shared" ca="1" si="413"/>
        <v>B</v>
      </c>
      <c r="DR88" s="301" t="str">
        <f t="shared" ca="1" si="414"/>
        <v>B</v>
      </c>
      <c r="DS88" s="301" t="str">
        <f t="shared" ca="1" si="415"/>
        <v>B</v>
      </c>
      <c r="DT88" s="301" t="str">
        <f t="shared" ca="1" si="416"/>
        <v>B</v>
      </c>
      <c r="DU88" s="301" t="str">
        <f t="shared" ca="1" si="417"/>
        <v>B</v>
      </c>
      <c r="DV88" s="301" t="str">
        <f t="shared" ca="1" si="418"/>
        <v>B</v>
      </c>
      <c r="DW88" s="301" t="str">
        <f t="shared" ca="1" si="419"/>
        <v>B</v>
      </c>
      <c r="DX88" s="301" t="str">
        <f t="shared" ca="1" si="420"/>
        <v>B</v>
      </c>
      <c r="DY88" s="301" t="str">
        <f t="shared" ca="1" si="421"/>
        <v>B</v>
      </c>
      <c r="DZ88" s="301" t="str">
        <f t="shared" ca="1" si="422"/>
        <v>B</v>
      </c>
      <c r="EA88" s="301" t="str">
        <f t="shared" ca="1" si="423"/>
        <v>B</v>
      </c>
      <c r="EB88" s="301" t="str">
        <f t="shared" ca="1" si="424"/>
        <v>B</v>
      </c>
      <c r="EC88" s="301" t="str">
        <f t="shared" ca="1" si="425"/>
        <v>B</v>
      </c>
      <c r="ED88" s="301" t="str">
        <f t="shared" ca="1" si="426"/>
        <v>B</v>
      </c>
      <c r="EE88" s="301" t="str">
        <f t="shared" ca="1" si="427"/>
        <v>B</v>
      </c>
      <c r="EF88" s="301">
        <f t="shared" si="428"/>
        <v>0</v>
      </c>
      <c r="EG88" s="301" t="str">
        <f t="shared" ca="1" si="429"/>
        <v>B</v>
      </c>
      <c r="EH88" s="301" t="str">
        <f t="shared" ca="1" si="429"/>
        <v>B</v>
      </c>
      <c r="EI88" s="301" t="str">
        <f t="shared" ca="1" si="429"/>
        <v>B</v>
      </c>
      <c r="EJ88" s="301" t="str">
        <f t="shared" ca="1" si="429"/>
        <v>B</v>
      </c>
      <c r="EK88" s="301" t="str">
        <f t="shared" ca="1" si="429"/>
        <v>B</v>
      </c>
      <c r="EL88" s="301" t="str">
        <f t="shared" ca="1" si="429"/>
        <v>B</v>
      </c>
      <c r="EM88" s="301" t="str">
        <f t="shared" ca="1" si="429"/>
        <v>B</v>
      </c>
      <c r="EN88" s="301" t="str">
        <f t="shared" ca="1" si="429"/>
        <v>B</v>
      </c>
      <c r="EO88" s="301" t="str">
        <f t="shared" ca="1" si="429"/>
        <v>B</v>
      </c>
      <c r="EP88" s="301" t="str">
        <f t="shared" ca="1" si="429"/>
        <v>B</v>
      </c>
      <c r="EQ88" s="301" t="str">
        <f t="shared" ca="1" si="430"/>
        <v>B</v>
      </c>
      <c r="ER88" s="301" t="str">
        <f t="shared" ca="1" si="430"/>
        <v>B</v>
      </c>
      <c r="ES88" s="301" t="str">
        <f t="shared" ca="1" si="430"/>
        <v>B</v>
      </c>
      <c r="ET88" s="301" t="str">
        <f t="shared" ca="1" si="430"/>
        <v>B</v>
      </c>
      <c r="EU88" s="301" t="str">
        <f t="shared" ca="1" si="430"/>
        <v>B</v>
      </c>
      <c r="EV88" s="301" t="str">
        <f t="shared" ca="1" si="430"/>
        <v>B</v>
      </c>
      <c r="EW88" s="301" t="str">
        <f t="shared" ca="1" si="430"/>
        <v>B</v>
      </c>
      <c r="EX88" s="301" t="str">
        <f t="shared" ca="1" si="430"/>
        <v>B</v>
      </c>
      <c r="EY88" s="301" t="str">
        <f t="shared" ca="1" si="430"/>
        <v>B</v>
      </c>
      <c r="EZ88" s="301" t="str">
        <f t="shared" ca="1" si="430"/>
        <v>B</v>
      </c>
      <c r="FA88" s="301" t="str">
        <f t="shared" ca="1" si="431"/>
        <v>B</v>
      </c>
      <c r="FB88" s="301" t="str">
        <f t="shared" ca="1" si="431"/>
        <v>B</v>
      </c>
      <c r="FC88" s="301" t="str">
        <f t="shared" ca="1" si="431"/>
        <v>B</v>
      </c>
      <c r="FD88" s="301" t="str">
        <f t="shared" ca="1" si="431"/>
        <v>B</v>
      </c>
      <c r="FE88" s="301" t="str">
        <f t="shared" ca="1" si="431"/>
        <v>B</v>
      </c>
      <c r="FF88" s="301" t="str">
        <f t="shared" ca="1" si="431"/>
        <v>B</v>
      </c>
      <c r="FG88" s="301" t="str">
        <f t="shared" ca="1" si="431"/>
        <v>B</v>
      </c>
      <c r="FH88" s="301" t="str">
        <f t="shared" ca="1" si="431"/>
        <v>B</v>
      </c>
      <c r="FI88" s="301" t="str">
        <f t="shared" ca="1" si="431"/>
        <v>B</v>
      </c>
      <c r="FJ88" s="301" t="str">
        <f t="shared" ca="1" si="431"/>
        <v>B</v>
      </c>
      <c r="FK88" s="301" t="str">
        <f t="shared" ca="1" si="431"/>
        <v>B</v>
      </c>
      <c r="FL88" s="301" t="str">
        <f t="shared" ca="1" si="431"/>
        <v>B</v>
      </c>
    </row>
    <row r="89" spans="1:168" x14ac:dyDescent="0.2">
      <c r="A89" s="24" t="str">
        <f t="shared" si="432"/>
        <v>Heraldik</v>
      </c>
      <c r="B89" s="317" t="str">
        <f t="shared" ca="1" si="330"/>
        <v/>
      </c>
      <c r="C89" s="332" t="str">
        <f t="shared" ref="C89:C96" ca="1" si="439">IF(OR(NOT(ISBLANK(D89)),NOT(ISBLANK(HLOOKUP(RASSEGENE,RASSE,$CD89,FALSE))),
NOT(ISBLANK(HLOOKUP(KULTURGENE,KULTUR,$CD89,FALSE))),
NOT(OR(ISBLANK(HLOOKUP(PROFGENE,INDIRECT(PROFGEBIET),$CD89,FALSE)),$CS89="N",$CS89="M")),
IF(PROFZWEITE="",FALSE,NOT(ISBLANK(HLOOKUP(PROFZWEITE,INDIRECT(PROFGEBIET2),$CD89,FALSE))))),"x","")</f>
        <v/>
      </c>
      <c r="D89" s="1110"/>
      <c r="E89" s="966"/>
      <c r="F89" s="325"/>
      <c r="G89" s="958"/>
      <c r="H89" s="1196"/>
      <c r="I89" s="326"/>
      <c r="J89" s="1886" t="str">
        <f t="shared" ca="1" si="332"/>
        <v/>
      </c>
      <c r="K89" s="1887"/>
      <c r="L89" s="1887"/>
      <c r="M89" s="1887"/>
      <c r="N89" s="1888"/>
      <c r="O89" s="613" t="str">
        <f t="shared" ca="1" si="333"/>
        <v/>
      </c>
      <c r="P89" s="90"/>
      <c r="Q89" s="25"/>
      <c r="R89" s="1313"/>
      <c r="S89" s="1313"/>
      <c r="T89" s="1315"/>
      <c r="U89" s="1283"/>
      <c r="V89" s="628" t="str">
        <f t="shared" ca="1" si="334"/>
        <v/>
      </c>
      <c r="W89" s="164">
        <f t="shared" ca="1" si="335"/>
        <v>0</v>
      </c>
      <c r="X89" s="164">
        <f t="shared" ca="1" si="336"/>
        <v>0</v>
      </c>
      <c r="Y89" s="164">
        <f t="shared" ca="1" si="337"/>
        <v>0</v>
      </c>
      <c r="Z89" s="164">
        <f t="shared" ca="1" si="338"/>
        <v>0</v>
      </c>
      <c r="AA89" s="164">
        <f t="shared" ca="1" si="339"/>
        <v>0</v>
      </c>
      <c r="AB89" s="164">
        <f t="shared" ca="1" si="340"/>
        <v>0</v>
      </c>
      <c r="AC89" s="164">
        <f t="shared" ca="1" si="341"/>
        <v>0</v>
      </c>
      <c r="AD89" s="164">
        <f t="shared" ca="1" si="342"/>
        <v>0</v>
      </c>
      <c r="AE89" s="164">
        <f t="shared" ca="1" si="343"/>
        <v>0</v>
      </c>
      <c r="AF89" s="164">
        <f t="shared" ca="1" si="344"/>
        <v>0</v>
      </c>
      <c r="AG89" s="164">
        <f t="shared" ca="1" si="345"/>
        <v>0</v>
      </c>
      <c r="AH89" s="164">
        <f t="shared" ca="1" si="346"/>
        <v>0</v>
      </c>
      <c r="AI89" s="164">
        <f t="shared" ca="1" si="347"/>
        <v>0</v>
      </c>
      <c r="AJ89" s="164">
        <f t="shared" ca="1" si="348"/>
        <v>0</v>
      </c>
      <c r="AK89" s="164">
        <f t="shared" ca="1" si="349"/>
        <v>0</v>
      </c>
      <c r="AL89" s="164">
        <f t="shared" ca="1" si="350"/>
        <v>0</v>
      </c>
      <c r="AM89" s="164">
        <f t="shared" ca="1" si="351"/>
        <v>0</v>
      </c>
      <c r="AN89" s="164">
        <f t="shared" ca="1" si="352"/>
        <v>0</v>
      </c>
      <c r="AO89" s="164">
        <f t="shared" ca="1" si="353"/>
        <v>0</v>
      </c>
      <c r="AP89" s="164">
        <f t="shared" ca="1" si="354"/>
        <v>0</v>
      </c>
      <c r="AQ89" s="164">
        <f t="shared" ca="1" si="355"/>
        <v>0</v>
      </c>
      <c r="AR89" s="164">
        <f t="shared" ca="1" si="356"/>
        <v>0</v>
      </c>
      <c r="AS89" s="195"/>
      <c r="AT89" s="154">
        <f t="shared" ca="1" si="357"/>
        <v>0</v>
      </c>
      <c r="AU89" s="154">
        <f t="shared" ca="1" si="358"/>
        <v>0</v>
      </c>
      <c r="AV89" s="154">
        <f t="shared" ca="1" si="359"/>
        <v>0</v>
      </c>
      <c r="AW89" s="154">
        <f t="shared" ca="1" si="360"/>
        <v>0</v>
      </c>
      <c r="AX89" s="154">
        <f t="shared" ca="1" si="361"/>
        <v>0</v>
      </c>
      <c r="AY89" s="154">
        <f t="shared" ca="1" si="362"/>
        <v>0</v>
      </c>
      <c r="AZ89" s="154">
        <f t="shared" ca="1" si="363"/>
        <v>0</v>
      </c>
      <c r="BA89" s="154">
        <f t="shared" ca="1" si="364"/>
        <v>0</v>
      </c>
      <c r="BB89" s="154">
        <f t="shared" ca="1" si="365"/>
        <v>0</v>
      </c>
      <c r="BC89" s="154">
        <f t="shared" ca="1" si="366"/>
        <v>0</v>
      </c>
      <c r="BD89" s="154">
        <f t="shared" ca="1" si="367"/>
        <v>0</v>
      </c>
      <c r="BE89" s="154">
        <f t="shared" ca="1" si="368"/>
        <v>0</v>
      </c>
      <c r="BF89" s="154">
        <f t="shared" ca="1" si="369"/>
        <v>0</v>
      </c>
      <c r="BG89" s="154">
        <f t="shared" ca="1" si="370"/>
        <v>0</v>
      </c>
      <c r="BH89" s="154">
        <f t="shared" ca="1" si="371"/>
        <v>0</v>
      </c>
      <c r="BI89" s="154">
        <f t="shared" ca="1" si="372"/>
        <v>0</v>
      </c>
      <c r="BJ89" s="154">
        <f t="shared" ca="1" si="373"/>
        <v>0</v>
      </c>
      <c r="BK89" s="154">
        <f t="shared" ca="1" si="374"/>
        <v>0</v>
      </c>
      <c r="BL89" s="154">
        <f t="shared" ca="1" si="375"/>
        <v>0</v>
      </c>
      <c r="BM89" s="154">
        <f t="shared" ca="1" si="376"/>
        <v>0</v>
      </c>
      <c r="BN89" s="154">
        <f t="shared" ca="1" si="377"/>
        <v>0</v>
      </c>
      <c r="BO89" s="154">
        <f t="shared" ca="1" si="378"/>
        <v>0</v>
      </c>
      <c r="BP89" s="154">
        <f t="shared" ca="1" si="379"/>
        <v>0</v>
      </c>
      <c r="BQ89" s="154">
        <f t="shared" ca="1" si="380"/>
        <v>0</v>
      </c>
      <c r="BR89" s="154">
        <f t="shared" ca="1" si="381"/>
        <v>0</v>
      </c>
      <c r="BS89" s="154">
        <f t="shared" ca="1" si="382"/>
        <v>0</v>
      </c>
      <c r="BT89" s="154">
        <f t="shared" ca="1" si="383"/>
        <v>0</v>
      </c>
      <c r="BU89" s="154">
        <f t="shared" ca="1" si="384"/>
        <v>0</v>
      </c>
      <c r="BV89" s="154">
        <f t="shared" ca="1" si="385"/>
        <v>0</v>
      </c>
      <c r="BW89" s="154">
        <f t="shared" ca="1" si="386"/>
        <v>0</v>
      </c>
      <c r="BX89" s="154">
        <f t="shared" ca="1" si="387"/>
        <v>0</v>
      </c>
      <c r="BY89" s="154">
        <f t="shared" ca="1" si="388"/>
        <v>0</v>
      </c>
      <c r="BZ89" s="154">
        <f t="shared" si="433"/>
        <v>0</v>
      </c>
      <c r="CA89" s="154">
        <f t="shared" si="434"/>
        <v>0</v>
      </c>
      <c r="CB89" s="154">
        <f t="shared" ca="1" si="435"/>
        <v>0</v>
      </c>
      <c r="CC89" s="523"/>
      <c r="CD89" s="355">
        <f t="shared" si="389"/>
        <v>114</v>
      </c>
      <c r="CE89" s="751" t="str">
        <f t="shared" ca="1" si="390"/>
        <v>B</v>
      </c>
      <c r="CF89" s="355" t="str">
        <f ca="1">IF(EXACT($B89,""),$CF87,CONCATENATE($CF87,$A89))</f>
        <v/>
      </c>
      <c r="CG89" s="268">
        <f>IF(ZS_SE_VIEW,SUM(
IF(ZS_AKADEMIE="",0,IF(HLOOKUP(ZS_AKADEMIE,PROFMAGIE,$CD89,FALSE)&gt;0,1,0)),
IF(AND(ZS_IAAK="Ja",IF(HLOOKUP(Tabellen_Magie!$IK$1,PROFMAGIE,$CD89,FALSE)&gt;0,TRUE,FALSE)),1,0)),0)</f>
        <v>0</v>
      </c>
      <c r="CH89" s="268"/>
      <c r="CI89" s="269">
        <f t="shared" ca="1" si="391"/>
        <v>0</v>
      </c>
      <c r="CJ89" s="269">
        <f t="shared" ca="1" si="392"/>
        <v>0</v>
      </c>
      <c r="CK89" s="268"/>
      <c r="CL89" s="268"/>
      <c r="CM89" s="268">
        <f t="shared" ca="1" si="327"/>
        <v>0</v>
      </c>
      <c r="CN89" s="269">
        <f t="shared" ca="1" si="328"/>
        <v>0</v>
      </c>
      <c r="CO89" s="268" t="str">
        <f t="shared" ca="1" si="393"/>
        <v>B</v>
      </c>
      <c r="CP89" s="269" t="b">
        <f t="shared" ca="1" si="394"/>
        <v>1</v>
      </c>
      <c r="CQ89" s="269">
        <f t="shared" si="395"/>
        <v>0</v>
      </c>
      <c r="CR89" s="269">
        <f t="shared" si="396"/>
        <v>0</v>
      </c>
      <c r="CS89" s="269">
        <f t="shared" ca="1" si="397"/>
        <v>0</v>
      </c>
      <c r="CT89" s="302" t="str">
        <f t="shared" ca="1" si="398"/>
        <v>0</v>
      </c>
      <c r="CU89" s="269">
        <f t="shared" ca="1" si="399"/>
        <v>0</v>
      </c>
      <c r="CV89" s="268"/>
      <c r="CW89" s="269">
        <f t="shared" ca="1" si="400"/>
        <v>0</v>
      </c>
      <c r="CX89" s="301">
        <f t="shared" ca="1" si="401"/>
        <v>0</v>
      </c>
      <c r="CY89" s="301">
        <f t="shared" ca="1" si="329"/>
        <v>0</v>
      </c>
      <c r="CZ89" s="301">
        <f t="shared" ca="1" si="402"/>
        <v>0</v>
      </c>
      <c r="DA89" s="301">
        <f t="shared" ca="1" si="403"/>
        <v>0</v>
      </c>
      <c r="DB89" t="str">
        <f>IF(CG89&gt;0,CG89 &amp; " SE aus Zweit-/Drittstudium","")</f>
        <v/>
      </c>
      <c r="DC89" s="301" t="str">
        <f t="shared" ca="1" si="404"/>
        <v/>
      </c>
      <c r="DD89" s="1337" t="str">
        <f t="shared" ca="1" si="436"/>
        <v/>
      </c>
      <c r="DE89" s="1337" t="str">
        <f t="shared" ca="1" si="437"/>
        <v/>
      </c>
      <c r="DG89" s="269" t="str">
        <f t="shared" ca="1" si="405"/>
        <v>Tabellen_Andere!BA52:BF52</v>
      </c>
      <c r="DH89" s="269" t="str">
        <f t="shared" si="438"/>
        <v>Tabellen_Andere!BA52:BF52</v>
      </c>
      <c r="DI89" s="269" t="str">
        <f ca="1">IF(NOT(ISERR(FIND(A89,Abfragen!$O$264,1))),MID(Abfragen!$O$264,FIND("(",Abfragen!$O$264,FIND(A89,Abfragen!$O$264,1)+LEN(A89))+1,FIND(")",Abfragen!$O$264,FIND(A89,Abfragen!$O$264,1)+LEN(A89))-FIND("(",Abfragen!$O$264,FIND(A89,Abfragen!$O$264,1)+LEN(A89))-1),"")</f>
        <v/>
      </c>
      <c r="DJ89" s="301" t="str">
        <f t="shared" ca="1" si="406"/>
        <v>B</v>
      </c>
      <c r="DK89" s="301" t="str">
        <f t="shared" ca="1" si="407"/>
        <v>B</v>
      </c>
      <c r="DL89" s="301" t="str">
        <f t="shared" ca="1" si="408"/>
        <v>B</v>
      </c>
      <c r="DM89" s="301" t="str">
        <f t="shared" ca="1" si="409"/>
        <v>B</v>
      </c>
      <c r="DN89" s="301" t="str">
        <f t="shared" ca="1" si="410"/>
        <v>B</v>
      </c>
      <c r="DO89" s="301" t="str">
        <f t="shared" ca="1" si="411"/>
        <v>B</v>
      </c>
      <c r="DP89" s="301" t="str">
        <f t="shared" ca="1" si="412"/>
        <v>B</v>
      </c>
      <c r="DQ89" s="301" t="str">
        <f t="shared" ca="1" si="413"/>
        <v>B</v>
      </c>
      <c r="DR89" s="301" t="str">
        <f t="shared" ca="1" si="414"/>
        <v>B</v>
      </c>
      <c r="DS89" s="301" t="str">
        <f t="shared" ca="1" si="415"/>
        <v>B</v>
      </c>
      <c r="DT89" s="301" t="str">
        <f t="shared" ca="1" si="416"/>
        <v>B</v>
      </c>
      <c r="DU89" s="301" t="str">
        <f t="shared" ca="1" si="417"/>
        <v>B</v>
      </c>
      <c r="DV89" s="301" t="str">
        <f t="shared" ca="1" si="418"/>
        <v>B</v>
      </c>
      <c r="DW89" s="301" t="str">
        <f t="shared" ca="1" si="419"/>
        <v>B</v>
      </c>
      <c r="DX89" s="301" t="str">
        <f t="shared" ca="1" si="420"/>
        <v>B</v>
      </c>
      <c r="DY89" s="301" t="str">
        <f t="shared" ca="1" si="421"/>
        <v>B</v>
      </c>
      <c r="DZ89" s="301" t="str">
        <f t="shared" ca="1" si="422"/>
        <v>B</v>
      </c>
      <c r="EA89" s="301" t="str">
        <f t="shared" ca="1" si="423"/>
        <v>B</v>
      </c>
      <c r="EB89" s="301" t="str">
        <f t="shared" ca="1" si="424"/>
        <v>B</v>
      </c>
      <c r="EC89" s="301" t="str">
        <f t="shared" ca="1" si="425"/>
        <v>B</v>
      </c>
      <c r="ED89" s="301" t="str">
        <f t="shared" ca="1" si="426"/>
        <v>B</v>
      </c>
      <c r="EE89" s="301" t="str">
        <f t="shared" ca="1" si="427"/>
        <v>B</v>
      </c>
      <c r="EF89" s="301">
        <f t="shared" si="428"/>
        <v>0</v>
      </c>
      <c r="EG89" s="301" t="str">
        <f t="shared" ca="1" si="429"/>
        <v>B</v>
      </c>
      <c r="EH89" s="301" t="str">
        <f t="shared" ca="1" si="429"/>
        <v>B</v>
      </c>
      <c r="EI89" s="301" t="str">
        <f t="shared" ca="1" si="429"/>
        <v>B</v>
      </c>
      <c r="EJ89" s="301" t="str">
        <f t="shared" ca="1" si="429"/>
        <v>B</v>
      </c>
      <c r="EK89" s="301" t="str">
        <f t="shared" ca="1" si="429"/>
        <v>B</v>
      </c>
      <c r="EL89" s="301" t="str">
        <f t="shared" ca="1" si="429"/>
        <v>B</v>
      </c>
      <c r="EM89" s="301" t="str">
        <f t="shared" ca="1" si="429"/>
        <v>B</v>
      </c>
      <c r="EN89" s="301" t="str">
        <f t="shared" ca="1" si="429"/>
        <v>B</v>
      </c>
      <c r="EO89" s="301" t="str">
        <f t="shared" ca="1" si="429"/>
        <v>B</v>
      </c>
      <c r="EP89" s="301" t="str">
        <f t="shared" ca="1" si="429"/>
        <v>B</v>
      </c>
      <c r="EQ89" s="301" t="str">
        <f t="shared" ca="1" si="430"/>
        <v>B</v>
      </c>
      <c r="ER89" s="301" t="str">
        <f t="shared" ca="1" si="430"/>
        <v>B</v>
      </c>
      <c r="ES89" s="301" t="str">
        <f t="shared" ca="1" si="430"/>
        <v>B</v>
      </c>
      <c r="ET89" s="301" t="str">
        <f t="shared" ca="1" si="430"/>
        <v>B</v>
      </c>
      <c r="EU89" s="301" t="str">
        <f t="shared" ca="1" si="430"/>
        <v>B</v>
      </c>
      <c r="EV89" s="301" t="str">
        <f t="shared" ca="1" si="430"/>
        <v>B</v>
      </c>
      <c r="EW89" s="301" t="str">
        <f t="shared" ca="1" si="430"/>
        <v>B</v>
      </c>
      <c r="EX89" s="301" t="str">
        <f t="shared" ca="1" si="430"/>
        <v>B</v>
      </c>
      <c r="EY89" s="301" t="str">
        <f t="shared" ca="1" si="430"/>
        <v>B</v>
      </c>
      <c r="EZ89" s="301" t="str">
        <f t="shared" ca="1" si="430"/>
        <v>B</v>
      </c>
      <c r="FA89" s="301" t="str">
        <f t="shared" ca="1" si="431"/>
        <v>B</v>
      </c>
      <c r="FB89" s="301" t="str">
        <f t="shared" ca="1" si="431"/>
        <v>B</v>
      </c>
      <c r="FC89" s="301" t="str">
        <f t="shared" ca="1" si="431"/>
        <v>B</v>
      </c>
      <c r="FD89" s="301" t="str">
        <f t="shared" ca="1" si="431"/>
        <v>B</v>
      </c>
      <c r="FE89" s="301" t="str">
        <f t="shared" ca="1" si="431"/>
        <v>B</v>
      </c>
      <c r="FF89" s="301" t="str">
        <f t="shared" ca="1" si="431"/>
        <v>B</v>
      </c>
      <c r="FG89" s="301" t="str">
        <f t="shared" ca="1" si="431"/>
        <v>B</v>
      </c>
      <c r="FH89" s="301" t="str">
        <f t="shared" ca="1" si="431"/>
        <v>B</v>
      </c>
      <c r="FI89" s="301" t="str">
        <f t="shared" ca="1" si="431"/>
        <v>B</v>
      </c>
      <c r="FJ89" s="301" t="str">
        <f t="shared" ca="1" si="431"/>
        <v>B</v>
      </c>
      <c r="FK89" s="301" t="str">
        <f t="shared" ca="1" si="431"/>
        <v>B</v>
      </c>
      <c r="FL89" s="301" t="str">
        <f t="shared" ca="1" si="431"/>
        <v>B</v>
      </c>
    </row>
    <row r="90" spans="1:168" x14ac:dyDescent="0.2">
      <c r="A90" s="24" t="str">
        <f t="shared" si="432"/>
        <v>Hüttenkunde</v>
      </c>
      <c r="B90" s="317" t="str">
        <f t="shared" ca="1" si="330"/>
        <v/>
      </c>
      <c r="C90" s="332" t="str">
        <f t="shared" ca="1" si="439"/>
        <v/>
      </c>
      <c r="D90" s="1110"/>
      <c r="E90" s="966"/>
      <c r="F90" s="325"/>
      <c r="G90" s="958"/>
      <c r="H90" s="1196"/>
      <c r="I90" s="326"/>
      <c r="J90" s="1886" t="str">
        <f t="shared" ca="1" si="332"/>
        <v/>
      </c>
      <c r="K90" s="1887"/>
      <c r="L90" s="1887"/>
      <c r="M90" s="1887"/>
      <c r="N90" s="1888"/>
      <c r="O90" s="613" t="str">
        <f t="shared" ca="1" si="333"/>
        <v/>
      </c>
      <c r="P90" s="90"/>
      <c r="Q90" s="25"/>
      <c r="R90" s="1313"/>
      <c r="S90" s="1313"/>
      <c r="T90" s="1315"/>
      <c r="U90" s="1283"/>
      <c r="V90" s="628" t="str">
        <f t="shared" ca="1" si="334"/>
        <v/>
      </c>
      <c r="W90" s="164">
        <f t="shared" ca="1" si="335"/>
        <v>0</v>
      </c>
      <c r="X90" s="164">
        <f t="shared" ca="1" si="336"/>
        <v>0</v>
      </c>
      <c r="Y90" s="164">
        <f t="shared" ca="1" si="337"/>
        <v>0</v>
      </c>
      <c r="Z90" s="164">
        <f t="shared" ca="1" si="338"/>
        <v>0</v>
      </c>
      <c r="AA90" s="164">
        <f t="shared" ca="1" si="339"/>
        <v>0</v>
      </c>
      <c r="AB90" s="164">
        <f t="shared" ca="1" si="340"/>
        <v>0</v>
      </c>
      <c r="AC90" s="164">
        <f t="shared" ca="1" si="341"/>
        <v>0</v>
      </c>
      <c r="AD90" s="164">
        <f t="shared" ca="1" si="342"/>
        <v>0</v>
      </c>
      <c r="AE90" s="164">
        <f t="shared" ca="1" si="343"/>
        <v>0</v>
      </c>
      <c r="AF90" s="164">
        <f t="shared" ca="1" si="344"/>
        <v>0</v>
      </c>
      <c r="AG90" s="164">
        <f t="shared" ca="1" si="345"/>
        <v>0</v>
      </c>
      <c r="AH90" s="164">
        <f t="shared" ca="1" si="346"/>
        <v>0</v>
      </c>
      <c r="AI90" s="164">
        <f t="shared" ca="1" si="347"/>
        <v>0</v>
      </c>
      <c r="AJ90" s="164">
        <f t="shared" ca="1" si="348"/>
        <v>0</v>
      </c>
      <c r="AK90" s="164">
        <f t="shared" ca="1" si="349"/>
        <v>0</v>
      </c>
      <c r="AL90" s="164">
        <f t="shared" ca="1" si="350"/>
        <v>0</v>
      </c>
      <c r="AM90" s="164">
        <f t="shared" ca="1" si="351"/>
        <v>0</v>
      </c>
      <c r="AN90" s="164">
        <f t="shared" ca="1" si="352"/>
        <v>0</v>
      </c>
      <c r="AO90" s="164">
        <f t="shared" ca="1" si="353"/>
        <v>0</v>
      </c>
      <c r="AP90" s="164">
        <f t="shared" ca="1" si="354"/>
        <v>0</v>
      </c>
      <c r="AQ90" s="164">
        <f t="shared" ca="1" si="355"/>
        <v>0</v>
      </c>
      <c r="AR90" s="164">
        <f t="shared" ca="1" si="356"/>
        <v>0</v>
      </c>
      <c r="AS90" s="195"/>
      <c r="AT90" s="154">
        <f t="shared" ca="1" si="357"/>
        <v>0</v>
      </c>
      <c r="AU90" s="154">
        <f t="shared" ca="1" si="358"/>
        <v>0</v>
      </c>
      <c r="AV90" s="154">
        <f t="shared" ca="1" si="359"/>
        <v>0</v>
      </c>
      <c r="AW90" s="154">
        <f t="shared" ca="1" si="360"/>
        <v>0</v>
      </c>
      <c r="AX90" s="154">
        <f t="shared" ca="1" si="361"/>
        <v>0</v>
      </c>
      <c r="AY90" s="154">
        <f t="shared" ca="1" si="362"/>
        <v>0</v>
      </c>
      <c r="AZ90" s="154">
        <f t="shared" ca="1" si="363"/>
        <v>0</v>
      </c>
      <c r="BA90" s="154">
        <f t="shared" ca="1" si="364"/>
        <v>0</v>
      </c>
      <c r="BB90" s="154">
        <f t="shared" ca="1" si="365"/>
        <v>0</v>
      </c>
      <c r="BC90" s="154">
        <f t="shared" ca="1" si="366"/>
        <v>0</v>
      </c>
      <c r="BD90" s="154">
        <f t="shared" ca="1" si="367"/>
        <v>0</v>
      </c>
      <c r="BE90" s="154">
        <f t="shared" ca="1" si="368"/>
        <v>0</v>
      </c>
      <c r="BF90" s="154">
        <f t="shared" ca="1" si="369"/>
        <v>0</v>
      </c>
      <c r="BG90" s="154">
        <f t="shared" ca="1" si="370"/>
        <v>0</v>
      </c>
      <c r="BH90" s="154">
        <f t="shared" ca="1" si="371"/>
        <v>0</v>
      </c>
      <c r="BI90" s="154">
        <f t="shared" ca="1" si="372"/>
        <v>0</v>
      </c>
      <c r="BJ90" s="154">
        <f t="shared" ca="1" si="373"/>
        <v>0</v>
      </c>
      <c r="BK90" s="154">
        <f t="shared" ca="1" si="374"/>
        <v>0</v>
      </c>
      <c r="BL90" s="154">
        <f t="shared" ca="1" si="375"/>
        <v>0</v>
      </c>
      <c r="BM90" s="154">
        <f t="shared" ca="1" si="376"/>
        <v>0</v>
      </c>
      <c r="BN90" s="154">
        <f t="shared" ca="1" si="377"/>
        <v>0</v>
      </c>
      <c r="BO90" s="154">
        <f t="shared" ca="1" si="378"/>
        <v>0</v>
      </c>
      <c r="BP90" s="154">
        <f t="shared" ca="1" si="379"/>
        <v>0</v>
      </c>
      <c r="BQ90" s="154">
        <f t="shared" ca="1" si="380"/>
        <v>0</v>
      </c>
      <c r="BR90" s="154">
        <f t="shared" ca="1" si="381"/>
        <v>0</v>
      </c>
      <c r="BS90" s="154">
        <f t="shared" ca="1" si="382"/>
        <v>0</v>
      </c>
      <c r="BT90" s="154">
        <f t="shared" ca="1" si="383"/>
        <v>0</v>
      </c>
      <c r="BU90" s="154">
        <f t="shared" ca="1" si="384"/>
        <v>0</v>
      </c>
      <c r="BV90" s="154">
        <f t="shared" ca="1" si="385"/>
        <v>0</v>
      </c>
      <c r="BW90" s="154">
        <f t="shared" ca="1" si="386"/>
        <v>0</v>
      </c>
      <c r="BX90" s="154">
        <f t="shared" ca="1" si="387"/>
        <v>0</v>
      </c>
      <c r="BY90" s="154">
        <f t="shared" ca="1" si="388"/>
        <v>0</v>
      </c>
      <c r="BZ90" s="154">
        <f t="shared" si="433"/>
        <v>0</v>
      </c>
      <c r="CA90" s="154">
        <f t="shared" si="434"/>
        <v>0</v>
      </c>
      <c r="CB90" s="154">
        <f t="shared" ca="1" si="435"/>
        <v>0</v>
      </c>
      <c r="CC90" s="523"/>
      <c r="CD90" s="355">
        <f t="shared" si="389"/>
        <v>115</v>
      </c>
      <c r="CE90" s="751" t="str">
        <f t="shared" ca="1" si="390"/>
        <v>B</v>
      </c>
      <c r="CF90" s="355" t="str">
        <f t="shared" ref="CF90:CF96" ca="1" si="440">IF(EXACT($B90,""),$CF89,CONCATENATE($CF89,$A90))</f>
        <v/>
      </c>
      <c r="CG90" s="268">
        <f>IF(ZS_SE_VIEW,SUM(
IF(ZS_AKADEMIE="",0,IF(HLOOKUP(ZS_AKADEMIE,PROFMAGIE,$CD90,FALSE)&gt;0,1,0)),
IF(AND(ZS_IAAK="Ja",IF(HLOOKUP(Tabellen_Magie!$IK$1,PROFMAGIE,$CD90,FALSE)&gt;0,TRUE,FALSE)),1,0)),0)</f>
        <v>0</v>
      </c>
      <c r="CH90" s="268"/>
      <c r="CI90" s="269">
        <f t="shared" ca="1" si="391"/>
        <v>0</v>
      </c>
      <c r="CJ90" s="269">
        <f t="shared" ca="1" si="392"/>
        <v>0</v>
      </c>
      <c r="CK90" s="268"/>
      <c r="CL90" s="268"/>
      <c r="CM90" s="268">
        <f t="shared" ca="1" si="327"/>
        <v>0</v>
      </c>
      <c r="CN90" s="269">
        <f t="shared" ca="1" si="328"/>
        <v>0</v>
      </c>
      <c r="CO90" s="268" t="str">
        <f t="shared" ca="1" si="393"/>
        <v>B</v>
      </c>
      <c r="CP90" s="269" t="b">
        <f t="shared" ca="1" si="394"/>
        <v>1</v>
      </c>
      <c r="CQ90" s="269">
        <f t="shared" si="395"/>
        <v>0</v>
      </c>
      <c r="CR90" s="269">
        <f t="shared" si="396"/>
        <v>0</v>
      </c>
      <c r="CS90" s="269">
        <f t="shared" ca="1" si="397"/>
        <v>0</v>
      </c>
      <c r="CT90" s="302" t="str">
        <f t="shared" ca="1" si="398"/>
        <v>0</v>
      </c>
      <c r="CU90" s="269">
        <f t="shared" ca="1" si="399"/>
        <v>0</v>
      </c>
      <c r="CV90" s="268"/>
      <c r="CW90" s="269">
        <f t="shared" ca="1" si="400"/>
        <v>0</v>
      </c>
      <c r="CX90" s="301">
        <f t="shared" ca="1" si="401"/>
        <v>0</v>
      </c>
      <c r="CY90" s="301">
        <f t="shared" ca="1" si="329"/>
        <v>0</v>
      </c>
      <c r="CZ90" s="301">
        <f t="shared" ca="1" si="402"/>
        <v>0</v>
      </c>
      <c r="DA90" s="301">
        <f t="shared" ca="1" si="403"/>
        <v>0</v>
      </c>
      <c r="DB90" t="str">
        <f>IF(CG90&gt;0,CG90 &amp; " SE aus Zweit-/Drittstudium","")</f>
        <v/>
      </c>
      <c r="DC90" s="301" t="str">
        <f t="shared" ca="1" si="404"/>
        <v/>
      </c>
      <c r="DD90" s="1337" t="str">
        <f t="shared" ca="1" si="436"/>
        <v/>
      </c>
      <c r="DE90" s="1337" t="str">
        <f t="shared" ca="1" si="437"/>
        <v/>
      </c>
      <c r="DG90" s="269" t="str">
        <f t="shared" ca="1" si="405"/>
        <v>Tabellen_Andere!BA56:BF56</v>
      </c>
      <c r="DH90" s="269" t="str">
        <f t="shared" si="438"/>
        <v>Tabellen_Andere!BA56:BF56</v>
      </c>
      <c r="DI90" s="269" t="str">
        <f ca="1">IF(NOT(ISERR(FIND(A90,Abfragen!$O$264,1))),MID(Abfragen!$O$264,FIND("(",Abfragen!$O$264,FIND(A90,Abfragen!$O$264,1)+LEN(A90))+1,FIND(")",Abfragen!$O$264,FIND(A90,Abfragen!$O$264,1)+LEN(A90))-FIND("(",Abfragen!$O$264,FIND(A90,Abfragen!$O$264,1)+LEN(A90))-1),"")</f>
        <v/>
      </c>
      <c r="DJ90" s="301" t="str">
        <f t="shared" ca="1" si="406"/>
        <v>B</v>
      </c>
      <c r="DK90" s="301" t="str">
        <f t="shared" ca="1" si="407"/>
        <v>B</v>
      </c>
      <c r="DL90" s="301" t="str">
        <f t="shared" ca="1" si="408"/>
        <v>B</v>
      </c>
      <c r="DM90" s="301" t="str">
        <f t="shared" ca="1" si="409"/>
        <v>B</v>
      </c>
      <c r="DN90" s="301" t="str">
        <f t="shared" ca="1" si="410"/>
        <v>B</v>
      </c>
      <c r="DO90" s="301" t="str">
        <f t="shared" ca="1" si="411"/>
        <v>B</v>
      </c>
      <c r="DP90" s="301" t="str">
        <f t="shared" ca="1" si="412"/>
        <v>B</v>
      </c>
      <c r="DQ90" s="301" t="str">
        <f t="shared" ca="1" si="413"/>
        <v>B</v>
      </c>
      <c r="DR90" s="301" t="str">
        <f t="shared" ca="1" si="414"/>
        <v>B</v>
      </c>
      <c r="DS90" s="301" t="str">
        <f t="shared" ca="1" si="415"/>
        <v>B</v>
      </c>
      <c r="DT90" s="301" t="str">
        <f t="shared" ca="1" si="416"/>
        <v>B</v>
      </c>
      <c r="DU90" s="301" t="str">
        <f t="shared" ca="1" si="417"/>
        <v>B</v>
      </c>
      <c r="DV90" s="301" t="str">
        <f t="shared" ca="1" si="418"/>
        <v>B</v>
      </c>
      <c r="DW90" s="301" t="str">
        <f t="shared" ca="1" si="419"/>
        <v>B</v>
      </c>
      <c r="DX90" s="301" t="str">
        <f t="shared" ca="1" si="420"/>
        <v>B</v>
      </c>
      <c r="DY90" s="301" t="str">
        <f t="shared" ca="1" si="421"/>
        <v>B</v>
      </c>
      <c r="DZ90" s="301" t="str">
        <f t="shared" ca="1" si="422"/>
        <v>B</v>
      </c>
      <c r="EA90" s="301" t="str">
        <f t="shared" ca="1" si="423"/>
        <v>B</v>
      </c>
      <c r="EB90" s="301" t="str">
        <f t="shared" ca="1" si="424"/>
        <v>B</v>
      </c>
      <c r="EC90" s="301" t="str">
        <f t="shared" ca="1" si="425"/>
        <v>B</v>
      </c>
      <c r="ED90" s="301" t="str">
        <f t="shared" ca="1" si="426"/>
        <v>B</v>
      </c>
      <c r="EE90" s="301" t="str">
        <f t="shared" ca="1" si="427"/>
        <v>B</v>
      </c>
      <c r="EF90" s="301">
        <f t="shared" si="428"/>
        <v>0</v>
      </c>
      <c r="EG90" s="301" t="str">
        <f t="shared" ca="1" si="429"/>
        <v>B</v>
      </c>
      <c r="EH90" s="301" t="str">
        <f t="shared" ca="1" si="429"/>
        <v>B</v>
      </c>
      <c r="EI90" s="301" t="str">
        <f t="shared" ca="1" si="429"/>
        <v>B</v>
      </c>
      <c r="EJ90" s="301" t="str">
        <f t="shared" ca="1" si="429"/>
        <v>B</v>
      </c>
      <c r="EK90" s="301" t="str">
        <f t="shared" ca="1" si="429"/>
        <v>B</v>
      </c>
      <c r="EL90" s="301" t="str">
        <f t="shared" ca="1" si="429"/>
        <v>B</v>
      </c>
      <c r="EM90" s="301" t="str">
        <f t="shared" ca="1" si="429"/>
        <v>B</v>
      </c>
      <c r="EN90" s="301" t="str">
        <f t="shared" ca="1" si="429"/>
        <v>B</v>
      </c>
      <c r="EO90" s="301" t="str">
        <f t="shared" ca="1" si="429"/>
        <v>B</v>
      </c>
      <c r="EP90" s="301" t="str">
        <f t="shared" ca="1" si="429"/>
        <v>B</v>
      </c>
      <c r="EQ90" s="301" t="str">
        <f t="shared" ca="1" si="430"/>
        <v>B</v>
      </c>
      <c r="ER90" s="301" t="str">
        <f t="shared" ca="1" si="430"/>
        <v>B</v>
      </c>
      <c r="ES90" s="301" t="str">
        <f t="shared" ca="1" si="430"/>
        <v>B</v>
      </c>
      <c r="ET90" s="301" t="str">
        <f t="shared" ca="1" si="430"/>
        <v>B</v>
      </c>
      <c r="EU90" s="301" t="str">
        <f t="shared" ca="1" si="430"/>
        <v>B</v>
      </c>
      <c r="EV90" s="301" t="str">
        <f t="shared" ca="1" si="430"/>
        <v>B</v>
      </c>
      <c r="EW90" s="301" t="str">
        <f t="shared" ca="1" si="430"/>
        <v>B</v>
      </c>
      <c r="EX90" s="301" t="str">
        <f t="shared" ca="1" si="430"/>
        <v>B</v>
      </c>
      <c r="EY90" s="301" t="str">
        <f t="shared" ca="1" si="430"/>
        <v>B</v>
      </c>
      <c r="EZ90" s="301" t="str">
        <f t="shared" ca="1" si="430"/>
        <v>B</v>
      </c>
      <c r="FA90" s="301" t="str">
        <f t="shared" ca="1" si="431"/>
        <v>B</v>
      </c>
      <c r="FB90" s="301" t="str">
        <f t="shared" ca="1" si="431"/>
        <v>B</v>
      </c>
      <c r="FC90" s="301" t="str">
        <f t="shared" ca="1" si="431"/>
        <v>B</v>
      </c>
      <c r="FD90" s="301" t="str">
        <f t="shared" ca="1" si="431"/>
        <v>B</v>
      </c>
      <c r="FE90" s="301" t="str">
        <f t="shared" ca="1" si="431"/>
        <v>B</v>
      </c>
      <c r="FF90" s="301" t="str">
        <f t="shared" ca="1" si="431"/>
        <v>B</v>
      </c>
      <c r="FG90" s="301" t="str">
        <f t="shared" ca="1" si="431"/>
        <v>B</v>
      </c>
      <c r="FH90" s="301" t="str">
        <f t="shared" ca="1" si="431"/>
        <v>B</v>
      </c>
      <c r="FI90" s="301" t="str">
        <f t="shared" ca="1" si="431"/>
        <v>B</v>
      </c>
      <c r="FJ90" s="301" t="str">
        <f t="shared" ca="1" si="431"/>
        <v>B</v>
      </c>
      <c r="FK90" s="301" t="str">
        <f t="shared" ca="1" si="431"/>
        <v>B</v>
      </c>
      <c r="FL90" s="301" t="str">
        <f t="shared" ca="1" si="431"/>
        <v>B</v>
      </c>
    </row>
    <row r="91" spans="1:168" x14ac:dyDescent="0.2">
      <c r="A91" s="24" t="str">
        <f t="shared" si="432"/>
        <v>Kriegskunst</v>
      </c>
      <c r="B91" s="317" t="str">
        <f t="shared" ca="1" si="330"/>
        <v/>
      </c>
      <c r="C91" s="332" t="str">
        <f t="shared" ca="1" si="439"/>
        <v/>
      </c>
      <c r="D91" s="1110"/>
      <c r="E91" s="966"/>
      <c r="F91" s="325"/>
      <c r="G91" s="958"/>
      <c r="H91" s="1196"/>
      <c r="I91" s="326"/>
      <c r="J91" s="1886" t="str">
        <f t="shared" ca="1" si="332"/>
        <v/>
      </c>
      <c r="K91" s="1887"/>
      <c r="L91" s="1887"/>
      <c r="M91" s="1887"/>
      <c r="N91" s="1888"/>
      <c r="O91" s="613" t="str">
        <f t="shared" ca="1" si="333"/>
        <v/>
      </c>
      <c r="P91" s="90"/>
      <c r="Q91" s="25"/>
      <c r="R91" s="1313"/>
      <c r="S91" s="1313"/>
      <c r="T91" s="1315"/>
      <c r="U91" s="1283"/>
      <c r="V91" s="628" t="str">
        <f t="shared" ca="1" si="334"/>
        <v/>
      </c>
      <c r="W91" s="164">
        <f t="shared" ca="1" si="335"/>
        <v>0</v>
      </c>
      <c r="X91" s="164">
        <f t="shared" ca="1" si="336"/>
        <v>0</v>
      </c>
      <c r="Y91" s="164">
        <f t="shared" ca="1" si="337"/>
        <v>0</v>
      </c>
      <c r="Z91" s="164">
        <f t="shared" ca="1" si="338"/>
        <v>0</v>
      </c>
      <c r="AA91" s="164">
        <f t="shared" ca="1" si="339"/>
        <v>0</v>
      </c>
      <c r="AB91" s="164">
        <f t="shared" ca="1" si="340"/>
        <v>0</v>
      </c>
      <c r="AC91" s="164">
        <f t="shared" ca="1" si="341"/>
        <v>0</v>
      </c>
      <c r="AD91" s="164">
        <f t="shared" ca="1" si="342"/>
        <v>0</v>
      </c>
      <c r="AE91" s="164">
        <f t="shared" ca="1" si="343"/>
        <v>0</v>
      </c>
      <c r="AF91" s="164">
        <f t="shared" ca="1" si="344"/>
        <v>0</v>
      </c>
      <c r="AG91" s="164">
        <f t="shared" ca="1" si="345"/>
        <v>0</v>
      </c>
      <c r="AH91" s="164">
        <f t="shared" ca="1" si="346"/>
        <v>0</v>
      </c>
      <c r="AI91" s="164">
        <f t="shared" ca="1" si="347"/>
        <v>0</v>
      </c>
      <c r="AJ91" s="164">
        <f t="shared" ca="1" si="348"/>
        <v>0</v>
      </c>
      <c r="AK91" s="164">
        <f t="shared" ca="1" si="349"/>
        <v>0</v>
      </c>
      <c r="AL91" s="164">
        <f t="shared" ca="1" si="350"/>
        <v>0</v>
      </c>
      <c r="AM91" s="164">
        <f t="shared" ca="1" si="351"/>
        <v>0</v>
      </c>
      <c r="AN91" s="164">
        <f t="shared" ca="1" si="352"/>
        <v>0</v>
      </c>
      <c r="AO91" s="164">
        <f t="shared" ca="1" si="353"/>
        <v>0</v>
      </c>
      <c r="AP91" s="164">
        <f t="shared" ca="1" si="354"/>
        <v>0</v>
      </c>
      <c r="AQ91" s="164">
        <f t="shared" ca="1" si="355"/>
        <v>0</v>
      </c>
      <c r="AR91" s="164">
        <f t="shared" ca="1" si="356"/>
        <v>0</v>
      </c>
      <c r="AS91" s="195"/>
      <c r="AT91" s="154">
        <f t="shared" ca="1" si="357"/>
        <v>0</v>
      </c>
      <c r="AU91" s="154">
        <f t="shared" ca="1" si="358"/>
        <v>0</v>
      </c>
      <c r="AV91" s="154">
        <f t="shared" ca="1" si="359"/>
        <v>0</v>
      </c>
      <c r="AW91" s="154">
        <f t="shared" ca="1" si="360"/>
        <v>0</v>
      </c>
      <c r="AX91" s="154">
        <f t="shared" ca="1" si="361"/>
        <v>0</v>
      </c>
      <c r="AY91" s="154">
        <f t="shared" ca="1" si="362"/>
        <v>0</v>
      </c>
      <c r="AZ91" s="154">
        <f t="shared" ca="1" si="363"/>
        <v>0</v>
      </c>
      <c r="BA91" s="154">
        <f t="shared" ca="1" si="364"/>
        <v>0</v>
      </c>
      <c r="BB91" s="154">
        <f t="shared" ca="1" si="365"/>
        <v>0</v>
      </c>
      <c r="BC91" s="154">
        <f t="shared" ca="1" si="366"/>
        <v>0</v>
      </c>
      <c r="BD91" s="154">
        <f t="shared" ca="1" si="367"/>
        <v>0</v>
      </c>
      <c r="BE91" s="154">
        <f t="shared" ca="1" si="368"/>
        <v>0</v>
      </c>
      <c r="BF91" s="154">
        <f t="shared" ca="1" si="369"/>
        <v>0</v>
      </c>
      <c r="BG91" s="154">
        <f t="shared" ca="1" si="370"/>
        <v>0</v>
      </c>
      <c r="BH91" s="154">
        <f t="shared" ca="1" si="371"/>
        <v>0</v>
      </c>
      <c r="BI91" s="154">
        <f t="shared" ca="1" si="372"/>
        <v>0</v>
      </c>
      <c r="BJ91" s="154">
        <f t="shared" ca="1" si="373"/>
        <v>0</v>
      </c>
      <c r="BK91" s="154">
        <f t="shared" ca="1" si="374"/>
        <v>0</v>
      </c>
      <c r="BL91" s="154">
        <f t="shared" ca="1" si="375"/>
        <v>0</v>
      </c>
      <c r="BM91" s="154">
        <f t="shared" ca="1" si="376"/>
        <v>0</v>
      </c>
      <c r="BN91" s="154">
        <f t="shared" ca="1" si="377"/>
        <v>0</v>
      </c>
      <c r="BO91" s="154">
        <f t="shared" ca="1" si="378"/>
        <v>0</v>
      </c>
      <c r="BP91" s="154">
        <f t="shared" ca="1" si="379"/>
        <v>0</v>
      </c>
      <c r="BQ91" s="154">
        <f t="shared" ca="1" si="380"/>
        <v>0</v>
      </c>
      <c r="BR91" s="154">
        <f t="shared" ca="1" si="381"/>
        <v>0</v>
      </c>
      <c r="BS91" s="154">
        <f t="shared" ca="1" si="382"/>
        <v>0</v>
      </c>
      <c r="BT91" s="154">
        <f t="shared" ca="1" si="383"/>
        <v>0</v>
      </c>
      <c r="BU91" s="154">
        <f t="shared" ca="1" si="384"/>
        <v>0</v>
      </c>
      <c r="BV91" s="154">
        <f t="shared" ca="1" si="385"/>
        <v>0</v>
      </c>
      <c r="BW91" s="154">
        <f t="shared" ca="1" si="386"/>
        <v>0</v>
      </c>
      <c r="BX91" s="154">
        <f t="shared" ca="1" si="387"/>
        <v>0</v>
      </c>
      <c r="BY91" s="154">
        <f t="shared" ca="1" si="388"/>
        <v>0</v>
      </c>
      <c r="BZ91" s="154">
        <f t="shared" si="433"/>
        <v>0</v>
      </c>
      <c r="CA91" s="154">
        <f t="shared" si="434"/>
        <v>0</v>
      </c>
      <c r="CB91" s="154">
        <f t="shared" ca="1" si="435"/>
        <v>0</v>
      </c>
      <c r="CC91" s="523"/>
      <c r="CD91" s="355">
        <f t="shared" si="389"/>
        <v>116</v>
      </c>
      <c r="CE91" s="751" t="str">
        <f t="shared" ca="1" si="390"/>
        <v>B</v>
      </c>
      <c r="CF91" s="355" t="str">
        <f t="shared" ca="1" si="440"/>
        <v/>
      </c>
      <c r="CG91" s="268">
        <f>IF(ZS_SE_VIEW,SUM(
IF(ZS_AKADEMIE="",0,IF(HLOOKUP(ZS_AKADEMIE,PROFMAGIE,$CD91,FALSE)&gt;0,1,0)),
IF(AND(ZS_IAAK="Ja",IF(HLOOKUP(Tabellen_Magie!$IK$1,PROFMAGIE,$CD91,FALSE)&gt;0,TRUE,FALSE)),1,0)),0)</f>
        <v>0</v>
      </c>
      <c r="CH91" s="268"/>
      <c r="CI91" s="269">
        <f t="shared" ca="1" si="391"/>
        <v>0</v>
      </c>
      <c r="CJ91" s="269">
        <f t="shared" ca="1" si="392"/>
        <v>0</v>
      </c>
      <c r="CK91" s="268"/>
      <c r="CL91" s="268"/>
      <c r="CM91" s="268">
        <f t="shared" ca="1" si="327"/>
        <v>0</v>
      </c>
      <c r="CN91" s="269">
        <f t="shared" ca="1" si="328"/>
        <v>0</v>
      </c>
      <c r="CO91" s="268" t="str">
        <f t="shared" ca="1" si="393"/>
        <v>B</v>
      </c>
      <c r="CP91" s="269" t="b">
        <f t="shared" ca="1" si="394"/>
        <v>1</v>
      </c>
      <c r="CQ91" s="269">
        <f t="shared" si="395"/>
        <v>0</v>
      </c>
      <c r="CR91" s="269">
        <f t="shared" si="396"/>
        <v>0</v>
      </c>
      <c r="CS91" s="269">
        <f t="shared" ca="1" si="397"/>
        <v>0</v>
      </c>
      <c r="CT91" s="302" t="str">
        <f t="shared" ca="1" si="398"/>
        <v>0</v>
      </c>
      <c r="CU91" s="269">
        <f t="shared" ca="1" si="399"/>
        <v>0</v>
      </c>
      <c r="CV91" s="268"/>
      <c r="CW91" s="269">
        <f t="shared" ca="1" si="400"/>
        <v>0</v>
      </c>
      <c r="CX91" s="301">
        <f t="shared" ca="1" si="401"/>
        <v>0</v>
      </c>
      <c r="CY91" s="301">
        <f t="shared" ca="1" si="329"/>
        <v>0</v>
      </c>
      <c r="CZ91" s="301">
        <f t="shared" ca="1" si="402"/>
        <v>0</v>
      </c>
      <c r="DA91" s="301">
        <f t="shared" ca="1" si="403"/>
        <v>0</v>
      </c>
      <c r="DB91" t="str">
        <f>IF(CG91&gt;0,CG91 &amp; " SE aus Zweit-/Drittstudium","")</f>
        <v/>
      </c>
      <c r="DC91" s="301" t="str">
        <f t="shared" ca="1" si="404"/>
        <v/>
      </c>
      <c r="DD91" s="1337" t="str">
        <f t="shared" ca="1" si="436"/>
        <v/>
      </c>
      <c r="DE91" s="1337" t="str">
        <f t="shared" ca="1" si="437"/>
        <v/>
      </c>
      <c r="DG91" s="269" t="str">
        <f t="shared" ca="1" si="405"/>
        <v>Tabellen_Andere!BA66:BF66</v>
      </c>
      <c r="DH91" s="269" t="str">
        <f t="shared" si="438"/>
        <v>Tabellen_Andere!BA66:BF66</v>
      </c>
      <c r="DI91" s="269" t="str">
        <f ca="1">IF(NOT(ISERR(FIND(A91,Abfragen!$O$264,1))),MID(Abfragen!$O$264,FIND("(",Abfragen!$O$264,FIND(A91,Abfragen!$O$264,1)+LEN(A91))+1,FIND(")",Abfragen!$O$264,FIND(A91,Abfragen!$O$264,1)+LEN(A91))-FIND("(",Abfragen!$O$264,FIND(A91,Abfragen!$O$264,1)+LEN(A91))-1),"")</f>
        <v/>
      </c>
      <c r="DJ91" s="301" t="str">
        <f t="shared" ca="1" si="406"/>
        <v>B</v>
      </c>
      <c r="DK91" s="301" t="str">
        <f t="shared" ca="1" si="407"/>
        <v>B</v>
      </c>
      <c r="DL91" s="301" t="str">
        <f t="shared" ca="1" si="408"/>
        <v>B</v>
      </c>
      <c r="DM91" s="301" t="str">
        <f t="shared" ca="1" si="409"/>
        <v>B</v>
      </c>
      <c r="DN91" s="301" t="str">
        <f t="shared" ca="1" si="410"/>
        <v>B</v>
      </c>
      <c r="DO91" s="301" t="str">
        <f t="shared" ca="1" si="411"/>
        <v>B</v>
      </c>
      <c r="DP91" s="301" t="str">
        <f t="shared" ca="1" si="412"/>
        <v>B</v>
      </c>
      <c r="DQ91" s="301" t="str">
        <f t="shared" ca="1" si="413"/>
        <v>B</v>
      </c>
      <c r="DR91" s="301" t="str">
        <f t="shared" ca="1" si="414"/>
        <v>B</v>
      </c>
      <c r="DS91" s="301" t="str">
        <f t="shared" ca="1" si="415"/>
        <v>B</v>
      </c>
      <c r="DT91" s="301" t="str">
        <f t="shared" ca="1" si="416"/>
        <v>B</v>
      </c>
      <c r="DU91" s="301" t="str">
        <f t="shared" ca="1" si="417"/>
        <v>B</v>
      </c>
      <c r="DV91" s="301" t="str">
        <f t="shared" ca="1" si="418"/>
        <v>B</v>
      </c>
      <c r="DW91" s="301" t="str">
        <f t="shared" ca="1" si="419"/>
        <v>B</v>
      </c>
      <c r="DX91" s="301" t="str">
        <f t="shared" ca="1" si="420"/>
        <v>B</v>
      </c>
      <c r="DY91" s="301" t="str">
        <f t="shared" ca="1" si="421"/>
        <v>B</v>
      </c>
      <c r="DZ91" s="301" t="str">
        <f t="shared" ca="1" si="422"/>
        <v>B</v>
      </c>
      <c r="EA91" s="301" t="str">
        <f t="shared" ca="1" si="423"/>
        <v>B</v>
      </c>
      <c r="EB91" s="301" t="str">
        <f t="shared" ca="1" si="424"/>
        <v>B</v>
      </c>
      <c r="EC91" s="301" t="str">
        <f t="shared" ca="1" si="425"/>
        <v>B</v>
      </c>
      <c r="ED91" s="301" t="str">
        <f t="shared" ca="1" si="426"/>
        <v>B</v>
      </c>
      <c r="EE91" s="301" t="str">
        <f t="shared" ca="1" si="427"/>
        <v>B</v>
      </c>
      <c r="EF91" s="301">
        <f t="shared" si="428"/>
        <v>0</v>
      </c>
      <c r="EG91" s="301" t="str">
        <f t="shared" ca="1" si="429"/>
        <v>B</v>
      </c>
      <c r="EH91" s="301" t="str">
        <f t="shared" ca="1" si="429"/>
        <v>B</v>
      </c>
      <c r="EI91" s="301" t="str">
        <f t="shared" ca="1" si="429"/>
        <v>B</v>
      </c>
      <c r="EJ91" s="301" t="str">
        <f t="shared" ca="1" si="429"/>
        <v>B</v>
      </c>
      <c r="EK91" s="301" t="str">
        <f t="shared" ca="1" si="429"/>
        <v>B</v>
      </c>
      <c r="EL91" s="301" t="str">
        <f t="shared" ca="1" si="429"/>
        <v>B</v>
      </c>
      <c r="EM91" s="301" t="str">
        <f t="shared" ca="1" si="429"/>
        <v>B</v>
      </c>
      <c r="EN91" s="301" t="str">
        <f t="shared" ca="1" si="429"/>
        <v>B</v>
      </c>
      <c r="EO91" s="301" t="str">
        <f t="shared" ca="1" si="429"/>
        <v>B</v>
      </c>
      <c r="EP91" s="301" t="str">
        <f t="shared" ca="1" si="429"/>
        <v>B</v>
      </c>
      <c r="EQ91" s="301" t="str">
        <f t="shared" ca="1" si="430"/>
        <v>B</v>
      </c>
      <c r="ER91" s="301" t="str">
        <f t="shared" ca="1" si="430"/>
        <v>B</v>
      </c>
      <c r="ES91" s="301" t="str">
        <f t="shared" ca="1" si="430"/>
        <v>B</v>
      </c>
      <c r="ET91" s="301" t="str">
        <f t="shared" ca="1" si="430"/>
        <v>B</v>
      </c>
      <c r="EU91" s="301" t="str">
        <f t="shared" ca="1" si="430"/>
        <v>B</v>
      </c>
      <c r="EV91" s="301" t="str">
        <f t="shared" ca="1" si="430"/>
        <v>B</v>
      </c>
      <c r="EW91" s="301" t="str">
        <f t="shared" ca="1" si="430"/>
        <v>B</v>
      </c>
      <c r="EX91" s="301" t="str">
        <f t="shared" ca="1" si="430"/>
        <v>B</v>
      </c>
      <c r="EY91" s="301" t="str">
        <f t="shared" ca="1" si="430"/>
        <v>B</v>
      </c>
      <c r="EZ91" s="301" t="str">
        <f t="shared" ca="1" si="430"/>
        <v>B</v>
      </c>
      <c r="FA91" s="301" t="str">
        <f t="shared" ca="1" si="431"/>
        <v>B</v>
      </c>
      <c r="FB91" s="301" t="str">
        <f t="shared" ca="1" si="431"/>
        <v>B</v>
      </c>
      <c r="FC91" s="301" t="str">
        <f t="shared" ca="1" si="431"/>
        <v>B</v>
      </c>
      <c r="FD91" s="301" t="str">
        <f t="shared" ca="1" si="431"/>
        <v>B</v>
      </c>
      <c r="FE91" s="301" t="str">
        <f t="shared" ca="1" si="431"/>
        <v>B</v>
      </c>
      <c r="FF91" s="301" t="str">
        <f t="shared" ca="1" si="431"/>
        <v>B</v>
      </c>
      <c r="FG91" s="301" t="str">
        <f t="shared" ca="1" si="431"/>
        <v>B</v>
      </c>
      <c r="FH91" s="301" t="str">
        <f t="shared" ca="1" si="431"/>
        <v>B</v>
      </c>
      <c r="FI91" s="301" t="str">
        <f t="shared" ca="1" si="431"/>
        <v>B</v>
      </c>
      <c r="FJ91" s="301" t="str">
        <f t="shared" ca="1" si="431"/>
        <v>B</v>
      </c>
      <c r="FK91" s="301" t="str">
        <f t="shared" ca="1" si="431"/>
        <v>B</v>
      </c>
      <c r="FL91" s="301" t="str">
        <f t="shared" ca="1" si="431"/>
        <v>B</v>
      </c>
    </row>
    <row r="92" spans="1:168" x14ac:dyDescent="0.2">
      <c r="A92" s="24" t="str">
        <f t="shared" si="432"/>
        <v>Kryptographie</v>
      </c>
      <c r="B92" s="317" t="str">
        <f t="shared" ca="1" si="330"/>
        <v/>
      </c>
      <c r="C92" s="332" t="str">
        <f t="shared" ca="1" si="439"/>
        <v/>
      </c>
      <c r="D92" s="1110"/>
      <c r="E92" s="966"/>
      <c r="F92" s="325"/>
      <c r="G92" s="958"/>
      <c r="H92" s="1196"/>
      <c r="I92" s="326"/>
      <c r="J92" s="1886" t="str">
        <f t="shared" ca="1" si="332"/>
        <v/>
      </c>
      <c r="K92" s="1887"/>
      <c r="L92" s="1887"/>
      <c r="M92" s="1887"/>
      <c r="N92" s="1888"/>
      <c r="O92" s="613" t="str">
        <f t="shared" ca="1" si="333"/>
        <v/>
      </c>
      <c r="P92" s="90"/>
      <c r="Q92" s="25"/>
      <c r="R92" s="1313"/>
      <c r="S92" s="1313"/>
      <c r="T92" s="1315"/>
      <c r="U92" s="1283"/>
      <c r="V92" s="628" t="str">
        <f t="shared" ca="1" si="334"/>
        <v/>
      </c>
      <c r="W92" s="164">
        <f t="shared" ca="1" si="335"/>
        <v>0</v>
      </c>
      <c r="X92" s="164">
        <f t="shared" ca="1" si="336"/>
        <v>0</v>
      </c>
      <c r="Y92" s="164">
        <f t="shared" ca="1" si="337"/>
        <v>0</v>
      </c>
      <c r="Z92" s="164">
        <f t="shared" ca="1" si="338"/>
        <v>0</v>
      </c>
      <c r="AA92" s="164">
        <f t="shared" ca="1" si="339"/>
        <v>0</v>
      </c>
      <c r="AB92" s="164">
        <f t="shared" ca="1" si="340"/>
        <v>0</v>
      </c>
      <c r="AC92" s="164">
        <f t="shared" ca="1" si="341"/>
        <v>0</v>
      </c>
      <c r="AD92" s="164">
        <f t="shared" ca="1" si="342"/>
        <v>0</v>
      </c>
      <c r="AE92" s="164">
        <f t="shared" ca="1" si="343"/>
        <v>0</v>
      </c>
      <c r="AF92" s="164">
        <f t="shared" ca="1" si="344"/>
        <v>0</v>
      </c>
      <c r="AG92" s="164">
        <f t="shared" ca="1" si="345"/>
        <v>0</v>
      </c>
      <c r="AH92" s="164">
        <f t="shared" ca="1" si="346"/>
        <v>0</v>
      </c>
      <c r="AI92" s="164">
        <f t="shared" ca="1" si="347"/>
        <v>0</v>
      </c>
      <c r="AJ92" s="164">
        <f t="shared" ca="1" si="348"/>
        <v>0</v>
      </c>
      <c r="AK92" s="164">
        <f t="shared" ca="1" si="349"/>
        <v>0</v>
      </c>
      <c r="AL92" s="164">
        <f t="shared" ca="1" si="350"/>
        <v>0</v>
      </c>
      <c r="AM92" s="164">
        <f t="shared" ca="1" si="351"/>
        <v>0</v>
      </c>
      <c r="AN92" s="164">
        <f t="shared" ca="1" si="352"/>
        <v>0</v>
      </c>
      <c r="AO92" s="164">
        <f t="shared" ca="1" si="353"/>
        <v>0</v>
      </c>
      <c r="AP92" s="164">
        <f t="shared" ca="1" si="354"/>
        <v>0</v>
      </c>
      <c r="AQ92" s="164">
        <f t="shared" ca="1" si="355"/>
        <v>0</v>
      </c>
      <c r="AR92" s="164">
        <f t="shared" ca="1" si="356"/>
        <v>0</v>
      </c>
      <c r="AS92" s="195"/>
      <c r="AT92" s="154">
        <f t="shared" ca="1" si="357"/>
        <v>0</v>
      </c>
      <c r="AU92" s="154">
        <f t="shared" ca="1" si="358"/>
        <v>0</v>
      </c>
      <c r="AV92" s="154">
        <f t="shared" ca="1" si="359"/>
        <v>0</v>
      </c>
      <c r="AW92" s="154">
        <f t="shared" ca="1" si="360"/>
        <v>0</v>
      </c>
      <c r="AX92" s="154">
        <f t="shared" ca="1" si="361"/>
        <v>0</v>
      </c>
      <c r="AY92" s="154">
        <f t="shared" ca="1" si="362"/>
        <v>0</v>
      </c>
      <c r="AZ92" s="154">
        <f t="shared" ca="1" si="363"/>
        <v>0</v>
      </c>
      <c r="BA92" s="154">
        <f t="shared" ca="1" si="364"/>
        <v>0</v>
      </c>
      <c r="BB92" s="154">
        <f t="shared" ca="1" si="365"/>
        <v>0</v>
      </c>
      <c r="BC92" s="154">
        <f t="shared" ca="1" si="366"/>
        <v>0</v>
      </c>
      <c r="BD92" s="154">
        <f t="shared" ca="1" si="367"/>
        <v>0</v>
      </c>
      <c r="BE92" s="154">
        <f t="shared" ca="1" si="368"/>
        <v>0</v>
      </c>
      <c r="BF92" s="154">
        <f t="shared" ca="1" si="369"/>
        <v>0</v>
      </c>
      <c r="BG92" s="154">
        <f t="shared" ca="1" si="370"/>
        <v>0</v>
      </c>
      <c r="BH92" s="154">
        <f t="shared" ca="1" si="371"/>
        <v>0</v>
      </c>
      <c r="BI92" s="154">
        <f t="shared" ca="1" si="372"/>
        <v>0</v>
      </c>
      <c r="BJ92" s="154">
        <f t="shared" ca="1" si="373"/>
        <v>0</v>
      </c>
      <c r="BK92" s="154">
        <f t="shared" ca="1" si="374"/>
        <v>0</v>
      </c>
      <c r="BL92" s="154">
        <f t="shared" ca="1" si="375"/>
        <v>0</v>
      </c>
      <c r="BM92" s="154">
        <f t="shared" ca="1" si="376"/>
        <v>0</v>
      </c>
      <c r="BN92" s="154">
        <f t="shared" ca="1" si="377"/>
        <v>0</v>
      </c>
      <c r="BO92" s="154">
        <f t="shared" ca="1" si="378"/>
        <v>0</v>
      </c>
      <c r="BP92" s="154">
        <f t="shared" ca="1" si="379"/>
        <v>0</v>
      </c>
      <c r="BQ92" s="154">
        <f t="shared" ca="1" si="380"/>
        <v>0</v>
      </c>
      <c r="BR92" s="154">
        <f t="shared" ca="1" si="381"/>
        <v>0</v>
      </c>
      <c r="BS92" s="154">
        <f t="shared" ca="1" si="382"/>
        <v>0</v>
      </c>
      <c r="BT92" s="154">
        <f t="shared" ca="1" si="383"/>
        <v>0</v>
      </c>
      <c r="BU92" s="154">
        <f t="shared" ca="1" si="384"/>
        <v>0</v>
      </c>
      <c r="BV92" s="154">
        <f t="shared" ca="1" si="385"/>
        <v>0</v>
      </c>
      <c r="BW92" s="154">
        <f t="shared" ca="1" si="386"/>
        <v>0</v>
      </c>
      <c r="BX92" s="154">
        <f t="shared" ca="1" si="387"/>
        <v>0</v>
      </c>
      <c r="BY92" s="154">
        <f t="shared" ca="1" si="388"/>
        <v>0</v>
      </c>
      <c r="BZ92" s="154">
        <f t="shared" si="433"/>
        <v>0</v>
      </c>
      <c r="CA92" s="154">
        <f t="shared" si="434"/>
        <v>0</v>
      </c>
      <c r="CB92" s="154">
        <f t="shared" ca="1" si="435"/>
        <v>0</v>
      </c>
      <c r="CC92" s="523"/>
      <c r="CD92" s="355">
        <f t="shared" si="389"/>
        <v>117</v>
      </c>
      <c r="CE92" s="751" t="str">
        <f t="shared" ca="1" si="390"/>
        <v>B</v>
      </c>
      <c r="CF92" s="355" t="str">
        <f t="shared" ca="1" si="440"/>
        <v/>
      </c>
      <c r="CG92" s="268">
        <f>IF(ZS_SE_VIEW,SUM(
IF(ZS_AKADEMIE="",0,IF(HLOOKUP(ZS_AKADEMIE,PROFMAGIE,$CD92,FALSE)&gt;0,1,0)),
IF(AND(ZS_IAAK="Ja",IF(HLOOKUP(Tabellen_Magie!$IK$1,PROFMAGIE,$CD92,FALSE)&gt;0,TRUE,FALSE)),1,0)),0)</f>
        <v>0</v>
      </c>
      <c r="CH92" s="268"/>
      <c r="CI92" s="269">
        <f t="shared" ca="1" si="391"/>
        <v>0</v>
      </c>
      <c r="CJ92" s="269">
        <f t="shared" ca="1" si="392"/>
        <v>0</v>
      </c>
      <c r="CK92" s="268"/>
      <c r="CL92" s="268"/>
      <c r="CM92" s="268">
        <f t="shared" ca="1" si="327"/>
        <v>0</v>
      </c>
      <c r="CN92" s="269">
        <f t="shared" ca="1" si="328"/>
        <v>0</v>
      </c>
      <c r="CO92" s="268" t="str">
        <f t="shared" ca="1" si="393"/>
        <v>B</v>
      </c>
      <c r="CP92" s="269" t="b">
        <f t="shared" ca="1" si="394"/>
        <v>1</v>
      </c>
      <c r="CQ92" s="269">
        <f t="shared" si="395"/>
        <v>0</v>
      </c>
      <c r="CR92" s="269">
        <f t="shared" si="396"/>
        <v>0</v>
      </c>
      <c r="CS92" s="269">
        <f t="shared" ca="1" si="397"/>
        <v>0</v>
      </c>
      <c r="CT92" s="302" t="str">
        <f t="shared" ca="1" si="398"/>
        <v>0</v>
      </c>
      <c r="CU92" s="269">
        <f t="shared" ca="1" si="399"/>
        <v>0</v>
      </c>
      <c r="CV92" s="268"/>
      <c r="CW92" s="269">
        <f t="shared" ca="1" si="400"/>
        <v>0</v>
      </c>
      <c r="CX92" s="301">
        <f t="shared" ca="1" si="401"/>
        <v>0</v>
      </c>
      <c r="CY92" s="301">
        <f t="shared" ca="1" si="329"/>
        <v>0</v>
      </c>
      <c r="CZ92" s="301">
        <f t="shared" ca="1" si="402"/>
        <v>0</v>
      </c>
      <c r="DA92" s="301">
        <f t="shared" ca="1" si="403"/>
        <v>0</v>
      </c>
      <c r="DB92" t="str">
        <f ca="1">IF(AND(NOT(AND(ISBLANK($G92),ISBLANK($I92))),OR($O$138&lt;4,IF($O$102="",TRUE,$O$102&lt;4),$O$246&lt;6,$O$97&lt;6)),"M/Z&amp;Sprachenkunde 4+; L/S&amp;Rechnen 6+",IF(CG92&gt;0,CG92 &amp; " SE aus Zweit-/Drittstudium",""))</f>
        <v/>
      </c>
      <c r="DC92" s="301" t="str">
        <f t="shared" ca="1" si="404"/>
        <v/>
      </c>
      <c r="DD92" s="1337" t="str">
        <f t="shared" ca="1" si="436"/>
        <v/>
      </c>
      <c r="DE92" s="1337" t="str">
        <f t="shared" ca="1" si="437"/>
        <v/>
      </c>
      <c r="DG92" s="269" t="str">
        <f t="shared" ca="1" si="405"/>
        <v>Tabellen_Andere!BA68:BF68</v>
      </c>
      <c r="DH92" s="269" t="str">
        <f t="shared" si="438"/>
        <v>Tabellen_Andere!BA68:BF68</v>
      </c>
      <c r="DI92" s="269" t="str">
        <f ca="1">IF(NOT(ISERR(FIND(A92,Abfragen!$O$264,1))),MID(Abfragen!$O$264,FIND("(",Abfragen!$O$264,FIND(A92,Abfragen!$O$264,1)+LEN(A92))+1,FIND(")",Abfragen!$O$264,FIND(A92,Abfragen!$O$264,1)+LEN(A92))-FIND("(",Abfragen!$O$264,FIND(A92,Abfragen!$O$264,1)+LEN(A92))-1),"")</f>
        <v/>
      </c>
      <c r="DJ92" s="301" t="str">
        <f t="shared" ca="1" si="406"/>
        <v>B</v>
      </c>
      <c r="DK92" s="301" t="str">
        <f t="shared" ca="1" si="407"/>
        <v>B</v>
      </c>
      <c r="DL92" s="301" t="str">
        <f t="shared" ca="1" si="408"/>
        <v>B</v>
      </c>
      <c r="DM92" s="301" t="str">
        <f t="shared" ca="1" si="409"/>
        <v>B</v>
      </c>
      <c r="DN92" s="301" t="str">
        <f t="shared" ca="1" si="410"/>
        <v>B</v>
      </c>
      <c r="DO92" s="301" t="str">
        <f t="shared" ca="1" si="411"/>
        <v>B</v>
      </c>
      <c r="DP92" s="301" t="str">
        <f t="shared" ca="1" si="412"/>
        <v>B</v>
      </c>
      <c r="DQ92" s="301" t="str">
        <f t="shared" ca="1" si="413"/>
        <v>B</v>
      </c>
      <c r="DR92" s="301" t="str">
        <f t="shared" ca="1" si="414"/>
        <v>B</v>
      </c>
      <c r="DS92" s="301" t="str">
        <f t="shared" ca="1" si="415"/>
        <v>B</v>
      </c>
      <c r="DT92" s="301" t="str">
        <f t="shared" ca="1" si="416"/>
        <v>B</v>
      </c>
      <c r="DU92" s="301" t="str">
        <f t="shared" ca="1" si="417"/>
        <v>B</v>
      </c>
      <c r="DV92" s="301" t="str">
        <f t="shared" ca="1" si="418"/>
        <v>B</v>
      </c>
      <c r="DW92" s="301" t="str">
        <f t="shared" ca="1" si="419"/>
        <v>B</v>
      </c>
      <c r="DX92" s="301" t="str">
        <f t="shared" ca="1" si="420"/>
        <v>B</v>
      </c>
      <c r="DY92" s="301" t="str">
        <f t="shared" ca="1" si="421"/>
        <v>B</v>
      </c>
      <c r="DZ92" s="301" t="str">
        <f t="shared" ca="1" si="422"/>
        <v>B</v>
      </c>
      <c r="EA92" s="301" t="str">
        <f t="shared" ca="1" si="423"/>
        <v>B</v>
      </c>
      <c r="EB92" s="301" t="str">
        <f t="shared" ca="1" si="424"/>
        <v>B</v>
      </c>
      <c r="EC92" s="301" t="str">
        <f t="shared" ca="1" si="425"/>
        <v>B</v>
      </c>
      <c r="ED92" s="301" t="str">
        <f t="shared" ca="1" si="426"/>
        <v>B</v>
      </c>
      <c r="EE92" s="301" t="str">
        <f t="shared" ca="1" si="427"/>
        <v>B</v>
      </c>
      <c r="EF92" s="301">
        <f t="shared" si="428"/>
        <v>0</v>
      </c>
      <c r="EG92" s="301" t="str">
        <f t="shared" ref="EG92:EP105" ca="1" si="441">IF(ISERR(FIND(";"&amp;EG$13&amp;":0;",$F92)),
CHAR(CODE($CE92)+SUM(IF(NT_Unstet,1,0),
IF(ISERR(FIND(";"&amp;EG$13&amp;";",$F92)),0,-1),
IF(ISERR(FIND(";"&amp;EG$13&amp;":",$F92)),0,-VALUE(MID($F92,FIND(";"&amp;EG$13&amp;":",$F92)+LEN(EG$13)+2,1))),
IF(ISERR(FIND(";"&amp;EG$13&amp;"+",$F92)),0,VALUE(MID($F92,FIND(";"&amp;EG$13&amp;"+",$F92)+LEN(EG$13)+2,1))))),0)</f>
        <v>B</v>
      </c>
      <c r="EH92" s="301" t="str">
        <f t="shared" ca="1" si="441"/>
        <v>B</v>
      </c>
      <c r="EI92" s="301" t="str">
        <f t="shared" ca="1" si="441"/>
        <v>B</v>
      </c>
      <c r="EJ92" s="301" t="str">
        <f t="shared" ca="1" si="441"/>
        <v>B</v>
      </c>
      <c r="EK92" s="301" t="str">
        <f t="shared" ca="1" si="441"/>
        <v>B</v>
      </c>
      <c r="EL92" s="301" t="str">
        <f t="shared" ca="1" si="441"/>
        <v>B</v>
      </c>
      <c r="EM92" s="301" t="str">
        <f t="shared" ca="1" si="441"/>
        <v>B</v>
      </c>
      <c r="EN92" s="301" t="str">
        <f t="shared" ca="1" si="441"/>
        <v>B</v>
      </c>
      <c r="EO92" s="301" t="str">
        <f t="shared" ca="1" si="441"/>
        <v>B</v>
      </c>
      <c r="EP92" s="301" t="str">
        <f t="shared" ca="1" si="441"/>
        <v>B</v>
      </c>
      <c r="EQ92" s="301" t="str">
        <f t="shared" ref="EQ92:EZ105" ca="1" si="442">IF(ISERR(FIND(";"&amp;EQ$13&amp;":0;",$F92)),
CHAR(CODE($CE92)+SUM(IF(NT_Unstet,1,0),
IF(ISERR(FIND(";"&amp;EQ$13&amp;";",$F92)),0,-1),
IF(ISERR(FIND(";"&amp;EQ$13&amp;":",$F92)),0,-VALUE(MID($F92,FIND(";"&amp;EQ$13&amp;":",$F92)+LEN(EQ$13)+2,1))),
IF(ISERR(FIND(";"&amp;EQ$13&amp;"+",$F92)),0,VALUE(MID($F92,FIND(";"&amp;EQ$13&amp;"+",$F92)+LEN(EQ$13)+2,1))))),0)</f>
        <v>B</v>
      </c>
      <c r="ER92" s="301" t="str">
        <f t="shared" ca="1" si="442"/>
        <v>B</v>
      </c>
      <c r="ES92" s="301" t="str">
        <f t="shared" ca="1" si="442"/>
        <v>B</v>
      </c>
      <c r="ET92" s="301" t="str">
        <f t="shared" ca="1" si="442"/>
        <v>B</v>
      </c>
      <c r="EU92" s="301" t="str">
        <f t="shared" ca="1" si="442"/>
        <v>B</v>
      </c>
      <c r="EV92" s="301" t="str">
        <f t="shared" ca="1" si="442"/>
        <v>B</v>
      </c>
      <c r="EW92" s="301" t="str">
        <f t="shared" ca="1" si="442"/>
        <v>B</v>
      </c>
      <c r="EX92" s="301" t="str">
        <f t="shared" ca="1" si="442"/>
        <v>B</v>
      </c>
      <c r="EY92" s="301" t="str">
        <f t="shared" ca="1" si="442"/>
        <v>B</v>
      </c>
      <c r="EZ92" s="301" t="str">
        <f t="shared" ca="1" si="442"/>
        <v>B</v>
      </c>
      <c r="FA92" s="301" t="str">
        <f t="shared" ref="FA92:FL105" ca="1" si="443">IF(ISERR(FIND(";"&amp;FA$13&amp;":0;",$F92)),
CHAR(CODE($CE92)+SUM(IF(NT_Unstet,1,0),
IF(ISERR(FIND(";"&amp;FA$13&amp;";",$F92)),0,-1),
IF(ISERR(FIND(";"&amp;FA$13&amp;":",$F92)),0,-VALUE(MID($F92,FIND(";"&amp;FA$13&amp;":",$F92)+LEN(FA$13)+2,1))),
IF(ISERR(FIND(";"&amp;FA$13&amp;"+",$F92)),0,VALUE(MID($F92,FIND(";"&amp;FA$13&amp;"+",$F92)+LEN(FA$13)+2,1))))),0)</f>
        <v>B</v>
      </c>
      <c r="FB92" s="301" t="str">
        <f t="shared" ca="1" si="443"/>
        <v>B</v>
      </c>
      <c r="FC92" s="301" t="str">
        <f t="shared" ca="1" si="443"/>
        <v>B</v>
      </c>
      <c r="FD92" s="301" t="str">
        <f t="shared" ca="1" si="443"/>
        <v>B</v>
      </c>
      <c r="FE92" s="301" t="str">
        <f t="shared" ca="1" si="443"/>
        <v>B</v>
      </c>
      <c r="FF92" s="301" t="str">
        <f t="shared" ca="1" si="443"/>
        <v>B</v>
      </c>
      <c r="FG92" s="301" t="str">
        <f t="shared" ca="1" si="443"/>
        <v>B</v>
      </c>
      <c r="FH92" s="301" t="str">
        <f t="shared" ca="1" si="443"/>
        <v>B</v>
      </c>
      <c r="FI92" s="301" t="str">
        <f t="shared" ca="1" si="443"/>
        <v>B</v>
      </c>
      <c r="FJ92" s="301" t="str">
        <f t="shared" ca="1" si="443"/>
        <v>B</v>
      </c>
      <c r="FK92" s="301" t="str">
        <f t="shared" ca="1" si="443"/>
        <v>B</v>
      </c>
      <c r="FL92" s="301" t="str">
        <f t="shared" ca="1" si="443"/>
        <v>B</v>
      </c>
    </row>
    <row r="93" spans="1:168" x14ac:dyDescent="0.2">
      <c r="A93" s="24" t="str">
        <f t="shared" si="432"/>
        <v>Magiekunde</v>
      </c>
      <c r="B93" s="317" t="str">
        <f t="shared" ca="1" si="330"/>
        <v/>
      </c>
      <c r="C93" s="332" t="str">
        <f t="shared" ca="1" si="439"/>
        <v/>
      </c>
      <c r="D93" s="1110"/>
      <c r="E93" s="966"/>
      <c r="F93" s="325"/>
      <c r="G93" s="958"/>
      <c r="H93" s="1196"/>
      <c r="I93" s="326"/>
      <c r="J93" s="1886" t="str">
        <f t="shared" ca="1" si="332"/>
        <v/>
      </c>
      <c r="K93" s="1887"/>
      <c r="L93" s="1887"/>
      <c r="M93" s="1887"/>
      <c r="N93" s="1888"/>
      <c r="O93" s="613" t="str">
        <f t="shared" ca="1" si="333"/>
        <v/>
      </c>
      <c r="P93" s="90"/>
      <c r="Q93" s="25"/>
      <c r="R93" s="1313"/>
      <c r="S93" s="1313"/>
      <c r="T93" s="1315"/>
      <c r="U93" s="1283"/>
      <c r="V93" s="628" t="str">
        <f t="shared" ca="1" si="334"/>
        <v/>
      </c>
      <c r="W93" s="164">
        <f t="shared" ca="1" si="335"/>
        <v>0</v>
      </c>
      <c r="X93" s="164">
        <f t="shared" ca="1" si="336"/>
        <v>0</v>
      </c>
      <c r="Y93" s="164">
        <f t="shared" ca="1" si="337"/>
        <v>0</v>
      </c>
      <c r="Z93" s="164">
        <f t="shared" ca="1" si="338"/>
        <v>0</v>
      </c>
      <c r="AA93" s="164">
        <f t="shared" ca="1" si="339"/>
        <v>0</v>
      </c>
      <c r="AB93" s="164">
        <f t="shared" ca="1" si="340"/>
        <v>0</v>
      </c>
      <c r="AC93" s="164">
        <f t="shared" ca="1" si="341"/>
        <v>0</v>
      </c>
      <c r="AD93" s="164">
        <f t="shared" ca="1" si="342"/>
        <v>0</v>
      </c>
      <c r="AE93" s="164">
        <f t="shared" ca="1" si="343"/>
        <v>0</v>
      </c>
      <c r="AF93" s="164">
        <f t="shared" ca="1" si="344"/>
        <v>0</v>
      </c>
      <c r="AG93" s="164">
        <f t="shared" ca="1" si="345"/>
        <v>0</v>
      </c>
      <c r="AH93" s="164">
        <f t="shared" ca="1" si="346"/>
        <v>0</v>
      </c>
      <c r="AI93" s="164">
        <f t="shared" ca="1" si="347"/>
        <v>0</v>
      </c>
      <c r="AJ93" s="164">
        <f t="shared" ca="1" si="348"/>
        <v>0</v>
      </c>
      <c r="AK93" s="164">
        <f t="shared" ca="1" si="349"/>
        <v>0</v>
      </c>
      <c r="AL93" s="164">
        <f t="shared" ca="1" si="350"/>
        <v>0</v>
      </c>
      <c r="AM93" s="164">
        <f t="shared" ca="1" si="351"/>
        <v>0</v>
      </c>
      <c r="AN93" s="164">
        <f t="shared" ca="1" si="352"/>
        <v>0</v>
      </c>
      <c r="AO93" s="164">
        <f t="shared" ca="1" si="353"/>
        <v>0</v>
      </c>
      <c r="AP93" s="164">
        <f t="shared" ca="1" si="354"/>
        <v>0</v>
      </c>
      <c r="AQ93" s="164">
        <f t="shared" ca="1" si="355"/>
        <v>0</v>
      </c>
      <c r="AR93" s="164">
        <f t="shared" ca="1" si="356"/>
        <v>0</v>
      </c>
      <c r="AS93" s="195"/>
      <c r="AT93" s="154">
        <f t="shared" ca="1" si="357"/>
        <v>0</v>
      </c>
      <c r="AU93" s="154">
        <f t="shared" ca="1" si="358"/>
        <v>0</v>
      </c>
      <c r="AV93" s="154">
        <f t="shared" ca="1" si="359"/>
        <v>0</v>
      </c>
      <c r="AW93" s="154">
        <f t="shared" ca="1" si="360"/>
        <v>0</v>
      </c>
      <c r="AX93" s="154">
        <f t="shared" ca="1" si="361"/>
        <v>0</v>
      </c>
      <c r="AY93" s="154">
        <f t="shared" ca="1" si="362"/>
        <v>0</v>
      </c>
      <c r="AZ93" s="154">
        <f t="shared" ca="1" si="363"/>
        <v>0</v>
      </c>
      <c r="BA93" s="154">
        <f t="shared" ca="1" si="364"/>
        <v>0</v>
      </c>
      <c r="BB93" s="154">
        <f t="shared" ca="1" si="365"/>
        <v>0</v>
      </c>
      <c r="BC93" s="154">
        <f t="shared" ca="1" si="366"/>
        <v>0</v>
      </c>
      <c r="BD93" s="154">
        <f t="shared" ca="1" si="367"/>
        <v>0</v>
      </c>
      <c r="BE93" s="154">
        <f t="shared" ca="1" si="368"/>
        <v>0</v>
      </c>
      <c r="BF93" s="154">
        <f t="shared" ca="1" si="369"/>
        <v>0</v>
      </c>
      <c r="BG93" s="154">
        <f t="shared" ca="1" si="370"/>
        <v>0</v>
      </c>
      <c r="BH93" s="154">
        <f t="shared" ca="1" si="371"/>
        <v>0</v>
      </c>
      <c r="BI93" s="154">
        <f t="shared" ca="1" si="372"/>
        <v>0</v>
      </c>
      <c r="BJ93" s="154">
        <f t="shared" ca="1" si="373"/>
        <v>0</v>
      </c>
      <c r="BK93" s="154">
        <f t="shared" ca="1" si="374"/>
        <v>0</v>
      </c>
      <c r="BL93" s="154">
        <f t="shared" ca="1" si="375"/>
        <v>0</v>
      </c>
      <c r="BM93" s="154">
        <f t="shared" ca="1" si="376"/>
        <v>0</v>
      </c>
      <c r="BN93" s="154">
        <f t="shared" ca="1" si="377"/>
        <v>0</v>
      </c>
      <c r="BO93" s="154">
        <f t="shared" ca="1" si="378"/>
        <v>0</v>
      </c>
      <c r="BP93" s="154">
        <f t="shared" ca="1" si="379"/>
        <v>0</v>
      </c>
      <c r="BQ93" s="154">
        <f t="shared" ca="1" si="380"/>
        <v>0</v>
      </c>
      <c r="BR93" s="154">
        <f t="shared" ca="1" si="381"/>
        <v>0</v>
      </c>
      <c r="BS93" s="154">
        <f t="shared" ca="1" si="382"/>
        <v>0</v>
      </c>
      <c r="BT93" s="154">
        <f t="shared" ca="1" si="383"/>
        <v>0</v>
      </c>
      <c r="BU93" s="154">
        <f t="shared" ca="1" si="384"/>
        <v>0</v>
      </c>
      <c r="BV93" s="154">
        <f t="shared" ca="1" si="385"/>
        <v>0</v>
      </c>
      <c r="BW93" s="154">
        <f t="shared" ca="1" si="386"/>
        <v>0</v>
      </c>
      <c r="BX93" s="154">
        <f t="shared" ca="1" si="387"/>
        <v>0</v>
      </c>
      <c r="BY93" s="154">
        <f t="shared" ca="1" si="388"/>
        <v>0</v>
      </c>
      <c r="BZ93" s="154">
        <f t="shared" si="433"/>
        <v>0</v>
      </c>
      <c r="CA93" s="154">
        <f t="shared" si="434"/>
        <v>0</v>
      </c>
      <c r="CB93" s="154">
        <f t="shared" ca="1" si="435"/>
        <v>0</v>
      </c>
      <c r="CC93" s="523"/>
      <c r="CD93" s="355">
        <f t="shared" si="389"/>
        <v>118</v>
      </c>
      <c r="CE93" s="751" t="str">
        <f t="shared" ca="1" si="390"/>
        <v>B</v>
      </c>
      <c r="CF93" s="355" t="str">
        <f t="shared" ca="1" si="440"/>
        <v/>
      </c>
      <c r="CG93" s="268">
        <f>IF(ZS_SE_VIEW,SUM(
IF(ZS_AKADEMIE="",0,IF(HLOOKUP(ZS_AKADEMIE,PROFMAGIE,$CD93,FALSE)&gt;0,1,0)),
IF(AND(ZS_IAAK="Ja",IF(HLOOKUP(Tabellen_Magie!$IK$1,PROFMAGIE,$CD93,FALSE)&gt;0,TRUE,FALSE)),1,0)),0)</f>
        <v>0</v>
      </c>
      <c r="CH93" s="268"/>
      <c r="CI93" s="269">
        <f t="shared" ca="1" si="391"/>
        <v>0</v>
      </c>
      <c r="CJ93" s="269">
        <f t="shared" ca="1" si="392"/>
        <v>0</v>
      </c>
      <c r="CK93" s="268"/>
      <c r="CL93" s="268"/>
      <c r="CM93" s="268">
        <f t="shared" ca="1" si="327"/>
        <v>0</v>
      </c>
      <c r="CN93" s="269">
        <f t="shared" ca="1" si="328"/>
        <v>0</v>
      </c>
      <c r="CO93" s="268" t="str">
        <f t="shared" ca="1" si="393"/>
        <v>B</v>
      </c>
      <c r="CP93" s="269" t="b">
        <f t="shared" ca="1" si="394"/>
        <v>1</v>
      </c>
      <c r="CQ93" s="269">
        <f t="shared" si="395"/>
        <v>0</v>
      </c>
      <c r="CR93" s="269">
        <f t="shared" si="396"/>
        <v>0</v>
      </c>
      <c r="CS93" s="269">
        <f t="shared" ca="1" si="397"/>
        <v>0</v>
      </c>
      <c r="CT93" s="302" t="str">
        <f t="shared" ca="1" si="398"/>
        <v>0</v>
      </c>
      <c r="CU93" s="269">
        <f t="shared" ca="1" si="399"/>
        <v>0</v>
      </c>
      <c r="CV93" s="268"/>
      <c r="CW93" s="269">
        <f t="shared" ca="1" si="400"/>
        <v>0</v>
      </c>
      <c r="CX93" s="301">
        <f t="shared" ca="1" si="401"/>
        <v>0</v>
      </c>
      <c r="CY93" s="301">
        <f t="shared" ca="1" si="329"/>
        <v>0</v>
      </c>
      <c r="CZ93" s="301">
        <f t="shared" ca="1" si="402"/>
        <v>0</v>
      </c>
      <c r="DA93" s="301">
        <f t="shared" ca="1" si="403"/>
        <v>0</v>
      </c>
      <c r="DB93" t="str">
        <f ca="1">IF(AND(NOT(AND(ISBLANK($G93),ISBLANK($I93))),$O$246&lt;6,SUM(B93,G93,I93)&gt;=10),"L/S 6+",IF(CG93&gt;0,CG93 &amp; " SE aus Zweit-/Drittstudium",""))</f>
        <v/>
      </c>
      <c r="DC93" s="301" t="str">
        <f t="shared" ca="1" si="404"/>
        <v/>
      </c>
      <c r="DD93" s="1337" t="str">
        <f t="shared" ca="1" si="436"/>
        <v/>
      </c>
      <c r="DE93" s="1337" t="str">
        <f t="shared" ca="1" si="437"/>
        <v/>
      </c>
      <c r="DG93" s="269" t="str">
        <f t="shared" ca="1" si="405"/>
        <v>Tabellen_Andere!BA72:BF72</v>
      </c>
      <c r="DH93" s="269" t="str">
        <f t="shared" si="438"/>
        <v>Tabellen_Andere!BA72:BF72</v>
      </c>
      <c r="DI93" s="269" t="str">
        <f ca="1">IF(NOT(ISERR(FIND(A93,Abfragen!$O$264,1))),MID(Abfragen!$O$264,FIND("(",Abfragen!$O$264,FIND(A93,Abfragen!$O$264,1)+LEN(A93))+1,FIND(")",Abfragen!$O$264,FIND(A93,Abfragen!$O$264,1)+LEN(A93))-FIND("(",Abfragen!$O$264,FIND(A93,Abfragen!$O$264,1)+LEN(A93))-1),"")</f>
        <v/>
      </c>
      <c r="DJ93" s="301" t="str">
        <f t="shared" ca="1" si="406"/>
        <v>B</v>
      </c>
      <c r="DK93" s="301" t="str">
        <f t="shared" ca="1" si="407"/>
        <v>B</v>
      </c>
      <c r="DL93" s="301" t="str">
        <f t="shared" ca="1" si="408"/>
        <v>B</v>
      </c>
      <c r="DM93" s="301" t="str">
        <f t="shared" ca="1" si="409"/>
        <v>B</v>
      </c>
      <c r="DN93" s="301" t="str">
        <f t="shared" ca="1" si="410"/>
        <v>B</v>
      </c>
      <c r="DO93" s="301" t="str">
        <f t="shared" ca="1" si="411"/>
        <v>B</v>
      </c>
      <c r="DP93" s="301" t="str">
        <f t="shared" ca="1" si="412"/>
        <v>B</v>
      </c>
      <c r="DQ93" s="301" t="str">
        <f t="shared" ca="1" si="413"/>
        <v>B</v>
      </c>
      <c r="DR93" s="301" t="str">
        <f t="shared" ca="1" si="414"/>
        <v>B</v>
      </c>
      <c r="DS93" s="301" t="str">
        <f t="shared" ca="1" si="415"/>
        <v>B</v>
      </c>
      <c r="DT93" s="301" t="str">
        <f t="shared" ca="1" si="416"/>
        <v>B</v>
      </c>
      <c r="DU93" s="301" t="str">
        <f t="shared" ca="1" si="417"/>
        <v>B</v>
      </c>
      <c r="DV93" s="301" t="str">
        <f t="shared" ca="1" si="418"/>
        <v>B</v>
      </c>
      <c r="DW93" s="301" t="str">
        <f t="shared" ca="1" si="419"/>
        <v>B</v>
      </c>
      <c r="DX93" s="301" t="str">
        <f t="shared" ca="1" si="420"/>
        <v>B</v>
      </c>
      <c r="DY93" s="301" t="str">
        <f t="shared" ca="1" si="421"/>
        <v>B</v>
      </c>
      <c r="DZ93" s="301" t="str">
        <f t="shared" ca="1" si="422"/>
        <v>B</v>
      </c>
      <c r="EA93" s="301" t="str">
        <f t="shared" ca="1" si="423"/>
        <v>B</v>
      </c>
      <c r="EB93" s="301" t="str">
        <f t="shared" ca="1" si="424"/>
        <v>B</v>
      </c>
      <c r="EC93" s="301" t="str">
        <f t="shared" ca="1" si="425"/>
        <v>B</v>
      </c>
      <c r="ED93" s="301" t="str">
        <f t="shared" ca="1" si="426"/>
        <v>B</v>
      </c>
      <c r="EE93" s="301" t="str">
        <f t="shared" ca="1" si="427"/>
        <v>B</v>
      </c>
      <c r="EF93" s="301">
        <f t="shared" si="428"/>
        <v>0</v>
      </c>
      <c r="EG93" s="301" t="str">
        <f t="shared" ca="1" si="441"/>
        <v>B</v>
      </c>
      <c r="EH93" s="301" t="str">
        <f t="shared" ca="1" si="441"/>
        <v>B</v>
      </c>
      <c r="EI93" s="301" t="str">
        <f t="shared" ca="1" si="441"/>
        <v>B</v>
      </c>
      <c r="EJ93" s="301" t="str">
        <f t="shared" ca="1" si="441"/>
        <v>B</v>
      </c>
      <c r="EK93" s="301" t="str">
        <f t="shared" ca="1" si="441"/>
        <v>B</v>
      </c>
      <c r="EL93" s="301" t="str">
        <f t="shared" ca="1" si="441"/>
        <v>B</v>
      </c>
      <c r="EM93" s="301" t="str">
        <f t="shared" ca="1" si="441"/>
        <v>B</v>
      </c>
      <c r="EN93" s="301" t="str">
        <f t="shared" ca="1" si="441"/>
        <v>B</v>
      </c>
      <c r="EO93" s="301" t="str">
        <f t="shared" ca="1" si="441"/>
        <v>B</v>
      </c>
      <c r="EP93" s="301" t="str">
        <f t="shared" ca="1" si="441"/>
        <v>B</v>
      </c>
      <c r="EQ93" s="301" t="str">
        <f t="shared" ca="1" si="442"/>
        <v>B</v>
      </c>
      <c r="ER93" s="301" t="str">
        <f t="shared" ca="1" si="442"/>
        <v>B</v>
      </c>
      <c r="ES93" s="301" t="str">
        <f t="shared" ca="1" si="442"/>
        <v>B</v>
      </c>
      <c r="ET93" s="301" t="str">
        <f t="shared" ca="1" si="442"/>
        <v>B</v>
      </c>
      <c r="EU93" s="301" t="str">
        <f t="shared" ca="1" si="442"/>
        <v>B</v>
      </c>
      <c r="EV93" s="301" t="str">
        <f t="shared" ca="1" si="442"/>
        <v>B</v>
      </c>
      <c r="EW93" s="301" t="str">
        <f t="shared" ca="1" si="442"/>
        <v>B</v>
      </c>
      <c r="EX93" s="301" t="str">
        <f t="shared" ca="1" si="442"/>
        <v>B</v>
      </c>
      <c r="EY93" s="301" t="str">
        <f t="shared" ca="1" si="442"/>
        <v>B</v>
      </c>
      <c r="EZ93" s="301" t="str">
        <f t="shared" ca="1" si="442"/>
        <v>B</v>
      </c>
      <c r="FA93" s="301" t="str">
        <f t="shared" ca="1" si="443"/>
        <v>B</v>
      </c>
      <c r="FB93" s="301" t="str">
        <f t="shared" ca="1" si="443"/>
        <v>B</v>
      </c>
      <c r="FC93" s="301" t="str">
        <f t="shared" ca="1" si="443"/>
        <v>B</v>
      </c>
      <c r="FD93" s="301" t="str">
        <f t="shared" ca="1" si="443"/>
        <v>B</v>
      </c>
      <c r="FE93" s="301" t="str">
        <f t="shared" ca="1" si="443"/>
        <v>B</v>
      </c>
      <c r="FF93" s="301" t="str">
        <f t="shared" ca="1" si="443"/>
        <v>B</v>
      </c>
      <c r="FG93" s="301" t="str">
        <f t="shared" ca="1" si="443"/>
        <v>B</v>
      </c>
      <c r="FH93" s="301" t="str">
        <f t="shared" ca="1" si="443"/>
        <v>B</v>
      </c>
      <c r="FI93" s="301" t="str">
        <f t="shared" ca="1" si="443"/>
        <v>B</v>
      </c>
      <c r="FJ93" s="301" t="str">
        <f t="shared" ca="1" si="443"/>
        <v>B</v>
      </c>
      <c r="FK93" s="301" t="str">
        <f t="shared" ca="1" si="443"/>
        <v>B</v>
      </c>
      <c r="FL93" s="301" t="str">
        <f t="shared" ca="1" si="443"/>
        <v>B</v>
      </c>
    </row>
    <row r="94" spans="1:168" x14ac:dyDescent="0.2">
      <c r="A94" s="24" t="str">
        <f t="shared" si="432"/>
        <v>Mechanik</v>
      </c>
      <c r="B94" s="317" t="str">
        <f t="shared" ca="1" si="330"/>
        <v/>
      </c>
      <c r="C94" s="332" t="str">
        <f t="shared" ca="1" si="439"/>
        <v/>
      </c>
      <c r="D94" s="1110"/>
      <c r="E94" s="966"/>
      <c r="F94" s="325"/>
      <c r="G94" s="958"/>
      <c r="H94" s="1196"/>
      <c r="I94" s="326"/>
      <c r="J94" s="1886" t="str">
        <f t="shared" ca="1" si="332"/>
        <v/>
      </c>
      <c r="K94" s="1887"/>
      <c r="L94" s="1887"/>
      <c r="M94" s="1887"/>
      <c r="N94" s="1888"/>
      <c r="O94" s="613" t="str">
        <f t="shared" ca="1" si="333"/>
        <v/>
      </c>
      <c r="P94" s="90"/>
      <c r="Q94" s="25"/>
      <c r="R94" s="1313"/>
      <c r="S94" s="1313"/>
      <c r="T94" s="1315"/>
      <c r="U94" s="1283"/>
      <c r="V94" s="628" t="str">
        <f t="shared" ca="1" si="334"/>
        <v/>
      </c>
      <c r="W94" s="164">
        <f t="shared" ca="1" si="335"/>
        <v>0</v>
      </c>
      <c r="X94" s="164">
        <f t="shared" ca="1" si="336"/>
        <v>0</v>
      </c>
      <c r="Y94" s="164">
        <f t="shared" ca="1" si="337"/>
        <v>0</v>
      </c>
      <c r="Z94" s="164">
        <f t="shared" ca="1" si="338"/>
        <v>0</v>
      </c>
      <c r="AA94" s="164">
        <f t="shared" ca="1" si="339"/>
        <v>0</v>
      </c>
      <c r="AB94" s="164">
        <f t="shared" ca="1" si="340"/>
        <v>0</v>
      </c>
      <c r="AC94" s="164">
        <f t="shared" ca="1" si="341"/>
        <v>0</v>
      </c>
      <c r="AD94" s="164">
        <f t="shared" ca="1" si="342"/>
        <v>0</v>
      </c>
      <c r="AE94" s="164">
        <f t="shared" ca="1" si="343"/>
        <v>0</v>
      </c>
      <c r="AF94" s="164">
        <f t="shared" ca="1" si="344"/>
        <v>0</v>
      </c>
      <c r="AG94" s="164">
        <f t="shared" ca="1" si="345"/>
        <v>0</v>
      </c>
      <c r="AH94" s="164">
        <f t="shared" ca="1" si="346"/>
        <v>0</v>
      </c>
      <c r="AI94" s="164">
        <f t="shared" ca="1" si="347"/>
        <v>0</v>
      </c>
      <c r="AJ94" s="164">
        <f t="shared" ca="1" si="348"/>
        <v>0</v>
      </c>
      <c r="AK94" s="164">
        <f t="shared" ca="1" si="349"/>
        <v>0</v>
      </c>
      <c r="AL94" s="164">
        <f t="shared" ca="1" si="350"/>
        <v>0</v>
      </c>
      <c r="AM94" s="164">
        <f t="shared" ca="1" si="351"/>
        <v>0</v>
      </c>
      <c r="AN94" s="164">
        <f t="shared" ca="1" si="352"/>
        <v>0</v>
      </c>
      <c r="AO94" s="164">
        <f t="shared" ca="1" si="353"/>
        <v>0</v>
      </c>
      <c r="AP94" s="164">
        <f t="shared" ca="1" si="354"/>
        <v>0</v>
      </c>
      <c r="AQ94" s="164">
        <f t="shared" ca="1" si="355"/>
        <v>0</v>
      </c>
      <c r="AR94" s="164">
        <f t="shared" ca="1" si="356"/>
        <v>0</v>
      </c>
      <c r="AS94" s="195"/>
      <c r="AT94" s="154">
        <f t="shared" ca="1" si="357"/>
        <v>0</v>
      </c>
      <c r="AU94" s="154">
        <f t="shared" ca="1" si="358"/>
        <v>0</v>
      </c>
      <c r="AV94" s="154">
        <f t="shared" ca="1" si="359"/>
        <v>0</v>
      </c>
      <c r="AW94" s="154">
        <f t="shared" ca="1" si="360"/>
        <v>0</v>
      </c>
      <c r="AX94" s="154">
        <f t="shared" ca="1" si="361"/>
        <v>0</v>
      </c>
      <c r="AY94" s="154">
        <f t="shared" ca="1" si="362"/>
        <v>0</v>
      </c>
      <c r="AZ94" s="154">
        <f t="shared" ca="1" si="363"/>
        <v>0</v>
      </c>
      <c r="BA94" s="154">
        <f t="shared" ca="1" si="364"/>
        <v>0</v>
      </c>
      <c r="BB94" s="154">
        <f t="shared" ca="1" si="365"/>
        <v>0</v>
      </c>
      <c r="BC94" s="154">
        <f t="shared" ca="1" si="366"/>
        <v>0</v>
      </c>
      <c r="BD94" s="154">
        <f t="shared" ca="1" si="367"/>
        <v>0</v>
      </c>
      <c r="BE94" s="154">
        <f t="shared" ca="1" si="368"/>
        <v>0</v>
      </c>
      <c r="BF94" s="154">
        <f t="shared" ca="1" si="369"/>
        <v>0</v>
      </c>
      <c r="BG94" s="154">
        <f t="shared" ca="1" si="370"/>
        <v>0</v>
      </c>
      <c r="BH94" s="154">
        <f t="shared" ca="1" si="371"/>
        <v>0</v>
      </c>
      <c r="BI94" s="154">
        <f t="shared" ca="1" si="372"/>
        <v>0</v>
      </c>
      <c r="BJ94" s="154">
        <f t="shared" ca="1" si="373"/>
        <v>0</v>
      </c>
      <c r="BK94" s="154">
        <f t="shared" ca="1" si="374"/>
        <v>0</v>
      </c>
      <c r="BL94" s="154">
        <f t="shared" ca="1" si="375"/>
        <v>0</v>
      </c>
      <c r="BM94" s="154">
        <f t="shared" ca="1" si="376"/>
        <v>0</v>
      </c>
      <c r="BN94" s="154">
        <f t="shared" ca="1" si="377"/>
        <v>0</v>
      </c>
      <c r="BO94" s="154">
        <f t="shared" ca="1" si="378"/>
        <v>0</v>
      </c>
      <c r="BP94" s="154">
        <f t="shared" ca="1" si="379"/>
        <v>0</v>
      </c>
      <c r="BQ94" s="154">
        <f t="shared" ca="1" si="380"/>
        <v>0</v>
      </c>
      <c r="BR94" s="154">
        <f t="shared" ca="1" si="381"/>
        <v>0</v>
      </c>
      <c r="BS94" s="154">
        <f t="shared" ca="1" si="382"/>
        <v>0</v>
      </c>
      <c r="BT94" s="154">
        <f t="shared" ca="1" si="383"/>
        <v>0</v>
      </c>
      <c r="BU94" s="154">
        <f t="shared" ca="1" si="384"/>
        <v>0</v>
      </c>
      <c r="BV94" s="154">
        <f t="shared" ca="1" si="385"/>
        <v>0</v>
      </c>
      <c r="BW94" s="154">
        <f t="shared" ca="1" si="386"/>
        <v>0</v>
      </c>
      <c r="BX94" s="154">
        <f t="shared" ca="1" si="387"/>
        <v>0</v>
      </c>
      <c r="BY94" s="154">
        <f t="shared" ca="1" si="388"/>
        <v>0</v>
      </c>
      <c r="BZ94" s="154">
        <f t="shared" si="433"/>
        <v>0</v>
      </c>
      <c r="CA94" s="154">
        <f t="shared" si="434"/>
        <v>0</v>
      </c>
      <c r="CB94" s="154">
        <f t="shared" ca="1" si="435"/>
        <v>0</v>
      </c>
      <c r="CC94" s="523"/>
      <c r="CD94" s="355">
        <f t="shared" si="389"/>
        <v>119</v>
      </c>
      <c r="CE94" s="751" t="str">
        <f t="shared" ca="1" si="390"/>
        <v>B</v>
      </c>
      <c r="CF94" s="355" t="str">
        <f t="shared" ca="1" si="440"/>
        <v/>
      </c>
      <c r="CG94" s="268">
        <f>IF(ZS_SE_VIEW,SUM(
IF(ZS_AKADEMIE="",0,IF(HLOOKUP(ZS_AKADEMIE,PROFMAGIE,$CD94,FALSE)&gt;0,1,0)),
IF(AND(ZS_IAAK="Ja",IF(HLOOKUP(Tabellen_Magie!$IK$1,PROFMAGIE,$CD94,FALSE)&gt;0,TRUE,FALSE)),1,0)),0)</f>
        <v>0</v>
      </c>
      <c r="CH94" s="268"/>
      <c r="CI94" s="269">
        <f t="shared" ca="1" si="391"/>
        <v>0</v>
      </c>
      <c r="CJ94" s="269">
        <f t="shared" ca="1" si="392"/>
        <v>0</v>
      </c>
      <c r="CK94" s="268"/>
      <c r="CL94" s="268"/>
      <c r="CM94" s="268">
        <f t="shared" ca="1" si="327"/>
        <v>0</v>
      </c>
      <c r="CN94" s="269">
        <f t="shared" ca="1" si="328"/>
        <v>0</v>
      </c>
      <c r="CO94" s="268" t="str">
        <f t="shared" ca="1" si="393"/>
        <v>B</v>
      </c>
      <c r="CP94" s="269" t="b">
        <f t="shared" ca="1" si="394"/>
        <v>1</v>
      </c>
      <c r="CQ94" s="269">
        <f t="shared" si="395"/>
        <v>0</v>
      </c>
      <c r="CR94" s="269">
        <f t="shared" si="396"/>
        <v>0</v>
      </c>
      <c r="CS94" s="269">
        <f t="shared" ca="1" si="397"/>
        <v>0</v>
      </c>
      <c r="CT94" s="302" t="str">
        <f t="shared" ca="1" si="398"/>
        <v>0</v>
      </c>
      <c r="CU94" s="269">
        <f t="shared" ca="1" si="399"/>
        <v>0</v>
      </c>
      <c r="CV94" s="268"/>
      <c r="CW94" s="269">
        <f t="shared" ca="1" si="400"/>
        <v>0</v>
      </c>
      <c r="CX94" s="301">
        <f t="shared" ca="1" si="401"/>
        <v>0</v>
      </c>
      <c r="CY94" s="301">
        <f t="shared" ca="1" si="329"/>
        <v>0</v>
      </c>
      <c r="CZ94" s="301">
        <f t="shared" ca="1" si="402"/>
        <v>0</v>
      </c>
      <c r="DA94" s="301">
        <f t="shared" ca="1" si="403"/>
        <v>0</v>
      </c>
      <c r="DB94" t="str">
        <f ca="1">IF(AND(NOT(AND(ISBLANK($G94),ISBLANK($I94))),OR($O$246&lt;6,$O$138&lt;6,$O$97&lt;6),SUM(B94,G94,I94)&gt;=10),"L/S &amp; M/Z &amp; Rechnen 6+",IF(CG94&gt;0,CG94 &amp; " SE aus Zweit-/Drittstudium",""))</f>
        <v/>
      </c>
      <c r="DC94" s="301" t="str">
        <f t="shared" ca="1" si="404"/>
        <v/>
      </c>
      <c r="DD94" s="1337" t="str">
        <f t="shared" ca="1" si="436"/>
        <v/>
      </c>
      <c r="DE94" s="1337" t="str">
        <f t="shared" ca="1" si="437"/>
        <v/>
      </c>
      <c r="DG94" s="269" t="str">
        <f t="shared" ca="1" si="405"/>
        <v>Tabellen_Andere!BA75:BF75</v>
      </c>
      <c r="DH94" s="269" t="str">
        <f t="shared" si="438"/>
        <v>Tabellen_Andere!BA75:BF75</v>
      </c>
      <c r="DI94" s="269" t="str">
        <f ca="1">IF(NOT(ISERR(FIND(A94,Abfragen!$O$264,1))),MID(Abfragen!$O$264,FIND("(",Abfragen!$O$264,FIND(A94,Abfragen!$O$264,1)+LEN(A94))+1,FIND(")",Abfragen!$O$264,FIND(A94,Abfragen!$O$264,1)+LEN(A94))-FIND("(",Abfragen!$O$264,FIND(A94,Abfragen!$O$264,1)+LEN(A94))-1),"")</f>
        <v/>
      </c>
      <c r="DJ94" s="301" t="str">
        <f t="shared" ca="1" si="406"/>
        <v>B</v>
      </c>
      <c r="DK94" s="301" t="str">
        <f t="shared" ca="1" si="407"/>
        <v>B</v>
      </c>
      <c r="DL94" s="301" t="str">
        <f t="shared" ca="1" si="408"/>
        <v>B</v>
      </c>
      <c r="DM94" s="301" t="str">
        <f t="shared" ca="1" si="409"/>
        <v>B</v>
      </c>
      <c r="DN94" s="301" t="str">
        <f t="shared" ca="1" si="410"/>
        <v>B</v>
      </c>
      <c r="DO94" s="301" t="str">
        <f t="shared" ca="1" si="411"/>
        <v>B</v>
      </c>
      <c r="DP94" s="301" t="str">
        <f t="shared" ca="1" si="412"/>
        <v>B</v>
      </c>
      <c r="DQ94" s="301" t="str">
        <f t="shared" ca="1" si="413"/>
        <v>B</v>
      </c>
      <c r="DR94" s="301" t="str">
        <f t="shared" ca="1" si="414"/>
        <v>B</v>
      </c>
      <c r="DS94" s="301" t="str">
        <f t="shared" ca="1" si="415"/>
        <v>B</v>
      </c>
      <c r="DT94" s="301" t="str">
        <f t="shared" ca="1" si="416"/>
        <v>B</v>
      </c>
      <c r="DU94" s="301" t="str">
        <f t="shared" ca="1" si="417"/>
        <v>B</v>
      </c>
      <c r="DV94" s="301" t="str">
        <f t="shared" ca="1" si="418"/>
        <v>B</v>
      </c>
      <c r="DW94" s="301" t="str">
        <f t="shared" ca="1" si="419"/>
        <v>B</v>
      </c>
      <c r="DX94" s="301" t="str">
        <f t="shared" ca="1" si="420"/>
        <v>B</v>
      </c>
      <c r="DY94" s="301" t="str">
        <f t="shared" ca="1" si="421"/>
        <v>B</v>
      </c>
      <c r="DZ94" s="301" t="str">
        <f t="shared" ca="1" si="422"/>
        <v>B</v>
      </c>
      <c r="EA94" s="301" t="str">
        <f t="shared" ca="1" si="423"/>
        <v>B</v>
      </c>
      <c r="EB94" s="301" t="str">
        <f t="shared" ca="1" si="424"/>
        <v>B</v>
      </c>
      <c r="EC94" s="301" t="str">
        <f t="shared" ca="1" si="425"/>
        <v>B</v>
      </c>
      <c r="ED94" s="301" t="str">
        <f t="shared" ca="1" si="426"/>
        <v>B</v>
      </c>
      <c r="EE94" s="301" t="str">
        <f t="shared" ca="1" si="427"/>
        <v>B</v>
      </c>
      <c r="EF94" s="301">
        <f t="shared" si="428"/>
        <v>0</v>
      </c>
      <c r="EG94" s="301" t="str">
        <f t="shared" ca="1" si="441"/>
        <v>B</v>
      </c>
      <c r="EH94" s="301" t="str">
        <f t="shared" ca="1" si="441"/>
        <v>B</v>
      </c>
      <c r="EI94" s="301" t="str">
        <f t="shared" ca="1" si="441"/>
        <v>B</v>
      </c>
      <c r="EJ94" s="301" t="str">
        <f t="shared" ca="1" si="441"/>
        <v>B</v>
      </c>
      <c r="EK94" s="301" t="str">
        <f t="shared" ca="1" si="441"/>
        <v>B</v>
      </c>
      <c r="EL94" s="301" t="str">
        <f t="shared" ca="1" si="441"/>
        <v>B</v>
      </c>
      <c r="EM94" s="301" t="str">
        <f t="shared" ca="1" si="441"/>
        <v>B</v>
      </c>
      <c r="EN94" s="301" t="str">
        <f t="shared" ca="1" si="441"/>
        <v>B</v>
      </c>
      <c r="EO94" s="301" t="str">
        <f t="shared" ca="1" si="441"/>
        <v>B</v>
      </c>
      <c r="EP94" s="301" t="str">
        <f t="shared" ca="1" si="441"/>
        <v>B</v>
      </c>
      <c r="EQ94" s="301" t="str">
        <f t="shared" ca="1" si="442"/>
        <v>B</v>
      </c>
      <c r="ER94" s="301" t="str">
        <f t="shared" ca="1" si="442"/>
        <v>B</v>
      </c>
      <c r="ES94" s="301" t="str">
        <f t="shared" ca="1" si="442"/>
        <v>B</v>
      </c>
      <c r="ET94" s="301" t="str">
        <f t="shared" ca="1" si="442"/>
        <v>B</v>
      </c>
      <c r="EU94" s="301" t="str">
        <f t="shared" ca="1" si="442"/>
        <v>B</v>
      </c>
      <c r="EV94" s="301" t="str">
        <f t="shared" ca="1" si="442"/>
        <v>B</v>
      </c>
      <c r="EW94" s="301" t="str">
        <f t="shared" ca="1" si="442"/>
        <v>B</v>
      </c>
      <c r="EX94" s="301" t="str">
        <f t="shared" ca="1" si="442"/>
        <v>B</v>
      </c>
      <c r="EY94" s="301" t="str">
        <f t="shared" ca="1" si="442"/>
        <v>B</v>
      </c>
      <c r="EZ94" s="301" t="str">
        <f t="shared" ca="1" si="442"/>
        <v>B</v>
      </c>
      <c r="FA94" s="301" t="str">
        <f t="shared" ca="1" si="443"/>
        <v>B</v>
      </c>
      <c r="FB94" s="301" t="str">
        <f t="shared" ca="1" si="443"/>
        <v>B</v>
      </c>
      <c r="FC94" s="301" t="str">
        <f t="shared" ca="1" si="443"/>
        <v>B</v>
      </c>
      <c r="FD94" s="301" t="str">
        <f t="shared" ca="1" si="443"/>
        <v>B</v>
      </c>
      <c r="FE94" s="301" t="str">
        <f t="shared" ca="1" si="443"/>
        <v>B</v>
      </c>
      <c r="FF94" s="301" t="str">
        <f t="shared" ca="1" si="443"/>
        <v>B</v>
      </c>
      <c r="FG94" s="301" t="str">
        <f t="shared" ca="1" si="443"/>
        <v>B</v>
      </c>
      <c r="FH94" s="301" t="str">
        <f t="shared" ca="1" si="443"/>
        <v>B</v>
      </c>
      <c r="FI94" s="301" t="str">
        <f t="shared" ca="1" si="443"/>
        <v>B</v>
      </c>
      <c r="FJ94" s="301" t="str">
        <f t="shared" ca="1" si="443"/>
        <v>B</v>
      </c>
      <c r="FK94" s="301" t="str">
        <f t="shared" ca="1" si="443"/>
        <v>B</v>
      </c>
      <c r="FL94" s="301" t="str">
        <f t="shared" ca="1" si="443"/>
        <v>B</v>
      </c>
    </row>
    <row r="95" spans="1:168" x14ac:dyDescent="0.2">
      <c r="A95" s="24" t="str">
        <f t="shared" si="432"/>
        <v>Pflanzenkunde</v>
      </c>
      <c r="B95" s="317" t="str">
        <f t="shared" ca="1" si="330"/>
        <v/>
      </c>
      <c r="C95" s="332" t="str">
        <f t="shared" ca="1" si="439"/>
        <v/>
      </c>
      <c r="D95" s="1110"/>
      <c r="E95" s="966"/>
      <c r="F95" s="325"/>
      <c r="G95" s="958"/>
      <c r="H95" s="1196"/>
      <c r="I95" s="326"/>
      <c r="J95" s="1886" t="str">
        <f t="shared" ca="1" si="332"/>
        <v/>
      </c>
      <c r="K95" s="1887"/>
      <c r="L95" s="1887"/>
      <c r="M95" s="1887"/>
      <c r="N95" s="1888"/>
      <c r="O95" s="613" t="str">
        <f t="shared" ca="1" si="333"/>
        <v/>
      </c>
      <c r="P95" s="90"/>
      <c r="Q95" s="25"/>
      <c r="R95" s="1313"/>
      <c r="S95" s="1313"/>
      <c r="T95" s="1315"/>
      <c r="U95" s="1283"/>
      <c r="V95" s="628" t="str">
        <f t="shared" ca="1" si="334"/>
        <v/>
      </c>
      <c r="W95" s="164">
        <f t="shared" ca="1" si="335"/>
        <v>0</v>
      </c>
      <c r="X95" s="164">
        <f t="shared" ca="1" si="336"/>
        <v>0</v>
      </c>
      <c r="Y95" s="164">
        <f t="shared" ca="1" si="337"/>
        <v>0</v>
      </c>
      <c r="Z95" s="164">
        <f t="shared" ca="1" si="338"/>
        <v>0</v>
      </c>
      <c r="AA95" s="164">
        <f t="shared" ca="1" si="339"/>
        <v>0</v>
      </c>
      <c r="AB95" s="164">
        <f t="shared" ca="1" si="340"/>
        <v>0</v>
      </c>
      <c r="AC95" s="164">
        <f t="shared" ca="1" si="341"/>
        <v>0</v>
      </c>
      <c r="AD95" s="164">
        <f t="shared" ca="1" si="342"/>
        <v>0</v>
      </c>
      <c r="AE95" s="164">
        <f t="shared" ca="1" si="343"/>
        <v>0</v>
      </c>
      <c r="AF95" s="164">
        <f t="shared" ca="1" si="344"/>
        <v>0</v>
      </c>
      <c r="AG95" s="164">
        <f t="shared" ca="1" si="345"/>
        <v>0</v>
      </c>
      <c r="AH95" s="164">
        <f t="shared" ca="1" si="346"/>
        <v>0</v>
      </c>
      <c r="AI95" s="164">
        <f t="shared" ca="1" si="347"/>
        <v>0</v>
      </c>
      <c r="AJ95" s="164">
        <f t="shared" ca="1" si="348"/>
        <v>0</v>
      </c>
      <c r="AK95" s="164">
        <f t="shared" ca="1" si="349"/>
        <v>0</v>
      </c>
      <c r="AL95" s="164">
        <f t="shared" ca="1" si="350"/>
        <v>0</v>
      </c>
      <c r="AM95" s="164">
        <f t="shared" ca="1" si="351"/>
        <v>0</v>
      </c>
      <c r="AN95" s="164">
        <f t="shared" ca="1" si="352"/>
        <v>0</v>
      </c>
      <c r="AO95" s="164">
        <f t="shared" ca="1" si="353"/>
        <v>0</v>
      </c>
      <c r="AP95" s="164">
        <f t="shared" ca="1" si="354"/>
        <v>0</v>
      </c>
      <c r="AQ95" s="164">
        <f t="shared" ca="1" si="355"/>
        <v>0</v>
      </c>
      <c r="AR95" s="164">
        <f t="shared" ca="1" si="356"/>
        <v>0</v>
      </c>
      <c r="AS95" s="195"/>
      <c r="AT95" s="154">
        <f t="shared" ca="1" si="357"/>
        <v>0</v>
      </c>
      <c r="AU95" s="154">
        <f t="shared" ca="1" si="358"/>
        <v>0</v>
      </c>
      <c r="AV95" s="154">
        <f t="shared" ca="1" si="359"/>
        <v>0</v>
      </c>
      <c r="AW95" s="154">
        <f t="shared" ca="1" si="360"/>
        <v>0</v>
      </c>
      <c r="AX95" s="154">
        <f t="shared" ca="1" si="361"/>
        <v>0</v>
      </c>
      <c r="AY95" s="154">
        <f t="shared" ca="1" si="362"/>
        <v>0</v>
      </c>
      <c r="AZ95" s="154">
        <f t="shared" ca="1" si="363"/>
        <v>0</v>
      </c>
      <c r="BA95" s="154">
        <f t="shared" ca="1" si="364"/>
        <v>0</v>
      </c>
      <c r="BB95" s="154">
        <f t="shared" ca="1" si="365"/>
        <v>0</v>
      </c>
      <c r="BC95" s="154">
        <f t="shared" ca="1" si="366"/>
        <v>0</v>
      </c>
      <c r="BD95" s="154">
        <f t="shared" ca="1" si="367"/>
        <v>0</v>
      </c>
      <c r="BE95" s="154">
        <f t="shared" ca="1" si="368"/>
        <v>0</v>
      </c>
      <c r="BF95" s="154">
        <f t="shared" ca="1" si="369"/>
        <v>0</v>
      </c>
      <c r="BG95" s="154">
        <f t="shared" ca="1" si="370"/>
        <v>0</v>
      </c>
      <c r="BH95" s="154">
        <f t="shared" ca="1" si="371"/>
        <v>0</v>
      </c>
      <c r="BI95" s="154">
        <f t="shared" ca="1" si="372"/>
        <v>0</v>
      </c>
      <c r="BJ95" s="154">
        <f t="shared" ca="1" si="373"/>
        <v>0</v>
      </c>
      <c r="BK95" s="154">
        <f t="shared" ca="1" si="374"/>
        <v>0</v>
      </c>
      <c r="BL95" s="154">
        <f t="shared" ca="1" si="375"/>
        <v>0</v>
      </c>
      <c r="BM95" s="154">
        <f t="shared" ca="1" si="376"/>
        <v>0</v>
      </c>
      <c r="BN95" s="154">
        <f t="shared" ca="1" si="377"/>
        <v>0</v>
      </c>
      <c r="BO95" s="154">
        <f t="shared" ca="1" si="378"/>
        <v>0</v>
      </c>
      <c r="BP95" s="154">
        <f t="shared" ca="1" si="379"/>
        <v>0</v>
      </c>
      <c r="BQ95" s="154">
        <f t="shared" ca="1" si="380"/>
        <v>0</v>
      </c>
      <c r="BR95" s="154">
        <f t="shared" ca="1" si="381"/>
        <v>0</v>
      </c>
      <c r="BS95" s="154">
        <f t="shared" ca="1" si="382"/>
        <v>0</v>
      </c>
      <c r="BT95" s="154">
        <f t="shared" ca="1" si="383"/>
        <v>0</v>
      </c>
      <c r="BU95" s="154">
        <f t="shared" ca="1" si="384"/>
        <v>0</v>
      </c>
      <c r="BV95" s="154">
        <f t="shared" ca="1" si="385"/>
        <v>0</v>
      </c>
      <c r="BW95" s="154">
        <f t="shared" ca="1" si="386"/>
        <v>0</v>
      </c>
      <c r="BX95" s="154">
        <f t="shared" ca="1" si="387"/>
        <v>0</v>
      </c>
      <c r="BY95" s="154">
        <f t="shared" ca="1" si="388"/>
        <v>0</v>
      </c>
      <c r="BZ95" s="154">
        <f t="shared" si="433"/>
        <v>0</v>
      </c>
      <c r="CA95" s="154">
        <f t="shared" si="434"/>
        <v>0</v>
      </c>
      <c r="CB95" s="154">
        <f t="shared" ca="1" si="435"/>
        <v>0</v>
      </c>
      <c r="CC95" s="523"/>
      <c r="CD95" s="355">
        <f t="shared" si="389"/>
        <v>120</v>
      </c>
      <c r="CE95" s="751" t="str">
        <f t="shared" ca="1" si="390"/>
        <v>B</v>
      </c>
      <c r="CF95" s="355" t="str">
        <f t="shared" ca="1" si="440"/>
        <v/>
      </c>
      <c r="CG95" s="268">
        <f>IF(ZS_SE_VIEW,SUM(
IF(ZS_AKADEMIE="",0,IF(HLOOKUP(ZS_AKADEMIE,PROFMAGIE,$CD95,FALSE)&gt;0,1,0)),
IF(AND(ZS_IAAK="Ja",IF(HLOOKUP(Tabellen_Magie!$IK$1,PROFMAGIE,$CD95,FALSE)&gt;0,TRUE,FALSE)),1,0)),0)</f>
        <v>0</v>
      </c>
      <c r="CH95" s="268"/>
      <c r="CI95" s="269">
        <f t="shared" ca="1" si="391"/>
        <v>0</v>
      </c>
      <c r="CJ95" s="269">
        <f t="shared" ca="1" si="392"/>
        <v>0</v>
      </c>
      <c r="CK95" s="268"/>
      <c r="CL95" s="268"/>
      <c r="CM95" s="268">
        <f t="shared" ca="1" si="327"/>
        <v>0</v>
      </c>
      <c r="CN95" s="269">
        <f t="shared" ca="1" si="328"/>
        <v>0</v>
      </c>
      <c r="CO95" s="268" t="str">
        <f t="shared" ca="1" si="393"/>
        <v>B</v>
      </c>
      <c r="CP95" s="269" t="b">
        <f t="shared" ca="1" si="394"/>
        <v>1</v>
      </c>
      <c r="CQ95" s="269">
        <f t="shared" si="395"/>
        <v>0</v>
      </c>
      <c r="CR95" s="269">
        <f t="shared" si="396"/>
        <v>0</v>
      </c>
      <c r="CS95" s="269">
        <f t="shared" ca="1" si="397"/>
        <v>0</v>
      </c>
      <c r="CT95" s="302" t="str">
        <f t="shared" ca="1" si="398"/>
        <v>0</v>
      </c>
      <c r="CU95" s="269">
        <f t="shared" ca="1" si="399"/>
        <v>0</v>
      </c>
      <c r="CV95" s="268"/>
      <c r="CW95" s="269">
        <f t="shared" ca="1" si="400"/>
        <v>0</v>
      </c>
      <c r="CX95" s="301">
        <f t="shared" ca="1" si="401"/>
        <v>0</v>
      </c>
      <c r="CY95" s="301">
        <f t="shared" ca="1" si="329"/>
        <v>0</v>
      </c>
      <c r="CZ95" s="301">
        <f t="shared" ca="1" si="402"/>
        <v>0</v>
      </c>
      <c r="DA95" s="301">
        <f t="shared" ca="1" si="403"/>
        <v>0</v>
      </c>
      <c r="DB95" t="str">
        <f t="shared" ref="DB95:DB100" si="444">IF(CG95&gt;0,CG95 &amp; " SE aus Zweit-/Drittstudium","")</f>
        <v/>
      </c>
      <c r="DC95" s="301" t="str">
        <f t="shared" ca="1" si="404"/>
        <v/>
      </c>
      <c r="DD95" s="1337" t="str">
        <f t="shared" ca="1" si="436"/>
        <v/>
      </c>
      <c r="DE95" s="1337" t="str">
        <f t="shared" ca="1" si="437"/>
        <v/>
      </c>
      <c r="DG95" s="269" t="str">
        <f t="shared" ca="1" si="405"/>
        <v>Tabellen_Andere!BA81:BF81</v>
      </c>
      <c r="DH95" s="269" t="str">
        <f t="shared" si="438"/>
        <v>Tabellen_Andere!BA81:BF81</v>
      </c>
      <c r="DI95" s="269" t="str">
        <f ca="1">IF(NOT(ISERR(FIND(A95,Abfragen!$O$264,1))),MID(Abfragen!$O$264,FIND("(",Abfragen!$O$264,FIND(A95,Abfragen!$O$264,1)+LEN(A95))+1,FIND(")",Abfragen!$O$264,FIND(A95,Abfragen!$O$264,1)+LEN(A95))-FIND("(",Abfragen!$O$264,FIND(A95,Abfragen!$O$264,1)+LEN(A95))-1),"")</f>
        <v/>
      </c>
      <c r="DJ95" s="301" t="str">
        <f t="shared" ca="1" si="406"/>
        <v>B</v>
      </c>
      <c r="DK95" s="301" t="str">
        <f t="shared" ca="1" si="407"/>
        <v>B</v>
      </c>
      <c r="DL95" s="301" t="str">
        <f t="shared" ca="1" si="408"/>
        <v>B</v>
      </c>
      <c r="DM95" s="301" t="str">
        <f t="shared" ca="1" si="409"/>
        <v>B</v>
      </c>
      <c r="DN95" s="301" t="str">
        <f t="shared" ca="1" si="410"/>
        <v>B</v>
      </c>
      <c r="DO95" s="301" t="str">
        <f t="shared" ca="1" si="411"/>
        <v>B</v>
      </c>
      <c r="DP95" s="301" t="str">
        <f t="shared" ca="1" si="412"/>
        <v>B</v>
      </c>
      <c r="DQ95" s="301" t="str">
        <f t="shared" ca="1" si="413"/>
        <v>B</v>
      </c>
      <c r="DR95" s="301" t="str">
        <f t="shared" ca="1" si="414"/>
        <v>B</v>
      </c>
      <c r="DS95" s="301" t="str">
        <f t="shared" ca="1" si="415"/>
        <v>B</v>
      </c>
      <c r="DT95" s="301" t="str">
        <f t="shared" ca="1" si="416"/>
        <v>B</v>
      </c>
      <c r="DU95" s="301" t="str">
        <f t="shared" ca="1" si="417"/>
        <v>B</v>
      </c>
      <c r="DV95" s="301" t="str">
        <f t="shared" ca="1" si="418"/>
        <v>B</v>
      </c>
      <c r="DW95" s="301" t="str">
        <f t="shared" ca="1" si="419"/>
        <v>B</v>
      </c>
      <c r="DX95" s="301" t="str">
        <f t="shared" ca="1" si="420"/>
        <v>B</v>
      </c>
      <c r="DY95" s="301" t="str">
        <f t="shared" ca="1" si="421"/>
        <v>B</v>
      </c>
      <c r="DZ95" s="301" t="str">
        <f t="shared" ca="1" si="422"/>
        <v>B</v>
      </c>
      <c r="EA95" s="301" t="str">
        <f t="shared" ca="1" si="423"/>
        <v>B</v>
      </c>
      <c r="EB95" s="301" t="str">
        <f t="shared" ca="1" si="424"/>
        <v>B</v>
      </c>
      <c r="EC95" s="301" t="str">
        <f t="shared" ca="1" si="425"/>
        <v>B</v>
      </c>
      <c r="ED95" s="301" t="str">
        <f t="shared" ca="1" si="426"/>
        <v>B</v>
      </c>
      <c r="EE95" s="301" t="str">
        <f t="shared" ca="1" si="427"/>
        <v>B</v>
      </c>
      <c r="EF95" s="301">
        <f t="shared" si="428"/>
        <v>0</v>
      </c>
      <c r="EG95" s="301" t="str">
        <f t="shared" ca="1" si="441"/>
        <v>B</v>
      </c>
      <c r="EH95" s="301" t="str">
        <f t="shared" ca="1" si="441"/>
        <v>B</v>
      </c>
      <c r="EI95" s="301" t="str">
        <f t="shared" ca="1" si="441"/>
        <v>B</v>
      </c>
      <c r="EJ95" s="301" t="str">
        <f t="shared" ca="1" si="441"/>
        <v>B</v>
      </c>
      <c r="EK95" s="301" t="str">
        <f t="shared" ca="1" si="441"/>
        <v>B</v>
      </c>
      <c r="EL95" s="301" t="str">
        <f t="shared" ca="1" si="441"/>
        <v>B</v>
      </c>
      <c r="EM95" s="301" t="str">
        <f t="shared" ca="1" si="441"/>
        <v>B</v>
      </c>
      <c r="EN95" s="301" t="str">
        <f t="shared" ca="1" si="441"/>
        <v>B</v>
      </c>
      <c r="EO95" s="301" t="str">
        <f t="shared" ca="1" si="441"/>
        <v>B</v>
      </c>
      <c r="EP95" s="301" t="str">
        <f t="shared" ca="1" si="441"/>
        <v>B</v>
      </c>
      <c r="EQ95" s="301" t="str">
        <f t="shared" ca="1" si="442"/>
        <v>B</v>
      </c>
      <c r="ER95" s="301" t="str">
        <f t="shared" ca="1" si="442"/>
        <v>B</v>
      </c>
      <c r="ES95" s="301" t="str">
        <f t="shared" ca="1" si="442"/>
        <v>B</v>
      </c>
      <c r="ET95" s="301" t="str">
        <f t="shared" ca="1" si="442"/>
        <v>B</v>
      </c>
      <c r="EU95" s="301" t="str">
        <f t="shared" ca="1" si="442"/>
        <v>B</v>
      </c>
      <c r="EV95" s="301" t="str">
        <f t="shared" ca="1" si="442"/>
        <v>B</v>
      </c>
      <c r="EW95" s="301" t="str">
        <f t="shared" ca="1" si="442"/>
        <v>B</v>
      </c>
      <c r="EX95" s="301" t="str">
        <f t="shared" ca="1" si="442"/>
        <v>B</v>
      </c>
      <c r="EY95" s="301" t="str">
        <f t="shared" ca="1" si="442"/>
        <v>B</v>
      </c>
      <c r="EZ95" s="301" t="str">
        <f t="shared" ca="1" si="442"/>
        <v>B</v>
      </c>
      <c r="FA95" s="301" t="str">
        <f t="shared" ca="1" si="443"/>
        <v>B</v>
      </c>
      <c r="FB95" s="301" t="str">
        <f t="shared" ca="1" si="443"/>
        <v>B</v>
      </c>
      <c r="FC95" s="301" t="str">
        <f t="shared" ca="1" si="443"/>
        <v>B</v>
      </c>
      <c r="FD95" s="301" t="str">
        <f t="shared" ca="1" si="443"/>
        <v>B</v>
      </c>
      <c r="FE95" s="301" t="str">
        <f t="shared" ca="1" si="443"/>
        <v>B</v>
      </c>
      <c r="FF95" s="301" t="str">
        <f t="shared" ca="1" si="443"/>
        <v>B</v>
      </c>
      <c r="FG95" s="301" t="str">
        <f t="shared" ca="1" si="443"/>
        <v>B</v>
      </c>
      <c r="FH95" s="301" t="str">
        <f t="shared" ca="1" si="443"/>
        <v>B</v>
      </c>
      <c r="FI95" s="301" t="str">
        <f t="shared" ca="1" si="443"/>
        <v>B</v>
      </c>
      <c r="FJ95" s="301" t="str">
        <f t="shared" ca="1" si="443"/>
        <v>B</v>
      </c>
      <c r="FK95" s="301" t="str">
        <f t="shared" ca="1" si="443"/>
        <v>B</v>
      </c>
      <c r="FL95" s="301" t="str">
        <f t="shared" ca="1" si="443"/>
        <v>B</v>
      </c>
    </row>
    <row r="96" spans="1:168" x14ac:dyDescent="0.2">
      <c r="A96" s="24" t="str">
        <f t="shared" si="432"/>
        <v>Philosophie</v>
      </c>
      <c r="B96" s="317" t="str">
        <f t="shared" ca="1" si="330"/>
        <v/>
      </c>
      <c r="C96" s="332" t="str">
        <f t="shared" ca="1" si="439"/>
        <v/>
      </c>
      <c r="D96" s="1110"/>
      <c r="E96" s="966"/>
      <c r="F96" s="325"/>
      <c r="G96" s="958"/>
      <c r="H96" s="1196"/>
      <c r="I96" s="326"/>
      <c r="J96" s="1886" t="str">
        <f t="shared" ca="1" si="332"/>
        <v/>
      </c>
      <c r="K96" s="1887"/>
      <c r="L96" s="1887"/>
      <c r="M96" s="1887"/>
      <c r="N96" s="1888"/>
      <c r="O96" s="613" t="str">
        <f t="shared" ca="1" si="333"/>
        <v/>
      </c>
      <c r="P96" s="90"/>
      <c r="Q96" s="25"/>
      <c r="R96" s="1313"/>
      <c r="S96" s="1313"/>
      <c r="T96" s="1315"/>
      <c r="U96" s="1283"/>
      <c r="V96" s="628" t="str">
        <f t="shared" ca="1" si="334"/>
        <v/>
      </c>
      <c r="W96" s="164">
        <f t="shared" ca="1" si="335"/>
        <v>0</v>
      </c>
      <c r="X96" s="164">
        <f t="shared" ca="1" si="336"/>
        <v>0</v>
      </c>
      <c r="Y96" s="164">
        <f t="shared" ca="1" si="337"/>
        <v>0</v>
      </c>
      <c r="Z96" s="164">
        <f t="shared" ca="1" si="338"/>
        <v>0</v>
      </c>
      <c r="AA96" s="164">
        <f t="shared" ca="1" si="339"/>
        <v>0</v>
      </c>
      <c r="AB96" s="164">
        <f t="shared" ca="1" si="340"/>
        <v>0</v>
      </c>
      <c r="AC96" s="164">
        <f t="shared" ca="1" si="341"/>
        <v>0</v>
      </c>
      <c r="AD96" s="164">
        <f t="shared" ca="1" si="342"/>
        <v>0</v>
      </c>
      <c r="AE96" s="164">
        <f t="shared" ca="1" si="343"/>
        <v>0</v>
      </c>
      <c r="AF96" s="164">
        <f t="shared" ca="1" si="344"/>
        <v>0</v>
      </c>
      <c r="AG96" s="164">
        <f t="shared" ca="1" si="345"/>
        <v>0</v>
      </c>
      <c r="AH96" s="164">
        <f t="shared" ca="1" si="346"/>
        <v>0</v>
      </c>
      <c r="AI96" s="164">
        <f t="shared" ca="1" si="347"/>
        <v>0</v>
      </c>
      <c r="AJ96" s="164">
        <f t="shared" ca="1" si="348"/>
        <v>0</v>
      </c>
      <c r="AK96" s="164">
        <f t="shared" ca="1" si="349"/>
        <v>0</v>
      </c>
      <c r="AL96" s="164">
        <f t="shared" ca="1" si="350"/>
        <v>0</v>
      </c>
      <c r="AM96" s="164">
        <f t="shared" ca="1" si="351"/>
        <v>0</v>
      </c>
      <c r="AN96" s="164">
        <f t="shared" ca="1" si="352"/>
        <v>0</v>
      </c>
      <c r="AO96" s="164">
        <f t="shared" ca="1" si="353"/>
        <v>0</v>
      </c>
      <c r="AP96" s="164">
        <f t="shared" ca="1" si="354"/>
        <v>0</v>
      </c>
      <c r="AQ96" s="164">
        <f t="shared" ca="1" si="355"/>
        <v>0</v>
      </c>
      <c r="AR96" s="164">
        <f t="shared" ca="1" si="356"/>
        <v>0</v>
      </c>
      <c r="AS96" s="195"/>
      <c r="AT96" s="154">
        <f t="shared" ca="1" si="357"/>
        <v>0</v>
      </c>
      <c r="AU96" s="154">
        <f t="shared" ca="1" si="358"/>
        <v>0</v>
      </c>
      <c r="AV96" s="154">
        <f t="shared" ca="1" si="359"/>
        <v>0</v>
      </c>
      <c r="AW96" s="154">
        <f t="shared" ca="1" si="360"/>
        <v>0</v>
      </c>
      <c r="AX96" s="154">
        <f t="shared" ca="1" si="361"/>
        <v>0</v>
      </c>
      <c r="AY96" s="154">
        <f t="shared" ca="1" si="362"/>
        <v>0</v>
      </c>
      <c r="AZ96" s="154">
        <f t="shared" ca="1" si="363"/>
        <v>0</v>
      </c>
      <c r="BA96" s="154">
        <f t="shared" ca="1" si="364"/>
        <v>0</v>
      </c>
      <c r="BB96" s="154">
        <f t="shared" ca="1" si="365"/>
        <v>0</v>
      </c>
      <c r="BC96" s="154">
        <f t="shared" ca="1" si="366"/>
        <v>0</v>
      </c>
      <c r="BD96" s="154">
        <f t="shared" ca="1" si="367"/>
        <v>0</v>
      </c>
      <c r="BE96" s="154">
        <f t="shared" ca="1" si="368"/>
        <v>0</v>
      </c>
      <c r="BF96" s="154">
        <f t="shared" ca="1" si="369"/>
        <v>0</v>
      </c>
      <c r="BG96" s="154">
        <f t="shared" ca="1" si="370"/>
        <v>0</v>
      </c>
      <c r="BH96" s="154">
        <f t="shared" ca="1" si="371"/>
        <v>0</v>
      </c>
      <c r="BI96" s="154">
        <f t="shared" ca="1" si="372"/>
        <v>0</v>
      </c>
      <c r="BJ96" s="154">
        <f t="shared" ca="1" si="373"/>
        <v>0</v>
      </c>
      <c r="BK96" s="154">
        <f t="shared" ca="1" si="374"/>
        <v>0</v>
      </c>
      <c r="BL96" s="154">
        <f t="shared" ca="1" si="375"/>
        <v>0</v>
      </c>
      <c r="BM96" s="154">
        <f t="shared" ca="1" si="376"/>
        <v>0</v>
      </c>
      <c r="BN96" s="154">
        <f t="shared" ca="1" si="377"/>
        <v>0</v>
      </c>
      <c r="BO96" s="154">
        <f t="shared" ca="1" si="378"/>
        <v>0</v>
      </c>
      <c r="BP96" s="154">
        <f t="shared" ca="1" si="379"/>
        <v>0</v>
      </c>
      <c r="BQ96" s="154">
        <f t="shared" ca="1" si="380"/>
        <v>0</v>
      </c>
      <c r="BR96" s="154">
        <f t="shared" ca="1" si="381"/>
        <v>0</v>
      </c>
      <c r="BS96" s="154">
        <f t="shared" ca="1" si="382"/>
        <v>0</v>
      </c>
      <c r="BT96" s="154">
        <f t="shared" ca="1" si="383"/>
        <v>0</v>
      </c>
      <c r="BU96" s="154">
        <f t="shared" ca="1" si="384"/>
        <v>0</v>
      </c>
      <c r="BV96" s="154">
        <f t="shared" ca="1" si="385"/>
        <v>0</v>
      </c>
      <c r="BW96" s="154">
        <f t="shared" ca="1" si="386"/>
        <v>0</v>
      </c>
      <c r="BX96" s="154">
        <f t="shared" ca="1" si="387"/>
        <v>0</v>
      </c>
      <c r="BY96" s="154">
        <f t="shared" ca="1" si="388"/>
        <v>0</v>
      </c>
      <c r="BZ96" s="154">
        <f t="shared" si="433"/>
        <v>0</v>
      </c>
      <c r="CA96" s="154">
        <f t="shared" si="434"/>
        <v>0</v>
      </c>
      <c r="CB96" s="154">
        <f t="shared" ca="1" si="435"/>
        <v>0</v>
      </c>
      <c r="CC96" s="523"/>
      <c r="CD96" s="355">
        <f t="shared" si="389"/>
        <v>121</v>
      </c>
      <c r="CE96" s="751" t="str">
        <f t="shared" ca="1" si="390"/>
        <v>B</v>
      </c>
      <c r="CF96" s="355" t="str">
        <f t="shared" ca="1" si="440"/>
        <v/>
      </c>
      <c r="CG96" s="268">
        <f>IF(ZS_SE_VIEW,SUM(
IF(ZS_AKADEMIE="",0,IF(HLOOKUP(ZS_AKADEMIE,PROFMAGIE,$CD96,FALSE)&gt;0,1,0)),
IF(AND(ZS_IAAK="Ja",IF(HLOOKUP(Tabellen_Magie!$IK$1,PROFMAGIE,$CD96,FALSE)&gt;0,TRUE,FALSE)),1,0)),0)</f>
        <v>0</v>
      </c>
      <c r="CH96" s="268"/>
      <c r="CI96" s="269">
        <f t="shared" ca="1" si="391"/>
        <v>0</v>
      </c>
      <c r="CJ96" s="269">
        <f t="shared" ca="1" si="392"/>
        <v>0</v>
      </c>
      <c r="CK96" s="268"/>
      <c r="CL96" s="268"/>
      <c r="CM96" s="268">
        <f t="shared" ca="1" si="327"/>
        <v>0</v>
      </c>
      <c r="CN96" s="269">
        <f t="shared" ca="1" si="328"/>
        <v>0</v>
      </c>
      <c r="CO96" s="268" t="str">
        <f t="shared" ca="1" si="393"/>
        <v>B</v>
      </c>
      <c r="CP96" s="269" t="b">
        <f t="shared" ca="1" si="394"/>
        <v>1</v>
      </c>
      <c r="CQ96" s="269">
        <f t="shared" si="395"/>
        <v>0</v>
      </c>
      <c r="CR96" s="269">
        <f t="shared" si="396"/>
        <v>0</v>
      </c>
      <c r="CS96" s="269">
        <f t="shared" ca="1" si="397"/>
        <v>0</v>
      </c>
      <c r="CT96" s="302" t="str">
        <f t="shared" ca="1" si="398"/>
        <v>0</v>
      </c>
      <c r="CU96" s="269">
        <f t="shared" ca="1" si="399"/>
        <v>0</v>
      </c>
      <c r="CV96" s="268"/>
      <c r="CW96" s="269">
        <f t="shared" ca="1" si="400"/>
        <v>0</v>
      </c>
      <c r="CX96" s="301">
        <f t="shared" ca="1" si="401"/>
        <v>0</v>
      </c>
      <c r="CY96" s="301">
        <f t="shared" ca="1" si="329"/>
        <v>0</v>
      </c>
      <c r="CZ96" s="301">
        <f t="shared" ca="1" si="402"/>
        <v>0</v>
      </c>
      <c r="DA96" s="301">
        <f t="shared" ca="1" si="403"/>
        <v>0</v>
      </c>
      <c r="DB96" t="str">
        <f t="shared" si="444"/>
        <v/>
      </c>
      <c r="DC96" s="301" t="str">
        <f t="shared" ca="1" si="404"/>
        <v/>
      </c>
      <c r="DD96" s="1337" t="str">
        <f t="shared" ca="1" si="436"/>
        <v/>
      </c>
      <c r="DE96" s="1337" t="str">
        <f t="shared" ca="1" si="437"/>
        <v/>
      </c>
      <c r="DG96" s="269" t="str">
        <f t="shared" ca="1" si="405"/>
        <v>Tabellen_Andere!BA82:BF82</v>
      </c>
      <c r="DH96" s="269" t="str">
        <f t="shared" si="438"/>
        <v>Tabellen_Andere!BA82:BF82</v>
      </c>
      <c r="DI96" s="269" t="str">
        <f ca="1">IF(NOT(ISERR(FIND(A96,Abfragen!$O$264,1))),MID(Abfragen!$O$264,FIND("(",Abfragen!$O$264,FIND(A96,Abfragen!$O$264,1)+LEN(A96))+1,FIND(")",Abfragen!$O$264,FIND(A96,Abfragen!$O$264,1)+LEN(A96))-FIND("(",Abfragen!$O$264,FIND(A96,Abfragen!$O$264,1)+LEN(A96))-1),"")</f>
        <v/>
      </c>
      <c r="DJ96" s="301" t="str">
        <f t="shared" ca="1" si="406"/>
        <v>B</v>
      </c>
      <c r="DK96" s="301" t="str">
        <f t="shared" ca="1" si="407"/>
        <v>B</v>
      </c>
      <c r="DL96" s="301" t="str">
        <f t="shared" ca="1" si="408"/>
        <v>B</v>
      </c>
      <c r="DM96" s="301" t="str">
        <f t="shared" ca="1" si="409"/>
        <v>B</v>
      </c>
      <c r="DN96" s="301" t="str">
        <f t="shared" ca="1" si="410"/>
        <v>B</v>
      </c>
      <c r="DO96" s="301" t="str">
        <f t="shared" ca="1" si="411"/>
        <v>B</v>
      </c>
      <c r="DP96" s="301" t="str">
        <f t="shared" ca="1" si="412"/>
        <v>B</v>
      </c>
      <c r="DQ96" s="301" t="str">
        <f t="shared" ca="1" si="413"/>
        <v>B</v>
      </c>
      <c r="DR96" s="301" t="str">
        <f t="shared" ca="1" si="414"/>
        <v>B</v>
      </c>
      <c r="DS96" s="301" t="str">
        <f t="shared" ca="1" si="415"/>
        <v>B</v>
      </c>
      <c r="DT96" s="301" t="str">
        <f t="shared" ca="1" si="416"/>
        <v>B</v>
      </c>
      <c r="DU96" s="301" t="str">
        <f t="shared" ca="1" si="417"/>
        <v>B</v>
      </c>
      <c r="DV96" s="301" t="str">
        <f t="shared" ca="1" si="418"/>
        <v>B</v>
      </c>
      <c r="DW96" s="301" t="str">
        <f t="shared" ca="1" si="419"/>
        <v>B</v>
      </c>
      <c r="DX96" s="301" t="str">
        <f t="shared" ca="1" si="420"/>
        <v>B</v>
      </c>
      <c r="DY96" s="301" t="str">
        <f t="shared" ca="1" si="421"/>
        <v>B</v>
      </c>
      <c r="DZ96" s="301" t="str">
        <f t="shared" ca="1" si="422"/>
        <v>B</v>
      </c>
      <c r="EA96" s="301" t="str">
        <f t="shared" ca="1" si="423"/>
        <v>B</v>
      </c>
      <c r="EB96" s="301" t="str">
        <f t="shared" ca="1" si="424"/>
        <v>B</v>
      </c>
      <c r="EC96" s="301" t="str">
        <f t="shared" ca="1" si="425"/>
        <v>B</v>
      </c>
      <c r="ED96" s="301" t="str">
        <f t="shared" ca="1" si="426"/>
        <v>B</v>
      </c>
      <c r="EE96" s="301" t="str">
        <f t="shared" ca="1" si="427"/>
        <v>B</v>
      </c>
      <c r="EF96" s="301">
        <f t="shared" si="428"/>
        <v>0</v>
      </c>
      <c r="EG96" s="301" t="str">
        <f t="shared" ca="1" si="441"/>
        <v>B</v>
      </c>
      <c r="EH96" s="301" t="str">
        <f t="shared" ca="1" si="441"/>
        <v>B</v>
      </c>
      <c r="EI96" s="301" t="str">
        <f t="shared" ca="1" si="441"/>
        <v>B</v>
      </c>
      <c r="EJ96" s="301" t="str">
        <f t="shared" ca="1" si="441"/>
        <v>B</v>
      </c>
      <c r="EK96" s="301" t="str">
        <f t="shared" ca="1" si="441"/>
        <v>B</v>
      </c>
      <c r="EL96" s="301" t="str">
        <f t="shared" ca="1" si="441"/>
        <v>B</v>
      </c>
      <c r="EM96" s="301" t="str">
        <f t="shared" ca="1" si="441"/>
        <v>B</v>
      </c>
      <c r="EN96" s="301" t="str">
        <f t="shared" ca="1" si="441"/>
        <v>B</v>
      </c>
      <c r="EO96" s="301" t="str">
        <f t="shared" ca="1" si="441"/>
        <v>B</v>
      </c>
      <c r="EP96" s="301" t="str">
        <f t="shared" ca="1" si="441"/>
        <v>B</v>
      </c>
      <c r="EQ96" s="301" t="str">
        <f t="shared" ca="1" si="442"/>
        <v>B</v>
      </c>
      <c r="ER96" s="301" t="str">
        <f t="shared" ca="1" si="442"/>
        <v>B</v>
      </c>
      <c r="ES96" s="301" t="str">
        <f t="shared" ca="1" si="442"/>
        <v>B</v>
      </c>
      <c r="ET96" s="301" t="str">
        <f t="shared" ca="1" si="442"/>
        <v>B</v>
      </c>
      <c r="EU96" s="301" t="str">
        <f t="shared" ca="1" si="442"/>
        <v>B</v>
      </c>
      <c r="EV96" s="301" t="str">
        <f t="shared" ca="1" si="442"/>
        <v>B</v>
      </c>
      <c r="EW96" s="301" t="str">
        <f t="shared" ca="1" si="442"/>
        <v>B</v>
      </c>
      <c r="EX96" s="301" t="str">
        <f t="shared" ca="1" si="442"/>
        <v>B</v>
      </c>
      <c r="EY96" s="301" t="str">
        <f t="shared" ca="1" si="442"/>
        <v>B</v>
      </c>
      <c r="EZ96" s="301" t="str">
        <f t="shared" ca="1" si="442"/>
        <v>B</v>
      </c>
      <c r="FA96" s="301" t="str">
        <f t="shared" ca="1" si="443"/>
        <v>B</v>
      </c>
      <c r="FB96" s="301" t="str">
        <f t="shared" ca="1" si="443"/>
        <v>B</v>
      </c>
      <c r="FC96" s="301" t="str">
        <f t="shared" ca="1" si="443"/>
        <v>B</v>
      </c>
      <c r="FD96" s="301" t="str">
        <f t="shared" ca="1" si="443"/>
        <v>B</v>
      </c>
      <c r="FE96" s="301" t="str">
        <f t="shared" ca="1" si="443"/>
        <v>B</v>
      </c>
      <c r="FF96" s="301" t="str">
        <f t="shared" ca="1" si="443"/>
        <v>B</v>
      </c>
      <c r="FG96" s="301" t="str">
        <f t="shared" ca="1" si="443"/>
        <v>B</v>
      </c>
      <c r="FH96" s="301" t="str">
        <f t="shared" ca="1" si="443"/>
        <v>B</v>
      </c>
      <c r="FI96" s="301" t="str">
        <f t="shared" ca="1" si="443"/>
        <v>B</v>
      </c>
      <c r="FJ96" s="301" t="str">
        <f t="shared" ca="1" si="443"/>
        <v>B</v>
      </c>
      <c r="FK96" s="301" t="str">
        <f t="shared" ca="1" si="443"/>
        <v>B</v>
      </c>
      <c r="FL96" s="301" t="str">
        <f t="shared" ca="1" si="443"/>
        <v>B</v>
      </c>
    </row>
    <row r="97" spans="1:168" x14ac:dyDescent="0.2">
      <c r="A97" s="24" t="str">
        <f t="shared" si="432"/>
        <v>Rechnen</v>
      </c>
      <c r="B97" s="317">
        <f t="shared" ca="1" si="330"/>
        <v>0</v>
      </c>
      <c r="C97" s="332" t="s">
        <v>1321</v>
      </c>
      <c r="D97" s="1110"/>
      <c r="E97" s="966"/>
      <c r="F97" s="325"/>
      <c r="G97" s="958"/>
      <c r="H97" s="1196"/>
      <c r="I97" s="326"/>
      <c r="J97" s="1886" t="str">
        <f t="shared" ca="1" si="332"/>
        <v/>
      </c>
      <c r="K97" s="1887"/>
      <c r="L97" s="1887"/>
      <c r="M97" s="1887"/>
      <c r="N97" s="1888"/>
      <c r="O97" s="613">
        <f t="shared" ca="1" si="333"/>
        <v>0</v>
      </c>
      <c r="P97" s="90"/>
      <c r="Q97" s="25"/>
      <c r="R97" s="1313"/>
      <c r="S97" s="1313"/>
      <c r="T97" s="1315"/>
      <c r="U97" s="1283"/>
      <c r="V97" s="628" t="str">
        <f t="shared" ca="1" si="334"/>
        <v/>
      </c>
      <c r="W97" s="164">
        <f t="shared" ca="1" si="335"/>
        <v>0</v>
      </c>
      <c r="X97" s="164">
        <f t="shared" ca="1" si="336"/>
        <v>0</v>
      </c>
      <c r="Y97" s="164">
        <f t="shared" ca="1" si="337"/>
        <v>0</v>
      </c>
      <c r="Z97" s="164">
        <f t="shared" ca="1" si="338"/>
        <v>0</v>
      </c>
      <c r="AA97" s="164">
        <f t="shared" ca="1" si="339"/>
        <v>0</v>
      </c>
      <c r="AB97" s="164">
        <f t="shared" ca="1" si="340"/>
        <v>0</v>
      </c>
      <c r="AC97" s="164">
        <f t="shared" ca="1" si="341"/>
        <v>0</v>
      </c>
      <c r="AD97" s="164">
        <f t="shared" ca="1" si="342"/>
        <v>0</v>
      </c>
      <c r="AE97" s="164">
        <f t="shared" ca="1" si="343"/>
        <v>0</v>
      </c>
      <c r="AF97" s="164">
        <f t="shared" ca="1" si="344"/>
        <v>0</v>
      </c>
      <c r="AG97" s="164">
        <f t="shared" ca="1" si="345"/>
        <v>0</v>
      </c>
      <c r="AH97" s="164">
        <f t="shared" ca="1" si="346"/>
        <v>0</v>
      </c>
      <c r="AI97" s="164">
        <f t="shared" ca="1" si="347"/>
        <v>0</v>
      </c>
      <c r="AJ97" s="164">
        <f t="shared" ca="1" si="348"/>
        <v>0</v>
      </c>
      <c r="AK97" s="164">
        <f t="shared" ca="1" si="349"/>
        <v>0</v>
      </c>
      <c r="AL97" s="164">
        <f t="shared" ca="1" si="350"/>
        <v>0</v>
      </c>
      <c r="AM97" s="164">
        <f t="shared" ca="1" si="351"/>
        <v>0</v>
      </c>
      <c r="AN97" s="164">
        <f t="shared" ca="1" si="352"/>
        <v>0</v>
      </c>
      <c r="AO97" s="164">
        <f t="shared" ca="1" si="353"/>
        <v>0</v>
      </c>
      <c r="AP97" s="164">
        <f t="shared" ca="1" si="354"/>
        <v>0</v>
      </c>
      <c r="AQ97" s="164">
        <f t="shared" ca="1" si="355"/>
        <v>0</v>
      </c>
      <c r="AR97" s="164">
        <f t="shared" ca="1" si="356"/>
        <v>0</v>
      </c>
      <c r="AS97" s="195"/>
      <c r="AT97" s="154">
        <f t="shared" ca="1" si="357"/>
        <v>0</v>
      </c>
      <c r="AU97" s="154">
        <f t="shared" ca="1" si="358"/>
        <v>0</v>
      </c>
      <c r="AV97" s="154">
        <f t="shared" ca="1" si="359"/>
        <v>0</v>
      </c>
      <c r="AW97" s="154">
        <f t="shared" ca="1" si="360"/>
        <v>0</v>
      </c>
      <c r="AX97" s="154">
        <f t="shared" ca="1" si="361"/>
        <v>0</v>
      </c>
      <c r="AY97" s="154">
        <f t="shared" ca="1" si="362"/>
        <v>0</v>
      </c>
      <c r="AZ97" s="154">
        <f t="shared" ca="1" si="363"/>
        <v>0</v>
      </c>
      <c r="BA97" s="154">
        <f t="shared" ca="1" si="364"/>
        <v>0</v>
      </c>
      <c r="BB97" s="154">
        <f t="shared" ca="1" si="365"/>
        <v>0</v>
      </c>
      <c r="BC97" s="154">
        <f t="shared" ca="1" si="366"/>
        <v>0</v>
      </c>
      <c r="BD97" s="154">
        <f t="shared" ca="1" si="367"/>
        <v>0</v>
      </c>
      <c r="BE97" s="154">
        <f t="shared" ca="1" si="368"/>
        <v>0</v>
      </c>
      <c r="BF97" s="154">
        <f t="shared" ca="1" si="369"/>
        <v>0</v>
      </c>
      <c r="BG97" s="154">
        <f t="shared" ca="1" si="370"/>
        <v>0</v>
      </c>
      <c r="BH97" s="154">
        <f t="shared" ca="1" si="371"/>
        <v>0</v>
      </c>
      <c r="BI97" s="154">
        <f t="shared" ca="1" si="372"/>
        <v>0</v>
      </c>
      <c r="BJ97" s="154">
        <f t="shared" ca="1" si="373"/>
        <v>0</v>
      </c>
      <c r="BK97" s="154">
        <f t="shared" ca="1" si="374"/>
        <v>0</v>
      </c>
      <c r="BL97" s="154">
        <f t="shared" ca="1" si="375"/>
        <v>0</v>
      </c>
      <c r="BM97" s="154">
        <f t="shared" ca="1" si="376"/>
        <v>0</v>
      </c>
      <c r="BN97" s="154">
        <f t="shared" ca="1" si="377"/>
        <v>0</v>
      </c>
      <c r="BO97" s="154">
        <f t="shared" ca="1" si="378"/>
        <v>0</v>
      </c>
      <c r="BP97" s="154">
        <f t="shared" ca="1" si="379"/>
        <v>0</v>
      </c>
      <c r="BQ97" s="154">
        <f t="shared" ca="1" si="380"/>
        <v>0</v>
      </c>
      <c r="BR97" s="154">
        <f t="shared" ca="1" si="381"/>
        <v>0</v>
      </c>
      <c r="BS97" s="154">
        <f t="shared" ca="1" si="382"/>
        <v>0</v>
      </c>
      <c r="BT97" s="154">
        <f t="shared" ca="1" si="383"/>
        <v>0</v>
      </c>
      <c r="BU97" s="154">
        <f t="shared" ca="1" si="384"/>
        <v>0</v>
      </c>
      <c r="BV97" s="154">
        <f t="shared" ca="1" si="385"/>
        <v>0</v>
      </c>
      <c r="BW97" s="154">
        <f t="shared" ca="1" si="386"/>
        <v>0</v>
      </c>
      <c r="BX97" s="154">
        <f t="shared" ca="1" si="387"/>
        <v>0</v>
      </c>
      <c r="BY97" s="154">
        <f t="shared" ca="1" si="388"/>
        <v>0</v>
      </c>
      <c r="BZ97" s="154">
        <f t="shared" si="433"/>
        <v>0</v>
      </c>
      <c r="CA97" s="154">
        <f t="shared" si="434"/>
        <v>0</v>
      </c>
      <c r="CB97" s="154">
        <f t="shared" ca="1" si="435"/>
        <v>0</v>
      </c>
      <c r="CC97" s="523"/>
      <c r="CD97" s="355">
        <f t="shared" si="389"/>
        <v>122</v>
      </c>
      <c r="CE97" s="751" t="str">
        <f t="shared" ca="1" si="390"/>
        <v>B</v>
      </c>
      <c r="CF97" s="355"/>
      <c r="CG97" s="268">
        <f>IF(ZS_SE_VIEW,SUM(
IF(ZS_AKADEMIE="",0,IF(HLOOKUP(ZS_AKADEMIE,PROFMAGIE,$CD97,FALSE)&gt;0,1,0)),
IF(AND(ZS_IAAK="Ja",IF(HLOOKUP(Tabellen_Magie!$IK$1,PROFMAGIE,$CD97,FALSE)&gt;0,TRUE,FALSE)),1,0)),0)</f>
        <v>0</v>
      </c>
      <c r="CH97" s="268"/>
      <c r="CI97" s="269">
        <f t="shared" ca="1" si="391"/>
        <v>0</v>
      </c>
      <c r="CJ97" s="269">
        <f t="shared" ca="1" si="392"/>
        <v>0</v>
      </c>
      <c r="CK97" s="268"/>
      <c r="CL97" s="268"/>
      <c r="CM97" s="268">
        <f t="shared" ca="1" si="327"/>
        <v>0</v>
      </c>
      <c r="CN97" s="269">
        <f t="shared" ca="1" si="328"/>
        <v>0</v>
      </c>
      <c r="CO97" s="268" t="str">
        <f t="shared" ca="1" si="393"/>
        <v>B</v>
      </c>
      <c r="CP97" s="269" t="b">
        <f t="shared" ca="1" si="394"/>
        <v>1</v>
      </c>
      <c r="CQ97" s="269">
        <f t="shared" si="395"/>
        <v>0</v>
      </c>
      <c r="CR97" s="269">
        <f t="shared" si="396"/>
        <v>0</v>
      </c>
      <c r="CS97" s="269">
        <f t="shared" ca="1" si="397"/>
        <v>0</v>
      </c>
      <c r="CT97" s="302" t="str">
        <f t="shared" ca="1" si="398"/>
        <v>0</v>
      </c>
      <c r="CU97" s="269">
        <f t="shared" ca="1" si="399"/>
        <v>0</v>
      </c>
      <c r="CV97" s="268"/>
      <c r="CW97" s="269">
        <f t="shared" ca="1" si="400"/>
        <v>0</v>
      </c>
      <c r="CX97" s="301">
        <f t="shared" ca="1" si="401"/>
        <v>0</v>
      </c>
      <c r="CY97" s="301">
        <f t="shared" ca="1" si="329"/>
        <v>0</v>
      </c>
      <c r="CZ97" s="301">
        <f t="shared" ca="1" si="402"/>
        <v>0</v>
      </c>
      <c r="DA97" s="301">
        <f t="shared" ca="1" si="403"/>
        <v>0</v>
      </c>
      <c r="DB97" t="str">
        <f t="shared" si="444"/>
        <v/>
      </c>
      <c r="DC97" s="301" t="str">
        <f t="shared" ca="1" si="404"/>
        <v/>
      </c>
      <c r="DD97" s="1337" t="str">
        <f t="shared" ca="1" si="436"/>
        <v/>
      </c>
      <c r="DE97" s="1337" t="str">
        <f t="shared" ca="1" si="437"/>
        <v/>
      </c>
      <c r="DG97" s="269" t="str">
        <f t="shared" ca="1" si="405"/>
        <v>Tabellen_Andere!BA84:BF84</v>
      </c>
      <c r="DH97" s="269" t="str">
        <f t="shared" si="438"/>
        <v>Tabellen_Andere!BA84:BF84</v>
      </c>
      <c r="DI97" s="269" t="str">
        <f ca="1">IF(NOT(ISERR(FIND(A97,Abfragen!$O$264,1))),MID(Abfragen!$O$264,FIND("(",Abfragen!$O$264,FIND(A97,Abfragen!$O$264,1)+LEN(A97))+1,FIND(")",Abfragen!$O$264,FIND(A97,Abfragen!$O$264,1)+LEN(A97))-FIND("(",Abfragen!$O$264,FIND(A97,Abfragen!$O$264,1)+LEN(A97))-1),"")</f>
        <v/>
      </c>
      <c r="DJ97" s="301" t="str">
        <f t="shared" ca="1" si="406"/>
        <v>B</v>
      </c>
      <c r="DK97" s="301" t="str">
        <f t="shared" ca="1" si="407"/>
        <v>B</v>
      </c>
      <c r="DL97" s="301" t="str">
        <f t="shared" ca="1" si="408"/>
        <v>B</v>
      </c>
      <c r="DM97" s="301" t="str">
        <f t="shared" ca="1" si="409"/>
        <v>B</v>
      </c>
      <c r="DN97" s="301" t="str">
        <f t="shared" ca="1" si="410"/>
        <v>B</v>
      </c>
      <c r="DO97" s="301" t="str">
        <f t="shared" ca="1" si="411"/>
        <v>B</v>
      </c>
      <c r="DP97" s="301" t="str">
        <f t="shared" ca="1" si="412"/>
        <v>B</v>
      </c>
      <c r="DQ97" s="301" t="str">
        <f t="shared" ca="1" si="413"/>
        <v>B</v>
      </c>
      <c r="DR97" s="301" t="str">
        <f t="shared" ca="1" si="414"/>
        <v>B</v>
      </c>
      <c r="DS97" s="301" t="str">
        <f t="shared" ca="1" si="415"/>
        <v>B</v>
      </c>
      <c r="DT97" s="301" t="str">
        <f t="shared" ca="1" si="416"/>
        <v>B</v>
      </c>
      <c r="DU97" s="301" t="str">
        <f t="shared" ca="1" si="417"/>
        <v>B</v>
      </c>
      <c r="DV97" s="301" t="str">
        <f t="shared" ca="1" si="418"/>
        <v>B</v>
      </c>
      <c r="DW97" s="301" t="str">
        <f t="shared" ca="1" si="419"/>
        <v>B</v>
      </c>
      <c r="DX97" s="301" t="str">
        <f t="shared" ca="1" si="420"/>
        <v>B</v>
      </c>
      <c r="DY97" s="301" t="str">
        <f t="shared" ca="1" si="421"/>
        <v>B</v>
      </c>
      <c r="DZ97" s="301" t="str">
        <f t="shared" ca="1" si="422"/>
        <v>B</v>
      </c>
      <c r="EA97" s="301" t="str">
        <f t="shared" ca="1" si="423"/>
        <v>B</v>
      </c>
      <c r="EB97" s="301" t="str">
        <f t="shared" ca="1" si="424"/>
        <v>B</v>
      </c>
      <c r="EC97" s="301" t="str">
        <f t="shared" ca="1" si="425"/>
        <v>B</v>
      </c>
      <c r="ED97" s="301" t="str">
        <f t="shared" ca="1" si="426"/>
        <v>B</v>
      </c>
      <c r="EE97" s="301" t="str">
        <f t="shared" ca="1" si="427"/>
        <v>B</v>
      </c>
      <c r="EF97" s="301">
        <f t="shared" si="428"/>
        <v>0</v>
      </c>
      <c r="EG97" s="301" t="str">
        <f t="shared" ca="1" si="441"/>
        <v>B</v>
      </c>
      <c r="EH97" s="301" t="str">
        <f t="shared" ca="1" si="441"/>
        <v>B</v>
      </c>
      <c r="EI97" s="301" t="str">
        <f t="shared" ca="1" si="441"/>
        <v>B</v>
      </c>
      <c r="EJ97" s="301" t="str">
        <f t="shared" ca="1" si="441"/>
        <v>B</v>
      </c>
      <c r="EK97" s="301" t="str">
        <f t="shared" ca="1" si="441"/>
        <v>B</v>
      </c>
      <c r="EL97" s="301" t="str">
        <f t="shared" ca="1" si="441"/>
        <v>B</v>
      </c>
      <c r="EM97" s="301" t="str">
        <f t="shared" ca="1" si="441"/>
        <v>B</v>
      </c>
      <c r="EN97" s="301" t="str">
        <f t="shared" ca="1" si="441"/>
        <v>B</v>
      </c>
      <c r="EO97" s="301" t="str">
        <f t="shared" ca="1" si="441"/>
        <v>B</v>
      </c>
      <c r="EP97" s="301" t="str">
        <f t="shared" ca="1" si="441"/>
        <v>B</v>
      </c>
      <c r="EQ97" s="301" t="str">
        <f t="shared" ca="1" si="442"/>
        <v>B</v>
      </c>
      <c r="ER97" s="301" t="str">
        <f t="shared" ca="1" si="442"/>
        <v>B</v>
      </c>
      <c r="ES97" s="301" t="str">
        <f t="shared" ca="1" si="442"/>
        <v>B</v>
      </c>
      <c r="ET97" s="301" t="str">
        <f t="shared" ca="1" si="442"/>
        <v>B</v>
      </c>
      <c r="EU97" s="301" t="str">
        <f t="shared" ca="1" si="442"/>
        <v>B</v>
      </c>
      <c r="EV97" s="301" t="str">
        <f t="shared" ca="1" si="442"/>
        <v>B</v>
      </c>
      <c r="EW97" s="301" t="str">
        <f t="shared" ca="1" si="442"/>
        <v>B</v>
      </c>
      <c r="EX97" s="301" t="str">
        <f t="shared" ca="1" si="442"/>
        <v>B</v>
      </c>
      <c r="EY97" s="301" t="str">
        <f t="shared" ca="1" si="442"/>
        <v>B</v>
      </c>
      <c r="EZ97" s="301" t="str">
        <f t="shared" ca="1" si="442"/>
        <v>B</v>
      </c>
      <c r="FA97" s="301" t="str">
        <f t="shared" ca="1" si="443"/>
        <v>B</v>
      </c>
      <c r="FB97" s="301" t="str">
        <f t="shared" ca="1" si="443"/>
        <v>B</v>
      </c>
      <c r="FC97" s="301" t="str">
        <f t="shared" ca="1" si="443"/>
        <v>B</v>
      </c>
      <c r="FD97" s="301" t="str">
        <f t="shared" ca="1" si="443"/>
        <v>B</v>
      </c>
      <c r="FE97" s="301" t="str">
        <f t="shared" ca="1" si="443"/>
        <v>B</v>
      </c>
      <c r="FF97" s="301" t="str">
        <f t="shared" ca="1" si="443"/>
        <v>B</v>
      </c>
      <c r="FG97" s="301" t="str">
        <f t="shared" ca="1" si="443"/>
        <v>B</v>
      </c>
      <c r="FH97" s="301" t="str">
        <f t="shared" ca="1" si="443"/>
        <v>B</v>
      </c>
      <c r="FI97" s="301" t="str">
        <f t="shared" ca="1" si="443"/>
        <v>B</v>
      </c>
      <c r="FJ97" s="301" t="str">
        <f t="shared" ca="1" si="443"/>
        <v>B</v>
      </c>
      <c r="FK97" s="301" t="str">
        <f t="shared" ca="1" si="443"/>
        <v>B</v>
      </c>
      <c r="FL97" s="301" t="str">
        <f t="shared" ca="1" si="443"/>
        <v>B</v>
      </c>
    </row>
    <row r="98" spans="1:168" x14ac:dyDescent="0.2">
      <c r="A98" s="24" t="str">
        <f t="shared" si="432"/>
        <v>Rechtskunde</v>
      </c>
      <c r="B98" s="317" t="str">
        <f t="shared" ca="1" si="330"/>
        <v/>
      </c>
      <c r="C98" s="332" t="str">
        <f ca="1">IF(OR(NOT(ISBLANK(D98)),NOT(ISBLANK(HLOOKUP(RASSEGENE,RASSE,$CD98,FALSE))),
NOT(ISBLANK(HLOOKUP(KULTURGENE,KULTUR,$CD98,FALSE))),
NOT(OR(ISBLANK(HLOOKUP(PROFGENE,INDIRECT(PROFGEBIET),$CD98,FALSE)),$CS98="N",$CS98="M")),
IF(PROFZWEITE="",FALSE,NOT(ISBLANK(HLOOKUP(PROFZWEITE,INDIRECT(PROFGEBIET2),$CD98,FALSE))))),"x","")</f>
        <v/>
      </c>
      <c r="D98" s="1110"/>
      <c r="E98" s="966"/>
      <c r="F98" s="325"/>
      <c r="G98" s="958"/>
      <c r="H98" s="1196"/>
      <c r="I98" s="326"/>
      <c r="J98" s="1886" t="str">
        <f t="shared" ca="1" si="332"/>
        <v/>
      </c>
      <c r="K98" s="1887"/>
      <c r="L98" s="1887"/>
      <c r="M98" s="1887"/>
      <c r="N98" s="1888"/>
      <c r="O98" s="613" t="str">
        <f t="shared" ca="1" si="333"/>
        <v/>
      </c>
      <c r="P98" s="90"/>
      <c r="Q98" s="25"/>
      <c r="R98" s="1313"/>
      <c r="S98" s="1313"/>
      <c r="T98" s="1315"/>
      <c r="U98" s="1283"/>
      <c r="V98" s="628" t="str">
        <f t="shared" ca="1" si="334"/>
        <v/>
      </c>
      <c r="W98" s="164">
        <f t="shared" ca="1" si="335"/>
        <v>0</v>
      </c>
      <c r="X98" s="164">
        <f t="shared" ca="1" si="336"/>
        <v>0</v>
      </c>
      <c r="Y98" s="164">
        <f t="shared" ca="1" si="337"/>
        <v>0</v>
      </c>
      <c r="Z98" s="164">
        <f t="shared" ca="1" si="338"/>
        <v>0</v>
      </c>
      <c r="AA98" s="164">
        <f t="shared" ca="1" si="339"/>
        <v>0</v>
      </c>
      <c r="AB98" s="164">
        <f t="shared" ca="1" si="340"/>
        <v>0</v>
      </c>
      <c r="AC98" s="164">
        <f t="shared" ca="1" si="341"/>
        <v>0</v>
      </c>
      <c r="AD98" s="164">
        <f t="shared" ca="1" si="342"/>
        <v>0</v>
      </c>
      <c r="AE98" s="164">
        <f t="shared" ca="1" si="343"/>
        <v>0</v>
      </c>
      <c r="AF98" s="164">
        <f t="shared" ca="1" si="344"/>
        <v>0</v>
      </c>
      <c r="AG98" s="164">
        <f t="shared" ca="1" si="345"/>
        <v>0</v>
      </c>
      <c r="AH98" s="164">
        <f t="shared" ca="1" si="346"/>
        <v>0</v>
      </c>
      <c r="AI98" s="164">
        <f t="shared" ca="1" si="347"/>
        <v>0</v>
      </c>
      <c r="AJ98" s="164">
        <f t="shared" ca="1" si="348"/>
        <v>0</v>
      </c>
      <c r="AK98" s="164">
        <f t="shared" ca="1" si="349"/>
        <v>0</v>
      </c>
      <c r="AL98" s="164">
        <f t="shared" ca="1" si="350"/>
        <v>0</v>
      </c>
      <c r="AM98" s="164">
        <f t="shared" ca="1" si="351"/>
        <v>0</v>
      </c>
      <c r="AN98" s="164">
        <f t="shared" ca="1" si="352"/>
        <v>0</v>
      </c>
      <c r="AO98" s="164">
        <f t="shared" ca="1" si="353"/>
        <v>0</v>
      </c>
      <c r="AP98" s="164">
        <f t="shared" ca="1" si="354"/>
        <v>0</v>
      </c>
      <c r="AQ98" s="164">
        <f t="shared" ca="1" si="355"/>
        <v>0</v>
      </c>
      <c r="AR98" s="164">
        <f t="shared" ca="1" si="356"/>
        <v>0</v>
      </c>
      <c r="AS98" s="195"/>
      <c r="AT98" s="154">
        <f t="shared" ca="1" si="357"/>
        <v>0</v>
      </c>
      <c r="AU98" s="154">
        <f t="shared" ca="1" si="358"/>
        <v>0</v>
      </c>
      <c r="AV98" s="154">
        <f t="shared" ca="1" si="359"/>
        <v>0</v>
      </c>
      <c r="AW98" s="154">
        <f t="shared" ca="1" si="360"/>
        <v>0</v>
      </c>
      <c r="AX98" s="154">
        <f t="shared" ca="1" si="361"/>
        <v>0</v>
      </c>
      <c r="AY98" s="154">
        <f t="shared" ca="1" si="362"/>
        <v>0</v>
      </c>
      <c r="AZ98" s="154">
        <f t="shared" ca="1" si="363"/>
        <v>0</v>
      </c>
      <c r="BA98" s="154">
        <f t="shared" ca="1" si="364"/>
        <v>0</v>
      </c>
      <c r="BB98" s="154">
        <f t="shared" ca="1" si="365"/>
        <v>0</v>
      </c>
      <c r="BC98" s="154">
        <f t="shared" ca="1" si="366"/>
        <v>0</v>
      </c>
      <c r="BD98" s="154">
        <f t="shared" ca="1" si="367"/>
        <v>0</v>
      </c>
      <c r="BE98" s="154">
        <f t="shared" ca="1" si="368"/>
        <v>0</v>
      </c>
      <c r="BF98" s="154">
        <f t="shared" ca="1" si="369"/>
        <v>0</v>
      </c>
      <c r="BG98" s="154">
        <f t="shared" ca="1" si="370"/>
        <v>0</v>
      </c>
      <c r="BH98" s="154">
        <f t="shared" ca="1" si="371"/>
        <v>0</v>
      </c>
      <c r="BI98" s="154">
        <f t="shared" ca="1" si="372"/>
        <v>0</v>
      </c>
      <c r="BJ98" s="154">
        <f t="shared" ca="1" si="373"/>
        <v>0</v>
      </c>
      <c r="BK98" s="154">
        <f t="shared" ca="1" si="374"/>
        <v>0</v>
      </c>
      <c r="BL98" s="154">
        <f t="shared" ca="1" si="375"/>
        <v>0</v>
      </c>
      <c r="BM98" s="154">
        <f t="shared" ca="1" si="376"/>
        <v>0</v>
      </c>
      <c r="BN98" s="154">
        <f t="shared" ca="1" si="377"/>
        <v>0</v>
      </c>
      <c r="BO98" s="154">
        <f t="shared" ca="1" si="378"/>
        <v>0</v>
      </c>
      <c r="BP98" s="154">
        <f t="shared" ca="1" si="379"/>
        <v>0</v>
      </c>
      <c r="BQ98" s="154">
        <f t="shared" ca="1" si="380"/>
        <v>0</v>
      </c>
      <c r="BR98" s="154">
        <f t="shared" ca="1" si="381"/>
        <v>0</v>
      </c>
      <c r="BS98" s="154">
        <f t="shared" ca="1" si="382"/>
        <v>0</v>
      </c>
      <c r="BT98" s="154">
        <f t="shared" ca="1" si="383"/>
        <v>0</v>
      </c>
      <c r="BU98" s="154">
        <f t="shared" ca="1" si="384"/>
        <v>0</v>
      </c>
      <c r="BV98" s="154">
        <f t="shared" ca="1" si="385"/>
        <v>0</v>
      </c>
      <c r="BW98" s="154">
        <f t="shared" ca="1" si="386"/>
        <v>0</v>
      </c>
      <c r="BX98" s="154">
        <f t="shared" ca="1" si="387"/>
        <v>0</v>
      </c>
      <c r="BY98" s="154">
        <f t="shared" ca="1" si="388"/>
        <v>0</v>
      </c>
      <c r="BZ98" s="154">
        <f t="shared" si="433"/>
        <v>0</v>
      </c>
      <c r="CA98" s="154">
        <f t="shared" si="434"/>
        <v>0</v>
      </c>
      <c r="CB98" s="154">
        <f t="shared" ca="1" si="435"/>
        <v>0</v>
      </c>
      <c r="CC98" s="523"/>
      <c r="CD98" s="355">
        <f t="shared" si="389"/>
        <v>123</v>
      </c>
      <c r="CE98" s="751" t="str">
        <f t="shared" ca="1" si="390"/>
        <v>B</v>
      </c>
      <c r="CF98" s="355" t="str">
        <f ca="1">IF(EXACT($B98,""),$CF96,CONCATENATE($CF96,$A98))</f>
        <v/>
      </c>
      <c r="CG98" s="268">
        <f>IF(ZS_SE_VIEW,SUM(
IF(ZS_AKADEMIE="",0,IF(HLOOKUP(ZS_AKADEMIE,PROFMAGIE,$CD98,FALSE)&gt;0,1,0)),
IF(AND(ZS_IAAK="Ja",IF(HLOOKUP(Tabellen_Magie!$IK$1,PROFMAGIE,$CD98,FALSE)&gt;0,TRUE,FALSE)),1,0)),0)</f>
        <v>0</v>
      </c>
      <c r="CH98" s="268"/>
      <c r="CI98" s="269">
        <f t="shared" ca="1" si="391"/>
        <v>0</v>
      </c>
      <c r="CJ98" s="269">
        <f t="shared" ca="1" si="392"/>
        <v>0</v>
      </c>
      <c r="CK98" s="268"/>
      <c r="CL98" s="268"/>
      <c r="CM98" s="268">
        <f t="shared" ca="1" si="327"/>
        <v>0</v>
      </c>
      <c r="CN98" s="269">
        <f t="shared" ca="1" si="328"/>
        <v>0</v>
      </c>
      <c r="CO98" s="268" t="str">
        <f t="shared" ca="1" si="393"/>
        <v>B</v>
      </c>
      <c r="CP98" s="269" t="b">
        <f t="shared" ca="1" si="394"/>
        <v>1</v>
      </c>
      <c r="CQ98" s="269">
        <f t="shared" si="395"/>
        <v>0</v>
      </c>
      <c r="CR98" s="269">
        <f t="shared" si="396"/>
        <v>0</v>
      </c>
      <c r="CS98" s="269">
        <f t="shared" ca="1" si="397"/>
        <v>0</v>
      </c>
      <c r="CT98" s="302" t="str">
        <f t="shared" ca="1" si="398"/>
        <v>0</v>
      </c>
      <c r="CU98" s="269">
        <f t="shared" ca="1" si="399"/>
        <v>0</v>
      </c>
      <c r="CV98" s="268"/>
      <c r="CW98" s="269">
        <f t="shared" ca="1" si="400"/>
        <v>0</v>
      </c>
      <c r="CX98" s="301">
        <f t="shared" ca="1" si="401"/>
        <v>0</v>
      </c>
      <c r="CY98" s="301">
        <f t="shared" ca="1" si="329"/>
        <v>0</v>
      </c>
      <c r="CZ98" s="301">
        <f t="shared" ca="1" si="402"/>
        <v>0</v>
      </c>
      <c r="DA98" s="301">
        <f t="shared" ca="1" si="403"/>
        <v>0</v>
      </c>
      <c r="DB98" t="str">
        <f t="shared" si="444"/>
        <v/>
      </c>
      <c r="DC98" s="301" t="str">
        <f t="shared" ca="1" si="404"/>
        <v/>
      </c>
      <c r="DD98" s="1337" t="str">
        <f t="shared" ca="1" si="436"/>
        <v/>
      </c>
      <c r="DE98" s="1337" t="str">
        <f t="shared" ca="1" si="437"/>
        <v/>
      </c>
      <c r="DG98" s="269" t="str">
        <f t="shared" ca="1" si="405"/>
        <v>Tabellen_Andere!BA85:BF85</v>
      </c>
      <c r="DH98" s="269" t="str">
        <f t="shared" si="438"/>
        <v>Tabellen_Andere!BA85:BF85</v>
      </c>
      <c r="DI98" s="269" t="str">
        <f ca="1">IF(NOT(ISERR(FIND(A98,Abfragen!$O$264,1))),MID(Abfragen!$O$264,FIND("(",Abfragen!$O$264,FIND(A98,Abfragen!$O$264,1)+LEN(A98))+1,FIND(")",Abfragen!$O$264,FIND(A98,Abfragen!$O$264,1)+LEN(A98))-FIND("(",Abfragen!$O$264,FIND(A98,Abfragen!$O$264,1)+LEN(A98))-1),"")</f>
        <v/>
      </c>
      <c r="DJ98" s="301" t="str">
        <f t="shared" ca="1" si="406"/>
        <v>B</v>
      </c>
      <c r="DK98" s="301" t="str">
        <f t="shared" ca="1" si="407"/>
        <v>B</v>
      </c>
      <c r="DL98" s="301" t="str">
        <f t="shared" ca="1" si="408"/>
        <v>B</v>
      </c>
      <c r="DM98" s="301" t="str">
        <f t="shared" ca="1" si="409"/>
        <v>B</v>
      </c>
      <c r="DN98" s="301" t="str">
        <f t="shared" ca="1" si="410"/>
        <v>B</v>
      </c>
      <c r="DO98" s="301" t="str">
        <f t="shared" ca="1" si="411"/>
        <v>B</v>
      </c>
      <c r="DP98" s="301" t="str">
        <f t="shared" ca="1" si="412"/>
        <v>B</v>
      </c>
      <c r="DQ98" s="301" t="str">
        <f t="shared" ca="1" si="413"/>
        <v>B</v>
      </c>
      <c r="DR98" s="301" t="str">
        <f t="shared" ca="1" si="414"/>
        <v>B</v>
      </c>
      <c r="DS98" s="301" t="str">
        <f t="shared" ca="1" si="415"/>
        <v>B</v>
      </c>
      <c r="DT98" s="301" t="str">
        <f t="shared" ca="1" si="416"/>
        <v>B</v>
      </c>
      <c r="DU98" s="301" t="str">
        <f t="shared" ca="1" si="417"/>
        <v>B</v>
      </c>
      <c r="DV98" s="301" t="str">
        <f t="shared" ca="1" si="418"/>
        <v>B</v>
      </c>
      <c r="DW98" s="301" t="str">
        <f t="shared" ca="1" si="419"/>
        <v>B</v>
      </c>
      <c r="DX98" s="301" t="str">
        <f t="shared" ca="1" si="420"/>
        <v>B</v>
      </c>
      <c r="DY98" s="301" t="str">
        <f t="shared" ca="1" si="421"/>
        <v>B</v>
      </c>
      <c r="DZ98" s="301" t="str">
        <f t="shared" ca="1" si="422"/>
        <v>B</v>
      </c>
      <c r="EA98" s="301" t="str">
        <f t="shared" ca="1" si="423"/>
        <v>B</v>
      </c>
      <c r="EB98" s="301" t="str">
        <f t="shared" ca="1" si="424"/>
        <v>B</v>
      </c>
      <c r="EC98" s="301" t="str">
        <f t="shared" ca="1" si="425"/>
        <v>B</v>
      </c>
      <c r="ED98" s="301" t="str">
        <f t="shared" ca="1" si="426"/>
        <v>B</v>
      </c>
      <c r="EE98" s="301" t="str">
        <f t="shared" ca="1" si="427"/>
        <v>B</v>
      </c>
      <c r="EF98" s="301">
        <f t="shared" si="428"/>
        <v>0</v>
      </c>
      <c r="EG98" s="301" t="str">
        <f t="shared" ca="1" si="441"/>
        <v>B</v>
      </c>
      <c r="EH98" s="301" t="str">
        <f t="shared" ca="1" si="441"/>
        <v>B</v>
      </c>
      <c r="EI98" s="301" t="str">
        <f t="shared" ca="1" si="441"/>
        <v>B</v>
      </c>
      <c r="EJ98" s="301" t="str">
        <f t="shared" ca="1" si="441"/>
        <v>B</v>
      </c>
      <c r="EK98" s="301" t="str">
        <f t="shared" ca="1" si="441"/>
        <v>B</v>
      </c>
      <c r="EL98" s="301" t="str">
        <f t="shared" ca="1" si="441"/>
        <v>B</v>
      </c>
      <c r="EM98" s="301" t="str">
        <f t="shared" ca="1" si="441"/>
        <v>B</v>
      </c>
      <c r="EN98" s="301" t="str">
        <f t="shared" ca="1" si="441"/>
        <v>B</v>
      </c>
      <c r="EO98" s="301" t="str">
        <f t="shared" ca="1" si="441"/>
        <v>B</v>
      </c>
      <c r="EP98" s="301" t="str">
        <f t="shared" ca="1" si="441"/>
        <v>B</v>
      </c>
      <c r="EQ98" s="301" t="str">
        <f t="shared" ca="1" si="442"/>
        <v>B</v>
      </c>
      <c r="ER98" s="301" t="str">
        <f t="shared" ca="1" si="442"/>
        <v>B</v>
      </c>
      <c r="ES98" s="301" t="str">
        <f t="shared" ca="1" si="442"/>
        <v>B</v>
      </c>
      <c r="ET98" s="301" t="str">
        <f t="shared" ca="1" si="442"/>
        <v>B</v>
      </c>
      <c r="EU98" s="301" t="str">
        <f t="shared" ca="1" si="442"/>
        <v>B</v>
      </c>
      <c r="EV98" s="301" t="str">
        <f t="shared" ca="1" si="442"/>
        <v>B</v>
      </c>
      <c r="EW98" s="301" t="str">
        <f t="shared" ca="1" si="442"/>
        <v>B</v>
      </c>
      <c r="EX98" s="301" t="str">
        <f t="shared" ca="1" si="442"/>
        <v>B</v>
      </c>
      <c r="EY98" s="301" t="str">
        <f t="shared" ca="1" si="442"/>
        <v>B</v>
      </c>
      <c r="EZ98" s="301" t="str">
        <f t="shared" ca="1" si="442"/>
        <v>B</v>
      </c>
      <c r="FA98" s="301" t="str">
        <f t="shared" ca="1" si="443"/>
        <v>B</v>
      </c>
      <c r="FB98" s="301" t="str">
        <f t="shared" ca="1" si="443"/>
        <v>B</v>
      </c>
      <c r="FC98" s="301" t="str">
        <f t="shared" ca="1" si="443"/>
        <v>B</v>
      </c>
      <c r="FD98" s="301" t="str">
        <f t="shared" ca="1" si="443"/>
        <v>B</v>
      </c>
      <c r="FE98" s="301" t="str">
        <f t="shared" ca="1" si="443"/>
        <v>B</v>
      </c>
      <c r="FF98" s="301" t="str">
        <f t="shared" ca="1" si="443"/>
        <v>B</v>
      </c>
      <c r="FG98" s="301" t="str">
        <f t="shared" ca="1" si="443"/>
        <v>B</v>
      </c>
      <c r="FH98" s="301" t="str">
        <f t="shared" ca="1" si="443"/>
        <v>B</v>
      </c>
      <c r="FI98" s="301" t="str">
        <f t="shared" ca="1" si="443"/>
        <v>B</v>
      </c>
      <c r="FJ98" s="301" t="str">
        <f t="shared" ca="1" si="443"/>
        <v>B</v>
      </c>
      <c r="FK98" s="301" t="str">
        <f t="shared" ca="1" si="443"/>
        <v>B</v>
      </c>
      <c r="FL98" s="301" t="str">
        <f t="shared" ca="1" si="443"/>
        <v>B</v>
      </c>
    </row>
    <row r="99" spans="1:168" x14ac:dyDescent="0.2">
      <c r="A99" s="24" t="str">
        <f t="shared" si="432"/>
        <v>Sagen/Legenden</v>
      </c>
      <c r="B99" s="317">
        <f t="shared" ca="1" si="330"/>
        <v>0</v>
      </c>
      <c r="C99" s="332" t="s">
        <v>1321</v>
      </c>
      <c r="D99" s="1110"/>
      <c r="E99" s="966"/>
      <c r="F99" s="325"/>
      <c r="G99" s="958"/>
      <c r="H99" s="1196"/>
      <c r="I99" s="326"/>
      <c r="J99" s="1886" t="str">
        <f t="shared" ca="1" si="332"/>
        <v/>
      </c>
      <c r="K99" s="1887"/>
      <c r="L99" s="1887"/>
      <c r="M99" s="1887"/>
      <c r="N99" s="1888"/>
      <c r="O99" s="613">
        <f t="shared" ca="1" si="333"/>
        <v>0</v>
      </c>
      <c r="P99" s="90"/>
      <c r="Q99" s="25"/>
      <c r="R99" s="1313"/>
      <c r="S99" s="1313"/>
      <c r="T99" s="1315"/>
      <c r="U99" s="1283"/>
      <c r="V99" s="628" t="str">
        <f t="shared" ca="1" si="334"/>
        <v/>
      </c>
      <c r="W99" s="164">
        <f t="shared" ca="1" si="335"/>
        <v>0</v>
      </c>
      <c r="X99" s="164">
        <f t="shared" ca="1" si="336"/>
        <v>0</v>
      </c>
      <c r="Y99" s="164">
        <f t="shared" ca="1" si="337"/>
        <v>0</v>
      </c>
      <c r="Z99" s="164">
        <f t="shared" ca="1" si="338"/>
        <v>0</v>
      </c>
      <c r="AA99" s="164">
        <f t="shared" ca="1" si="339"/>
        <v>0</v>
      </c>
      <c r="AB99" s="164">
        <f t="shared" ca="1" si="340"/>
        <v>0</v>
      </c>
      <c r="AC99" s="164">
        <f t="shared" ca="1" si="341"/>
        <v>0</v>
      </c>
      <c r="AD99" s="164">
        <f t="shared" ca="1" si="342"/>
        <v>0</v>
      </c>
      <c r="AE99" s="164">
        <f t="shared" ca="1" si="343"/>
        <v>0</v>
      </c>
      <c r="AF99" s="164">
        <f t="shared" ca="1" si="344"/>
        <v>0</v>
      </c>
      <c r="AG99" s="164">
        <f t="shared" ca="1" si="345"/>
        <v>0</v>
      </c>
      <c r="AH99" s="164">
        <f t="shared" ca="1" si="346"/>
        <v>0</v>
      </c>
      <c r="AI99" s="164">
        <f t="shared" ca="1" si="347"/>
        <v>0</v>
      </c>
      <c r="AJ99" s="164">
        <f t="shared" ca="1" si="348"/>
        <v>0</v>
      </c>
      <c r="AK99" s="164">
        <f t="shared" ca="1" si="349"/>
        <v>0</v>
      </c>
      <c r="AL99" s="164">
        <f t="shared" ca="1" si="350"/>
        <v>0</v>
      </c>
      <c r="AM99" s="164">
        <f t="shared" ca="1" si="351"/>
        <v>0</v>
      </c>
      <c r="AN99" s="164">
        <f t="shared" ca="1" si="352"/>
        <v>0</v>
      </c>
      <c r="AO99" s="164">
        <f t="shared" ca="1" si="353"/>
        <v>0</v>
      </c>
      <c r="AP99" s="164">
        <f t="shared" ca="1" si="354"/>
        <v>0</v>
      </c>
      <c r="AQ99" s="164">
        <f t="shared" ca="1" si="355"/>
        <v>0</v>
      </c>
      <c r="AR99" s="164">
        <f t="shared" ca="1" si="356"/>
        <v>0</v>
      </c>
      <c r="AS99" s="195"/>
      <c r="AT99" s="154">
        <f t="shared" ca="1" si="357"/>
        <v>0</v>
      </c>
      <c r="AU99" s="154">
        <f t="shared" ca="1" si="358"/>
        <v>0</v>
      </c>
      <c r="AV99" s="154">
        <f t="shared" ca="1" si="359"/>
        <v>0</v>
      </c>
      <c r="AW99" s="154">
        <f t="shared" ca="1" si="360"/>
        <v>0</v>
      </c>
      <c r="AX99" s="154">
        <f t="shared" ca="1" si="361"/>
        <v>0</v>
      </c>
      <c r="AY99" s="154">
        <f t="shared" ca="1" si="362"/>
        <v>0</v>
      </c>
      <c r="AZ99" s="154">
        <f t="shared" ca="1" si="363"/>
        <v>0</v>
      </c>
      <c r="BA99" s="154">
        <f t="shared" ca="1" si="364"/>
        <v>0</v>
      </c>
      <c r="BB99" s="154">
        <f t="shared" ca="1" si="365"/>
        <v>0</v>
      </c>
      <c r="BC99" s="154">
        <f t="shared" ca="1" si="366"/>
        <v>0</v>
      </c>
      <c r="BD99" s="154">
        <f t="shared" ca="1" si="367"/>
        <v>0</v>
      </c>
      <c r="BE99" s="154">
        <f t="shared" ca="1" si="368"/>
        <v>0</v>
      </c>
      <c r="BF99" s="154">
        <f t="shared" ca="1" si="369"/>
        <v>0</v>
      </c>
      <c r="BG99" s="154">
        <f t="shared" ca="1" si="370"/>
        <v>0</v>
      </c>
      <c r="BH99" s="154">
        <f t="shared" ca="1" si="371"/>
        <v>0</v>
      </c>
      <c r="BI99" s="154">
        <f t="shared" ca="1" si="372"/>
        <v>0</v>
      </c>
      <c r="BJ99" s="154">
        <f t="shared" ca="1" si="373"/>
        <v>0</v>
      </c>
      <c r="BK99" s="154">
        <f t="shared" ca="1" si="374"/>
        <v>0</v>
      </c>
      <c r="BL99" s="154">
        <f t="shared" ca="1" si="375"/>
        <v>0</v>
      </c>
      <c r="BM99" s="154">
        <f t="shared" ca="1" si="376"/>
        <v>0</v>
      </c>
      <c r="BN99" s="154">
        <f t="shared" ca="1" si="377"/>
        <v>0</v>
      </c>
      <c r="BO99" s="154">
        <f t="shared" ca="1" si="378"/>
        <v>0</v>
      </c>
      <c r="BP99" s="154">
        <f t="shared" ca="1" si="379"/>
        <v>0</v>
      </c>
      <c r="BQ99" s="154">
        <f t="shared" ca="1" si="380"/>
        <v>0</v>
      </c>
      <c r="BR99" s="154">
        <f t="shared" ca="1" si="381"/>
        <v>0</v>
      </c>
      <c r="BS99" s="154">
        <f t="shared" ca="1" si="382"/>
        <v>0</v>
      </c>
      <c r="BT99" s="154">
        <f t="shared" ca="1" si="383"/>
        <v>0</v>
      </c>
      <c r="BU99" s="154">
        <f t="shared" ca="1" si="384"/>
        <v>0</v>
      </c>
      <c r="BV99" s="154">
        <f t="shared" ca="1" si="385"/>
        <v>0</v>
      </c>
      <c r="BW99" s="154">
        <f t="shared" ca="1" si="386"/>
        <v>0</v>
      </c>
      <c r="BX99" s="154">
        <f t="shared" ca="1" si="387"/>
        <v>0</v>
      </c>
      <c r="BY99" s="154">
        <f t="shared" ca="1" si="388"/>
        <v>0</v>
      </c>
      <c r="BZ99" s="154">
        <f t="shared" si="433"/>
        <v>0</v>
      </c>
      <c r="CA99" s="154">
        <f t="shared" si="434"/>
        <v>0</v>
      </c>
      <c r="CB99" s="154">
        <f t="shared" ca="1" si="435"/>
        <v>0</v>
      </c>
      <c r="CC99" s="523"/>
      <c r="CD99" s="355">
        <f t="shared" si="389"/>
        <v>124</v>
      </c>
      <c r="CE99" s="751" t="str">
        <f t="shared" ca="1" si="390"/>
        <v>B</v>
      </c>
      <c r="CF99" s="355"/>
      <c r="CG99" s="268">
        <f>IF(ZS_SE_VIEW,SUM(
IF(ZS_AKADEMIE="",0,IF(HLOOKUP(ZS_AKADEMIE,PROFMAGIE,$CD99,FALSE)&gt;0,1,0)),
IF(AND(ZS_IAAK="Ja",IF(HLOOKUP(Tabellen_Magie!$IK$1,PROFMAGIE,$CD99,FALSE)&gt;0,TRUE,FALSE)),1,0)),0)</f>
        <v>0</v>
      </c>
      <c r="CH99" s="268"/>
      <c r="CI99" s="269">
        <f t="shared" ca="1" si="391"/>
        <v>0</v>
      </c>
      <c r="CJ99" s="269">
        <f t="shared" ca="1" si="392"/>
        <v>0</v>
      </c>
      <c r="CK99" s="268"/>
      <c r="CL99" s="268"/>
      <c r="CM99" s="268">
        <f t="shared" ca="1" si="327"/>
        <v>0</v>
      </c>
      <c r="CN99" s="269">
        <f t="shared" ca="1" si="328"/>
        <v>0</v>
      </c>
      <c r="CO99" s="268" t="str">
        <f t="shared" ca="1" si="393"/>
        <v>B</v>
      </c>
      <c r="CP99" s="269" t="b">
        <f t="shared" ca="1" si="394"/>
        <v>1</v>
      </c>
      <c r="CQ99" s="269">
        <f t="shared" si="395"/>
        <v>0</v>
      </c>
      <c r="CR99" s="269">
        <f t="shared" si="396"/>
        <v>0</v>
      </c>
      <c r="CS99" s="269">
        <f t="shared" ca="1" si="397"/>
        <v>0</v>
      </c>
      <c r="CT99" s="302" t="str">
        <f t="shared" ca="1" si="398"/>
        <v>0</v>
      </c>
      <c r="CU99" s="269">
        <f t="shared" ca="1" si="399"/>
        <v>0</v>
      </c>
      <c r="CV99" s="268"/>
      <c r="CW99" s="269">
        <f t="shared" ca="1" si="400"/>
        <v>0</v>
      </c>
      <c r="CX99" s="301">
        <f t="shared" ca="1" si="401"/>
        <v>0</v>
      </c>
      <c r="CY99" s="301">
        <f t="shared" ca="1" si="329"/>
        <v>0</v>
      </c>
      <c r="CZ99" s="301">
        <f t="shared" ca="1" si="402"/>
        <v>0</v>
      </c>
      <c r="DA99" s="301">
        <f t="shared" ca="1" si="403"/>
        <v>0</v>
      </c>
      <c r="DB99" t="str">
        <f t="shared" si="444"/>
        <v/>
      </c>
      <c r="DC99" s="301" t="str">
        <f t="shared" ca="1" si="404"/>
        <v/>
      </c>
      <c r="DD99" s="1337" t="str">
        <f t="shared" ca="1" si="436"/>
        <v/>
      </c>
      <c r="DE99" s="1337" t="str">
        <f t="shared" ca="1" si="437"/>
        <v/>
      </c>
      <c r="DG99" s="269" t="str">
        <f ca="1">IF(DI99="",IF(VLOOKUP(A99,TALENTE_GP,4,FALSE)="Kultur","KULTUREN","Tabellen_Andere!BA"&amp;MATCH(A99,TALENTE)+1&amp;":BE"&amp;MATCH(A99,TALENTE)+1),ADDRESS(ROW(),COLUMN()+2,1,1))</f>
        <v>KULTUREN</v>
      </c>
      <c r="DH99" s="269" t="str">
        <f>IF(VLOOKUP(A99,TALENTE_GP,4,FALSE)="Kultur","KULTUREN","Tabellen_Andere!BA"&amp;MATCH(A99,TALENTE)+1&amp;":BE"&amp;MATCH(A99,TALENTE)+1)</f>
        <v>KULTUREN</v>
      </c>
      <c r="DI99" s="269" t="str">
        <f ca="1">IF(NOT(ISERR(FIND(A99,Abfragen!$O$264,1))),MID(Abfragen!$O$264,FIND("(",Abfragen!$O$264,FIND(A99,Abfragen!$O$264,1)+LEN(A99))+1,FIND(")",Abfragen!$O$264,FIND(A99,Abfragen!$O$264,1)+LEN(A99))-FIND("(",Abfragen!$O$264,FIND(A99,Abfragen!$O$264,1)+LEN(A99))-1),"")</f>
        <v/>
      </c>
      <c r="DJ99" s="301" t="str">
        <f t="shared" ca="1" si="406"/>
        <v>B</v>
      </c>
      <c r="DK99" s="301" t="str">
        <f t="shared" ca="1" si="407"/>
        <v>B</v>
      </c>
      <c r="DL99" s="301" t="str">
        <f t="shared" ca="1" si="408"/>
        <v>B</v>
      </c>
      <c r="DM99" s="301" t="str">
        <f t="shared" ca="1" si="409"/>
        <v>B</v>
      </c>
      <c r="DN99" s="301" t="str">
        <f t="shared" ca="1" si="410"/>
        <v>B</v>
      </c>
      <c r="DO99" s="301" t="str">
        <f t="shared" ca="1" si="411"/>
        <v>B</v>
      </c>
      <c r="DP99" s="301" t="str">
        <f t="shared" ca="1" si="412"/>
        <v>B</v>
      </c>
      <c r="DQ99" s="301" t="str">
        <f t="shared" ca="1" si="413"/>
        <v>B</v>
      </c>
      <c r="DR99" s="301" t="str">
        <f t="shared" ca="1" si="414"/>
        <v>B</v>
      </c>
      <c r="DS99" s="301" t="str">
        <f t="shared" ca="1" si="415"/>
        <v>B</v>
      </c>
      <c r="DT99" s="301" t="str">
        <f t="shared" ca="1" si="416"/>
        <v>B</v>
      </c>
      <c r="DU99" s="301" t="str">
        <f t="shared" ca="1" si="417"/>
        <v>B</v>
      </c>
      <c r="DV99" s="301" t="str">
        <f t="shared" ca="1" si="418"/>
        <v>B</v>
      </c>
      <c r="DW99" s="301" t="str">
        <f t="shared" ca="1" si="419"/>
        <v>B</v>
      </c>
      <c r="DX99" s="301" t="str">
        <f t="shared" ca="1" si="420"/>
        <v>B</v>
      </c>
      <c r="DY99" s="301" t="str">
        <f t="shared" ca="1" si="421"/>
        <v>B</v>
      </c>
      <c r="DZ99" s="301" t="str">
        <f t="shared" ca="1" si="422"/>
        <v>B</v>
      </c>
      <c r="EA99" s="301" t="str">
        <f t="shared" ca="1" si="423"/>
        <v>B</v>
      </c>
      <c r="EB99" s="301" t="str">
        <f t="shared" ca="1" si="424"/>
        <v>B</v>
      </c>
      <c r="EC99" s="301" t="str">
        <f t="shared" ca="1" si="425"/>
        <v>B</v>
      </c>
      <c r="ED99" s="301" t="str">
        <f t="shared" ca="1" si="426"/>
        <v>B</v>
      </c>
      <c r="EE99" s="301" t="str">
        <f t="shared" ca="1" si="427"/>
        <v>B</v>
      </c>
      <c r="EF99" s="301">
        <f t="shared" si="428"/>
        <v>0</v>
      </c>
      <c r="EG99" s="301" t="str">
        <f t="shared" ca="1" si="441"/>
        <v>B</v>
      </c>
      <c r="EH99" s="301" t="str">
        <f t="shared" ca="1" si="441"/>
        <v>B</v>
      </c>
      <c r="EI99" s="301" t="str">
        <f t="shared" ca="1" si="441"/>
        <v>B</v>
      </c>
      <c r="EJ99" s="301" t="str">
        <f t="shared" ca="1" si="441"/>
        <v>B</v>
      </c>
      <c r="EK99" s="301" t="str">
        <f t="shared" ca="1" si="441"/>
        <v>B</v>
      </c>
      <c r="EL99" s="301" t="str">
        <f t="shared" ca="1" si="441"/>
        <v>B</v>
      </c>
      <c r="EM99" s="301" t="str">
        <f t="shared" ca="1" si="441"/>
        <v>B</v>
      </c>
      <c r="EN99" s="301" t="str">
        <f t="shared" ca="1" si="441"/>
        <v>B</v>
      </c>
      <c r="EO99" s="301" t="str">
        <f t="shared" ca="1" si="441"/>
        <v>B</v>
      </c>
      <c r="EP99" s="301" t="str">
        <f t="shared" ca="1" si="441"/>
        <v>B</v>
      </c>
      <c r="EQ99" s="301" t="str">
        <f t="shared" ca="1" si="442"/>
        <v>B</v>
      </c>
      <c r="ER99" s="301" t="str">
        <f t="shared" ca="1" si="442"/>
        <v>B</v>
      </c>
      <c r="ES99" s="301" t="str">
        <f t="shared" ca="1" si="442"/>
        <v>B</v>
      </c>
      <c r="ET99" s="301" t="str">
        <f t="shared" ca="1" si="442"/>
        <v>B</v>
      </c>
      <c r="EU99" s="301" t="str">
        <f t="shared" ca="1" si="442"/>
        <v>B</v>
      </c>
      <c r="EV99" s="301" t="str">
        <f t="shared" ca="1" si="442"/>
        <v>B</v>
      </c>
      <c r="EW99" s="301" t="str">
        <f t="shared" ca="1" si="442"/>
        <v>B</v>
      </c>
      <c r="EX99" s="301" t="str">
        <f t="shared" ca="1" si="442"/>
        <v>B</v>
      </c>
      <c r="EY99" s="301" t="str">
        <f t="shared" ca="1" si="442"/>
        <v>B</v>
      </c>
      <c r="EZ99" s="301" t="str">
        <f t="shared" ca="1" si="442"/>
        <v>B</v>
      </c>
      <c r="FA99" s="301" t="str">
        <f t="shared" ca="1" si="443"/>
        <v>B</v>
      </c>
      <c r="FB99" s="301" t="str">
        <f t="shared" ca="1" si="443"/>
        <v>B</v>
      </c>
      <c r="FC99" s="301" t="str">
        <f t="shared" ca="1" si="443"/>
        <v>B</v>
      </c>
      <c r="FD99" s="301" t="str">
        <f t="shared" ca="1" si="443"/>
        <v>B</v>
      </c>
      <c r="FE99" s="301" t="str">
        <f t="shared" ca="1" si="443"/>
        <v>B</v>
      </c>
      <c r="FF99" s="301" t="str">
        <f t="shared" ca="1" si="443"/>
        <v>B</v>
      </c>
      <c r="FG99" s="301" t="str">
        <f t="shared" ca="1" si="443"/>
        <v>B</v>
      </c>
      <c r="FH99" s="301" t="str">
        <f t="shared" ca="1" si="443"/>
        <v>B</v>
      </c>
      <c r="FI99" s="301" t="str">
        <f t="shared" ca="1" si="443"/>
        <v>B</v>
      </c>
      <c r="FJ99" s="301" t="str">
        <f t="shared" ca="1" si="443"/>
        <v>B</v>
      </c>
      <c r="FK99" s="301" t="str">
        <f t="shared" ca="1" si="443"/>
        <v>B</v>
      </c>
      <c r="FL99" s="301" t="str">
        <f t="shared" ca="1" si="443"/>
        <v>B</v>
      </c>
    </row>
    <row r="100" spans="1:168" x14ac:dyDescent="0.2">
      <c r="A100" s="24" t="str">
        <f t="shared" si="432"/>
        <v>Schätzen</v>
      </c>
      <c r="B100" s="317" t="str">
        <f t="shared" ca="1" si="330"/>
        <v/>
      </c>
      <c r="C100" s="332" t="str">
        <f t="shared" ref="C100:C105" ca="1" si="445">IF(OR(NOT(ISBLANK(D100)),NOT(ISBLANK(HLOOKUP(RASSEGENE,RASSE,$CD100,FALSE))),
NOT(ISBLANK(HLOOKUP(KULTURGENE,KULTUR,$CD100,FALSE))),
NOT(OR(ISBLANK(HLOOKUP(PROFGENE,INDIRECT(PROFGEBIET),$CD100,FALSE)),$CS100="N",$CS100="M")),
IF(PROFZWEITE="",FALSE,NOT(ISBLANK(HLOOKUP(PROFZWEITE,INDIRECT(PROFGEBIET2),$CD100,FALSE))))),"x","")</f>
        <v/>
      </c>
      <c r="D100" s="1110"/>
      <c r="E100" s="966"/>
      <c r="F100" s="325"/>
      <c r="G100" s="958"/>
      <c r="H100" s="1196"/>
      <c r="I100" s="326"/>
      <c r="J100" s="1886" t="str">
        <f t="shared" ca="1" si="332"/>
        <v/>
      </c>
      <c r="K100" s="1887"/>
      <c r="L100" s="1887"/>
      <c r="M100" s="1887"/>
      <c r="N100" s="1888"/>
      <c r="O100" s="613" t="str">
        <f t="shared" ca="1" si="333"/>
        <v/>
      </c>
      <c r="P100" s="90"/>
      <c r="Q100" s="25"/>
      <c r="R100" s="1313"/>
      <c r="S100" s="1313"/>
      <c r="T100" s="1315"/>
      <c r="U100" s="1283"/>
      <c r="V100" s="628" t="str">
        <f t="shared" ca="1" si="334"/>
        <v/>
      </c>
      <c r="W100" s="164">
        <f t="shared" ca="1" si="335"/>
        <v>0</v>
      </c>
      <c r="X100" s="164">
        <f t="shared" ca="1" si="336"/>
        <v>0</v>
      </c>
      <c r="Y100" s="164">
        <f t="shared" ca="1" si="337"/>
        <v>0</v>
      </c>
      <c r="Z100" s="164">
        <f t="shared" ca="1" si="338"/>
        <v>0</v>
      </c>
      <c r="AA100" s="164">
        <f t="shared" ca="1" si="339"/>
        <v>0</v>
      </c>
      <c r="AB100" s="164">
        <f t="shared" ca="1" si="340"/>
        <v>0</v>
      </c>
      <c r="AC100" s="164">
        <f t="shared" ca="1" si="341"/>
        <v>0</v>
      </c>
      <c r="AD100" s="164">
        <f t="shared" ca="1" si="342"/>
        <v>0</v>
      </c>
      <c r="AE100" s="164">
        <f t="shared" ca="1" si="343"/>
        <v>0</v>
      </c>
      <c r="AF100" s="164">
        <f t="shared" ca="1" si="344"/>
        <v>0</v>
      </c>
      <c r="AG100" s="164">
        <f t="shared" ca="1" si="345"/>
        <v>0</v>
      </c>
      <c r="AH100" s="164">
        <f t="shared" ca="1" si="346"/>
        <v>0</v>
      </c>
      <c r="AI100" s="164">
        <f t="shared" ca="1" si="347"/>
        <v>0</v>
      </c>
      <c r="AJ100" s="164">
        <f t="shared" ca="1" si="348"/>
        <v>0</v>
      </c>
      <c r="AK100" s="164">
        <f t="shared" ca="1" si="349"/>
        <v>0</v>
      </c>
      <c r="AL100" s="164">
        <f t="shared" ca="1" si="350"/>
        <v>0</v>
      </c>
      <c r="AM100" s="164">
        <f t="shared" ca="1" si="351"/>
        <v>0</v>
      </c>
      <c r="AN100" s="164">
        <f t="shared" ca="1" si="352"/>
        <v>0</v>
      </c>
      <c r="AO100" s="164">
        <f t="shared" ca="1" si="353"/>
        <v>0</v>
      </c>
      <c r="AP100" s="164">
        <f t="shared" ca="1" si="354"/>
        <v>0</v>
      </c>
      <c r="AQ100" s="164">
        <f t="shared" ca="1" si="355"/>
        <v>0</v>
      </c>
      <c r="AR100" s="164">
        <f t="shared" ca="1" si="356"/>
        <v>0</v>
      </c>
      <c r="AS100" s="195"/>
      <c r="AT100" s="154">
        <f t="shared" ca="1" si="357"/>
        <v>0</v>
      </c>
      <c r="AU100" s="154">
        <f t="shared" ca="1" si="358"/>
        <v>0</v>
      </c>
      <c r="AV100" s="154">
        <f t="shared" ca="1" si="359"/>
        <v>0</v>
      </c>
      <c r="AW100" s="154">
        <f t="shared" ca="1" si="360"/>
        <v>0</v>
      </c>
      <c r="AX100" s="154">
        <f t="shared" ca="1" si="361"/>
        <v>0</v>
      </c>
      <c r="AY100" s="154">
        <f t="shared" ca="1" si="362"/>
        <v>0</v>
      </c>
      <c r="AZ100" s="154">
        <f t="shared" ca="1" si="363"/>
        <v>0</v>
      </c>
      <c r="BA100" s="154">
        <f t="shared" ca="1" si="364"/>
        <v>0</v>
      </c>
      <c r="BB100" s="154">
        <f t="shared" ca="1" si="365"/>
        <v>0</v>
      </c>
      <c r="BC100" s="154">
        <f t="shared" ca="1" si="366"/>
        <v>0</v>
      </c>
      <c r="BD100" s="154">
        <f t="shared" ca="1" si="367"/>
        <v>0</v>
      </c>
      <c r="BE100" s="154">
        <f t="shared" ca="1" si="368"/>
        <v>0</v>
      </c>
      <c r="BF100" s="154">
        <f t="shared" ca="1" si="369"/>
        <v>0</v>
      </c>
      <c r="BG100" s="154">
        <f t="shared" ca="1" si="370"/>
        <v>0</v>
      </c>
      <c r="BH100" s="154">
        <f t="shared" ca="1" si="371"/>
        <v>0</v>
      </c>
      <c r="BI100" s="154">
        <f t="shared" ca="1" si="372"/>
        <v>0</v>
      </c>
      <c r="BJ100" s="154">
        <f t="shared" ca="1" si="373"/>
        <v>0</v>
      </c>
      <c r="BK100" s="154">
        <f t="shared" ca="1" si="374"/>
        <v>0</v>
      </c>
      <c r="BL100" s="154">
        <f t="shared" ca="1" si="375"/>
        <v>0</v>
      </c>
      <c r="BM100" s="154">
        <f t="shared" ca="1" si="376"/>
        <v>0</v>
      </c>
      <c r="BN100" s="154">
        <f t="shared" ca="1" si="377"/>
        <v>0</v>
      </c>
      <c r="BO100" s="154">
        <f t="shared" ca="1" si="378"/>
        <v>0</v>
      </c>
      <c r="BP100" s="154">
        <f t="shared" ca="1" si="379"/>
        <v>0</v>
      </c>
      <c r="BQ100" s="154">
        <f t="shared" ca="1" si="380"/>
        <v>0</v>
      </c>
      <c r="BR100" s="154">
        <f t="shared" ca="1" si="381"/>
        <v>0</v>
      </c>
      <c r="BS100" s="154">
        <f t="shared" ca="1" si="382"/>
        <v>0</v>
      </c>
      <c r="BT100" s="154">
        <f t="shared" ca="1" si="383"/>
        <v>0</v>
      </c>
      <c r="BU100" s="154">
        <f t="shared" ca="1" si="384"/>
        <v>0</v>
      </c>
      <c r="BV100" s="154">
        <f t="shared" ca="1" si="385"/>
        <v>0</v>
      </c>
      <c r="BW100" s="154">
        <f t="shared" ca="1" si="386"/>
        <v>0</v>
      </c>
      <c r="BX100" s="154">
        <f t="shared" ca="1" si="387"/>
        <v>0</v>
      </c>
      <c r="BY100" s="154">
        <f t="shared" ca="1" si="388"/>
        <v>0</v>
      </c>
      <c r="BZ100" s="154">
        <f t="shared" si="433"/>
        <v>0</v>
      </c>
      <c r="CA100" s="154">
        <f t="shared" si="434"/>
        <v>0</v>
      </c>
      <c r="CB100" s="154">
        <f t="shared" ca="1" si="435"/>
        <v>0</v>
      </c>
      <c r="CC100" s="523"/>
      <c r="CD100" s="355">
        <f t="shared" si="389"/>
        <v>125</v>
      </c>
      <c r="CE100" s="751" t="str">
        <f t="shared" ca="1" si="390"/>
        <v>B</v>
      </c>
      <c r="CF100" s="355" t="str">
        <f ca="1">IF(EXACT($B100,""),$CF98,CONCATENATE($CF98,$A100))</f>
        <v/>
      </c>
      <c r="CG100" s="268">
        <f>IF(ZS_SE_VIEW,SUM(
IF(ZS_AKADEMIE="",0,IF(HLOOKUP(ZS_AKADEMIE,PROFMAGIE,$CD100,FALSE)&gt;0,1,0)),
IF(AND(ZS_IAAK="Ja",IF(HLOOKUP(Tabellen_Magie!$IK$1,PROFMAGIE,$CD100,FALSE)&gt;0,TRUE,FALSE)),1,0)),0)</f>
        <v>0</v>
      </c>
      <c r="CH100" s="268"/>
      <c r="CI100" s="269">
        <f t="shared" ca="1" si="391"/>
        <v>0</v>
      </c>
      <c r="CJ100" s="269">
        <f t="shared" ca="1" si="392"/>
        <v>0</v>
      </c>
      <c r="CK100" s="268"/>
      <c r="CL100" s="268"/>
      <c r="CM100" s="268">
        <f t="shared" ca="1" si="327"/>
        <v>0</v>
      </c>
      <c r="CN100" s="269">
        <f t="shared" ca="1" si="328"/>
        <v>0</v>
      </c>
      <c r="CO100" s="268" t="str">
        <f t="shared" ca="1" si="393"/>
        <v>B</v>
      </c>
      <c r="CP100" s="269" t="b">
        <f t="shared" ca="1" si="394"/>
        <v>1</v>
      </c>
      <c r="CQ100" s="269">
        <f t="shared" si="395"/>
        <v>0</v>
      </c>
      <c r="CR100" s="269">
        <f t="shared" si="396"/>
        <v>0</v>
      </c>
      <c r="CS100" s="269">
        <f t="shared" ca="1" si="397"/>
        <v>0</v>
      </c>
      <c r="CT100" s="302" t="str">
        <f t="shared" ca="1" si="398"/>
        <v>0</v>
      </c>
      <c r="CU100" s="269">
        <f t="shared" ca="1" si="399"/>
        <v>0</v>
      </c>
      <c r="CV100" s="268"/>
      <c r="CW100" s="269">
        <f t="shared" ca="1" si="400"/>
        <v>0</v>
      </c>
      <c r="CX100" s="301">
        <f t="shared" ca="1" si="401"/>
        <v>0</v>
      </c>
      <c r="CY100" s="301">
        <f t="shared" ca="1" si="329"/>
        <v>0</v>
      </c>
      <c r="CZ100" s="301">
        <f t="shared" ca="1" si="402"/>
        <v>0</v>
      </c>
      <c r="DA100" s="301">
        <f t="shared" ca="1" si="403"/>
        <v>0</v>
      </c>
      <c r="DB100" t="str">
        <f t="shared" si="444"/>
        <v/>
      </c>
      <c r="DC100" s="301" t="str">
        <f t="shared" ca="1" si="404"/>
        <v/>
      </c>
      <c r="DD100" s="1337" t="str">
        <f t="shared" ca="1" si="436"/>
        <v/>
      </c>
      <c r="DE100" s="1337" t="str">
        <f t="shared" ca="1" si="437"/>
        <v/>
      </c>
      <c r="DG100" s="269" t="str">
        <f t="shared" ref="DG100:DG105" ca="1" si="446">IF(DI100="",IF(VLOOKUP(A100,TALENTE_GP,4,FALSE)="Kultur","KULTUREN","Tabellen_Andere!BA"&amp;MATCH(A100,TALENTE)+1&amp;":BF"&amp;MATCH(A100,TALENTE)+1),ADDRESS(ROW(),COLUMN()+2,1,1))</f>
        <v>Tabellen_Andere!BA90:BF90</v>
      </c>
      <c r="DH100" s="269" t="str">
        <f t="shared" ref="DH100:DH105" si="447">IF(VLOOKUP(A100,TALENTE_GP,4,FALSE)="Kultur","KULTUREN","Tabellen_Andere!BA"&amp;MATCH(A100,TALENTE)+1&amp;":BF"&amp;MATCH(A100,TALENTE)+1)</f>
        <v>Tabellen_Andere!BA90:BF90</v>
      </c>
      <c r="DI100" s="269" t="str">
        <f ca="1">IF(NOT(ISERR(FIND(A100,Abfragen!$O$264,1))),MID(Abfragen!$O$264,FIND("(",Abfragen!$O$264,FIND(A100,Abfragen!$O$264,1)+LEN(A100))+1,FIND(")",Abfragen!$O$264,FIND(A100,Abfragen!$O$264,1)+LEN(A100))-FIND("(",Abfragen!$O$264,FIND(A100,Abfragen!$O$264,1)+LEN(A100))-1),"")</f>
        <v/>
      </c>
      <c r="DJ100" s="301" t="str">
        <f t="shared" ca="1" si="406"/>
        <v>B</v>
      </c>
      <c r="DK100" s="301" t="str">
        <f t="shared" ca="1" si="407"/>
        <v>B</v>
      </c>
      <c r="DL100" s="301" t="str">
        <f t="shared" ca="1" si="408"/>
        <v>B</v>
      </c>
      <c r="DM100" s="301" t="str">
        <f t="shared" ca="1" si="409"/>
        <v>B</v>
      </c>
      <c r="DN100" s="301" t="str">
        <f t="shared" ca="1" si="410"/>
        <v>B</v>
      </c>
      <c r="DO100" s="301" t="str">
        <f t="shared" ca="1" si="411"/>
        <v>B</v>
      </c>
      <c r="DP100" s="301" t="str">
        <f t="shared" ca="1" si="412"/>
        <v>B</v>
      </c>
      <c r="DQ100" s="301" t="str">
        <f t="shared" ca="1" si="413"/>
        <v>B</v>
      </c>
      <c r="DR100" s="301" t="str">
        <f t="shared" ca="1" si="414"/>
        <v>B</v>
      </c>
      <c r="DS100" s="301" t="str">
        <f t="shared" ca="1" si="415"/>
        <v>B</v>
      </c>
      <c r="DT100" s="301" t="str">
        <f t="shared" ca="1" si="416"/>
        <v>B</v>
      </c>
      <c r="DU100" s="301" t="str">
        <f t="shared" ca="1" si="417"/>
        <v>B</v>
      </c>
      <c r="DV100" s="301" t="str">
        <f t="shared" ca="1" si="418"/>
        <v>B</v>
      </c>
      <c r="DW100" s="301" t="str">
        <f t="shared" ca="1" si="419"/>
        <v>B</v>
      </c>
      <c r="DX100" s="301" t="str">
        <f t="shared" ca="1" si="420"/>
        <v>B</v>
      </c>
      <c r="DY100" s="301" t="str">
        <f t="shared" ca="1" si="421"/>
        <v>B</v>
      </c>
      <c r="DZ100" s="301" t="str">
        <f t="shared" ca="1" si="422"/>
        <v>B</v>
      </c>
      <c r="EA100" s="301" t="str">
        <f t="shared" ca="1" si="423"/>
        <v>B</v>
      </c>
      <c r="EB100" s="301" t="str">
        <f t="shared" ca="1" si="424"/>
        <v>B</v>
      </c>
      <c r="EC100" s="301" t="str">
        <f t="shared" ca="1" si="425"/>
        <v>B</v>
      </c>
      <c r="ED100" s="301" t="str">
        <f t="shared" ca="1" si="426"/>
        <v>B</v>
      </c>
      <c r="EE100" s="301" t="str">
        <f t="shared" ca="1" si="427"/>
        <v>B</v>
      </c>
      <c r="EF100" s="301">
        <f t="shared" si="428"/>
        <v>0</v>
      </c>
      <c r="EG100" s="301" t="str">
        <f t="shared" ca="1" si="441"/>
        <v>B</v>
      </c>
      <c r="EH100" s="301" t="str">
        <f t="shared" ca="1" si="441"/>
        <v>B</v>
      </c>
      <c r="EI100" s="301" t="str">
        <f t="shared" ca="1" si="441"/>
        <v>B</v>
      </c>
      <c r="EJ100" s="301" t="str">
        <f t="shared" ca="1" si="441"/>
        <v>B</v>
      </c>
      <c r="EK100" s="301" t="str">
        <f t="shared" ca="1" si="441"/>
        <v>B</v>
      </c>
      <c r="EL100" s="301" t="str">
        <f t="shared" ca="1" si="441"/>
        <v>B</v>
      </c>
      <c r="EM100" s="301" t="str">
        <f t="shared" ca="1" si="441"/>
        <v>B</v>
      </c>
      <c r="EN100" s="301" t="str">
        <f t="shared" ca="1" si="441"/>
        <v>B</v>
      </c>
      <c r="EO100" s="301" t="str">
        <f t="shared" ca="1" si="441"/>
        <v>B</v>
      </c>
      <c r="EP100" s="301" t="str">
        <f t="shared" ca="1" si="441"/>
        <v>B</v>
      </c>
      <c r="EQ100" s="301" t="str">
        <f t="shared" ca="1" si="442"/>
        <v>B</v>
      </c>
      <c r="ER100" s="301" t="str">
        <f t="shared" ca="1" si="442"/>
        <v>B</v>
      </c>
      <c r="ES100" s="301" t="str">
        <f t="shared" ca="1" si="442"/>
        <v>B</v>
      </c>
      <c r="ET100" s="301" t="str">
        <f t="shared" ca="1" si="442"/>
        <v>B</v>
      </c>
      <c r="EU100" s="301" t="str">
        <f t="shared" ca="1" si="442"/>
        <v>B</v>
      </c>
      <c r="EV100" s="301" t="str">
        <f t="shared" ca="1" si="442"/>
        <v>B</v>
      </c>
      <c r="EW100" s="301" t="str">
        <f t="shared" ca="1" si="442"/>
        <v>B</v>
      </c>
      <c r="EX100" s="301" t="str">
        <f t="shared" ca="1" si="442"/>
        <v>B</v>
      </c>
      <c r="EY100" s="301" t="str">
        <f t="shared" ca="1" si="442"/>
        <v>B</v>
      </c>
      <c r="EZ100" s="301" t="str">
        <f t="shared" ca="1" si="442"/>
        <v>B</v>
      </c>
      <c r="FA100" s="301" t="str">
        <f t="shared" ca="1" si="443"/>
        <v>B</v>
      </c>
      <c r="FB100" s="301" t="str">
        <f t="shared" ca="1" si="443"/>
        <v>B</v>
      </c>
      <c r="FC100" s="301" t="str">
        <f t="shared" ca="1" si="443"/>
        <v>B</v>
      </c>
      <c r="FD100" s="301" t="str">
        <f t="shared" ca="1" si="443"/>
        <v>B</v>
      </c>
      <c r="FE100" s="301" t="str">
        <f t="shared" ca="1" si="443"/>
        <v>B</v>
      </c>
      <c r="FF100" s="301" t="str">
        <f t="shared" ca="1" si="443"/>
        <v>B</v>
      </c>
      <c r="FG100" s="301" t="str">
        <f t="shared" ca="1" si="443"/>
        <v>B</v>
      </c>
      <c r="FH100" s="301" t="str">
        <f t="shared" ca="1" si="443"/>
        <v>B</v>
      </c>
      <c r="FI100" s="301" t="str">
        <f t="shared" ca="1" si="443"/>
        <v>B</v>
      </c>
      <c r="FJ100" s="301" t="str">
        <f t="shared" ca="1" si="443"/>
        <v>B</v>
      </c>
      <c r="FK100" s="301" t="str">
        <f t="shared" ca="1" si="443"/>
        <v>B</v>
      </c>
      <c r="FL100" s="301" t="str">
        <f t="shared" ca="1" si="443"/>
        <v>B</v>
      </c>
    </row>
    <row r="101" spans="1:168" x14ac:dyDescent="0.2">
      <c r="A101" s="1529" t="str">
        <f t="shared" si="432"/>
        <v>Schiffbau</v>
      </c>
      <c r="B101" s="317" t="str">
        <f t="shared" ca="1" si="330"/>
        <v/>
      </c>
      <c r="C101" s="332" t="str">
        <f t="shared" ca="1" si="445"/>
        <v/>
      </c>
      <c r="D101" s="1110"/>
      <c r="E101" s="966"/>
      <c r="F101" s="325"/>
      <c r="G101" s="958"/>
      <c r="H101" s="1196"/>
      <c r="I101" s="326"/>
      <c r="J101" s="1948" t="str">
        <f t="shared" ca="1" si="332"/>
        <v/>
      </c>
      <c r="K101" s="1887"/>
      <c r="L101" s="1887"/>
      <c r="M101" s="1887"/>
      <c r="N101" s="1888"/>
      <c r="O101" s="613" t="str">
        <f t="shared" ca="1" si="333"/>
        <v/>
      </c>
      <c r="P101" s="90"/>
      <c r="Q101" s="25"/>
      <c r="R101" s="1313"/>
      <c r="S101" s="1313"/>
      <c r="T101" s="1315"/>
      <c r="U101" s="1283"/>
      <c r="V101" s="628" t="str">
        <f t="shared" ca="1" si="334"/>
        <v/>
      </c>
      <c r="W101" s="164">
        <f t="shared" ca="1" si="335"/>
        <v>0</v>
      </c>
      <c r="X101" s="164">
        <f t="shared" ca="1" si="336"/>
        <v>0</v>
      </c>
      <c r="Y101" s="164">
        <f t="shared" ca="1" si="337"/>
        <v>0</v>
      </c>
      <c r="Z101" s="164">
        <f t="shared" ca="1" si="338"/>
        <v>0</v>
      </c>
      <c r="AA101" s="164">
        <f t="shared" ca="1" si="339"/>
        <v>0</v>
      </c>
      <c r="AB101" s="164">
        <f t="shared" ca="1" si="340"/>
        <v>0</v>
      </c>
      <c r="AC101" s="164">
        <f t="shared" ca="1" si="341"/>
        <v>0</v>
      </c>
      <c r="AD101" s="164">
        <f t="shared" ca="1" si="342"/>
        <v>0</v>
      </c>
      <c r="AE101" s="164">
        <f t="shared" ca="1" si="343"/>
        <v>0</v>
      </c>
      <c r="AF101" s="164">
        <f t="shared" ca="1" si="344"/>
        <v>0</v>
      </c>
      <c r="AG101" s="164">
        <f t="shared" ca="1" si="345"/>
        <v>0</v>
      </c>
      <c r="AH101" s="164">
        <f t="shared" ca="1" si="346"/>
        <v>0</v>
      </c>
      <c r="AI101" s="164">
        <f t="shared" ca="1" si="347"/>
        <v>0</v>
      </c>
      <c r="AJ101" s="164">
        <f t="shared" ca="1" si="348"/>
        <v>0</v>
      </c>
      <c r="AK101" s="164">
        <f t="shared" ca="1" si="349"/>
        <v>0</v>
      </c>
      <c r="AL101" s="164">
        <f t="shared" ca="1" si="350"/>
        <v>0</v>
      </c>
      <c r="AM101" s="164">
        <f t="shared" ca="1" si="351"/>
        <v>0</v>
      </c>
      <c r="AN101" s="164">
        <f t="shared" ca="1" si="352"/>
        <v>0</v>
      </c>
      <c r="AO101" s="164">
        <f t="shared" ca="1" si="353"/>
        <v>0</v>
      </c>
      <c r="AP101" s="164">
        <f t="shared" ca="1" si="354"/>
        <v>0</v>
      </c>
      <c r="AQ101" s="164">
        <f t="shared" ca="1" si="355"/>
        <v>0</v>
      </c>
      <c r="AR101" s="164">
        <f t="shared" ca="1" si="356"/>
        <v>0</v>
      </c>
      <c r="AS101" s="195"/>
      <c r="AT101" s="154">
        <f t="shared" ca="1" si="357"/>
        <v>0</v>
      </c>
      <c r="AU101" s="154">
        <f t="shared" ca="1" si="358"/>
        <v>0</v>
      </c>
      <c r="AV101" s="154">
        <f t="shared" ca="1" si="359"/>
        <v>0</v>
      </c>
      <c r="AW101" s="154">
        <f t="shared" ca="1" si="360"/>
        <v>0</v>
      </c>
      <c r="AX101" s="154">
        <f t="shared" ca="1" si="361"/>
        <v>0</v>
      </c>
      <c r="AY101" s="154">
        <f t="shared" ca="1" si="362"/>
        <v>0</v>
      </c>
      <c r="AZ101" s="154">
        <f t="shared" ca="1" si="363"/>
        <v>0</v>
      </c>
      <c r="BA101" s="154">
        <f t="shared" ca="1" si="364"/>
        <v>0</v>
      </c>
      <c r="BB101" s="154">
        <f t="shared" ca="1" si="365"/>
        <v>0</v>
      </c>
      <c r="BC101" s="154">
        <f t="shared" ca="1" si="366"/>
        <v>0</v>
      </c>
      <c r="BD101" s="154">
        <f t="shared" ca="1" si="367"/>
        <v>0</v>
      </c>
      <c r="BE101" s="154">
        <f t="shared" ca="1" si="368"/>
        <v>0</v>
      </c>
      <c r="BF101" s="154">
        <f t="shared" ca="1" si="369"/>
        <v>0</v>
      </c>
      <c r="BG101" s="154">
        <f t="shared" ca="1" si="370"/>
        <v>0</v>
      </c>
      <c r="BH101" s="154">
        <f t="shared" ca="1" si="371"/>
        <v>0</v>
      </c>
      <c r="BI101" s="154">
        <f t="shared" ca="1" si="372"/>
        <v>0</v>
      </c>
      <c r="BJ101" s="154">
        <f t="shared" ca="1" si="373"/>
        <v>0</v>
      </c>
      <c r="BK101" s="154">
        <f t="shared" ca="1" si="374"/>
        <v>0</v>
      </c>
      <c r="BL101" s="154">
        <f t="shared" ca="1" si="375"/>
        <v>0</v>
      </c>
      <c r="BM101" s="154">
        <f t="shared" ca="1" si="376"/>
        <v>0</v>
      </c>
      <c r="BN101" s="154">
        <f t="shared" ca="1" si="377"/>
        <v>0</v>
      </c>
      <c r="BO101" s="154">
        <f t="shared" ca="1" si="378"/>
        <v>0</v>
      </c>
      <c r="BP101" s="154">
        <f t="shared" ca="1" si="379"/>
        <v>0</v>
      </c>
      <c r="BQ101" s="154">
        <f t="shared" ca="1" si="380"/>
        <v>0</v>
      </c>
      <c r="BR101" s="154">
        <f t="shared" ca="1" si="381"/>
        <v>0</v>
      </c>
      <c r="BS101" s="154">
        <f t="shared" ca="1" si="382"/>
        <v>0</v>
      </c>
      <c r="BT101" s="154">
        <f t="shared" ca="1" si="383"/>
        <v>0</v>
      </c>
      <c r="BU101" s="154">
        <f t="shared" ca="1" si="384"/>
        <v>0</v>
      </c>
      <c r="BV101" s="154">
        <f t="shared" ca="1" si="385"/>
        <v>0</v>
      </c>
      <c r="BW101" s="154">
        <f t="shared" ca="1" si="386"/>
        <v>0</v>
      </c>
      <c r="BX101" s="154">
        <f t="shared" ca="1" si="387"/>
        <v>0</v>
      </c>
      <c r="BY101" s="154">
        <f t="shared" ca="1" si="388"/>
        <v>0</v>
      </c>
      <c r="BZ101" s="154">
        <f t="shared" si="433"/>
        <v>0</v>
      </c>
      <c r="CA101" s="154">
        <f t="shared" si="434"/>
        <v>0</v>
      </c>
      <c r="CB101" s="154">
        <f t="shared" ca="1" si="435"/>
        <v>0</v>
      </c>
      <c r="CC101" s="523"/>
      <c r="CD101" s="355">
        <f t="shared" si="389"/>
        <v>126</v>
      </c>
      <c r="CE101" s="751" t="str">
        <f t="shared" ca="1" si="390"/>
        <v>B</v>
      </c>
      <c r="CF101" s="355" t="str">
        <f ca="1">IF(EXACT($B101,""),$CF100,CONCATENATE($CF100,$A101))</f>
        <v/>
      </c>
      <c r="CG101" s="268">
        <f>IF(ZS_SE_VIEW,SUM(
IF(ZS_AKADEMIE="",0,IF(HLOOKUP(ZS_AKADEMIE,PROFMAGIE,$CD101,FALSE)&gt;0,1,0)),
IF(AND(ZS_IAAK="Ja",IF(HLOOKUP(Tabellen_Magie!$IK$1,PROFMAGIE,$CD101,FALSE)&gt;0,TRUE,FALSE)),1,0)),0)</f>
        <v>0</v>
      </c>
      <c r="CH101" s="268"/>
      <c r="CI101" s="269">
        <f t="shared" ca="1" si="391"/>
        <v>0</v>
      </c>
      <c r="CJ101" s="269">
        <f t="shared" ca="1" si="392"/>
        <v>0</v>
      </c>
      <c r="CK101" s="268"/>
      <c r="CL101" s="268"/>
      <c r="CM101" s="268">
        <f t="shared" ca="1" si="327"/>
        <v>0</v>
      </c>
      <c r="CN101" s="269">
        <f t="shared" ca="1" si="328"/>
        <v>0</v>
      </c>
      <c r="CO101" s="268" t="str">
        <f t="shared" ca="1" si="393"/>
        <v>B</v>
      </c>
      <c r="CP101" s="269" t="b">
        <f t="shared" ca="1" si="394"/>
        <v>1</v>
      </c>
      <c r="CQ101" s="269">
        <f t="shared" si="395"/>
        <v>0</v>
      </c>
      <c r="CR101" s="269">
        <f t="shared" si="396"/>
        <v>0</v>
      </c>
      <c r="CS101" s="269">
        <f t="shared" ca="1" si="397"/>
        <v>0</v>
      </c>
      <c r="CT101" s="302" t="str">
        <f t="shared" ca="1" si="398"/>
        <v>0</v>
      </c>
      <c r="CU101" s="269">
        <f t="shared" ca="1" si="399"/>
        <v>0</v>
      </c>
      <c r="CV101" s="268"/>
      <c r="CW101" s="269">
        <f t="shared" ca="1" si="400"/>
        <v>0</v>
      </c>
      <c r="CX101" s="301">
        <f t="shared" ca="1" si="401"/>
        <v>0</v>
      </c>
      <c r="CY101" s="301">
        <f t="shared" ca="1" si="329"/>
        <v>0</v>
      </c>
      <c r="CZ101" s="301">
        <f t="shared" ca="1" si="402"/>
        <v>0</v>
      </c>
      <c r="DA101" s="301">
        <f t="shared" ca="1" si="403"/>
        <v>0</v>
      </c>
      <c r="DB101" t="str">
        <f>IF(NOT(AND(ISBLANK($G101),ISBLANK($I101))),
IF(OR($O$246&lt;4,$O$138&lt;4,$O$97&lt;4),"L/S &amp; M/Z &amp; Rechnen 4+",IF(AND(O130&lt;4,IF(O157="",TRUE,O157&lt;4)),"Holzbearbeitung oder Zimmermann 4+","")),
IF(CG101&gt;0,CG101 &amp; " SE aus Zweit-/Drittstudium",""))</f>
        <v/>
      </c>
      <c r="DC101" s="301" t="str">
        <f t="shared" ca="1" si="404"/>
        <v/>
      </c>
      <c r="DD101" s="1337" t="str">
        <f t="shared" ca="1" si="436"/>
        <v/>
      </c>
      <c r="DE101" s="1337" t="str">
        <f t="shared" ca="1" si="437"/>
        <v/>
      </c>
      <c r="DG101" s="269" t="str">
        <f t="shared" ca="1" si="446"/>
        <v>Tabellen_Andere!BA92:BF92</v>
      </c>
      <c r="DH101" s="269" t="str">
        <f t="shared" si="447"/>
        <v>Tabellen_Andere!BA92:BF92</v>
      </c>
      <c r="DI101" s="269" t="str">
        <f ca="1">IF(NOT(ISERR(FIND(A101,Abfragen!$O$264,1))),MID(Abfragen!$O$264,FIND("(",Abfragen!$O$264,FIND(A101,Abfragen!$O$264,1)+LEN(A101))+1,FIND(")",Abfragen!$O$264,FIND(A101,Abfragen!$O$264,1)+LEN(A101))-FIND("(",Abfragen!$O$264,FIND(A101,Abfragen!$O$264,1)+LEN(A101))-1),"")</f>
        <v/>
      </c>
      <c r="DJ101" s="301" t="str">
        <f t="shared" ca="1" si="406"/>
        <v>B</v>
      </c>
      <c r="DK101" s="301" t="str">
        <f t="shared" ca="1" si="407"/>
        <v>B</v>
      </c>
      <c r="DL101" s="301" t="str">
        <f t="shared" ca="1" si="408"/>
        <v>B</v>
      </c>
      <c r="DM101" s="301" t="str">
        <f t="shared" ca="1" si="409"/>
        <v>B</v>
      </c>
      <c r="DN101" s="301" t="str">
        <f t="shared" ca="1" si="410"/>
        <v>B</v>
      </c>
      <c r="DO101" s="301" t="str">
        <f t="shared" ca="1" si="411"/>
        <v>B</v>
      </c>
      <c r="DP101" s="301" t="str">
        <f t="shared" ca="1" si="412"/>
        <v>B</v>
      </c>
      <c r="DQ101" s="301" t="str">
        <f t="shared" ca="1" si="413"/>
        <v>B</v>
      </c>
      <c r="DR101" s="301" t="str">
        <f t="shared" ca="1" si="414"/>
        <v>B</v>
      </c>
      <c r="DS101" s="301" t="str">
        <f t="shared" ca="1" si="415"/>
        <v>B</v>
      </c>
      <c r="DT101" s="301" t="str">
        <f t="shared" ca="1" si="416"/>
        <v>B</v>
      </c>
      <c r="DU101" s="301" t="str">
        <f t="shared" ca="1" si="417"/>
        <v>B</v>
      </c>
      <c r="DV101" s="301" t="str">
        <f t="shared" ca="1" si="418"/>
        <v>B</v>
      </c>
      <c r="DW101" s="301" t="str">
        <f t="shared" ca="1" si="419"/>
        <v>B</v>
      </c>
      <c r="DX101" s="301" t="str">
        <f t="shared" ca="1" si="420"/>
        <v>B</v>
      </c>
      <c r="DY101" s="301" t="str">
        <f t="shared" ca="1" si="421"/>
        <v>B</v>
      </c>
      <c r="DZ101" s="301" t="str">
        <f t="shared" ca="1" si="422"/>
        <v>B</v>
      </c>
      <c r="EA101" s="301" t="str">
        <f t="shared" ca="1" si="423"/>
        <v>B</v>
      </c>
      <c r="EB101" s="301" t="str">
        <f t="shared" ca="1" si="424"/>
        <v>B</v>
      </c>
      <c r="EC101" s="301" t="str">
        <f t="shared" ca="1" si="425"/>
        <v>B</v>
      </c>
      <c r="ED101" s="301" t="str">
        <f t="shared" ca="1" si="426"/>
        <v>B</v>
      </c>
      <c r="EE101" s="301" t="str">
        <f t="shared" ca="1" si="427"/>
        <v>B</v>
      </c>
      <c r="EF101" s="301">
        <f t="shared" si="428"/>
        <v>0</v>
      </c>
      <c r="EG101" s="301" t="str">
        <f t="shared" ca="1" si="441"/>
        <v>B</v>
      </c>
      <c r="EH101" s="301" t="str">
        <f t="shared" ca="1" si="441"/>
        <v>B</v>
      </c>
      <c r="EI101" s="301" t="str">
        <f t="shared" ca="1" si="441"/>
        <v>B</v>
      </c>
      <c r="EJ101" s="301" t="str">
        <f t="shared" ca="1" si="441"/>
        <v>B</v>
      </c>
      <c r="EK101" s="301" t="str">
        <f t="shared" ca="1" si="441"/>
        <v>B</v>
      </c>
      <c r="EL101" s="301" t="str">
        <f t="shared" ca="1" si="441"/>
        <v>B</v>
      </c>
      <c r="EM101" s="301" t="str">
        <f t="shared" ca="1" si="441"/>
        <v>B</v>
      </c>
      <c r="EN101" s="301" t="str">
        <f t="shared" ca="1" si="441"/>
        <v>B</v>
      </c>
      <c r="EO101" s="301" t="str">
        <f t="shared" ca="1" si="441"/>
        <v>B</v>
      </c>
      <c r="EP101" s="301" t="str">
        <f t="shared" ca="1" si="441"/>
        <v>B</v>
      </c>
      <c r="EQ101" s="301" t="str">
        <f t="shared" ca="1" si="442"/>
        <v>B</v>
      </c>
      <c r="ER101" s="301" t="str">
        <f t="shared" ca="1" si="442"/>
        <v>B</v>
      </c>
      <c r="ES101" s="301" t="str">
        <f t="shared" ca="1" si="442"/>
        <v>B</v>
      </c>
      <c r="ET101" s="301" t="str">
        <f t="shared" ca="1" si="442"/>
        <v>B</v>
      </c>
      <c r="EU101" s="301" t="str">
        <f t="shared" ca="1" si="442"/>
        <v>B</v>
      </c>
      <c r="EV101" s="301" t="str">
        <f t="shared" ca="1" si="442"/>
        <v>B</v>
      </c>
      <c r="EW101" s="301" t="str">
        <f t="shared" ca="1" si="442"/>
        <v>B</v>
      </c>
      <c r="EX101" s="301" t="str">
        <f t="shared" ca="1" si="442"/>
        <v>B</v>
      </c>
      <c r="EY101" s="301" t="str">
        <f t="shared" ca="1" si="442"/>
        <v>B</v>
      </c>
      <c r="EZ101" s="301" t="str">
        <f t="shared" ca="1" si="442"/>
        <v>B</v>
      </c>
      <c r="FA101" s="301" t="str">
        <f t="shared" ca="1" si="443"/>
        <v>B</v>
      </c>
      <c r="FB101" s="301" t="str">
        <f t="shared" ca="1" si="443"/>
        <v>B</v>
      </c>
      <c r="FC101" s="301" t="str">
        <f t="shared" ca="1" si="443"/>
        <v>B</v>
      </c>
      <c r="FD101" s="301" t="str">
        <f t="shared" ca="1" si="443"/>
        <v>B</v>
      </c>
      <c r="FE101" s="301" t="str">
        <f t="shared" ca="1" si="443"/>
        <v>B</v>
      </c>
      <c r="FF101" s="301" t="str">
        <f t="shared" ca="1" si="443"/>
        <v>B</v>
      </c>
      <c r="FG101" s="301" t="str">
        <f t="shared" ca="1" si="443"/>
        <v>B</v>
      </c>
      <c r="FH101" s="301" t="str">
        <f t="shared" ca="1" si="443"/>
        <v>B</v>
      </c>
      <c r="FI101" s="301" t="str">
        <f t="shared" ca="1" si="443"/>
        <v>B</v>
      </c>
      <c r="FJ101" s="301" t="str">
        <f t="shared" ca="1" si="443"/>
        <v>B</v>
      </c>
      <c r="FK101" s="301" t="str">
        <f t="shared" ca="1" si="443"/>
        <v>B</v>
      </c>
      <c r="FL101" s="301" t="str">
        <f t="shared" ca="1" si="443"/>
        <v>B</v>
      </c>
    </row>
    <row r="102" spans="1:168" x14ac:dyDescent="0.2">
      <c r="A102" s="24" t="str">
        <f t="shared" si="432"/>
        <v>Sprachenkunde</v>
      </c>
      <c r="B102" s="317" t="str">
        <f t="shared" ca="1" si="330"/>
        <v/>
      </c>
      <c r="C102" s="332" t="str">
        <f t="shared" ca="1" si="445"/>
        <v/>
      </c>
      <c r="D102" s="1110"/>
      <c r="E102" s="966"/>
      <c r="F102" s="325"/>
      <c r="G102" s="958"/>
      <c r="H102" s="1196"/>
      <c r="I102" s="326"/>
      <c r="J102" s="1886" t="str">
        <f t="shared" ca="1" si="332"/>
        <v/>
      </c>
      <c r="K102" s="1887"/>
      <c r="L102" s="1887"/>
      <c r="M102" s="1887"/>
      <c r="N102" s="1888"/>
      <c r="O102" s="613" t="str">
        <f t="shared" ca="1" si="333"/>
        <v/>
      </c>
      <c r="P102" s="90"/>
      <c r="Q102" s="25"/>
      <c r="R102" s="1313"/>
      <c r="S102" s="1313"/>
      <c r="T102" s="1315"/>
      <c r="U102" s="1283"/>
      <c r="V102" s="628" t="str">
        <f t="shared" ca="1" si="334"/>
        <v/>
      </c>
      <c r="W102" s="164">
        <f t="shared" ca="1" si="335"/>
        <v>0</v>
      </c>
      <c r="X102" s="164">
        <f t="shared" ca="1" si="336"/>
        <v>0</v>
      </c>
      <c r="Y102" s="164">
        <f t="shared" ca="1" si="337"/>
        <v>0</v>
      </c>
      <c r="Z102" s="164">
        <f t="shared" ca="1" si="338"/>
        <v>0</v>
      </c>
      <c r="AA102" s="164">
        <f t="shared" ca="1" si="339"/>
        <v>0</v>
      </c>
      <c r="AB102" s="164">
        <f t="shared" ca="1" si="340"/>
        <v>0</v>
      </c>
      <c r="AC102" s="164">
        <f t="shared" ca="1" si="341"/>
        <v>0</v>
      </c>
      <c r="AD102" s="164">
        <f t="shared" ca="1" si="342"/>
        <v>0</v>
      </c>
      <c r="AE102" s="164">
        <f t="shared" ca="1" si="343"/>
        <v>0</v>
      </c>
      <c r="AF102" s="164">
        <f t="shared" ca="1" si="344"/>
        <v>0</v>
      </c>
      <c r="AG102" s="164">
        <f t="shared" ca="1" si="345"/>
        <v>0</v>
      </c>
      <c r="AH102" s="164">
        <f t="shared" ca="1" si="346"/>
        <v>0</v>
      </c>
      <c r="AI102" s="164">
        <f t="shared" ca="1" si="347"/>
        <v>0</v>
      </c>
      <c r="AJ102" s="164">
        <f t="shared" ca="1" si="348"/>
        <v>0</v>
      </c>
      <c r="AK102" s="164">
        <f t="shared" ca="1" si="349"/>
        <v>0</v>
      </c>
      <c r="AL102" s="164">
        <f t="shared" ca="1" si="350"/>
        <v>0</v>
      </c>
      <c r="AM102" s="164">
        <f t="shared" ca="1" si="351"/>
        <v>0</v>
      </c>
      <c r="AN102" s="164">
        <f t="shared" ca="1" si="352"/>
        <v>0</v>
      </c>
      <c r="AO102" s="164">
        <f t="shared" ca="1" si="353"/>
        <v>0</v>
      </c>
      <c r="AP102" s="164">
        <f t="shared" ca="1" si="354"/>
        <v>0</v>
      </c>
      <c r="AQ102" s="164">
        <f t="shared" ca="1" si="355"/>
        <v>0</v>
      </c>
      <c r="AR102" s="164">
        <f t="shared" ca="1" si="356"/>
        <v>0</v>
      </c>
      <c r="AS102" s="195"/>
      <c r="AT102" s="154">
        <f t="shared" ca="1" si="357"/>
        <v>0</v>
      </c>
      <c r="AU102" s="154">
        <f t="shared" ca="1" si="358"/>
        <v>0</v>
      </c>
      <c r="AV102" s="154">
        <f t="shared" ca="1" si="359"/>
        <v>0</v>
      </c>
      <c r="AW102" s="154">
        <f t="shared" ca="1" si="360"/>
        <v>0</v>
      </c>
      <c r="AX102" s="154">
        <f t="shared" ca="1" si="361"/>
        <v>0</v>
      </c>
      <c r="AY102" s="154">
        <f t="shared" ca="1" si="362"/>
        <v>0</v>
      </c>
      <c r="AZ102" s="154">
        <f t="shared" ca="1" si="363"/>
        <v>0</v>
      </c>
      <c r="BA102" s="154">
        <f t="shared" ca="1" si="364"/>
        <v>0</v>
      </c>
      <c r="BB102" s="154">
        <f t="shared" ca="1" si="365"/>
        <v>0</v>
      </c>
      <c r="BC102" s="154">
        <f t="shared" ca="1" si="366"/>
        <v>0</v>
      </c>
      <c r="BD102" s="154">
        <f t="shared" ca="1" si="367"/>
        <v>0</v>
      </c>
      <c r="BE102" s="154">
        <f t="shared" ca="1" si="368"/>
        <v>0</v>
      </c>
      <c r="BF102" s="154">
        <f t="shared" ca="1" si="369"/>
        <v>0</v>
      </c>
      <c r="BG102" s="154">
        <f t="shared" ca="1" si="370"/>
        <v>0</v>
      </c>
      <c r="BH102" s="154">
        <f t="shared" ca="1" si="371"/>
        <v>0</v>
      </c>
      <c r="BI102" s="154">
        <f t="shared" ca="1" si="372"/>
        <v>0</v>
      </c>
      <c r="BJ102" s="154">
        <f t="shared" ca="1" si="373"/>
        <v>0</v>
      </c>
      <c r="BK102" s="154">
        <f t="shared" ca="1" si="374"/>
        <v>0</v>
      </c>
      <c r="BL102" s="154">
        <f t="shared" ca="1" si="375"/>
        <v>0</v>
      </c>
      <c r="BM102" s="154">
        <f t="shared" ca="1" si="376"/>
        <v>0</v>
      </c>
      <c r="BN102" s="154">
        <f t="shared" ca="1" si="377"/>
        <v>0</v>
      </c>
      <c r="BO102" s="154">
        <f t="shared" ca="1" si="378"/>
        <v>0</v>
      </c>
      <c r="BP102" s="154">
        <f t="shared" ca="1" si="379"/>
        <v>0</v>
      </c>
      <c r="BQ102" s="154">
        <f t="shared" ca="1" si="380"/>
        <v>0</v>
      </c>
      <c r="BR102" s="154">
        <f t="shared" ca="1" si="381"/>
        <v>0</v>
      </c>
      <c r="BS102" s="154">
        <f t="shared" ca="1" si="382"/>
        <v>0</v>
      </c>
      <c r="BT102" s="154">
        <f t="shared" ca="1" si="383"/>
        <v>0</v>
      </c>
      <c r="BU102" s="154">
        <f t="shared" ca="1" si="384"/>
        <v>0</v>
      </c>
      <c r="BV102" s="154">
        <f t="shared" ca="1" si="385"/>
        <v>0</v>
      </c>
      <c r="BW102" s="154">
        <f t="shared" ca="1" si="386"/>
        <v>0</v>
      </c>
      <c r="BX102" s="154">
        <f t="shared" ca="1" si="387"/>
        <v>0</v>
      </c>
      <c r="BY102" s="154">
        <f t="shared" ca="1" si="388"/>
        <v>0</v>
      </c>
      <c r="BZ102" s="154">
        <f t="shared" si="433"/>
        <v>0</v>
      </c>
      <c r="CA102" s="154">
        <f t="shared" si="434"/>
        <v>0</v>
      </c>
      <c r="CB102" s="154">
        <f t="shared" ca="1" si="435"/>
        <v>0</v>
      </c>
      <c r="CC102" s="523"/>
      <c r="CD102" s="355">
        <f t="shared" si="389"/>
        <v>127</v>
      </c>
      <c r="CE102" s="751" t="str">
        <f t="shared" ca="1" si="390"/>
        <v>B</v>
      </c>
      <c r="CF102" s="355" t="str">
        <f ca="1">IF(EXACT($B102,""),$CF101,CONCATENATE($CF101,$A102))</f>
        <v/>
      </c>
      <c r="CG102" s="268">
        <f>IF(ZS_SE_VIEW,SUM(
IF(ZS_AKADEMIE="",0,IF(HLOOKUP(ZS_AKADEMIE,PROFMAGIE,$CD102,FALSE)&gt;0,1,0)),
IF(AND(ZS_IAAK="Ja",IF(HLOOKUP(Tabellen_Magie!$IK$1,PROFMAGIE,$CD102,FALSE)&gt;0,TRUE,FALSE)),1,0)),0)</f>
        <v>0</v>
      </c>
      <c r="CH102" s="268"/>
      <c r="CI102" s="269">
        <f t="shared" ca="1" si="391"/>
        <v>0</v>
      </c>
      <c r="CJ102" s="269">
        <f t="shared" ca="1" si="392"/>
        <v>0</v>
      </c>
      <c r="CK102" s="268"/>
      <c r="CL102" s="268"/>
      <c r="CM102" s="268">
        <f t="shared" ca="1" si="327"/>
        <v>0</v>
      </c>
      <c r="CN102" s="269">
        <f t="shared" ca="1" si="328"/>
        <v>0</v>
      </c>
      <c r="CO102" s="268" t="str">
        <f t="shared" ca="1" si="393"/>
        <v>B</v>
      </c>
      <c r="CP102" s="269" t="b">
        <f t="shared" ca="1" si="394"/>
        <v>1</v>
      </c>
      <c r="CQ102" s="269">
        <f t="shared" si="395"/>
        <v>0</v>
      </c>
      <c r="CR102" s="269">
        <f t="shared" si="396"/>
        <v>0</v>
      </c>
      <c r="CS102" s="269">
        <f t="shared" ca="1" si="397"/>
        <v>0</v>
      </c>
      <c r="CT102" s="302" t="str">
        <f t="shared" ca="1" si="398"/>
        <v>0</v>
      </c>
      <c r="CU102" s="269">
        <f t="shared" ca="1" si="399"/>
        <v>0</v>
      </c>
      <c r="CV102" s="268"/>
      <c r="CW102" s="269">
        <f t="shared" ca="1" si="400"/>
        <v>0</v>
      </c>
      <c r="CX102" s="301">
        <f t="shared" ca="1" si="401"/>
        <v>0</v>
      </c>
      <c r="CY102" s="301">
        <f t="shared" ca="1" si="329"/>
        <v>0</v>
      </c>
      <c r="CZ102" s="301">
        <f t="shared" ca="1" si="402"/>
        <v>0</v>
      </c>
      <c r="DA102" s="301">
        <f t="shared" ca="1" si="403"/>
        <v>0</v>
      </c>
      <c r="DB102" t="str">
        <f>IF(CG102&gt;0,CG102 &amp; " SE aus Zweit-/Drittstudium","")</f>
        <v/>
      </c>
      <c r="DC102" s="301" t="str">
        <f t="shared" ca="1" si="404"/>
        <v/>
      </c>
      <c r="DD102" s="1337" t="str">
        <f t="shared" ca="1" si="436"/>
        <v/>
      </c>
      <c r="DE102" s="1337" t="str">
        <f t="shared" ca="1" si="437"/>
        <v/>
      </c>
      <c r="DG102" s="269" t="str">
        <f t="shared" ca="1" si="446"/>
        <v>Tabellen_Andere!BA111:BF111</v>
      </c>
      <c r="DH102" s="269" t="str">
        <f t="shared" si="447"/>
        <v>Tabellen_Andere!BA111:BF111</v>
      </c>
      <c r="DI102" s="269" t="str">
        <f ca="1">IF(NOT(ISERR(FIND(A102,Abfragen!$O$264,1))),MID(Abfragen!$O$264,FIND("(",Abfragen!$O$264,FIND(A102,Abfragen!$O$264,1)+LEN(A102))+1,FIND(")",Abfragen!$O$264,FIND(A102,Abfragen!$O$264,1)+LEN(A102))-FIND("(",Abfragen!$O$264,FIND(A102,Abfragen!$O$264,1)+LEN(A102))-1),"")</f>
        <v/>
      </c>
      <c r="DJ102" s="301" t="str">
        <f t="shared" ca="1" si="406"/>
        <v>B</v>
      </c>
      <c r="DK102" s="301" t="str">
        <f t="shared" ca="1" si="407"/>
        <v>B</v>
      </c>
      <c r="DL102" s="301" t="str">
        <f t="shared" ca="1" si="408"/>
        <v>B</v>
      </c>
      <c r="DM102" s="301" t="str">
        <f t="shared" ca="1" si="409"/>
        <v>B</v>
      </c>
      <c r="DN102" s="301" t="str">
        <f t="shared" ca="1" si="410"/>
        <v>B</v>
      </c>
      <c r="DO102" s="301" t="str">
        <f t="shared" ca="1" si="411"/>
        <v>B</v>
      </c>
      <c r="DP102" s="301" t="str">
        <f t="shared" ca="1" si="412"/>
        <v>B</v>
      </c>
      <c r="DQ102" s="301" t="str">
        <f t="shared" ca="1" si="413"/>
        <v>B</v>
      </c>
      <c r="DR102" s="301" t="str">
        <f t="shared" ca="1" si="414"/>
        <v>B</v>
      </c>
      <c r="DS102" s="301" t="str">
        <f t="shared" ca="1" si="415"/>
        <v>B</v>
      </c>
      <c r="DT102" s="301" t="str">
        <f t="shared" ca="1" si="416"/>
        <v>B</v>
      </c>
      <c r="DU102" s="301" t="str">
        <f t="shared" ca="1" si="417"/>
        <v>B</v>
      </c>
      <c r="DV102" s="301" t="str">
        <f t="shared" ca="1" si="418"/>
        <v>B</v>
      </c>
      <c r="DW102" s="301" t="str">
        <f t="shared" ca="1" si="419"/>
        <v>B</v>
      </c>
      <c r="DX102" s="301" t="str">
        <f t="shared" ca="1" si="420"/>
        <v>B</v>
      </c>
      <c r="DY102" s="301" t="str">
        <f t="shared" ca="1" si="421"/>
        <v>B</v>
      </c>
      <c r="DZ102" s="301" t="str">
        <f t="shared" ca="1" si="422"/>
        <v>B</v>
      </c>
      <c r="EA102" s="301" t="str">
        <f t="shared" ca="1" si="423"/>
        <v>B</v>
      </c>
      <c r="EB102" s="301" t="str">
        <f t="shared" ca="1" si="424"/>
        <v>B</v>
      </c>
      <c r="EC102" s="301" t="str">
        <f t="shared" ca="1" si="425"/>
        <v>B</v>
      </c>
      <c r="ED102" s="301" t="str">
        <f t="shared" ca="1" si="426"/>
        <v>B</v>
      </c>
      <c r="EE102" s="301" t="str">
        <f t="shared" ca="1" si="427"/>
        <v>B</v>
      </c>
      <c r="EF102" s="301">
        <f t="shared" si="428"/>
        <v>0</v>
      </c>
      <c r="EG102" s="301" t="str">
        <f t="shared" ca="1" si="441"/>
        <v>B</v>
      </c>
      <c r="EH102" s="301" t="str">
        <f t="shared" ca="1" si="441"/>
        <v>B</v>
      </c>
      <c r="EI102" s="301" t="str">
        <f t="shared" ca="1" si="441"/>
        <v>B</v>
      </c>
      <c r="EJ102" s="301" t="str">
        <f t="shared" ca="1" si="441"/>
        <v>B</v>
      </c>
      <c r="EK102" s="301" t="str">
        <f t="shared" ca="1" si="441"/>
        <v>B</v>
      </c>
      <c r="EL102" s="301" t="str">
        <f t="shared" ca="1" si="441"/>
        <v>B</v>
      </c>
      <c r="EM102" s="301" t="str">
        <f t="shared" ca="1" si="441"/>
        <v>B</v>
      </c>
      <c r="EN102" s="301" t="str">
        <f t="shared" ca="1" si="441"/>
        <v>B</v>
      </c>
      <c r="EO102" s="301" t="str">
        <f t="shared" ca="1" si="441"/>
        <v>B</v>
      </c>
      <c r="EP102" s="301" t="str">
        <f t="shared" ca="1" si="441"/>
        <v>B</v>
      </c>
      <c r="EQ102" s="301" t="str">
        <f t="shared" ca="1" si="442"/>
        <v>B</v>
      </c>
      <c r="ER102" s="301" t="str">
        <f t="shared" ca="1" si="442"/>
        <v>B</v>
      </c>
      <c r="ES102" s="301" t="str">
        <f t="shared" ca="1" si="442"/>
        <v>B</v>
      </c>
      <c r="ET102" s="301" t="str">
        <f t="shared" ca="1" si="442"/>
        <v>B</v>
      </c>
      <c r="EU102" s="301" t="str">
        <f t="shared" ca="1" si="442"/>
        <v>B</v>
      </c>
      <c r="EV102" s="301" t="str">
        <f t="shared" ca="1" si="442"/>
        <v>B</v>
      </c>
      <c r="EW102" s="301" t="str">
        <f t="shared" ca="1" si="442"/>
        <v>B</v>
      </c>
      <c r="EX102" s="301" t="str">
        <f t="shared" ca="1" si="442"/>
        <v>B</v>
      </c>
      <c r="EY102" s="301" t="str">
        <f t="shared" ca="1" si="442"/>
        <v>B</v>
      </c>
      <c r="EZ102" s="301" t="str">
        <f t="shared" ca="1" si="442"/>
        <v>B</v>
      </c>
      <c r="FA102" s="301" t="str">
        <f t="shared" ca="1" si="443"/>
        <v>B</v>
      </c>
      <c r="FB102" s="301" t="str">
        <f t="shared" ca="1" si="443"/>
        <v>B</v>
      </c>
      <c r="FC102" s="301" t="str">
        <f t="shared" ca="1" si="443"/>
        <v>B</v>
      </c>
      <c r="FD102" s="301" t="str">
        <f t="shared" ca="1" si="443"/>
        <v>B</v>
      </c>
      <c r="FE102" s="301" t="str">
        <f t="shared" ca="1" si="443"/>
        <v>B</v>
      </c>
      <c r="FF102" s="301" t="str">
        <f t="shared" ca="1" si="443"/>
        <v>B</v>
      </c>
      <c r="FG102" s="301" t="str">
        <f t="shared" ca="1" si="443"/>
        <v>B</v>
      </c>
      <c r="FH102" s="301" t="str">
        <f t="shared" ca="1" si="443"/>
        <v>B</v>
      </c>
      <c r="FI102" s="301" t="str">
        <f t="shared" ca="1" si="443"/>
        <v>B</v>
      </c>
      <c r="FJ102" s="301" t="str">
        <f t="shared" ca="1" si="443"/>
        <v>B</v>
      </c>
      <c r="FK102" s="301" t="str">
        <f t="shared" ca="1" si="443"/>
        <v>B</v>
      </c>
      <c r="FL102" s="301" t="str">
        <f t="shared" ca="1" si="443"/>
        <v>B</v>
      </c>
    </row>
    <row r="103" spans="1:168" x14ac:dyDescent="0.2">
      <c r="A103" s="24" t="str">
        <f t="shared" si="432"/>
        <v>Staatskunst</v>
      </c>
      <c r="B103" s="317" t="str">
        <f t="shared" ca="1" si="330"/>
        <v/>
      </c>
      <c r="C103" s="332" t="str">
        <f t="shared" ca="1" si="445"/>
        <v/>
      </c>
      <c r="D103" s="1110"/>
      <c r="E103" s="966"/>
      <c r="F103" s="325"/>
      <c r="G103" s="958"/>
      <c r="H103" s="1196"/>
      <c r="I103" s="326"/>
      <c r="J103" s="1886" t="str">
        <f t="shared" ca="1" si="332"/>
        <v/>
      </c>
      <c r="K103" s="1887"/>
      <c r="L103" s="1887"/>
      <c r="M103" s="1887"/>
      <c r="N103" s="1888"/>
      <c r="O103" s="613" t="str">
        <f t="shared" ca="1" si="333"/>
        <v/>
      </c>
      <c r="P103" s="90"/>
      <c r="Q103" s="25"/>
      <c r="R103" s="1313"/>
      <c r="S103" s="1313"/>
      <c r="T103" s="1315"/>
      <c r="U103" s="1283"/>
      <c r="V103" s="628" t="str">
        <f t="shared" ca="1" si="334"/>
        <v/>
      </c>
      <c r="W103" s="164">
        <f t="shared" ca="1" si="335"/>
        <v>0</v>
      </c>
      <c r="X103" s="164">
        <f t="shared" ca="1" si="336"/>
        <v>0</v>
      </c>
      <c r="Y103" s="164">
        <f t="shared" ca="1" si="337"/>
        <v>0</v>
      </c>
      <c r="Z103" s="164">
        <f t="shared" ca="1" si="338"/>
        <v>0</v>
      </c>
      <c r="AA103" s="164">
        <f t="shared" ca="1" si="339"/>
        <v>0</v>
      </c>
      <c r="AB103" s="164">
        <f t="shared" ca="1" si="340"/>
        <v>0</v>
      </c>
      <c r="AC103" s="164">
        <f t="shared" ca="1" si="341"/>
        <v>0</v>
      </c>
      <c r="AD103" s="164">
        <f t="shared" ca="1" si="342"/>
        <v>0</v>
      </c>
      <c r="AE103" s="164">
        <f t="shared" ca="1" si="343"/>
        <v>0</v>
      </c>
      <c r="AF103" s="164">
        <f t="shared" ca="1" si="344"/>
        <v>0</v>
      </c>
      <c r="AG103" s="164">
        <f t="shared" ca="1" si="345"/>
        <v>0</v>
      </c>
      <c r="AH103" s="164">
        <f t="shared" ca="1" si="346"/>
        <v>0</v>
      </c>
      <c r="AI103" s="164">
        <f t="shared" ca="1" si="347"/>
        <v>0</v>
      </c>
      <c r="AJ103" s="164">
        <f t="shared" ca="1" si="348"/>
        <v>0</v>
      </c>
      <c r="AK103" s="164">
        <f t="shared" ca="1" si="349"/>
        <v>0</v>
      </c>
      <c r="AL103" s="164">
        <f t="shared" ca="1" si="350"/>
        <v>0</v>
      </c>
      <c r="AM103" s="164">
        <f t="shared" ca="1" si="351"/>
        <v>0</v>
      </c>
      <c r="AN103" s="164">
        <f t="shared" ca="1" si="352"/>
        <v>0</v>
      </c>
      <c r="AO103" s="164">
        <f t="shared" ca="1" si="353"/>
        <v>0</v>
      </c>
      <c r="AP103" s="164">
        <f t="shared" ca="1" si="354"/>
        <v>0</v>
      </c>
      <c r="AQ103" s="164">
        <f t="shared" ca="1" si="355"/>
        <v>0</v>
      </c>
      <c r="AR103" s="164">
        <f t="shared" ca="1" si="356"/>
        <v>0</v>
      </c>
      <c r="AS103" s="195"/>
      <c r="AT103" s="154">
        <f t="shared" ca="1" si="357"/>
        <v>0</v>
      </c>
      <c r="AU103" s="154">
        <f t="shared" ca="1" si="358"/>
        <v>0</v>
      </c>
      <c r="AV103" s="154">
        <f t="shared" ca="1" si="359"/>
        <v>0</v>
      </c>
      <c r="AW103" s="154">
        <f t="shared" ca="1" si="360"/>
        <v>0</v>
      </c>
      <c r="AX103" s="154">
        <f t="shared" ca="1" si="361"/>
        <v>0</v>
      </c>
      <c r="AY103" s="154">
        <f t="shared" ca="1" si="362"/>
        <v>0</v>
      </c>
      <c r="AZ103" s="154">
        <f t="shared" ca="1" si="363"/>
        <v>0</v>
      </c>
      <c r="BA103" s="154">
        <f t="shared" ca="1" si="364"/>
        <v>0</v>
      </c>
      <c r="BB103" s="154">
        <f t="shared" ca="1" si="365"/>
        <v>0</v>
      </c>
      <c r="BC103" s="154">
        <f t="shared" ca="1" si="366"/>
        <v>0</v>
      </c>
      <c r="BD103" s="154">
        <f t="shared" ca="1" si="367"/>
        <v>0</v>
      </c>
      <c r="BE103" s="154">
        <f t="shared" ca="1" si="368"/>
        <v>0</v>
      </c>
      <c r="BF103" s="154">
        <f t="shared" ca="1" si="369"/>
        <v>0</v>
      </c>
      <c r="BG103" s="154">
        <f t="shared" ca="1" si="370"/>
        <v>0</v>
      </c>
      <c r="BH103" s="154">
        <f t="shared" ca="1" si="371"/>
        <v>0</v>
      </c>
      <c r="BI103" s="154">
        <f t="shared" ca="1" si="372"/>
        <v>0</v>
      </c>
      <c r="BJ103" s="154">
        <f t="shared" ca="1" si="373"/>
        <v>0</v>
      </c>
      <c r="BK103" s="154">
        <f t="shared" ca="1" si="374"/>
        <v>0</v>
      </c>
      <c r="BL103" s="154">
        <f t="shared" ca="1" si="375"/>
        <v>0</v>
      </c>
      <c r="BM103" s="154">
        <f t="shared" ca="1" si="376"/>
        <v>0</v>
      </c>
      <c r="BN103" s="154">
        <f t="shared" ca="1" si="377"/>
        <v>0</v>
      </c>
      <c r="BO103" s="154">
        <f t="shared" ca="1" si="378"/>
        <v>0</v>
      </c>
      <c r="BP103" s="154">
        <f t="shared" ca="1" si="379"/>
        <v>0</v>
      </c>
      <c r="BQ103" s="154">
        <f t="shared" ca="1" si="380"/>
        <v>0</v>
      </c>
      <c r="BR103" s="154">
        <f t="shared" ca="1" si="381"/>
        <v>0</v>
      </c>
      <c r="BS103" s="154">
        <f t="shared" ca="1" si="382"/>
        <v>0</v>
      </c>
      <c r="BT103" s="154">
        <f t="shared" ca="1" si="383"/>
        <v>0</v>
      </c>
      <c r="BU103" s="154">
        <f t="shared" ca="1" si="384"/>
        <v>0</v>
      </c>
      <c r="BV103" s="154">
        <f t="shared" ca="1" si="385"/>
        <v>0</v>
      </c>
      <c r="BW103" s="154">
        <f t="shared" ca="1" si="386"/>
        <v>0</v>
      </c>
      <c r="BX103" s="154">
        <f t="shared" ca="1" si="387"/>
        <v>0</v>
      </c>
      <c r="BY103" s="154">
        <f t="shared" ca="1" si="388"/>
        <v>0</v>
      </c>
      <c r="BZ103" s="154">
        <f t="shared" si="433"/>
        <v>0</v>
      </c>
      <c r="CA103" s="154">
        <f t="shared" si="434"/>
        <v>0</v>
      </c>
      <c r="CB103" s="154">
        <f t="shared" ca="1" si="435"/>
        <v>0</v>
      </c>
      <c r="CC103" s="523"/>
      <c r="CD103" s="355">
        <f t="shared" si="389"/>
        <v>128</v>
      </c>
      <c r="CE103" s="751" t="str">
        <f t="shared" ca="1" si="390"/>
        <v>B</v>
      </c>
      <c r="CF103" s="355" t="str">
        <f ca="1">IF(EXACT($B103,""),$CF102,CONCATENATE($CF102,$A103))</f>
        <v/>
      </c>
      <c r="CG103" s="268">
        <f>IF(ZS_SE_VIEW,SUM(
IF(ZS_AKADEMIE="",0,IF(HLOOKUP(ZS_AKADEMIE,PROFMAGIE,$CD103,FALSE)&gt;0,1,0)),
IF(AND(ZS_IAAK="Ja",IF(HLOOKUP(Tabellen_Magie!$IK$1,PROFMAGIE,$CD103,FALSE)&gt;0,TRUE,FALSE)),1,0)),0)</f>
        <v>0</v>
      </c>
      <c r="CH103" s="268"/>
      <c r="CI103" s="269">
        <f t="shared" ca="1" si="391"/>
        <v>0</v>
      </c>
      <c r="CJ103" s="269">
        <f t="shared" ca="1" si="392"/>
        <v>0</v>
      </c>
      <c r="CK103" s="268"/>
      <c r="CL103" s="268"/>
      <c r="CM103" s="268">
        <f t="shared" ca="1" si="327"/>
        <v>0</v>
      </c>
      <c r="CN103" s="269">
        <f t="shared" ca="1" si="328"/>
        <v>0</v>
      </c>
      <c r="CO103" s="268" t="str">
        <f ca="1">CHAR(CODE("B")+$CN103)</f>
        <v>B</v>
      </c>
      <c r="CP103" s="269" t="b">
        <f t="shared" ca="1" si="394"/>
        <v>1</v>
      </c>
      <c r="CQ103" s="269">
        <f t="shared" si="395"/>
        <v>0</v>
      </c>
      <c r="CR103" s="269">
        <f t="shared" si="396"/>
        <v>0</v>
      </c>
      <c r="CS103" s="269">
        <f t="shared" ca="1" si="397"/>
        <v>0</v>
      </c>
      <c r="CT103" s="302" t="str">
        <f t="shared" ca="1" si="398"/>
        <v>0</v>
      </c>
      <c r="CU103" s="269">
        <f t="shared" ca="1" si="399"/>
        <v>0</v>
      </c>
      <c r="CV103" s="268"/>
      <c r="CW103" s="269">
        <f t="shared" ca="1" si="400"/>
        <v>0</v>
      </c>
      <c r="CX103" s="301">
        <f t="shared" ca="1" si="401"/>
        <v>0</v>
      </c>
      <c r="CY103" s="301">
        <f t="shared" ca="1" si="329"/>
        <v>0</v>
      </c>
      <c r="CZ103" s="301">
        <f t="shared" ca="1" si="402"/>
        <v>0</v>
      </c>
      <c r="DA103" s="301">
        <f t="shared" ca="1" si="403"/>
        <v>0</v>
      </c>
      <c r="DB103" t="str">
        <f>IF(CG103&gt;0,CG103 &amp; " SE aus Zweit-/Drittstudium","")</f>
        <v/>
      </c>
      <c r="DC103" s="301" t="str">
        <f t="shared" ca="1" si="404"/>
        <v/>
      </c>
      <c r="DD103" s="1337" t="str">
        <f t="shared" ca="1" si="436"/>
        <v/>
      </c>
      <c r="DE103" s="1337" t="str">
        <f t="shared" ca="1" si="437"/>
        <v/>
      </c>
      <c r="DG103" s="269" t="str">
        <f t="shared" ca="1" si="446"/>
        <v>Tabellen_Andere!BA112:BF112</v>
      </c>
      <c r="DH103" s="269" t="str">
        <f t="shared" si="447"/>
        <v>Tabellen_Andere!BA112:BF112</v>
      </c>
      <c r="DI103" s="269" t="str">
        <f ca="1">IF(NOT(ISERR(FIND(A103,Abfragen!$O$264,1))),MID(Abfragen!$O$264,FIND("(",Abfragen!$O$264,FIND(A103,Abfragen!$O$264,1)+LEN(A103))+1,FIND(")",Abfragen!$O$264,FIND(A103,Abfragen!$O$264,1)+LEN(A103))-FIND("(",Abfragen!$O$264,FIND(A103,Abfragen!$O$264,1)+LEN(A103))-1),"")</f>
        <v/>
      </c>
      <c r="DJ103" s="301" t="str">
        <f t="shared" ca="1" si="406"/>
        <v>B</v>
      </c>
      <c r="DK103" s="301" t="str">
        <f t="shared" ca="1" si="407"/>
        <v>B</v>
      </c>
      <c r="DL103" s="301" t="str">
        <f t="shared" ca="1" si="408"/>
        <v>B</v>
      </c>
      <c r="DM103" s="301" t="str">
        <f t="shared" ca="1" si="409"/>
        <v>B</v>
      </c>
      <c r="DN103" s="301" t="str">
        <f t="shared" ca="1" si="410"/>
        <v>B</v>
      </c>
      <c r="DO103" s="301" t="str">
        <f t="shared" ca="1" si="411"/>
        <v>B</v>
      </c>
      <c r="DP103" s="301" t="str">
        <f t="shared" ca="1" si="412"/>
        <v>B</v>
      </c>
      <c r="DQ103" s="301" t="str">
        <f t="shared" ca="1" si="413"/>
        <v>B</v>
      </c>
      <c r="DR103" s="301" t="str">
        <f t="shared" ca="1" si="414"/>
        <v>B</v>
      </c>
      <c r="DS103" s="301" t="str">
        <f t="shared" ca="1" si="415"/>
        <v>B</v>
      </c>
      <c r="DT103" s="301" t="str">
        <f t="shared" ca="1" si="416"/>
        <v>B</v>
      </c>
      <c r="DU103" s="301" t="str">
        <f t="shared" ca="1" si="417"/>
        <v>B</v>
      </c>
      <c r="DV103" s="301" t="str">
        <f t="shared" ca="1" si="418"/>
        <v>B</v>
      </c>
      <c r="DW103" s="301" t="str">
        <f t="shared" ca="1" si="419"/>
        <v>B</v>
      </c>
      <c r="DX103" s="301" t="str">
        <f t="shared" ca="1" si="420"/>
        <v>B</v>
      </c>
      <c r="DY103" s="301" t="str">
        <f t="shared" ca="1" si="421"/>
        <v>B</v>
      </c>
      <c r="DZ103" s="301" t="str">
        <f t="shared" ca="1" si="422"/>
        <v>B</v>
      </c>
      <c r="EA103" s="301" t="str">
        <f t="shared" ca="1" si="423"/>
        <v>B</v>
      </c>
      <c r="EB103" s="301" t="str">
        <f t="shared" ca="1" si="424"/>
        <v>B</v>
      </c>
      <c r="EC103" s="301" t="str">
        <f t="shared" ca="1" si="425"/>
        <v>B</v>
      </c>
      <c r="ED103" s="301" t="str">
        <f t="shared" ca="1" si="426"/>
        <v>B</v>
      </c>
      <c r="EE103" s="301" t="str">
        <f t="shared" ca="1" si="427"/>
        <v>B</v>
      </c>
      <c r="EF103" s="301">
        <f t="shared" si="428"/>
        <v>0</v>
      </c>
      <c r="EG103" s="301" t="str">
        <f t="shared" ca="1" si="441"/>
        <v>B</v>
      </c>
      <c r="EH103" s="301" t="str">
        <f t="shared" ca="1" si="441"/>
        <v>B</v>
      </c>
      <c r="EI103" s="301" t="str">
        <f t="shared" ca="1" si="441"/>
        <v>B</v>
      </c>
      <c r="EJ103" s="301" t="str">
        <f t="shared" ca="1" si="441"/>
        <v>B</v>
      </c>
      <c r="EK103" s="301" t="str">
        <f t="shared" ca="1" si="441"/>
        <v>B</v>
      </c>
      <c r="EL103" s="301" t="str">
        <f t="shared" ca="1" si="441"/>
        <v>B</v>
      </c>
      <c r="EM103" s="301" t="str">
        <f t="shared" ca="1" si="441"/>
        <v>B</v>
      </c>
      <c r="EN103" s="301" t="str">
        <f t="shared" ca="1" si="441"/>
        <v>B</v>
      </c>
      <c r="EO103" s="301" t="str">
        <f t="shared" ca="1" si="441"/>
        <v>B</v>
      </c>
      <c r="EP103" s="301" t="str">
        <f t="shared" ca="1" si="441"/>
        <v>B</v>
      </c>
      <c r="EQ103" s="301" t="str">
        <f t="shared" ca="1" si="442"/>
        <v>B</v>
      </c>
      <c r="ER103" s="301" t="str">
        <f t="shared" ca="1" si="442"/>
        <v>B</v>
      </c>
      <c r="ES103" s="301" t="str">
        <f t="shared" ca="1" si="442"/>
        <v>B</v>
      </c>
      <c r="ET103" s="301" t="str">
        <f t="shared" ca="1" si="442"/>
        <v>B</v>
      </c>
      <c r="EU103" s="301" t="str">
        <f t="shared" ca="1" si="442"/>
        <v>B</v>
      </c>
      <c r="EV103" s="301" t="str">
        <f t="shared" ca="1" si="442"/>
        <v>B</v>
      </c>
      <c r="EW103" s="301" t="str">
        <f t="shared" ca="1" si="442"/>
        <v>B</v>
      </c>
      <c r="EX103" s="301" t="str">
        <f t="shared" ca="1" si="442"/>
        <v>B</v>
      </c>
      <c r="EY103" s="301" t="str">
        <f t="shared" ca="1" si="442"/>
        <v>B</v>
      </c>
      <c r="EZ103" s="301" t="str">
        <f t="shared" ca="1" si="442"/>
        <v>B</v>
      </c>
      <c r="FA103" s="301" t="str">
        <f t="shared" ca="1" si="443"/>
        <v>B</v>
      </c>
      <c r="FB103" s="301" t="str">
        <f t="shared" ca="1" si="443"/>
        <v>B</v>
      </c>
      <c r="FC103" s="301" t="str">
        <f t="shared" ca="1" si="443"/>
        <v>B</v>
      </c>
      <c r="FD103" s="301" t="str">
        <f t="shared" ca="1" si="443"/>
        <v>B</v>
      </c>
      <c r="FE103" s="301" t="str">
        <f t="shared" ca="1" si="443"/>
        <v>B</v>
      </c>
      <c r="FF103" s="301" t="str">
        <f t="shared" ca="1" si="443"/>
        <v>B</v>
      </c>
      <c r="FG103" s="301" t="str">
        <f t="shared" ca="1" si="443"/>
        <v>B</v>
      </c>
      <c r="FH103" s="301" t="str">
        <f t="shared" ca="1" si="443"/>
        <v>B</v>
      </c>
      <c r="FI103" s="301" t="str">
        <f t="shared" ca="1" si="443"/>
        <v>B</v>
      </c>
      <c r="FJ103" s="301" t="str">
        <f t="shared" ca="1" si="443"/>
        <v>B</v>
      </c>
      <c r="FK103" s="301" t="str">
        <f t="shared" ca="1" si="443"/>
        <v>B</v>
      </c>
      <c r="FL103" s="301" t="str">
        <f t="shared" ca="1" si="443"/>
        <v>B</v>
      </c>
    </row>
    <row r="104" spans="1:168" x14ac:dyDescent="0.2">
      <c r="A104" s="24" t="str">
        <f t="shared" si="432"/>
        <v>Sternkunde</v>
      </c>
      <c r="B104" s="317" t="str">
        <f t="shared" ca="1" si="330"/>
        <v/>
      </c>
      <c r="C104" s="332" t="str">
        <f t="shared" ca="1" si="445"/>
        <v/>
      </c>
      <c r="D104" s="1110"/>
      <c r="E104" s="966"/>
      <c r="F104" s="325"/>
      <c r="G104" s="958"/>
      <c r="H104" s="1196"/>
      <c r="I104" s="326"/>
      <c r="J104" s="1886" t="str">
        <f t="shared" ca="1" si="332"/>
        <v/>
      </c>
      <c r="K104" s="1887"/>
      <c r="L104" s="1887"/>
      <c r="M104" s="1887"/>
      <c r="N104" s="1888"/>
      <c r="O104" s="613" t="str">
        <f t="shared" ca="1" si="333"/>
        <v/>
      </c>
      <c r="P104" s="90"/>
      <c r="Q104" s="25"/>
      <c r="R104" s="1313"/>
      <c r="S104" s="1313"/>
      <c r="T104" s="1315"/>
      <c r="U104" s="1283"/>
      <c r="V104" s="628" t="str">
        <f t="shared" ca="1" si="334"/>
        <v/>
      </c>
      <c r="W104" s="164">
        <f t="shared" ca="1" si="335"/>
        <v>0</v>
      </c>
      <c r="X104" s="164">
        <f t="shared" ca="1" si="336"/>
        <v>0</v>
      </c>
      <c r="Y104" s="164">
        <f t="shared" ca="1" si="337"/>
        <v>0</v>
      </c>
      <c r="Z104" s="164">
        <f t="shared" ca="1" si="338"/>
        <v>0</v>
      </c>
      <c r="AA104" s="164">
        <f t="shared" ca="1" si="339"/>
        <v>0</v>
      </c>
      <c r="AB104" s="164">
        <f t="shared" ca="1" si="340"/>
        <v>0</v>
      </c>
      <c r="AC104" s="164">
        <f t="shared" ca="1" si="341"/>
        <v>0</v>
      </c>
      <c r="AD104" s="164">
        <f t="shared" ca="1" si="342"/>
        <v>0</v>
      </c>
      <c r="AE104" s="164">
        <f t="shared" ca="1" si="343"/>
        <v>0</v>
      </c>
      <c r="AF104" s="164">
        <f t="shared" ca="1" si="344"/>
        <v>0</v>
      </c>
      <c r="AG104" s="164">
        <f t="shared" ca="1" si="345"/>
        <v>0</v>
      </c>
      <c r="AH104" s="164">
        <f t="shared" ca="1" si="346"/>
        <v>0</v>
      </c>
      <c r="AI104" s="164">
        <f t="shared" ca="1" si="347"/>
        <v>0</v>
      </c>
      <c r="AJ104" s="164">
        <f t="shared" ca="1" si="348"/>
        <v>0</v>
      </c>
      <c r="AK104" s="164">
        <f t="shared" ca="1" si="349"/>
        <v>0</v>
      </c>
      <c r="AL104" s="164">
        <f t="shared" ca="1" si="350"/>
        <v>0</v>
      </c>
      <c r="AM104" s="164">
        <f t="shared" ca="1" si="351"/>
        <v>0</v>
      </c>
      <c r="AN104" s="164">
        <f t="shared" ca="1" si="352"/>
        <v>0</v>
      </c>
      <c r="AO104" s="164">
        <f t="shared" ca="1" si="353"/>
        <v>0</v>
      </c>
      <c r="AP104" s="164">
        <f t="shared" ca="1" si="354"/>
        <v>0</v>
      </c>
      <c r="AQ104" s="164">
        <f t="shared" ca="1" si="355"/>
        <v>0</v>
      </c>
      <c r="AR104" s="164">
        <f t="shared" ca="1" si="356"/>
        <v>0</v>
      </c>
      <c r="AS104" s="195"/>
      <c r="AT104" s="154">
        <f t="shared" ca="1" si="357"/>
        <v>0</v>
      </c>
      <c r="AU104" s="154">
        <f t="shared" ca="1" si="358"/>
        <v>0</v>
      </c>
      <c r="AV104" s="154">
        <f t="shared" ca="1" si="359"/>
        <v>0</v>
      </c>
      <c r="AW104" s="154">
        <f t="shared" ca="1" si="360"/>
        <v>0</v>
      </c>
      <c r="AX104" s="154">
        <f t="shared" ca="1" si="361"/>
        <v>0</v>
      </c>
      <c r="AY104" s="154">
        <f t="shared" ca="1" si="362"/>
        <v>0</v>
      </c>
      <c r="AZ104" s="154">
        <f t="shared" ca="1" si="363"/>
        <v>0</v>
      </c>
      <c r="BA104" s="154">
        <f t="shared" ca="1" si="364"/>
        <v>0</v>
      </c>
      <c r="BB104" s="154">
        <f t="shared" ca="1" si="365"/>
        <v>0</v>
      </c>
      <c r="BC104" s="154">
        <f t="shared" ca="1" si="366"/>
        <v>0</v>
      </c>
      <c r="BD104" s="154">
        <f t="shared" ca="1" si="367"/>
        <v>0</v>
      </c>
      <c r="BE104" s="154">
        <f t="shared" ca="1" si="368"/>
        <v>0</v>
      </c>
      <c r="BF104" s="154">
        <f t="shared" ca="1" si="369"/>
        <v>0</v>
      </c>
      <c r="BG104" s="154">
        <f t="shared" ca="1" si="370"/>
        <v>0</v>
      </c>
      <c r="BH104" s="154">
        <f t="shared" ca="1" si="371"/>
        <v>0</v>
      </c>
      <c r="BI104" s="154">
        <f t="shared" ca="1" si="372"/>
        <v>0</v>
      </c>
      <c r="BJ104" s="154">
        <f t="shared" ca="1" si="373"/>
        <v>0</v>
      </c>
      <c r="BK104" s="154">
        <f t="shared" ca="1" si="374"/>
        <v>0</v>
      </c>
      <c r="BL104" s="154">
        <f t="shared" ca="1" si="375"/>
        <v>0</v>
      </c>
      <c r="BM104" s="154">
        <f t="shared" ca="1" si="376"/>
        <v>0</v>
      </c>
      <c r="BN104" s="154">
        <f t="shared" ca="1" si="377"/>
        <v>0</v>
      </c>
      <c r="BO104" s="154">
        <f t="shared" ca="1" si="378"/>
        <v>0</v>
      </c>
      <c r="BP104" s="154">
        <f t="shared" ca="1" si="379"/>
        <v>0</v>
      </c>
      <c r="BQ104" s="154">
        <f t="shared" ca="1" si="380"/>
        <v>0</v>
      </c>
      <c r="BR104" s="154">
        <f t="shared" ca="1" si="381"/>
        <v>0</v>
      </c>
      <c r="BS104" s="154">
        <f t="shared" ca="1" si="382"/>
        <v>0</v>
      </c>
      <c r="BT104" s="154">
        <f t="shared" ca="1" si="383"/>
        <v>0</v>
      </c>
      <c r="BU104" s="154">
        <f t="shared" ca="1" si="384"/>
        <v>0</v>
      </c>
      <c r="BV104" s="154">
        <f t="shared" ca="1" si="385"/>
        <v>0</v>
      </c>
      <c r="BW104" s="154">
        <f t="shared" ca="1" si="386"/>
        <v>0</v>
      </c>
      <c r="BX104" s="154">
        <f t="shared" ca="1" si="387"/>
        <v>0</v>
      </c>
      <c r="BY104" s="154">
        <f t="shared" ca="1" si="388"/>
        <v>0</v>
      </c>
      <c r="BZ104" s="154">
        <f t="shared" si="433"/>
        <v>0</v>
      </c>
      <c r="CA104" s="154">
        <f t="shared" si="434"/>
        <v>0</v>
      </c>
      <c r="CB104" s="154">
        <f t="shared" ca="1" si="435"/>
        <v>0</v>
      </c>
      <c r="CC104" s="523"/>
      <c r="CD104" s="355">
        <f t="shared" si="389"/>
        <v>129</v>
      </c>
      <c r="CE104" s="751" t="str">
        <f t="shared" ca="1" si="390"/>
        <v>B</v>
      </c>
      <c r="CF104" s="355" t="str">
        <f ca="1">IF(EXACT($B104,""),$CF103,CONCATENATE($CF103,$A104))</f>
        <v/>
      </c>
      <c r="CG104" s="268">
        <f>IF(ZS_SE_VIEW,SUM(
IF(ZS_AKADEMIE="",0,IF(HLOOKUP(ZS_AKADEMIE,PROFMAGIE,$CD104,FALSE)&gt;0,1,0)),
IF(AND(ZS_IAAK="Ja",IF(HLOOKUP(Tabellen_Magie!$IK$1,PROFMAGIE,$CD104,FALSE)&gt;0,TRUE,FALSE)),1,0)),0)</f>
        <v>0</v>
      </c>
      <c r="CH104" s="268"/>
      <c r="CI104" s="269">
        <f t="shared" ca="1" si="391"/>
        <v>0</v>
      </c>
      <c r="CJ104" s="269">
        <f t="shared" ca="1" si="392"/>
        <v>0</v>
      </c>
      <c r="CK104" s="268"/>
      <c r="CL104" s="268"/>
      <c r="CM104" s="268">
        <f t="shared" ca="1" si="327"/>
        <v>0</v>
      </c>
      <c r="CN104" s="269">
        <f t="shared" ca="1" si="328"/>
        <v>0</v>
      </c>
      <c r="CO104" s="268" t="str">
        <f ca="1">CHAR(CODE("B")+$CN104)</f>
        <v>B</v>
      </c>
      <c r="CP104" s="269" t="b">
        <f t="shared" ca="1" si="394"/>
        <v>1</v>
      </c>
      <c r="CQ104" s="269">
        <f t="shared" si="395"/>
        <v>0</v>
      </c>
      <c r="CR104" s="269">
        <f t="shared" si="396"/>
        <v>0</v>
      </c>
      <c r="CS104" s="269">
        <f t="shared" ca="1" si="397"/>
        <v>0</v>
      </c>
      <c r="CT104" s="302" t="str">
        <f t="shared" ca="1" si="398"/>
        <v>0</v>
      </c>
      <c r="CU104" s="269">
        <f t="shared" ca="1" si="399"/>
        <v>0</v>
      </c>
      <c r="CV104" s="268"/>
      <c r="CW104" s="269">
        <f t="shared" ca="1" si="400"/>
        <v>0</v>
      </c>
      <c r="CX104" s="301">
        <f t="shared" ca="1" si="401"/>
        <v>0</v>
      </c>
      <c r="CY104" s="301">
        <f t="shared" ca="1" si="329"/>
        <v>0</v>
      </c>
      <c r="CZ104" s="301">
        <f t="shared" ca="1" si="402"/>
        <v>0</v>
      </c>
      <c r="DA104" s="301">
        <f t="shared" ca="1" si="403"/>
        <v>0</v>
      </c>
      <c r="DB104" t="str">
        <f ca="1">IF(AND(NOT(AND(ISBLANK($G104),ISBLANK($I104))),OR($O$246&lt;6,$O$54&lt;6,$O$97&lt;6),SUM(B104,G104,I104)&gt;=10),"L/S &amp; Sinnenschärfe &amp; Rechnen 6+",IF(CG104&gt;0,CG104 &amp; " SE aus Zweit-/Drittstudium",""))</f>
        <v/>
      </c>
      <c r="DC104" s="301" t="str">
        <f t="shared" ca="1" si="404"/>
        <v/>
      </c>
      <c r="DD104" s="1337" t="str">
        <f t="shared" ca="1" si="436"/>
        <v/>
      </c>
      <c r="DE104" s="1337" t="str">
        <f t="shared" ca="1" si="437"/>
        <v/>
      </c>
      <c r="DG104" s="269" t="str">
        <f t="shared" ca="1" si="446"/>
        <v>Tabellen_Andere!BA117:BF117</v>
      </c>
      <c r="DH104" s="269" t="str">
        <f t="shared" si="447"/>
        <v>Tabellen_Andere!BA117:BF117</v>
      </c>
      <c r="DI104" s="269" t="str">
        <f ca="1">IF(NOT(ISERR(FIND(A104,Abfragen!$O$264,1))),MID(Abfragen!$O$264,FIND("(",Abfragen!$O$264,FIND(A104,Abfragen!$O$264,1)+LEN(A104))+1,FIND(")",Abfragen!$O$264,FIND(A104,Abfragen!$O$264,1)+LEN(A104))-FIND("(",Abfragen!$O$264,FIND(A104,Abfragen!$O$264,1)+LEN(A104))-1),"")</f>
        <v/>
      </c>
      <c r="DJ104" s="301" t="str">
        <f t="shared" ca="1" si="406"/>
        <v>B</v>
      </c>
      <c r="DK104" s="301" t="str">
        <f t="shared" ca="1" si="407"/>
        <v>B</v>
      </c>
      <c r="DL104" s="301" t="str">
        <f t="shared" ca="1" si="408"/>
        <v>B</v>
      </c>
      <c r="DM104" s="301" t="str">
        <f t="shared" ca="1" si="409"/>
        <v>B</v>
      </c>
      <c r="DN104" s="301" t="str">
        <f t="shared" ca="1" si="410"/>
        <v>B</v>
      </c>
      <c r="DO104" s="301" t="str">
        <f t="shared" ca="1" si="411"/>
        <v>B</v>
      </c>
      <c r="DP104" s="301" t="str">
        <f t="shared" ca="1" si="412"/>
        <v>B</v>
      </c>
      <c r="DQ104" s="301" t="str">
        <f t="shared" ca="1" si="413"/>
        <v>B</v>
      </c>
      <c r="DR104" s="301" t="str">
        <f t="shared" ca="1" si="414"/>
        <v>B</v>
      </c>
      <c r="DS104" s="301" t="str">
        <f t="shared" ca="1" si="415"/>
        <v>B</v>
      </c>
      <c r="DT104" s="301" t="str">
        <f t="shared" ca="1" si="416"/>
        <v>B</v>
      </c>
      <c r="DU104" s="301" t="str">
        <f t="shared" ca="1" si="417"/>
        <v>B</v>
      </c>
      <c r="DV104" s="301" t="str">
        <f t="shared" ca="1" si="418"/>
        <v>B</v>
      </c>
      <c r="DW104" s="301" t="str">
        <f t="shared" ca="1" si="419"/>
        <v>B</v>
      </c>
      <c r="DX104" s="301" t="str">
        <f t="shared" ca="1" si="420"/>
        <v>B</v>
      </c>
      <c r="DY104" s="301" t="str">
        <f t="shared" ca="1" si="421"/>
        <v>B</v>
      </c>
      <c r="DZ104" s="301" t="str">
        <f t="shared" ca="1" si="422"/>
        <v>B</v>
      </c>
      <c r="EA104" s="301" t="str">
        <f t="shared" ca="1" si="423"/>
        <v>B</v>
      </c>
      <c r="EB104" s="301" t="str">
        <f t="shared" ca="1" si="424"/>
        <v>B</v>
      </c>
      <c r="EC104" s="301" t="str">
        <f t="shared" ca="1" si="425"/>
        <v>B</v>
      </c>
      <c r="ED104" s="301" t="str">
        <f t="shared" ca="1" si="426"/>
        <v>B</v>
      </c>
      <c r="EE104" s="301" t="str">
        <f t="shared" ca="1" si="427"/>
        <v>B</v>
      </c>
      <c r="EF104" s="301">
        <f t="shared" si="428"/>
        <v>0</v>
      </c>
      <c r="EG104" s="301" t="str">
        <f t="shared" ca="1" si="441"/>
        <v>B</v>
      </c>
      <c r="EH104" s="301" t="str">
        <f t="shared" ca="1" si="441"/>
        <v>B</v>
      </c>
      <c r="EI104" s="301" t="str">
        <f t="shared" ca="1" si="441"/>
        <v>B</v>
      </c>
      <c r="EJ104" s="301" t="str">
        <f t="shared" ca="1" si="441"/>
        <v>B</v>
      </c>
      <c r="EK104" s="301" t="str">
        <f t="shared" ca="1" si="441"/>
        <v>B</v>
      </c>
      <c r="EL104" s="301" t="str">
        <f t="shared" ca="1" si="441"/>
        <v>B</v>
      </c>
      <c r="EM104" s="301" t="str">
        <f t="shared" ca="1" si="441"/>
        <v>B</v>
      </c>
      <c r="EN104" s="301" t="str">
        <f t="shared" ca="1" si="441"/>
        <v>B</v>
      </c>
      <c r="EO104" s="301" t="str">
        <f t="shared" ca="1" si="441"/>
        <v>B</v>
      </c>
      <c r="EP104" s="301" t="str">
        <f t="shared" ca="1" si="441"/>
        <v>B</v>
      </c>
      <c r="EQ104" s="301" t="str">
        <f t="shared" ca="1" si="442"/>
        <v>B</v>
      </c>
      <c r="ER104" s="301" t="str">
        <f t="shared" ca="1" si="442"/>
        <v>B</v>
      </c>
      <c r="ES104" s="301" t="str">
        <f t="shared" ca="1" si="442"/>
        <v>B</v>
      </c>
      <c r="ET104" s="301" t="str">
        <f t="shared" ca="1" si="442"/>
        <v>B</v>
      </c>
      <c r="EU104" s="301" t="str">
        <f t="shared" ca="1" si="442"/>
        <v>B</v>
      </c>
      <c r="EV104" s="301" t="str">
        <f t="shared" ca="1" si="442"/>
        <v>B</v>
      </c>
      <c r="EW104" s="301" t="str">
        <f t="shared" ca="1" si="442"/>
        <v>B</v>
      </c>
      <c r="EX104" s="301" t="str">
        <f t="shared" ca="1" si="442"/>
        <v>B</v>
      </c>
      <c r="EY104" s="301" t="str">
        <f t="shared" ca="1" si="442"/>
        <v>B</v>
      </c>
      <c r="EZ104" s="301" t="str">
        <f t="shared" ca="1" si="442"/>
        <v>B</v>
      </c>
      <c r="FA104" s="301" t="str">
        <f t="shared" ca="1" si="443"/>
        <v>B</v>
      </c>
      <c r="FB104" s="301" t="str">
        <f t="shared" ca="1" si="443"/>
        <v>B</v>
      </c>
      <c r="FC104" s="301" t="str">
        <f t="shared" ca="1" si="443"/>
        <v>B</v>
      </c>
      <c r="FD104" s="301" t="str">
        <f t="shared" ca="1" si="443"/>
        <v>B</v>
      </c>
      <c r="FE104" s="301" t="str">
        <f t="shared" ca="1" si="443"/>
        <v>B</v>
      </c>
      <c r="FF104" s="301" t="str">
        <f t="shared" ca="1" si="443"/>
        <v>B</v>
      </c>
      <c r="FG104" s="301" t="str">
        <f t="shared" ca="1" si="443"/>
        <v>B</v>
      </c>
      <c r="FH104" s="301" t="str">
        <f t="shared" ca="1" si="443"/>
        <v>B</v>
      </c>
      <c r="FI104" s="301" t="str">
        <f t="shared" ca="1" si="443"/>
        <v>B</v>
      </c>
      <c r="FJ104" s="301" t="str">
        <f t="shared" ca="1" si="443"/>
        <v>B</v>
      </c>
      <c r="FK104" s="301" t="str">
        <f t="shared" ca="1" si="443"/>
        <v>B</v>
      </c>
      <c r="FL104" s="301" t="str">
        <f t="shared" ca="1" si="443"/>
        <v>B</v>
      </c>
    </row>
    <row r="105" spans="1:168" x14ac:dyDescent="0.2">
      <c r="A105" s="24" t="str">
        <f t="shared" si="432"/>
        <v>Tierkunde</v>
      </c>
      <c r="B105" s="317" t="str">
        <f t="shared" ca="1" si="330"/>
        <v/>
      </c>
      <c r="C105" s="332" t="str">
        <f t="shared" ca="1" si="445"/>
        <v/>
      </c>
      <c r="D105" s="1110"/>
      <c r="E105" s="966"/>
      <c r="F105" s="325"/>
      <c r="G105" s="958"/>
      <c r="H105" s="1196"/>
      <c r="I105" s="326"/>
      <c r="J105" s="1886" t="str">
        <f t="shared" ca="1" si="332"/>
        <v/>
      </c>
      <c r="K105" s="1887"/>
      <c r="L105" s="1887"/>
      <c r="M105" s="1887"/>
      <c r="N105" s="1888"/>
      <c r="O105" s="613" t="str">
        <f t="shared" ca="1" si="333"/>
        <v/>
      </c>
      <c r="P105" s="90"/>
      <c r="Q105" s="25"/>
      <c r="R105" s="1313"/>
      <c r="S105" s="1313"/>
      <c r="T105" s="1315"/>
      <c r="U105" s="1283"/>
      <c r="V105" s="628" t="str">
        <f t="shared" ca="1" si="334"/>
        <v/>
      </c>
      <c r="W105" s="164">
        <f t="shared" ca="1" si="335"/>
        <v>0</v>
      </c>
      <c r="X105" s="164">
        <f t="shared" ca="1" si="336"/>
        <v>0</v>
      </c>
      <c r="Y105" s="164">
        <f t="shared" ca="1" si="337"/>
        <v>0</v>
      </c>
      <c r="Z105" s="164">
        <f t="shared" ca="1" si="338"/>
        <v>0</v>
      </c>
      <c r="AA105" s="164">
        <f t="shared" ca="1" si="339"/>
        <v>0</v>
      </c>
      <c r="AB105" s="164">
        <f t="shared" ca="1" si="340"/>
        <v>0</v>
      </c>
      <c r="AC105" s="164">
        <f t="shared" ca="1" si="341"/>
        <v>0</v>
      </c>
      <c r="AD105" s="164">
        <f t="shared" ca="1" si="342"/>
        <v>0</v>
      </c>
      <c r="AE105" s="164">
        <f t="shared" ca="1" si="343"/>
        <v>0</v>
      </c>
      <c r="AF105" s="164">
        <f t="shared" ca="1" si="344"/>
        <v>0</v>
      </c>
      <c r="AG105" s="164">
        <f t="shared" ca="1" si="345"/>
        <v>0</v>
      </c>
      <c r="AH105" s="164">
        <f t="shared" ca="1" si="346"/>
        <v>0</v>
      </c>
      <c r="AI105" s="164">
        <f t="shared" ca="1" si="347"/>
        <v>0</v>
      </c>
      <c r="AJ105" s="164">
        <f t="shared" ca="1" si="348"/>
        <v>0</v>
      </c>
      <c r="AK105" s="164">
        <f t="shared" ca="1" si="349"/>
        <v>0</v>
      </c>
      <c r="AL105" s="164">
        <f t="shared" ca="1" si="350"/>
        <v>0</v>
      </c>
      <c r="AM105" s="164">
        <f t="shared" ca="1" si="351"/>
        <v>0</v>
      </c>
      <c r="AN105" s="164">
        <f t="shared" ca="1" si="352"/>
        <v>0</v>
      </c>
      <c r="AO105" s="164">
        <f t="shared" ca="1" si="353"/>
        <v>0</v>
      </c>
      <c r="AP105" s="164">
        <f t="shared" ca="1" si="354"/>
        <v>0</v>
      </c>
      <c r="AQ105" s="164">
        <f t="shared" ca="1" si="355"/>
        <v>0</v>
      </c>
      <c r="AR105" s="164">
        <f t="shared" ca="1" si="356"/>
        <v>0</v>
      </c>
      <c r="AS105" s="195"/>
      <c r="AT105" s="154">
        <f t="shared" ca="1" si="357"/>
        <v>0</v>
      </c>
      <c r="AU105" s="154">
        <f t="shared" ca="1" si="358"/>
        <v>0</v>
      </c>
      <c r="AV105" s="154">
        <f t="shared" ca="1" si="359"/>
        <v>0</v>
      </c>
      <c r="AW105" s="154">
        <f t="shared" ca="1" si="360"/>
        <v>0</v>
      </c>
      <c r="AX105" s="154">
        <f t="shared" ca="1" si="361"/>
        <v>0</v>
      </c>
      <c r="AY105" s="154">
        <f t="shared" ca="1" si="362"/>
        <v>0</v>
      </c>
      <c r="AZ105" s="154">
        <f t="shared" ca="1" si="363"/>
        <v>0</v>
      </c>
      <c r="BA105" s="154">
        <f t="shared" ca="1" si="364"/>
        <v>0</v>
      </c>
      <c r="BB105" s="154">
        <f t="shared" ca="1" si="365"/>
        <v>0</v>
      </c>
      <c r="BC105" s="154">
        <f t="shared" ca="1" si="366"/>
        <v>0</v>
      </c>
      <c r="BD105" s="154">
        <f t="shared" ca="1" si="367"/>
        <v>0</v>
      </c>
      <c r="BE105" s="154">
        <f t="shared" ca="1" si="368"/>
        <v>0</v>
      </c>
      <c r="BF105" s="154">
        <f t="shared" ca="1" si="369"/>
        <v>0</v>
      </c>
      <c r="BG105" s="154">
        <f t="shared" ca="1" si="370"/>
        <v>0</v>
      </c>
      <c r="BH105" s="154">
        <f t="shared" ca="1" si="371"/>
        <v>0</v>
      </c>
      <c r="BI105" s="154">
        <f t="shared" ca="1" si="372"/>
        <v>0</v>
      </c>
      <c r="BJ105" s="154">
        <f t="shared" ca="1" si="373"/>
        <v>0</v>
      </c>
      <c r="BK105" s="154">
        <f t="shared" ca="1" si="374"/>
        <v>0</v>
      </c>
      <c r="BL105" s="154">
        <f t="shared" ca="1" si="375"/>
        <v>0</v>
      </c>
      <c r="BM105" s="154">
        <f t="shared" ca="1" si="376"/>
        <v>0</v>
      </c>
      <c r="BN105" s="154">
        <f t="shared" ca="1" si="377"/>
        <v>0</v>
      </c>
      <c r="BO105" s="154">
        <f t="shared" ca="1" si="378"/>
        <v>0</v>
      </c>
      <c r="BP105" s="154">
        <f t="shared" ca="1" si="379"/>
        <v>0</v>
      </c>
      <c r="BQ105" s="154">
        <f t="shared" ca="1" si="380"/>
        <v>0</v>
      </c>
      <c r="BR105" s="154">
        <f t="shared" ca="1" si="381"/>
        <v>0</v>
      </c>
      <c r="BS105" s="154">
        <f t="shared" ca="1" si="382"/>
        <v>0</v>
      </c>
      <c r="BT105" s="154">
        <f t="shared" ca="1" si="383"/>
        <v>0</v>
      </c>
      <c r="BU105" s="154">
        <f t="shared" ca="1" si="384"/>
        <v>0</v>
      </c>
      <c r="BV105" s="154">
        <f t="shared" ca="1" si="385"/>
        <v>0</v>
      </c>
      <c r="BW105" s="154">
        <f t="shared" ca="1" si="386"/>
        <v>0</v>
      </c>
      <c r="BX105" s="154">
        <f t="shared" ca="1" si="387"/>
        <v>0</v>
      </c>
      <c r="BY105" s="154">
        <f t="shared" ca="1" si="388"/>
        <v>0</v>
      </c>
      <c r="BZ105" s="154">
        <f t="shared" si="433"/>
        <v>0</v>
      </c>
      <c r="CA105" s="154">
        <f t="shared" si="434"/>
        <v>0</v>
      </c>
      <c r="CB105" s="154">
        <f t="shared" ca="1" si="435"/>
        <v>0</v>
      </c>
      <c r="CC105" s="523"/>
      <c r="CD105" s="355">
        <f t="shared" si="389"/>
        <v>130</v>
      </c>
      <c r="CE105" s="751" t="str">
        <f t="shared" ca="1" si="390"/>
        <v>B</v>
      </c>
      <c r="CF105" s="355" t="str">
        <f ca="1">IF(EXACT($B105,""),$CF104,CONCATENATE($CF104,$A105))</f>
        <v/>
      </c>
      <c r="CG105" s="268">
        <f>IF(ZS_SE_VIEW,SUM(
IF(ZS_AKADEMIE="",0,IF(HLOOKUP(ZS_AKADEMIE,PROFMAGIE,$CD105,FALSE)&gt;0,1,0)),
IF(AND(ZS_IAAK="Ja",IF(HLOOKUP(Tabellen_Magie!$IK$1,PROFMAGIE,$CD105,FALSE)&gt;0,TRUE,FALSE)),1,0)),0)</f>
        <v>0</v>
      </c>
      <c r="CH105" s="268"/>
      <c r="CI105" s="269">
        <f t="shared" ca="1" si="391"/>
        <v>0</v>
      </c>
      <c r="CJ105" s="269">
        <f t="shared" ca="1" si="392"/>
        <v>0</v>
      </c>
      <c r="CK105" s="268"/>
      <c r="CL105" s="268"/>
      <c r="CM105" s="268">
        <f t="shared" ca="1" si="327"/>
        <v>0</v>
      </c>
      <c r="CN105" s="269">
        <f t="shared" ca="1" si="328"/>
        <v>0</v>
      </c>
      <c r="CO105" s="268" t="str">
        <f ca="1">CHAR(CODE("B")+$CN105)</f>
        <v>B</v>
      </c>
      <c r="CP105" s="269" t="b">
        <f t="shared" ca="1" si="394"/>
        <v>1</v>
      </c>
      <c r="CQ105" s="269">
        <f t="shared" si="395"/>
        <v>0</v>
      </c>
      <c r="CR105" s="269">
        <f t="shared" si="396"/>
        <v>0</v>
      </c>
      <c r="CS105" s="269">
        <f t="shared" ca="1" si="397"/>
        <v>0</v>
      </c>
      <c r="CT105" s="302" t="str">
        <f t="shared" ca="1" si="398"/>
        <v>0</v>
      </c>
      <c r="CU105" s="269">
        <f t="shared" ca="1" si="399"/>
        <v>0</v>
      </c>
      <c r="CV105" s="268"/>
      <c r="CW105" s="269">
        <f t="shared" ca="1" si="400"/>
        <v>0</v>
      </c>
      <c r="CX105" s="301">
        <f t="shared" ca="1" si="401"/>
        <v>0</v>
      </c>
      <c r="CY105" s="301">
        <f t="shared" ca="1" si="329"/>
        <v>0</v>
      </c>
      <c r="CZ105" s="301">
        <f t="shared" ca="1" si="402"/>
        <v>0</v>
      </c>
      <c r="DA105" s="301">
        <f t="shared" ca="1" si="403"/>
        <v>0</v>
      </c>
      <c r="DB105" t="str">
        <f>IF(CG105&gt;0,CG105 &amp; " SE aus Zweit-/Drittstudium","")</f>
        <v/>
      </c>
      <c r="DC105" s="301" t="str">
        <f t="shared" ca="1" si="404"/>
        <v/>
      </c>
      <c r="DD105" s="1337" t="str">
        <f t="shared" ca="1" si="436"/>
        <v/>
      </c>
      <c r="DE105" s="1337" t="str">
        <f t="shared" ca="1" si="437"/>
        <v/>
      </c>
      <c r="DG105" s="269" t="str">
        <f t="shared" ca="1" si="446"/>
        <v>Tabellen_Andere!BA124:BF124</v>
      </c>
      <c r="DH105" s="269" t="str">
        <f t="shared" si="447"/>
        <v>Tabellen_Andere!BA124:BF124</v>
      </c>
      <c r="DI105" s="269" t="str">
        <f ca="1">IF(NOT(ISERR(FIND(A105,Abfragen!$O$264,1))),MID(Abfragen!$O$264,FIND("(",Abfragen!$O$264,FIND(A105,Abfragen!$O$264,1)+LEN(A105))+1,FIND(")",Abfragen!$O$264,FIND(A105,Abfragen!$O$264,1)+LEN(A105))-FIND("(",Abfragen!$O$264,FIND(A105,Abfragen!$O$264,1)+LEN(A105))-1),"")</f>
        <v/>
      </c>
      <c r="DJ105" s="301" t="str">
        <f t="shared" ca="1" si="406"/>
        <v>B</v>
      </c>
      <c r="DK105" s="301" t="str">
        <f t="shared" ca="1" si="407"/>
        <v>B</v>
      </c>
      <c r="DL105" s="301" t="str">
        <f t="shared" ca="1" si="408"/>
        <v>B</v>
      </c>
      <c r="DM105" s="301" t="str">
        <f t="shared" ca="1" si="409"/>
        <v>B</v>
      </c>
      <c r="DN105" s="301" t="str">
        <f t="shared" ca="1" si="410"/>
        <v>B</v>
      </c>
      <c r="DO105" s="301" t="str">
        <f t="shared" ca="1" si="411"/>
        <v>B</v>
      </c>
      <c r="DP105" s="301" t="str">
        <f t="shared" ca="1" si="412"/>
        <v>B</v>
      </c>
      <c r="DQ105" s="301" t="str">
        <f t="shared" ca="1" si="413"/>
        <v>B</v>
      </c>
      <c r="DR105" s="301" t="str">
        <f t="shared" ca="1" si="414"/>
        <v>B</v>
      </c>
      <c r="DS105" s="301" t="str">
        <f t="shared" ca="1" si="415"/>
        <v>B</v>
      </c>
      <c r="DT105" s="301" t="str">
        <f t="shared" ca="1" si="416"/>
        <v>B</v>
      </c>
      <c r="DU105" s="301" t="str">
        <f t="shared" ca="1" si="417"/>
        <v>B</v>
      </c>
      <c r="DV105" s="301" t="str">
        <f t="shared" ca="1" si="418"/>
        <v>B</v>
      </c>
      <c r="DW105" s="301" t="str">
        <f t="shared" ca="1" si="419"/>
        <v>B</v>
      </c>
      <c r="DX105" s="301" t="str">
        <f t="shared" ca="1" si="420"/>
        <v>B</v>
      </c>
      <c r="DY105" s="301" t="str">
        <f t="shared" ca="1" si="421"/>
        <v>B</v>
      </c>
      <c r="DZ105" s="301" t="str">
        <f t="shared" ca="1" si="422"/>
        <v>B</v>
      </c>
      <c r="EA105" s="301" t="str">
        <f t="shared" ca="1" si="423"/>
        <v>B</v>
      </c>
      <c r="EB105" s="301" t="str">
        <f t="shared" ca="1" si="424"/>
        <v>B</v>
      </c>
      <c r="EC105" s="301" t="str">
        <f t="shared" ca="1" si="425"/>
        <v>B</v>
      </c>
      <c r="ED105" s="301" t="str">
        <f t="shared" ca="1" si="426"/>
        <v>B</v>
      </c>
      <c r="EE105" s="301" t="str">
        <f t="shared" ca="1" si="427"/>
        <v>B</v>
      </c>
      <c r="EF105" s="301">
        <f t="shared" si="428"/>
        <v>0</v>
      </c>
      <c r="EG105" s="301" t="str">
        <f t="shared" ca="1" si="441"/>
        <v>B</v>
      </c>
      <c r="EH105" s="301" t="str">
        <f t="shared" ca="1" si="441"/>
        <v>B</v>
      </c>
      <c r="EI105" s="301" t="str">
        <f t="shared" ca="1" si="441"/>
        <v>B</v>
      </c>
      <c r="EJ105" s="301" t="str">
        <f t="shared" ca="1" si="441"/>
        <v>B</v>
      </c>
      <c r="EK105" s="301" t="str">
        <f t="shared" ca="1" si="441"/>
        <v>B</v>
      </c>
      <c r="EL105" s="301" t="str">
        <f t="shared" ca="1" si="441"/>
        <v>B</v>
      </c>
      <c r="EM105" s="301" t="str">
        <f t="shared" ca="1" si="441"/>
        <v>B</v>
      </c>
      <c r="EN105" s="301" t="str">
        <f t="shared" ca="1" si="441"/>
        <v>B</v>
      </c>
      <c r="EO105" s="301" t="str">
        <f t="shared" ca="1" si="441"/>
        <v>B</v>
      </c>
      <c r="EP105" s="301" t="str">
        <f t="shared" ca="1" si="441"/>
        <v>B</v>
      </c>
      <c r="EQ105" s="301" t="str">
        <f t="shared" ca="1" si="442"/>
        <v>B</v>
      </c>
      <c r="ER105" s="301" t="str">
        <f t="shared" ca="1" si="442"/>
        <v>B</v>
      </c>
      <c r="ES105" s="301" t="str">
        <f t="shared" ca="1" si="442"/>
        <v>B</v>
      </c>
      <c r="ET105" s="301" t="str">
        <f t="shared" ca="1" si="442"/>
        <v>B</v>
      </c>
      <c r="EU105" s="301" t="str">
        <f t="shared" ca="1" si="442"/>
        <v>B</v>
      </c>
      <c r="EV105" s="301" t="str">
        <f t="shared" ca="1" si="442"/>
        <v>B</v>
      </c>
      <c r="EW105" s="301" t="str">
        <f t="shared" ca="1" si="442"/>
        <v>B</v>
      </c>
      <c r="EX105" s="301" t="str">
        <f t="shared" ca="1" si="442"/>
        <v>B</v>
      </c>
      <c r="EY105" s="301" t="str">
        <f t="shared" ca="1" si="442"/>
        <v>B</v>
      </c>
      <c r="EZ105" s="301" t="str">
        <f t="shared" ca="1" si="442"/>
        <v>B</v>
      </c>
      <c r="FA105" s="301" t="str">
        <f t="shared" ca="1" si="443"/>
        <v>B</v>
      </c>
      <c r="FB105" s="301" t="str">
        <f t="shared" ca="1" si="443"/>
        <v>B</v>
      </c>
      <c r="FC105" s="301" t="str">
        <f t="shared" ca="1" si="443"/>
        <v>B</v>
      </c>
      <c r="FD105" s="301" t="str">
        <f t="shared" ca="1" si="443"/>
        <v>B</v>
      </c>
      <c r="FE105" s="301" t="str">
        <f t="shared" ca="1" si="443"/>
        <v>B</v>
      </c>
      <c r="FF105" s="301" t="str">
        <f t="shared" ca="1" si="443"/>
        <v>B</v>
      </c>
      <c r="FG105" s="301" t="str">
        <f t="shared" ca="1" si="443"/>
        <v>B</v>
      </c>
      <c r="FH105" s="301" t="str">
        <f t="shared" ca="1" si="443"/>
        <v>B</v>
      </c>
      <c r="FI105" s="301" t="str">
        <f t="shared" ca="1" si="443"/>
        <v>B</v>
      </c>
      <c r="FJ105" s="301" t="str">
        <f t="shared" ca="1" si="443"/>
        <v>B</v>
      </c>
      <c r="FK105" s="301" t="str">
        <f t="shared" ca="1" si="443"/>
        <v>B</v>
      </c>
      <c r="FL105" s="301" t="str">
        <f t="shared" ca="1" si="443"/>
        <v>B</v>
      </c>
    </row>
    <row r="106" spans="1:168" ht="15.75" x14ac:dyDescent="0.25">
      <c r="A106" s="300" t="str">
        <f>INDEX(BEGABUNFAEH,8)</f>
        <v>Handwerkstalente</v>
      </c>
      <c r="B106" s="131"/>
      <c r="C106" s="1456" t="str">
        <f ca="1">IF(OR(VT_VETERAN,VT_BBILDUNG),
IF(COUNTIF($W$13:$W$157,"&lt;&gt;0")&gt;8,"Mehr als 8 Talente aktiviert",""),
IF(COUNTIF($W$13:$W$157,"&lt;&gt;0")&gt;5,"Mehr als 5 Talente aktiviert",""))</f>
        <v/>
      </c>
      <c r="D106" s="1456"/>
      <c r="E106" s="1456"/>
      <c r="F106" s="1456"/>
      <c r="G106" s="1456"/>
      <c r="H106" s="1456"/>
      <c r="I106" s="1456"/>
      <c r="J106" s="1879" t="str">
        <f ca="1">IF(APGUT&lt;0,"Keine AP mehr übrig!",IF(TL_GP_UEBRIG&lt;0,"Keine Start-AP mehr übrig!",IF(STARTAP2_UEBRIG&lt;0,"Keine 2. Prof.-Start-AP mehr übrig!","▼ Fehlermeldungen ▼  "&amp;"(AP: "&amp;APGUT&amp;")")))</f>
        <v>▼ Fehlermeldungen ▼  (AP: 0)</v>
      </c>
      <c r="K106" s="1879"/>
      <c r="L106" s="1879"/>
      <c r="M106" s="1879"/>
      <c r="N106" s="1879"/>
      <c r="O106" s="749" t="s">
        <v>718</v>
      </c>
      <c r="P106" s="90"/>
      <c r="Q106" s="25"/>
      <c r="R106" s="1126"/>
      <c r="S106" s="1126"/>
      <c r="T106" s="1126"/>
      <c r="U106" s="1126"/>
      <c r="V106" s="1126" t="s">
        <v>2638</v>
      </c>
      <c r="W106" s="134">
        <v>0</v>
      </c>
      <c r="X106" s="6">
        <v>1</v>
      </c>
      <c r="Y106" s="6">
        <v>2</v>
      </c>
      <c r="Z106" s="6">
        <v>3</v>
      </c>
      <c r="AA106" s="6">
        <v>4</v>
      </c>
      <c r="AB106" s="6">
        <v>5</v>
      </c>
      <c r="AC106" s="6">
        <v>6</v>
      </c>
      <c r="AD106" s="6">
        <v>7</v>
      </c>
      <c r="AE106" s="6">
        <v>8</v>
      </c>
      <c r="AF106" s="6">
        <v>9</v>
      </c>
      <c r="AG106" s="6">
        <v>10</v>
      </c>
      <c r="AH106" s="6">
        <v>11</v>
      </c>
      <c r="AI106" s="6">
        <v>12</v>
      </c>
      <c r="AJ106" s="6">
        <v>13</v>
      </c>
      <c r="AK106" s="6">
        <v>14</v>
      </c>
      <c r="AL106" s="6">
        <v>15</v>
      </c>
      <c r="AM106" s="6">
        <v>16</v>
      </c>
      <c r="AN106" s="6">
        <v>17</v>
      </c>
      <c r="AO106" s="6">
        <v>18</v>
      </c>
      <c r="AP106" s="6">
        <v>19</v>
      </c>
      <c r="AQ106" s="6">
        <v>20</v>
      </c>
      <c r="AR106" s="6">
        <v>21</v>
      </c>
      <c r="AS106" s="194"/>
      <c r="AT106" s="134">
        <v>0</v>
      </c>
      <c r="AU106" s="6">
        <v>1</v>
      </c>
      <c r="AV106" s="6">
        <v>2</v>
      </c>
      <c r="AW106" s="6">
        <v>3</v>
      </c>
      <c r="AX106" s="6">
        <v>4</v>
      </c>
      <c r="AY106" s="6">
        <v>5</v>
      </c>
      <c r="AZ106" s="6">
        <v>6</v>
      </c>
      <c r="BA106" s="6">
        <v>7</v>
      </c>
      <c r="BB106" s="6">
        <v>8</v>
      </c>
      <c r="BC106" s="6">
        <v>9</v>
      </c>
      <c r="BD106" s="6">
        <v>10</v>
      </c>
      <c r="BE106" s="6">
        <v>11</v>
      </c>
      <c r="BF106" s="6">
        <v>12</v>
      </c>
      <c r="BG106" s="6">
        <v>13</v>
      </c>
      <c r="BH106" s="6">
        <v>14</v>
      </c>
      <c r="BI106" s="6">
        <v>15</v>
      </c>
      <c r="BJ106" s="6">
        <v>16</v>
      </c>
      <c r="BK106" s="6">
        <v>17</v>
      </c>
      <c r="BL106" s="6">
        <v>18</v>
      </c>
      <c r="BM106" s="6">
        <v>19</v>
      </c>
      <c r="BN106" s="6">
        <v>20</v>
      </c>
      <c r="BO106" s="6">
        <v>21</v>
      </c>
      <c r="BP106" s="6">
        <v>22</v>
      </c>
      <c r="BQ106" s="6">
        <v>23</v>
      </c>
      <c r="BR106" s="6">
        <v>24</v>
      </c>
      <c r="BS106" s="6">
        <v>25</v>
      </c>
      <c r="BT106" s="6">
        <v>26</v>
      </c>
      <c r="BU106" s="6">
        <v>27</v>
      </c>
      <c r="BV106" s="6">
        <v>28</v>
      </c>
      <c r="BW106" s="6">
        <v>29</v>
      </c>
      <c r="BX106" s="6">
        <v>30</v>
      </c>
      <c r="BY106" s="6">
        <v>31</v>
      </c>
      <c r="BZ106" s="6" t="s">
        <v>3170</v>
      </c>
      <c r="CA106" s="6" t="s">
        <v>3170</v>
      </c>
      <c r="CB106" s="6" t="s">
        <v>3170</v>
      </c>
      <c r="CC106" s="90"/>
      <c r="CD106" s="90"/>
      <c r="CE106" s="90" t="s">
        <v>1480</v>
      </c>
      <c r="CF106" s="90" t="str">
        <f ca="1">$CF105</f>
        <v/>
      </c>
      <c r="CG106" s="90"/>
      <c r="CH106" s="90"/>
      <c r="CI106" s="90"/>
      <c r="CJ106" s="90"/>
      <c r="CK106" s="90"/>
      <c r="CL106" s="90"/>
      <c r="CM106" s="90"/>
      <c r="CN106" s="90"/>
      <c r="CO106" s="90"/>
      <c r="CP106" s="90"/>
      <c r="CQ106" s="90"/>
      <c r="CR106" s="90"/>
      <c r="CS106" s="90"/>
      <c r="CT106" s="90"/>
      <c r="CU106" s="90"/>
      <c r="CV106" s="90"/>
      <c r="CW106" s="90"/>
      <c r="CX106" s="90"/>
      <c r="CY106" s="90"/>
      <c r="CZ106" s="90"/>
      <c r="DA106" s="90"/>
      <c r="DC106" s="90"/>
      <c r="DD106" s="90"/>
      <c r="DE106" s="90"/>
      <c r="DF106" s="90"/>
      <c r="DG106" s="90"/>
      <c r="DH106" s="90"/>
      <c r="DI106" s="90"/>
      <c r="DJ106" s="134"/>
      <c r="DK106" s="134"/>
      <c r="DL106" s="134"/>
      <c r="DM106" s="134"/>
      <c r="DN106" s="134"/>
      <c r="DO106" s="134"/>
      <c r="DP106" s="134"/>
      <c r="DQ106" s="134"/>
      <c r="DR106" s="134"/>
      <c r="DS106" s="134"/>
      <c r="DT106" s="134"/>
      <c r="DU106" s="134"/>
      <c r="DV106" s="134"/>
      <c r="DW106" s="134"/>
      <c r="DX106" s="134"/>
      <c r="DY106" s="134"/>
      <c r="DZ106" s="134"/>
      <c r="EA106" s="134"/>
      <c r="EB106" s="134"/>
      <c r="EC106" s="134"/>
      <c r="ED106" s="134"/>
      <c r="EE106" s="134"/>
      <c r="EF106" s="134"/>
      <c r="EG106" s="72" t="s">
        <v>6718</v>
      </c>
      <c r="EH106" s="134"/>
      <c r="EI106" s="134"/>
      <c r="EJ106" s="134"/>
      <c r="EK106" s="134"/>
      <c r="EL106" s="134"/>
      <c r="EM106" s="134"/>
      <c r="EN106" s="134"/>
      <c r="EO106" s="134"/>
      <c r="EP106" s="134"/>
      <c r="EQ106" s="134"/>
      <c r="ER106" s="134"/>
      <c r="ES106" s="134"/>
      <c r="ET106" s="134"/>
      <c r="EU106" s="134"/>
      <c r="EV106" s="134"/>
      <c r="EW106" s="134"/>
      <c r="EX106" s="134"/>
      <c r="EY106" s="134"/>
      <c r="EZ106" s="134"/>
      <c r="FA106" s="134"/>
      <c r="FB106" s="134"/>
      <c r="FC106" s="134"/>
      <c r="FD106" s="134"/>
      <c r="FE106" s="134"/>
      <c r="FF106" s="134"/>
      <c r="FG106" s="134"/>
      <c r="FH106" s="134"/>
      <c r="FI106" s="134"/>
      <c r="FJ106" s="134"/>
      <c r="FK106" s="134"/>
      <c r="FL106" s="134"/>
    </row>
    <row r="107" spans="1:168" x14ac:dyDescent="0.2">
      <c r="A107" s="38" t="str">
        <f>INDEX(TL_HWK,ROW()-106)</f>
        <v>Abrichten</v>
      </c>
      <c r="B107" s="317" t="str">
        <f t="shared" ref="B107:B138" ca="1" si="448">IF(AND(OR(NOT(ISBLANK($D107)),NOT(ISBLANK($G107)),NOT(ISBLANK($I107))),EXACT($C107,"")),0,IF(EXACT($C107,""),"",
SUM(CX107,IF(ISERROR(FIND("L",D107,1)),D107,LEFT(D107,LEN(D107)-1)))
))</f>
        <v/>
      </c>
      <c r="C107" s="332" t="str">
        <f t="shared" ref="C107:C128" ca="1" si="449">IF(OR(NOT(ISBLANK(D107)),NOT(ISBLANK(HLOOKUP(RASSEGENE,RASSE,$CD107,FALSE))),
NOT(ISBLANK(HLOOKUP(KULTURGENE,KULTUR,$CD107,FALSE))),
NOT(OR(ISBLANK(HLOOKUP(PROFGENE,INDIRECT(PROFGEBIET),$CD107,FALSE)),$CS107="N",$CS107="M")),
IF(PROFZWEITE="",FALSE,NOT(ISBLANK(HLOOKUP(PROFZWEITE,INDIRECT(PROFGEBIET2),$CD107,FALSE))))),"x","")</f>
        <v/>
      </c>
      <c r="D107" s="1110"/>
      <c r="E107" s="966"/>
      <c r="F107" s="325"/>
      <c r="G107" s="958"/>
      <c r="H107" s="1196"/>
      <c r="I107" s="326"/>
      <c r="J107" s="1892" t="str">
        <f t="shared" ref="J107:J157" ca="1" si="450">DB107&amp;DC107</f>
        <v/>
      </c>
      <c r="K107" s="1893"/>
      <c r="L107" s="1893"/>
      <c r="M107" s="1893"/>
      <c r="N107" s="1894"/>
      <c r="O107" s="613" t="str">
        <f t="shared" ref="O107:O138" ca="1" si="451">IF(AND(EXACT($B107,""),ISBLANK($G107),ISBLANK($I107)),"",IF(AND(EXACT($C107,""),ISBLANK(G107),ISBLANK(I107)),"",SUM($B107,G107,$I107)))</f>
        <v/>
      </c>
      <c r="P107" s="90"/>
      <c r="Q107" s="25"/>
      <c r="R107" s="1313"/>
      <c r="S107" s="1313"/>
      <c r="T107" s="1315"/>
      <c r="U107" s="1283"/>
      <c r="V107" s="628" t="str">
        <f t="shared" ref="V107:V138" ca="1" si="452">IF(R107="",IF(DI107="","","Wählen:"&amp;DI107),IF(DI107="",IF(O107&lt;7,"Taw&lt;7",IF(S107="","",IF(O107&lt;14,"Taw&lt;14",""))),""))</f>
        <v/>
      </c>
      <c r="W107" s="164">
        <f t="shared" ref="W107:W138" ca="1" si="453">IF($DJ107=0,0,IF(NOT(ISBLANK($G107)),
IF(SUM($B107)&lt;=0,SUM(IF($G107&lt;ABS($B107),$G107,ABS($B107)),IF(C107="B",0,1))*HLOOKUP(IF(CODE($DJ107)&lt;65,"A+",$DJ107),SKT,3,FALSE),0),0))</f>
        <v>0</v>
      </c>
      <c r="X107" s="164">
        <f t="shared" ref="X107:X138" ca="1" si="454">IF(DK107=0,0,IF(AND(NOT(ISBLANK($G107)),$B107&lt;X$13,SUM($B107,$G107)&gt;=X$13),
HLOOKUP(IF(CODE(DK107)&lt;65,"A+",DK107),SKT,X$13+3,FALSE),0))</f>
        <v>0</v>
      </c>
      <c r="Y107" s="164">
        <f t="shared" ref="Y107:Y138" ca="1" si="455">IF(DL107=0,0,IF(AND(NOT(ISBLANK($G107)),$B107&lt;Y$13,SUM($B107,$G107)&gt;=Y$13),
HLOOKUP(IF(CODE(DL107)&lt;65,"A+",DL107),SKT,Y$13+3,FALSE),0))</f>
        <v>0</v>
      </c>
      <c r="Z107" s="164">
        <f t="shared" ref="Z107:Z138" ca="1" si="456">IF(DM107=0,0,IF(AND(NOT(ISBLANK($G107)),$B107&lt;Z$13,SUM($B107,$G107)&gt;=Z$13),
HLOOKUP(IF(CODE(DM107)&lt;65,"A+",DM107),SKT,Z$13+3,FALSE),0))</f>
        <v>0</v>
      </c>
      <c r="AA107" s="164">
        <f t="shared" ref="AA107:AA138" ca="1" si="457">IF(DN107=0,0,IF(AND(NOT(ISBLANK($G107)),$B107&lt;AA$13,SUM($B107,$G107)&gt;=AA$13),
HLOOKUP(IF(CODE(DN107)&lt;65,"A+",DN107),SKT,AA$13+3,FALSE),0))</f>
        <v>0</v>
      </c>
      <c r="AB107" s="164">
        <f t="shared" ref="AB107:AB138" ca="1" si="458">IF(DO107=0,0,IF(AND(NOT(ISBLANK($G107)),$B107&lt;AB$13,SUM($B107,$G107)&gt;=AB$13),
HLOOKUP(IF(CODE(DO107)&lt;65,"A+",DO107),SKT,AB$13+3,FALSE),0))</f>
        <v>0</v>
      </c>
      <c r="AC107" s="164">
        <f t="shared" ref="AC107:AC138" ca="1" si="459">IF(DP107=0,0,IF(AND(NOT(ISBLANK($G107)),$B107&lt;AC$13,SUM($B107,$G107)&gt;=AC$13),
HLOOKUP(IF(CODE(DP107)&lt;65,"A+",DP107),SKT,AC$13+3,FALSE),0))</f>
        <v>0</v>
      </c>
      <c r="AD107" s="164">
        <f t="shared" ref="AD107:AD138" ca="1" si="460">IF(DQ107=0,0,IF(AND(NOT(ISBLANK($G107)),$B107&lt;AD$13,SUM($B107,$G107)&gt;=AD$13),
HLOOKUP(IF(CODE(DQ107)&lt;65,"A+",DQ107),SKT,AD$13+3,FALSE),0))</f>
        <v>0</v>
      </c>
      <c r="AE107" s="164">
        <f t="shared" ref="AE107:AE138" ca="1" si="461">IF(DR107=0,0,IF(AND(NOT(ISBLANK($G107)),$B107&lt;AE$13,SUM($B107,$G107)&gt;=AE$13),
HLOOKUP(IF(CODE(DR107)&lt;65,"A+",DR107),SKT,AE$13+3,FALSE),0))</f>
        <v>0</v>
      </c>
      <c r="AF107" s="164">
        <f t="shared" ref="AF107:AF138" ca="1" si="462">IF(DS107=0,0,IF(AND(NOT(ISBLANK($G107)),$B107&lt;AF$13,SUM($B107,$G107)&gt;=AF$13),
HLOOKUP(IF(CODE(DS107)&lt;65,"A+",DS107),SKT,AF$13+3,FALSE),0))</f>
        <v>0</v>
      </c>
      <c r="AG107" s="164">
        <f t="shared" ref="AG107:AG138" ca="1" si="463">IF(DT107=0,0,IF(AND(NOT(ISBLANK($G107)),$B107&lt;AG$13,SUM($B107,$G107)&gt;=AG$13),
HLOOKUP(IF(CODE(DT107)&lt;65,"A+",DT107),SKT,AG$13+3,FALSE),0))</f>
        <v>0</v>
      </c>
      <c r="AH107" s="164">
        <f t="shared" ref="AH107:AH138" ca="1" si="464">IF(DU107=0,0,IF(AND(NOT(ISBLANK($G107)),$B107&lt;AH$13,SUM($B107,$G107)&gt;=AH$13),
HLOOKUP(IF(CODE(DU107)&lt;65,"A+",DU107),SKT,AH$13+3,FALSE),0))</f>
        <v>0</v>
      </c>
      <c r="AI107" s="164">
        <f t="shared" ref="AI107:AI138" ca="1" si="465">IF(DV107=0,0,IF(AND(NOT(ISBLANK($G107)),$B107&lt;AI$13,SUM($B107,$G107)&gt;=AI$13),
HLOOKUP(IF(CODE(DV107)&lt;65,"A+",DV107),SKT,AI$13+3,FALSE),0))</f>
        <v>0</v>
      </c>
      <c r="AJ107" s="164">
        <f t="shared" ref="AJ107:AJ138" ca="1" si="466">IF(DW107=0,0,IF(AND(NOT(ISBLANK($G107)),$B107&lt;AJ$13,SUM($B107,$G107)&gt;=AJ$13),
HLOOKUP(IF(CODE(DW107)&lt;65,"A+",DW107),SKT,AJ$13+3,FALSE),0))</f>
        <v>0</v>
      </c>
      <c r="AK107" s="164">
        <f t="shared" ref="AK107:AK138" ca="1" si="467">IF(DX107=0,0,IF(AND(NOT(ISBLANK($G107)),$B107&lt;AK$13,SUM($B107,$G107)&gt;=AK$13),
HLOOKUP(IF(CODE(DX107)&lt;65,"A+",DX107),SKT,AK$13+3,FALSE),0))</f>
        <v>0</v>
      </c>
      <c r="AL107" s="164">
        <f t="shared" ref="AL107:AL138" ca="1" si="468">IF(DY107=0,0,IF(AND(NOT(ISBLANK($G107)),$B107&lt;AL$13,SUM($B107,$G107)&gt;=AL$13),
HLOOKUP(IF(CODE(DY107)&lt;65,"A+",DY107),SKT,AL$13+3,FALSE),0))</f>
        <v>0</v>
      </c>
      <c r="AM107" s="164">
        <f t="shared" ref="AM107:AM138" ca="1" si="469">IF(DZ107=0,0,IF(AND(NOT(ISBLANK($G107)),$B107&lt;AM$13,SUM($B107,$G107)&gt;=AM$13),
HLOOKUP(IF(CODE(DZ107)&lt;65,"A+",DZ107),SKT,AM$13+3,FALSE),0))</f>
        <v>0</v>
      </c>
      <c r="AN107" s="164">
        <f t="shared" ref="AN107:AN138" ca="1" si="470">IF(EA107=0,0,IF(AND(NOT(ISBLANK($G107)),$B107&lt;AN$13,SUM($B107,$G107)&gt;=AN$13),
HLOOKUP(IF(CODE(EA107)&lt;65,"A+",EA107),SKT,AN$13+3,FALSE),0))</f>
        <v>0</v>
      </c>
      <c r="AO107" s="164">
        <f t="shared" ref="AO107:AO138" ca="1" si="471">IF(EB107=0,0,IF(AND(NOT(ISBLANK($G107)),$B107&lt;AO$13,SUM($B107,$G107)&gt;=AO$13),
HLOOKUP(IF(CODE(EB107)&lt;65,"A+",EB107),SKT,AO$13+3,FALSE),0))</f>
        <v>0</v>
      </c>
      <c r="AP107" s="164">
        <f t="shared" ref="AP107:AP138" ca="1" si="472">IF(EC107=0,0,IF(AND(NOT(ISBLANK($G107)),$B107&lt;AP$13,SUM($B107,$G107)&gt;=AP$13),
HLOOKUP(IF(CODE(EC107)&lt;65,"A+",EC107),SKT,AP$13+3,FALSE),0))</f>
        <v>0</v>
      </c>
      <c r="AQ107" s="164">
        <f t="shared" ref="AQ107:AQ138" ca="1" si="473">IF(ED107=0,0,IF(AND(NOT(ISBLANK($G107)),$B107&lt;AQ$13,SUM($B107,$G107)&gt;=AQ$13),
HLOOKUP(IF(CODE(ED107)&lt;65,"A+",ED107),SKT,AQ$13+3,FALSE),0))</f>
        <v>0</v>
      </c>
      <c r="AR107" s="164">
        <f t="shared" ref="AR107:AR138" ca="1" si="474">IF(EE107=0,0,IF(AND(NOT(ISBLANK($G107)),$B107&lt;AR$13,SUM($B107,$G107)&gt;=AR$13),
HLOOKUP(IF(CODE(EE107)&lt;65,"A+",EE107),SKT,AR$13+3,FALSE),0))</f>
        <v>0</v>
      </c>
      <c r="AS107" s="195"/>
      <c r="AT107" s="154">
        <f t="shared" ref="AT107:AT138" ca="1" si="475">IF($EG107=0,0,IF(AND(ISBLANK($G107),NOT(ISBLANK($I107))),ROUND(SUM(
IF(SUM($B107,$G107,H107)&lt;0,IF($I107&lt;ABS(SUM($B107,$G107,H107)),$I107,IF(C107="B",0,1)+ABS(SUM($B107,$G107,H107))),0),
IF(SUM($B107,$G107,H107)=0,IF(C107="B",0,1),0))
*HLOOKUP(IF(CODE($EG107)&lt;65,"A+",$EG107),SKT,3,FALSE)*5,0),0))</f>
        <v>0</v>
      </c>
      <c r="AU107" s="154">
        <f t="shared" ref="AU107:AU138" ca="1" si="476">IF(EH107=0,0,IF(AND(NOT(ISBLANK($I107)),SUM($B107,$G107)&lt;AU$13,SUM($B107,$G107,$I107)&gt;=AU$13),
HLOOKUP(IF(CODE(EH107)&lt;65,"A+",EH107),SKT,AU$13+3,FALSE),0))</f>
        <v>0</v>
      </c>
      <c r="AV107" s="154">
        <f t="shared" ref="AV107:AV138" ca="1" si="477">IF(EI107=0,0,IF(AND(NOT(ISBLANK($I107)),SUM($B107,$G107)&lt;AV$13,SUM($B107,$G107,$I107)&gt;=AV$13),
HLOOKUP(IF(CODE(EI107)&lt;65,"A+",EI107),SKT,AV$13+3,FALSE),0))</f>
        <v>0</v>
      </c>
      <c r="AW107" s="154">
        <f t="shared" ref="AW107:AW138" ca="1" si="478">IF(EJ107=0,0,IF(AND(NOT(ISBLANK($I107)),SUM($B107,$G107)&lt;AW$13,SUM($B107,$G107,$I107)&gt;=AW$13),
HLOOKUP(IF(CODE(EJ107)&lt;65,"A+",EJ107),SKT,AW$13+3,FALSE),0))</f>
        <v>0</v>
      </c>
      <c r="AX107" s="154">
        <f t="shared" ref="AX107:AX138" ca="1" si="479">IF(EK107=0,0,IF(AND(NOT(ISBLANK($I107)),SUM($B107,$G107)&lt;AX$13,SUM($B107,$G107,$I107)&gt;=AX$13),
HLOOKUP(IF(CODE(EK107)&lt;65,"A+",EK107),SKT,AX$13+3,FALSE),0))</f>
        <v>0</v>
      </c>
      <c r="AY107" s="154">
        <f t="shared" ref="AY107:AY138" ca="1" si="480">IF(EL107=0,0,IF(AND(NOT(ISBLANK($I107)),SUM($B107,$G107)&lt;AY$13,SUM($B107,$G107,$I107)&gt;=AY$13),
HLOOKUP(IF(CODE(EL107)&lt;65,"A+",EL107),SKT,AY$13+3,FALSE),0))</f>
        <v>0</v>
      </c>
      <c r="AZ107" s="154">
        <f t="shared" ref="AZ107:AZ138" ca="1" si="481">IF(EM107=0,0,IF(AND(NOT(ISBLANK($I107)),SUM($B107,$G107)&lt;AZ$13,SUM($B107,$G107,$I107)&gt;=AZ$13),
HLOOKUP(IF(CODE(EM107)&lt;65,"A+",EM107),SKT,AZ$13+3,FALSE),0))</f>
        <v>0</v>
      </c>
      <c r="BA107" s="154">
        <f t="shared" ref="BA107:BA138" ca="1" si="482">IF(EN107=0,0,IF(AND(NOT(ISBLANK($I107)),SUM($B107,$G107)&lt;BA$13,SUM($B107,$G107,$I107)&gt;=BA$13),
HLOOKUP(IF(CODE(EN107)&lt;65,"A+",EN107),SKT,BA$13+3,FALSE),0))</f>
        <v>0</v>
      </c>
      <c r="BB107" s="154">
        <f t="shared" ref="BB107:BB138" ca="1" si="483">IF(EO107=0,0,IF(AND(NOT(ISBLANK($I107)),SUM($B107,$G107)&lt;BB$13,SUM($B107,$G107,$I107)&gt;=BB$13),
HLOOKUP(IF(CODE(EO107)&lt;65,"A+",EO107),SKT,BB$13+3,FALSE),0))</f>
        <v>0</v>
      </c>
      <c r="BC107" s="154">
        <f t="shared" ref="BC107:BC138" ca="1" si="484">IF(EP107=0,0,IF(AND(NOT(ISBLANK($I107)),SUM($B107,$G107)&lt;BC$13,SUM($B107,$G107,$I107)&gt;=BC$13),
HLOOKUP(IF(CODE(EP107)&lt;65,"A+",EP107),SKT,BC$13+3,FALSE),0))</f>
        <v>0</v>
      </c>
      <c r="BD107" s="154">
        <f t="shared" ref="BD107:BD138" ca="1" si="485">IF(EQ107=0,0,IF(AND(NOT(ISBLANK($I107)),SUM($B107,$G107)&lt;BD$13,SUM($B107,$G107,$I107)&gt;=BD$13),
HLOOKUP(IF(CODE(EQ107)&lt;65,"A+",EQ107),SKT,BD$13+3,FALSE),0))</f>
        <v>0</v>
      </c>
      <c r="BE107" s="154">
        <f t="shared" ref="BE107:BE138" ca="1" si="486">IF(ER107=0,0,IF(AND(NOT(ISBLANK($I107)),SUM($B107,$G107)&lt;BE$13,SUM($B107,$G107,$I107)&gt;=BE$13),
HLOOKUP(IF(CODE(ER107)&lt;65,"A+",ER107),SKT,BE$13+3,FALSE),0))</f>
        <v>0</v>
      </c>
      <c r="BF107" s="154">
        <f t="shared" ref="BF107:BF138" ca="1" si="487">IF(ES107=0,0,IF(AND(NOT(ISBLANK($I107)),SUM($B107,$G107)&lt;BF$13,SUM($B107,$G107,$I107)&gt;=BF$13),
HLOOKUP(IF(CODE(ES107)&lt;65,"A+",ES107),SKT,BF$13+3,FALSE),0))</f>
        <v>0</v>
      </c>
      <c r="BG107" s="154">
        <f t="shared" ref="BG107:BG138" ca="1" si="488">IF(ET107=0,0,IF(AND(NOT(ISBLANK($I107)),SUM($B107,$G107)&lt;BG$13,SUM($B107,$G107,$I107)&gt;=BG$13),
HLOOKUP(IF(CODE(ET107)&lt;65,"A+",ET107),SKT,BG$13+3,FALSE),0))</f>
        <v>0</v>
      </c>
      <c r="BH107" s="154">
        <f t="shared" ref="BH107:BH138" ca="1" si="489">IF(EU107=0,0,IF(AND(NOT(ISBLANK($I107)),SUM($B107,$G107)&lt;BH$13,SUM($B107,$G107,$I107)&gt;=BH$13),
HLOOKUP(IF(CODE(EU107)&lt;65,"A+",EU107),SKT,BH$13+3,FALSE),0))</f>
        <v>0</v>
      </c>
      <c r="BI107" s="154">
        <f t="shared" ref="BI107:BI138" ca="1" si="490">IF(EV107=0,0,IF(AND(NOT(ISBLANK($I107)),SUM($B107,$G107)&lt;BI$13,SUM($B107,$G107,$I107)&gt;=BI$13),
HLOOKUP(IF(CODE(EV107)&lt;65,"A+",EV107),SKT,BI$13+3,FALSE),0))</f>
        <v>0</v>
      </c>
      <c r="BJ107" s="154">
        <f t="shared" ref="BJ107:BJ138" ca="1" si="491">IF(EW107=0,0,IF(AND(NOT(ISBLANK($I107)),SUM($B107,$G107)&lt;BJ$13,SUM($B107,$G107,$I107)&gt;=BJ$13),
HLOOKUP(IF(CODE(EW107)&lt;65,"A+",EW107),SKT,BJ$13+3,FALSE),0))</f>
        <v>0</v>
      </c>
      <c r="BK107" s="154">
        <f t="shared" ref="BK107:BK138" ca="1" si="492">IF(EX107=0,0,IF(AND(NOT(ISBLANK($I107)),SUM($B107,$G107)&lt;BK$13,SUM($B107,$G107,$I107)&gt;=BK$13),
HLOOKUP(IF(CODE(EX107)&lt;65,"A+",EX107),SKT,BK$13+3,FALSE),0))</f>
        <v>0</v>
      </c>
      <c r="BL107" s="154">
        <f t="shared" ref="BL107:BL138" ca="1" si="493">IF(EY107=0,0,IF(AND(NOT(ISBLANK($I107)),SUM($B107,$G107)&lt;BL$13,SUM($B107,$G107,$I107)&gt;=BL$13),
HLOOKUP(IF(CODE(EY107)&lt;65,"A+",EY107),SKT,BL$13+3,FALSE),0))</f>
        <v>0</v>
      </c>
      <c r="BM107" s="154">
        <f t="shared" ref="BM107:BM138" ca="1" si="494">IF(EZ107=0,0,IF(AND(NOT(ISBLANK($I107)),SUM($B107,$G107)&lt;BM$13,SUM($B107,$G107,$I107)&gt;=BM$13),
HLOOKUP(IF(CODE(EZ107)&lt;65,"A+",EZ107),SKT,BM$13+3,FALSE),0))</f>
        <v>0</v>
      </c>
      <c r="BN107" s="154">
        <f t="shared" ref="BN107:BN138" ca="1" si="495">IF(FA107=0,0,IF(AND(NOT(ISBLANK($I107)),SUM($B107,$G107)&lt;BN$13,SUM($B107,$G107,$I107)&gt;=BN$13),
HLOOKUP(IF(CODE(FA107)&lt;65,"A+",FA107),SKT,BN$13+3,FALSE),0))</f>
        <v>0</v>
      </c>
      <c r="BO107" s="154">
        <f t="shared" ref="BO107:BO138" ca="1" si="496">IF(FB107=0,0,IF(AND(NOT(ISBLANK($I107)),SUM($B107,$G107)&lt;BO$13,SUM($B107,$G107,$I107)&gt;=BO$13),
HLOOKUP(IF(CODE(FB107)&lt;65,"A+",FB107),SKT,BO$13+3,FALSE),0))</f>
        <v>0</v>
      </c>
      <c r="BP107" s="154">
        <f t="shared" ref="BP107:BP138" ca="1" si="497">IF(FC107=0,0,IF(AND(NOT(ISBLANK($I107)),SUM($B107,$G107)&lt;BP$13,SUM($B107,$G107,$I107)&gt;=BP$13),
HLOOKUP(IF(CODE(FC107)&lt;65,"A+",FC107),SKT,BP$13+3,FALSE),0))</f>
        <v>0</v>
      </c>
      <c r="BQ107" s="154">
        <f t="shared" ref="BQ107:BQ138" ca="1" si="498">IF(FD107=0,0,IF(AND(NOT(ISBLANK($I107)),SUM($B107,$G107)&lt;BQ$13,SUM($B107,$G107,$I107)&gt;=BQ$13),
HLOOKUP(IF(CODE(FD107)&lt;65,"A+",FD107),SKT,BQ$13+3,FALSE),0))</f>
        <v>0</v>
      </c>
      <c r="BR107" s="154">
        <f t="shared" ref="BR107:BR138" ca="1" si="499">IF(FE107=0,0,IF(AND(NOT(ISBLANK($I107)),SUM($B107,$G107)&lt;BR$13,SUM($B107,$G107,$I107)&gt;=BR$13),
HLOOKUP(IF(CODE(FE107)&lt;65,"A+",FE107),SKT,BR$13+3,FALSE),0))</f>
        <v>0</v>
      </c>
      <c r="BS107" s="154">
        <f t="shared" ref="BS107:BS138" ca="1" si="500">IF(FF107=0,0,IF(AND(NOT(ISBLANK($I107)),SUM($B107,$G107)&lt;BS$13,SUM($B107,$G107,$I107)&gt;=BS$13),
HLOOKUP(IF(CODE(FF107)&lt;65,"A+",FF107),SKT,BS$13+3,FALSE),0))</f>
        <v>0</v>
      </c>
      <c r="BT107" s="154">
        <f t="shared" ref="BT107:BT138" ca="1" si="501">IF(FG107=0,0,IF(AND(NOT(ISBLANK($I107)),SUM($B107,$G107)&lt;BT$13,SUM($B107,$G107,$I107)&gt;=BT$13),
HLOOKUP(IF(CODE(FG107)&lt;65,"A+",FG107),SKT,BT$13+3,FALSE),0))</f>
        <v>0</v>
      </c>
      <c r="BU107" s="154">
        <f t="shared" ref="BU107:BU138" ca="1" si="502">IF(FH107=0,0,IF(AND(NOT(ISBLANK($I107)),SUM($B107,$G107)&lt;BU$13,SUM($B107,$G107,$I107)&gt;=BU$13),
HLOOKUP(IF(CODE(FH107)&lt;65,"A+",FH107),SKT,BU$13+3,FALSE),0))</f>
        <v>0</v>
      </c>
      <c r="BV107" s="154">
        <f t="shared" ref="BV107:BV138" ca="1" si="503">IF(FI107=0,0,IF(AND(NOT(ISBLANK($I107)),SUM($B107,$G107)&lt;BV$13,SUM($B107,$G107,$I107)&gt;=BV$13),
HLOOKUP(IF(CODE(FI107)&lt;65,"A+",FI107),SKT,BV$13+3,FALSE),0))</f>
        <v>0</v>
      </c>
      <c r="BW107" s="154">
        <f t="shared" ref="BW107:BW138" ca="1" si="504">IF(FJ107=0,0,IF(AND(NOT(ISBLANK($I107)),SUM($B107,$G107)&lt;BW$13,SUM($B107,$G107,$I107)&gt;=BW$13),
HLOOKUP(IF(CODE(FJ107)&lt;65,"A+",FJ107),SKT,BW$13+3,FALSE),0))</f>
        <v>0</v>
      </c>
      <c r="BX107" s="154">
        <f t="shared" ref="BX107:BX138" ca="1" si="505">IF(FK107=0,0,IF(AND(NOT(ISBLANK($I107)),SUM($B107,$G107)&lt;BX$13,SUM($B107,$G107,$I107)&gt;=BX$13),
HLOOKUP(IF(CODE(FK107)&lt;65,"A+",FK107),SKT,BX$13+3,FALSE),0))</f>
        <v>0</v>
      </c>
      <c r="BY107" s="154">
        <f t="shared" ref="BY107:BY138" ca="1" si="506">IF(FL107=0,0,IF(AND(NOT(ISBLANK($I107)),SUM($B107,$G107)&lt;BY$13,SUM($B107,$G107,$I107)&gt;=BY$13),
HLOOKUP(IF(CODE(FL107)&lt;65,"A+",FL107),SKT,BY$13+3,FALSE),0))</f>
        <v>0</v>
      </c>
      <c r="BZ107" s="154">
        <f t="shared" ref="BZ107:BZ138" si="507">IF(T107="GP",1,0)</f>
        <v>0</v>
      </c>
      <c r="CA107" s="154">
        <f t="shared" ref="CA107:CA138" si="508">IF(OR(T107="Start-AP",T107="Start-AP-2P"),
IF(R107="",0,IF(DI107="",1,0))*IF(U107="",20,10)*HLOOKUP(CE107,SKT,2,FALSE),0)</f>
        <v>0</v>
      </c>
      <c r="CB107" s="154">
        <f t="shared" ref="CB107:CB138" ca="1" si="509">IF(OR(T107="",T107="AP"),
(IF(R107="",0,IF(DI107="",IF(OR(U107="S1 verbilligt",U107="Beide verbilligt"),0.5,1),0))+IF(S107="",0,IF(OR(U107="S2 verbilligt",U107="Beide verbilligt"),1,2)))*20*HLOOKUP(CE107,SKT,2,FALSE),IF(S107="",0,IF(OR(U107="S2 verbilligt",U107="Beide verbilligt"),1,2))*20*HLOOKUP(CE107,SKT,2,FALSE))</f>
        <v>0</v>
      </c>
      <c r="CC107" s="523"/>
      <c r="CD107" s="355">
        <f t="shared" ref="CD107:CD138" si="510">VLOOKUP($A107,ZEILENBEZUG,2,FALSE)</f>
        <v>131</v>
      </c>
      <c r="CE107" s="751" t="str">
        <f t="shared" ref="CE107:CE138" ca="1" si="511">CO107</f>
        <v>B</v>
      </c>
      <c r="CF107" s="355" t="str">
        <f ca="1">IF(EXACT($B107,""),"",$A107)</f>
        <v/>
      </c>
      <c r="CG107" s="268"/>
      <c r="CH107" s="268"/>
      <c r="CI107" s="269">
        <f t="shared" ref="CI107:CI138" ca="1" si="512">IF(AND(ISNA(VLOOKUP($A$106,UNFAEH,1,FALSE)),ISNA(VLOOKUP($A107,UNFAEH,1,FALSE)),ISERR(FIND($A$106,GEW_UNFAEH,1)),ISERR(FIND($A107,$AH$3,1))),0,1)</f>
        <v>0</v>
      </c>
      <c r="CJ107" s="269">
        <f t="shared" ref="CJ107:CJ138" ca="1" si="513">IF(AND(ISNA(VLOOKUP($A$106,BEGABG,1,FALSE)),ISNA(VLOOKUP($A107,BEGABG,1,FALSE)),ISERR(FIND($A$106,GEW_BEGABUNG,1)),ISERR(FIND($A107,$X$5,1))),0,-1)</f>
        <v>0</v>
      </c>
      <c r="CK107" s="268"/>
      <c r="CL107" s="268"/>
      <c r="CM107" s="268">
        <f t="shared" ca="1" si="327"/>
        <v>0</v>
      </c>
      <c r="CN107" s="269">
        <f t="shared" ca="1" si="328"/>
        <v>0</v>
      </c>
      <c r="CO107" s="268" t="str">
        <f t="shared" ref="CO107:CO138" ca="1" si="514">CHAR(CODE("B")+$CN107)</f>
        <v>B</v>
      </c>
      <c r="CP107" s="269" t="b">
        <f t="shared" ref="CP107:CP137" ca="1" si="515">IF(NT_ELFWELT,
IF(OR(
RIGHT(HLOOKUP(PROFGENE,INDIRECT(PROFGEBIET),$CD107,FALSE),1)="L",
RIGHT(HLOOKUP(KULTURGENE,KULTUR,$CD107,FALSE),1)="L",
RIGHT(D107)="L"),TRUE,FALSE),
TRUE)</f>
        <v>1</v>
      </c>
      <c r="CQ107" s="269">
        <f t="shared" ref="CQ107:CQ138" si="516">IF(RASSEGENE="",0,HLOOKUP(RASSEGENE,RASSE,$CD107,FALSE))</f>
        <v>0</v>
      </c>
      <c r="CR107" s="269">
        <f t="shared" ref="CR107:CR138" si="517">IF(KULTURGENE="LEER",0,IF(LEN(HLOOKUP(KULTURGENE,KULTUR,$CD107,FALSE))&gt;0,LEFT(HLOOKUP(KULTURGENE,KULTUR,$CD107,FALSE),IF(ISERR(SEARCH("L",HLOOKUP(KULTURGENE,KULTUR,$CD107,FALSE),1)),LEN(HLOOKUP(KULTURGENE,KULTUR,$CD107,FALSE)),SEARCH("L",HLOOKUP(KULTURGENE,KULTUR,$CD107,FALSE),1)-1)),0))</f>
        <v>0</v>
      </c>
      <c r="CS107" s="269">
        <f t="shared" ref="CS107:CS138" ca="1" si="518">IF(PROFGENE="LEER",0,HLOOKUP(PROFGENE,INDIRECT(PROFGEBIET),$CD107,FALSE))</f>
        <v>0</v>
      </c>
      <c r="CT107" s="302" t="str">
        <f t="shared" ref="CT107:CT157" ca="1" si="519">IF(LEN(CS107)&gt;0,LEFT(CS107,IF(ISERR(SEARCH("L",CS107,1)),IF(ISERR(SEARCH("M",CS107,1)),IF(ISERR(SEARCH("N",CS107,1)),LEN(CS107),SEARCH("N",CS107,1)-1),SEARCH("M",CS107,1)-1),SEARCH("L",CS107,1)-1)),0)</f>
        <v>0</v>
      </c>
      <c r="CU107" s="269">
        <f t="shared" ref="CU107:CU138" ca="1" si="520">IF(LEN(PROFZWEITE)&lt;1,0,HLOOKUP(PROFZWEITE,INDIRECT(PROFGEBIET2),$CD107,FALSE))</f>
        <v>0</v>
      </c>
      <c r="CV107" s="268"/>
      <c r="CW107" s="269">
        <f t="shared" ref="CW107:CW138" ca="1" si="521">IF(AND(ISNA(VLOOKUP($A107,BEGABG,1,FALSE)),ISERR(FIND($A107,$X$5,1))),0,1)</f>
        <v>0</v>
      </c>
      <c r="CX107" s="301">
        <f t="shared" ref="CX107:CX138" ca="1" si="522">CQ107+CR107+IF(CT107="",0,CT107)+CV107+CW107</f>
        <v>0</v>
      </c>
      <c r="CY107" s="301">
        <f t="shared" ca="1" si="329"/>
        <v>0</v>
      </c>
      <c r="CZ107" s="301">
        <f t="shared" ref="CZ107:CZ138" ca="1" si="523">SUM(W107:AR107)-IF(OR(VT_VETERAN,VT_BBILDUNG),DA107,0)</f>
        <v>0</v>
      </c>
      <c r="DA107" s="301">
        <f t="shared" ref="DA107:DA157" ca="1" si="524">IF(H107="",0,SUM(INDIRECT(
ADDRESS(ROW(),COLUMN($W107)+CY107+IF(CY107=0,0,1))
&amp;":"&amp;
ADDRESS(ROW(),COLUMN($AR107))
)))</f>
        <v>0</v>
      </c>
      <c r="DB107" t="str">
        <f ca="1">IF(AND(NOT(AND(ISBLANK($G107),ISBLANK($I107))),IF($O$105="",TRUE,$O$105&lt;4),SUM(B107,G107,I107)&gt;=10),"Tierkunde 4+",IF(AND(NOT(ISBLANK($F107)),$F107&lt;=$B107),"TaW SE zu klein",""))</f>
        <v/>
      </c>
      <c r="DC107" s="301" t="str">
        <f t="shared" ref="DC107:DC138" ca="1" si="525">IF($O107="","",IF($O107&gt;MAX(INDIRECT(VLOOKUP($A107,TL_ALLE,2,FALSE)),INDIRECT(VLOOKUP($A107,TL_ALLE,3,FALSE)),INDIRECT(VLOOKUP($A107,TL_ALLE,4,FALSE)))+3-CJ107*2," TaW&gt; MAX(EIGN-Wert)+"&amp;3-CJ107*2,""))</f>
        <v/>
      </c>
      <c r="DD107" s="1337" t="str">
        <f ca="1">IF(PROFGEBGENE="Goetter",IF(RIGHT(HLOOKUP(PROFGENE,INDIRECT(PROFGEBIET),$CD107,FALSE),1)="M",$A107&amp;",",""),IF(AKTIV_SPTWHE,IF(EXACT(UPPER(RIGHT(HLOOKUP(PROFSPTWHE,SPTWHE,$CD107,FALSE))),"M"),$A107&amp;",",""),IF(PROFGEBZWEITE="Goetter (BGB)",IF(RIGHT(HLOOKUP(PROFZWEITE,INDIRECT(PROFGEBIET2),$CD107,FALSE),1)="M",$A107&amp;",",""),"")))</f>
        <v/>
      </c>
      <c r="DE107" s="1337" t="str">
        <f ca="1">IF(PROFGEBGENE="Goetter",IF(RIGHT(HLOOKUP(PROFGENE,INDIRECT(PROFGEBIET),$CD107,FALSE),1)="N",$A107&amp;",",""),IF(AKTIV_SPTWHE,IF(EXACT(UPPER(RIGHT(HLOOKUP(PROFSPTWHE,SPTWHE,$CD107,FALSE))),"N"),$A107&amp;",",""),IF(PROFGEBZWEITE="Goetter (BGB)",IF(RIGHT(HLOOKUP(PROFZWEITE,INDIRECT(PROFGEBIET2),$CD107,FALSE),1)="N",$A107&amp;",",""),"")))</f>
        <v/>
      </c>
      <c r="DG107" s="269" t="str">
        <f t="shared" ref="DG107:DG138" ca="1" si="526">IF(DI107="",IF(VLOOKUP(A107,TALENTE_GP,4,FALSE)="Kultur","KULTUREN","Tabellen_Andere!BA"&amp;MATCH(A107,TALENTE)+1&amp;":BF"&amp;MATCH(A107,TALENTE)+1),ADDRESS(ROW(),COLUMN()+2,1,1))</f>
        <v>Tabellen_Andere!BA2:BF2</v>
      </c>
      <c r="DH107" s="269" t="str">
        <f t="shared" ref="DH107:DH157" si="527">IF(VLOOKUP(A107,TALENTE_GP,4,FALSE)="Kultur","KULTUREN","Tabellen_Andere!BA"&amp;MATCH(A107,TALENTE)+1&amp;":BF"&amp;MATCH(A107,TALENTE)+1)</f>
        <v>Tabellen_Andere!BA2:BF2</v>
      </c>
      <c r="DI107" s="269" t="str">
        <f ca="1">IF(NOT(ISERR(FIND(A107&amp;" ",Abfragen!$O$264,1))),MID(Abfragen!$O$264,FIND("(",Abfragen!$O$264,FIND(A107,Abfragen!$O$264,1)+LEN(A107))+1,FIND(")",Abfragen!$O$264,FIND(A107,Abfragen!$O$264,1)+LEN(A107))-FIND("(",Abfragen!$O$264,FIND(A107,Abfragen!$O$264,1)+LEN(A107))-1),"")</f>
        <v/>
      </c>
      <c r="DJ107" s="301" t="str">
        <f t="shared" ref="DJ107:DS116" ca="1" si="528">IF(ISERR(FIND(";"&amp;DJ$13&amp;":0;",$F107)),
CHAR(CODE($CE107)+SUM(IF(ISERR(FIND(";"&amp;DJ$13&amp;";",$F107)),0,-1),IF(ISERR(FIND(";"&amp;DJ$13&amp;":",$F107)),0,-VALUE(MID($F107,FIND(";"&amp;DJ$13&amp;":",$F107)+LEN(DJ$13)+2,1))))),0)</f>
        <v>B</v>
      </c>
      <c r="DK107" s="301" t="str">
        <f t="shared" ca="1" si="528"/>
        <v>B</v>
      </c>
      <c r="DL107" s="301" t="str">
        <f t="shared" ca="1" si="528"/>
        <v>B</v>
      </c>
      <c r="DM107" s="301" t="str">
        <f t="shared" ca="1" si="528"/>
        <v>B</v>
      </c>
      <c r="DN107" s="301" t="str">
        <f t="shared" ca="1" si="528"/>
        <v>B</v>
      </c>
      <c r="DO107" s="301" t="str">
        <f t="shared" ca="1" si="528"/>
        <v>B</v>
      </c>
      <c r="DP107" s="301" t="str">
        <f t="shared" ca="1" si="528"/>
        <v>B</v>
      </c>
      <c r="DQ107" s="301" t="str">
        <f t="shared" ca="1" si="528"/>
        <v>B</v>
      </c>
      <c r="DR107" s="301" t="str">
        <f t="shared" ca="1" si="528"/>
        <v>B</v>
      </c>
      <c r="DS107" s="301" t="str">
        <f t="shared" ca="1" si="528"/>
        <v>B</v>
      </c>
      <c r="DT107" s="301" t="str">
        <f t="shared" ref="DT107:EE116" ca="1" si="529">IF(ISERR(FIND(";"&amp;DT$13&amp;":0;",$F107)),
CHAR(CODE($CE107)+SUM(IF(ISERR(FIND(";"&amp;DT$13&amp;";",$F107)),0,-1),IF(ISERR(FIND(";"&amp;DT$13&amp;":",$F107)),0,-VALUE(MID($F107,FIND(";"&amp;DT$13&amp;":",$F107)+LEN(DT$13)+2,1))))),0)</f>
        <v>B</v>
      </c>
      <c r="DU107" s="301" t="str">
        <f t="shared" ca="1" si="529"/>
        <v>B</v>
      </c>
      <c r="DV107" s="301" t="str">
        <f t="shared" ca="1" si="529"/>
        <v>B</v>
      </c>
      <c r="DW107" s="301" t="str">
        <f t="shared" ca="1" si="529"/>
        <v>B</v>
      </c>
      <c r="DX107" s="301" t="str">
        <f t="shared" ca="1" si="529"/>
        <v>B</v>
      </c>
      <c r="DY107" s="301" t="str">
        <f t="shared" ca="1" si="529"/>
        <v>B</v>
      </c>
      <c r="DZ107" s="301" t="str">
        <f t="shared" ca="1" si="529"/>
        <v>B</v>
      </c>
      <c r="EA107" s="301" t="str">
        <f t="shared" ca="1" si="529"/>
        <v>B</v>
      </c>
      <c r="EB107" s="301" t="str">
        <f t="shared" ca="1" si="529"/>
        <v>B</v>
      </c>
      <c r="EC107" s="301" t="str">
        <f t="shared" ca="1" si="529"/>
        <v>B</v>
      </c>
      <c r="ED107" s="301" t="str">
        <f t="shared" ca="1" si="529"/>
        <v>B</v>
      </c>
      <c r="EE107" s="301" t="str">
        <f t="shared" ca="1" si="529"/>
        <v>B</v>
      </c>
      <c r="EF107" s="205"/>
      <c r="EG107" s="301" t="str">
        <f t="shared" ref="EG107:EP116" ca="1" si="530">IF(ISERR(FIND(";"&amp;EG$13&amp;":0;",$F107)),
CHAR(CODE($CE107)+SUM(IF(NT_Unstet,1,0),
IF(ISERR(FIND(";"&amp;EG$13&amp;";",$F107)),0,-1),
IF(ISERR(FIND(";"&amp;EG$13&amp;":",$F107)),0,-VALUE(MID($F107,FIND(";"&amp;EG$13&amp;":",$F107)+LEN(EG$13)+2,1))),
IF(ISERR(FIND(";"&amp;EG$13&amp;"+",$F107)),0,VALUE(MID($F107,FIND(";"&amp;EG$13&amp;"+",$F107)+LEN(EG$13)+2,1))))),0)</f>
        <v>B</v>
      </c>
      <c r="EH107" s="301" t="str">
        <f t="shared" ca="1" si="530"/>
        <v>B</v>
      </c>
      <c r="EI107" s="301" t="str">
        <f t="shared" ca="1" si="530"/>
        <v>B</v>
      </c>
      <c r="EJ107" s="301" t="str">
        <f t="shared" ca="1" si="530"/>
        <v>B</v>
      </c>
      <c r="EK107" s="301" t="str">
        <f t="shared" ca="1" si="530"/>
        <v>B</v>
      </c>
      <c r="EL107" s="301" t="str">
        <f t="shared" ca="1" si="530"/>
        <v>B</v>
      </c>
      <c r="EM107" s="301" t="str">
        <f t="shared" ca="1" si="530"/>
        <v>B</v>
      </c>
      <c r="EN107" s="301" t="str">
        <f t="shared" ca="1" si="530"/>
        <v>B</v>
      </c>
      <c r="EO107" s="301" t="str">
        <f t="shared" ca="1" si="530"/>
        <v>B</v>
      </c>
      <c r="EP107" s="301" t="str">
        <f t="shared" ca="1" si="530"/>
        <v>B</v>
      </c>
      <c r="EQ107" s="301" t="str">
        <f t="shared" ref="EQ107:EZ116" ca="1" si="531">IF(ISERR(FIND(";"&amp;EQ$13&amp;":0;",$F107)),
CHAR(CODE($CE107)+SUM(IF(NT_Unstet,1,0),
IF(ISERR(FIND(";"&amp;EQ$13&amp;";",$F107)),0,-1),
IF(ISERR(FIND(";"&amp;EQ$13&amp;":",$F107)),0,-VALUE(MID($F107,FIND(";"&amp;EQ$13&amp;":",$F107)+LEN(EQ$13)+2,1))),
IF(ISERR(FIND(";"&amp;EQ$13&amp;"+",$F107)),0,VALUE(MID($F107,FIND(";"&amp;EQ$13&amp;"+",$F107)+LEN(EQ$13)+2,1))))),0)</f>
        <v>B</v>
      </c>
      <c r="ER107" s="301" t="str">
        <f t="shared" ca="1" si="531"/>
        <v>B</v>
      </c>
      <c r="ES107" s="301" t="str">
        <f t="shared" ca="1" si="531"/>
        <v>B</v>
      </c>
      <c r="ET107" s="301" t="str">
        <f t="shared" ca="1" si="531"/>
        <v>B</v>
      </c>
      <c r="EU107" s="301" t="str">
        <f t="shared" ca="1" si="531"/>
        <v>B</v>
      </c>
      <c r="EV107" s="301" t="str">
        <f t="shared" ca="1" si="531"/>
        <v>B</v>
      </c>
      <c r="EW107" s="301" t="str">
        <f t="shared" ca="1" si="531"/>
        <v>B</v>
      </c>
      <c r="EX107" s="301" t="str">
        <f t="shared" ca="1" si="531"/>
        <v>B</v>
      </c>
      <c r="EY107" s="301" t="str">
        <f t="shared" ca="1" si="531"/>
        <v>B</v>
      </c>
      <c r="EZ107" s="301" t="str">
        <f t="shared" ca="1" si="531"/>
        <v>B</v>
      </c>
      <c r="FA107" s="301" t="str">
        <f t="shared" ref="FA107:FL116" ca="1" si="532">IF(ISERR(FIND(";"&amp;FA$13&amp;":0;",$F107)),
CHAR(CODE($CE107)+SUM(IF(NT_Unstet,1,0),
IF(ISERR(FIND(";"&amp;FA$13&amp;";",$F107)),0,-1),
IF(ISERR(FIND(";"&amp;FA$13&amp;":",$F107)),0,-VALUE(MID($F107,FIND(";"&amp;FA$13&amp;":",$F107)+LEN(FA$13)+2,1))),
IF(ISERR(FIND(";"&amp;FA$13&amp;"+",$F107)),0,VALUE(MID($F107,FIND(";"&amp;FA$13&amp;"+",$F107)+LEN(FA$13)+2,1))))),0)</f>
        <v>B</v>
      </c>
      <c r="FB107" s="301" t="str">
        <f t="shared" ca="1" si="532"/>
        <v>B</v>
      </c>
      <c r="FC107" s="301" t="str">
        <f t="shared" ca="1" si="532"/>
        <v>B</v>
      </c>
      <c r="FD107" s="301" t="str">
        <f t="shared" ca="1" si="532"/>
        <v>B</v>
      </c>
      <c r="FE107" s="301" t="str">
        <f t="shared" ca="1" si="532"/>
        <v>B</v>
      </c>
      <c r="FF107" s="301" t="str">
        <f t="shared" ca="1" si="532"/>
        <v>B</v>
      </c>
      <c r="FG107" s="301" t="str">
        <f t="shared" ca="1" si="532"/>
        <v>B</v>
      </c>
      <c r="FH107" s="301" t="str">
        <f t="shared" ca="1" si="532"/>
        <v>B</v>
      </c>
      <c r="FI107" s="301" t="str">
        <f t="shared" ca="1" si="532"/>
        <v>B</v>
      </c>
      <c r="FJ107" s="301" t="str">
        <f t="shared" ca="1" si="532"/>
        <v>B</v>
      </c>
      <c r="FK107" s="301" t="str">
        <f t="shared" ca="1" si="532"/>
        <v>B</v>
      </c>
      <c r="FL107" s="301" t="str">
        <f t="shared" ca="1" si="532"/>
        <v>B</v>
      </c>
    </row>
    <row r="108" spans="1:168" x14ac:dyDescent="0.2">
      <c r="A108" s="38" t="str">
        <f t="shared" ref="A108:A157" si="533">INDEX(TL_HWK,ROW()-106)</f>
        <v>Ackerbau</v>
      </c>
      <c r="B108" s="317" t="str">
        <f t="shared" ca="1" si="448"/>
        <v/>
      </c>
      <c r="C108" s="332" t="str">
        <f t="shared" ca="1" si="449"/>
        <v/>
      </c>
      <c r="D108" s="1110"/>
      <c r="E108" s="966"/>
      <c r="F108" s="325"/>
      <c r="G108" s="958"/>
      <c r="H108" s="1196"/>
      <c r="I108" s="326"/>
      <c r="J108" s="1886" t="str">
        <f t="shared" ca="1" si="450"/>
        <v/>
      </c>
      <c r="K108" s="1887"/>
      <c r="L108" s="1887"/>
      <c r="M108" s="1887"/>
      <c r="N108" s="1888"/>
      <c r="O108" s="613" t="str">
        <f t="shared" ca="1" si="451"/>
        <v/>
      </c>
      <c r="P108" s="90"/>
      <c r="Q108" s="25"/>
      <c r="R108" s="1313"/>
      <c r="S108" s="1313"/>
      <c r="T108" s="1315"/>
      <c r="U108" s="1283"/>
      <c r="V108" s="628" t="str">
        <f t="shared" ca="1" si="452"/>
        <v/>
      </c>
      <c r="W108" s="164">
        <f t="shared" ca="1" si="453"/>
        <v>0</v>
      </c>
      <c r="X108" s="164">
        <f t="shared" ca="1" si="454"/>
        <v>0</v>
      </c>
      <c r="Y108" s="164">
        <f t="shared" ca="1" si="455"/>
        <v>0</v>
      </c>
      <c r="Z108" s="164">
        <f t="shared" ca="1" si="456"/>
        <v>0</v>
      </c>
      <c r="AA108" s="164">
        <f t="shared" ca="1" si="457"/>
        <v>0</v>
      </c>
      <c r="AB108" s="164">
        <f t="shared" ca="1" si="458"/>
        <v>0</v>
      </c>
      <c r="AC108" s="164">
        <f t="shared" ca="1" si="459"/>
        <v>0</v>
      </c>
      <c r="AD108" s="164">
        <f t="shared" ca="1" si="460"/>
        <v>0</v>
      </c>
      <c r="AE108" s="164">
        <f t="shared" ca="1" si="461"/>
        <v>0</v>
      </c>
      <c r="AF108" s="164">
        <f t="shared" ca="1" si="462"/>
        <v>0</v>
      </c>
      <c r="AG108" s="164">
        <f t="shared" ca="1" si="463"/>
        <v>0</v>
      </c>
      <c r="AH108" s="164">
        <f t="shared" ca="1" si="464"/>
        <v>0</v>
      </c>
      <c r="AI108" s="164">
        <f t="shared" ca="1" si="465"/>
        <v>0</v>
      </c>
      <c r="AJ108" s="164">
        <f t="shared" ca="1" si="466"/>
        <v>0</v>
      </c>
      <c r="AK108" s="164">
        <f t="shared" ca="1" si="467"/>
        <v>0</v>
      </c>
      <c r="AL108" s="164">
        <f t="shared" ca="1" si="468"/>
        <v>0</v>
      </c>
      <c r="AM108" s="164">
        <f t="shared" ca="1" si="469"/>
        <v>0</v>
      </c>
      <c r="AN108" s="164">
        <f t="shared" ca="1" si="470"/>
        <v>0</v>
      </c>
      <c r="AO108" s="164">
        <f t="shared" ca="1" si="471"/>
        <v>0</v>
      </c>
      <c r="AP108" s="164">
        <f t="shared" ca="1" si="472"/>
        <v>0</v>
      </c>
      <c r="AQ108" s="164">
        <f t="shared" ca="1" si="473"/>
        <v>0</v>
      </c>
      <c r="AR108" s="164">
        <f t="shared" ca="1" si="474"/>
        <v>0</v>
      </c>
      <c r="AS108" s="195"/>
      <c r="AT108" s="154">
        <f t="shared" ca="1" si="475"/>
        <v>0</v>
      </c>
      <c r="AU108" s="154">
        <f t="shared" ca="1" si="476"/>
        <v>0</v>
      </c>
      <c r="AV108" s="154">
        <f t="shared" ca="1" si="477"/>
        <v>0</v>
      </c>
      <c r="AW108" s="154">
        <f t="shared" ca="1" si="478"/>
        <v>0</v>
      </c>
      <c r="AX108" s="154">
        <f t="shared" ca="1" si="479"/>
        <v>0</v>
      </c>
      <c r="AY108" s="154">
        <f t="shared" ca="1" si="480"/>
        <v>0</v>
      </c>
      <c r="AZ108" s="154">
        <f t="shared" ca="1" si="481"/>
        <v>0</v>
      </c>
      <c r="BA108" s="154">
        <f t="shared" ca="1" si="482"/>
        <v>0</v>
      </c>
      <c r="BB108" s="154">
        <f t="shared" ca="1" si="483"/>
        <v>0</v>
      </c>
      <c r="BC108" s="154">
        <f t="shared" ca="1" si="484"/>
        <v>0</v>
      </c>
      <c r="BD108" s="154">
        <f t="shared" ca="1" si="485"/>
        <v>0</v>
      </c>
      <c r="BE108" s="154">
        <f t="shared" ca="1" si="486"/>
        <v>0</v>
      </c>
      <c r="BF108" s="154">
        <f t="shared" ca="1" si="487"/>
        <v>0</v>
      </c>
      <c r="BG108" s="154">
        <f t="shared" ca="1" si="488"/>
        <v>0</v>
      </c>
      <c r="BH108" s="154">
        <f t="shared" ca="1" si="489"/>
        <v>0</v>
      </c>
      <c r="BI108" s="154">
        <f t="shared" ca="1" si="490"/>
        <v>0</v>
      </c>
      <c r="BJ108" s="154">
        <f t="shared" ca="1" si="491"/>
        <v>0</v>
      </c>
      <c r="BK108" s="154">
        <f t="shared" ca="1" si="492"/>
        <v>0</v>
      </c>
      <c r="BL108" s="154">
        <f t="shared" ca="1" si="493"/>
        <v>0</v>
      </c>
      <c r="BM108" s="154">
        <f t="shared" ca="1" si="494"/>
        <v>0</v>
      </c>
      <c r="BN108" s="154">
        <f t="shared" ca="1" si="495"/>
        <v>0</v>
      </c>
      <c r="BO108" s="154">
        <f t="shared" ca="1" si="496"/>
        <v>0</v>
      </c>
      <c r="BP108" s="154">
        <f t="shared" ca="1" si="497"/>
        <v>0</v>
      </c>
      <c r="BQ108" s="154">
        <f t="shared" ca="1" si="498"/>
        <v>0</v>
      </c>
      <c r="BR108" s="154">
        <f t="shared" ca="1" si="499"/>
        <v>0</v>
      </c>
      <c r="BS108" s="154">
        <f t="shared" ca="1" si="500"/>
        <v>0</v>
      </c>
      <c r="BT108" s="154">
        <f t="shared" ca="1" si="501"/>
        <v>0</v>
      </c>
      <c r="BU108" s="154">
        <f t="shared" ca="1" si="502"/>
        <v>0</v>
      </c>
      <c r="BV108" s="154">
        <f t="shared" ca="1" si="503"/>
        <v>0</v>
      </c>
      <c r="BW108" s="154">
        <f t="shared" ca="1" si="504"/>
        <v>0</v>
      </c>
      <c r="BX108" s="154">
        <f t="shared" ca="1" si="505"/>
        <v>0</v>
      </c>
      <c r="BY108" s="154">
        <f t="shared" ca="1" si="506"/>
        <v>0</v>
      </c>
      <c r="BZ108" s="154">
        <f t="shared" si="507"/>
        <v>0</v>
      </c>
      <c r="CA108" s="154">
        <f t="shared" si="508"/>
        <v>0</v>
      </c>
      <c r="CB108" s="154">
        <f t="shared" ca="1" si="509"/>
        <v>0</v>
      </c>
      <c r="CC108" s="523"/>
      <c r="CD108" s="355">
        <f t="shared" si="510"/>
        <v>132</v>
      </c>
      <c r="CE108" s="751" t="str">
        <f t="shared" ca="1" si="511"/>
        <v>B</v>
      </c>
      <c r="CF108" s="355" t="str">
        <f t="shared" ref="CF108:CF128" ca="1" si="534">IF(EXACT($B108,""),$CF107,CONCATENATE($CF107,$A108))</f>
        <v/>
      </c>
      <c r="CG108" s="268"/>
      <c r="CH108" s="268"/>
      <c r="CI108" s="269">
        <f t="shared" ca="1" si="512"/>
        <v>0</v>
      </c>
      <c r="CJ108" s="269">
        <f t="shared" ca="1" si="513"/>
        <v>0</v>
      </c>
      <c r="CK108" s="268"/>
      <c r="CL108" s="268"/>
      <c r="CM108" s="268">
        <f t="shared" ca="1" si="327"/>
        <v>0</v>
      </c>
      <c r="CN108" s="269">
        <f t="shared" ca="1" si="328"/>
        <v>0</v>
      </c>
      <c r="CO108" s="268" t="str">
        <f t="shared" ca="1" si="514"/>
        <v>B</v>
      </c>
      <c r="CP108" s="269" t="b">
        <f t="shared" ca="1" si="515"/>
        <v>1</v>
      </c>
      <c r="CQ108" s="269">
        <f t="shared" si="516"/>
        <v>0</v>
      </c>
      <c r="CR108" s="269">
        <f t="shared" si="517"/>
        <v>0</v>
      </c>
      <c r="CS108" s="269">
        <f t="shared" ca="1" si="518"/>
        <v>0</v>
      </c>
      <c r="CT108" s="302" t="str">
        <f t="shared" ca="1" si="519"/>
        <v>0</v>
      </c>
      <c r="CU108" s="269">
        <f t="shared" ca="1" si="520"/>
        <v>0</v>
      </c>
      <c r="CV108" s="268"/>
      <c r="CW108" s="269">
        <f t="shared" ca="1" si="521"/>
        <v>0</v>
      </c>
      <c r="CX108" s="301">
        <f t="shared" ca="1" si="522"/>
        <v>0</v>
      </c>
      <c r="CY108" s="301">
        <f t="shared" ca="1" si="329"/>
        <v>0</v>
      </c>
      <c r="CZ108" s="301">
        <f t="shared" ca="1" si="523"/>
        <v>0</v>
      </c>
      <c r="DA108" s="301">
        <f t="shared" ca="1" si="524"/>
        <v>0</v>
      </c>
      <c r="DB108" t="str">
        <f ca="1">IF(AND(NOT(ISBLANK($F108)),$F108&lt;=$B108),"TaW SE zu klein","")</f>
        <v/>
      </c>
      <c r="DC108" s="301" t="str">
        <f t="shared" ca="1" si="525"/>
        <v/>
      </c>
      <c r="DD108" s="1337" t="str">
        <f t="shared" ref="DD108:DD139" ca="1" si="535">IF(PROFGEBGENE="Goetter",IF(RIGHT(HLOOKUP(PROFGENE,INDIRECT(PROFGEBIET),$CD108,FALSE),1)="M",CONCATENATE(DD107,$A108,","),DD107),IF(AKTIV_SPTWHE,IF(EXACT(UPPER(RIGHT(HLOOKUP(PROFSPTWHE,SPTWHE,$CD108,FALSE))),"M"),CONCATENATE(DD107,$A108,","),DD107),IF(PROFGEBZWEITE="Goetter (BGB)",IF(RIGHT(HLOOKUP(PROFZWEITE,INDIRECT(PROFGEBIET2),$CD108,FALSE),1)="M",CONCATENATE(DD107,$A108,","),DD107),"")))</f>
        <v/>
      </c>
      <c r="DE108" s="1337" t="str">
        <f t="shared" ref="DE108:DE139" ca="1" si="536">IF(PROFGEBGENE="Goetter",IF(RIGHT(HLOOKUP(PROFGENE,INDIRECT(PROFGEBIET),$CD108,FALSE),1)="N",CONCATENATE(DE107,$A108,","),DE107),IF(AKTIV_SPTWHE,IF(EXACT(UPPER(RIGHT(HLOOKUP(PROFSPTWHE,SPTWHE,$CD108,FALSE))),"N"),CONCATENATE(DE107,$A108,","),DE107),IF(PROFGEBZWEITE="Goetter (BGB)",IF(RIGHT(HLOOKUP(PROFZWEITE,INDIRECT(PROFGEBIET2),$CD108,FALSE),1)="N",CONCATENATE(DE107,$A108,","),DE107),"")))</f>
        <v/>
      </c>
      <c r="DG108" s="269" t="str">
        <f t="shared" ca="1" si="526"/>
        <v>Tabellen_Andere!BA3:BF3</v>
      </c>
      <c r="DH108" s="269" t="str">
        <f t="shared" si="527"/>
        <v>Tabellen_Andere!BA3:BF3</v>
      </c>
      <c r="DI108" s="269" t="str">
        <f ca="1">IF(NOT(ISERR(FIND(A108&amp;" ",Abfragen!$O$264,1))),MID(Abfragen!$O$264,FIND("(",Abfragen!$O$264,FIND(A108,Abfragen!$O$264,1)+LEN(A108))+1,FIND(")",Abfragen!$O$264,FIND(A108,Abfragen!$O$264,1)+LEN(A108))-FIND("(",Abfragen!$O$264,FIND(A108,Abfragen!$O$264,1)+LEN(A108))-1),"")</f>
        <v/>
      </c>
      <c r="DJ108" s="301" t="str">
        <f t="shared" ca="1" si="528"/>
        <v>B</v>
      </c>
      <c r="DK108" s="301" t="str">
        <f t="shared" ca="1" si="528"/>
        <v>B</v>
      </c>
      <c r="DL108" s="301" t="str">
        <f t="shared" ca="1" si="528"/>
        <v>B</v>
      </c>
      <c r="DM108" s="301" t="str">
        <f t="shared" ca="1" si="528"/>
        <v>B</v>
      </c>
      <c r="DN108" s="301" t="str">
        <f t="shared" ca="1" si="528"/>
        <v>B</v>
      </c>
      <c r="DO108" s="301" t="str">
        <f t="shared" ca="1" si="528"/>
        <v>B</v>
      </c>
      <c r="DP108" s="301" t="str">
        <f t="shared" ca="1" si="528"/>
        <v>B</v>
      </c>
      <c r="DQ108" s="301" t="str">
        <f t="shared" ca="1" si="528"/>
        <v>B</v>
      </c>
      <c r="DR108" s="301" t="str">
        <f t="shared" ca="1" si="528"/>
        <v>B</v>
      </c>
      <c r="DS108" s="301" t="str">
        <f t="shared" ca="1" si="528"/>
        <v>B</v>
      </c>
      <c r="DT108" s="301" t="str">
        <f t="shared" ca="1" si="529"/>
        <v>B</v>
      </c>
      <c r="DU108" s="301" t="str">
        <f t="shared" ca="1" si="529"/>
        <v>B</v>
      </c>
      <c r="DV108" s="301" t="str">
        <f t="shared" ca="1" si="529"/>
        <v>B</v>
      </c>
      <c r="DW108" s="301" t="str">
        <f t="shared" ca="1" si="529"/>
        <v>B</v>
      </c>
      <c r="DX108" s="301" t="str">
        <f t="shared" ca="1" si="529"/>
        <v>B</v>
      </c>
      <c r="DY108" s="301" t="str">
        <f t="shared" ca="1" si="529"/>
        <v>B</v>
      </c>
      <c r="DZ108" s="301" t="str">
        <f t="shared" ca="1" si="529"/>
        <v>B</v>
      </c>
      <c r="EA108" s="301" t="str">
        <f t="shared" ca="1" si="529"/>
        <v>B</v>
      </c>
      <c r="EB108" s="301" t="str">
        <f t="shared" ca="1" si="529"/>
        <v>B</v>
      </c>
      <c r="EC108" s="301" t="str">
        <f t="shared" ca="1" si="529"/>
        <v>B</v>
      </c>
      <c r="ED108" s="301" t="str">
        <f t="shared" ca="1" si="529"/>
        <v>B</v>
      </c>
      <c r="EE108" s="301" t="str">
        <f t="shared" ca="1" si="529"/>
        <v>B</v>
      </c>
      <c r="EF108" s="205"/>
      <c r="EG108" s="301" t="str">
        <f t="shared" ca="1" si="530"/>
        <v>B</v>
      </c>
      <c r="EH108" s="301" t="str">
        <f t="shared" ca="1" si="530"/>
        <v>B</v>
      </c>
      <c r="EI108" s="301" t="str">
        <f t="shared" ca="1" si="530"/>
        <v>B</v>
      </c>
      <c r="EJ108" s="301" t="str">
        <f t="shared" ca="1" si="530"/>
        <v>B</v>
      </c>
      <c r="EK108" s="301" t="str">
        <f t="shared" ca="1" si="530"/>
        <v>B</v>
      </c>
      <c r="EL108" s="301" t="str">
        <f t="shared" ca="1" si="530"/>
        <v>B</v>
      </c>
      <c r="EM108" s="301" t="str">
        <f t="shared" ca="1" si="530"/>
        <v>B</v>
      </c>
      <c r="EN108" s="301" t="str">
        <f t="shared" ca="1" si="530"/>
        <v>B</v>
      </c>
      <c r="EO108" s="301" t="str">
        <f t="shared" ca="1" si="530"/>
        <v>B</v>
      </c>
      <c r="EP108" s="301" t="str">
        <f t="shared" ca="1" si="530"/>
        <v>B</v>
      </c>
      <c r="EQ108" s="301" t="str">
        <f t="shared" ca="1" si="531"/>
        <v>B</v>
      </c>
      <c r="ER108" s="301" t="str">
        <f t="shared" ca="1" si="531"/>
        <v>B</v>
      </c>
      <c r="ES108" s="301" t="str">
        <f t="shared" ca="1" si="531"/>
        <v>B</v>
      </c>
      <c r="ET108" s="301" t="str">
        <f t="shared" ca="1" si="531"/>
        <v>B</v>
      </c>
      <c r="EU108" s="301" t="str">
        <f t="shared" ca="1" si="531"/>
        <v>B</v>
      </c>
      <c r="EV108" s="301" t="str">
        <f t="shared" ca="1" si="531"/>
        <v>B</v>
      </c>
      <c r="EW108" s="301" t="str">
        <f t="shared" ca="1" si="531"/>
        <v>B</v>
      </c>
      <c r="EX108" s="301" t="str">
        <f t="shared" ca="1" si="531"/>
        <v>B</v>
      </c>
      <c r="EY108" s="301" t="str">
        <f t="shared" ca="1" si="531"/>
        <v>B</v>
      </c>
      <c r="EZ108" s="301" t="str">
        <f t="shared" ca="1" si="531"/>
        <v>B</v>
      </c>
      <c r="FA108" s="301" t="str">
        <f t="shared" ca="1" si="532"/>
        <v>B</v>
      </c>
      <c r="FB108" s="301" t="str">
        <f t="shared" ca="1" si="532"/>
        <v>B</v>
      </c>
      <c r="FC108" s="301" t="str">
        <f t="shared" ca="1" si="532"/>
        <v>B</v>
      </c>
      <c r="FD108" s="301" t="str">
        <f t="shared" ca="1" si="532"/>
        <v>B</v>
      </c>
      <c r="FE108" s="301" t="str">
        <f t="shared" ca="1" si="532"/>
        <v>B</v>
      </c>
      <c r="FF108" s="301" t="str">
        <f t="shared" ca="1" si="532"/>
        <v>B</v>
      </c>
      <c r="FG108" s="301" t="str">
        <f t="shared" ca="1" si="532"/>
        <v>B</v>
      </c>
      <c r="FH108" s="301" t="str">
        <f t="shared" ca="1" si="532"/>
        <v>B</v>
      </c>
      <c r="FI108" s="301" t="str">
        <f t="shared" ca="1" si="532"/>
        <v>B</v>
      </c>
      <c r="FJ108" s="301" t="str">
        <f t="shared" ca="1" si="532"/>
        <v>B</v>
      </c>
      <c r="FK108" s="301" t="str">
        <f t="shared" ca="1" si="532"/>
        <v>B</v>
      </c>
      <c r="FL108" s="301" t="str">
        <f t="shared" ca="1" si="532"/>
        <v>B</v>
      </c>
    </row>
    <row r="109" spans="1:168" x14ac:dyDescent="0.2">
      <c r="A109" s="38" t="str">
        <f t="shared" si="533"/>
        <v>Alchimie</v>
      </c>
      <c r="B109" s="317" t="str">
        <f t="shared" ca="1" si="448"/>
        <v/>
      </c>
      <c r="C109" s="332" t="str">
        <f t="shared" ca="1" si="449"/>
        <v/>
      </c>
      <c r="D109" s="1110"/>
      <c r="E109" s="966"/>
      <c r="F109" s="325"/>
      <c r="G109" s="958"/>
      <c r="H109" s="1196"/>
      <c r="I109" s="326"/>
      <c r="J109" s="1886" t="str">
        <f t="shared" ca="1" si="450"/>
        <v/>
      </c>
      <c r="K109" s="1887"/>
      <c r="L109" s="1887"/>
      <c r="M109" s="1887"/>
      <c r="N109" s="1888"/>
      <c r="O109" s="613" t="str">
        <f t="shared" ca="1" si="451"/>
        <v/>
      </c>
      <c r="P109" s="90"/>
      <c r="Q109" s="25"/>
      <c r="R109" s="1067"/>
      <c r="S109" s="1313"/>
      <c r="T109" s="1315"/>
      <c r="U109" s="1283"/>
      <c r="V109" s="628" t="str">
        <f t="shared" ca="1" si="452"/>
        <v/>
      </c>
      <c r="W109" s="164">
        <f t="shared" ca="1" si="453"/>
        <v>0</v>
      </c>
      <c r="X109" s="164">
        <f t="shared" ca="1" si="454"/>
        <v>0</v>
      </c>
      <c r="Y109" s="164">
        <f t="shared" ca="1" si="455"/>
        <v>0</v>
      </c>
      <c r="Z109" s="164">
        <f t="shared" ca="1" si="456"/>
        <v>0</v>
      </c>
      <c r="AA109" s="164">
        <f t="shared" ca="1" si="457"/>
        <v>0</v>
      </c>
      <c r="AB109" s="164">
        <f t="shared" ca="1" si="458"/>
        <v>0</v>
      </c>
      <c r="AC109" s="164">
        <f t="shared" ca="1" si="459"/>
        <v>0</v>
      </c>
      <c r="AD109" s="164">
        <f t="shared" ca="1" si="460"/>
        <v>0</v>
      </c>
      <c r="AE109" s="164">
        <f t="shared" ca="1" si="461"/>
        <v>0</v>
      </c>
      <c r="AF109" s="164">
        <f t="shared" ca="1" si="462"/>
        <v>0</v>
      </c>
      <c r="AG109" s="164">
        <f t="shared" ca="1" si="463"/>
        <v>0</v>
      </c>
      <c r="AH109" s="164">
        <f t="shared" ca="1" si="464"/>
        <v>0</v>
      </c>
      <c r="AI109" s="164">
        <f t="shared" ca="1" si="465"/>
        <v>0</v>
      </c>
      <c r="AJ109" s="164">
        <f t="shared" ca="1" si="466"/>
        <v>0</v>
      </c>
      <c r="AK109" s="164">
        <f t="shared" ca="1" si="467"/>
        <v>0</v>
      </c>
      <c r="AL109" s="164">
        <f t="shared" ca="1" si="468"/>
        <v>0</v>
      </c>
      <c r="AM109" s="164">
        <f t="shared" ca="1" si="469"/>
        <v>0</v>
      </c>
      <c r="AN109" s="164">
        <f t="shared" ca="1" si="470"/>
        <v>0</v>
      </c>
      <c r="AO109" s="164">
        <f t="shared" ca="1" si="471"/>
        <v>0</v>
      </c>
      <c r="AP109" s="164">
        <f t="shared" ca="1" si="472"/>
        <v>0</v>
      </c>
      <c r="AQ109" s="164">
        <f t="shared" ca="1" si="473"/>
        <v>0</v>
      </c>
      <c r="AR109" s="164">
        <f t="shared" ca="1" si="474"/>
        <v>0</v>
      </c>
      <c r="AS109" s="195"/>
      <c r="AT109" s="154">
        <f t="shared" ca="1" si="475"/>
        <v>0</v>
      </c>
      <c r="AU109" s="154">
        <f t="shared" ca="1" si="476"/>
        <v>0</v>
      </c>
      <c r="AV109" s="154">
        <f t="shared" ca="1" si="477"/>
        <v>0</v>
      </c>
      <c r="AW109" s="154">
        <f t="shared" ca="1" si="478"/>
        <v>0</v>
      </c>
      <c r="AX109" s="154">
        <f t="shared" ca="1" si="479"/>
        <v>0</v>
      </c>
      <c r="AY109" s="154">
        <f t="shared" ca="1" si="480"/>
        <v>0</v>
      </c>
      <c r="AZ109" s="154">
        <f t="shared" ca="1" si="481"/>
        <v>0</v>
      </c>
      <c r="BA109" s="154">
        <f t="shared" ca="1" si="482"/>
        <v>0</v>
      </c>
      <c r="BB109" s="154">
        <f t="shared" ca="1" si="483"/>
        <v>0</v>
      </c>
      <c r="BC109" s="154">
        <f t="shared" ca="1" si="484"/>
        <v>0</v>
      </c>
      <c r="BD109" s="154">
        <f t="shared" ca="1" si="485"/>
        <v>0</v>
      </c>
      <c r="BE109" s="154">
        <f t="shared" ca="1" si="486"/>
        <v>0</v>
      </c>
      <c r="BF109" s="154">
        <f t="shared" ca="1" si="487"/>
        <v>0</v>
      </c>
      <c r="BG109" s="154">
        <f t="shared" ca="1" si="488"/>
        <v>0</v>
      </c>
      <c r="BH109" s="154">
        <f t="shared" ca="1" si="489"/>
        <v>0</v>
      </c>
      <c r="BI109" s="154">
        <f t="shared" ca="1" si="490"/>
        <v>0</v>
      </c>
      <c r="BJ109" s="154">
        <f t="shared" ca="1" si="491"/>
        <v>0</v>
      </c>
      <c r="BK109" s="154">
        <f t="shared" ca="1" si="492"/>
        <v>0</v>
      </c>
      <c r="BL109" s="154">
        <f t="shared" ca="1" si="493"/>
        <v>0</v>
      </c>
      <c r="BM109" s="154">
        <f t="shared" ca="1" si="494"/>
        <v>0</v>
      </c>
      <c r="BN109" s="154">
        <f t="shared" ca="1" si="495"/>
        <v>0</v>
      </c>
      <c r="BO109" s="154">
        <f t="shared" ca="1" si="496"/>
        <v>0</v>
      </c>
      <c r="BP109" s="154">
        <f t="shared" ca="1" si="497"/>
        <v>0</v>
      </c>
      <c r="BQ109" s="154">
        <f t="shared" ca="1" si="498"/>
        <v>0</v>
      </c>
      <c r="BR109" s="154">
        <f t="shared" ca="1" si="499"/>
        <v>0</v>
      </c>
      <c r="BS109" s="154">
        <f t="shared" ca="1" si="500"/>
        <v>0</v>
      </c>
      <c r="BT109" s="154">
        <f t="shared" ca="1" si="501"/>
        <v>0</v>
      </c>
      <c r="BU109" s="154">
        <f t="shared" ca="1" si="502"/>
        <v>0</v>
      </c>
      <c r="BV109" s="154">
        <f t="shared" ca="1" si="503"/>
        <v>0</v>
      </c>
      <c r="BW109" s="154">
        <f t="shared" ca="1" si="504"/>
        <v>0</v>
      </c>
      <c r="BX109" s="154">
        <f t="shared" ca="1" si="505"/>
        <v>0</v>
      </c>
      <c r="BY109" s="154">
        <f t="shared" ca="1" si="506"/>
        <v>0</v>
      </c>
      <c r="BZ109" s="154">
        <f t="shared" si="507"/>
        <v>0</v>
      </c>
      <c r="CA109" s="154">
        <f t="shared" si="508"/>
        <v>0</v>
      </c>
      <c r="CB109" s="154">
        <f t="shared" ca="1" si="509"/>
        <v>0</v>
      </c>
      <c r="CC109" s="523"/>
      <c r="CD109" s="355">
        <f t="shared" si="510"/>
        <v>133</v>
      </c>
      <c r="CE109" s="751" t="str">
        <f t="shared" ca="1" si="511"/>
        <v>B</v>
      </c>
      <c r="CF109" s="355" t="str">
        <f t="shared" ca="1" si="534"/>
        <v/>
      </c>
      <c r="CG109" s="268"/>
      <c r="CH109" s="268"/>
      <c r="CI109" s="269">
        <f t="shared" ca="1" si="512"/>
        <v>0</v>
      </c>
      <c r="CJ109" s="269">
        <f t="shared" ca="1" si="513"/>
        <v>0</v>
      </c>
      <c r="CK109" s="268"/>
      <c r="CL109" s="268"/>
      <c r="CM109" s="268">
        <f t="shared" ca="1" si="327"/>
        <v>0</v>
      </c>
      <c r="CN109" s="269">
        <f t="shared" ca="1" si="328"/>
        <v>0</v>
      </c>
      <c r="CO109" s="268" t="str">
        <f t="shared" ca="1" si="514"/>
        <v>B</v>
      </c>
      <c r="CP109" s="269" t="b">
        <f t="shared" ca="1" si="515"/>
        <v>1</v>
      </c>
      <c r="CQ109" s="269">
        <f t="shared" si="516"/>
        <v>0</v>
      </c>
      <c r="CR109" s="269">
        <f t="shared" si="517"/>
        <v>0</v>
      </c>
      <c r="CS109" s="269">
        <f t="shared" ca="1" si="518"/>
        <v>0</v>
      </c>
      <c r="CT109" s="302" t="str">
        <f t="shared" ca="1" si="519"/>
        <v>0</v>
      </c>
      <c r="CU109" s="269">
        <f t="shared" ca="1" si="520"/>
        <v>0</v>
      </c>
      <c r="CV109" s="268"/>
      <c r="CW109" s="269">
        <f t="shared" ca="1" si="521"/>
        <v>0</v>
      </c>
      <c r="CX109" s="301">
        <f t="shared" ca="1" si="522"/>
        <v>0</v>
      </c>
      <c r="CY109" s="301">
        <f t="shared" ca="1" si="329"/>
        <v>0</v>
      </c>
      <c r="CZ109" s="301">
        <f t="shared" ca="1" si="523"/>
        <v>0</v>
      </c>
      <c r="DA109" s="301">
        <f t="shared" ca="1" si="524"/>
        <v>0</v>
      </c>
      <c r="DB109" t="str">
        <f ca="1">IF(AND(NOT(AND(ISBLANK($G109),ISBLANK($I109))),OR($O$246&lt;4,$O$97&lt;4)),"L/S &amp; Rechnen 4+",IF(AND(NOT(ISBLANK($F109)),$F109&lt;=$B109),"TaW SE zu klein",""))</f>
        <v/>
      </c>
      <c r="DC109" s="301" t="str">
        <f t="shared" ca="1" si="525"/>
        <v/>
      </c>
      <c r="DD109" s="1337" t="str">
        <f t="shared" ca="1" si="535"/>
        <v/>
      </c>
      <c r="DE109" s="1337" t="str">
        <f t="shared" ca="1" si="536"/>
        <v/>
      </c>
      <c r="DG109" s="269" t="str">
        <f t="shared" ca="1" si="526"/>
        <v>Tabellen_Andere!BA5:BF5</v>
      </c>
      <c r="DH109" s="269" t="str">
        <f t="shared" si="527"/>
        <v>Tabellen_Andere!BA5:BF5</v>
      </c>
      <c r="DI109" s="269" t="str">
        <f ca="1">IF(NOT(ISERR(FIND(A109&amp;" ",Abfragen!$O$264,1))),MID(Abfragen!$O$264,FIND("(",Abfragen!$O$264,FIND(A109,Abfragen!$O$264,1)+LEN(A109))+1,FIND(")",Abfragen!$O$264,FIND(A109,Abfragen!$O$264,1)+LEN(A109))-FIND("(",Abfragen!$O$264,FIND(A109,Abfragen!$O$264,1)+LEN(A109))-1),"")</f>
        <v/>
      </c>
      <c r="DJ109" s="301" t="str">
        <f t="shared" ca="1" si="528"/>
        <v>B</v>
      </c>
      <c r="DK109" s="301" t="str">
        <f t="shared" ca="1" si="528"/>
        <v>B</v>
      </c>
      <c r="DL109" s="301" t="str">
        <f t="shared" ca="1" si="528"/>
        <v>B</v>
      </c>
      <c r="DM109" s="301" t="str">
        <f t="shared" ca="1" si="528"/>
        <v>B</v>
      </c>
      <c r="DN109" s="301" t="str">
        <f t="shared" ca="1" si="528"/>
        <v>B</v>
      </c>
      <c r="DO109" s="301" t="str">
        <f t="shared" ca="1" si="528"/>
        <v>B</v>
      </c>
      <c r="DP109" s="301" t="str">
        <f t="shared" ca="1" si="528"/>
        <v>B</v>
      </c>
      <c r="DQ109" s="301" t="str">
        <f t="shared" ca="1" si="528"/>
        <v>B</v>
      </c>
      <c r="DR109" s="301" t="str">
        <f t="shared" ca="1" si="528"/>
        <v>B</v>
      </c>
      <c r="DS109" s="301" t="str">
        <f t="shared" ca="1" si="528"/>
        <v>B</v>
      </c>
      <c r="DT109" s="301" t="str">
        <f t="shared" ca="1" si="529"/>
        <v>B</v>
      </c>
      <c r="DU109" s="301" t="str">
        <f t="shared" ca="1" si="529"/>
        <v>B</v>
      </c>
      <c r="DV109" s="301" t="str">
        <f t="shared" ca="1" si="529"/>
        <v>B</v>
      </c>
      <c r="DW109" s="301" t="str">
        <f t="shared" ca="1" si="529"/>
        <v>B</v>
      </c>
      <c r="DX109" s="301" t="str">
        <f t="shared" ca="1" si="529"/>
        <v>B</v>
      </c>
      <c r="DY109" s="301" t="str">
        <f t="shared" ca="1" si="529"/>
        <v>B</v>
      </c>
      <c r="DZ109" s="301" t="str">
        <f t="shared" ca="1" si="529"/>
        <v>B</v>
      </c>
      <c r="EA109" s="301" t="str">
        <f t="shared" ca="1" si="529"/>
        <v>B</v>
      </c>
      <c r="EB109" s="301" t="str">
        <f t="shared" ca="1" si="529"/>
        <v>B</v>
      </c>
      <c r="EC109" s="301" t="str">
        <f t="shared" ca="1" si="529"/>
        <v>B</v>
      </c>
      <c r="ED109" s="301" t="str">
        <f t="shared" ca="1" si="529"/>
        <v>B</v>
      </c>
      <c r="EE109" s="301" t="str">
        <f t="shared" ca="1" si="529"/>
        <v>B</v>
      </c>
      <c r="EF109" s="205"/>
      <c r="EG109" s="301" t="str">
        <f t="shared" ca="1" si="530"/>
        <v>B</v>
      </c>
      <c r="EH109" s="301" t="str">
        <f t="shared" ca="1" si="530"/>
        <v>B</v>
      </c>
      <c r="EI109" s="301" t="str">
        <f t="shared" ca="1" si="530"/>
        <v>B</v>
      </c>
      <c r="EJ109" s="301" t="str">
        <f t="shared" ca="1" si="530"/>
        <v>B</v>
      </c>
      <c r="EK109" s="301" t="str">
        <f t="shared" ca="1" si="530"/>
        <v>B</v>
      </c>
      <c r="EL109" s="301" t="str">
        <f t="shared" ca="1" si="530"/>
        <v>B</v>
      </c>
      <c r="EM109" s="301" t="str">
        <f t="shared" ca="1" si="530"/>
        <v>B</v>
      </c>
      <c r="EN109" s="301" t="str">
        <f t="shared" ca="1" si="530"/>
        <v>B</v>
      </c>
      <c r="EO109" s="301" t="str">
        <f t="shared" ca="1" si="530"/>
        <v>B</v>
      </c>
      <c r="EP109" s="301" t="str">
        <f t="shared" ca="1" si="530"/>
        <v>B</v>
      </c>
      <c r="EQ109" s="301" t="str">
        <f t="shared" ca="1" si="531"/>
        <v>B</v>
      </c>
      <c r="ER109" s="301" t="str">
        <f t="shared" ca="1" si="531"/>
        <v>B</v>
      </c>
      <c r="ES109" s="301" t="str">
        <f t="shared" ca="1" si="531"/>
        <v>B</v>
      </c>
      <c r="ET109" s="301" t="str">
        <f t="shared" ca="1" si="531"/>
        <v>B</v>
      </c>
      <c r="EU109" s="301" t="str">
        <f t="shared" ca="1" si="531"/>
        <v>B</v>
      </c>
      <c r="EV109" s="301" t="str">
        <f t="shared" ca="1" si="531"/>
        <v>B</v>
      </c>
      <c r="EW109" s="301" t="str">
        <f t="shared" ca="1" si="531"/>
        <v>B</v>
      </c>
      <c r="EX109" s="301" t="str">
        <f t="shared" ca="1" si="531"/>
        <v>B</v>
      </c>
      <c r="EY109" s="301" t="str">
        <f t="shared" ca="1" si="531"/>
        <v>B</v>
      </c>
      <c r="EZ109" s="301" t="str">
        <f t="shared" ca="1" si="531"/>
        <v>B</v>
      </c>
      <c r="FA109" s="301" t="str">
        <f t="shared" ca="1" si="532"/>
        <v>B</v>
      </c>
      <c r="FB109" s="301" t="str">
        <f t="shared" ca="1" si="532"/>
        <v>B</v>
      </c>
      <c r="FC109" s="301" t="str">
        <f t="shared" ca="1" si="532"/>
        <v>B</v>
      </c>
      <c r="FD109" s="301" t="str">
        <f t="shared" ca="1" si="532"/>
        <v>B</v>
      </c>
      <c r="FE109" s="301" t="str">
        <f t="shared" ca="1" si="532"/>
        <v>B</v>
      </c>
      <c r="FF109" s="301" t="str">
        <f t="shared" ca="1" si="532"/>
        <v>B</v>
      </c>
      <c r="FG109" s="301" t="str">
        <f t="shared" ca="1" si="532"/>
        <v>B</v>
      </c>
      <c r="FH109" s="301" t="str">
        <f t="shared" ca="1" si="532"/>
        <v>B</v>
      </c>
      <c r="FI109" s="301" t="str">
        <f t="shared" ca="1" si="532"/>
        <v>B</v>
      </c>
      <c r="FJ109" s="301" t="str">
        <f t="shared" ca="1" si="532"/>
        <v>B</v>
      </c>
      <c r="FK109" s="301" t="str">
        <f t="shared" ca="1" si="532"/>
        <v>B</v>
      </c>
      <c r="FL109" s="301" t="str">
        <f t="shared" ca="1" si="532"/>
        <v>B</v>
      </c>
    </row>
    <row r="110" spans="1:168" x14ac:dyDescent="0.2">
      <c r="A110" s="38" t="str">
        <f t="shared" si="533"/>
        <v>Bergbau</v>
      </c>
      <c r="B110" s="317" t="str">
        <f t="shared" ca="1" si="448"/>
        <v/>
      </c>
      <c r="C110" s="332" t="str">
        <f t="shared" ca="1" si="449"/>
        <v/>
      </c>
      <c r="D110" s="1110"/>
      <c r="E110" s="966"/>
      <c r="F110" s="325"/>
      <c r="G110" s="958"/>
      <c r="H110" s="1196"/>
      <c r="I110" s="326"/>
      <c r="J110" s="1886" t="str">
        <f t="shared" ca="1" si="450"/>
        <v/>
      </c>
      <c r="K110" s="1887"/>
      <c r="L110" s="1887"/>
      <c r="M110" s="1887"/>
      <c r="N110" s="1888"/>
      <c r="O110" s="613" t="str">
        <f t="shared" ca="1" si="451"/>
        <v/>
      </c>
      <c r="P110" s="90"/>
      <c r="Q110" s="25"/>
      <c r="R110" s="1313"/>
      <c r="S110" s="1313"/>
      <c r="T110" s="1315"/>
      <c r="U110" s="1283"/>
      <c r="V110" s="628" t="str">
        <f t="shared" ca="1" si="452"/>
        <v/>
      </c>
      <c r="W110" s="164">
        <f t="shared" ca="1" si="453"/>
        <v>0</v>
      </c>
      <c r="X110" s="164">
        <f t="shared" ca="1" si="454"/>
        <v>0</v>
      </c>
      <c r="Y110" s="164">
        <f t="shared" ca="1" si="455"/>
        <v>0</v>
      </c>
      <c r="Z110" s="164">
        <f t="shared" ca="1" si="456"/>
        <v>0</v>
      </c>
      <c r="AA110" s="164">
        <f t="shared" ca="1" si="457"/>
        <v>0</v>
      </c>
      <c r="AB110" s="164">
        <f t="shared" ca="1" si="458"/>
        <v>0</v>
      </c>
      <c r="AC110" s="164">
        <f t="shared" ca="1" si="459"/>
        <v>0</v>
      </c>
      <c r="AD110" s="164">
        <f t="shared" ca="1" si="460"/>
        <v>0</v>
      </c>
      <c r="AE110" s="164">
        <f t="shared" ca="1" si="461"/>
        <v>0</v>
      </c>
      <c r="AF110" s="164">
        <f t="shared" ca="1" si="462"/>
        <v>0</v>
      </c>
      <c r="AG110" s="164">
        <f t="shared" ca="1" si="463"/>
        <v>0</v>
      </c>
      <c r="AH110" s="164">
        <f t="shared" ca="1" si="464"/>
        <v>0</v>
      </c>
      <c r="AI110" s="164">
        <f t="shared" ca="1" si="465"/>
        <v>0</v>
      </c>
      <c r="AJ110" s="164">
        <f t="shared" ca="1" si="466"/>
        <v>0</v>
      </c>
      <c r="AK110" s="164">
        <f t="shared" ca="1" si="467"/>
        <v>0</v>
      </c>
      <c r="AL110" s="164">
        <f t="shared" ca="1" si="468"/>
        <v>0</v>
      </c>
      <c r="AM110" s="164">
        <f t="shared" ca="1" si="469"/>
        <v>0</v>
      </c>
      <c r="AN110" s="164">
        <f t="shared" ca="1" si="470"/>
        <v>0</v>
      </c>
      <c r="AO110" s="164">
        <f t="shared" ca="1" si="471"/>
        <v>0</v>
      </c>
      <c r="AP110" s="164">
        <f t="shared" ca="1" si="472"/>
        <v>0</v>
      </c>
      <c r="AQ110" s="164">
        <f t="shared" ca="1" si="473"/>
        <v>0</v>
      </c>
      <c r="AR110" s="164">
        <f t="shared" ca="1" si="474"/>
        <v>0</v>
      </c>
      <c r="AS110" s="195"/>
      <c r="AT110" s="154">
        <f t="shared" ca="1" si="475"/>
        <v>0</v>
      </c>
      <c r="AU110" s="154">
        <f t="shared" ca="1" si="476"/>
        <v>0</v>
      </c>
      <c r="AV110" s="154">
        <f t="shared" ca="1" si="477"/>
        <v>0</v>
      </c>
      <c r="AW110" s="154">
        <f t="shared" ca="1" si="478"/>
        <v>0</v>
      </c>
      <c r="AX110" s="154">
        <f t="shared" ca="1" si="479"/>
        <v>0</v>
      </c>
      <c r="AY110" s="154">
        <f t="shared" ca="1" si="480"/>
        <v>0</v>
      </c>
      <c r="AZ110" s="154">
        <f t="shared" ca="1" si="481"/>
        <v>0</v>
      </c>
      <c r="BA110" s="154">
        <f t="shared" ca="1" si="482"/>
        <v>0</v>
      </c>
      <c r="BB110" s="154">
        <f t="shared" ca="1" si="483"/>
        <v>0</v>
      </c>
      <c r="BC110" s="154">
        <f t="shared" ca="1" si="484"/>
        <v>0</v>
      </c>
      <c r="BD110" s="154">
        <f t="shared" ca="1" si="485"/>
        <v>0</v>
      </c>
      <c r="BE110" s="154">
        <f t="shared" ca="1" si="486"/>
        <v>0</v>
      </c>
      <c r="BF110" s="154">
        <f t="shared" ca="1" si="487"/>
        <v>0</v>
      </c>
      <c r="BG110" s="154">
        <f t="shared" ca="1" si="488"/>
        <v>0</v>
      </c>
      <c r="BH110" s="154">
        <f t="shared" ca="1" si="489"/>
        <v>0</v>
      </c>
      <c r="BI110" s="154">
        <f t="shared" ca="1" si="490"/>
        <v>0</v>
      </c>
      <c r="BJ110" s="154">
        <f t="shared" ca="1" si="491"/>
        <v>0</v>
      </c>
      <c r="BK110" s="154">
        <f t="shared" ca="1" si="492"/>
        <v>0</v>
      </c>
      <c r="BL110" s="154">
        <f t="shared" ca="1" si="493"/>
        <v>0</v>
      </c>
      <c r="BM110" s="154">
        <f t="shared" ca="1" si="494"/>
        <v>0</v>
      </c>
      <c r="BN110" s="154">
        <f t="shared" ca="1" si="495"/>
        <v>0</v>
      </c>
      <c r="BO110" s="154">
        <f t="shared" ca="1" si="496"/>
        <v>0</v>
      </c>
      <c r="BP110" s="154">
        <f t="shared" ca="1" si="497"/>
        <v>0</v>
      </c>
      <c r="BQ110" s="154">
        <f t="shared" ca="1" si="498"/>
        <v>0</v>
      </c>
      <c r="BR110" s="154">
        <f t="shared" ca="1" si="499"/>
        <v>0</v>
      </c>
      <c r="BS110" s="154">
        <f t="shared" ca="1" si="500"/>
        <v>0</v>
      </c>
      <c r="BT110" s="154">
        <f t="shared" ca="1" si="501"/>
        <v>0</v>
      </c>
      <c r="BU110" s="154">
        <f t="shared" ca="1" si="502"/>
        <v>0</v>
      </c>
      <c r="BV110" s="154">
        <f t="shared" ca="1" si="503"/>
        <v>0</v>
      </c>
      <c r="BW110" s="154">
        <f t="shared" ca="1" si="504"/>
        <v>0</v>
      </c>
      <c r="BX110" s="154">
        <f t="shared" ca="1" si="505"/>
        <v>0</v>
      </c>
      <c r="BY110" s="154">
        <f t="shared" ca="1" si="506"/>
        <v>0</v>
      </c>
      <c r="BZ110" s="154">
        <f t="shared" si="507"/>
        <v>0</v>
      </c>
      <c r="CA110" s="154">
        <f t="shared" si="508"/>
        <v>0</v>
      </c>
      <c r="CB110" s="154">
        <f t="shared" ca="1" si="509"/>
        <v>0</v>
      </c>
      <c r="CC110" s="523"/>
      <c r="CD110" s="355">
        <f t="shared" si="510"/>
        <v>134</v>
      </c>
      <c r="CE110" s="751" t="str">
        <f t="shared" ca="1" si="511"/>
        <v>B</v>
      </c>
      <c r="CF110" s="355" t="str">
        <f t="shared" ca="1" si="534"/>
        <v/>
      </c>
      <c r="CG110" s="268"/>
      <c r="CH110" s="268"/>
      <c r="CI110" s="269">
        <f t="shared" ca="1" si="512"/>
        <v>0</v>
      </c>
      <c r="CJ110" s="269">
        <f t="shared" ca="1" si="513"/>
        <v>0</v>
      </c>
      <c r="CK110" s="268"/>
      <c r="CL110" s="268"/>
      <c r="CM110" s="268">
        <f t="shared" ca="1" si="327"/>
        <v>0</v>
      </c>
      <c r="CN110" s="269">
        <f t="shared" ca="1" si="328"/>
        <v>0</v>
      </c>
      <c r="CO110" s="268" t="str">
        <f t="shared" ca="1" si="514"/>
        <v>B</v>
      </c>
      <c r="CP110" s="269" t="b">
        <f t="shared" ca="1" si="515"/>
        <v>1</v>
      </c>
      <c r="CQ110" s="269">
        <f t="shared" si="516"/>
        <v>0</v>
      </c>
      <c r="CR110" s="269">
        <f t="shared" si="517"/>
        <v>0</v>
      </c>
      <c r="CS110" s="269">
        <f t="shared" ca="1" si="518"/>
        <v>0</v>
      </c>
      <c r="CT110" s="302" t="str">
        <f t="shared" ca="1" si="519"/>
        <v>0</v>
      </c>
      <c r="CU110" s="269">
        <f t="shared" ca="1" si="520"/>
        <v>0</v>
      </c>
      <c r="CV110" s="268"/>
      <c r="CW110" s="269">
        <f t="shared" ca="1" si="521"/>
        <v>0</v>
      </c>
      <c r="CX110" s="301">
        <f t="shared" ca="1" si="522"/>
        <v>0</v>
      </c>
      <c r="CY110" s="301">
        <f t="shared" ca="1" si="329"/>
        <v>0</v>
      </c>
      <c r="CZ110" s="301">
        <f t="shared" ca="1" si="523"/>
        <v>0</v>
      </c>
      <c r="DA110" s="301">
        <f t="shared" ca="1" si="524"/>
        <v>0</v>
      </c>
      <c r="DB110" t="str">
        <f ca="1">IF(AND(NOT(AND(ISBLANK($G110),ISBLANK($I110))),IF($O$87="",TRUE,$O$87&lt;4),SUM(B110,G110,I110)&gt;=10),"Gesteinskunde 4+",IF(AND(NOT(ISBLANK($F110)),$F110&lt;=$B110),"TaW SE zu klein",""))</f>
        <v/>
      </c>
      <c r="DC110" s="301" t="str">
        <f t="shared" ca="1" si="525"/>
        <v/>
      </c>
      <c r="DD110" s="1337" t="str">
        <f t="shared" ca="1" si="535"/>
        <v/>
      </c>
      <c r="DE110" s="1337" t="str">
        <f t="shared" ca="1" si="536"/>
        <v/>
      </c>
      <c r="DG110" s="269" t="str">
        <f t="shared" ca="1" si="526"/>
        <v>Tabellen_Andere!BA12:BF12</v>
      </c>
      <c r="DH110" s="269" t="str">
        <f t="shared" si="527"/>
        <v>Tabellen_Andere!BA12:BF12</v>
      </c>
      <c r="DI110" s="269" t="str">
        <f ca="1">IF(NOT(ISERR(FIND(A110&amp;" ",Abfragen!$O$264,1))),MID(Abfragen!$O$264,FIND("(",Abfragen!$O$264,FIND(A110,Abfragen!$O$264,1)+LEN(A110))+1,FIND(")",Abfragen!$O$264,FIND(A110,Abfragen!$O$264,1)+LEN(A110))-FIND("(",Abfragen!$O$264,FIND(A110,Abfragen!$O$264,1)+LEN(A110))-1),"")</f>
        <v/>
      </c>
      <c r="DJ110" s="301" t="str">
        <f t="shared" ca="1" si="528"/>
        <v>B</v>
      </c>
      <c r="DK110" s="301" t="str">
        <f t="shared" ca="1" si="528"/>
        <v>B</v>
      </c>
      <c r="DL110" s="301" t="str">
        <f t="shared" ca="1" si="528"/>
        <v>B</v>
      </c>
      <c r="DM110" s="301" t="str">
        <f t="shared" ca="1" si="528"/>
        <v>B</v>
      </c>
      <c r="DN110" s="301" t="str">
        <f t="shared" ca="1" si="528"/>
        <v>B</v>
      </c>
      <c r="DO110" s="301" t="str">
        <f t="shared" ca="1" si="528"/>
        <v>B</v>
      </c>
      <c r="DP110" s="301" t="str">
        <f t="shared" ca="1" si="528"/>
        <v>B</v>
      </c>
      <c r="DQ110" s="301" t="str">
        <f t="shared" ca="1" si="528"/>
        <v>B</v>
      </c>
      <c r="DR110" s="301" t="str">
        <f t="shared" ca="1" si="528"/>
        <v>B</v>
      </c>
      <c r="DS110" s="301" t="str">
        <f t="shared" ca="1" si="528"/>
        <v>B</v>
      </c>
      <c r="DT110" s="301" t="str">
        <f t="shared" ca="1" si="529"/>
        <v>B</v>
      </c>
      <c r="DU110" s="301" t="str">
        <f t="shared" ca="1" si="529"/>
        <v>B</v>
      </c>
      <c r="DV110" s="301" t="str">
        <f t="shared" ca="1" si="529"/>
        <v>B</v>
      </c>
      <c r="DW110" s="301" t="str">
        <f t="shared" ca="1" si="529"/>
        <v>B</v>
      </c>
      <c r="DX110" s="301" t="str">
        <f t="shared" ca="1" si="529"/>
        <v>B</v>
      </c>
      <c r="DY110" s="301" t="str">
        <f t="shared" ca="1" si="529"/>
        <v>B</v>
      </c>
      <c r="DZ110" s="301" t="str">
        <f t="shared" ca="1" si="529"/>
        <v>B</v>
      </c>
      <c r="EA110" s="301" t="str">
        <f t="shared" ca="1" si="529"/>
        <v>B</v>
      </c>
      <c r="EB110" s="301" t="str">
        <f t="shared" ca="1" si="529"/>
        <v>B</v>
      </c>
      <c r="EC110" s="301" t="str">
        <f t="shared" ca="1" si="529"/>
        <v>B</v>
      </c>
      <c r="ED110" s="301" t="str">
        <f t="shared" ca="1" si="529"/>
        <v>B</v>
      </c>
      <c r="EE110" s="301" t="str">
        <f t="shared" ca="1" si="529"/>
        <v>B</v>
      </c>
      <c r="EF110" s="205"/>
      <c r="EG110" s="301" t="str">
        <f t="shared" ca="1" si="530"/>
        <v>B</v>
      </c>
      <c r="EH110" s="301" t="str">
        <f t="shared" ca="1" si="530"/>
        <v>B</v>
      </c>
      <c r="EI110" s="301" t="str">
        <f t="shared" ca="1" si="530"/>
        <v>B</v>
      </c>
      <c r="EJ110" s="301" t="str">
        <f t="shared" ca="1" si="530"/>
        <v>B</v>
      </c>
      <c r="EK110" s="301" t="str">
        <f t="shared" ca="1" si="530"/>
        <v>B</v>
      </c>
      <c r="EL110" s="301" t="str">
        <f t="shared" ca="1" si="530"/>
        <v>B</v>
      </c>
      <c r="EM110" s="301" t="str">
        <f t="shared" ca="1" si="530"/>
        <v>B</v>
      </c>
      <c r="EN110" s="301" t="str">
        <f t="shared" ca="1" si="530"/>
        <v>B</v>
      </c>
      <c r="EO110" s="301" t="str">
        <f t="shared" ca="1" si="530"/>
        <v>B</v>
      </c>
      <c r="EP110" s="301" t="str">
        <f t="shared" ca="1" si="530"/>
        <v>B</v>
      </c>
      <c r="EQ110" s="301" t="str">
        <f t="shared" ca="1" si="531"/>
        <v>B</v>
      </c>
      <c r="ER110" s="301" t="str">
        <f t="shared" ca="1" si="531"/>
        <v>B</v>
      </c>
      <c r="ES110" s="301" t="str">
        <f t="shared" ca="1" si="531"/>
        <v>B</v>
      </c>
      <c r="ET110" s="301" t="str">
        <f t="shared" ca="1" si="531"/>
        <v>B</v>
      </c>
      <c r="EU110" s="301" t="str">
        <f t="shared" ca="1" si="531"/>
        <v>B</v>
      </c>
      <c r="EV110" s="301" t="str">
        <f t="shared" ca="1" si="531"/>
        <v>B</v>
      </c>
      <c r="EW110" s="301" t="str">
        <f t="shared" ca="1" si="531"/>
        <v>B</v>
      </c>
      <c r="EX110" s="301" t="str">
        <f t="shared" ca="1" si="531"/>
        <v>B</v>
      </c>
      <c r="EY110" s="301" t="str">
        <f t="shared" ca="1" si="531"/>
        <v>B</v>
      </c>
      <c r="EZ110" s="301" t="str">
        <f t="shared" ca="1" si="531"/>
        <v>B</v>
      </c>
      <c r="FA110" s="301" t="str">
        <f t="shared" ca="1" si="532"/>
        <v>B</v>
      </c>
      <c r="FB110" s="301" t="str">
        <f t="shared" ca="1" si="532"/>
        <v>B</v>
      </c>
      <c r="FC110" s="301" t="str">
        <f t="shared" ca="1" si="532"/>
        <v>B</v>
      </c>
      <c r="FD110" s="301" t="str">
        <f t="shared" ca="1" si="532"/>
        <v>B</v>
      </c>
      <c r="FE110" s="301" t="str">
        <f t="shared" ca="1" si="532"/>
        <v>B</v>
      </c>
      <c r="FF110" s="301" t="str">
        <f t="shared" ca="1" si="532"/>
        <v>B</v>
      </c>
      <c r="FG110" s="301" t="str">
        <f t="shared" ca="1" si="532"/>
        <v>B</v>
      </c>
      <c r="FH110" s="301" t="str">
        <f t="shared" ca="1" si="532"/>
        <v>B</v>
      </c>
      <c r="FI110" s="301" t="str">
        <f t="shared" ca="1" si="532"/>
        <v>B</v>
      </c>
      <c r="FJ110" s="301" t="str">
        <f t="shared" ca="1" si="532"/>
        <v>B</v>
      </c>
      <c r="FK110" s="301" t="str">
        <f t="shared" ca="1" si="532"/>
        <v>B</v>
      </c>
      <c r="FL110" s="301" t="str">
        <f t="shared" ca="1" si="532"/>
        <v>B</v>
      </c>
    </row>
    <row r="111" spans="1:168" x14ac:dyDescent="0.2">
      <c r="A111" s="38" t="str">
        <f t="shared" si="533"/>
        <v>Bogenbau</v>
      </c>
      <c r="B111" s="317" t="str">
        <f t="shared" ca="1" si="448"/>
        <v/>
      </c>
      <c r="C111" s="332" t="str">
        <f t="shared" ca="1" si="449"/>
        <v/>
      </c>
      <c r="D111" s="1110"/>
      <c r="E111" s="966"/>
      <c r="F111" s="325"/>
      <c r="G111" s="958"/>
      <c r="H111" s="1196"/>
      <c r="I111" s="326"/>
      <c r="J111" s="1886" t="str">
        <f t="shared" ca="1" si="450"/>
        <v/>
      </c>
      <c r="K111" s="1887"/>
      <c r="L111" s="1887"/>
      <c r="M111" s="1887"/>
      <c r="N111" s="1888"/>
      <c r="O111" s="613" t="str">
        <f t="shared" ca="1" si="451"/>
        <v/>
      </c>
      <c r="P111" s="90"/>
      <c r="Q111" s="25"/>
      <c r="R111" s="1313"/>
      <c r="S111" s="1313"/>
      <c r="T111" s="1315"/>
      <c r="U111" s="1283"/>
      <c r="V111" s="628" t="str">
        <f t="shared" ca="1" si="452"/>
        <v/>
      </c>
      <c r="W111" s="164">
        <f t="shared" ca="1" si="453"/>
        <v>0</v>
      </c>
      <c r="X111" s="164">
        <f t="shared" ca="1" si="454"/>
        <v>0</v>
      </c>
      <c r="Y111" s="164">
        <f t="shared" ca="1" si="455"/>
        <v>0</v>
      </c>
      <c r="Z111" s="164">
        <f t="shared" ca="1" si="456"/>
        <v>0</v>
      </c>
      <c r="AA111" s="164">
        <f t="shared" ca="1" si="457"/>
        <v>0</v>
      </c>
      <c r="AB111" s="164">
        <f t="shared" ca="1" si="458"/>
        <v>0</v>
      </c>
      <c r="AC111" s="164">
        <f t="shared" ca="1" si="459"/>
        <v>0</v>
      </c>
      <c r="AD111" s="164">
        <f t="shared" ca="1" si="460"/>
        <v>0</v>
      </c>
      <c r="AE111" s="164">
        <f t="shared" ca="1" si="461"/>
        <v>0</v>
      </c>
      <c r="AF111" s="164">
        <f t="shared" ca="1" si="462"/>
        <v>0</v>
      </c>
      <c r="AG111" s="164">
        <f t="shared" ca="1" si="463"/>
        <v>0</v>
      </c>
      <c r="AH111" s="164">
        <f t="shared" ca="1" si="464"/>
        <v>0</v>
      </c>
      <c r="AI111" s="164">
        <f t="shared" ca="1" si="465"/>
        <v>0</v>
      </c>
      <c r="AJ111" s="164">
        <f t="shared" ca="1" si="466"/>
        <v>0</v>
      </c>
      <c r="AK111" s="164">
        <f t="shared" ca="1" si="467"/>
        <v>0</v>
      </c>
      <c r="AL111" s="164">
        <f t="shared" ca="1" si="468"/>
        <v>0</v>
      </c>
      <c r="AM111" s="164">
        <f t="shared" ca="1" si="469"/>
        <v>0</v>
      </c>
      <c r="AN111" s="164">
        <f t="shared" ca="1" si="470"/>
        <v>0</v>
      </c>
      <c r="AO111" s="164">
        <f t="shared" ca="1" si="471"/>
        <v>0</v>
      </c>
      <c r="AP111" s="164">
        <f t="shared" ca="1" si="472"/>
        <v>0</v>
      </c>
      <c r="AQ111" s="164">
        <f t="shared" ca="1" si="473"/>
        <v>0</v>
      </c>
      <c r="AR111" s="164">
        <f t="shared" ca="1" si="474"/>
        <v>0</v>
      </c>
      <c r="AS111" s="195"/>
      <c r="AT111" s="154">
        <f t="shared" ca="1" si="475"/>
        <v>0</v>
      </c>
      <c r="AU111" s="154">
        <f t="shared" ca="1" si="476"/>
        <v>0</v>
      </c>
      <c r="AV111" s="154">
        <f t="shared" ca="1" si="477"/>
        <v>0</v>
      </c>
      <c r="AW111" s="154">
        <f t="shared" ca="1" si="478"/>
        <v>0</v>
      </c>
      <c r="AX111" s="154">
        <f t="shared" ca="1" si="479"/>
        <v>0</v>
      </c>
      <c r="AY111" s="154">
        <f t="shared" ca="1" si="480"/>
        <v>0</v>
      </c>
      <c r="AZ111" s="154">
        <f t="shared" ca="1" si="481"/>
        <v>0</v>
      </c>
      <c r="BA111" s="154">
        <f t="shared" ca="1" si="482"/>
        <v>0</v>
      </c>
      <c r="BB111" s="154">
        <f t="shared" ca="1" si="483"/>
        <v>0</v>
      </c>
      <c r="BC111" s="154">
        <f t="shared" ca="1" si="484"/>
        <v>0</v>
      </c>
      <c r="BD111" s="154">
        <f t="shared" ca="1" si="485"/>
        <v>0</v>
      </c>
      <c r="BE111" s="154">
        <f t="shared" ca="1" si="486"/>
        <v>0</v>
      </c>
      <c r="BF111" s="154">
        <f t="shared" ca="1" si="487"/>
        <v>0</v>
      </c>
      <c r="BG111" s="154">
        <f t="shared" ca="1" si="488"/>
        <v>0</v>
      </c>
      <c r="BH111" s="154">
        <f t="shared" ca="1" si="489"/>
        <v>0</v>
      </c>
      <c r="BI111" s="154">
        <f t="shared" ca="1" si="490"/>
        <v>0</v>
      </c>
      <c r="BJ111" s="154">
        <f t="shared" ca="1" si="491"/>
        <v>0</v>
      </c>
      <c r="BK111" s="154">
        <f t="shared" ca="1" si="492"/>
        <v>0</v>
      </c>
      <c r="BL111" s="154">
        <f t="shared" ca="1" si="493"/>
        <v>0</v>
      </c>
      <c r="BM111" s="154">
        <f t="shared" ca="1" si="494"/>
        <v>0</v>
      </c>
      <c r="BN111" s="154">
        <f t="shared" ca="1" si="495"/>
        <v>0</v>
      </c>
      <c r="BO111" s="154">
        <f t="shared" ca="1" si="496"/>
        <v>0</v>
      </c>
      <c r="BP111" s="154">
        <f t="shared" ca="1" si="497"/>
        <v>0</v>
      </c>
      <c r="BQ111" s="154">
        <f t="shared" ca="1" si="498"/>
        <v>0</v>
      </c>
      <c r="BR111" s="154">
        <f t="shared" ca="1" si="499"/>
        <v>0</v>
      </c>
      <c r="BS111" s="154">
        <f t="shared" ca="1" si="500"/>
        <v>0</v>
      </c>
      <c r="BT111" s="154">
        <f t="shared" ca="1" si="501"/>
        <v>0</v>
      </c>
      <c r="BU111" s="154">
        <f t="shared" ca="1" si="502"/>
        <v>0</v>
      </c>
      <c r="BV111" s="154">
        <f t="shared" ca="1" si="503"/>
        <v>0</v>
      </c>
      <c r="BW111" s="154">
        <f t="shared" ca="1" si="504"/>
        <v>0</v>
      </c>
      <c r="BX111" s="154">
        <f t="shared" ca="1" si="505"/>
        <v>0</v>
      </c>
      <c r="BY111" s="154">
        <f t="shared" ca="1" si="506"/>
        <v>0</v>
      </c>
      <c r="BZ111" s="154">
        <f t="shared" si="507"/>
        <v>0</v>
      </c>
      <c r="CA111" s="154">
        <f t="shared" si="508"/>
        <v>0</v>
      </c>
      <c r="CB111" s="154">
        <f t="shared" ca="1" si="509"/>
        <v>0</v>
      </c>
      <c r="CC111" s="523"/>
      <c r="CD111" s="355">
        <f t="shared" si="510"/>
        <v>135</v>
      </c>
      <c r="CE111" s="751" t="str">
        <f t="shared" ca="1" si="511"/>
        <v>B</v>
      </c>
      <c r="CF111" s="355" t="str">
        <f t="shared" ca="1" si="534"/>
        <v/>
      </c>
      <c r="CG111" s="268"/>
      <c r="CH111" s="268"/>
      <c r="CI111" s="269">
        <f t="shared" ca="1" si="512"/>
        <v>0</v>
      </c>
      <c r="CJ111" s="269">
        <f t="shared" ca="1" si="513"/>
        <v>0</v>
      </c>
      <c r="CK111" s="268"/>
      <c r="CL111" s="268"/>
      <c r="CM111" s="268">
        <f t="shared" ca="1" si="327"/>
        <v>0</v>
      </c>
      <c r="CN111" s="269">
        <f t="shared" ca="1" si="328"/>
        <v>0</v>
      </c>
      <c r="CO111" s="268" t="str">
        <f t="shared" ca="1" si="514"/>
        <v>B</v>
      </c>
      <c r="CP111" s="269" t="b">
        <f t="shared" ca="1" si="515"/>
        <v>1</v>
      </c>
      <c r="CQ111" s="269">
        <f t="shared" si="516"/>
        <v>0</v>
      </c>
      <c r="CR111" s="269">
        <f t="shared" si="517"/>
        <v>0</v>
      </c>
      <c r="CS111" s="269">
        <f t="shared" ca="1" si="518"/>
        <v>0</v>
      </c>
      <c r="CT111" s="302" t="str">
        <f t="shared" ca="1" si="519"/>
        <v>0</v>
      </c>
      <c r="CU111" s="269">
        <f t="shared" ca="1" si="520"/>
        <v>0</v>
      </c>
      <c r="CV111" s="268"/>
      <c r="CW111" s="269">
        <f t="shared" ca="1" si="521"/>
        <v>0</v>
      </c>
      <c r="CX111" s="301">
        <f t="shared" ca="1" si="522"/>
        <v>0</v>
      </c>
      <c r="CY111" s="301">
        <f t="shared" ca="1" si="329"/>
        <v>0</v>
      </c>
      <c r="CZ111" s="301">
        <f t="shared" ca="1" si="523"/>
        <v>0</v>
      </c>
      <c r="DA111" s="301">
        <f t="shared" ca="1" si="524"/>
        <v>0</v>
      </c>
      <c r="DB111" t="str">
        <f ca="1">IF(AND(NOT(AND(ISBLANK($G111),ISBLANK($I111))),$O$130&lt;4),"Holzbearbeitung 4+",IF(AND(NOT(ISBLANK($F111)),$F111&lt;=$B111),"TaW SE zu klein",""))</f>
        <v/>
      </c>
      <c r="DC111" s="301" t="str">
        <f t="shared" ca="1" si="525"/>
        <v/>
      </c>
      <c r="DD111" s="1337" t="str">
        <f t="shared" ca="1" si="535"/>
        <v/>
      </c>
      <c r="DE111" s="1337" t="str">
        <f t="shared" ca="1" si="536"/>
        <v/>
      </c>
      <c r="DG111" s="269" t="str">
        <f t="shared" ca="1" si="526"/>
        <v>Tabellen_Andere!BA16:BF16</v>
      </c>
      <c r="DH111" s="269" t="str">
        <f t="shared" si="527"/>
        <v>Tabellen_Andere!BA16:BF16</v>
      </c>
      <c r="DI111" s="269" t="str">
        <f ca="1">IF(NOT(ISERR(FIND(A111&amp;" ",Abfragen!$O$264,1))),MID(Abfragen!$O$264,FIND("(",Abfragen!$O$264,FIND(A111,Abfragen!$O$264,1)+LEN(A111))+1,FIND(")",Abfragen!$O$264,FIND(A111,Abfragen!$O$264,1)+LEN(A111))-FIND("(",Abfragen!$O$264,FIND(A111,Abfragen!$O$264,1)+LEN(A111))-1),"")</f>
        <v/>
      </c>
      <c r="DJ111" s="301" t="str">
        <f t="shared" ca="1" si="528"/>
        <v>B</v>
      </c>
      <c r="DK111" s="301" t="str">
        <f t="shared" ca="1" si="528"/>
        <v>B</v>
      </c>
      <c r="DL111" s="301" t="str">
        <f t="shared" ca="1" si="528"/>
        <v>B</v>
      </c>
      <c r="DM111" s="301" t="str">
        <f t="shared" ca="1" si="528"/>
        <v>B</v>
      </c>
      <c r="DN111" s="301" t="str">
        <f t="shared" ca="1" si="528"/>
        <v>B</v>
      </c>
      <c r="DO111" s="301" t="str">
        <f t="shared" ca="1" si="528"/>
        <v>B</v>
      </c>
      <c r="DP111" s="301" t="str">
        <f t="shared" ca="1" si="528"/>
        <v>B</v>
      </c>
      <c r="DQ111" s="301" t="str">
        <f t="shared" ca="1" si="528"/>
        <v>B</v>
      </c>
      <c r="DR111" s="301" t="str">
        <f t="shared" ca="1" si="528"/>
        <v>B</v>
      </c>
      <c r="DS111" s="301" t="str">
        <f t="shared" ca="1" si="528"/>
        <v>B</v>
      </c>
      <c r="DT111" s="301" t="str">
        <f t="shared" ca="1" si="529"/>
        <v>B</v>
      </c>
      <c r="DU111" s="301" t="str">
        <f t="shared" ca="1" si="529"/>
        <v>B</v>
      </c>
      <c r="DV111" s="301" t="str">
        <f t="shared" ca="1" si="529"/>
        <v>B</v>
      </c>
      <c r="DW111" s="301" t="str">
        <f t="shared" ca="1" si="529"/>
        <v>B</v>
      </c>
      <c r="DX111" s="301" t="str">
        <f t="shared" ca="1" si="529"/>
        <v>B</v>
      </c>
      <c r="DY111" s="301" t="str">
        <f t="shared" ca="1" si="529"/>
        <v>B</v>
      </c>
      <c r="DZ111" s="301" t="str">
        <f t="shared" ca="1" si="529"/>
        <v>B</v>
      </c>
      <c r="EA111" s="301" t="str">
        <f t="shared" ca="1" si="529"/>
        <v>B</v>
      </c>
      <c r="EB111" s="301" t="str">
        <f t="shared" ca="1" si="529"/>
        <v>B</v>
      </c>
      <c r="EC111" s="301" t="str">
        <f t="shared" ca="1" si="529"/>
        <v>B</v>
      </c>
      <c r="ED111" s="301" t="str">
        <f t="shared" ca="1" si="529"/>
        <v>B</v>
      </c>
      <c r="EE111" s="301" t="str">
        <f t="shared" ca="1" si="529"/>
        <v>B</v>
      </c>
      <c r="EF111" s="205"/>
      <c r="EG111" s="301" t="str">
        <f t="shared" ca="1" si="530"/>
        <v>B</v>
      </c>
      <c r="EH111" s="301" t="str">
        <f t="shared" ca="1" si="530"/>
        <v>B</v>
      </c>
      <c r="EI111" s="301" t="str">
        <f t="shared" ca="1" si="530"/>
        <v>B</v>
      </c>
      <c r="EJ111" s="301" t="str">
        <f t="shared" ca="1" si="530"/>
        <v>B</v>
      </c>
      <c r="EK111" s="301" t="str">
        <f t="shared" ca="1" si="530"/>
        <v>B</v>
      </c>
      <c r="EL111" s="301" t="str">
        <f t="shared" ca="1" si="530"/>
        <v>B</v>
      </c>
      <c r="EM111" s="301" t="str">
        <f t="shared" ca="1" si="530"/>
        <v>B</v>
      </c>
      <c r="EN111" s="301" t="str">
        <f t="shared" ca="1" si="530"/>
        <v>B</v>
      </c>
      <c r="EO111" s="301" t="str">
        <f t="shared" ca="1" si="530"/>
        <v>B</v>
      </c>
      <c r="EP111" s="301" t="str">
        <f t="shared" ca="1" si="530"/>
        <v>B</v>
      </c>
      <c r="EQ111" s="301" t="str">
        <f t="shared" ca="1" si="531"/>
        <v>B</v>
      </c>
      <c r="ER111" s="301" t="str">
        <f t="shared" ca="1" si="531"/>
        <v>B</v>
      </c>
      <c r="ES111" s="301" t="str">
        <f t="shared" ca="1" si="531"/>
        <v>B</v>
      </c>
      <c r="ET111" s="301" t="str">
        <f t="shared" ca="1" si="531"/>
        <v>B</v>
      </c>
      <c r="EU111" s="301" t="str">
        <f t="shared" ca="1" si="531"/>
        <v>B</v>
      </c>
      <c r="EV111" s="301" t="str">
        <f t="shared" ca="1" si="531"/>
        <v>B</v>
      </c>
      <c r="EW111" s="301" t="str">
        <f t="shared" ca="1" si="531"/>
        <v>B</v>
      </c>
      <c r="EX111" s="301" t="str">
        <f t="shared" ca="1" si="531"/>
        <v>B</v>
      </c>
      <c r="EY111" s="301" t="str">
        <f t="shared" ca="1" si="531"/>
        <v>B</v>
      </c>
      <c r="EZ111" s="301" t="str">
        <f t="shared" ca="1" si="531"/>
        <v>B</v>
      </c>
      <c r="FA111" s="301" t="str">
        <f t="shared" ca="1" si="532"/>
        <v>B</v>
      </c>
      <c r="FB111" s="301" t="str">
        <f t="shared" ca="1" si="532"/>
        <v>B</v>
      </c>
      <c r="FC111" s="301" t="str">
        <f t="shared" ca="1" si="532"/>
        <v>B</v>
      </c>
      <c r="FD111" s="301" t="str">
        <f t="shared" ca="1" si="532"/>
        <v>B</v>
      </c>
      <c r="FE111" s="301" t="str">
        <f t="shared" ca="1" si="532"/>
        <v>B</v>
      </c>
      <c r="FF111" s="301" t="str">
        <f t="shared" ca="1" si="532"/>
        <v>B</v>
      </c>
      <c r="FG111" s="301" t="str">
        <f t="shared" ca="1" si="532"/>
        <v>B</v>
      </c>
      <c r="FH111" s="301" t="str">
        <f t="shared" ca="1" si="532"/>
        <v>B</v>
      </c>
      <c r="FI111" s="301" t="str">
        <f t="shared" ca="1" si="532"/>
        <v>B</v>
      </c>
      <c r="FJ111" s="301" t="str">
        <f t="shared" ca="1" si="532"/>
        <v>B</v>
      </c>
      <c r="FK111" s="301" t="str">
        <f t="shared" ca="1" si="532"/>
        <v>B</v>
      </c>
      <c r="FL111" s="301" t="str">
        <f t="shared" ca="1" si="532"/>
        <v>B</v>
      </c>
    </row>
    <row r="112" spans="1:168" x14ac:dyDescent="0.2">
      <c r="A112" s="38" t="str">
        <f t="shared" si="533"/>
        <v>Boote Fahren</v>
      </c>
      <c r="B112" s="317" t="str">
        <f t="shared" ca="1" si="448"/>
        <v/>
      </c>
      <c r="C112" s="332" t="str">
        <f t="shared" ca="1" si="449"/>
        <v/>
      </c>
      <c r="D112" s="1110"/>
      <c r="E112" s="966"/>
      <c r="F112" s="325"/>
      <c r="G112" s="958"/>
      <c r="H112" s="1196"/>
      <c r="I112" s="326"/>
      <c r="J112" s="1886" t="str">
        <f t="shared" ca="1" si="450"/>
        <v/>
      </c>
      <c r="K112" s="1887"/>
      <c r="L112" s="1887"/>
      <c r="M112" s="1887"/>
      <c r="N112" s="1888"/>
      <c r="O112" s="613" t="str">
        <f t="shared" ca="1" si="451"/>
        <v/>
      </c>
      <c r="P112" s="90"/>
      <c r="Q112" s="25"/>
      <c r="R112" s="1313"/>
      <c r="S112" s="1313"/>
      <c r="T112" s="1315"/>
      <c r="U112" s="1283"/>
      <c r="V112" s="628" t="str">
        <f t="shared" ca="1" si="452"/>
        <v/>
      </c>
      <c r="W112" s="164">
        <f t="shared" ca="1" si="453"/>
        <v>0</v>
      </c>
      <c r="X112" s="164">
        <f t="shared" ca="1" si="454"/>
        <v>0</v>
      </c>
      <c r="Y112" s="164">
        <f t="shared" ca="1" si="455"/>
        <v>0</v>
      </c>
      <c r="Z112" s="164">
        <f t="shared" ca="1" si="456"/>
        <v>0</v>
      </c>
      <c r="AA112" s="164">
        <f t="shared" ca="1" si="457"/>
        <v>0</v>
      </c>
      <c r="AB112" s="164">
        <f t="shared" ca="1" si="458"/>
        <v>0</v>
      </c>
      <c r="AC112" s="164">
        <f t="shared" ca="1" si="459"/>
        <v>0</v>
      </c>
      <c r="AD112" s="164">
        <f t="shared" ca="1" si="460"/>
        <v>0</v>
      </c>
      <c r="AE112" s="164">
        <f t="shared" ca="1" si="461"/>
        <v>0</v>
      </c>
      <c r="AF112" s="164">
        <f t="shared" ca="1" si="462"/>
        <v>0</v>
      </c>
      <c r="AG112" s="164">
        <f t="shared" ca="1" si="463"/>
        <v>0</v>
      </c>
      <c r="AH112" s="164">
        <f t="shared" ca="1" si="464"/>
        <v>0</v>
      </c>
      <c r="AI112" s="164">
        <f t="shared" ca="1" si="465"/>
        <v>0</v>
      </c>
      <c r="AJ112" s="164">
        <f t="shared" ca="1" si="466"/>
        <v>0</v>
      </c>
      <c r="AK112" s="164">
        <f t="shared" ca="1" si="467"/>
        <v>0</v>
      </c>
      <c r="AL112" s="164">
        <f t="shared" ca="1" si="468"/>
        <v>0</v>
      </c>
      <c r="AM112" s="164">
        <f t="shared" ca="1" si="469"/>
        <v>0</v>
      </c>
      <c r="AN112" s="164">
        <f t="shared" ca="1" si="470"/>
        <v>0</v>
      </c>
      <c r="AO112" s="164">
        <f t="shared" ca="1" si="471"/>
        <v>0</v>
      </c>
      <c r="AP112" s="164">
        <f t="shared" ca="1" si="472"/>
        <v>0</v>
      </c>
      <c r="AQ112" s="164">
        <f t="shared" ca="1" si="473"/>
        <v>0</v>
      </c>
      <c r="AR112" s="164">
        <f t="shared" ca="1" si="474"/>
        <v>0</v>
      </c>
      <c r="AS112" s="195"/>
      <c r="AT112" s="154">
        <f t="shared" ca="1" si="475"/>
        <v>0</v>
      </c>
      <c r="AU112" s="154">
        <f t="shared" ca="1" si="476"/>
        <v>0</v>
      </c>
      <c r="AV112" s="154">
        <f t="shared" ca="1" si="477"/>
        <v>0</v>
      </c>
      <c r="AW112" s="154">
        <f t="shared" ca="1" si="478"/>
        <v>0</v>
      </c>
      <c r="AX112" s="154">
        <f t="shared" ca="1" si="479"/>
        <v>0</v>
      </c>
      <c r="AY112" s="154">
        <f t="shared" ca="1" si="480"/>
        <v>0</v>
      </c>
      <c r="AZ112" s="154">
        <f t="shared" ca="1" si="481"/>
        <v>0</v>
      </c>
      <c r="BA112" s="154">
        <f t="shared" ca="1" si="482"/>
        <v>0</v>
      </c>
      <c r="BB112" s="154">
        <f t="shared" ca="1" si="483"/>
        <v>0</v>
      </c>
      <c r="BC112" s="154">
        <f t="shared" ca="1" si="484"/>
        <v>0</v>
      </c>
      <c r="BD112" s="154">
        <f t="shared" ca="1" si="485"/>
        <v>0</v>
      </c>
      <c r="BE112" s="154">
        <f t="shared" ca="1" si="486"/>
        <v>0</v>
      </c>
      <c r="BF112" s="154">
        <f t="shared" ca="1" si="487"/>
        <v>0</v>
      </c>
      <c r="BG112" s="154">
        <f t="shared" ca="1" si="488"/>
        <v>0</v>
      </c>
      <c r="BH112" s="154">
        <f t="shared" ca="1" si="489"/>
        <v>0</v>
      </c>
      <c r="BI112" s="154">
        <f t="shared" ca="1" si="490"/>
        <v>0</v>
      </c>
      <c r="BJ112" s="154">
        <f t="shared" ca="1" si="491"/>
        <v>0</v>
      </c>
      <c r="BK112" s="154">
        <f t="shared" ca="1" si="492"/>
        <v>0</v>
      </c>
      <c r="BL112" s="154">
        <f t="shared" ca="1" si="493"/>
        <v>0</v>
      </c>
      <c r="BM112" s="154">
        <f t="shared" ca="1" si="494"/>
        <v>0</v>
      </c>
      <c r="BN112" s="154">
        <f t="shared" ca="1" si="495"/>
        <v>0</v>
      </c>
      <c r="BO112" s="154">
        <f t="shared" ca="1" si="496"/>
        <v>0</v>
      </c>
      <c r="BP112" s="154">
        <f t="shared" ca="1" si="497"/>
        <v>0</v>
      </c>
      <c r="BQ112" s="154">
        <f t="shared" ca="1" si="498"/>
        <v>0</v>
      </c>
      <c r="BR112" s="154">
        <f t="shared" ca="1" si="499"/>
        <v>0</v>
      </c>
      <c r="BS112" s="154">
        <f t="shared" ca="1" si="500"/>
        <v>0</v>
      </c>
      <c r="BT112" s="154">
        <f t="shared" ca="1" si="501"/>
        <v>0</v>
      </c>
      <c r="BU112" s="154">
        <f t="shared" ca="1" si="502"/>
        <v>0</v>
      </c>
      <c r="BV112" s="154">
        <f t="shared" ca="1" si="503"/>
        <v>0</v>
      </c>
      <c r="BW112" s="154">
        <f t="shared" ca="1" si="504"/>
        <v>0</v>
      </c>
      <c r="BX112" s="154">
        <f t="shared" ca="1" si="505"/>
        <v>0</v>
      </c>
      <c r="BY112" s="154">
        <f t="shared" ca="1" si="506"/>
        <v>0</v>
      </c>
      <c r="BZ112" s="154">
        <f t="shared" si="507"/>
        <v>0</v>
      </c>
      <c r="CA112" s="154">
        <f t="shared" si="508"/>
        <v>0</v>
      </c>
      <c r="CB112" s="154">
        <f t="shared" ca="1" si="509"/>
        <v>0</v>
      </c>
      <c r="CC112" s="523"/>
      <c r="CD112" s="355">
        <f t="shared" si="510"/>
        <v>136</v>
      </c>
      <c r="CE112" s="751" t="str">
        <f t="shared" ca="1" si="511"/>
        <v>B</v>
      </c>
      <c r="CF112" s="355" t="str">
        <f t="shared" ca="1" si="534"/>
        <v/>
      </c>
      <c r="CG112" s="268"/>
      <c r="CH112" s="268"/>
      <c r="CI112" s="269">
        <f t="shared" ca="1" si="512"/>
        <v>0</v>
      </c>
      <c r="CJ112" s="269">
        <f t="shared" ca="1" si="513"/>
        <v>0</v>
      </c>
      <c r="CK112" s="268"/>
      <c r="CL112" s="268"/>
      <c r="CM112" s="268">
        <f t="shared" ca="1" si="327"/>
        <v>0</v>
      </c>
      <c r="CN112" s="269">
        <f t="shared" ca="1" si="328"/>
        <v>0</v>
      </c>
      <c r="CO112" s="268" t="str">
        <f t="shared" ca="1" si="514"/>
        <v>B</v>
      </c>
      <c r="CP112" s="269" t="b">
        <f t="shared" ca="1" si="515"/>
        <v>1</v>
      </c>
      <c r="CQ112" s="269">
        <f t="shared" si="516"/>
        <v>0</v>
      </c>
      <c r="CR112" s="269">
        <f t="shared" si="517"/>
        <v>0</v>
      </c>
      <c r="CS112" s="269">
        <f t="shared" ca="1" si="518"/>
        <v>0</v>
      </c>
      <c r="CT112" s="302" t="str">
        <f t="shared" ca="1" si="519"/>
        <v>0</v>
      </c>
      <c r="CU112" s="269">
        <f t="shared" ca="1" si="520"/>
        <v>0</v>
      </c>
      <c r="CV112" s="268"/>
      <c r="CW112" s="269">
        <f t="shared" ca="1" si="521"/>
        <v>0</v>
      </c>
      <c r="CX112" s="301">
        <f t="shared" ca="1" si="522"/>
        <v>0</v>
      </c>
      <c r="CY112" s="301">
        <f t="shared" ca="1" si="329"/>
        <v>0</v>
      </c>
      <c r="CZ112" s="301">
        <f t="shared" ca="1" si="523"/>
        <v>0</v>
      </c>
      <c r="DA112" s="301">
        <f t="shared" ca="1" si="524"/>
        <v>0</v>
      </c>
      <c r="DB112" t="str">
        <f ca="1">IF(AND(NOT(ISBLANK($F112)),$F112&lt;=$B112),"TaW SE zu klein","")</f>
        <v/>
      </c>
      <c r="DC112" s="301" t="str">
        <f t="shared" ca="1" si="525"/>
        <v/>
      </c>
      <c r="DD112" s="1337" t="str">
        <f t="shared" ca="1" si="535"/>
        <v/>
      </c>
      <c r="DE112" s="1337" t="str">
        <f t="shared" ca="1" si="536"/>
        <v/>
      </c>
      <c r="DG112" s="269" t="str">
        <f t="shared" ca="1" si="526"/>
        <v>Tabellen_Andere!BA17:BF17</v>
      </c>
      <c r="DH112" s="269" t="str">
        <f t="shared" si="527"/>
        <v>Tabellen_Andere!BA17:BF17</v>
      </c>
      <c r="DI112" s="269" t="str">
        <f ca="1">IF(NOT(ISERR(FIND(A112&amp;" ",Abfragen!$O$264,1))),MID(Abfragen!$O$264,FIND("(",Abfragen!$O$264,FIND(A112,Abfragen!$O$264,1)+LEN(A112))+1,FIND(")",Abfragen!$O$264,FIND(A112,Abfragen!$O$264,1)+LEN(A112))-FIND("(",Abfragen!$O$264,FIND(A112,Abfragen!$O$264,1)+LEN(A112))-1),"")</f>
        <v/>
      </c>
      <c r="DJ112" s="301" t="str">
        <f t="shared" ca="1" si="528"/>
        <v>B</v>
      </c>
      <c r="DK112" s="301" t="str">
        <f t="shared" ca="1" si="528"/>
        <v>B</v>
      </c>
      <c r="DL112" s="301" t="str">
        <f t="shared" ca="1" si="528"/>
        <v>B</v>
      </c>
      <c r="DM112" s="301" t="str">
        <f t="shared" ca="1" si="528"/>
        <v>B</v>
      </c>
      <c r="DN112" s="301" t="str">
        <f t="shared" ca="1" si="528"/>
        <v>B</v>
      </c>
      <c r="DO112" s="301" t="str">
        <f t="shared" ca="1" si="528"/>
        <v>B</v>
      </c>
      <c r="DP112" s="301" t="str">
        <f t="shared" ca="1" si="528"/>
        <v>B</v>
      </c>
      <c r="DQ112" s="301" t="str">
        <f t="shared" ca="1" si="528"/>
        <v>B</v>
      </c>
      <c r="DR112" s="301" t="str">
        <f t="shared" ca="1" si="528"/>
        <v>B</v>
      </c>
      <c r="DS112" s="301" t="str">
        <f t="shared" ca="1" si="528"/>
        <v>B</v>
      </c>
      <c r="DT112" s="301" t="str">
        <f t="shared" ca="1" si="529"/>
        <v>B</v>
      </c>
      <c r="DU112" s="301" t="str">
        <f t="shared" ca="1" si="529"/>
        <v>B</v>
      </c>
      <c r="DV112" s="301" t="str">
        <f t="shared" ca="1" si="529"/>
        <v>B</v>
      </c>
      <c r="DW112" s="301" t="str">
        <f t="shared" ca="1" si="529"/>
        <v>B</v>
      </c>
      <c r="DX112" s="301" t="str">
        <f t="shared" ca="1" si="529"/>
        <v>B</v>
      </c>
      <c r="DY112" s="301" t="str">
        <f t="shared" ca="1" si="529"/>
        <v>B</v>
      </c>
      <c r="DZ112" s="301" t="str">
        <f t="shared" ca="1" si="529"/>
        <v>B</v>
      </c>
      <c r="EA112" s="301" t="str">
        <f t="shared" ca="1" si="529"/>
        <v>B</v>
      </c>
      <c r="EB112" s="301" t="str">
        <f t="shared" ca="1" si="529"/>
        <v>B</v>
      </c>
      <c r="EC112" s="301" t="str">
        <f t="shared" ca="1" si="529"/>
        <v>B</v>
      </c>
      <c r="ED112" s="301" t="str">
        <f t="shared" ca="1" si="529"/>
        <v>B</v>
      </c>
      <c r="EE112" s="301" t="str">
        <f t="shared" ca="1" si="529"/>
        <v>B</v>
      </c>
      <c r="EF112" s="205"/>
      <c r="EG112" s="301" t="str">
        <f t="shared" ca="1" si="530"/>
        <v>B</v>
      </c>
      <c r="EH112" s="301" t="str">
        <f t="shared" ca="1" si="530"/>
        <v>B</v>
      </c>
      <c r="EI112" s="301" t="str">
        <f t="shared" ca="1" si="530"/>
        <v>B</v>
      </c>
      <c r="EJ112" s="301" t="str">
        <f t="shared" ca="1" si="530"/>
        <v>B</v>
      </c>
      <c r="EK112" s="301" t="str">
        <f t="shared" ca="1" si="530"/>
        <v>B</v>
      </c>
      <c r="EL112" s="301" t="str">
        <f t="shared" ca="1" si="530"/>
        <v>B</v>
      </c>
      <c r="EM112" s="301" t="str">
        <f t="shared" ca="1" si="530"/>
        <v>B</v>
      </c>
      <c r="EN112" s="301" t="str">
        <f t="shared" ca="1" si="530"/>
        <v>B</v>
      </c>
      <c r="EO112" s="301" t="str">
        <f t="shared" ca="1" si="530"/>
        <v>B</v>
      </c>
      <c r="EP112" s="301" t="str">
        <f t="shared" ca="1" si="530"/>
        <v>B</v>
      </c>
      <c r="EQ112" s="301" t="str">
        <f t="shared" ca="1" si="531"/>
        <v>B</v>
      </c>
      <c r="ER112" s="301" t="str">
        <f t="shared" ca="1" si="531"/>
        <v>B</v>
      </c>
      <c r="ES112" s="301" t="str">
        <f t="shared" ca="1" si="531"/>
        <v>B</v>
      </c>
      <c r="ET112" s="301" t="str">
        <f t="shared" ca="1" si="531"/>
        <v>B</v>
      </c>
      <c r="EU112" s="301" t="str">
        <f t="shared" ca="1" si="531"/>
        <v>B</v>
      </c>
      <c r="EV112" s="301" t="str">
        <f t="shared" ca="1" si="531"/>
        <v>B</v>
      </c>
      <c r="EW112" s="301" t="str">
        <f t="shared" ca="1" si="531"/>
        <v>B</v>
      </c>
      <c r="EX112" s="301" t="str">
        <f t="shared" ca="1" si="531"/>
        <v>B</v>
      </c>
      <c r="EY112" s="301" t="str">
        <f t="shared" ca="1" si="531"/>
        <v>B</v>
      </c>
      <c r="EZ112" s="301" t="str">
        <f t="shared" ca="1" si="531"/>
        <v>B</v>
      </c>
      <c r="FA112" s="301" t="str">
        <f t="shared" ca="1" si="532"/>
        <v>B</v>
      </c>
      <c r="FB112" s="301" t="str">
        <f t="shared" ca="1" si="532"/>
        <v>B</v>
      </c>
      <c r="FC112" s="301" t="str">
        <f t="shared" ca="1" si="532"/>
        <v>B</v>
      </c>
      <c r="FD112" s="301" t="str">
        <f t="shared" ca="1" si="532"/>
        <v>B</v>
      </c>
      <c r="FE112" s="301" t="str">
        <f t="shared" ca="1" si="532"/>
        <v>B</v>
      </c>
      <c r="FF112" s="301" t="str">
        <f t="shared" ca="1" si="532"/>
        <v>B</v>
      </c>
      <c r="FG112" s="301" t="str">
        <f t="shared" ca="1" si="532"/>
        <v>B</v>
      </c>
      <c r="FH112" s="301" t="str">
        <f t="shared" ca="1" si="532"/>
        <v>B</v>
      </c>
      <c r="FI112" s="301" t="str">
        <f t="shared" ca="1" si="532"/>
        <v>B</v>
      </c>
      <c r="FJ112" s="301" t="str">
        <f t="shared" ca="1" si="532"/>
        <v>B</v>
      </c>
      <c r="FK112" s="301" t="str">
        <f t="shared" ca="1" si="532"/>
        <v>B</v>
      </c>
      <c r="FL112" s="301" t="str">
        <f t="shared" ca="1" si="532"/>
        <v>B</v>
      </c>
    </row>
    <row r="113" spans="1:168" x14ac:dyDescent="0.2">
      <c r="A113" s="38" t="str">
        <f t="shared" si="533"/>
        <v>Brauer</v>
      </c>
      <c r="B113" s="317" t="str">
        <f t="shared" ca="1" si="448"/>
        <v/>
      </c>
      <c r="C113" s="332" t="str">
        <f t="shared" ca="1" si="449"/>
        <v/>
      </c>
      <c r="D113" s="1110"/>
      <c r="E113" s="966"/>
      <c r="F113" s="325"/>
      <c r="G113" s="958"/>
      <c r="H113" s="1196"/>
      <c r="I113" s="326"/>
      <c r="J113" s="1886" t="str">
        <f t="shared" ca="1" si="450"/>
        <v/>
      </c>
      <c r="K113" s="1887"/>
      <c r="L113" s="1887"/>
      <c r="M113" s="1887"/>
      <c r="N113" s="1888"/>
      <c r="O113" s="613" t="str">
        <f t="shared" ca="1" si="451"/>
        <v/>
      </c>
      <c r="P113" s="90"/>
      <c r="Q113" s="25"/>
      <c r="R113" s="1313"/>
      <c r="S113" s="1313"/>
      <c r="T113" s="1315"/>
      <c r="U113" s="1283"/>
      <c r="V113" s="628" t="str">
        <f t="shared" ca="1" si="452"/>
        <v/>
      </c>
      <c r="W113" s="164">
        <f t="shared" ca="1" si="453"/>
        <v>0</v>
      </c>
      <c r="X113" s="164">
        <f t="shared" ca="1" si="454"/>
        <v>0</v>
      </c>
      <c r="Y113" s="164">
        <f t="shared" ca="1" si="455"/>
        <v>0</v>
      </c>
      <c r="Z113" s="164">
        <f t="shared" ca="1" si="456"/>
        <v>0</v>
      </c>
      <c r="AA113" s="164">
        <f t="shared" ca="1" si="457"/>
        <v>0</v>
      </c>
      <c r="AB113" s="164">
        <f t="shared" ca="1" si="458"/>
        <v>0</v>
      </c>
      <c r="AC113" s="164">
        <f t="shared" ca="1" si="459"/>
        <v>0</v>
      </c>
      <c r="AD113" s="164">
        <f t="shared" ca="1" si="460"/>
        <v>0</v>
      </c>
      <c r="AE113" s="164">
        <f t="shared" ca="1" si="461"/>
        <v>0</v>
      </c>
      <c r="AF113" s="164">
        <f t="shared" ca="1" si="462"/>
        <v>0</v>
      </c>
      <c r="AG113" s="164">
        <f t="shared" ca="1" si="463"/>
        <v>0</v>
      </c>
      <c r="AH113" s="164">
        <f t="shared" ca="1" si="464"/>
        <v>0</v>
      </c>
      <c r="AI113" s="164">
        <f t="shared" ca="1" si="465"/>
        <v>0</v>
      </c>
      <c r="AJ113" s="164">
        <f t="shared" ca="1" si="466"/>
        <v>0</v>
      </c>
      <c r="AK113" s="164">
        <f t="shared" ca="1" si="467"/>
        <v>0</v>
      </c>
      <c r="AL113" s="164">
        <f t="shared" ca="1" si="468"/>
        <v>0</v>
      </c>
      <c r="AM113" s="164">
        <f t="shared" ca="1" si="469"/>
        <v>0</v>
      </c>
      <c r="AN113" s="164">
        <f t="shared" ca="1" si="470"/>
        <v>0</v>
      </c>
      <c r="AO113" s="164">
        <f t="shared" ca="1" si="471"/>
        <v>0</v>
      </c>
      <c r="AP113" s="164">
        <f t="shared" ca="1" si="472"/>
        <v>0</v>
      </c>
      <c r="AQ113" s="164">
        <f t="shared" ca="1" si="473"/>
        <v>0</v>
      </c>
      <c r="AR113" s="164">
        <f t="shared" ca="1" si="474"/>
        <v>0</v>
      </c>
      <c r="AS113" s="195"/>
      <c r="AT113" s="154">
        <f t="shared" ca="1" si="475"/>
        <v>0</v>
      </c>
      <c r="AU113" s="154">
        <f t="shared" ca="1" si="476"/>
        <v>0</v>
      </c>
      <c r="AV113" s="154">
        <f t="shared" ca="1" si="477"/>
        <v>0</v>
      </c>
      <c r="AW113" s="154">
        <f t="shared" ca="1" si="478"/>
        <v>0</v>
      </c>
      <c r="AX113" s="154">
        <f t="shared" ca="1" si="479"/>
        <v>0</v>
      </c>
      <c r="AY113" s="154">
        <f t="shared" ca="1" si="480"/>
        <v>0</v>
      </c>
      <c r="AZ113" s="154">
        <f t="shared" ca="1" si="481"/>
        <v>0</v>
      </c>
      <c r="BA113" s="154">
        <f t="shared" ca="1" si="482"/>
        <v>0</v>
      </c>
      <c r="BB113" s="154">
        <f t="shared" ca="1" si="483"/>
        <v>0</v>
      </c>
      <c r="BC113" s="154">
        <f t="shared" ca="1" si="484"/>
        <v>0</v>
      </c>
      <c r="BD113" s="154">
        <f t="shared" ca="1" si="485"/>
        <v>0</v>
      </c>
      <c r="BE113" s="154">
        <f t="shared" ca="1" si="486"/>
        <v>0</v>
      </c>
      <c r="BF113" s="154">
        <f t="shared" ca="1" si="487"/>
        <v>0</v>
      </c>
      <c r="BG113" s="154">
        <f t="shared" ca="1" si="488"/>
        <v>0</v>
      </c>
      <c r="BH113" s="154">
        <f t="shared" ca="1" si="489"/>
        <v>0</v>
      </c>
      <c r="BI113" s="154">
        <f t="shared" ca="1" si="490"/>
        <v>0</v>
      </c>
      <c r="BJ113" s="154">
        <f t="shared" ca="1" si="491"/>
        <v>0</v>
      </c>
      <c r="BK113" s="154">
        <f t="shared" ca="1" si="492"/>
        <v>0</v>
      </c>
      <c r="BL113" s="154">
        <f t="shared" ca="1" si="493"/>
        <v>0</v>
      </c>
      <c r="BM113" s="154">
        <f t="shared" ca="1" si="494"/>
        <v>0</v>
      </c>
      <c r="BN113" s="154">
        <f t="shared" ca="1" si="495"/>
        <v>0</v>
      </c>
      <c r="BO113" s="154">
        <f t="shared" ca="1" si="496"/>
        <v>0</v>
      </c>
      <c r="BP113" s="154">
        <f t="shared" ca="1" si="497"/>
        <v>0</v>
      </c>
      <c r="BQ113" s="154">
        <f t="shared" ca="1" si="498"/>
        <v>0</v>
      </c>
      <c r="BR113" s="154">
        <f t="shared" ca="1" si="499"/>
        <v>0</v>
      </c>
      <c r="BS113" s="154">
        <f t="shared" ca="1" si="500"/>
        <v>0</v>
      </c>
      <c r="BT113" s="154">
        <f t="shared" ca="1" si="501"/>
        <v>0</v>
      </c>
      <c r="BU113" s="154">
        <f t="shared" ca="1" si="502"/>
        <v>0</v>
      </c>
      <c r="BV113" s="154">
        <f t="shared" ca="1" si="503"/>
        <v>0</v>
      </c>
      <c r="BW113" s="154">
        <f t="shared" ca="1" si="504"/>
        <v>0</v>
      </c>
      <c r="BX113" s="154">
        <f t="shared" ca="1" si="505"/>
        <v>0</v>
      </c>
      <c r="BY113" s="154">
        <f t="shared" ca="1" si="506"/>
        <v>0</v>
      </c>
      <c r="BZ113" s="154">
        <f t="shared" si="507"/>
        <v>0</v>
      </c>
      <c r="CA113" s="154">
        <f t="shared" si="508"/>
        <v>0</v>
      </c>
      <c r="CB113" s="154">
        <f t="shared" ca="1" si="509"/>
        <v>0</v>
      </c>
      <c r="CC113" s="523"/>
      <c r="CD113" s="355">
        <f t="shared" si="510"/>
        <v>137</v>
      </c>
      <c r="CE113" s="751" t="str">
        <f t="shared" ca="1" si="511"/>
        <v>B</v>
      </c>
      <c r="CF113" s="355" t="str">
        <f t="shared" ca="1" si="534"/>
        <v/>
      </c>
      <c r="CG113" s="268"/>
      <c r="CH113" s="268"/>
      <c r="CI113" s="269">
        <f t="shared" ca="1" si="512"/>
        <v>0</v>
      </c>
      <c r="CJ113" s="269">
        <f t="shared" ca="1" si="513"/>
        <v>0</v>
      </c>
      <c r="CK113" s="268"/>
      <c r="CL113" s="268"/>
      <c r="CM113" s="268">
        <f t="shared" ca="1" si="327"/>
        <v>0</v>
      </c>
      <c r="CN113" s="269">
        <f t="shared" ca="1" si="328"/>
        <v>0</v>
      </c>
      <c r="CO113" s="268" t="str">
        <f t="shared" ca="1" si="514"/>
        <v>B</v>
      </c>
      <c r="CP113" s="269" t="b">
        <f t="shared" ca="1" si="515"/>
        <v>1</v>
      </c>
      <c r="CQ113" s="269">
        <f t="shared" si="516"/>
        <v>0</v>
      </c>
      <c r="CR113" s="269">
        <f t="shared" si="517"/>
        <v>0</v>
      </c>
      <c r="CS113" s="269">
        <f t="shared" ca="1" si="518"/>
        <v>0</v>
      </c>
      <c r="CT113" s="302" t="str">
        <f t="shared" ca="1" si="519"/>
        <v>0</v>
      </c>
      <c r="CU113" s="269">
        <f t="shared" ca="1" si="520"/>
        <v>0</v>
      </c>
      <c r="CV113" s="268"/>
      <c r="CW113" s="269">
        <f t="shared" ca="1" si="521"/>
        <v>0</v>
      </c>
      <c r="CX113" s="301">
        <f t="shared" ca="1" si="522"/>
        <v>0</v>
      </c>
      <c r="CY113" s="301">
        <f t="shared" ca="1" si="329"/>
        <v>0</v>
      </c>
      <c r="CZ113" s="301">
        <f t="shared" ca="1" si="523"/>
        <v>0</v>
      </c>
      <c r="DA113" s="301">
        <f t="shared" ca="1" si="524"/>
        <v>0</v>
      </c>
      <c r="DB113" t="str">
        <f ca="1">IF(AND(NOT(ISBLANK($F113)),$F113&lt;=$B113),"TaW SE zu klein","")</f>
        <v/>
      </c>
      <c r="DC113" s="301" t="str">
        <f t="shared" ca="1" si="525"/>
        <v/>
      </c>
      <c r="DD113" s="1337" t="str">
        <f t="shared" ca="1" si="535"/>
        <v/>
      </c>
      <c r="DE113" s="1337" t="str">
        <f t="shared" ca="1" si="536"/>
        <v/>
      </c>
      <c r="DG113" s="269" t="str">
        <f t="shared" ca="1" si="526"/>
        <v>Tabellen_Andere!BA18:BF18</v>
      </c>
      <c r="DH113" s="269" t="str">
        <f t="shared" si="527"/>
        <v>Tabellen_Andere!BA18:BF18</v>
      </c>
      <c r="DI113" s="269" t="str">
        <f ca="1">IF(NOT(ISERR(FIND(A113&amp;" ",Abfragen!$O$264,1))),MID(Abfragen!$O$264,FIND("(",Abfragen!$O$264,FIND(A113,Abfragen!$O$264,1)+LEN(A113))+1,FIND(")",Abfragen!$O$264,FIND(A113,Abfragen!$O$264,1)+LEN(A113))-FIND("(",Abfragen!$O$264,FIND(A113,Abfragen!$O$264,1)+LEN(A113))-1),"")</f>
        <v/>
      </c>
      <c r="DJ113" s="301" t="str">
        <f t="shared" ca="1" si="528"/>
        <v>B</v>
      </c>
      <c r="DK113" s="301" t="str">
        <f t="shared" ca="1" si="528"/>
        <v>B</v>
      </c>
      <c r="DL113" s="301" t="str">
        <f t="shared" ca="1" si="528"/>
        <v>B</v>
      </c>
      <c r="DM113" s="301" t="str">
        <f t="shared" ca="1" si="528"/>
        <v>B</v>
      </c>
      <c r="DN113" s="301" t="str">
        <f t="shared" ca="1" si="528"/>
        <v>B</v>
      </c>
      <c r="DO113" s="301" t="str">
        <f t="shared" ca="1" si="528"/>
        <v>B</v>
      </c>
      <c r="DP113" s="301" t="str">
        <f t="shared" ca="1" si="528"/>
        <v>B</v>
      </c>
      <c r="DQ113" s="301" t="str">
        <f t="shared" ca="1" si="528"/>
        <v>B</v>
      </c>
      <c r="DR113" s="301" t="str">
        <f t="shared" ca="1" si="528"/>
        <v>B</v>
      </c>
      <c r="DS113" s="301" t="str">
        <f t="shared" ca="1" si="528"/>
        <v>B</v>
      </c>
      <c r="DT113" s="301" t="str">
        <f t="shared" ca="1" si="529"/>
        <v>B</v>
      </c>
      <c r="DU113" s="301" t="str">
        <f t="shared" ca="1" si="529"/>
        <v>B</v>
      </c>
      <c r="DV113" s="301" t="str">
        <f t="shared" ca="1" si="529"/>
        <v>B</v>
      </c>
      <c r="DW113" s="301" t="str">
        <f t="shared" ca="1" si="529"/>
        <v>B</v>
      </c>
      <c r="DX113" s="301" t="str">
        <f t="shared" ca="1" si="529"/>
        <v>B</v>
      </c>
      <c r="DY113" s="301" t="str">
        <f t="shared" ca="1" si="529"/>
        <v>B</v>
      </c>
      <c r="DZ113" s="301" t="str">
        <f t="shared" ca="1" si="529"/>
        <v>B</v>
      </c>
      <c r="EA113" s="301" t="str">
        <f t="shared" ca="1" si="529"/>
        <v>B</v>
      </c>
      <c r="EB113" s="301" t="str">
        <f t="shared" ca="1" si="529"/>
        <v>B</v>
      </c>
      <c r="EC113" s="301" t="str">
        <f t="shared" ca="1" si="529"/>
        <v>B</v>
      </c>
      <c r="ED113" s="301" t="str">
        <f t="shared" ca="1" si="529"/>
        <v>B</v>
      </c>
      <c r="EE113" s="301" t="str">
        <f t="shared" ca="1" si="529"/>
        <v>B</v>
      </c>
      <c r="EF113" s="205"/>
      <c r="EG113" s="301" t="str">
        <f t="shared" ca="1" si="530"/>
        <v>B</v>
      </c>
      <c r="EH113" s="301" t="str">
        <f t="shared" ca="1" si="530"/>
        <v>B</v>
      </c>
      <c r="EI113" s="301" t="str">
        <f t="shared" ca="1" si="530"/>
        <v>B</v>
      </c>
      <c r="EJ113" s="301" t="str">
        <f t="shared" ca="1" si="530"/>
        <v>B</v>
      </c>
      <c r="EK113" s="301" t="str">
        <f t="shared" ca="1" si="530"/>
        <v>B</v>
      </c>
      <c r="EL113" s="301" t="str">
        <f t="shared" ca="1" si="530"/>
        <v>B</v>
      </c>
      <c r="EM113" s="301" t="str">
        <f t="shared" ca="1" si="530"/>
        <v>B</v>
      </c>
      <c r="EN113" s="301" t="str">
        <f t="shared" ca="1" si="530"/>
        <v>B</v>
      </c>
      <c r="EO113" s="301" t="str">
        <f t="shared" ca="1" si="530"/>
        <v>B</v>
      </c>
      <c r="EP113" s="301" t="str">
        <f t="shared" ca="1" si="530"/>
        <v>B</v>
      </c>
      <c r="EQ113" s="301" t="str">
        <f t="shared" ca="1" si="531"/>
        <v>B</v>
      </c>
      <c r="ER113" s="301" t="str">
        <f t="shared" ca="1" si="531"/>
        <v>B</v>
      </c>
      <c r="ES113" s="301" t="str">
        <f t="shared" ca="1" si="531"/>
        <v>B</v>
      </c>
      <c r="ET113" s="301" t="str">
        <f t="shared" ca="1" si="531"/>
        <v>B</v>
      </c>
      <c r="EU113" s="301" t="str">
        <f t="shared" ca="1" si="531"/>
        <v>B</v>
      </c>
      <c r="EV113" s="301" t="str">
        <f t="shared" ca="1" si="531"/>
        <v>B</v>
      </c>
      <c r="EW113" s="301" t="str">
        <f t="shared" ca="1" si="531"/>
        <v>B</v>
      </c>
      <c r="EX113" s="301" t="str">
        <f t="shared" ca="1" si="531"/>
        <v>B</v>
      </c>
      <c r="EY113" s="301" t="str">
        <f t="shared" ca="1" si="531"/>
        <v>B</v>
      </c>
      <c r="EZ113" s="301" t="str">
        <f t="shared" ca="1" si="531"/>
        <v>B</v>
      </c>
      <c r="FA113" s="301" t="str">
        <f t="shared" ca="1" si="532"/>
        <v>B</v>
      </c>
      <c r="FB113" s="301" t="str">
        <f t="shared" ca="1" si="532"/>
        <v>B</v>
      </c>
      <c r="FC113" s="301" t="str">
        <f t="shared" ca="1" si="532"/>
        <v>B</v>
      </c>
      <c r="FD113" s="301" t="str">
        <f t="shared" ca="1" si="532"/>
        <v>B</v>
      </c>
      <c r="FE113" s="301" t="str">
        <f t="shared" ca="1" si="532"/>
        <v>B</v>
      </c>
      <c r="FF113" s="301" t="str">
        <f t="shared" ca="1" si="532"/>
        <v>B</v>
      </c>
      <c r="FG113" s="301" t="str">
        <f t="shared" ca="1" si="532"/>
        <v>B</v>
      </c>
      <c r="FH113" s="301" t="str">
        <f t="shared" ca="1" si="532"/>
        <v>B</v>
      </c>
      <c r="FI113" s="301" t="str">
        <f t="shared" ca="1" si="532"/>
        <v>B</v>
      </c>
      <c r="FJ113" s="301" t="str">
        <f t="shared" ca="1" si="532"/>
        <v>B</v>
      </c>
      <c r="FK113" s="301" t="str">
        <f t="shared" ca="1" si="532"/>
        <v>B</v>
      </c>
      <c r="FL113" s="301" t="str">
        <f t="shared" ca="1" si="532"/>
        <v>B</v>
      </c>
    </row>
    <row r="114" spans="1:168" x14ac:dyDescent="0.2">
      <c r="A114" s="38" t="str">
        <f t="shared" si="533"/>
        <v>Drucker</v>
      </c>
      <c r="B114" s="317" t="str">
        <f t="shared" ca="1" si="448"/>
        <v/>
      </c>
      <c r="C114" s="332" t="str">
        <f t="shared" ca="1" si="449"/>
        <v/>
      </c>
      <c r="D114" s="1110"/>
      <c r="E114" s="966"/>
      <c r="F114" s="325"/>
      <c r="G114" s="958"/>
      <c r="H114" s="1196"/>
      <c r="I114" s="326"/>
      <c r="J114" s="1886" t="str">
        <f t="shared" ca="1" si="450"/>
        <v/>
      </c>
      <c r="K114" s="1887"/>
      <c r="L114" s="1887"/>
      <c r="M114" s="1887"/>
      <c r="N114" s="1888"/>
      <c r="O114" s="613" t="str">
        <f t="shared" ca="1" si="451"/>
        <v/>
      </c>
      <c r="P114" s="90"/>
      <c r="Q114" s="25"/>
      <c r="R114" s="1313"/>
      <c r="S114" s="1313"/>
      <c r="T114" s="1315"/>
      <c r="U114" s="1283"/>
      <c r="V114" s="628" t="str">
        <f t="shared" ca="1" si="452"/>
        <v/>
      </c>
      <c r="W114" s="164">
        <f t="shared" ca="1" si="453"/>
        <v>0</v>
      </c>
      <c r="X114" s="164">
        <f t="shared" ca="1" si="454"/>
        <v>0</v>
      </c>
      <c r="Y114" s="164">
        <f t="shared" ca="1" si="455"/>
        <v>0</v>
      </c>
      <c r="Z114" s="164">
        <f t="shared" ca="1" si="456"/>
        <v>0</v>
      </c>
      <c r="AA114" s="164">
        <f t="shared" ca="1" si="457"/>
        <v>0</v>
      </c>
      <c r="AB114" s="164">
        <f t="shared" ca="1" si="458"/>
        <v>0</v>
      </c>
      <c r="AC114" s="164">
        <f t="shared" ca="1" si="459"/>
        <v>0</v>
      </c>
      <c r="AD114" s="164">
        <f t="shared" ca="1" si="460"/>
        <v>0</v>
      </c>
      <c r="AE114" s="164">
        <f t="shared" ca="1" si="461"/>
        <v>0</v>
      </c>
      <c r="AF114" s="164">
        <f t="shared" ca="1" si="462"/>
        <v>0</v>
      </c>
      <c r="AG114" s="164">
        <f t="shared" ca="1" si="463"/>
        <v>0</v>
      </c>
      <c r="AH114" s="164">
        <f t="shared" ca="1" si="464"/>
        <v>0</v>
      </c>
      <c r="AI114" s="164">
        <f t="shared" ca="1" si="465"/>
        <v>0</v>
      </c>
      <c r="AJ114" s="164">
        <f t="shared" ca="1" si="466"/>
        <v>0</v>
      </c>
      <c r="AK114" s="164">
        <f t="shared" ca="1" si="467"/>
        <v>0</v>
      </c>
      <c r="AL114" s="164">
        <f t="shared" ca="1" si="468"/>
        <v>0</v>
      </c>
      <c r="AM114" s="164">
        <f t="shared" ca="1" si="469"/>
        <v>0</v>
      </c>
      <c r="AN114" s="164">
        <f t="shared" ca="1" si="470"/>
        <v>0</v>
      </c>
      <c r="AO114" s="164">
        <f t="shared" ca="1" si="471"/>
        <v>0</v>
      </c>
      <c r="AP114" s="164">
        <f t="shared" ca="1" si="472"/>
        <v>0</v>
      </c>
      <c r="AQ114" s="164">
        <f t="shared" ca="1" si="473"/>
        <v>0</v>
      </c>
      <c r="AR114" s="164">
        <f t="shared" ca="1" si="474"/>
        <v>0</v>
      </c>
      <c r="AS114" s="195"/>
      <c r="AT114" s="154">
        <f t="shared" ca="1" si="475"/>
        <v>0</v>
      </c>
      <c r="AU114" s="154">
        <f t="shared" ca="1" si="476"/>
        <v>0</v>
      </c>
      <c r="AV114" s="154">
        <f t="shared" ca="1" si="477"/>
        <v>0</v>
      </c>
      <c r="AW114" s="154">
        <f t="shared" ca="1" si="478"/>
        <v>0</v>
      </c>
      <c r="AX114" s="154">
        <f t="shared" ca="1" si="479"/>
        <v>0</v>
      </c>
      <c r="AY114" s="154">
        <f t="shared" ca="1" si="480"/>
        <v>0</v>
      </c>
      <c r="AZ114" s="154">
        <f t="shared" ca="1" si="481"/>
        <v>0</v>
      </c>
      <c r="BA114" s="154">
        <f t="shared" ca="1" si="482"/>
        <v>0</v>
      </c>
      <c r="BB114" s="154">
        <f t="shared" ca="1" si="483"/>
        <v>0</v>
      </c>
      <c r="BC114" s="154">
        <f t="shared" ca="1" si="484"/>
        <v>0</v>
      </c>
      <c r="BD114" s="154">
        <f t="shared" ca="1" si="485"/>
        <v>0</v>
      </c>
      <c r="BE114" s="154">
        <f t="shared" ca="1" si="486"/>
        <v>0</v>
      </c>
      <c r="BF114" s="154">
        <f t="shared" ca="1" si="487"/>
        <v>0</v>
      </c>
      <c r="BG114" s="154">
        <f t="shared" ca="1" si="488"/>
        <v>0</v>
      </c>
      <c r="BH114" s="154">
        <f t="shared" ca="1" si="489"/>
        <v>0</v>
      </c>
      <c r="BI114" s="154">
        <f t="shared" ca="1" si="490"/>
        <v>0</v>
      </c>
      <c r="BJ114" s="154">
        <f t="shared" ca="1" si="491"/>
        <v>0</v>
      </c>
      <c r="BK114" s="154">
        <f t="shared" ca="1" si="492"/>
        <v>0</v>
      </c>
      <c r="BL114" s="154">
        <f t="shared" ca="1" si="493"/>
        <v>0</v>
      </c>
      <c r="BM114" s="154">
        <f t="shared" ca="1" si="494"/>
        <v>0</v>
      </c>
      <c r="BN114" s="154">
        <f t="shared" ca="1" si="495"/>
        <v>0</v>
      </c>
      <c r="BO114" s="154">
        <f t="shared" ca="1" si="496"/>
        <v>0</v>
      </c>
      <c r="BP114" s="154">
        <f t="shared" ca="1" si="497"/>
        <v>0</v>
      </c>
      <c r="BQ114" s="154">
        <f t="shared" ca="1" si="498"/>
        <v>0</v>
      </c>
      <c r="BR114" s="154">
        <f t="shared" ca="1" si="499"/>
        <v>0</v>
      </c>
      <c r="BS114" s="154">
        <f t="shared" ca="1" si="500"/>
        <v>0</v>
      </c>
      <c r="BT114" s="154">
        <f t="shared" ca="1" si="501"/>
        <v>0</v>
      </c>
      <c r="BU114" s="154">
        <f t="shared" ca="1" si="502"/>
        <v>0</v>
      </c>
      <c r="BV114" s="154">
        <f t="shared" ca="1" si="503"/>
        <v>0</v>
      </c>
      <c r="BW114" s="154">
        <f t="shared" ca="1" si="504"/>
        <v>0</v>
      </c>
      <c r="BX114" s="154">
        <f t="shared" ca="1" si="505"/>
        <v>0</v>
      </c>
      <c r="BY114" s="154">
        <f t="shared" ca="1" si="506"/>
        <v>0</v>
      </c>
      <c r="BZ114" s="154">
        <f t="shared" si="507"/>
        <v>0</v>
      </c>
      <c r="CA114" s="154">
        <f t="shared" si="508"/>
        <v>0</v>
      </c>
      <c r="CB114" s="154">
        <f t="shared" ca="1" si="509"/>
        <v>0</v>
      </c>
      <c r="CC114" s="523"/>
      <c r="CD114" s="355">
        <f t="shared" si="510"/>
        <v>138</v>
      </c>
      <c r="CE114" s="751" t="str">
        <f t="shared" ca="1" si="511"/>
        <v>B</v>
      </c>
      <c r="CF114" s="355" t="str">
        <f t="shared" ca="1" si="534"/>
        <v/>
      </c>
      <c r="CG114" s="268"/>
      <c r="CH114" s="268"/>
      <c r="CI114" s="269">
        <f t="shared" ca="1" si="512"/>
        <v>0</v>
      </c>
      <c r="CJ114" s="269">
        <f t="shared" ca="1" si="513"/>
        <v>0</v>
      </c>
      <c r="CK114" s="268"/>
      <c r="CL114" s="268"/>
      <c r="CM114" s="268">
        <f t="shared" ca="1" si="327"/>
        <v>0</v>
      </c>
      <c r="CN114" s="269">
        <f t="shared" ca="1" si="328"/>
        <v>0</v>
      </c>
      <c r="CO114" s="268" t="str">
        <f t="shared" ca="1" si="514"/>
        <v>B</v>
      </c>
      <c r="CP114" s="269" t="b">
        <f t="shared" ca="1" si="515"/>
        <v>1</v>
      </c>
      <c r="CQ114" s="269">
        <f t="shared" si="516"/>
        <v>0</v>
      </c>
      <c r="CR114" s="269">
        <f t="shared" si="517"/>
        <v>0</v>
      </c>
      <c r="CS114" s="269">
        <f t="shared" ca="1" si="518"/>
        <v>0</v>
      </c>
      <c r="CT114" s="302" t="str">
        <f t="shared" ca="1" si="519"/>
        <v>0</v>
      </c>
      <c r="CU114" s="269">
        <f t="shared" ca="1" si="520"/>
        <v>0</v>
      </c>
      <c r="CV114" s="268"/>
      <c r="CW114" s="269">
        <f t="shared" ca="1" si="521"/>
        <v>0</v>
      </c>
      <c r="CX114" s="301">
        <f t="shared" ca="1" si="522"/>
        <v>0</v>
      </c>
      <c r="CY114" s="301">
        <f t="shared" ca="1" si="329"/>
        <v>0</v>
      </c>
      <c r="CZ114" s="301">
        <f t="shared" ca="1" si="523"/>
        <v>0</v>
      </c>
      <c r="DA114" s="301">
        <f t="shared" ca="1" si="524"/>
        <v>0</v>
      </c>
      <c r="DB114" t="str">
        <f ca="1">IF(AND(NOT(AND(ISBLANK($G114),ISBLANK($I114))),OR($O$246&lt;4,$O$138&lt;4,IF($O$94="",TRUE,$O$94&lt;4))),"L/S &amp; M/Z &amp; Mechanik 4+",IF(AND(NOT(ISBLANK($F114)),$F114&lt;=$B114),"TaW SE zu klein",""))</f>
        <v/>
      </c>
      <c r="DC114" s="301" t="str">
        <f t="shared" ca="1" si="525"/>
        <v/>
      </c>
      <c r="DD114" s="1337" t="str">
        <f t="shared" ca="1" si="535"/>
        <v/>
      </c>
      <c r="DE114" s="1337" t="str">
        <f t="shared" ca="1" si="536"/>
        <v/>
      </c>
      <c r="DG114" s="269" t="str">
        <f t="shared" ca="1" si="526"/>
        <v>Tabellen_Andere!BA22:BF22</v>
      </c>
      <c r="DH114" s="269" t="str">
        <f t="shared" si="527"/>
        <v>Tabellen_Andere!BA22:BF22</v>
      </c>
      <c r="DI114" s="269" t="str">
        <f ca="1">IF(NOT(ISERR(FIND(A114&amp;" ",Abfragen!$O$264,1))),MID(Abfragen!$O$264,FIND("(",Abfragen!$O$264,FIND(A114,Abfragen!$O$264,1)+LEN(A114))+1,FIND(")",Abfragen!$O$264,FIND(A114,Abfragen!$O$264,1)+LEN(A114))-FIND("(",Abfragen!$O$264,FIND(A114,Abfragen!$O$264,1)+LEN(A114))-1),"")</f>
        <v/>
      </c>
      <c r="DJ114" s="301" t="str">
        <f t="shared" ca="1" si="528"/>
        <v>B</v>
      </c>
      <c r="DK114" s="301" t="str">
        <f t="shared" ca="1" si="528"/>
        <v>B</v>
      </c>
      <c r="DL114" s="301" t="str">
        <f t="shared" ca="1" si="528"/>
        <v>B</v>
      </c>
      <c r="DM114" s="301" t="str">
        <f t="shared" ca="1" si="528"/>
        <v>B</v>
      </c>
      <c r="DN114" s="301" t="str">
        <f t="shared" ca="1" si="528"/>
        <v>B</v>
      </c>
      <c r="DO114" s="301" t="str">
        <f t="shared" ca="1" si="528"/>
        <v>B</v>
      </c>
      <c r="DP114" s="301" t="str">
        <f t="shared" ca="1" si="528"/>
        <v>B</v>
      </c>
      <c r="DQ114" s="301" t="str">
        <f t="shared" ca="1" si="528"/>
        <v>B</v>
      </c>
      <c r="DR114" s="301" t="str">
        <f t="shared" ca="1" si="528"/>
        <v>B</v>
      </c>
      <c r="DS114" s="301" t="str">
        <f t="shared" ca="1" si="528"/>
        <v>B</v>
      </c>
      <c r="DT114" s="301" t="str">
        <f t="shared" ca="1" si="529"/>
        <v>B</v>
      </c>
      <c r="DU114" s="301" t="str">
        <f t="shared" ca="1" si="529"/>
        <v>B</v>
      </c>
      <c r="DV114" s="301" t="str">
        <f t="shared" ca="1" si="529"/>
        <v>B</v>
      </c>
      <c r="DW114" s="301" t="str">
        <f t="shared" ca="1" si="529"/>
        <v>B</v>
      </c>
      <c r="DX114" s="301" t="str">
        <f t="shared" ca="1" si="529"/>
        <v>B</v>
      </c>
      <c r="DY114" s="301" t="str">
        <f t="shared" ca="1" si="529"/>
        <v>B</v>
      </c>
      <c r="DZ114" s="301" t="str">
        <f t="shared" ca="1" si="529"/>
        <v>B</v>
      </c>
      <c r="EA114" s="301" t="str">
        <f t="shared" ca="1" si="529"/>
        <v>B</v>
      </c>
      <c r="EB114" s="301" t="str">
        <f t="shared" ca="1" si="529"/>
        <v>B</v>
      </c>
      <c r="EC114" s="301" t="str">
        <f t="shared" ca="1" si="529"/>
        <v>B</v>
      </c>
      <c r="ED114" s="301" t="str">
        <f t="shared" ca="1" si="529"/>
        <v>B</v>
      </c>
      <c r="EE114" s="301" t="str">
        <f t="shared" ca="1" si="529"/>
        <v>B</v>
      </c>
      <c r="EF114" s="205"/>
      <c r="EG114" s="301" t="str">
        <f t="shared" ca="1" si="530"/>
        <v>B</v>
      </c>
      <c r="EH114" s="301" t="str">
        <f t="shared" ca="1" si="530"/>
        <v>B</v>
      </c>
      <c r="EI114" s="301" t="str">
        <f t="shared" ca="1" si="530"/>
        <v>B</v>
      </c>
      <c r="EJ114" s="301" t="str">
        <f t="shared" ca="1" si="530"/>
        <v>B</v>
      </c>
      <c r="EK114" s="301" t="str">
        <f t="shared" ca="1" si="530"/>
        <v>B</v>
      </c>
      <c r="EL114" s="301" t="str">
        <f t="shared" ca="1" si="530"/>
        <v>B</v>
      </c>
      <c r="EM114" s="301" t="str">
        <f t="shared" ca="1" si="530"/>
        <v>B</v>
      </c>
      <c r="EN114" s="301" t="str">
        <f t="shared" ca="1" si="530"/>
        <v>B</v>
      </c>
      <c r="EO114" s="301" t="str">
        <f t="shared" ca="1" si="530"/>
        <v>B</v>
      </c>
      <c r="EP114" s="301" t="str">
        <f t="shared" ca="1" si="530"/>
        <v>B</v>
      </c>
      <c r="EQ114" s="301" t="str">
        <f t="shared" ca="1" si="531"/>
        <v>B</v>
      </c>
      <c r="ER114" s="301" t="str">
        <f t="shared" ca="1" si="531"/>
        <v>B</v>
      </c>
      <c r="ES114" s="301" t="str">
        <f t="shared" ca="1" si="531"/>
        <v>B</v>
      </c>
      <c r="ET114" s="301" t="str">
        <f t="shared" ca="1" si="531"/>
        <v>B</v>
      </c>
      <c r="EU114" s="301" t="str">
        <f t="shared" ca="1" si="531"/>
        <v>B</v>
      </c>
      <c r="EV114" s="301" t="str">
        <f t="shared" ca="1" si="531"/>
        <v>B</v>
      </c>
      <c r="EW114" s="301" t="str">
        <f t="shared" ca="1" si="531"/>
        <v>B</v>
      </c>
      <c r="EX114" s="301" t="str">
        <f t="shared" ca="1" si="531"/>
        <v>B</v>
      </c>
      <c r="EY114" s="301" t="str">
        <f t="shared" ca="1" si="531"/>
        <v>B</v>
      </c>
      <c r="EZ114" s="301" t="str">
        <f t="shared" ca="1" si="531"/>
        <v>B</v>
      </c>
      <c r="FA114" s="301" t="str">
        <f t="shared" ca="1" si="532"/>
        <v>B</v>
      </c>
      <c r="FB114" s="301" t="str">
        <f t="shared" ca="1" si="532"/>
        <v>B</v>
      </c>
      <c r="FC114" s="301" t="str">
        <f t="shared" ca="1" si="532"/>
        <v>B</v>
      </c>
      <c r="FD114" s="301" t="str">
        <f t="shared" ca="1" si="532"/>
        <v>B</v>
      </c>
      <c r="FE114" s="301" t="str">
        <f t="shared" ca="1" si="532"/>
        <v>B</v>
      </c>
      <c r="FF114" s="301" t="str">
        <f t="shared" ca="1" si="532"/>
        <v>B</v>
      </c>
      <c r="FG114" s="301" t="str">
        <f t="shared" ca="1" si="532"/>
        <v>B</v>
      </c>
      <c r="FH114" s="301" t="str">
        <f t="shared" ca="1" si="532"/>
        <v>B</v>
      </c>
      <c r="FI114" s="301" t="str">
        <f t="shared" ca="1" si="532"/>
        <v>B</v>
      </c>
      <c r="FJ114" s="301" t="str">
        <f t="shared" ca="1" si="532"/>
        <v>B</v>
      </c>
      <c r="FK114" s="301" t="str">
        <f t="shared" ca="1" si="532"/>
        <v>B</v>
      </c>
      <c r="FL114" s="301" t="str">
        <f t="shared" ca="1" si="532"/>
        <v>B</v>
      </c>
    </row>
    <row r="115" spans="1:168" x14ac:dyDescent="0.2">
      <c r="A115" s="1530" t="str">
        <f t="shared" si="533"/>
        <v>Eissegler Fahren</v>
      </c>
      <c r="B115" s="317" t="str">
        <f t="shared" ca="1" si="448"/>
        <v/>
      </c>
      <c r="C115" s="332" t="str">
        <f t="shared" ca="1" si="449"/>
        <v/>
      </c>
      <c r="D115" s="1110"/>
      <c r="E115" s="966"/>
      <c r="F115" s="325"/>
      <c r="G115" s="958"/>
      <c r="H115" s="1196"/>
      <c r="I115" s="326"/>
      <c r="J115" s="1886" t="str">
        <f t="shared" ca="1" si="450"/>
        <v/>
      </c>
      <c r="K115" s="1887"/>
      <c r="L115" s="1887"/>
      <c r="M115" s="1887"/>
      <c r="N115" s="1888"/>
      <c r="O115" s="613" t="str">
        <f t="shared" ca="1" si="451"/>
        <v/>
      </c>
      <c r="P115" s="90"/>
      <c r="Q115" s="25"/>
      <c r="R115" s="1313"/>
      <c r="S115" s="1313"/>
      <c r="T115" s="1315"/>
      <c r="U115" s="1283"/>
      <c r="V115" s="628" t="str">
        <f t="shared" ca="1" si="452"/>
        <v/>
      </c>
      <c r="W115" s="164">
        <f t="shared" ca="1" si="453"/>
        <v>0</v>
      </c>
      <c r="X115" s="164">
        <f t="shared" ca="1" si="454"/>
        <v>0</v>
      </c>
      <c r="Y115" s="164">
        <f t="shared" ca="1" si="455"/>
        <v>0</v>
      </c>
      <c r="Z115" s="164">
        <f t="shared" ca="1" si="456"/>
        <v>0</v>
      </c>
      <c r="AA115" s="164">
        <f t="shared" ca="1" si="457"/>
        <v>0</v>
      </c>
      <c r="AB115" s="164">
        <f t="shared" ca="1" si="458"/>
        <v>0</v>
      </c>
      <c r="AC115" s="164">
        <f t="shared" ca="1" si="459"/>
        <v>0</v>
      </c>
      <c r="AD115" s="164">
        <f t="shared" ca="1" si="460"/>
        <v>0</v>
      </c>
      <c r="AE115" s="164">
        <f t="shared" ca="1" si="461"/>
        <v>0</v>
      </c>
      <c r="AF115" s="164">
        <f t="shared" ca="1" si="462"/>
        <v>0</v>
      </c>
      <c r="AG115" s="164">
        <f t="shared" ca="1" si="463"/>
        <v>0</v>
      </c>
      <c r="AH115" s="164">
        <f t="shared" ca="1" si="464"/>
        <v>0</v>
      </c>
      <c r="AI115" s="164">
        <f t="shared" ca="1" si="465"/>
        <v>0</v>
      </c>
      <c r="AJ115" s="164">
        <f t="shared" ca="1" si="466"/>
        <v>0</v>
      </c>
      <c r="AK115" s="164">
        <f t="shared" ca="1" si="467"/>
        <v>0</v>
      </c>
      <c r="AL115" s="164">
        <f t="shared" ca="1" si="468"/>
        <v>0</v>
      </c>
      <c r="AM115" s="164">
        <f t="shared" ca="1" si="469"/>
        <v>0</v>
      </c>
      <c r="AN115" s="164">
        <f t="shared" ca="1" si="470"/>
        <v>0</v>
      </c>
      <c r="AO115" s="164">
        <f t="shared" ca="1" si="471"/>
        <v>0</v>
      </c>
      <c r="AP115" s="164">
        <f t="shared" ca="1" si="472"/>
        <v>0</v>
      </c>
      <c r="AQ115" s="164">
        <f t="shared" ca="1" si="473"/>
        <v>0</v>
      </c>
      <c r="AR115" s="164">
        <f t="shared" ca="1" si="474"/>
        <v>0</v>
      </c>
      <c r="AS115" s="195"/>
      <c r="AT115" s="154">
        <f t="shared" ca="1" si="475"/>
        <v>0</v>
      </c>
      <c r="AU115" s="154">
        <f t="shared" ca="1" si="476"/>
        <v>0</v>
      </c>
      <c r="AV115" s="154">
        <f t="shared" ca="1" si="477"/>
        <v>0</v>
      </c>
      <c r="AW115" s="154">
        <f t="shared" ca="1" si="478"/>
        <v>0</v>
      </c>
      <c r="AX115" s="154">
        <f t="shared" ca="1" si="479"/>
        <v>0</v>
      </c>
      <c r="AY115" s="154">
        <f t="shared" ca="1" si="480"/>
        <v>0</v>
      </c>
      <c r="AZ115" s="154">
        <f t="shared" ca="1" si="481"/>
        <v>0</v>
      </c>
      <c r="BA115" s="154">
        <f t="shared" ca="1" si="482"/>
        <v>0</v>
      </c>
      <c r="BB115" s="154">
        <f t="shared" ca="1" si="483"/>
        <v>0</v>
      </c>
      <c r="BC115" s="154">
        <f t="shared" ca="1" si="484"/>
        <v>0</v>
      </c>
      <c r="BD115" s="154">
        <f t="shared" ca="1" si="485"/>
        <v>0</v>
      </c>
      <c r="BE115" s="154">
        <f t="shared" ca="1" si="486"/>
        <v>0</v>
      </c>
      <c r="BF115" s="154">
        <f t="shared" ca="1" si="487"/>
        <v>0</v>
      </c>
      <c r="BG115" s="154">
        <f t="shared" ca="1" si="488"/>
        <v>0</v>
      </c>
      <c r="BH115" s="154">
        <f t="shared" ca="1" si="489"/>
        <v>0</v>
      </c>
      <c r="BI115" s="154">
        <f t="shared" ca="1" si="490"/>
        <v>0</v>
      </c>
      <c r="BJ115" s="154">
        <f t="shared" ca="1" si="491"/>
        <v>0</v>
      </c>
      <c r="BK115" s="154">
        <f t="shared" ca="1" si="492"/>
        <v>0</v>
      </c>
      <c r="BL115" s="154">
        <f t="shared" ca="1" si="493"/>
        <v>0</v>
      </c>
      <c r="BM115" s="154">
        <f t="shared" ca="1" si="494"/>
        <v>0</v>
      </c>
      <c r="BN115" s="154">
        <f t="shared" ca="1" si="495"/>
        <v>0</v>
      </c>
      <c r="BO115" s="154">
        <f t="shared" ca="1" si="496"/>
        <v>0</v>
      </c>
      <c r="BP115" s="154">
        <f t="shared" ca="1" si="497"/>
        <v>0</v>
      </c>
      <c r="BQ115" s="154">
        <f t="shared" ca="1" si="498"/>
        <v>0</v>
      </c>
      <c r="BR115" s="154">
        <f t="shared" ca="1" si="499"/>
        <v>0</v>
      </c>
      <c r="BS115" s="154">
        <f t="shared" ca="1" si="500"/>
        <v>0</v>
      </c>
      <c r="BT115" s="154">
        <f t="shared" ca="1" si="501"/>
        <v>0</v>
      </c>
      <c r="BU115" s="154">
        <f t="shared" ca="1" si="502"/>
        <v>0</v>
      </c>
      <c r="BV115" s="154">
        <f t="shared" ca="1" si="503"/>
        <v>0</v>
      </c>
      <c r="BW115" s="154">
        <f t="shared" ca="1" si="504"/>
        <v>0</v>
      </c>
      <c r="BX115" s="154">
        <f t="shared" ca="1" si="505"/>
        <v>0</v>
      </c>
      <c r="BY115" s="154">
        <f t="shared" ca="1" si="506"/>
        <v>0</v>
      </c>
      <c r="BZ115" s="154">
        <f t="shared" si="507"/>
        <v>0</v>
      </c>
      <c r="CA115" s="154">
        <f t="shared" si="508"/>
        <v>0</v>
      </c>
      <c r="CB115" s="154">
        <f t="shared" ca="1" si="509"/>
        <v>0</v>
      </c>
      <c r="CC115" s="523"/>
      <c r="CD115" s="355">
        <f t="shared" si="510"/>
        <v>139</v>
      </c>
      <c r="CE115" s="751" t="str">
        <f t="shared" ca="1" si="511"/>
        <v>B</v>
      </c>
      <c r="CF115" s="355" t="str">
        <f t="shared" ca="1" si="534"/>
        <v/>
      </c>
      <c r="CG115" s="268"/>
      <c r="CH115" s="268"/>
      <c r="CI115" s="269">
        <f t="shared" ca="1" si="512"/>
        <v>0</v>
      </c>
      <c r="CJ115" s="269">
        <f t="shared" ca="1" si="513"/>
        <v>0</v>
      </c>
      <c r="CK115" s="268"/>
      <c r="CL115" s="268"/>
      <c r="CM115" s="268">
        <f t="shared" ca="1" si="327"/>
        <v>0</v>
      </c>
      <c r="CN115" s="269">
        <f t="shared" ca="1" si="328"/>
        <v>0</v>
      </c>
      <c r="CO115" s="268" t="str">
        <f t="shared" ca="1" si="514"/>
        <v>B</v>
      </c>
      <c r="CP115" s="269" t="b">
        <f t="shared" ca="1" si="515"/>
        <v>1</v>
      </c>
      <c r="CQ115" s="269">
        <f t="shared" si="516"/>
        <v>0</v>
      </c>
      <c r="CR115" s="269">
        <f t="shared" si="517"/>
        <v>0</v>
      </c>
      <c r="CS115" s="269">
        <f t="shared" ca="1" si="518"/>
        <v>0</v>
      </c>
      <c r="CT115" s="302" t="str">
        <f t="shared" ca="1" si="519"/>
        <v>0</v>
      </c>
      <c r="CU115" s="269">
        <f t="shared" ca="1" si="520"/>
        <v>0</v>
      </c>
      <c r="CV115" s="268"/>
      <c r="CW115" s="269">
        <f t="shared" ca="1" si="521"/>
        <v>0</v>
      </c>
      <c r="CX115" s="301">
        <f t="shared" ca="1" si="522"/>
        <v>0</v>
      </c>
      <c r="CY115" s="301">
        <f t="shared" ca="1" si="329"/>
        <v>0</v>
      </c>
      <c r="CZ115" s="301">
        <f t="shared" ca="1" si="523"/>
        <v>0</v>
      </c>
      <c r="DA115" s="301">
        <f t="shared" ca="1" si="524"/>
        <v>0</v>
      </c>
      <c r="DB115" t="str">
        <f ca="1">IF(AND(NOT(ISBLANK($F115)),$F115&lt;=$B115),"TaW SE zu klein","")</f>
        <v/>
      </c>
      <c r="DC115" s="301" t="str">
        <f t="shared" ca="1" si="525"/>
        <v/>
      </c>
      <c r="DD115" s="1337" t="str">
        <f t="shared" ca="1" si="535"/>
        <v/>
      </c>
      <c r="DE115" s="1337" t="str">
        <f t="shared" ca="1" si="536"/>
        <v/>
      </c>
      <c r="DG115" s="269" t="str">
        <f t="shared" ca="1" si="526"/>
        <v>Tabellen_Andere!BA23:BF23</v>
      </c>
      <c r="DH115" s="269" t="str">
        <f t="shared" si="527"/>
        <v>Tabellen_Andere!BA23:BF23</v>
      </c>
      <c r="DI115" s="269" t="str">
        <f ca="1">IF(NOT(ISERR(FIND(A115&amp;" ",Abfragen!$O$264,1))),MID(Abfragen!$O$264,FIND("(",Abfragen!$O$264,FIND(A115,Abfragen!$O$264,1)+LEN(A115))+1,FIND(")",Abfragen!$O$264,FIND(A115,Abfragen!$O$264,1)+LEN(A115))-FIND("(",Abfragen!$O$264,FIND(A115,Abfragen!$O$264,1)+LEN(A115))-1),"")</f>
        <v/>
      </c>
      <c r="DJ115" s="301" t="str">
        <f t="shared" ca="1" si="528"/>
        <v>B</v>
      </c>
      <c r="DK115" s="301" t="str">
        <f t="shared" ca="1" si="528"/>
        <v>B</v>
      </c>
      <c r="DL115" s="301" t="str">
        <f t="shared" ca="1" si="528"/>
        <v>B</v>
      </c>
      <c r="DM115" s="301" t="str">
        <f t="shared" ca="1" si="528"/>
        <v>B</v>
      </c>
      <c r="DN115" s="301" t="str">
        <f t="shared" ca="1" si="528"/>
        <v>B</v>
      </c>
      <c r="DO115" s="301" t="str">
        <f t="shared" ca="1" si="528"/>
        <v>B</v>
      </c>
      <c r="DP115" s="301" t="str">
        <f t="shared" ca="1" si="528"/>
        <v>B</v>
      </c>
      <c r="DQ115" s="301" t="str">
        <f t="shared" ca="1" si="528"/>
        <v>B</v>
      </c>
      <c r="DR115" s="301" t="str">
        <f t="shared" ca="1" si="528"/>
        <v>B</v>
      </c>
      <c r="DS115" s="301" t="str">
        <f t="shared" ca="1" si="528"/>
        <v>B</v>
      </c>
      <c r="DT115" s="301" t="str">
        <f t="shared" ca="1" si="529"/>
        <v>B</v>
      </c>
      <c r="DU115" s="301" t="str">
        <f t="shared" ca="1" si="529"/>
        <v>B</v>
      </c>
      <c r="DV115" s="301" t="str">
        <f t="shared" ca="1" si="529"/>
        <v>B</v>
      </c>
      <c r="DW115" s="301" t="str">
        <f t="shared" ca="1" si="529"/>
        <v>B</v>
      </c>
      <c r="DX115" s="301" t="str">
        <f t="shared" ca="1" si="529"/>
        <v>B</v>
      </c>
      <c r="DY115" s="301" t="str">
        <f t="shared" ca="1" si="529"/>
        <v>B</v>
      </c>
      <c r="DZ115" s="301" t="str">
        <f t="shared" ca="1" si="529"/>
        <v>B</v>
      </c>
      <c r="EA115" s="301" t="str">
        <f t="shared" ca="1" si="529"/>
        <v>B</v>
      </c>
      <c r="EB115" s="301" t="str">
        <f t="shared" ca="1" si="529"/>
        <v>B</v>
      </c>
      <c r="EC115" s="301" t="str">
        <f t="shared" ca="1" si="529"/>
        <v>B</v>
      </c>
      <c r="ED115" s="301" t="str">
        <f t="shared" ca="1" si="529"/>
        <v>B</v>
      </c>
      <c r="EE115" s="301" t="str">
        <f t="shared" ca="1" si="529"/>
        <v>B</v>
      </c>
      <c r="EF115" s="205"/>
      <c r="EG115" s="301" t="str">
        <f t="shared" ca="1" si="530"/>
        <v>B</v>
      </c>
      <c r="EH115" s="301" t="str">
        <f t="shared" ca="1" si="530"/>
        <v>B</v>
      </c>
      <c r="EI115" s="301" t="str">
        <f t="shared" ca="1" si="530"/>
        <v>B</v>
      </c>
      <c r="EJ115" s="301" t="str">
        <f t="shared" ca="1" si="530"/>
        <v>B</v>
      </c>
      <c r="EK115" s="301" t="str">
        <f t="shared" ca="1" si="530"/>
        <v>B</v>
      </c>
      <c r="EL115" s="301" t="str">
        <f t="shared" ca="1" si="530"/>
        <v>B</v>
      </c>
      <c r="EM115" s="301" t="str">
        <f t="shared" ca="1" si="530"/>
        <v>B</v>
      </c>
      <c r="EN115" s="301" t="str">
        <f t="shared" ca="1" si="530"/>
        <v>B</v>
      </c>
      <c r="EO115" s="301" t="str">
        <f t="shared" ca="1" si="530"/>
        <v>B</v>
      </c>
      <c r="EP115" s="301" t="str">
        <f t="shared" ca="1" si="530"/>
        <v>B</v>
      </c>
      <c r="EQ115" s="301" t="str">
        <f t="shared" ca="1" si="531"/>
        <v>B</v>
      </c>
      <c r="ER115" s="301" t="str">
        <f t="shared" ca="1" si="531"/>
        <v>B</v>
      </c>
      <c r="ES115" s="301" t="str">
        <f t="shared" ca="1" si="531"/>
        <v>B</v>
      </c>
      <c r="ET115" s="301" t="str">
        <f t="shared" ca="1" si="531"/>
        <v>B</v>
      </c>
      <c r="EU115" s="301" t="str">
        <f t="shared" ca="1" si="531"/>
        <v>B</v>
      </c>
      <c r="EV115" s="301" t="str">
        <f t="shared" ca="1" si="531"/>
        <v>B</v>
      </c>
      <c r="EW115" s="301" t="str">
        <f t="shared" ca="1" si="531"/>
        <v>B</v>
      </c>
      <c r="EX115" s="301" t="str">
        <f t="shared" ca="1" si="531"/>
        <v>B</v>
      </c>
      <c r="EY115" s="301" t="str">
        <f t="shared" ca="1" si="531"/>
        <v>B</v>
      </c>
      <c r="EZ115" s="301" t="str">
        <f t="shared" ca="1" si="531"/>
        <v>B</v>
      </c>
      <c r="FA115" s="301" t="str">
        <f t="shared" ca="1" si="532"/>
        <v>B</v>
      </c>
      <c r="FB115" s="301" t="str">
        <f t="shared" ca="1" si="532"/>
        <v>B</v>
      </c>
      <c r="FC115" s="301" t="str">
        <f t="shared" ca="1" si="532"/>
        <v>B</v>
      </c>
      <c r="FD115" s="301" t="str">
        <f t="shared" ca="1" si="532"/>
        <v>B</v>
      </c>
      <c r="FE115" s="301" t="str">
        <f t="shared" ca="1" si="532"/>
        <v>B</v>
      </c>
      <c r="FF115" s="301" t="str">
        <f t="shared" ca="1" si="532"/>
        <v>B</v>
      </c>
      <c r="FG115" s="301" t="str">
        <f t="shared" ca="1" si="532"/>
        <v>B</v>
      </c>
      <c r="FH115" s="301" t="str">
        <f t="shared" ca="1" si="532"/>
        <v>B</v>
      </c>
      <c r="FI115" s="301" t="str">
        <f t="shared" ca="1" si="532"/>
        <v>B</v>
      </c>
      <c r="FJ115" s="301" t="str">
        <f t="shared" ca="1" si="532"/>
        <v>B</v>
      </c>
      <c r="FK115" s="301" t="str">
        <f t="shared" ca="1" si="532"/>
        <v>B</v>
      </c>
      <c r="FL115" s="301" t="str">
        <f t="shared" ca="1" si="532"/>
        <v>B</v>
      </c>
    </row>
    <row r="116" spans="1:168" x14ac:dyDescent="0.2">
      <c r="A116" s="38" t="str">
        <f t="shared" si="533"/>
        <v>Fahrzeug Lenken</v>
      </c>
      <c r="B116" s="317" t="str">
        <f t="shared" ca="1" si="448"/>
        <v/>
      </c>
      <c r="C116" s="332" t="str">
        <f t="shared" ca="1" si="449"/>
        <v/>
      </c>
      <c r="D116" s="1110"/>
      <c r="E116" s="966"/>
      <c r="F116" s="325"/>
      <c r="G116" s="958"/>
      <c r="H116" s="1196"/>
      <c r="I116" s="326"/>
      <c r="J116" s="1886" t="str">
        <f t="shared" ca="1" si="450"/>
        <v/>
      </c>
      <c r="K116" s="1887"/>
      <c r="L116" s="1887"/>
      <c r="M116" s="1887"/>
      <c r="N116" s="1888"/>
      <c r="O116" s="613" t="str">
        <f t="shared" ca="1" si="451"/>
        <v/>
      </c>
      <c r="P116" s="90"/>
      <c r="Q116" s="25"/>
      <c r="R116" s="1313"/>
      <c r="S116" s="1313"/>
      <c r="T116" s="1315"/>
      <c r="U116" s="1283"/>
      <c r="V116" s="628" t="str">
        <f t="shared" ca="1" si="452"/>
        <v/>
      </c>
      <c r="W116" s="164">
        <f t="shared" ca="1" si="453"/>
        <v>0</v>
      </c>
      <c r="X116" s="164">
        <f t="shared" ca="1" si="454"/>
        <v>0</v>
      </c>
      <c r="Y116" s="164">
        <f t="shared" ca="1" si="455"/>
        <v>0</v>
      </c>
      <c r="Z116" s="164">
        <f t="shared" ca="1" si="456"/>
        <v>0</v>
      </c>
      <c r="AA116" s="164">
        <f t="shared" ca="1" si="457"/>
        <v>0</v>
      </c>
      <c r="AB116" s="164">
        <f t="shared" ca="1" si="458"/>
        <v>0</v>
      </c>
      <c r="AC116" s="164">
        <f t="shared" ca="1" si="459"/>
        <v>0</v>
      </c>
      <c r="AD116" s="164">
        <f t="shared" ca="1" si="460"/>
        <v>0</v>
      </c>
      <c r="AE116" s="164">
        <f t="shared" ca="1" si="461"/>
        <v>0</v>
      </c>
      <c r="AF116" s="164">
        <f t="shared" ca="1" si="462"/>
        <v>0</v>
      </c>
      <c r="AG116" s="164">
        <f t="shared" ca="1" si="463"/>
        <v>0</v>
      </c>
      <c r="AH116" s="164">
        <f t="shared" ca="1" si="464"/>
        <v>0</v>
      </c>
      <c r="AI116" s="164">
        <f t="shared" ca="1" si="465"/>
        <v>0</v>
      </c>
      <c r="AJ116" s="164">
        <f t="shared" ca="1" si="466"/>
        <v>0</v>
      </c>
      <c r="AK116" s="164">
        <f t="shared" ca="1" si="467"/>
        <v>0</v>
      </c>
      <c r="AL116" s="164">
        <f t="shared" ca="1" si="468"/>
        <v>0</v>
      </c>
      <c r="AM116" s="164">
        <f t="shared" ca="1" si="469"/>
        <v>0</v>
      </c>
      <c r="AN116" s="164">
        <f t="shared" ca="1" si="470"/>
        <v>0</v>
      </c>
      <c r="AO116" s="164">
        <f t="shared" ca="1" si="471"/>
        <v>0</v>
      </c>
      <c r="AP116" s="164">
        <f t="shared" ca="1" si="472"/>
        <v>0</v>
      </c>
      <c r="AQ116" s="164">
        <f t="shared" ca="1" si="473"/>
        <v>0</v>
      </c>
      <c r="AR116" s="164">
        <f t="shared" ca="1" si="474"/>
        <v>0</v>
      </c>
      <c r="AS116" s="195"/>
      <c r="AT116" s="154">
        <f t="shared" ca="1" si="475"/>
        <v>0</v>
      </c>
      <c r="AU116" s="154">
        <f t="shared" ca="1" si="476"/>
        <v>0</v>
      </c>
      <c r="AV116" s="154">
        <f t="shared" ca="1" si="477"/>
        <v>0</v>
      </c>
      <c r="AW116" s="154">
        <f t="shared" ca="1" si="478"/>
        <v>0</v>
      </c>
      <c r="AX116" s="154">
        <f t="shared" ca="1" si="479"/>
        <v>0</v>
      </c>
      <c r="AY116" s="154">
        <f t="shared" ca="1" si="480"/>
        <v>0</v>
      </c>
      <c r="AZ116" s="154">
        <f t="shared" ca="1" si="481"/>
        <v>0</v>
      </c>
      <c r="BA116" s="154">
        <f t="shared" ca="1" si="482"/>
        <v>0</v>
      </c>
      <c r="BB116" s="154">
        <f t="shared" ca="1" si="483"/>
        <v>0</v>
      </c>
      <c r="BC116" s="154">
        <f t="shared" ca="1" si="484"/>
        <v>0</v>
      </c>
      <c r="BD116" s="154">
        <f t="shared" ca="1" si="485"/>
        <v>0</v>
      </c>
      <c r="BE116" s="154">
        <f t="shared" ca="1" si="486"/>
        <v>0</v>
      </c>
      <c r="BF116" s="154">
        <f t="shared" ca="1" si="487"/>
        <v>0</v>
      </c>
      <c r="BG116" s="154">
        <f t="shared" ca="1" si="488"/>
        <v>0</v>
      </c>
      <c r="BH116" s="154">
        <f t="shared" ca="1" si="489"/>
        <v>0</v>
      </c>
      <c r="BI116" s="154">
        <f t="shared" ca="1" si="490"/>
        <v>0</v>
      </c>
      <c r="BJ116" s="154">
        <f t="shared" ca="1" si="491"/>
        <v>0</v>
      </c>
      <c r="BK116" s="154">
        <f t="shared" ca="1" si="492"/>
        <v>0</v>
      </c>
      <c r="BL116" s="154">
        <f t="shared" ca="1" si="493"/>
        <v>0</v>
      </c>
      <c r="BM116" s="154">
        <f t="shared" ca="1" si="494"/>
        <v>0</v>
      </c>
      <c r="BN116" s="154">
        <f t="shared" ca="1" si="495"/>
        <v>0</v>
      </c>
      <c r="BO116" s="154">
        <f t="shared" ca="1" si="496"/>
        <v>0</v>
      </c>
      <c r="BP116" s="154">
        <f t="shared" ca="1" si="497"/>
        <v>0</v>
      </c>
      <c r="BQ116" s="154">
        <f t="shared" ca="1" si="498"/>
        <v>0</v>
      </c>
      <c r="BR116" s="154">
        <f t="shared" ca="1" si="499"/>
        <v>0</v>
      </c>
      <c r="BS116" s="154">
        <f t="shared" ca="1" si="500"/>
        <v>0</v>
      </c>
      <c r="BT116" s="154">
        <f t="shared" ca="1" si="501"/>
        <v>0</v>
      </c>
      <c r="BU116" s="154">
        <f t="shared" ca="1" si="502"/>
        <v>0</v>
      </c>
      <c r="BV116" s="154">
        <f t="shared" ca="1" si="503"/>
        <v>0</v>
      </c>
      <c r="BW116" s="154">
        <f t="shared" ca="1" si="504"/>
        <v>0</v>
      </c>
      <c r="BX116" s="154">
        <f t="shared" ca="1" si="505"/>
        <v>0</v>
      </c>
      <c r="BY116" s="154">
        <f t="shared" ca="1" si="506"/>
        <v>0</v>
      </c>
      <c r="BZ116" s="154">
        <f t="shared" si="507"/>
        <v>0</v>
      </c>
      <c r="CA116" s="154">
        <f t="shared" si="508"/>
        <v>0</v>
      </c>
      <c r="CB116" s="154">
        <f t="shared" ca="1" si="509"/>
        <v>0</v>
      </c>
      <c r="CC116" s="523"/>
      <c r="CD116" s="355">
        <f t="shared" si="510"/>
        <v>140</v>
      </c>
      <c r="CE116" s="751" t="str">
        <f t="shared" ca="1" si="511"/>
        <v>B</v>
      </c>
      <c r="CF116" s="355" t="str">
        <f t="shared" ca="1" si="534"/>
        <v/>
      </c>
      <c r="CG116" s="268"/>
      <c r="CH116" s="268"/>
      <c r="CI116" s="269">
        <f t="shared" ca="1" si="512"/>
        <v>0</v>
      </c>
      <c r="CJ116" s="269">
        <f t="shared" ca="1" si="513"/>
        <v>0</v>
      </c>
      <c r="CK116" s="268"/>
      <c r="CL116" s="268"/>
      <c r="CM116" s="268">
        <f t="shared" ca="1" si="327"/>
        <v>0</v>
      </c>
      <c r="CN116" s="269">
        <f t="shared" ca="1" si="328"/>
        <v>0</v>
      </c>
      <c r="CO116" s="268" t="str">
        <f t="shared" ca="1" si="514"/>
        <v>B</v>
      </c>
      <c r="CP116" s="269" t="b">
        <f t="shared" ca="1" si="515"/>
        <v>1</v>
      </c>
      <c r="CQ116" s="269">
        <f t="shared" si="516"/>
        <v>0</v>
      </c>
      <c r="CR116" s="269">
        <f t="shared" si="517"/>
        <v>0</v>
      </c>
      <c r="CS116" s="269">
        <f t="shared" ca="1" si="518"/>
        <v>0</v>
      </c>
      <c r="CT116" s="302" t="str">
        <f t="shared" ca="1" si="519"/>
        <v>0</v>
      </c>
      <c r="CU116" s="269">
        <f t="shared" ca="1" si="520"/>
        <v>0</v>
      </c>
      <c r="CV116" s="268"/>
      <c r="CW116" s="269">
        <f t="shared" ca="1" si="521"/>
        <v>0</v>
      </c>
      <c r="CX116" s="301">
        <f t="shared" ca="1" si="522"/>
        <v>0</v>
      </c>
      <c r="CY116" s="301">
        <f t="shared" ca="1" si="329"/>
        <v>0</v>
      </c>
      <c r="CZ116" s="301">
        <f t="shared" ca="1" si="523"/>
        <v>0</v>
      </c>
      <c r="DA116" s="301">
        <f t="shared" ca="1" si="524"/>
        <v>0</v>
      </c>
      <c r="DB116" t="str">
        <f ca="1">IF(AND(NOT(ISBLANK($F116)),$F116&lt;=$B116),"TaW SE zu klein","")</f>
        <v/>
      </c>
      <c r="DC116" s="301" t="str">
        <f t="shared" ca="1" si="525"/>
        <v/>
      </c>
      <c r="DD116" s="1337" t="str">
        <f t="shared" ca="1" si="535"/>
        <v/>
      </c>
      <c r="DE116" s="1337" t="str">
        <f t="shared" ca="1" si="536"/>
        <v/>
      </c>
      <c r="DG116" s="269" t="str">
        <f t="shared" ca="1" si="526"/>
        <v>Tabellen_Andere!BA26:BF26</v>
      </c>
      <c r="DH116" s="269" t="str">
        <f t="shared" si="527"/>
        <v>Tabellen_Andere!BA26:BF26</v>
      </c>
      <c r="DI116" s="269" t="str">
        <f ca="1">IF(NOT(ISERR(FIND(A116&amp;" ",Abfragen!$O$264,1))),MID(Abfragen!$O$264,FIND("(",Abfragen!$O$264,FIND(A116,Abfragen!$O$264,1)+LEN(A116))+1,FIND(")",Abfragen!$O$264,FIND(A116,Abfragen!$O$264,1)+LEN(A116))-FIND("(",Abfragen!$O$264,FIND(A116,Abfragen!$O$264,1)+LEN(A116))-1),"")</f>
        <v/>
      </c>
      <c r="DJ116" s="301" t="str">
        <f t="shared" ca="1" si="528"/>
        <v>B</v>
      </c>
      <c r="DK116" s="301" t="str">
        <f t="shared" ca="1" si="528"/>
        <v>B</v>
      </c>
      <c r="DL116" s="301" t="str">
        <f t="shared" ca="1" si="528"/>
        <v>B</v>
      </c>
      <c r="DM116" s="301" t="str">
        <f t="shared" ca="1" si="528"/>
        <v>B</v>
      </c>
      <c r="DN116" s="301" t="str">
        <f t="shared" ca="1" si="528"/>
        <v>B</v>
      </c>
      <c r="DO116" s="301" t="str">
        <f t="shared" ca="1" si="528"/>
        <v>B</v>
      </c>
      <c r="DP116" s="301" t="str">
        <f t="shared" ca="1" si="528"/>
        <v>B</v>
      </c>
      <c r="DQ116" s="301" t="str">
        <f t="shared" ca="1" si="528"/>
        <v>B</v>
      </c>
      <c r="DR116" s="301" t="str">
        <f t="shared" ca="1" si="528"/>
        <v>B</v>
      </c>
      <c r="DS116" s="301" t="str">
        <f t="shared" ca="1" si="528"/>
        <v>B</v>
      </c>
      <c r="DT116" s="301" t="str">
        <f t="shared" ca="1" si="529"/>
        <v>B</v>
      </c>
      <c r="DU116" s="301" t="str">
        <f t="shared" ca="1" si="529"/>
        <v>B</v>
      </c>
      <c r="DV116" s="301" t="str">
        <f t="shared" ca="1" si="529"/>
        <v>B</v>
      </c>
      <c r="DW116" s="301" t="str">
        <f t="shared" ca="1" si="529"/>
        <v>B</v>
      </c>
      <c r="DX116" s="301" t="str">
        <f t="shared" ca="1" si="529"/>
        <v>B</v>
      </c>
      <c r="DY116" s="301" t="str">
        <f t="shared" ca="1" si="529"/>
        <v>B</v>
      </c>
      <c r="DZ116" s="301" t="str">
        <f t="shared" ca="1" si="529"/>
        <v>B</v>
      </c>
      <c r="EA116" s="301" t="str">
        <f t="shared" ca="1" si="529"/>
        <v>B</v>
      </c>
      <c r="EB116" s="301" t="str">
        <f t="shared" ca="1" si="529"/>
        <v>B</v>
      </c>
      <c r="EC116" s="301" t="str">
        <f t="shared" ca="1" si="529"/>
        <v>B</v>
      </c>
      <c r="ED116" s="301" t="str">
        <f t="shared" ca="1" si="529"/>
        <v>B</v>
      </c>
      <c r="EE116" s="301" t="str">
        <f t="shared" ca="1" si="529"/>
        <v>B</v>
      </c>
      <c r="EF116" s="205"/>
      <c r="EG116" s="301" t="str">
        <f t="shared" ca="1" si="530"/>
        <v>B</v>
      </c>
      <c r="EH116" s="301" t="str">
        <f t="shared" ca="1" si="530"/>
        <v>B</v>
      </c>
      <c r="EI116" s="301" t="str">
        <f t="shared" ca="1" si="530"/>
        <v>B</v>
      </c>
      <c r="EJ116" s="301" t="str">
        <f t="shared" ca="1" si="530"/>
        <v>B</v>
      </c>
      <c r="EK116" s="301" t="str">
        <f t="shared" ca="1" si="530"/>
        <v>B</v>
      </c>
      <c r="EL116" s="301" t="str">
        <f t="shared" ca="1" si="530"/>
        <v>B</v>
      </c>
      <c r="EM116" s="301" t="str">
        <f t="shared" ca="1" si="530"/>
        <v>B</v>
      </c>
      <c r="EN116" s="301" t="str">
        <f t="shared" ca="1" si="530"/>
        <v>B</v>
      </c>
      <c r="EO116" s="301" t="str">
        <f t="shared" ca="1" si="530"/>
        <v>B</v>
      </c>
      <c r="EP116" s="301" t="str">
        <f t="shared" ca="1" si="530"/>
        <v>B</v>
      </c>
      <c r="EQ116" s="301" t="str">
        <f t="shared" ca="1" si="531"/>
        <v>B</v>
      </c>
      <c r="ER116" s="301" t="str">
        <f t="shared" ca="1" si="531"/>
        <v>B</v>
      </c>
      <c r="ES116" s="301" t="str">
        <f t="shared" ca="1" si="531"/>
        <v>B</v>
      </c>
      <c r="ET116" s="301" t="str">
        <f t="shared" ca="1" si="531"/>
        <v>B</v>
      </c>
      <c r="EU116" s="301" t="str">
        <f t="shared" ca="1" si="531"/>
        <v>B</v>
      </c>
      <c r="EV116" s="301" t="str">
        <f t="shared" ca="1" si="531"/>
        <v>B</v>
      </c>
      <c r="EW116" s="301" t="str">
        <f t="shared" ca="1" si="531"/>
        <v>B</v>
      </c>
      <c r="EX116" s="301" t="str">
        <f t="shared" ca="1" si="531"/>
        <v>B</v>
      </c>
      <c r="EY116" s="301" t="str">
        <f t="shared" ca="1" si="531"/>
        <v>B</v>
      </c>
      <c r="EZ116" s="301" t="str">
        <f t="shared" ca="1" si="531"/>
        <v>B</v>
      </c>
      <c r="FA116" s="301" t="str">
        <f t="shared" ca="1" si="532"/>
        <v>B</v>
      </c>
      <c r="FB116" s="301" t="str">
        <f t="shared" ca="1" si="532"/>
        <v>B</v>
      </c>
      <c r="FC116" s="301" t="str">
        <f t="shared" ca="1" si="532"/>
        <v>B</v>
      </c>
      <c r="FD116" s="301" t="str">
        <f t="shared" ca="1" si="532"/>
        <v>B</v>
      </c>
      <c r="FE116" s="301" t="str">
        <f t="shared" ca="1" si="532"/>
        <v>B</v>
      </c>
      <c r="FF116" s="301" t="str">
        <f t="shared" ca="1" si="532"/>
        <v>B</v>
      </c>
      <c r="FG116" s="301" t="str">
        <f t="shared" ca="1" si="532"/>
        <v>B</v>
      </c>
      <c r="FH116" s="301" t="str">
        <f t="shared" ca="1" si="532"/>
        <v>B</v>
      </c>
      <c r="FI116" s="301" t="str">
        <f t="shared" ca="1" si="532"/>
        <v>B</v>
      </c>
      <c r="FJ116" s="301" t="str">
        <f t="shared" ca="1" si="532"/>
        <v>B</v>
      </c>
      <c r="FK116" s="301" t="str">
        <f t="shared" ca="1" si="532"/>
        <v>B</v>
      </c>
      <c r="FL116" s="301" t="str">
        <f t="shared" ca="1" si="532"/>
        <v>B</v>
      </c>
    </row>
    <row r="117" spans="1:168" x14ac:dyDescent="0.2">
      <c r="A117" s="38" t="str">
        <f t="shared" si="533"/>
        <v>Falschspiel</v>
      </c>
      <c r="B117" s="317" t="str">
        <f t="shared" ca="1" si="448"/>
        <v/>
      </c>
      <c r="C117" s="332" t="str">
        <f t="shared" ca="1" si="449"/>
        <v/>
      </c>
      <c r="D117" s="1110"/>
      <c r="E117" s="966"/>
      <c r="F117" s="325"/>
      <c r="G117" s="958"/>
      <c r="H117" s="1196"/>
      <c r="I117" s="326"/>
      <c r="J117" s="1886" t="str">
        <f t="shared" ca="1" si="450"/>
        <v/>
      </c>
      <c r="K117" s="1887"/>
      <c r="L117" s="1887"/>
      <c r="M117" s="1887"/>
      <c r="N117" s="1888"/>
      <c r="O117" s="613" t="str">
        <f t="shared" ca="1" si="451"/>
        <v/>
      </c>
      <c r="P117" s="90"/>
      <c r="Q117" s="25"/>
      <c r="R117" s="1313"/>
      <c r="S117" s="1313"/>
      <c r="T117" s="1315"/>
      <c r="U117" s="1283"/>
      <c r="V117" s="628" t="str">
        <f t="shared" ca="1" si="452"/>
        <v/>
      </c>
      <c r="W117" s="164">
        <f t="shared" ca="1" si="453"/>
        <v>0</v>
      </c>
      <c r="X117" s="164">
        <f t="shared" ca="1" si="454"/>
        <v>0</v>
      </c>
      <c r="Y117" s="164">
        <f t="shared" ca="1" si="455"/>
        <v>0</v>
      </c>
      <c r="Z117" s="164">
        <f t="shared" ca="1" si="456"/>
        <v>0</v>
      </c>
      <c r="AA117" s="164">
        <f t="shared" ca="1" si="457"/>
        <v>0</v>
      </c>
      <c r="AB117" s="164">
        <f t="shared" ca="1" si="458"/>
        <v>0</v>
      </c>
      <c r="AC117" s="164">
        <f t="shared" ca="1" si="459"/>
        <v>0</v>
      </c>
      <c r="AD117" s="164">
        <f t="shared" ca="1" si="460"/>
        <v>0</v>
      </c>
      <c r="AE117" s="164">
        <f t="shared" ca="1" si="461"/>
        <v>0</v>
      </c>
      <c r="AF117" s="164">
        <f t="shared" ca="1" si="462"/>
        <v>0</v>
      </c>
      <c r="AG117" s="164">
        <f t="shared" ca="1" si="463"/>
        <v>0</v>
      </c>
      <c r="AH117" s="164">
        <f t="shared" ca="1" si="464"/>
        <v>0</v>
      </c>
      <c r="AI117" s="164">
        <f t="shared" ca="1" si="465"/>
        <v>0</v>
      </c>
      <c r="AJ117" s="164">
        <f t="shared" ca="1" si="466"/>
        <v>0</v>
      </c>
      <c r="AK117" s="164">
        <f t="shared" ca="1" si="467"/>
        <v>0</v>
      </c>
      <c r="AL117" s="164">
        <f t="shared" ca="1" si="468"/>
        <v>0</v>
      </c>
      <c r="AM117" s="164">
        <f t="shared" ca="1" si="469"/>
        <v>0</v>
      </c>
      <c r="AN117" s="164">
        <f t="shared" ca="1" si="470"/>
        <v>0</v>
      </c>
      <c r="AO117" s="164">
        <f t="shared" ca="1" si="471"/>
        <v>0</v>
      </c>
      <c r="AP117" s="164">
        <f t="shared" ca="1" si="472"/>
        <v>0</v>
      </c>
      <c r="AQ117" s="164">
        <f t="shared" ca="1" si="473"/>
        <v>0</v>
      </c>
      <c r="AR117" s="164">
        <f t="shared" ca="1" si="474"/>
        <v>0</v>
      </c>
      <c r="AS117" s="195"/>
      <c r="AT117" s="154">
        <f t="shared" ca="1" si="475"/>
        <v>0</v>
      </c>
      <c r="AU117" s="154">
        <f t="shared" ca="1" si="476"/>
        <v>0</v>
      </c>
      <c r="AV117" s="154">
        <f t="shared" ca="1" si="477"/>
        <v>0</v>
      </c>
      <c r="AW117" s="154">
        <f t="shared" ca="1" si="478"/>
        <v>0</v>
      </c>
      <c r="AX117" s="154">
        <f t="shared" ca="1" si="479"/>
        <v>0</v>
      </c>
      <c r="AY117" s="154">
        <f t="shared" ca="1" si="480"/>
        <v>0</v>
      </c>
      <c r="AZ117" s="154">
        <f t="shared" ca="1" si="481"/>
        <v>0</v>
      </c>
      <c r="BA117" s="154">
        <f t="shared" ca="1" si="482"/>
        <v>0</v>
      </c>
      <c r="BB117" s="154">
        <f t="shared" ca="1" si="483"/>
        <v>0</v>
      </c>
      <c r="BC117" s="154">
        <f t="shared" ca="1" si="484"/>
        <v>0</v>
      </c>
      <c r="BD117" s="154">
        <f t="shared" ca="1" si="485"/>
        <v>0</v>
      </c>
      <c r="BE117" s="154">
        <f t="shared" ca="1" si="486"/>
        <v>0</v>
      </c>
      <c r="BF117" s="154">
        <f t="shared" ca="1" si="487"/>
        <v>0</v>
      </c>
      <c r="BG117" s="154">
        <f t="shared" ca="1" si="488"/>
        <v>0</v>
      </c>
      <c r="BH117" s="154">
        <f t="shared" ca="1" si="489"/>
        <v>0</v>
      </c>
      <c r="BI117" s="154">
        <f t="shared" ca="1" si="490"/>
        <v>0</v>
      </c>
      <c r="BJ117" s="154">
        <f t="shared" ca="1" si="491"/>
        <v>0</v>
      </c>
      <c r="BK117" s="154">
        <f t="shared" ca="1" si="492"/>
        <v>0</v>
      </c>
      <c r="BL117" s="154">
        <f t="shared" ca="1" si="493"/>
        <v>0</v>
      </c>
      <c r="BM117" s="154">
        <f t="shared" ca="1" si="494"/>
        <v>0</v>
      </c>
      <c r="BN117" s="154">
        <f t="shared" ca="1" si="495"/>
        <v>0</v>
      </c>
      <c r="BO117" s="154">
        <f t="shared" ca="1" si="496"/>
        <v>0</v>
      </c>
      <c r="BP117" s="154">
        <f t="shared" ca="1" si="497"/>
        <v>0</v>
      </c>
      <c r="BQ117" s="154">
        <f t="shared" ca="1" si="498"/>
        <v>0</v>
      </c>
      <c r="BR117" s="154">
        <f t="shared" ca="1" si="499"/>
        <v>0</v>
      </c>
      <c r="BS117" s="154">
        <f t="shared" ca="1" si="500"/>
        <v>0</v>
      </c>
      <c r="BT117" s="154">
        <f t="shared" ca="1" si="501"/>
        <v>0</v>
      </c>
      <c r="BU117" s="154">
        <f t="shared" ca="1" si="502"/>
        <v>0</v>
      </c>
      <c r="BV117" s="154">
        <f t="shared" ca="1" si="503"/>
        <v>0</v>
      </c>
      <c r="BW117" s="154">
        <f t="shared" ca="1" si="504"/>
        <v>0</v>
      </c>
      <c r="BX117" s="154">
        <f t="shared" ca="1" si="505"/>
        <v>0</v>
      </c>
      <c r="BY117" s="154">
        <f t="shared" ca="1" si="506"/>
        <v>0</v>
      </c>
      <c r="BZ117" s="154">
        <f t="shared" si="507"/>
        <v>0</v>
      </c>
      <c r="CA117" s="154">
        <f t="shared" si="508"/>
        <v>0</v>
      </c>
      <c r="CB117" s="154">
        <f t="shared" ca="1" si="509"/>
        <v>0</v>
      </c>
      <c r="CC117" s="523"/>
      <c r="CD117" s="355">
        <f t="shared" si="510"/>
        <v>141</v>
      </c>
      <c r="CE117" s="751" t="str">
        <f t="shared" ca="1" si="511"/>
        <v>B</v>
      </c>
      <c r="CF117" s="355" t="str">
        <f t="shared" ca="1" si="534"/>
        <v/>
      </c>
      <c r="CG117" s="268"/>
      <c r="CH117" s="268"/>
      <c r="CI117" s="269">
        <f t="shared" ca="1" si="512"/>
        <v>0</v>
      </c>
      <c r="CJ117" s="269">
        <f t="shared" ca="1" si="513"/>
        <v>0</v>
      </c>
      <c r="CK117" s="268"/>
      <c r="CL117" s="268"/>
      <c r="CM117" s="268">
        <f t="shared" ca="1" si="327"/>
        <v>0</v>
      </c>
      <c r="CN117" s="269">
        <f t="shared" ca="1" si="328"/>
        <v>0</v>
      </c>
      <c r="CO117" s="268" t="str">
        <f t="shared" ca="1" si="514"/>
        <v>B</v>
      </c>
      <c r="CP117" s="269" t="b">
        <f t="shared" ca="1" si="515"/>
        <v>1</v>
      </c>
      <c r="CQ117" s="269">
        <f t="shared" si="516"/>
        <v>0</v>
      </c>
      <c r="CR117" s="269">
        <f t="shared" si="517"/>
        <v>0</v>
      </c>
      <c r="CS117" s="269">
        <f t="shared" ca="1" si="518"/>
        <v>0</v>
      </c>
      <c r="CT117" s="302" t="str">
        <f t="shared" ca="1" si="519"/>
        <v>0</v>
      </c>
      <c r="CU117" s="269">
        <f t="shared" ca="1" si="520"/>
        <v>0</v>
      </c>
      <c r="CV117" s="268"/>
      <c r="CW117" s="269">
        <f t="shared" ca="1" si="521"/>
        <v>0</v>
      </c>
      <c r="CX117" s="301">
        <f t="shared" ca="1" si="522"/>
        <v>0</v>
      </c>
      <c r="CY117" s="301">
        <f t="shared" ca="1" si="329"/>
        <v>0</v>
      </c>
      <c r="CZ117" s="301">
        <f t="shared" ca="1" si="523"/>
        <v>0</v>
      </c>
      <c r="DA117" s="301">
        <f t="shared" ca="1" si="524"/>
        <v>0</v>
      </c>
      <c r="DB117" t="str">
        <f ca="1">IF(AND(NOT(AND(ISBLANK($G117),ISBLANK($I117))),$O$66&lt;4),"Menschenkenntnis 4+",IF(AND(NOT(ISBLANK($F117)),$F117&lt;=$B117),"TaW SE zu klein",""))</f>
        <v/>
      </c>
      <c r="DC117" s="301" t="str">
        <f t="shared" ca="1" si="525"/>
        <v/>
      </c>
      <c r="DD117" s="1337" t="str">
        <f t="shared" ca="1" si="535"/>
        <v/>
      </c>
      <c r="DE117" s="1337" t="str">
        <f t="shared" ca="1" si="536"/>
        <v/>
      </c>
      <c r="DG117" s="269" t="str">
        <f t="shared" ca="1" si="526"/>
        <v>Tabellen_Andere!BA28:BF28</v>
      </c>
      <c r="DH117" s="269" t="str">
        <f t="shared" si="527"/>
        <v>Tabellen_Andere!BA28:BF28</v>
      </c>
      <c r="DI117" s="269" t="str">
        <f ca="1">IF(NOT(ISERR(FIND(A117&amp;" ",Abfragen!$O$264,1))),MID(Abfragen!$O$264,FIND("(",Abfragen!$O$264,FIND(A117,Abfragen!$O$264,1)+LEN(A117))+1,FIND(")",Abfragen!$O$264,FIND(A117,Abfragen!$O$264,1)+LEN(A117))-FIND("(",Abfragen!$O$264,FIND(A117,Abfragen!$O$264,1)+LEN(A117))-1),"")</f>
        <v/>
      </c>
      <c r="DJ117" s="301" t="str">
        <f t="shared" ref="DJ117:DS126" ca="1" si="537">IF(ISERR(FIND(";"&amp;DJ$13&amp;":0;",$F117)),
CHAR(CODE($CE117)+SUM(IF(ISERR(FIND(";"&amp;DJ$13&amp;";",$F117)),0,-1),IF(ISERR(FIND(";"&amp;DJ$13&amp;":",$F117)),0,-VALUE(MID($F117,FIND(";"&amp;DJ$13&amp;":",$F117)+LEN(DJ$13)+2,1))))),0)</f>
        <v>B</v>
      </c>
      <c r="DK117" s="301" t="str">
        <f t="shared" ca="1" si="537"/>
        <v>B</v>
      </c>
      <c r="DL117" s="301" t="str">
        <f t="shared" ca="1" si="537"/>
        <v>B</v>
      </c>
      <c r="DM117" s="301" t="str">
        <f t="shared" ca="1" si="537"/>
        <v>B</v>
      </c>
      <c r="DN117" s="301" t="str">
        <f t="shared" ca="1" si="537"/>
        <v>B</v>
      </c>
      <c r="DO117" s="301" t="str">
        <f t="shared" ca="1" si="537"/>
        <v>B</v>
      </c>
      <c r="DP117" s="301" t="str">
        <f t="shared" ca="1" si="537"/>
        <v>B</v>
      </c>
      <c r="DQ117" s="301" t="str">
        <f t="shared" ca="1" si="537"/>
        <v>B</v>
      </c>
      <c r="DR117" s="301" t="str">
        <f t="shared" ca="1" si="537"/>
        <v>B</v>
      </c>
      <c r="DS117" s="301" t="str">
        <f t="shared" ca="1" si="537"/>
        <v>B</v>
      </c>
      <c r="DT117" s="301" t="str">
        <f t="shared" ref="DT117:EE126" ca="1" si="538">IF(ISERR(FIND(";"&amp;DT$13&amp;":0;",$F117)),
CHAR(CODE($CE117)+SUM(IF(ISERR(FIND(";"&amp;DT$13&amp;";",$F117)),0,-1),IF(ISERR(FIND(";"&amp;DT$13&amp;":",$F117)),0,-VALUE(MID($F117,FIND(";"&amp;DT$13&amp;":",$F117)+LEN(DT$13)+2,1))))),0)</f>
        <v>B</v>
      </c>
      <c r="DU117" s="301" t="str">
        <f t="shared" ca="1" si="538"/>
        <v>B</v>
      </c>
      <c r="DV117" s="301" t="str">
        <f t="shared" ca="1" si="538"/>
        <v>B</v>
      </c>
      <c r="DW117" s="301" t="str">
        <f t="shared" ca="1" si="538"/>
        <v>B</v>
      </c>
      <c r="DX117" s="301" t="str">
        <f t="shared" ca="1" si="538"/>
        <v>B</v>
      </c>
      <c r="DY117" s="301" t="str">
        <f t="shared" ca="1" si="538"/>
        <v>B</v>
      </c>
      <c r="DZ117" s="301" t="str">
        <f t="shared" ca="1" si="538"/>
        <v>B</v>
      </c>
      <c r="EA117" s="301" t="str">
        <f t="shared" ca="1" si="538"/>
        <v>B</v>
      </c>
      <c r="EB117" s="301" t="str">
        <f t="shared" ca="1" si="538"/>
        <v>B</v>
      </c>
      <c r="EC117" s="301" t="str">
        <f t="shared" ca="1" si="538"/>
        <v>B</v>
      </c>
      <c r="ED117" s="301" t="str">
        <f t="shared" ca="1" si="538"/>
        <v>B</v>
      </c>
      <c r="EE117" s="301" t="str">
        <f t="shared" ca="1" si="538"/>
        <v>B</v>
      </c>
      <c r="EF117" s="205"/>
      <c r="EG117" s="301" t="str">
        <f t="shared" ref="EG117:EP126" ca="1" si="539">IF(ISERR(FIND(";"&amp;EG$13&amp;":0;",$F117)),
CHAR(CODE($CE117)+SUM(IF(NT_Unstet,1,0),
IF(ISERR(FIND(";"&amp;EG$13&amp;";",$F117)),0,-1),
IF(ISERR(FIND(";"&amp;EG$13&amp;":",$F117)),0,-VALUE(MID($F117,FIND(";"&amp;EG$13&amp;":",$F117)+LEN(EG$13)+2,1))),
IF(ISERR(FIND(";"&amp;EG$13&amp;"+",$F117)),0,VALUE(MID($F117,FIND(";"&amp;EG$13&amp;"+",$F117)+LEN(EG$13)+2,1))))),0)</f>
        <v>B</v>
      </c>
      <c r="EH117" s="301" t="str">
        <f t="shared" ca="1" si="539"/>
        <v>B</v>
      </c>
      <c r="EI117" s="301" t="str">
        <f t="shared" ca="1" si="539"/>
        <v>B</v>
      </c>
      <c r="EJ117" s="301" t="str">
        <f t="shared" ca="1" si="539"/>
        <v>B</v>
      </c>
      <c r="EK117" s="301" t="str">
        <f t="shared" ca="1" si="539"/>
        <v>B</v>
      </c>
      <c r="EL117" s="301" t="str">
        <f t="shared" ca="1" si="539"/>
        <v>B</v>
      </c>
      <c r="EM117" s="301" t="str">
        <f t="shared" ca="1" si="539"/>
        <v>B</v>
      </c>
      <c r="EN117" s="301" t="str">
        <f t="shared" ca="1" si="539"/>
        <v>B</v>
      </c>
      <c r="EO117" s="301" t="str">
        <f t="shared" ca="1" si="539"/>
        <v>B</v>
      </c>
      <c r="EP117" s="301" t="str">
        <f t="shared" ca="1" si="539"/>
        <v>B</v>
      </c>
      <c r="EQ117" s="301" t="str">
        <f t="shared" ref="EQ117:EZ126" ca="1" si="540">IF(ISERR(FIND(";"&amp;EQ$13&amp;":0;",$F117)),
CHAR(CODE($CE117)+SUM(IF(NT_Unstet,1,0),
IF(ISERR(FIND(";"&amp;EQ$13&amp;";",$F117)),0,-1),
IF(ISERR(FIND(";"&amp;EQ$13&amp;":",$F117)),0,-VALUE(MID($F117,FIND(";"&amp;EQ$13&amp;":",$F117)+LEN(EQ$13)+2,1))),
IF(ISERR(FIND(";"&amp;EQ$13&amp;"+",$F117)),0,VALUE(MID($F117,FIND(";"&amp;EQ$13&amp;"+",$F117)+LEN(EQ$13)+2,1))))),0)</f>
        <v>B</v>
      </c>
      <c r="ER117" s="301" t="str">
        <f t="shared" ca="1" si="540"/>
        <v>B</v>
      </c>
      <c r="ES117" s="301" t="str">
        <f t="shared" ca="1" si="540"/>
        <v>B</v>
      </c>
      <c r="ET117" s="301" t="str">
        <f t="shared" ca="1" si="540"/>
        <v>B</v>
      </c>
      <c r="EU117" s="301" t="str">
        <f t="shared" ca="1" si="540"/>
        <v>B</v>
      </c>
      <c r="EV117" s="301" t="str">
        <f t="shared" ca="1" si="540"/>
        <v>B</v>
      </c>
      <c r="EW117" s="301" t="str">
        <f t="shared" ca="1" si="540"/>
        <v>B</v>
      </c>
      <c r="EX117" s="301" t="str">
        <f t="shared" ca="1" si="540"/>
        <v>B</v>
      </c>
      <c r="EY117" s="301" t="str">
        <f t="shared" ca="1" si="540"/>
        <v>B</v>
      </c>
      <c r="EZ117" s="301" t="str">
        <f t="shared" ca="1" si="540"/>
        <v>B</v>
      </c>
      <c r="FA117" s="301" t="str">
        <f t="shared" ref="FA117:FL126" ca="1" si="541">IF(ISERR(FIND(";"&amp;FA$13&amp;":0;",$F117)),
CHAR(CODE($CE117)+SUM(IF(NT_Unstet,1,0),
IF(ISERR(FIND(";"&amp;FA$13&amp;";",$F117)),0,-1),
IF(ISERR(FIND(";"&amp;FA$13&amp;":",$F117)),0,-VALUE(MID($F117,FIND(";"&amp;FA$13&amp;":",$F117)+LEN(FA$13)+2,1))),
IF(ISERR(FIND(";"&amp;FA$13&amp;"+",$F117)),0,VALUE(MID($F117,FIND(";"&amp;FA$13&amp;"+",$F117)+LEN(FA$13)+2,1))))),0)</f>
        <v>B</v>
      </c>
      <c r="FB117" s="301" t="str">
        <f t="shared" ca="1" si="541"/>
        <v>B</v>
      </c>
      <c r="FC117" s="301" t="str">
        <f t="shared" ca="1" si="541"/>
        <v>B</v>
      </c>
      <c r="FD117" s="301" t="str">
        <f t="shared" ca="1" si="541"/>
        <v>B</v>
      </c>
      <c r="FE117" s="301" t="str">
        <f t="shared" ca="1" si="541"/>
        <v>B</v>
      </c>
      <c r="FF117" s="301" t="str">
        <f t="shared" ca="1" si="541"/>
        <v>B</v>
      </c>
      <c r="FG117" s="301" t="str">
        <f t="shared" ca="1" si="541"/>
        <v>B</v>
      </c>
      <c r="FH117" s="301" t="str">
        <f t="shared" ca="1" si="541"/>
        <v>B</v>
      </c>
      <c r="FI117" s="301" t="str">
        <f t="shared" ca="1" si="541"/>
        <v>B</v>
      </c>
      <c r="FJ117" s="301" t="str">
        <f t="shared" ca="1" si="541"/>
        <v>B</v>
      </c>
      <c r="FK117" s="301" t="str">
        <f t="shared" ca="1" si="541"/>
        <v>B</v>
      </c>
      <c r="FL117" s="301" t="str">
        <f t="shared" ca="1" si="541"/>
        <v>B</v>
      </c>
    </row>
    <row r="118" spans="1:168" x14ac:dyDescent="0.2">
      <c r="A118" s="38" t="str">
        <f t="shared" si="533"/>
        <v>Feinmechanik</v>
      </c>
      <c r="B118" s="317" t="str">
        <f t="shared" ca="1" si="448"/>
        <v/>
      </c>
      <c r="C118" s="332" t="str">
        <f t="shared" ca="1" si="449"/>
        <v/>
      </c>
      <c r="D118" s="1110"/>
      <c r="E118" s="966"/>
      <c r="F118" s="325"/>
      <c r="G118" s="958"/>
      <c r="H118" s="1196"/>
      <c r="I118" s="326"/>
      <c r="J118" s="1886" t="str">
        <f t="shared" ca="1" si="450"/>
        <v/>
      </c>
      <c r="K118" s="1887"/>
      <c r="L118" s="1887"/>
      <c r="M118" s="1887"/>
      <c r="N118" s="1888"/>
      <c r="O118" s="613" t="str">
        <f t="shared" ca="1" si="451"/>
        <v/>
      </c>
      <c r="P118" s="90"/>
      <c r="Q118" s="25"/>
      <c r="R118" s="1313"/>
      <c r="S118" s="1313"/>
      <c r="T118" s="1315"/>
      <c r="U118" s="1283"/>
      <c r="V118" s="628" t="str">
        <f t="shared" ca="1" si="452"/>
        <v/>
      </c>
      <c r="W118" s="164">
        <f t="shared" ca="1" si="453"/>
        <v>0</v>
      </c>
      <c r="X118" s="164">
        <f t="shared" ca="1" si="454"/>
        <v>0</v>
      </c>
      <c r="Y118" s="164">
        <f t="shared" ca="1" si="455"/>
        <v>0</v>
      </c>
      <c r="Z118" s="164">
        <f t="shared" ca="1" si="456"/>
        <v>0</v>
      </c>
      <c r="AA118" s="164">
        <f t="shared" ca="1" si="457"/>
        <v>0</v>
      </c>
      <c r="AB118" s="164">
        <f t="shared" ca="1" si="458"/>
        <v>0</v>
      </c>
      <c r="AC118" s="164">
        <f t="shared" ca="1" si="459"/>
        <v>0</v>
      </c>
      <c r="AD118" s="164">
        <f t="shared" ca="1" si="460"/>
        <v>0</v>
      </c>
      <c r="AE118" s="164">
        <f t="shared" ca="1" si="461"/>
        <v>0</v>
      </c>
      <c r="AF118" s="164">
        <f t="shared" ca="1" si="462"/>
        <v>0</v>
      </c>
      <c r="AG118" s="164">
        <f t="shared" ca="1" si="463"/>
        <v>0</v>
      </c>
      <c r="AH118" s="164">
        <f t="shared" ca="1" si="464"/>
        <v>0</v>
      </c>
      <c r="AI118" s="164">
        <f t="shared" ca="1" si="465"/>
        <v>0</v>
      </c>
      <c r="AJ118" s="164">
        <f t="shared" ca="1" si="466"/>
        <v>0</v>
      </c>
      <c r="AK118" s="164">
        <f t="shared" ca="1" si="467"/>
        <v>0</v>
      </c>
      <c r="AL118" s="164">
        <f t="shared" ca="1" si="468"/>
        <v>0</v>
      </c>
      <c r="AM118" s="164">
        <f t="shared" ca="1" si="469"/>
        <v>0</v>
      </c>
      <c r="AN118" s="164">
        <f t="shared" ca="1" si="470"/>
        <v>0</v>
      </c>
      <c r="AO118" s="164">
        <f t="shared" ca="1" si="471"/>
        <v>0</v>
      </c>
      <c r="AP118" s="164">
        <f t="shared" ca="1" si="472"/>
        <v>0</v>
      </c>
      <c r="AQ118" s="164">
        <f t="shared" ca="1" si="473"/>
        <v>0</v>
      </c>
      <c r="AR118" s="164">
        <f t="shared" ca="1" si="474"/>
        <v>0</v>
      </c>
      <c r="AS118" s="195"/>
      <c r="AT118" s="154">
        <f t="shared" ca="1" si="475"/>
        <v>0</v>
      </c>
      <c r="AU118" s="154">
        <f t="shared" ca="1" si="476"/>
        <v>0</v>
      </c>
      <c r="AV118" s="154">
        <f t="shared" ca="1" si="477"/>
        <v>0</v>
      </c>
      <c r="AW118" s="154">
        <f t="shared" ca="1" si="478"/>
        <v>0</v>
      </c>
      <c r="AX118" s="154">
        <f t="shared" ca="1" si="479"/>
        <v>0</v>
      </c>
      <c r="AY118" s="154">
        <f t="shared" ca="1" si="480"/>
        <v>0</v>
      </c>
      <c r="AZ118" s="154">
        <f t="shared" ca="1" si="481"/>
        <v>0</v>
      </c>
      <c r="BA118" s="154">
        <f t="shared" ca="1" si="482"/>
        <v>0</v>
      </c>
      <c r="BB118" s="154">
        <f t="shared" ca="1" si="483"/>
        <v>0</v>
      </c>
      <c r="BC118" s="154">
        <f t="shared" ca="1" si="484"/>
        <v>0</v>
      </c>
      <c r="BD118" s="154">
        <f t="shared" ca="1" si="485"/>
        <v>0</v>
      </c>
      <c r="BE118" s="154">
        <f t="shared" ca="1" si="486"/>
        <v>0</v>
      </c>
      <c r="BF118" s="154">
        <f t="shared" ca="1" si="487"/>
        <v>0</v>
      </c>
      <c r="BG118" s="154">
        <f t="shared" ca="1" si="488"/>
        <v>0</v>
      </c>
      <c r="BH118" s="154">
        <f t="shared" ca="1" si="489"/>
        <v>0</v>
      </c>
      <c r="BI118" s="154">
        <f t="shared" ca="1" si="490"/>
        <v>0</v>
      </c>
      <c r="BJ118" s="154">
        <f t="shared" ca="1" si="491"/>
        <v>0</v>
      </c>
      <c r="BK118" s="154">
        <f t="shared" ca="1" si="492"/>
        <v>0</v>
      </c>
      <c r="BL118" s="154">
        <f t="shared" ca="1" si="493"/>
        <v>0</v>
      </c>
      <c r="BM118" s="154">
        <f t="shared" ca="1" si="494"/>
        <v>0</v>
      </c>
      <c r="BN118" s="154">
        <f t="shared" ca="1" si="495"/>
        <v>0</v>
      </c>
      <c r="BO118" s="154">
        <f t="shared" ca="1" si="496"/>
        <v>0</v>
      </c>
      <c r="BP118" s="154">
        <f t="shared" ca="1" si="497"/>
        <v>0</v>
      </c>
      <c r="BQ118" s="154">
        <f t="shared" ca="1" si="498"/>
        <v>0</v>
      </c>
      <c r="BR118" s="154">
        <f t="shared" ca="1" si="499"/>
        <v>0</v>
      </c>
      <c r="BS118" s="154">
        <f t="shared" ca="1" si="500"/>
        <v>0</v>
      </c>
      <c r="BT118" s="154">
        <f t="shared" ca="1" si="501"/>
        <v>0</v>
      </c>
      <c r="BU118" s="154">
        <f t="shared" ca="1" si="502"/>
        <v>0</v>
      </c>
      <c r="BV118" s="154">
        <f t="shared" ca="1" si="503"/>
        <v>0</v>
      </c>
      <c r="BW118" s="154">
        <f t="shared" ca="1" si="504"/>
        <v>0</v>
      </c>
      <c r="BX118" s="154">
        <f t="shared" ca="1" si="505"/>
        <v>0</v>
      </c>
      <c r="BY118" s="154">
        <f t="shared" ca="1" si="506"/>
        <v>0</v>
      </c>
      <c r="BZ118" s="154">
        <f t="shared" si="507"/>
        <v>0</v>
      </c>
      <c r="CA118" s="154">
        <f t="shared" si="508"/>
        <v>0</v>
      </c>
      <c r="CB118" s="154">
        <f t="shared" ca="1" si="509"/>
        <v>0</v>
      </c>
      <c r="CC118" s="523"/>
      <c r="CD118" s="355">
        <f t="shared" si="510"/>
        <v>142</v>
      </c>
      <c r="CE118" s="751" t="str">
        <f t="shared" ca="1" si="511"/>
        <v>B</v>
      </c>
      <c r="CF118" s="355" t="str">
        <f t="shared" ca="1" si="534"/>
        <v/>
      </c>
      <c r="CG118" s="268"/>
      <c r="CH118" s="268"/>
      <c r="CI118" s="269">
        <f t="shared" ca="1" si="512"/>
        <v>0</v>
      </c>
      <c r="CJ118" s="269">
        <f t="shared" ca="1" si="513"/>
        <v>0</v>
      </c>
      <c r="CK118" s="268"/>
      <c r="CL118" s="268"/>
      <c r="CM118" s="268">
        <f t="shared" ca="1" si="327"/>
        <v>0</v>
      </c>
      <c r="CN118" s="269">
        <f t="shared" ca="1" si="328"/>
        <v>0</v>
      </c>
      <c r="CO118" s="268" t="str">
        <f t="shared" ca="1" si="514"/>
        <v>B</v>
      </c>
      <c r="CP118" s="269" t="b">
        <f t="shared" ca="1" si="515"/>
        <v>1</v>
      </c>
      <c r="CQ118" s="269">
        <f t="shared" si="516"/>
        <v>0</v>
      </c>
      <c r="CR118" s="269">
        <f t="shared" si="517"/>
        <v>0</v>
      </c>
      <c r="CS118" s="269">
        <f t="shared" ca="1" si="518"/>
        <v>0</v>
      </c>
      <c r="CT118" s="302" t="str">
        <f t="shared" ca="1" si="519"/>
        <v>0</v>
      </c>
      <c r="CU118" s="269">
        <f t="shared" ca="1" si="520"/>
        <v>0</v>
      </c>
      <c r="CV118" s="268"/>
      <c r="CW118" s="269">
        <f t="shared" ca="1" si="521"/>
        <v>0</v>
      </c>
      <c r="CX118" s="301">
        <f t="shared" ca="1" si="522"/>
        <v>0</v>
      </c>
      <c r="CY118" s="301">
        <f t="shared" ca="1" si="329"/>
        <v>0</v>
      </c>
      <c r="CZ118" s="301">
        <f t="shared" ca="1" si="523"/>
        <v>0</v>
      </c>
      <c r="DA118" s="301">
        <f t="shared" ca="1" si="524"/>
        <v>0</v>
      </c>
      <c r="DB118" t="str">
        <f ca="1">IF(AND(NOT(AND(ISBLANK($G118),ISBLANK($I118))),$O$138&lt;4),"M/Z 4+",IF(AND(NOT(ISBLANK($F118)),$F118&lt;=$B118),"TaW SE zu klein",""))</f>
        <v/>
      </c>
      <c r="DC118" s="301" t="str">
        <f t="shared" ca="1" si="525"/>
        <v/>
      </c>
      <c r="DD118" s="1337" t="str">
        <f t="shared" ca="1" si="535"/>
        <v/>
      </c>
      <c r="DE118" s="1337" t="str">
        <f t="shared" ca="1" si="536"/>
        <v/>
      </c>
      <c r="DG118" s="269" t="str">
        <f t="shared" ca="1" si="526"/>
        <v>Tabellen_Andere!BA30:BF30</v>
      </c>
      <c r="DH118" s="269" t="str">
        <f t="shared" si="527"/>
        <v>Tabellen_Andere!BA30:BF30</v>
      </c>
      <c r="DI118" s="269" t="str">
        <f ca="1">IF(NOT(ISERR(FIND(A118&amp;" ",Abfragen!$O$264,1))),MID(Abfragen!$O$264,FIND("(",Abfragen!$O$264,FIND(A118,Abfragen!$O$264,1)+LEN(A118))+1,FIND(")",Abfragen!$O$264,FIND(A118,Abfragen!$O$264,1)+LEN(A118))-FIND("(",Abfragen!$O$264,FIND(A118,Abfragen!$O$264,1)+LEN(A118))-1),"")</f>
        <v/>
      </c>
      <c r="DJ118" s="301" t="str">
        <f t="shared" ca="1" si="537"/>
        <v>B</v>
      </c>
      <c r="DK118" s="301" t="str">
        <f t="shared" ca="1" si="537"/>
        <v>B</v>
      </c>
      <c r="DL118" s="301" t="str">
        <f t="shared" ca="1" si="537"/>
        <v>B</v>
      </c>
      <c r="DM118" s="301" t="str">
        <f t="shared" ca="1" si="537"/>
        <v>B</v>
      </c>
      <c r="DN118" s="301" t="str">
        <f t="shared" ca="1" si="537"/>
        <v>B</v>
      </c>
      <c r="DO118" s="301" t="str">
        <f t="shared" ca="1" si="537"/>
        <v>B</v>
      </c>
      <c r="DP118" s="301" t="str">
        <f t="shared" ca="1" si="537"/>
        <v>B</v>
      </c>
      <c r="DQ118" s="301" t="str">
        <f t="shared" ca="1" si="537"/>
        <v>B</v>
      </c>
      <c r="DR118" s="301" t="str">
        <f t="shared" ca="1" si="537"/>
        <v>B</v>
      </c>
      <c r="DS118" s="301" t="str">
        <f t="shared" ca="1" si="537"/>
        <v>B</v>
      </c>
      <c r="DT118" s="301" t="str">
        <f t="shared" ca="1" si="538"/>
        <v>B</v>
      </c>
      <c r="DU118" s="301" t="str">
        <f t="shared" ca="1" si="538"/>
        <v>B</v>
      </c>
      <c r="DV118" s="301" t="str">
        <f t="shared" ca="1" si="538"/>
        <v>B</v>
      </c>
      <c r="DW118" s="301" t="str">
        <f t="shared" ca="1" si="538"/>
        <v>B</v>
      </c>
      <c r="DX118" s="301" t="str">
        <f t="shared" ca="1" si="538"/>
        <v>B</v>
      </c>
      <c r="DY118" s="301" t="str">
        <f t="shared" ca="1" si="538"/>
        <v>B</v>
      </c>
      <c r="DZ118" s="301" t="str">
        <f t="shared" ca="1" si="538"/>
        <v>B</v>
      </c>
      <c r="EA118" s="301" t="str">
        <f t="shared" ca="1" si="538"/>
        <v>B</v>
      </c>
      <c r="EB118" s="301" t="str">
        <f t="shared" ca="1" si="538"/>
        <v>B</v>
      </c>
      <c r="EC118" s="301" t="str">
        <f t="shared" ca="1" si="538"/>
        <v>B</v>
      </c>
      <c r="ED118" s="301" t="str">
        <f t="shared" ca="1" si="538"/>
        <v>B</v>
      </c>
      <c r="EE118" s="301" t="str">
        <f t="shared" ca="1" si="538"/>
        <v>B</v>
      </c>
      <c r="EF118" s="205"/>
      <c r="EG118" s="301" t="str">
        <f t="shared" ca="1" si="539"/>
        <v>B</v>
      </c>
      <c r="EH118" s="301" t="str">
        <f t="shared" ca="1" si="539"/>
        <v>B</v>
      </c>
      <c r="EI118" s="301" t="str">
        <f t="shared" ca="1" si="539"/>
        <v>B</v>
      </c>
      <c r="EJ118" s="301" t="str">
        <f t="shared" ca="1" si="539"/>
        <v>B</v>
      </c>
      <c r="EK118" s="301" t="str">
        <f t="shared" ca="1" si="539"/>
        <v>B</v>
      </c>
      <c r="EL118" s="301" t="str">
        <f t="shared" ca="1" si="539"/>
        <v>B</v>
      </c>
      <c r="EM118" s="301" t="str">
        <f t="shared" ca="1" si="539"/>
        <v>B</v>
      </c>
      <c r="EN118" s="301" t="str">
        <f t="shared" ca="1" si="539"/>
        <v>B</v>
      </c>
      <c r="EO118" s="301" t="str">
        <f t="shared" ca="1" si="539"/>
        <v>B</v>
      </c>
      <c r="EP118" s="301" t="str">
        <f t="shared" ca="1" si="539"/>
        <v>B</v>
      </c>
      <c r="EQ118" s="301" t="str">
        <f t="shared" ca="1" si="540"/>
        <v>B</v>
      </c>
      <c r="ER118" s="301" t="str">
        <f t="shared" ca="1" si="540"/>
        <v>B</v>
      </c>
      <c r="ES118" s="301" t="str">
        <f t="shared" ca="1" si="540"/>
        <v>B</v>
      </c>
      <c r="ET118" s="301" t="str">
        <f t="shared" ca="1" si="540"/>
        <v>B</v>
      </c>
      <c r="EU118" s="301" t="str">
        <f t="shared" ca="1" si="540"/>
        <v>B</v>
      </c>
      <c r="EV118" s="301" t="str">
        <f t="shared" ca="1" si="540"/>
        <v>B</v>
      </c>
      <c r="EW118" s="301" t="str">
        <f t="shared" ca="1" si="540"/>
        <v>B</v>
      </c>
      <c r="EX118" s="301" t="str">
        <f t="shared" ca="1" si="540"/>
        <v>B</v>
      </c>
      <c r="EY118" s="301" t="str">
        <f t="shared" ca="1" si="540"/>
        <v>B</v>
      </c>
      <c r="EZ118" s="301" t="str">
        <f t="shared" ca="1" si="540"/>
        <v>B</v>
      </c>
      <c r="FA118" s="301" t="str">
        <f t="shared" ca="1" si="541"/>
        <v>B</v>
      </c>
      <c r="FB118" s="301" t="str">
        <f t="shared" ca="1" si="541"/>
        <v>B</v>
      </c>
      <c r="FC118" s="301" t="str">
        <f t="shared" ca="1" si="541"/>
        <v>B</v>
      </c>
      <c r="FD118" s="301" t="str">
        <f t="shared" ca="1" si="541"/>
        <v>B</v>
      </c>
      <c r="FE118" s="301" t="str">
        <f t="shared" ca="1" si="541"/>
        <v>B</v>
      </c>
      <c r="FF118" s="301" t="str">
        <f t="shared" ca="1" si="541"/>
        <v>B</v>
      </c>
      <c r="FG118" s="301" t="str">
        <f t="shared" ca="1" si="541"/>
        <v>B</v>
      </c>
      <c r="FH118" s="301" t="str">
        <f t="shared" ca="1" si="541"/>
        <v>B</v>
      </c>
      <c r="FI118" s="301" t="str">
        <f t="shared" ca="1" si="541"/>
        <v>B</v>
      </c>
      <c r="FJ118" s="301" t="str">
        <f t="shared" ca="1" si="541"/>
        <v>B</v>
      </c>
      <c r="FK118" s="301" t="str">
        <f t="shared" ca="1" si="541"/>
        <v>B</v>
      </c>
      <c r="FL118" s="301" t="str">
        <f t="shared" ca="1" si="541"/>
        <v>B</v>
      </c>
    </row>
    <row r="119" spans="1:168" x14ac:dyDescent="0.2">
      <c r="A119" s="38" t="str">
        <f t="shared" si="533"/>
        <v>Feuersteinbearbeitung</v>
      </c>
      <c r="B119" s="317" t="str">
        <f t="shared" ca="1" si="448"/>
        <v/>
      </c>
      <c r="C119" s="332" t="str">
        <f t="shared" ca="1" si="449"/>
        <v/>
      </c>
      <c r="D119" s="1110"/>
      <c r="E119" s="966"/>
      <c r="F119" s="325"/>
      <c r="G119" s="958"/>
      <c r="H119" s="1196"/>
      <c r="I119" s="326"/>
      <c r="J119" s="1886" t="str">
        <f t="shared" ca="1" si="450"/>
        <v/>
      </c>
      <c r="K119" s="1887"/>
      <c r="L119" s="1887"/>
      <c r="M119" s="1887"/>
      <c r="N119" s="1888"/>
      <c r="O119" s="613" t="str">
        <f t="shared" ca="1" si="451"/>
        <v/>
      </c>
      <c r="P119" s="90"/>
      <c r="Q119" s="25"/>
      <c r="R119" s="1313"/>
      <c r="S119" s="1313"/>
      <c r="T119" s="1315"/>
      <c r="U119" s="1283"/>
      <c r="V119" s="628" t="str">
        <f t="shared" ca="1" si="452"/>
        <v/>
      </c>
      <c r="W119" s="164">
        <f t="shared" ca="1" si="453"/>
        <v>0</v>
      </c>
      <c r="X119" s="164">
        <f t="shared" ca="1" si="454"/>
        <v>0</v>
      </c>
      <c r="Y119" s="164">
        <f t="shared" ca="1" si="455"/>
        <v>0</v>
      </c>
      <c r="Z119" s="164">
        <f t="shared" ca="1" si="456"/>
        <v>0</v>
      </c>
      <c r="AA119" s="164">
        <f t="shared" ca="1" si="457"/>
        <v>0</v>
      </c>
      <c r="AB119" s="164">
        <f t="shared" ca="1" si="458"/>
        <v>0</v>
      </c>
      <c r="AC119" s="164">
        <f t="shared" ca="1" si="459"/>
        <v>0</v>
      </c>
      <c r="AD119" s="164">
        <f t="shared" ca="1" si="460"/>
        <v>0</v>
      </c>
      <c r="AE119" s="164">
        <f t="shared" ca="1" si="461"/>
        <v>0</v>
      </c>
      <c r="AF119" s="164">
        <f t="shared" ca="1" si="462"/>
        <v>0</v>
      </c>
      <c r="AG119" s="164">
        <f t="shared" ca="1" si="463"/>
        <v>0</v>
      </c>
      <c r="AH119" s="164">
        <f t="shared" ca="1" si="464"/>
        <v>0</v>
      </c>
      <c r="AI119" s="164">
        <f t="shared" ca="1" si="465"/>
        <v>0</v>
      </c>
      <c r="AJ119" s="164">
        <f t="shared" ca="1" si="466"/>
        <v>0</v>
      </c>
      <c r="AK119" s="164">
        <f t="shared" ca="1" si="467"/>
        <v>0</v>
      </c>
      <c r="AL119" s="164">
        <f t="shared" ca="1" si="468"/>
        <v>0</v>
      </c>
      <c r="AM119" s="164">
        <f t="shared" ca="1" si="469"/>
        <v>0</v>
      </c>
      <c r="AN119" s="164">
        <f t="shared" ca="1" si="470"/>
        <v>0</v>
      </c>
      <c r="AO119" s="164">
        <f t="shared" ca="1" si="471"/>
        <v>0</v>
      </c>
      <c r="AP119" s="164">
        <f t="shared" ca="1" si="472"/>
        <v>0</v>
      </c>
      <c r="AQ119" s="164">
        <f t="shared" ca="1" si="473"/>
        <v>0</v>
      </c>
      <c r="AR119" s="164">
        <f t="shared" ca="1" si="474"/>
        <v>0</v>
      </c>
      <c r="AS119" s="195"/>
      <c r="AT119" s="154">
        <f t="shared" ca="1" si="475"/>
        <v>0</v>
      </c>
      <c r="AU119" s="154">
        <f t="shared" ca="1" si="476"/>
        <v>0</v>
      </c>
      <c r="AV119" s="154">
        <f t="shared" ca="1" si="477"/>
        <v>0</v>
      </c>
      <c r="AW119" s="154">
        <f t="shared" ca="1" si="478"/>
        <v>0</v>
      </c>
      <c r="AX119" s="154">
        <f t="shared" ca="1" si="479"/>
        <v>0</v>
      </c>
      <c r="AY119" s="154">
        <f t="shared" ca="1" si="480"/>
        <v>0</v>
      </c>
      <c r="AZ119" s="154">
        <f t="shared" ca="1" si="481"/>
        <v>0</v>
      </c>
      <c r="BA119" s="154">
        <f t="shared" ca="1" si="482"/>
        <v>0</v>
      </c>
      <c r="BB119" s="154">
        <f t="shared" ca="1" si="483"/>
        <v>0</v>
      </c>
      <c r="BC119" s="154">
        <f t="shared" ca="1" si="484"/>
        <v>0</v>
      </c>
      <c r="BD119" s="154">
        <f t="shared" ca="1" si="485"/>
        <v>0</v>
      </c>
      <c r="BE119" s="154">
        <f t="shared" ca="1" si="486"/>
        <v>0</v>
      </c>
      <c r="BF119" s="154">
        <f t="shared" ca="1" si="487"/>
        <v>0</v>
      </c>
      <c r="BG119" s="154">
        <f t="shared" ca="1" si="488"/>
        <v>0</v>
      </c>
      <c r="BH119" s="154">
        <f t="shared" ca="1" si="489"/>
        <v>0</v>
      </c>
      <c r="BI119" s="154">
        <f t="shared" ca="1" si="490"/>
        <v>0</v>
      </c>
      <c r="BJ119" s="154">
        <f t="shared" ca="1" si="491"/>
        <v>0</v>
      </c>
      <c r="BK119" s="154">
        <f t="shared" ca="1" si="492"/>
        <v>0</v>
      </c>
      <c r="BL119" s="154">
        <f t="shared" ca="1" si="493"/>
        <v>0</v>
      </c>
      <c r="BM119" s="154">
        <f t="shared" ca="1" si="494"/>
        <v>0</v>
      </c>
      <c r="BN119" s="154">
        <f t="shared" ca="1" si="495"/>
        <v>0</v>
      </c>
      <c r="BO119" s="154">
        <f t="shared" ca="1" si="496"/>
        <v>0</v>
      </c>
      <c r="BP119" s="154">
        <f t="shared" ca="1" si="497"/>
        <v>0</v>
      </c>
      <c r="BQ119" s="154">
        <f t="shared" ca="1" si="498"/>
        <v>0</v>
      </c>
      <c r="BR119" s="154">
        <f t="shared" ca="1" si="499"/>
        <v>0</v>
      </c>
      <c r="BS119" s="154">
        <f t="shared" ca="1" si="500"/>
        <v>0</v>
      </c>
      <c r="BT119" s="154">
        <f t="shared" ca="1" si="501"/>
        <v>0</v>
      </c>
      <c r="BU119" s="154">
        <f t="shared" ca="1" si="502"/>
        <v>0</v>
      </c>
      <c r="BV119" s="154">
        <f t="shared" ca="1" si="503"/>
        <v>0</v>
      </c>
      <c r="BW119" s="154">
        <f t="shared" ca="1" si="504"/>
        <v>0</v>
      </c>
      <c r="BX119" s="154">
        <f t="shared" ca="1" si="505"/>
        <v>0</v>
      </c>
      <c r="BY119" s="154">
        <f t="shared" ca="1" si="506"/>
        <v>0</v>
      </c>
      <c r="BZ119" s="154">
        <f t="shared" si="507"/>
        <v>0</v>
      </c>
      <c r="CA119" s="154">
        <f t="shared" si="508"/>
        <v>0</v>
      </c>
      <c r="CB119" s="154">
        <f t="shared" ca="1" si="509"/>
        <v>0</v>
      </c>
      <c r="CC119" s="523"/>
      <c r="CD119" s="355">
        <f t="shared" si="510"/>
        <v>143</v>
      </c>
      <c r="CE119" s="751" t="str">
        <f t="shared" ca="1" si="511"/>
        <v>B</v>
      </c>
      <c r="CF119" s="355" t="str">
        <f t="shared" ca="1" si="534"/>
        <v/>
      </c>
      <c r="CG119" s="268"/>
      <c r="CH119" s="268"/>
      <c r="CI119" s="269">
        <f t="shared" ca="1" si="512"/>
        <v>0</v>
      </c>
      <c r="CJ119" s="269">
        <f t="shared" ca="1" si="513"/>
        <v>0</v>
      </c>
      <c r="CK119" s="268"/>
      <c r="CL119" s="268"/>
      <c r="CM119" s="268">
        <f t="shared" ca="1" si="327"/>
        <v>0</v>
      </c>
      <c r="CN119" s="269">
        <f t="shared" ca="1" si="328"/>
        <v>0</v>
      </c>
      <c r="CO119" s="268" t="str">
        <f t="shared" ca="1" si="514"/>
        <v>B</v>
      </c>
      <c r="CP119" s="269" t="b">
        <f t="shared" ca="1" si="515"/>
        <v>1</v>
      </c>
      <c r="CQ119" s="269">
        <f t="shared" si="516"/>
        <v>0</v>
      </c>
      <c r="CR119" s="269">
        <f t="shared" si="517"/>
        <v>0</v>
      </c>
      <c r="CS119" s="269">
        <f t="shared" ca="1" si="518"/>
        <v>0</v>
      </c>
      <c r="CT119" s="302" t="str">
        <f t="shared" ca="1" si="519"/>
        <v>0</v>
      </c>
      <c r="CU119" s="269">
        <f t="shared" ca="1" si="520"/>
        <v>0</v>
      </c>
      <c r="CV119" s="268"/>
      <c r="CW119" s="269">
        <f t="shared" ca="1" si="521"/>
        <v>0</v>
      </c>
      <c r="CX119" s="301">
        <f t="shared" ca="1" si="522"/>
        <v>0</v>
      </c>
      <c r="CY119" s="301">
        <f t="shared" ca="1" si="329"/>
        <v>0</v>
      </c>
      <c r="CZ119" s="301">
        <f t="shared" ca="1" si="523"/>
        <v>0</v>
      </c>
      <c r="DA119" s="301">
        <f t="shared" ca="1" si="524"/>
        <v>0</v>
      </c>
      <c r="DB119" t="str">
        <f ca="1">IF(AND(NOT(ISBLANK($F119)),$F119&lt;=$B119),"TaW SE zu klein","")</f>
        <v/>
      </c>
      <c r="DC119" s="301" t="str">
        <f t="shared" ca="1" si="525"/>
        <v/>
      </c>
      <c r="DD119" s="1337" t="str">
        <f t="shared" ca="1" si="535"/>
        <v/>
      </c>
      <c r="DE119" s="1337" t="str">
        <f t="shared" ca="1" si="536"/>
        <v/>
      </c>
      <c r="DG119" s="269" t="str">
        <f t="shared" ca="1" si="526"/>
        <v>Tabellen_Andere!BA32:BF32</v>
      </c>
      <c r="DH119" s="269" t="str">
        <f t="shared" si="527"/>
        <v>Tabellen_Andere!BA32:BF32</v>
      </c>
      <c r="DI119" s="269" t="str">
        <f ca="1">IF(NOT(ISERR(FIND(A119&amp;" ",Abfragen!$O$264,1))),MID(Abfragen!$O$264,FIND("(",Abfragen!$O$264,FIND(A119,Abfragen!$O$264,1)+LEN(A119))+1,FIND(")",Abfragen!$O$264,FIND(A119,Abfragen!$O$264,1)+LEN(A119))-FIND("(",Abfragen!$O$264,FIND(A119,Abfragen!$O$264,1)+LEN(A119))-1),"")</f>
        <v/>
      </c>
      <c r="DJ119" s="301" t="str">
        <f t="shared" ca="1" si="537"/>
        <v>B</v>
      </c>
      <c r="DK119" s="301" t="str">
        <f t="shared" ca="1" si="537"/>
        <v>B</v>
      </c>
      <c r="DL119" s="301" t="str">
        <f t="shared" ca="1" si="537"/>
        <v>B</v>
      </c>
      <c r="DM119" s="301" t="str">
        <f t="shared" ca="1" si="537"/>
        <v>B</v>
      </c>
      <c r="DN119" s="301" t="str">
        <f t="shared" ca="1" si="537"/>
        <v>B</v>
      </c>
      <c r="DO119" s="301" t="str">
        <f t="shared" ca="1" si="537"/>
        <v>B</v>
      </c>
      <c r="DP119" s="301" t="str">
        <f t="shared" ca="1" si="537"/>
        <v>B</v>
      </c>
      <c r="DQ119" s="301" t="str">
        <f t="shared" ca="1" si="537"/>
        <v>B</v>
      </c>
      <c r="DR119" s="301" t="str">
        <f t="shared" ca="1" si="537"/>
        <v>B</v>
      </c>
      <c r="DS119" s="301" t="str">
        <f t="shared" ca="1" si="537"/>
        <v>B</v>
      </c>
      <c r="DT119" s="301" t="str">
        <f t="shared" ca="1" si="538"/>
        <v>B</v>
      </c>
      <c r="DU119" s="301" t="str">
        <f t="shared" ca="1" si="538"/>
        <v>B</v>
      </c>
      <c r="DV119" s="301" t="str">
        <f t="shared" ca="1" si="538"/>
        <v>B</v>
      </c>
      <c r="DW119" s="301" t="str">
        <f t="shared" ca="1" si="538"/>
        <v>B</v>
      </c>
      <c r="DX119" s="301" t="str">
        <f t="shared" ca="1" si="538"/>
        <v>B</v>
      </c>
      <c r="DY119" s="301" t="str">
        <f t="shared" ca="1" si="538"/>
        <v>B</v>
      </c>
      <c r="DZ119" s="301" t="str">
        <f t="shared" ca="1" si="538"/>
        <v>B</v>
      </c>
      <c r="EA119" s="301" t="str">
        <f t="shared" ca="1" si="538"/>
        <v>B</v>
      </c>
      <c r="EB119" s="301" t="str">
        <f t="shared" ca="1" si="538"/>
        <v>B</v>
      </c>
      <c r="EC119" s="301" t="str">
        <f t="shared" ca="1" si="538"/>
        <v>B</v>
      </c>
      <c r="ED119" s="301" t="str">
        <f t="shared" ca="1" si="538"/>
        <v>B</v>
      </c>
      <c r="EE119" s="301" t="str">
        <f t="shared" ca="1" si="538"/>
        <v>B</v>
      </c>
      <c r="EF119" s="205"/>
      <c r="EG119" s="301" t="str">
        <f t="shared" ca="1" si="539"/>
        <v>B</v>
      </c>
      <c r="EH119" s="301" t="str">
        <f t="shared" ca="1" si="539"/>
        <v>B</v>
      </c>
      <c r="EI119" s="301" t="str">
        <f t="shared" ca="1" si="539"/>
        <v>B</v>
      </c>
      <c r="EJ119" s="301" t="str">
        <f t="shared" ca="1" si="539"/>
        <v>B</v>
      </c>
      <c r="EK119" s="301" t="str">
        <f t="shared" ca="1" si="539"/>
        <v>B</v>
      </c>
      <c r="EL119" s="301" t="str">
        <f t="shared" ca="1" si="539"/>
        <v>B</v>
      </c>
      <c r="EM119" s="301" t="str">
        <f t="shared" ca="1" si="539"/>
        <v>B</v>
      </c>
      <c r="EN119" s="301" t="str">
        <f t="shared" ca="1" si="539"/>
        <v>B</v>
      </c>
      <c r="EO119" s="301" t="str">
        <f t="shared" ca="1" si="539"/>
        <v>B</v>
      </c>
      <c r="EP119" s="301" t="str">
        <f t="shared" ca="1" si="539"/>
        <v>B</v>
      </c>
      <c r="EQ119" s="301" t="str">
        <f t="shared" ca="1" si="540"/>
        <v>B</v>
      </c>
      <c r="ER119" s="301" t="str">
        <f t="shared" ca="1" si="540"/>
        <v>B</v>
      </c>
      <c r="ES119" s="301" t="str">
        <f t="shared" ca="1" si="540"/>
        <v>B</v>
      </c>
      <c r="ET119" s="301" t="str">
        <f t="shared" ca="1" si="540"/>
        <v>B</v>
      </c>
      <c r="EU119" s="301" t="str">
        <f t="shared" ca="1" si="540"/>
        <v>B</v>
      </c>
      <c r="EV119" s="301" t="str">
        <f t="shared" ca="1" si="540"/>
        <v>B</v>
      </c>
      <c r="EW119" s="301" t="str">
        <f t="shared" ca="1" si="540"/>
        <v>B</v>
      </c>
      <c r="EX119" s="301" t="str">
        <f t="shared" ca="1" si="540"/>
        <v>B</v>
      </c>
      <c r="EY119" s="301" t="str">
        <f t="shared" ca="1" si="540"/>
        <v>B</v>
      </c>
      <c r="EZ119" s="301" t="str">
        <f t="shared" ca="1" si="540"/>
        <v>B</v>
      </c>
      <c r="FA119" s="301" t="str">
        <f t="shared" ca="1" si="541"/>
        <v>B</v>
      </c>
      <c r="FB119" s="301" t="str">
        <f t="shared" ca="1" si="541"/>
        <v>B</v>
      </c>
      <c r="FC119" s="301" t="str">
        <f t="shared" ca="1" si="541"/>
        <v>B</v>
      </c>
      <c r="FD119" s="301" t="str">
        <f t="shared" ca="1" si="541"/>
        <v>B</v>
      </c>
      <c r="FE119" s="301" t="str">
        <f t="shared" ca="1" si="541"/>
        <v>B</v>
      </c>
      <c r="FF119" s="301" t="str">
        <f t="shared" ca="1" si="541"/>
        <v>B</v>
      </c>
      <c r="FG119" s="301" t="str">
        <f t="shared" ca="1" si="541"/>
        <v>B</v>
      </c>
      <c r="FH119" s="301" t="str">
        <f t="shared" ca="1" si="541"/>
        <v>B</v>
      </c>
      <c r="FI119" s="301" t="str">
        <f t="shared" ca="1" si="541"/>
        <v>B</v>
      </c>
      <c r="FJ119" s="301" t="str">
        <f t="shared" ca="1" si="541"/>
        <v>B</v>
      </c>
      <c r="FK119" s="301" t="str">
        <f t="shared" ca="1" si="541"/>
        <v>B</v>
      </c>
      <c r="FL119" s="301" t="str">
        <f t="shared" ca="1" si="541"/>
        <v>B</v>
      </c>
    </row>
    <row r="120" spans="1:168" x14ac:dyDescent="0.2">
      <c r="A120" s="38" t="str">
        <f t="shared" si="533"/>
        <v>Fleischer</v>
      </c>
      <c r="B120" s="317" t="str">
        <f t="shared" ca="1" si="448"/>
        <v/>
      </c>
      <c r="C120" s="332" t="str">
        <f t="shared" ca="1" si="449"/>
        <v/>
      </c>
      <c r="D120" s="1110"/>
      <c r="E120" s="966"/>
      <c r="F120" s="325"/>
      <c r="G120" s="958"/>
      <c r="H120" s="1196"/>
      <c r="I120" s="326"/>
      <c r="J120" s="1886" t="str">
        <f t="shared" ca="1" si="450"/>
        <v/>
      </c>
      <c r="K120" s="1887"/>
      <c r="L120" s="1887"/>
      <c r="M120" s="1887"/>
      <c r="N120" s="1888"/>
      <c r="O120" s="613" t="str">
        <f t="shared" ca="1" si="451"/>
        <v/>
      </c>
      <c r="P120" s="90"/>
      <c r="Q120" s="25"/>
      <c r="R120" s="1313"/>
      <c r="S120" s="1313"/>
      <c r="T120" s="1315"/>
      <c r="U120" s="1283"/>
      <c r="V120" s="628" t="str">
        <f t="shared" ca="1" si="452"/>
        <v/>
      </c>
      <c r="W120" s="164">
        <f t="shared" ca="1" si="453"/>
        <v>0</v>
      </c>
      <c r="X120" s="164">
        <f t="shared" ca="1" si="454"/>
        <v>0</v>
      </c>
      <c r="Y120" s="164">
        <f t="shared" ca="1" si="455"/>
        <v>0</v>
      </c>
      <c r="Z120" s="164">
        <f t="shared" ca="1" si="456"/>
        <v>0</v>
      </c>
      <c r="AA120" s="164">
        <f t="shared" ca="1" si="457"/>
        <v>0</v>
      </c>
      <c r="AB120" s="164">
        <f t="shared" ca="1" si="458"/>
        <v>0</v>
      </c>
      <c r="AC120" s="164">
        <f t="shared" ca="1" si="459"/>
        <v>0</v>
      </c>
      <c r="AD120" s="164">
        <f t="shared" ca="1" si="460"/>
        <v>0</v>
      </c>
      <c r="AE120" s="164">
        <f t="shared" ca="1" si="461"/>
        <v>0</v>
      </c>
      <c r="AF120" s="164">
        <f t="shared" ca="1" si="462"/>
        <v>0</v>
      </c>
      <c r="AG120" s="164">
        <f t="shared" ca="1" si="463"/>
        <v>0</v>
      </c>
      <c r="AH120" s="164">
        <f t="shared" ca="1" si="464"/>
        <v>0</v>
      </c>
      <c r="AI120" s="164">
        <f t="shared" ca="1" si="465"/>
        <v>0</v>
      </c>
      <c r="AJ120" s="164">
        <f t="shared" ca="1" si="466"/>
        <v>0</v>
      </c>
      <c r="AK120" s="164">
        <f t="shared" ca="1" si="467"/>
        <v>0</v>
      </c>
      <c r="AL120" s="164">
        <f t="shared" ca="1" si="468"/>
        <v>0</v>
      </c>
      <c r="AM120" s="164">
        <f t="shared" ca="1" si="469"/>
        <v>0</v>
      </c>
      <c r="AN120" s="164">
        <f t="shared" ca="1" si="470"/>
        <v>0</v>
      </c>
      <c r="AO120" s="164">
        <f t="shared" ca="1" si="471"/>
        <v>0</v>
      </c>
      <c r="AP120" s="164">
        <f t="shared" ca="1" si="472"/>
        <v>0</v>
      </c>
      <c r="AQ120" s="164">
        <f t="shared" ca="1" si="473"/>
        <v>0</v>
      </c>
      <c r="AR120" s="164">
        <f t="shared" ca="1" si="474"/>
        <v>0</v>
      </c>
      <c r="AS120" s="195"/>
      <c r="AT120" s="154">
        <f t="shared" ca="1" si="475"/>
        <v>0</v>
      </c>
      <c r="AU120" s="154">
        <f t="shared" ca="1" si="476"/>
        <v>0</v>
      </c>
      <c r="AV120" s="154">
        <f t="shared" ca="1" si="477"/>
        <v>0</v>
      </c>
      <c r="AW120" s="154">
        <f t="shared" ca="1" si="478"/>
        <v>0</v>
      </c>
      <c r="AX120" s="154">
        <f t="shared" ca="1" si="479"/>
        <v>0</v>
      </c>
      <c r="AY120" s="154">
        <f t="shared" ca="1" si="480"/>
        <v>0</v>
      </c>
      <c r="AZ120" s="154">
        <f t="shared" ca="1" si="481"/>
        <v>0</v>
      </c>
      <c r="BA120" s="154">
        <f t="shared" ca="1" si="482"/>
        <v>0</v>
      </c>
      <c r="BB120" s="154">
        <f t="shared" ca="1" si="483"/>
        <v>0</v>
      </c>
      <c r="BC120" s="154">
        <f t="shared" ca="1" si="484"/>
        <v>0</v>
      </c>
      <c r="BD120" s="154">
        <f t="shared" ca="1" si="485"/>
        <v>0</v>
      </c>
      <c r="BE120" s="154">
        <f t="shared" ca="1" si="486"/>
        <v>0</v>
      </c>
      <c r="BF120" s="154">
        <f t="shared" ca="1" si="487"/>
        <v>0</v>
      </c>
      <c r="BG120" s="154">
        <f t="shared" ca="1" si="488"/>
        <v>0</v>
      </c>
      <c r="BH120" s="154">
        <f t="shared" ca="1" si="489"/>
        <v>0</v>
      </c>
      <c r="BI120" s="154">
        <f t="shared" ca="1" si="490"/>
        <v>0</v>
      </c>
      <c r="BJ120" s="154">
        <f t="shared" ca="1" si="491"/>
        <v>0</v>
      </c>
      <c r="BK120" s="154">
        <f t="shared" ca="1" si="492"/>
        <v>0</v>
      </c>
      <c r="BL120" s="154">
        <f t="shared" ca="1" si="493"/>
        <v>0</v>
      </c>
      <c r="BM120" s="154">
        <f t="shared" ca="1" si="494"/>
        <v>0</v>
      </c>
      <c r="BN120" s="154">
        <f t="shared" ca="1" si="495"/>
        <v>0</v>
      </c>
      <c r="BO120" s="154">
        <f t="shared" ca="1" si="496"/>
        <v>0</v>
      </c>
      <c r="BP120" s="154">
        <f t="shared" ca="1" si="497"/>
        <v>0</v>
      </c>
      <c r="BQ120" s="154">
        <f t="shared" ca="1" si="498"/>
        <v>0</v>
      </c>
      <c r="BR120" s="154">
        <f t="shared" ca="1" si="499"/>
        <v>0</v>
      </c>
      <c r="BS120" s="154">
        <f t="shared" ca="1" si="500"/>
        <v>0</v>
      </c>
      <c r="BT120" s="154">
        <f t="shared" ca="1" si="501"/>
        <v>0</v>
      </c>
      <c r="BU120" s="154">
        <f t="shared" ca="1" si="502"/>
        <v>0</v>
      </c>
      <c r="BV120" s="154">
        <f t="shared" ca="1" si="503"/>
        <v>0</v>
      </c>
      <c r="BW120" s="154">
        <f t="shared" ca="1" si="504"/>
        <v>0</v>
      </c>
      <c r="BX120" s="154">
        <f t="shared" ca="1" si="505"/>
        <v>0</v>
      </c>
      <c r="BY120" s="154">
        <f t="shared" ca="1" si="506"/>
        <v>0</v>
      </c>
      <c r="BZ120" s="154">
        <f t="shared" si="507"/>
        <v>0</v>
      </c>
      <c r="CA120" s="154">
        <f t="shared" si="508"/>
        <v>0</v>
      </c>
      <c r="CB120" s="154">
        <f t="shared" ca="1" si="509"/>
        <v>0</v>
      </c>
      <c r="CC120" s="523"/>
      <c r="CD120" s="355">
        <f t="shared" si="510"/>
        <v>144</v>
      </c>
      <c r="CE120" s="751" t="str">
        <f t="shared" ca="1" si="511"/>
        <v>B</v>
      </c>
      <c r="CF120" s="355" t="str">
        <f t="shared" ca="1" si="534"/>
        <v/>
      </c>
      <c r="CG120" s="268"/>
      <c r="CH120" s="268"/>
      <c r="CI120" s="269">
        <f t="shared" ca="1" si="512"/>
        <v>0</v>
      </c>
      <c r="CJ120" s="269">
        <f t="shared" ca="1" si="513"/>
        <v>0</v>
      </c>
      <c r="CK120" s="268"/>
      <c r="CL120" s="268"/>
      <c r="CM120" s="268">
        <f t="shared" ca="1" si="327"/>
        <v>0</v>
      </c>
      <c r="CN120" s="269">
        <f t="shared" ca="1" si="328"/>
        <v>0</v>
      </c>
      <c r="CO120" s="268" t="str">
        <f t="shared" ca="1" si="514"/>
        <v>B</v>
      </c>
      <c r="CP120" s="269" t="b">
        <f t="shared" ca="1" si="515"/>
        <v>1</v>
      </c>
      <c r="CQ120" s="269">
        <f t="shared" si="516"/>
        <v>0</v>
      </c>
      <c r="CR120" s="269">
        <f t="shared" si="517"/>
        <v>0</v>
      </c>
      <c r="CS120" s="269">
        <f t="shared" ca="1" si="518"/>
        <v>0</v>
      </c>
      <c r="CT120" s="302" t="str">
        <f t="shared" ca="1" si="519"/>
        <v>0</v>
      </c>
      <c r="CU120" s="269">
        <f t="shared" ca="1" si="520"/>
        <v>0</v>
      </c>
      <c r="CV120" s="268"/>
      <c r="CW120" s="269">
        <f t="shared" ca="1" si="521"/>
        <v>0</v>
      </c>
      <c r="CX120" s="301">
        <f t="shared" ca="1" si="522"/>
        <v>0</v>
      </c>
      <c r="CY120" s="301">
        <f t="shared" ca="1" si="329"/>
        <v>0</v>
      </c>
      <c r="CZ120" s="301">
        <f t="shared" ca="1" si="523"/>
        <v>0</v>
      </c>
      <c r="DA120" s="301">
        <f t="shared" ca="1" si="524"/>
        <v>0</v>
      </c>
      <c r="DB120" t="str">
        <f ca="1">IF(AND(NOT(ISBLANK($F120)),$F120&lt;=$B120),"TaW SE zu klein","")</f>
        <v/>
      </c>
      <c r="DC120" s="301" t="str">
        <f t="shared" ca="1" si="525"/>
        <v/>
      </c>
      <c r="DD120" s="1337" t="str">
        <f t="shared" ca="1" si="535"/>
        <v/>
      </c>
      <c r="DE120" s="1337" t="str">
        <f t="shared" ca="1" si="536"/>
        <v/>
      </c>
      <c r="DG120" s="269" t="str">
        <f t="shared" ca="1" si="526"/>
        <v>Tabellen_Andere!BA34:BF34</v>
      </c>
      <c r="DH120" s="269" t="str">
        <f t="shared" si="527"/>
        <v>Tabellen_Andere!BA34:BF34</v>
      </c>
      <c r="DI120" s="269" t="str">
        <f ca="1">IF(NOT(ISERR(FIND(A120&amp;" ",Abfragen!$O$264,1))),MID(Abfragen!$O$264,FIND("(",Abfragen!$O$264,FIND(A120,Abfragen!$O$264,1)+LEN(A120))+1,FIND(")",Abfragen!$O$264,FIND(A120,Abfragen!$O$264,1)+LEN(A120))-FIND("(",Abfragen!$O$264,FIND(A120,Abfragen!$O$264,1)+LEN(A120))-1),"")</f>
        <v/>
      </c>
      <c r="DJ120" s="301" t="str">
        <f t="shared" ca="1" si="537"/>
        <v>B</v>
      </c>
      <c r="DK120" s="301" t="str">
        <f t="shared" ca="1" si="537"/>
        <v>B</v>
      </c>
      <c r="DL120" s="301" t="str">
        <f t="shared" ca="1" si="537"/>
        <v>B</v>
      </c>
      <c r="DM120" s="301" t="str">
        <f t="shared" ca="1" si="537"/>
        <v>B</v>
      </c>
      <c r="DN120" s="301" t="str">
        <f t="shared" ca="1" si="537"/>
        <v>B</v>
      </c>
      <c r="DO120" s="301" t="str">
        <f t="shared" ca="1" si="537"/>
        <v>B</v>
      </c>
      <c r="DP120" s="301" t="str">
        <f t="shared" ca="1" si="537"/>
        <v>B</v>
      </c>
      <c r="DQ120" s="301" t="str">
        <f t="shared" ca="1" si="537"/>
        <v>B</v>
      </c>
      <c r="DR120" s="301" t="str">
        <f t="shared" ca="1" si="537"/>
        <v>B</v>
      </c>
      <c r="DS120" s="301" t="str">
        <f t="shared" ca="1" si="537"/>
        <v>B</v>
      </c>
      <c r="DT120" s="301" t="str">
        <f t="shared" ca="1" si="538"/>
        <v>B</v>
      </c>
      <c r="DU120" s="301" t="str">
        <f t="shared" ca="1" si="538"/>
        <v>B</v>
      </c>
      <c r="DV120" s="301" t="str">
        <f t="shared" ca="1" si="538"/>
        <v>B</v>
      </c>
      <c r="DW120" s="301" t="str">
        <f t="shared" ca="1" si="538"/>
        <v>B</v>
      </c>
      <c r="DX120" s="301" t="str">
        <f t="shared" ca="1" si="538"/>
        <v>B</v>
      </c>
      <c r="DY120" s="301" t="str">
        <f t="shared" ca="1" si="538"/>
        <v>B</v>
      </c>
      <c r="DZ120" s="301" t="str">
        <f t="shared" ca="1" si="538"/>
        <v>B</v>
      </c>
      <c r="EA120" s="301" t="str">
        <f t="shared" ca="1" si="538"/>
        <v>B</v>
      </c>
      <c r="EB120" s="301" t="str">
        <f t="shared" ca="1" si="538"/>
        <v>B</v>
      </c>
      <c r="EC120" s="301" t="str">
        <f t="shared" ca="1" si="538"/>
        <v>B</v>
      </c>
      <c r="ED120" s="301" t="str">
        <f t="shared" ca="1" si="538"/>
        <v>B</v>
      </c>
      <c r="EE120" s="301" t="str">
        <f t="shared" ca="1" si="538"/>
        <v>B</v>
      </c>
      <c r="EF120" s="205"/>
      <c r="EG120" s="301" t="str">
        <f t="shared" ca="1" si="539"/>
        <v>B</v>
      </c>
      <c r="EH120" s="301" t="str">
        <f t="shared" ca="1" si="539"/>
        <v>B</v>
      </c>
      <c r="EI120" s="301" t="str">
        <f t="shared" ca="1" si="539"/>
        <v>B</v>
      </c>
      <c r="EJ120" s="301" t="str">
        <f t="shared" ca="1" si="539"/>
        <v>B</v>
      </c>
      <c r="EK120" s="301" t="str">
        <f t="shared" ca="1" si="539"/>
        <v>B</v>
      </c>
      <c r="EL120" s="301" t="str">
        <f t="shared" ca="1" si="539"/>
        <v>B</v>
      </c>
      <c r="EM120" s="301" t="str">
        <f t="shared" ca="1" si="539"/>
        <v>B</v>
      </c>
      <c r="EN120" s="301" t="str">
        <f t="shared" ca="1" si="539"/>
        <v>B</v>
      </c>
      <c r="EO120" s="301" t="str">
        <f t="shared" ca="1" si="539"/>
        <v>B</v>
      </c>
      <c r="EP120" s="301" t="str">
        <f t="shared" ca="1" si="539"/>
        <v>B</v>
      </c>
      <c r="EQ120" s="301" t="str">
        <f t="shared" ca="1" si="540"/>
        <v>B</v>
      </c>
      <c r="ER120" s="301" t="str">
        <f t="shared" ca="1" si="540"/>
        <v>B</v>
      </c>
      <c r="ES120" s="301" t="str">
        <f t="shared" ca="1" si="540"/>
        <v>B</v>
      </c>
      <c r="ET120" s="301" t="str">
        <f t="shared" ca="1" si="540"/>
        <v>B</v>
      </c>
      <c r="EU120" s="301" t="str">
        <f t="shared" ca="1" si="540"/>
        <v>B</v>
      </c>
      <c r="EV120" s="301" t="str">
        <f t="shared" ca="1" si="540"/>
        <v>B</v>
      </c>
      <c r="EW120" s="301" t="str">
        <f t="shared" ca="1" si="540"/>
        <v>B</v>
      </c>
      <c r="EX120" s="301" t="str">
        <f t="shared" ca="1" si="540"/>
        <v>B</v>
      </c>
      <c r="EY120" s="301" t="str">
        <f t="shared" ca="1" si="540"/>
        <v>B</v>
      </c>
      <c r="EZ120" s="301" t="str">
        <f t="shared" ca="1" si="540"/>
        <v>B</v>
      </c>
      <c r="FA120" s="301" t="str">
        <f t="shared" ca="1" si="541"/>
        <v>B</v>
      </c>
      <c r="FB120" s="301" t="str">
        <f t="shared" ca="1" si="541"/>
        <v>B</v>
      </c>
      <c r="FC120" s="301" t="str">
        <f t="shared" ca="1" si="541"/>
        <v>B</v>
      </c>
      <c r="FD120" s="301" t="str">
        <f t="shared" ca="1" si="541"/>
        <v>B</v>
      </c>
      <c r="FE120" s="301" t="str">
        <f t="shared" ca="1" si="541"/>
        <v>B</v>
      </c>
      <c r="FF120" s="301" t="str">
        <f t="shared" ca="1" si="541"/>
        <v>B</v>
      </c>
      <c r="FG120" s="301" t="str">
        <f t="shared" ca="1" si="541"/>
        <v>B</v>
      </c>
      <c r="FH120" s="301" t="str">
        <f t="shared" ca="1" si="541"/>
        <v>B</v>
      </c>
      <c r="FI120" s="301" t="str">
        <f t="shared" ca="1" si="541"/>
        <v>B</v>
      </c>
      <c r="FJ120" s="301" t="str">
        <f t="shared" ca="1" si="541"/>
        <v>B</v>
      </c>
      <c r="FK120" s="301" t="str">
        <f t="shared" ca="1" si="541"/>
        <v>B</v>
      </c>
      <c r="FL120" s="301" t="str">
        <f t="shared" ca="1" si="541"/>
        <v>B</v>
      </c>
    </row>
    <row r="121" spans="1:168" x14ac:dyDescent="0.2">
      <c r="A121" s="38" t="str">
        <f t="shared" si="533"/>
        <v>Gerber/Kürschner</v>
      </c>
      <c r="B121" s="317" t="str">
        <f t="shared" ca="1" si="448"/>
        <v/>
      </c>
      <c r="C121" s="332" t="str">
        <f t="shared" ca="1" si="449"/>
        <v/>
      </c>
      <c r="D121" s="1110"/>
      <c r="E121" s="966"/>
      <c r="F121" s="325"/>
      <c r="G121" s="958"/>
      <c r="H121" s="1196"/>
      <c r="I121" s="326"/>
      <c r="J121" s="1886" t="str">
        <f t="shared" ca="1" si="450"/>
        <v/>
      </c>
      <c r="K121" s="1887"/>
      <c r="L121" s="1887"/>
      <c r="M121" s="1887"/>
      <c r="N121" s="1888"/>
      <c r="O121" s="613" t="str">
        <f t="shared" ca="1" si="451"/>
        <v/>
      </c>
      <c r="P121" s="90"/>
      <c r="Q121" s="25"/>
      <c r="R121" s="1313"/>
      <c r="S121" s="1313"/>
      <c r="T121" s="1315"/>
      <c r="U121" s="1283"/>
      <c r="V121" s="628" t="str">
        <f t="shared" ca="1" si="452"/>
        <v/>
      </c>
      <c r="W121" s="164">
        <f t="shared" ca="1" si="453"/>
        <v>0</v>
      </c>
      <c r="X121" s="164">
        <f t="shared" ca="1" si="454"/>
        <v>0</v>
      </c>
      <c r="Y121" s="164">
        <f t="shared" ca="1" si="455"/>
        <v>0</v>
      </c>
      <c r="Z121" s="164">
        <f t="shared" ca="1" si="456"/>
        <v>0</v>
      </c>
      <c r="AA121" s="164">
        <f t="shared" ca="1" si="457"/>
        <v>0</v>
      </c>
      <c r="AB121" s="164">
        <f t="shared" ca="1" si="458"/>
        <v>0</v>
      </c>
      <c r="AC121" s="164">
        <f t="shared" ca="1" si="459"/>
        <v>0</v>
      </c>
      <c r="AD121" s="164">
        <f t="shared" ca="1" si="460"/>
        <v>0</v>
      </c>
      <c r="AE121" s="164">
        <f t="shared" ca="1" si="461"/>
        <v>0</v>
      </c>
      <c r="AF121" s="164">
        <f t="shared" ca="1" si="462"/>
        <v>0</v>
      </c>
      <c r="AG121" s="164">
        <f t="shared" ca="1" si="463"/>
        <v>0</v>
      </c>
      <c r="AH121" s="164">
        <f t="shared" ca="1" si="464"/>
        <v>0</v>
      </c>
      <c r="AI121" s="164">
        <f t="shared" ca="1" si="465"/>
        <v>0</v>
      </c>
      <c r="AJ121" s="164">
        <f t="shared" ca="1" si="466"/>
        <v>0</v>
      </c>
      <c r="AK121" s="164">
        <f t="shared" ca="1" si="467"/>
        <v>0</v>
      </c>
      <c r="AL121" s="164">
        <f t="shared" ca="1" si="468"/>
        <v>0</v>
      </c>
      <c r="AM121" s="164">
        <f t="shared" ca="1" si="469"/>
        <v>0</v>
      </c>
      <c r="AN121" s="164">
        <f t="shared" ca="1" si="470"/>
        <v>0</v>
      </c>
      <c r="AO121" s="164">
        <f t="shared" ca="1" si="471"/>
        <v>0</v>
      </c>
      <c r="AP121" s="164">
        <f t="shared" ca="1" si="472"/>
        <v>0</v>
      </c>
      <c r="AQ121" s="164">
        <f t="shared" ca="1" si="473"/>
        <v>0</v>
      </c>
      <c r="AR121" s="164">
        <f t="shared" ca="1" si="474"/>
        <v>0</v>
      </c>
      <c r="AS121" s="195"/>
      <c r="AT121" s="154">
        <f t="shared" ca="1" si="475"/>
        <v>0</v>
      </c>
      <c r="AU121" s="154">
        <f t="shared" ca="1" si="476"/>
        <v>0</v>
      </c>
      <c r="AV121" s="154">
        <f t="shared" ca="1" si="477"/>
        <v>0</v>
      </c>
      <c r="AW121" s="154">
        <f t="shared" ca="1" si="478"/>
        <v>0</v>
      </c>
      <c r="AX121" s="154">
        <f t="shared" ca="1" si="479"/>
        <v>0</v>
      </c>
      <c r="AY121" s="154">
        <f t="shared" ca="1" si="480"/>
        <v>0</v>
      </c>
      <c r="AZ121" s="154">
        <f t="shared" ca="1" si="481"/>
        <v>0</v>
      </c>
      <c r="BA121" s="154">
        <f t="shared" ca="1" si="482"/>
        <v>0</v>
      </c>
      <c r="BB121" s="154">
        <f t="shared" ca="1" si="483"/>
        <v>0</v>
      </c>
      <c r="BC121" s="154">
        <f t="shared" ca="1" si="484"/>
        <v>0</v>
      </c>
      <c r="BD121" s="154">
        <f t="shared" ca="1" si="485"/>
        <v>0</v>
      </c>
      <c r="BE121" s="154">
        <f t="shared" ca="1" si="486"/>
        <v>0</v>
      </c>
      <c r="BF121" s="154">
        <f t="shared" ca="1" si="487"/>
        <v>0</v>
      </c>
      <c r="BG121" s="154">
        <f t="shared" ca="1" si="488"/>
        <v>0</v>
      </c>
      <c r="BH121" s="154">
        <f t="shared" ca="1" si="489"/>
        <v>0</v>
      </c>
      <c r="BI121" s="154">
        <f t="shared" ca="1" si="490"/>
        <v>0</v>
      </c>
      <c r="BJ121" s="154">
        <f t="shared" ca="1" si="491"/>
        <v>0</v>
      </c>
      <c r="BK121" s="154">
        <f t="shared" ca="1" si="492"/>
        <v>0</v>
      </c>
      <c r="BL121" s="154">
        <f t="shared" ca="1" si="493"/>
        <v>0</v>
      </c>
      <c r="BM121" s="154">
        <f t="shared" ca="1" si="494"/>
        <v>0</v>
      </c>
      <c r="BN121" s="154">
        <f t="shared" ca="1" si="495"/>
        <v>0</v>
      </c>
      <c r="BO121" s="154">
        <f t="shared" ca="1" si="496"/>
        <v>0</v>
      </c>
      <c r="BP121" s="154">
        <f t="shared" ca="1" si="497"/>
        <v>0</v>
      </c>
      <c r="BQ121" s="154">
        <f t="shared" ca="1" si="498"/>
        <v>0</v>
      </c>
      <c r="BR121" s="154">
        <f t="shared" ca="1" si="499"/>
        <v>0</v>
      </c>
      <c r="BS121" s="154">
        <f t="shared" ca="1" si="500"/>
        <v>0</v>
      </c>
      <c r="BT121" s="154">
        <f t="shared" ca="1" si="501"/>
        <v>0</v>
      </c>
      <c r="BU121" s="154">
        <f t="shared" ca="1" si="502"/>
        <v>0</v>
      </c>
      <c r="BV121" s="154">
        <f t="shared" ca="1" si="503"/>
        <v>0</v>
      </c>
      <c r="BW121" s="154">
        <f t="shared" ca="1" si="504"/>
        <v>0</v>
      </c>
      <c r="BX121" s="154">
        <f t="shared" ca="1" si="505"/>
        <v>0</v>
      </c>
      <c r="BY121" s="154">
        <f t="shared" ca="1" si="506"/>
        <v>0</v>
      </c>
      <c r="BZ121" s="154">
        <f t="shared" si="507"/>
        <v>0</v>
      </c>
      <c r="CA121" s="154">
        <f t="shared" si="508"/>
        <v>0</v>
      </c>
      <c r="CB121" s="154">
        <f t="shared" ca="1" si="509"/>
        <v>0</v>
      </c>
      <c r="CC121" s="523"/>
      <c r="CD121" s="355">
        <f t="shared" si="510"/>
        <v>145</v>
      </c>
      <c r="CE121" s="751" t="str">
        <f t="shared" ca="1" si="511"/>
        <v>B</v>
      </c>
      <c r="CF121" s="355" t="str">
        <f t="shared" ca="1" si="534"/>
        <v/>
      </c>
      <c r="CG121" s="268"/>
      <c r="CH121" s="268"/>
      <c r="CI121" s="269">
        <f t="shared" ca="1" si="512"/>
        <v>0</v>
      </c>
      <c r="CJ121" s="269">
        <f t="shared" ca="1" si="513"/>
        <v>0</v>
      </c>
      <c r="CK121" s="268"/>
      <c r="CL121" s="268"/>
      <c r="CM121" s="268">
        <f t="shared" ca="1" si="327"/>
        <v>0</v>
      </c>
      <c r="CN121" s="269">
        <f t="shared" ca="1" si="328"/>
        <v>0</v>
      </c>
      <c r="CO121" s="268" t="str">
        <f t="shared" ca="1" si="514"/>
        <v>B</v>
      </c>
      <c r="CP121" s="269" t="b">
        <f t="shared" ca="1" si="515"/>
        <v>1</v>
      </c>
      <c r="CQ121" s="269">
        <f t="shared" si="516"/>
        <v>0</v>
      </c>
      <c r="CR121" s="269">
        <f t="shared" si="517"/>
        <v>0</v>
      </c>
      <c r="CS121" s="269">
        <f t="shared" ca="1" si="518"/>
        <v>0</v>
      </c>
      <c r="CT121" s="302" t="str">
        <f t="shared" ca="1" si="519"/>
        <v>0</v>
      </c>
      <c r="CU121" s="269">
        <f t="shared" ca="1" si="520"/>
        <v>0</v>
      </c>
      <c r="CV121" s="268"/>
      <c r="CW121" s="269">
        <f t="shared" ca="1" si="521"/>
        <v>0</v>
      </c>
      <c r="CX121" s="301">
        <f t="shared" ca="1" si="522"/>
        <v>0</v>
      </c>
      <c r="CY121" s="301">
        <f t="shared" ca="1" si="329"/>
        <v>0</v>
      </c>
      <c r="CZ121" s="301">
        <f t="shared" ca="1" si="523"/>
        <v>0</v>
      </c>
      <c r="DA121" s="301">
        <f t="shared" ca="1" si="524"/>
        <v>0</v>
      </c>
      <c r="DB121" t="str">
        <f ca="1">IF(AND(NOT(ISBLANK($F121)),$F121&lt;=$B121),"TaW SE zu klein","")</f>
        <v/>
      </c>
      <c r="DC121" s="301" t="str">
        <f t="shared" ca="1" si="525"/>
        <v/>
      </c>
      <c r="DD121" s="1337" t="str">
        <f t="shared" ca="1" si="535"/>
        <v/>
      </c>
      <c r="DE121" s="1337" t="str">
        <f t="shared" ca="1" si="536"/>
        <v/>
      </c>
      <c r="DG121" s="269" t="str">
        <f t="shared" ca="1" si="526"/>
        <v>Tabellen_Andere!BA40:BF40</v>
      </c>
      <c r="DH121" s="269" t="str">
        <f t="shared" si="527"/>
        <v>Tabellen_Andere!BA40:BF40</v>
      </c>
      <c r="DI121" s="269" t="str">
        <f ca="1">IF(NOT(ISERR(FIND(A121&amp;" ",Abfragen!$O$264,1))),MID(Abfragen!$O$264,FIND("(",Abfragen!$O$264,FIND(A121,Abfragen!$O$264,1)+LEN(A121))+1,FIND(")",Abfragen!$O$264,FIND(A121,Abfragen!$O$264,1)+LEN(A121))-FIND("(",Abfragen!$O$264,FIND(A121,Abfragen!$O$264,1)+LEN(A121))-1),"")</f>
        <v/>
      </c>
      <c r="DJ121" s="301" t="str">
        <f t="shared" ca="1" si="537"/>
        <v>B</v>
      </c>
      <c r="DK121" s="301" t="str">
        <f t="shared" ca="1" si="537"/>
        <v>B</v>
      </c>
      <c r="DL121" s="301" t="str">
        <f t="shared" ca="1" si="537"/>
        <v>B</v>
      </c>
      <c r="DM121" s="301" t="str">
        <f t="shared" ca="1" si="537"/>
        <v>B</v>
      </c>
      <c r="DN121" s="301" t="str">
        <f t="shared" ca="1" si="537"/>
        <v>B</v>
      </c>
      <c r="DO121" s="301" t="str">
        <f t="shared" ca="1" si="537"/>
        <v>B</v>
      </c>
      <c r="DP121" s="301" t="str">
        <f t="shared" ca="1" si="537"/>
        <v>B</v>
      </c>
      <c r="DQ121" s="301" t="str">
        <f t="shared" ca="1" si="537"/>
        <v>B</v>
      </c>
      <c r="DR121" s="301" t="str">
        <f t="shared" ca="1" si="537"/>
        <v>B</v>
      </c>
      <c r="DS121" s="301" t="str">
        <f t="shared" ca="1" si="537"/>
        <v>B</v>
      </c>
      <c r="DT121" s="301" t="str">
        <f t="shared" ca="1" si="538"/>
        <v>B</v>
      </c>
      <c r="DU121" s="301" t="str">
        <f t="shared" ca="1" si="538"/>
        <v>B</v>
      </c>
      <c r="DV121" s="301" t="str">
        <f t="shared" ca="1" si="538"/>
        <v>B</v>
      </c>
      <c r="DW121" s="301" t="str">
        <f t="shared" ca="1" si="538"/>
        <v>B</v>
      </c>
      <c r="DX121" s="301" t="str">
        <f t="shared" ca="1" si="538"/>
        <v>B</v>
      </c>
      <c r="DY121" s="301" t="str">
        <f t="shared" ca="1" si="538"/>
        <v>B</v>
      </c>
      <c r="DZ121" s="301" t="str">
        <f t="shared" ca="1" si="538"/>
        <v>B</v>
      </c>
      <c r="EA121" s="301" t="str">
        <f t="shared" ca="1" si="538"/>
        <v>B</v>
      </c>
      <c r="EB121" s="301" t="str">
        <f t="shared" ca="1" si="538"/>
        <v>B</v>
      </c>
      <c r="EC121" s="301" t="str">
        <f t="shared" ca="1" si="538"/>
        <v>B</v>
      </c>
      <c r="ED121" s="301" t="str">
        <f t="shared" ca="1" si="538"/>
        <v>B</v>
      </c>
      <c r="EE121" s="301" t="str">
        <f t="shared" ca="1" si="538"/>
        <v>B</v>
      </c>
      <c r="EF121" s="205"/>
      <c r="EG121" s="301" t="str">
        <f t="shared" ca="1" si="539"/>
        <v>B</v>
      </c>
      <c r="EH121" s="301" t="str">
        <f t="shared" ca="1" si="539"/>
        <v>B</v>
      </c>
      <c r="EI121" s="301" t="str">
        <f t="shared" ca="1" si="539"/>
        <v>B</v>
      </c>
      <c r="EJ121" s="301" t="str">
        <f t="shared" ca="1" si="539"/>
        <v>B</v>
      </c>
      <c r="EK121" s="301" t="str">
        <f t="shared" ca="1" si="539"/>
        <v>B</v>
      </c>
      <c r="EL121" s="301" t="str">
        <f t="shared" ca="1" si="539"/>
        <v>B</v>
      </c>
      <c r="EM121" s="301" t="str">
        <f t="shared" ca="1" si="539"/>
        <v>B</v>
      </c>
      <c r="EN121" s="301" t="str">
        <f t="shared" ca="1" si="539"/>
        <v>B</v>
      </c>
      <c r="EO121" s="301" t="str">
        <f t="shared" ca="1" si="539"/>
        <v>B</v>
      </c>
      <c r="EP121" s="301" t="str">
        <f t="shared" ca="1" si="539"/>
        <v>B</v>
      </c>
      <c r="EQ121" s="301" t="str">
        <f t="shared" ca="1" si="540"/>
        <v>B</v>
      </c>
      <c r="ER121" s="301" t="str">
        <f t="shared" ca="1" si="540"/>
        <v>B</v>
      </c>
      <c r="ES121" s="301" t="str">
        <f t="shared" ca="1" si="540"/>
        <v>B</v>
      </c>
      <c r="ET121" s="301" t="str">
        <f t="shared" ca="1" si="540"/>
        <v>B</v>
      </c>
      <c r="EU121" s="301" t="str">
        <f t="shared" ca="1" si="540"/>
        <v>B</v>
      </c>
      <c r="EV121" s="301" t="str">
        <f t="shared" ca="1" si="540"/>
        <v>B</v>
      </c>
      <c r="EW121" s="301" t="str">
        <f t="shared" ca="1" si="540"/>
        <v>B</v>
      </c>
      <c r="EX121" s="301" t="str">
        <f t="shared" ca="1" si="540"/>
        <v>B</v>
      </c>
      <c r="EY121" s="301" t="str">
        <f t="shared" ca="1" si="540"/>
        <v>B</v>
      </c>
      <c r="EZ121" s="301" t="str">
        <f t="shared" ca="1" si="540"/>
        <v>B</v>
      </c>
      <c r="FA121" s="301" t="str">
        <f t="shared" ca="1" si="541"/>
        <v>B</v>
      </c>
      <c r="FB121" s="301" t="str">
        <f t="shared" ca="1" si="541"/>
        <v>B</v>
      </c>
      <c r="FC121" s="301" t="str">
        <f t="shared" ca="1" si="541"/>
        <v>B</v>
      </c>
      <c r="FD121" s="301" t="str">
        <f t="shared" ca="1" si="541"/>
        <v>B</v>
      </c>
      <c r="FE121" s="301" t="str">
        <f t="shared" ca="1" si="541"/>
        <v>B</v>
      </c>
      <c r="FF121" s="301" t="str">
        <f t="shared" ca="1" si="541"/>
        <v>B</v>
      </c>
      <c r="FG121" s="301" t="str">
        <f t="shared" ca="1" si="541"/>
        <v>B</v>
      </c>
      <c r="FH121" s="301" t="str">
        <f t="shared" ca="1" si="541"/>
        <v>B</v>
      </c>
      <c r="FI121" s="301" t="str">
        <f t="shared" ca="1" si="541"/>
        <v>B</v>
      </c>
      <c r="FJ121" s="301" t="str">
        <f t="shared" ca="1" si="541"/>
        <v>B</v>
      </c>
      <c r="FK121" s="301" t="str">
        <f t="shared" ca="1" si="541"/>
        <v>B</v>
      </c>
      <c r="FL121" s="301" t="str">
        <f t="shared" ca="1" si="541"/>
        <v>B</v>
      </c>
    </row>
    <row r="122" spans="1:168" x14ac:dyDescent="0.2">
      <c r="A122" s="38" t="str">
        <f t="shared" si="533"/>
        <v>Glaskunst</v>
      </c>
      <c r="B122" s="317" t="str">
        <f t="shared" ca="1" si="448"/>
        <v/>
      </c>
      <c r="C122" s="332" t="str">
        <f t="shared" ca="1" si="449"/>
        <v/>
      </c>
      <c r="D122" s="1110"/>
      <c r="E122" s="966"/>
      <c r="F122" s="325"/>
      <c r="G122" s="958"/>
      <c r="H122" s="1196"/>
      <c r="I122" s="326"/>
      <c r="J122" s="1886" t="str">
        <f t="shared" ca="1" si="450"/>
        <v/>
      </c>
      <c r="K122" s="1887"/>
      <c r="L122" s="1887"/>
      <c r="M122" s="1887"/>
      <c r="N122" s="1888"/>
      <c r="O122" s="613" t="str">
        <f t="shared" ca="1" si="451"/>
        <v/>
      </c>
      <c r="P122" s="90"/>
      <c r="Q122" s="25"/>
      <c r="R122" s="1313"/>
      <c r="S122" s="1313"/>
      <c r="T122" s="1315"/>
      <c r="U122" s="1283"/>
      <c r="V122" s="628" t="str">
        <f t="shared" ca="1" si="452"/>
        <v/>
      </c>
      <c r="W122" s="164">
        <f t="shared" ca="1" si="453"/>
        <v>0</v>
      </c>
      <c r="X122" s="164">
        <f t="shared" ca="1" si="454"/>
        <v>0</v>
      </c>
      <c r="Y122" s="164">
        <f t="shared" ca="1" si="455"/>
        <v>0</v>
      </c>
      <c r="Z122" s="164">
        <f t="shared" ca="1" si="456"/>
        <v>0</v>
      </c>
      <c r="AA122" s="164">
        <f t="shared" ca="1" si="457"/>
        <v>0</v>
      </c>
      <c r="AB122" s="164">
        <f t="shared" ca="1" si="458"/>
        <v>0</v>
      </c>
      <c r="AC122" s="164">
        <f t="shared" ca="1" si="459"/>
        <v>0</v>
      </c>
      <c r="AD122" s="164">
        <f t="shared" ca="1" si="460"/>
        <v>0</v>
      </c>
      <c r="AE122" s="164">
        <f t="shared" ca="1" si="461"/>
        <v>0</v>
      </c>
      <c r="AF122" s="164">
        <f t="shared" ca="1" si="462"/>
        <v>0</v>
      </c>
      <c r="AG122" s="164">
        <f t="shared" ca="1" si="463"/>
        <v>0</v>
      </c>
      <c r="AH122" s="164">
        <f t="shared" ca="1" si="464"/>
        <v>0</v>
      </c>
      <c r="AI122" s="164">
        <f t="shared" ca="1" si="465"/>
        <v>0</v>
      </c>
      <c r="AJ122" s="164">
        <f t="shared" ca="1" si="466"/>
        <v>0</v>
      </c>
      <c r="AK122" s="164">
        <f t="shared" ca="1" si="467"/>
        <v>0</v>
      </c>
      <c r="AL122" s="164">
        <f t="shared" ca="1" si="468"/>
        <v>0</v>
      </c>
      <c r="AM122" s="164">
        <f t="shared" ca="1" si="469"/>
        <v>0</v>
      </c>
      <c r="AN122" s="164">
        <f t="shared" ca="1" si="470"/>
        <v>0</v>
      </c>
      <c r="AO122" s="164">
        <f t="shared" ca="1" si="471"/>
        <v>0</v>
      </c>
      <c r="AP122" s="164">
        <f t="shared" ca="1" si="472"/>
        <v>0</v>
      </c>
      <c r="AQ122" s="164">
        <f t="shared" ca="1" si="473"/>
        <v>0</v>
      </c>
      <c r="AR122" s="164">
        <f t="shared" ca="1" si="474"/>
        <v>0</v>
      </c>
      <c r="AS122" s="195"/>
      <c r="AT122" s="154">
        <f t="shared" ca="1" si="475"/>
        <v>0</v>
      </c>
      <c r="AU122" s="154">
        <f t="shared" ca="1" si="476"/>
        <v>0</v>
      </c>
      <c r="AV122" s="154">
        <f t="shared" ca="1" si="477"/>
        <v>0</v>
      </c>
      <c r="AW122" s="154">
        <f t="shared" ca="1" si="478"/>
        <v>0</v>
      </c>
      <c r="AX122" s="154">
        <f t="shared" ca="1" si="479"/>
        <v>0</v>
      </c>
      <c r="AY122" s="154">
        <f t="shared" ca="1" si="480"/>
        <v>0</v>
      </c>
      <c r="AZ122" s="154">
        <f t="shared" ca="1" si="481"/>
        <v>0</v>
      </c>
      <c r="BA122" s="154">
        <f t="shared" ca="1" si="482"/>
        <v>0</v>
      </c>
      <c r="BB122" s="154">
        <f t="shared" ca="1" si="483"/>
        <v>0</v>
      </c>
      <c r="BC122" s="154">
        <f t="shared" ca="1" si="484"/>
        <v>0</v>
      </c>
      <c r="BD122" s="154">
        <f t="shared" ca="1" si="485"/>
        <v>0</v>
      </c>
      <c r="BE122" s="154">
        <f t="shared" ca="1" si="486"/>
        <v>0</v>
      </c>
      <c r="BF122" s="154">
        <f t="shared" ca="1" si="487"/>
        <v>0</v>
      </c>
      <c r="BG122" s="154">
        <f t="shared" ca="1" si="488"/>
        <v>0</v>
      </c>
      <c r="BH122" s="154">
        <f t="shared" ca="1" si="489"/>
        <v>0</v>
      </c>
      <c r="BI122" s="154">
        <f t="shared" ca="1" si="490"/>
        <v>0</v>
      </c>
      <c r="BJ122" s="154">
        <f t="shared" ca="1" si="491"/>
        <v>0</v>
      </c>
      <c r="BK122" s="154">
        <f t="shared" ca="1" si="492"/>
        <v>0</v>
      </c>
      <c r="BL122" s="154">
        <f t="shared" ca="1" si="493"/>
        <v>0</v>
      </c>
      <c r="BM122" s="154">
        <f t="shared" ca="1" si="494"/>
        <v>0</v>
      </c>
      <c r="BN122" s="154">
        <f t="shared" ca="1" si="495"/>
        <v>0</v>
      </c>
      <c r="BO122" s="154">
        <f t="shared" ca="1" si="496"/>
        <v>0</v>
      </c>
      <c r="BP122" s="154">
        <f t="shared" ca="1" si="497"/>
        <v>0</v>
      </c>
      <c r="BQ122" s="154">
        <f t="shared" ca="1" si="498"/>
        <v>0</v>
      </c>
      <c r="BR122" s="154">
        <f t="shared" ca="1" si="499"/>
        <v>0</v>
      </c>
      <c r="BS122" s="154">
        <f t="shared" ca="1" si="500"/>
        <v>0</v>
      </c>
      <c r="BT122" s="154">
        <f t="shared" ca="1" si="501"/>
        <v>0</v>
      </c>
      <c r="BU122" s="154">
        <f t="shared" ca="1" si="502"/>
        <v>0</v>
      </c>
      <c r="BV122" s="154">
        <f t="shared" ca="1" si="503"/>
        <v>0</v>
      </c>
      <c r="BW122" s="154">
        <f t="shared" ca="1" si="504"/>
        <v>0</v>
      </c>
      <c r="BX122" s="154">
        <f t="shared" ca="1" si="505"/>
        <v>0</v>
      </c>
      <c r="BY122" s="154">
        <f t="shared" ca="1" si="506"/>
        <v>0</v>
      </c>
      <c r="BZ122" s="154">
        <f t="shared" si="507"/>
        <v>0</v>
      </c>
      <c r="CA122" s="154">
        <f t="shared" si="508"/>
        <v>0</v>
      </c>
      <c r="CB122" s="154">
        <f t="shared" ca="1" si="509"/>
        <v>0</v>
      </c>
      <c r="CC122" s="523"/>
      <c r="CD122" s="355">
        <f t="shared" si="510"/>
        <v>146</v>
      </c>
      <c r="CE122" s="751" t="str">
        <f t="shared" ca="1" si="511"/>
        <v>B</v>
      </c>
      <c r="CF122" s="355" t="str">
        <f t="shared" ca="1" si="534"/>
        <v/>
      </c>
      <c r="CG122" s="268"/>
      <c r="CH122" s="268"/>
      <c r="CI122" s="269">
        <f t="shared" ca="1" si="512"/>
        <v>0</v>
      </c>
      <c r="CJ122" s="269">
        <f t="shared" ca="1" si="513"/>
        <v>0</v>
      </c>
      <c r="CK122" s="268"/>
      <c r="CL122" s="268"/>
      <c r="CM122" s="268">
        <f t="shared" ca="1" si="327"/>
        <v>0</v>
      </c>
      <c r="CN122" s="269">
        <f t="shared" ca="1" si="328"/>
        <v>0</v>
      </c>
      <c r="CO122" s="268" t="str">
        <f t="shared" ca="1" si="514"/>
        <v>B</v>
      </c>
      <c r="CP122" s="269" t="b">
        <f t="shared" ca="1" si="515"/>
        <v>1</v>
      </c>
      <c r="CQ122" s="269">
        <f t="shared" si="516"/>
        <v>0</v>
      </c>
      <c r="CR122" s="269">
        <f t="shared" si="517"/>
        <v>0</v>
      </c>
      <c r="CS122" s="269">
        <f t="shared" ca="1" si="518"/>
        <v>0</v>
      </c>
      <c r="CT122" s="302" t="str">
        <f t="shared" ca="1" si="519"/>
        <v>0</v>
      </c>
      <c r="CU122" s="269">
        <f t="shared" ca="1" si="520"/>
        <v>0</v>
      </c>
      <c r="CV122" s="268"/>
      <c r="CW122" s="269">
        <f t="shared" ca="1" si="521"/>
        <v>0</v>
      </c>
      <c r="CX122" s="301">
        <f t="shared" ca="1" si="522"/>
        <v>0</v>
      </c>
      <c r="CY122" s="301">
        <f t="shared" ca="1" si="329"/>
        <v>0</v>
      </c>
      <c r="CZ122" s="301">
        <f t="shared" ca="1" si="523"/>
        <v>0</v>
      </c>
      <c r="DA122" s="301">
        <f t="shared" ca="1" si="524"/>
        <v>0</v>
      </c>
      <c r="DB122" t="str">
        <f ca="1">IF(AND(NOT(ISBLANK($F122)),$F122&lt;=$B122),"TaW SE zu klein","")</f>
        <v/>
      </c>
      <c r="DC122" s="301" t="str">
        <f t="shared" ca="1" si="525"/>
        <v/>
      </c>
      <c r="DD122" s="1337" t="str">
        <f t="shared" ca="1" si="535"/>
        <v/>
      </c>
      <c r="DE122" s="1337" t="str">
        <f t="shared" ca="1" si="536"/>
        <v/>
      </c>
      <c r="DG122" s="269" t="str">
        <f t="shared" ca="1" si="526"/>
        <v>Tabellen_Andere!BA43:BF43</v>
      </c>
      <c r="DH122" s="269" t="str">
        <f t="shared" si="527"/>
        <v>Tabellen_Andere!BA43:BF43</v>
      </c>
      <c r="DI122" s="269" t="str">
        <f ca="1">IF(NOT(ISERR(FIND(A122&amp;" ",Abfragen!$O$264,1))),MID(Abfragen!$O$264,FIND("(",Abfragen!$O$264,FIND(A122,Abfragen!$O$264,1)+LEN(A122))+1,FIND(")",Abfragen!$O$264,FIND(A122,Abfragen!$O$264,1)+LEN(A122))-FIND("(",Abfragen!$O$264,FIND(A122,Abfragen!$O$264,1)+LEN(A122))-1),"")</f>
        <v/>
      </c>
      <c r="DJ122" s="301" t="str">
        <f t="shared" ca="1" si="537"/>
        <v>B</v>
      </c>
      <c r="DK122" s="301" t="str">
        <f t="shared" ca="1" si="537"/>
        <v>B</v>
      </c>
      <c r="DL122" s="301" t="str">
        <f t="shared" ca="1" si="537"/>
        <v>B</v>
      </c>
      <c r="DM122" s="301" t="str">
        <f t="shared" ca="1" si="537"/>
        <v>B</v>
      </c>
      <c r="DN122" s="301" t="str">
        <f t="shared" ca="1" si="537"/>
        <v>B</v>
      </c>
      <c r="DO122" s="301" t="str">
        <f t="shared" ca="1" si="537"/>
        <v>B</v>
      </c>
      <c r="DP122" s="301" t="str">
        <f t="shared" ca="1" si="537"/>
        <v>B</v>
      </c>
      <c r="DQ122" s="301" t="str">
        <f t="shared" ca="1" si="537"/>
        <v>B</v>
      </c>
      <c r="DR122" s="301" t="str">
        <f t="shared" ca="1" si="537"/>
        <v>B</v>
      </c>
      <c r="DS122" s="301" t="str">
        <f t="shared" ca="1" si="537"/>
        <v>B</v>
      </c>
      <c r="DT122" s="301" t="str">
        <f t="shared" ca="1" si="538"/>
        <v>B</v>
      </c>
      <c r="DU122" s="301" t="str">
        <f t="shared" ca="1" si="538"/>
        <v>B</v>
      </c>
      <c r="DV122" s="301" t="str">
        <f t="shared" ca="1" si="538"/>
        <v>B</v>
      </c>
      <c r="DW122" s="301" t="str">
        <f t="shared" ca="1" si="538"/>
        <v>B</v>
      </c>
      <c r="DX122" s="301" t="str">
        <f t="shared" ca="1" si="538"/>
        <v>B</v>
      </c>
      <c r="DY122" s="301" t="str">
        <f t="shared" ca="1" si="538"/>
        <v>B</v>
      </c>
      <c r="DZ122" s="301" t="str">
        <f t="shared" ca="1" si="538"/>
        <v>B</v>
      </c>
      <c r="EA122" s="301" t="str">
        <f t="shared" ca="1" si="538"/>
        <v>B</v>
      </c>
      <c r="EB122" s="301" t="str">
        <f t="shared" ca="1" si="538"/>
        <v>B</v>
      </c>
      <c r="EC122" s="301" t="str">
        <f t="shared" ca="1" si="538"/>
        <v>B</v>
      </c>
      <c r="ED122" s="301" t="str">
        <f t="shared" ca="1" si="538"/>
        <v>B</v>
      </c>
      <c r="EE122" s="301" t="str">
        <f t="shared" ca="1" si="538"/>
        <v>B</v>
      </c>
      <c r="EF122" s="205"/>
      <c r="EG122" s="301" t="str">
        <f t="shared" ca="1" si="539"/>
        <v>B</v>
      </c>
      <c r="EH122" s="301" t="str">
        <f t="shared" ca="1" si="539"/>
        <v>B</v>
      </c>
      <c r="EI122" s="301" t="str">
        <f t="shared" ca="1" si="539"/>
        <v>B</v>
      </c>
      <c r="EJ122" s="301" t="str">
        <f t="shared" ca="1" si="539"/>
        <v>B</v>
      </c>
      <c r="EK122" s="301" t="str">
        <f t="shared" ca="1" si="539"/>
        <v>B</v>
      </c>
      <c r="EL122" s="301" t="str">
        <f t="shared" ca="1" si="539"/>
        <v>B</v>
      </c>
      <c r="EM122" s="301" t="str">
        <f t="shared" ca="1" si="539"/>
        <v>B</v>
      </c>
      <c r="EN122" s="301" t="str">
        <f t="shared" ca="1" si="539"/>
        <v>B</v>
      </c>
      <c r="EO122" s="301" t="str">
        <f t="shared" ca="1" si="539"/>
        <v>B</v>
      </c>
      <c r="EP122" s="301" t="str">
        <f t="shared" ca="1" si="539"/>
        <v>B</v>
      </c>
      <c r="EQ122" s="301" t="str">
        <f t="shared" ca="1" si="540"/>
        <v>B</v>
      </c>
      <c r="ER122" s="301" t="str">
        <f t="shared" ca="1" si="540"/>
        <v>B</v>
      </c>
      <c r="ES122" s="301" t="str">
        <f t="shared" ca="1" si="540"/>
        <v>B</v>
      </c>
      <c r="ET122" s="301" t="str">
        <f t="shared" ca="1" si="540"/>
        <v>B</v>
      </c>
      <c r="EU122" s="301" t="str">
        <f t="shared" ca="1" si="540"/>
        <v>B</v>
      </c>
      <c r="EV122" s="301" t="str">
        <f t="shared" ca="1" si="540"/>
        <v>B</v>
      </c>
      <c r="EW122" s="301" t="str">
        <f t="shared" ca="1" si="540"/>
        <v>B</v>
      </c>
      <c r="EX122" s="301" t="str">
        <f t="shared" ca="1" si="540"/>
        <v>B</v>
      </c>
      <c r="EY122" s="301" t="str">
        <f t="shared" ca="1" si="540"/>
        <v>B</v>
      </c>
      <c r="EZ122" s="301" t="str">
        <f t="shared" ca="1" si="540"/>
        <v>B</v>
      </c>
      <c r="FA122" s="301" t="str">
        <f t="shared" ca="1" si="541"/>
        <v>B</v>
      </c>
      <c r="FB122" s="301" t="str">
        <f t="shared" ca="1" si="541"/>
        <v>B</v>
      </c>
      <c r="FC122" s="301" t="str">
        <f t="shared" ca="1" si="541"/>
        <v>B</v>
      </c>
      <c r="FD122" s="301" t="str">
        <f t="shared" ca="1" si="541"/>
        <v>B</v>
      </c>
      <c r="FE122" s="301" t="str">
        <f t="shared" ca="1" si="541"/>
        <v>B</v>
      </c>
      <c r="FF122" s="301" t="str">
        <f t="shared" ca="1" si="541"/>
        <v>B</v>
      </c>
      <c r="FG122" s="301" t="str">
        <f t="shared" ca="1" si="541"/>
        <v>B</v>
      </c>
      <c r="FH122" s="301" t="str">
        <f t="shared" ca="1" si="541"/>
        <v>B</v>
      </c>
      <c r="FI122" s="301" t="str">
        <f t="shared" ca="1" si="541"/>
        <v>B</v>
      </c>
      <c r="FJ122" s="301" t="str">
        <f t="shared" ca="1" si="541"/>
        <v>B</v>
      </c>
      <c r="FK122" s="301" t="str">
        <f t="shared" ca="1" si="541"/>
        <v>B</v>
      </c>
      <c r="FL122" s="301" t="str">
        <f t="shared" ca="1" si="541"/>
        <v>B</v>
      </c>
    </row>
    <row r="123" spans="1:168" x14ac:dyDescent="0.2">
      <c r="A123" s="38" t="str">
        <f t="shared" si="533"/>
        <v>Grobschmied</v>
      </c>
      <c r="B123" s="317" t="str">
        <f t="shared" ca="1" si="448"/>
        <v/>
      </c>
      <c r="C123" s="332" t="str">
        <f t="shared" ca="1" si="449"/>
        <v/>
      </c>
      <c r="D123" s="1110"/>
      <c r="E123" s="966"/>
      <c r="F123" s="325"/>
      <c r="G123" s="958"/>
      <c r="H123" s="1196"/>
      <c r="I123" s="326"/>
      <c r="J123" s="1886" t="str">
        <f t="shared" ca="1" si="450"/>
        <v/>
      </c>
      <c r="K123" s="1887"/>
      <c r="L123" s="1887"/>
      <c r="M123" s="1887"/>
      <c r="N123" s="1888"/>
      <c r="O123" s="613" t="str">
        <f t="shared" ca="1" si="451"/>
        <v/>
      </c>
      <c r="P123" s="90"/>
      <c r="Q123" s="25"/>
      <c r="R123" s="1067"/>
      <c r="S123" s="1313"/>
      <c r="T123" s="1315"/>
      <c r="U123" s="1283"/>
      <c r="V123" s="628" t="str">
        <f t="shared" ca="1" si="452"/>
        <v/>
      </c>
      <c r="W123" s="164">
        <f t="shared" ca="1" si="453"/>
        <v>0</v>
      </c>
      <c r="X123" s="164">
        <f t="shared" ca="1" si="454"/>
        <v>0</v>
      </c>
      <c r="Y123" s="164">
        <f t="shared" ca="1" si="455"/>
        <v>0</v>
      </c>
      <c r="Z123" s="164">
        <f t="shared" ca="1" si="456"/>
        <v>0</v>
      </c>
      <c r="AA123" s="164">
        <f t="shared" ca="1" si="457"/>
        <v>0</v>
      </c>
      <c r="AB123" s="164">
        <f t="shared" ca="1" si="458"/>
        <v>0</v>
      </c>
      <c r="AC123" s="164">
        <f t="shared" ca="1" si="459"/>
        <v>0</v>
      </c>
      <c r="AD123" s="164">
        <f t="shared" ca="1" si="460"/>
        <v>0</v>
      </c>
      <c r="AE123" s="164">
        <f t="shared" ca="1" si="461"/>
        <v>0</v>
      </c>
      <c r="AF123" s="164">
        <f t="shared" ca="1" si="462"/>
        <v>0</v>
      </c>
      <c r="AG123" s="164">
        <f t="shared" ca="1" si="463"/>
        <v>0</v>
      </c>
      <c r="AH123" s="164">
        <f t="shared" ca="1" si="464"/>
        <v>0</v>
      </c>
      <c r="AI123" s="164">
        <f t="shared" ca="1" si="465"/>
        <v>0</v>
      </c>
      <c r="AJ123" s="164">
        <f t="shared" ca="1" si="466"/>
        <v>0</v>
      </c>
      <c r="AK123" s="164">
        <f t="shared" ca="1" si="467"/>
        <v>0</v>
      </c>
      <c r="AL123" s="164">
        <f t="shared" ca="1" si="468"/>
        <v>0</v>
      </c>
      <c r="AM123" s="164">
        <f t="shared" ca="1" si="469"/>
        <v>0</v>
      </c>
      <c r="AN123" s="164">
        <f t="shared" ca="1" si="470"/>
        <v>0</v>
      </c>
      <c r="AO123" s="164">
        <f t="shared" ca="1" si="471"/>
        <v>0</v>
      </c>
      <c r="AP123" s="164">
        <f t="shared" ca="1" si="472"/>
        <v>0</v>
      </c>
      <c r="AQ123" s="164">
        <f t="shared" ca="1" si="473"/>
        <v>0</v>
      </c>
      <c r="AR123" s="164">
        <f t="shared" ca="1" si="474"/>
        <v>0</v>
      </c>
      <c r="AS123" s="195"/>
      <c r="AT123" s="154">
        <f t="shared" ca="1" si="475"/>
        <v>0</v>
      </c>
      <c r="AU123" s="154">
        <f t="shared" ca="1" si="476"/>
        <v>0</v>
      </c>
      <c r="AV123" s="154">
        <f t="shared" ca="1" si="477"/>
        <v>0</v>
      </c>
      <c r="AW123" s="154">
        <f t="shared" ca="1" si="478"/>
        <v>0</v>
      </c>
      <c r="AX123" s="154">
        <f t="shared" ca="1" si="479"/>
        <v>0</v>
      </c>
      <c r="AY123" s="154">
        <f t="shared" ca="1" si="480"/>
        <v>0</v>
      </c>
      <c r="AZ123" s="154">
        <f t="shared" ca="1" si="481"/>
        <v>0</v>
      </c>
      <c r="BA123" s="154">
        <f t="shared" ca="1" si="482"/>
        <v>0</v>
      </c>
      <c r="BB123" s="154">
        <f t="shared" ca="1" si="483"/>
        <v>0</v>
      </c>
      <c r="BC123" s="154">
        <f t="shared" ca="1" si="484"/>
        <v>0</v>
      </c>
      <c r="BD123" s="154">
        <f t="shared" ca="1" si="485"/>
        <v>0</v>
      </c>
      <c r="BE123" s="154">
        <f t="shared" ca="1" si="486"/>
        <v>0</v>
      </c>
      <c r="BF123" s="154">
        <f t="shared" ca="1" si="487"/>
        <v>0</v>
      </c>
      <c r="BG123" s="154">
        <f t="shared" ca="1" si="488"/>
        <v>0</v>
      </c>
      <c r="BH123" s="154">
        <f t="shared" ca="1" si="489"/>
        <v>0</v>
      </c>
      <c r="BI123" s="154">
        <f t="shared" ca="1" si="490"/>
        <v>0</v>
      </c>
      <c r="BJ123" s="154">
        <f t="shared" ca="1" si="491"/>
        <v>0</v>
      </c>
      <c r="BK123" s="154">
        <f t="shared" ca="1" si="492"/>
        <v>0</v>
      </c>
      <c r="BL123" s="154">
        <f t="shared" ca="1" si="493"/>
        <v>0</v>
      </c>
      <c r="BM123" s="154">
        <f t="shared" ca="1" si="494"/>
        <v>0</v>
      </c>
      <c r="BN123" s="154">
        <f t="shared" ca="1" si="495"/>
        <v>0</v>
      </c>
      <c r="BO123" s="154">
        <f t="shared" ca="1" si="496"/>
        <v>0</v>
      </c>
      <c r="BP123" s="154">
        <f t="shared" ca="1" si="497"/>
        <v>0</v>
      </c>
      <c r="BQ123" s="154">
        <f t="shared" ca="1" si="498"/>
        <v>0</v>
      </c>
      <c r="BR123" s="154">
        <f t="shared" ca="1" si="499"/>
        <v>0</v>
      </c>
      <c r="BS123" s="154">
        <f t="shared" ca="1" si="500"/>
        <v>0</v>
      </c>
      <c r="BT123" s="154">
        <f t="shared" ca="1" si="501"/>
        <v>0</v>
      </c>
      <c r="BU123" s="154">
        <f t="shared" ca="1" si="502"/>
        <v>0</v>
      </c>
      <c r="BV123" s="154">
        <f t="shared" ca="1" si="503"/>
        <v>0</v>
      </c>
      <c r="BW123" s="154">
        <f t="shared" ca="1" si="504"/>
        <v>0</v>
      </c>
      <c r="BX123" s="154">
        <f t="shared" ca="1" si="505"/>
        <v>0</v>
      </c>
      <c r="BY123" s="154">
        <f t="shared" ca="1" si="506"/>
        <v>0</v>
      </c>
      <c r="BZ123" s="154">
        <f t="shared" si="507"/>
        <v>0</v>
      </c>
      <c r="CA123" s="154">
        <f t="shared" si="508"/>
        <v>0</v>
      </c>
      <c r="CB123" s="154">
        <f t="shared" ca="1" si="509"/>
        <v>0</v>
      </c>
      <c r="CC123" s="523"/>
      <c r="CD123" s="355">
        <f t="shared" si="510"/>
        <v>147</v>
      </c>
      <c r="CE123" s="751" t="str">
        <f t="shared" ca="1" si="511"/>
        <v>B</v>
      </c>
      <c r="CF123" s="355" t="str">
        <f t="shared" ca="1" si="534"/>
        <v/>
      </c>
      <c r="CG123" s="268"/>
      <c r="CH123" s="268"/>
      <c r="CI123" s="269">
        <f t="shared" ca="1" si="512"/>
        <v>0</v>
      </c>
      <c r="CJ123" s="269">
        <f t="shared" ca="1" si="513"/>
        <v>0</v>
      </c>
      <c r="CK123" s="268"/>
      <c r="CL123" s="268"/>
      <c r="CM123" s="268">
        <f t="shared" ca="1" si="327"/>
        <v>0</v>
      </c>
      <c r="CN123" s="269">
        <f t="shared" ca="1" si="328"/>
        <v>0</v>
      </c>
      <c r="CO123" s="268" t="str">
        <f t="shared" ca="1" si="514"/>
        <v>B</v>
      </c>
      <c r="CP123" s="269" t="b">
        <f t="shared" ca="1" si="515"/>
        <v>1</v>
      </c>
      <c r="CQ123" s="269">
        <f t="shared" si="516"/>
        <v>0</v>
      </c>
      <c r="CR123" s="269">
        <f t="shared" si="517"/>
        <v>0</v>
      </c>
      <c r="CS123" s="269">
        <f t="shared" ca="1" si="518"/>
        <v>0</v>
      </c>
      <c r="CT123" s="302" t="str">
        <f t="shared" ca="1" si="519"/>
        <v>0</v>
      </c>
      <c r="CU123" s="269">
        <f t="shared" ca="1" si="520"/>
        <v>0</v>
      </c>
      <c r="CV123" s="268"/>
      <c r="CW123" s="269">
        <f t="shared" ca="1" si="521"/>
        <v>0</v>
      </c>
      <c r="CX123" s="301">
        <f t="shared" ca="1" si="522"/>
        <v>0</v>
      </c>
      <c r="CY123" s="301">
        <f t="shared" ca="1" si="329"/>
        <v>0</v>
      </c>
      <c r="CZ123" s="301">
        <f t="shared" ca="1" si="523"/>
        <v>0</v>
      </c>
      <c r="DA123" s="301">
        <f t="shared" ca="1" si="524"/>
        <v>0</v>
      </c>
      <c r="DB123" t="str">
        <f ca="1">IF(AND(NOT(ISBLANK($F123)),$F123&lt;=$B123),"TaW SE zu klein","")</f>
        <v/>
      </c>
      <c r="DC123" s="301" t="str">
        <f t="shared" ca="1" si="525"/>
        <v/>
      </c>
      <c r="DD123" s="1337" t="str">
        <f t="shared" ca="1" si="535"/>
        <v/>
      </c>
      <c r="DE123" s="1337" t="str">
        <f t="shared" ca="1" si="536"/>
        <v/>
      </c>
      <c r="DG123" s="269" t="str">
        <f t="shared" ca="1" si="526"/>
        <v>Tabellen_Andere!BA45:BF45</v>
      </c>
      <c r="DH123" s="269" t="str">
        <f t="shared" si="527"/>
        <v>Tabellen_Andere!BA45:BF45</v>
      </c>
      <c r="DI123" s="269" t="str">
        <f ca="1">IF(NOT(ISERR(FIND(A123&amp;" ",Abfragen!$O$264,1))),MID(Abfragen!$O$264,FIND("(",Abfragen!$O$264,FIND(A123,Abfragen!$O$264,1)+LEN(A123))+1,FIND(")",Abfragen!$O$264,FIND(A123,Abfragen!$O$264,1)+LEN(A123))-FIND("(",Abfragen!$O$264,FIND(A123,Abfragen!$O$264,1)+LEN(A123))-1),"")</f>
        <v/>
      </c>
      <c r="DJ123" s="301" t="str">
        <f t="shared" ca="1" si="537"/>
        <v>B</v>
      </c>
      <c r="DK123" s="301" t="str">
        <f t="shared" ca="1" si="537"/>
        <v>B</v>
      </c>
      <c r="DL123" s="301" t="str">
        <f t="shared" ca="1" si="537"/>
        <v>B</v>
      </c>
      <c r="DM123" s="301" t="str">
        <f t="shared" ca="1" si="537"/>
        <v>B</v>
      </c>
      <c r="DN123" s="301" t="str">
        <f t="shared" ca="1" si="537"/>
        <v>B</v>
      </c>
      <c r="DO123" s="301" t="str">
        <f t="shared" ca="1" si="537"/>
        <v>B</v>
      </c>
      <c r="DP123" s="301" t="str">
        <f t="shared" ca="1" si="537"/>
        <v>B</v>
      </c>
      <c r="DQ123" s="301" t="str">
        <f t="shared" ca="1" si="537"/>
        <v>B</v>
      </c>
      <c r="DR123" s="301" t="str">
        <f t="shared" ca="1" si="537"/>
        <v>B</v>
      </c>
      <c r="DS123" s="301" t="str">
        <f t="shared" ca="1" si="537"/>
        <v>B</v>
      </c>
      <c r="DT123" s="301" t="str">
        <f t="shared" ca="1" si="538"/>
        <v>B</v>
      </c>
      <c r="DU123" s="301" t="str">
        <f t="shared" ca="1" si="538"/>
        <v>B</v>
      </c>
      <c r="DV123" s="301" t="str">
        <f t="shared" ca="1" si="538"/>
        <v>B</v>
      </c>
      <c r="DW123" s="301" t="str">
        <f t="shared" ca="1" si="538"/>
        <v>B</v>
      </c>
      <c r="DX123" s="301" t="str">
        <f t="shared" ca="1" si="538"/>
        <v>B</v>
      </c>
      <c r="DY123" s="301" t="str">
        <f t="shared" ca="1" si="538"/>
        <v>B</v>
      </c>
      <c r="DZ123" s="301" t="str">
        <f t="shared" ca="1" si="538"/>
        <v>B</v>
      </c>
      <c r="EA123" s="301" t="str">
        <f t="shared" ca="1" si="538"/>
        <v>B</v>
      </c>
      <c r="EB123" s="301" t="str">
        <f t="shared" ca="1" si="538"/>
        <v>B</v>
      </c>
      <c r="EC123" s="301" t="str">
        <f t="shared" ca="1" si="538"/>
        <v>B</v>
      </c>
      <c r="ED123" s="301" t="str">
        <f t="shared" ca="1" si="538"/>
        <v>B</v>
      </c>
      <c r="EE123" s="301" t="str">
        <f t="shared" ca="1" si="538"/>
        <v>B</v>
      </c>
      <c r="EF123" s="205"/>
      <c r="EG123" s="301" t="str">
        <f t="shared" ca="1" si="539"/>
        <v>B</v>
      </c>
      <c r="EH123" s="301" t="str">
        <f t="shared" ca="1" si="539"/>
        <v>B</v>
      </c>
      <c r="EI123" s="301" t="str">
        <f t="shared" ca="1" si="539"/>
        <v>B</v>
      </c>
      <c r="EJ123" s="301" t="str">
        <f t="shared" ca="1" si="539"/>
        <v>B</v>
      </c>
      <c r="EK123" s="301" t="str">
        <f t="shared" ca="1" si="539"/>
        <v>B</v>
      </c>
      <c r="EL123" s="301" t="str">
        <f t="shared" ca="1" si="539"/>
        <v>B</v>
      </c>
      <c r="EM123" s="301" t="str">
        <f t="shared" ca="1" si="539"/>
        <v>B</v>
      </c>
      <c r="EN123" s="301" t="str">
        <f t="shared" ca="1" si="539"/>
        <v>B</v>
      </c>
      <c r="EO123" s="301" t="str">
        <f t="shared" ca="1" si="539"/>
        <v>B</v>
      </c>
      <c r="EP123" s="301" t="str">
        <f t="shared" ca="1" si="539"/>
        <v>B</v>
      </c>
      <c r="EQ123" s="301" t="str">
        <f t="shared" ca="1" si="540"/>
        <v>B</v>
      </c>
      <c r="ER123" s="301" t="str">
        <f t="shared" ca="1" si="540"/>
        <v>B</v>
      </c>
      <c r="ES123" s="301" t="str">
        <f t="shared" ca="1" si="540"/>
        <v>B</v>
      </c>
      <c r="ET123" s="301" t="str">
        <f t="shared" ca="1" si="540"/>
        <v>B</v>
      </c>
      <c r="EU123" s="301" t="str">
        <f t="shared" ca="1" si="540"/>
        <v>B</v>
      </c>
      <c r="EV123" s="301" t="str">
        <f t="shared" ca="1" si="540"/>
        <v>B</v>
      </c>
      <c r="EW123" s="301" t="str">
        <f t="shared" ca="1" si="540"/>
        <v>B</v>
      </c>
      <c r="EX123" s="301" t="str">
        <f t="shared" ca="1" si="540"/>
        <v>B</v>
      </c>
      <c r="EY123" s="301" t="str">
        <f t="shared" ca="1" si="540"/>
        <v>B</v>
      </c>
      <c r="EZ123" s="301" t="str">
        <f t="shared" ca="1" si="540"/>
        <v>B</v>
      </c>
      <c r="FA123" s="301" t="str">
        <f t="shared" ca="1" si="541"/>
        <v>B</v>
      </c>
      <c r="FB123" s="301" t="str">
        <f t="shared" ca="1" si="541"/>
        <v>B</v>
      </c>
      <c r="FC123" s="301" t="str">
        <f t="shared" ca="1" si="541"/>
        <v>B</v>
      </c>
      <c r="FD123" s="301" t="str">
        <f t="shared" ca="1" si="541"/>
        <v>B</v>
      </c>
      <c r="FE123" s="301" t="str">
        <f t="shared" ca="1" si="541"/>
        <v>B</v>
      </c>
      <c r="FF123" s="301" t="str">
        <f t="shared" ca="1" si="541"/>
        <v>B</v>
      </c>
      <c r="FG123" s="301" t="str">
        <f t="shared" ca="1" si="541"/>
        <v>B</v>
      </c>
      <c r="FH123" s="301" t="str">
        <f t="shared" ca="1" si="541"/>
        <v>B</v>
      </c>
      <c r="FI123" s="301" t="str">
        <f t="shared" ca="1" si="541"/>
        <v>B</v>
      </c>
      <c r="FJ123" s="301" t="str">
        <f t="shared" ca="1" si="541"/>
        <v>B</v>
      </c>
      <c r="FK123" s="301" t="str">
        <f t="shared" ca="1" si="541"/>
        <v>B</v>
      </c>
      <c r="FL123" s="301" t="str">
        <f t="shared" ca="1" si="541"/>
        <v>B</v>
      </c>
    </row>
    <row r="124" spans="1:168" x14ac:dyDescent="0.2">
      <c r="A124" s="38" t="str">
        <f t="shared" si="533"/>
        <v>Handel</v>
      </c>
      <c r="B124" s="317" t="str">
        <f t="shared" ca="1" si="448"/>
        <v/>
      </c>
      <c r="C124" s="332" t="str">
        <f t="shared" ca="1" si="449"/>
        <v/>
      </c>
      <c r="D124" s="1110"/>
      <c r="E124" s="966"/>
      <c r="F124" s="325"/>
      <c r="G124" s="958"/>
      <c r="H124" s="1196"/>
      <c r="I124" s="326"/>
      <c r="J124" s="1886" t="str">
        <f t="shared" ca="1" si="450"/>
        <v/>
      </c>
      <c r="K124" s="1887"/>
      <c r="L124" s="1887"/>
      <c r="M124" s="1887"/>
      <c r="N124" s="1888"/>
      <c r="O124" s="613" t="str">
        <f t="shared" ca="1" si="451"/>
        <v/>
      </c>
      <c r="P124" s="90"/>
      <c r="Q124" s="25"/>
      <c r="R124" s="1313"/>
      <c r="S124" s="1313"/>
      <c r="T124" s="1315"/>
      <c r="U124" s="1283"/>
      <c r="V124" s="628" t="str">
        <f t="shared" ca="1" si="452"/>
        <v/>
      </c>
      <c r="W124" s="164">
        <f t="shared" ca="1" si="453"/>
        <v>0</v>
      </c>
      <c r="X124" s="164">
        <f t="shared" ca="1" si="454"/>
        <v>0</v>
      </c>
      <c r="Y124" s="164">
        <f t="shared" ca="1" si="455"/>
        <v>0</v>
      </c>
      <c r="Z124" s="164">
        <f t="shared" ca="1" si="456"/>
        <v>0</v>
      </c>
      <c r="AA124" s="164">
        <f t="shared" ca="1" si="457"/>
        <v>0</v>
      </c>
      <c r="AB124" s="164">
        <f t="shared" ca="1" si="458"/>
        <v>0</v>
      </c>
      <c r="AC124" s="164">
        <f t="shared" ca="1" si="459"/>
        <v>0</v>
      </c>
      <c r="AD124" s="164">
        <f t="shared" ca="1" si="460"/>
        <v>0</v>
      </c>
      <c r="AE124" s="164">
        <f t="shared" ca="1" si="461"/>
        <v>0</v>
      </c>
      <c r="AF124" s="164">
        <f t="shared" ca="1" si="462"/>
        <v>0</v>
      </c>
      <c r="AG124" s="164">
        <f t="shared" ca="1" si="463"/>
        <v>0</v>
      </c>
      <c r="AH124" s="164">
        <f t="shared" ca="1" si="464"/>
        <v>0</v>
      </c>
      <c r="AI124" s="164">
        <f t="shared" ca="1" si="465"/>
        <v>0</v>
      </c>
      <c r="AJ124" s="164">
        <f t="shared" ca="1" si="466"/>
        <v>0</v>
      </c>
      <c r="AK124" s="164">
        <f t="shared" ca="1" si="467"/>
        <v>0</v>
      </c>
      <c r="AL124" s="164">
        <f t="shared" ca="1" si="468"/>
        <v>0</v>
      </c>
      <c r="AM124" s="164">
        <f t="shared" ca="1" si="469"/>
        <v>0</v>
      </c>
      <c r="AN124" s="164">
        <f t="shared" ca="1" si="470"/>
        <v>0</v>
      </c>
      <c r="AO124" s="164">
        <f t="shared" ca="1" si="471"/>
        <v>0</v>
      </c>
      <c r="AP124" s="164">
        <f t="shared" ca="1" si="472"/>
        <v>0</v>
      </c>
      <c r="AQ124" s="164">
        <f t="shared" ca="1" si="473"/>
        <v>0</v>
      </c>
      <c r="AR124" s="164">
        <f t="shared" ca="1" si="474"/>
        <v>0</v>
      </c>
      <c r="AS124" s="195"/>
      <c r="AT124" s="154">
        <f t="shared" ca="1" si="475"/>
        <v>0</v>
      </c>
      <c r="AU124" s="154">
        <f t="shared" ca="1" si="476"/>
        <v>0</v>
      </c>
      <c r="AV124" s="154">
        <f t="shared" ca="1" si="477"/>
        <v>0</v>
      </c>
      <c r="AW124" s="154">
        <f t="shared" ca="1" si="478"/>
        <v>0</v>
      </c>
      <c r="AX124" s="154">
        <f t="shared" ca="1" si="479"/>
        <v>0</v>
      </c>
      <c r="AY124" s="154">
        <f t="shared" ca="1" si="480"/>
        <v>0</v>
      </c>
      <c r="AZ124" s="154">
        <f t="shared" ca="1" si="481"/>
        <v>0</v>
      </c>
      <c r="BA124" s="154">
        <f t="shared" ca="1" si="482"/>
        <v>0</v>
      </c>
      <c r="BB124" s="154">
        <f t="shared" ca="1" si="483"/>
        <v>0</v>
      </c>
      <c r="BC124" s="154">
        <f t="shared" ca="1" si="484"/>
        <v>0</v>
      </c>
      <c r="BD124" s="154">
        <f t="shared" ca="1" si="485"/>
        <v>0</v>
      </c>
      <c r="BE124" s="154">
        <f t="shared" ca="1" si="486"/>
        <v>0</v>
      </c>
      <c r="BF124" s="154">
        <f t="shared" ca="1" si="487"/>
        <v>0</v>
      </c>
      <c r="BG124" s="154">
        <f t="shared" ca="1" si="488"/>
        <v>0</v>
      </c>
      <c r="BH124" s="154">
        <f t="shared" ca="1" si="489"/>
        <v>0</v>
      </c>
      <c r="BI124" s="154">
        <f t="shared" ca="1" si="490"/>
        <v>0</v>
      </c>
      <c r="BJ124" s="154">
        <f t="shared" ca="1" si="491"/>
        <v>0</v>
      </c>
      <c r="BK124" s="154">
        <f t="shared" ca="1" si="492"/>
        <v>0</v>
      </c>
      <c r="BL124" s="154">
        <f t="shared" ca="1" si="493"/>
        <v>0</v>
      </c>
      <c r="BM124" s="154">
        <f t="shared" ca="1" si="494"/>
        <v>0</v>
      </c>
      <c r="BN124" s="154">
        <f t="shared" ca="1" si="495"/>
        <v>0</v>
      </c>
      <c r="BO124" s="154">
        <f t="shared" ca="1" si="496"/>
        <v>0</v>
      </c>
      <c r="BP124" s="154">
        <f t="shared" ca="1" si="497"/>
        <v>0</v>
      </c>
      <c r="BQ124" s="154">
        <f t="shared" ca="1" si="498"/>
        <v>0</v>
      </c>
      <c r="BR124" s="154">
        <f t="shared" ca="1" si="499"/>
        <v>0</v>
      </c>
      <c r="BS124" s="154">
        <f t="shared" ca="1" si="500"/>
        <v>0</v>
      </c>
      <c r="BT124" s="154">
        <f t="shared" ca="1" si="501"/>
        <v>0</v>
      </c>
      <c r="BU124" s="154">
        <f t="shared" ca="1" si="502"/>
        <v>0</v>
      </c>
      <c r="BV124" s="154">
        <f t="shared" ca="1" si="503"/>
        <v>0</v>
      </c>
      <c r="BW124" s="154">
        <f t="shared" ca="1" si="504"/>
        <v>0</v>
      </c>
      <c r="BX124" s="154">
        <f t="shared" ca="1" si="505"/>
        <v>0</v>
      </c>
      <c r="BY124" s="154">
        <f t="shared" ca="1" si="506"/>
        <v>0</v>
      </c>
      <c r="BZ124" s="154">
        <f t="shared" si="507"/>
        <v>0</v>
      </c>
      <c r="CA124" s="154">
        <f t="shared" si="508"/>
        <v>0</v>
      </c>
      <c r="CB124" s="154">
        <f t="shared" ca="1" si="509"/>
        <v>0</v>
      </c>
      <c r="CC124" s="523"/>
      <c r="CD124" s="355">
        <f t="shared" si="510"/>
        <v>148</v>
      </c>
      <c r="CE124" s="751" t="str">
        <f t="shared" ca="1" si="511"/>
        <v>B</v>
      </c>
      <c r="CF124" s="355" t="str">
        <f t="shared" ca="1" si="534"/>
        <v/>
      </c>
      <c r="CG124" s="268"/>
      <c r="CH124" s="268"/>
      <c r="CI124" s="269">
        <f t="shared" ca="1" si="512"/>
        <v>0</v>
      </c>
      <c r="CJ124" s="269">
        <f t="shared" ca="1" si="513"/>
        <v>0</v>
      </c>
      <c r="CK124" s="268"/>
      <c r="CL124" s="268"/>
      <c r="CM124" s="268">
        <f t="shared" ca="1" si="327"/>
        <v>0</v>
      </c>
      <c r="CN124" s="269">
        <f t="shared" ca="1" si="328"/>
        <v>0</v>
      </c>
      <c r="CO124" s="268" t="str">
        <f t="shared" ca="1" si="514"/>
        <v>B</v>
      </c>
      <c r="CP124" s="269" t="b">
        <f t="shared" ca="1" si="515"/>
        <v>1</v>
      </c>
      <c r="CQ124" s="269">
        <f t="shared" si="516"/>
        <v>0</v>
      </c>
      <c r="CR124" s="269">
        <f t="shared" si="517"/>
        <v>0</v>
      </c>
      <c r="CS124" s="269">
        <f t="shared" ca="1" si="518"/>
        <v>0</v>
      </c>
      <c r="CT124" s="302" t="str">
        <f t="shared" ca="1" si="519"/>
        <v>0</v>
      </c>
      <c r="CU124" s="269">
        <f t="shared" ca="1" si="520"/>
        <v>0</v>
      </c>
      <c r="CV124" s="268"/>
      <c r="CW124" s="269">
        <f t="shared" ca="1" si="521"/>
        <v>0</v>
      </c>
      <c r="CX124" s="301">
        <f t="shared" ca="1" si="522"/>
        <v>0</v>
      </c>
      <c r="CY124" s="301">
        <f t="shared" ca="1" si="329"/>
        <v>0</v>
      </c>
      <c r="CZ124" s="301">
        <f t="shared" ca="1" si="523"/>
        <v>0</v>
      </c>
      <c r="DA124" s="301">
        <f t="shared" ca="1" si="524"/>
        <v>0</v>
      </c>
      <c r="DB124" t="str">
        <f ca="1">IF(AND(NOT(AND(ISBLANK($G124),ISBLANK($I124))),$O$97&lt;4),"Rechnen 4+",IF(AND(NOT(ISBLANK($F124)),$F124&lt;=$B124),"TaW SE zu klein",""))</f>
        <v/>
      </c>
      <c r="DC124" s="301" t="str">
        <f t="shared" ca="1" si="525"/>
        <v/>
      </c>
      <c r="DD124" s="1337" t="str">
        <f t="shared" ca="1" si="535"/>
        <v/>
      </c>
      <c r="DE124" s="1337" t="str">
        <f t="shared" ca="1" si="536"/>
        <v/>
      </c>
      <c r="DG124" s="269" t="str">
        <f t="shared" ca="1" si="526"/>
        <v>Tabellen_Andere!BA46:BF46</v>
      </c>
      <c r="DH124" s="269" t="str">
        <f t="shared" si="527"/>
        <v>Tabellen_Andere!BA46:BF46</v>
      </c>
      <c r="DI124" s="269" t="str">
        <f ca="1">IF(NOT(ISERR(FIND(A124&amp;" ",Abfragen!$O$264,1))),MID(Abfragen!$O$264,FIND("(",Abfragen!$O$264,FIND(A124,Abfragen!$O$264,1)+LEN(A124))+1,FIND(")",Abfragen!$O$264,FIND(A124,Abfragen!$O$264,1)+LEN(A124))-FIND("(",Abfragen!$O$264,FIND(A124,Abfragen!$O$264,1)+LEN(A124))-1),"")</f>
        <v/>
      </c>
      <c r="DJ124" s="301" t="str">
        <f t="shared" ca="1" si="537"/>
        <v>B</v>
      </c>
      <c r="DK124" s="301" t="str">
        <f t="shared" ca="1" si="537"/>
        <v>B</v>
      </c>
      <c r="DL124" s="301" t="str">
        <f t="shared" ca="1" si="537"/>
        <v>B</v>
      </c>
      <c r="DM124" s="301" t="str">
        <f t="shared" ca="1" si="537"/>
        <v>B</v>
      </c>
      <c r="DN124" s="301" t="str">
        <f t="shared" ca="1" si="537"/>
        <v>B</v>
      </c>
      <c r="DO124" s="301" t="str">
        <f t="shared" ca="1" si="537"/>
        <v>B</v>
      </c>
      <c r="DP124" s="301" t="str">
        <f t="shared" ca="1" si="537"/>
        <v>B</v>
      </c>
      <c r="DQ124" s="301" t="str">
        <f t="shared" ca="1" si="537"/>
        <v>B</v>
      </c>
      <c r="DR124" s="301" t="str">
        <f t="shared" ca="1" si="537"/>
        <v>B</v>
      </c>
      <c r="DS124" s="301" t="str">
        <f t="shared" ca="1" si="537"/>
        <v>B</v>
      </c>
      <c r="DT124" s="301" t="str">
        <f t="shared" ca="1" si="538"/>
        <v>B</v>
      </c>
      <c r="DU124" s="301" t="str">
        <f t="shared" ca="1" si="538"/>
        <v>B</v>
      </c>
      <c r="DV124" s="301" t="str">
        <f t="shared" ca="1" si="538"/>
        <v>B</v>
      </c>
      <c r="DW124" s="301" t="str">
        <f t="shared" ca="1" si="538"/>
        <v>B</v>
      </c>
      <c r="DX124" s="301" t="str">
        <f t="shared" ca="1" si="538"/>
        <v>B</v>
      </c>
      <c r="DY124" s="301" t="str">
        <f t="shared" ca="1" si="538"/>
        <v>B</v>
      </c>
      <c r="DZ124" s="301" t="str">
        <f t="shared" ca="1" si="538"/>
        <v>B</v>
      </c>
      <c r="EA124" s="301" t="str">
        <f t="shared" ca="1" si="538"/>
        <v>B</v>
      </c>
      <c r="EB124" s="301" t="str">
        <f t="shared" ca="1" si="538"/>
        <v>B</v>
      </c>
      <c r="EC124" s="301" t="str">
        <f t="shared" ca="1" si="538"/>
        <v>B</v>
      </c>
      <c r="ED124" s="301" t="str">
        <f t="shared" ca="1" si="538"/>
        <v>B</v>
      </c>
      <c r="EE124" s="301" t="str">
        <f t="shared" ca="1" si="538"/>
        <v>B</v>
      </c>
      <c r="EF124" s="205"/>
      <c r="EG124" s="301" t="str">
        <f t="shared" ca="1" si="539"/>
        <v>B</v>
      </c>
      <c r="EH124" s="301" t="str">
        <f t="shared" ca="1" si="539"/>
        <v>B</v>
      </c>
      <c r="EI124" s="301" t="str">
        <f t="shared" ca="1" si="539"/>
        <v>B</v>
      </c>
      <c r="EJ124" s="301" t="str">
        <f t="shared" ca="1" si="539"/>
        <v>B</v>
      </c>
      <c r="EK124" s="301" t="str">
        <f t="shared" ca="1" si="539"/>
        <v>B</v>
      </c>
      <c r="EL124" s="301" t="str">
        <f t="shared" ca="1" si="539"/>
        <v>B</v>
      </c>
      <c r="EM124" s="301" t="str">
        <f t="shared" ca="1" si="539"/>
        <v>B</v>
      </c>
      <c r="EN124" s="301" t="str">
        <f t="shared" ca="1" si="539"/>
        <v>B</v>
      </c>
      <c r="EO124" s="301" t="str">
        <f t="shared" ca="1" si="539"/>
        <v>B</v>
      </c>
      <c r="EP124" s="301" t="str">
        <f t="shared" ca="1" si="539"/>
        <v>B</v>
      </c>
      <c r="EQ124" s="301" t="str">
        <f t="shared" ca="1" si="540"/>
        <v>B</v>
      </c>
      <c r="ER124" s="301" t="str">
        <f t="shared" ca="1" si="540"/>
        <v>B</v>
      </c>
      <c r="ES124" s="301" t="str">
        <f t="shared" ca="1" si="540"/>
        <v>B</v>
      </c>
      <c r="ET124" s="301" t="str">
        <f t="shared" ca="1" si="540"/>
        <v>B</v>
      </c>
      <c r="EU124" s="301" t="str">
        <f t="shared" ca="1" si="540"/>
        <v>B</v>
      </c>
      <c r="EV124" s="301" t="str">
        <f t="shared" ca="1" si="540"/>
        <v>B</v>
      </c>
      <c r="EW124" s="301" t="str">
        <f t="shared" ca="1" si="540"/>
        <v>B</v>
      </c>
      <c r="EX124" s="301" t="str">
        <f t="shared" ca="1" si="540"/>
        <v>B</v>
      </c>
      <c r="EY124" s="301" t="str">
        <f t="shared" ca="1" si="540"/>
        <v>B</v>
      </c>
      <c r="EZ124" s="301" t="str">
        <f t="shared" ca="1" si="540"/>
        <v>B</v>
      </c>
      <c r="FA124" s="301" t="str">
        <f t="shared" ca="1" si="541"/>
        <v>B</v>
      </c>
      <c r="FB124" s="301" t="str">
        <f t="shared" ca="1" si="541"/>
        <v>B</v>
      </c>
      <c r="FC124" s="301" t="str">
        <f t="shared" ca="1" si="541"/>
        <v>B</v>
      </c>
      <c r="FD124" s="301" t="str">
        <f t="shared" ca="1" si="541"/>
        <v>B</v>
      </c>
      <c r="FE124" s="301" t="str">
        <f t="shared" ca="1" si="541"/>
        <v>B</v>
      </c>
      <c r="FF124" s="301" t="str">
        <f t="shared" ca="1" si="541"/>
        <v>B</v>
      </c>
      <c r="FG124" s="301" t="str">
        <f t="shared" ca="1" si="541"/>
        <v>B</v>
      </c>
      <c r="FH124" s="301" t="str">
        <f t="shared" ca="1" si="541"/>
        <v>B</v>
      </c>
      <c r="FI124" s="301" t="str">
        <f t="shared" ca="1" si="541"/>
        <v>B</v>
      </c>
      <c r="FJ124" s="301" t="str">
        <f t="shared" ca="1" si="541"/>
        <v>B</v>
      </c>
      <c r="FK124" s="301" t="str">
        <f t="shared" ca="1" si="541"/>
        <v>B</v>
      </c>
      <c r="FL124" s="301" t="str">
        <f t="shared" ca="1" si="541"/>
        <v>B</v>
      </c>
    </row>
    <row r="125" spans="1:168" x14ac:dyDescent="0.2">
      <c r="A125" s="38" t="str">
        <f t="shared" si="533"/>
        <v>Hauswirtschaft</v>
      </c>
      <c r="B125" s="317" t="str">
        <f t="shared" ca="1" si="448"/>
        <v/>
      </c>
      <c r="C125" s="332" t="str">
        <f t="shared" ca="1" si="449"/>
        <v/>
      </c>
      <c r="D125" s="1110"/>
      <c r="E125" s="966"/>
      <c r="F125" s="325"/>
      <c r="G125" s="958"/>
      <c r="H125" s="1196"/>
      <c r="I125" s="326"/>
      <c r="J125" s="1886" t="str">
        <f t="shared" ca="1" si="450"/>
        <v/>
      </c>
      <c r="K125" s="1887"/>
      <c r="L125" s="1887"/>
      <c r="M125" s="1887"/>
      <c r="N125" s="1888"/>
      <c r="O125" s="613" t="str">
        <f t="shared" ca="1" si="451"/>
        <v/>
      </c>
      <c r="P125" s="90"/>
      <c r="Q125" s="25"/>
      <c r="R125" s="1313"/>
      <c r="S125" s="1313"/>
      <c r="T125" s="1315"/>
      <c r="U125" s="1283"/>
      <c r="V125" s="628" t="str">
        <f t="shared" ca="1" si="452"/>
        <v/>
      </c>
      <c r="W125" s="164">
        <f t="shared" ca="1" si="453"/>
        <v>0</v>
      </c>
      <c r="X125" s="164">
        <f t="shared" ca="1" si="454"/>
        <v>0</v>
      </c>
      <c r="Y125" s="164">
        <f t="shared" ca="1" si="455"/>
        <v>0</v>
      </c>
      <c r="Z125" s="164">
        <f t="shared" ca="1" si="456"/>
        <v>0</v>
      </c>
      <c r="AA125" s="164">
        <f t="shared" ca="1" si="457"/>
        <v>0</v>
      </c>
      <c r="AB125" s="164">
        <f t="shared" ca="1" si="458"/>
        <v>0</v>
      </c>
      <c r="AC125" s="164">
        <f t="shared" ca="1" si="459"/>
        <v>0</v>
      </c>
      <c r="AD125" s="164">
        <f t="shared" ca="1" si="460"/>
        <v>0</v>
      </c>
      <c r="AE125" s="164">
        <f t="shared" ca="1" si="461"/>
        <v>0</v>
      </c>
      <c r="AF125" s="164">
        <f t="shared" ca="1" si="462"/>
        <v>0</v>
      </c>
      <c r="AG125" s="164">
        <f t="shared" ca="1" si="463"/>
        <v>0</v>
      </c>
      <c r="AH125" s="164">
        <f t="shared" ca="1" si="464"/>
        <v>0</v>
      </c>
      <c r="AI125" s="164">
        <f t="shared" ca="1" si="465"/>
        <v>0</v>
      </c>
      <c r="AJ125" s="164">
        <f t="shared" ca="1" si="466"/>
        <v>0</v>
      </c>
      <c r="AK125" s="164">
        <f t="shared" ca="1" si="467"/>
        <v>0</v>
      </c>
      <c r="AL125" s="164">
        <f t="shared" ca="1" si="468"/>
        <v>0</v>
      </c>
      <c r="AM125" s="164">
        <f t="shared" ca="1" si="469"/>
        <v>0</v>
      </c>
      <c r="AN125" s="164">
        <f t="shared" ca="1" si="470"/>
        <v>0</v>
      </c>
      <c r="AO125" s="164">
        <f t="shared" ca="1" si="471"/>
        <v>0</v>
      </c>
      <c r="AP125" s="164">
        <f t="shared" ca="1" si="472"/>
        <v>0</v>
      </c>
      <c r="AQ125" s="164">
        <f t="shared" ca="1" si="473"/>
        <v>0</v>
      </c>
      <c r="AR125" s="164">
        <f t="shared" ca="1" si="474"/>
        <v>0</v>
      </c>
      <c r="AS125" s="195"/>
      <c r="AT125" s="154">
        <f t="shared" ca="1" si="475"/>
        <v>0</v>
      </c>
      <c r="AU125" s="154">
        <f t="shared" ca="1" si="476"/>
        <v>0</v>
      </c>
      <c r="AV125" s="154">
        <f t="shared" ca="1" si="477"/>
        <v>0</v>
      </c>
      <c r="AW125" s="154">
        <f t="shared" ca="1" si="478"/>
        <v>0</v>
      </c>
      <c r="AX125" s="154">
        <f t="shared" ca="1" si="479"/>
        <v>0</v>
      </c>
      <c r="AY125" s="154">
        <f t="shared" ca="1" si="480"/>
        <v>0</v>
      </c>
      <c r="AZ125" s="154">
        <f t="shared" ca="1" si="481"/>
        <v>0</v>
      </c>
      <c r="BA125" s="154">
        <f t="shared" ca="1" si="482"/>
        <v>0</v>
      </c>
      <c r="BB125" s="154">
        <f t="shared" ca="1" si="483"/>
        <v>0</v>
      </c>
      <c r="BC125" s="154">
        <f t="shared" ca="1" si="484"/>
        <v>0</v>
      </c>
      <c r="BD125" s="154">
        <f t="shared" ca="1" si="485"/>
        <v>0</v>
      </c>
      <c r="BE125" s="154">
        <f t="shared" ca="1" si="486"/>
        <v>0</v>
      </c>
      <c r="BF125" s="154">
        <f t="shared" ca="1" si="487"/>
        <v>0</v>
      </c>
      <c r="BG125" s="154">
        <f t="shared" ca="1" si="488"/>
        <v>0</v>
      </c>
      <c r="BH125" s="154">
        <f t="shared" ca="1" si="489"/>
        <v>0</v>
      </c>
      <c r="BI125" s="154">
        <f t="shared" ca="1" si="490"/>
        <v>0</v>
      </c>
      <c r="BJ125" s="154">
        <f t="shared" ca="1" si="491"/>
        <v>0</v>
      </c>
      <c r="BK125" s="154">
        <f t="shared" ca="1" si="492"/>
        <v>0</v>
      </c>
      <c r="BL125" s="154">
        <f t="shared" ca="1" si="493"/>
        <v>0</v>
      </c>
      <c r="BM125" s="154">
        <f t="shared" ca="1" si="494"/>
        <v>0</v>
      </c>
      <c r="BN125" s="154">
        <f t="shared" ca="1" si="495"/>
        <v>0</v>
      </c>
      <c r="BO125" s="154">
        <f t="shared" ca="1" si="496"/>
        <v>0</v>
      </c>
      <c r="BP125" s="154">
        <f t="shared" ca="1" si="497"/>
        <v>0</v>
      </c>
      <c r="BQ125" s="154">
        <f t="shared" ca="1" si="498"/>
        <v>0</v>
      </c>
      <c r="BR125" s="154">
        <f t="shared" ca="1" si="499"/>
        <v>0</v>
      </c>
      <c r="BS125" s="154">
        <f t="shared" ca="1" si="500"/>
        <v>0</v>
      </c>
      <c r="BT125" s="154">
        <f t="shared" ca="1" si="501"/>
        <v>0</v>
      </c>
      <c r="BU125" s="154">
        <f t="shared" ca="1" si="502"/>
        <v>0</v>
      </c>
      <c r="BV125" s="154">
        <f t="shared" ca="1" si="503"/>
        <v>0</v>
      </c>
      <c r="BW125" s="154">
        <f t="shared" ca="1" si="504"/>
        <v>0</v>
      </c>
      <c r="BX125" s="154">
        <f t="shared" ca="1" si="505"/>
        <v>0</v>
      </c>
      <c r="BY125" s="154">
        <f t="shared" ca="1" si="506"/>
        <v>0</v>
      </c>
      <c r="BZ125" s="154">
        <f t="shared" si="507"/>
        <v>0</v>
      </c>
      <c r="CA125" s="154">
        <f t="shared" si="508"/>
        <v>0</v>
      </c>
      <c r="CB125" s="154">
        <f t="shared" ca="1" si="509"/>
        <v>0</v>
      </c>
      <c r="CC125" s="523"/>
      <c r="CD125" s="355">
        <f t="shared" si="510"/>
        <v>149</v>
      </c>
      <c r="CE125" s="751" t="str">
        <f t="shared" ca="1" si="511"/>
        <v>B</v>
      </c>
      <c r="CF125" s="355" t="str">
        <f t="shared" ca="1" si="534"/>
        <v/>
      </c>
      <c r="CG125" s="268"/>
      <c r="CH125" s="268"/>
      <c r="CI125" s="269">
        <f t="shared" ca="1" si="512"/>
        <v>0</v>
      </c>
      <c r="CJ125" s="269">
        <f t="shared" ca="1" si="513"/>
        <v>0</v>
      </c>
      <c r="CK125" s="268"/>
      <c r="CL125" s="268"/>
      <c r="CM125" s="268">
        <f t="shared" ca="1" si="327"/>
        <v>0</v>
      </c>
      <c r="CN125" s="269">
        <f t="shared" ca="1" si="328"/>
        <v>0</v>
      </c>
      <c r="CO125" s="268" t="str">
        <f t="shared" ca="1" si="514"/>
        <v>B</v>
      </c>
      <c r="CP125" s="269" t="b">
        <f t="shared" ca="1" si="515"/>
        <v>1</v>
      </c>
      <c r="CQ125" s="269">
        <f t="shared" si="516"/>
        <v>0</v>
      </c>
      <c r="CR125" s="269">
        <f t="shared" si="517"/>
        <v>0</v>
      </c>
      <c r="CS125" s="269">
        <f t="shared" ca="1" si="518"/>
        <v>0</v>
      </c>
      <c r="CT125" s="302" t="str">
        <f t="shared" ca="1" si="519"/>
        <v>0</v>
      </c>
      <c r="CU125" s="269">
        <f t="shared" ca="1" si="520"/>
        <v>0</v>
      </c>
      <c r="CV125" s="268"/>
      <c r="CW125" s="269">
        <f t="shared" ca="1" si="521"/>
        <v>0</v>
      </c>
      <c r="CX125" s="301">
        <f t="shared" ca="1" si="522"/>
        <v>0</v>
      </c>
      <c r="CY125" s="301">
        <f t="shared" ca="1" si="329"/>
        <v>0</v>
      </c>
      <c r="CZ125" s="301">
        <f t="shared" ca="1" si="523"/>
        <v>0</v>
      </c>
      <c r="DA125" s="301">
        <f t="shared" ca="1" si="524"/>
        <v>0</v>
      </c>
      <c r="DB125" t="str">
        <f t="shared" ref="DB125:DB131" ca="1" si="542">IF(AND(NOT(ISBLANK($F125)),$F125&lt;=$B125),"TaW SE zu klein","")</f>
        <v/>
      </c>
      <c r="DC125" s="301" t="str">
        <f t="shared" ca="1" si="525"/>
        <v/>
      </c>
      <c r="DD125" s="1337" t="str">
        <f t="shared" ca="1" si="535"/>
        <v/>
      </c>
      <c r="DE125" s="1337" t="str">
        <f t="shared" ca="1" si="536"/>
        <v/>
      </c>
      <c r="DG125" s="269" t="str">
        <f t="shared" ca="1" si="526"/>
        <v>Tabellen_Andere!BA47:BF47</v>
      </c>
      <c r="DH125" s="269" t="str">
        <f t="shared" si="527"/>
        <v>Tabellen_Andere!BA47:BF47</v>
      </c>
      <c r="DI125" s="269" t="str">
        <f ca="1">IF(NOT(ISERR(FIND(A125&amp;" ",Abfragen!$O$264,1))),MID(Abfragen!$O$264,FIND("(",Abfragen!$O$264,FIND(A125,Abfragen!$O$264,1)+LEN(A125))+1,FIND(")",Abfragen!$O$264,FIND(A125,Abfragen!$O$264,1)+LEN(A125))-FIND("(",Abfragen!$O$264,FIND(A125,Abfragen!$O$264,1)+LEN(A125))-1),"")</f>
        <v/>
      </c>
      <c r="DJ125" s="301" t="str">
        <f t="shared" ca="1" si="537"/>
        <v>B</v>
      </c>
      <c r="DK125" s="301" t="str">
        <f t="shared" ca="1" si="537"/>
        <v>B</v>
      </c>
      <c r="DL125" s="301" t="str">
        <f t="shared" ca="1" si="537"/>
        <v>B</v>
      </c>
      <c r="DM125" s="301" t="str">
        <f t="shared" ca="1" si="537"/>
        <v>B</v>
      </c>
      <c r="DN125" s="301" t="str">
        <f t="shared" ca="1" si="537"/>
        <v>B</v>
      </c>
      <c r="DO125" s="301" t="str">
        <f t="shared" ca="1" si="537"/>
        <v>B</v>
      </c>
      <c r="DP125" s="301" t="str">
        <f t="shared" ca="1" si="537"/>
        <v>B</v>
      </c>
      <c r="DQ125" s="301" t="str">
        <f t="shared" ca="1" si="537"/>
        <v>B</v>
      </c>
      <c r="DR125" s="301" t="str">
        <f t="shared" ca="1" si="537"/>
        <v>B</v>
      </c>
      <c r="DS125" s="301" t="str">
        <f t="shared" ca="1" si="537"/>
        <v>B</v>
      </c>
      <c r="DT125" s="301" t="str">
        <f t="shared" ca="1" si="538"/>
        <v>B</v>
      </c>
      <c r="DU125" s="301" t="str">
        <f t="shared" ca="1" si="538"/>
        <v>B</v>
      </c>
      <c r="DV125" s="301" t="str">
        <f t="shared" ca="1" si="538"/>
        <v>B</v>
      </c>
      <c r="DW125" s="301" t="str">
        <f t="shared" ca="1" si="538"/>
        <v>B</v>
      </c>
      <c r="DX125" s="301" t="str">
        <f t="shared" ca="1" si="538"/>
        <v>B</v>
      </c>
      <c r="DY125" s="301" t="str">
        <f t="shared" ca="1" si="538"/>
        <v>B</v>
      </c>
      <c r="DZ125" s="301" t="str">
        <f t="shared" ca="1" si="538"/>
        <v>B</v>
      </c>
      <c r="EA125" s="301" t="str">
        <f t="shared" ca="1" si="538"/>
        <v>B</v>
      </c>
      <c r="EB125" s="301" t="str">
        <f t="shared" ca="1" si="538"/>
        <v>B</v>
      </c>
      <c r="EC125" s="301" t="str">
        <f t="shared" ca="1" si="538"/>
        <v>B</v>
      </c>
      <c r="ED125" s="301" t="str">
        <f t="shared" ca="1" si="538"/>
        <v>B</v>
      </c>
      <c r="EE125" s="301" t="str">
        <f t="shared" ca="1" si="538"/>
        <v>B</v>
      </c>
      <c r="EF125" s="205"/>
      <c r="EG125" s="301" t="str">
        <f t="shared" ca="1" si="539"/>
        <v>B</v>
      </c>
      <c r="EH125" s="301" t="str">
        <f t="shared" ca="1" si="539"/>
        <v>B</v>
      </c>
      <c r="EI125" s="301" t="str">
        <f t="shared" ca="1" si="539"/>
        <v>B</v>
      </c>
      <c r="EJ125" s="301" t="str">
        <f t="shared" ca="1" si="539"/>
        <v>B</v>
      </c>
      <c r="EK125" s="301" t="str">
        <f t="shared" ca="1" si="539"/>
        <v>B</v>
      </c>
      <c r="EL125" s="301" t="str">
        <f t="shared" ca="1" si="539"/>
        <v>B</v>
      </c>
      <c r="EM125" s="301" t="str">
        <f t="shared" ca="1" si="539"/>
        <v>B</v>
      </c>
      <c r="EN125" s="301" t="str">
        <f t="shared" ca="1" si="539"/>
        <v>B</v>
      </c>
      <c r="EO125" s="301" t="str">
        <f t="shared" ca="1" si="539"/>
        <v>B</v>
      </c>
      <c r="EP125" s="301" t="str">
        <f t="shared" ca="1" si="539"/>
        <v>B</v>
      </c>
      <c r="EQ125" s="301" t="str">
        <f t="shared" ca="1" si="540"/>
        <v>B</v>
      </c>
      <c r="ER125" s="301" t="str">
        <f t="shared" ca="1" si="540"/>
        <v>B</v>
      </c>
      <c r="ES125" s="301" t="str">
        <f t="shared" ca="1" si="540"/>
        <v>B</v>
      </c>
      <c r="ET125" s="301" t="str">
        <f t="shared" ca="1" si="540"/>
        <v>B</v>
      </c>
      <c r="EU125" s="301" t="str">
        <f t="shared" ca="1" si="540"/>
        <v>B</v>
      </c>
      <c r="EV125" s="301" t="str">
        <f t="shared" ca="1" si="540"/>
        <v>B</v>
      </c>
      <c r="EW125" s="301" t="str">
        <f t="shared" ca="1" si="540"/>
        <v>B</v>
      </c>
      <c r="EX125" s="301" t="str">
        <f t="shared" ca="1" si="540"/>
        <v>B</v>
      </c>
      <c r="EY125" s="301" t="str">
        <f t="shared" ca="1" si="540"/>
        <v>B</v>
      </c>
      <c r="EZ125" s="301" t="str">
        <f t="shared" ca="1" si="540"/>
        <v>B</v>
      </c>
      <c r="FA125" s="301" t="str">
        <f t="shared" ca="1" si="541"/>
        <v>B</v>
      </c>
      <c r="FB125" s="301" t="str">
        <f t="shared" ca="1" si="541"/>
        <v>B</v>
      </c>
      <c r="FC125" s="301" t="str">
        <f t="shared" ca="1" si="541"/>
        <v>B</v>
      </c>
      <c r="FD125" s="301" t="str">
        <f t="shared" ca="1" si="541"/>
        <v>B</v>
      </c>
      <c r="FE125" s="301" t="str">
        <f t="shared" ca="1" si="541"/>
        <v>B</v>
      </c>
      <c r="FF125" s="301" t="str">
        <f t="shared" ca="1" si="541"/>
        <v>B</v>
      </c>
      <c r="FG125" s="301" t="str">
        <f t="shared" ca="1" si="541"/>
        <v>B</v>
      </c>
      <c r="FH125" s="301" t="str">
        <f t="shared" ca="1" si="541"/>
        <v>B</v>
      </c>
      <c r="FI125" s="301" t="str">
        <f t="shared" ca="1" si="541"/>
        <v>B</v>
      </c>
      <c r="FJ125" s="301" t="str">
        <f t="shared" ca="1" si="541"/>
        <v>B</v>
      </c>
      <c r="FK125" s="301" t="str">
        <f t="shared" ca="1" si="541"/>
        <v>B</v>
      </c>
      <c r="FL125" s="301" t="str">
        <f t="shared" ca="1" si="541"/>
        <v>B</v>
      </c>
    </row>
    <row r="126" spans="1:168" x14ac:dyDescent="0.2">
      <c r="A126" s="38" t="str">
        <f t="shared" si="533"/>
        <v>Heilkunde Gift</v>
      </c>
      <c r="B126" s="317" t="str">
        <f t="shared" ca="1" si="448"/>
        <v/>
      </c>
      <c r="C126" s="332" t="str">
        <f t="shared" ca="1" si="449"/>
        <v/>
      </c>
      <c r="D126" s="1110"/>
      <c r="E126" s="966"/>
      <c r="F126" s="325"/>
      <c r="G126" s="958"/>
      <c r="H126" s="1196"/>
      <c r="I126" s="326"/>
      <c r="J126" s="1886" t="str">
        <f t="shared" ca="1" si="450"/>
        <v/>
      </c>
      <c r="K126" s="1887"/>
      <c r="L126" s="1887"/>
      <c r="M126" s="1887"/>
      <c r="N126" s="1888"/>
      <c r="O126" s="613" t="str">
        <f t="shared" ca="1" si="451"/>
        <v/>
      </c>
      <c r="P126" s="90"/>
      <c r="Q126" s="25"/>
      <c r="R126" s="1313"/>
      <c r="S126" s="1313"/>
      <c r="T126" s="1315"/>
      <c r="U126" s="1283"/>
      <c r="V126" s="628" t="str">
        <f t="shared" ca="1" si="452"/>
        <v/>
      </c>
      <c r="W126" s="164">
        <f t="shared" ca="1" si="453"/>
        <v>0</v>
      </c>
      <c r="X126" s="164">
        <f t="shared" ca="1" si="454"/>
        <v>0</v>
      </c>
      <c r="Y126" s="164">
        <f t="shared" ca="1" si="455"/>
        <v>0</v>
      </c>
      <c r="Z126" s="164">
        <f t="shared" ca="1" si="456"/>
        <v>0</v>
      </c>
      <c r="AA126" s="164">
        <f t="shared" ca="1" si="457"/>
        <v>0</v>
      </c>
      <c r="AB126" s="164">
        <f t="shared" ca="1" si="458"/>
        <v>0</v>
      </c>
      <c r="AC126" s="164">
        <f t="shared" ca="1" si="459"/>
        <v>0</v>
      </c>
      <c r="AD126" s="164">
        <f t="shared" ca="1" si="460"/>
        <v>0</v>
      </c>
      <c r="AE126" s="164">
        <f t="shared" ca="1" si="461"/>
        <v>0</v>
      </c>
      <c r="AF126" s="164">
        <f t="shared" ca="1" si="462"/>
        <v>0</v>
      </c>
      <c r="AG126" s="164">
        <f t="shared" ca="1" si="463"/>
        <v>0</v>
      </c>
      <c r="AH126" s="164">
        <f t="shared" ca="1" si="464"/>
        <v>0</v>
      </c>
      <c r="AI126" s="164">
        <f t="shared" ca="1" si="465"/>
        <v>0</v>
      </c>
      <c r="AJ126" s="164">
        <f t="shared" ca="1" si="466"/>
        <v>0</v>
      </c>
      <c r="AK126" s="164">
        <f t="shared" ca="1" si="467"/>
        <v>0</v>
      </c>
      <c r="AL126" s="164">
        <f t="shared" ca="1" si="468"/>
        <v>0</v>
      </c>
      <c r="AM126" s="164">
        <f t="shared" ca="1" si="469"/>
        <v>0</v>
      </c>
      <c r="AN126" s="164">
        <f t="shared" ca="1" si="470"/>
        <v>0</v>
      </c>
      <c r="AO126" s="164">
        <f t="shared" ca="1" si="471"/>
        <v>0</v>
      </c>
      <c r="AP126" s="164">
        <f t="shared" ca="1" si="472"/>
        <v>0</v>
      </c>
      <c r="AQ126" s="164">
        <f t="shared" ca="1" si="473"/>
        <v>0</v>
      </c>
      <c r="AR126" s="164">
        <f t="shared" ca="1" si="474"/>
        <v>0</v>
      </c>
      <c r="AS126" s="195"/>
      <c r="AT126" s="154">
        <f t="shared" ca="1" si="475"/>
        <v>0</v>
      </c>
      <c r="AU126" s="154">
        <f t="shared" ca="1" si="476"/>
        <v>0</v>
      </c>
      <c r="AV126" s="154">
        <f t="shared" ca="1" si="477"/>
        <v>0</v>
      </c>
      <c r="AW126" s="154">
        <f t="shared" ca="1" si="478"/>
        <v>0</v>
      </c>
      <c r="AX126" s="154">
        <f t="shared" ca="1" si="479"/>
        <v>0</v>
      </c>
      <c r="AY126" s="154">
        <f t="shared" ca="1" si="480"/>
        <v>0</v>
      </c>
      <c r="AZ126" s="154">
        <f t="shared" ca="1" si="481"/>
        <v>0</v>
      </c>
      <c r="BA126" s="154">
        <f t="shared" ca="1" si="482"/>
        <v>0</v>
      </c>
      <c r="BB126" s="154">
        <f t="shared" ca="1" si="483"/>
        <v>0</v>
      </c>
      <c r="BC126" s="154">
        <f t="shared" ca="1" si="484"/>
        <v>0</v>
      </c>
      <c r="BD126" s="154">
        <f t="shared" ca="1" si="485"/>
        <v>0</v>
      </c>
      <c r="BE126" s="154">
        <f t="shared" ca="1" si="486"/>
        <v>0</v>
      </c>
      <c r="BF126" s="154">
        <f t="shared" ca="1" si="487"/>
        <v>0</v>
      </c>
      <c r="BG126" s="154">
        <f t="shared" ca="1" si="488"/>
        <v>0</v>
      </c>
      <c r="BH126" s="154">
        <f t="shared" ca="1" si="489"/>
        <v>0</v>
      </c>
      <c r="BI126" s="154">
        <f t="shared" ca="1" si="490"/>
        <v>0</v>
      </c>
      <c r="BJ126" s="154">
        <f t="shared" ca="1" si="491"/>
        <v>0</v>
      </c>
      <c r="BK126" s="154">
        <f t="shared" ca="1" si="492"/>
        <v>0</v>
      </c>
      <c r="BL126" s="154">
        <f t="shared" ca="1" si="493"/>
        <v>0</v>
      </c>
      <c r="BM126" s="154">
        <f t="shared" ca="1" si="494"/>
        <v>0</v>
      </c>
      <c r="BN126" s="154">
        <f t="shared" ca="1" si="495"/>
        <v>0</v>
      </c>
      <c r="BO126" s="154">
        <f t="shared" ca="1" si="496"/>
        <v>0</v>
      </c>
      <c r="BP126" s="154">
        <f t="shared" ca="1" si="497"/>
        <v>0</v>
      </c>
      <c r="BQ126" s="154">
        <f t="shared" ca="1" si="498"/>
        <v>0</v>
      </c>
      <c r="BR126" s="154">
        <f t="shared" ca="1" si="499"/>
        <v>0</v>
      </c>
      <c r="BS126" s="154">
        <f t="shared" ca="1" si="500"/>
        <v>0</v>
      </c>
      <c r="BT126" s="154">
        <f t="shared" ca="1" si="501"/>
        <v>0</v>
      </c>
      <c r="BU126" s="154">
        <f t="shared" ca="1" si="502"/>
        <v>0</v>
      </c>
      <c r="BV126" s="154">
        <f t="shared" ca="1" si="503"/>
        <v>0</v>
      </c>
      <c r="BW126" s="154">
        <f t="shared" ca="1" si="504"/>
        <v>0</v>
      </c>
      <c r="BX126" s="154">
        <f t="shared" ca="1" si="505"/>
        <v>0</v>
      </c>
      <c r="BY126" s="154">
        <f t="shared" ca="1" si="506"/>
        <v>0</v>
      </c>
      <c r="BZ126" s="154">
        <f t="shared" si="507"/>
        <v>0</v>
      </c>
      <c r="CA126" s="154">
        <f t="shared" si="508"/>
        <v>0</v>
      </c>
      <c r="CB126" s="154">
        <f t="shared" ca="1" si="509"/>
        <v>0</v>
      </c>
      <c r="CC126" s="523"/>
      <c r="CD126" s="355">
        <f t="shared" si="510"/>
        <v>150</v>
      </c>
      <c r="CE126" s="751" t="str">
        <f t="shared" ca="1" si="511"/>
        <v>B</v>
      </c>
      <c r="CF126" s="355" t="str">
        <f t="shared" ca="1" si="534"/>
        <v/>
      </c>
      <c r="CG126" s="268"/>
      <c r="CH126" s="268"/>
      <c r="CI126" s="269">
        <f t="shared" ca="1" si="512"/>
        <v>0</v>
      </c>
      <c r="CJ126" s="269">
        <f t="shared" ca="1" si="513"/>
        <v>0</v>
      </c>
      <c r="CK126" s="268"/>
      <c r="CL126" s="268"/>
      <c r="CM126" s="268">
        <f t="shared" ca="1" si="327"/>
        <v>0</v>
      </c>
      <c r="CN126" s="269">
        <f t="shared" ca="1" si="328"/>
        <v>0</v>
      </c>
      <c r="CO126" s="268" t="str">
        <f t="shared" ca="1" si="514"/>
        <v>B</v>
      </c>
      <c r="CP126" s="269" t="b">
        <f t="shared" ca="1" si="515"/>
        <v>1</v>
      </c>
      <c r="CQ126" s="269">
        <f t="shared" si="516"/>
        <v>0</v>
      </c>
      <c r="CR126" s="269">
        <f t="shared" si="517"/>
        <v>0</v>
      </c>
      <c r="CS126" s="269">
        <f t="shared" ca="1" si="518"/>
        <v>0</v>
      </c>
      <c r="CT126" s="302" t="str">
        <f t="shared" ca="1" si="519"/>
        <v>0</v>
      </c>
      <c r="CU126" s="269">
        <f t="shared" ca="1" si="520"/>
        <v>0</v>
      </c>
      <c r="CV126" s="268"/>
      <c r="CW126" s="269">
        <f t="shared" ca="1" si="521"/>
        <v>0</v>
      </c>
      <c r="CX126" s="301">
        <f t="shared" ca="1" si="522"/>
        <v>0</v>
      </c>
      <c r="CY126" s="301">
        <f t="shared" ca="1" si="329"/>
        <v>0</v>
      </c>
      <c r="CZ126" s="301">
        <f t="shared" ca="1" si="523"/>
        <v>0</v>
      </c>
      <c r="DA126" s="301">
        <f t="shared" ca="1" si="524"/>
        <v>0</v>
      </c>
      <c r="DB126" t="str">
        <f t="shared" ca="1" si="542"/>
        <v/>
      </c>
      <c r="DC126" s="301" t="str">
        <f t="shared" ca="1" si="525"/>
        <v/>
      </c>
      <c r="DD126" s="1337" t="str">
        <f t="shared" ca="1" si="535"/>
        <v/>
      </c>
      <c r="DE126" s="1337" t="str">
        <f t="shared" ca="1" si="536"/>
        <v/>
      </c>
      <c r="DG126" s="269" t="str">
        <f t="shared" ca="1" si="526"/>
        <v>Tabellen_Andere!BA48:BF48</v>
      </c>
      <c r="DH126" s="269" t="str">
        <f t="shared" si="527"/>
        <v>Tabellen_Andere!BA48:BF48</v>
      </c>
      <c r="DI126" s="269" t="str">
        <f ca="1">IF(NOT(ISERR(FIND(A126&amp;" ",Abfragen!$O$264,1))),MID(Abfragen!$O$264,FIND("(",Abfragen!$O$264,FIND(A126,Abfragen!$O$264,1)+LEN(A126))+1,FIND(")",Abfragen!$O$264,FIND(A126,Abfragen!$O$264,1)+LEN(A126))-FIND("(",Abfragen!$O$264,FIND(A126,Abfragen!$O$264,1)+LEN(A126))-1),"")</f>
        <v/>
      </c>
      <c r="DJ126" s="301" t="str">
        <f t="shared" ca="1" si="537"/>
        <v>B</v>
      </c>
      <c r="DK126" s="301" t="str">
        <f t="shared" ca="1" si="537"/>
        <v>B</v>
      </c>
      <c r="DL126" s="301" t="str">
        <f t="shared" ca="1" si="537"/>
        <v>B</v>
      </c>
      <c r="DM126" s="301" t="str">
        <f t="shared" ca="1" si="537"/>
        <v>B</v>
      </c>
      <c r="DN126" s="301" t="str">
        <f t="shared" ca="1" si="537"/>
        <v>B</v>
      </c>
      <c r="DO126" s="301" t="str">
        <f t="shared" ca="1" si="537"/>
        <v>B</v>
      </c>
      <c r="DP126" s="301" t="str">
        <f t="shared" ca="1" si="537"/>
        <v>B</v>
      </c>
      <c r="DQ126" s="301" t="str">
        <f t="shared" ca="1" si="537"/>
        <v>B</v>
      </c>
      <c r="DR126" s="301" t="str">
        <f t="shared" ca="1" si="537"/>
        <v>B</v>
      </c>
      <c r="DS126" s="301" t="str">
        <f t="shared" ca="1" si="537"/>
        <v>B</v>
      </c>
      <c r="DT126" s="301" t="str">
        <f t="shared" ca="1" si="538"/>
        <v>B</v>
      </c>
      <c r="DU126" s="301" t="str">
        <f t="shared" ca="1" si="538"/>
        <v>B</v>
      </c>
      <c r="DV126" s="301" t="str">
        <f t="shared" ca="1" si="538"/>
        <v>B</v>
      </c>
      <c r="DW126" s="301" t="str">
        <f t="shared" ca="1" si="538"/>
        <v>B</v>
      </c>
      <c r="DX126" s="301" t="str">
        <f t="shared" ca="1" si="538"/>
        <v>B</v>
      </c>
      <c r="DY126" s="301" t="str">
        <f t="shared" ca="1" si="538"/>
        <v>B</v>
      </c>
      <c r="DZ126" s="301" t="str">
        <f t="shared" ca="1" si="538"/>
        <v>B</v>
      </c>
      <c r="EA126" s="301" t="str">
        <f t="shared" ca="1" si="538"/>
        <v>B</v>
      </c>
      <c r="EB126" s="301" t="str">
        <f t="shared" ca="1" si="538"/>
        <v>B</v>
      </c>
      <c r="EC126" s="301" t="str">
        <f t="shared" ca="1" si="538"/>
        <v>B</v>
      </c>
      <c r="ED126" s="301" t="str">
        <f t="shared" ca="1" si="538"/>
        <v>B</v>
      </c>
      <c r="EE126" s="301" t="str">
        <f t="shared" ca="1" si="538"/>
        <v>B</v>
      </c>
      <c r="EF126" s="205"/>
      <c r="EG126" s="301" t="str">
        <f t="shared" ca="1" si="539"/>
        <v>B</v>
      </c>
      <c r="EH126" s="301" t="str">
        <f t="shared" ca="1" si="539"/>
        <v>B</v>
      </c>
      <c r="EI126" s="301" t="str">
        <f t="shared" ca="1" si="539"/>
        <v>B</v>
      </c>
      <c r="EJ126" s="301" t="str">
        <f t="shared" ca="1" si="539"/>
        <v>B</v>
      </c>
      <c r="EK126" s="301" t="str">
        <f t="shared" ca="1" si="539"/>
        <v>B</v>
      </c>
      <c r="EL126" s="301" t="str">
        <f t="shared" ca="1" si="539"/>
        <v>B</v>
      </c>
      <c r="EM126" s="301" t="str">
        <f t="shared" ca="1" si="539"/>
        <v>B</v>
      </c>
      <c r="EN126" s="301" t="str">
        <f t="shared" ca="1" si="539"/>
        <v>B</v>
      </c>
      <c r="EO126" s="301" t="str">
        <f t="shared" ca="1" si="539"/>
        <v>B</v>
      </c>
      <c r="EP126" s="301" t="str">
        <f t="shared" ca="1" si="539"/>
        <v>B</v>
      </c>
      <c r="EQ126" s="301" t="str">
        <f t="shared" ca="1" si="540"/>
        <v>B</v>
      </c>
      <c r="ER126" s="301" t="str">
        <f t="shared" ca="1" si="540"/>
        <v>B</v>
      </c>
      <c r="ES126" s="301" t="str">
        <f t="shared" ca="1" si="540"/>
        <v>B</v>
      </c>
      <c r="ET126" s="301" t="str">
        <f t="shared" ca="1" si="540"/>
        <v>B</v>
      </c>
      <c r="EU126" s="301" t="str">
        <f t="shared" ca="1" si="540"/>
        <v>B</v>
      </c>
      <c r="EV126" s="301" t="str">
        <f t="shared" ca="1" si="540"/>
        <v>B</v>
      </c>
      <c r="EW126" s="301" t="str">
        <f t="shared" ca="1" si="540"/>
        <v>B</v>
      </c>
      <c r="EX126" s="301" t="str">
        <f t="shared" ca="1" si="540"/>
        <v>B</v>
      </c>
      <c r="EY126" s="301" t="str">
        <f t="shared" ca="1" si="540"/>
        <v>B</v>
      </c>
      <c r="EZ126" s="301" t="str">
        <f t="shared" ca="1" si="540"/>
        <v>B</v>
      </c>
      <c r="FA126" s="301" t="str">
        <f t="shared" ca="1" si="541"/>
        <v>B</v>
      </c>
      <c r="FB126" s="301" t="str">
        <f t="shared" ca="1" si="541"/>
        <v>B</v>
      </c>
      <c r="FC126" s="301" t="str">
        <f t="shared" ca="1" si="541"/>
        <v>B</v>
      </c>
      <c r="FD126" s="301" t="str">
        <f t="shared" ca="1" si="541"/>
        <v>B</v>
      </c>
      <c r="FE126" s="301" t="str">
        <f t="shared" ca="1" si="541"/>
        <v>B</v>
      </c>
      <c r="FF126" s="301" t="str">
        <f t="shared" ca="1" si="541"/>
        <v>B</v>
      </c>
      <c r="FG126" s="301" t="str">
        <f t="shared" ca="1" si="541"/>
        <v>B</v>
      </c>
      <c r="FH126" s="301" t="str">
        <f t="shared" ca="1" si="541"/>
        <v>B</v>
      </c>
      <c r="FI126" s="301" t="str">
        <f t="shared" ca="1" si="541"/>
        <v>B</v>
      </c>
      <c r="FJ126" s="301" t="str">
        <f t="shared" ca="1" si="541"/>
        <v>B</v>
      </c>
      <c r="FK126" s="301" t="str">
        <f t="shared" ca="1" si="541"/>
        <v>B</v>
      </c>
      <c r="FL126" s="301" t="str">
        <f t="shared" ca="1" si="541"/>
        <v>B</v>
      </c>
    </row>
    <row r="127" spans="1:168" x14ac:dyDescent="0.2">
      <c r="A127" s="38" t="str">
        <f t="shared" si="533"/>
        <v>Heilkunde Krankheiten</v>
      </c>
      <c r="B127" s="317" t="str">
        <f t="shared" ca="1" si="448"/>
        <v/>
      </c>
      <c r="C127" s="332" t="str">
        <f t="shared" ca="1" si="449"/>
        <v/>
      </c>
      <c r="D127" s="1110"/>
      <c r="E127" s="966"/>
      <c r="F127" s="325"/>
      <c r="G127" s="958"/>
      <c r="H127" s="1196"/>
      <c r="I127" s="326"/>
      <c r="J127" s="1886" t="str">
        <f t="shared" ca="1" si="450"/>
        <v/>
      </c>
      <c r="K127" s="1887"/>
      <c r="L127" s="1887"/>
      <c r="M127" s="1887"/>
      <c r="N127" s="1888"/>
      <c r="O127" s="613" t="str">
        <f t="shared" ca="1" si="451"/>
        <v/>
      </c>
      <c r="P127" s="90"/>
      <c r="Q127" s="25"/>
      <c r="R127" s="1313"/>
      <c r="S127" s="1313"/>
      <c r="T127" s="1315"/>
      <c r="U127" s="1283"/>
      <c r="V127" s="628" t="str">
        <f t="shared" ca="1" si="452"/>
        <v/>
      </c>
      <c r="W127" s="164">
        <f t="shared" ca="1" si="453"/>
        <v>0</v>
      </c>
      <c r="X127" s="164">
        <f t="shared" ca="1" si="454"/>
        <v>0</v>
      </c>
      <c r="Y127" s="164">
        <f t="shared" ca="1" si="455"/>
        <v>0</v>
      </c>
      <c r="Z127" s="164">
        <f t="shared" ca="1" si="456"/>
        <v>0</v>
      </c>
      <c r="AA127" s="164">
        <f t="shared" ca="1" si="457"/>
        <v>0</v>
      </c>
      <c r="AB127" s="164">
        <f t="shared" ca="1" si="458"/>
        <v>0</v>
      </c>
      <c r="AC127" s="164">
        <f t="shared" ca="1" si="459"/>
        <v>0</v>
      </c>
      <c r="AD127" s="164">
        <f t="shared" ca="1" si="460"/>
        <v>0</v>
      </c>
      <c r="AE127" s="164">
        <f t="shared" ca="1" si="461"/>
        <v>0</v>
      </c>
      <c r="AF127" s="164">
        <f t="shared" ca="1" si="462"/>
        <v>0</v>
      </c>
      <c r="AG127" s="164">
        <f t="shared" ca="1" si="463"/>
        <v>0</v>
      </c>
      <c r="AH127" s="164">
        <f t="shared" ca="1" si="464"/>
        <v>0</v>
      </c>
      <c r="AI127" s="164">
        <f t="shared" ca="1" si="465"/>
        <v>0</v>
      </c>
      <c r="AJ127" s="164">
        <f t="shared" ca="1" si="466"/>
        <v>0</v>
      </c>
      <c r="AK127" s="164">
        <f t="shared" ca="1" si="467"/>
        <v>0</v>
      </c>
      <c r="AL127" s="164">
        <f t="shared" ca="1" si="468"/>
        <v>0</v>
      </c>
      <c r="AM127" s="164">
        <f t="shared" ca="1" si="469"/>
        <v>0</v>
      </c>
      <c r="AN127" s="164">
        <f t="shared" ca="1" si="470"/>
        <v>0</v>
      </c>
      <c r="AO127" s="164">
        <f t="shared" ca="1" si="471"/>
        <v>0</v>
      </c>
      <c r="AP127" s="164">
        <f t="shared" ca="1" si="472"/>
        <v>0</v>
      </c>
      <c r="AQ127" s="164">
        <f t="shared" ca="1" si="473"/>
        <v>0</v>
      </c>
      <c r="AR127" s="164">
        <f t="shared" ca="1" si="474"/>
        <v>0</v>
      </c>
      <c r="AS127" s="195"/>
      <c r="AT127" s="154">
        <f t="shared" ca="1" si="475"/>
        <v>0</v>
      </c>
      <c r="AU127" s="154">
        <f t="shared" ca="1" si="476"/>
        <v>0</v>
      </c>
      <c r="AV127" s="154">
        <f t="shared" ca="1" si="477"/>
        <v>0</v>
      </c>
      <c r="AW127" s="154">
        <f t="shared" ca="1" si="478"/>
        <v>0</v>
      </c>
      <c r="AX127" s="154">
        <f t="shared" ca="1" si="479"/>
        <v>0</v>
      </c>
      <c r="AY127" s="154">
        <f t="shared" ca="1" si="480"/>
        <v>0</v>
      </c>
      <c r="AZ127" s="154">
        <f t="shared" ca="1" si="481"/>
        <v>0</v>
      </c>
      <c r="BA127" s="154">
        <f t="shared" ca="1" si="482"/>
        <v>0</v>
      </c>
      <c r="BB127" s="154">
        <f t="shared" ca="1" si="483"/>
        <v>0</v>
      </c>
      <c r="BC127" s="154">
        <f t="shared" ca="1" si="484"/>
        <v>0</v>
      </c>
      <c r="BD127" s="154">
        <f t="shared" ca="1" si="485"/>
        <v>0</v>
      </c>
      <c r="BE127" s="154">
        <f t="shared" ca="1" si="486"/>
        <v>0</v>
      </c>
      <c r="BF127" s="154">
        <f t="shared" ca="1" si="487"/>
        <v>0</v>
      </c>
      <c r="BG127" s="154">
        <f t="shared" ca="1" si="488"/>
        <v>0</v>
      </c>
      <c r="BH127" s="154">
        <f t="shared" ca="1" si="489"/>
        <v>0</v>
      </c>
      <c r="BI127" s="154">
        <f t="shared" ca="1" si="490"/>
        <v>0</v>
      </c>
      <c r="BJ127" s="154">
        <f t="shared" ca="1" si="491"/>
        <v>0</v>
      </c>
      <c r="BK127" s="154">
        <f t="shared" ca="1" si="492"/>
        <v>0</v>
      </c>
      <c r="BL127" s="154">
        <f t="shared" ca="1" si="493"/>
        <v>0</v>
      </c>
      <c r="BM127" s="154">
        <f t="shared" ca="1" si="494"/>
        <v>0</v>
      </c>
      <c r="BN127" s="154">
        <f t="shared" ca="1" si="495"/>
        <v>0</v>
      </c>
      <c r="BO127" s="154">
        <f t="shared" ca="1" si="496"/>
        <v>0</v>
      </c>
      <c r="BP127" s="154">
        <f t="shared" ca="1" si="497"/>
        <v>0</v>
      </c>
      <c r="BQ127" s="154">
        <f t="shared" ca="1" si="498"/>
        <v>0</v>
      </c>
      <c r="BR127" s="154">
        <f t="shared" ca="1" si="499"/>
        <v>0</v>
      </c>
      <c r="BS127" s="154">
        <f t="shared" ca="1" si="500"/>
        <v>0</v>
      </c>
      <c r="BT127" s="154">
        <f t="shared" ca="1" si="501"/>
        <v>0</v>
      </c>
      <c r="BU127" s="154">
        <f t="shared" ca="1" si="502"/>
        <v>0</v>
      </c>
      <c r="BV127" s="154">
        <f t="shared" ca="1" si="503"/>
        <v>0</v>
      </c>
      <c r="BW127" s="154">
        <f t="shared" ca="1" si="504"/>
        <v>0</v>
      </c>
      <c r="BX127" s="154">
        <f t="shared" ca="1" si="505"/>
        <v>0</v>
      </c>
      <c r="BY127" s="154">
        <f t="shared" ca="1" si="506"/>
        <v>0</v>
      </c>
      <c r="BZ127" s="154">
        <f t="shared" si="507"/>
        <v>0</v>
      </c>
      <c r="CA127" s="154">
        <f t="shared" si="508"/>
        <v>0</v>
      </c>
      <c r="CB127" s="154">
        <f t="shared" ca="1" si="509"/>
        <v>0</v>
      </c>
      <c r="CC127" s="523"/>
      <c r="CD127" s="355">
        <f t="shared" si="510"/>
        <v>151</v>
      </c>
      <c r="CE127" s="751" t="str">
        <f t="shared" ca="1" si="511"/>
        <v>B</v>
      </c>
      <c r="CF127" s="355" t="str">
        <f t="shared" ca="1" si="534"/>
        <v/>
      </c>
      <c r="CG127" s="268"/>
      <c r="CH127" s="268"/>
      <c r="CI127" s="269">
        <f t="shared" ca="1" si="512"/>
        <v>0</v>
      </c>
      <c r="CJ127" s="269">
        <f t="shared" ca="1" si="513"/>
        <v>0</v>
      </c>
      <c r="CK127" s="268"/>
      <c r="CL127" s="268"/>
      <c r="CM127" s="268">
        <f t="shared" ca="1" si="327"/>
        <v>0</v>
      </c>
      <c r="CN127" s="269">
        <f t="shared" ca="1" si="328"/>
        <v>0</v>
      </c>
      <c r="CO127" s="268" t="str">
        <f t="shared" ca="1" si="514"/>
        <v>B</v>
      </c>
      <c r="CP127" s="269" t="b">
        <f t="shared" ca="1" si="515"/>
        <v>1</v>
      </c>
      <c r="CQ127" s="269">
        <f t="shared" si="516"/>
        <v>0</v>
      </c>
      <c r="CR127" s="269">
        <f t="shared" si="517"/>
        <v>0</v>
      </c>
      <c r="CS127" s="269">
        <f t="shared" ca="1" si="518"/>
        <v>0</v>
      </c>
      <c r="CT127" s="302" t="str">
        <f t="shared" ca="1" si="519"/>
        <v>0</v>
      </c>
      <c r="CU127" s="269">
        <f t="shared" ca="1" si="520"/>
        <v>0</v>
      </c>
      <c r="CV127" s="268"/>
      <c r="CW127" s="269">
        <f t="shared" ca="1" si="521"/>
        <v>0</v>
      </c>
      <c r="CX127" s="301">
        <f t="shared" ca="1" si="522"/>
        <v>0</v>
      </c>
      <c r="CY127" s="301">
        <f t="shared" ca="1" si="329"/>
        <v>0</v>
      </c>
      <c r="CZ127" s="301">
        <f t="shared" ca="1" si="523"/>
        <v>0</v>
      </c>
      <c r="DA127" s="301">
        <f t="shared" ca="1" si="524"/>
        <v>0</v>
      </c>
      <c r="DB127" t="str">
        <f t="shared" ca="1" si="542"/>
        <v/>
      </c>
      <c r="DC127" s="301" t="str">
        <f t="shared" ca="1" si="525"/>
        <v/>
      </c>
      <c r="DD127" s="1337" t="str">
        <f t="shared" ca="1" si="535"/>
        <v/>
      </c>
      <c r="DE127" s="1337" t="str">
        <f t="shared" ca="1" si="536"/>
        <v/>
      </c>
      <c r="DG127" s="269" t="str">
        <f t="shared" ca="1" si="526"/>
        <v>Tabellen_Andere!BA49:BF49</v>
      </c>
      <c r="DH127" s="269" t="str">
        <f t="shared" si="527"/>
        <v>Tabellen_Andere!BA49:BF49</v>
      </c>
      <c r="DI127" s="269" t="str">
        <f ca="1">IF(NOT(ISERR(FIND(A127&amp;" ",Abfragen!$O$264,1))),MID(Abfragen!$O$264,FIND("(",Abfragen!$O$264,FIND(A127,Abfragen!$O$264,1)+LEN(A127))+1,FIND(")",Abfragen!$O$264,FIND(A127,Abfragen!$O$264,1)+LEN(A127))-FIND("(",Abfragen!$O$264,FIND(A127,Abfragen!$O$264,1)+LEN(A127))-1),"")</f>
        <v/>
      </c>
      <c r="DJ127" s="301" t="str">
        <f t="shared" ref="DJ127:DS137" ca="1" si="543">IF(ISERR(FIND(";"&amp;DJ$13&amp;":0;",$F127)),
CHAR(CODE($CE127)+SUM(IF(ISERR(FIND(";"&amp;DJ$13&amp;";",$F127)),0,-1),IF(ISERR(FIND(";"&amp;DJ$13&amp;":",$F127)),0,-VALUE(MID($F127,FIND(";"&amp;DJ$13&amp;":",$F127)+LEN(DJ$13)+2,1))))),0)</f>
        <v>B</v>
      </c>
      <c r="DK127" s="301" t="str">
        <f t="shared" ca="1" si="543"/>
        <v>B</v>
      </c>
      <c r="DL127" s="301" t="str">
        <f t="shared" ca="1" si="543"/>
        <v>B</v>
      </c>
      <c r="DM127" s="301" t="str">
        <f t="shared" ca="1" si="543"/>
        <v>B</v>
      </c>
      <c r="DN127" s="301" t="str">
        <f t="shared" ca="1" si="543"/>
        <v>B</v>
      </c>
      <c r="DO127" s="301" t="str">
        <f t="shared" ca="1" si="543"/>
        <v>B</v>
      </c>
      <c r="DP127" s="301" t="str">
        <f t="shared" ca="1" si="543"/>
        <v>B</v>
      </c>
      <c r="DQ127" s="301" t="str">
        <f t="shared" ca="1" si="543"/>
        <v>B</v>
      </c>
      <c r="DR127" s="301" t="str">
        <f t="shared" ca="1" si="543"/>
        <v>B</v>
      </c>
      <c r="DS127" s="301" t="str">
        <f t="shared" ca="1" si="543"/>
        <v>B</v>
      </c>
      <c r="DT127" s="301" t="str">
        <f t="shared" ref="DT127:EE137" ca="1" si="544">IF(ISERR(FIND(";"&amp;DT$13&amp;":0;",$F127)),
CHAR(CODE($CE127)+SUM(IF(ISERR(FIND(";"&amp;DT$13&amp;";",$F127)),0,-1),IF(ISERR(FIND(";"&amp;DT$13&amp;":",$F127)),0,-VALUE(MID($F127,FIND(";"&amp;DT$13&amp;":",$F127)+LEN(DT$13)+2,1))))),0)</f>
        <v>B</v>
      </c>
      <c r="DU127" s="301" t="str">
        <f t="shared" ca="1" si="544"/>
        <v>B</v>
      </c>
      <c r="DV127" s="301" t="str">
        <f t="shared" ca="1" si="544"/>
        <v>B</v>
      </c>
      <c r="DW127" s="301" t="str">
        <f t="shared" ca="1" si="544"/>
        <v>B</v>
      </c>
      <c r="DX127" s="301" t="str">
        <f t="shared" ca="1" si="544"/>
        <v>B</v>
      </c>
      <c r="DY127" s="301" t="str">
        <f t="shared" ca="1" si="544"/>
        <v>B</v>
      </c>
      <c r="DZ127" s="301" t="str">
        <f t="shared" ca="1" si="544"/>
        <v>B</v>
      </c>
      <c r="EA127" s="301" t="str">
        <f t="shared" ca="1" si="544"/>
        <v>B</v>
      </c>
      <c r="EB127" s="301" t="str">
        <f t="shared" ca="1" si="544"/>
        <v>B</v>
      </c>
      <c r="EC127" s="301" t="str">
        <f t="shared" ca="1" si="544"/>
        <v>B</v>
      </c>
      <c r="ED127" s="301" t="str">
        <f t="shared" ca="1" si="544"/>
        <v>B</v>
      </c>
      <c r="EE127" s="301" t="str">
        <f t="shared" ca="1" si="544"/>
        <v>B</v>
      </c>
      <c r="EF127" s="205"/>
      <c r="EG127" s="301" t="str">
        <f t="shared" ref="EG127:EP136" ca="1" si="545">IF(ISERR(FIND(";"&amp;EG$13&amp;":0;",$F127)),
CHAR(CODE($CE127)+SUM(IF(NT_Unstet,1,0),
IF(ISERR(FIND(";"&amp;EG$13&amp;";",$F127)),0,-1),
IF(ISERR(FIND(";"&amp;EG$13&amp;":",$F127)),0,-VALUE(MID($F127,FIND(";"&amp;EG$13&amp;":",$F127)+LEN(EG$13)+2,1))),
IF(ISERR(FIND(";"&amp;EG$13&amp;"+",$F127)),0,VALUE(MID($F127,FIND(";"&amp;EG$13&amp;"+",$F127)+LEN(EG$13)+2,1))))),0)</f>
        <v>B</v>
      </c>
      <c r="EH127" s="301" t="str">
        <f t="shared" ca="1" si="545"/>
        <v>B</v>
      </c>
      <c r="EI127" s="301" t="str">
        <f t="shared" ca="1" si="545"/>
        <v>B</v>
      </c>
      <c r="EJ127" s="301" t="str">
        <f t="shared" ca="1" si="545"/>
        <v>B</v>
      </c>
      <c r="EK127" s="301" t="str">
        <f t="shared" ca="1" si="545"/>
        <v>B</v>
      </c>
      <c r="EL127" s="301" t="str">
        <f t="shared" ca="1" si="545"/>
        <v>B</v>
      </c>
      <c r="EM127" s="301" t="str">
        <f t="shared" ca="1" si="545"/>
        <v>B</v>
      </c>
      <c r="EN127" s="301" t="str">
        <f t="shared" ca="1" si="545"/>
        <v>B</v>
      </c>
      <c r="EO127" s="301" t="str">
        <f t="shared" ca="1" si="545"/>
        <v>B</v>
      </c>
      <c r="EP127" s="301" t="str">
        <f t="shared" ca="1" si="545"/>
        <v>B</v>
      </c>
      <c r="EQ127" s="301" t="str">
        <f t="shared" ref="EQ127:EZ136" ca="1" si="546">IF(ISERR(FIND(";"&amp;EQ$13&amp;":0;",$F127)),
CHAR(CODE($CE127)+SUM(IF(NT_Unstet,1,0),
IF(ISERR(FIND(";"&amp;EQ$13&amp;";",$F127)),0,-1),
IF(ISERR(FIND(";"&amp;EQ$13&amp;":",$F127)),0,-VALUE(MID($F127,FIND(";"&amp;EQ$13&amp;":",$F127)+LEN(EQ$13)+2,1))),
IF(ISERR(FIND(";"&amp;EQ$13&amp;"+",$F127)),0,VALUE(MID($F127,FIND(";"&amp;EQ$13&amp;"+",$F127)+LEN(EQ$13)+2,1))))),0)</f>
        <v>B</v>
      </c>
      <c r="ER127" s="301" t="str">
        <f t="shared" ca="1" si="546"/>
        <v>B</v>
      </c>
      <c r="ES127" s="301" t="str">
        <f t="shared" ca="1" si="546"/>
        <v>B</v>
      </c>
      <c r="ET127" s="301" t="str">
        <f t="shared" ca="1" si="546"/>
        <v>B</v>
      </c>
      <c r="EU127" s="301" t="str">
        <f t="shared" ca="1" si="546"/>
        <v>B</v>
      </c>
      <c r="EV127" s="301" t="str">
        <f t="shared" ca="1" si="546"/>
        <v>B</v>
      </c>
      <c r="EW127" s="301" t="str">
        <f t="shared" ca="1" si="546"/>
        <v>B</v>
      </c>
      <c r="EX127" s="301" t="str">
        <f t="shared" ca="1" si="546"/>
        <v>B</v>
      </c>
      <c r="EY127" s="301" t="str">
        <f t="shared" ca="1" si="546"/>
        <v>B</v>
      </c>
      <c r="EZ127" s="301" t="str">
        <f t="shared" ca="1" si="546"/>
        <v>B</v>
      </c>
      <c r="FA127" s="301" t="str">
        <f t="shared" ref="FA127:FL136" ca="1" si="547">IF(ISERR(FIND(";"&amp;FA$13&amp;":0;",$F127)),
CHAR(CODE($CE127)+SUM(IF(NT_Unstet,1,0),
IF(ISERR(FIND(";"&amp;FA$13&amp;";",$F127)),0,-1),
IF(ISERR(FIND(";"&amp;FA$13&amp;":",$F127)),0,-VALUE(MID($F127,FIND(";"&amp;FA$13&amp;":",$F127)+LEN(FA$13)+2,1))),
IF(ISERR(FIND(";"&amp;FA$13&amp;"+",$F127)),0,VALUE(MID($F127,FIND(";"&amp;FA$13&amp;"+",$F127)+LEN(FA$13)+2,1))))),0)</f>
        <v>B</v>
      </c>
      <c r="FB127" s="301" t="str">
        <f t="shared" ca="1" si="547"/>
        <v>B</v>
      </c>
      <c r="FC127" s="301" t="str">
        <f t="shared" ca="1" si="547"/>
        <v>B</v>
      </c>
      <c r="FD127" s="301" t="str">
        <f t="shared" ca="1" si="547"/>
        <v>B</v>
      </c>
      <c r="FE127" s="301" t="str">
        <f t="shared" ca="1" si="547"/>
        <v>B</v>
      </c>
      <c r="FF127" s="301" t="str">
        <f t="shared" ca="1" si="547"/>
        <v>B</v>
      </c>
      <c r="FG127" s="301" t="str">
        <f t="shared" ca="1" si="547"/>
        <v>B</v>
      </c>
      <c r="FH127" s="301" t="str">
        <f t="shared" ca="1" si="547"/>
        <v>B</v>
      </c>
      <c r="FI127" s="301" t="str">
        <f t="shared" ca="1" si="547"/>
        <v>B</v>
      </c>
      <c r="FJ127" s="301" t="str">
        <f t="shared" ca="1" si="547"/>
        <v>B</v>
      </c>
      <c r="FK127" s="301" t="str">
        <f t="shared" ca="1" si="547"/>
        <v>B</v>
      </c>
      <c r="FL127" s="301" t="str">
        <f t="shared" ca="1" si="547"/>
        <v>B</v>
      </c>
    </row>
    <row r="128" spans="1:168" x14ac:dyDescent="0.2">
      <c r="A128" s="38" t="str">
        <f t="shared" si="533"/>
        <v>Heilkunde Seele</v>
      </c>
      <c r="B128" s="317" t="str">
        <f t="shared" ca="1" si="448"/>
        <v/>
      </c>
      <c r="C128" s="332" t="str">
        <f t="shared" ca="1" si="449"/>
        <v/>
      </c>
      <c r="D128" s="1110"/>
      <c r="E128" s="966"/>
      <c r="F128" s="325"/>
      <c r="G128" s="958"/>
      <c r="H128" s="1196"/>
      <c r="I128" s="326"/>
      <c r="J128" s="1886" t="str">
        <f t="shared" ca="1" si="450"/>
        <v/>
      </c>
      <c r="K128" s="1887"/>
      <c r="L128" s="1887"/>
      <c r="M128" s="1887"/>
      <c r="N128" s="1888"/>
      <c r="O128" s="613" t="str">
        <f t="shared" ca="1" si="451"/>
        <v/>
      </c>
      <c r="P128" s="90"/>
      <c r="Q128" s="25"/>
      <c r="R128" s="1313"/>
      <c r="S128" s="1313"/>
      <c r="T128" s="1315"/>
      <c r="U128" s="1283"/>
      <c r="V128" s="628" t="str">
        <f t="shared" ca="1" si="452"/>
        <v/>
      </c>
      <c r="W128" s="164">
        <f t="shared" ca="1" si="453"/>
        <v>0</v>
      </c>
      <c r="X128" s="164">
        <f t="shared" ca="1" si="454"/>
        <v>0</v>
      </c>
      <c r="Y128" s="164">
        <f t="shared" ca="1" si="455"/>
        <v>0</v>
      </c>
      <c r="Z128" s="164">
        <f t="shared" ca="1" si="456"/>
        <v>0</v>
      </c>
      <c r="AA128" s="164">
        <f t="shared" ca="1" si="457"/>
        <v>0</v>
      </c>
      <c r="AB128" s="164">
        <f t="shared" ca="1" si="458"/>
        <v>0</v>
      </c>
      <c r="AC128" s="164">
        <f t="shared" ca="1" si="459"/>
        <v>0</v>
      </c>
      <c r="AD128" s="164">
        <f t="shared" ca="1" si="460"/>
        <v>0</v>
      </c>
      <c r="AE128" s="164">
        <f t="shared" ca="1" si="461"/>
        <v>0</v>
      </c>
      <c r="AF128" s="164">
        <f t="shared" ca="1" si="462"/>
        <v>0</v>
      </c>
      <c r="AG128" s="164">
        <f t="shared" ca="1" si="463"/>
        <v>0</v>
      </c>
      <c r="AH128" s="164">
        <f t="shared" ca="1" si="464"/>
        <v>0</v>
      </c>
      <c r="AI128" s="164">
        <f t="shared" ca="1" si="465"/>
        <v>0</v>
      </c>
      <c r="AJ128" s="164">
        <f t="shared" ca="1" si="466"/>
        <v>0</v>
      </c>
      <c r="AK128" s="164">
        <f t="shared" ca="1" si="467"/>
        <v>0</v>
      </c>
      <c r="AL128" s="164">
        <f t="shared" ca="1" si="468"/>
        <v>0</v>
      </c>
      <c r="AM128" s="164">
        <f t="shared" ca="1" si="469"/>
        <v>0</v>
      </c>
      <c r="AN128" s="164">
        <f t="shared" ca="1" si="470"/>
        <v>0</v>
      </c>
      <c r="AO128" s="164">
        <f t="shared" ca="1" si="471"/>
        <v>0</v>
      </c>
      <c r="AP128" s="164">
        <f t="shared" ca="1" si="472"/>
        <v>0</v>
      </c>
      <c r="AQ128" s="164">
        <f t="shared" ca="1" si="473"/>
        <v>0</v>
      </c>
      <c r="AR128" s="164">
        <f t="shared" ca="1" si="474"/>
        <v>0</v>
      </c>
      <c r="AS128" s="195"/>
      <c r="AT128" s="154">
        <f t="shared" ca="1" si="475"/>
        <v>0</v>
      </c>
      <c r="AU128" s="154">
        <f t="shared" ca="1" si="476"/>
        <v>0</v>
      </c>
      <c r="AV128" s="154">
        <f t="shared" ca="1" si="477"/>
        <v>0</v>
      </c>
      <c r="AW128" s="154">
        <f t="shared" ca="1" si="478"/>
        <v>0</v>
      </c>
      <c r="AX128" s="154">
        <f t="shared" ca="1" si="479"/>
        <v>0</v>
      </c>
      <c r="AY128" s="154">
        <f t="shared" ca="1" si="480"/>
        <v>0</v>
      </c>
      <c r="AZ128" s="154">
        <f t="shared" ca="1" si="481"/>
        <v>0</v>
      </c>
      <c r="BA128" s="154">
        <f t="shared" ca="1" si="482"/>
        <v>0</v>
      </c>
      <c r="BB128" s="154">
        <f t="shared" ca="1" si="483"/>
        <v>0</v>
      </c>
      <c r="BC128" s="154">
        <f t="shared" ca="1" si="484"/>
        <v>0</v>
      </c>
      <c r="BD128" s="154">
        <f t="shared" ca="1" si="485"/>
        <v>0</v>
      </c>
      <c r="BE128" s="154">
        <f t="shared" ca="1" si="486"/>
        <v>0</v>
      </c>
      <c r="BF128" s="154">
        <f t="shared" ca="1" si="487"/>
        <v>0</v>
      </c>
      <c r="BG128" s="154">
        <f t="shared" ca="1" si="488"/>
        <v>0</v>
      </c>
      <c r="BH128" s="154">
        <f t="shared" ca="1" si="489"/>
        <v>0</v>
      </c>
      <c r="BI128" s="154">
        <f t="shared" ca="1" si="490"/>
        <v>0</v>
      </c>
      <c r="BJ128" s="154">
        <f t="shared" ca="1" si="491"/>
        <v>0</v>
      </c>
      <c r="BK128" s="154">
        <f t="shared" ca="1" si="492"/>
        <v>0</v>
      </c>
      <c r="BL128" s="154">
        <f t="shared" ca="1" si="493"/>
        <v>0</v>
      </c>
      <c r="BM128" s="154">
        <f t="shared" ca="1" si="494"/>
        <v>0</v>
      </c>
      <c r="BN128" s="154">
        <f t="shared" ca="1" si="495"/>
        <v>0</v>
      </c>
      <c r="BO128" s="154">
        <f t="shared" ca="1" si="496"/>
        <v>0</v>
      </c>
      <c r="BP128" s="154">
        <f t="shared" ca="1" si="497"/>
        <v>0</v>
      </c>
      <c r="BQ128" s="154">
        <f t="shared" ca="1" si="498"/>
        <v>0</v>
      </c>
      <c r="BR128" s="154">
        <f t="shared" ca="1" si="499"/>
        <v>0</v>
      </c>
      <c r="BS128" s="154">
        <f t="shared" ca="1" si="500"/>
        <v>0</v>
      </c>
      <c r="BT128" s="154">
        <f t="shared" ca="1" si="501"/>
        <v>0</v>
      </c>
      <c r="BU128" s="154">
        <f t="shared" ca="1" si="502"/>
        <v>0</v>
      </c>
      <c r="BV128" s="154">
        <f t="shared" ca="1" si="503"/>
        <v>0</v>
      </c>
      <c r="BW128" s="154">
        <f t="shared" ca="1" si="504"/>
        <v>0</v>
      </c>
      <c r="BX128" s="154">
        <f t="shared" ca="1" si="505"/>
        <v>0</v>
      </c>
      <c r="BY128" s="154">
        <f t="shared" ca="1" si="506"/>
        <v>0</v>
      </c>
      <c r="BZ128" s="154">
        <f t="shared" si="507"/>
        <v>0</v>
      </c>
      <c r="CA128" s="154">
        <f t="shared" si="508"/>
        <v>0</v>
      </c>
      <c r="CB128" s="154">
        <f t="shared" ca="1" si="509"/>
        <v>0</v>
      </c>
      <c r="CC128" s="523"/>
      <c r="CD128" s="355">
        <f t="shared" si="510"/>
        <v>152</v>
      </c>
      <c r="CE128" s="751" t="str">
        <f t="shared" ca="1" si="511"/>
        <v>B</v>
      </c>
      <c r="CF128" s="355" t="str">
        <f t="shared" ca="1" si="534"/>
        <v/>
      </c>
      <c r="CG128" s="268"/>
      <c r="CH128" s="268"/>
      <c r="CI128" s="269">
        <f t="shared" ca="1" si="512"/>
        <v>0</v>
      </c>
      <c r="CJ128" s="269">
        <f t="shared" ca="1" si="513"/>
        <v>0</v>
      </c>
      <c r="CK128" s="268"/>
      <c r="CL128" s="268"/>
      <c r="CM128" s="268">
        <f t="shared" ca="1" si="327"/>
        <v>0</v>
      </c>
      <c r="CN128" s="269">
        <f t="shared" ca="1" si="328"/>
        <v>0</v>
      </c>
      <c r="CO128" s="268" t="str">
        <f t="shared" ca="1" si="514"/>
        <v>B</v>
      </c>
      <c r="CP128" s="269" t="b">
        <f t="shared" ca="1" si="515"/>
        <v>1</v>
      </c>
      <c r="CQ128" s="269">
        <f t="shared" si="516"/>
        <v>0</v>
      </c>
      <c r="CR128" s="269">
        <f t="shared" si="517"/>
        <v>0</v>
      </c>
      <c r="CS128" s="269">
        <f t="shared" ca="1" si="518"/>
        <v>0</v>
      </c>
      <c r="CT128" s="302" t="str">
        <f t="shared" ca="1" si="519"/>
        <v>0</v>
      </c>
      <c r="CU128" s="269">
        <f t="shared" ca="1" si="520"/>
        <v>0</v>
      </c>
      <c r="CV128" s="268"/>
      <c r="CW128" s="269">
        <f t="shared" ca="1" si="521"/>
        <v>0</v>
      </c>
      <c r="CX128" s="301">
        <f t="shared" ca="1" si="522"/>
        <v>0</v>
      </c>
      <c r="CY128" s="301">
        <f t="shared" ca="1" si="329"/>
        <v>0</v>
      </c>
      <c r="CZ128" s="301">
        <f t="shared" ca="1" si="523"/>
        <v>0</v>
      </c>
      <c r="DA128" s="301">
        <f t="shared" ca="1" si="524"/>
        <v>0</v>
      </c>
      <c r="DB128" t="str">
        <f t="shared" ca="1" si="542"/>
        <v/>
      </c>
      <c r="DC128" s="301" t="str">
        <f t="shared" ca="1" si="525"/>
        <v/>
      </c>
      <c r="DD128" s="1337" t="str">
        <f t="shared" ca="1" si="535"/>
        <v/>
      </c>
      <c r="DE128" s="1337" t="str">
        <f t="shared" ca="1" si="536"/>
        <v/>
      </c>
      <c r="DG128" s="269" t="str">
        <f t="shared" ca="1" si="526"/>
        <v>Tabellen_Andere!BA50:BF50</v>
      </c>
      <c r="DH128" s="269" t="str">
        <f t="shared" si="527"/>
        <v>Tabellen_Andere!BA50:BF50</v>
      </c>
      <c r="DI128" s="269" t="str">
        <f ca="1">IF(NOT(ISERR(FIND(A128&amp;" ",Abfragen!$O$264,1))),MID(Abfragen!$O$264,FIND("(",Abfragen!$O$264,FIND(A128,Abfragen!$O$264,1)+LEN(A128))+1,FIND(")",Abfragen!$O$264,FIND(A128,Abfragen!$O$264,1)+LEN(A128))-FIND("(",Abfragen!$O$264,FIND(A128,Abfragen!$O$264,1)+LEN(A128))-1),"")</f>
        <v/>
      </c>
      <c r="DJ128" s="301" t="str">
        <f t="shared" ca="1" si="543"/>
        <v>B</v>
      </c>
      <c r="DK128" s="301" t="str">
        <f t="shared" ca="1" si="543"/>
        <v>B</v>
      </c>
      <c r="DL128" s="301" t="str">
        <f t="shared" ca="1" si="543"/>
        <v>B</v>
      </c>
      <c r="DM128" s="301" t="str">
        <f t="shared" ca="1" si="543"/>
        <v>B</v>
      </c>
      <c r="DN128" s="301" t="str">
        <f t="shared" ca="1" si="543"/>
        <v>B</v>
      </c>
      <c r="DO128" s="301" t="str">
        <f t="shared" ca="1" si="543"/>
        <v>B</v>
      </c>
      <c r="DP128" s="301" t="str">
        <f t="shared" ca="1" si="543"/>
        <v>B</v>
      </c>
      <c r="DQ128" s="301" t="str">
        <f t="shared" ca="1" si="543"/>
        <v>B</v>
      </c>
      <c r="DR128" s="301" t="str">
        <f t="shared" ca="1" si="543"/>
        <v>B</v>
      </c>
      <c r="DS128" s="301" t="str">
        <f t="shared" ca="1" si="543"/>
        <v>B</v>
      </c>
      <c r="DT128" s="301" t="str">
        <f t="shared" ca="1" si="544"/>
        <v>B</v>
      </c>
      <c r="DU128" s="301" t="str">
        <f t="shared" ca="1" si="544"/>
        <v>B</v>
      </c>
      <c r="DV128" s="301" t="str">
        <f t="shared" ca="1" si="544"/>
        <v>B</v>
      </c>
      <c r="DW128" s="301" t="str">
        <f t="shared" ca="1" si="544"/>
        <v>B</v>
      </c>
      <c r="DX128" s="301" t="str">
        <f t="shared" ca="1" si="544"/>
        <v>B</v>
      </c>
      <c r="DY128" s="301" t="str">
        <f t="shared" ca="1" si="544"/>
        <v>B</v>
      </c>
      <c r="DZ128" s="301" t="str">
        <f t="shared" ca="1" si="544"/>
        <v>B</v>
      </c>
      <c r="EA128" s="301" t="str">
        <f t="shared" ca="1" si="544"/>
        <v>B</v>
      </c>
      <c r="EB128" s="301" t="str">
        <f t="shared" ca="1" si="544"/>
        <v>B</v>
      </c>
      <c r="EC128" s="301" t="str">
        <f t="shared" ca="1" si="544"/>
        <v>B</v>
      </c>
      <c r="ED128" s="301" t="str">
        <f t="shared" ca="1" si="544"/>
        <v>B</v>
      </c>
      <c r="EE128" s="301" t="str">
        <f t="shared" ca="1" si="544"/>
        <v>B</v>
      </c>
      <c r="EF128" s="205"/>
      <c r="EG128" s="301" t="str">
        <f t="shared" ca="1" si="545"/>
        <v>B</v>
      </c>
      <c r="EH128" s="301" t="str">
        <f t="shared" ca="1" si="545"/>
        <v>B</v>
      </c>
      <c r="EI128" s="301" t="str">
        <f t="shared" ca="1" si="545"/>
        <v>B</v>
      </c>
      <c r="EJ128" s="301" t="str">
        <f t="shared" ca="1" si="545"/>
        <v>B</v>
      </c>
      <c r="EK128" s="301" t="str">
        <f t="shared" ca="1" si="545"/>
        <v>B</v>
      </c>
      <c r="EL128" s="301" t="str">
        <f t="shared" ca="1" si="545"/>
        <v>B</v>
      </c>
      <c r="EM128" s="301" t="str">
        <f t="shared" ca="1" si="545"/>
        <v>B</v>
      </c>
      <c r="EN128" s="301" t="str">
        <f t="shared" ca="1" si="545"/>
        <v>B</v>
      </c>
      <c r="EO128" s="301" t="str">
        <f t="shared" ca="1" si="545"/>
        <v>B</v>
      </c>
      <c r="EP128" s="301" t="str">
        <f t="shared" ca="1" si="545"/>
        <v>B</v>
      </c>
      <c r="EQ128" s="301" t="str">
        <f t="shared" ca="1" si="546"/>
        <v>B</v>
      </c>
      <c r="ER128" s="301" t="str">
        <f t="shared" ca="1" si="546"/>
        <v>B</v>
      </c>
      <c r="ES128" s="301" t="str">
        <f t="shared" ca="1" si="546"/>
        <v>B</v>
      </c>
      <c r="ET128" s="301" t="str">
        <f t="shared" ca="1" si="546"/>
        <v>B</v>
      </c>
      <c r="EU128" s="301" t="str">
        <f t="shared" ca="1" si="546"/>
        <v>B</v>
      </c>
      <c r="EV128" s="301" t="str">
        <f t="shared" ca="1" si="546"/>
        <v>B</v>
      </c>
      <c r="EW128" s="301" t="str">
        <f t="shared" ca="1" si="546"/>
        <v>B</v>
      </c>
      <c r="EX128" s="301" t="str">
        <f t="shared" ca="1" si="546"/>
        <v>B</v>
      </c>
      <c r="EY128" s="301" t="str">
        <f t="shared" ca="1" si="546"/>
        <v>B</v>
      </c>
      <c r="EZ128" s="301" t="str">
        <f t="shared" ca="1" si="546"/>
        <v>B</v>
      </c>
      <c r="FA128" s="301" t="str">
        <f t="shared" ca="1" si="547"/>
        <v>B</v>
      </c>
      <c r="FB128" s="301" t="str">
        <f t="shared" ca="1" si="547"/>
        <v>B</v>
      </c>
      <c r="FC128" s="301" t="str">
        <f t="shared" ca="1" si="547"/>
        <v>B</v>
      </c>
      <c r="FD128" s="301" t="str">
        <f t="shared" ca="1" si="547"/>
        <v>B</v>
      </c>
      <c r="FE128" s="301" t="str">
        <f t="shared" ca="1" si="547"/>
        <v>B</v>
      </c>
      <c r="FF128" s="301" t="str">
        <f t="shared" ca="1" si="547"/>
        <v>B</v>
      </c>
      <c r="FG128" s="301" t="str">
        <f t="shared" ca="1" si="547"/>
        <v>B</v>
      </c>
      <c r="FH128" s="301" t="str">
        <f t="shared" ca="1" si="547"/>
        <v>B</v>
      </c>
      <c r="FI128" s="301" t="str">
        <f t="shared" ca="1" si="547"/>
        <v>B</v>
      </c>
      <c r="FJ128" s="301" t="str">
        <f t="shared" ca="1" si="547"/>
        <v>B</v>
      </c>
      <c r="FK128" s="301" t="str">
        <f t="shared" ca="1" si="547"/>
        <v>B</v>
      </c>
      <c r="FL128" s="301" t="str">
        <f t="shared" ca="1" si="547"/>
        <v>B</v>
      </c>
    </row>
    <row r="129" spans="1:168" x14ac:dyDescent="0.2">
      <c r="A129" s="38" t="str">
        <f t="shared" si="533"/>
        <v>Heilkunde Wunden</v>
      </c>
      <c r="B129" s="317">
        <f t="shared" ca="1" si="448"/>
        <v>0</v>
      </c>
      <c r="C129" s="332" t="s">
        <v>1321</v>
      </c>
      <c r="D129" s="1110"/>
      <c r="E129" s="966"/>
      <c r="F129" s="325"/>
      <c r="G129" s="963"/>
      <c r="H129" s="1196"/>
      <c r="I129" s="326"/>
      <c r="J129" s="1886" t="str">
        <f t="shared" ca="1" si="450"/>
        <v/>
      </c>
      <c r="K129" s="1887"/>
      <c r="L129" s="1887"/>
      <c r="M129" s="1887"/>
      <c r="N129" s="1888"/>
      <c r="O129" s="613">
        <f t="shared" ca="1" si="451"/>
        <v>0</v>
      </c>
      <c r="P129" s="90"/>
      <c r="Q129" s="25"/>
      <c r="R129" s="1313"/>
      <c r="S129" s="1313"/>
      <c r="T129" s="1315"/>
      <c r="U129" s="1283"/>
      <c r="V129" s="628" t="str">
        <f t="shared" ca="1" si="452"/>
        <v/>
      </c>
      <c r="W129" s="164">
        <f t="shared" ca="1" si="453"/>
        <v>0</v>
      </c>
      <c r="X129" s="164">
        <f t="shared" ca="1" si="454"/>
        <v>0</v>
      </c>
      <c r="Y129" s="164">
        <f t="shared" ca="1" si="455"/>
        <v>0</v>
      </c>
      <c r="Z129" s="164">
        <f t="shared" ca="1" si="456"/>
        <v>0</v>
      </c>
      <c r="AA129" s="164">
        <f t="shared" ca="1" si="457"/>
        <v>0</v>
      </c>
      <c r="AB129" s="164">
        <f t="shared" ca="1" si="458"/>
        <v>0</v>
      </c>
      <c r="AC129" s="164">
        <f t="shared" ca="1" si="459"/>
        <v>0</v>
      </c>
      <c r="AD129" s="164">
        <f t="shared" ca="1" si="460"/>
        <v>0</v>
      </c>
      <c r="AE129" s="164">
        <f t="shared" ca="1" si="461"/>
        <v>0</v>
      </c>
      <c r="AF129" s="164">
        <f t="shared" ca="1" si="462"/>
        <v>0</v>
      </c>
      <c r="AG129" s="164">
        <f t="shared" ca="1" si="463"/>
        <v>0</v>
      </c>
      <c r="AH129" s="164">
        <f t="shared" ca="1" si="464"/>
        <v>0</v>
      </c>
      <c r="AI129" s="164">
        <f t="shared" ca="1" si="465"/>
        <v>0</v>
      </c>
      <c r="AJ129" s="164">
        <f t="shared" ca="1" si="466"/>
        <v>0</v>
      </c>
      <c r="AK129" s="164">
        <f t="shared" ca="1" si="467"/>
        <v>0</v>
      </c>
      <c r="AL129" s="164">
        <f t="shared" ca="1" si="468"/>
        <v>0</v>
      </c>
      <c r="AM129" s="164">
        <f t="shared" ca="1" si="469"/>
        <v>0</v>
      </c>
      <c r="AN129" s="164">
        <f t="shared" ca="1" si="470"/>
        <v>0</v>
      </c>
      <c r="AO129" s="164">
        <f t="shared" ca="1" si="471"/>
        <v>0</v>
      </c>
      <c r="AP129" s="164">
        <f t="shared" ca="1" si="472"/>
        <v>0</v>
      </c>
      <c r="AQ129" s="164">
        <f t="shared" ca="1" si="473"/>
        <v>0</v>
      </c>
      <c r="AR129" s="164">
        <f t="shared" ca="1" si="474"/>
        <v>0</v>
      </c>
      <c r="AS129" s="195"/>
      <c r="AT129" s="154">
        <f t="shared" ca="1" si="475"/>
        <v>0</v>
      </c>
      <c r="AU129" s="154">
        <f t="shared" ca="1" si="476"/>
        <v>0</v>
      </c>
      <c r="AV129" s="154">
        <f t="shared" ca="1" si="477"/>
        <v>0</v>
      </c>
      <c r="AW129" s="154">
        <f t="shared" ca="1" si="478"/>
        <v>0</v>
      </c>
      <c r="AX129" s="154">
        <f t="shared" ca="1" si="479"/>
        <v>0</v>
      </c>
      <c r="AY129" s="154">
        <f t="shared" ca="1" si="480"/>
        <v>0</v>
      </c>
      <c r="AZ129" s="154">
        <f t="shared" ca="1" si="481"/>
        <v>0</v>
      </c>
      <c r="BA129" s="154">
        <f t="shared" ca="1" si="482"/>
        <v>0</v>
      </c>
      <c r="BB129" s="154">
        <f t="shared" ca="1" si="483"/>
        <v>0</v>
      </c>
      <c r="BC129" s="154">
        <f t="shared" ca="1" si="484"/>
        <v>0</v>
      </c>
      <c r="BD129" s="154">
        <f t="shared" ca="1" si="485"/>
        <v>0</v>
      </c>
      <c r="BE129" s="154">
        <f t="shared" ca="1" si="486"/>
        <v>0</v>
      </c>
      <c r="BF129" s="154">
        <f t="shared" ca="1" si="487"/>
        <v>0</v>
      </c>
      <c r="BG129" s="154">
        <f t="shared" ca="1" si="488"/>
        <v>0</v>
      </c>
      <c r="BH129" s="154">
        <f t="shared" ca="1" si="489"/>
        <v>0</v>
      </c>
      <c r="BI129" s="154">
        <f t="shared" ca="1" si="490"/>
        <v>0</v>
      </c>
      <c r="BJ129" s="154">
        <f t="shared" ca="1" si="491"/>
        <v>0</v>
      </c>
      <c r="BK129" s="154">
        <f t="shared" ca="1" si="492"/>
        <v>0</v>
      </c>
      <c r="BL129" s="154">
        <f t="shared" ca="1" si="493"/>
        <v>0</v>
      </c>
      <c r="BM129" s="154">
        <f t="shared" ca="1" si="494"/>
        <v>0</v>
      </c>
      <c r="BN129" s="154">
        <f t="shared" ca="1" si="495"/>
        <v>0</v>
      </c>
      <c r="BO129" s="154">
        <f t="shared" ca="1" si="496"/>
        <v>0</v>
      </c>
      <c r="BP129" s="154">
        <f t="shared" ca="1" si="497"/>
        <v>0</v>
      </c>
      <c r="BQ129" s="154">
        <f t="shared" ca="1" si="498"/>
        <v>0</v>
      </c>
      <c r="BR129" s="154">
        <f t="shared" ca="1" si="499"/>
        <v>0</v>
      </c>
      <c r="BS129" s="154">
        <f t="shared" ca="1" si="500"/>
        <v>0</v>
      </c>
      <c r="BT129" s="154">
        <f t="shared" ca="1" si="501"/>
        <v>0</v>
      </c>
      <c r="BU129" s="154">
        <f t="shared" ca="1" si="502"/>
        <v>0</v>
      </c>
      <c r="BV129" s="154">
        <f t="shared" ca="1" si="503"/>
        <v>0</v>
      </c>
      <c r="BW129" s="154">
        <f t="shared" ca="1" si="504"/>
        <v>0</v>
      </c>
      <c r="BX129" s="154">
        <f t="shared" ca="1" si="505"/>
        <v>0</v>
      </c>
      <c r="BY129" s="154">
        <f t="shared" ca="1" si="506"/>
        <v>0</v>
      </c>
      <c r="BZ129" s="154">
        <f t="shared" si="507"/>
        <v>0</v>
      </c>
      <c r="CA129" s="154">
        <f t="shared" si="508"/>
        <v>0</v>
      </c>
      <c r="CB129" s="154">
        <f t="shared" ca="1" si="509"/>
        <v>0</v>
      </c>
      <c r="CC129" s="523"/>
      <c r="CD129" s="355">
        <f t="shared" si="510"/>
        <v>153</v>
      </c>
      <c r="CE129" s="751" t="str">
        <f t="shared" ca="1" si="511"/>
        <v>B</v>
      </c>
      <c r="CF129" s="355"/>
      <c r="CG129" s="268"/>
      <c r="CH129" s="268"/>
      <c r="CI129" s="269">
        <f t="shared" ca="1" si="512"/>
        <v>0</v>
      </c>
      <c r="CJ129" s="269">
        <f t="shared" ca="1" si="513"/>
        <v>0</v>
      </c>
      <c r="CK129" s="268"/>
      <c r="CL129" s="268"/>
      <c r="CM129" s="268">
        <f t="shared" ca="1" si="327"/>
        <v>0</v>
      </c>
      <c r="CN129" s="269">
        <f t="shared" ca="1" si="328"/>
        <v>0</v>
      </c>
      <c r="CO129" s="268" t="str">
        <f t="shared" ca="1" si="514"/>
        <v>B</v>
      </c>
      <c r="CP129" s="269" t="b">
        <f t="shared" ca="1" si="515"/>
        <v>1</v>
      </c>
      <c r="CQ129" s="269">
        <f t="shared" si="516"/>
        <v>0</v>
      </c>
      <c r="CR129" s="269">
        <f t="shared" si="517"/>
        <v>0</v>
      </c>
      <c r="CS129" s="269">
        <f t="shared" ca="1" si="518"/>
        <v>0</v>
      </c>
      <c r="CT129" s="302" t="str">
        <f t="shared" ca="1" si="519"/>
        <v>0</v>
      </c>
      <c r="CU129" s="269">
        <f t="shared" ca="1" si="520"/>
        <v>0</v>
      </c>
      <c r="CV129" s="268"/>
      <c r="CW129" s="269">
        <f t="shared" ca="1" si="521"/>
        <v>0</v>
      </c>
      <c r="CX129" s="301">
        <f t="shared" ca="1" si="522"/>
        <v>0</v>
      </c>
      <c r="CY129" s="301">
        <f t="shared" ca="1" si="329"/>
        <v>0</v>
      </c>
      <c r="CZ129" s="301">
        <f t="shared" ca="1" si="523"/>
        <v>0</v>
      </c>
      <c r="DA129" s="301">
        <f t="shared" ca="1" si="524"/>
        <v>0</v>
      </c>
      <c r="DB129" t="str">
        <f t="shared" ca="1" si="542"/>
        <v/>
      </c>
      <c r="DC129" s="301" t="str">
        <f t="shared" ca="1" si="525"/>
        <v/>
      </c>
      <c r="DD129" s="1337" t="str">
        <f t="shared" ca="1" si="535"/>
        <v/>
      </c>
      <c r="DE129" s="1337" t="str">
        <f t="shared" ca="1" si="536"/>
        <v/>
      </c>
      <c r="DG129" s="269" t="str">
        <f t="shared" ca="1" si="526"/>
        <v>Tabellen_Andere!BA51:BF51</v>
      </c>
      <c r="DH129" s="269" t="str">
        <f t="shared" si="527"/>
        <v>Tabellen_Andere!BA51:BF51</v>
      </c>
      <c r="DI129" s="269" t="str">
        <f ca="1">IF(NOT(ISERR(FIND(A129&amp;" ",Abfragen!$O$264,1))),MID(Abfragen!$O$264,FIND("(",Abfragen!$O$264,FIND(A129,Abfragen!$O$264,1)+LEN(A129))+1,FIND(")",Abfragen!$O$264,FIND(A129,Abfragen!$O$264,1)+LEN(A129))-FIND("(",Abfragen!$O$264,FIND(A129,Abfragen!$O$264,1)+LEN(A129))-1),"")</f>
        <v/>
      </c>
      <c r="DJ129" s="301" t="str">
        <f t="shared" ca="1" si="543"/>
        <v>B</v>
      </c>
      <c r="DK129" s="301" t="str">
        <f t="shared" ca="1" si="543"/>
        <v>B</v>
      </c>
      <c r="DL129" s="301" t="str">
        <f t="shared" ca="1" si="543"/>
        <v>B</v>
      </c>
      <c r="DM129" s="301" t="str">
        <f t="shared" ca="1" si="543"/>
        <v>B</v>
      </c>
      <c r="DN129" s="301" t="str">
        <f t="shared" ca="1" si="543"/>
        <v>B</v>
      </c>
      <c r="DO129" s="301" t="str">
        <f t="shared" ca="1" si="543"/>
        <v>B</v>
      </c>
      <c r="DP129" s="301" t="str">
        <f t="shared" ca="1" si="543"/>
        <v>B</v>
      </c>
      <c r="DQ129" s="301" t="str">
        <f t="shared" ca="1" si="543"/>
        <v>B</v>
      </c>
      <c r="DR129" s="301" t="str">
        <f t="shared" ca="1" si="543"/>
        <v>B</v>
      </c>
      <c r="DS129" s="301" t="str">
        <f t="shared" ca="1" si="543"/>
        <v>B</v>
      </c>
      <c r="DT129" s="301" t="str">
        <f t="shared" ca="1" si="544"/>
        <v>B</v>
      </c>
      <c r="DU129" s="301" t="str">
        <f t="shared" ca="1" si="544"/>
        <v>B</v>
      </c>
      <c r="DV129" s="301" t="str">
        <f t="shared" ca="1" si="544"/>
        <v>B</v>
      </c>
      <c r="DW129" s="301" t="str">
        <f t="shared" ca="1" si="544"/>
        <v>B</v>
      </c>
      <c r="DX129" s="301" t="str">
        <f t="shared" ca="1" si="544"/>
        <v>B</v>
      </c>
      <c r="DY129" s="301" t="str">
        <f t="shared" ca="1" si="544"/>
        <v>B</v>
      </c>
      <c r="DZ129" s="301" t="str">
        <f t="shared" ca="1" si="544"/>
        <v>B</v>
      </c>
      <c r="EA129" s="301" t="str">
        <f t="shared" ca="1" si="544"/>
        <v>B</v>
      </c>
      <c r="EB129" s="301" t="str">
        <f t="shared" ca="1" si="544"/>
        <v>B</v>
      </c>
      <c r="EC129" s="301" t="str">
        <f t="shared" ca="1" si="544"/>
        <v>B</v>
      </c>
      <c r="ED129" s="301" t="str">
        <f t="shared" ca="1" si="544"/>
        <v>B</v>
      </c>
      <c r="EE129" s="301" t="str">
        <f t="shared" ca="1" si="544"/>
        <v>B</v>
      </c>
      <c r="EF129" s="205"/>
      <c r="EG129" s="301" t="str">
        <f t="shared" ca="1" si="545"/>
        <v>B</v>
      </c>
      <c r="EH129" s="301" t="str">
        <f t="shared" ca="1" si="545"/>
        <v>B</v>
      </c>
      <c r="EI129" s="301" t="str">
        <f t="shared" ca="1" si="545"/>
        <v>B</v>
      </c>
      <c r="EJ129" s="301" t="str">
        <f t="shared" ca="1" si="545"/>
        <v>B</v>
      </c>
      <c r="EK129" s="301" t="str">
        <f t="shared" ca="1" si="545"/>
        <v>B</v>
      </c>
      <c r="EL129" s="301" t="str">
        <f t="shared" ca="1" si="545"/>
        <v>B</v>
      </c>
      <c r="EM129" s="301" t="str">
        <f t="shared" ca="1" si="545"/>
        <v>B</v>
      </c>
      <c r="EN129" s="301" t="str">
        <f t="shared" ca="1" si="545"/>
        <v>B</v>
      </c>
      <c r="EO129" s="301" t="str">
        <f t="shared" ca="1" si="545"/>
        <v>B</v>
      </c>
      <c r="EP129" s="301" t="str">
        <f t="shared" ca="1" si="545"/>
        <v>B</v>
      </c>
      <c r="EQ129" s="301" t="str">
        <f t="shared" ca="1" si="546"/>
        <v>B</v>
      </c>
      <c r="ER129" s="301" t="str">
        <f t="shared" ca="1" si="546"/>
        <v>B</v>
      </c>
      <c r="ES129" s="301" t="str">
        <f t="shared" ca="1" si="546"/>
        <v>B</v>
      </c>
      <c r="ET129" s="301" t="str">
        <f t="shared" ca="1" si="546"/>
        <v>B</v>
      </c>
      <c r="EU129" s="301" t="str">
        <f t="shared" ca="1" si="546"/>
        <v>B</v>
      </c>
      <c r="EV129" s="301" t="str">
        <f t="shared" ca="1" si="546"/>
        <v>B</v>
      </c>
      <c r="EW129" s="301" t="str">
        <f t="shared" ca="1" si="546"/>
        <v>B</v>
      </c>
      <c r="EX129" s="301" t="str">
        <f t="shared" ca="1" si="546"/>
        <v>B</v>
      </c>
      <c r="EY129" s="301" t="str">
        <f t="shared" ca="1" si="546"/>
        <v>B</v>
      </c>
      <c r="EZ129" s="301" t="str">
        <f t="shared" ca="1" si="546"/>
        <v>B</v>
      </c>
      <c r="FA129" s="301" t="str">
        <f t="shared" ca="1" si="547"/>
        <v>B</v>
      </c>
      <c r="FB129" s="301" t="str">
        <f t="shared" ca="1" si="547"/>
        <v>B</v>
      </c>
      <c r="FC129" s="301" t="str">
        <f t="shared" ca="1" si="547"/>
        <v>B</v>
      </c>
      <c r="FD129" s="301" t="str">
        <f t="shared" ca="1" si="547"/>
        <v>B</v>
      </c>
      <c r="FE129" s="301" t="str">
        <f t="shared" ca="1" si="547"/>
        <v>B</v>
      </c>
      <c r="FF129" s="301" t="str">
        <f t="shared" ca="1" si="547"/>
        <v>B</v>
      </c>
      <c r="FG129" s="301" t="str">
        <f t="shared" ca="1" si="547"/>
        <v>B</v>
      </c>
      <c r="FH129" s="301" t="str">
        <f t="shared" ca="1" si="547"/>
        <v>B</v>
      </c>
      <c r="FI129" s="301" t="str">
        <f t="shared" ca="1" si="547"/>
        <v>B</v>
      </c>
      <c r="FJ129" s="301" t="str">
        <f t="shared" ca="1" si="547"/>
        <v>B</v>
      </c>
      <c r="FK129" s="301" t="str">
        <f t="shared" ca="1" si="547"/>
        <v>B</v>
      </c>
      <c r="FL129" s="301" t="str">
        <f t="shared" ca="1" si="547"/>
        <v>B</v>
      </c>
    </row>
    <row r="130" spans="1:168" x14ac:dyDescent="0.2">
      <c r="A130" s="38" t="str">
        <f t="shared" si="533"/>
        <v>Holzbearbeitung</v>
      </c>
      <c r="B130" s="317">
        <f t="shared" ca="1" si="448"/>
        <v>0</v>
      </c>
      <c r="C130" s="332" t="s">
        <v>1321</v>
      </c>
      <c r="D130" s="1110"/>
      <c r="E130" s="966"/>
      <c r="F130" s="325"/>
      <c r="G130" s="963"/>
      <c r="H130" s="1196"/>
      <c r="I130" s="326"/>
      <c r="J130" s="1886" t="str">
        <f t="shared" ca="1" si="450"/>
        <v/>
      </c>
      <c r="K130" s="1887"/>
      <c r="L130" s="1887"/>
      <c r="M130" s="1887"/>
      <c r="N130" s="1888"/>
      <c r="O130" s="613">
        <f t="shared" ca="1" si="451"/>
        <v>0</v>
      </c>
      <c r="P130" s="90"/>
      <c r="Q130" s="25"/>
      <c r="R130" s="1313"/>
      <c r="S130" s="1313"/>
      <c r="T130" s="1315"/>
      <c r="U130" s="1283"/>
      <c r="V130" s="628" t="str">
        <f t="shared" ca="1" si="452"/>
        <v/>
      </c>
      <c r="W130" s="164">
        <f t="shared" ca="1" si="453"/>
        <v>0</v>
      </c>
      <c r="X130" s="164">
        <f t="shared" ca="1" si="454"/>
        <v>0</v>
      </c>
      <c r="Y130" s="164">
        <f t="shared" ca="1" si="455"/>
        <v>0</v>
      </c>
      <c r="Z130" s="164">
        <f t="shared" ca="1" si="456"/>
        <v>0</v>
      </c>
      <c r="AA130" s="164">
        <f t="shared" ca="1" si="457"/>
        <v>0</v>
      </c>
      <c r="AB130" s="164">
        <f t="shared" ca="1" si="458"/>
        <v>0</v>
      </c>
      <c r="AC130" s="164">
        <f t="shared" ca="1" si="459"/>
        <v>0</v>
      </c>
      <c r="AD130" s="164">
        <f t="shared" ca="1" si="460"/>
        <v>0</v>
      </c>
      <c r="AE130" s="164">
        <f t="shared" ca="1" si="461"/>
        <v>0</v>
      </c>
      <c r="AF130" s="164">
        <f t="shared" ca="1" si="462"/>
        <v>0</v>
      </c>
      <c r="AG130" s="164">
        <f t="shared" ca="1" si="463"/>
        <v>0</v>
      </c>
      <c r="AH130" s="164">
        <f t="shared" ca="1" si="464"/>
        <v>0</v>
      </c>
      <c r="AI130" s="164">
        <f t="shared" ca="1" si="465"/>
        <v>0</v>
      </c>
      <c r="AJ130" s="164">
        <f t="shared" ca="1" si="466"/>
        <v>0</v>
      </c>
      <c r="AK130" s="164">
        <f t="shared" ca="1" si="467"/>
        <v>0</v>
      </c>
      <c r="AL130" s="164">
        <f t="shared" ca="1" si="468"/>
        <v>0</v>
      </c>
      <c r="AM130" s="164">
        <f t="shared" ca="1" si="469"/>
        <v>0</v>
      </c>
      <c r="AN130" s="164">
        <f t="shared" ca="1" si="470"/>
        <v>0</v>
      </c>
      <c r="AO130" s="164">
        <f t="shared" ca="1" si="471"/>
        <v>0</v>
      </c>
      <c r="AP130" s="164">
        <f t="shared" ca="1" si="472"/>
        <v>0</v>
      </c>
      <c r="AQ130" s="164">
        <f t="shared" ca="1" si="473"/>
        <v>0</v>
      </c>
      <c r="AR130" s="164">
        <f t="shared" ca="1" si="474"/>
        <v>0</v>
      </c>
      <c r="AS130" s="195"/>
      <c r="AT130" s="154">
        <f t="shared" ca="1" si="475"/>
        <v>0</v>
      </c>
      <c r="AU130" s="154">
        <f t="shared" ca="1" si="476"/>
        <v>0</v>
      </c>
      <c r="AV130" s="154">
        <f t="shared" ca="1" si="477"/>
        <v>0</v>
      </c>
      <c r="AW130" s="154">
        <f t="shared" ca="1" si="478"/>
        <v>0</v>
      </c>
      <c r="AX130" s="154">
        <f t="shared" ca="1" si="479"/>
        <v>0</v>
      </c>
      <c r="AY130" s="154">
        <f t="shared" ca="1" si="480"/>
        <v>0</v>
      </c>
      <c r="AZ130" s="154">
        <f t="shared" ca="1" si="481"/>
        <v>0</v>
      </c>
      <c r="BA130" s="154">
        <f t="shared" ca="1" si="482"/>
        <v>0</v>
      </c>
      <c r="BB130" s="154">
        <f t="shared" ca="1" si="483"/>
        <v>0</v>
      </c>
      <c r="BC130" s="154">
        <f t="shared" ca="1" si="484"/>
        <v>0</v>
      </c>
      <c r="BD130" s="154">
        <f t="shared" ca="1" si="485"/>
        <v>0</v>
      </c>
      <c r="BE130" s="154">
        <f t="shared" ca="1" si="486"/>
        <v>0</v>
      </c>
      <c r="BF130" s="154">
        <f t="shared" ca="1" si="487"/>
        <v>0</v>
      </c>
      <c r="BG130" s="154">
        <f t="shared" ca="1" si="488"/>
        <v>0</v>
      </c>
      <c r="BH130" s="154">
        <f t="shared" ca="1" si="489"/>
        <v>0</v>
      </c>
      <c r="BI130" s="154">
        <f t="shared" ca="1" si="490"/>
        <v>0</v>
      </c>
      <c r="BJ130" s="154">
        <f t="shared" ca="1" si="491"/>
        <v>0</v>
      </c>
      <c r="BK130" s="154">
        <f t="shared" ca="1" si="492"/>
        <v>0</v>
      </c>
      <c r="BL130" s="154">
        <f t="shared" ca="1" si="493"/>
        <v>0</v>
      </c>
      <c r="BM130" s="154">
        <f t="shared" ca="1" si="494"/>
        <v>0</v>
      </c>
      <c r="BN130" s="154">
        <f t="shared" ca="1" si="495"/>
        <v>0</v>
      </c>
      <c r="BO130" s="154">
        <f t="shared" ca="1" si="496"/>
        <v>0</v>
      </c>
      <c r="BP130" s="154">
        <f t="shared" ca="1" si="497"/>
        <v>0</v>
      </c>
      <c r="BQ130" s="154">
        <f t="shared" ca="1" si="498"/>
        <v>0</v>
      </c>
      <c r="BR130" s="154">
        <f t="shared" ca="1" si="499"/>
        <v>0</v>
      </c>
      <c r="BS130" s="154">
        <f t="shared" ca="1" si="500"/>
        <v>0</v>
      </c>
      <c r="BT130" s="154">
        <f t="shared" ca="1" si="501"/>
        <v>0</v>
      </c>
      <c r="BU130" s="154">
        <f t="shared" ca="1" si="502"/>
        <v>0</v>
      </c>
      <c r="BV130" s="154">
        <f t="shared" ca="1" si="503"/>
        <v>0</v>
      </c>
      <c r="BW130" s="154">
        <f t="shared" ca="1" si="504"/>
        <v>0</v>
      </c>
      <c r="BX130" s="154">
        <f t="shared" ca="1" si="505"/>
        <v>0</v>
      </c>
      <c r="BY130" s="154">
        <f t="shared" ca="1" si="506"/>
        <v>0</v>
      </c>
      <c r="BZ130" s="154">
        <f t="shared" si="507"/>
        <v>0</v>
      </c>
      <c r="CA130" s="154">
        <f t="shared" si="508"/>
        <v>0</v>
      </c>
      <c r="CB130" s="154">
        <f t="shared" ca="1" si="509"/>
        <v>0</v>
      </c>
      <c r="CC130" s="523"/>
      <c r="CD130" s="355">
        <f t="shared" si="510"/>
        <v>154</v>
      </c>
      <c r="CE130" s="751" t="str">
        <f t="shared" ca="1" si="511"/>
        <v>B</v>
      </c>
      <c r="CF130" s="355"/>
      <c r="CG130" s="268"/>
      <c r="CH130" s="268"/>
      <c r="CI130" s="269">
        <f t="shared" ca="1" si="512"/>
        <v>0</v>
      </c>
      <c r="CJ130" s="269">
        <f t="shared" ca="1" si="513"/>
        <v>0</v>
      </c>
      <c r="CK130" s="268"/>
      <c r="CL130" s="268"/>
      <c r="CM130" s="268">
        <f t="shared" ca="1" si="327"/>
        <v>0</v>
      </c>
      <c r="CN130" s="269">
        <f t="shared" ca="1" si="328"/>
        <v>0</v>
      </c>
      <c r="CO130" s="268" t="str">
        <f t="shared" ca="1" si="514"/>
        <v>B</v>
      </c>
      <c r="CP130" s="269" t="b">
        <f t="shared" ca="1" si="515"/>
        <v>1</v>
      </c>
      <c r="CQ130" s="269">
        <f t="shared" si="516"/>
        <v>0</v>
      </c>
      <c r="CR130" s="269">
        <f t="shared" si="517"/>
        <v>0</v>
      </c>
      <c r="CS130" s="269">
        <f t="shared" ca="1" si="518"/>
        <v>0</v>
      </c>
      <c r="CT130" s="302" t="str">
        <f t="shared" ca="1" si="519"/>
        <v>0</v>
      </c>
      <c r="CU130" s="269">
        <f t="shared" ca="1" si="520"/>
        <v>0</v>
      </c>
      <c r="CV130" s="268"/>
      <c r="CW130" s="269">
        <f t="shared" ca="1" si="521"/>
        <v>0</v>
      </c>
      <c r="CX130" s="301">
        <f t="shared" ca="1" si="522"/>
        <v>0</v>
      </c>
      <c r="CY130" s="301">
        <f t="shared" ca="1" si="329"/>
        <v>0</v>
      </c>
      <c r="CZ130" s="301">
        <f t="shared" ca="1" si="523"/>
        <v>0</v>
      </c>
      <c r="DA130" s="301">
        <f t="shared" ca="1" si="524"/>
        <v>0</v>
      </c>
      <c r="DB130" t="str">
        <f t="shared" ca="1" si="542"/>
        <v/>
      </c>
      <c r="DC130" s="301" t="str">
        <f t="shared" ca="1" si="525"/>
        <v/>
      </c>
      <c r="DD130" s="1337" t="str">
        <f t="shared" ca="1" si="535"/>
        <v/>
      </c>
      <c r="DE130" s="1337" t="str">
        <f t="shared" ca="1" si="536"/>
        <v/>
      </c>
      <c r="DG130" s="269" t="str">
        <f t="shared" ca="1" si="526"/>
        <v>Tabellen_Andere!BA54:BF54</v>
      </c>
      <c r="DH130" s="269" t="str">
        <f t="shared" si="527"/>
        <v>Tabellen_Andere!BA54:BF54</v>
      </c>
      <c r="DI130" s="269" t="str">
        <f ca="1">IF(NOT(ISERR(FIND(A130&amp;" ",Abfragen!$O$264,1))),MID(Abfragen!$O$264,FIND("(",Abfragen!$O$264,FIND(A130,Abfragen!$O$264,1)+LEN(A130))+1,FIND(")",Abfragen!$O$264,FIND(A130,Abfragen!$O$264,1)+LEN(A130))-FIND("(",Abfragen!$O$264,FIND(A130,Abfragen!$O$264,1)+LEN(A130))-1),"")</f>
        <v/>
      </c>
      <c r="DJ130" s="301" t="str">
        <f t="shared" ca="1" si="543"/>
        <v>B</v>
      </c>
      <c r="DK130" s="301" t="str">
        <f t="shared" ca="1" si="543"/>
        <v>B</v>
      </c>
      <c r="DL130" s="301" t="str">
        <f t="shared" ca="1" si="543"/>
        <v>B</v>
      </c>
      <c r="DM130" s="301" t="str">
        <f t="shared" ca="1" si="543"/>
        <v>B</v>
      </c>
      <c r="DN130" s="301" t="str">
        <f t="shared" ca="1" si="543"/>
        <v>B</v>
      </c>
      <c r="DO130" s="301" t="str">
        <f t="shared" ca="1" si="543"/>
        <v>B</v>
      </c>
      <c r="DP130" s="301" t="str">
        <f t="shared" ca="1" si="543"/>
        <v>B</v>
      </c>
      <c r="DQ130" s="301" t="str">
        <f t="shared" ca="1" si="543"/>
        <v>B</v>
      </c>
      <c r="DR130" s="301" t="str">
        <f t="shared" ca="1" si="543"/>
        <v>B</v>
      </c>
      <c r="DS130" s="301" t="str">
        <f t="shared" ca="1" si="543"/>
        <v>B</v>
      </c>
      <c r="DT130" s="301" t="str">
        <f t="shared" ca="1" si="544"/>
        <v>B</v>
      </c>
      <c r="DU130" s="301" t="str">
        <f t="shared" ca="1" si="544"/>
        <v>B</v>
      </c>
      <c r="DV130" s="301" t="str">
        <f t="shared" ca="1" si="544"/>
        <v>B</v>
      </c>
      <c r="DW130" s="301" t="str">
        <f t="shared" ca="1" si="544"/>
        <v>B</v>
      </c>
      <c r="DX130" s="301" t="str">
        <f t="shared" ca="1" si="544"/>
        <v>B</v>
      </c>
      <c r="DY130" s="301" t="str">
        <f t="shared" ca="1" si="544"/>
        <v>B</v>
      </c>
      <c r="DZ130" s="301" t="str">
        <f t="shared" ca="1" si="544"/>
        <v>B</v>
      </c>
      <c r="EA130" s="301" t="str">
        <f t="shared" ca="1" si="544"/>
        <v>B</v>
      </c>
      <c r="EB130" s="301" t="str">
        <f t="shared" ca="1" si="544"/>
        <v>B</v>
      </c>
      <c r="EC130" s="301" t="str">
        <f t="shared" ca="1" si="544"/>
        <v>B</v>
      </c>
      <c r="ED130" s="301" t="str">
        <f t="shared" ca="1" si="544"/>
        <v>B</v>
      </c>
      <c r="EE130" s="301" t="str">
        <f t="shared" ca="1" si="544"/>
        <v>B</v>
      </c>
      <c r="EF130" s="205"/>
      <c r="EG130" s="301" t="str">
        <f t="shared" ca="1" si="545"/>
        <v>B</v>
      </c>
      <c r="EH130" s="301" t="str">
        <f t="shared" ca="1" si="545"/>
        <v>B</v>
      </c>
      <c r="EI130" s="301" t="str">
        <f t="shared" ca="1" si="545"/>
        <v>B</v>
      </c>
      <c r="EJ130" s="301" t="str">
        <f t="shared" ca="1" si="545"/>
        <v>B</v>
      </c>
      <c r="EK130" s="301" t="str">
        <f t="shared" ca="1" si="545"/>
        <v>B</v>
      </c>
      <c r="EL130" s="301" t="str">
        <f t="shared" ca="1" si="545"/>
        <v>B</v>
      </c>
      <c r="EM130" s="301" t="str">
        <f t="shared" ca="1" si="545"/>
        <v>B</v>
      </c>
      <c r="EN130" s="301" t="str">
        <f t="shared" ca="1" si="545"/>
        <v>B</v>
      </c>
      <c r="EO130" s="301" t="str">
        <f t="shared" ca="1" si="545"/>
        <v>B</v>
      </c>
      <c r="EP130" s="301" t="str">
        <f t="shared" ca="1" si="545"/>
        <v>B</v>
      </c>
      <c r="EQ130" s="301" t="str">
        <f t="shared" ca="1" si="546"/>
        <v>B</v>
      </c>
      <c r="ER130" s="301" t="str">
        <f t="shared" ca="1" si="546"/>
        <v>B</v>
      </c>
      <c r="ES130" s="301" t="str">
        <f t="shared" ca="1" si="546"/>
        <v>B</v>
      </c>
      <c r="ET130" s="301" t="str">
        <f t="shared" ca="1" si="546"/>
        <v>B</v>
      </c>
      <c r="EU130" s="301" t="str">
        <f t="shared" ca="1" si="546"/>
        <v>B</v>
      </c>
      <c r="EV130" s="301" t="str">
        <f t="shared" ca="1" si="546"/>
        <v>B</v>
      </c>
      <c r="EW130" s="301" t="str">
        <f t="shared" ca="1" si="546"/>
        <v>B</v>
      </c>
      <c r="EX130" s="301" t="str">
        <f t="shared" ca="1" si="546"/>
        <v>B</v>
      </c>
      <c r="EY130" s="301" t="str">
        <f t="shared" ca="1" si="546"/>
        <v>B</v>
      </c>
      <c r="EZ130" s="301" t="str">
        <f t="shared" ca="1" si="546"/>
        <v>B</v>
      </c>
      <c r="FA130" s="301" t="str">
        <f t="shared" ca="1" si="547"/>
        <v>B</v>
      </c>
      <c r="FB130" s="301" t="str">
        <f t="shared" ca="1" si="547"/>
        <v>B</v>
      </c>
      <c r="FC130" s="301" t="str">
        <f t="shared" ca="1" si="547"/>
        <v>B</v>
      </c>
      <c r="FD130" s="301" t="str">
        <f t="shared" ca="1" si="547"/>
        <v>B</v>
      </c>
      <c r="FE130" s="301" t="str">
        <f t="shared" ca="1" si="547"/>
        <v>B</v>
      </c>
      <c r="FF130" s="301" t="str">
        <f t="shared" ca="1" si="547"/>
        <v>B</v>
      </c>
      <c r="FG130" s="301" t="str">
        <f t="shared" ca="1" si="547"/>
        <v>B</v>
      </c>
      <c r="FH130" s="301" t="str">
        <f t="shared" ca="1" si="547"/>
        <v>B</v>
      </c>
      <c r="FI130" s="301" t="str">
        <f t="shared" ca="1" si="547"/>
        <v>B</v>
      </c>
      <c r="FJ130" s="301" t="str">
        <f t="shared" ca="1" si="547"/>
        <v>B</v>
      </c>
      <c r="FK130" s="301" t="str">
        <f t="shared" ca="1" si="547"/>
        <v>B</v>
      </c>
      <c r="FL130" s="301" t="str">
        <f t="shared" ca="1" si="547"/>
        <v>B</v>
      </c>
    </row>
    <row r="131" spans="1:168" x14ac:dyDescent="0.2">
      <c r="A131" s="1530" t="str">
        <f t="shared" si="533"/>
        <v>Hundeschlitten Fahren</v>
      </c>
      <c r="B131" s="317" t="str">
        <f t="shared" ca="1" si="448"/>
        <v/>
      </c>
      <c r="C131" s="332" t="str">
        <f ca="1">IF(OR(NOT(ISBLANK(D131)),NOT(ISBLANK(HLOOKUP(RASSEGENE,RASSE,$CD131,FALSE))),
NOT(ISBLANK(HLOOKUP(KULTURGENE,KULTUR,$CD131,FALSE))),
NOT(OR(ISBLANK(HLOOKUP(PROFGENE,INDIRECT(PROFGEBIET),$CD131,FALSE)),$CS131="N",$CS131="M")),
IF(PROFZWEITE="",FALSE,NOT(ISBLANK(HLOOKUP(PROFZWEITE,INDIRECT(PROFGEBIET2),$CD131,FALSE))))),"x","")</f>
        <v/>
      </c>
      <c r="D131" s="1110"/>
      <c r="E131" s="966"/>
      <c r="F131" s="325"/>
      <c r="G131" s="958"/>
      <c r="H131" s="1196"/>
      <c r="I131" s="326"/>
      <c r="J131" s="1886" t="str">
        <f t="shared" ca="1" si="450"/>
        <v/>
      </c>
      <c r="K131" s="1887"/>
      <c r="L131" s="1887"/>
      <c r="M131" s="1887"/>
      <c r="N131" s="1888"/>
      <c r="O131" s="613" t="str">
        <f t="shared" ca="1" si="451"/>
        <v/>
      </c>
      <c r="P131" s="90"/>
      <c r="Q131" s="25"/>
      <c r="R131" s="1313"/>
      <c r="S131" s="1313"/>
      <c r="T131" s="1315"/>
      <c r="U131" s="1283"/>
      <c r="V131" s="628" t="str">
        <f t="shared" ca="1" si="452"/>
        <v/>
      </c>
      <c r="W131" s="164">
        <f t="shared" ca="1" si="453"/>
        <v>0</v>
      </c>
      <c r="X131" s="164">
        <f t="shared" ca="1" si="454"/>
        <v>0</v>
      </c>
      <c r="Y131" s="164">
        <f t="shared" ca="1" si="455"/>
        <v>0</v>
      </c>
      <c r="Z131" s="164">
        <f t="shared" ca="1" si="456"/>
        <v>0</v>
      </c>
      <c r="AA131" s="164">
        <f t="shared" ca="1" si="457"/>
        <v>0</v>
      </c>
      <c r="AB131" s="164">
        <f t="shared" ca="1" si="458"/>
        <v>0</v>
      </c>
      <c r="AC131" s="164">
        <f t="shared" ca="1" si="459"/>
        <v>0</v>
      </c>
      <c r="AD131" s="164">
        <f t="shared" ca="1" si="460"/>
        <v>0</v>
      </c>
      <c r="AE131" s="164">
        <f t="shared" ca="1" si="461"/>
        <v>0</v>
      </c>
      <c r="AF131" s="164">
        <f t="shared" ca="1" si="462"/>
        <v>0</v>
      </c>
      <c r="AG131" s="164">
        <f t="shared" ca="1" si="463"/>
        <v>0</v>
      </c>
      <c r="AH131" s="164">
        <f t="shared" ca="1" si="464"/>
        <v>0</v>
      </c>
      <c r="AI131" s="164">
        <f t="shared" ca="1" si="465"/>
        <v>0</v>
      </c>
      <c r="AJ131" s="164">
        <f t="shared" ca="1" si="466"/>
        <v>0</v>
      </c>
      <c r="AK131" s="164">
        <f t="shared" ca="1" si="467"/>
        <v>0</v>
      </c>
      <c r="AL131" s="164">
        <f t="shared" ca="1" si="468"/>
        <v>0</v>
      </c>
      <c r="AM131" s="164">
        <f t="shared" ca="1" si="469"/>
        <v>0</v>
      </c>
      <c r="AN131" s="164">
        <f t="shared" ca="1" si="470"/>
        <v>0</v>
      </c>
      <c r="AO131" s="164">
        <f t="shared" ca="1" si="471"/>
        <v>0</v>
      </c>
      <c r="AP131" s="164">
        <f t="shared" ca="1" si="472"/>
        <v>0</v>
      </c>
      <c r="AQ131" s="164">
        <f t="shared" ca="1" si="473"/>
        <v>0</v>
      </c>
      <c r="AR131" s="164">
        <f t="shared" ca="1" si="474"/>
        <v>0</v>
      </c>
      <c r="AS131" s="195"/>
      <c r="AT131" s="154">
        <f t="shared" ca="1" si="475"/>
        <v>0</v>
      </c>
      <c r="AU131" s="154">
        <f t="shared" ca="1" si="476"/>
        <v>0</v>
      </c>
      <c r="AV131" s="154">
        <f t="shared" ca="1" si="477"/>
        <v>0</v>
      </c>
      <c r="AW131" s="154">
        <f t="shared" ca="1" si="478"/>
        <v>0</v>
      </c>
      <c r="AX131" s="154">
        <f t="shared" ca="1" si="479"/>
        <v>0</v>
      </c>
      <c r="AY131" s="154">
        <f t="shared" ca="1" si="480"/>
        <v>0</v>
      </c>
      <c r="AZ131" s="154">
        <f t="shared" ca="1" si="481"/>
        <v>0</v>
      </c>
      <c r="BA131" s="154">
        <f t="shared" ca="1" si="482"/>
        <v>0</v>
      </c>
      <c r="BB131" s="154">
        <f t="shared" ca="1" si="483"/>
        <v>0</v>
      </c>
      <c r="BC131" s="154">
        <f t="shared" ca="1" si="484"/>
        <v>0</v>
      </c>
      <c r="BD131" s="154">
        <f t="shared" ca="1" si="485"/>
        <v>0</v>
      </c>
      <c r="BE131" s="154">
        <f t="shared" ca="1" si="486"/>
        <v>0</v>
      </c>
      <c r="BF131" s="154">
        <f t="shared" ca="1" si="487"/>
        <v>0</v>
      </c>
      <c r="BG131" s="154">
        <f t="shared" ca="1" si="488"/>
        <v>0</v>
      </c>
      <c r="BH131" s="154">
        <f t="shared" ca="1" si="489"/>
        <v>0</v>
      </c>
      <c r="BI131" s="154">
        <f t="shared" ca="1" si="490"/>
        <v>0</v>
      </c>
      <c r="BJ131" s="154">
        <f t="shared" ca="1" si="491"/>
        <v>0</v>
      </c>
      <c r="BK131" s="154">
        <f t="shared" ca="1" si="492"/>
        <v>0</v>
      </c>
      <c r="BL131" s="154">
        <f t="shared" ca="1" si="493"/>
        <v>0</v>
      </c>
      <c r="BM131" s="154">
        <f t="shared" ca="1" si="494"/>
        <v>0</v>
      </c>
      <c r="BN131" s="154">
        <f t="shared" ca="1" si="495"/>
        <v>0</v>
      </c>
      <c r="BO131" s="154">
        <f t="shared" ca="1" si="496"/>
        <v>0</v>
      </c>
      <c r="BP131" s="154">
        <f t="shared" ca="1" si="497"/>
        <v>0</v>
      </c>
      <c r="BQ131" s="154">
        <f t="shared" ca="1" si="498"/>
        <v>0</v>
      </c>
      <c r="BR131" s="154">
        <f t="shared" ca="1" si="499"/>
        <v>0</v>
      </c>
      <c r="BS131" s="154">
        <f t="shared" ca="1" si="500"/>
        <v>0</v>
      </c>
      <c r="BT131" s="154">
        <f t="shared" ca="1" si="501"/>
        <v>0</v>
      </c>
      <c r="BU131" s="154">
        <f t="shared" ca="1" si="502"/>
        <v>0</v>
      </c>
      <c r="BV131" s="154">
        <f t="shared" ca="1" si="503"/>
        <v>0</v>
      </c>
      <c r="BW131" s="154">
        <f t="shared" ca="1" si="504"/>
        <v>0</v>
      </c>
      <c r="BX131" s="154">
        <f t="shared" ca="1" si="505"/>
        <v>0</v>
      </c>
      <c r="BY131" s="154">
        <f t="shared" ca="1" si="506"/>
        <v>0</v>
      </c>
      <c r="BZ131" s="154">
        <f t="shared" si="507"/>
        <v>0</v>
      </c>
      <c r="CA131" s="154">
        <f t="shared" si="508"/>
        <v>0</v>
      </c>
      <c r="CB131" s="154">
        <f t="shared" ca="1" si="509"/>
        <v>0</v>
      </c>
      <c r="CC131" s="523"/>
      <c r="CD131" s="355">
        <f t="shared" si="510"/>
        <v>155</v>
      </c>
      <c r="CE131" s="751" t="str">
        <f t="shared" ca="1" si="511"/>
        <v>B</v>
      </c>
      <c r="CF131" s="355" t="str">
        <f ca="1">IF(EXACT($B131,""),$CF128,CONCATENATE($CF128,$A131))</f>
        <v/>
      </c>
      <c r="CG131" s="268"/>
      <c r="CH131" s="268"/>
      <c r="CI131" s="269">
        <f t="shared" ca="1" si="512"/>
        <v>0</v>
      </c>
      <c r="CJ131" s="269">
        <f t="shared" ca="1" si="513"/>
        <v>0</v>
      </c>
      <c r="CK131" s="268"/>
      <c r="CL131" s="268"/>
      <c r="CM131" s="268">
        <f t="shared" ca="1" si="327"/>
        <v>0</v>
      </c>
      <c r="CN131" s="269">
        <f t="shared" ca="1" si="328"/>
        <v>0</v>
      </c>
      <c r="CO131" s="268" t="str">
        <f t="shared" ca="1" si="514"/>
        <v>B</v>
      </c>
      <c r="CP131" s="269" t="b">
        <f t="shared" ca="1" si="515"/>
        <v>1</v>
      </c>
      <c r="CQ131" s="269">
        <f t="shared" si="516"/>
        <v>0</v>
      </c>
      <c r="CR131" s="269">
        <f t="shared" si="517"/>
        <v>0</v>
      </c>
      <c r="CS131" s="269">
        <f t="shared" ca="1" si="518"/>
        <v>0</v>
      </c>
      <c r="CT131" s="302" t="str">
        <f t="shared" ca="1" si="519"/>
        <v>0</v>
      </c>
      <c r="CU131" s="269">
        <f t="shared" ca="1" si="520"/>
        <v>0</v>
      </c>
      <c r="CV131" s="268"/>
      <c r="CW131" s="269">
        <f t="shared" ca="1" si="521"/>
        <v>0</v>
      </c>
      <c r="CX131" s="301">
        <f t="shared" ca="1" si="522"/>
        <v>0</v>
      </c>
      <c r="CY131" s="301">
        <f t="shared" ca="1" si="329"/>
        <v>0</v>
      </c>
      <c r="CZ131" s="301">
        <f t="shared" ca="1" si="523"/>
        <v>0</v>
      </c>
      <c r="DA131" s="301">
        <f t="shared" ca="1" si="524"/>
        <v>0</v>
      </c>
      <c r="DB131" t="str">
        <f t="shared" ca="1" si="542"/>
        <v/>
      </c>
      <c r="DC131" s="301" t="str">
        <f t="shared" ca="1" si="525"/>
        <v/>
      </c>
      <c r="DD131" s="1337" t="str">
        <f t="shared" ca="1" si="535"/>
        <v/>
      </c>
      <c r="DE131" s="1337" t="str">
        <f t="shared" ca="1" si="536"/>
        <v/>
      </c>
      <c r="DG131" s="269" t="str">
        <f t="shared" ca="1" si="526"/>
        <v>Tabellen_Andere!BA55:BF55</v>
      </c>
      <c r="DH131" s="269" t="str">
        <f t="shared" si="527"/>
        <v>Tabellen_Andere!BA55:BF55</v>
      </c>
      <c r="DI131" s="269" t="str">
        <f ca="1">IF(NOT(ISERR(FIND(A131&amp;" ",Abfragen!$O$264,1))),MID(Abfragen!$O$264,FIND("(",Abfragen!$O$264,FIND(A131,Abfragen!$O$264,1)+LEN(A131))+1,FIND(")",Abfragen!$O$264,FIND(A131,Abfragen!$O$264,1)+LEN(A131))-FIND("(",Abfragen!$O$264,FIND(A131,Abfragen!$O$264,1)+LEN(A131))-1),"")</f>
        <v/>
      </c>
      <c r="DJ131" s="301" t="str">
        <f t="shared" ca="1" si="543"/>
        <v>B</v>
      </c>
      <c r="DK131" s="301" t="str">
        <f t="shared" ca="1" si="543"/>
        <v>B</v>
      </c>
      <c r="DL131" s="301" t="str">
        <f t="shared" ca="1" si="543"/>
        <v>B</v>
      </c>
      <c r="DM131" s="301" t="str">
        <f t="shared" ca="1" si="543"/>
        <v>B</v>
      </c>
      <c r="DN131" s="301" t="str">
        <f t="shared" ca="1" si="543"/>
        <v>B</v>
      </c>
      <c r="DO131" s="301" t="str">
        <f t="shared" ca="1" si="543"/>
        <v>B</v>
      </c>
      <c r="DP131" s="301" t="str">
        <f t="shared" ca="1" si="543"/>
        <v>B</v>
      </c>
      <c r="DQ131" s="301" t="str">
        <f t="shared" ca="1" si="543"/>
        <v>B</v>
      </c>
      <c r="DR131" s="301" t="str">
        <f t="shared" ca="1" si="543"/>
        <v>B</v>
      </c>
      <c r="DS131" s="301" t="str">
        <f t="shared" ca="1" si="543"/>
        <v>B</v>
      </c>
      <c r="DT131" s="301" t="str">
        <f t="shared" ca="1" si="544"/>
        <v>B</v>
      </c>
      <c r="DU131" s="301" t="str">
        <f t="shared" ca="1" si="544"/>
        <v>B</v>
      </c>
      <c r="DV131" s="301" t="str">
        <f t="shared" ca="1" si="544"/>
        <v>B</v>
      </c>
      <c r="DW131" s="301" t="str">
        <f t="shared" ca="1" si="544"/>
        <v>B</v>
      </c>
      <c r="DX131" s="301" t="str">
        <f t="shared" ca="1" si="544"/>
        <v>B</v>
      </c>
      <c r="DY131" s="301" t="str">
        <f t="shared" ca="1" si="544"/>
        <v>B</v>
      </c>
      <c r="DZ131" s="301" t="str">
        <f t="shared" ca="1" si="544"/>
        <v>B</v>
      </c>
      <c r="EA131" s="301" t="str">
        <f t="shared" ca="1" si="544"/>
        <v>B</v>
      </c>
      <c r="EB131" s="301" t="str">
        <f t="shared" ca="1" si="544"/>
        <v>B</v>
      </c>
      <c r="EC131" s="301" t="str">
        <f t="shared" ca="1" si="544"/>
        <v>B</v>
      </c>
      <c r="ED131" s="301" t="str">
        <f t="shared" ca="1" si="544"/>
        <v>B</v>
      </c>
      <c r="EE131" s="301" t="str">
        <f t="shared" ca="1" si="544"/>
        <v>B</v>
      </c>
      <c r="EF131" s="205"/>
      <c r="EG131" s="301" t="str">
        <f t="shared" ca="1" si="545"/>
        <v>B</v>
      </c>
      <c r="EH131" s="301" t="str">
        <f t="shared" ca="1" si="545"/>
        <v>B</v>
      </c>
      <c r="EI131" s="301" t="str">
        <f t="shared" ca="1" si="545"/>
        <v>B</v>
      </c>
      <c r="EJ131" s="301" t="str">
        <f t="shared" ca="1" si="545"/>
        <v>B</v>
      </c>
      <c r="EK131" s="301" t="str">
        <f t="shared" ca="1" si="545"/>
        <v>B</v>
      </c>
      <c r="EL131" s="301" t="str">
        <f t="shared" ca="1" si="545"/>
        <v>B</v>
      </c>
      <c r="EM131" s="301" t="str">
        <f t="shared" ca="1" si="545"/>
        <v>B</v>
      </c>
      <c r="EN131" s="301" t="str">
        <f t="shared" ca="1" si="545"/>
        <v>B</v>
      </c>
      <c r="EO131" s="301" t="str">
        <f t="shared" ca="1" si="545"/>
        <v>B</v>
      </c>
      <c r="EP131" s="301" t="str">
        <f t="shared" ca="1" si="545"/>
        <v>B</v>
      </c>
      <c r="EQ131" s="301" t="str">
        <f t="shared" ca="1" si="546"/>
        <v>B</v>
      </c>
      <c r="ER131" s="301" t="str">
        <f t="shared" ca="1" si="546"/>
        <v>B</v>
      </c>
      <c r="ES131" s="301" t="str">
        <f t="shared" ca="1" si="546"/>
        <v>B</v>
      </c>
      <c r="ET131" s="301" t="str">
        <f t="shared" ca="1" si="546"/>
        <v>B</v>
      </c>
      <c r="EU131" s="301" t="str">
        <f t="shared" ca="1" si="546"/>
        <v>B</v>
      </c>
      <c r="EV131" s="301" t="str">
        <f t="shared" ca="1" si="546"/>
        <v>B</v>
      </c>
      <c r="EW131" s="301" t="str">
        <f t="shared" ca="1" si="546"/>
        <v>B</v>
      </c>
      <c r="EX131" s="301" t="str">
        <f t="shared" ca="1" si="546"/>
        <v>B</v>
      </c>
      <c r="EY131" s="301" t="str">
        <f t="shared" ca="1" si="546"/>
        <v>B</v>
      </c>
      <c r="EZ131" s="301" t="str">
        <f t="shared" ca="1" si="546"/>
        <v>B</v>
      </c>
      <c r="FA131" s="301" t="str">
        <f t="shared" ca="1" si="547"/>
        <v>B</v>
      </c>
      <c r="FB131" s="301" t="str">
        <f t="shared" ca="1" si="547"/>
        <v>B</v>
      </c>
      <c r="FC131" s="301" t="str">
        <f t="shared" ca="1" si="547"/>
        <v>B</v>
      </c>
      <c r="FD131" s="301" t="str">
        <f t="shared" ca="1" si="547"/>
        <v>B</v>
      </c>
      <c r="FE131" s="301" t="str">
        <f t="shared" ca="1" si="547"/>
        <v>B</v>
      </c>
      <c r="FF131" s="301" t="str">
        <f t="shared" ca="1" si="547"/>
        <v>B</v>
      </c>
      <c r="FG131" s="301" t="str">
        <f t="shared" ca="1" si="547"/>
        <v>B</v>
      </c>
      <c r="FH131" s="301" t="str">
        <f t="shared" ca="1" si="547"/>
        <v>B</v>
      </c>
      <c r="FI131" s="301" t="str">
        <f t="shared" ca="1" si="547"/>
        <v>B</v>
      </c>
      <c r="FJ131" s="301" t="str">
        <f t="shared" ca="1" si="547"/>
        <v>B</v>
      </c>
      <c r="FK131" s="301" t="str">
        <f t="shared" ca="1" si="547"/>
        <v>B</v>
      </c>
      <c r="FL131" s="301" t="str">
        <f t="shared" ca="1" si="547"/>
        <v>B</v>
      </c>
    </row>
    <row r="132" spans="1:168" x14ac:dyDescent="0.2">
      <c r="A132" s="38" t="str">
        <f t="shared" si="533"/>
        <v>Instrumentenbauer</v>
      </c>
      <c r="B132" s="317" t="str">
        <f t="shared" ca="1" si="448"/>
        <v/>
      </c>
      <c r="C132" s="332" t="str">
        <f ca="1">IF(OR(NOT(ISBLANK(D132)),NOT(ISBLANK(HLOOKUP(RASSEGENE,RASSE,$CD132,FALSE))),
NOT(ISBLANK(HLOOKUP(KULTURGENE,KULTUR,$CD132,FALSE))),
NOT(OR(ISBLANK(HLOOKUP(PROFGENE,INDIRECT(PROFGEBIET),$CD132,FALSE)),$CS132="N",$CS132="M")),
IF(PROFZWEITE="",FALSE,NOT(ISBLANK(HLOOKUP(PROFZWEITE,INDIRECT(PROFGEBIET2),$CD132,FALSE))))),"x","")</f>
        <v/>
      </c>
      <c r="D132" s="1110"/>
      <c r="E132" s="966"/>
      <c r="F132" s="325"/>
      <c r="G132" s="958"/>
      <c r="H132" s="1196"/>
      <c r="I132" s="326"/>
      <c r="J132" s="1886" t="str">
        <f t="shared" ca="1" si="450"/>
        <v/>
      </c>
      <c r="K132" s="1887"/>
      <c r="L132" s="1887"/>
      <c r="M132" s="1887"/>
      <c r="N132" s="1888"/>
      <c r="O132" s="613" t="str">
        <f t="shared" ca="1" si="451"/>
        <v/>
      </c>
      <c r="P132" s="90"/>
      <c r="Q132" s="25"/>
      <c r="R132" s="1313"/>
      <c r="S132" s="1313"/>
      <c r="T132" s="1315"/>
      <c r="U132" s="1283"/>
      <c r="V132" s="628" t="str">
        <f t="shared" ca="1" si="452"/>
        <v/>
      </c>
      <c r="W132" s="164">
        <f t="shared" ca="1" si="453"/>
        <v>0</v>
      </c>
      <c r="X132" s="164">
        <f t="shared" ca="1" si="454"/>
        <v>0</v>
      </c>
      <c r="Y132" s="164">
        <f t="shared" ca="1" si="455"/>
        <v>0</v>
      </c>
      <c r="Z132" s="164">
        <f t="shared" ca="1" si="456"/>
        <v>0</v>
      </c>
      <c r="AA132" s="164">
        <f t="shared" ca="1" si="457"/>
        <v>0</v>
      </c>
      <c r="AB132" s="164">
        <f t="shared" ca="1" si="458"/>
        <v>0</v>
      </c>
      <c r="AC132" s="164">
        <f t="shared" ca="1" si="459"/>
        <v>0</v>
      </c>
      <c r="AD132" s="164">
        <f t="shared" ca="1" si="460"/>
        <v>0</v>
      </c>
      <c r="AE132" s="164">
        <f t="shared" ca="1" si="461"/>
        <v>0</v>
      </c>
      <c r="AF132" s="164">
        <f t="shared" ca="1" si="462"/>
        <v>0</v>
      </c>
      <c r="AG132" s="164">
        <f t="shared" ca="1" si="463"/>
        <v>0</v>
      </c>
      <c r="AH132" s="164">
        <f t="shared" ca="1" si="464"/>
        <v>0</v>
      </c>
      <c r="AI132" s="164">
        <f t="shared" ca="1" si="465"/>
        <v>0</v>
      </c>
      <c r="AJ132" s="164">
        <f t="shared" ca="1" si="466"/>
        <v>0</v>
      </c>
      <c r="AK132" s="164">
        <f t="shared" ca="1" si="467"/>
        <v>0</v>
      </c>
      <c r="AL132" s="164">
        <f t="shared" ca="1" si="468"/>
        <v>0</v>
      </c>
      <c r="AM132" s="164">
        <f t="shared" ca="1" si="469"/>
        <v>0</v>
      </c>
      <c r="AN132" s="164">
        <f t="shared" ca="1" si="470"/>
        <v>0</v>
      </c>
      <c r="AO132" s="164">
        <f t="shared" ca="1" si="471"/>
        <v>0</v>
      </c>
      <c r="AP132" s="164">
        <f t="shared" ca="1" si="472"/>
        <v>0</v>
      </c>
      <c r="AQ132" s="164">
        <f t="shared" ca="1" si="473"/>
        <v>0</v>
      </c>
      <c r="AR132" s="164">
        <f t="shared" ca="1" si="474"/>
        <v>0</v>
      </c>
      <c r="AS132" s="195"/>
      <c r="AT132" s="154">
        <f t="shared" ca="1" si="475"/>
        <v>0</v>
      </c>
      <c r="AU132" s="154">
        <f t="shared" ca="1" si="476"/>
        <v>0</v>
      </c>
      <c r="AV132" s="154">
        <f t="shared" ca="1" si="477"/>
        <v>0</v>
      </c>
      <c r="AW132" s="154">
        <f t="shared" ca="1" si="478"/>
        <v>0</v>
      </c>
      <c r="AX132" s="154">
        <f t="shared" ca="1" si="479"/>
        <v>0</v>
      </c>
      <c r="AY132" s="154">
        <f t="shared" ca="1" si="480"/>
        <v>0</v>
      </c>
      <c r="AZ132" s="154">
        <f t="shared" ca="1" si="481"/>
        <v>0</v>
      </c>
      <c r="BA132" s="154">
        <f t="shared" ca="1" si="482"/>
        <v>0</v>
      </c>
      <c r="BB132" s="154">
        <f t="shared" ca="1" si="483"/>
        <v>0</v>
      </c>
      <c r="BC132" s="154">
        <f t="shared" ca="1" si="484"/>
        <v>0</v>
      </c>
      <c r="BD132" s="154">
        <f t="shared" ca="1" si="485"/>
        <v>0</v>
      </c>
      <c r="BE132" s="154">
        <f t="shared" ca="1" si="486"/>
        <v>0</v>
      </c>
      <c r="BF132" s="154">
        <f t="shared" ca="1" si="487"/>
        <v>0</v>
      </c>
      <c r="BG132" s="154">
        <f t="shared" ca="1" si="488"/>
        <v>0</v>
      </c>
      <c r="BH132" s="154">
        <f t="shared" ca="1" si="489"/>
        <v>0</v>
      </c>
      <c r="BI132" s="154">
        <f t="shared" ca="1" si="490"/>
        <v>0</v>
      </c>
      <c r="BJ132" s="154">
        <f t="shared" ca="1" si="491"/>
        <v>0</v>
      </c>
      <c r="BK132" s="154">
        <f t="shared" ca="1" si="492"/>
        <v>0</v>
      </c>
      <c r="BL132" s="154">
        <f t="shared" ca="1" si="493"/>
        <v>0</v>
      </c>
      <c r="BM132" s="154">
        <f t="shared" ca="1" si="494"/>
        <v>0</v>
      </c>
      <c r="BN132" s="154">
        <f t="shared" ca="1" si="495"/>
        <v>0</v>
      </c>
      <c r="BO132" s="154">
        <f t="shared" ca="1" si="496"/>
        <v>0</v>
      </c>
      <c r="BP132" s="154">
        <f t="shared" ca="1" si="497"/>
        <v>0</v>
      </c>
      <c r="BQ132" s="154">
        <f t="shared" ca="1" si="498"/>
        <v>0</v>
      </c>
      <c r="BR132" s="154">
        <f t="shared" ca="1" si="499"/>
        <v>0</v>
      </c>
      <c r="BS132" s="154">
        <f t="shared" ca="1" si="500"/>
        <v>0</v>
      </c>
      <c r="BT132" s="154">
        <f t="shared" ca="1" si="501"/>
        <v>0</v>
      </c>
      <c r="BU132" s="154">
        <f t="shared" ca="1" si="502"/>
        <v>0</v>
      </c>
      <c r="BV132" s="154">
        <f t="shared" ca="1" si="503"/>
        <v>0</v>
      </c>
      <c r="BW132" s="154">
        <f t="shared" ca="1" si="504"/>
        <v>0</v>
      </c>
      <c r="BX132" s="154">
        <f t="shared" ca="1" si="505"/>
        <v>0</v>
      </c>
      <c r="BY132" s="154">
        <f t="shared" ca="1" si="506"/>
        <v>0</v>
      </c>
      <c r="BZ132" s="154">
        <f t="shared" si="507"/>
        <v>0</v>
      </c>
      <c r="CA132" s="154">
        <f t="shared" si="508"/>
        <v>0</v>
      </c>
      <c r="CB132" s="154">
        <f t="shared" ca="1" si="509"/>
        <v>0</v>
      </c>
      <c r="CC132" s="523"/>
      <c r="CD132" s="355">
        <f t="shared" si="510"/>
        <v>156</v>
      </c>
      <c r="CE132" s="751" t="str">
        <f t="shared" ca="1" si="511"/>
        <v>B</v>
      </c>
      <c r="CF132" s="355" t="str">
        <f ca="1">IF(EXACT($B132,""),$CF131,CONCATENATE($CF131,$A132))</f>
        <v/>
      </c>
      <c r="CG132" s="268"/>
      <c r="CH132" s="268"/>
      <c r="CI132" s="269">
        <f t="shared" ca="1" si="512"/>
        <v>0</v>
      </c>
      <c r="CJ132" s="269">
        <f t="shared" ca="1" si="513"/>
        <v>0</v>
      </c>
      <c r="CK132" s="268"/>
      <c r="CL132" s="268"/>
      <c r="CM132" s="268">
        <f t="shared" ca="1" si="327"/>
        <v>0</v>
      </c>
      <c r="CN132" s="269">
        <f t="shared" ca="1" si="328"/>
        <v>0</v>
      </c>
      <c r="CO132" s="268" t="str">
        <f t="shared" ca="1" si="514"/>
        <v>B</v>
      </c>
      <c r="CP132" s="269" t="b">
        <f t="shared" ca="1" si="515"/>
        <v>1</v>
      </c>
      <c r="CQ132" s="269">
        <f t="shared" si="516"/>
        <v>0</v>
      </c>
      <c r="CR132" s="269">
        <f t="shared" si="517"/>
        <v>0</v>
      </c>
      <c r="CS132" s="269">
        <f t="shared" ca="1" si="518"/>
        <v>0</v>
      </c>
      <c r="CT132" s="302" t="str">
        <f t="shared" ca="1" si="519"/>
        <v>0</v>
      </c>
      <c r="CU132" s="269">
        <f t="shared" ca="1" si="520"/>
        <v>0</v>
      </c>
      <c r="CV132" s="268"/>
      <c r="CW132" s="269">
        <f t="shared" ca="1" si="521"/>
        <v>0</v>
      </c>
      <c r="CX132" s="301">
        <f t="shared" ca="1" si="522"/>
        <v>0</v>
      </c>
      <c r="CY132" s="301">
        <f t="shared" ca="1" si="329"/>
        <v>0</v>
      </c>
      <c r="CZ132" s="301">
        <f t="shared" ca="1" si="523"/>
        <v>0</v>
      </c>
      <c r="DA132" s="301">
        <f t="shared" ca="1" si="524"/>
        <v>0</v>
      </c>
      <c r="DB132" t="str">
        <f ca="1">IF(AND(NOT(AND(ISBLANK($G132),ISBLANK($I132))),OR($O$130&lt;4,IF($O$118="",TRUE,$O$118&lt;4),IF($O$141="",TRUE,$O$141&lt;4))),"Holzbearbeitung&amp;Feinmech.&amp;Musizieren 4+",IF(AND(NOT(ISBLANK($F132)),$F132&lt;=$B132),"TaW SE zu klein",""))</f>
        <v/>
      </c>
      <c r="DC132" s="301" t="str">
        <f t="shared" ca="1" si="525"/>
        <v/>
      </c>
      <c r="DD132" s="1337" t="str">
        <f t="shared" ca="1" si="535"/>
        <v/>
      </c>
      <c r="DE132" s="1337" t="str">
        <f t="shared" ca="1" si="536"/>
        <v/>
      </c>
      <c r="DG132" s="269" t="str">
        <f t="shared" ca="1" si="526"/>
        <v>Tabellen_Andere!BA58:BF58</v>
      </c>
      <c r="DH132" s="269" t="str">
        <f t="shared" si="527"/>
        <v>Tabellen_Andere!BA58:BF58</v>
      </c>
      <c r="DI132" s="269" t="str">
        <f ca="1">IF(NOT(ISERR(FIND(A132&amp;" ",Abfragen!$O$264,1))),MID(Abfragen!$O$264,FIND("(",Abfragen!$O$264,FIND(A132,Abfragen!$O$264,1)+LEN(A132))+1,FIND(")",Abfragen!$O$264,FIND(A132,Abfragen!$O$264,1)+LEN(A132))-FIND("(",Abfragen!$O$264,FIND(A132,Abfragen!$O$264,1)+LEN(A132))-1),"")</f>
        <v/>
      </c>
      <c r="DJ132" s="301" t="str">
        <f t="shared" ca="1" si="543"/>
        <v>B</v>
      </c>
      <c r="DK132" s="301" t="str">
        <f t="shared" ca="1" si="543"/>
        <v>B</v>
      </c>
      <c r="DL132" s="301" t="str">
        <f t="shared" ca="1" si="543"/>
        <v>B</v>
      </c>
      <c r="DM132" s="301" t="str">
        <f t="shared" ca="1" si="543"/>
        <v>B</v>
      </c>
      <c r="DN132" s="301" t="str">
        <f t="shared" ca="1" si="543"/>
        <v>B</v>
      </c>
      <c r="DO132" s="301" t="str">
        <f t="shared" ca="1" si="543"/>
        <v>B</v>
      </c>
      <c r="DP132" s="301" t="str">
        <f t="shared" ca="1" si="543"/>
        <v>B</v>
      </c>
      <c r="DQ132" s="301" t="str">
        <f t="shared" ca="1" si="543"/>
        <v>B</v>
      </c>
      <c r="DR132" s="301" t="str">
        <f t="shared" ca="1" si="543"/>
        <v>B</v>
      </c>
      <c r="DS132" s="301" t="str">
        <f t="shared" ca="1" si="543"/>
        <v>B</v>
      </c>
      <c r="DT132" s="301" t="str">
        <f t="shared" ca="1" si="544"/>
        <v>B</v>
      </c>
      <c r="DU132" s="301" t="str">
        <f t="shared" ca="1" si="544"/>
        <v>B</v>
      </c>
      <c r="DV132" s="301" t="str">
        <f t="shared" ca="1" si="544"/>
        <v>B</v>
      </c>
      <c r="DW132" s="301" t="str">
        <f t="shared" ca="1" si="544"/>
        <v>B</v>
      </c>
      <c r="DX132" s="301" t="str">
        <f t="shared" ca="1" si="544"/>
        <v>B</v>
      </c>
      <c r="DY132" s="301" t="str">
        <f t="shared" ca="1" si="544"/>
        <v>B</v>
      </c>
      <c r="DZ132" s="301" t="str">
        <f t="shared" ca="1" si="544"/>
        <v>B</v>
      </c>
      <c r="EA132" s="301" t="str">
        <f t="shared" ca="1" si="544"/>
        <v>B</v>
      </c>
      <c r="EB132" s="301" t="str">
        <f t="shared" ca="1" si="544"/>
        <v>B</v>
      </c>
      <c r="EC132" s="301" t="str">
        <f t="shared" ca="1" si="544"/>
        <v>B</v>
      </c>
      <c r="ED132" s="301" t="str">
        <f t="shared" ca="1" si="544"/>
        <v>B</v>
      </c>
      <c r="EE132" s="301" t="str">
        <f t="shared" ca="1" si="544"/>
        <v>B</v>
      </c>
      <c r="EF132" s="205"/>
      <c r="EG132" s="301" t="str">
        <f t="shared" ca="1" si="545"/>
        <v>B</v>
      </c>
      <c r="EH132" s="301" t="str">
        <f t="shared" ca="1" si="545"/>
        <v>B</v>
      </c>
      <c r="EI132" s="301" t="str">
        <f t="shared" ca="1" si="545"/>
        <v>B</v>
      </c>
      <c r="EJ132" s="301" t="str">
        <f t="shared" ca="1" si="545"/>
        <v>B</v>
      </c>
      <c r="EK132" s="301" t="str">
        <f t="shared" ca="1" si="545"/>
        <v>B</v>
      </c>
      <c r="EL132" s="301" t="str">
        <f t="shared" ca="1" si="545"/>
        <v>B</v>
      </c>
      <c r="EM132" s="301" t="str">
        <f t="shared" ca="1" si="545"/>
        <v>B</v>
      </c>
      <c r="EN132" s="301" t="str">
        <f t="shared" ca="1" si="545"/>
        <v>B</v>
      </c>
      <c r="EO132" s="301" t="str">
        <f t="shared" ca="1" si="545"/>
        <v>B</v>
      </c>
      <c r="EP132" s="301" t="str">
        <f t="shared" ca="1" si="545"/>
        <v>B</v>
      </c>
      <c r="EQ132" s="301" t="str">
        <f t="shared" ca="1" si="546"/>
        <v>B</v>
      </c>
      <c r="ER132" s="301" t="str">
        <f t="shared" ca="1" si="546"/>
        <v>B</v>
      </c>
      <c r="ES132" s="301" t="str">
        <f t="shared" ca="1" si="546"/>
        <v>B</v>
      </c>
      <c r="ET132" s="301" t="str">
        <f t="shared" ca="1" si="546"/>
        <v>B</v>
      </c>
      <c r="EU132" s="301" t="str">
        <f t="shared" ca="1" si="546"/>
        <v>B</v>
      </c>
      <c r="EV132" s="301" t="str">
        <f t="shared" ca="1" si="546"/>
        <v>B</v>
      </c>
      <c r="EW132" s="301" t="str">
        <f t="shared" ca="1" si="546"/>
        <v>B</v>
      </c>
      <c r="EX132" s="301" t="str">
        <f t="shared" ca="1" si="546"/>
        <v>B</v>
      </c>
      <c r="EY132" s="301" t="str">
        <f t="shared" ca="1" si="546"/>
        <v>B</v>
      </c>
      <c r="EZ132" s="301" t="str">
        <f t="shared" ca="1" si="546"/>
        <v>B</v>
      </c>
      <c r="FA132" s="301" t="str">
        <f t="shared" ca="1" si="547"/>
        <v>B</v>
      </c>
      <c r="FB132" s="301" t="str">
        <f t="shared" ca="1" si="547"/>
        <v>B</v>
      </c>
      <c r="FC132" s="301" t="str">
        <f t="shared" ca="1" si="547"/>
        <v>B</v>
      </c>
      <c r="FD132" s="301" t="str">
        <f t="shared" ca="1" si="547"/>
        <v>B</v>
      </c>
      <c r="FE132" s="301" t="str">
        <f t="shared" ca="1" si="547"/>
        <v>B</v>
      </c>
      <c r="FF132" s="301" t="str">
        <f t="shared" ca="1" si="547"/>
        <v>B</v>
      </c>
      <c r="FG132" s="301" t="str">
        <f t="shared" ca="1" si="547"/>
        <v>B</v>
      </c>
      <c r="FH132" s="301" t="str">
        <f t="shared" ca="1" si="547"/>
        <v>B</v>
      </c>
      <c r="FI132" s="301" t="str">
        <f t="shared" ca="1" si="547"/>
        <v>B</v>
      </c>
      <c r="FJ132" s="301" t="str">
        <f t="shared" ca="1" si="547"/>
        <v>B</v>
      </c>
      <c r="FK132" s="301" t="str">
        <f t="shared" ca="1" si="547"/>
        <v>B</v>
      </c>
      <c r="FL132" s="301" t="str">
        <f t="shared" ca="1" si="547"/>
        <v>B</v>
      </c>
    </row>
    <row r="133" spans="1:168" x14ac:dyDescent="0.2">
      <c r="A133" s="1530" t="str">
        <f t="shared" si="533"/>
        <v>Kapellmeister</v>
      </c>
      <c r="B133" s="317" t="str">
        <f t="shared" ca="1" si="448"/>
        <v/>
      </c>
      <c r="C133" s="332" t="str">
        <f ca="1">IF(OR(NOT(ISBLANK(D133)),NOT(ISBLANK(HLOOKUP(RASSEGENE,RASSE,$CD133,FALSE))),
NOT(ISBLANK(HLOOKUP(KULTURGENE,KULTUR,$CD133,FALSE))),
NOT(OR(ISBLANK(HLOOKUP(PROFGENE,INDIRECT(PROFGEBIET),$CD133,FALSE)),$CS133="N",$CS133="M")),
IF(PROFZWEITE="",FALSE,NOT(ISBLANK(HLOOKUP(PROFZWEITE,INDIRECT(PROFGEBIET2),$CD133,FALSE))))),"x","")</f>
        <v/>
      </c>
      <c r="D133" s="1110"/>
      <c r="E133" s="966"/>
      <c r="F133" s="325"/>
      <c r="G133" s="958"/>
      <c r="H133" s="1196"/>
      <c r="I133" s="326"/>
      <c r="J133" s="1886" t="str">
        <f t="shared" ca="1" si="450"/>
        <v/>
      </c>
      <c r="K133" s="1887"/>
      <c r="L133" s="1887"/>
      <c r="M133" s="1887"/>
      <c r="N133" s="1888"/>
      <c r="O133" s="613" t="str">
        <f t="shared" ca="1" si="451"/>
        <v/>
      </c>
      <c r="P133" s="90"/>
      <c r="Q133" s="25"/>
      <c r="R133" s="1313"/>
      <c r="S133" s="1313"/>
      <c r="T133" s="1315"/>
      <c r="U133" s="1283"/>
      <c r="V133" s="628" t="str">
        <f t="shared" ca="1" si="452"/>
        <v/>
      </c>
      <c r="W133" s="164">
        <f t="shared" ca="1" si="453"/>
        <v>0</v>
      </c>
      <c r="X133" s="164">
        <f t="shared" ca="1" si="454"/>
        <v>0</v>
      </c>
      <c r="Y133" s="164">
        <f t="shared" ca="1" si="455"/>
        <v>0</v>
      </c>
      <c r="Z133" s="164">
        <f t="shared" ca="1" si="456"/>
        <v>0</v>
      </c>
      <c r="AA133" s="164">
        <f t="shared" ca="1" si="457"/>
        <v>0</v>
      </c>
      <c r="AB133" s="164">
        <f t="shared" ca="1" si="458"/>
        <v>0</v>
      </c>
      <c r="AC133" s="164">
        <f t="shared" ca="1" si="459"/>
        <v>0</v>
      </c>
      <c r="AD133" s="164">
        <f t="shared" ca="1" si="460"/>
        <v>0</v>
      </c>
      <c r="AE133" s="164">
        <f t="shared" ca="1" si="461"/>
        <v>0</v>
      </c>
      <c r="AF133" s="164">
        <f t="shared" ca="1" si="462"/>
        <v>0</v>
      </c>
      <c r="AG133" s="164">
        <f t="shared" ca="1" si="463"/>
        <v>0</v>
      </c>
      <c r="AH133" s="164">
        <f t="shared" ca="1" si="464"/>
        <v>0</v>
      </c>
      <c r="AI133" s="164">
        <f t="shared" ca="1" si="465"/>
        <v>0</v>
      </c>
      <c r="AJ133" s="164">
        <f t="shared" ca="1" si="466"/>
        <v>0</v>
      </c>
      <c r="AK133" s="164">
        <f t="shared" ca="1" si="467"/>
        <v>0</v>
      </c>
      <c r="AL133" s="164">
        <f t="shared" ca="1" si="468"/>
        <v>0</v>
      </c>
      <c r="AM133" s="164">
        <f t="shared" ca="1" si="469"/>
        <v>0</v>
      </c>
      <c r="AN133" s="164">
        <f t="shared" ca="1" si="470"/>
        <v>0</v>
      </c>
      <c r="AO133" s="164">
        <f t="shared" ca="1" si="471"/>
        <v>0</v>
      </c>
      <c r="AP133" s="164">
        <f t="shared" ca="1" si="472"/>
        <v>0</v>
      </c>
      <c r="AQ133" s="164">
        <f t="shared" ca="1" si="473"/>
        <v>0</v>
      </c>
      <c r="AR133" s="164">
        <f t="shared" ca="1" si="474"/>
        <v>0</v>
      </c>
      <c r="AS133" s="195"/>
      <c r="AT133" s="154">
        <f t="shared" ca="1" si="475"/>
        <v>0</v>
      </c>
      <c r="AU133" s="154">
        <f t="shared" ca="1" si="476"/>
        <v>0</v>
      </c>
      <c r="AV133" s="154">
        <f t="shared" ca="1" si="477"/>
        <v>0</v>
      </c>
      <c r="AW133" s="154">
        <f t="shared" ca="1" si="478"/>
        <v>0</v>
      </c>
      <c r="AX133" s="154">
        <f t="shared" ca="1" si="479"/>
        <v>0</v>
      </c>
      <c r="AY133" s="154">
        <f t="shared" ca="1" si="480"/>
        <v>0</v>
      </c>
      <c r="AZ133" s="154">
        <f t="shared" ca="1" si="481"/>
        <v>0</v>
      </c>
      <c r="BA133" s="154">
        <f t="shared" ca="1" si="482"/>
        <v>0</v>
      </c>
      <c r="BB133" s="154">
        <f t="shared" ca="1" si="483"/>
        <v>0</v>
      </c>
      <c r="BC133" s="154">
        <f t="shared" ca="1" si="484"/>
        <v>0</v>
      </c>
      <c r="BD133" s="154">
        <f t="shared" ca="1" si="485"/>
        <v>0</v>
      </c>
      <c r="BE133" s="154">
        <f t="shared" ca="1" si="486"/>
        <v>0</v>
      </c>
      <c r="BF133" s="154">
        <f t="shared" ca="1" si="487"/>
        <v>0</v>
      </c>
      <c r="BG133" s="154">
        <f t="shared" ca="1" si="488"/>
        <v>0</v>
      </c>
      <c r="BH133" s="154">
        <f t="shared" ca="1" si="489"/>
        <v>0</v>
      </c>
      <c r="BI133" s="154">
        <f t="shared" ca="1" si="490"/>
        <v>0</v>
      </c>
      <c r="BJ133" s="154">
        <f t="shared" ca="1" si="491"/>
        <v>0</v>
      </c>
      <c r="BK133" s="154">
        <f t="shared" ca="1" si="492"/>
        <v>0</v>
      </c>
      <c r="BL133" s="154">
        <f t="shared" ca="1" si="493"/>
        <v>0</v>
      </c>
      <c r="BM133" s="154">
        <f t="shared" ca="1" si="494"/>
        <v>0</v>
      </c>
      <c r="BN133" s="154">
        <f t="shared" ca="1" si="495"/>
        <v>0</v>
      </c>
      <c r="BO133" s="154">
        <f t="shared" ca="1" si="496"/>
        <v>0</v>
      </c>
      <c r="BP133" s="154">
        <f t="shared" ca="1" si="497"/>
        <v>0</v>
      </c>
      <c r="BQ133" s="154">
        <f t="shared" ca="1" si="498"/>
        <v>0</v>
      </c>
      <c r="BR133" s="154">
        <f t="shared" ca="1" si="499"/>
        <v>0</v>
      </c>
      <c r="BS133" s="154">
        <f t="shared" ca="1" si="500"/>
        <v>0</v>
      </c>
      <c r="BT133" s="154">
        <f t="shared" ca="1" si="501"/>
        <v>0</v>
      </c>
      <c r="BU133" s="154">
        <f t="shared" ca="1" si="502"/>
        <v>0</v>
      </c>
      <c r="BV133" s="154">
        <f t="shared" ca="1" si="503"/>
        <v>0</v>
      </c>
      <c r="BW133" s="154">
        <f t="shared" ca="1" si="504"/>
        <v>0</v>
      </c>
      <c r="BX133" s="154">
        <f t="shared" ca="1" si="505"/>
        <v>0</v>
      </c>
      <c r="BY133" s="154">
        <f t="shared" ca="1" si="506"/>
        <v>0</v>
      </c>
      <c r="BZ133" s="154">
        <f t="shared" si="507"/>
        <v>0</v>
      </c>
      <c r="CA133" s="154">
        <f t="shared" si="508"/>
        <v>0</v>
      </c>
      <c r="CB133" s="154">
        <f t="shared" ca="1" si="509"/>
        <v>0</v>
      </c>
      <c r="CC133" s="523"/>
      <c r="CD133" s="355">
        <f t="shared" si="510"/>
        <v>157</v>
      </c>
      <c r="CE133" s="751" t="str">
        <f t="shared" ca="1" si="511"/>
        <v>B</v>
      </c>
      <c r="CF133" s="355" t="str">
        <f ca="1">IF(EXACT($B133,""),$CF132,CONCATENATE($CF132,$A133))</f>
        <v/>
      </c>
      <c r="CG133" s="268"/>
      <c r="CH133" s="268"/>
      <c r="CI133" s="269">
        <f t="shared" ca="1" si="512"/>
        <v>0</v>
      </c>
      <c r="CJ133" s="269">
        <f t="shared" ca="1" si="513"/>
        <v>0</v>
      </c>
      <c r="CK133" s="268"/>
      <c r="CL133" s="268"/>
      <c r="CM133" s="268">
        <f t="shared" ca="1" si="327"/>
        <v>0</v>
      </c>
      <c r="CN133" s="269">
        <f t="shared" ca="1" si="328"/>
        <v>0</v>
      </c>
      <c r="CO133" s="268" t="str">
        <f t="shared" ca="1" si="514"/>
        <v>B</v>
      </c>
      <c r="CP133" s="269" t="b">
        <f t="shared" ca="1" si="515"/>
        <v>1</v>
      </c>
      <c r="CQ133" s="269">
        <f t="shared" si="516"/>
        <v>0</v>
      </c>
      <c r="CR133" s="269">
        <f t="shared" si="517"/>
        <v>0</v>
      </c>
      <c r="CS133" s="269">
        <f t="shared" ca="1" si="518"/>
        <v>0</v>
      </c>
      <c r="CT133" s="302" t="str">
        <f t="shared" ca="1" si="519"/>
        <v>0</v>
      </c>
      <c r="CU133" s="269">
        <f t="shared" ca="1" si="520"/>
        <v>0</v>
      </c>
      <c r="CV133" s="268"/>
      <c r="CW133" s="269">
        <f t="shared" ca="1" si="521"/>
        <v>0</v>
      </c>
      <c r="CX133" s="301">
        <f t="shared" ca="1" si="522"/>
        <v>0</v>
      </c>
      <c r="CY133" s="301">
        <f t="shared" ca="1" si="329"/>
        <v>0</v>
      </c>
      <c r="CZ133" s="301">
        <f t="shared" ca="1" si="523"/>
        <v>0</v>
      </c>
      <c r="DA133" s="301">
        <f t="shared" ca="1" si="524"/>
        <v>0</v>
      </c>
      <c r="DB133" t="str">
        <f ca="1">IF(AND(NOT(AND(ISBLANK($G133),ISBLANK($I133))),OR($O$246&lt;4,IF($O$141="",TRUE,$O$141&lt;7))),"L/S 4+ &amp; Musizieren 7+",IF(AND(NOT(ISBLANK($F133)),$F133&lt;=$B133),"TaW SE zu klein",""))</f>
        <v/>
      </c>
      <c r="DC133" s="301" t="str">
        <f t="shared" ca="1" si="525"/>
        <v/>
      </c>
      <c r="DD133" s="1337" t="str">
        <f t="shared" ca="1" si="535"/>
        <v/>
      </c>
      <c r="DE133" s="1337" t="str">
        <f t="shared" ca="1" si="536"/>
        <v/>
      </c>
      <c r="DG133" s="269" t="str">
        <f t="shared" ca="1" si="526"/>
        <v>Tabellen_Andere!BA59:BF59</v>
      </c>
      <c r="DH133" s="269" t="str">
        <f t="shared" si="527"/>
        <v>Tabellen_Andere!BA59:BF59</v>
      </c>
      <c r="DI133" s="269" t="str">
        <f ca="1">IF(NOT(ISERR(FIND(A133&amp;" ",Abfragen!$O$264,1))),MID(Abfragen!$O$264,FIND("(",Abfragen!$O$264,FIND(A133,Abfragen!$O$264,1)+LEN(A133))+1,FIND(")",Abfragen!$O$264,FIND(A133,Abfragen!$O$264,1)+LEN(A133))-FIND("(",Abfragen!$O$264,FIND(A133,Abfragen!$O$264,1)+LEN(A133))-1),"")</f>
        <v/>
      </c>
      <c r="DJ133" s="301" t="str">
        <f t="shared" ca="1" si="543"/>
        <v>B</v>
      </c>
      <c r="DK133" s="301" t="str">
        <f t="shared" ca="1" si="543"/>
        <v>B</v>
      </c>
      <c r="DL133" s="301" t="str">
        <f t="shared" ca="1" si="543"/>
        <v>B</v>
      </c>
      <c r="DM133" s="301" t="str">
        <f t="shared" ca="1" si="543"/>
        <v>B</v>
      </c>
      <c r="DN133" s="301" t="str">
        <f t="shared" ca="1" si="543"/>
        <v>B</v>
      </c>
      <c r="DO133" s="301" t="str">
        <f t="shared" ca="1" si="543"/>
        <v>B</v>
      </c>
      <c r="DP133" s="301" t="str">
        <f t="shared" ca="1" si="543"/>
        <v>B</v>
      </c>
      <c r="DQ133" s="301" t="str">
        <f t="shared" ca="1" si="543"/>
        <v>B</v>
      </c>
      <c r="DR133" s="301" t="str">
        <f t="shared" ca="1" si="543"/>
        <v>B</v>
      </c>
      <c r="DS133" s="301" t="str">
        <f t="shared" ca="1" si="543"/>
        <v>B</v>
      </c>
      <c r="DT133" s="301" t="str">
        <f t="shared" ca="1" si="544"/>
        <v>B</v>
      </c>
      <c r="DU133" s="301" t="str">
        <f t="shared" ca="1" si="544"/>
        <v>B</v>
      </c>
      <c r="DV133" s="301" t="str">
        <f t="shared" ca="1" si="544"/>
        <v>B</v>
      </c>
      <c r="DW133" s="301" t="str">
        <f t="shared" ca="1" si="544"/>
        <v>B</v>
      </c>
      <c r="DX133" s="301" t="str">
        <f t="shared" ca="1" si="544"/>
        <v>B</v>
      </c>
      <c r="DY133" s="301" t="str">
        <f t="shared" ca="1" si="544"/>
        <v>B</v>
      </c>
      <c r="DZ133" s="301" t="str">
        <f t="shared" ca="1" si="544"/>
        <v>B</v>
      </c>
      <c r="EA133" s="301" t="str">
        <f t="shared" ca="1" si="544"/>
        <v>B</v>
      </c>
      <c r="EB133" s="301" t="str">
        <f t="shared" ca="1" si="544"/>
        <v>B</v>
      </c>
      <c r="EC133" s="301" t="str">
        <f t="shared" ca="1" si="544"/>
        <v>B</v>
      </c>
      <c r="ED133" s="301" t="str">
        <f t="shared" ca="1" si="544"/>
        <v>B</v>
      </c>
      <c r="EE133" s="301" t="str">
        <f t="shared" ca="1" si="544"/>
        <v>B</v>
      </c>
      <c r="EF133" s="205"/>
      <c r="EG133" s="301" t="str">
        <f t="shared" ca="1" si="545"/>
        <v>B</v>
      </c>
      <c r="EH133" s="301" t="str">
        <f t="shared" ca="1" si="545"/>
        <v>B</v>
      </c>
      <c r="EI133" s="301" t="str">
        <f t="shared" ca="1" si="545"/>
        <v>B</v>
      </c>
      <c r="EJ133" s="301" t="str">
        <f t="shared" ca="1" si="545"/>
        <v>B</v>
      </c>
      <c r="EK133" s="301" t="str">
        <f t="shared" ca="1" si="545"/>
        <v>B</v>
      </c>
      <c r="EL133" s="301" t="str">
        <f t="shared" ca="1" si="545"/>
        <v>B</v>
      </c>
      <c r="EM133" s="301" t="str">
        <f t="shared" ca="1" si="545"/>
        <v>B</v>
      </c>
      <c r="EN133" s="301" t="str">
        <f t="shared" ca="1" si="545"/>
        <v>B</v>
      </c>
      <c r="EO133" s="301" t="str">
        <f t="shared" ca="1" si="545"/>
        <v>B</v>
      </c>
      <c r="EP133" s="301" t="str">
        <f t="shared" ca="1" si="545"/>
        <v>B</v>
      </c>
      <c r="EQ133" s="301" t="str">
        <f t="shared" ca="1" si="546"/>
        <v>B</v>
      </c>
      <c r="ER133" s="301" t="str">
        <f t="shared" ca="1" si="546"/>
        <v>B</v>
      </c>
      <c r="ES133" s="301" t="str">
        <f t="shared" ca="1" si="546"/>
        <v>B</v>
      </c>
      <c r="ET133" s="301" t="str">
        <f t="shared" ca="1" si="546"/>
        <v>B</v>
      </c>
      <c r="EU133" s="301" t="str">
        <f t="shared" ca="1" si="546"/>
        <v>B</v>
      </c>
      <c r="EV133" s="301" t="str">
        <f t="shared" ca="1" si="546"/>
        <v>B</v>
      </c>
      <c r="EW133" s="301" t="str">
        <f t="shared" ca="1" si="546"/>
        <v>B</v>
      </c>
      <c r="EX133" s="301" t="str">
        <f t="shared" ca="1" si="546"/>
        <v>B</v>
      </c>
      <c r="EY133" s="301" t="str">
        <f t="shared" ca="1" si="546"/>
        <v>B</v>
      </c>
      <c r="EZ133" s="301" t="str">
        <f t="shared" ca="1" si="546"/>
        <v>B</v>
      </c>
      <c r="FA133" s="301" t="str">
        <f t="shared" ca="1" si="547"/>
        <v>B</v>
      </c>
      <c r="FB133" s="301" t="str">
        <f t="shared" ca="1" si="547"/>
        <v>B</v>
      </c>
      <c r="FC133" s="301" t="str">
        <f t="shared" ca="1" si="547"/>
        <v>B</v>
      </c>
      <c r="FD133" s="301" t="str">
        <f t="shared" ca="1" si="547"/>
        <v>B</v>
      </c>
      <c r="FE133" s="301" t="str">
        <f t="shared" ca="1" si="547"/>
        <v>B</v>
      </c>
      <c r="FF133" s="301" t="str">
        <f t="shared" ca="1" si="547"/>
        <v>B</v>
      </c>
      <c r="FG133" s="301" t="str">
        <f t="shared" ca="1" si="547"/>
        <v>B</v>
      </c>
      <c r="FH133" s="301" t="str">
        <f t="shared" ca="1" si="547"/>
        <v>B</v>
      </c>
      <c r="FI133" s="301" t="str">
        <f t="shared" ca="1" si="547"/>
        <v>B</v>
      </c>
      <c r="FJ133" s="301" t="str">
        <f t="shared" ca="1" si="547"/>
        <v>B</v>
      </c>
      <c r="FK133" s="301" t="str">
        <f t="shared" ca="1" si="547"/>
        <v>B</v>
      </c>
      <c r="FL133" s="301" t="str">
        <f t="shared" ca="1" si="547"/>
        <v>B</v>
      </c>
    </row>
    <row r="134" spans="1:168" x14ac:dyDescent="0.2">
      <c r="A134" s="38" t="str">
        <f t="shared" si="533"/>
        <v>Kartographie</v>
      </c>
      <c r="B134" s="317" t="str">
        <f t="shared" ca="1" si="448"/>
        <v/>
      </c>
      <c r="C134" s="332" t="str">
        <f ca="1">IF(OR(NOT(ISBLANK(D134)),NOT(ISBLANK(HLOOKUP(RASSEGENE,RASSE,$CD134,FALSE))),
NOT(ISBLANK(HLOOKUP(KULTURGENE,KULTUR,$CD134,FALSE))),
NOT(OR(ISBLANK(HLOOKUP(PROFGENE,INDIRECT(PROFGEBIET),$CD134,FALSE)),$CS134="N",$CS134="M")),
IF(PROFZWEITE="",FALSE,NOT(ISBLANK(HLOOKUP(PROFZWEITE,INDIRECT(PROFGEBIET2),$CD134,FALSE))))),"x","")</f>
        <v/>
      </c>
      <c r="D134" s="1110"/>
      <c r="E134" s="966"/>
      <c r="F134" s="325"/>
      <c r="G134" s="958"/>
      <c r="H134" s="1196"/>
      <c r="I134" s="326"/>
      <c r="J134" s="1886" t="str">
        <f t="shared" ca="1" si="450"/>
        <v/>
      </c>
      <c r="K134" s="1887"/>
      <c r="L134" s="1887"/>
      <c r="M134" s="1887"/>
      <c r="N134" s="1888"/>
      <c r="O134" s="613" t="str">
        <f t="shared" ca="1" si="451"/>
        <v/>
      </c>
      <c r="P134" s="90"/>
      <c r="Q134" s="25"/>
      <c r="R134" s="1313"/>
      <c r="S134" s="1313"/>
      <c r="T134" s="1315"/>
      <c r="U134" s="1283"/>
      <c r="V134" s="628" t="str">
        <f t="shared" ca="1" si="452"/>
        <v/>
      </c>
      <c r="W134" s="164">
        <f t="shared" ca="1" si="453"/>
        <v>0</v>
      </c>
      <c r="X134" s="164">
        <f t="shared" ca="1" si="454"/>
        <v>0</v>
      </c>
      <c r="Y134" s="164">
        <f t="shared" ca="1" si="455"/>
        <v>0</v>
      </c>
      <c r="Z134" s="164">
        <f t="shared" ca="1" si="456"/>
        <v>0</v>
      </c>
      <c r="AA134" s="164">
        <f t="shared" ca="1" si="457"/>
        <v>0</v>
      </c>
      <c r="AB134" s="164">
        <f t="shared" ca="1" si="458"/>
        <v>0</v>
      </c>
      <c r="AC134" s="164">
        <f t="shared" ca="1" si="459"/>
        <v>0</v>
      </c>
      <c r="AD134" s="164">
        <f t="shared" ca="1" si="460"/>
        <v>0</v>
      </c>
      <c r="AE134" s="164">
        <f t="shared" ca="1" si="461"/>
        <v>0</v>
      </c>
      <c r="AF134" s="164">
        <f t="shared" ca="1" si="462"/>
        <v>0</v>
      </c>
      <c r="AG134" s="164">
        <f t="shared" ca="1" si="463"/>
        <v>0</v>
      </c>
      <c r="AH134" s="164">
        <f t="shared" ca="1" si="464"/>
        <v>0</v>
      </c>
      <c r="AI134" s="164">
        <f t="shared" ca="1" si="465"/>
        <v>0</v>
      </c>
      <c r="AJ134" s="164">
        <f t="shared" ca="1" si="466"/>
        <v>0</v>
      </c>
      <c r="AK134" s="164">
        <f t="shared" ca="1" si="467"/>
        <v>0</v>
      </c>
      <c r="AL134" s="164">
        <f t="shared" ca="1" si="468"/>
        <v>0</v>
      </c>
      <c r="AM134" s="164">
        <f t="shared" ca="1" si="469"/>
        <v>0</v>
      </c>
      <c r="AN134" s="164">
        <f t="shared" ca="1" si="470"/>
        <v>0</v>
      </c>
      <c r="AO134" s="164">
        <f t="shared" ca="1" si="471"/>
        <v>0</v>
      </c>
      <c r="AP134" s="164">
        <f t="shared" ca="1" si="472"/>
        <v>0</v>
      </c>
      <c r="AQ134" s="164">
        <f t="shared" ca="1" si="473"/>
        <v>0</v>
      </c>
      <c r="AR134" s="164">
        <f t="shared" ca="1" si="474"/>
        <v>0</v>
      </c>
      <c r="AS134" s="195"/>
      <c r="AT134" s="154">
        <f t="shared" ca="1" si="475"/>
        <v>0</v>
      </c>
      <c r="AU134" s="154">
        <f t="shared" ca="1" si="476"/>
        <v>0</v>
      </c>
      <c r="AV134" s="154">
        <f t="shared" ca="1" si="477"/>
        <v>0</v>
      </c>
      <c r="AW134" s="154">
        <f t="shared" ca="1" si="478"/>
        <v>0</v>
      </c>
      <c r="AX134" s="154">
        <f t="shared" ca="1" si="479"/>
        <v>0</v>
      </c>
      <c r="AY134" s="154">
        <f t="shared" ca="1" si="480"/>
        <v>0</v>
      </c>
      <c r="AZ134" s="154">
        <f t="shared" ca="1" si="481"/>
        <v>0</v>
      </c>
      <c r="BA134" s="154">
        <f t="shared" ca="1" si="482"/>
        <v>0</v>
      </c>
      <c r="BB134" s="154">
        <f t="shared" ca="1" si="483"/>
        <v>0</v>
      </c>
      <c r="BC134" s="154">
        <f t="shared" ca="1" si="484"/>
        <v>0</v>
      </c>
      <c r="BD134" s="154">
        <f t="shared" ca="1" si="485"/>
        <v>0</v>
      </c>
      <c r="BE134" s="154">
        <f t="shared" ca="1" si="486"/>
        <v>0</v>
      </c>
      <c r="BF134" s="154">
        <f t="shared" ca="1" si="487"/>
        <v>0</v>
      </c>
      <c r="BG134" s="154">
        <f t="shared" ca="1" si="488"/>
        <v>0</v>
      </c>
      <c r="BH134" s="154">
        <f t="shared" ca="1" si="489"/>
        <v>0</v>
      </c>
      <c r="BI134" s="154">
        <f t="shared" ca="1" si="490"/>
        <v>0</v>
      </c>
      <c r="BJ134" s="154">
        <f t="shared" ca="1" si="491"/>
        <v>0</v>
      </c>
      <c r="BK134" s="154">
        <f t="shared" ca="1" si="492"/>
        <v>0</v>
      </c>
      <c r="BL134" s="154">
        <f t="shared" ca="1" si="493"/>
        <v>0</v>
      </c>
      <c r="BM134" s="154">
        <f t="shared" ca="1" si="494"/>
        <v>0</v>
      </c>
      <c r="BN134" s="154">
        <f t="shared" ca="1" si="495"/>
        <v>0</v>
      </c>
      <c r="BO134" s="154">
        <f t="shared" ca="1" si="496"/>
        <v>0</v>
      </c>
      <c r="BP134" s="154">
        <f t="shared" ca="1" si="497"/>
        <v>0</v>
      </c>
      <c r="BQ134" s="154">
        <f t="shared" ca="1" si="498"/>
        <v>0</v>
      </c>
      <c r="BR134" s="154">
        <f t="shared" ca="1" si="499"/>
        <v>0</v>
      </c>
      <c r="BS134" s="154">
        <f t="shared" ca="1" si="500"/>
        <v>0</v>
      </c>
      <c r="BT134" s="154">
        <f t="shared" ca="1" si="501"/>
        <v>0</v>
      </c>
      <c r="BU134" s="154">
        <f t="shared" ca="1" si="502"/>
        <v>0</v>
      </c>
      <c r="BV134" s="154">
        <f t="shared" ca="1" si="503"/>
        <v>0</v>
      </c>
      <c r="BW134" s="154">
        <f t="shared" ca="1" si="504"/>
        <v>0</v>
      </c>
      <c r="BX134" s="154">
        <f t="shared" ca="1" si="505"/>
        <v>0</v>
      </c>
      <c r="BY134" s="154">
        <f t="shared" ca="1" si="506"/>
        <v>0</v>
      </c>
      <c r="BZ134" s="154">
        <f t="shared" si="507"/>
        <v>0</v>
      </c>
      <c r="CA134" s="154">
        <f t="shared" si="508"/>
        <v>0</v>
      </c>
      <c r="CB134" s="154">
        <f t="shared" ca="1" si="509"/>
        <v>0</v>
      </c>
      <c r="CC134" s="523"/>
      <c r="CD134" s="355">
        <f t="shared" si="510"/>
        <v>158</v>
      </c>
      <c r="CE134" s="751" t="str">
        <f t="shared" ca="1" si="511"/>
        <v>B</v>
      </c>
      <c r="CF134" s="355" t="str">
        <f ca="1">IF(EXACT($B134,""),$CF133,CONCATENATE($CF133,$A134))</f>
        <v/>
      </c>
      <c r="CG134" s="268"/>
      <c r="CH134" s="268"/>
      <c r="CI134" s="269">
        <f t="shared" ca="1" si="512"/>
        <v>0</v>
      </c>
      <c r="CJ134" s="269">
        <f t="shared" ca="1" si="513"/>
        <v>0</v>
      </c>
      <c r="CK134" s="268"/>
      <c r="CL134" s="268"/>
      <c r="CM134" s="268">
        <f t="shared" ca="1" si="327"/>
        <v>0</v>
      </c>
      <c r="CN134" s="269">
        <f t="shared" ca="1" si="328"/>
        <v>0</v>
      </c>
      <c r="CO134" s="268" t="str">
        <f t="shared" ca="1" si="514"/>
        <v>B</v>
      </c>
      <c r="CP134" s="269" t="b">
        <f t="shared" ca="1" si="515"/>
        <v>1</v>
      </c>
      <c r="CQ134" s="269">
        <f t="shared" si="516"/>
        <v>0</v>
      </c>
      <c r="CR134" s="269">
        <f t="shared" si="517"/>
        <v>0</v>
      </c>
      <c r="CS134" s="269">
        <f t="shared" ca="1" si="518"/>
        <v>0</v>
      </c>
      <c r="CT134" s="302" t="str">
        <f t="shared" ca="1" si="519"/>
        <v>0</v>
      </c>
      <c r="CU134" s="269">
        <f t="shared" ca="1" si="520"/>
        <v>0</v>
      </c>
      <c r="CV134" s="268"/>
      <c r="CW134" s="269">
        <f t="shared" ca="1" si="521"/>
        <v>0</v>
      </c>
      <c r="CX134" s="301">
        <f t="shared" ca="1" si="522"/>
        <v>0</v>
      </c>
      <c r="CY134" s="301">
        <f t="shared" ca="1" si="329"/>
        <v>0</v>
      </c>
      <c r="CZ134" s="301">
        <f t="shared" ca="1" si="523"/>
        <v>0</v>
      </c>
      <c r="DA134" s="301">
        <f t="shared" ca="1" si="524"/>
        <v>0</v>
      </c>
      <c r="DB134" t="str">
        <f ca="1">IF(AND(NOT(AND(ISBLANK($G134),ISBLANK($I134))),$O$138&lt;4),"M/Z 4+",IF(AND(NOT(ISBLANK($F134)),$F134&lt;=$B134),"TaW SE zu klein",""))</f>
        <v/>
      </c>
      <c r="DC134" s="301" t="str">
        <f t="shared" ca="1" si="525"/>
        <v/>
      </c>
      <c r="DD134" s="1337" t="str">
        <f t="shared" ca="1" si="535"/>
        <v/>
      </c>
      <c r="DE134" s="1337" t="str">
        <f t="shared" ca="1" si="536"/>
        <v/>
      </c>
      <c r="DG134" s="269" t="str">
        <f t="shared" ca="1" si="526"/>
        <v>Tabellen_Andere!BA60:BF60</v>
      </c>
      <c r="DH134" s="269" t="str">
        <f t="shared" si="527"/>
        <v>Tabellen_Andere!BA60:BF60</v>
      </c>
      <c r="DI134" s="269" t="str">
        <f ca="1">IF(NOT(ISERR(FIND(A134&amp;" ",Abfragen!$O$264,1))),MID(Abfragen!$O$264,FIND("(",Abfragen!$O$264,FIND(A134,Abfragen!$O$264,1)+LEN(A134))+1,FIND(")",Abfragen!$O$264,FIND(A134,Abfragen!$O$264,1)+LEN(A134))-FIND("(",Abfragen!$O$264,FIND(A134,Abfragen!$O$264,1)+LEN(A134))-1),"")</f>
        <v/>
      </c>
      <c r="DJ134" s="301" t="str">
        <f t="shared" ca="1" si="543"/>
        <v>B</v>
      </c>
      <c r="DK134" s="301" t="str">
        <f t="shared" ca="1" si="543"/>
        <v>B</v>
      </c>
      <c r="DL134" s="301" t="str">
        <f t="shared" ca="1" si="543"/>
        <v>B</v>
      </c>
      <c r="DM134" s="301" t="str">
        <f t="shared" ca="1" si="543"/>
        <v>B</v>
      </c>
      <c r="DN134" s="301" t="str">
        <f t="shared" ca="1" si="543"/>
        <v>B</v>
      </c>
      <c r="DO134" s="301" t="str">
        <f t="shared" ca="1" si="543"/>
        <v>B</v>
      </c>
      <c r="DP134" s="301" t="str">
        <f t="shared" ca="1" si="543"/>
        <v>B</v>
      </c>
      <c r="DQ134" s="301" t="str">
        <f t="shared" ca="1" si="543"/>
        <v>B</v>
      </c>
      <c r="DR134" s="301" t="str">
        <f t="shared" ca="1" si="543"/>
        <v>B</v>
      </c>
      <c r="DS134" s="301" t="str">
        <f t="shared" ca="1" si="543"/>
        <v>B</v>
      </c>
      <c r="DT134" s="301" t="str">
        <f t="shared" ca="1" si="544"/>
        <v>B</v>
      </c>
      <c r="DU134" s="301" t="str">
        <f t="shared" ca="1" si="544"/>
        <v>B</v>
      </c>
      <c r="DV134" s="301" t="str">
        <f t="shared" ca="1" si="544"/>
        <v>B</v>
      </c>
      <c r="DW134" s="301" t="str">
        <f t="shared" ca="1" si="544"/>
        <v>B</v>
      </c>
      <c r="DX134" s="301" t="str">
        <f t="shared" ca="1" si="544"/>
        <v>B</v>
      </c>
      <c r="DY134" s="301" t="str">
        <f t="shared" ca="1" si="544"/>
        <v>B</v>
      </c>
      <c r="DZ134" s="301" t="str">
        <f t="shared" ca="1" si="544"/>
        <v>B</v>
      </c>
      <c r="EA134" s="301" t="str">
        <f t="shared" ca="1" si="544"/>
        <v>B</v>
      </c>
      <c r="EB134" s="301" t="str">
        <f t="shared" ca="1" si="544"/>
        <v>B</v>
      </c>
      <c r="EC134" s="301" t="str">
        <f t="shared" ca="1" si="544"/>
        <v>B</v>
      </c>
      <c r="ED134" s="301" t="str">
        <f t="shared" ca="1" si="544"/>
        <v>B</v>
      </c>
      <c r="EE134" s="301" t="str">
        <f t="shared" ca="1" si="544"/>
        <v>B</v>
      </c>
      <c r="EF134" s="205"/>
      <c r="EG134" s="301" t="str">
        <f t="shared" ca="1" si="545"/>
        <v>B</v>
      </c>
      <c r="EH134" s="301" t="str">
        <f t="shared" ca="1" si="545"/>
        <v>B</v>
      </c>
      <c r="EI134" s="301" t="str">
        <f t="shared" ca="1" si="545"/>
        <v>B</v>
      </c>
      <c r="EJ134" s="301" t="str">
        <f t="shared" ca="1" si="545"/>
        <v>B</v>
      </c>
      <c r="EK134" s="301" t="str">
        <f t="shared" ca="1" si="545"/>
        <v>B</v>
      </c>
      <c r="EL134" s="301" t="str">
        <f t="shared" ca="1" si="545"/>
        <v>B</v>
      </c>
      <c r="EM134" s="301" t="str">
        <f t="shared" ca="1" si="545"/>
        <v>B</v>
      </c>
      <c r="EN134" s="301" t="str">
        <f t="shared" ca="1" si="545"/>
        <v>B</v>
      </c>
      <c r="EO134" s="301" t="str">
        <f t="shared" ca="1" si="545"/>
        <v>B</v>
      </c>
      <c r="EP134" s="301" t="str">
        <f t="shared" ca="1" si="545"/>
        <v>B</v>
      </c>
      <c r="EQ134" s="301" t="str">
        <f t="shared" ca="1" si="546"/>
        <v>B</v>
      </c>
      <c r="ER134" s="301" t="str">
        <f t="shared" ca="1" si="546"/>
        <v>B</v>
      </c>
      <c r="ES134" s="301" t="str">
        <f t="shared" ca="1" si="546"/>
        <v>B</v>
      </c>
      <c r="ET134" s="301" t="str">
        <f t="shared" ca="1" si="546"/>
        <v>B</v>
      </c>
      <c r="EU134" s="301" t="str">
        <f t="shared" ca="1" si="546"/>
        <v>B</v>
      </c>
      <c r="EV134" s="301" t="str">
        <f t="shared" ca="1" si="546"/>
        <v>B</v>
      </c>
      <c r="EW134" s="301" t="str">
        <f t="shared" ca="1" si="546"/>
        <v>B</v>
      </c>
      <c r="EX134" s="301" t="str">
        <f t="shared" ca="1" si="546"/>
        <v>B</v>
      </c>
      <c r="EY134" s="301" t="str">
        <f t="shared" ca="1" si="546"/>
        <v>B</v>
      </c>
      <c r="EZ134" s="301" t="str">
        <f t="shared" ca="1" si="546"/>
        <v>B</v>
      </c>
      <c r="FA134" s="301" t="str">
        <f t="shared" ca="1" si="547"/>
        <v>B</v>
      </c>
      <c r="FB134" s="301" t="str">
        <f t="shared" ca="1" si="547"/>
        <v>B</v>
      </c>
      <c r="FC134" s="301" t="str">
        <f t="shared" ca="1" si="547"/>
        <v>B</v>
      </c>
      <c r="FD134" s="301" t="str">
        <f t="shared" ca="1" si="547"/>
        <v>B</v>
      </c>
      <c r="FE134" s="301" t="str">
        <f t="shared" ca="1" si="547"/>
        <v>B</v>
      </c>
      <c r="FF134" s="301" t="str">
        <f t="shared" ca="1" si="547"/>
        <v>B</v>
      </c>
      <c r="FG134" s="301" t="str">
        <f t="shared" ca="1" si="547"/>
        <v>B</v>
      </c>
      <c r="FH134" s="301" t="str">
        <f t="shared" ca="1" si="547"/>
        <v>B</v>
      </c>
      <c r="FI134" s="301" t="str">
        <f t="shared" ca="1" si="547"/>
        <v>B</v>
      </c>
      <c r="FJ134" s="301" t="str">
        <f t="shared" ca="1" si="547"/>
        <v>B</v>
      </c>
      <c r="FK134" s="301" t="str">
        <f t="shared" ca="1" si="547"/>
        <v>B</v>
      </c>
      <c r="FL134" s="301" t="str">
        <f t="shared" ca="1" si="547"/>
        <v>B</v>
      </c>
    </row>
    <row r="135" spans="1:168" x14ac:dyDescent="0.2">
      <c r="A135" s="38" t="str">
        <f t="shared" si="533"/>
        <v>Kochen</v>
      </c>
      <c r="B135" s="317">
        <f t="shared" ca="1" si="448"/>
        <v>0</v>
      </c>
      <c r="C135" s="332" t="s">
        <v>1321</v>
      </c>
      <c r="D135" s="1110"/>
      <c r="E135" s="966"/>
      <c r="F135" s="325"/>
      <c r="G135" s="963"/>
      <c r="H135" s="1196"/>
      <c r="I135" s="326"/>
      <c r="J135" s="1886" t="str">
        <f t="shared" ca="1" si="450"/>
        <v/>
      </c>
      <c r="K135" s="1887"/>
      <c r="L135" s="1887"/>
      <c r="M135" s="1887"/>
      <c r="N135" s="1888"/>
      <c r="O135" s="613">
        <f t="shared" ca="1" si="451"/>
        <v>0</v>
      </c>
      <c r="P135" s="90"/>
      <c r="Q135" s="25"/>
      <c r="R135" s="1313"/>
      <c r="S135" s="1313"/>
      <c r="T135" s="1315"/>
      <c r="U135" s="1283"/>
      <c r="V135" s="628" t="str">
        <f t="shared" ca="1" si="452"/>
        <v/>
      </c>
      <c r="W135" s="164">
        <f t="shared" ca="1" si="453"/>
        <v>0</v>
      </c>
      <c r="X135" s="164">
        <f t="shared" ca="1" si="454"/>
        <v>0</v>
      </c>
      <c r="Y135" s="164">
        <f t="shared" ca="1" si="455"/>
        <v>0</v>
      </c>
      <c r="Z135" s="164">
        <f t="shared" ca="1" si="456"/>
        <v>0</v>
      </c>
      <c r="AA135" s="164">
        <f t="shared" ca="1" si="457"/>
        <v>0</v>
      </c>
      <c r="AB135" s="164">
        <f t="shared" ca="1" si="458"/>
        <v>0</v>
      </c>
      <c r="AC135" s="164">
        <f t="shared" ca="1" si="459"/>
        <v>0</v>
      </c>
      <c r="AD135" s="164">
        <f t="shared" ca="1" si="460"/>
        <v>0</v>
      </c>
      <c r="AE135" s="164">
        <f t="shared" ca="1" si="461"/>
        <v>0</v>
      </c>
      <c r="AF135" s="164">
        <f t="shared" ca="1" si="462"/>
        <v>0</v>
      </c>
      <c r="AG135" s="164">
        <f t="shared" ca="1" si="463"/>
        <v>0</v>
      </c>
      <c r="AH135" s="164">
        <f t="shared" ca="1" si="464"/>
        <v>0</v>
      </c>
      <c r="AI135" s="164">
        <f t="shared" ca="1" si="465"/>
        <v>0</v>
      </c>
      <c r="AJ135" s="164">
        <f t="shared" ca="1" si="466"/>
        <v>0</v>
      </c>
      <c r="AK135" s="164">
        <f t="shared" ca="1" si="467"/>
        <v>0</v>
      </c>
      <c r="AL135" s="164">
        <f t="shared" ca="1" si="468"/>
        <v>0</v>
      </c>
      <c r="AM135" s="164">
        <f t="shared" ca="1" si="469"/>
        <v>0</v>
      </c>
      <c r="AN135" s="164">
        <f t="shared" ca="1" si="470"/>
        <v>0</v>
      </c>
      <c r="AO135" s="164">
        <f t="shared" ca="1" si="471"/>
        <v>0</v>
      </c>
      <c r="AP135" s="164">
        <f t="shared" ca="1" si="472"/>
        <v>0</v>
      </c>
      <c r="AQ135" s="164">
        <f t="shared" ca="1" si="473"/>
        <v>0</v>
      </c>
      <c r="AR135" s="164">
        <f t="shared" ca="1" si="474"/>
        <v>0</v>
      </c>
      <c r="AS135" s="195"/>
      <c r="AT135" s="154">
        <f t="shared" ca="1" si="475"/>
        <v>0</v>
      </c>
      <c r="AU135" s="154">
        <f t="shared" ca="1" si="476"/>
        <v>0</v>
      </c>
      <c r="AV135" s="154">
        <f t="shared" ca="1" si="477"/>
        <v>0</v>
      </c>
      <c r="AW135" s="154">
        <f t="shared" ca="1" si="478"/>
        <v>0</v>
      </c>
      <c r="AX135" s="154">
        <f t="shared" ca="1" si="479"/>
        <v>0</v>
      </c>
      <c r="AY135" s="154">
        <f t="shared" ca="1" si="480"/>
        <v>0</v>
      </c>
      <c r="AZ135" s="154">
        <f t="shared" ca="1" si="481"/>
        <v>0</v>
      </c>
      <c r="BA135" s="154">
        <f t="shared" ca="1" si="482"/>
        <v>0</v>
      </c>
      <c r="BB135" s="154">
        <f t="shared" ca="1" si="483"/>
        <v>0</v>
      </c>
      <c r="BC135" s="154">
        <f t="shared" ca="1" si="484"/>
        <v>0</v>
      </c>
      <c r="BD135" s="154">
        <f t="shared" ca="1" si="485"/>
        <v>0</v>
      </c>
      <c r="BE135" s="154">
        <f t="shared" ca="1" si="486"/>
        <v>0</v>
      </c>
      <c r="BF135" s="154">
        <f t="shared" ca="1" si="487"/>
        <v>0</v>
      </c>
      <c r="BG135" s="154">
        <f t="shared" ca="1" si="488"/>
        <v>0</v>
      </c>
      <c r="BH135" s="154">
        <f t="shared" ca="1" si="489"/>
        <v>0</v>
      </c>
      <c r="BI135" s="154">
        <f t="shared" ca="1" si="490"/>
        <v>0</v>
      </c>
      <c r="BJ135" s="154">
        <f t="shared" ca="1" si="491"/>
        <v>0</v>
      </c>
      <c r="BK135" s="154">
        <f t="shared" ca="1" si="492"/>
        <v>0</v>
      </c>
      <c r="BL135" s="154">
        <f t="shared" ca="1" si="493"/>
        <v>0</v>
      </c>
      <c r="BM135" s="154">
        <f t="shared" ca="1" si="494"/>
        <v>0</v>
      </c>
      <c r="BN135" s="154">
        <f t="shared" ca="1" si="495"/>
        <v>0</v>
      </c>
      <c r="BO135" s="154">
        <f t="shared" ca="1" si="496"/>
        <v>0</v>
      </c>
      <c r="BP135" s="154">
        <f t="shared" ca="1" si="497"/>
        <v>0</v>
      </c>
      <c r="BQ135" s="154">
        <f t="shared" ca="1" si="498"/>
        <v>0</v>
      </c>
      <c r="BR135" s="154">
        <f t="shared" ca="1" si="499"/>
        <v>0</v>
      </c>
      <c r="BS135" s="154">
        <f t="shared" ca="1" si="500"/>
        <v>0</v>
      </c>
      <c r="BT135" s="154">
        <f t="shared" ca="1" si="501"/>
        <v>0</v>
      </c>
      <c r="BU135" s="154">
        <f t="shared" ca="1" si="502"/>
        <v>0</v>
      </c>
      <c r="BV135" s="154">
        <f t="shared" ca="1" si="503"/>
        <v>0</v>
      </c>
      <c r="BW135" s="154">
        <f t="shared" ca="1" si="504"/>
        <v>0</v>
      </c>
      <c r="BX135" s="154">
        <f t="shared" ca="1" si="505"/>
        <v>0</v>
      </c>
      <c r="BY135" s="154">
        <f t="shared" ca="1" si="506"/>
        <v>0</v>
      </c>
      <c r="BZ135" s="154">
        <f t="shared" si="507"/>
        <v>0</v>
      </c>
      <c r="CA135" s="154">
        <f t="shared" si="508"/>
        <v>0</v>
      </c>
      <c r="CB135" s="154">
        <f t="shared" ca="1" si="509"/>
        <v>0</v>
      </c>
      <c r="CC135" s="523"/>
      <c r="CD135" s="355">
        <f t="shared" si="510"/>
        <v>159</v>
      </c>
      <c r="CE135" s="751" t="str">
        <f t="shared" ca="1" si="511"/>
        <v>B</v>
      </c>
      <c r="CF135" s="355"/>
      <c r="CG135" s="268"/>
      <c r="CH135" s="268"/>
      <c r="CI135" s="269">
        <f t="shared" ca="1" si="512"/>
        <v>0</v>
      </c>
      <c r="CJ135" s="269">
        <f t="shared" ca="1" si="513"/>
        <v>0</v>
      </c>
      <c r="CK135" s="268"/>
      <c r="CL135" s="268"/>
      <c r="CM135" s="268">
        <f t="shared" ca="1" si="327"/>
        <v>0</v>
      </c>
      <c r="CN135" s="269">
        <f t="shared" ca="1" si="328"/>
        <v>0</v>
      </c>
      <c r="CO135" s="268" t="str">
        <f t="shared" ca="1" si="514"/>
        <v>B</v>
      </c>
      <c r="CP135" s="269" t="b">
        <f t="shared" ca="1" si="515"/>
        <v>1</v>
      </c>
      <c r="CQ135" s="269">
        <f t="shared" si="516"/>
        <v>0</v>
      </c>
      <c r="CR135" s="269">
        <f t="shared" si="517"/>
        <v>0</v>
      </c>
      <c r="CS135" s="269">
        <f t="shared" ca="1" si="518"/>
        <v>0</v>
      </c>
      <c r="CT135" s="302" t="str">
        <f t="shared" ca="1" si="519"/>
        <v>0</v>
      </c>
      <c r="CU135" s="269">
        <f t="shared" ca="1" si="520"/>
        <v>0</v>
      </c>
      <c r="CV135" s="268"/>
      <c r="CW135" s="269">
        <f t="shared" ca="1" si="521"/>
        <v>0</v>
      </c>
      <c r="CX135" s="301">
        <f t="shared" ca="1" si="522"/>
        <v>0</v>
      </c>
      <c r="CY135" s="301">
        <f t="shared" ca="1" si="329"/>
        <v>0</v>
      </c>
      <c r="CZ135" s="301">
        <f t="shared" ca="1" si="523"/>
        <v>0</v>
      </c>
      <c r="DA135" s="301">
        <f t="shared" ca="1" si="524"/>
        <v>0</v>
      </c>
      <c r="DB135" t="str">
        <f ca="1">IF(AND(NOT(ISBLANK($F135)),$F135&lt;=$B135),"TaW SE zu klein","")</f>
        <v/>
      </c>
      <c r="DC135" s="301" t="str">
        <f t="shared" ca="1" si="525"/>
        <v/>
      </c>
      <c r="DD135" s="1337" t="str">
        <f t="shared" ca="1" si="535"/>
        <v/>
      </c>
      <c r="DE135" s="1337" t="str">
        <f t="shared" ca="1" si="536"/>
        <v/>
      </c>
      <c r="DG135" s="269" t="str">
        <f t="shared" ca="1" si="526"/>
        <v>Tabellen_Andere!BA64:BF64</v>
      </c>
      <c r="DH135" s="269" t="str">
        <f t="shared" si="527"/>
        <v>Tabellen_Andere!BA64:BF64</v>
      </c>
      <c r="DI135" s="269" t="str">
        <f ca="1">IF(NOT(ISERR(FIND(A135&amp;" ",Abfragen!$O$264,1))),MID(Abfragen!$O$264,FIND("(",Abfragen!$O$264,FIND(A135,Abfragen!$O$264,1)+LEN(A135))+1,FIND(")",Abfragen!$O$264,FIND(A135,Abfragen!$O$264,1)+LEN(A135))-FIND("(",Abfragen!$O$264,FIND(A135,Abfragen!$O$264,1)+LEN(A135))-1),"")</f>
        <v/>
      </c>
      <c r="DJ135" s="301" t="str">
        <f t="shared" ca="1" si="543"/>
        <v>B</v>
      </c>
      <c r="DK135" s="301" t="str">
        <f t="shared" ca="1" si="543"/>
        <v>B</v>
      </c>
      <c r="DL135" s="301" t="str">
        <f t="shared" ca="1" si="543"/>
        <v>B</v>
      </c>
      <c r="DM135" s="301" t="str">
        <f t="shared" ca="1" si="543"/>
        <v>B</v>
      </c>
      <c r="DN135" s="301" t="str">
        <f t="shared" ca="1" si="543"/>
        <v>B</v>
      </c>
      <c r="DO135" s="301" t="str">
        <f t="shared" ca="1" si="543"/>
        <v>B</v>
      </c>
      <c r="DP135" s="301" t="str">
        <f t="shared" ca="1" si="543"/>
        <v>B</v>
      </c>
      <c r="DQ135" s="301" t="str">
        <f t="shared" ca="1" si="543"/>
        <v>B</v>
      </c>
      <c r="DR135" s="301" t="str">
        <f t="shared" ca="1" si="543"/>
        <v>B</v>
      </c>
      <c r="DS135" s="301" t="str">
        <f t="shared" ca="1" si="543"/>
        <v>B</v>
      </c>
      <c r="DT135" s="301" t="str">
        <f t="shared" ca="1" si="544"/>
        <v>B</v>
      </c>
      <c r="DU135" s="301" t="str">
        <f t="shared" ca="1" si="544"/>
        <v>B</v>
      </c>
      <c r="DV135" s="301" t="str">
        <f t="shared" ca="1" si="544"/>
        <v>B</v>
      </c>
      <c r="DW135" s="301" t="str">
        <f t="shared" ca="1" si="544"/>
        <v>B</v>
      </c>
      <c r="DX135" s="301" t="str">
        <f t="shared" ca="1" si="544"/>
        <v>B</v>
      </c>
      <c r="DY135" s="301" t="str">
        <f t="shared" ca="1" si="544"/>
        <v>B</v>
      </c>
      <c r="DZ135" s="301" t="str">
        <f t="shared" ca="1" si="544"/>
        <v>B</v>
      </c>
      <c r="EA135" s="301" t="str">
        <f t="shared" ca="1" si="544"/>
        <v>B</v>
      </c>
      <c r="EB135" s="301" t="str">
        <f t="shared" ca="1" si="544"/>
        <v>B</v>
      </c>
      <c r="EC135" s="301" t="str">
        <f t="shared" ca="1" si="544"/>
        <v>B</v>
      </c>
      <c r="ED135" s="301" t="str">
        <f t="shared" ca="1" si="544"/>
        <v>B</v>
      </c>
      <c r="EE135" s="301" t="str">
        <f t="shared" ca="1" si="544"/>
        <v>B</v>
      </c>
      <c r="EF135" s="205"/>
      <c r="EG135" s="301" t="str">
        <f t="shared" ca="1" si="545"/>
        <v>B</v>
      </c>
      <c r="EH135" s="301" t="str">
        <f t="shared" ca="1" si="545"/>
        <v>B</v>
      </c>
      <c r="EI135" s="301" t="str">
        <f t="shared" ca="1" si="545"/>
        <v>B</v>
      </c>
      <c r="EJ135" s="301" t="str">
        <f t="shared" ca="1" si="545"/>
        <v>B</v>
      </c>
      <c r="EK135" s="301" t="str">
        <f t="shared" ca="1" si="545"/>
        <v>B</v>
      </c>
      <c r="EL135" s="301" t="str">
        <f t="shared" ca="1" si="545"/>
        <v>B</v>
      </c>
      <c r="EM135" s="301" t="str">
        <f t="shared" ca="1" si="545"/>
        <v>B</v>
      </c>
      <c r="EN135" s="301" t="str">
        <f t="shared" ca="1" si="545"/>
        <v>B</v>
      </c>
      <c r="EO135" s="301" t="str">
        <f t="shared" ca="1" si="545"/>
        <v>B</v>
      </c>
      <c r="EP135" s="301" t="str">
        <f t="shared" ca="1" si="545"/>
        <v>B</v>
      </c>
      <c r="EQ135" s="301" t="str">
        <f t="shared" ca="1" si="546"/>
        <v>B</v>
      </c>
      <c r="ER135" s="301" t="str">
        <f t="shared" ca="1" si="546"/>
        <v>B</v>
      </c>
      <c r="ES135" s="301" t="str">
        <f t="shared" ca="1" si="546"/>
        <v>B</v>
      </c>
      <c r="ET135" s="301" t="str">
        <f t="shared" ca="1" si="546"/>
        <v>B</v>
      </c>
      <c r="EU135" s="301" t="str">
        <f t="shared" ca="1" si="546"/>
        <v>B</v>
      </c>
      <c r="EV135" s="301" t="str">
        <f t="shared" ca="1" si="546"/>
        <v>B</v>
      </c>
      <c r="EW135" s="301" t="str">
        <f t="shared" ca="1" si="546"/>
        <v>B</v>
      </c>
      <c r="EX135" s="301" t="str">
        <f t="shared" ca="1" si="546"/>
        <v>B</v>
      </c>
      <c r="EY135" s="301" t="str">
        <f t="shared" ca="1" si="546"/>
        <v>B</v>
      </c>
      <c r="EZ135" s="301" t="str">
        <f t="shared" ca="1" si="546"/>
        <v>B</v>
      </c>
      <c r="FA135" s="301" t="str">
        <f t="shared" ca="1" si="547"/>
        <v>B</v>
      </c>
      <c r="FB135" s="301" t="str">
        <f t="shared" ca="1" si="547"/>
        <v>B</v>
      </c>
      <c r="FC135" s="301" t="str">
        <f t="shared" ca="1" si="547"/>
        <v>B</v>
      </c>
      <c r="FD135" s="301" t="str">
        <f t="shared" ca="1" si="547"/>
        <v>B</v>
      </c>
      <c r="FE135" s="301" t="str">
        <f t="shared" ca="1" si="547"/>
        <v>B</v>
      </c>
      <c r="FF135" s="301" t="str">
        <f t="shared" ca="1" si="547"/>
        <v>B</v>
      </c>
      <c r="FG135" s="301" t="str">
        <f t="shared" ca="1" si="547"/>
        <v>B</v>
      </c>
      <c r="FH135" s="301" t="str">
        <f t="shared" ca="1" si="547"/>
        <v>B</v>
      </c>
      <c r="FI135" s="301" t="str">
        <f t="shared" ca="1" si="547"/>
        <v>B</v>
      </c>
      <c r="FJ135" s="301" t="str">
        <f t="shared" ca="1" si="547"/>
        <v>B</v>
      </c>
      <c r="FK135" s="301" t="str">
        <f t="shared" ca="1" si="547"/>
        <v>B</v>
      </c>
      <c r="FL135" s="301" t="str">
        <f t="shared" ca="1" si="547"/>
        <v>B</v>
      </c>
    </row>
    <row r="136" spans="1:168" x14ac:dyDescent="0.2">
      <c r="A136" s="38" t="str">
        <f t="shared" si="533"/>
        <v>Kristallzüchter</v>
      </c>
      <c r="B136" s="317" t="str">
        <f t="shared" ca="1" si="448"/>
        <v/>
      </c>
      <c r="C136" s="332" t="str">
        <f ca="1">IF(OR(NOT(ISBLANK(D136)),NOT(ISBLANK(HLOOKUP(RASSEGENE,RASSE,$CD136,FALSE))),
NOT(ISBLANK(HLOOKUP(KULTURGENE,KULTUR,$CD136,FALSE))),
NOT(OR(ISBLANK(HLOOKUP(PROFGENE,INDIRECT(PROFGEBIET),$CD136,FALSE)),$CS136="N",$CS136="M")),
IF(PROFZWEITE="",FALSE,NOT(ISBLANK(HLOOKUP(PROFZWEITE,INDIRECT(PROFGEBIET2),$CD136,FALSE))))),"x","")</f>
        <v/>
      </c>
      <c r="D136" s="1110"/>
      <c r="E136" s="966"/>
      <c r="F136" s="325"/>
      <c r="G136" s="958"/>
      <c r="H136" s="1196"/>
      <c r="I136" s="326"/>
      <c r="J136" s="1886" t="str">
        <f t="shared" ca="1" si="450"/>
        <v/>
      </c>
      <c r="K136" s="1887"/>
      <c r="L136" s="1887"/>
      <c r="M136" s="1887"/>
      <c r="N136" s="1888"/>
      <c r="O136" s="613" t="str">
        <f t="shared" ca="1" si="451"/>
        <v/>
      </c>
      <c r="P136" s="90"/>
      <c r="Q136" s="25"/>
      <c r="R136" s="1313"/>
      <c r="S136" s="1313"/>
      <c r="T136" s="1315"/>
      <c r="U136" s="1283"/>
      <c r="V136" s="628" t="str">
        <f t="shared" ca="1" si="452"/>
        <v/>
      </c>
      <c r="W136" s="164">
        <f t="shared" ca="1" si="453"/>
        <v>0</v>
      </c>
      <c r="X136" s="164">
        <f t="shared" ca="1" si="454"/>
        <v>0</v>
      </c>
      <c r="Y136" s="164">
        <f t="shared" ca="1" si="455"/>
        <v>0</v>
      </c>
      <c r="Z136" s="164">
        <f t="shared" ca="1" si="456"/>
        <v>0</v>
      </c>
      <c r="AA136" s="164">
        <f t="shared" ca="1" si="457"/>
        <v>0</v>
      </c>
      <c r="AB136" s="164">
        <f t="shared" ca="1" si="458"/>
        <v>0</v>
      </c>
      <c r="AC136" s="164">
        <f t="shared" ca="1" si="459"/>
        <v>0</v>
      </c>
      <c r="AD136" s="164">
        <f t="shared" ca="1" si="460"/>
        <v>0</v>
      </c>
      <c r="AE136" s="164">
        <f t="shared" ca="1" si="461"/>
        <v>0</v>
      </c>
      <c r="AF136" s="164">
        <f t="shared" ca="1" si="462"/>
        <v>0</v>
      </c>
      <c r="AG136" s="164">
        <f t="shared" ca="1" si="463"/>
        <v>0</v>
      </c>
      <c r="AH136" s="164">
        <f t="shared" ca="1" si="464"/>
        <v>0</v>
      </c>
      <c r="AI136" s="164">
        <f t="shared" ca="1" si="465"/>
        <v>0</v>
      </c>
      <c r="AJ136" s="164">
        <f t="shared" ca="1" si="466"/>
        <v>0</v>
      </c>
      <c r="AK136" s="164">
        <f t="shared" ca="1" si="467"/>
        <v>0</v>
      </c>
      <c r="AL136" s="164">
        <f t="shared" ca="1" si="468"/>
        <v>0</v>
      </c>
      <c r="AM136" s="164">
        <f t="shared" ca="1" si="469"/>
        <v>0</v>
      </c>
      <c r="AN136" s="164">
        <f t="shared" ca="1" si="470"/>
        <v>0</v>
      </c>
      <c r="AO136" s="164">
        <f t="shared" ca="1" si="471"/>
        <v>0</v>
      </c>
      <c r="AP136" s="164">
        <f t="shared" ca="1" si="472"/>
        <v>0</v>
      </c>
      <c r="AQ136" s="164">
        <f t="shared" ca="1" si="473"/>
        <v>0</v>
      </c>
      <c r="AR136" s="164">
        <f t="shared" ca="1" si="474"/>
        <v>0</v>
      </c>
      <c r="AS136" s="195"/>
      <c r="AT136" s="154">
        <f t="shared" ca="1" si="475"/>
        <v>0</v>
      </c>
      <c r="AU136" s="154">
        <f t="shared" ca="1" si="476"/>
        <v>0</v>
      </c>
      <c r="AV136" s="154">
        <f t="shared" ca="1" si="477"/>
        <v>0</v>
      </c>
      <c r="AW136" s="154">
        <f t="shared" ca="1" si="478"/>
        <v>0</v>
      </c>
      <c r="AX136" s="154">
        <f t="shared" ca="1" si="479"/>
        <v>0</v>
      </c>
      <c r="AY136" s="154">
        <f t="shared" ca="1" si="480"/>
        <v>0</v>
      </c>
      <c r="AZ136" s="154">
        <f t="shared" ca="1" si="481"/>
        <v>0</v>
      </c>
      <c r="BA136" s="154">
        <f t="shared" ca="1" si="482"/>
        <v>0</v>
      </c>
      <c r="BB136" s="154">
        <f t="shared" ca="1" si="483"/>
        <v>0</v>
      </c>
      <c r="BC136" s="154">
        <f t="shared" ca="1" si="484"/>
        <v>0</v>
      </c>
      <c r="BD136" s="154">
        <f t="shared" ca="1" si="485"/>
        <v>0</v>
      </c>
      <c r="BE136" s="154">
        <f t="shared" ca="1" si="486"/>
        <v>0</v>
      </c>
      <c r="BF136" s="154">
        <f t="shared" ca="1" si="487"/>
        <v>0</v>
      </c>
      <c r="BG136" s="154">
        <f t="shared" ca="1" si="488"/>
        <v>0</v>
      </c>
      <c r="BH136" s="154">
        <f t="shared" ca="1" si="489"/>
        <v>0</v>
      </c>
      <c r="BI136" s="154">
        <f t="shared" ca="1" si="490"/>
        <v>0</v>
      </c>
      <c r="BJ136" s="154">
        <f t="shared" ca="1" si="491"/>
        <v>0</v>
      </c>
      <c r="BK136" s="154">
        <f t="shared" ca="1" si="492"/>
        <v>0</v>
      </c>
      <c r="BL136" s="154">
        <f t="shared" ca="1" si="493"/>
        <v>0</v>
      </c>
      <c r="BM136" s="154">
        <f t="shared" ca="1" si="494"/>
        <v>0</v>
      </c>
      <c r="BN136" s="154">
        <f t="shared" ca="1" si="495"/>
        <v>0</v>
      </c>
      <c r="BO136" s="154">
        <f t="shared" ca="1" si="496"/>
        <v>0</v>
      </c>
      <c r="BP136" s="154">
        <f t="shared" ca="1" si="497"/>
        <v>0</v>
      </c>
      <c r="BQ136" s="154">
        <f t="shared" ca="1" si="498"/>
        <v>0</v>
      </c>
      <c r="BR136" s="154">
        <f t="shared" ca="1" si="499"/>
        <v>0</v>
      </c>
      <c r="BS136" s="154">
        <f t="shared" ca="1" si="500"/>
        <v>0</v>
      </c>
      <c r="BT136" s="154">
        <f t="shared" ca="1" si="501"/>
        <v>0</v>
      </c>
      <c r="BU136" s="154">
        <f t="shared" ca="1" si="502"/>
        <v>0</v>
      </c>
      <c r="BV136" s="154">
        <f t="shared" ca="1" si="503"/>
        <v>0</v>
      </c>
      <c r="BW136" s="154">
        <f t="shared" ca="1" si="504"/>
        <v>0</v>
      </c>
      <c r="BX136" s="154">
        <f t="shared" ca="1" si="505"/>
        <v>0</v>
      </c>
      <c r="BY136" s="154">
        <f t="shared" ca="1" si="506"/>
        <v>0</v>
      </c>
      <c r="BZ136" s="154">
        <f t="shared" si="507"/>
        <v>0</v>
      </c>
      <c r="CA136" s="154">
        <f t="shared" si="508"/>
        <v>0</v>
      </c>
      <c r="CB136" s="154">
        <f t="shared" ca="1" si="509"/>
        <v>0</v>
      </c>
      <c r="CC136" s="523"/>
      <c r="CD136" s="355">
        <f t="shared" si="510"/>
        <v>160</v>
      </c>
      <c r="CE136" s="751" t="str">
        <f t="shared" ca="1" si="511"/>
        <v>B</v>
      </c>
      <c r="CF136" s="355" t="str">
        <f ca="1">IF(EXACT($B136,""),$CF134,CONCATENATE($CF134,$A136))</f>
        <v/>
      </c>
      <c r="CG136" s="268"/>
      <c r="CH136" s="268"/>
      <c r="CI136" s="269">
        <f t="shared" ca="1" si="512"/>
        <v>0</v>
      </c>
      <c r="CJ136" s="269">
        <f t="shared" ca="1" si="513"/>
        <v>0</v>
      </c>
      <c r="CK136" s="268"/>
      <c r="CL136" s="268"/>
      <c r="CM136" s="268">
        <f t="shared" ca="1" si="327"/>
        <v>0</v>
      </c>
      <c r="CN136" s="269">
        <f t="shared" ca="1" si="328"/>
        <v>0</v>
      </c>
      <c r="CO136" s="268" t="str">
        <f t="shared" ca="1" si="514"/>
        <v>B</v>
      </c>
      <c r="CP136" s="269" t="b">
        <f t="shared" ca="1" si="515"/>
        <v>1</v>
      </c>
      <c r="CQ136" s="269">
        <f t="shared" si="516"/>
        <v>0</v>
      </c>
      <c r="CR136" s="269">
        <f t="shared" si="517"/>
        <v>0</v>
      </c>
      <c r="CS136" s="269">
        <f t="shared" ca="1" si="518"/>
        <v>0</v>
      </c>
      <c r="CT136" s="302" t="str">
        <f t="shared" ca="1" si="519"/>
        <v>0</v>
      </c>
      <c r="CU136" s="269">
        <f t="shared" ca="1" si="520"/>
        <v>0</v>
      </c>
      <c r="CV136" s="268"/>
      <c r="CW136" s="269">
        <f t="shared" ca="1" si="521"/>
        <v>0</v>
      </c>
      <c r="CX136" s="301">
        <f t="shared" ca="1" si="522"/>
        <v>0</v>
      </c>
      <c r="CY136" s="301">
        <f t="shared" ca="1" si="329"/>
        <v>0</v>
      </c>
      <c r="CZ136" s="301">
        <f t="shared" ca="1" si="523"/>
        <v>0</v>
      </c>
      <c r="DA136" s="301">
        <f t="shared" ca="1" si="524"/>
        <v>0</v>
      </c>
      <c r="DB136" t="str">
        <f ca="1">IF(AND(NOT(ISBLANK($F136)),$F136&lt;=$B136),"TaW SE zu klein","")</f>
        <v/>
      </c>
      <c r="DC136" s="301" t="str">
        <f t="shared" ca="1" si="525"/>
        <v/>
      </c>
      <c r="DD136" s="1337" t="str">
        <f t="shared" ca="1" si="535"/>
        <v/>
      </c>
      <c r="DE136" s="1337" t="str">
        <f t="shared" ca="1" si="536"/>
        <v/>
      </c>
      <c r="DG136" s="269" t="str">
        <f t="shared" ca="1" si="526"/>
        <v>Tabellen_Andere!BA67:BF67</v>
      </c>
      <c r="DH136" s="269" t="str">
        <f t="shared" si="527"/>
        <v>Tabellen_Andere!BA67:BF67</v>
      </c>
      <c r="DI136" s="269" t="str">
        <f ca="1">IF(NOT(ISERR(FIND(A136&amp;" ",Abfragen!$O$264,1))),MID(Abfragen!$O$264,FIND("(",Abfragen!$O$264,FIND(A136,Abfragen!$O$264,1)+LEN(A136))+1,FIND(")",Abfragen!$O$264,FIND(A136,Abfragen!$O$264,1)+LEN(A136))-FIND("(",Abfragen!$O$264,FIND(A136,Abfragen!$O$264,1)+LEN(A136))-1),"")</f>
        <v/>
      </c>
      <c r="DJ136" s="301" t="str">
        <f t="shared" ca="1" si="543"/>
        <v>B</v>
      </c>
      <c r="DK136" s="301" t="str">
        <f t="shared" ca="1" si="543"/>
        <v>B</v>
      </c>
      <c r="DL136" s="301" t="str">
        <f t="shared" ca="1" si="543"/>
        <v>B</v>
      </c>
      <c r="DM136" s="301" t="str">
        <f t="shared" ca="1" si="543"/>
        <v>B</v>
      </c>
      <c r="DN136" s="301" t="str">
        <f t="shared" ca="1" si="543"/>
        <v>B</v>
      </c>
      <c r="DO136" s="301" t="str">
        <f t="shared" ca="1" si="543"/>
        <v>B</v>
      </c>
      <c r="DP136" s="301" t="str">
        <f t="shared" ca="1" si="543"/>
        <v>B</v>
      </c>
      <c r="DQ136" s="301" t="str">
        <f t="shared" ca="1" si="543"/>
        <v>B</v>
      </c>
      <c r="DR136" s="301" t="str">
        <f t="shared" ca="1" si="543"/>
        <v>B</v>
      </c>
      <c r="DS136" s="301" t="str">
        <f t="shared" ca="1" si="543"/>
        <v>B</v>
      </c>
      <c r="DT136" s="301" t="str">
        <f t="shared" ca="1" si="544"/>
        <v>B</v>
      </c>
      <c r="DU136" s="301" t="str">
        <f t="shared" ca="1" si="544"/>
        <v>B</v>
      </c>
      <c r="DV136" s="301" t="str">
        <f t="shared" ca="1" si="544"/>
        <v>B</v>
      </c>
      <c r="DW136" s="301" t="str">
        <f t="shared" ca="1" si="544"/>
        <v>B</v>
      </c>
      <c r="DX136" s="301" t="str">
        <f t="shared" ca="1" si="544"/>
        <v>B</v>
      </c>
      <c r="DY136" s="301" t="str">
        <f t="shared" ca="1" si="544"/>
        <v>B</v>
      </c>
      <c r="DZ136" s="301" t="str">
        <f t="shared" ca="1" si="544"/>
        <v>B</v>
      </c>
      <c r="EA136" s="301" t="str">
        <f t="shared" ca="1" si="544"/>
        <v>B</v>
      </c>
      <c r="EB136" s="301" t="str">
        <f t="shared" ca="1" si="544"/>
        <v>B</v>
      </c>
      <c r="EC136" s="301" t="str">
        <f t="shared" ca="1" si="544"/>
        <v>B</v>
      </c>
      <c r="ED136" s="301" t="str">
        <f t="shared" ca="1" si="544"/>
        <v>B</v>
      </c>
      <c r="EE136" s="301" t="str">
        <f t="shared" ca="1" si="544"/>
        <v>B</v>
      </c>
      <c r="EF136" s="205"/>
      <c r="EG136" s="301" t="str">
        <f t="shared" ca="1" si="545"/>
        <v>B</v>
      </c>
      <c r="EH136" s="301" t="str">
        <f t="shared" ca="1" si="545"/>
        <v>B</v>
      </c>
      <c r="EI136" s="301" t="str">
        <f t="shared" ca="1" si="545"/>
        <v>B</v>
      </c>
      <c r="EJ136" s="301" t="str">
        <f t="shared" ca="1" si="545"/>
        <v>B</v>
      </c>
      <c r="EK136" s="301" t="str">
        <f t="shared" ca="1" si="545"/>
        <v>B</v>
      </c>
      <c r="EL136" s="301" t="str">
        <f t="shared" ca="1" si="545"/>
        <v>B</v>
      </c>
      <c r="EM136" s="301" t="str">
        <f t="shared" ca="1" si="545"/>
        <v>B</v>
      </c>
      <c r="EN136" s="301" t="str">
        <f t="shared" ca="1" si="545"/>
        <v>B</v>
      </c>
      <c r="EO136" s="301" t="str">
        <f t="shared" ca="1" si="545"/>
        <v>B</v>
      </c>
      <c r="EP136" s="301" t="str">
        <f t="shared" ca="1" si="545"/>
        <v>B</v>
      </c>
      <c r="EQ136" s="301" t="str">
        <f t="shared" ca="1" si="546"/>
        <v>B</v>
      </c>
      <c r="ER136" s="301" t="str">
        <f t="shared" ca="1" si="546"/>
        <v>B</v>
      </c>
      <c r="ES136" s="301" t="str">
        <f t="shared" ca="1" si="546"/>
        <v>B</v>
      </c>
      <c r="ET136" s="301" t="str">
        <f t="shared" ca="1" si="546"/>
        <v>B</v>
      </c>
      <c r="EU136" s="301" t="str">
        <f t="shared" ca="1" si="546"/>
        <v>B</v>
      </c>
      <c r="EV136" s="301" t="str">
        <f t="shared" ca="1" si="546"/>
        <v>B</v>
      </c>
      <c r="EW136" s="301" t="str">
        <f t="shared" ca="1" si="546"/>
        <v>B</v>
      </c>
      <c r="EX136" s="301" t="str">
        <f t="shared" ca="1" si="546"/>
        <v>B</v>
      </c>
      <c r="EY136" s="301" t="str">
        <f t="shared" ca="1" si="546"/>
        <v>B</v>
      </c>
      <c r="EZ136" s="301" t="str">
        <f t="shared" ca="1" si="546"/>
        <v>B</v>
      </c>
      <c r="FA136" s="301" t="str">
        <f t="shared" ca="1" si="547"/>
        <v>B</v>
      </c>
      <c r="FB136" s="301" t="str">
        <f t="shared" ca="1" si="547"/>
        <v>B</v>
      </c>
      <c r="FC136" s="301" t="str">
        <f t="shared" ca="1" si="547"/>
        <v>B</v>
      </c>
      <c r="FD136" s="301" t="str">
        <f t="shared" ca="1" si="547"/>
        <v>B</v>
      </c>
      <c r="FE136" s="301" t="str">
        <f t="shared" ca="1" si="547"/>
        <v>B</v>
      </c>
      <c r="FF136" s="301" t="str">
        <f t="shared" ca="1" si="547"/>
        <v>B</v>
      </c>
      <c r="FG136" s="301" t="str">
        <f t="shared" ca="1" si="547"/>
        <v>B</v>
      </c>
      <c r="FH136" s="301" t="str">
        <f t="shared" ca="1" si="547"/>
        <v>B</v>
      </c>
      <c r="FI136" s="301" t="str">
        <f t="shared" ca="1" si="547"/>
        <v>B</v>
      </c>
      <c r="FJ136" s="301" t="str">
        <f t="shared" ca="1" si="547"/>
        <v>B</v>
      </c>
      <c r="FK136" s="301" t="str">
        <f t="shared" ca="1" si="547"/>
        <v>B</v>
      </c>
      <c r="FL136" s="301" t="str">
        <f t="shared" ca="1" si="547"/>
        <v>B</v>
      </c>
    </row>
    <row r="137" spans="1:168" x14ac:dyDescent="0.2">
      <c r="A137" s="38" t="str">
        <f t="shared" si="533"/>
        <v>Lederarbeiten</v>
      </c>
      <c r="B137" s="317">
        <f t="shared" ca="1" si="448"/>
        <v>0</v>
      </c>
      <c r="C137" s="332" t="s">
        <v>1321</v>
      </c>
      <c r="D137" s="1110"/>
      <c r="E137" s="966"/>
      <c r="F137" s="325"/>
      <c r="G137" s="963"/>
      <c r="H137" s="1196"/>
      <c r="I137" s="326"/>
      <c r="J137" s="1886" t="str">
        <f t="shared" ca="1" si="450"/>
        <v/>
      </c>
      <c r="K137" s="1887"/>
      <c r="L137" s="1887"/>
      <c r="M137" s="1887"/>
      <c r="N137" s="1888"/>
      <c r="O137" s="613">
        <f t="shared" ca="1" si="451"/>
        <v>0</v>
      </c>
      <c r="P137" s="90"/>
      <c r="Q137" s="25"/>
      <c r="R137" s="1313"/>
      <c r="S137" s="1313"/>
      <c r="T137" s="1315"/>
      <c r="U137" s="1283"/>
      <c r="V137" s="628" t="str">
        <f t="shared" ca="1" si="452"/>
        <v/>
      </c>
      <c r="W137" s="164">
        <f t="shared" ca="1" si="453"/>
        <v>0</v>
      </c>
      <c r="X137" s="164">
        <f t="shared" ca="1" si="454"/>
        <v>0</v>
      </c>
      <c r="Y137" s="164">
        <f t="shared" ca="1" si="455"/>
        <v>0</v>
      </c>
      <c r="Z137" s="164">
        <f t="shared" ca="1" si="456"/>
        <v>0</v>
      </c>
      <c r="AA137" s="164">
        <f t="shared" ca="1" si="457"/>
        <v>0</v>
      </c>
      <c r="AB137" s="164">
        <f t="shared" ca="1" si="458"/>
        <v>0</v>
      </c>
      <c r="AC137" s="164">
        <f t="shared" ca="1" si="459"/>
        <v>0</v>
      </c>
      <c r="AD137" s="164">
        <f t="shared" ca="1" si="460"/>
        <v>0</v>
      </c>
      <c r="AE137" s="164">
        <f t="shared" ca="1" si="461"/>
        <v>0</v>
      </c>
      <c r="AF137" s="164">
        <f t="shared" ca="1" si="462"/>
        <v>0</v>
      </c>
      <c r="AG137" s="164">
        <f t="shared" ca="1" si="463"/>
        <v>0</v>
      </c>
      <c r="AH137" s="164">
        <f t="shared" ca="1" si="464"/>
        <v>0</v>
      </c>
      <c r="AI137" s="164">
        <f t="shared" ca="1" si="465"/>
        <v>0</v>
      </c>
      <c r="AJ137" s="164">
        <f t="shared" ca="1" si="466"/>
        <v>0</v>
      </c>
      <c r="AK137" s="164">
        <f t="shared" ca="1" si="467"/>
        <v>0</v>
      </c>
      <c r="AL137" s="164">
        <f t="shared" ca="1" si="468"/>
        <v>0</v>
      </c>
      <c r="AM137" s="164">
        <f t="shared" ca="1" si="469"/>
        <v>0</v>
      </c>
      <c r="AN137" s="164">
        <f t="shared" ca="1" si="470"/>
        <v>0</v>
      </c>
      <c r="AO137" s="164">
        <f t="shared" ca="1" si="471"/>
        <v>0</v>
      </c>
      <c r="AP137" s="164">
        <f t="shared" ca="1" si="472"/>
        <v>0</v>
      </c>
      <c r="AQ137" s="164">
        <f t="shared" ca="1" si="473"/>
        <v>0</v>
      </c>
      <c r="AR137" s="164">
        <f t="shared" ca="1" si="474"/>
        <v>0</v>
      </c>
      <c r="AS137" s="195"/>
      <c r="AT137" s="154">
        <f t="shared" ca="1" si="475"/>
        <v>0</v>
      </c>
      <c r="AU137" s="154">
        <f t="shared" ca="1" si="476"/>
        <v>0</v>
      </c>
      <c r="AV137" s="154">
        <f t="shared" ca="1" si="477"/>
        <v>0</v>
      </c>
      <c r="AW137" s="154">
        <f t="shared" ca="1" si="478"/>
        <v>0</v>
      </c>
      <c r="AX137" s="154">
        <f t="shared" ca="1" si="479"/>
        <v>0</v>
      </c>
      <c r="AY137" s="154">
        <f t="shared" ca="1" si="480"/>
        <v>0</v>
      </c>
      <c r="AZ137" s="154">
        <f t="shared" ca="1" si="481"/>
        <v>0</v>
      </c>
      <c r="BA137" s="154">
        <f t="shared" ca="1" si="482"/>
        <v>0</v>
      </c>
      <c r="BB137" s="154">
        <f t="shared" ca="1" si="483"/>
        <v>0</v>
      </c>
      <c r="BC137" s="154">
        <f t="shared" ca="1" si="484"/>
        <v>0</v>
      </c>
      <c r="BD137" s="154">
        <f t="shared" ca="1" si="485"/>
        <v>0</v>
      </c>
      <c r="BE137" s="154">
        <f t="shared" ca="1" si="486"/>
        <v>0</v>
      </c>
      <c r="BF137" s="154">
        <f t="shared" ca="1" si="487"/>
        <v>0</v>
      </c>
      <c r="BG137" s="154">
        <f t="shared" ca="1" si="488"/>
        <v>0</v>
      </c>
      <c r="BH137" s="154">
        <f t="shared" ca="1" si="489"/>
        <v>0</v>
      </c>
      <c r="BI137" s="154">
        <f t="shared" ca="1" si="490"/>
        <v>0</v>
      </c>
      <c r="BJ137" s="154">
        <f t="shared" ca="1" si="491"/>
        <v>0</v>
      </c>
      <c r="BK137" s="154">
        <f t="shared" ca="1" si="492"/>
        <v>0</v>
      </c>
      <c r="BL137" s="154">
        <f t="shared" ca="1" si="493"/>
        <v>0</v>
      </c>
      <c r="BM137" s="154">
        <f t="shared" ca="1" si="494"/>
        <v>0</v>
      </c>
      <c r="BN137" s="154">
        <f t="shared" ca="1" si="495"/>
        <v>0</v>
      </c>
      <c r="BO137" s="154">
        <f t="shared" ca="1" si="496"/>
        <v>0</v>
      </c>
      <c r="BP137" s="154">
        <f t="shared" ca="1" si="497"/>
        <v>0</v>
      </c>
      <c r="BQ137" s="154">
        <f t="shared" ca="1" si="498"/>
        <v>0</v>
      </c>
      <c r="BR137" s="154">
        <f t="shared" ca="1" si="499"/>
        <v>0</v>
      </c>
      <c r="BS137" s="154">
        <f t="shared" ca="1" si="500"/>
        <v>0</v>
      </c>
      <c r="BT137" s="154">
        <f t="shared" ca="1" si="501"/>
        <v>0</v>
      </c>
      <c r="BU137" s="154">
        <f t="shared" ca="1" si="502"/>
        <v>0</v>
      </c>
      <c r="BV137" s="154">
        <f t="shared" ca="1" si="503"/>
        <v>0</v>
      </c>
      <c r="BW137" s="154">
        <f t="shared" ca="1" si="504"/>
        <v>0</v>
      </c>
      <c r="BX137" s="154">
        <f t="shared" ca="1" si="505"/>
        <v>0</v>
      </c>
      <c r="BY137" s="154">
        <f t="shared" ca="1" si="506"/>
        <v>0</v>
      </c>
      <c r="BZ137" s="154">
        <f t="shared" si="507"/>
        <v>0</v>
      </c>
      <c r="CA137" s="154">
        <f t="shared" si="508"/>
        <v>0</v>
      </c>
      <c r="CB137" s="154">
        <f t="shared" ca="1" si="509"/>
        <v>0</v>
      </c>
      <c r="CC137" s="523"/>
      <c r="CD137" s="355">
        <f t="shared" si="510"/>
        <v>161</v>
      </c>
      <c r="CE137" s="751" t="str">
        <f t="shared" ca="1" si="511"/>
        <v>B</v>
      </c>
      <c r="CF137" s="355"/>
      <c r="CG137" s="268"/>
      <c r="CH137" s="268"/>
      <c r="CI137" s="269">
        <f t="shared" ca="1" si="512"/>
        <v>0</v>
      </c>
      <c r="CJ137" s="269">
        <f t="shared" ca="1" si="513"/>
        <v>0</v>
      </c>
      <c r="CK137" s="268"/>
      <c r="CL137" s="268"/>
      <c r="CM137" s="268">
        <f t="shared" ca="1" si="327"/>
        <v>0</v>
      </c>
      <c r="CN137" s="269">
        <f t="shared" ca="1" si="328"/>
        <v>0</v>
      </c>
      <c r="CO137" s="268" t="str">
        <f t="shared" ca="1" si="514"/>
        <v>B</v>
      </c>
      <c r="CP137" s="269" t="b">
        <f t="shared" ca="1" si="515"/>
        <v>1</v>
      </c>
      <c r="CQ137" s="269">
        <f t="shared" si="516"/>
        <v>0</v>
      </c>
      <c r="CR137" s="269">
        <f t="shared" si="517"/>
        <v>0</v>
      </c>
      <c r="CS137" s="269">
        <f t="shared" ca="1" si="518"/>
        <v>0</v>
      </c>
      <c r="CT137" s="302" t="str">
        <f t="shared" ca="1" si="519"/>
        <v>0</v>
      </c>
      <c r="CU137" s="269">
        <f t="shared" ca="1" si="520"/>
        <v>0</v>
      </c>
      <c r="CV137" s="268"/>
      <c r="CW137" s="269">
        <f t="shared" ca="1" si="521"/>
        <v>0</v>
      </c>
      <c r="CX137" s="301">
        <f t="shared" ca="1" si="522"/>
        <v>0</v>
      </c>
      <c r="CY137" s="301">
        <f t="shared" ca="1" si="329"/>
        <v>0</v>
      </c>
      <c r="CZ137" s="301">
        <f t="shared" ca="1" si="523"/>
        <v>0</v>
      </c>
      <c r="DA137" s="301">
        <f t="shared" ca="1" si="524"/>
        <v>0</v>
      </c>
      <c r="DB137" t="str">
        <f ca="1">IF(AND(NOT(ISBLANK($F137)),$F137&lt;=$B137),"TaW SE zu klein","")</f>
        <v/>
      </c>
      <c r="DC137" s="301" t="str">
        <f t="shared" ca="1" si="525"/>
        <v/>
      </c>
      <c r="DD137" s="1337" t="str">
        <f t="shared" ca="1" si="535"/>
        <v/>
      </c>
      <c r="DE137" s="1337" t="str">
        <f t="shared" ca="1" si="536"/>
        <v/>
      </c>
      <c r="DG137" s="269" t="str">
        <f t="shared" ca="1" si="526"/>
        <v>Tabellen_Andere!BA70:BF70</v>
      </c>
      <c r="DH137" s="269" t="str">
        <f t="shared" si="527"/>
        <v>Tabellen_Andere!BA70:BF70</v>
      </c>
      <c r="DI137" s="269" t="str">
        <f ca="1">IF(NOT(ISERR(FIND(A137&amp;" ",Abfragen!$O$264,1))),MID(Abfragen!$O$264,FIND("(",Abfragen!$O$264,FIND(A137,Abfragen!$O$264,1)+LEN(A137))+1,FIND(")",Abfragen!$O$264,FIND(A137,Abfragen!$O$264,1)+LEN(A137))-FIND("(",Abfragen!$O$264,FIND(A137,Abfragen!$O$264,1)+LEN(A137))-1),"")</f>
        <v/>
      </c>
      <c r="DJ137" s="301" t="str">
        <f t="shared" ca="1" si="543"/>
        <v>B</v>
      </c>
      <c r="DK137" s="301" t="str">
        <f t="shared" ca="1" si="543"/>
        <v>B</v>
      </c>
      <c r="DL137" s="301" t="str">
        <f t="shared" ca="1" si="543"/>
        <v>B</v>
      </c>
      <c r="DM137" s="301" t="str">
        <f t="shared" ca="1" si="543"/>
        <v>B</v>
      </c>
      <c r="DN137" s="301" t="str">
        <f t="shared" ca="1" si="543"/>
        <v>B</v>
      </c>
      <c r="DO137" s="301" t="str">
        <f t="shared" ca="1" si="543"/>
        <v>B</v>
      </c>
      <c r="DP137" s="301" t="str">
        <f t="shared" ca="1" si="543"/>
        <v>B</v>
      </c>
      <c r="DQ137" s="301" t="str">
        <f t="shared" ca="1" si="543"/>
        <v>B</v>
      </c>
      <c r="DR137" s="301" t="str">
        <f t="shared" ca="1" si="543"/>
        <v>B</v>
      </c>
      <c r="DS137" s="301" t="str">
        <f t="shared" ca="1" si="543"/>
        <v>B</v>
      </c>
      <c r="DT137" s="301" t="str">
        <f t="shared" ca="1" si="544"/>
        <v>B</v>
      </c>
      <c r="DU137" s="301" t="str">
        <f t="shared" ca="1" si="544"/>
        <v>B</v>
      </c>
      <c r="DV137" s="301" t="str">
        <f t="shared" ca="1" si="544"/>
        <v>B</v>
      </c>
      <c r="DW137" s="301" t="str">
        <f t="shared" ca="1" si="544"/>
        <v>B</v>
      </c>
      <c r="DX137" s="301" t="str">
        <f t="shared" ca="1" si="544"/>
        <v>B</v>
      </c>
      <c r="DY137" s="301" t="str">
        <f t="shared" ca="1" si="544"/>
        <v>B</v>
      </c>
      <c r="DZ137" s="301" t="str">
        <f t="shared" ca="1" si="544"/>
        <v>B</v>
      </c>
      <c r="EA137" s="301" t="str">
        <f t="shared" ca="1" si="544"/>
        <v>B</v>
      </c>
      <c r="EB137" s="301" t="str">
        <f t="shared" ca="1" si="544"/>
        <v>B</v>
      </c>
      <c r="EC137" s="301" t="str">
        <f t="shared" ca="1" si="544"/>
        <v>B</v>
      </c>
      <c r="ED137" s="301" t="str">
        <f t="shared" ca="1" si="544"/>
        <v>B</v>
      </c>
      <c r="EE137" s="301" t="str">
        <f t="shared" ca="1" si="544"/>
        <v>B</v>
      </c>
      <c r="EF137" s="205"/>
      <c r="EG137" s="301" t="str">
        <f t="shared" ref="EG137:EP146" ca="1" si="548">IF(ISERR(FIND(";"&amp;EG$13&amp;":0;",$F137)),
CHAR(CODE($CE137)+SUM(IF(NT_Unstet,1,0),
IF(ISERR(FIND(";"&amp;EG$13&amp;";",$F137)),0,-1),
IF(ISERR(FIND(";"&amp;EG$13&amp;":",$F137)),0,-VALUE(MID($F137,FIND(";"&amp;EG$13&amp;":",$F137)+LEN(EG$13)+2,1))),
IF(ISERR(FIND(";"&amp;EG$13&amp;"+",$F137)),0,VALUE(MID($F137,FIND(";"&amp;EG$13&amp;"+",$F137)+LEN(EG$13)+2,1))))),0)</f>
        <v>B</v>
      </c>
      <c r="EH137" s="301" t="str">
        <f t="shared" ca="1" si="548"/>
        <v>B</v>
      </c>
      <c r="EI137" s="301" t="str">
        <f t="shared" ca="1" si="548"/>
        <v>B</v>
      </c>
      <c r="EJ137" s="301" t="str">
        <f t="shared" ca="1" si="548"/>
        <v>B</v>
      </c>
      <c r="EK137" s="301" t="str">
        <f t="shared" ca="1" si="548"/>
        <v>B</v>
      </c>
      <c r="EL137" s="301" t="str">
        <f t="shared" ca="1" si="548"/>
        <v>B</v>
      </c>
      <c r="EM137" s="301" t="str">
        <f t="shared" ca="1" si="548"/>
        <v>B</v>
      </c>
      <c r="EN137" s="301" t="str">
        <f t="shared" ca="1" si="548"/>
        <v>B</v>
      </c>
      <c r="EO137" s="301" t="str">
        <f t="shared" ca="1" si="548"/>
        <v>B</v>
      </c>
      <c r="EP137" s="301" t="str">
        <f t="shared" ca="1" si="548"/>
        <v>B</v>
      </c>
      <c r="EQ137" s="301" t="str">
        <f t="shared" ref="EQ137:EZ146" ca="1" si="549">IF(ISERR(FIND(";"&amp;EQ$13&amp;":0;",$F137)),
CHAR(CODE($CE137)+SUM(IF(NT_Unstet,1,0),
IF(ISERR(FIND(";"&amp;EQ$13&amp;";",$F137)),0,-1),
IF(ISERR(FIND(";"&amp;EQ$13&amp;":",$F137)),0,-VALUE(MID($F137,FIND(";"&amp;EQ$13&amp;":",$F137)+LEN(EQ$13)+2,1))),
IF(ISERR(FIND(";"&amp;EQ$13&amp;"+",$F137)),0,VALUE(MID($F137,FIND(";"&amp;EQ$13&amp;"+",$F137)+LEN(EQ$13)+2,1))))),0)</f>
        <v>B</v>
      </c>
      <c r="ER137" s="301" t="str">
        <f t="shared" ca="1" si="549"/>
        <v>B</v>
      </c>
      <c r="ES137" s="301" t="str">
        <f t="shared" ca="1" si="549"/>
        <v>B</v>
      </c>
      <c r="ET137" s="301" t="str">
        <f t="shared" ca="1" si="549"/>
        <v>B</v>
      </c>
      <c r="EU137" s="301" t="str">
        <f t="shared" ca="1" si="549"/>
        <v>B</v>
      </c>
      <c r="EV137" s="301" t="str">
        <f t="shared" ca="1" si="549"/>
        <v>B</v>
      </c>
      <c r="EW137" s="301" t="str">
        <f t="shared" ca="1" si="549"/>
        <v>B</v>
      </c>
      <c r="EX137" s="301" t="str">
        <f t="shared" ca="1" si="549"/>
        <v>B</v>
      </c>
      <c r="EY137" s="301" t="str">
        <f t="shared" ca="1" si="549"/>
        <v>B</v>
      </c>
      <c r="EZ137" s="301" t="str">
        <f t="shared" ca="1" si="549"/>
        <v>B</v>
      </c>
      <c r="FA137" s="301" t="str">
        <f t="shared" ref="FA137:FL146" ca="1" si="550">IF(ISERR(FIND(";"&amp;FA$13&amp;":0;",$F137)),
CHAR(CODE($CE137)+SUM(IF(NT_Unstet,1,0),
IF(ISERR(FIND(";"&amp;FA$13&amp;";",$F137)),0,-1),
IF(ISERR(FIND(";"&amp;FA$13&amp;":",$F137)),0,-VALUE(MID($F137,FIND(";"&amp;FA$13&amp;":",$F137)+LEN(FA$13)+2,1))),
IF(ISERR(FIND(";"&amp;FA$13&amp;"+",$F137)),0,VALUE(MID($F137,FIND(";"&amp;FA$13&amp;"+",$F137)+LEN(FA$13)+2,1))))),0)</f>
        <v>B</v>
      </c>
      <c r="FB137" s="301" t="str">
        <f t="shared" ca="1" si="550"/>
        <v>B</v>
      </c>
      <c r="FC137" s="301" t="str">
        <f t="shared" ca="1" si="550"/>
        <v>B</v>
      </c>
      <c r="FD137" s="301" t="str">
        <f t="shared" ca="1" si="550"/>
        <v>B</v>
      </c>
      <c r="FE137" s="301" t="str">
        <f t="shared" ca="1" si="550"/>
        <v>B</v>
      </c>
      <c r="FF137" s="301" t="str">
        <f t="shared" ca="1" si="550"/>
        <v>B</v>
      </c>
      <c r="FG137" s="301" t="str">
        <f t="shared" ca="1" si="550"/>
        <v>B</v>
      </c>
      <c r="FH137" s="301" t="str">
        <f t="shared" ca="1" si="550"/>
        <v>B</v>
      </c>
      <c r="FI137" s="301" t="str">
        <f t="shared" ca="1" si="550"/>
        <v>B</v>
      </c>
      <c r="FJ137" s="301" t="str">
        <f t="shared" ca="1" si="550"/>
        <v>B</v>
      </c>
      <c r="FK137" s="301" t="str">
        <f t="shared" ca="1" si="550"/>
        <v>B</v>
      </c>
      <c r="FL137" s="301" t="str">
        <f t="shared" ca="1" si="550"/>
        <v>B</v>
      </c>
    </row>
    <row r="138" spans="1:168" x14ac:dyDescent="0.2">
      <c r="A138" s="38" t="str">
        <f t="shared" si="533"/>
        <v>Malen/Zeichnen</v>
      </c>
      <c r="B138" s="317">
        <f t="shared" ca="1" si="448"/>
        <v>0</v>
      </c>
      <c r="C138" s="332" t="s">
        <v>1321</v>
      </c>
      <c r="D138" s="1110"/>
      <c r="E138" s="966"/>
      <c r="F138" s="325"/>
      <c r="G138" s="963"/>
      <c r="H138" s="1196"/>
      <c r="I138" s="326"/>
      <c r="J138" s="1886" t="str">
        <f t="shared" ca="1" si="450"/>
        <v/>
      </c>
      <c r="K138" s="1887"/>
      <c r="L138" s="1887"/>
      <c r="M138" s="1887"/>
      <c r="N138" s="1888"/>
      <c r="O138" s="613">
        <f t="shared" ca="1" si="451"/>
        <v>0</v>
      </c>
      <c r="P138" s="90"/>
      <c r="Q138" s="25"/>
      <c r="R138" s="1313"/>
      <c r="S138" s="1313"/>
      <c r="T138" s="1315"/>
      <c r="U138" s="1283"/>
      <c r="V138" s="628" t="str">
        <f t="shared" ca="1" si="452"/>
        <v/>
      </c>
      <c r="W138" s="164">
        <f t="shared" ca="1" si="453"/>
        <v>0</v>
      </c>
      <c r="X138" s="164">
        <f t="shared" ca="1" si="454"/>
        <v>0</v>
      </c>
      <c r="Y138" s="164">
        <f t="shared" ca="1" si="455"/>
        <v>0</v>
      </c>
      <c r="Z138" s="164">
        <f t="shared" ca="1" si="456"/>
        <v>0</v>
      </c>
      <c r="AA138" s="164">
        <f t="shared" ca="1" si="457"/>
        <v>0</v>
      </c>
      <c r="AB138" s="164">
        <f t="shared" ca="1" si="458"/>
        <v>0</v>
      </c>
      <c r="AC138" s="164">
        <f t="shared" ca="1" si="459"/>
        <v>0</v>
      </c>
      <c r="AD138" s="164">
        <f t="shared" ca="1" si="460"/>
        <v>0</v>
      </c>
      <c r="AE138" s="164">
        <f t="shared" ca="1" si="461"/>
        <v>0</v>
      </c>
      <c r="AF138" s="164">
        <f t="shared" ca="1" si="462"/>
        <v>0</v>
      </c>
      <c r="AG138" s="164">
        <f t="shared" ca="1" si="463"/>
        <v>0</v>
      </c>
      <c r="AH138" s="164">
        <f t="shared" ca="1" si="464"/>
        <v>0</v>
      </c>
      <c r="AI138" s="164">
        <f t="shared" ca="1" si="465"/>
        <v>0</v>
      </c>
      <c r="AJ138" s="164">
        <f t="shared" ca="1" si="466"/>
        <v>0</v>
      </c>
      <c r="AK138" s="164">
        <f t="shared" ca="1" si="467"/>
        <v>0</v>
      </c>
      <c r="AL138" s="164">
        <f t="shared" ca="1" si="468"/>
        <v>0</v>
      </c>
      <c r="AM138" s="164">
        <f t="shared" ca="1" si="469"/>
        <v>0</v>
      </c>
      <c r="AN138" s="164">
        <f t="shared" ca="1" si="470"/>
        <v>0</v>
      </c>
      <c r="AO138" s="164">
        <f t="shared" ca="1" si="471"/>
        <v>0</v>
      </c>
      <c r="AP138" s="164">
        <f t="shared" ca="1" si="472"/>
        <v>0</v>
      </c>
      <c r="AQ138" s="164">
        <f t="shared" ca="1" si="473"/>
        <v>0</v>
      </c>
      <c r="AR138" s="164">
        <f t="shared" ca="1" si="474"/>
        <v>0</v>
      </c>
      <c r="AS138" s="195"/>
      <c r="AT138" s="154">
        <f t="shared" ca="1" si="475"/>
        <v>0</v>
      </c>
      <c r="AU138" s="154">
        <f t="shared" ca="1" si="476"/>
        <v>0</v>
      </c>
      <c r="AV138" s="154">
        <f t="shared" ca="1" si="477"/>
        <v>0</v>
      </c>
      <c r="AW138" s="154">
        <f t="shared" ca="1" si="478"/>
        <v>0</v>
      </c>
      <c r="AX138" s="154">
        <f t="shared" ca="1" si="479"/>
        <v>0</v>
      </c>
      <c r="AY138" s="154">
        <f t="shared" ca="1" si="480"/>
        <v>0</v>
      </c>
      <c r="AZ138" s="154">
        <f t="shared" ca="1" si="481"/>
        <v>0</v>
      </c>
      <c r="BA138" s="154">
        <f t="shared" ca="1" si="482"/>
        <v>0</v>
      </c>
      <c r="BB138" s="154">
        <f t="shared" ca="1" si="483"/>
        <v>0</v>
      </c>
      <c r="BC138" s="154">
        <f t="shared" ca="1" si="484"/>
        <v>0</v>
      </c>
      <c r="BD138" s="154">
        <f t="shared" ca="1" si="485"/>
        <v>0</v>
      </c>
      <c r="BE138" s="154">
        <f t="shared" ca="1" si="486"/>
        <v>0</v>
      </c>
      <c r="BF138" s="154">
        <f t="shared" ca="1" si="487"/>
        <v>0</v>
      </c>
      <c r="BG138" s="154">
        <f t="shared" ca="1" si="488"/>
        <v>0</v>
      </c>
      <c r="BH138" s="154">
        <f t="shared" ca="1" si="489"/>
        <v>0</v>
      </c>
      <c r="BI138" s="154">
        <f t="shared" ca="1" si="490"/>
        <v>0</v>
      </c>
      <c r="BJ138" s="154">
        <f t="shared" ca="1" si="491"/>
        <v>0</v>
      </c>
      <c r="BK138" s="154">
        <f t="shared" ca="1" si="492"/>
        <v>0</v>
      </c>
      <c r="BL138" s="154">
        <f t="shared" ca="1" si="493"/>
        <v>0</v>
      </c>
      <c r="BM138" s="154">
        <f t="shared" ca="1" si="494"/>
        <v>0</v>
      </c>
      <c r="BN138" s="154">
        <f t="shared" ca="1" si="495"/>
        <v>0</v>
      </c>
      <c r="BO138" s="154">
        <f t="shared" ca="1" si="496"/>
        <v>0</v>
      </c>
      <c r="BP138" s="154">
        <f t="shared" ca="1" si="497"/>
        <v>0</v>
      </c>
      <c r="BQ138" s="154">
        <f t="shared" ca="1" si="498"/>
        <v>0</v>
      </c>
      <c r="BR138" s="154">
        <f t="shared" ca="1" si="499"/>
        <v>0</v>
      </c>
      <c r="BS138" s="154">
        <f t="shared" ca="1" si="500"/>
        <v>0</v>
      </c>
      <c r="BT138" s="154">
        <f t="shared" ca="1" si="501"/>
        <v>0</v>
      </c>
      <c r="BU138" s="154">
        <f t="shared" ca="1" si="502"/>
        <v>0</v>
      </c>
      <c r="BV138" s="154">
        <f t="shared" ca="1" si="503"/>
        <v>0</v>
      </c>
      <c r="BW138" s="154">
        <f t="shared" ca="1" si="504"/>
        <v>0</v>
      </c>
      <c r="BX138" s="154">
        <f t="shared" ca="1" si="505"/>
        <v>0</v>
      </c>
      <c r="BY138" s="154">
        <f t="shared" ca="1" si="506"/>
        <v>0</v>
      </c>
      <c r="BZ138" s="154">
        <f t="shared" si="507"/>
        <v>0</v>
      </c>
      <c r="CA138" s="154">
        <f t="shared" si="508"/>
        <v>0</v>
      </c>
      <c r="CB138" s="154">
        <f t="shared" ca="1" si="509"/>
        <v>0</v>
      </c>
      <c r="CC138" s="523"/>
      <c r="CD138" s="355">
        <f t="shared" si="510"/>
        <v>162</v>
      </c>
      <c r="CE138" s="751" t="str">
        <f t="shared" ca="1" si="511"/>
        <v>B</v>
      </c>
      <c r="CF138" s="355"/>
      <c r="CG138" s="268"/>
      <c r="CH138" s="268"/>
      <c r="CI138" s="269">
        <f t="shared" ca="1" si="512"/>
        <v>0</v>
      </c>
      <c r="CJ138" s="269">
        <f t="shared" ca="1" si="513"/>
        <v>0</v>
      </c>
      <c r="CK138" s="268"/>
      <c r="CL138" s="268"/>
      <c r="CM138" s="268">
        <f t="shared" si="327"/>
        <v>0</v>
      </c>
      <c r="CN138" s="269">
        <f t="shared" ca="1" si="328"/>
        <v>0</v>
      </c>
      <c r="CO138" s="268" t="str">
        <f t="shared" ca="1" si="514"/>
        <v>B</v>
      </c>
      <c r="CP138" s="271" t="b">
        <f>TRUE</f>
        <v>1</v>
      </c>
      <c r="CQ138" s="269">
        <f t="shared" si="516"/>
        <v>0</v>
      </c>
      <c r="CR138" s="269">
        <f t="shared" si="517"/>
        <v>0</v>
      </c>
      <c r="CS138" s="269">
        <f t="shared" ca="1" si="518"/>
        <v>0</v>
      </c>
      <c r="CT138" s="302" t="str">
        <f t="shared" ca="1" si="519"/>
        <v>0</v>
      </c>
      <c r="CU138" s="269">
        <f t="shared" ca="1" si="520"/>
        <v>0</v>
      </c>
      <c r="CV138" s="268"/>
      <c r="CW138" s="269">
        <f t="shared" ca="1" si="521"/>
        <v>0</v>
      </c>
      <c r="CX138" s="301">
        <f t="shared" ca="1" si="522"/>
        <v>0</v>
      </c>
      <c r="CY138" s="301">
        <f t="shared" ca="1" si="329"/>
        <v>0</v>
      </c>
      <c r="CZ138" s="301">
        <f t="shared" ca="1" si="523"/>
        <v>0</v>
      </c>
      <c r="DA138" s="301">
        <f t="shared" ca="1" si="524"/>
        <v>0</v>
      </c>
      <c r="DB138" t="str">
        <f ca="1">IF(AND(NOT(ISBLANK($F138)),$F138&lt;=$B138),"TaW SE zu klein","")</f>
        <v/>
      </c>
      <c r="DC138" s="301" t="str">
        <f t="shared" ca="1" si="525"/>
        <v/>
      </c>
      <c r="DD138" s="1337" t="str">
        <f t="shared" ca="1" si="535"/>
        <v/>
      </c>
      <c r="DE138" s="1337" t="str">
        <f t="shared" ca="1" si="536"/>
        <v/>
      </c>
      <c r="DG138" s="269" t="str">
        <f t="shared" ca="1" si="526"/>
        <v>Tabellen_Andere!BA73:BF73</v>
      </c>
      <c r="DH138" s="269" t="str">
        <f t="shared" si="527"/>
        <v>Tabellen_Andere!BA73:BF73</v>
      </c>
      <c r="DI138" s="269" t="str">
        <f ca="1">IF(NOT(ISERR(FIND(A138&amp;" ",Abfragen!$O$264,1))),MID(Abfragen!$O$264,FIND("(",Abfragen!$O$264,FIND(A138,Abfragen!$O$264,1)+LEN(A138))+1,FIND(")",Abfragen!$O$264,FIND(A138,Abfragen!$O$264,1)+LEN(A138))-FIND("(",Abfragen!$O$264,FIND(A138,Abfragen!$O$264,1)+LEN(A138))-1),"")</f>
        <v/>
      </c>
      <c r="DJ138" s="301" t="str">
        <f t="shared" ref="DJ138:DX138" ca="1" si="551">IF(ISERR(FIND(";"&amp;DJ$13&amp;":0;",$F138)),
CHAR(CODE($CE138)+SUM(IF(ISERR(FIND(";"&amp;DJ$13&amp;";",$F138)),0,-1),IF(ISERR(FIND(";"&amp;DJ$13&amp;":",$F138)),0,-VALUE(MID($F138,FIND(";"&amp;DJ$13&amp;":",$F138)+LEN(DJ$13)+2,1))))),0)</f>
        <v>B</v>
      </c>
      <c r="DK138" s="301" t="str">
        <f t="shared" ca="1" si="551"/>
        <v>B</v>
      </c>
      <c r="DL138" s="301" t="str">
        <f t="shared" ca="1" si="551"/>
        <v>B</v>
      </c>
      <c r="DM138" s="301" t="str">
        <f t="shared" ca="1" si="551"/>
        <v>B</v>
      </c>
      <c r="DN138" s="301" t="str">
        <f t="shared" ca="1" si="551"/>
        <v>B</v>
      </c>
      <c r="DO138" s="301" t="str">
        <f t="shared" ca="1" si="551"/>
        <v>B</v>
      </c>
      <c r="DP138" s="301" t="str">
        <f t="shared" ca="1" si="551"/>
        <v>B</v>
      </c>
      <c r="DQ138" s="301" t="str">
        <f t="shared" ca="1" si="551"/>
        <v>B</v>
      </c>
      <c r="DR138" s="301" t="str">
        <f t="shared" ca="1" si="551"/>
        <v>B</v>
      </c>
      <c r="DS138" s="301" t="str">
        <f t="shared" ca="1" si="551"/>
        <v>B</v>
      </c>
      <c r="DT138" s="301" t="str">
        <f t="shared" ca="1" si="551"/>
        <v>B</v>
      </c>
      <c r="DU138" s="301" t="str">
        <f t="shared" ca="1" si="551"/>
        <v>B</v>
      </c>
      <c r="DV138" s="301" t="str">
        <f t="shared" ca="1" si="551"/>
        <v>B</v>
      </c>
      <c r="DW138" s="301" t="str">
        <f t="shared" ca="1" si="551"/>
        <v>B</v>
      </c>
      <c r="DX138" s="301" t="str">
        <f t="shared" ca="1" si="551"/>
        <v>B</v>
      </c>
      <c r="DY138" s="301" t="str">
        <f t="shared" ref="DY138:EE153" ca="1" si="552">IF(ISERR(FIND(";"&amp;DY$13&amp;":0;",$F138)),
CHAR(CODE($CE138)+SUM(IF(ISERR(FIND(";"&amp;DY$13&amp;";",$F138)),0,-1),IF(ISERR(FIND(";"&amp;DY$13&amp;":",$F138)),0,-VALUE(MID($F138,FIND(";"&amp;DY$13&amp;":",$F138)+LEN(DY$13)+2,1))))),0)</f>
        <v>B</v>
      </c>
      <c r="DZ138" s="301" t="str">
        <f t="shared" ca="1" si="552"/>
        <v>B</v>
      </c>
      <c r="EA138" s="301" t="str">
        <f t="shared" ca="1" si="552"/>
        <v>B</v>
      </c>
      <c r="EB138" s="301" t="str">
        <f t="shared" ca="1" si="552"/>
        <v>B</v>
      </c>
      <c r="EC138" s="301" t="str">
        <f t="shared" ca="1" si="552"/>
        <v>B</v>
      </c>
      <c r="ED138" s="301" t="str">
        <f t="shared" ca="1" si="552"/>
        <v>B</v>
      </c>
      <c r="EE138" s="301" t="str">
        <f t="shared" ca="1" si="552"/>
        <v>B</v>
      </c>
      <c r="EF138" s="205"/>
      <c r="EG138" s="301" t="str">
        <f t="shared" ca="1" si="548"/>
        <v>B</v>
      </c>
      <c r="EH138" s="301" t="str">
        <f t="shared" ca="1" si="548"/>
        <v>B</v>
      </c>
      <c r="EI138" s="301" t="str">
        <f t="shared" ca="1" si="548"/>
        <v>B</v>
      </c>
      <c r="EJ138" s="301" t="str">
        <f t="shared" ca="1" si="548"/>
        <v>B</v>
      </c>
      <c r="EK138" s="301" t="str">
        <f t="shared" ca="1" si="548"/>
        <v>B</v>
      </c>
      <c r="EL138" s="301" t="str">
        <f t="shared" ca="1" si="548"/>
        <v>B</v>
      </c>
      <c r="EM138" s="301" t="str">
        <f t="shared" ca="1" si="548"/>
        <v>B</v>
      </c>
      <c r="EN138" s="301" t="str">
        <f t="shared" ca="1" si="548"/>
        <v>B</v>
      </c>
      <c r="EO138" s="301" t="str">
        <f t="shared" ca="1" si="548"/>
        <v>B</v>
      </c>
      <c r="EP138" s="301" t="str">
        <f t="shared" ca="1" si="548"/>
        <v>B</v>
      </c>
      <c r="EQ138" s="301" t="str">
        <f t="shared" ca="1" si="549"/>
        <v>B</v>
      </c>
      <c r="ER138" s="301" t="str">
        <f t="shared" ca="1" si="549"/>
        <v>B</v>
      </c>
      <c r="ES138" s="301" t="str">
        <f t="shared" ca="1" si="549"/>
        <v>B</v>
      </c>
      <c r="ET138" s="301" t="str">
        <f t="shared" ca="1" si="549"/>
        <v>B</v>
      </c>
      <c r="EU138" s="301" t="str">
        <f t="shared" ca="1" si="549"/>
        <v>B</v>
      </c>
      <c r="EV138" s="301" t="str">
        <f t="shared" ca="1" si="549"/>
        <v>B</v>
      </c>
      <c r="EW138" s="301" t="str">
        <f t="shared" ca="1" si="549"/>
        <v>B</v>
      </c>
      <c r="EX138" s="301" t="str">
        <f t="shared" ca="1" si="549"/>
        <v>B</v>
      </c>
      <c r="EY138" s="301" t="str">
        <f t="shared" ca="1" si="549"/>
        <v>B</v>
      </c>
      <c r="EZ138" s="301" t="str">
        <f t="shared" ca="1" si="549"/>
        <v>B</v>
      </c>
      <c r="FA138" s="301" t="str">
        <f t="shared" ca="1" si="550"/>
        <v>B</v>
      </c>
      <c r="FB138" s="301" t="str">
        <f t="shared" ca="1" si="550"/>
        <v>B</v>
      </c>
      <c r="FC138" s="301" t="str">
        <f t="shared" ca="1" si="550"/>
        <v>B</v>
      </c>
      <c r="FD138" s="301" t="str">
        <f t="shared" ca="1" si="550"/>
        <v>B</v>
      </c>
      <c r="FE138" s="301" t="str">
        <f t="shared" ca="1" si="550"/>
        <v>B</v>
      </c>
      <c r="FF138" s="301" t="str">
        <f t="shared" ca="1" si="550"/>
        <v>B</v>
      </c>
      <c r="FG138" s="301" t="str">
        <f t="shared" ca="1" si="550"/>
        <v>B</v>
      </c>
      <c r="FH138" s="301" t="str">
        <f t="shared" ca="1" si="550"/>
        <v>B</v>
      </c>
      <c r="FI138" s="301" t="str">
        <f t="shared" ca="1" si="550"/>
        <v>B</v>
      </c>
      <c r="FJ138" s="301" t="str">
        <f t="shared" ca="1" si="550"/>
        <v>B</v>
      </c>
      <c r="FK138" s="301" t="str">
        <f t="shared" ca="1" si="550"/>
        <v>B</v>
      </c>
      <c r="FL138" s="301" t="str">
        <f t="shared" ca="1" si="550"/>
        <v>B</v>
      </c>
    </row>
    <row r="139" spans="1:168" x14ac:dyDescent="0.2">
      <c r="A139" s="38" t="str">
        <f t="shared" si="533"/>
        <v>Maurer</v>
      </c>
      <c r="B139" s="317" t="str">
        <f t="shared" ref="B139:B157" ca="1" si="553">IF(AND(OR(NOT(ISBLANK($D139)),NOT(ISBLANK($G139)),NOT(ISBLANK($I139))),EXACT($C139,"")),0,IF(EXACT($C139,""),"",
SUM(CX139,IF(ISERROR(FIND("L",D139,1)),D139,LEFT(D139,LEN(D139)-1)))
))</f>
        <v/>
      </c>
      <c r="C139" s="332" t="str">
        <f ca="1">IF(OR(NOT(ISBLANK(D139)),NOT(ISBLANK(HLOOKUP(RASSEGENE,RASSE,$CD139,FALSE))),
NOT(ISBLANK(HLOOKUP(KULTURGENE,KULTUR,$CD139,FALSE))),
NOT(OR(ISBLANK(HLOOKUP(PROFGENE,INDIRECT(PROFGEBIET),$CD139,FALSE)),$CS139="N",$CS139="M")),
IF(PROFZWEITE="",FALSE,NOT(ISBLANK(HLOOKUP(PROFZWEITE,INDIRECT(PROFGEBIET2),$CD139,FALSE))))),"x","")</f>
        <v/>
      </c>
      <c r="D139" s="1110"/>
      <c r="E139" s="966"/>
      <c r="F139" s="325"/>
      <c r="G139" s="958"/>
      <c r="H139" s="1196"/>
      <c r="I139" s="326"/>
      <c r="J139" s="1886" t="str">
        <f t="shared" ca="1" si="450"/>
        <v/>
      </c>
      <c r="K139" s="1887"/>
      <c r="L139" s="1887"/>
      <c r="M139" s="1887"/>
      <c r="N139" s="1888"/>
      <c r="O139" s="613" t="str">
        <f t="shared" ref="O139:O157" ca="1" si="554">IF(AND(EXACT($B139,""),ISBLANK($G139),ISBLANK($I139)),"",IF(AND(EXACT($C139,""),ISBLANK(G139),ISBLANK(I139)),"",SUM($B139,G139,$I139)))</f>
        <v/>
      </c>
      <c r="P139" s="90"/>
      <c r="Q139" s="25"/>
      <c r="R139" s="1313"/>
      <c r="S139" s="1313"/>
      <c r="T139" s="1315"/>
      <c r="U139" s="1283"/>
      <c r="V139" s="628" t="str">
        <f t="shared" ref="V139:V157" ca="1" si="555">IF(R139="",IF(DI139="","","Wählen:"&amp;DI139),IF(DI139="",IF(O139&lt;7,"Taw&lt;7",IF(S139="","",IF(O139&lt;14,"Taw&lt;14",""))),""))</f>
        <v/>
      </c>
      <c r="W139" s="164">
        <f t="shared" ref="W139:W157" ca="1" si="556">IF($DJ139=0,0,IF(NOT(ISBLANK($G139)),
IF(SUM($B139)&lt;=0,SUM(IF($G139&lt;ABS($B139),$G139,ABS($B139)),IF(C139="B",0,1))*HLOOKUP(IF(CODE($DJ139)&lt;65,"A+",$DJ139),SKT,3,FALSE),0),0))</f>
        <v>0</v>
      </c>
      <c r="X139" s="164">
        <f t="shared" ref="X139:X157" ca="1" si="557">IF(DK139=0,0,IF(AND(NOT(ISBLANK($G139)),$B139&lt;X$13,SUM($B139,$G139)&gt;=X$13),
HLOOKUP(IF(CODE(DK139)&lt;65,"A+",DK139),SKT,X$13+3,FALSE),0))</f>
        <v>0</v>
      </c>
      <c r="Y139" s="164">
        <f t="shared" ref="Y139:Y157" ca="1" si="558">IF(DL139=0,0,IF(AND(NOT(ISBLANK($G139)),$B139&lt;Y$13,SUM($B139,$G139)&gt;=Y$13),
HLOOKUP(IF(CODE(DL139)&lt;65,"A+",DL139),SKT,Y$13+3,FALSE),0))</f>
        <v>0</v>
      </c>
      <c r="Z139" s="164">
        <f t="shared" ref="Z139:Z157" ca="1" si="559">IF(DM139=0,0,IF(AND(NOT(ISBLANK($G139)),$B139&lt;Z$13,SUM($B139,$G139)&gt;=Z$13),
HLOOKUP(IF(CODE(DM139)&lt;65,"A+",DM139),SKT,Z$13+3,FALSE),0))</f>
        <v>0</v>
      </c>
      <c r="AA139" s="164">
        <f t="shared" ref="AA139:AA157" ca="1" si="560">IF(DN139=0,0,IF(AND(NOT(ISBLANK($G139)),$B139&lt;AA$13,SUM($B139,$G139)&gt;=AA$13),
HLOOKUP(IF(CODE(DN139)&lt;65,"A+",DN139),SKT,AA$13+3,FALSE),0))</f>
        <v>0</v>
      </c>
      <c r="AB139" s="164">
        <f t="shared" ref="AB139:AB157" ca="1" si="561">IF(DO139=0,0,IF(AND(NOT(ISBLANK($G139)),$B139&lt;AB$13,SUM($B139,$G139)&gt;=AB$13),
HLOOKUP(IF(CODE(DO139)&lt;65,"A+",DO139),SKT,AB$13+3,FALSE),0))</f>
        <v>0</v>
      </c>
      <c r="AC139" s="164">
        <f t="shared" ref="AC139:AC157" ca="1" si="562">IF(DP139=0,0,IF(AND(NOT(ISBLANK($G139)),$B139&lt;AC$13,SUM($B139,$G139)&gt;=AC$13),
HLOOKUP(IF(CODE(DP139)&lt;65,"A+",DP139),SKT,AC$13+3,FALSE),0))</f>
        <v>0</v>
      </c>
      <c r="AD139" s="164">
        <f t="shared" ref="AD139:AD157" ca="1" si="563">IF(DQ139=0,0,IF(AND(NOT(ISBLANK($G139)),$B139&lt;AD$13,SUM($B139,$G139)&gt;=AD$13),
HLOOKUP(IF(CODE(DQ139)&lt;65,"A+",DQ139),SKT,AD$13+3,FALSE),0))</f>
        <v>0</v>
      </c>
      <c r="AE139" s="164">
        <f t="shared" ref="AE139:AE157" ca="1" si="564">IF(DR139=0,0,IF(AND(NOT(ISBLANK($G139)),$B139&lt;AE$13,SUM($B139,$G139)&gt;=AE$13),
HLOOKUP(IF(CODE(DR139)&lt;65,"A+",DR139),SKT,AE$13+3,FALSE),0))</f>
        <v>0</v>
      </c>
      <c r="AF139" s="164">
        <f t="shared" ref="AF139:AF157" ca="1" si="565">IF(DS139=0,0,IF(AND(NOT(ISBLANK($G139)),$B139&lt;AF$13,SUM($B139,$G139)&gt;=AF$13),
HLOOKUP(IF(CODE(DS139)&lt;65,"A+",DS139),SKT,AF$13+3,FALSE),0))</f>
        <v>0</v>
      </c>
      <c r="AG139" s="164">
        <f t="shared" ref="AG139:AG157" ca="1" si="566">IF(DT139=0,0,IF(AND(NOT(ISBLANK($G139)),$B139&lt;AG$13,SUM($B139,$G139)&gt;=AG$13),
HLOOKUP(IF(CODE(DT139)&lt;65,"A+",DT139),SKT,AG$13+3,FALSE),0))</f>
        <v>0</v>
      </c>
      <c r="AH139" s="164">
        <f t="shared" ref="AH139:AH157" ca="1" si="567">IF(DU139=0,0,IF(AND(NOT(ISBLANK($G139)),$B139&lt;AH$13,SUM($B139,$G139)&gt;=AH$13),
HLOOKUP(IF(CODE(DU139)&lt;65,"A+",DU139),SKT,AH$13+3,FALSE),0))</f>
        <v>0</v>
      </c>
      <c r="AI139" s="164">
        <f t="shared" ref="AI139:AI157" ca="1" si="568">IF(DV139=0,0,IF(AND(NOT(ISBLANK($G139)),$B139&lt;AI$13,SUM($B139,$G139)&gt;=AI$13),
HLOOKUP(IF(CODE(DV139)&lt;65,"A+",DV139),SKT,AI$13+3,FALSE),0))</f>
        <v>0</v>
      </c>
      <c r="AJ139" s="164">
        <f t="shared" ref="AJ139:AJ157" ca="1" si="569">IF(DW139=0,0,IF(AND(NOT(ISBLANK($G139)),$B139&lt;AJ$13,SUM($B139,$G139)&gt;=AJ$13),
HLOOKUP(IF(CODE(DW139)&lt;65,"A+",DW139),SKT,AJ$13+3,FALSE),0))</f>
        <v>0</v>
      </c>
      <c r="AK139" s="164">
        <f t="shared" ref="AK139:AK157" ca="1" si="570">IF(DX139=0,0,IF(AND(NOT(ISBLANK($G139)),$B139&lt;AK$13,SUM($B139,$G139)&gt;=AK$13),
HLOOKUP(IF(CODE(DX139)&lt;65,"A+",DX139),SKT,AK$13+3,FALSE),0))</f>
        <v>0</v>
      </c>
      <c r="AL139" s="164">
        <f t="shared" ref="AL139:AL157" ca="1" si="571">IF(DY139=0,0,IF(AND(NOT(ISBLANK($G139)),$B139&lt;AL$13,SUM($B139,$G139)&gt;=AL$13),
HLOOKUP(IF(CODE(DY139)&lt;65,"A+",DY139),SKT,AL$13+3,FALSE),0))</f>
        <v>0</v>
      </c>
      <c r="AM139" s="164">
        <f t="shared" ref="AM139:AM157" ca="1" si="572">IF(DZ139=0,0,IF(AND(NOT(ISBLANK($G139)),$B139&lt;AM$13,SUM($B139,$G139)&gt;=AM$13),
HLOOKUP(IF(CODE(DZ139)&lt;65,"A+",DZ139),SKT,AM$13+3,FALSE),0))</f>
        <v>0</v>
      </c>
      <c r="AN139" s="164">
        <f t="shared" ref="AN139:AN157" ca="1" si="573">IF(EA139=0,0,IF(AND(NOT(ISBLANK($G139)),$B139&lt;AN$13,SUM($B139,$G139)&gt;=AN$13),
HLOOKUP(IF(CODE(EA139)&lt;65,"A+",EA139),SKT,AN$13+3,FALSE),0))</f>
        <v>0</v>
      </c>
      <c r="AO139" s="164">
        <f t="shared" ref="AO139:AO157" ca="1" si="574">IF(EB139=0,0,IF(AND(NOT(ISBLANK($G139)),$B139&lt;AO$13,SUM($B139,$G139)&gt;=AO$13),
HLOOKUP(IF(CODE(EB139)&lt;65,"A+",EB139),SKT,AO$13+3,FALSE),0))</f>
        <v>0</v>
      </c>
      <c r="AP139" s="164">
        <f t="shared" ref="AP139:AP157" ca="1" si="575">IF(EC139=0,0,IF(AND(NOT(ISBLANK($G139)),$B139&lt;AP$13,SUM($B139,$G139)&gt;=AP$13),
HLOOKUP(IF(CODE(EC139)&lt;65,"A+",EC139),SKT,AP$13+3,FALSE),0))</f>
        <v>0</v>
      </c>
      <c r="AQ139" s="164">
        <f t="shared" ref="AQ139:AQ157" ca="1" si="576">IF(ED139=0,0,IF(AND(NOT(ISBLANK($G139)),$B139&lt;AQ$13,SUM($B139,$G139)&gt;=AQ$13),
HLOOKUP(IF(CODE(ED139)&lt;65,"A+",ED139),SKT,AQ$13+3,FALSE),0))</f>
        <v>0</v>
      </c>
      <c r="AR139" s="164">
        <f t="shared" ref="AR139:AR157" ca="1" si="577">IF(EE139=0,0,IF(AND(NOT(ISBLANK($G139)),$B139&lt;AR$13,SUM($B139,$G139)&gt;=AR$13),
HLOOKUP(IF(CODE(EE139)&lt;65,"A+",EE139),SKT,AR$13+3,FALSE),0))</f>
        <v>0</v>
      </c>
      <c r="AS139" s="195"/>
      <c r="AT139" s="154">
        <f t="shared" ref="AT139:AT157" ca="1" si="578">IF($EG139=0,0,IF(AND(ISBLANK($G139),NOT(ISBLANK($I139))),ROUND(SUM(
IF(SUM($B139,$G139,H139)&lt;0,IF($I139&lt;ABS(SUM($B139,$G139,H139)),$I139,IF(C139="B",0,1)+ABS(SUM($B139,$G139,H139))),0),
IF(SUM($B139,$G139,H139)=0,IF(C139="B",0,1),0))
*HLOOKUP(IF(CODE($EG139)&lt;65,"A+",$EG139),SKT,3,FALSE)*5,0),0))</f>
        <v>0</v>
      </c>
      <c r="AU139" s="154">
        <f t="shared" ref="AU139:AU157" ca="1" si="579">IF(EH139=0,0,IF(AND(NOT(ISBLANK($I139)),SUM($B139,$G139)&lt;AU$13,SUM($B139,$G139,$I139)&gt;=AU$13),
HLOOKUP(IF(CODE(EH139)&lt;65,"A+",EH139),SKT,AU$13+3,FALSE),0))</f>
        <v>0</v>
      </c>
      <c r="AV139" s="154">
        <f t="shared" ref="AV139:AV157" ca="1" si="580">IF(EI139=0,0,IF(AND(NOT(ISBLANK($I139)),SUM($B139,$G139)&lt;AV$13,SUM($B139,$G139,$I139)&gt;=AV$13),
HLOOKUP(IF(CODE(EI139)&lt;65,"A+",EI139),SKT,AV$13+3,FALSE),0))</f>
        <v>0</v>
      </c>
      <c r="AW139" s="154">
        <f t="shared" ref="AW139:AW157" ca="1" si="581">IF(EJ139=0,0,IF(AND(NOT(ISBLANK($I139)),SUM($B139,$G139)&lt;AW$13,SUM($B139,$G139,$I139)&gt;=AW$13),
HLOOKUP(IF(CODE(EJ139)&lt;65,"A+",EJ139),SKT,AW$13+3,FALSE),0))</f>
        <v>0</v>
      </c>
      <c r="AX139" s="154">
        <f t="shared" ref="AX139:AX157" ca="1" si="582">IF(EK139=0,0,IF(AND(NOT(ISBLANK($I139)),SUM($B139,$G139)&lt;AX$13,SUM($B139,$G139,$I139)&gt;=AX$13),
HLOOKUP(IF(CODE(EK139)&lt;65,"A+",EK139),SKT,AX$13+3,FALSE),0))</f>
        <v>0</v>
      </c>
      <c r="AY139" s="154">
        <f t="shared" ref="AY139:AY157" ca="1" si="583">IF(EL139=0,0,IF(AND(NOT(ISBLANK($I139)),SUM($B139,$G139)&lt;AY$13,SUM($B139,$G139,$I139)&gt;=AY$13),
HLOOKUP(IF(CODE(EL139)&lt;65,"A+",EL139),SKT,AY$13+3,FALSE),0))</f>
        <v>0</v>
      </c>
      <c r="AZ139" s="154">
        <f t="shared" ref="AZ139:AZ157" ca="1" si="584">IF(EM139=0,0,IF(AND(NOT(ISBLANK($I139)),SUM($B139,$G139)&lt;AZ$13,SUM($B139,$G139,$I139)&gt;=AZ$13),
HLOOKUP(IF(CODE(EM139)&lt;65,"A+",EM139),SKT,AZ$13+3,FALSE),0))</f>
        <v>0</v>
      </c>
      <c r="BA139" s="154">
        <f t="shared" ref="BA139:BA157" ca="1" si="585">IF(EN139=0,0,IF(AND(NOT(ISBLANK($I139)),SUM($B139,$G139)&lt;BA$13,SUM($B139,$G139,$I139)&gt;=BA$13),
HLOOKUP(IF(CODE(EN139)&lt;65,"A+",EN139),SKT,BA$13+3,FALSE),0))</f>
        <v>0</v>
      </c>
      <c r="BB139" s="154">
        <f t="shared" ref="BB139:BB157" ca="1" si="586">IF(EO139=0,0,IF(AND(NOT(ISBLANK($I139)),SUM($B139,$G139)&lt;BB$13,SUM($B139,$G139,$I139)&gt;=BB$13),
HLOOKUP(IF(CODE(EO139)&lt;65,"A+",EO139),SKT,BB$13+3,FALSE),0))</f>
        <v>0</v>
      </c>
      <c r="BC139" s="154">
        <f t="shared" ref="BC139:BC157" ca="1" si="587">IF(EP139=0,0,IF(AND(NOT(ISBLANK($I139)),SUM($B139,$G139)&lt;BC$13,SUM($B139,$G139,$I139)&gt;=BC$13),
HLOOKUP(IF(CODE(EP139)&lt;65,"A+",EP139),SKT,BC$13+3,FALSE),0))</f>
        <v>0</v>
      </c>
      <c r="BD139" s="154">
        <f t="shared" ref="BD139:BD157" ca="1" si="588">IF(EQ139=0,0,IF(AND(NOT(ISBLANK($I139)),SUM($B139,$G139)&lt;BD$13,SUM($B139,$G139,$I139)&gt;=BD$13),
HLOOKUP(IF(CODE(EQ139)&lt;65,"A+",EQ139),SKT,BD$13+3,FALSE),0))</f>
        <v>0</v>
      </c>
      <c r="BE139" s="154">
        <f t="shared" ref="BE139:BE157" ca="1" si="589">IF(ER139=0,0,IF(AND(NOT(ISBLANK($I139)),SUM($B139,$G139)&lt;BE$13,SUM($B139,$G139,$I139)&gt;=BE$13),
HLOOKUP(IF(CODE(ER139)&lt;65,"A+",ER139),SKT,BE$13+3,FALSE),0))</f>
        <v>0</v>
      </c>
      <c r="BF139" s="154">
        <f t="shared" ref="BF139:BF157" ca="1" si="590">IF(ES139=0,0,IF(AND(NOT(ISBLANK($I139)),SUM($B139,$G139)&lt;BF$13,SUM($B139,$G139,$I139)&gt;=BF$13),
HLOOKUP(IF(CODE(ES139)&lt;65,"A+",ES139),SKT,BF$13+3,FALSE),0))</f>
        <v>0</v>
      </c>
      <c r="BG139" s="154">
        <f t="shared" ref="BG139:BG157" ca="1" si="591">IF(ET139=0,0,IF(AND(NOT(ISBLANK($I139)),SUM($B139,$G139)&lt;BG$13,SUM($B139,$G139,$I139)&gt;=BG$13),
HLOOKUP(IF(CODE(ET139)&lt;65,"A+",ET139),SKT,BG$13+3,FALSE),0))</f>
        <v>0</v>
      </c>
      <c r="BH139" s="154">
        <f t="shared" ref="BH139:BH157" ca="1" si="592">IF(EU139=0,0,IF(AND(NOT(ISBLANK($I139)),SUM($B139,$G139)&lt;BH$13,SUM($B139,$G139,$I139)&gt;=BH$13),
HLOOKUP(IF(CODE(EU139)&lt;65,"A+",EU139),SKT,BH$13+3,FALSE),0))</f>
        <v>0</v>
      </c>
      <c r="BI139" s="154">
        <f t="shared" ref="BI139:BI157" ca="1" si="593">IF(EV139=0,0,IF(AND(NOT(ISBLANK($I139)),SUM($B139,$G139)&lt;BI$13,SUM($B139,$G139,$I139)&gt;=BI$13),
HLOOKUP(IF(CODE(EV139)&lt;65,"A+",EV139),SKT,BI$13+3,FALSE),0))</f>
        <v>0</v>
      </c>
      <c r="BJ139" s="154">
        <f t="shared" ref="BJ139:BJ157" ca="1" si="594">IF(EW139=0,0,IF(AND(NOT(ISBLANK($I139)),SUM($B139,$G139)&lt;BJ$13,SUM($B139,$G139,$I139)&gt;=BJ$13),
HLOOKUP(IF(CODE(EW139)&lt;65,"A+",EW139),SKT,BJ$13+3,FALSE),0))</f>
        <v>0</v>
      </c>
      <c r="BK139" s="154">
        <f t="shared" ref="BK139:BK157" ca="1" si="595">IF(EX139=0,0,IF(AND(NOT(ISBLANK($I139)),SUM($B139,$G139)&lt;BK$13,SUM($B139,$G139,$I139)&gt;=BK$13),
HLOOKUP(IF(CODE(EX139)&lt;65,"A+",EX139),SKT,BK$13+3,FALSE),0))</f>
        <v>0</v>
      </c>
      <c r="BL139" s="154">
        <f t="shared" ref="BL139:BL157" ca="1" si="596">IF(EY139=0,0,IF(AND(NOT(ISBLANK($I139)),SUM($B139,$G139)&lt;BL$13,SUM($B139,$G139,$I139)&gt;=BL$13),
HLOOKUP(IF(CODE(EY139)&lt;65,"A+",EY139),SKT,BL$13+3,FALSE),0))</f>
        <v>0</v>
      </c>
      <c r="BM139" s="154">
        <f t="shared" ref="BM139:BM157" ca="1" si="597">IF(EZ139=0,0,IF(AND(NOT(ISBLANK($I139)),SUM($B139,$G139)&lt;BM$13,SUM($B139,$G139,$I139)&gt;=BM$13),
HLOOKUP(IF(CODE(EZ139)&lt;65,"A+",EZ139),SKT,BM$13+3,FALSE),0))</f>
        <v>0</v>
      </c>
      <c r="BN139" s="154">
        <f t="shared" ref="BN139:BN157" ca="1" si="598">IF(FA139=0,0,IF(AND(NOT(ISBLANK($I139)),SUM($B139,$G139)&lt;BN$13,SUM($B139,$G139,$I139)&gt;=BN$13),
HLOOKUP(IF(CODE(FA139)&lt;65,"A+",FA139),SKT,BN$13+3,FALSE),0))</f>
        <v>0</v>
      </c>
      <c r="BO139" s="154">
        <f t="shared" ref="BO139:BO157" ca="1" si="599">IF(FB139=0,0,IF(AND(NOT(ISBLANK($I139)),SUM($B139,$G139)&lt;BO$13,SUM($B139,$G139,$I139)&gt;=BO$13),
HLOOKUP(IF(CODE(FB139)&lt;65,"A+",FB139),SKT,BO$13+3,FALSE),0))</f>
        <v>0</v>
      </c>
      <c r="BP139" s="154">
        <f t="shared" ref="BP139:BP157" ca="1" si="600">IF(FC139=0,0,IF(AND(NOT(ISBLANK($I139)),SUM($B139,$G139)&lt;BP$13,SUM($B139,$G139,$I139)&gt;=BP$13),
HLOOKUP(IF(CODE(FC139)&lt;65,"A+",FC139),SKT,BP$13+3,FALSE),0))</f>
        <v>0</v>
      </c>
      <c r="BQ139" s="154">
        <f t="shared" ref="BQ139:BQ157" ca="1" si="601">IF(FD139=0,0,IF(AND(NOT(ISBLANK($I139)),SUM($B139,$G139)&lt;BQ$13,SUM($B139,$G139,$I139)&gt;=BQ$13),
HLOOKUP(IF(CODE(FD139)&lt;65,"A+",FD139),SKT,BQ$13+3,FALSE),0))</f>
        <v>0</v>
      </c>
      <c r="BR139" s="154">
        <f t="shared" ref="BR139:BR157" ca="1" si="602">IF(FE139=0,0,IF(AND(NOT(ISBLANK($I139)),SUM($B139,$G139)&lt;BR$13,SUM($B139,$G139,$I139)&gt;=BR$13),
HLOOKUP(IF(CODE(FE139)&lt;65,"A+",FE139),SKT,BR$13+3,FALSE),0))</f>
        <v>0</v>
      </c>
      <c r="BS139" s="154">
        <f t="shared" ref="BS139:BS157" ca="1" si="603">IF(FF139=0,0,IF(AND(NOT(ISBLANK($I139)),SUM($B139,$G139)&lt;BS$13,SUM($B139,$G139,$I139)&gt;=BS$13),
HLOOKUP(IF(CODE(FF139)&lt;65,"A+",FF139),SKT,BS$13+3,FALSE),0))</f>
        <v>0</v>
      </c>
      <c r="BT139" s="154">
        <f t="shared" ref="BT139:BT157" ca="1" si="604">IF(FG139=0,0,IF(AND(NOT(ISBLANK($I139)),SUM($B139,$G139)&lt;BT$13,SUM($B139,$G139,$I139)&gt;=BT$13),
HLOOKUP(IF(CODE(FG139)&lt;65,"A+",FG139),SKT,BT$13+3,FALSE),0))</f>
        <v>0</v>
      </c>
      <c r="BU139" s="154">
        <f t="shared" ref="BU139:BU157" ca="1" si="605">IF(FH139=0,0,IF(AND(NOT(ISBLANK($I139)),SUM($B139,$G139)&lt;BU$13,SUM($B139,$G139,$I139)&gt;=BU$13),
HLOOKUP(IF(CODE(FH139)&lt;65,"A+",FH139),SKT,BU$13+3,FALSE),0))</f>
        <v>0</v>
      </c>
      <c r="BV139" s="154">
        <f t="shared" ref="BV139:BV157" ca="1" si="606">IF(FI139=0,0,IF(AND(NOT(ISBLANK($I139)),SUM($B139,$G139)&lt;BV$13,SUM($B139,$G139,$I139)&gt;=BV$13),
HLOOKUP(IF(CODE(FI139)&lt;65,"A+",FI139),SKT,BV$13+3,FALSE),0))</f>
        <v>0</v>
      </c>
      <c r="BW139" s="154">
        <f t="shared" ref="BW139:BW157" ca="1" si="607">IF(FJ139=0,0,IF(AND(NOT(ISBLANK($I139)),SUM($B139,$G139)&lt;BW$13,SUM($B139,$G139,$I139)&gt;=BW$13),
HLOOKUP(IF(CODE(FJ139)&lt;65,"A+",FJ139),SKT,BW$13+3,FALSE),0))</f>
        <v>0</v>
      </c>
      <c r="BX139" s="154">
        <f t="shared" ref="BX139:BX157" ca="1" si="608">IF(FK139=0,0,IF(AND(NOT(ISBLANK($I139)),SUM($B139,$G139)&lt;BX$13,SUM($B139,$G139,$I139)&gt;=BX$13),
HLOOKUP(IF(CODE(FK139)&lt;65,"A+",FK139),SKT,BX$13+3,FALSE),0))</f>
        <v>0</v>
      </c>
      <c r="BY139" s="154">
        <f t="shared" ref="BY139:BY157" ca="1" si="609">IF(FL139=0,0,IF(AND(NOT(ISBLANK($I139)),SUM($B139,$G139)&lt;BY$13,SUM($B139,$G139,$I139)&gt;=BY$13),
HLOOKUP(IF(CODE(FL139)&lt;65,"A+",FL139),SKT,BY$13+3,FALSE),0))</f>
        <v>0</v>
      </c>
      <c r="BZ139" s="154">
        <f t="shared" ref="BZ139:BZ157" si="610">IF(T139="GP",1,0)</f>
        <v>0</v>
      </c>
      <c r="CA139" s="154">
        <f t="shared" ref="CA139:CA157" si="611">IF(OR(T139="Start-AP",T139="Start-AP-2P"),
IF(R139="",0,IF(DI139="",1,0))*IF(U139="",20,10)*HLOOKUP(CE139,SKT,2,FALSE),0)</f>
        <v>0</v>
      </c>
      <c r="CB139" s="154">
        <f t="shared" ref="CB139:CB157" ca="1" si="612">IF(OR(T139="",T139="AP"),
(IF(R139="",0,IF(DI139="",IF(OR(U139="S1 verbilligt",U139="Beide verbilligt"),0.5,1),0))+IF(S139="",0,IF(OR(U139="S2 verbilligt",U139="Beide verbilligt"),1,2)))*20*HLOOKUP(CE139,SKT,2,FALSE),IF(S139="",0,IF(OR(U139="S2 verbilligt",U139="Beide verbilligt"),1,2))*20*HLOOKUP(CE139,SKT,2,FALSE))</f>
        <v>0</v>
      </c>
      <c r="CC139" s="523"/>
      <c r="CD139" s="355">
        <f t="shared" ref="CD139:CD157" si="613">VLOOKUP($A139,ZEILENBEZUG,2,FALSE)</f>
        <v>163</v>
      </c>
      <c r="CE139" s="751" t="str">
        <f t="shared" ref="CE139:CE157" ca="1" si="614">CO139</f>
        <v>B</v>
      </c>
      <c r="CF139" s="355" t="str">
        <f ca="1">IF(EXACT($B139,""),$CF136,CONCATENATE($CF136,$A139))</f>
        <v/>
      </c>
      <c r="CG139" s="268"/>
      <c r="CH139" s="268"/>
      <c r="CI139" s="269">
        <f t="shared" ref="CI139:CI157" ca="1" si="615">IF(AND(ISNA(VLOOKUP($A$106,UNFAEH,1,FALSE)),ISNA(VLOOKUP($A139,UNFAEH,1,FALSE)),ISERR(FIND($A$106,GEW_UNFAEH,1)),ISERR(FIND($A139,$AH$3,1))),0,1)</f>
        <v>0</v>
      </c>
      <c r="CJ139" s="269">
        <f t="shared" ref="CJ139:CJ157" ca="1" si="616">IF(AND(ISNA(VLOOKUP($A$106,BEGABG,1,FALSE)),ISNA(VLOOKUP($A139,BEGABG,1,FALSE)),ISERR(FIND($A$106,GEW_BEGABUNG,1)),ISERR(FIND($A139,$X$5,1))),0,-1)</f>
        <v>0</v>
      </c>
      <c r="CK139" s="268"/>
      <c r="CL139" s="268"/>
      <c r="CM139" s="268">
        <f t="shared" ca="1" si="327"/>
        <v>0</v>
      </c>
      <c r="CN139" s="269">
        <f t="shared" ca="1" si="328"/>
        <v>0</v>
      </c>
      <c r="CO139" s="268" t="str">
        <f t="shared" ref="CO139:CO157" ca="1" si="617">CHAR(CODE("B")+$CN139)</f>
        <v>B</v>
      </c>
      <c r="CP139" s="269" t="b">
        <f ca="1">IF(NT_ELFWELT,
IF(OR(
RIGHT(HLOOKUP(PROFGENE,INDIRECT(PROFGEBIET),$CD139,FALSE),1)="L",
RIGHT(HLOOKUP(KULTURGENE,KULTUR,$CD139,FALSE),1)="L",
RIGHT(D139)="L"),TRUE,FALSE),
TRUE)</f>
        <v>1</v>
      </c>
      <c r="CQ139" s="269">
        <f t="shared" ref="CQ139:CQ157" si="618">IF(RASSEGENE="",0,HLOOKUP(RASSEGENE,RASSE,$CD139,FALSE))</f>
        <v>0</v>
      </c>
      <c r="CR139" s="269">
        <f t="shared" ref="CR139:CR157" si="619">IF(KULTURGENE="LEER",0,IF(LEN(HLOOKUP(KULTURGENE,KULTUR,$CD139,FALSE))&gt;0,LEFT(HLOOKUP(KULTURGENE,KULTUR,$CD139,FALSE),IF(ISERR(SEARCH("L",HLOOKUP(KULTURGENE,KULTUR,$CD139,FALSE),1)),LEN(HLOOKUP(KULTURGENE,KULTUR,$CD139,FALSE)),SEARCH("L",HLOOKUP(KULTURGENE,KULTUR,$CD139,FALSE),1)-1)),0))</f>
        <v>0</v>
      </c>
      <c r="CS139" s="269">
        <f t="shared" ref="CS139:CS157" ca="1" si="620">IF(PROFGENE="LEER",0,HLOOKUP(PROFGENE,INDIRECT(PROFGEBIET),$CD139,FALSE))</f>
        <v>0</v>
      </c>
      <c r="CT139" s="302" t="str">
        <f t="shared" ca="1" si="519"/>
        <v>0</v>
      </c>
      <c r="CU139" s="269">
        <f t="shared" ref="CU139:CU157" ca="1" si="621">IF(LEN(PROFZWEITE)&lt;1,0,HLOOKUP(PROFZWEITE,INDIRECT(PROFGEBIET2),$CD139,FALSE))</f>
        <v>0</v>
      </c>
      <c r="CV139" s="268"/>
      <c r="CW139" s="269">
        <f t="shared" ref="CW139:CW157" ca="1" si="622">IF(AND(ISNA(VLOOKUP($A139,BEGABG,1,FALSE)),ISERR(FIND($A139,$X$5,1))),0,1)</f>
        <v>0</v>
      </c>
      <c r="CX139" s="301">
        <f t="shared" ref="CX139:CX157" ca="1" si="623">CQ139+CR139+IF(CT139="",0,CT139)+CV139+CW139</f>
        <v>0</v>
      </c>
      <c r="CY139" s="301">
        <f t="shared" ca="1" si="329"/>
        <v>0</v>
      </c>
      <c r="CZ139" s="301">
        <f t="shared" ref="CZ139:CZ157" ca="1" si="624">SUM(W139:AR139)-IF(OR(VT_VETERAN,VT_BBILDUNG),DA139,0)</f>
        <v>0</v>
      </c>
      <c r="DA139" s="301">
        <f t="shared" ca="1" si="524"/>
        <v>0</v>
      </c>
      <c r="DB139" t="str">
        <f ca="1">IF(AND(NOT(ISBLANK($F139)),$F139&lt;=$B139),"TaW SE zu klein","")</f>
        <v/>
      </c>
      <c r="DC139" s="301" t="str">
        <f t="shared" ref="DC139:DC157" ca="1" si="625">IF($O139="","",IF($O139&gt;MAX(INDIRECT(VLOOKUP($A139,TL_ALLE,2,FALSE)),INDIRECT(VLOOKUP($A139,TL_ALLE,3,FALSE)),INDIRECT(VLOOKUP($A139,TL_ALLE,4,FALSE)))+3-CJ139*2," TaW&gt; MAX(EIGN-Wert)+"&amp;3-CJ139*2,""))</f>
        <v/>
      </c>
      <c r="DD139" s="1337" t="str">
        <f t="shared" ca="1" si="535"/>
        <v/>
      </c>
      <c r="DE139" s="1337" t="str">
        <f t="shared" ca="1" si="536"/>
        <v/>
      </c>
      <c r="DG139" s="269" t="str">
        <f t="shared" ref="DG139:DG157" ca="1" si="626">IF(DI139="",IF(VLOOKUP(A139,TALENTE_GP,4,FALSE)="Kultur","KULTUREN","Tabellen_Andere!BA"&amp;MATCH(A139,TALENTE)+1&amp;":BF"&amp;MATCH(A139,TALENTE)+1),ADDRESS(ROW(),COLUMN()+2,1,1))</f>
        <v>Tabellen_Andere!BA74:BF74</v>
      </c>
      <c r="DH139" s="269" t="str">
        <f t="shared" si="527"/>
        <v>Tabellen_Andere!BA74:BF74</v>
      </c>
      <c r="DI139" s="269" t="str">
        <f ca="1">IF(NOT(ISERR(FIND(A139&amp;" ",Abfragen!$O$264,1))),MID(Abfragen!$O$264,FIND("(",Abfragen!$O$264,FIND(A139,Abfragen!$O$264,1)+LEN(A139))+1,FIND(")",Abfragen!$O$264,FIND(A139,Abfragen!$O$264,1)+LEN(A139))-FIND("(",Abfragen!$O$264,FIND(A139,Abfragen!$O$264,1)+LEN(A139))-1),"")</f>
        <v/>
      </c>
      <c r="DJ139" s="301" t="str">
        <f t="shared" ref="DJ139:DY154" ca="1" si="627">IF(ISERR(FIND(";"&amp;DJ$13&amp;":0;",$F139)),
CHAR(CODE($CE139)+SUM(IF(ISERR(FIND(";"&amp;DJ$13&amp;";",$F139)),0,-1),IF(ISERR(FIND(";"&amp;DJ$13&amp;":",$F139)),0,-VALUE(MID($F139,FIND(";"&amp;DJ$13&amp;":",$F139)+LEN(DJ$13)+2,1))))),0)</f>
        <v>B</v>
      </c>
      <c r="DK139" s="301" t="str">
        <f t="shared" ca="1" si="627"/>
        <v>B</v>
      </c>
      <c r="DL139" s="301" t="str">
        <f t="shared" ca="1" si="627"/>
        <v>B</v>
      </c>
      <c r="DM139" s="301" t="str">
        <f t="shared" ca="1" si="627"/>
        <v>B</v>
      </c>
      <c r="DN139" s="301" t="str">
        <f t="shared" ca="1" si="627"/>
        <v>B</v>
      </c>
      <c r="DO139" s="301" t="str">
        <f t="shared" ca="1" si="627"/>
        <v>B</v>
      </c>
      <c r="DP139" s="301" t="str">
        <f t="shared" ca="1" si="627"/>
        <v>B</v>
      </c>
      <c r="DQ139" s="301" t="str">
        <f t="shared" ca="1" si="627"/>
        <v>B</v>
      </c>
      <c r="DR139" s="301" t="str">
        <f t="shared" ca="1" si="627"/>
        <v>B</v>
      </c>
      <c r="DS139" s="301" t="str">
        <f t="shared" ca="1" si="627"/>
        <v>B</v>
      </c>
      <c r="DT139" s="301" t="str">
        <f t="shared" ca="1" si="627"/>
        <v>B</v>
      </c>
      <c r="DU139" s="301" t="str">
        <f t="shared" ca="1" si="627"/>
        <v>B</v>
      </c>
      <c r="DV139" s="301" t="str">
        <f t="shared" ca="1" si="627"/>
        <v>B</v>
      </c>
      <c r="DW139" s="301" t="str">
        <f t="shared" ca="1" si="627"/>
        <v>B</v>
      </c>
      <c r="DX139" s="301" t="str">
        <f t="shared" ca="1" si="627"/>
        <v>B</v>
      </c>
      <c r="DY139" s="301" t="str">
        <f t="shared" ca="1" si="627"/>
        <v>B</v>
      </c>
      <c r="DZ139" s="301" t="str">
        <f t="shared" ca="1" si="552"/>
        <v>B</v>
      </c>
      <c r="EA139" s="301" t="str">
        <f t="shared" ca="1" si="552"/>
        <v>B</v>
      </c>
      <c r="EB139" s="301" t="str">
        <f t="shared" ca="1" si="552"/>
        <v>B</v>
      </c>
      <c r="EC139" s="301" t="str">
        <f t="shared" ca="1" si="552"/>
        <v>B</v>
      </c>
      <c r="ED139" s="301" t="str">
        <f t="shared" ca="1" si="552"/>
        <v>B</v>
      </c>
      <c r="EE139" s="301" t="str">
        <f t="shared" ca="1" si="552"/>
        <v>B</v>
      </c>
      <c r="EF139" s="205"/>
      <c r="EG139" s="301" t="str">
        <f t="shared" ca="1" si="548"/>
        <v>B</v>
      </c>
      <c r="EH139" s="301" t="str">
        <f t="shared" ca="1" si="548"/>
        <v>B</v>
      </c>
      <c r="EI139" s="301" t="str">
        <f t="shared" ca="1" si="548"/>
        <v>B</v>
      </c>
      <c r="EJ139" s="301" t="str">
        <f t="shared" ca="1" si="548"/>
        <v>B</v>
      </c>
      <c r="EK139" s="301" t="str">
        <f t="shared" ca="1" si="548"/>
        <v>B</v>
      </c>
      <c r="EL139" s="301" t="str">
        <f t="shared" ca="1" si="548"/>
        <v>B</v>
      </c>
      <c r="EM139" s="301" t="str">
        <f t="shared" ca="1" si="548"/>
        <v>B</v>
      </c>
      <c r="EN139" s="301" t="str">
        <f t="shared" ca="1" si="548"/>
        <v>B</v>
      </c>
      <c r="EO139" s="301" t="str">
        <f t="shared" ca="1" si="548"/>
        <v>B</v>
      </c>
      <c r="EP139" s="301" t="str">
        <f t="shared" ca="1" si="548"/>
        <v>B</v>
      </c>
      <c r="EQ139" s="301" t="str">
        <f t="shared" ca="1" si="549"/>
        <v>B</v>
      </c>
      <c r="ER139" s="301" t="str">
        <f t="shared" ca="1" si="549"/>
        <v>B</v>
      </c>
      <c r="ES139" s="301" t="str">
        <f t="shared" ca="1" si="549"/>
        <v>B</v>
      </c>
      <c r="ET139" s="301" t="str">
        <f t="shared" ca="1" si="549"/>
        <v>B</v>
      </c>
      <c r="EU139" s="301" t="str">
        <f t="shared" ca="1" si="549"/>
        <v>B</v>
      </c>
      <c r="EV139" s="301" t="str">
        <f t="shared" ca="1" si="549"/>
        <v>B</v>
      </c>
      <c r="EW139" s="301" t="str">
        <f t="shared" ca="1" si="549"/>
        <v>B</v>
      </c>
      <c r="EX139" s="301" t="str">
        <f t="shared" ca="1" si="549"/>
        <v>B</v>
      </c>
      <c r="EY139" s="301" t="str">
        <f t="shared" ca="1" si="549"/>
        <v>B</v>
      </c>
      <c r="EZ139" s="301" t="str">
        <f t="shared" ca="1" si="549"/>
        <v>B</v>
      </c>
      <c r="FA139" s="301" t="str">
        <f t="shared" ca="1" si="550"/>
        <v>B</v>
      </c>
      <c r="FB139" s="301" t="str">
        <f t="shared" ca="1" si="550"/>
        <v>B</v>
      </c>
      <c r="FC139" s="301" t="str">
        <f t="shared" ca="1" si="550"/>
        <v>B</v>
      </c>
      <c r="FD139" s="301" t="str">
        <f t="shared" ca="1" si="550"/>
        <v>B</v>
      </c>
      <c r="FE139" s="301" t="str">
        <f t="shared" ca="1" si="550"/>
        <v>B</v>
      </c>
      <c r="FF139" s="301" t="str">
        <f t="shared" ca="1" si="550"/>
        <v>B</v>
      </c>
      <c r="FG139" s="301" t="str">
        <f t="shared" ca="1" si="550"/>
        <v>B</v>
      </c>
      <c r="FH139" s="301" t="str">
        <f t="shared" ca="1" si="550"/>
        <v>B</v>
      </c>
      <c r="FI139" s="301" t="str">
        <f t="shared" ca="1" si="550"/>
        <v>B</v>
      </c>
      <c r="FJ139" s="301" t="str">
        <f t="shared" ca="1" si="550"/>
        <v>B</v>
      </c>
      <c r="FK139" s="301" t="str">
        <f t="shared" ca="1" si="550"/>
        <v>B</v>
      </c>
      <c r="FL139" s="301" t="str">
        <f t="shared" ca="1" si="550"/>
        <v>B</v>
      </c>
    </row>
    <row r="140" spans="1:168" x14ac:dyDescent="0.2">
      <c r="A140" s="38" t="str">
        <f t="shared" si="533"/>
        <v>Metallguss</v>
      </c>
      <c r="B140" s="317" t="str">
        <f t="shared" ca="1" si="553"/>
        <v/>
      </c>
      <c r="C140" s="332" t="str">
        <f ca="1">IF(OR(NOT(ISBLANK(D140)),NOT(ISBLANK(HLOOKUP(RASSEGENE,RASSE,$CD140,FALSE))),
NOT(ISBLANK(HLOOKUP(KULTURGENE,KULTUR,$CD140,FALSE))),
NOT(OR(ISBLANK(HLOOKUP(PROFGENE,INDIRECT(PROFGEBIET),$CD140,FALSE)),$CS140="N",$CS140="M")),
IF(PROFZWEITE="",FALSE,NOT(ISBLANK(HLOOKUP(PROFZWEITE,INDIRECT(PROFGEBIET2),$CD140,FALSE))))),"x","")</f>
        <v/>
      </c>
      <c r="D140" s="1110"/>
      <c r="E140" s="966"/>
      <c r="F140" s="325"/>
      <c r="G140" s="958"/>
      <c r="H140" s="1196"/>
      <c r="I140" s="326"/>
      <c r="J140" s="1886" t="str">
        <f t="shared" ca="1" si="450"/>
        <v/>
      </c>
      <c r="K140" s="1887"/>
      <c r="L140" s="1887"/>
      <c r="M140" s="1887"/>
      <c r="N140" s="1888"/>
      <c r="O140" s="613" t="str">
        <f t="shared" ca="1" si="554"/>
        <v/>
      </c>
      <c r="P140" s="90"/>
      <c r="Q140" s="25"/>
      <c r="R140" s="1313"/>
      <c r="S140" s="1313"/>
      <c r="T140" s="1315"/>
      <c r="U140" s="1283"/>
      <c r="V140" s="628" t="str">
        <f t="shared" ca="1" si="555"/>
        <v/>
      </c>
      <c r="W140" s="164">
        <f t="shared" ca="1" si="556"/>
        <v>0</v>
      </c>
      <c r="X140" s="164">
        <f t="shared" ca="1" si="557"/>
        <v>0</v>
      </c>
      <c r="Y140" s="164">
        <f t="shared" ca="1" si="558"/>
        <v>0</v>
      </c>
      <c r="Z140" s="164">
        <f t="shared" ca="1" si="559"/>
        <v>0</v>
      </c>
      <c r="AA140" s="164">
        <f t="shared" ca="1" si="560"/>
        <v>0</v>
      </c>
      <c r="AB140" s="164">
        <f t="shared" ca="1" si="561"/>
        <v>0</v>
      </c>
      <c r="AC140" s="164">
        <f t="shared" ca="1" si="562"/>
        <v>0</v>
      </c>
      <c r="AD140" s="164">
        <f t="shared" ca="1" si="563"/>
        <v>0</v>
      </c>
      <c r="AE140" s="164">
        <f t="shared" ca="1" si="564"/>
        <v>0</v>
      </c>
      <c r="AF140" s="164">
        <f t="shared" ca="1" si="565"/>
        <v>0</v>
      </c>
      <c r="AG140" s="164">
        <f t="shared" ca="1" si="566"/>
        <v>0</v>
      </c>
      <c r="AH140" s="164">
        <f t="shared" ca="1" si="567"/>
        <v>0</v>
      </c>
      <c r="AI140" s="164">
        <f t="shared" ca="1" si="568"/>
        <v>0</v>
      </c>
      <c r="AJ140" s="164">
        <f t="shared" ca="1" si="569"/>
        <v>0</v>
      </c>
      <c r="AK140" s="164">
        <f t="shared" ca="1" si="570"/>
        <v>0</v>
      </c>
      <c r="AL140" s="164">
        <f t="shared" ca="1" si="571"/>
        <v>0</v>
      </c>
      <c r="AM140" s="164">
        <f t="shared" ca="1" si="572"/>
        <v>0</v>
      </c>
      <c r="AN140" s="164">
        <f t="shared" ca="1" si="573"/>
        <v>0</v>
      </c>
      <c r="AO140" s="164">
        <f t="shared" ca="1" si="574"/>
        <v>0</v>
      </c>
      <c r="AP140" s="164">
        <f t="shared" ca="1" si="575"/>
        <v>0</v>
      </c>
      <c r="AQ140" s="164">
        <f t="shared" ca="1" si="576"/>
        <v>0</v>
      </c>
      <c r="AR140" s="164">
        <f t="shared" ca="1" si="577"/>
        <v>0</v>
      </c>
      <c r="AS140" s="195"/>
      <c r="AT140" s="154">
        <f t="shared" ca="1" si="578"/>
        <v>0</v>
      </c>
      <c r="AU140" s="154">
        <f t="shared" ca="1" si="579"/>
        <v>0</v>
      </c>
      <c r="AV140" s="154">
        <f t="shared" ca="1" si="580"/>
        <v>0</v>
      </c>
      <c r="AW140" s="154">
        <f t="shared" ca="1" si="581"/>
        <v>0</v>
      </c>
      <c r="AX140" s="154">
        <f t="shared" ca="1" si="582"/>
        <v>0</v>
      </c>
      <c r="AY140" s="154">
        <f t="shared" ca="1" si="583"/>
        <v>0</v>
      </c>
      <c r="AZ140" s="154">
        <f t="shared" ca="1" si="584"/>
        <v>0</v>
      </c>
      <c r="BA140" s="154">
        <f t="shared" ca="1" si="585"/>
        <v>0</v>
      </c>
      <c r="BB140" s="154">
        <f t="shared" ca="1" si="586"/>
        <v>0</v>
      </c>
      <c r="BC140" s="154">
        <f t="shared" ca="1" si="587"/>
        <v>0</v>
      </c>
      <c r="BD140" s="154">
        <f t="shared" ca="1" si="588"/>
        <v>0</v>
      </c>
      <c r="BE140" s="154">
        <f t="shared" ca="1" si="589"/>
        <v>0</v>
      </c>
      <c r="BF140" s="154">
        <f t="shared" ca="1" si="590"/>
        <v>0</v>
      </c>
      <c r="BG140" s="154">
        <f t="shared" ca="1" si="591"/>
        <v>0</v>
      </c>
      <c r="BH140" s="154">
        <f t="shared" ca="1" si="592"/>
        <v>0</v>
      </c>
      <c r="BI140" s="154">
        <f t="shared" ca="1" si="593"/>
        <v>0</v>
      </c>
      <c r="BJ140" s="154">
        <f t="shared" ca="1" si="594"/>
        <v>0</v>
      </c>
      <c r="BK140" s="154">
        <f t="shared" ca="1" si="595"/>
        <v>0</v>
      </c>
      <c r="BL140" s="154">
        <f t="shared" ca="1" si="596"/>
        <v>0</v>
      </c>
      <c r="BM140" s="154">
        <f t="shared" ca="1" si="597"/>
        <v>0</v>
      </c>
      <c r="BN140" s="154">
        <f t="shared" ca="1" si="598"/>
        <v>0</v>
      </c>
      <c r="BO140" s="154">
        <f t="shared" ca="1" si="599"/>
        <v>0</v>
      </c>
      <c r="BP140" s="154">
        <f t="shared" ca="1" si="600"/>
        <v>0</v>
      </c>
      <c r="BQ140" s="154">
        <f t="shared" ca="1" si="601"/>
        <v>0</v>
      </c>
      <c r="BR140" s="154">
        <f t="shared" ca="1" si="602"/>
        <v>0</v>
      </c>
      <c r="BS140" s="154">
        <f t="shared" ca="1" si="603"/>
        <v>0</v>
      </c>
      <c r="BT140" s="154">
        <f t="shared" ca="1" si="604"/>
        <v>0</v>
      </c>
      <c r="BU140" s="154">
        <f t="shared" ca="1" si="605"/>
        <v>0</v>
      </c>
      <c r="BV140" s="154">
        <f t="shared" ca="1" si="606"/>
        <v>0</v>
      </c>
      <c r="BW140" s="154">
        <f t="shared" ca="1" si="607"/>
        <v>0</v>
      </c>
      <c r="BX140" s="154">
        <f t="shared" ca="1" si="608"/>
        <v>0</v>
      </c>
      <c r="BY140" s="154">
        <f t="shared" ca="1" si="609"/>
        <v>0</v>
      </c>
      <c r="BZ140" s="154">
        <f t="shared" si="610"/>
        <v>0</v>
      </c>
      <c r="CA140" s="154">
        <f t="shared" si="611"/>
        <v>0</v>
      </c>
      <c r="CB140" s="154">
        <f t="shared" ca="1" si="612"/>
        <v>0</v>
      </c>
      <c r="CC140" s="523"/>
      <c r="CD140" s="355">
        <f t="shared" si="613"/>
        <v>164</v>
      </c>
      <c r="CE140" s="751" t="str">
        <f t="shared" ca="1" si="614"/>
        <v>B</v>
      </c>
      <c r="CF140" s="355" t="str">
        <f ca="1">IF(EXACT($B140,""),$CF139,CONCATENATE($CF139,$A140))</f>
        <v/>
      </c>
      <c r="CG140" s="268"/>
      <c r="CH140" s="268"/>
      <c r="CI140" s="269">
        <f t="shared" ca="1" si="615"/>
        <v>0</v>
      </c>
      <c r="CJ140" s="269">
        <f t="shared" ca="1" si="616"/>
        <v>0</v>
      </c>
      <c r="CK140" s="268"/>
      <c r="CL140" s="268"/>
      <c r="CM140" s="268">
        <f t="shared" ca="1" si="327"/>
        <v>0</v>
      </c>
      <c r="CN140" s="269">
        <f t="shared" ca="1" si="328"/>
        <v>0</v>
      </c>
      <c r="CO140" s="268" t="str">
        <f t="shared" ca="1" si="617"/>
        <v>B</v>
      </c>
      <c r="CP140" s="269" t="b">
        <f ca="1">IF(NT_ELFWELT,
IF(OR(
RIGHT(HLOOKUP(PROFGENE,INDIRECT(PROFGEBIET),$CD140,FALSE),1)="L",
RIGHT(HLOOKUP(KULTURGENE,KULTUR,$CD140,FALSE),1)="L",
RIGHT(D140)="L"),TRUE,FALSE),
TRUE)</f>
        <v>1</v>
      </c>
      <c r="CQ140" s="269">
        <f t="shared" si="618"/>
        <v>0</v>
      </c>
      <c r="CR140" s="269">
        <f t="shared" si="619"/>
        <v>0</v>
      </c>
      <c r="CS140" s="269">
        <f t="shared" ca="1" si="620"/>
        <v>0</v>
      </c>
      <c r="CT140" s="302" t="str">
        <f t="shared" ca="1" si="519"/>
        <v>0</v>
      </c>
      <c r="CU140" s="269">
        <f t="shared" ca="1" si="621"/>
        <v>0</v>
      </c>
      <c r="CV140" s="268"/>
      <c r="CW140" s="269">
        <f t="shared" ca="1" si="622"/>
        <v>0</v>
      </c>
      <c r="CX140" s="301">
        <f t="shared" ca="1" si="623"/>
        <v>0</v>
      </c>
      <c r="CY140" s="301">
        <f t="shared" ca="1" si="329"/>
        <v>0</v>
      </c>
      <c r="CZ140" s="301">
        <f t="shared" ca="1" si="624"/>
        <v>0</v>
      </c>
      <c r="DA140" s="301">
        <f t="shared" ca="1" si="524"/>
        <v>0</v>
      </c>
      <c r="DB140" t="str">
        <f ca="1">IF(AND(NOT(AND(ISBLANK($G140),ISBLANK($I140))),IF($O$90="",TRUE,$O$90&lt;4)),"Hüttenkunde 4+",IF(AND(NOT(ISBLANK($F140)),$F140&lt;=$B140),"TaW SE zu klein",""))</f>
        <v/>
      </c>
      <c r="DC140" s="301" t="str">
        <f t="shared" ca="1" si="625"/>
        <v/>
      </c>
      <c r="DD140" s="1337" t="str">
        <f t="shared" ref="DD140:DD157" ca="1" si="628">IF(PROFGEBGENE="Goetter",IF(RIGHT(HLOOKUP(PROFGENE,INDIRECT(PROFGEBIET),$CD140,FALSE),1)="M",CONCATENATE(DD139,$A140,","),DD139),IF(AKTIV_SPTWHE,IF(EXACT(UPPER(RIGHT(HLOOKUP(PROFSPTWHE,SPTWHE,$CD140,FALSE))),"M"),CONCATENATE(DD139,$A140,","),DD139),IF(PROFGEBZWEITE="Goetter (BGB)",IF(RIGHT(HLOOKUP(PROFZWEITE,INDIRECT(PROFGEBIET2),$CD140,FALSE),1)="M",CONCATENATE(DD139,$A140,","),DD139),"")))</f>
        <v/>
      </c>
      <c r="DE140" s="1337" t="str">
        <f t="shared" ref="DE140:DE157" ca="1" si="629">IF(PROFGEBGENE="Goetter",IF(RIGHT(HLOOKUP(PROFGENE,INDIRECT(PROFGEBIET),$CD140,FALSE),1)="N",CONCATENATE(DE139,$A140,","),DE139),IF(AKTIV_SPTWHE,IF(EXACT(UPPER(RIGHT(HLOOKUP(PROFSPTWHE,SPTWHE,$CD140,FALSE))),"N"),CONCATENATE(DE139,$A140,","),DE139),IF(PROFGEBZWEITE="Goetter (BGB)",IF(RIGHT(HLOOKUP(PROFZWEITE,INDIRECT(PROFGEBIET2),$CD140,FALSE),1)="N",CONCATENATE(DE139,$A140,","),DE139),"")))</f>
        <v/>
      </c>
      <c r="DG140" s="269" t="str">
        <f t="shared" ca="1" si="626"/>
        <v>Tabellen_Andere!BA77:BF77</v>
      </c>
      <c r="DH140" s="269" t="str">
        <f t="shared" si="527"/>
        <v>Tabellen_Andere!BA77:BF77</v>
      </c>
      <c r="DI140" s="269" t="str">
        <f ca="1">IF(NOT(ISERR(FIND(A140&amp;" ",Abfragen!$O$264,1))),MID(Abfragen!$O$264,FIND("(",Abfragen!$O$264,FIND(A140,Abfragen!$O$264,1)+LEN(A140))+1,FIND(")",Abfragen!$O$264,FIND(A140,Abfragen!$O$264,1)+LEN(A140))-FIND("(",Abfragen!$O$264,FIND(A140,Abfragen!$O$264,1)+LEN(A140))-1),"")</f>
        <v/>
      </c>
      <c r="DJ140" s="301" t="str">
        <f t="shared" ca="1" si="627"/>
        <v>B</v>
      </c>
      <c r="DK140" s="301" t="str">
        <f t="shared" ca="1" si="627"/>
        <v>B</v>
      </c>
      <c r="DL140" s="301" t="str">
        <f t="shared" ca="1" si="627"/>
        <v>B</v>
      </c>
      <c r="DM140" s="301" t="str">
        <f t="shared" ca="1" si="627"/>
        <v>B</v>
      </c>
      <c r="DN140" s="301" t="str">
        <f t="shared" ca="1" si="627"/>
        <v>B</v>
      </c>
      <c r="DO140" s="301" t="str">
        <f t="shared" ca="1" si="627"/>
        <v>B</v>
      </c>
      <c r="DP140" s="301" t="str">
        <f t="shared" ca="1" si="627"/>
        <v>B</v>
      </c>
      <c r="DQ140" s="301" t="str">
        <f t="shared" ca="1" si="627"/>
        <v>B</v>
      </c>
      <c r="DR140" s="301" t="str">
        <f t="shared" ca="1" si="627"/>
        <v>B</v>
      </c>
      <c r="DS140" s="301" t="str">
        <f t="shared" ca="1" si="627"/>
        <v>B</v>
      </c>
      <c r="DT140" s="301" t="str">
        <f t="shared" ca="1" si="627"/>
        <v>B</v>
      </c>
      <c r="DU140" s="301" t="str">
        <f t="shared" ca="1" si="627"/>
        <v>B</v>
      </c>
      <c r="DV140" s="301" t="str">
        <f t="shared" ca="1" si="627"/>
        <v>B</v>
      </c>
      <c r="DW140" s="301" t="str">
        <f t="shared" ca="1" si="627"/>
        <v>B</v>
      </c>
      <c r="DX140" s="301" t="str">
        <f t="shared" ca="1" si="627"/>
        <v>B</v>
      </c>
      <c r="DY140" s="301" t="str">
        <f t="shared" ca="1" si="627"/>
        <v>B</v>
      </c>
      <c r="DZ140" s="301" t="str">
        <f t="shared" ca="1" si="552"/>
        <v>B</v>
      </c>
      <c r="EA140" s="301" t="str">
        <f t="shared" ca="1" si="552"/>
        <v>B</v>
      </c>
      <c r="EB140" s="301" t="str">
        <f t="shared" ca="1" si="552"/>
        <v>B</v>
      </c>
      <c r="EC140" s="301" t="str">
        <f t="shared" ca="1" si="552"/>
        <v>B</v>
      </c>
      <c r="ED140" s="301" t="str">
        <f t="shared" ca="1" si="552"/>
        <v>B</v>
      </c>
      <c r="EE140" s="301" t="str">
        <f t="shared" ca="1" si="552"/>
        <v>B</v>
      </c>
      <c r="EF140" s="205"/>
      <c r="EG140" s="301" t="str">
        <f t="shared" ca="1" si="548"/>
        <v>B</v>
      </c>
      <c r="EH140" s="301" t="str">
        <f t="shared" ca="1" si="548"/>
        <v>B</v>
      </c>
      <c r="EI140" s="301" t="str">
        <f t="shared" ca="1" si="548"/>
        <v>B</v>
      </c>
      <c r="EJ140" s="301" t="str">
        <f t="shared" ca="1" si="548"/>
        <v>B</v>
      </c>
      <c r="EK140" s="301" t="str">
        <f t="shared" ca="1" si="548"/>
        <v>B</v>
      </c>
      <c r="EL140" s="301" t="str">
        <f t="shared" ca="1" si="548"/>
        <v>B</v>
      </c>
      <c r="EM140" s="301" t="str">
        <f t="shared" ca="1" si="548"/>
        <v>B</v>
      </c>
      <c r="EN140" s="301" t="str">
        <f t="shared" ca="1" si="548"/>
        <v>B</v>
      </c>
      <c r="EO140" s="301" t="str">
        <f t="shared" ca="1" si="548"/>
        <v>B</v>
      </c>
      <c r="EP140" s="301" t="str">
        <f t="shared" ca="1" si="548"/>
        <v>B</v>
      </c>
      <c r="EQ140" s="301" t="str">
        <f t="shared" ca="1" si="549"/>
        <v>B</v>
      </c>
      <c r="ER140" s="301" t="str">
        <f t="shared" ca="1" si="549"/>
        <v>B</v>
      </c>
      <c r="ES140" s="301" t="str">
        <f t="shared" ca="1" si="549"/>
        <v>B</v>
      </c>
      <c r="ET140" s="301" t="str">
        <f t="shared" ca="1" si="549"/>
        <v>B</v>
      </c>
      <c r="EU140" s="301" t="str">
        <f t="shared" ca="1" si="549"/>
        <v>B</v>
      </c>
      <c r="EV140" s="301" t="str">
        <f t="shared" ca="1" si="549"/>
        <v>B</v>
      </c>
      <c r="EW140" s="301" t="str">
        <f t="shared" ca="1" si="549"/>
        <v>B</v>
      </c>
      <c r="EX140" s="301" t="str">
        <f t="shared" ca="1" si="549"/>
        <v>B</v>
      </c>
      <c r="EY140" s="301" t="str">
        <f t="shared" ca="1" si="549"/>
        <v>B</v>
      </c>
      <c r="EZ140" s="301" t="str">
        <f t="shared" ca="1" si="549"/>
        <v>B</v>
      </c>
      <c r="FA140" s="301" t="str">
        <f t="shared" ca="1" si="550"/>
        <v>B</v>
      </c>
      <c r="FB140" s="301" t="str">
        <f t="shared" ca="1" si="550"/>
        <v>B</v>
      </c>
      <c r="FC140" s="301" t="str">
        <f t="shared" ca="1" si="550"/>
        <v>B</v>
      </c>
      <c r="FD140" s="301" t="str">
        <f t="shared" ca="1" si="550"/>
        <v>B</v>
      </c>
      <c r="FE140" s="301" t="str">
        <f t="shared" ca="1" si="550"/>
        <v>B</v>
      </c>
      <c r="FF140" s="301" t="str">
        <f t="shared" ca="1" si="550"/>
        <v>B</v>
      </c>
      <c r="FG140" s="301" t="str">
        <f t="shared" ca="1" si="550"/>
        <v>B</v>
      </c>
      <c r="FH140" s="301" t="str">
        <f t="shared" ca="1" si="550"/>
        <v>B</v>
      </c>
      <c r="FI140" s="301" t="str">
        <f t="shared" ca="1" si="550"/>
        <v>B</v>
      </c>
      <c r="FJ140" s="301" t="str">
        <f t="shared" ca="1" si="550"/>
        <v>B</v>
      </c>
      <c r="FK140" s="301" t="str">
        <f t="shared" ca="1" si="550"/>
        <v>B</v>
      </c>
      <c r="FL140" s="301" t="str">
        <f t="shared" ca="1" si="550"/>
        <v>B</v>
      </c>
    </row>
    <row r="141" spans="1:168" x14ac:dyDescent="0.2">
      <c r="A141" s="38" t="str">
        <f t="shared" si="533"/>
        <v>Musizieren</v>
      </c>
      <c r="B141" s="317" t="str">
        <f t="shared" ca="1" si="553"/>
        <v/>
      </c>
      <c r="C141" s="332" t="str">
        <f ca="1">IF(OR(NOT(ISBLANK(D141)),NOT(ISBLANK(HLOOKUP(RASSEGENE,RASSE,$CD141,FALSE))),
NOT(ISBLANK(HLOOKUP(KULTURGENE,KULTUR,$CD141,FALSE))),
NOT(OR(ISBLANK(HLOOKUP(PROFGENE,INDIRECT(PROFGEBIET),$CD141,FALSE)),$CS141="N",$CS141="M")),
IF(PROFZWEITE="",FALSE,NOT(ISBLANK(HLOOKUP(PROFZWEITE,INDIRECT(PROFGEBIET2),$CD141,FALSE))))),"x","")</f>
        <v/>
      </c>
      <c r="D141" s="1110"/>
      <c r="E141" s="966"/>
      <c r="F141" s="325"/>
      <c r="G141" s="958"/>
      <c r="H141" s="1196"/>
      <c r="I141" s="326"/>
      <c r="J141" s="1886" t="str">
        <f t="shared" ca="1" si="450"/>
        <v/>
      </c>
      <c r="K141" s="1887"/>
      <c r="L141" s="1887"/>
      <c r="M141" s="1887"/>
      <c r="N141" s="1888"/>
      <c r="O141" s="613" t="str">
        <f t="shared" ca="1" si="554"/>
        <v/>
      </c>
      <c r="P141" s="90"/>
      <c r="Q141" s="25"/>
      <c r="R141" s="1067"/>
      <c r="S141" s="1313"/>
      <c r="T141" s="1315"/>
      <c r="U141" s="1283"/>
      <c r="V141" s="628" t="str">
        <f t="shared" ca="1" si="555"/>
        <v/>
      </c>
      <c r="W141" s="164">
        <f t="shared" ca="1" si="556"/>
        <v>0</v>
      </c>
      <c r="X141" s="164">
        <f t="shared" ca="1" si="557"/>
        <v>0</v>
      </c>
      <c r="Y141" s="164">
        <f t="shared" ca="1" si="558"/>
        <v>0</v>
      </c>
      <c r="Z141" s="164">
        <f t="shared" ca="1" si="559"/>
        <v>0</v>
      </c>
      <c r="AA141" s="164">
        <f t="shared" ca="1" si="560"/>
        <v>0</v>
      </c>
      <c r="AB141" s="164">
        <f t="shared" ca="1" si="561"/>
        <v>0</v>
      </c>
      <c r="AC141" s="164">
        <f t="shared" ca="1" si="562"/>
        <v>0</v>
      </c>
      <c r="AD141" s="164">
        <f t="shared" ca="1" si="563"/>
        <v>0</v>
      </c>
      <c r="AE141" s="164">
        <f t="shared" ca="1" si="564"/>
        <v>0</v>
      </c>
      <c r="AF141" s="164">
        <f t="shared" ca="1" si="565"/>
        <v>0</v>
      </c>
      <c r="AG141" s="164">
        <f t="shared" ca="1" si="566"/>
        <v>0</v>
      </c>
      <c r="AH141" s="164">
        <f t="shared" ca="1" si="567"/>
        <v>0</v>
      </c>
      <c r="AI141" s="164">
        <f t="shared" ca="1" si="568"/>
        <v>0</v>
      </c>
      <c r="AJ141" s="164">
        <f t="shared" ca="1" si="569"/>
        <v>0</v>
      </c>
      <c r="AK141" s="164">
        <f t="shared" ca="1" si="570"/>
        <v>0</v>
      </c>
      <c r="AL141" s="164">
        <f t="shared" ca="1" si="571"/>
        <v>0</v>
      </c>
      <c r="AM141" s="164">
        <f t="shared" ca="1" si="572"/>
        <v>0</v>
      </c>
      <c r="AN141" s="164">
        <f t="shared" ca="1" si="573"/>
        <v>0</v>
      </c>
      <c r="AO141" s="164">
        <f t="shared" ca="1" si="574"/>
        <v>0</v>
      </c>
      <c r="AP141" s="164">
        <f t="shared" ca="1" si="575"/>
        <v>0</v>
      </c>
      <c r="AQ141" s="164">
        <f t="shared" ca="1" si="576"/>
        <v>0</v>
      </c>
      <c r="AR141" s="164">
        <f t="shared" ca="1" si="577"/>
        <v>0</v>
      </c>
      <c r="AS141" s="195"/>
      <c r="AT141" s="154">
        <f t="shared" ca="1" si="578"/>
        <v>0</v>
      </c>
      <c r="AU141" s="154">
        <f t="shared" ca="1" si="579"/>
        <v>0</v>
      </c>
      <c r="AV141" s="154">
        <f t="shared" ca="1" si="580"/>
        <v>0</v>
      </c>
      <c r="AW141" s="154">
        <f t="shared" ca="1" si="581"/>
        <v>0</v>
      </c>
      <c r="AX141" s="154">
        <f t="shared" ca="1" si="582"/>
        <v>0</v>
      </c>
      <c r="AY141" s="154">
        <f t="shared" ca="1" si="583"/>
        <v>0</v>
      </c>
      <c r="AZ141" s="154">
        <f t="shared" ca="1" si="584"/>
        <v>0</v>
      </c>
      <c r="BA141" s="154">
        <f t="shared" ca="1" si="585"/>
        <v>0</v>
      </c>
      <c r="BB141" s="154">
        <f t="shared" ca="1" si="586"/>
        <v>0</v>
      </c>
      <c r="BC141" s="154">
        <f t="shared" ca="1" si="587"/>
        <v>0</v>
      </c>
      <c r="BD141" s="154">
        <f t="shared" ca="1" si="588"/>
        <v>0</v>
      </c>
      <c r="BE141" s="154">
        <f t="shared" ca="1" si="589"/>
        <v>0</v>
      </c>
      <c r="BF141" s="154">
        <f t="shared" ca="1" si="590"/>
        <v>0</v>
      </c>
      <c r="BG141" s="154">
        <f t="shared" ca="1" si="591"/>
        <v>0</v>
      </c>
      <c r="BH141" s="154">
        <f t="shared" ca="1" si="592"/>
        <v>0</v>
      </c>
      <c r="BI141" s="154">
        <f t="shared" ca="1" si="593"/>
        <v>0</v>
      </c>
      <c r="BJ141" s="154">
        <f t="shared" ca="1" si="594"/>
        <v>0</v>
      </c>
      <c r="BK141" s="154">
        <f t="shared" ca="1" si="595"/>
        <v>0</v>
      </c>
      <c r="BL141" s="154">
        <f t="shared" ca="1" si="596"/>
        <v>0</v>
      </c>
      <c r="BM141" s="154">
        <f t="shared" ca="1" si="597"/>
        <v>0</v>
      </c>
      <c r="BN141" s="154">
        <f t="shared" ca="1" si="598"/>
        <v>0</v>
      </c>
      <c r="BO141" s="154">
        <f t="shared" ca="1" si="599"/>
        <v>0</v>
      </c>
      <c r="BP141" s="154">
        <f t="shared" ca="1" si="600"/>
        <v>0</v>
      </c>
      <c r="BQ141" s="154">
        <f t="shared" ca="1" si="601"/>
        <v>0</v>
      </c>
      <c r="BR141" s="154">
        <f t="shared" ca="1" si="602"/>
        <v>0</v>
      </c>
      <c r="BS141" s="154">
        <f t="shared" ca="1" si="603"/>
        <v>0</v>
      </c>
      <c r="BT141" s="154">
        <f t="shared" ca="1" si="604"/>
        <v>0</v>
      </c>
      <c r="BU141" s="154">
        <f t="shared" ca="1" si="605"/>
        <v>0</v>
      </c>
      <c r="BV141" s="154">
        <f t="shared" ca="1" si="606"/>
        <v>0</v>
      </c>
      <c r="BW141" s="154">
        <f t="shared" ca="1" si="607"/>
        <v>0</v>
      </c>
      <c r="BX141" s="154">
        <f t="shared" ca="1" si="608"/>
        <v>0</v>
      </c>
      <c r="BY141" s="154">
        <f t="shared" ca="1" si="609"/>
        <v>0</v>
      </c>
      <c r="BZ141" s="154">
        <f t="shared" si="610"/>
        <v>0</v>
      </c>
      <c r="CA141" s="154">
        <f t="shared" si="611"/>
        <v>0</v>
      </c>
      <c r="CB141" s="154">
        <f t="shared" ca="1" si="612"/>
        <v>0</v>
      </c>
      <c r="CC141" s="523"/>
      <c r="CD141" s="355">
        <f t="shared" si="613"/>
        <v>165</v>
      </c>
      <c r="CE141" s="751" t="str">
        <f t="shared" ca="1" si="614"/>
        <v>B</v>
      </c>
      <c r="CF141" s="355" t="str">
        <f ca="1">IF(EXACT($B141,""),$CF140,CONCATENATE($CF140,$A141))</f>
        <v/>
      </c>
      <c r="CG141" s="268"/>
      <c r="CH141" s="268"/>
      <c r="CI141" s="269">
        <f t="shared" ca="1" si="615"/>
        <v>0</v>
      </c>
      <c r="CJ141" s="269">
        <f t="shared" ca="1" si="616"/>
        <v>0</v>
      </c>
      <c r="CK141" s="268"/>
      <c r="CL141" s="268"/>
      <c r="CM141" s="268">
        <f t="shared" si="327"/>
        <v>0</v>
      </c>
      <c r="CN141" s="269">
        <f t="shared" ca="1" si="328"/>
        <v>0</v>
      </c>
      <c r="CO141" s="268" t="str">
        <f t="shared" ca="1" si="617"/>
        <v>B</v>
      </c>
      <c r="CP141" s="271" t="b">
        <f>TRUE</f>
        <v>1</v>
      </c>
      <c r="CQ141" s="269">
        <f t="shared" si="618"/>
        <v>0</v>
      </c>
      <c r="CR141" s="269">
        <f t="shared" si="619"/>
        <v>0</v>
      </c>
      <c r="CS141" s="269">
        <f t="shared" ca="1" si="620"/>
        <v>0</v>
      </c>
      <c r="CT141" s="302" t="str">
        <f t="shared" ca="1" si="519"/>
        <v>0</v>
      </c>
      <c r="CU141" s="269">
        <f t="shared" ca="1" si="621"/>
        <v>0</v>
      </c>
      <c r="CV141" s="268"/>
      <c r="CW141" s="269">
        <f t="shared" ca="1" si="622"/>
        <v>0</v>
      </c>
      <c r="CX141" s="301">
        <f t="shared" ca="1" si="623"/>
        <v>0</v>
      </c>
      <c r="CY141" s="301">
        <f t="shared" ca="1" si="329"/>
        <v>0</v>
      </c>
      <c r="CZ141" s="301">
        <f t="shared" ca="1" si="624"/>
        <v>0</v>
      </c>
      <c r="DA141" s="301">
        <f t="shared" ca="1" si="524"/>
        <v>0</v>
      </c>
      <c r="DB141" t="str">
        <f t="shared" ref="DB141:DB146" ca="1" si="630">IF(AND(NOT(ISBLANK($F141)),$F141&lt;=$B141),"TaW SE zu klein","")</f>
        <v/>
      </c>
      <c r="DC141" s="301" t="str">
        <f t="shared" ca="1" si="625"/>
        <v/>
      </c>
      <c r="DD141" s="1337" t="str">
        <f t="shared" ca="1" si="628"/>
        <v/>
      </c>
      <c r="DE141" s="1337" t="str">
        <f t="shared" ca="1" si="629"/>
        <v/>
      </c>
      <c r="DG141" s="269" t="str">
        <f t="shared" ca="1" si="626"/>
        <v>Tabellen_Andere!BA78:BF78</v>
      </c>
      <c r="DH141" s="269" t="str">
        <f t="shared" si="527"/>
        <v>Tabellen_Andere!BA78:BF78</v>
      </c>
      <c r="DI141" s="269" t="str">
        <f ca="1">IF(NOT(ISERR(FIND(A141&amp;" ",Abfragen!$O$264,1))),MID(Abfragen!$O$264,FIND("(",Abfragen!$O$264,FIND(A141,Abfragen!$O$264,1)+LEN(A141))+1,FIND(")",Abfragen!$O$264,FIND(A141,Abfragen!$O$264,1)+LEN(A141))-FIND("(",Abfragen!$O$264,FIND(A141,Abfragen!$O$264,1)+LEN(A141))-1),"")</f>
        <v/>
      </c>
      <c r="DJ141" s="301" t="str">
        <f t="shared" ca="1" si="627"/>
        <v>B</v>
      </c>
      <c r="DK141" s="301" t="str">
        <f t="shared" ca="1" si="627"/>
        <v>B</v>
      </c>
      <c r="DL141" s="301" t="str">
        <f t="shared" ca="1" si="627"/>
        <v>B</v>
      </c>
      <c r="DM141" s="301" t="str">
        <f t="shared" ca="1" si="627"/>
        <v>B</v>
      </c>
      <c r="DN141" s="301" t="str">
        <f t="shared" ca="1" si="627"/>
        <v>B</v>
      </c>
      <c r="DO141" s="301" t="str">
        <f t="shared" ca="1" si="627"/>
        <v>B</v>
      </c>
      <c r="DP141" s="301" t="str">
        <f t="shared" ca="1" si="627"/>
        <v>B</v>
      </c>
      <c r="DQ141" s="301" t="str">
        <f t="shared" ca="1" si="627"/>
        <v>B</v>
      </c>
      <c r="DR141" s="301" t="str">
        <f t="shared" ca="1" si="627"/>
        <v>B</v>
      </c>
      <c r="DS141" s="301" t="str">
        <f t="shared" ca="1" si="627"/>
        <v>B</v>
      </c>
      <c r="DT141" s="301" t="str">
        <f t="shared" ca="1" si="627"/>
        <v>B</v>
      </c>
      <c r="DU141" s="301" t="str">
        <f t="shared" ca="1" si="627"/>
        <v>B</v>
      </c>
      <c r="DV141" s="301" t="str">
        <f t="shared" ca="1" si="627"/>
        <v>B</v>
      </c>
      <c r="DW141" s="301" t="str">
        <f t="shared" ca="1" si="627"/>
        <v>B</v>
      </c>
      <c r="DX141" s="301" t="str">
        <f t="shared" ca="1" si="627"/>
        <v>B</v>
      </c>
      <c r="DY141" s="301" t="str">
        <f t="shared" ca="1" si="627"/>
        <v>B</v>
      </c>
      <c r="DZ141" s="301" t="str">
        <f t="shared" ca="1" si="552"/>
        <v>B</v>
      </c>
      <c r="EA141" s="301" t="str">
        <f t="shared" ca="1" si="552"/>
        <v>B</v>
      </c>
      <c r="EB141" s="301" t="str">
        <f t="shared" ca="1" si="552"/>
        <v>B</v>
      </c>
      <c r="EC141" s="301" t="str">
        <f t="shared" ca="1" si="552"/>
        <v>B</v>
      </c>
      <c r="ED141" s="301" t="str">
        <f t="shared" ca="1" si="552"/>
        <v>B</v>
      </c>
      <c r="EE141" s="301" t="str">
        <f t="shared" ca="1" si="552"/>
        <v>B</v>
      </c>
      <c r="EF141" s="205"/>
      <c r="EG141" s="301" t="str">
        <f t="shared" ca="1" si="548"/>
        <v>B</v>
      </c>
      <c r="EH141" s="301" t="str">
        <f t="shared" ca="1" si="548"/>
        <v>B</v>
      </c>
      <c r="EI141" s="301" t="str">
        <f t="shared" ca="1" si="548"/>
        <v>B</v>
      </c>
      <c r="EJ141" s="301" t="str">
        <f t="shared" ca="1" si="548"/>
        <v>B</v>
      </c>
      <c r="EK141" s="301" t="str">
        <f t="shared" ca="1" si="548"/>
        <v>B</v>
      </c>
      <c r="EL141" s="301" t="str">
        <f t="shared" ca="1" si="548"/>
        <v>B</v>
      </c>
      <c r="EM141" s="301" t="str">
        <f t="shared" ca="1" si="548"/>
        <v>B</v>
      </c>
      <c r="EN141" s="301" t="str">
        <f t="shared" ca="1" si="548"/>
        <v>B</v>
      </c>
      <c r="EO141" s="301" t="str">
        <f t="shared" ca="1" si="548"/>
        <v>B</v>
      </c>
      <c r="EP141" s="301" t="str">
        <f t="shared" ca="1" si="548"/>
        <v>B</v>
      </c>
      <c r="EQ141" s="301" t="str">
        <f t="shared" ca="1" si="549"/>
        <v>B</v>
      </c>
      <c r="ER141" s="301" t="str">
        <f t="shared" ca="1" si="549"/>
        <v>B</v>
      </c>
      <c r="ES141" s="301" t="str">
        <f t="shared" ca="1" si="549"/>
        <v>B</v>
      </c>
      <c r="ET141" s="301" t="str">
        <f t="shared" ca="1" si="549"/>
        <v>B</v>
      </c>
      <c r="EU141" s="301" t="str">
        <f t="shared" ca="1" si="549"/>
        <v>B</v>
      </c>
      <c r="EV141" s="301" t="str">
        <f t="shared" ca="1" si="549"/>
        <v>B</v>
      </c>
      <c r="EW141" s="301" t="str">
        <f t="shared" ca="1" si="549"/>
        <v>B</v>
      </c>
      <c r="EX141" s="301" t="str">
        <f t="shared" ca="1" si="549"/>
        <v>B</v>
      </c>
      <c r="EY141" s="301" t="str">
        <f t="shared" ca="1" si="549"/>
        <v>B</v>
      </c>
      <c r="EZ141" s="301" t="str">
        <f t="shared" ca="1" si="549"/>
        <v>B</v>
      </c>
      <c r="FA141" s="301" t="str">
        <f t="shared" ca="1" si="550"/>
        <v>B</v>
      </c>
      <c r="FB141" s="301" t="str">
        <f t="shared" ca="1" si="550"/>
        <v>B</v>
      </c>
      <c r="FC141" s="301" t="str">
        <f t="shared" ca="1" si="550"/>
        <v>B</v>
      </c>
      <c r="FD141" s="301" t="str">
        <f t="shared" ca="1" si="550"/>
        <v>B</v>
      </c>
      <c r="FE141" s="301" t="str">
        <f t="shared" ca="1" si="550"/>
        <v>B</v>
      </c>
      <c r="FF141" s="301" t="str">
        <f t="shared" ca="1" si="550"/>
        <v>B</v>
      </c>
      <c r="FG141" s="301" t="str">
        <f t="shared" ca="1" si="550"/>
        <v>B</v>
      </c>
      <c r="FH141" s="301" t="str">
        <f t="shared" ca="1" si="550"/>
        <v>B</v>
      </c>
      <c r="FI141" s="301" t="str">
        <f t="shared" ca="1" si="550"/>
        <v>B</v>
      </c>
      <c r="FJ141" s="301" t="str">
        <f t="shared" ca="1" si="550"/>
        <v>B</v>
      </c>
      <c r="FK141" s="301" t="str">
        <f t="shared" ca="1" si="550"/>
        <v>B</v>
      </c>
      <c r="FL141" s="301" t="str">
        <f t="shared" ca="1" si="550"/>
        <v>B</v>
      </c>
    </row>
    <row r="142" spans="1:168" x14ac:dyDescent="0.2">
      <c r="A142" s="38" t="str">
        <f t="shared" si="533"/>
        <v>Schlösser Knacken</v>
      </c>
      <c r="B142" s="317" t="str">
        <f t="shared" ca="1" si="553"/>
        <v/>
      </c>
      <c r="C142" s="332" t="str">
        <f ca="1">IF(OR(NOT(ISBLANK(D142)),NOT(ISBLANK(HLOOKUP(RASSEGENE,RASSE,$CD142,FALSE))),
NOT(ISBLANK(HLOOKUP(KULTURGENE,KULTUR,$CD142,FALSE))),
NOT(OR(ISBLANK(HLOOKUP(PROFGENE,INDIRECT(PROFGEBIET),$CD142,FALSE)),$CS142="N",$CS142="M")),
IF(PROFZWEITE="",FALSE,NOT(ISBLANK(HLOOKUP(PROFZWEITE,INDIRECT(PROFGEBIET2),$CD142,FALSE))))),"x","")</f>
        <v/>
      </c>
      <c r="D142" s="1110"/>
      <c r="E142" s="966"/>
      <c r="F142" s="325"/>
      <c r="G142" s="958"/>
      <c r="H142" s="1196"/>
      <c r="I142" s="326"/>
      <c r="J142" s="1886" t="str">
        <f t="shared" ca="1" si="450"/>
        <v/>
      </c>
      <c r="K142" s="1887"/>
      <c r="L142" s="1887"/>
      <c r="M142" s="1887"/>
      <c r="N142" s="1888"/>
      <c r="O142" s="613" t="str">
        <f t="shared" ca="1" si="554"/>
        <v/>
      </c>
      <c r="P142" s="90"/>
      <c r="Q142" s="25"/>
      <c r="R142" s="1313"/>
      <c r="S142" s="1313"/>
      <c r="T142" s="1315"/>
      <c r="U142" s="1283"/>
      <c r="V142" s="628" t="str">
        <f t="shared" ca="1" si="555"/>
        <v/>
      </c>
      <c r="W142" s="164">
        <f t="shared" ca="1" si="556"/>
        <v>0</v>
      </c>
      <c r="X142" s="164">
        <f t="shared" ca="1" si="557"/>
        <v>0</v>
      </c>
      <c r="Y142" s="164">
        <f t="shared" ca="1" si="558"/>
        <v>0</v>
      </c>
      <c r="Z142" s="164">
        <f t="shared" ca="1" si="559"/>
        <v>0</v>
      </c>
      <c r="AA142" s="164">
        <f t="shared" ca="1" si="560"/>
        <v>0</v>
      </c>
      <c r="AB142" s="164">
        <f t="shared" ca="1" si="561"/>
        <v>0</v>
      </c>
      <c r="AC142" s="164">
        <f t="shared" ca="1" si="562"/>
        <v>0</v>
      </c>
      <c r="AD142" s="164">
        <f t="shared" ca="1" si="563"/>
        <v>0</v>
      </c>
      <c r="AE142" s="164">
        <f t="shared" ca="1" si="564"/>
        <v>0</v>
      </c>
      <c r="AF142" s="164">
        <f t="shared" ca="1" si="565"/>
        <v>0</v>
      </c>
      <c r="AG142" s="164">
        <f t="shared" ca="1" si="566"/>
        <v>0</v>
      </c>
      <c r="AH142" s="164">
        <f t="shared" ca="1" si="567"/>
        <v>0</v>
      </c>
      <c r="AI142" s="164">
        <f t="shared" ca="1" si="568"/>
        <v>0</v>
      </c>
      <c r="AJ142" s="164">
        <f t="shared" ca="1" si="569"/>
        <v>0</v>
      </c>
      <c r="AK142" s="164">
        <f t="shared" ca="1" si="570"/>
        <v>0</v>
      </c>
      <c r="AL142" s="164">
        <f t="shared" ca="1" si="571"/>
        <v>0</v>
      </c>
      <c r="AM142" s="164">
        <f t="shared" ca="1" si="572"/>
        <v>0</v>
      </c>
      <c r="AN142" s="164">
        <f t="shared" ca="1" si="573"/>
        <v>0</v>
      </c>
      <c r="AO142" s="164">
        <f t="shared" ca="1" si="574"/>
        <v>0</v>
      </c>
      <c r="AP142" s="164">
        <f t="shared" ca="1" si="575"/>
        <v>0</v>
      </c>
      <c r="AQ142" s="164">
        <f t="shared" ca="1" si="576"/>
        <v>0</v>
      </c>
      <c r="AR142" s="164">
        <f t="shared" ca="1" si="577"/>
        <v>0</v>
      </c>
      <c r="AS142" s="195"/>
      <c r="AT142" s="154">
        <f t="shared" ca="1" si="578"/>
        <v>0</v>
      </c>
      <c r="AU142" s="154">
        <f t="shared" ca="1" si="579"/>
        <v>0</v>
      </c>
      <c r="AV142" s="154">
        <f t="shared" ca="1" si="580"/>
        <v>0</v>
      </c>
      <c r="AW142" s="154">
        <f t="shared" ca="1" si="581"/>
        <v>0</v>
      </c>
      <c r="AX142" s="154">
        <f t="shared" ca="1" si="582"/>
        <v>0</v>
      </c>
      <c r="AY142" s="154">
        <f t="shared" ca="1" si="583"/>
        <v>0</v>
      </c>
      <c r="AZ142" s="154">
        <f t="shared" ca="1" si="584"/>
        <v>0</v>
      </c>
      <c r="BA142" s="154">
        <f t="shared" ca="1" si="585"/>
        <v>0</v>
      </c>
      <c r="BB142" s="154">
        <f t="shared" ca="1" si="586"/>
        <v>0</v>
      </c>
      <c r="BC142" s="154">
        <f t="shared" ca="1" si="587"/>
        <v>0</v>
      </c>
      <c r="BD142" s="154">
        <f t="shared" ca="1" si="588"/>
        <v>0</v>
      </c>
      <c r="BE142" s="154">
        <f t="shared" ca="1" si="589"/>
        <v>0</v>
      </c>
      <c r="BF142" s="154">
        <f t="shared" ca="1" si="590"/>
        <v>0</v>
      </c>
      <c r="BG142" s="154">
        <f t="shared" ca="1" si="591"/>
        <v>0</v>
      </c>
      <c r="BH142" s="154">
        <f t="shared" ca="1" si="592"/>
        <v>0</v>
      </c>
      <c r="BI142" s="154">
        <f t="shared" ca="1" si="593"/>
        <v>0</v>
      </c>
      <c r="BJ142" s="154">
        <f t="shared" ca="1" si="594"/>
        <v>0</v>
      </c>
      <c r="BK142" s="154">
        <f t="shared" ca="1" si="595"/>
        <v>0</v>
      </c>
      <c r="BL142" s="154">
        <f t="shared" ca="1" si="596"/>
        <v>0</v>
      </c>
      <c r="BM142" s="154">
        <f t="shared" ca="1" si="597"/>
        <v>0</v>
      </c>
      <c r="BN142" s="154">
        <f t="shared" ca="1" si="598"/>
        <v>0</v>
      </c>
      <c r="BO142" s="154">
        <f t="shared" ca="1" si="599"/>
        <v>0</v>
      </c>
      <c r="BP142" s="154">
        <f t="shared" ca="1" si="600"/>
        <v>0</v>
      </c>
      <c r="BQ142" s="154">
        <f t="shared" ca="1" si="601"/>
        <v>0</v>
      </c>
      <c r="BR142" s="154">
        <f t="shared" ca="1" si="602"/>
        <v>0</v>
      </c>
      <c r="BS142" s="154">
        <f t="shared" ca="1" si="603"/>
        <v>0</v>
      </c>
      <c r="BT142" s="154">
        <f t="shared" ca="1" si="604"/>
        <v>0</v>
      </c>
      <c r="BU142" s="154">
        <f t="shared" ca="1" si="605"/>
        <v>0</v>
      </c>
      <c r="BV142" s="154">
        <f t="shared" ca="1" si="606"/>
        <v>0</v>
      </c>
      <c r="BW142" s="154">
        <f t="shared" ca="1" si="607"/>
        <v>0</v>
      </c>
      <c r="BX142" s="154">
        <f t="shared" ca="1" si="608"/>
        <v>0</v>
      </c>
      <c r="BY142" s="154">
        <f t="shared" ca="1" si="609"/>
        <v>0</v>
      </c>
      <c r="BZ142" s="154">
        <f t="shared" si="610"/>
        <v>0</v>
      </c>
      <c r="CA142" s="154">
        <f t="shared" si="611"/>
        <v>0</v>
      </c>
      <c r="CB142" s="154">
        <f t="shared" ca="1" si="612"/>
        <v>0</v>
      </c>
      <c r="CC142" s="523"/>
      <c r="CD142" s="355">
        <f t="shared" si="613"/>
        <v>166</v>
      </c>
      <c r="CE142" s="751" t="str">
        <f t="shared" ca="1" si="614"/>
        <v>B</v>
      </c>
      <c r="CF142" s="355" t="str">
        <f ca="1">IF(EXACT($B142,""),$CF141,CONCATENATE($CF141,$A142))</f>
        <v/>
      </c>
      <c r="CG142" s="268"/>
      <c r="CH142" s="268"/>
      <c r="CI142" s="269">
        <f t="shared" ca="1" si="615"/>
        <v>0</v>
      </c>
      <c r="CJ142" s="269">
        <f t="shared" ca="1" si="616"/>
        <v>0</v>
      </c>
      <c r="CK142" s="268"/>
      <c r="CL142" s="268"/>
      <c r="CM142" s="268">
        <f t="shared" ca="1" si="327"/>
        <v>0</v>
      </c>
      <c r="CN142" s="269">
        <f t="shared" ca="1" si="328"/>
        <v>0</v>
      </c>
      <c r="CO142" s="268" t="str">
        <f t="shared" ca="1" si="617"/>
        <v>B</v>
      </c>
      <c r="CP142" s="269" t="b">
        <f t="shared" ref="CP142:CP157" ca="1" si="631">IF(NT_ELFWELT,
IF(OR(
RIGHT(HLOOKUP(PROFGENE,INDIRECT(PROFGEBIET),$CD142,FALSE),1)="L",
RIGHT(HLOOKUP(KULTURGENE,KULTUR,$CD142,FALSE),1)="L",
RIGHT(D142)="L"),TRUE,FALSE),
TRUE)</f>
        <v>1</v>
      </c>
      <c r="CQ142" s="269">
        <f t="shared" si="618"/>
        <v>0</v>
      </c>
      <c r="CR142" s="269">
        <f t="shared" si="619"/>
        <v>0</v>
      </c>
      <c r="CS142" s="269">
        <f t="shared" ca="1" si="620"/>
        <v>0</v>
      </c>
      <c r="CT142" s="302" t="str">
        <f t="shared" ca="1" si="519"/>
        <v>0</v>
      </c>
      <c r="CU142" s="269">
        <f t="shared" ca="1" si="621"/>
        <v>0</v>
      </c>
      <c r="CV142" s="268"/>
      <c r="CW142" s="269">
        <f t="shared" ca="1" si="622"/>
        <v>0</v>
      </c>
      <c r="CX142" s="301">
        <f t="shared" ca="1" si="623"/>
        <v>0</v>
      </c>
      <c r="CY142" s="301">
        <f t="shared" ca="1" si="329"/>
        <v>0</v>
      </c>
      <c r="CZ142" s="301">
        <f t="shared" ca="1" si="624"/>
        <v>0</v>
      </c>
      <c r="DA142" s="301">
        <f t="shared" ca="1" si="524"/>
        <v>0</v>
      </c>
      <c r="DB142" t="str">
        <f t="shared" ca="1" si="630"/>
        <v/>
      </c>
      <c r="DC142" s="301" t="str">
        <f t="shared" ca="1" si="625"/>
        <v/>
      </c>
      <c r="DD142" s="1337" t="str">
        <f t="shared" ca="1" si="628"/>
        <v/>
      </c>
      <c r="DE142" s="1337" t="str">
        <f t="shared" ca="1" si="629"/>
        <v/>
      </c>
      <c r="DG142" s="269" t="str">
        <f t="shared" ca="1" si="626"/>
        <v>Tabellen_Andere!BA95:BF95</v>
      </c>
      <c r="DH142" s="269" t="str">
        <f t="shared" si="527"/>
        <v>Tabellen_Andere!BA95:BF95</v>
      </c>
      <c r="DI142" s="269" t="str">
        <f ca="1">IF(NOT(ISERR(FIND(A142&amp;" ",Abfragen!$O$264,1))),MID(Abfragen!$O$264,FIND("(",Abfragen!$O$264,FIND(A142,Abfragen!$O$264,1)+LEN(A142))+1,FIND(")",Abfragen!$O$264,FIND(A142,Abfragen!$O$264,1)+LEN(A142))-FIND("(",Abfragen!$O$264,FIND(A142,Abfragen!$O$264,1)+LEN(A142))-1),"")</f>
        <v/>
      </c>
      <c r="DJ142" s="301" t="str">
        <f t="shared" ca="1" si="627"/>
        <v>B</v>
      </c>
      <c r="DK142" s="301" t="str">
        <f t="shared" ca="1" si="627"/>
        <v>B</v>
      </c>
      <c r="DL142" s="301" t="str">
        <f t="shared" ca="1" si="627"/>
        <v>B</v>
      </c>
      <c r="DM142" s="301" t="str">
        <f t="shared" ca="1" si="627"/>
        <v>B</v>
      </c>
      <c r="DN142" s="301" t="str">
        <f t="shared" ca="1" si="627"/>
        <v>B</v>
      </c>
      <c r="DO142" s="301" t="str">
        <f t="shared" ca="1" si="627"/>
        <v>B</v>
      </c>
      <c r="DP142" s="301" t="str">
        <f t="shared" ca="1" si="627"/>
        <v>B</v>
      </c>
      <c r="DQ142" s="301" t="str">
        <f t="shared" ca="1" si="627"/>
        <v>B</v>
      </c>
      <c r="DR142" s="301" t="str">
        <f t="shared" ca="1" si="627"/>
        <v>B</v>
      </c>
      <c r="DS142" s="301" t="str">
        <f t="shared" ca="1" si="627"/>
        <v>B</v>
      </c>
      <c r="DT142" s="301" t="str">
        <f t="shared" ca="1" si="627"/>
        <v>B</v>
      </c>
      <c r="DU142" s="301" t="str">
        <f t="shared" ca="1" si="627"/>
        <v>B</v>
      </c>
      <c r="DV142" s="301" t="str">
        <f t="shared" ca="1" si="627"/>
        <v>B</v>
      </c>
      <c r="DW142" s="301" t="str">
        <f t="shared" ca="1" si="627"/>
        <v>B</v>
      </c>
      <c r="DX142" s="301" t="str">
        <f t="shared" ca="1" si="627"/>
        <v>B</v>
      </c>
      <c r="DY142" s="301" t="str">
        <f t="shared" ca="1" si="627"/>
        <v>B</v>
      </c>
      <c r="DZ142" s="301" t="str">
        <f t="shared" ca="1" si="552"/>
        <v>B</v>
      </c>
      <c r="EA142" s="301" t="str">
        <f t="shared" ca="1" si="552"/>
        <v>B</v>
      </c>
      <c r="EB142" s="301" t="str">
        <f t="shared" ca="1" si="552"/>
        <v>B</v>
      </c>
      <c r="EC142" s="301" t="str">
        <f t="shared" ca="1" si="552"/>
        <v>B</v>
      </c>
      <c r="ED142" s="301" t="str">
        <f t="shared" ca="1" si="552"/>
        <v>B</v>
      </c>
      <c r="EE142" s="301" t="str">
        <f t="shared" ca="1" si="552"/>
        <v>B</v>
      </c>
      <c r="EF142" s="205"/>
      <c r="EG142" s="301" t="str">
        <f t="shared" ca="1" si="548"/>
        <v>B</v>
      </c>
      <c r="EH142" s="301" t="str">
        <f t="shared" ca="1" si="548"/>
        <v>B</v>
      </c>
      <c r="EI142" s="301" t="str">
        <f t="shared" ca="1" si="548"/>
        <v>B</v>
      </c>
      <c r="EJ142" s="301" t="str">
        <f t="shared" ca="1" si="548"/>
        <v>B</v>
      </c>
      <c r="EK142" s="301" t="str">
        <f t="shared" ca="1" si="548"/>
        <v>B</v>
      </c>
      <c r="EL142" s="301" t="str">
        <f t="shared" ca="1" si="548"/>
        <v>B</v>
      </c>
      <c r="EM142" s="301" t="str">
        <f t="shared" ca="1" si="548"/>
        <v>B</v>
      </c>
      <c r="EN142" s="301" t="str">
        <f t="shared" ca="1" si="548"/>
        <v>B</v>
      </c>
      <c r="EO142" s="301" t="str">
        <f t="shared" ca="1" si="548"/>
        <v>B</v>
      </c>
      <c r="EP142" s="301" t="str">
        <f t="shared" ca="1" si="548"/>
        <v>B</v>
      </c>
      <c r="EQ142" s="301" t="str">
        <f t="shared" ca="1" si="549"/>
        <v>B</v>
      </c>
      <c r="ER142" s="301" t="str">
        <f t="shared" ca="1" si="549"/>
        <v>B</v>
      </c>
      <c r="ES142" s="301" t="str">
        <f t="shared" ca="1" si="549"/>
        <v>B</v>
      </c>
      <c r="ET142" s="301" t="str">
        <f t="shared" ca="1" si="549"/>
        <v>B</v>
      </c>
      <c r="EU142" s="301" t="str">
        <f t="shared" ca="1" si="549"/>
        <v>B</v>
      </c>
      <c r="EV142" s="301" t="str">
        <f t="shared" ca="1" si="549"/>
        <v>B</v>
      </c>
      <c r="EW142" s="301" t="str">
        <f t="shared" ca="1" si="549"/>
        <v>B</v>
      </c>
      <c r="EX142" s="301" t="str">
        <f t="shared" ca="1" si="549"/>
        <v>B</v>
      </c>
      <c r="EY142" s="301" t="str">
        <f t="shared" ca="1" si="549"/>
        <v>B</v>
      </c>
      <c r="EZ142" s="301" t="str">
        <f t="shared" ca="1" si="549"/>
        <v>B</v>
      </c>
      <c r="FA142" s="301" t="str">
        <f t="shared" ca="1" si="550"/>
        <v>B</v>
      </c>
      <c r="FB142" s="301" t="str">
        <f t="shared" ca="1" si="550"/>
        <v>B</v>
      </c>
      <c r="FC142" s="301" t="str">
        <f t="shared" ca="1" si="550"/>
        <v>B</v>
      </c>
      <c r="FD142" s="301" t="str">
        <f t="shared" ca="1" si="550"/>
        <v>B</v>
      </c>
      <c r="FE142" s="301" t="str">
        <f t="shared" ca="1" si="550"/>
        <v>B</v>
      </c>
      <c r="FF142" s="301" t="str">
        <f t="shared" ca="1" si="550"/>
        <v>B</v>
      </c>
      <c r="FG142" s="301" t="str">
        <f t="shared" ca="1" si="550"/>
        <v>B</v>
      </c>
      <c r="FH142" s="301" t="str">
        <f t="shared" ca="1" si="550"/>
        <v>B</v>
      </c>
      <c r="FI142" s="301" t="str">
        <f t="shared" ca="1" si="550"/>
        <v>B</v>
      </c>
      <c r="FJ142" s="301" t="str">
        <f t="shared" ca="1" si="550"/>
        <v>B</v>
      </c>
      <c r="FK142" s="301" t="str">
        <f t="shared" ca="1" si="550"/>
        <v>B</v>
      </c>
      <c r="FL142" s="301" t="str">
        <f t="shared" ca="1" si="550"/>
        <v>B</v>
      </c>
    </row>
    <row r="143" spans="1:168" x14ac:dyDescent="0.2">
      <c r="A143" s="38" t="str">
        <f t="shared" si="533"/>
        <v>Schnaps Brennen</v>
      </c>
      <c r="B143" s="317" t="str">
        <f t="shared" ca="1" si="553"/>
        <v/>
      </c>
      <c r="C143" s="332" t="str">
        <f ca="1">IF(OR(NOT(ISBLANK(D143)),NOT(ISBLANK(HLOOKUP(RASSEGENE,RASSE,$CD143,FALSE))),
NOT(ISBLANK(HLOOKUP(KULTURGENE,KULTUR,$CD143,FALSE))),
NOT(OR(ISBLANK(HLOOKUP(PROFGENE,INDIRECT(PROFGEBIET),$CD143,FALSE)),$CS143="N",$CS143="M")),
IF(PROFZWEITE="",FALSE,NOT(ISBLANK(HLOOKUP(PROFZWEITE,INDIRECT(PROFGEBIET2),$CD143,FALSE))))),"x","")</f>
        <v/>
      </c>
      <c r="D143" s="1110"/>
      <c r="E143" s="966"/>
      <c r="F143" s="325"/>
      <c r="G143" s="958"/>
      <c r="H143" s="1196"/>
      <c r="I143" s="326"/>
      <c r="J143" s="1886" t="str">
        <f t="shared" ca="1" si="450"/>
        <v/>
      </c>
      <c r="K143" s="1887"/>
      <c r="L143" s="1887"/>
      <c r="M143" s="1887"/>
      <c r="N143" s="1888"/>
      <c r="O143" s="613" t="str">
        <f t="shared" ca="1" si="554"/>
        <v/>
      </c>
      <c r="P143" s="90"/>
      <c r="Q143" s="25"/>
      <c r="R143" s="1313"/>
      <c r="S143" s="1313"/>
      <c r="T143" s="1315"/>
      <c r="U143" s="1283"/>
      <c r="V143" s="628" t="str">
        <f t="shared" ca="1" si="555"/>
        <v/>
      </c>
      <c r="W143" s="164">
        <f t="shared" ca="1" si="556"/>
        <v>0</v>
      </c>
      <c r="X143" s="164">
        <f t="shared" ca="1" si="557"/>
        <v>0</v>
      </c>
      <c r="Y143" s="164">
        <f t="shared" ca="1" si="558"/>
        <v>0</v>
      </c>
      <c r="Z143" s="164">
        <f t="shared" ca="1" si="559"/>
        <v>0</v>
      </c>
      <c r="AA143" s="164">
        <f t="shared" ca="1" si="560"/>
        <v>0</v>
      </c>
      <c r="AB143" s="164">
        <f t="shared" ca="1" si="561"/>
        <v>0</v>
      </c>
      <c r="AC143" s="164">
        <f t="shared" ca="1" si="562"/>
        <v>0</v>
      </c>
      <c r="AD143" s="164">
        <f t="shared" ca="1" si="563"/>
        <v>0</v>
      </c>
      <c r="AE143" s="164">
        <f t="shared" ca="1" si="564"/>
        <v>0</v>
      </c>
      <c r="AF143" s="164">
        <f t="shared" ca="1" si="565"/>
        <v>0</v>
      </c>
      <c r="AG143" s="164">
        <f t="shared" ca="1" si="566"/>
        <v>0</v>
      </c>
      <c r="AH143" s="164">
        <f t="shared" ca="1" si="567"/>
        <v>0</v>
      </c>
      <c r="AI143" s="164">
        <f t="shared" ca="1" si="568"/>
        <v>0</v>
      </c>
      <c r="AJ143" s="164">
        <f t="shared" ca="1" si="569"/>
        <v>0</v>
      </c>
      <c r="AK143" s="164">
        <f t="shared" ca="1" si="570"/>
        <v>0</v>
      </c>
      <c r="AL143" s="164">
        <f t="shared" ca="1" si="571"/>
        <v>0</v>
      </c>
      <c r="AM143" s="164">
        <f t="shared" ca="1" si="572"/>
        <v>0</v>
      </c>
      <c r="AN143" s="164">
        <f t="shared" ca="1" si="573"/>
        <v>0</v>
      </c>
      <c r="AO143" s="164">
        <f t="shared" ca="1" si="574"/>
        <v>0</v>
      </c>
      <c r="AP143" s="164">
        <f t="shared" ca="1" si="575"/>
        <v>0</v>
      </c>
      <c r="AQ143" s="164">
        <f t="shared" ca="1" si="576"/>
        <v>0</v>
      </c>
      <c r="AR143" s="164">
        <f t="shared" ca="1" si="577"/>
        <v>0</v>
      </c>
      <c r="AS143" s="195"/>
      <c r="AT143" s="154">
        <f t="shared" ca="1" si="578"/>
        <v>0</v>
      </c>
      <c r="AU143" s="154">
        <f t="shared" ca="1" si="579"/>
        <v>0</v>
      </c>
      <c r="AV143" s="154">
        <f t="shared" ca="1" si="580"/>
        <v>0</v>
      </c>
      <c r="AW143" s="154">
        <f t="shared" ca="1" si="581"/>
        <v>0</v>
      </c>
      <c r="AX143" s="154">
        <f t="shared" ca="1" si="582"/>
        <v>0</v>
      </c>
      <c r="AY143" s="154">
        <f t="shared" ca="1" si="583"/>
        <v>0</v>
      </c>
      <c r="AZ143" s="154">
        <f t="shared" ca="1" si="584"/>
        <v>0</v>
      </c>
      <c r="BA143" s="154">
        <f t="shared" ca="1" si="585"/>
        <v>0</v>
      </c>
      <c r="BB143" s="154">
        <f t="shared" ca="1" si="586"/>
        <v>0</v>
      </c>
      <c r="BC143" s="154">
        <f t="shared" ca="1" si="587"/>
        <v>0</v>
      </c>
      <c r="BD143" s="154">
        <f t="shared" ca="1" si="588"/>
        <v>0</v>
      </c>
      <c r="BE143" s="154">
        <f t="shared" ca="1" si="589"/>
        <v>0</v>
      </c>
      <c r="BF143" s="154">
        <f t="shared" ca="1" si="590"/>
        <v>0</v>
      </c>
      <c r="BG143" s="154">
        <f t="shared" ca="1" si="591"/>
        <v>0</v>
      </c>
      <c r="BH143" s="154">
        <f t="shared" ca="1" si="592"/>
        <v>0</v>
      </c>
      <c r="BI143" s="154">
        <f t="shared" ca="1" si="593"/>
        <v>0</v>
      </c>
      <c r="BJ143" s="154">
        <f t="shared" ca="1" si="594"/>
        <v>0</v>
      </c>
      <c r="BK143" s="154">
        <f t="shared" ca="1" si="595"/>
        <v>0</v>
      </c>
      <c r="BL143" s="154">
        <f t="shared" ca="1" si="596"/>
        <v>0</v>
      </c>
      <c r="BM143" s="154">
        <f t="shared" ca="1" si="597"/>
        <v>0</v>
      </c>
      <c r="BN143" s="154">
        <f t="shared" ca="1" si="598"/>
        <v>0</v>
      </c>
      <c r="BO143" s="154">
        <f t="shared" ca="1" si="599"/>
        <v>0</v>
      </c>
      <c r="BP143" s="154">
        <f t="shared" ca="1" si="600"/>
        <v>0</v>
      </c>
      <c r="BQ143" s="154">
        <f t="shared" ca="1" si="601"/>
        <v>0</v>
      </c>
      <c r="BR143" s="154">
        <f t="shared" ca="1" si="602"/>
        <v>0</v>
      </c>
      <c r="BS143" s="154">
        <f t="shared" ca="1" si="603"/>
        <v>0</v>
      </c>
      <c r="BT143" s="154">
        <f t="shared" ca="1" si="604"/>
        <v>0</v>
      </c>
      <c r="BU143" s="154">
        <f t="shared" ca="1" si="605"/>
        <v>0</v>
      </c>
      <c r="BV143" s="154">
        <f t="shared" ca="1" si="606"/>
        <v>0</v>
      </c>
      <c r="BW143" s="154">
        <f t="shared" ca="1" si="607"/>
        <v>0</v>
      </c>
      <c r="BX143" s="154">
        <f t="shared" ca="1" si="608"/>
        <v>0</v>
      </c>
      <c r="BY143" s="154">
        <f t="shared" ca="1" si="609"/>
        <v>0</v>
      </c>
      <c r="BZ143" s="154">
        <f t="shared" si="610"/>
        <v>0</v>
      </c>
      <c r="CA143" s="154">
        <f t="shared" si="611"/>
        <v>0</v>
      </c>
      <c r="CB143" s="154">
        <f t="shared" ca="1" si="612"/>
        <v>0</v>
      </c>
      <c r="CC143" s="523"/>
      <c r="CD143" s="355">
        <f t="shared" si="613"/>
        <v>167</v>
      </c>
      <c r="CE143" s="751" t="str">
        <f t="shared" ca="1" si="614"/>
        <v>B</v>
      </c>
      <c r="CF143" s="355" t="str">
        <f ca="1">IF(EXACT($B143,""),$CF142,CONCATENATE($CF142,$A143))</f>
        <v/>
      </c>
      <c r="CG143" s="268"/>
      <c r="CH143" s="268"/>
      <c r="CI143" s="269">
        <f t="shared" ca="1" si="615"/>
        <v>0</v>
      </c>
      <c r="CJ143" s="269">
        <f t="shared" ca="1" si="616"/>
        <v>0</v>
      </c>
      <c r="CK143" s="268"/>
      <c r="CL143" s="268"/>
      <c r="CM143" s="268">
        <f t="shared" ref="CM143:CM157" ca="1" si="632">IF(CP143,0,1)</f>
        <v>0</v>
      </c>
      <c r="CN143" s="269">
        <f t="shared" ref="CN143:CN157" ca="1" si="633">SUM(CI143:CM143)</f>
        <v>0</v>
      </c>
      <c r="CO143" s="268" t="str">
        <f t="shared" ca="1" si="617"/>
        <v>B</v>
      </c>
      <c r="CP143" s="269" t="b">
        <f t="shared" ca="1" si="631"/>
        <v>1</v>
      </c>
      <c r="CQ143" s="269">
        <f t="shared" si="618"/>
        <v>0</v>
      </c>
      <c r="CR143" s="269">
        <f t="shared" si="619"/>
        <v>0</v>
      </c>
      <c r="CS143" s="269">
        <f t="shared" ca="1" si="620"/>
        <v>0</v>
      </c>
      <c r="CT143" s="302" t="str">
        <f t="shared" ca="1" si="519"/>
        <v>0</v>
      </c>
      <c r="CU143" s="269">
        <f t="shared" ca="1" si="621"/>
        <v>0</v>
      </c>
      <c r="CV143" s="268"/>
      <c r="CW143" s="269">
        <f t="shared" ca="1" si="622"/>
        <v>0</v>
      </c>
      <c r="CX143" s="301">
        <f t="shared" ca="1" si="623"/>
        <v>0</v>
      </c>
      <c r="CY143" s="301">
        <f t="shared" ref="CY143:CY157" ca="1" si="634">IF(B143="",0,VALUE(B143))+IF(G143="",0,VALUE(G143))- IF(H143="",0,VALUE(H143))</f>
        <v>0</v>
      </c>
      <c r="CZ143" s="301">
        <f t="shared" ca="1" si="624"/>
        <v>0</v>
      </c>
      <c r="DA143" s="301">
        <f t="shared" ca="1" si="524"/>
        <v>0</v>
      </c>
      <c r="DB143" t="str">
        <f t="shared" ca="1" si="630"/>
        <v/>
      </c>
      <c r="DC143" s="301" t="str">
        <f t="shared" ca="1" si="625"/>
        <v/>
      </c>
      <c r="DD143" s="1337" t="str">
        <f t="shared" ca="1" si="628"/>
        <v/>
      </c>
      <c r="DE143" s="1337" t="str">
        <f t="shared" ca="1" si="629"/>
        <v/>
      </c>
      <c r="DG143" s="269" t="str">
        <f t="shared" ca="1" si="626"/>
        <v>Tabellen_Andere!BA96:BF96</v>
      </c>
      <c r="DH143" s="269" t="str">
        <f t="shared" si="527"/>
        <v>Tabellen_Andere!BA96:BF96</v>
      </c>
      <c r="DI143" s="269" t="str">
        <f ca="1">IF(NOT(ISERR(FIND(A143&amp;" ",Abfragen!$O$264,1))),MID(Abfragen!$O$264,FIND("(",Abfragen!$O$264,FIND(A143,Abfragen!$O$264,1)+LEN(A143))+1,FIND(")",Abfragen!$O$264,FIND(A143,Abfragen!$O$264,1)+LEN(A143))-FIND("(",Abfragen!$O$264,FIND(A143,Abfragen!$O$264,1)+LEN(A143))-1),"")</f>
        <v/>
      </c>
      <c r="DJ143" s="301" t="str">
        <f t="shared" ca="1" si="627"/>
        <v>B</v>
      </c>
      <c r="DK143" s="301" t="str">
        <f t="shared" ca="1" si="627"/>
        <v>B</v>
      </c>
      <c r="DL143" s="301" t="str">
        <f t="shared" ca="1" si="627"/>
        <v>B</v>
      </c>
      <c r="DM143" s="301" t="str">
        <f t="shared" ca="1" si="627"/>
        <v>B</v>
      </c>
      <c r="DN143" s="301" t="str">
        <f t="shared" ca="1" si="627"/>
        <v>B</v>
      </c>
      <c r="DO143" s="301" t="str">
        <f t="shared" ca="1" si="627"/>
        <v>B</v>
      </c>
      <c r="DP143" s="301" t="str">
        <f t="shared" ca="1" si="627"/>
        <v>B</v>
      </c>
      <c r="DQ143" s="301" t="str">
        <f t="shared" ca="1" si="627"/>
        <v>B</v>
      </c>
      <c r="DR143" s="301" t="str">
        <f t="shared" ca="1" si="627"/>
        <v>B</v>
      </c>
      <c r="DS143" s="301" t="str">
        <f t="shared" ca="1" si="627"/>
        <v>B</v>
      </c>
      <c r="DT143" s="301" t="str">
        <f t="shared" ca="1" si="627"/>
        <v>B</v>
      </c>
      <c r="DU143" s="301" t="str">
        <f t="shared" ca="1" si="627"/>
        <v>B</v>
      </c>
      <c r="DV143" s="301" t="str">
        <f t="shared" ca="1" si="627"/>
        <v>B</v>
      </c>
      <c r="DW143" s="301" t="str">
        <f t="shared" ca="1" si="627"/>
        <v>B</v>
      </c>
      <c r="DX143" s="301" t="str">
        <f t="shared" ca="1" si="627"/>
        <v>B</v>
      </c>
      <c r="DY143" s="301" t="str">
        <f t="shared" ca="1" si="627"/>
        <v>B</v>
      </c>
      <c r="DZ143" s="301" t="str">
        <f t="shared" ca="1" si="552"/>
        <v>B</v>
      </c>
      <c r="EA143" s="301" t="str">
        <f t="shared" ca="1" si="552"/>
        <v>B</v>
      </c>
      <c r="EB143" s="301" t="str">
        <f t="shared" ca="1" si="552"/>
        <v>B</v>
      </c>
      <c r="EC143" s="301" t="str">
        <f t="shared" ca="1" si="552"/>
        <v>B</v>
      </c>
      <c r="ED143" s="301" t="str">
        <f t="shared" ca="1" si="552"/>
        <v>B</v>
      </c>
      <c r="EE143" s="301" t="str">
        <f t="shared" ca="1" si="552"/>
        <v>B</v>
      </c>
      <c r="EF143" s="205"/>
      <c r="EG143" s="301" t="str">
        <f t="shared" ca="1" si="548"/>
        <v>B</v>
      </c>
      <c r="EH143" s="301" t="str">
        <f t="shared" ca="1" si="548"/>
        <v>B</v>
      </c>
      <c r="EI143" s="301" t="str">
        <f t="shared" ca="1" si="548"/>
        <v>B</v>
      </c>
      <c r="EJ143" s="301" t="str">
        <f t="shared" ca="1" si="548"/>
        <v>B</v>
      </c>
      <c r="EK143" s="301" t="str">
        <f t="shared" ca="1" si="548"/>
        <v>B</v>
      </c>
      <c r="EL143" s="301" t="str">
        <f t="shared" ca="1" si="548"/>
        <v>B</v>
      </c>
      <c r="EM143" s="301" t="str">
        <f t="shared" ca="1" si="548"/>
        <v>B</v>
      </c>
      <c r="EN143" s="301" t="str">
        <f t="shared" ca="1" si="548"/>
        <v>B</v>
      </c>
      <c r="EO143" s="301" t="str">
        <f t="shared" ca="1" si="548"/>
        <v>B</v>
      </c>
      <c r="EP143" s="301" t="str">
        <f t="shared" ca="1" si="548"/>
        <v>B</v>
      </c>
      <c r="EQ143" s="301" t="str">
        <f t="shared" ca="1" si="549"/>
        <v>B</v>
      </c>
      <c r="ER143" s="301" t="str">
        <f t="shared" ca="1" si="549"/>
        <v>B</v>
      </c>
      <c r="ES143" s="301" t="str">
        <f t="shared" ca="1" si="549"/>
        <v>B</v>
      </c>
      <c r="ET143" s="301" t="str">
        <f t="shared" ca="1" si="549"/>
        <v>B</v>
      </c>
      <c r="EU143" s="301" t="str">
        <f t="shared" ca="1" si="549"/>
        <v>B</v>
      </c>
      <c r="EV143" s="301" t="str">
        <f t="shared" ca="1" si="549"/>
        <v>B</v>
      </c>
      <c r="EW143" s="301" t="str">
        <f t="shared" ca="1" si="549"/>
        <v>B</v>
      </c>
      <c r="EX143" s="301" t="str">
        <f t="shared" ca="1" si="549"/>
        <v>B</v>
      </c>
      <c r="EY143" s="301" t="str">
        <f t="shared" ca="1" si="549"/>
        <v>B</v>
      </c>
      <c r="EZ143" s="301" t="str">
        <f t="shared" ca="1" si="549"/>
        <v>B</v>
      </c>
      <c r="FA143" s="301" t="str">
        <f t="shared" ca="1" si="550"/>
        <v>B</v>
      </c>
      <c r="FB143" s="301" t="str">
        <f t="shared" ca="1" si="550"/>
        <v>B</v>
      </c>
      <c r="FC143" s="301" t="str">
        <f t="shared" ca="1" si="550"/>
        <v>B</v>
      </c>
      <c r="FD143" s="301" t="str">
        <f t="shared" ca="1" si="550"/>
        <v>B</v>
      </c>
      <c r="FE143" s="301" t="str">
        <f t="shared" ca="1" si="550"/>
        <v>B</v>
      </c>
      <c r="FF143" s="301" t="str">
        <f t="shared" ca="1" si="550"/>
        <v>B</v>
      </c>
      <c r="FG143" s="301" t="str">
        <f t="shared" ca="1" si="550"/>
        <v>B</v>
      </c>
      <c r="FH143" s="301" t="str">
        <f t="shared" ca="1" si="550"/>
        <v>B</v>
      </c>
      <c r="FI143" s="301" t="str">
        <f t="shared" ca="1" si="550"/>
        <v>B</v>
      </c>
      <c r="FJ143" s="301" t="str">
        <f t="shared" ca="1" si="550"/>
        <v>B</v>
      </c>
      <c r="FK143" s="301" t="str">
        <f t="shared" ca="1" si="550"/>
        <v>B</v>
      </c>
      <c r="FL143" s="301" t="str">
        <f t="shared" ca="1" si="550"/>
        <v>B</v>
      </c>
    </row>
    <row r="144" spans="1:168" x14ac:dyDescent="0.2">
      <c r="A144" s="38" t="str">
        <f t="shared" si="533"/>
        <v>Schneidern</v>
      </c>
      <c r="B144" s="317">
        <f t="shared" ca="1" si="553"/>
        <v>0</v>
      </c>
      <c r="C144" s="332" t="s">
        <v>1321</v>
      </c>
      <c r="D144" s="1110"/>
      <c r="E144" s="966"/>
      <c r="F144" s="325"/>
      <c r="G144" s="963"/>
      <c r="H144" s="1196"/>
      <c r="I144" s="326"/>
      <c r="J144" s="1886" t="str">
        <f t="shared" ca="1" si="450"/>
        <v/>
      </c>
      <c r="K144" s="1887"/>
      <c r="L144" s="1887"/>
      <c r="M144" s="1887"/>
      <c r="N144" s="1888"/>
      <c r="O144" s="613">
        <f t="shared" ca="1" si="554"/>
        <v>0</v>
      </c>
      <c r="P144" s="90"/>
      <c r="Q144" s="25"/>
      <c r="R144" s="1313"/>
      <c r="S144" s="1313"/>
      <c r="T144" s="1315"/>
      <c r="U144" s="1283"/>
      <c r="V144" s="628" t="str">
        <f t="shared" ca="1" si="555"/>
        <v/>
      </c>
      <c r="W144" s="164">
        <f t="shared" ca="1" si="556"/>
        <v>0</v>
      </c>
      <c r="X144" s="164">
        <f t="shared" ca="1" si="557"/>
        <v>0</v>
      </c>
      <c r="Y144" s="164">
        <f t="shared" ca="1" si="558"/>
        <v>0</v>
      </c>
      <c r="Z144" s="164">
        <f t="shared" ca="1" si="559"/>
        <v>0</v>
      </c>
      <c r="AA144" s="164">
        <f t="shared" ca="1" si="560"/>
        <v>0</v>
      </c>
      <c r="AB144" s="164">
        <f t="shared" ca="1" si="561"/>
        <v>0</v>
      </c>
      <c r="AC144" s="164">
        <f t="shared" ca="1" si="562"/>
        <v>0</v>
      </c>
      <c r="AD144" s="164">
        <f t="shared" ca="1" si="563"/>
        <v>0</v>
      </c>
      <c r="AE144" s="164">
        <f t="shared" ca="1" si="564"/>
        <v>0</v>
      </c>
      <c r="AF144" s="164">
        <f t="shared" ca="1" si="565"/>
        <v>0</v>
      </c>
      <c r="AG144" s="164">
        <f t="shared" ca="1" si="566"/>
        <v>0</v>
      </c>
      <c r="AH144" s="164">
        <f t="shared" ca="1" si="567"/>
        <v>0</v>
      </c>
      <c r="AI144" s="164">
        <f t="shared" ca="1" si="568"/>
        <v>0</v>
      </c>
      <c r="AJ144" s="164">
        <f t="shared" ca="1" si="569"/>
        <v>0</v>
      </c>
      <c r="AK144" s="164">
        <f t="shared" ca="1" si="570"/>
        <v>0</v>
      </c>
      <c r="AL144" s="164">
        <f t="shared" ca="1" si="571"/>
        <v>0</v>
      </c>
      <c r="AM144" s="164">
        <f t="shared" ca="1" si="572"/>
        <v>0</v>
      </c>
      <c r="AN144" s="164">
        <f t="shared" ca="1" si="573"/>
        <v>0</v>
      </c>
      <c r="AO144" s="164">
        <f t="shared" ca="1" si="574"/>
        <v>0</v>
      </c>
      <c r="AP144" s="164">
        <f t="shared" ca="1" si="575"/>
        <v>0</v>
      </c>
      <c r="AQ144" s="164">
        <f t="shared" ca="1" si="576"/>
        <v>0</v>
      </c>
      <c r="AR144" s="164">
        <f t="shared" ca="1" si="577"/>
        <v>0</v>
      </c>
      <c r="AS144" s="195"/>
      <c r="AT144" s="154">
        <f t="shared" ca="1" si="578"/>
        <v>0</v>
      </c>
      <c r="AU144" s="154">
        <f t="shared" ca="1" si="579"/>
        <v>0</v>
      </c>
      <c r="AV144" s="154">
        <f t="shared" ca="1" si="580"/>
        <v>0</v>
      </c>
      <c r="AW144" s="154">
        <f t="shared" ca="1" si="581"/>
        <v>0</v>
      </c>
      <c r="AX144" s="154">
        <f t="shared" ca="1" si="582"/>
        <v>0</v>
      </c>
      <c r="AY144" s="154">
        <f t="shared" ca="1" si="583"/>
        <v>0</v>
      </c>
      <c r="AZ144" s="154">
        <f t="shared" ca="1" si="584"/>
        <v>0</v>
      </c>
      <c r="BA144" s="154">
        <f t="shared" ca="1" si="585"/>
        <v>0</v>
      </c>
      <c r="BB144" s="154">
        <f t="shared" ca="1" si="586"/>
        <v>0</v>
      </c>
      <c r="BC144" s="154">
        <f t="shared" ca="1" si="587"/>
        <v>0</v>
      </c>
      <c r="BD144" s="154">
        <f t="shared" ca="1" si="588"/>
        <v>0</v>
      </c>
      <c r="BE144" s="154">
        <f t="shared" ca="1" si="589"/>
        <v>0</v>
      </c>
      <c r="BF144" s="154">
        <f t="shared" ca="1" si="590"/>
        <v>0</v>
      </c>
      <c r="BG144" s="154">
        <f t="shared" ca="1" si="591"/>
        <v>0</v>
      </c>
      <c r="BH144" s="154">
        <f t="shared" ca="1" si="592"/>
        <v>0</v>
      </c>
      <c r="BI144" s="154">
        <f t="shared" ca="1" si="593"/>
        <v>0</v>
      </c>
      <c r="BJ144" s="154">
        <f t="shared" ca="1" si="594"/>
        <v>0</v>
      </c>
      <c r="BK144" s="154">
        <f t="shared" ca="1" si="595"/>
        <v>0</v>
      </c>
      <c r="BL144" s="154">
        <f t="shared" ca="1" si="596"/>
        <v>0</v>
      </c>
      <c r="BM144" s="154">
        <f t="shared" ca="1" si="597"/>
        <v>0</v>
      </c>
      <c r="BN144" s="154">
        <f t="shared" ca="1" si="598"/>
        <v>0</v>
      </c>
      <c r="BO144" s="154">
        <f t="shared" ca="1" si="599"/>
        <v>0</v>
      </c>
      <c r="BP144" s="154">
        <f t="shared" ca="1" si="600"/>
        <v>0</v>
      </c>
      <c r="BQ144" s="154">
        <f t="shared" ca="1" si="601"/>
        <v>0</v>
      </c>
      <c r="BR144" s="154">
        <f t="shared" ca="1" si="602"/>
        <v>0</v>
      </c>
      <c r="BS144" s="154">
        <f t="shared" ca="1" si="603"/>
        <v>0</v>
      </c>
      <c r="BT144" s="154">
        <f t="shared" ca="1" si="604"/>
        <v>0</v>
      </c>
      <c r="BU144" s="154">
        <f t="shared" ca="1" si="605"/>
        <v>0</v>
      </c>
      <c r="BV144" s="154">
        <f t="shared" ca="1" si="606"/>
        <v>0</v>
      </c>
      <c r="BW144" s="154">
        <f t="shared" ca="1" si="607"/>
        <v>0</v>
      </c>
      <c r="BX144" s="154">
        <f t="shared" ca="1" si="608"/>
        <v>0</v>
      </c>
      <c r="BY144" s="154">
        <f t="shared" ca="1" si="609"/>
        <v>0</v>
      </c>
      <c r="BZ144" s="154">
        <f t="shared" si="610"/>
        <v>0</v>
      </c>
      <c r="CA144" s="154">
        <f t="shared" si="611"/>
        <v>0</v>
      </c>
      <c r="CB144" s="154">
        <f t="shared" ca="1" si="612"/>
        <v>0</v>
      </c>
      <c r="CC144" s="523"/>
      <c r="CD144" s="355">
        <f t="shared" si="613"/>
        <v>168</v>
      </c>
      <c r="CE144" s="751" t="str">
        <f t="shared" ca="1" si="614"/>
        <v>B</v>
      </c>
      <c r="CF144" s="355"/>
      <c r="CG144" s="268"/>
      <c r="CH144" s="268"/>
      <c r="CI144" s="269">
        <f t="shared" ca="1" si="615"/>
        <v>0</v>
      </c>
      <c r="CJ144" s="269">
        <f t="shared" ca="1" si="616"/>
        <v>0</v>
      </c>
      <c r="CK144" s="268"/>
      <c r="CL144" s="268"/>
      <c r="CM144" s="268">
        <f t="shared" ca="1" si="632"/>
        <v>0</v>
      </c>
      <c r="CN144" s="269">
        <f t="shared" ca="1" si="633"/>
        <v>0</v>
      </c>
      <c r="CO144" s="268" t="str">
        <f t="shared" ca="1" si="617"/>
        <v>B</v>
      </c>
      <c r="CP144" s="269" t="b">
        <f t="shared" ca="1" si="631"/>
        <v>1</v>
      </c>
      <c r="CQ144" s="269">
        <f t="shared" si="618"/>
        <v>0</v>
      </c>
      <c r="CR144" s="269">
        <f t="shared" si="619"/>
        <v>0</v>
      </c>
      <c r="CS144" s="269">
        <f t="shared" ca="1" si="620"/>
        <v>0</v>
      </c>
      <c r="CT144" s="302" t="str">
        <f t="shared" ca="1" si="519"/>
        <v>0</v>
      </c>
      <c r="CU144" s="269">
        <f t="shared" ca="1" si="621"/>
        <v>0</v>
      </c>
      <c r="CV144" s="268"/>
      <c r="CW144" s="269">
        <f t="shared" ca="1" si="622"/>
        <v>0</v>
      </c>
      <c r="CX144" s="301">
        <f t="shared" ca="1" si="623"/>
        <v>0</v>
      </c>
      <c r="CY144" s="301">
        <f t="shared" ca="1" si="634"/>
        <v>0</v>
      </c>
      <c r="CZ144" s="301">
        <f t="shared" ca="1" si="624"/>
        <v>0</v>
      </c>
      <c r="DA144" s="301">
        <f t="shared" ca="1" si="524"/>
        <v>0</v>
      </c>
      <c r="DB144" t="str">
        <f t="shared" ca="1" si="630"/>
        <v/>
      </c>
      <c r="DC144" s="301" t="str">
        <f t="shared" ca="1" si="625"/>
        <v/>
      </c>
      <c r="DD144" s="1337" t="str">
        <f t="shared" ca="1" si="628"/>
        <v/>
      </c>
      <c r="DE144" s="1337" t="str">
        <f t="shared" ca="1" si="629"/>
        <v/>
      </c>
      <c r="DG144" s="269" t="str">
        <f t="shared" ca="1" si="626"/>
        <v>Tabellen_Andere!BA97:BF97</v>
      </c>
      <c r="DH144" s="269" t="str">
        <f t="shared" si="527"/>
        <v>Tabellen_Andere!BA97:BF97</v>
      </c>
      <c r="DI144" s="269" t="str">
        <f ca="1">IF(NOT(ISERR(FIND(A144&amp;" ",Abfragen!$O$264,1))),MID(Abfragen!$O$264,FIND("(",Abfragen!$O$264,FIND(A144,Abfragen!$O$264,1)+LEN(A144))+1,FIND(")",Abfragen!$O$264,FIND(A144,Abfragen!$O$264,1)+LEN(A144))-FIND("(",Abfragen!$O$264,FIND(A144,Abfragen!$O$264,1)+LEN(A144))-1),"")</f>
        <v/>
      </c>
      <c r="DJ144" s="301" t="str">
        <f t="shared" ca="1" si="627"/>
        <v>B</v>
      </c>
      <c r="DK144" s="301" t="str">
        <f t="shared" ca="1" si="627"/>
        <v>B</v>
      </c>
      <c r="DL144" s="301" t="str">
        <f t="shared" ca="1" si="627"/>
        <v>B</v>
      </c>
      <c r="DM144" s="301" t="str">
        <f t="shared" ca="1" si="627"/>
        <v>B</v>
      </c>
      <c r="DN144" s="301" t="str">
        <f t="shared" ca="1" si="627"/>
        <v>B</v>
      </c>
      <c r="DO144" s="301" t="str">
        <f t="shared" ca="1" si="627"/>
        <v>B</v>
      </c>
      <c r="DP144" s="301" t="str">
        <f t="shared" ca="1" si="627"/>
        <v>B</v>
      </c>
      <c r="DQ144" s="301" t="str">
        <f t="shared" ca="1" si="627"/>
        <v>B</v>
      </c>
      <c r="DR144" s="301" t="str">
        <f t="shared" ca="1" si="627"/>
        <v>B</v>
      </c>
      <c r="DS144" s="301" t="str">
        <f t="shared" ca="1" si="627"/>
        <v>B</v>
      </c>
      <c r="DT144" s="301" t="str">
        <f t="shared" ca="1" si="627"/>
        <v>B</v>
      </c>
      <c r="DU144" s="301" t="str">
        <f t="shared" ca="1" si="627"/>
        <v>B</v>
      </c>
      <c r="DV144" s="301" t="str">
        <f t="shared" ca="1" si="627"/>
        <v>B</v>
      </c>
      <c r="DW144" s="301" t="str">
        <f t="shared" ca="1" si="627"/>
        <v>B</v>
      </c>
      <c r="DX144" s="301" t="str">
        <f t="shared" ca="1" si="627"/>
        <v>B</v>
      </c>
      <c r="DY144" s="301" t="str">
        <f t="shared" ca="1" si="627"/>
        <v>B</v>
      </c>
      <c r="DZ144" s="301" t="str">
        <f t="shared" ca="1" si="552"/>
        <v>B</v>
      </c>
      <c r="EA144" s="301" t="str">
        <f t="shared" ca="1" si="552"/>
        <v>B</v>
      </c>
      <c r="EB144" s="301" t="str">
        <f t="shared" ca="1" si="552"/>
        <v>B</v>
      </c>
      <c r="EC144" s="301" t="str">
        <f t="shared" ca="1" si="552"/>
        <v>B</v>
      </c>
      <c r="ED144" s="301" t="str">
        <f t="shared" ca="1" si="552"/>
        <v>B</v>
      </c>
      <c r="EE144" s="301" t="str">
        <f t="shared" ca="1" si="552"/>
        <v>B</v>
      </c>
      <c r="EF144" s="205"/>
      <c r="EG144" s="301" t="str">
        <f t="shared" ca="1" si="548"/>
        <v>B</v>
      </c>
      <c r="EH144" s="301" t="str">
        <f t="shared" ca="1" si="548"/>
        <v>B</v>
      </c>
      <c r="EI144" s="301" t="str">
        <f t="shared" ca="1" si="548"/>
        <v>B</v>
      </c>
      <c r="EJ144" s="301" t="str">
        <f t="shared" ca="1" si="548"/>
        <v>B</v>
      </c>
      <c r="EK144" s="301" t="str">
        <f t="shared" ca="1" si="548"/>
        <v>B</v>
      </c>
      <c r="EL144" s="301" t="str">
        <f t="shared" ca="1" si="548"/>
        <v>B</v>
      </c>
      <c r="EM144" s="301" t="str">
        <f t="shared" ca="1" si="548"/>
        <v>B</v>
      </c>
      <c r="EN144" s="301" t="str">
        <f t="shared" ca="1" si="548"/>
        <v>B</v>
      </c>
      <c r="EO144" s="301" t="str">
        <f t="shared" ca="1" si="548"/>
        <v>B</v>
      </c>
      <c r="EP144" s="301" t="str">
        <f t="shared" ca="1" si="548"/>
        <v>B</v>
      </c>
      <c r="EQ144" s="301" t="str">
        <f t="shared" ca="1" si="549"/>
        <v>B</v>
      </c>
      <c r="ER144" s="301" t="str">
        <f t="shared" ca="1" si="549"/>
        <v>B</v>
      </c>
      <c r="ES144" s="301" t="str">
        <f t="shared" ca="1" si="549"/>
        <v>B</v>
      </c>
      <c r="ET144" s="301" t="str">
        <f t="shared" ca="1" si="549"/>
        <v>B</v>
      </c>
      <c r="EU144" s="301" t="str">
        <f t="shared" ca="1" si="549"/>
        <v>B</v>
      </c>
      <c r="EV144" s="301" t="str">
        <f t="shared" ca="1" si="549"/>
        <v>B</v>
      </c>
      <c r="EW144" s="301" t="str">
        <f t="shared" ca="1" si="549"/>
        <v>B</v>
      </c>
      <c r="EX144" s="301" t="str">
        <f t="shared" ca="1" si="549"/>
        <v>B</v>
      </c>
      <c r="EY144" s="301" t="str">
        <f t="shared" ca="1" si="549"/>
        <v>B</v>
      </c>
      <c r="EZ144" s="301" t="str">
        <f t="shared" ca="1" si="549"/>
        <v>B</v>
      </c>
      <c r="FA144" s="301" t="str">
        <f t="shared" ca="1" si="550"/>
        <v>B</v>
      </c>
      <c r="FB144" s="301" t="str">
        <f t="shared" ca="1" si="550"/>
        <v>B</v>
      </c>
      <c r="FC144" s="301" t="str">
        <f t="shared" ca="1" si="550"/>
        <v>B</v>
      </c>
      <c r="FD144" s="301" t="str">
        <f t="shared" ca="1" si="550"/>
        <v>B</v>
      </c>
      <c r="FE144" s="301" t="str">
        <f t="shared" ca="1" si="550"/>
        <v>B</v>
      </c>
      <c r="FF144" s="301" t="str">
        <f t="shared" ca="1" si="550"/>
        <v>B</v>
      </c>
      <c r="FG144" s="301" t="str">
        <f t="shared" ca="1" si="550"/>
        <v>B</v>
      </c>
      <c r="FH144" s="301" t="str">
        <f t="shared" ca="1" si="550"/>
        <v>B</v>
      </c>
      <c r="FI144" s="301" t="str">
        <f t="shared" ca="1" si="550"/>
        <v>B</v>
      </c>
      <c r="FJ144" s="301" t="str">
        <f t="shared" ca="1" si="550"/>
        <v>B</v>
      </c>
      <c r="FK144" s="301" t="str">
        <f t="shared" ca="1" si="550"/>
        <v>B</v>
      </c>
      <c r="FL144" s="301" t="str">
        <f t="shared" ca="1" si="550"/>
        <v>B</v>
      </c>
    </row>
    <row r="145" spans="1:168" x14ac:dyDescent="0.2">
      <c r="A145" s="38" t="str">
        <f t="shared" si="533"/>
        <v>Seefahrt</v>
      </c>
      <c r="B145" s="317" t="str">
        <f t="shared" ca="1" si="553"/>
        <v/>
      </c>
      <c r="C145" s="332" t="str">
        <f t="shared" ref="C145:C157" ca="1" si="635">IF(OR(NOT(ISBLANK(D145)),NOT(ISBLANK(HLOOKUP(RASSEGENE,RASSE,$CD145,FALSE))),
NOT(ISBLANK(HLOOKUP(KULTURGENE,KULTUR,$CD145,FALSE))),
NOT(OR(ISBLANK(HLOOKUP(PROFGENE,INDIRECT(PROFGEBIET),$CD145,FALSE)),$CS145="N",$CS145="M")),
IF(PROFZWEITE="",FALSE,NOT(ISBLANK(HLOOKUP(PROFZWEITE,INDIRECT(PROFGEBIET2),$CD145,FALSE))))),"x","")</f>
        <v/>
      </c>
      <c r="D145" s="1110"/>
      <c r="E145" s="966"/>
      <c r="F145" s="325"/>
      <c r="G145" s="958"/>
      <c r="H145" s="1196"/>
      <c r="I145" s="326"/>
      <c r="J145" s="1886" t="str">
        <f t="shared" ca="1" si="450"/>
        <v/>
      </c>
      <c r="K145" s="1887"/>
      <c r="L145" s="1887"/>
      <c r="M145" s="1887"/>
      <c r="N145" s="1888"/>
      <c r="O145" s="613" t="str">
        <f t="shared" ca="1" si="554"/>
        <v/>
      </c>
      <c r="P145" s="90"/>
      <c r="Q145" s="25"/>
      <c r="R145" s="1313"/>
      <c r="S145" s="1313"/>
      <c r="T145" s="1315"/>
      <c r="U145" s="1283"/>
      <c r="V145" s="628" t="str">
        <f t="shared" ca="1" si="555"/>
        <v/>
      </c>
      <c r="W145" s="164">
        <f t="shared" ca="1" si="556"/>
        <v>0</v>
      </c>
      <c r="X145" s="164">
        <f t="shared" ca="1" si="557"/>
        <v>0</v>
      </c>
      <c r="Y145" s="164">
        <f t="shared" ca="1" si="558"/>
        <v>0</v>
      </c>
      <c r="Z145" s="164">
        <f t="shared" ca="1" si="559"/>
        <v>0</v>
      </c>
      <c r="AA145" s="164">
        <f t="shared" ca="1" si="560"/>
        <v>0</v>
      </c>
      <c r="AB145" s="164">
        <f t="shared" ca="1" si="561"/>
        <v>0</v>
      </c>
      <c r="AC145" s="164">
        <f t="shared" ca="1" si="562"/>
        <v>0</v>
      </c>
      <c r="AD145" s="164">
        <f t="shared" ca="1" si="563"/>
        <v>0</v>
      </c>
      <c r="AE145" s="164">
        <f t="shared" ca="1" si="564"/>
        <v>0</v>
      </c>
      <c r="AF145" s="164">
        <f t="shared" ca="1" si="565"/>
        <v>0</v>
      </c>
      <c r="AG145" s="164">
        <f t="shared" ca="1" si="566"/>
        <v>0</v>
      </c>
      <c r="AH145" s="164">
        <f t="shared" ca="1" si="567"/>
        <v>0</v>
      </c>
      <c r="AI145" s="164">
        <f t="shared" ca="1" si="568"/>
        <v>0</v>
      </c>
      <c r="AJ145" s="164">
        <f t="shared" ca="1" si="569"/>
        <v>0</v>
      </c>
      <c r="AK145" s="164">
        <f t="shared" ca="1" si="570"/>
        <v>0</v>
      </c>
      <c r="AL145" s="164">
        <f t="shared" ca="1" si="571"/>
        <v>0</v>
      </c>
      <c r="AM145" s="164">
        <f t="shared" ca="1" si="572"/>
        <v>0</v>
      </c>
      <c r="AN145" s="164">
        <f t="shared" ca="1" si="573"/>
        <v>0</v>
      </c>
      <c r="AO145" s="164">
        <f t="shared" ca="1" si="574"/>
        <v>0</v>
      </c>
      <c r="AP145" s="164">
        <f t="shared" ca="1" si="575"/>
        <v>0</v>
      </c>
      <c r="AQ145" s="164">
        <f t="shared" ca="1" si="576"/>
        <v>0</v>
      </c>
      <c r="AR145" s="164">
        <f t="shared" ca="1" si="577"/>
        <v>0</v>
      </c>
      <c r="AS145" s="195"/>
      <c r="AT145" s="154">
        <f t="shared" ca="1" si="578"/>
        <v>0</v>
      </c>
      <c r="AU145" s="154">
        <f t="shared" ca="1" si="579"/>
        <v>0</v>
      </c>
      <c r="AV145" s="154">
        <f t="shared" ca="1" si="580"/>
        <v>0</v>
      </c>
      <c r="AW145" s="154">
        <f t="shared" ca="1" si="581"/>
        <v>0</v>
      </c>
      <c r="AX145" s="154">
        <f t="shared" ca="1" si="582"/>
        <v>0</v>
      </c>
      <c r="AY145" s="154">
        <f t="shared" ca="1" si="583"/>
        <v>0</v>
      </c>
      <c r="AZ145" s="154">
        <f t="shared" ca="1" si="584"/>
        <v>0</v>
      </c>
      <c r="BA145" s="154">
        <f t="shared" ca="1" si="585"/>
        <v>0</v>
      </c>
      <c r="BB145" s="154">
        <f t="shared" ca="1" si="586"/>
        <v>0</v>
      </c>
      <c r="BC145" s="154">
        <f t="shared" ca="1" si="587"/>
        <v>0</v>
      </c>
      <c r="BD145" s="154">
        <f t="shared" ca="1" si="588"/>
        <v>0</v>
      </c>
      <c r="BE145" s="154">
        <f t="shared" ca="1" si="589"/>
        <v>0</v>
      </c>
      <c r="BF145" s="154">
        <f t="shared" ca="1" si="590"/>
        <v>0</v>
      </c>
      <c r="BG145" s="154">
        <f t="shared" ca="1" si="591"/>
        <v>0</v>
      </c>
      <c r="BH145" s="154">
        <f t="shared" ca="1" si="592"/>
        <v>0</v>
      </c>
      <c r="BI145" s="154">
        <f t="shared" ca="1" si="593"/>
        <v>0</v>
      </c>
      <c r="BJ145" s="154">
        <f t="shared" ca="1" si="594"/>
        <v>0</v>
      </c>
      <c r="BK145" s="154">
        <f t="shared" ca="1" si="595"/>
        <v>0</v>
      </c>
      <c r="BL145" s="154">
        <f t="shared" ca="1" si="596"/>
        <v>0</v>
      </c>
      <c r="BM145" s="154">
        <f t="shared" ca="1" si="597"/>
        <v>0</v>
      </c>
      <c r="BN145" s="154">
        <f t="shared" ca="1" si="598"/>
        <v>0</v>
      </c>
      <c r="BO145" s="154">
        <f t="shared" ca="1" si="599"/>
        <v>0</v>
      </c>
      <c r="BP145" s="154">
        <f t="shared" ca="1" si="600"/>
        <v>0</v>
      </c>
      <c r="BQ145" s="154">
        <f t="shared" ca="1" si="601"/>
        <v>0</v>
      </c>
      <c r="BR145" s="154">
        <f t="shared" ca="1" si="602"/>
        <v>0</v>
      </c>
      <c r="BS145" s="154">
        <f t="shared" ca="1" si="603"/>
        <v>0</v>
      </c>
      <c r="BT145" s="154">
        <f t="shared" ca="1" si="604"/>
        <v>0</v>
      </c>
      <c r="BU145" s="154">
        <f t="shared" ca="1" si="605"/>
        <v>0</v>
      </c>
      <c r="BV145" s="154">
        <f t="shared" ca="1" si="606"/>
        <v>0</v>
      </c>
      <c r="BW145" s="154">
        <f t="shared" ca="1" si="607"/>
        <v>0</v>
      </c>
      <c r="BX145" s="154">
        <f t="shared" ca="1" si="608"/>
        <v>0</v>
      </c>
      <c r="BY145" s="154">
        <f t="shared" ca="1" si="609"/>
        <v>0</v>
      </c>
      <c r="BZ145" s="154">
        <f t="shared" si="610"/>
        <v>0</v>
      </c>
      <c r="CA145" s="154">
        <f t="shared" si="611"/>
        <v>0</v>
      </c>
      <c r="CB145" s="154">
        <f t="shared" ca="1" si="612"/>
        <v>0</v>
      </c>
      <c r="CC145" s="523"/>
      <c r="CD145" s="355">
        <f t="shared" si="613"/>
        <v>169</v>
      </c>
      <c r="CE145" s="751" t="str">
        <f t="shared" ca="1" si="614"/>
        <v>B</v>
      </c>
      <c r="CF145" s="355" t="str">
        <f ca="1">IF(EXACT($B145,""),$CF143,CONCATENATE($CF143,$A145))</f>
        <v/>
      </c>
      <c r="CG145" s="268"/>
      <c r="CH145" s="268"/>
      <c r="CI145" s="269">
        <f t="shared" ca="1" si="615"/>
        <v>0</v>
      </c>
      <c r="CJ145" s="269">
        <f t="shared" ca="1" si="616"/>
        <v>0</v>
      </c>
      <c r="CK145" s="268"/>
      <c r="CL145" s="268"/>
      <c r="CM145" s="268">
        <f t="shared" ca="1" si="632"/>
        <v>0</v>
      </c>
      <c r="CN145" s="269">
        <f t="shared" ca="1" si="633"/>
        <v>0</v>
      </c>
      <c r="CO145" s="268" t="str">
        <f t="shared" ca="1" si="617"/>
        <v>B</v>
      </c>
      <c r="CP145" s="269" t="b">
        <f t="shared" ca="1" si="631"/>
        <v>1</v>
      </c>
      <c r="CQ145" s="269">
        <f t="shared" si="618"/>
        <v>0</v>
      </c>
      <c r="CR145" s="269">
        <f t="shared" si="619"/>
        <v>0</v>
      </c>
      <c r="CS145" s="269">
        <f t="shared" ca="1" si="620"/>
        <v>0</v>
      </c>
      <c r="CT145" s="302" t="str">
        <f t="shared" ca="1" si="519"/>
        <v>0</v>
      </c>
      <c r="CU145" s="269">
        <f t="shared" ca="1" si="621"/>
        <v>0</v>
      </c>
      <c r="CV145" s="268"/>
      <c r="CW145" s="269">
        <f t="shared" ca="1" si="622"/>
        <v>0</v>
      </c>
      <c r="CX145" s="301">
        <f t="shared" ca="1" si="623"/>
        <v>0</v>
      </c>
      <c r="CY145" s="301">
        <f t="shared" ca="1" si="634"/>
        <v>0</v>
      </c>
      <c r="CZ145" s="301">
        <f t="shared" ca="1" si="624"/>
        <v>0</v>
      </c>
      <c r="DA145" s="301">
        <f t="shared" ca="1" si="524"/>
        <v>0</v>
      </c>
      <c r="DB145" t="str">
        <f t="shared" ca="1" si="630"/>
        <v/>
      </c>
      <c r="DC145" s="301" t="str">
        <f t="shared" ca="1" si="625"/>
        <v/>
      </c>
      <c r="DD145" s="1337" t="str">
        <f t="shared" ca="1" si="628"/>
        <v/>
      </c>
      <c r="DE145" s="1337" t="str">
        <f t="shared" ca="1" si="629"/>
        <v/>
      </c>
      <c r="DG145" s="269" t="str">
        <f t="shared" ca="1" si="626"/>
        <v>Tabellen_Andere!BA101:BF101</v>
      </c>
      <c r="DH145" s="269" t="str">
        <f t="shared" si="527"/>
        <v>Tabellen_Andere!BA101:BF101</v>
      </c>
      <c r="DI145" s="269" t="str">
        <f ca="1">IF(NOT(ISERR(FIND(A145&amp;" ",Abfragen!$O$264,1))),MID(Abfragen!$O$264,FIND("(",Abfragen!$O$264,FIND(A145,Abfragen!$O$264,1)+LEN(A145))+1,FIND(")",Abfragen!$O$264,FIND(A145,Abfragen!$O$264,1)+LEN(A145))-FIND("(",Abfragen!$O$264,FIND(A145,Abfragen!$O$264,1)+LEN(A145))-1),"")</f>
        <v/>
      </c>
      <c r="DJ145" s="301" t="str">
        <f t="shared" ca="1" si="627"/>
        <v>B</v>
      </c>
      <c r="DK145" s="301" t="str">
        <f t="shared" ca="1" si="627"/>
        <v>B</v>
      </c>
      <c r="DL145" s="301" t="str">
        <f t="shared" ca="1" si="627"/>
        <v>B</v>
      </c>
      <c r="DM145" s="301" t="str">
        <f t="shared" ca="1" si="627"/>
        <v>B</v>
      </c>
      <c r="DN145" s="301" t="str">
        <f t="shared" ca="1" si="627"/>
        <v>B</v>
      </c>
      <c r="DO145" s="301" t="str">
        <f t="shared" ca="1" si="627"/>
        <v>B</v>
      </c>
      <c r="DP145" s="301" t="str">
        <f t="shared" ca="1" si="627"/>
        <v>B</v>
      </c>
      <c r="DQ145" s="301" t="str">
        <f t="shared" ca="1" si="627"/>
        <v>B</v>
      </c>
      <c r="DR145" s="301" t="str">
        <f t="shared" ca="1" si="627"/>
        <v>B</v>
      </c>
      <c r="DS145" s="301" t="str">
        <f t="shared" ca="1" si="627"/>
        <v>B</v>
      </c>
      <c r="DT145" s="301" t="str">
        <f t="shared" ca="1" si="627"/>
        <v>B</v>
      </c>
      <c r="DU145" s="301" t="str">
        <f t="shared" ca="1" si="627"/>
        <v>B</v>
      </c>
      <c r="DV145" s="301" t="str">
        <f t="shared" ca="1" si="627"/>
        <v>B</v>
      </c>
      <c r="DW145" s="301" t="str">
        <f t="shared" ca="1" si="627"/>
        <v>B</v>
      </c>
      <c r="DX145" s="301" t="str">
        <f t="shared" ca="1" si="627"/>
        <v>B</v>
      </c>
      <c r="DY145" s="301" t="str">
        <f t="shared" ca="1" si="627"/>
        <v>B</v>
      </c>
      <c r="DZ145" s="301" t="str">
        <f t="shared" ca="1" si="552"/>
        <v>B</v>
      </c>
      <c r="EA145" s="301" t="str">
        <f t="shared" ca="1" si="552"/>
        <v>B</v>
      </c>
      <c r="EB145" s="301" t="str">
        <f t="shared" ca="1" si="552"/>
        <v>B</v>
      </c>
      <c r="EC145" s="301" t="str">
        <f t="shared" ca="1" si="552"/>
        <v>B</v>
      </c>
      <c r="ED145" s="301" t="str">
        <f t="shared" ca="1" si="552"/>
        <v>B</v>
      </c>
      <c r="EE145" s="301" t="str">
        <f t="shared" ca="1" si="552"/>
        <v>B</v>
      </c>
      <c r="EF145" s="205"/>
      <c r="EG145" s="301" t="str">
        <f t="shared" ca="1" si="548"/>
        <v>B</v>
      </c>
      <c r="EH145" s="301" t="str">
        <f t="shared" ca="1" si="548"/>
        <v>B</v>
      </c>
      <c r="EI145" s="301" t="str">
        <f t="shared" ca="1" si="548"/>
        <v>B</v>
      </c>
      <c r="EJ145" s="301" t="str">
        <f t="shared" ca="1" si="548"/>
        <v>B</v>
      </c>
      <c r="EK145" s="301" t="str">
        <f t="shared" ca="1" si="548"/>
        <v>B</v>
      </c>
      <c r="EL145" s="301" t="str">
        <f t="shared" ca="1" si="548"/>
        <v>B</v>
      </c>
      <c r="EM145" s="301" t="str">
        <f t="shared" ca="1" si="548"/>
        <v>B</v>
      </c>
      <c r="EN145" s="301" t="str">
        <f t="shared" ca="1" si="548"/>
        <v>B</v>
      </c>
      <c r="EO145" s="301" t="str">
        <f t="shared" ca="1" si="548"/>
        <v>B</v>
      </c>
      <c r="EP145" s="301" t="str">
        <f t="shared" ca="1" si="548"/>
        <v>B</v>
      </c>
      <c r="EQ145" s="301" t="str">
        <f t="shared" ca="1" si="549"/>
        <v>B</v>
      </c>
      <c r="ER145" s="301" t="str">
        <f t="shared" ca="1" si="549"/>
        <v>B</v>
      </c>
      <c r="ES145" s="301" t="str">
        <f t="shared" ca="1" si="549"/>
        <v>B</v>
      </c>
      <c r="ET145" s="301" t="str">
        <f t="shared" ca="1" si="549"/>
        <v>B</v>
      </c>
      <c r="EU145" s="301" t="str">
        <f t="shared" ca="1" si="549"/>
        <v>B</v>
      </c>
      <c r="EV145" s="301" t="str">
        <f t="shared" ca="1" si="549"/>
        <v>B</v>
      </c>
      <c r="EW145" s="301" t="str">
        <f t="shared" ca="1" si="549"/>
        <v>B</v>
      </c>
      <c r="EX145" s="301" t="str">
        <f t="shared" ca="1" si="549"/>
        <v>B</v>
      </c>
      <c r="EY145" s="301" t="str">
        <f t="shared" ca="1" si="549"/>
        <v>B</v>
      </c>
      <c r="EZ145" s="301" t="str">
        <f t="shared" ca="1" si="549"/>
        <v>B</v>
      </c>
      <c r="FA145" s="301" t="str">
        <f t="shared" ca="1" si="550"/>
        <v>B</v>
      </c>
      <c r="FB145" s="301" t="str">
        <f t="shared" ca="1" si="550"/>
        <v>B</v>
      </c>
      <c r="FC145" s="301" t="str">
        <f t="shared" ca="1" si="550"/>
        <v>B</v>
      </c>
      <c r="FD145" s="301" t="str">
        <f t="shared" ca="1" si="550"/>
        <v>B</v>
      </c>
      <c r="FE145" s="301" t="str">
        <f t="shared" ca="1" si="550"/>
        <v>B</v>
      </c>
      <c r="FF145" s="301" t="str">
        <f t="shared" ca="1" si="550"/>
        <v>B</v>
      </c>
      <c r="FG145" s="301" t="str">
        <f t="shared" ca="1" si="550"/>
        <v>B</v>
      </c>
      <c r="FH145" s="301" t="str">
        <f t="shared" ca="1" si="550"/>
        <v>B</v>
      </c>
      <c r="FI145" s="301" t="str">
        <f t="shared" ca="1" si="550"/>
        <v>B</v>
      </c>
      <c r="FJ145" s="301" t="str">
        <f t="shared" ca="1" si="550"/>
        <v>B</v>
      </c>
      <c r="FK145" s="301" t="str">
        <f t="shared" ca="1" si="550"/>
        <v>B</v>
      </c>
      <c r="FL145" s="301" t="str">
        <f t="shared" ca="1" si="550"/>
        <v>B</v>
      </c>
    </row>
    <row r="146" spans="1:168" x14ac:dyDescent="0.2">
      <c r="A146" s="38" t="str">
        <f t="shared" si="533"/>
        <v>Seiler</v>
      </c>
      <c r="B146" s="317" t="str">
        <f t="shared" ca="1" si="553"/>
        <v/>
      </c>
      <c r="C146" s="332" t="str">
        <f t="shared" ca="1" si="635"/>
        <v/>
      </c>
      <c r="D146" s="1110"/>
      <c r="E146" s="966"/>
      <c r="F146" s="325"/>
      <c r="G146" s="958"/>
      <c r="H146" s="1196"/>
      <c r="I146" s="326"/>
      <c r="J146" s="1886" t="str">
        <f t="shared" ca="1" si="450"/>
        <v/>
      </c>
      <c r="K146" s="1887"/>
      <c r="L146" s="1887"/>
      <c r="M146" s="1887"/>
      <c r="N146" s="1888"/>
      <c r="O146" s="613" t="str">
        <f t="shared" ca="1" si="554"/>
        <v/>
      </c>
      <c r="P146" s="90"/>
      <c r="Q146" s="25"/>
      <c r="R146" s="1313"/>
      <c r="S146" s="1313"/>
      <c r="T146" s="1315"/>
      <c r="U146" s="1283"/>
      <c r="V146" s="628" t="str">
        <f t="shared" ca="1" si="555"/>
        <v/>
      </c>
      <c r="W146" s="164">
        <f t="shared" ca="1" si="556"/>
        <v>0</v>
      </c>
      <c r="X146" s="164">
        <f t="shared" ca="1" si="557"/>
        <v>0</v>
      </c>
      <c r="Y146" s="164">
        <f t="shared" ca="1" si="558"/>
        <v>0</v>
      </c>
      <c r="Z146" s="164">
        <f t="shared" ca="1" si="559"/>
        <v>0</v>
      </c>
      <c r="AA146" s="164">
        <f t="shared" ca="1" si="560"/>
        <v>0</v>
      </c>
      <c r="AB146" s="164">
        <f t="shared" ca="1" si="561"/>
        <v>0</v>
      </c>
      <c r="AC146" s="164">
        <f t="shared" ca="1" si="562"/>
        <v>0</v>
      </c>
      <c r="AD146" s="164">
        <f t="shared" ca="1" si="563"/>
        <v>0</v>
      </c>
      <c r="AE146" s="164">
        <f t="shared" ca="1" si="564"/>
        <v>0</v>
      </c>
      <c r="AF146" s="164">
        <f t="shared" ca="1" si="565"/>
        <v>0</v>
      </c>
      <c r="AG146" s="164">
        <f t="shared" ca="1" si="566"/>
        <v>0</v>
      </c>
      <c r="AH146" s="164">
        <f t="shared" ca="1" si="567"/>
        <v>0</v>
      </c>
      <c r="AI146" s="164">
        <f t="shared" ca="1" si="568"/>
        <v>0</v>
      </c>
      <c r="AJ146" s="164">
        <f t="shared" ca="1" si="569"/>
        <v>0</v>
      </c>
      <c r="AK146" s="164">
        <f t="shared" ca="1" si="570"/>
        <v>0</v>
      </c>
      <c r="AL146" s="164">
        <f t="shared" ca="1" si="571"/>
        <v>0</v>
      </c>
      <c r="AM146" s="164">
        <f t="shared" ca="1" si="572"/>
        <v>0</v>
      </c>
      <c r="AN146" s="164">
        <f t="shared" ca="1" si="573"/>
        <v>0</v>
      </c>
      <c r="AO146" s="164">
        <f t="shared" ca="1" si="574"/>
        <v>0</v>
      </c>
      <c r="AP146" s="164">
        <f t="shared" ca="1" si="575"/>
        <v>0</v>
      </c>
      <c r="AQ146" s="164">
        <f t="shared" ca="1" si="576"/>
        <v>0</v>
      </c>
      <c r="AR146" s="164">
        <f t="shared" ca="1" si="577"/>
        <v>0</v>
      </c>
      <c r="AS146" s="195"/>
      <c r="AT146" s="154">
        <f t="shared" ca="1" si="578"/>
        <v>0</v>
      </c>
      <c r="AU146" s="154">
        <f t="shared" ca="1" si="579"/>
        <v>0</v>
      </c>
      <c r="AV146" s="154">
        <f t="shared" ca="1" si="580"/>
        <v>0</v>
      </c>
      <c r="AW146" s="154">
        <f t="shared" ca="1" si="581"/>
        <v>0</v>
      </c>
      <c r="AX146" s="154">
        <f t="shared" ca="1" si="582"/>
        <v>0</v>
      </c>
      <c r="AY146" s="154">
        <f t="shared" ca="1" si="583"/>
        <v>0</v>
      </c>
      <c r="AZ146" s="154">
        <f t="shared" ca="1" si="584"/>
        <v>0</v>
      </c>
      <c r="BA146" s="154">
        <f t="shared" ca="1" si="585"/>
        <v>0</v>
      </c>
      <c r="BB146" s="154">
        <f t="shared" ca="1" si="586"/>
        <v>0</v>
      </c>
      <c r="BC146" s="154">
        <f t="shared" ca="1" si="587"/>
        <v>0</v>
      </c>
      <c r="BD146" s="154">
        <f t="shared" ca="1" si="588"/>
        <v>0</v>
      </c>
      <c r="BE146" s="154">
        <f t="shared" ca="1" si="589"/>
        <v>0</v>
      </c>
      <c r="BF146" s="154">
        <f t="shared" ca="1" si="590"/>
        <v>0</v>
      </c>
      <c r="BG146" s="154">
        <f t="shared" ca="1" si="591"/>
        <v>0</v>
      </c>
      <c r="BH146" s="154">
        <f t="shared" ca="1" si="592"/>
        <v>0</v>
      </c>
      <c r="BI146" s="154">
        <f t="shared" ca="1" si="593"/>
        <v>0</v>
      </c>
      <c r="BJ146" s="154">
        <f t="shared" ca="1" si="594"/>
        <v>0</v>
      </c>
      <c r="BK146" s="154">
        <f t="shared" ca="1" si="595"/>
        <v>0</v>
      </c>
      <c r="BL146" s="154">
        <f t="shared" ca="1" si="596"/>
        <v>0</v>
      </c>
      <c r="BM146" s="154">
        <f t="shared" ca="1" si="597"/>
        <v>0</v>
      </c>
      <c r="BN146" s="154">
        <f t="shared" ca="1" si="598"/>
        <v>0</v>
      </c>
      <c r="BO146" s="154">
        <f t="shared" ca="1" si="599"/>
        <v>0</v>
      </c>
      <c r="BP146" s="154">
        <f t="shared" ca="1" si="600"/>
        <v>0</v>
      </c>
      <c r="BQ146" s="154">
        <f t="shared" ca="1" si="601"/>
        <v>0</v>
      </c>
      <c r="BR146" s="154">
        <f t="shared" ca="1" si="602"/>
        <v>0</v>
      </c>
      <c r="BS146" s="154">
        <f t="shared" ca="1" si="603"/>
        <v>0</v>
      </c>
      <c r="BT146" s="154">
        <f t="shared" ca="1" si="604"/>
        <v>0</v>
      </c>
      <c r="BU146" s="154">
        <f t="shared" ca="1" si="605"/>
        <v>0</v>
      </c>
      <c r="BV146" s="154">
        <f t="shared" ca="1" si="606"/>
        <v>0</v>
      </c>
      <c r="BW146" s="154">
        <f t="shared" ca="1" si="607"/>
        <v>0</v>
      </c>
      <c r="BX146" s="154">
        <f t="shared" ca="1" si="608"/>
        <v>0</v>
      </c>
      <c r="BY146" s="154">
        <f t="shared" ca="1" si="609"/>
        <v>0</v>
      </c>
      <c r="BZ146" s="154">
        <f t="shared" si="610"/>
        <v>0</v>
      </c>
      <c r="CA146" s="154">
        <f t="shared" si="611"/>
        <v>0</v>
      </c>
      <c r="CB146" s="154">
        <f t="shared" ca="1" si="612"/>
        <v>0</v>
      </c>
      <c r="CC146" s="523"/>
      <c r="CD146" s="355">
        <f t="shared" si="613"/>
        <v>170</v>
      </c>
      <c r="CE146" s="751" t="str">
        <f t="shared" ca="1" si="614"/>
        <v>B</v>
      </c>
      <c r="CF146" s="355" t="str">
        <f t="shared" ref="CF146:CF157" ca="1" si="636">IF(EXACT($B146,""),$CF145,CONCATENATE($CF145,$A146))</f>
        <v/>
      </c>
      <c r="CG146" s="268"/>
      <c r="CH146" s="268"/>
      <c r="CI146" s="269">
        <f t="shared" ca="1" si="615"/>
        <v>0</v>
      </c>
      <c r="CJ146" s="269">
        <f t="shared" ca="1" si="616"/>
        <v>0</v>
      </c>
      <c r="CK146" s="268"/>
      <c r="CL146" s="268"/>
      <c r="CM146" s="268">
        <f t="shared" ca="1" si="632"/>
        <v>0</v>
      </c>
      <c r="CN146" s="269">
        <f t="shared" ca="1" si="633"/>
        <v>0</v>
      </c>
      <c r="CO146" s="268" t="str">
        <f t="shared" ca="1" si="617"/>
        <v>B</v>
      </c>
      <c r="CP146" s="269" t="b">
        <f t="shared" ca="1" si="631"/>
        <v>1</v>
      </c>
      <c r="CQ146" s="269">
        <f t="shared" si="618"/>
        <v>0</v>
      </c>
      <c r="CR146" s="269">
        <f t="shared" si="619"/>
        <v>0</v>
      </c>
      <c r="CS146" s="269">
        <f t="shared" ca="1" si="620"/>
        <v>0</v>
      </c>
      <c r="CT146" s="302" t="str">
        <f t="shared" ca="1" si="519"/>
        <v>0</v>
      </c>
      <c r="CU146" s="269">
        <f t="shared" ca="1" si="621"/>
        <v>0</v>
      </c>
      <c r="CV146" s="268"/>
      <c r="CW146" s="269">
        <f t="shared" ca="1" si="622"/>
        <v>0</v>
      </c>
      <c r="CX146" s="301">
        <f t="shared" ca="1" si="623"/>
        <v>0</v>
      </c>
      <c r="CY146" s="301">
        <f t="shared" ca="1" si="634"/>
        <v>0</v>
      </c>
      <c r="CZ146" s="301">
        <f t="shared" ca="1" si="624"/>
        <v>0</v>
      </c>
      <c r="DA146" s="301">
        <f t="shared" ca="1" si="524"/>
        <v>0</v>
      </c>
      <c r="DB146" t="str">
        <f t="shared" ca="1" si="630"/>
        <v/>
      </c>
      <c r="DC146" s="301" t="str">
        <f t="shared" ca="1" si="625"/>
        <v/>
      </c>
      <c r="DD146" s="1337" t="str">
        <f t="shared" ca="1" si="628"/>
        <v/>
      </c>
      <c r="DE146" s="1337" t="str">
        <f t="shared" ca="1" si="629"/>
        <v/>
      </c>
      <c r="DG146" s="269" t="str">
        <f t="shared" ca="1" si="626"/>
        <v>Tabellen_Andere!BA103:BF103</v>
      </c>
      <c r="DH146" s="269" t="str">
        <f t="shared" si="527"/>
        <v>Tabellen_Andere!BA103:BF103</v>
      </c>
      <c r="DI146" s="269" t="str">
        <f ca="1">IF(NOT(ISERR(FIND(A146&amp;" ",Abfragen!$O$264,1))),MID(Abfragen!$O$264,FIND("(",Abfragen!$O$264,FIND(A146,Abfragen!$O$264,1)+LEN(A146))+1,FIND(")",Abfragen!$O$264,FIND(A146,Abfragen!$O$264,1)+LEN(A146))-FIND("(",Abfragen!$O$264,FIND(A146,Abfragen!$O$264,1)+LEN(A146))-1),"")</f>
        <v/>
      </c>
      <c r="DJ146" s="301" t="str">
        <f t="shared" ca="1" si="627"/>
        <v>B</v>
      </c>
      <c r="DK146" s="301" t="str">
        <f t="shared" ca="1" si="627"/>
        <v>B</v>
      </c>
      <c r="DL146" s="301" t="str">
        <f t="shared" ca="1" si="627"/>
        <v>B</v>
      </c>
      <c r="DM146" s="301" t="str">
        <f t="shared" ca="1" si="627"/>
        <v>B</v>
      </c>
      <c r="DN146" s="301" t="str">
        <f t="shared" ca="1" si="627"/>
        <v>B</v>
      </c>
      <c r="DO146" s="301" t="str">
        <f t="shared" ca="1" si="627"/>
        <v>B</v>
      </c>
      <c r="DP146" s="301" t="str">
        <f t="shared" ca="1" si="627"/>
        <v>B</v>
      </c>
      <c r="DQ146" s="301" t="str">
        <f t="shared" ca="1" si="627"/>
        <v>B</v>
      </c>
      <c r="DR146" s="301" t="str">
        <f t="shared" ca="1" si="627"/>
        <v>B</v>
      </c>
      <c r="DS146" s="301" t="str">
        <f t="shared" ca="1" si="627"/>
        <v>B</v>
      </c>
      <c r="DT146" s="301" t="str">
        <f t="shared" ca="1" si="627"/>
        <v>B</v>
      </c>
      <c r="DU146" s="301" t="str">
        <f t="shared" ca="1" si="627"/>
        <v>B</v>
      </c>
      <c r="DV146" s="301" t="str">
        <f t="shared" ca="1" si="627"/>
        <v>B</v>
      </c>
      <c r="DW146" s="301" t="str">
        <f t="shared" ca="1" si="627"/>
        <v>B</v>
      </c>
      <c r="DX146" s="301" t="str">
        <f t="shared" ca="1" si="627"/>
        <v>B</v>
      </c>
      <c r="DY146" s="301" t="str">
        <f t="shared" ca="1" si="627"/>
        <v>B</v>
      </c>
      <c r="DZ146" s="301" t="str">
        <f t="shared" ca="1" si="552"/>
        <v>B</v>
      </c>
      <c r="EA146" s="301" t="str">
        <f t="shared" ca="1" si="552"/>
        <v>B</v>
      </c>
      <c r="EB146" s="301" t="str">
        <f t="shared" ca="1" si="552"/>
        <v>B</v>
      </c>
      <c r="EC146" s="301" t="str">
        <f t="shared" ca="1" si="552"/>
        <v>B</v>
      </c>
      <c r="ED146" s="301" t="str">
        <f t="shared" ca="1" si="552"/>
        <v>B</v>
      </c>
      <c r="EE146" s="301" t="str">
        <f t="shared" ca="1" si="552"/>
        <v>B</v>
      </c>
      <c r="EF146" s="205"/>
      <c r="EG146" s="301" t="str">
        <f t="shared" ca="1" si="548"/>
        <v>B</v>
      </c>
      <c r="EH146" s="301" t="str">
        <f t="shared" ca="1" si="548"/>
        <v>B</v>
      </c>
      <c r="EI146" s="301" t="str">
        <f t="shared" ca="1" si="548"/>
        <v>B</v>
      </c>
      <c r="EJ146" s="301" t="str">
        <f t="shared" ca="1" si="548"/>
        <v>B</v>
      </c>
      <c r="EK146" s="301" t="str">
        <f t="shared" ca="1" si="548"/>
        <v>B</v>
      </c>
      <c r="EL146" s="301" t="str">
        <f t="shared" ca="1" si="548"/>
        <v>B</v>
      </c>
      <c r="EM146" s="301" t="str">
        <f t="shared" ca="1" si="548"/>
        <v>B</v>
      </c>
      <c r="EN146" s="301" t="str">
        <f t="shared" ca="1" si="548"/>
        <v>B</v>
      </c>
      <c r="EO146" s="301" t="str">
        <f t="shared" ca="1" si="548"/>
        <v>B</v>
      </c>
      <c r="EP146" s="301" t="str">
        <f t="shared" ca="1" si="548"/>
        <v>B</v>
      </c>
      <c r="EQ146" s="301" t="str">
        <f t="shared" ca="1" si="549"/>
        <v>B</v>
      </c>
      <c r="ER146" s="301" t="str">
        <f t="shared" ca="1" si="549"/>
        <v>B</v>
      </c>
      <c r="ES146" s="301" t="str">
        <f t="shared" ca="1" si="549"/>
        <v>B</v>
      </c>
      <c r="ET146" s="301" t="str">
        <f t="shared" ca="1" si="549"/>
        <v>B</v>
      </c>
      <c r="EU146" s="301" t="str">
        <f t="shared" ca="1" si="549"/>
        <v>B</v>
      </c>
      <c r="EV146" s="301" t="str">
        <f t="shared" ca="1" si="549"/>
        <v>B</v>
      </c>
      <c r="EW146" s="301" t="str">
        <f t="shared" ca="1" si="549"/>
        <v>B</v>
      </c>
      <c r="EX146" s="301" t="str">
        <f t="shared" ca="1" si="549"/>
        <v>B</v>
      </c>
      <c r="EY146" s="301" t="str">
        <f t="shared" ca="1" si="549"/>
        <v>B</v>
      </c>
      <c r="EZ146" s="301" t="str">
        <f t="shared" ca="1" si="549"/>
        <v>B</v>
      </c>
      <c r="FA146" s="301" t="str">
        <f t="shared" ca="1" si="550"/>
        <v>B</v>
      </c>
      <c r="FB146" s="301" t="str">
        <f t="shared" ca="1" si="550"/>
        <v>B</v>
      </c>
      <c r="FC146" s="301" t="str">
        <f t="shared" ca="1" si="550"/>
        <v>B</v>
      </c>
      <c r="FD146" s="301" t="str">
        <f t="shared" ca="1" si="550"/>
        <v>B</v>
      </c>
      <c r="FE146" s="301" t="str">
        <f t="shared" ca="1" si="550"/>
        <v>B</v>
      </c>
      <c r="FF146" s="301" t="str">
        <f t="shared" ca="1" si="550"/>
        <v>B</v>
      </c>
      <c r="FG146" s="301" t="str">
        <f t="shared" ca="1" si="550"/>
        <v>B</v>
      </c>
      <c r="FH146" s="301" t="str">
        <f t="shared" ca="1" si="550"/>
        <v>B</v>
      </c>
      <c r="FI146" s="301" t="str">
        <f t="shared" ca="1" si="550"/>
        <v>B</v>
      </c>
      <c r="FJ146" s="301" t="str">
        <f t="shared" ca="1" si="550"/>
        <v>B</v>
      </c>
      <c r="FK146" s="301" t="str">
        <f t="shared" ca="1" si="550"/>
        <v>B</v>
      </c>
      <c r="FL146" s="301" t="str">
        <f t="shared" ca="1" si="550"/>
        <v>B</v>
      </c>
    </row>
    <row r="147" spans="1:168" x14ac:dyDescent="0.2">
      <c r="A147" s="38" t="str">
        <f t="shared" si="533"/>
        <v>Steinmetz</v>
      </c>
      <c r="B147" s="317" t="str">
        <f t="shared" ca="1" si="553"/>
        <v/>
      </c>
      <c r="C147" s="332" t="str">
        <f t="shared" ca="1" si="635"/>
        <v/>
      </c>
      <c r="D147" s="1110"/>
      <c r="E147" s="966"/>
      <c r="F147" s="325"/>
      <c r="G147" s="958"/>
      <c r="H147" s="1196"/>
      <c r="I147" s="326"/>
      <c r="J147" s="1886" t="str">
        <f t="shared" ca="1" si="450"/>
        <v/>
      </c>
      <c r="K147" s="1887"/>
      <c r="L147" s="1887"/>
      <c r="M147" s="1887"/>
      <c r="N147" s="1888"/>
      <c r="O147" s="613" t="str">
        <f t="shared" ca="1" si="554"/>
        <v/>
      </c>
      <c r="P147" s="90"/>
      <c r="Q147" s="25"/>
      <c r="R147" s="1313"/>
      <c r="S147" s="1313"/>
      <c r="T147" s="1315"/>
      <c r="U147" s="1283"/>
      <c r="V147" s="628" t="str">
        <f t="shared" ca="1" si="555"/>
        <v/>
      </c>
      <c r="W147" s="164">
        <f t="shared" ca="1" si="556"/>
        <v>0</v>
      </c>
      <c r="X147" s="164">
        <f t="shared" ca="1" si="557"/>
        <v>0</v>
      </c>
      <c r="Y147" s="164">
        <f t="shared" ca="1" si="558"/>
        <v>0</v>
      </c>
      <c r="Z147" s="164">
        <f t="shared" ca="1" si="559"/>
        <v>0</v>
      </c>
      <c r="AA147" s="164">
        <f t="shared" ca="1" si="560"/>
        <v>0</v>
      </c>
      <c r="AB147" s="164">
        <f t="shared" ca="1" si="561"/>
        <v>0</v>
      </c>
      <c r="AC147" s="164">
        <f t="shared" ca="1" si="562"/>
        <v>0</v>
      </c>
      <c r="AD147" s="164">
        <f t="shared" ca="1" si="563"/>
        <v>0</v>
      </c>
      <c r="AE147" s="164">
        <f t="shared" ca="1" si="564"/>
        <v>0</v>
      </c>
      <c r="AF147" s="164">
        <f t="shared" ca="1" si="565"/>
        <v>0</v>
      </c>
      <c r="AG147" s="164">
        <f t="shared" ca="1" si="566"/>
        <v>0</v>
      </c>
      <c r="AH147" s="164">
        <f t="shared" ca="1" si="567"/>
        <v>0</v>
      </c>
      <c r="AI147" s="164">
        <f t="shared" ca="1" si="568"/>
        <v>0</v>
      </c>
      <c r="AJ147" s="164">
        <f t="shared" ca="1" si="569"/>
        <v>0</v>
      </c>
      <c r="AK147" s="164">
        <f t="shared" ca="1" si="570"/>
        <v>0</v>
      </c>
      <c r="AL147" s="164">
        <f t="shared" ca="1" si="571"/>
        <v>0</v>
      </c>
      <c r="AM147" s="164">
        <f t="shared" ca="1" si="572"/>
        <v>0</v>
      </c>
      <c r="AN147" s="164">
        <f t="shared" ca="1" si="573"/>
        <v>0</v>
      </c>
      <c r="AO147" s="164">
        <f t="shared" ca="1" si="574"/>
        <v>0</v>
      </c>
      <c r="AP147" s="164">
        <f t="shared" ca="1" si="575"/>
        <v>0</v>
      </c>
      <c r="AQ147" s="164">
        <f t="shared" ca="1" si="576"/>
        <v>0</v>
      </c>
      <c r="AR147" s="164">
        <f t="shared" ca="1" si="577"/>
        <v>0</v>
      </c>
      <c r="AS147" s="195"/>
      <c r="AT147" s="154">
        <f t="shared" ca="1" si="578"/>
        <v>0</v>
      </c>
      <c r="AU147" s="154">
        <f t="shared" ca="1" si="579"/>
        <v>0</v>
      </c>
      <c r="AV147" s="154">
        <f t="shared" ca="1" si="580"/>
        <v>0</v>
      </c>
      <c r="AW147" s="154">
        <f t="shared" ca="1" si="581"/>
        <v>0</v>
      </c>
      <c r="AX147" s="154">
        <f t="shared" ca="1" si="582"/>
        <v>0</v>
      </c>
      <c r="AY147" s="154">
        <f t="shared" ca="1" si="583"/>
        <v>0</v>
      </c>
      <c r="AZ147" s="154">
        <f t="shared" ca="1" si="584"/>
        <v>0</v>
      </c>
      <c r="BA147" s="154">
        <f t="shared" ca="1" si="585"/>
        <v>0</v>
      </c>
      <c r="BB147" s="154">
        <f t="shared" ca="1" si="586"/>
        <v>0</v>
      </c>
      <c r="BC147" s="154">
        <f t="shared" ca="1" si="587"/>
        <v>0</v>
      </c>
      <c r="BD147" s="154">
        <f t="shared" ca="1" si="588"/>
        <v>0</v>
      </c>
      <c r="BE147" s="154">
        <f t="shared" ca="1" si="589"/>
        <v>0</v>
      </c>
      <c r="BF147" s="154">
        <f t="shared" ca="1" si="590"/>
        <v>0</v>
      </c>
      <c r="BG147" s="154">
        <f t="shared" ca="1" si="591"/>
        <v>0</v>
      </c>
      <c r="BH147" s="154">
        <f t="shared" ca="1" si="592"/>
        <v>0</v>
      </c>
      <c r="BI147" s="154">
        <f t="shared" ca="1" si="593"/>
        <v>0</v>
      </c>
      <c r="BJ147" s="154">
        <f t="shared" ca="1" si="594"/>
        <v>0</v>
      </c>
      <c r="BK147" s="154">
        <f t="shared" ca="1" si="595"/>
        <v>0</v>
      </c>
      <c r="BL147" s="154">
        <f t="shared" ca="1" si="596"/>
        <v>0</v>
      </c>
      <c r="BM147" s="154">
        <f t="shared" ca="1" si="597"/>
        <v>0</v>
      </c>
      <c r="BN147" s="154">
        <f t="shared" ca="1" si="598"/>
        <v>0</v>
      </c>
      <c r="BO147" s="154">
        <f t="shared" ca="1" si="599"/>
        <v>0</v>
      </c>
      <c r="BP147" s="154">
        <f t="shared" ca="1" si="600"/>
        <v>0</v>
      </c>
      <c r="BQ147" s="154">
        <f t="shared" ca="1" si="601"/>
        <v>0</v>
      </c>
      <c r="BR147" s="154">
        <f t="shared" ca="1" si="602"/>
        <v>0</v>
      </c>
      <c r="BS147" s="154">
        <f t="shared" ca="1" si="603"/>
        <v>0</v>
      </c>
      <c r="BT147" s="154">
        <f t="shared" ca="1" si="604"/>
        <v>0</v>
      </c>
      <c r="BU147" s="154">
        <f t="shared" ca="1" si="605"/>
        <v>0</v>
      </c>
      <c r="BV147" s="154">
        <f t="shared" ca="1" si="606"/>
        <v>0</v>
      </c>
      <c r="BW147" s="154">
        <f t="shared" ca="1" si="607"/>
        <v>0</v>
      </c>
      <c r="BX147" s="154">
        <f t="shared" ca="1" si="608"/>
        <v>0</v>
      </c>
      <c r="BY147" s="154">
        <f t="shared" ca="1" si="609"/>
        <v>0</v>
      </c>
      <c r="BZ147" s="154">
        <f t="shared" si="610"/>
        <v>0</v>
      </c>
      <c r="CA147" s="154">
        <f t="shared" si="611"/>
        <v>0</v>
      </c>
      <c r="CB147" s="154">
        <f t="shared" ca="1" si="612"/>
        <v>0</v>
      </c>
      <c r="CC147" s="523"/>
      <c r="CD147" s="355">
        <f t="shared" si="613"/>
        <v>171</v>
      </c>
      <c r="CE147" s="751" t="str">
        <f t="shared" ca="1" si="614"/>
        <v>B</v>
      </c>
      <c r="CF147" s="355" t="str">
        <f t="shared" ca="1" si="636"/>
        <v/>
      </c>
      <c r="CG147" s="268"/>
      <c r="CH147" s="268"/>
      <c r="CI147" s="269">
        <f t="shared" ca="1" si="615"/>
        <v>0</v>
      </c>
      <c r="CJ147" s="269">
        <f t="shared" ca="1" si="616"/>
        <v>0</v>
      </c>
      <c r="CK147" s="268"/>
      <c r="CL147" s="268"/>
      <c r="CM147" s="268">
        <f t="shared" ca="1" si="632"/>
        <v>0</v>
      </c>
      <c r="CN147" s="269">
        <f t="shared" ca="1" si="633"/>
        <v>0</v>
      </c>
      <c r="CO147" s="268" t="str">
        <f t="shared" ca="1" si="617"/>
        <v>B</v>
      </c>
      <c r="CP147" s="269" t="b">
        <f t="shared" ca="1" si="631"/>
        <v>1</v>
      </c>
      <c r="CQ147" s="269">
        <f t="shared" si="618"/>
        <v>0</v>
      </c>
      <c r="CR147" s="269">
        <f t="shared" si="619"/>
        <v>0</v>
      </c>
      <c r="CS147" s="269">
        <f t="shared" ca="1" si="620"/>
        <v>0</v>
      </c>
      <c r="CT147" s="302" t="str">
        <f t="shared" ca="1" si="519"/>
        <v>0</v>
      </c>
      <c r="CU147" s="269">
        <f t="shared" ca="1" si="621"/>
        <v>0</v>
      </c>
      <c r="CV147" s="268"/>
      <c r="CW147" s="269">
        <f t="shared" ca="1" si="622"/>
        <v>0</v>
      </c>
      <c r="CX147" s="301">
        <f t="shared" ca="1" si="623"/>
        <v>0</v>
      </c>
      <c r="CY147" s="301">
        <f t="shared" ca="1" si="634"/>
        <v>0</v>
      </c>
      <c r="CZ147" s="301">
        <f t="shared" ca="1" si="624"/>
        <v>0</v>
      </c>
      <c r="DA147" s="301">
        <f t="shared" ca="1" si="524"/>
        <v>0</v>
      </c>
      <c r="DB147" t="str">
        <f ca="1">IF(AND(NOT(AND(ISBLANK($G147),ISBLANK($I147))),IF($O$87="",TRUE,$O$87&lt;4)),"Gesteinskunde 4+",IF(AND(NOT(ISBLANK($F147)),$F147&lt;=$B147),"TaW SE zu klein",""))</f>
        <v/>
      </c>
      <c r="DC147" s="301" t="str">
        <f t="shared" ca="1" si="625"/>
        <v/>
      </c>
      <c r="DD147" s="1337" t="str">
        <f t="shared" ca="1" si="628"/>
        <v/>
      </c>
      <c r="DE147" s="1337" t="str">
        <f t="shared" ca="1" si="629"/>
        <v/>
      </c>
      <c r="DG147" s="269" t="str">
        <f t="shared" ca="1" si="626"/>
        <v>Tabellen_Andere!BA114:BF114</v>
      </c>
      <c r="DH147" s="269" t="str">
        <f t="shared" si="527"/>
        <v>Tabellen_Andere!BA114:BF114</v>
      </c>
      <c r="DI147" s="269" t="str">
        <f ca="1">IF(NOT(ISERR(FIND(A147&amp;" ",Abfragen!$O$264,1))),MID(Abfragen!$O$264,FIND("(",Abfragen!$O$264,FIND(A147,Abfragen!$O$264,1)+LEN(A147))+1,FIND(")",Abfragen!$O$264,FIND(A147,Abfragen!$O$264,1)+LEN(A147))-FIND("(",Abfragen!$O$264,FIND(A147,Abfragen!$O$264,1)+LEN(A147))-1),"")</f>
        <v/>
      </c>
      <c r="DJ147" s="301" t="str">
        <f t="shared" ca="1" si="627"/>
        <v>B</v>
      </c>
      <c r="DK147" s="301" t="str">
        <f t="shared" ca="1" si="627"/>
        <v>B</v>
      </c>
      <c r="DL147" s="301" t="str">
        <f t="shared" ca="1" si="627"/>
        <v>B</v>
      </c>
      <c r="DM147" s="301" t="str">
        <f t="shared" ca="1" si="627"/>
        <v>B</v>
      </c>
      <c r="DN147" s="301" t="str">
        <f t="shared" ca="1" si="627"/>
        <v>B</v>
      </c>
      <c r="DO147" s="301" t="str">
        <f t="shared" ca="1" si="627"/>
        <v>B</v>
      </c>
      <c r="DP147" s="301" t="str">
        <f t="shared" ca="1" si="627"/>
        <v>B</v>
      </c>
      <c r="DQ147" s="301" t="str">
        <f t="shared" ca="1" si="627"/>
        <v>B</v>
      </c>
      <c r="DR147" s="301" t="str">
        <f t="shared" ca="1" si="627"/>
        <v>B</v>
      </c>
      <c r="DS147" s="301" t="str">
        <f t="shared" ca="1" si="627"/>
        <v>B</v>
      </c>
      <c r="DT147" s="301" t="str">
        <f t="shared" ca="1" si="627"/>
        <v>B</v>
      </c>
      <c r="DU147" s="301" t="str">
        <f t="shared" ca="1" si="627"/>
        <v>B</v>
      </c>
      <c r="DV147" s="301" t="str">
        <f t="shared" ca="1" si="627"/>
        <v>B</v>
      </c>
      <c r="DW147" s="301" t="str">
        <f t="shared" ca="1" si="627"/>
        <v>B</v>
      </c>
      <c r="DX147" s="301" t="str">
        <f t="shared" ca="1" si="627"/>
        <v>B</v>
      </c>
      <c r="DY147" s="301" t="str">
        <f t="shared" ca="1" si="627"/>
        <v>B</v>
      </c>
      <c r="DZ147" s="301" t="str">
        <f t="shared" ca="1" si="552"/>
        <v>B</v>
      </c>
      <c r="EA147" s="301" t="str">
        <f t="shared" ca="1" si="552"/>
        <v>B</v>
      </c>
      <c r="EB147" s="301" t="str">
        <f t="shared" ca="1" si="552"/>
        <v>B</v>
      </c>
      <c r="EC147" s="301" t="str">
        <f t="shared" ca="1" si="552"/>
        <v>B</v>
      </c>
      <c r="ED147" s="301" t="str">
        <f t="shared" ca="1" si="552"/>
        <v>B</v>
      </c>
      <c r="EE147" s="301" t="str">
        <f t="shared" ca="1" si="552"/>
        <v>B</v>
      </c>
      <c r="EF147" s="205"/>
      <c r="EG147" s="301" t="str">
        <f t="shared" ref="EG147:EP157" ca="1" si="637">IF(ISERR(FIND(";"&amp;EG$13&amp;":0;",$F147)),
CHAR(CODE($CE147)+SUM(IF(NT_Unstet,1,0),
IF(ISERR(FIND(";"&amp;EG$13&amp;";",$F147)),0,-1),
IF(ISERR(FIND(";"&amp;EG$13&amp;":",$F147)),0,-VALUE(MID($F147,FIND(";"&amp;EG$13&amp;":",$F147)+LEN(EG$13)+2,1))),
IF(ISERR(FIND(";"&amp;EG$13&amp;"+",$F147)),0,VALUE(MID($F147,FIND(";"&amp;EG$13&amp;"+",$F147)+LEN(EG$13)+2,1))))),0)</f>
        <v>B</v>
      </c>
      <c r="EH147" s="301" t="str">
        <f t="shared" ca="1" si="637"/>
        <v>B</v>
      </c>
      <c r="EI147" s="301" t="str">
        <f t="shared" ca="1" si="637"/>
        <v>B</v>
      </c>
      <c r="EJ147" s="301" t="str">
        <f t="shared" ca="1" si="637"/>
        <v>B</v>
      </c>
      <c r="EK147" s="301" t="str">
        <f t="shared" ca="1" si="637"/>
        <v>B</v>
      </c>
      <c r="EL147" s="301" t="str">
        <f t="shared" ca="1" si="637"/>
        <v>B</v>
      </c>
      <c r="EM147" s="301" t="str">
        <f t="shared" ca="1" si="637"/>
        <v>B</v>
      </c>
      <c r="EN147" s="301" t="str">
        <f t="shared" ca="1" si="637"/>
        <v>B</v>
      </c>
      <c r="EO147" s="301" t="str">
        <f t="shared" ca="1" si="637"/>
        <v>B</v>
      </c>
      <c r="EP147" s="301" t="str">
        <f t="shared" ca="1" si="637"/>
        <v>B</v>
      </c>
      <c r="EQ147" s="301" t="str">
        <f t="shared" ref="EQ147:EZ157" ca="1" si="638">IF(ISERR(FIND(";"&amp;EQ$13&amp;":0;",$F147)),
CHAR(CODE($CE147)+SUM(IF(NT_Unstet,1,0),
IF(ISERR(FIND(";"&amp;EQ$13&amp;";",$F147)),0,-1),
IF(ISERR(FIND(";"&amp;EQ$13&amp;":",$F147)),0,-VALUE(MID($F147,FIND(";"&amp;EQ$13&amp;":",$F147)+LEN(EQ$13)+2,1))),
IF(ISERR(FIND(";"&amp;EQ$13&amp;"+",$F147)),0,VALUE(MID($F147,FIND(";"&amp;EQ$13&amp;"+",$F147)+LEN(EQ$13)+2,1))))),0)</f>
        <v>B</v>
      </c>
      <c r="ER147" s="301" t="str">
        <f t="shared" ca="1" si="638"/>
        <v>B</v>
      </c>
      <c r="ES147" s="301" t="str">
        <f t="shared" ca="1" si="638"/>
        <v>B</v>
      </c>
      <c r="ET147" s="301" t="str">
        <f t="shared" ca="1" si="638"/>
        <v>B</v>
      </c>
      <c r="EU147" s="301" t="str">
        <f t="shared" ca="1" si="638"/>
        <v>B</v>
      </c>
      <c r="EV147" s="301" t="str">
        <f t="shared" ca="1" si="638"/>
        <v>B</v>
      </c>
      <c r="EW147" s="301" t="str">
        <f t="shared" ca="1" si="638"/>
        <v>B</v>
      </c>
      <c r="EX147" s="301" t="str">
        <f t="shared" ca="1" si="638"/>
        <v>B</v>
      </c>
      <c r="EY147" s="301" t="str">
        <f t="shared" ca="1" si="638"/>
        <v>B</v>
      </c>
      <c r="EZ147" s="301" t="str">
        <f t="shared" ca="1" si="638"/>
        <v>B</v>
      </c>
      <c r="FA147" s="301" t="str">
        <f t="shared" ref="FA147:FL157" ca="1" si="639">IF(ISERR(FIND(";"&amp;FA$13&amp;":0;",$F147)),
CHAR(CODE($CE147)+SUM(IF(NT_Unstet,1,0),
IF(ISERR(FIND(";"&amp;FA$13&amp;";",$F147)),0,-1),
IF(ISERR(FIND(";"&amp;FA$13&amp;":",$F147)),0,-VALUE(MID($F147,FIND(";"&amp;FA$13&amp;":",$F147)+LEN(FA$13)+2,1))),
IF(ISERR(FIND(";"&amp;FA$13&amp;"+",$F147)),0,VALUE(MID($F147,FIND(";"&amp;FA$13&amp;"+",$F147)+LEN(FA$13)+2,1))))),0)</f>
        <v>B</v>
      </c>
      <c r="FB147" s="301" t="str">
        <f t="shared" ca="1" si="639"/>
        <v>B</v>
      </c>
      <c r="FC147" s="301" t="str">
        <f t="shared" ca="1" si="639"/>
        <v>B</v>
      </c>
      <c r="FD147" s="301" t="str">
        <f t="shared" ca="1" si="639"/>
        <v>B</v>
      </c>
      <c r="FE147" s="301" t="str">
        <f t="shared" ca="1" si="639"/>
        <v>B</v>
      </c>
      <c r="FF147" s="301" t="str">
        <f t="shared" ca="1" si="639"/>
        <v>B</v>
      </c>
      <c r="FG147" s="301" t="str">
        <f t="shared" ca="1" si="639"/>
        <v>B</v>
      </c>
      <c r="FH147" s="301" t="str">
        <f t="shared" ca="1" si="639"/>
        <v>B</v>
      </c>
      <c r="FI147" s="301" t="str">
        <f t="shared" ca="1" si="639"/>
        <v>B</v>
      </c>
      <c r="FJ147" s="301" t="str">
        <f t="shared" ca="1" si="639"/>
        <v>B</v>
      </c>
      <c r="FK147" s="301" t="str">
        <f t="shared" ca="1" si="639"/>
        <v>B</v>
      </c>
      <c r="FL147" s="301" t="str">
        <f t="shared" ca="1" si="639"/>
        <v>B</v>
      </c>
    </row>
    <row r="148" spans="1:168" x14ac:dyDescent="0.2">
      <c r="A148" s="38" t="str">
        <f t="shared" si="533"/>
        <v>Steinschneider/Juwelier</v>
      </c>
      <c r="B148" s="317" t="str">
        <f t="shared" ca="1" si="553"/>
        <v/>
      </c>
      <c r="C148" s="332" t="str">
        <f t="shared" ca="1" si="635"/>
        <v/>
      </c>
      <c r="D148" s="1110"/>
      <c r="E148" s="966"/>
      <c r="F148" s="325"/>
      <c r="G148" s="958"/>
      <c r="H148" s="1196"/>
      <c r="I148" s="326"/>
      <c r="J148" s="1886" t="str">
        <f t="shared" ca="1" si="450"/>
        <v/>
      </c>
      <c r="K148" s="1887"/>
      <c r="L148" s="1887"/>
      <c r="M148" s="1887"/>
      <c r="N148" s="1888"/>
      <c r="O148" s="613" t="str">
        <f t="shared" ca="1" si="554"/>
        <v/>
      </c>
      <c r="P148" s="90"/>
      <c r="Q148" s="25"/>
      <c r="R148" s="1313"/>
      <c r="S148" s="1313"/>
      <c r="T148" s="1315"/>
      <c r="U148" s="1283"/>
      <c r="V148" s="628" t="str">
        <f t="shared" ca="1" si="555"/>
        <v/>
      </c>
      <c r="W148" s="164">
        <f t="shared" ca="1" si="556"/>
        <v>0</v>
      </c>
      <c r="X148" s="164">
        <f t="shared" ca="1" si="557"/>
        <v>0</v>
      </c>
      <c r="Y148" s="164">
        <f t="shared" ca="1" si="558"/>
        <v>0</v>
      </c>
      <c r="Z148" s="164">
        <f t="shared" ca="1" si="559"/>
        <v>0</v>
      </c>
      <c r="AA148" s="164">
        <f t="shared" ca="1" si="560"/>
        <v>0</v>
      </c>
      <c r="AB148" s="164">
        <f t="shared" ca="1" si="561"/>
        <v>0</v>
      </c>
      <c r="AC148" s="164">
        <f t="shared" ca="1" si="562"/>
        <v>0</v>
      </c>
      <c r="AD148" s="164">
        <f t="shared" ca="1" si="563"/>
        <v>0</v>
      </c>
      <c r="AE148" s="164">
        <f t="shared" ca="1" si="564"/>
        <v>0</v>
      </c>
      <c r="AF148" s="164">
        <f t="shared" ca="1" si="565"/>
        <v>0</v>
      </c>
      <c r="AG148" s="164">
        <f t="shared" ca="1" si="566"/>
        <v>0</v>
      </c>
      <c r="AH148" s="164">
        <f t="shared" ca="1" si="567"/>
        <v>0</v>
      </c>
      <c r="AI148" s="164">
        <f t="shared" ca="1" si="568"/>
        <v>0</v>
      </c>
      <c r="AJ148" s="164">
        <f t="shared" ca="1" si="569"/>
        <v>0</v>
      </c>
      <c r="AK148" s="164">
        <f t="shared" ca="1" si="570"/>
        <v>0</v>
      </c>
      <c r="AL148" s="164">
        <f t="shared" ca="1" si="571"/>
        <v>0</v>
      </c>
      <c r="AM148" s="164">
        <f t="shared" ca="1" si="572"/>
        <v>0</v>
      </c>
      <c r="AN148" s="164">
        <f t="shared" ca="1" si="573"/>
        <v>0</v>
      </c>
      <c r="AO148" s="164">
        <f t="shared" ca="1" si="574"/>
        <v>0</v>
      </c>
      <c r="AP148" s="164">
        <f t="shared" ca="1" si="575"/>
        <v>0</v>
      </c>
      <c r="AQ148" s="164">
        <f t="shared" ca="1" si="576"/>
        <v>0</v>
      </c>
      <c r="AR148" s="164">
        <f t="shared" ca="1" si="577"/>
        <v>0</v>
      </c>
      <c r="AS148" s="195"/>
      <c r="AT148" s="154">
        <f t="shared" ca="1" si="578"/>
        <v>0</v>
      </c>
      <c r="AU148" s="154">
        <f t="shared" ca="1" si="579"/>
        <v>0</v>
      </c>
      <c r="AV148" s="154">
        <f t="shared" ca="1" si="580"/>
        <v>0</v>
      </c>
      <c r="AW148" s="154">
        <f t="shared" ca="1" si="581"/>
        <v>0</v>
      </c>
      <c r="AX148" s="154">
        <f t="shared" ca="1" si="582"/>
        <v>0</v>
      </c>
      <c r="AY148" s="154">
        <f t="shared" ca="1" si="583"/>
        <v>0</v>
      </c>
      <c r="AZ148" s="154">
        <f t="shared" ca="1" si="584"/>
        <v>0</v>
      </c>
      <c r="BA148" s="154">
        <f t="shared" ca="1" si="585"/>
        <v>0</v>
      </c>
      <c r="BB148" s="154">
        <f t="shared" ca="1" si="586"/>
        <v>0</v>
      </c>
      <c r="BC148" s="154">
        <f t="shared" ca="1" si="587"/>
        <v>0</v>
      </c>
      <c r="BD148" s="154">
        <f t="shared" ca="1" si="588"/>
        <v>0</v>
      </c>
      <c r="BE148" s="154">
        <f t="shared" ca="1" si="589"/>
        <v>0</v>
      </c>
      <c r="BF148" s="154">
        <f t="shared" ca="1" si="590"/>
        <v>0</v>
      </c>
      <c r="BG148" s="154">
        <f t="shared" ca="1" si="591"/>
        <v>0</v>
      </c>
      <c r="BH148" s="154">
        <f t="shared" ca="1" si="592"/>
        <v>0</v>
      </c>
      <c r="BI148" s="154">
        <f t="shared" ca="1" si="593"/>
        <v>0</v>
      </c>
      <c r="BJ148" s="154">
        <f t="shared" ca="1" si="594"/>
        <v>0</v>
      </c>
      <c r="BK148" s="154">
        <f t="shared" ca="1" si="595"/>
        <v>0</v>
      </c>
      <c r="BL148" s="154">
        <f t="shared" ca="1" si="596"/>
        <v>0</v>
      </c>
      <c r="BM148" s="154">
        <f t="shared" ca="1" si="597"/>
        <v>0</v>
      </c>
      <c r="BN148" s="154">
        <f t="shared" ca="1" si="598"/>
        <v>0</v>
      </c>
      <c r="BO148" s="154">
        <f t="shared" ca="1" si="599"/>
        <v>0</v>
      </c>
      <c r="BP148" s="154">
        <f t="shared" ca="1" si="600"/>
        <v>0</v>
      </c>
      <c r="BQ148" s="154">
        <f t="shared" ca="1" si="601"/>
        <v>0</v>
      </c>
      <c r="BR148" s="154">
        <f t="shared" ca="1" si="602"/>
        <v>0</v>
      </c>
      <c r="BS148" s="154">
        <f t="shared" ca="1" si="603"/>
        <v>0</v>
      </c>
      <c r="BT148" s="154">
        <f t="shared" ca="1" si="604"/>
        <v>0</v>
      </c>
      <c r="BU148" s="154">
        <f t="shared" ca="1" si="605"/>
        <v>0</v>
      </c>
      <c r="BV148" s="154">
        <f t="shared" ca="1" si="606"/>
        <v>0</v>
      </c>
      <c r="BW148" s="154">
        <f t="shared" ca="1" si="607"/>
        <v>0</v>
      </c>
      <c r="BX148" s="154">
        <f t="shared" ca="1" si="608"/>
        <v>0</v>
      </c>
      <c r="BY148" s="154">
        <f t="shared" ca="1" si="609"/>
        <v>0</v>
      </c>
      <c r="BZ148" s="154">
        <f t="shared" si="610"/>
        <v>0</v>
      </c>
      <c r="CA148" s="154">
        <f t="shared" si="611"/>
        <v>0</v>
      </c>
      <c r="CB148" s="154">
        <f t="shared" ca="1" si="612"/>
        <v>0</v>
      </c>
      <c r="CC148" s="523"/>
      <c r="CD148" s="355">
        <f t="shared" si="613"/>
        <v>172</v>
      </c>
      <c r="CE148" s="751" t="str">
        <f t="shared" ca="1" si="614"/>
        <v>B</v>
      </c>
      <c r="CF148" s="355" t="str">
        <f t="shared" ca="1" si="636"/>
        <v/>
      </c>
      <c r="CG148" s="268"/>
      <c r="CH148" s="268"/>
      <c r="CI148" s="269">
        <f t="shared" ca="1" si="615"/>
        <v>0</v>
      </c>
      <c r="CJ148" s="269">
        <f t="shared" ca="1" si="616"/>
        <v>0</v>
      </c>
      <c r="CK148" s="268"/>
      <c r="CL148" s="268"/>
      <c r="CM148" s="268">
        <f t="shared" ca="1" si="632"/>
        <v>0</v>
      </c>
      <c r="CN148" s="269">
        <f t="shared" ca="1" si="633"/>
        <v>0</v>
      </c>
      <c r="CO148" s="268" t="str">
        <f t="shared" ca="1" si="617"/>
        <v>B</v>
      </c>
      <c r="CP148" s="269" t="b">
        <f t="shared" ca="1" si="631"/>
        <v>1</v>
      </c>
      <c r="CQ148" s="269">
        <f t="shared" si="618"/>
        <v>0</v>
      </c>
      <c r="CR148" s="269">
        <f t="shared" si="619"/>
        <v>0</v>
      </c>
      <c r="CS148" s="269">
        <f t="shared" ca="1" si="620"/>
        <v>0</v>
      </c>
      <c r="CT148" s="302" t="str">
        <f t="shared" ca="1" si="519"/>
        <v>0</v>
      </c>
      <c r="CU148" s="269">
        <f t="shared" ca="1" si="621"/>
        <v>0</v>
      </c>
      <c r="CV148" s="268"/>
      <c r="CW148" s="269">
        <f t="shared" ca="1" si="622"/>
        <v>0</v>
      </c>
      <c r="CX148" s="301">
        <f t="shared" ca="1" si="623"/>
        <v>0</v>
      </c>
      <c r="CY148" s="301">
        <f t="shared" ca="1" si="634"/>
        <v>0</v>
      </c>
      <c r="CZ148" s="301">
        <f t="shared" ca="1" si="624"/>
        <v>0</v>
      </c>
      <c r="DA148" s="301">
        <f t="shared" ca="1" si="524"/>
        <v>0</v>
      </c>
      <c r="DB148" t="str">
        <f ca="1">IF(AND(NOT(AND(ISBLANK($G148),ISBLANK($I148))),IF($O$87="",TRUE,$O$87&lt;4),SUM(B148,G148,I148)&gt;=10),"Gesteinskunde 4+",IF(AND(NOT(ISBLANK($F148)),$F148&lt;=$B148),"TaW SE zu klein",""))</f>
        <v/>
      </c>
      <c r="DC148" s="301" t="str">
        <f t="shared" ca="1" si="625"/>
        <v/>
      </c>
      <c r="DD148" s="1337" t="str">
        <f t="shared" ca="1" si="628"/>
        <v/>
      </c>
      <c r="DE148" s="1337" t="str">
        <f t="shared" ca="1" si="629"/>
        <v/>
      </c>
      <c r="DG148" s="269" t="str">
        <f t="shared" ca="1" si="626"/>
        <v>Tabellen_Andere!BA115:BF115</v>
      </c>
      <c r="DH148" s="269" t="str">
        <f t="shared" si="527"/>
        <v>Tabellen_Andere!BA115:BF115</v>
      </c>
      <c r="DI148" s="269" t="str">
        <f ca="1">IF(NOT(ISERR(FIND(A148&amp;" ",Abfragen!$O$264,1))),MID(Abfragen!$O$264,FIND("(",Abfragen!$O$264,FIND(A148,Abfragen!$O$264,1)+LEN(A148))+1,FIND(")",Abfragen!$O$264,FIND(A148,Abfragen!$O$264,1)+LEN(A148))-FIND("(",Abfragen!$O$264,FIND(A148,Abfragen!$O$264,1)+LEN(A148))-1),"")</f>
        <v/>
      </c>
      <c r="DJ148" s="301" t="str">
        <f t="shared" ca="1" si="627"/>
        <v>B</v>
      </c>
      <c r="DK148" s="301" t="str">
        <f t="shared" ca="1" si="627"/>
        <v>B</v>
      </c>
      <c r="DL148" s="301" t="str">
        <f t="shared" ca="1" si="627"/>
        <v>B</v>
      </c>
      <c r="DM148" s="301" t="str">
        <f t="shared" ca="1" si="627"/>
        <v>B</v>
      </c>
      <c r="DN148" s="301" t="str">
        <f t="shared" ca="1" si="627"/>
        <v>B</v>
      </c>
      <c r="DO148" s="301" t="str">
        <f t="shared" ca="1" si="627"/>
        <v>B</v>
      </c>
      <c r="DP148" s="301" t="str">
        <f t="shared" ca="1" si="627"/>
        <v>B</v>
      </c>
      <c r="DQ148" s="301" t="str">
        <f t="shared" ca="1" si="627"/>
        <v>B</v>
      </c>
      <c r="DR148" s="301" t="str">
        <f t="shared" ca="1" si="627"/>
        <v>B</v>
      </c>
      <c r="DS148" s="301" t="str">
        <f t="shared" ca="1" si="627"/>
        <v>B</v>
      </c>
      <c r="DT148" s="301" t="str">
        <f t="shared" ca="1" si="627"/>
        <v>B</v>
      </c>
      <c r="DU148" s="301" t="str">
        <f t="shared" ca="1" si="627"/>
        <v>B</v>
      </c>
      <c r="DV148" s="301" t="str">
        <f t="shared" ca="1" si="627"/>
        <v>B</v>
      </c>
      <c r="DW148" s="301" t="str">
        <f t="shared" ca="1" si="627"/>
        <v>B</v>
      </c>
      <c r="DX148" s="301" t="str">
        <f t="shared" ca="1" si="627"/>
        <v>B</v>
      </c>
      <c r="DY148" s="301" t="str">
        <f t="shared" ca="1" si="627"/>
        <v>B</v>
      </c>
      <c r="DZ148" s="301" t="str">
        <f t="shared" ca="1" si="552"/>
        <v>B</v>
      </c>
      <c r="EA148" s="301" t="str">
        <f t="shared" ca="1" si="552"/>
        <v>B</v>
      </c>
      <c r="EB148" s="301" t="str">
        <f t="shared" ca="1" si="552"/>
        <v>B</v>
      </c>
      <c r="EC148" s="301" t="str">
        <f t="shared" ca="1" si="552"/>
        <v>B</v>
      </c>
      <c r="ED148" s="301" t="str">
        <f t="shared" ca="1" si="552"/>
        <v>B</v>
      </c>
      <c r="EE148" s="301" t="str">
        <f t="shared" ca="1" si="552"/>
        <v>B</v>
      </c>
      <c r="EF148" s="205"/>
      <c r="EG148" s="301" t="str">
        <f t="shared" ca="1" si="637"/>
        <v>B</v>
      </c>
      <c r="EH148" s="301" t="str">
        <f t="shared" ca="1" si="637"/>
        <v>B</v>
      </c>
      <c r="EI148" s="301" t="str">
        <f t="shared" ca="1" si="637"/>
        <v>B</v>
      </c>
      <c r="EJ148" s="301" t="str">
        <f t="shared" ca="1" si="637"/>
        <v>B</v>
      </c>
      <c r="EK148" s="301" t="str">
        <f t="shared" ca="1" si="637"/>
        <v>B</v>
      </c>
      <c r="EL148" s="301" t="str">
        <f t="shared" ca="1" si="637"/>
        <v>B</v>
      </c>
      <c r="EM148" s="301" t="str">
        <f t="shared" ca="1" si="637"/>
        <v>B</v>
      </c>
      <c r="EN148" s="301" t="str">
        <f t="shared" ca="1" si="637"/>
        <v>B</v>
      </c>
      <c r="EO148" s="301" t="str">
        <f t="shared" ca="1" si="637"/>
        <v>B</v>
      </c>
      <c r="EP148" s="301" t="str">
        <f t="shared" ca="1" si="637"/>
        <v>B</v>
      </c>
      <c r="EQ148" s="301" t="str">
        <f t="shared" ca="1" si="638"/>
        <v>B</v>
      </c>
      <c r="ER148" s="301" t="str">
        <f t="shared" ca="1" si="638"/>
        <v>B</v>
      </c>
      <c r="ES148" s="301" t="str">
        <f t="shared" ca="1" si="638"/>
        <v>B</v>
      </c>
      <c r="ET148" s="301" t="str">
        <f t="shared" ca="1" si="638"/>
        <v>B</v>
      </c>
      <c r="EU148" s="301" t="str">
        <f t="shared" ca="1" si="638"/>
        <v>B</v>
      </c>
      <c r="EV148" s="301" t="str">
        <f t="shared" ca="1" si="638"/>
        <v>B</v>
      </c>
      <c r="EW148" s="301" t="str">
        <f t="shared" ca="1" si="638"/>
        <v>B</v>
      </c>
      <c r="EX148" s="301" t="str">
        <f t="shared" ca="1" si="638"/>
        <v>B</v>
      </c>
      <c r="EY148" s="301" t="str">
        <f t="shared" ca="1" si="638"/>
        <v>B</v>
      </c>
      <c r="EZ148" s="301" t="str">
        <f t="shared" ca="1" si="638"/>
        <v>B</v>
      </c>
      <c r="FA148" s="301" t="str">
        <f t="shared" ca="1" si="639"/>
        <v>B</v>
      </c>
      <c r="FB148" s="301" t="str">
        <f t="shared" ca="1" si="639"/>
        <v>B</v>
      </c>
      <c r="FC148" s="301" t="str">
        <f t="shared" ca="1" si="639"/>
        <v>B</v>
      </c>
      <c r="FD148" s="301" t="str">
        <f t="shared" ca="1" si="639"/>
        <v>B</v>
      </c>
      <c r="FE148" s="301" t="str">
        <f t="shared" ca="1" si="639"/>
        <v>B</v>
      </c>
      <c r="FF148" s="301" t="str">
        <f t="shared" ca="1" si="639"/>
        <v>B</v>
      </c>
      <c r="FG148" s="301" t="str">
        <f t="shared" ca="1" si="639"/>
        <v>B</v>
      </c>
      <c r="FH148" s="301" t="str">
        <f t="shared" ca="1" si="639"/>
        <v>B</v>
      </c>
      <c r="FI148" s="301" t="str">
        <f t="shared" ca="1" si="639"/>
        <v>B</v>
      </c>
      <c r="FJ148" s="301" t="str">
        <f t="shared" ca="1" si="639"/>
        <v>B</v>
      </c>
      <c r="FK148" s="301" t="str">
        <f t="shared" ca="1" si="639"/>
        <v>B</v>
      </c>
      <c r="FL148" s="301" t="str">
        <f t="shared" ca="1" si="639"/>
        <v>B</v>
      </c>
    </row>
    <row r="149" spans="1:168" x14ac:dyDescent="0.2">
      <c r="A149" s="38" t="str">
        <f t="shared" si="533"/>
        <v>Stellmacher</v>
      </c>
      <c r="B149" s="317" t="str">
        <f t="shared" ca="1" si="553"/>
        <v/>
      </c>
      <c r="C149" s="332" t="str">
        <f t="shared" ca="1" si="635"/>
        <v/>
      </c>
      <c r="D149" s="1110"/>
      <c r="E149" s="966"/>
      <c r="F149" s="325"/>
      <c r="G149" s="958"/>
      <c r="H149" s="1196"/>
      <c r="I149" s="326"/>
      <c r="J149" s="1886" t="str">
        <f t="shared" ca="1" si="450"/>
        <v/>
      </c>
      <c r="K149" s="1887"/>
      <c r="L149" s="1887"/>
      <c r="M149" s="1887"/>
      <c r="N149" s="1888"/>
      <c r="O149" s="613" t="str">
        <f t="shared" ca="1" si="554"/>
        <v/>
      </c>
      <c r="P149" s="90"/>
      <c r="Q149" s="25"/>
      <c r="R149" s="1313"/>
      <c r="S149" s="1313"/>
      <c r="T149" s="1315"/>
      <c r="U149" s="1283"/>
      <c r="V149" s="628" t="str">
        <f t="shared" ca="1" si="555"/>
        <v/>
      </c>
      <c r="W149" s="164">
        <f t="shared" ca="1" si="556"/>
        <v>0</v>
      </c>
      <c r="X149" s="164">
        <f t="shared" ca="1" si="557"/>
        <v>0</v>
      </c>
      <c r="Y149" s="164">
        <f t="shared" ca="1" si="558"/>
        <v>0</v>
      </c>
      <c r="Z149" s="164">
        <f t="shared" ca="1" si="559"/>
        <v>0</v>
      </c>
      <c r="AA149" s="164">
        <f t="shared" ca="1" si="560"/>
        <v>0</v>
      </c>
      <c r="AB149" s="164">
        <f t="shared" ca="1" si="561"/>
        <v>0</v>
      </c>
      <c r="AC149" s="164">
        <f t="shared" ca="1" si="562"/>
        <v>0</v>
      </c>
      <c r="AD149" s="164">
        <f t="shared" ca="1" si="563"/>
        <v>0</v>
      </c>
      <c r="AE149" s="164">
        <f t="shared" ca="1" si="564"/>
        <v>0</v>
      </c>
      <c r="AF149" s="164">
        <f t="shared" ca="1" si="565"/>
        <v>0</v>
      </c>
      <c r="AG149" s="164">
        <f t="shared" ca="1" si="566"/>
        <v>0</v>
      </c>
      <c r="AH149" s="164">
        <f t="shared" ca="1" si="567"/>
        <v>0</v>
      </c>
      <c r="AI149" s="164">
        <f t="shared" ca="1" si="568"/>
        <v>0</v>
      </c>
      <c r="AJ149" s="164">
        <f t="shared" ca="1" si="569"/>
        <v>0</v>
      </c>
      <c r="AK149" s="164">
        <f t="shared" ca="1" si="570"/>
        <v>0</v>
      </c>
      <c r="AL149" s="164">
        <f t="shared" ca="1" si="571"/>
        <v>0</v>
      </c>
      <c r="AM149" s="164">
        <f t="shared" ca="1" si="572"/>
        <v>0</v>
      </c>
      <c r="AN149" s="164">
        <f t="shared" ca="1" si="573"/>
        <v>0</v>
      </c>
      <c r="AO149" s="164">
        <f t="shared" ca="1" si="574"/>
        <v>0</v>
      </c>
      <c r="AP149" s="164">
        <f t="shared" ca="1" si="575"/>
        <v>0</v>
      </c>
      <c r="AQ149" s="164">
        <f t="shared" ca="1" si="576"/>
        <v>0</v>
      </c>
      <c r="AR149" s="164">
        <f t="shared" ca="1" si="577"/>
        <v>0</v>
      </c>
      <c r="AS149" s="195"/>
      <c r="AT149" s="154">
        <f t="shared" ca="1" si="578"/>
        <v>0</v>
      </c>
      <c r="AU149" s="154">
        <f t="shared" ca="1" si="579"/>
        <v>0</v>
      </c>
      <c r="AV149" s="154">
        <f t="shared" ca="1" si="580"/>
        <v>0</v>
      </c>
      <c r="AW149" s="154">
        <f t="shared" ca="1" si="581"/>
        <v>0</v>
      </c>
      <c r="AX149" s="154">
        <f t="shared" ca="1" si="582"/>
        <v>0</v>
      </c>
      <c r="AY149" s="154">
        <f t="shared" ca="1" si="583"/>
        <v>0</v>
      </c>
      <c r="AZ149" s="154">
        <f t="shared" ca="1" si="584"/>
        <v>0</v>
      </c>
      <c r="BA149" s="154">
        <f t="shared" ca="1" si="585"/>
        <v>0</v>
      </c>
      <c r="BB149" s="154">
        <f t="shared" ca="1" si="586"/>
        <v>0</v>
      </c>
      <c r="BC149" s="154">
        <f t="shared" ca="1" si="587"/>
        <v>0</v>
      </c>
      <c r="BD149" s="154">
        <f t="shared" ca="1" si="588"/>
        <v>0</v>
      </c>
      <c r="BE149" s="154">
        <f t="shared" ca="1" si="589"/>
        <v>0</v>
      </c>
      <c r="BF149" s="154">
        <f t="shared" ca="1" si="590"/>
        <v>0</v>
      </c>
      <c r="BG149" s="154">
        <f t="shared" ca="1" si="591"/>
        <v>0</v>
      </c>
      <c r="BH149" s="154">
        <f t="shared" ca="1" si="592"/>
        <v>0</v>
      </c>
      <c r="BI149" s="154">
        <f t="shared" ca="1" si="593"/>
        <v>0</v>
      </c>
      <c r="BJ149" s="154">
        <f t="shared" ca="1" si="594"/>
        <v>0</v>
      </c>
      <c r="BK149" s="154">
        <f t="shared" ca="1" si="595"/>
        <v>0</v>
      </c>
      <c r="BL149" s="154">
        <f t="shared" ca="1" si="596"/>
        <v>0</v>
      </c>
      <c r="BM149" s="154">
        <f t="shared" ca="1" si="597"/>
        <v>0</v>
      </c>
      <c r="BN149" s="154">
        <f t="shared" ca="1" si="598"/>
        <v>0</v>
      </c>
      <c r="BO149" s="154">
        <f t="shared" ca="1" si="599"/>
        <v>0</v>
      </c>
      <c r="BP149" s="154">
        <f t="shared" ca="1" si="600"/>
        <v>0</v>
      </c>
      <c r="BQ149" s="154">
        <f t="shared" ca="1" si="601"/>
        <v>0</v>
      </c>
      <c r="BR149" s="154">
        <f t="shared" ca="1" si="602"/>
        <v>0</v>
      </c>
      <c r="BS149" s="154">
        <f t="shared" ca="1" si="603"/>
        <v>0</v>
      </c>
      <c r="BT149" s="154">
        <f t="shared" ca="1" si="604"/>
        <v>0</v>
      </c>
      <c r="BU149" s="154">
        <f t="shared" ca="1" si="605"/>
        <v>0</v>
      </c>
      <c r="BV149" s="154">
        <f t="shared" ca="1" si="606"/>
        <v>0</v>
      </c>
      <c r="BW149" s="154">
        <f t="shared" ca="1" si="607"/>
        <v>0</v>
      </c>
      <c r="BX149" s="154">
        <f t="shared" ca="1" si="608"/>
        <v>0</v>
      </c>
      <c r="BY149" s="154">
        <f t="shared" ca="1" si="609"/>
        <v>0</v>
      </c>
      <c r="BZ149" s="154">
        <f t="shared" si="610"/>
        <v>0</v>
      </c>
      <c r="CA149" s="154">
        <f t="shared" si="611"/>
        <v>0</v>
      </c>
      <c r="CB149" s="154">
        <f t="shared" ca="1" si="612"/>
        <v>0</v>
      </c>
      <c r="CC149" s="523"/>
      <c r="CD149" s="355">
        <f t="shared" si="613"/>
        <v>173</v>
      </c>
      <c r="CE149" s="751" t="str">
        <f t="shared" ca="1" si="614"/>
        <v>B</v>
      </c>
      <c r="CF149" s="355" t="str">
        <f t="shared" ca="1" si="636"/>
        <v/>
      </c>
      <c r="CG149" s="268"/>
      <c r="CH149" s="268"/>
      <c r="CI149" s="269">
        <f t="shared" ca="1" si="615"/>
        <v>0</v>
      </c>
      <c r="CJ149" s="269">
        <f t="shared" ca="1" si="616"/>
        <v>0</v>
      </c>
      <c r="CK149" s="268"/>
      <c r="CL149" s="268"/>
      <c r="CM149" s="268">
        <f t="shared" ca="1" si="632"/>
        <v>0</v>
      </c>
      <c r="CN149" s="269">
        <f t="shared" ca="1" si="633"/>
        <v>0</v>
      </c>
      <c r="CO149" s="268" t="str">
        <f t="shared" ca="1" si="617"/>
        <v>B</v>
      </c>
      <c r="CP149" s="269" t="b">
        <f t="shared" ca="1" si="631"/>
        <v>1</v>
      </c>
      <c r="CQ149" s="269">
        <f t="shared" si="618"/>
        <v>0</v>
      </c>
      <c r="CR149" s="269">
        <f t="shared" si="619"/>
        <v>0</v>
      </c>
      <c r="CS149" s="269">
        <f t="shared" ca="1" si="620"/>
        <v>0</v>
      </c>
      <c r="CT149" s="302" t="str">
        <f t="shared" ca="1" si="519"/>
        <v>0</v>
      </c>
      <c r="CU149" s="269">
        <f t="shared" ca="1" si="621"/>
        <v>0</v>
      </c>
      <c r="CV149" s="268"/>
      <c r="CW149" s="269">
        <f t="shared" ca="1" si="622"/>
        <v>0</v>
      </c>
      <c r="CX149" s="301">
        <f t="shared" ca="1" si="623"/>
        <v>0</v>
      </c>
      <c r="CY149" s="301">
        <f t="shared" ca="1" si="634"/>
        <v>0</v>
      </c>
      <c r="CZ149" s="301">
        <f t="shared" ca="1" si="624"/>
        <v>0</v>
      </c>
      <c r="DA149" s="301">
        <f t="shared" ca="1" si="524"/>
        <v>0</v>
      </c>
      <c r="DB149" t="str">
        <f ca="1">IF(AND(NOT(AND(ISBLANK($G149),ISBLANK($I149))),OR($O$130&lt;4,$O$137&lt;4,IF($O$123="",TRUE,$O$123&lt;4))),"Holz- &amp; Lederbearbeitung &amp; Grobschmied 4+",IF(AND(NOT(ISBLANK($F149)),$F149&lt;=$B149),"TaW SE zu klein",""))</f>
        <v/>
      </c>
      <c r="DC149" s="301" t="str">
        <f t="shared" ca="1" si="625"/>
        <v/>
      </c>
      <c r="DD149" s="1337" t="str">
        <f t="shared" ca="1" si="628"/>
        <v/>
      </c>
      <c r="DE149" s="1337" t="str">
        <f t="shared" ca="1" si="629"/>
        <v/>
      </c>
      <c r="DG149" s="269" t="str">
        <f t="shared" ca="1" si="626"/>
        <v>Tabellen_Andere!BA116:BF116</v>
      </c>
      <c r="DH149" s="269" t="str">
        <f t="shared" si="527"/>
        <v>Tabellen_Andere!BA116:BF116</v>
      </c>
      <c r="DI149" s="269" t="str">
        <f ca="1">IF(NOT(ISERR(FIND(A149&amp;" ",Abfragen!$O$264,1))),MID(Abfragen!$O$264,FIND("(",Abfragen!$O$264,FIND(A149,Abfragen!$O$264,1)+LEN(A149))+1,FIND(")",Abfragen!$O$264,FIND(A149,Abfragen!$O$264,1)+LEN(A149))-FIND("(",Abfragen!$O$264,FIND(A149,Abfragen!$O$264,1)+LEN(A149))-1),"")</f>
        <v/>
      </c>
      <c r="DJ149" s="301" t="str">
        <f t="shared" ca="1" si="627"/>
        <v>B</v>
      </c>
      <c r="DK149" s="301" t="str">
        <f t="shared" ca="1" si="627"/>
        <v>B</v>
      </c>
      <c r="DL149" s="301" t="str">
        <f t="shared" ca="1" si="627"/>
        <v>B</v>
      </c>
      <c r="DM149" s="301" t="str">
        <f t="shared" ca="1" si="627"/>
        <v>B</v>
      </c>
      <c r="DN149" s="301" t="str">
        <f t="shared" ca="1" si="627"/>
        <v>B</v>
      </c>
      <c r="DO149" s="301" t="str">
        <f t="shared" ca="1" si="627"/>
        <v>B</v>
      </c>
      <c r="DP149" s="301" t="str">
        <f t="shared" ca="1" si="627"/>
        <v>B</v>
      </c>
      <c r="DQ149" s="301" t="str">
        <f t="shared" ca="1" si="627"/>
        <v>B</v>
      </c>
      <c r="DR149" s="301" t="str">
        <f t="shared" ca="1" si="627"/>
        <v>B</v>
      </c>
      <c r="DS149" s="301" t="str">
        <f t="shared" ca="1" si="627"/>
        <v>B</v>
      </c>
      <c r="DT149" s="301" t="str">
        <f t="shared" ca="1" si="627"/>
        <v>B</v>
      </c>
      <c r="DU149" s="301" t="str">
        <f t="shared" ca="1" si="627"/>
        <v>B</v>
      </c>
      <c r="DV149" s="301" t="str">
        <f t="shared" ca="1" si="627"/>
        <v>B</v>
      </c>
      <c r="DW149" s="301" t="str">
        <f t="shared" ca="1" si="627"/>
        <v>B</v>
      </c>
      <c r="DX149" s="301" t="str">
        <f t="shared" ca="1" si="627"/>
        <v>B</v>
      </c>
      <c r="DY149" s="301" t="str">
        <f t="shared" ca="1" si="627"/>
        <v>B</v>
      </c>
      <c r="DZ149" s="301" t="str">
        <f t="shared" ca="1" si="552"/>
        <v>B</v>
      </c>
      <c r="EA149" s="301" t="str">
        <f t="shared" ca="1" si="552"/>
        <v>B</v>
      </c>
      <c r="EB149" s="301" t="str">
        <f t="shared" ca="1" si="552"/>
        <v>B</v>
      </c>
      <c r="EC149" s="301" t="str">
        <f t="shared" ca="1" si="552"/>
        <v>B</v>
      </c>
      <c r="ED149" s="301" t="str">
        <f t="shared" ca="1" si="552"/>
        <v>B</v>
      </c>
      <c r="EE149" s="301" t="str">
        <f t="shared" ca="1" si="552"/>
        <v>B</v>
      </c>
      <c r="EF149" s="205"/>
      <c r="EG149" s="301" t="str">
        <f t="shared" ca="1" si="637"/>
        <v>B</v>
      </c>
      <c r="EH149" s="301" t="str">
        <f t="shared" ca="1" si="637"/>
        <v>B</v>
      </c>
      <c r="EI149" s="301" t="str">
        <f t="shared" ca="1" si="637"/>
        <v>B</v>
      </c>
      <c r="EJ149" s="301" t="str">
        <f t="shared" ca="1" si="637"/>
        <v>B</v>
      </c>
      <c r="EK149" s="301" t="str">
        <f t="shared" ca="1" si="637"/>
        <v>B</v>
      </c>
      <c r="EL149" s="301" t="str">
        <f t="shared" ca="1" si="637"/>
        <v>B</v>
      </c>
      <c r="EM149" s="301" t="str">
        <f t="shared" ca="1" si="637"/>
        <v>B</v>
      </c>
      <c r="EN149" s="301" t="str">
        <f t="shared" ca="1" si="637"/>
        <v>B</v>
      </c>
      <c r="EO149" s="301" t="str">
        <f t="shared" ca="1" si="637"/>
        <v>B</v>
      </c>
      <c r="EP149" s="301" t="str">
        <f t="shared" ca="1" si="637"/>
        <v>B</v>
      </c>
      <c r="EQ149" s="301" t="str">
        <f t="shared" ca="1" si="638"/>
        <v>B</v>
      </c>
      <c r="ER149" s="301" t="str">
        <f t="shared" ca="1" si="638"/>
        <v>B</v>
      </c>
      <c r="ES149" s="301" t="str">
        <f t="shared" ca="1" si="638"/>
        <v>B</v>
      </c>
      <c r="ET149" s="301" t="str">
        <f t="shared" ca="1" si="638"/>
        <v>B</v>
      </c>
      <c r="EU149" s="301" t="str">
        <f t="shared" ca="1" si="638"/>
        <v>B</v>
      </c>
      <c r="EV149" s="301" t="str">
        <f t="shared" ca="1" si="638"/>
        <v>B</v>
      </c>
      <c r="EW149" s="301" t="str">
        <f t="shared" ca="1" si="638"/>
        <v>B</v>
      </c>
      <c r="EX149" s="301" t="str">
        <f t="shared" ca="1" si="638"/>
        <v>B</v>
      </c>
      <c r="EY149" s="301" t="str">
        <f t="shared" ca="1" si="638"/>
        <v>B</v>
      </c>
      <c r="EZ149" s="301" t="str">
        <f t="shared" ca="1" si="638"/>
        <v>B</v>
      </c>
      <c r="FA149" s="301" t="str">
        <f t="shared" ca="1" si="639"/>
        <v>B</v>
      </c>
      <c r="FB149" s="301" t="str">
        <f t="shared" ca="1" si="639"/>
        <v>B</v>
      </c>
      <c r="FC149" s="301" t="str">
        <f t="shared" ca="1" si="639"/>
        <v>B</v>
      </c>
      <c r="FD149" s="301" t="str">
        <f t="shared" ca="1" si="639"/>
        <v>B</v>
      </c>
      <c r="FE149" s="301" t="str">
        <f t="shared" ca="1" si="639"/>
        <v>B</v>
      </c>
      <c r="FF149" s="301" t="str">
        <f t="shared" ca="1" si="639"/>
        <v>B</v>
      </c>
      <c r="FG149" s="301" t="str">
        <f t="shared" ca="1" si="639"/>
        <v>B</v>
      </c>
      <c r="FH149" s="301" t="str">
        <f t="shared" ca="1" si="639"/>
        <v>B</v>
      </c>
      <c r="FI149" s="301" t="str">
        <f t="shared" ca="1" si="639"/>
        <v>B</v>
      </c>
      <c r="FJ149" s="301" t="str">
        <f t="shared" ca="1" si="639"/>
        <v>B</v>
      </c>
      <c r="FK149" s="301" t="str">
        <f t="shared" ca="1" si="639"/>
        <v>B</v>
      </c>
      <c r="FL149" s="301" t="str">
        <f t="shared" ca="1" si="639"/>
        <v>B</v>
      </c>
    </row>
    <row r="150" spans="1:168" x14ac:dyDescent="0.2">
      <c r="A150" s="1530" t="str">
        <f t="shared" si="533"/>
        <v>Steuermann</v>
      </c>
      <c r="B150" s="317" t="str">
        <f t="shared" ca="1" si="553"/>
        <v/>
      </c>
      <c r="C150" s="332" t="str">
        <f t="shared" ca="1" si="635"/>
        <v/>
      </c>
      <c r="D150" s="1110"/>
      <c r="E150" s="966"/>
      <c r="F150" s="325"/>
      <c r="G150" s="958"/>
      <c r="H150" s="1196"/>
      <c r="I150" s="326"/>
      <c r="J150" s="1886" t="str">
        <f t="shared" ca="1" si="450"/>
        <v/>
      </c>
      <c r="K150" s="1887"/>
      <c r="L150" s="1887"/>
      <c r="M150" s="1887"/>
      <c r="N150" s="1888"/>
      <c r="O150" s="613" t="str">
        <f t="shared" ca="1" si="554"/>
        <v/>
      </c>
      <c r="P150" s="90"/>
      <c r="Q150" s="25"/>
      <c r="R150" s="1313"/>
      <c r="S150" s="1313"/>
      <c r="T150" s="1315"/>
      <c r="U150" s="1283"/>
      <c r="V150" s="628" t="str">
        <f t="shared" ca="1" si="555"/>
        <v/>
      </c>
      <c r="W150" s="164">
        <f t="shared" ca="1" si="556"/>
        <v>0</v>
      </c>
      <c r="X150" s="164">
        <f t="shared" ca="1" si="557"/>
        <v>0</v>
      </c>
      <c r="Y150" s="164">
        <f t="shared" ca="1" si="558"/>
        <v>0</v>
      </c>
      <c r="Z150" s="164">
        <f t="shared" ca="1" si="559"/>
        <v>0</v>
      </c>
      <c r="AA150" s="164">
        <f t="shared" ca="1" si="560"/>
        <v>0</v>
      </c>
      <c r="AB150" s="164">
        <f t="shared" ca="1" si="561"/>
        <v>0</v>
      </c>
      <c r="AC150" s="164">
        <f t="shared" ca="1" si="562"/>
        <v>0</v>
      </c>
      <c r="AD150" s="164">
        <f t="shared" ca="1" si="563"/>
        <v>0</v>
      </c>
      <c r="AE150" s="164">
        <f t="shared" ca="1" si="564"/>
        <v>0</v>
      </c>
      <c r="AF150" s="164">
        <f t="shared" ca="1" si="565"/>
        <v>0</v>
      </c>
      <c r="AG150" s="164">
        <f t="shared" ca="1" si="566"/>
        <v>0</v>
      </c>
      <c r="AH150" s="164">
        <f t="shared" ca="1" si="567"/>
        <v>0</v>
      </c>
      <c r="AI150" s="164">
        <f t="shared" ca="1" si="568"/>
        <v>0</v>
      </c>
      <c r="AJ150" s="164">
        <f t="shared" ca="1" si="569"/>
        <v>0</v>
      </c>
      <c r="AK150" s="164">
        <f t="shared" ca="1" si="570"/>
        <v>0</v>
      </c>
      <c r="AL150" s="164">
        <f t="shared" ca="1" si="571"/>
        <v>0</v>
      </c>
      <c r="AM150" s="164">
        <f t="shared" ca="1" si="572"/>
        <v>0</v>
      </c>
      <c r="AN150" s="164">
        <f t="shared" ca="1" si="573"/>
        <v>0</v>
      </c>
      <c r="AO150" s="164">
        <f t="shared" ca="1" si="574"/>
        <v>0</v>
      </c>
      <c r="AP150" s="164">
        <f t="shared" ca="1" si="575"/>
        <v>0</v>
      </c>
      <c r="AQ150" s="164">
        <f t="shared" ca="1" si="576"/>
        <v>0</v>
      </c>
      <c r="AR150" s="164">
        <f t="shared" ca="1" si="577"/>
        <v>0</v>
      </c>
      <c r="AS150" s="195"/>
      <c r="AT150" s="154">
        <f t="shared" ca="1" si="578"/>
        <v>0</v>
      </c>
      <c r="AU150" s="154">
        <f t="shared" ca="1" si="579"/>
        <v>0</v>
      </c>
      <c r="AV150" s="154">
        <f t="shared" ca="1" si="580"/>
        <v>0</v>
      </c>
      <c r="AW150" s="154">
        <f t="shared" ca="1" si="581"/>
        <v>0</v>
      </c>
      <c r="AX150" s="154">
        <f t="shared" ca="1" si="582"/>
        <v>0</v>
      </c>
      <c r="AY150" s="154">
        <f t="shared" ca="1" si="583"/>
        <v>0</v>
      </c>
      <c r="AZ150" s="154">
        <f t="shared" ca="1" si="584"/>
        <v>0</v>
      </c>
      <c r="BA150" s="154">
        <f t="shared" ca="1" si="585"/>
        <v>0</v>
      </c>
      <c r="BB150" s="154">
        <f t="shared" ca="1" si="586"/>
        <v>0</v>
      </c>
      <c r="BC150" s="154">
        <f t="shared" ca="1" si="587"/>
        <v>0</v>
      </c>
      <c r="BD150" s="154">
        <f t="shared" ca="1" si="588"/>
        <v>0</v>
      </c>
      <c r="BE150" s="154">
        <f t="shared" ca="1" si="589"/>
        <v>0</v>
      </c>
      <c r="BF150" s="154">
        <f t="shared" ca="1" si="590"/>
        <v>0</v>
      </c>
      <c r="BG150" s="154">
        <f t="shared" ca="1" si="591"/>
        <v>0</v>
      </c>
      <c r="BH150" s="154">
        <f t="shared" ca="1" si="592"/>
        <v>0</v>
      </c>
      <c r="BI150" s="154">
        <f t="shared" ca="1" si="593"/>
        <v>0</v>
      </c>
      <c r="BJ150" s="154">
        <f t="shared" ca="1" si="594"/>
        <v>0</v>
      </c>
      <c r="BK150" s="154">
        <f t="shared" ca="1" si="595"/>
        <v>0</v>
      </c>
      <c r="BL150" s="154">
        <f t="shared" ca="1" si="596"/>
        <v>0</v>
      </c>
      <c r="BM150" s="154">
        <f t="shared" ca="1" si="597"/>
        <v>0</v>
      </c>
      <c r="BN150" s="154">
        <f t="shared" ca="1" si="598"/>
        <v>0</v>
      </c>
      <c r="BO150" s="154">
        <f t="shared" ca="1" si="599"/>
        <v>0</v>
      </c>
      <c r="BP150" s="154">
        <f t="shared" ca="1" si="600"/>
        <v>0</v>
      </c>
      <c r="BQ150" s="154">
        <f t="shared" ca="1" si="601"/>
        <v>0</v>
      </c>
      <c r="BR150" s="154">
        <f t="shared" ca="1" si="602"/>
        <v>0</v>
      </c>
      <c r="BS150" s="154">
        <f t="shared" ca="1" si="603"/>
        <v>0</v>
      </c>
      <c r="BT150" s="154">
        <f t="shared" ca="1" si="604"/>
        <v>0</v>
      </c>
      <c r="BU150" s="154">
        <f t="shared" ca="1" si="605"/>
        <v>0</v>
      </c>
      <c r="BV150" s="154">
        <f t="shared" ca="1" si="606"/>
        <v>0</v>
      </c>
      <c r="BW150" s="154">
        <f t="shared" ca="1" si="607"/>
        <v>0</v>
      </c>
      <c r="BX150" s="154">
        <f t="shared" ca="1" si="608"/>
        <v>0</v>
      </c>
      <c r="BY150" s="154">
        <f t="shared" ca="1" si="609"/>
        <v>0</v>
      </c>
      <c r="BZ150" s="154">
        <f t="shared" si="610"/>
        <v>0</v>
      </c>
      <c r="CA150" s="154">
        <f t="shared" si="611"/>
        <v>0</v>
      </c>
      <c r="CB150" s="154">
        <f t="shared" ca="1" si="612"/>
        <v>0</v>
      </c>
      <c r="CC150" s="523"/>
      <c r="CD150" s="355">
        <f t="shared" si="613"/>
        <v>174</v>
      </c>
      <c r="CE150" s="751" t="str">
        <f t="shared" ca="1" si="614"/>
        <v>B</v>
      </c>
      <c r="CF150" s="355" t="str">
        <f t="shared" ca="1" si="636"/>
        <v/>
      </c>
      <c r="CG150" s="268"/>
      <c r="CH150" s="268"/>
      <c r="CI150" s="269">
        <f t="shared" ca="1" si="615"/>
        <v>0</v>
      </c>
      <c r="CJ150" s="269">
        <f t="shared" ca="1" si="616"/>
        <v>0</v>
      </c>
      <c r="CK150" s="268"/>
      <c r="CL150" s="268"/>
      <c r="CM150" s="268">
        <f t="shared" ca="1" si="632"/>
        <v>0</v>
      </c>
      <c r="CN150" s="269">
        <f t="shared" ca="1" si="633"/>
        <v>0</v>
      </c>
      <c r="CO150" s="268" t="str">
        <f t="shared" ca="1" si="617"/>
        <v>B</v>
      </c>
      <c r="CP150" s="269" t="b">
        <f t="shared" ca="1" si="631"/>
        <v>1</v>
      </c>
      <c r="CQ150" s="269">
        <f t="shared" si="618"/>
        <v>0</v>
      </c>
      <c r="CR150" s="269">
        <f t="shared" si="619"/>
        <v>0</v>
      </c>
      <c r="CS150" s="269">
        <f t="shared" ca="1" si="620"/>
        <v>0</v>
      </c>
      <c r="CT150" s="302" t="str">
        <f t="shared" ca="1" si="519"/>
        <v>0</v>
      </c>
      <c r="CU150" s="269">
        <f t="shared" ca="1" si="621"/>
        <v>0</v>
      </c>
      <c r="CV150" s="268"/>
      <c r="CW150" s="269">
        <f t="shared" ca="1" si="622"/>
        <v>0</v>
      </c>
      <c r="CX150" s="301">
        <f t="shared" ca="1" si="623"/>
        <v>0</v>
      </c>
      <c r="CY150" s="301">
        <f t="shared" ca="1" si="634"/>
        <v>0</v>
      </c>
      <c r="CZ150" s="301">
        <f t="shared" ca="1" si="624"/>
        <v>0</v>
      </c>
      <c r="DA150" s="301">
        <f t="shared" ca="1" si="524"/>
        <v>0</v>
      </c>
      <c r="DB150" t="str">
        <f ca="1">IF(AND(NOT(AND(ISBLANK($G150),ISBLANK($I150))),IF($O$145="",TRUE,$O$145&lt;6)),"Seefahrt 6+",IF(AND(NOT(ISBLANK($F150)),$F150&lt;=$B150),"TaW SE zu klein",""))</f>
        <v/>
      </c>
      <c r="DC150" s="301" t="str">
        <f t="shared" ca="1" si="625"/>
        <v/>
      </c>
      <c r="DD150" s="1337" t="str">
        <f t="shared" ca="1" si="628"/>
        <v/>
      </c>
      <c r="DE150" s="1337" t="str">
        <f t="shared" ca="1" si="629"/>
        <v/>
      </c>
      <c r="DG150" s="269" t="str">
        <f t="shared" ca="1" si="626"/>
        <v>Tabellen_Andere!BA118:BF118</v>
      </c>
      <c r="DH150" s="269" t="str">
        <f t="shared" si="527"/>
        <v>Tabellen_Andere!BA118:BF118</v>
      </c>
      <c r="DI150" s="269" t="str">
        <f ca="1">IF(NOT(ISERR(FIND(A150&amp;" ",Abfragen!$O$264,1))),MID(Abfragen!$O$264,FIND("(",Abfragen!$O$264,FIND(A150,Abfragen!$O$264,1)+LEN(A150))+1,FIND(")",Abfragen!$O$264,FIND(A150,Abfragen!$O$264,1)+LEN(A150))-FIND("(",Abfragen!$O$264,FIND(A150,Abfragen!$O$264,1)+LEN(A150))-1),"")</f>
        <v/>
      </c>
      <c r="DJ150" s="301" t="str">
        <f t="shared" ca="1" si="627"/>
        <v>B</v>
      </c>
      <c r="DK150" s="301" t="str">
        <f t="shared" ca="1" si="627"/>
        <v>B</v>
      </c>
      <c r="DL150" s="301" t="str">
        <f t="shared" ca="1" si="627"/>
        <v>B</v>
      </c>
      <c r="DM150" s="301" t="str">
        <f t="shared" ca="1" si="627"/>
        <v>B</v>
      </c>
      <c r="DN150" s="301" t="str">
        <f t="shared" ca="1" si="627"/>
        <v>B</v>
      </c>
      <c r="DO150" s="301" t="str">
        <f t="shared" ca="1" si="627"/>
        <v>B</v>
      </c>
      <c r="DP150" s="301" t="str">
        <f t="shared" ca="1" si="627"/>
        <v>B</v>
      </c>
      <c r="DQ150" s="301" t="str">
        <f t="shared" ca="1" si="627"/>
        <v>B</v>
      </c>
      <c r="DR150" s="301" t="str">
        <f t="shared" ca="1" si="627"/>
        <v>B</v>
      </c>
      <c r="DS150" s="301" t="str">
        <f t="shared" ca="1" si="627"/>
        <v>B</v>
      </c>
      <c r="DT150" s="301" t="str">
        <f t="shared" ca="1" si="627"/>
        <v>B</v>
      </c>
      <c r="DU150" s="301" t="str">
        <f t="shared" ca="1" si="627"/>
        <v>B</v>
      </c>
      <c r="DV150" s="301" t="str">
        <f t="shared" ca="1" si="627"/>
        <v>B</v>
      </c>
      <c r="DW150" s="301" t="str">
        <f t="shared" ca="1" si="627"/>
        <v>B</v>
      </c>
      <c r="DX150" s="301" t="str">
        <f t="shared" ca="1" si="627"/>
        <v>B</v>
      </c>
      <c r="DY150" s="301" t="str">
        <f t="shared" ca="1" si="627"/>
        <v>B</v>
      </c>
      <c r="DZ150" s="301" t="str">
        <f t="shared" ca="1" si="552"/>
        <v>B</v>
      </c>
      <c r="EA150" s="301" t="str">
        <f t="shared" ca="1" si="552"/>
        <v>B</v>
      </c>
      <c r="EB150" s="301" t="str">
        <f t="shared" ca="1" si="552"/>
        <v>B</v>
      </c>
      <c r="EC150" s="301" t="str">
        <f t="shared" ca="1" si="552"/>
        <v>B</v>
      </c>
      <c r="ED150" s="301" t="str">
        <f t="shared" ca="1" si="552"/>
        <v>B</v>
      </c>
      <c r="EE150" s="301" t="str">
        <f t="shared" ca="1" si="552"/>
        <v>B</v>
      </c>
      <c r="EF150" s="205"/>
      <c r="EG150" s="301" t="str">
        <f t="shared" ca="1" si="637"/>
        <v>B</v>
      </c>
      <c r="EH150" s="301" t="str">
        <f t="shared" ca="1" si="637"/>
        <v>B</v>
      </c>
      <c r="EI150" s="301" t="str">
        <f t="shared" ca="1" si="637"/>
        <v>B</v>
      </c>
      <c r="EJ150" s="301" t="str">
        <f t="shared" ca="1" si="637"/>
        <v>B</v>
      </c>
      <c r="EK150" s="301" t="str">
        <f t="shared" ca="1" si="637"/>
        <v>B</v>
      </c>
      <c r="EL150" s="301" t="str">
        <f t="shared" ca="1" si="637"/>
        <v>B</v>
      </c>
      <c r="EM150" s="301" t="str">
        <f t="shared" ca="1" si="637"/>
        <v>B</v>
      </c>
      <c r="EN150" s="301" t="str">
        <f t="shared" ca="1" si="637"/>
        <v>B</v>
      </c>
      <c r="EO150" s="301" t="str">
        <f t="shared" ca="1" si="637"/>
        <v>B</v>
      </c>
      <c r="EP150" s="301" t="str">
        <f t="shared" ca="1" si="637"/>
        <v>B</v>
      </c>
      <c r="EQ150" s="301" t="str">
        <f t="shared" ca="1" si="638"/>
        <v>B</v>
      </c>
      <c r="ER150" s="301" t="str">
        <f t="shared" ca="1" si="638"/>
        <v>B</v>
      </c>
      <c r="ES150" s="301" t="str">
        <f t="shared" ca="1" si="638"/>
        <v>B</v>
      </c>
      <c r="ET150" s="301" t="str">
        <f t="shared" ca="1" si="638"/>
        <v>B</v>
      </c>
      <c r="EU150" s="301" t="str">
        <f t="shared" ca="1" si="638"/>
        <v>B</v>
      </c>
      <c r="EV150" s="301" t="str">
        <f t="shared" ca="1" si="638"/>
        <v>B</v>
      </c>
      <c r="EW150" s="301" t="str">
        <f t="shared" ca="1" si="638"/>
        <v>B</v>
      </c>
      <c r="EX150" s="301" t="str">
        <f t="shared" ca="1" si="638"/>
        <v>B</v>
      </c>
      <c r="EY150" s="301" t="str">
        <f t="shared" ca="1" si="638"/>
        <v>B</v>
      </c>
      <c r="EZ150" s="301" t="str">
        <f t="shared" ca="1" si="638"/>
        <v>B</v>
      </c>
      <c r="FA150" s="301" t="str">
        <f t="shared" ca="1" si="639"/>
        <v>B</v>
      </c>
      <c r="FB150" s="301" t="str">
        <f t="shared" ca="1" si="639"/>
        <v>B</v>
      </c>
      <c r="FC150" s="301" t="str">
        <f t="shared" ca="1" si="639"/>
        <v>B</v>
      </c>
      <c r="FD150" s="301" t="str">
        <f t="shared" ca="1" si="639"/>
        <v>B</v>
      </c>
      <c r="FE150" s="301" t="str">
        <f t="shared" ca="1" si="639"/>
        <v>B</v>
      </c>
      <c r="FF150" s="301" t="str">
        <f t="shared" ca="1" si="639"/>
        <v>B</v>
      </c>
      <c r="FG150" s="301" t="str">
        <f t="shared" ca="1" si="639"/>
        <v>B</v>
      </c>
      <c r="FH150" s="301" t="str">
        <f t="shared" ca="1" si="639"/>
        <v>B</v>
      </c>
      <c r="FI150" s="301" t="str">
        <f t="shared" ca="1" si="639"/>
        <v>B</v>
      </c>
      <c r="FJ150" s="301" t="str">
        <f t="shared" ca="1" si="639"/>
        <v>B</v>
      </c>
      <c r="FK150" s="301" t="str">
        <f t="shared" ca="1" si="639"/>
        <v>B</v>
      </c>
      <c r="FL150" s="301" t="str">
        <f t="shared" ca="1" si="639"/>
        <v>B</v>
      </c>
    </row>
    <row r="151" spans="1:168" x14ac:dyDescent="0.2">
      <c r="A151" s="38" t="str">
        <f t="shared" si="533"/>
        <v>Stoffe Färben</v>
      </c>
      <c r="B151" s="317" t="str">
        <f t="shared" ca="1" si="553"/>
        <v/>
      </c>
      <c r="C151" s="332" t="str">
        <f t="shared" ca="1" si="635"/>
        <v/>
      </c>
      <c r="D151" s="1110"/>
      <c r="E151" s="966"/>
      <c r="F151" s="325"/>
      <c r="G151" s="958"/>
      <c r="H151" s="1196"/>
      <c r="I151" s="326"/>
      <c r="J151" s="1886" t="str">
        <f t="shared" ca="1" si="450"/>
        <v/>
      </c>
      <c r="K151" s="1887"/>
      <c r="L151" s="1887"/>
      <c r="M151" s="1887"/>
      <c r="N151" s="1888"/>
      <c r="O151" s="613" t="str">
        <f t="shared" ca="1" si="554"/>
        <v/>
      </c>
      <c r="P151" s="90"/>
      <c r="Q151" s="25"/>
      <c r="R151" s="1313"/>
      <c r="S151" s="1313"/>
      <c r="T151" s="1315"/>
      <c r="U151" s="1283"/>
      <c r="V151" s="628" t="str">
        <f t="shared" ca="1" si="555"/>
        <v/>
      </c>
      <c r="W151" s="164">
        <f t="shared" ca="1" si="556"/>
        <v>0</v>
      </c>
      <c r="X151" s="164">
        <f t="shared" ca="1" si="557"/>
        <v>0</v>
      </c>
      <c r="Y151" s="164">
        <f t="shared" ca="1" si="558"/>
        <v>0</v>
      </c>
      <c r="Z151" s="164">
        <f t="shared" ca="1" si="559"/>
        <v>0</v>
      </c>
      <c r="AA151" s="164">
        <f t="shared" ca="1" si="560"/>
        <v>0</v>
      </c>
      <c r="AB151" s="164">
        <f t="shared" ca="1" si="561"/>
        <v>0</v>
      </c>
      <c r="AC151" s="164">
        <f t="shared" ca="1" si="562"/>
        <v>0</v>
      </c>
      <c r="AD151" s="164">
        <f t="shared" ca="1" si="563"/>
        <v>0</v>
      </c>
      <c r="AE151" s="164">
        <f t="shared" ca="1" si="564"/>
        <v>0</v>
      </c>
      <c r="AF151" s="164">
        <f t="shared" ca="1" si="565"/>
        <v>0</v>
      </c>
      <c r="AG151" s="164">
        <f t="shared" ca="1" si="566"/>
        <v>0</v>
      </c>
      <c r="AH151" s="164">
        <f t="shared" ca="1" si="567"/>
        <v>0</v>
      </c>
      <c r="AI151" s="164">
        <f t="shared" ca="1" si="568"/>
        <v>0</v>
      </c>
      <c r="AJ151" s="164">
        <f t="shared" ca="1" si="569"/>
        <v>0</v>
      </c>
      <c r="AK151" s="164">
        <f t="shared" ca="1" si="570"/>
        <v>0</v>
      </c>
      <c r="AL151" s="164">
        <f t="shared" ca="1" si="571"/>
        <v>0</v>
      </c>
      <c r="AM151" s="164">
        <f t="shared" ca="1" si="572"/>
        <v>0</v>
      </c>
      <c r="AN151" s="164">
        <f t="shared" ca="1" si="573"/>
        <v>0</v>
      </c>
      <c r="AO151" s="164">
        <f t="shared" ca="1" si="574"/>
        <v>0</v>
      </c>
      <c r="AP151" s="164">
        <f t="shared" ca="1" si="575"/>
        <v>0</v>
      </c>
      <c r="AQ151" s="164">
        <f t="shared" ca="1" si="576"/>
        <v>0</v>
      </c>
      <c r="AR151" s="164">
        <f t="shared" ca="1" si="577"/>
        <v>0</v>
      </c>
      <c r="AS151" s="195"/>
      <c r="AT151" s="154">
        <f t="shared" ca="1" si="578"/>
        <v>0</v>
      </c>
      <c r="AU151" s="154">
        <f t="shared" ca="1" si="579"/>
        <v>0</v>
      </c>
      <c r="AV151" s="154">
        <f t="shared" ca="1" si="580"/>
        <v>0</v>
      </c>
      <c r="AW151" s="154">
        <f t="shared" ca="1" si="581"/>
        <v>0</v>
      </c>
      <c r="AX151" s="154">
        <f t="shared" ca="1" si="582"/>
        <v>0</v>
      </c>
      <c r="AY151" s="154">
        <f t="shared" ca="1" si="583"/>
        <v>0</v>
      </c>
      <c r="AZ151" s="154">
        <f t="shared" ca="1" si="584"/>
        <v>0</v>
      </c>
      <c r="BA151" s="154">
        <f t="shared" ca="1" si="585"/>
        <v>0</v>
      </c>
      <c r="BB151" s="154">
        <f t="shared" ca="1" si="586"/>
        <v>0</v>
      </c>
      <c r="BC151" s="154">
        <f t="shared" ca="1" si="587"/>
        <v>0</v>
      </c>
      <c r="BD151" s="154">
        <f t="shared" ca="1" si="588"/>
        <v>0</v>
      </c>
      <c r="BE151" s="154">
        <f t="shared" ca="1" si="589"/>
        <v>0</v>
      </c>
      <c r="BF151" s="154">
        <f t="shared" ca="1" si="590"/>
        <v>0</v>
      </c>
      <c r="BG151" s="154">
        <f t="shared" ca="1" si="591"/>
        <v>0</v>
      </c>
      <c r="BH151" s="154">
        <f t="shared" ca="1" si="592"/>
        <v>0</v>
      </c>
      <c r="BI151" s="154">
        <f t="shared" ca="1" si="593"/>
        <v>0</v>
      </c>
      <c r="BJ151" s="154">
        <f t="shared" ca="1" si="594"/>
        <v>0</v>
      </c>
      <c r="BK151" s="154">
        <f t="shared" ca="1" si="595"/>
        <v>0</v>
      </c>
      <c r="BL151" s="154">
        <f t="shared" ca="1" si="596"/>
        <v>0</v>
      </c>
      <c r="BM151" s="154">
        <f t="shared" ca="1" si="597"/>
        <v>0</v>
      </c>
      <c r="BN151" s="154">
        <f t="shared" ca="1" si="598"/>
        <v>0</v>
      </c>
      <c r="BO151" s="154">
        <f t="shared" ca="1" si="599"/>
        <v>0</v>
      </c>
      <c r="BP151" s="154">
        <f t="shared" ca="1" si="600"/>
        <v>0</v>
      </c>
      <c r="BQ151" s="154">
        <f t="shared" ca="1" si="601"/>
        <v>0</v>
      </c>
      <c r="BR151" s="154">
        <f t="shared" ca="1" si="602"/>
        <v>0</v>
      </c>
      <c r="BS151" s="154">
        <f t="shared" ca="1" si="603"/>
        <v>0</v>
      </c>
      <c r="BT151" s="154">
        <f t="shared" ca="1" si="604"/>
        <v>0</v>
      </c>
      <c r="BU151" s="154">
        <f t="shared" ca="1" si="605"/>
        <v>0</v>
      </c>
      <c r="BV151" s="154">
        <f t="shared" ca="1" si="606"/>
        <v>0</v>
      </c>
      <c r="BW151" s="154">
        <f t="shared" ca="1" si="607"/>
        <v>0</v>
      </c>
      <c r="BX151" s="154">
        <f t="shared" ca="1" si="608"/>
        <v>0</v>
      </c>
      <c r="BY151" s="154">
        <f t="shared" ca="1" si="609"/>
        <v>0</v>
      </c>
      <c r="BZ151" s="154">
        <f t="shared" si="610"/>
        <v>0</v>
      </c>
      <c r="CA151" s="154">
        <f t="shared" si="611"/>
        <v>0</v>
      </c>
      <c r="CB151" s="154">
        <f t="shared" ca="1" si="612"/>
        <v>0</v>
      </c>
      <c r="CC151" s="523"/>
      <c r="CD151" s="355">
        <f t="shared" si="613"/>
        <v>175</v>
      </c>
      <c r="CE151" s="751" t="str">
        <f t="shared" ca="1" si="614"/>
        <v>B</v>
      </c>
      <c r="CF151" s="355" t="str">
        <f t="shared" ca="1" si="636"/>
        <v/>
      </c>
      <c r="CG151" s="268"/>
      <c r="CH151" s="268"/>
      <c r="CI151" s="269">
        <f t="shared" ca="1" si="615"/>
        <v>0</v>
      </c>
      <c r="CJ151" s="269">
        <f t="shared" ca="1" si="616"/>
        <v>0</v>
      </c>
      <c r="CK151" s="268"/>
      <c r="CL151" s="268"/>
      <c r="CM151" s="268">
        <f t="shared" ca="1" si="632"/>
        <v>0</v>
      </c>
      <c r="CN151" s="269">
        <f t="shared" ca="1" si="633"/>
        <v>0</v>
      </c>
      <c r="CO151" s="268" t="str">
        <f t="shared" ca="1" si="617"/>
        <v>B</v>
      </c>
      <c r="CP151" s="269" t="b">
        <f t="shared" ca="1" si="631"/>
        <v>1</v>
      </c>
      <c r="CQ151" s="269">
        <f t="shared" si="618"/>
        <v>0</v>
      </c>
      <c r="CR151" s="269">
        <f t="shared" si="619"/>
        <v>0</v>
      </c>
      <c r="CS151" s="269">
        <f t="shared" ca="1" si="620"/>
        <v>0</v>
      </c>
      <c r="CT151" s="302" t="str">
        <f t="shared" ca="1" si="519"/>
        <v>0</v>
      </c>
      <c r="CU151" s="269">
        <f t="shared" ca="1" si="621"/>
        <v>0</v>
      </c>
      <c r="CV151" s="268"/>
      <c r="CW151" s="269">
        <f t="shared" ca="1" si="622"/>
        <v>0</v>
      </c>
      <c r="CX151" s="301">
        <f t="shared" ca="1" si="623"/>
        <v>0</v>
      </c>
      <c r="CY151" s="301">
        <f t="shared" ca="1" si="634"/>
        <v>0</v>
      </c>
      <c r="CZ151" s="301">
        <f t="shared" ca="1" si="624"/>
        <v>0</v>
      </c>
      <c r="DA151" s="301">
        <f t="shared" ca="1" si="524"/>
        <v>0</v>
      </c>
      <c r="DB151" t="str">
        <f ca="1">IF(AND(NOT(ISBLANK($F151)),$F151&lt;=$B151),"TaW SE zu klein","")</f>
        <v/>
      </c>
      <c r="DC151" s="301" t="str">
        <f t="shared" ca="1" si="625"/>
        <v/>
      </c>
      <c r="DD151" s="1337" t="str">
        <f t="shared" ca="1" si="628"/>
        <v/>
      </c>
      <c r="DE151" s="1337" t="str">
        <f t="shared" ca="1" si="629"/>
        <v/>
      </c>
      <c r="DG151" s="269" t="str">
        <f t="shared" ca="1" si="626"/>
        <v>Tabellen_Andere!BA120:BF120</v>
      </c>
      <c r="DH151" s="269" t="str">
        <f t="shared" si="527"/>
        <v>Tabellen_Andere!BA120:BF120</v>
      </c>
      <c r="DI151" s="269" t="str">
        <f ca="1">IF(NOT(ISERR(FIND(A151&amp;" ",Abfragen!$O$264,1))),MID(Abfragen!$O$264,FIND("(",Abfragen!$O$264,FIND(A151,Abfragen!$O$264,1)+LEN(A151))+1,FIND(")",Abfragen!$O$264,FIND(A151,Abfragen!$O$264,1)+LEN(A151))-FIND("(",Abfragen!$O$264,FIND(A151,Abfragen!$O$264,1)+LEN(A151))-1),"")</f>
        <v/>
      </c>
      <c r="DJ151" s="301" t="str">
        <f t="shared" ca="1" si="627"/>
        <v>B</v>
      </c>
      <c r="DK151" s="301" t="str">
        <f t="shared" ca="1" si="627"/>
        <v>B</v>
      </c>
      <c r="DL151" s="301" t="str">
        <f t="shared" ca="1" si="627"/>
        <v>B</v>
      </c>
      <c r="DM151" s="301" t="str">
        <f t="shared" ca="1" si="627"/>
        <v>B</v>
      </c>
      <c r="DN151" s="301" t="str">
        <f t="shared" ca="1" si="627"/>
        <v>B</v>
      </c>
      <c r="DO151" s="301" t="str">
        <f t="shared" ca="1" si="627"/>
        <v>B</v>
      </c>
      <c r="DP151" s="301" t="str">
        <f t="shared" ca="1" si="627"/>
        <v>B</v>
      </c>
      <c r="DQ151" s="301" t="str">
        <f t="shared" ca="1" si="627"/>
        <v>B</v>
      </c>
      <c r="DR151" s="301" t="str">
        <f t="shared" ca="1" si="627"/>
        <v>B</v>
      </c>
      <c r="DS151" s="301" t="str">
        <f t="shared" ca="1" si="627"/>
        <v>B</v>
      </c>
      <c r="DT151" s="301" t="str">
        <f t="shared" ca="1" si="627"/>
        <v>B</v>
      </c>
      <c r="DU151" s="301" t="str">
        <f t="shared" ca="1" si="627"/>
        <v>B</v>
      </c>
      <c r="DV151" s="301" t="str">
        <f t="shared" ca="1" si="627"/>
        <v>B</v>
      </c>
      <c r="DW151" s="301" t="str">
        <f t="shared" ca="1" si="627"/>
        <v>B</v>
      </c>
      <c r="DX151" s="301" t="str">
        <f t="shared" ca="1" si="627"/>
        <v>B</v>
      </c>
      <c r="DY151" s="301" t="str">
        <f t="shared" ca="1" si="627"/>
        <v>B</v>
      </c>
      <c r="DZ151" s="301" t="str">
        <f t="shared" ca="1" si="552"/>
        <v>B</v>
      </c>
      <c r="EA151" s="301" t="str">
        <f t="shared" ca="1" si="552"/>
        <v>B</v>
      </c>
      <c r="EB151" s="301" t="str">
        <f t="shared" ca="1" si="552"/>
        <v>B</v>
      </c>
      <c r="EC151" s="301" t="str">
        <f t="shared" ca="1" si="552"/>
        <v>B</v>
      </c>
      <c r="ED151" s="301" t="str">
        <f t="shared" ca="1" si="552"/>
        <v>B</v>
      </c>
      <c r="EE151" s="301" t="str">
        <f t="shared" ca="1" si="552"/>
        <v>B</v>
      </c>
      <c r="EF151" s="205"/>
      <c r="EG151" s="301" t="str">
        <f t="shared" ca="1" si="637"/>
        <v>B</v>
      </c>
      <c r="EH151" s="301" t="str">
        <f t="shared" ca="1" si="637"/>
        <v>B</v>
      </c>
      <c r="EI151" s="301" t="str">
        <f t="shared" ca="1" si="637"/>
        <v>B</v>
      </c>
      <c r="EJ151" s="301" t="str">
        <f t="shared" ca="1" si="637"/>
        <v>B</v>
      </c>
      <c r="EK151" s="301" t="str">
        <f t="shared" ca="1" si="637"/>
        <v>B</v>
      </c>
      <c r="EL151" s="301" t="str">
        <f t="shared" ca="1" si="637"/>
        <v>B</v>
      </c>
      <c r="EM151" s="301" t="str">
        <f t="shared" ca="1" si="637"/>
        <v>B</v>
      </c>
      <c r="EN151" s="301" t="str">
        <f t="shared" ca="1" si="637"/>
        <v>B</v>
      </c>
      <c r="EO151" s="301" t="str">
        <f t="shared" ca="1" si="637"/>
        <v>B</v>
      </c>
      <c r="EP151" s="301" t="str">
        <f t="shared" ca="1" si="637"/>
        <v>B</v>
      </c>
      <c r="EQ151" s="301" t="str">
        <f t="shared" ca="1" si="638"/>
        <v>B</v>
      </c>
      <c r="ER151" s="301" t="str">
        <f t="shared" ca="1" si="638"/>
        <v>B</v>
      </c>
      <c r="ES151" s="301" t="str">
        <f t="shared" ca="1" si="638"/>
        <v>B</v>
      </c>
      <c r="ET151" s="301" t="str">
        <f t="shared" ca="1" si="638"/>
        <v>B</v>
      </c>
      <c r="EU151" s="301" t="str">
        <f t="shared" ca="1" si="638"/>
        <v>B</v>
      </c>
      <c r="EV151" s="301" t="str">
        <f t="shared" ca="1" si="638"/>
        <v>B</v>
      </c>
      <c r="EW151" s="301" t="str">
        <f t="shared" ca="1" si="638"/>
        <v>B</v>
      </c>
      <c r="EX151" s="301" t="str">
        <f t="shared" ca="1" si="638"/>
        <v>B</v>
      </c>
      <c r="EY151" s="301" t="str">
        <f t="shared" ca="1" si="638"/>
        <v>B</v>
      </c>
      <c r="EZ151" s="301" t="str">
        <f t="shared" ca="1" si="638"/>
        <v>B</v>
      </c>
      <c r="FA151" s="301" t="str">
        <f t="shared" ca="1" si="639"/>
        <v>B</v>
      </c>
      <c r="FB151" s="301" t="str">
        <f t="shared" ca="1" si="639"/>
        <v>B</v>
      </c>
      <c r="FC151" s="301" t="str">
        <f t="shared" ca="1" si="639"/>
        <v>B</v>
      </c>
      <c r="FD151" s="301" t="str">
        <f t="shared" ca="1" si="639"/>
        <v>B</v>
      </c>
      <c r="FE151" s="301" t="str">
        <f t="shared" ca="1" si="639"/>
        <v>B</v>
      </c>
      <c r="FF151" s="301" t="str">
        <f t="shared" ca="1" si="639"/>
        <v>B</v>
      </c>
      <c r="FG151" s="301" t="str">
        <f t="shared" ca="1" si="639"/>
        <v>B</v>
      </c>
      <c r="FH151" s="301" t="str">
        <f t="shared" ca="1" si="639"/>
        <v>B</v>
      </c>
      <c r="FI151" s="301" t="str">
        <f t="shared" ca="1" si="639"/>
        <v>B</v>
      </c>
      <c r="FJ151" s="301" t="str">
        <f t="shared" ca="1" si="639"/>
        <v>B</v>
      </c>
      <c r="FK151" s="301" t="str">
        <f t="shared" ca="1" si="639"/>
        <v>B</v>
      </c>
      <c r="FL151" s="301" t="str">
        <f t="shared" ca="1" si="639"/>
        <v>B</v>
      </c>
    </row>
    <row r="152" spans="1:168" x14ac:dyDescent="0.2">
      <c r="A152" s="38" t="str">
        <f t="shared" si="533"/>
        <v>Tätowieren</v>
      </c>
      <c r="B152" s="317" t="str">
        <f t="shared" ca="1" si="553"/>
        <v/>
      </c>
      <c r="C152" s="332" t="str">
        <f t="shared" ca="1" si="635"/>
        <v/>
      </c>
      <c r="D152" s="1110"/>
      <c r="E152" s="966"/>
      <c r="F152" s="325"/>
      <c r="G152" s="958"/>
      <c r="H152" s="1196"/>
      <c r="I152" s="326"/>
      <c r="J152" s="1886" t="str">
        <f t="shared" ca="1" si="450"/>
        <v/>
      </c>
      <c r="K152" s="1887"/>
      <c r="L152" s="1887"/>
      <c r="M152" s="1887"/>
      <c r="N152" s="1888"/>
      <c r="O152" s="613" t="str">
        <f t="shared" ca="1" si="554"/>
        <v/>
      </c>
      <c r="P152" s="90"/>
      <c r="Q152" s="25"/>
      <c r="R152" s="1313"/>
      <c r="S152" s="1313"/>
      <c r="T152" s="1315"/>
      <c r="U152" s="1283"/>
      <c r="V152" s="628" t="str">
        <f t="shared" ca="1" si="555"/>
        <v/>
      </c>
      <c r="W152" s="164">
        <f t="shared" ca="1" si="556"/>
        <v>0</v>
      </c>
      <c r="X152" s="164">
        <f t="shared" ca="1" si="557"/>
        <v>0</v>
      </c>
      <c r="Y152" s="164">
        <f t="shared" ca="1" si="558"/>
        <v>0</v>
      </c>
      <c r="Z152" s="164">
        <f t="shared" ca="1" si="559"/>
        <v>0</v>
      </c>
      <c r="AA152" s="164">
        <f t="shared" ca="1" si="560"/>
        <v>0</v>
      </c>
      <c r="AB152" s="164">
        <f t="shared" ca="1" si="561"/>
        <v>0</v>
      </c>
      <c r="AC152" s="164">
        <f t="shared" ca="1" si="562"/>
        <v>0</v>
      </c>
      <c r="AD152" s="164">
        <f t="shared" ca="1" si="563"/>
        <v>0</v>
      </c>
      <c r="AE152" s="164">
        <f t="shared" ca="1" si="564"/>
        <v>0</v>
      </c>
      <c r="AF152" s="164">
        <f t="shared" ca="1" si="565"/>
        <v>0</v>
      </c>
      <c r="AG152" s="164">
        <f t="shared" ca="1" si="566"/>
        <v>0</v>
      </c>
      <c r="AH152" s="164">
        <f t="shared" ca="1" si="567"/>
        <v>0</v>
      </c>
      <c r="AI152" s="164">
        <f t="shared" ca="1" si="568"/>
        <v>0</v>
      </c>
      <c r="AJ152" s="164">
        <f t="shared" ca="1" si="569"/>
        <v>0</v>
      </c>
      <c r="AK152" s="164">
        <f t="shared" ca="1" si="570"/>
        <v>0</v>
      </c>
      <c r="AL152" s="164">
        <f t="shared" ca="1" si="571"/>
        <v>0</v>
      </c>
      <c r="AM152" s="164">
        <f t="shared" ca="1" si="572"/>
        <v>0</v>
      </c>
      <c r="AN152" s="164">
        <f t="shared" ca="1" si="573"/>
        <v>0</v>
      </c>
      <c r="AO152" s="164">
        <f t="shared" ca="1" si="574"/>
        <v>0</v>
      </c>
      <c r="AP152" s="164">
        <f t="shared" ca="1" si="575"/>
        <v>0</v>
      </c>
      <c r="AQ152" s="164">
        <f t="shared" ca="1" si="576"/>
        <v>0</v>
      </c>
      <c r="AR152" s="164">
        <f t="shared" ca="1" si="577"/>
        <v>0</v>
      </c>
      <c r="AS152" s="195"/>
      <c r="AT152" s="154">
        <f t="shared" ca="1" si="578"/>
        <v>0</v>
      </c>
      <c r="AU152" s="154">
        <f t="shared" ca="1" si="579"/>
        <v>0</v>
      </c>
      <c r="AV152" s="154">
        <f t="shared" ca="1" si="580"/>
        <v>0</v>
      </c>
      <c r="AW152" s="154">
        <f t="shared" ca="1" si="581"/>
        <v>0</v>
      </c>
      <c r="AX152" s="154">
        <f t="shared" ca="1" si="582"/>
        <v>0</v>
      </c>
      <c r="AY152" s="154">
        <f t="shared" ca="1" si="583"/>
        <v>0</v>
      </c>
      <c r="AZ152" s="154">
        <f t="shared" ca="1" si="584"/>
        <v>0</v>
      </c>
      <c r="BA152" s="154">
        <f t="shared" ca="1" si="585"/>
        <v>0</v>
      </c>
      <c r="BB152" s="154">
        <f t="shared" ca="1" si="586"/>
        <v>0</v>
      </c>
      <c r="BC152" s="154">
        <f t="shared" ca="1" si="587"/>
        <v>0</v>
      </c>
      <c r="BD152" s="154">
        <f t="shared" ca="1" si="588"/>
        <v>0</v>
      </c>
      <c r="BE152" s="154">
        <f t="shared" ca="1" si="589"/>
        <v>0</v>
      </c>
      <c r="BF152" s="154">
        <f t="shared" ca="1" si="590"/>
        <v>0</v>
      </c>
      <c r="BG152" s="154">
        <f t="shared" ca="1" si="591"/>
        <v>0</v>
      </c>
      <c r="BH152" s="154">
        <f t="shared" ca="1" si="592"/>
        <v>0</v>
      </c>
      <c r="BI152" s="154">
        <f t="shared" ca="1" si="593"/>
        <v>0</v>
      </c>
      <c r="BJ152" s="154">
        <f t="shared" ca="1" si="594"/>
        <v>0</v>
      </c>
      <c r="BK152" s="154">
        <f t="shared" ca="1" si="595"/>
        <v>0</v>
      </c>
      <c r="BL152" s="154">
        <f t="shared" ca="1" si="596"/>
        <v>0</v>
      </c>
      <c r="BM152" s="154">
        <f t="shared" ca="1" si="597"/>
        <v>0</v>
      </c>
      <c r="BN152" s="154">
        <f t="shared" ca="1" si="598"/>
        <v>0</v>
      </c>
      <c r="BO152" s="154">
        <f t="shared" ca="1" si="599"/>
        <v>0</v>
      </c>
      <c r="BP152" s="154">
        <f t="shared" ca="1" si="600"/>
        <v>0</v>
      </c>
      <c r="BQ152" s="154">
        <f t="shared" ca="1" si="601"/>
        <v>0</v>
      </c>
      <c r="BR152" s="154">
        <f t="shared" ca="1" si="602"/>
        <v>0</v>
      </c>
      <c r="BS152" s="154">
        <f t="shared" ca="1" si="603"/>
        <v>0</v>
      </c>
      <c r="BT152" s="154">
        <f t="shared" ca="1" si="604"/>
        <v>0</v>
      </c>
      <c r="BU152" s="154">
        <f t="shared" ca="1" si="605"/>
        <v>0</v>
      </c>
      <c r="BV152" s="154">
        <f t="shared" ca="1" si="606"/>
        <v>0</v>
      </c>
      <c r="BW152" s="154">
        <f t="shared" ca="1" si="607"/>
        <v>0</v>
      </c>
      <c r="BX152" s="154">
        <f t="shared" ca="1" si="608"/>
        <v>0</v>
      </c>
      <c r="BY152" s="154">
        <f t="shared" ca="1" si="609"/>
        <v>0</v>
      </c>
      <c r="BZ152" s="154">
        <f t="shared" si="610"/>
        <v>0</v>
      </c>
      <c r="CA152" s="154">
        <f t="shared" si="611"/>
        <v>0</v>
      </c>
      <c r="CB152" s="154">
        <f t="shared" ca="1" si="612"/>
        <v>0</v>
      </c>
      <c r="CC152" s="523"/>
      <c r="CD152" s="355">
        <f t="shared" si="613"/>
        <v>176</v>
      </c>
      <c r="CE152" s="751" t="str">
        <f t="shared" ca="1" si="614"/>
        <v>B</v>
      </c>
      <c r="CF152" s="355" t="str">
        <f t="shared" ca="1" si="636"/>
        <v/>
      </c>
      <c r="CG152" s="268"/>
      <c r="CH152" s="268"/>
      <c r="CI152" s="269">
        <f t="shared" ca="1" si="615"/>
        <v>0</v>
      </c>
      <c r="CJ152" s="269">
        <f t="shared" ca="1" si="616"/>
        <v>0</v>
      </c>
      <c r="CK152" s="268"/>
      <c r="CL152" s="268"/>
      <c r="CM152" s="268">
        <f t="shared" ca="1" si="632"/>
        <v>0</v>
      </c>
      <c r="CN152" s="269">
        <f t="shared" ca="1" si="633"/>
        <v>0</v>
      </c>
      <c r="CO152" s="268" t="str">
        <f t="shared" ca="1" si="617"/>
        <v>B</v>
      </c>
      <c r="CP152" s="269" t="b">
        <f t="shared" ca="1" si="631"/>
        <v>1</v>
      </c>
      <c r="CQ152" s="269">
        <f t="shared" si="618"/>
        <v>0</v>
      </c>
      <c r="CR152" s="269">
        <f t="shared" si="619"/>
        <v>0</v>
      </c>
      <c r="CS152" s="269">
        <f t="shared" ca="1" si="620"/>
        <v>0</v>
      </c>
      <c r="CT152" s="302" t="str">
        <f t="shared" ca="1" si="519"/>
        <v>0</v>
      </c>
      <c r="CU152" s="269">
        <f t="shared" ca="1" si="621"/>
        <v>0</v>
      </c>
      <c r="CV152" s="268"/>
      <c r="CW152" s="269">
        <f t="shared" ca="1" si="622"/>
        <v>0</v>
      </c>
      <c r="CX152" s="301">
        <f t="shared" ca="1" si="623"/>
        <v>0</v>
      </c>
      <c r="CY152" s="301">
        <f t="shared" ca="1" si="634"/>
        <v>0</v>
      </c>
      <c r="CZ152" s="301">
        <f t="shared" ca="1" si="624"/>
        <v>0</v>
      </c>
      <c r="DA152" s="301">
        <f t="shared" ca="1" si="524"/>
        <v>0</v>
      </c>
      <c r="DB152" t="str">
        <f ca="1">IF(AND(NOT(AND(ISBLANK($G152),ISBLANK($I152))),$O$138&lt;4),"M/Z 4+",IF(AND(NOT(ISBLANK($F152)),$F152&lt;=$B152),"TaW SE zu klein",""))</f>
        <v/>
      </c>
      <c r="DC152" s="301" t="str">
        <f t="shared" ca="1" si="625"/>
        <v/>
      </c>
      <c r="DD152" s="1337" t="str">
        <f t="shared" ca="1" si="628"/>
        <v/>
      </c>
      <c r="DE152" s="1337" t="str">
        <f t="shared" ca="1" si="629"/>
        <v/>
      </c>
      <c r="DG152" s="269" t="str">
        <f t="shared" ca="1" si="626"/>
        <v>Tabellen_Andere!BA123:BF123</v>
      </c>
      <c r="DH152" s="269" t="str">
        <f t="shared" si="527"/>
        <v>Tabellen_Andere!BA123:BF123</v>
      </c>
      <c r="DI152" s="269" t="str">
        <f ca="1">IF(NOT(ISERR(FIND(A152&amp;" ",Abfragen!$O$264,1))),MID(Abfragen!$O$264,FIND("(",Abfragen!$O$264,FIND(A152,Abfragen!$O$264,1)+LEN(A152))+1,FIND(")",Abfragen!$O$264,FIND(A152,Abfragen!$O$264,1)+LEN(A152))-FIND("(",Abfragen!$O$264,FIND(A152,Abfragen!$O$264,1)+LEN(A152))-1),"")</f>
        <v/>
      </c>
      <c r="DJ152" s="301" t="str">
        <f t="shared" ca="1" si="627"/>
        <v>B</v>
      </c>
      <c r="DK152" s="301" t="str">
        <f t="shared" ca="1" si="627"/>
        <v>B</v>
      </c>
      <c r="DL152" s="301" t="str">
        <f t="shared" ca="1" si="627"/>
        <v>B</v>
      </c>
      <c r="DM152" s="301" t="str">
        <f t="shared" ca="1" si="627"/>
        <v>B</v>
      </c>
      <c r="DN152" s="301" t="str">
        <f t="shared" ca="1" si="627"/>
        <v>B</v>
      </c>
      <c r="DO152" s="301" t="str">
        <f t="shared" ca="1" si="627"/>
        <v>B</v>
      </c>
      <c r="DP152" s="301" t="str">
        <f t="shared" ca="1" si="627"/>
        <v>B</v>
      </c>
      <c r="DQ152" s="301" t="str">
        <f t="shared" ca="1" si="627"/>
        <v>B</v>
      </c>
      <c r="DR152" s="301" t="str">
        <f t="shared" ca="1" si="627"/>
        <v>B</v>
      </c>
      <c r="DS152" s="301" t="str">
        <f t="shared" ca="1" si="627"/>
        <v>B</v>
      </c>
      <c r="DT152" s="301" t="str">
        <f t="shared" ca="1" si="627"/>
        <v>B</v>
      </c>
      <c r="DU152" s="301" t="str">
        <f t="shared" ca="1" si="627"/>
        <v>B</v>
      </c>
      <c r="DV152" s="301" t="str">
        <f t="shared" ca="1" si="627"/>
        <v>B</v>
      </c>
      <c r="DW152" s="301" t="str">
        <f t="shared" ca="1" si="627"/>
        <v>B</v>
      </c>
      <c r="DX152" s="301" t="str">
        <f t="shared" ca="1" si="627"/>
        <v>B</v>
      </c>
      <c r="DY152" s="301" t="str">
        <f t="shared" ca="1" si="627"/>
        <v>B</v>
      </c>
      <c r="DZ152" s="301" t="str">
        <f t="shared" ca="1" si="552"/>
        <v>B</v>
      </c>
      <c r="EA152" s="301" t="str">
        <f t="shared" ca="1" si="552"/>
        <v>B</v>
      </c>
      <c r="EB152" s="301" t="str">
        <f t="shared" ca="1" si="552"/>
        <v>B</v>
      </c>
      <c r="EC152" s="301" t="str">
        <f t="shared" ca="1" si="552"/>
        <v>B</v>
      </c>
      <c r="ED152" s="301" t="str">
        <f t="shared" ca="1" si="552"/>
        <v>B</v>
      </c>
      <c r="EE152" s="301" t="str">
        <f t="shared" ca="1" si="552"/>
        <v>B</v>
      </c>
      <c r="EF152" s="205"/>
      <c r="EG152" s="301" t="str">
        <f t="shared" ca="1" si="637"/>
        <v>B</v>
      </c>
      <c r="EH152" s="301" t="str">
        <f t="shared" ca="1" si="637"/>
        <v>B</v>
      </c>
      <c r="EI152" s="301" t="str">
        <f t="shared" ca="1" si="637"/>
        <v>B</v>
      </c>
      <c r="EJ152" s="301" t="str">
        <f t="shared" ca="1" si="637"/>
        <v>B</v>
      </c>
      <c r="EK152" s="301" t="str">
        <f t="shared" ca="1" si="637"/>
        <v>B</v>
      </c>
      <c r="EL152" s="301" t="str">
        <f t="shared" ca="1" si="637"/>
        <v>B</v>
      </c>
      <c r="EM152" s="301" t="str">
        <f t="shared" ca="1" si="637"/>
        <v>B</v>
      </c>
      <c r="EN152" s="301" t="str">
        <f t="shared" ca="1" si="637"/>
        <v>B</v>
      </c>
      <c r="EO152" s="301" t="str">
        <f t="shared" ca="1" si="637"/>
        <v>B</v>
      </c>
      <c r="EP152" s="301" t="str">
        <f t="shared" ca="1" si="637"/>
        <v>B</v>
      </c>
      <c r="EQ152" s="301" t="str">
        <f t="shared" ca="1" si="638"/>
        <v>B</v>
      </c>
      <c r="ER152" s="301" t="str">
        <f t="shared" ca="1" si="638"/>
        <v>B</v>
      </c>
      <c r="ES152" s="301" t="str">
        <f t="shared" ca="1" si="638"/>
        <v>B</v>
      </c>
      <c r="ET152" s="301" t="str">
        <f t="shared" ca="1" si="638"/>
        <v>B</v>
      </c>
      <c r="EU152" s="301" t="str">
        <f t="shared" ca="1" si="638"/>
        <v>B</v>
      </c>
      <c r="EV152" s="301" t="str">
        <f t="shared" ca="1" si="638"/>
        <v>B</v>
      </c>
      <c r="EW152" s="301" t="str">
        <f t="shared" ca="1" si="638"/>
        <v>B</v>
      </c>
      <c r="EX152" s="301" t="str">
        <f t="shared" ca="1" si="638"/>
        <v>B</v>
      </c>
      <c r="EY152" s="301" t="str">
        <f t="shared" ca="1" si="638"/>
        <v>B</v>
      </c>
      <c r="EZ152" s="301" t="str">
        <f t="shared" ca="1" si="638"/>
        <v>B</v>
      </c>
      <c r="FA152" s="301" t="str">
        <f t="shared" ca="1" si="639"/>
        <v>B</v>
      </c>
      <c r="FB152" s="301" t="str">
        <f t="shared" ca="1" si="639"/>
        <v>B</v>
      </c>
      <c r="FC152" s="301" t="str">
        <f t="shared" ca="1" si="639"/>
        <v>B</v>
      </c>
      <c r="FD152" s="301" t="str">
        <f t="shared" ca="1" si="639"/>
        <v>B</v>
      </c>
      <c r="FE152" s="301" t="str">
        <f t="shared" ca="1" si="639"/>
        <v>B</v>
      </c>
      <c r="FF152" s="301" t="str">
        <f t="shared" ca="1" si="639"/>
        <v>B</v>
      </c>
      <c r="FG152" s="301" t="str">
        <f t="shared" ca="1" si="639"/>
        <v>B</v>
      </c>
      <c r="FH152" s="301" t="str">
        <f t="shared" ca="1" si="639"/>
        <v>B</v>
      </c>
      <c r="FI152" s="301" t="str">
        <f t="shared" ca="1" si="639"/>
        <v>B</v>
      </c>
      <c r="FJ152" s="301" t="str">
        <f t="shared" ca="1" si="639"/>
        <v>B</v>
      </c>
      <c r="FK152" s="301" t="str">
        <f t="shared" ca="1" si="639"/>
        <v>B</v>
      </c>
      <c r="FL152" s="301" t="str">
        <f t="shared" ca="1" si="639"/>
        <v>B</v>
      </c>
    </row>
    <row r="153" spans="1:168" x14ac:dyDescent="0.2">
      <c r="A153" s="38" t="str">
        <f t="shared" si="533"/>
        <v>Töpfern</v>
      </c>
      <c r="B153" s="317" t="str">
        <f t="shared" ca="1" si="553"/>
        <v/>
      </c>
      <c r="C153" s="332" t="str">
        <f t="shared" ca="1" si="635"/>
        <v/>
      </c>
      <c r="D153" s="1110"/>
      <c r="E153" s="966"/>
      <c r="F153" s="325"/>
      <c r="G153" s="958"/>
      <c r="H153" s="1196"/>
      <c r="I153" s="326"/>
      <c r="J153" s="1886" t="str">
        <f t="shared" ca="1" si="450"/>
        <v/>
      </c>
      <c r="K153" s="1887"/>
      <c r="L153" s="1887"/>
      <c r="M153" s="1887"/>
      <c r="N153" s="1888"/>
      <c r="O153" s="613" t="str">
        <f t="shared" ca="1" si="554"/>
        <v/>
      </c>
      <c r="P153" s="90"/>
      <c r="Q153" s="25"/>
      <c r="R153" s="1313"/>
      <c r="S153" s="1313"/>
      <c r="T153" s="1315"/>
      <c r="U153" s="1283"/>
      <c r="V153" s="628" t="str">
        <f t="shared" ca="1" si="555"/>
        <v/>
      </c>
      <c r="W153" s="164">
        <f t="shared" ca="1" si="556"/>
        <v>0</v>
      </c>
      <c r="X153" s="164">
        <f t="shared" ca="1" si="557"/>
        <v>0</v>
      </c>
      <c r="Y153" s="164">
        <f t="shared" ca="1" si="558"/>
        <v>0</v>
      </c>
      <c r="Z153" s="164">
        <f t="shared" ca="1" si="559"/>
        <v>0</v>
      </c>
      <c r="AA153" s="164">
        <f t="shared" ca="1" si="560"/>
        <v>0</v>
      </c>
      <c r="AB153" s="164">
        <f t="shared" ca="1" si="561"/>
        <v>0</v>
      </c>
      <c r="AC153" s="164">
        <f t="shared" ca="1" si="562"/>
        <v>0</v>
      </c>
      <c r="AD153" s="164">
        <f t="shared" ca="1" si="563"/>
        <v>0</v>
      </c>
      <c r="AE153" s="164">
        <f t="shared" ca="1" si="564"/>
        <v>0</v>
      </c>
      <c r="AF153" s="164">
        <f t="shared" ca="1" si="565"/>
        <v>0</v>
      </c>
      <c r="AG153" s="164">
        <f t="shared" ca="1" si="566"/>
        <v>0</v>
      </c>
      <c r="AH153" s="164">
        <f t="shared" ca="1" si="567"/>
        <v>0</v>
      </c>
      <c r="AI153" s="164">
        <f t="shared" ca="1" si="568"/>
        <v>0</v>
      </c>
      <c r="AJ153" s="164">
        <f t="shared" ca="1" si="569"/>
        <v>0</v>
      </c>
      <c r="AK153" s="164">
        <f t="shared" ca="1" si="570"/>
        <v>0</v>
      </c>
      <c r="AL153" s="164">
        <f t="shared" ca="1" si="571"/>
        <v>0</v>
      </c>
      <c r="AM153" s="164">
        <f t="shared" ca="1" si="572"/>
        <v>0</v>
      </c>
      <c r="AN153" s="164">
        <f t="shared" ca="1" si="573"/>
        <v>0</v>
      </c>
      <c r="AO153" s="164">
        <f t="shared" ca="1" si="574"/>
        <v>0</v>
      </c>
      <c r="AP153" s="164">
        <f t="shared" ca="1" si="575"/>
        <v>0</v>
      </c>
      <c r="AQ153" s="164">
        <f t="shared" ca="1" si="576"/>
        <v>0</v>
      </c>
      <c r="AR153" s="164">
        <f t="shared" ca="1" si="577"/>
        <v>0</v>
      </c>
      <c r="AS153" s="195"/>
      <c r="AT153" s="154">
        <f t="shared" ca="1" si="578"/>
        <v>0</v>
      </c>
      <c r="AU153" s="154">
        <f t="shared" ca="1" si="579"/>
        <v>0</v>
      </c>
      <c r="AV153" s="154">
        <f t="shared" ca="1" si="580"/>
        <v>0</v>
      </c>
      <c r="AW153" s="154">
        <f t="shared" ca="1" si="581"/>
        <v>0</v>
      </c>
      <c r="AX153" s="154">
        <f t="shared" ca="1" si="582"/>
        <v>0</v>
      </c>
      <c r="AY153" s="154">
        <f t="shared" ca="1" si="583"/>
        <v>0</v>
      </c>
      <c r="AZ153" s="154">
        <f t="shared" ca="1" si="584"/>
        <v>0</v>
      </c>
      <c r="BA153" s="154">
        <f t="shared" ca="1" si="585"/>
        <v>0</v>
      </c>
      <c r="BB153" s="154">
        <f t="shared" ca="1" si="586"/>
        <v>0</v>
      </c>
      <c r="BC153" s="154">
        <f t="shared" ca="1" si="587"/>
        <v>0</v>
      </c>
      <c r="BD153" s="154">
        <f t="shared" ca="1" si="588"/>
        <v>0</v>
      </c>
      <c r="BE153" s="154">
        <f t="shared" ca="1" si="589"/>
        <v>0</v>
      </c>
      <c r="BF153" s="154">
        <f t="shared" ca="1" si="590"/>
        <v>0</v>
      </c>
      <c r="BG153" s="154">
        <f t="shared" ca="1" si="591"/>
        <v>0</v>
      </c>
      <c r="BH153" s="154">
        <f t="shared" ca="1" si="592"/>
        <v>0</v>
      </c>
      <c r="BI153" s="154">
        <f t="shared" ca="1" si="593"/>
        <v>0</v>
      </c>
      <c r="BJ153" s="154">
        <f t="shared" ca="1" si="594"/>
        <v>0</v>
      </c>
      <c r="BK153" s="154">
        <f t="shared" ca="1" si="595"/>
        <v>0</v>
      </c>
      <c r="BL153" s="154">
        <f t="shared" ca="1" si="596"/>
        <v>0</v>
      </c>
      <c r="BM153" s="154">
        <f t="shared" ca="1" si="597"/>
        <v>0</v>
      </c>
      <c r="BN153" s="154">
        <f t="shared" ca="1" si="598"/>
        <v>0</v>
      </c>
      <c r="BO153" s="154">
        <f t="shared" ca="1" si="599"/>
        <v>0</v>
      </c>
      <c r="BP153" s="154">
        <f t="shared" ca="1" si="600"/>
        <v>0</v>
      </c>
      <c r="BQ153" s="154">
        <f t="shared" ca="1" si="601"/>
        <v>0</v>
      </c>
      <c r="BR153" s="154">
        <f t="shared" ca="1" si="602"/>
        <v>0</v>
      </c>
      <c r="BS153" s="154">
        <f t="shared" ca="1" si="603"/>
        <v>0</v>
      </c>
      <c r="BT153" s="154">
        <f t="shared" ca="1" si="604"/>
        <v>0</v>
      </c>
      <c r="BU153" s="154">
        <f t="shared" ca="1" si="605"/>
        <v>0</v>
      </c>
      <c r="BV153" s="154">
        <f t="shared" ca="1" si="606"/>
        <v>0</v>
      </c>
      <c r="BW153" s="154">
        <f t="shared" ca="1" si="607"/>
        <v>0</v>
      </c>
      <c r="BX153" s="154">
        <f t="shared" ca="1" si="608"/>
        <v>0</v>
      </c>
      <c r="BY153" s="154">
        <f t="shared" ca="1" si="609"/>
        <v>0</v>
      </c>
      <c r="BZ153" s="154">
        <f t="shared" si="610"/>
        <v>0</v>
      </c>
      <c r="CA153" s="154">
        <f t="shared" si="611"/>
        <v>0</v>
      </c>
      <c r="CB153" s="154">
        <f t="shared" ca="1" si="612"/>
        <v>0</v>
      </c>
      <c r="CC153" s="523"/>
      <c r="CD153" s="355">
        <f t="shared" si="613"/>
        <v>177</v>
      </c>
      <c r="CE153" s="751" t="str">
        <f t="shared" ca="1" si="614"/>
        <v>B</v>
      </c>
      <c r="CF153" s="355" t="str">
        <f t="shared" ca="1" si="636"/>
        <v/>
      </c>
      <c r="CG153" s="268"/>
      <c r="CH153" s="268"/>
      <c r="CI153" s="269">
        <f t="shared" ca="1" si="615"/>
        <v>0</v>
      </c>
      <c r="CJ153" s="269">
        <f t="shared" ca="1" si="616"/>
        <v>0</v>
      </c>
      <c r="CK153" s="268"/>
      <c r="CL153" s="268"/>
      <c r="CM153" s="268">
        <f t="shared" ca="1" si="632"/>
        <v>0</v>
      </c>
      <c r="CN153" s="269">
        <f t="shared" ca="1" si="633"/>
        <v>0</v>
      </c>
      <c r="CO153" s="268" t="str">
        <f t="shared" ca="1" si="617"/>
        <v>B</v>
      </c>
      <c r="CP153" s="269" t="b">
        <f t="shared" ca="1" si="631"/>
        <v>1</v>
      </c>
      <c r="CQ153" s="269">
        <f t="shared" si="618"/>
        <v>0</v>
      </c>
      <c r="CR153" s="269">
        <f t="shared" si="619"/>
        <v>0</v>
      </c>
      <c r="CS153" s="269">
        <f t="shared" ca="1" si="620"/>
        <v>0</v>
      </c>
      <c r="CT153" s="302" t="str">
        <f t="shared" ca="1" si="519"/>
        <v>0</v>
      </c>
      <c r="CU153" s="269">
        <f t="shared" ca="1" si="621"/>
        <v>0</v>
      </c>
      <c r="CV153" s="268"/>
      <c r="CW153" s="269">
        <f t="shared" ca="1" si="622"/>
        <v>0</v>
      </c>
      <c r="CX153" s="301">
        <f t="shared" ca="1" si="623"/>
        <v>0</v>
      </c>
      <c r="CY153" s="301">
        <f t="shared" ca="1" si="634"/>
        <v>0</v>
      </c>
      <c r="CZ153" s="301">
        <f t="shared" ca="1" si="624"/>
        <v>0</v>
      </c>
      <c r="DA153" s="301">
        <f t="shared" ca="1" si="524"/>
        <v>0</v>
      </c>
      <c r="DB153" t="str">
        <f ca="1">IF(AND(NOT(ISBLANK($F153)),$F153&lt;=$B153),"TaW SE zu klein","")</f>
        <v/>
      </c>
      <c r="DC153" s="301" t="str">
        <f t="shared" ca="1" si="625"/>
        <v/>
      </c>
      <c r="DD153" s="1337" t="str">
        <f t="shared" ca="1" si="628"/>
        <v/>
      </c>
      <c r="DE153" s="1337" t="str">
        <f t="shared" ca="1" si="629"/>
        <v/>
      </c>
      <c r="DG153" s="269" t="str">
        <f t="shared" ca="1" si="626"/>
        <v>Tabellen_Andere!BA125:BF125</v>
      </c>
      <c r="DH153" s="269" t="str">
        <f t="shared" si="527"/>
        <v>Tabellen_Andere!BA125:BF125</v>
      </c>
      <c r="DI153" s="269" t="str">
        <f ca="1">IF(NOT(ISERR(FIND(A153&amp;" ",Abfragen!$O$264,1))),MID(Abfragen!$O$264,FIND("(",Abfragen!$O$264,FIND(A153,Abfragen!$O$264,1)+LEN(A153))+1,FIND(")",Abfragen!$O$264,FIND(A153,Abfragen!$O$264,1)+LEN(A153))-FIND("(",Abfragen!$O$264,FIND(A153,Abfragen!$O$264,1)+LEN(A153))-1),"")</f>
        <v/>
      </c>
      <c r="DJ153" s="301" t="str">
        <f t="shared" ca="1" si="627"/>
        <v>B</v>
      </c>
      <c r="DK153" s="301" t="str">
        <f t="shared" ca="1" si="627"/>
        <v>B</v>
      </c>
      <c r="DL153" s="301" t="str">
        <f t="shared" ca="1" si="627"/>
        <v>B</v>
      </c>
      <c r="DM153" s="301" t="str">
        <f t="shared" ca="1" si="627"/>
        <v>B</v>
      </c>
      <c r="DN153" s="301" t="str">
        <f t="shared" ca="1" si="627"/>
        <v>B</v>
      </c>
      <c r="DO153" s="301" t="str">
        <f t="shared" ca="1" si="627"/>
        <v>B</v>
      </c>
      <c r="DP153" s="301" t="str">
        <f t="shared" ca="1" si="627"/>
        <v>B</v>
      </c>
      <c r="DQ153" s="301" t="str">
        <f t="shared" ca="1" si="627"/>
        <v>B</v>
      </c>
      <c r="DR153" s="301" t="str">
        <f t="shared" ca="1" si="627"/>
        <v>B</v>
      </c>
      <c r="DS153" s="301" t="str">
        <f t="shared" ca="1" si="627"/>
        <v>B</v>
      </c>
      <c r="DT153" s="301" t="str">
        <f t="shared" ca="1" si="627"/>
        <v>B</v>
      </c>
      <c r="DU153" s="301" t="str">
        <f t="shared" ca="1" si="627"/>
        <v>B</v>
      </c>
      <c r="DV153" s="301" t="str">
        <f t="shared" ca="1" si="627"/>
        <v>B</v>
      </c>
      <c r="DW153" s="301" t="str">
        <f t="shared" ca="1" si="627"/>
        <v>B</v>
      </c>
      <c r="DX153" s="301" t="str">
        <f t="shared" ca="1" si="627"/>
        <v>B</v>
      </c>
      <c r="DY153" s="301" t="str">
        <f t="shared" ca="1" si="627"/>
        <v>B</v>
      </c>
      <c r="DZ153" s="301" t="str">
        <f t="shared" ca="1" si="552"/>
        <v>B</v>
      </c>
      <c r="EA153" s="301" t="str">
        <f t="shared" ca="1" si="552"/>
        <v>B</v>
      </c>
      <c r="EB153" s="301" t="str">
        <f t="shared" ca="1" si="552"/>
        <v>B</v>
      </c>
      <c r="EC153" s="301" t="str">
        <f t="shared" ca="1" si="552"/>
        <v>B</v>
      </c>
      <c r="ED153" s="301" t="str">
        <f t="shared" ca="1" si="552"/>
        <v>B</v>
      </c>
      <c r="EE153" s="301" t="str">
        <f t="shared" ca="1" si="552"/>
        <v>B</v>
      </c>
      <c r="EF153" s="205"/>
      <c r="EG153" s="301" t="str">
        <f t="shared" ca="1" si="637"/>
        <v>B</v>
      </c>
      <c r="EH153" s="301" t="str">
        <f t="shared" ca="1" si="637"/>
        <v>B</v>
      </c>
      <c r="EI153" s="301" t="str">
        <f t="shared" ca="1" si="637"/>
        <v>B</v>
      </c>
      <c r="EJ153" s="301" t="str">
        <f t="shared" ca="1" si="637"/>
        <v>B</v>
      </c>
      <c r="EK153" s="301" t="str">
        <f t="shared" ca="1" si="637"/>
        <v>B</v>
      </c>
      <c r="EL153" s="301" t="str">
        <f t="shared" ca="1" si="637"/>
        <v>B</v>
      </c>
      <c r="EM153" s="301" t="str">
        <f t="shared" ca="1" si="637"/>
        <v>B</v>
      </c>
      <c r="EN153" s="301" t="str">
        <f t="shared" ca="1" si="637"/>
        <v>B</v>
      </c>
      <c r="EO153" s="301" t="str">
        <f t="shared" ca="1" si="637"/>
        <v>B</v>
      </c>
      <c r="EP153" s="301" t="str">
        <f t="shared" ca="1" si="637"/>
        <v>B</v>
      </c>
      <c r="EQ153" s="301" t="str">
        <f t="shared" ca="1" si="638"/>
        <v>B</v>
      </c>
      <c r="ER153" s="301" t="str">
        <f t="shared" ca="1" si="638"/>
        <v>B</v>
      </c>
      <c r="ES153" s="301" t="str">
        <f t="shared" ca="1" si="638"/>
        <v>B</v>
      </c>
      <c r="ET153" s="301" t="str">
        <f t="shared" ca="1" si="638"/>
        <v>B</v>
      </c>
      <c r="EU153" s="301" t="str">
        <f t="shared" ca="1" si="638"/>
        <v>B</v>
      </c>
      <c r="EV153" s="301" t="str">
        <f t="shared" ca="1" si="638"/>
        <v>B</v>
      </c>
      <c r="EW153" s="301" t="str">
        <f t="shared" ca="1" si="638"/>
        <v>B</v>
      </c>
      <c r="EX153" s="301" t="str">
        <f t="shared" ca="1" si="638"/>
        <v>B</v>
      </c>
      <c r="EY153" s="301" t="str">
        <f t="shared" ca="1" si="638"/>
        <v>B</v>
      </c>
      <c r="EZ153" s="301" t="str">
        <f t="shared" ca="1" si="638"/>
        <v>B</v>
      </c>
      <c r="FA153" s="301" t="str">
        <f t="shared" ca="1" si="639"/>
        <v>B</v>
      </c>
      <c r="FB153" s="301" t="str">
        <f t="shared" ca="1" si="639"/>
        <v>B</v>
      </c>
      <c r="FC153" s="301" t="str">
        <f t="shared" ca="1" si="639"/>
        <v>B</v>
      </c>
      <c r="FD153" s="301" t="str">
        <f t="shared" ca="1" si="639"/>
        <v>B</v>
      </c>
      <c r="FE153" s="301" t="str">
        <f t="shared" ca="1" si="639"/>
        <v>B</v>
      </c>
      <c r="FF153" s="301" t="str">
        <f t="shared" ca="1" si="639"/>
        <v>B</v>
      </c>
      <c r="FG153" s="301" t="str">
        <f t="shared" ca="1" si="639"/>
        <v>B</v>
      </c>
      <c r="FH153" s="301" t="str">
        <f t="shared" ca="1" si="639"/>
        <v>B</v>
      </c>
      <c r="FI153" s="301" t="str">
        <f t="shared" ca="1" si="639"/>
        <v>B</v>
      </c>
      <c r="FJ153" s="301" t="str">
        <f t="shared" ca="1" si="639"/>
        <v>B</v>
      </c>
      <c r="FK153" s="301" t="str">
        <f t="shared" ca="1" si="639"/>
        <v>B</v>
      </c>
      <c r="FL153" s="301" t="str">
        <f t="shared" ca="1" si="639"/>
        <v>B</v>
      </c>
    </row>
    <row r="154" spans="1:168" x14ac:dyDescent="0.2">
      <c r="A154" s="38" t="str">
        <f t="shared" si="533"/>
        <v>Viehzucht</v>
      </c>
      <c r="B154" s="317" t="str">
        <f t="shared" ca="1" si="553"/>
        <v/>
      </c>
      <c r="C154" s="332" t="str">
        <f t="shared" ca="1" si="635"/>
        <v/>
      </c>
      <c r="D154" s="1110"/>
      <c r="E154" s="966"/>
      <c r="F154" s="325"/>
      <c r="G154" s="958"/>
      <c r="H154" s="1196"/>
      <c r="I154" s="326"/>
      <c r="J154" s="1886" t="str">
        <f t="shared" ca="1" si="450"/>
        <v/>
      </c>
      <c r="K154" s="1887"/>
      <c r="L154" s="1887"/>
      <c r="M154" s="1887"/>
      <c r="N154" s="1888"/>
      <c r="O154" s="613" t="str">
        <f t="shared" ca="1" si="554"/>
        <v/>
      </c>
      <c r="P154" s="90"/>
      <c r="Q154" s="25"/>
      <c r="R154" s="1313"/>
      <c r="S154" s="1313"/>
      <c r="T154" s="1315"/>
      <c r="U154" s="1283"/>
      <c r="V154" s="628" t="str">
        <f t="shared" ca="1" si="555"/>
        <v/>
      </c>
      <c r="W154" s="164">
        <f t="shared" ca="1" si="556"/>
        <v>0</v>
      </c>
      <c r="X154" s="164">
        <f t="shared" ca="1" si="557"/>
        <v>0</v>
      </c>
      <c r="Y154" s="164">
        <f t="shared" ca="1" si="558"/>
        <v>0</v>
      </c>
      <c r="Z154" s="164">
        <f t="shared" ca="1" si="559"/>
        <v>0</v>
      </c>
      <c r="AA154" s="164">
        <f t="shared" ca="1" si="560"/>
        <v>0</v>
      </c>
      <c r="AB154" s="164">
        <f t="shared" ca="1" si="561"/>
        <v>0</v>
      </c>
      <c r="AC154" s="164">
        <f t="shared" ca="1" si="562"/>
        <v>0</v>
      </c>
      <c r="AD154" s="164">
        <f t="shared" ca="1" si="563"/>
        <v>0</v>
      </c>
      <c r="AE154" s="164">
        <f t="shared" ca="1" si="564"/>
        <v>0</v>
      </c>
      <c r="AF154" s="164">
        <f t="shared" ca="1" si="565"/>
        <v>0</v>
      </c>
      <c r="AG154" s="164">
        <f t="shared" ca="1" si="566"/>
        <v>0</v>
      </c>
      <c r="AH154" s="164">
        <f t="shared" ca="1" si="567"/>
        <v>0</v>
      </c>
      <c r="AI154" s="164">
        <f t="shared" ca="1" si="568"/>
        <v>0</v>
      </c>
      <c r="AJ154" s="164">
        <f t="shared" ca="1" si="569"/>
        <v>0</v>
      </c>
      <c r="AK154" s="164">
        <f t="shared" ca="1" si="570"/>
        <v>0</v>
      </c>
      <c r="AL154" s="164">
        <f t="shared" ca="1" si="571"/>
        <v>0</v>
      </c>
      <c r="AM154" s="164">
        <f t="shared" ca="1" si="572"/>
        <v>0</v>
      </c>
      <c r="AN154" s="164">
        <f t="shared" ca="1" si="573"/>
        <v>0</v>
      </c>
      <c r="AO154" s="164">
        <f t="shared" ca="1" si="574"/>
        <v>0</v>
      </c>
      <c r="AP154" s="164">
        <f t="shared" ca="1" si="575"/>
        <v>0</v>
      </c>
      <c r="AQ154" s="164">
        <f t="shared" ca="1" si="576"/>
        <v>0</v>
      </c>
      <c r="AR154" s="164">
        <f t="shared" ca="1" si="577"/>
        <v>0</v>
      </c>
      <c r="AS154" s="195"/>
      <c r="AT154" s="154">
        <f t="shared" ca="1" si="578"/>
        <v>0</v>
      </c>
      <c r="AU154" s="154">
        <f t="shared" ca="1" si="579"/>
        <v>0</v>
      </c>
      <c r="AV154" s="154">
        <f t="shared" ca="1" si="580"/>
        <v>0</v>
      </c>
      <c r="AW154" s="154">
        <f t="shared" ca="1" si="581"/>
        <v>0</v>
      </c>
      <c r="AX154" s="154">
        <f t="shared" ca="1" si="582"/>
        <v>0</v>
      </c>
      <c r="AY154" s="154">
        <f t="shared" ca="1" si="583"/>
        <v>0</v>
      </c>
      <c r="AZ154" s="154">
        <f t="shared" ca="1" si="584"/>
        <v>0</v>
      </c>
      <c r="BA154" s="154">
        <f t="shared" ca="1" si="585"/>
        <v>0</v>
      </c>
      <c r="BB154" s="154">
        <f t="shared" ca="1" si="586"/>
        <v>0</v>
      </c>
      <c r="BC154" s="154">
        <f t="shared" ca="1" si="587"/>
        <v>0</v>
      </c>
      <c r="BD154" s="154">
        <f t="shared" ca="1" si="588"/>
        <v>0</v>
      </c>
      <c r="BE154" s="154">
        <f t="shared" ca="1" si="589"/>
        <v>0</v>
      </c>
      <c r="BF154" s="154">
        <f t="shared" ca="1" si="590"/>
        <v>0</v>
      </c>
      <c r="BG154" s="154">
        <f t="shared" ca="1" si="591"/>
        <v>0</v>
      </c>
      <c r="BH154" s="154">
        <f t="shared" ca="1" si="592"/>
        <v>0</v>
      </c>
      <c r="BI154" s="154">
        <f t="shared" ca="1" si="593"/>
        <v>0</v>
      </c>
      <c r="BJ154" s="154">
        <f t="shared" ca="1" si="594"/>
        <v>0</v>
      </c>
      <c r="BK154" s="154">
        <f t="shared" ca="1" si="595"/>
        <v>0</v>
      </c>
      <c r="BL154" s="154">
        <f t="shared" ca="1" si="596"/>
        <v>0</v>
      </c>
      <c r="BM154" s="154">
        <f t="shared" ca="1" si="597"/>
        <v>0</v>
      </c>
      <c r="BN154" s="154">
        <f t="shared" ca="1" si="598"/>
        <v>0</v>
      </c>
      <c r="BO154" s="154">
        <f t="shared" ca="1" si="599"/>
        <v>0</v>
      </c>
      <c r="BP154" s="154">
        <f t="shared" ca="1" si="600"/>
        <v>0</v>
      </c>
      <c r="BQ154" s="154">
        <f t="shared" ca="1" si="601"/>
        <v>0</v>
      </c>
      <c r="BR154" s="154">
        <f t="shared" ca="1" si="602"/>
        <v>0</v>
      </c>
      <c r="BS154" s="154">
        <f t="shared" ca="1" si="603"/>
        <v>0</v>
      </c>
      <c r="BT154" s="154">
        <f t="shared" ca="1" si="604"/>
        <v>0</v>
      </c>
      <c r="BU154" s="154">
        <f t="shared" ca="1" si="605"/>
        <v>0</v>
      </c>
      <c r="BV154" s="154">
        <f t="shared" ca="1" si="606"/>
        <v>0</v>
      </c>
      <c r="BW154" s="154">
        <f t="shared" ca="1" si="607"/>
        <v>0</v>
      </c>
      <c r="BX154" s="154">
        <f t="shared" ca="1" si="608"/>
        <v>0</v>
      </c>
      <c r="BY154" s="154">
        <f t="shared" ca="1" si="609"/>
        <v>0</v>
      </c>
      <c r="BZ154" s="154">
        <f t="shared" si="610"/>
        <v>0</v>
      </c>
      <c r="CA154" s="154">
        <f t="shared" si="611"/>
        <v>0</v>
      </c>
      <c r="CB154" s="154">
        <f t="shared" ca="1" si="612"/>
        <v>0</v>
      </c>
      <c r="CC154" s="523"/>
      <c r="CD154" s="355">
        <f t="shared" si="613"/>
        <v>178</v>
      </c>
      <c r="CE154" s="751" t="str">
        <f t="shared" ca="1" si="614"/>
        <v>B</v>
      </c>
      <c r="CF154" s="355" t="str">
        <f t="shared" ca="1" si="636"/>
        <v/>
      </c>
      <c r="CG154" s="268"/>
      <c r="CH154" s="268"/>
      <c r="CI154" s="269">
        <f t="shared" ca="1" si="615"/>
        <v>0</v>
      </c>
      <c r="CJ154" s="269">
        <f t="shared" ca="1" si="616"/>
        <v>0</v>
      </c>
      <c r="CK154" s="268"/>
      <c r="CL154" s="268"/>
      <c r="CM154" s="268">
        <f t="shared" ca="1" si="632"/>
        <v>0</v>
      </c>
      <c r="CN154" s="269">
        <f t="shared" ca="1" si="633"/>
        <v>0</v>
      </c>
      <c r="CO154" s="268" t="str">
        <f t="shared" ca="1" si="617"/>
        <v>B</v>
      </c>
      <c r="CP154" s="269" t="b">
        <f t="shared" ca="1" si="631"/>
        <v>1</v>
      </c>
      <c r="CQ154" s="269">
        <f t="shared" si="618"/>
        <v>0</v>
      </c>
      <c r="CR154" s="269">
        <f t="shared" si="619"/>
        <v>0</v>
      </c>
      <c r="CS154" s="269">
        <f t="shared" ca="1" si="620"/>
        <v>0</v>
      </c>
      <c r="CT154" s="302" t="str">
        <f t="shared" ca="1" si="519"/>
        <v>0</v>
      </c>
      <c r="CU154" s="269">
        <f t="shared" ca="1" si="621"/>
        <v>0</v>
      </c>
      <c r="CV154" s="268"/>
      <c r="CW154" s="269">
        <f t="shared" ca="1" si="622"/>
        <v>0</v>
      </c>
      <c r="CX154" s="301">
        <f t="shared" ca="1" si="623"/>
        <v>0</v>
      </c>
      <c r="CY154" s="301">
        <f t="shared" ca="1" si="634"/>
        <v>0</v>
      </c>
      <c r="CZ154" s="301">
        <f t="shared" ca="1" si="624"/>
        <v>0</v>
      </c>
      <c r="DA154" s="301">
        <f t="shared" ca="1" si="524"/>
        <v>0</v>
      </c>
      <c r="DB154" t="str">
        <f ca="1">IF(AND(NOT(ISBLANK($F154)),$F154&lt;=$B154),"TaW SE zu klein","")</f>
        <v/>
      </c>
      <c r="DC154" s="301" t="str">
        <f t="shared" ca="1" si="625"/>
        <v/>
      </c>
      <c r="DD154" s="1337" t="str">
        <f t="shared" ca="1" si="628"/>
        <v/>
      </c>
      <c r="DE154" s="1337" t="str">
        <f t="shared" ca="1" si="629"/>
        <v/>
      </c>
      <c r="DG154" s="269" t="str">
        <f t="shared" ca="1" si="626"/>
        <v>Tabellen_Andere!BA128:BF128</v>
      </c>
      <c r="DH154" s="269" t="str">
        <f t="shared" si="527"/>
        <v>Tabellen_Andere!BA128:BF128</v>
      </c>
      <c r="DI154" s="269" t="str">
        <f ca="1">IF(NOT(ISERR(FIND(A154&amp;" ",Abfragen!$O$264,1))),MID(Abfragen!$O$264,FIND("(",Abfragen!$O$264,FIND(A154,Abfragen!$O$264,1)+LEN(A154))+1,FIND(")",Abfragen!$O$264,FIND(A154,Abfragen!$O$264,1)+LEN(A154))-FIND("(",Abfragen!$O$264,FIND(A154,Abfragen!$O$264,1)+LEN(A154))-1),"")</f>
        <v/>
      </c>
      <c r="DJ154" s="301" t="str">
        <f t="shared" ca="1" si="627"/>
        <v>B</v>
      </c>
      <c r="DK154" s="301" t="str">
        <f t="shared" ca="1" si="627"/>
        <v>B</v>
      </c>
      <c r="DL154" s="301" t="str">
        <f t="shared" ca="1" si="627"/>
        <v>B</v>
      </c>
      <c r="DM154" s="301" t="str">
        <f t="shared" ca="1" si="627"/>
        <v>B</v>
      </c>
      <c r="DN154" s="301" t="str">
        <f t="shared" ca="1" si="627"/>
        <v>B</v>
      </c>
      <c r="DO154" s="301" t="str">
        <f t="shared" ca="1" si="627"/>
        <v>B</v>
      </c>
      <c r="DP154" s="301" t="str">
        <f t="shared" ca="1" si="627"/>
        <v>B</v>
      </c>
      <c r="DQ154" s="301" t="str">
        <f t="shared" ca="1" si="627"/>
        <v>B</v>
      </c>
      <c r="DR154" s="301" t="str">
        <f t="shared" ca="1" si="627"/>
        <v>B</v>
      </c>
      <c r="DS154" s="301" t="str">
        <f t="shared" ca="1" si="627"/>
        <v>B</v>
      </c>
      <c r="DT154" s="301" t="str">
        <f t="shared" ca="1" si="627"/>
        <v>B</v>
      </c>
      <c r="DU154" s="301" t="str">
        <f t="shared" ca="1" si="627"/>
        <v>B</v>
      </c>
      <c r="DV154" s="301" t="str">
        <f t="shared" ca="1" si="627"/>
        <v>B</v>
      </c>
      <c r="DW154" s="301" t="str">
        <f t="shared" ca="1" si="627"/>
        <v>B</v>
      </c>
      <c r="DX154" s="301" t="str">
        <f t="shared" ca="1" si="627"/>
        <v>B</v>
      </c>
      <c r="DY154" s="301" t="str">
        <f t="shared" ref="DY154:EE157" ca="1" si="640">IF(ISERR(FIND(";"&amp;DY$13&amp;":0;",$F154)),
CHAR(CODE($CE154)+SUM(IF(ISERR(FIND(";"&amp;DY$13&amp;";",$F154)),0,-1),IF(ISERR(FIND(";"&amp;DY$13&amp;":",$F154)),0,-VALUE(MID($F154,FIND(";"&amp;DY$13&amp;":",$F154)+LEN(DY$13)+2,1))))),0)</f>
        <v>B</v>
      </c>
      <c r="DZ154" s="301" t="str">
        <f t="shared" ca="1" si="640"/>
        <v>B</v>
      </c>
      <c r="EA154" s="301" t="str">
        <f t="shared" ca="1" si="640"/>
        <v>B</v>
      </c>
      <c r="EB154" s="301" t="str">
        <f t="shared" ca="1" si="640"/>
        <v>B</v>
      </c>
      <c r="EC154" s="301" t="str">
        <f t="shared" ca="1" si="640"/>
        <v>B</v>
      </c>
      <c r="ED154" s="301" t="str">
        <f t="shared" ca="1" si="640"/>
        <v>B</v>
      </c>
      <c r="EE154" s="301" t="str">
        <f t="shared" ca="1" si="640"/>
        <v>B</v>
      </c>
      <c r="EF154" s="205"/>
      <c r="EG154" s="301" t="str">
        <f t="shared" ca="1" si="637"/>
        <v>B</v>
      </c>
      <c r="EH154" s="301" t="str">
        <f t="shared" ca="1" si="637"/>
        <v>B</v>
      </c>
      <c r="EI154" s="301" t="str">
        <f t="shared" ca="1" si="637"/>
        <v>B</v>
      </c>
      <c r="EJ154" s="301" t="str">
        <f t="shared" ca="1" si="637"/>
        <v>B</v>
      </c>
      <c r="EK154" s="301" t="str">
        <f t="shared" ca="1" si="637"/>
        <v>B</v>
      </c>
      <c r="EL154" s="301" t="str">
        <f t="shared" ca="1" si="637"/>
        <v>B</v>
      </c>
      <c r="EM154" s="301" t="str">
        <f t="shared" ca="1" si="637"/>
        <v>B</v>
      </c>
      <c r="EN154" s="301" t="str">
        <f t="shared" ca="1" si="637"/>
        <v>B</v>
      </c>
      <c r="EO154" s="301" t="str">
        <f t="shared" ca="1" si="637"/>
        <v>B</v>
      </c>
      <c r="EP154" s="301" t="str">
        <f t="shared" ca="1" si="637"/>
        <v>B</v>
      </c>
      <c r="EQ154" s="301" t="str">
        <f t="shared" ca="1" si="638"/>
        <v>B</v>
      </c>
      <c r="ER154" s="301" t="str">
        <f t="shared" ca="1" si="638"/>
        <v>B</v>
      </c>
      <c r="ES154" s="301" t="str">
        <f t="shared" ca="1" si="638"/>
        <v>B</v>
      </c>
      <c r="ET154" s="301" t="str">
        <f t="shared" ca="1" si="638"/>
        <v>B</v>
      </c>
      <c r="EU154" s="301" t="str">
        <f t="shared" ca="1" si="638"/>
        <v>B</v>
      </c>
      <c r="EV154" s="301" t="str">
        <f t="shared" ca="1" si="638"/>
        <v>B</v>
      </c>
      <c r="EW154" s="301" t="str">
        <f t="shared" ca="1" si="638"/>
        <v>B</v>
      </c>
      <c r="EX154" s="301" t="str">
        <f t="shared" ca="1" si="638"/>
        <v>B</v>
      </c>
      <c r="EY154" s="301" t="str">
        <f t="shared" ca="1" si="638"/>
        <v>B</v>
      </c>
      <c r="EZ154" s="301" t="str">
        <f t="shared" ca="1" si="638"/>
        <v>B</v>
      </c>
      <c r="FA154" s="301" t="str">
        <f t="shared" ca="1" si="639"/>
        <v>B</v>
      </c>
      <c r="FB154" s="301" t="str">
        <f t="shared" ca="1" si="639"/>
        <v>B</v>
      </c>
      <c r="FC154" s="301" t="str">
        <f t="shared" ca="1" si="639"/>
        <v>B</v>
      </c>
      <c r="FD154" s="301" t="str">
        <f t="shared" ca="1" si="639"/>
        <v>B</v>
      </c>
      <c r="FE154" s="301" t="str">
        <f t="shared" ca="1" si="639"/>
        <v>B</v>
      </c>
      <c r="FF154" s="301" t="str">
        <f t="shared" ca="1" si="639"/>
        <v>B</v>
      </c>
      <c r="FG154" s="301" t="str">
        <f t="shared" ca="1" si="639"/>
        <v>B</v>
      </c>
      <c r="FH154" s="301" t="str">
        <f t="shared" ca="1" si="639"/>
        <v>B</v>
      </c>
      <c r="FI154" s="301" t="str">
        <f t="shared" ca="1" si="639"/>
        <v>B</v>
      </c>
      <c r="FJ154" s="301" t="str">
        <f t="shared" ca="1" si="639"/>
        <v>B</v>
      </c>
      <c r="FK154" s="301" t="str">
        <f t="shared" ca="1" si="639"/>
        <v>B</v>
      </c>
      <c r="FL154" s="301" t="str">
        <f t="shared" ca="1" si="639"/>
        <v>B</v>
      </c>
    </row>
    <row r="155" spans="1:168" x14ac:dyDescent="0.2">
      <c r="A155" s="38" t="str">
        <f t="shared" si="533"/>
        <v>Webkunst</v>
      </c>
      <c r="B155" s="317" t="str">
        <f t="shared" ca="1" si="553"/>
        <v/>
      </c>
      <c r="C155" s="332" t="str">
        <f t="shared" ca="1" si="635"/>
        <v/>
      </c>
      <c r="D155" s="1110"/>
      <c r="E155" s="966"/>
      <c r="F155" s="325"/>
      <c r="G155" s="958"/>
      <c r="H155" s="1196"/>
      <c r="I155" s="326"/>
      <c r="J155" s="1886" t="str">
        <f t="shared" ca="1" si="450"/>
        <v/>
      </c>
      <c r="K155" s="1887"/>
      <c r="L155" s="1887"/>
      <c r="M155" s="1887"/>
      <c r="N155" s="1888"/>
      <c r="O155" s="613" t="str">
        <f t="shared" ca="1" si="554"/>
        <v/>
      </c>
      <c r="P155" s="90"/>
      <c r="Q155" s="25"/>
      <c r="R155" s="1313"/>
      <c r="S155" s="1313"/>
      <c r="T155" s="1315"/>
      <c r="U155" s="1283"/>
      <c r="V155" s="628" t="str">
        <f t="shared" ca="1" si="555"/>
        <v/>
      </c>
      <c r="W155" s="164">
        <f t="shared" ca="1" si="556"/>
        <v>0</v>
      </c>
      <c r="X155" s="164">
        <f t="shared" ca="1" si="557"/>
        <v>0</v>
      </c>
      <c r="Y155" s="164">
        <f t="shared" ca="1" si="558"/>
        <v>0</v>
      </c>
      <c r="Z155" s="164">
        <f t="shared" ca="1" si="559"/>
        <v>0</v>
      </c>
      <c r="AA155" s="164">
        <f t="shared" ca="1" si="560"/>
        <v>0</v>
      </c>
      <c r="AB155" s="164">
        <f t="shared" ca="1" si="561"/>
        <v>0</v>
      </c>
      <c r="AC155" s="164">
        <f t="shared" ca="1" si="562"/>
        <v>0</v>
      </c>
      <c r="AD155" s="164">
        <f t="shared" ca="1" si="563"/>
        <v>0</v>
      </c>
      <c r="AE155" s="164">
        <f t="shared" ca="1" si="564"/>
        <v>0</v>
      </c>
      <c r="AF155" s="164">
        <f t="shared" ca="1" si="565"/>
        <v>0</v>
      </c>
      <c r="AG155" s="164">
        <f t="shared" ca="1" si="566"/>
        <v>0</v>
      </c>
      <c r="AH155" s="164">
        <f t="shared" ca="1" si="567"/>
        <v>0</v>
      </c>
      <c r="AI155" s="164">
        <f t="shared" ca="1" si="568"/>
        <v>0</v>
      </c>
      <c r="AJ155" s="164">
        <f t="shared" ca="1" si="569"/>
        <v>0</v>
      </c>
      <c r="AK155" s="164">
        <f t="shared" ca="1" si="570"/>
        <v>0</v>
      </c>
      <c r="AL155" s="164">
        <f t="shared" ca="1" si="571"/>
        <v>0</v>
      </c>
      <c r="AM155" s="164">
        <f t="shared" ca="1" si="572"/>
        <v>0</v>
      </c>
      <c r="AN155" s="164">
        <f t="shared" ca="1" si="573"/>
        <v>0</v>
      </c>
      <c r="AO155" s="164">
        <f t="shared" ca="1" si="574"/>
        <v>0</v>
      </c>
      <c r="AP155" s="164">
        <f t="shared" ca="1" si="575"/>
        <v>0</v>
      </c>
      <c r="AQ155" s="164">
        <f t="shared" ca="1" si="576"/>
        <v>0</v>
      </c>
      <c r="AR155" s="164">
        <f t="shared" ca="1" si="577"/>
        <v>0</v>
      </c>
      <c r="AS155" s="195"/>
      <c r="AT155" s="154">
        <f t="shared" ca="1" si="578"/>
        <v>0</v>
      </c>
      <c r="AU155" s="154">
        <f t="shared" ca="1" si="579"/>
        <v>0</v>
      </c>
      <c r="AV155" s="154">
        <f t="shared" ca="1" si="580"/>
        <v>0</v>
      </c>
      <c r="AW155" s="154">
        <f t="shared" ca="1" si="581"/>
        <v>0</v>
      </c>
      <c r="AX155" s="154">
        <f t="shared" ca="1" si="582"/>
        <v>0</v>
      </c>
      <c r="AY155" s="154">
        <f t="shared" ca="1" si="583"/>
        <v>0</v>
      </c>
      <c r="AZ155" s="154">
        <f t="shared" ca="1" si="584"/>
        <v>0</v>
      </c>
      <c r="BA155" s="154">
        <f t="shared" ca="1" si="585"/>
        <v>0</v>
      </c>
      <c r="BB155" s="154">
        <f t="shared" ca="1" si="586"/>
        <v>0</v>
      </c>
      <c r="BC155" s="154">
        <f t="shared" ca="1" si="587"/>
        <v>0</v>
      </c>
      <c r="BD155" s="154">
        <f t="shared" ca="1" si="588"/>
        <v>0</v>
      </c>
      <c r="BE155" s="154">
        <f t="shared" ca="1" si="589"/>
        <v>0</v>
      </c>
      <c r="BF155" s="154">
        <f t="shared" ca="1" si="590"/>
        <v>0</v>
      </c>
      <c r="BG155" s="154">
        <f t="shared" ca="1" si="591"/>
        <v>0</v>
      </c>
      <c r="BH155" s="154">
        <f t="shared" ca="1" si="592"/>
        <v>0</v>
      </c>
      <c r="BI155" s="154">
        <f t="shared" ca="1" si="593"/>
        <v>0</v>
      </c>
      <c r="BJ155" s="154">
        <f t="shared" ca="1" si="594"/>
        <v>0</v>
      </c>
      <c r="BK155" s="154">
        <f t="shared" ca="1" si="595"/>
        <v>0</v>
      </c>
      <c r="BL155" s="154">
        <f t="shared" ca="1" si="596"/>
        <v>0</v>
      </c>
      <c r="BM155" s="154">
        <f t="shared" ca="1" si="597"/>
        <v>0</v>
      </c>
      <c r="BN155" s="154">
        <f t="shared" ca="1" si="598"/>
        <v>0</v>
      </c>
      <c r="BO155" s="154">
        <f t="shared" ca="1" si="599"/>
        <v>0</v>
      </c>
      <c r="BP155" s="154">
        <f t="shared" ca="1" si="600"/>
        <v>0</v>
      </c>
      <c r="BQ155" s="154">
        <f t="shared" ca="1" si="601"/>
        <v>0</v>
      </c>
      <c r="BR155" s="154">
        <f t="shared" ca="1" si="602"/>
        <v>0</v>
      </c>
      <c r="BS155" s="154">
        <f t="shared" ca="1" si="603"/>
        <v>0</v>
      </c>
      <c r="BT155" s="154">
        <f t="shared" ca="1" si="604"/>
        <v>0</v>
      </c>
      <c r="BU155" s="154">
        <f t="shared" ca="1" si="605"/>
        <v>0</v>
      </c>
      <c r="BV155" s="154">
        <f t="shared" ca="1" si="606"/>
        <v>0</v>
      </c>
      <c r="BW155" s="154">
        <f t="shared" ca="1" si="607"/>
        <v>0</v>
      </c>
      <c r="BX155" s="154">
        <f t="shared" ca="1" si="608"/>
        <v>0</v>
      </c>
      <c r="BY155" s="154">
        <f t="shared" ca="1" si="609"/>
        <v>0</v>
      </c>
      <c r="BZ155" s="154">
        <f t="shared" si="610"/>
        <v>0</v>
      </c>
      <c r="CA155" s="154">
        <f t="shared" si="611"/>
        <v>0</v>
      </c>
      <c r="CB155" s="154">
        <f t="shared" ca="1" si="612"/>
        <v>0</v>
      </c>
      <c r="CC155" s="523"/>
      <c r="CD155" s="355">
        <f t="shared" si="613"/>
        <v>179</v>
      </c>
      <c r="CE155" s="751" t="str">
        <f t="shared" ca="1" si="614"/>
        <v>B</v>
      </c>
      <c r="CF155" s="355" t="str">
        <f t="shared" ca="1" si="636"/>
        <v/>
      </c>
      <c r="CG155" s="268"/>
      <c r="CH155" s="268"/>
      <c r="CI155" s="269">
        <f t="shared" ca="1" si="615"/>
        <v>0</v>
      </c>
      <c r="CJ155" s="269">
        <f t="shared" ca="1" si="616"/>
        <v>0</v>
      </c>
      <c r="CK155" s="268"/>
      <c r="CL155" s="268"/>
      <c r="CM155" s="268">
        <f t="shared" ca="1" si="632"/>
        <v>0</v>
      </c>
      <c r="CN155" s="269">
        <f t="shared" ca="1" si="633"/>
        <v>0</v>
      </c>
      <c r="CO155" s="268" t="str">
        <f t="shared" ca="1" si="617"/>
        <v>B</v>
      </c>
      <c r="CP155" s="269" t="b">
        <f t="shared" ca="1" si="631"/>
        <v>1</v>
      </c>
      <c r="CQ155" s="269">
        <f t="shared" si="618"/>
        <v>0</v>
      </c>
      <c r="CR155" s="269">
        <f t="shared" si="619"/>
        <v>0</v>
      </c>
      <c r="CS155" s="269">
        <f t="shared" ca="1" si="620"/>
        <v>0</v>
      </c>
      <c r="CT155" s="302" t="str">
        <f t="shared" ca="1" si="519"/>
        <v>0</v>
      </c>
      <c r="CU155" s="269">
        <f t="shared" ca="1" si="621"/>
        <v>0</v>
      </c>
      <c r="CV155" s="268"/>
      <c r="CW155" s="269">
        <f t="shared" ca="1" si="622"/>
        <v>0</v>
      </c>
      <c r="CX155" s="301">
        <f t="shared" ca="1" si="623"/>
        <v>0</v>
      </c>
      <c r="CY155" s="301">
        <f t="shared" ca="1" si="634"/>
        <v>0</v>
      </c>
      <c r="CZ155" s="301">
        <f t="shared" ca="1" si="624"/>
        <v>0</v>
      </c>
      <c r="DA155" s="301">
        <f t="shared" ca="1" si="524"/>
        <v>0</v>
      </c>
      <c r="DB155" t="str">
        <f ca="1">IF(AND(NOT(ISBLANK($F155)),$F155&lt;=$B155),"TaW SE zu klein","")</f>
        <v/>
      </c>
      <c r="DC155" s="301" t="str">
        <f t="shared" ca="1" si="625"/>
        <v/>
      </c>
      <c r="DD155" s="1337" t="str">
        <f t="shared" ca="1" si="628"/>
        <v/>
      </c>
      <c r="DE155" s="1337" t="str">
        <f t="shared" ca="1" si="629"/>
        <v/>
      </c>
      <c r="DG155" s="269" t="str">
        <f t="shared" ca="1" si="626"/>
        <v>Tabellen_Andere!BA129:BF129</v>
      </c>
      <c r="DH155" s="269" t="str">
        <f t="shared" si="527"/>
        <v>Tabellen_Andere!BA129:BF129</v>
      </c>
      <c r="DI155" s="269" t="str">
        <f ca="1">IF(NOT(ISERR(FIND(A155&amp;" ",Abfragen!$O$264,1))),MID(Abfragen!$O$264,FIND("(",Abfragen!$O$264,FIND(A155,Abfragen!$O$264,1)+LEN(A155))+1,FIND(")",Abfragen!$O$264,FIND(A155,Abfragen!$O$264,1)+LEN(A155))-FIND("(",Abfragen!$O$264,FIND(A155,Abfragen!$O$264,1)+LEN(A155))-1),"")</f>
        <v/>
      </c>
      <c r="DJ155" s="301" t="str">
        <f t="shared" ref="DJ155:DY157" ca="1" si="641">IF(ISERR(FIND(";"&amp;DJ$13&amp;":0;",$F155)),
CHAR(CODE($CE155)+SUM(IF(ISERR(FIND(";"&amp;DJ$13&amp;";",$F155)),0,-1),IF(ISERR(FIND(";"&amp;DJ$13&amp;":",$F155)),0,-VALUE(MID($F155,FIND(";"&amp;DJ$13&amp;":",$F155)+LEN(DJ$13)+2,1))))),0)</f>
        <v>B</v>
      </c>
      <c r="DK155" s="301" t="str">
        <f t="shared" ca="1" si="641"/>
        <v>B</v>
      </c>
      <c r="DL155" s="301" t="str">
        <f t="shared" ca="1" si="641"/>
        <v>B</v>
      </c>
      <c r="DM155" s="301" t="str">
        <f t="shared" ca="1" si="641"/>
        <v>B</v>
      </c>
      <c r="DN155" s="301" t="str">
        <f t="shared" ca="1" si="641"/>
        <v>B</v>
      </c>
      <c r="DO155" s="301" t="str">
        <f t="shared" ca="1" si="641"/>
        <v>B</v>
      </c>
      <c r="DP155" s="301" t="str">
        <f t="shared" ca="1" si="641"/>
        <v>B</v>
      </c>
      <c r="DQ155" s="301" t="str">
        <f t="shared" ca="1" si="641"/>
        <v>B</v>
      </c>
      <c r="DR155" s="301" t="str">
        <f t="shared" ca="1" si="641"/>
        <v>B</v>
      </c>
      <c r="DS155" s="301" t="str">
        <f t="shared" ca="1" si="641"/>
        <v>B</v>
      </c>
      <c r="DT155" s="301" t="str">
        <f t="shared" ca="1" si="641"/>
        <v>B</v>
      </c>
      <c r="DU155" s="301" t="str">
        <f t="shared" ca="1" si="641"/>
        <v>B</v>
      </c>
      <c r="DV155" s="301" t="str">
        <f t="shared" ca="1" si="641"/>
        <v>B</v>
      </c>
      <c r="DW155" s="301" t="str">
        <f t="shared" ca="1" si="641"/>
        <v>B</v>
      </c>
      <c r="DX155" s="301" t="str">
        <f t="shared" ca="1" si="641"/>
        <v>B</v>
      </c>
      <c r="DY155" s="301" t="str">
        <f t="shared" ca="1" si="641"/>
        <v>B</v>
      </c>
      <c r="DZ155" s="301" t="str">
        <f t="shared" ca="1" si="640"/>
        <v>B</v>
      </c>
      <c r="EA155" s="301" t="str">
        <f t="shared" ca="1" si="640"/>
        <v>B</v>
      </c>
      <c r="EB155" s="301" t="str">
        <f t="shared" ca="1" si="640"/>
        <v>B</v>
      </c>
      <c r="EC155" s="301" t="str">
        <f t="shared" ca="1" si="640"/>
        <v>B</v>
      </c>
      <c r="ED155" s="301" t="str">
        <f t="shared" ca="1" si="640"/>
        <v>B</v>
      </c>
      <c r="EE155" s="301" t="str">
        <f t="shared" ca="1" si="640"/>
        <v>B</v>
      </c>
      <c r="EF155" s="205"/>
      <c r="EG155" s="301" t="str">
        <f t="shared" ca="1" si="637"/>
        <v>B</v>
      </c>
      <c r="EH155" s="301" t="str">
        <f t="shared" ca="1" si="637"/>
        <v>B</v>
      </c>
      <c r="EI155" s="301" t="str">
        <f t="shared" ca="1" si="637"/>
        <v>B</v>
      </c>
      <c r="EJ155" s="301" t="str">
        <f t="shared" ca="1" si="637"/>
        <v>B</v>
      </c>
      <c r="EK155" s="301" t="str">
        <f t="shared" ca="1" si="637"/>
        <v>B</v>
      </c>
      <c r="EL155" s="301" t="str">
        <f t="shared" ca="1" si="637"/>
        <v>B</v>
      </c>
      <c r="EM155" s="301" t="str">
        <f t="shared" ca="1" si="637"/>
        <v>B</v>
      </c>
      <c r="EN155" s="301" t="str">
        <f t="shared" ca="1" si="637"/>
        <v>B</v>
      </c>
      <c r="EO155" s="301" t="str">
        <f t="shared" ca="1" si="637"/>
        <v>B</v>
      </c>
      <c r="EP155" s="301" t="str">
        <f t="shared" ca="1" si="637"/>
        <v>B</v>
      </c>
      <c r="EQ155" s="301" t="str">
        <f t="shared" ca="1" si="638"/>
        <v>B</v>
      </c>
      <c r="ER155" s="301" t="str">
        <f t="shared" ca="1" si="638"/>
        <v>B</v>
      </c>
      <c r="ES155" s="301" t="str">
        <f t="shared" ca="1" si="638"/>
        <v>B</v>
      </c>
      <c r="ET155" s="301" t="str">
        <f t="shared" ca="1" si="638"/>
        <v>B</v>
      </c>
      <c r="EU155" s="301" t="str">
        <f t="shared" ca="1" si="638"/>
        <v>B</v>
      </c>
      <c r="EV155" s="301" t="str">
        <f t="shared" ca="1" si="638"/>
        <v>B</v>
      </c>
      <c r="EW155" s="301" t="str">
        <f t="shared" ca="1" si="638"/>
        <v>B</v>
      </c>
      <c r="EX155" s="301" t="str">
        <f t="shared" ca="1" si="638"/>
        <v>B</v>
      </c>
      <c r="EY155" s="301" t="str">
        <f t="shared" ca="1" si="638"/>
        <v>B</v>
      </c>
      <c r="EZ155" s="301" t="str">
        <f t="shared" ca="1" si="638"/>
        <v>B</v>
      </c>
      <c r="FA155" s="301" t="str">
        <f t="shared" ca="1" si="639"/>
        <v>B</v>
      </c>
      <c r="FB155" s="301" t="str">
        <f t="shared" ca="1" si="639"/>
        <v>B</v>
      </c>
      <c r="FC155" s="301" t="str">
        <f t="shared" ca="1" si="639"/>
        <v>B</v>
      </c>
      <c r="FD155" s="301" t="str">
        <f t="shared" ca="1" si="639"/>
        <v>B</v>
      </c>
      <c r="FE155" s="301" t="str">
        <f t="shared" ca="1" si="639"/>
        <v>B</v>
      </c>
      <c r="FF155" s="301" t="str">
        <f t="shared" ca="1" si="639"/>
        <v>B</v>
      </c>
      <c r="FG155" s="301" t="str">
        <f t="shared" ca="1" si="639"/>
        <v>B</v>
      </c>
      <c r="FH155" s="301" t="str">
        <f t="shared" ca="1" si="639"/>
        <v>B</v>
      </c>
      <c r="FI155" s="301" t="str">
        <f t="shared" ca="1" si="639"/>
        <v>B</v>
      </c>
      <c r="FJ155" s="301" t="str">
        <f t="shared" ca="1" si="639"/>
        <v>B</v>
      </c>
      <c r="FK155" s="301" t="str">
        <f t="shared" ca="1" si="639"/>
        <v>B</v>
      </c>
      <c r="FL155" s="301" t="str">
        <f t="shared" ca="1" si="639"/>
        <v>B</v>
      </c>
    </row>
    <row r="156" spans="1:168" x14ac:dyDescent="0.2">
      <c r="A156" s="38" t="str">
        <f t="shared" si="533"/>
        <v>Winzer</v>
      </c>
      <c r="B156" s="317" t="str">
        <f t="shared" ca="1" si="553"/>
        <v/>
      </c>
      <c r="C156" s="332" t="str">
        <f t="shared" ca="1" si="635"/>
        <v/>
      </c>
      <c r="D156" s="1110"/>
      <c r="E156" s="966"/>
      <c r="F156" s="325"/>
      <c r="G156" s="958"/>
      <c r="H156" s="1196"/>
      <c r="I156" s="326"/>
      <c r="J156" s="1886" t="str">
        <f t="shared" ca="1" si="450"/>
        <v/>
      </c>
      <c r="K156" s="1887"/>
      <c r="L156" s="1887"/>
      <c r="M156" s="1887"/>
      <c r="N156" s="1888"/>
      <c r="O156" s="613" t="str">
        <f t="shared" ca="1" si="554"/>
        <v/>
      </c>
      <c r="P156" s="90"/>
      <c r="Q156" s="25"/>
      <c r="R156" s="1313"/>
      <c r="S156" s="1313"/>
      <c r="T156" s="1315"/>
      <c r="U156" s="1283"/>
      <c r="V156" s="628" t="str">
        <f t="shared" ca="1" si="555"/>
        <v/>
      </c>
      <c r="W156" s="164">
        <f t="shared" ca="1" si="556"/>
        <v>0</v>
      </c>
      <c r="X156" s="164">
        <f t="shared" ca="1" si="557"/>
        <v>0</v>
      </c>
      <c r="Y156" s="164">
        <f t="shared" ca="1" si="558"/>
        <v>0</v>
      </c>
      <c r="Z156" s="164">
        <f t="shared" ca="1" si="559"/>
        <v>0</v>
      </c>
      <c r="AA156" s="164">
        <f t="shared" ca="1" si="560"/>
        <v>0</v>
      </c>
      <c r="AB156" s="164">
        <f t="shared" ca="1" si="561"/>
        <v>0</v>
      </c>
      <c r="AC156" s="164">
        <f t="shared" ca="1" si="562"/>
        <v>0</v>
      </c>
      <c r="AD156" s="164">
        <f t="shared" ca="1" si="563"/>
        <v>0</v>
      </c>
      <c r="AE156" s="164">
        <f t="shared" ca="1" si="564"/>
        <v>0</v>
      </c>
      <c r="AF156" s="164">
        <f t="shared" ca="1" si="565"/>
        <v>0</v>
      </c>
      <c r="AG156" s="164">
        <f t="shared" ca="1" si="566"/>
        <v>0</v>
      </c>
      <c r="AH156" s="164">
        <f t="shared" ca="1" si="567"/>
        <v>0</v>
      </c>
      <c r="AI156" s="164">
        <f t="shared" ca="1" si="568"/>
        <v>0</v>
      </c>
      <c r="AJ156" s="164">
        <f t="shared" ca="1" si="569"/>
        <v>0</v>
      </c>
      <c r="AK156" s="164">
        <f t="shared" ca="1" si="570"/>
        <v>0</v>
      </c>
      <c r="AL156" s="164">
        <f t="shared" ca="1" si="571"/>
        <v>0</v>
      </c>
      <c r="AM156" s="164">
        <f t="shared" ca="1" si="572"/>
        <v>0</v>
      </c>
      <c r="AN156" s="164">
        <f t="shared" ca="1" si="573"/>
        <v>0</v>
      </c>
      <c r="AO156" s="164">
        <f t="shared" ca="1" si="574"/>
        <v>0</v>
      </c>
      <c r="AP156" s="164">
        <f t="shared" ca="1" si="575"/>
        <v>0</v>
      </c>
      <c r="AQ156" s="164">
        <f t="shared" ca="1" si="576"/>
        <v>0</v>
      </c>
      <c r="AR156" s="164">
        <f t="shared" ca="1" si="577"/>
        <v>0</v>
      </c>
      <c r="AS156" s="195"/>
      <c r="AT156" s="154">
        <f t="shared" ca="1" si="578"/>
        <v>0</v>
      </c>
      <c r="AU156" s="154">
        <f t="shared" ca="1" si="579"/>
        <v>0</v>
      </c>
      <c r="AV156" s="154">
        <f t="shared" ca="1" si="580"/>
        <v>0</v>
      </c>
      <c r="AW156" s="154">
        <f t="shared" ca="1" si="581"/>
        <v>0</v>
      </c>
      <c r="AX156" s="154">
        <f t="shared" ca="1" si="582"/>
        <v>0</v>
      </c>
      <c r="AY156" s="154">
        <f t="shared" ca="1" si="583"/>
        <v>0</v>
      </c>
      <c r="AZ156" s="154">
        <f t="shared" ca="1" si="584"/>
        <v>0</v>
      </c>
      <c r="BA156" s="154">
        <f t="shared" ca="1" si="585"/>
        <v>0</v>
      </c>
      <c r="BB156" s="154">
        <f t="shared" ca="1" si="586"/>
        <v>0</v>
      </c>
      <c r="BC156" s="154">
        <f t="shared" ca="1" si="587"/>
        <v>0</v>
      </c>
      <c r="BD156" s="154">
        <f t="shared" ca="1" si="588"/>
        <v>0</v>
      </c>
      <c r="BE156" s="154">
        <f t="shared" ca="1" si="589"/>
        <v>0</v>
      </c>
      <c r="BF156" s="154">
        <f t="shared" ca="1" si="590"/>
        <v>0</v>
      </c>
      <c r="BG156" s="154">
        <f t="shared" ca="1" si="591"/>
        <v>0</v>
      </c>
      <c r="BH156" s="154">
        <f t="shared" ca="1" si="592"/>
        <v>0</v>
      </c>
      <c r="BI156" s="154">
        <f t="shared" ca="1" si="593"/>
        <v>0</v>
      </c>
      <c r="BJ156" s="154">
        <f t="shared" ca="1" si="594"/>
        <v>0</v>
      </c>
      <c r="BK156" s="154">
        <f t="shared" ca="1" si="595"/>
        <v>0</v>
      </c>
      <c r="BL156" s="154">
        <f t="shared" ca="1" si="596"/>
        <v>0</v>
      </c>
      <c r="BM156" s="154">
        <f t="shared" ca="1" si="597"/>
        <v>0</v>
      </c>
      <c r="BN156" s="154">
        <f t="shared" ca="1" si="598"/>
        <v>0</v>
      </c>
      <c r="BO156" s="154">
        <f t="shared" ca="1" si="599"/>
        <v>0</v>
      </c>
      <c r="BP156" s="154">
        <f t="shared" ca="1" si="600"/>
        <v>0</v>
      </c>
      <c r="BQ156" s="154">
        <f t="shared" ca="1" si="601"/>
        <v>0</v>
      </c>
      <c r="BR156" s="154">
        <f t="shared" ca="1" si="602"/>
        <v>0</v>
      </c>
      <c r="BS156" s="154">
        <f t="shared" ca="1" si="603"/>
        <v>0</v>
      </c>
      <c r="BT156" s="154">
        <f t="shared" ca="1" si="604"/>
        <v>0</v>
      </c>
      <c r="BU156" s="154">
        <f t="shared" ca="1" si="605"/>
        <v>0</v>
      </c>
      <c r="BV156" s="154">
        <f t="shared" ca="1" si="606"/>
        <v>0</v>
      </c>
      <c r="BW156" s="154">
        <f t="shared" ca="1" si="607"/>
        <v>0</v>
      </c>
      <c r="BX156" s="154">
        <f t="shared" ca="1" si="608"/>
        <v>0</v>
      </c>
      <c r="BY156" s="154">
        <f t="shared" ca="1" si="609"/>
        <v>0</v>
      </c>
      <c r="BZ156" s="154">
        <f t="shared" si="610"/>
        <v>0</v>
      </c>
      <c r="CA156" s="154">
        <f t="shared" si="611"/>
        <v>0</v>
      </c>
      <c r="CB156" s="154">
        <f t="shared" ca="1" si="612"/>
        <v>0</v>
      </c>
      <c r="CC156" s="523"/>
      <c r="CD156" s="355">
        <f t="shared" si="613"/>
        <v>180</v>
      </c>
      <c r="CE156" s="751" t="str">
        <f t="shared" ca="1" si="614"/>
        <v>B</v>
      </c>
      <c r="CF156" s="355" t="str">
        <f t="shared" ca="1" si="636"/>
        <v/>
      </c>
      <c r="CG156" s="268"/>
      <c r="CH156" s="268"/>
      <c r="CI156" s="269">
        <f t="shared" ca="1" si="615"/>
        <v>0</v>
      </c>
      <c r="CJ156" s="269">
        <f t="shared" ca="1" si="616"/>
        <v>0</v>
      </c>
      <c r="CK156" s="268"/>
      <c r="CL156" s="268"/>
      <c r="CM156" s="268">
        <f t="shared" ca="1" si="632"/>
        <v>0</v>
      </c>
      <c r="CN156" s="269">
        <f t="shared" ca="1" si="633"/>
        <v>0</v>
      </c>
      <c r="CO156" s="268" t="str">
        <f t="shared" ca="1" si="617"/>
        <v>B</v>
      </c>
      <c r="CP156" s="269" t="b">
        <f t="shared" ca="1" si="631"/>
        <v>1</v>
      </c>
      <c r="CQ156" s="269">
        <f t="shared" si="618"/>
        <v>0</v>
      </c>
      <c r="CR156" s="269">
        <f t="shared" si="619"/>
        <v>0</v>
      </c>
      <c r="CS156" s="269">
        <f t="shared" ca="1" si="620"/>
        <v>0</v>
      </c>
      <c r="CT156" s="302" t="str">
        <f t="shared" ca="1" si="519"/>
        <v>0</v>
      </c>
      <c r="CU156" s="269">
        <f t="shared" ca="1" si="621"/>
        <v>0</v>
      </c>
      <c r="CV156" s="268"/>
      <c r="CW156" s="269">
        <f t="shared" ca="1" si="622"/>
        <v>0</v>
      </c>
      <c r="CX156" s="301">
        <f t="shared" ca="1" si="623"/>
        <v>0</v>
      </c>
      <c r="CY156" s="301">
        <f t="shared" ca="1" si="634"/>
        <v>0</v>
      </c>
      <c r="CZ156" s="301">
        <f t="shared" ca="1" si="624"/>
        <v>0</v>
      </c>
      <c r="DA156" s="301">
        <f t="shared" ca="1" si="524"/>
        <v>0</v>
      </c>
      <c r="DB156" t="str">
        <f ca="1">IF(AND(NOT(ISBLANK($F156)),$F156&lt;=$B156),"TaW SE zu klein","")</f>
        <v/>
      </c>
      <c r="DC156" s="301" t="str">
        <f t="shared" ca="1" si="625"/>
        <v/>
      </c>
      <c r="DD156" s="1337" t="str">
        <f t="shared" ca="1" si="628"/>
        <v/>
      </c>
      <c r="DE156" s="1337" t="str">
        <f t="shared" ca="1" si="629"/>
        <v/>
      </c>
      <c r="DG156" s="269" t="str">
        <f t="shared" ca="1" si="626"/>
        <v>Tabellen_Andere!BA132:BF132</v>
      </c>
      <c r="DH156" s="269" t="str">
        <f t="shared" si="527"/>
        <v>Tabellen_Andere!BA132:BF132</v>
      </c>
      <c r="DI156" s="269" t="str">
        <f ca="1">IF(NOT(ISERR(FIND(A156&amp;" ",Abfragen!$O$264,1))),MID(Abfragen!$O$264,FIND("(",Abfragen!$O$264,FIND(A156,Abfragen!$O$264,1)+LEN(A156))+1,FIND(")",Abfragen!$O$264,FIND(A156,Abfragen!$O$264,1)+LEN(A156))-FIND("(",Abfragen!$O$264,FIND(A156,Abfragen!$O$264,1)+LEN(A156))-1),"")</f>
        <v/>
      </c>
      <c r="DJ156" s="301" t="str">
        <f t="shared" ca="1" si="641"/>
        <v>B</v>
      </c>
      <c r="DK156" s="301" t="str">
        <f t="shared" ca="1" si="641"/>
        <v>B</v>
      </c>
      <c r="DL156" s="301" t="str">
        <f t="shared" ca="1" si="641"/>
        <v>B</v>
      </c>
      <c r="DM156" s="301" t="str">
        <f t="shared" ca="1" si="641"/>
        <v>B</v>
      </c>
      <c r="DN156" s="301" t="str">
        <f t="shared" ca="1" si="641"/>
        <v>B</v>
      </c>
      <c r="DO156" s="301" t="str">
        <f t="shared" ca="1" si="641"/>
        <v>B</v>
      </c>
      <c r="DP156" s="301" t="str">
        <f t="shared" ca="1" si="641"/>
        <v>B</v>
      </c>
      <c r="DQ156" s="301" t="str">
        <f t="shared" ca="1" si="641"/>
        <v>B</v>
      </c>
      <c r="DR156" s="301" t="str">
        <f t="shared" ca="1" si="641"/>
        <v>B</v>
      </c>
      <c r="DS156" s="301" t="str">
        <f t="shared" ca="1" si="641"/>
        <v>B</v>
      </c>
      <c r="DT156" s="301" t="str">
        <f t="shared" ca="1" si="641"/>
        <v>B</v>
      </c>
      <c r="DU156" s="301" t="str">
        <f t="shared" ca="1" si="641"/>
        <v>B</v>
      </c>
      <c r="DV156" s="301" t="str">
        <f t="shared" ca="1" si="641"/>
        <v>B</v>
      </c>
      <c r="DW156" s="301" t="str">
        <f t="shared" ca="1" si="641"/>
        <v>B</v>
      </c>
      <c r="DX156" s="301" t="str">
        <f t="shared" ca="1" si="641"/>
        <v>B</v>
      </c>
      <c r="DY156" s="301" t="str">
        <f t="shared" ca="1" si="641"/>
        <v>B</v>
      </c>
      <c r="DZ156" s="301" t="str">
        <f t="shared" ca="1" si="640"/>
        <v>B</v>
      </c>
      <c r="EA156" s="301" t="str">
        <f t="shared" ca="1" si="640"/>
        <v>B</v>
      </c>
      <c r="EB156" s="301" t="str">
        <f t="shared" ca="1" si="640"/>
        <v>B</v>
      </c>
      <c r="EC156" s="301" t="str">
        <f t="shared" ca="1" si="640"/>
        <v>B</v>
      </c>
      <c r="ED156" s="301" t="str">
        <f t="shared" ca="1" si="640"/>
        <v>B</v>
      </c>
      <c r="EE156" s="301" t="str">
        <f t="shared" ca="1" si="640"/>
        <v>B</v>
      </c>
      <c r="EF156" s="205"/>
      <c r="EG156" s="301" t="str">
        <f t="shared" ca="1" si="637"/>
        <v>B</v>
      </c>
      <c r="EH156" s="301" t="str">
        <f t="shared" ca="1" si="637"/>
        <v>B</v>
      </c>
      <c r="EI156" s="301" t="str">
        <f t="shared" ca="1" si="637"/>
        <v>B</v>
      </c>
      <c r="EJ156" s="301" t="str">
        <f t="shared" ca="1" si="637"/>
        <v>B</v>
      </c>
      <c r="EK156" s="301" t="str">
        <f t="shared" ca="1" si="637"/>
        <v>B</v>
      </c>
      <c r="EL156" s="301" t="str">
        <f t="shared" ca="1" si="637"/>
        <v>B</v>
      </c>
      <c r="EM156" s="301" t="str">
        <f t="shared" ca="1" si="637"/>
        <v>B</v>
      </c>
      <c r="EN156" s="301" t="str">
        <f t="shared" ca="1" si="637"/>
        <v>B</v>
      </c>
      <c r="EO156" s="301" t="str">
        <f t="shared" ca="1" si="637"/>
        <v>B</v>
      </c>
      <c r="EP156" s="301" t="str">
        <f t="shared" ca="1" si="637"/>
        <v>B</v>
      </c>
      <c r="EQ156" s="301" t="str">
        <f t="shared" ca="1" si="638"/>
        <v>B</v>
      </c>
      <c r="ER156" s="301" t="str">
        <f t="shared" ca="1" si="638"/>
        <v>B</v>
      </c>
      <c r="ES156" s="301" t="str">
        <f t="shared" ca="1" si="638"/>
        <v>B</v>
      </c>
      <c r="ET156" s="301" t="str">
        <f t="shared" ca="1" si="638"/>
        <v>B</v>
      </c>
      <c r="EU156" s="301" t="str">
        <f t="shared" ca="1" si="638"/>
        <v>B</v>
      </c>
      <c r="EV156" s="301" t="str">
        <f t="shared" ca="1" si="638"/>
        <v>B</v>
      </c>
      <c r="EW156" s="301" t="str">
        <f t="shared" ca="1" si="638"/>
        <v>B</v>
      </c>
      <c r="EX156" s="301" t="str">
        <f t="shared" ca="1" si="638"/>
        <v>B</v>
      </c>
      <c r="EY156" s="301" t="str">
        <f t="shared" ca="1" si="638"/>
        <v>B</v>
      </c>
      <c r="EZ156" s="301" t="str">
        <f t="shared" ca="1" si="638"/>
        <v>B</v>
      </c>
      <c r="FA156" s="301" t="str">
        <f t="shared" ca="1" si="639"/>
        <v>B</v>
      </c>
      <c r="FB156" s="301" t="str">
        <f t="shared" ca="1" si="639"/>
        <v>B</v>
      </c>
      <c r="FC156" s="301" t="str">
        <f t="shared" ca="1" si="639"/>
        <v>B</v>
      </c>
      <c r="FD156" s="301" t="str">
        <f t="shared" ca="1" si="639"/>
        <v>B</v>
      </c>
      <c r="FE156" s="301" t="str">
        <f t="shared" ca="1" si="639"/>
        <v>B</v>
      </c>
      <c r="FF156" s="301" t="str">
        <f t="shared" ca="1" si="639"/>
        <v>B</v>
      </c>
      <c r="FG156" s="301" t="str">
        <f t="shared" ca="1" si="639"/>
        <v>B</v>
      </c>
      <c r="FH156" s="301" t="str">
        <f t="shared" ca="1" si="639"/>
        <v>B</v>
      </c>
      <c r="FI156" s="301" t="str">
        <f t="shared" ca="1" si="639"/>
        <v>B</v>
      </c>
      <c r="FJ156" s="301" t="str">
        <f t="shared" ca="1" si="639"/>
        <v>B</v>
      </c>
      <c r="FK156" s="301" t="str">
        <f t="shared" ca="1" si="639"/>
        <v>B</v>
      </c>
      <c r="FL156" s="301" t="str">
        <f t="shared" ca="1" si="639"/>
        <v>B</v>
      </c>
    </row>
    <row r="157" spans="1:168" x14ac:dyDescent="0.2">
      <c r="A157" s="38" t="str">
        <f t="shared" si="533"/>
        <v>Zimmermann</v>
      </c>
      <c r="B157" s="317" t="str">
        <f t="shared" ca="1" si="553"/>
        <v/>
      </c>
      <c r="C157" s="332" t="str">
        <f t="shared" ca="1" si="635"/>
        <v/>
      </c>
      <c r="D157" s="1110"/>
      <c r="E157" s="967"/>
      <c r="F157" s="325"/>
      <c r="G157" s="958"/>
      <c r="H157" s="1196"/>
      <c r="I157" s="326"/>
      <c r="J157" s="1944" t="str">
        <f t="shared" ca="1" si="450"/>
        <v/>
      </c>
      <c r="K157" s="1945"/>
      <c r="L157" s="1945"/>
      <c r="M157" s="1945"/>
      <c r="N157" s="1946"/>
      <c r="O157" s="613" t="str">
        <f t="shared" ca="1" si="554"/>
        <v/>
      </c>
      <c r="P157" s="90"/>
      <c r="Q157" s="25"/>
      <c r="R157" s="1313"/>
      <c r="S157" s="1313"/>
      <c r="T157" s="1315"/>
      <c r="U157" s="1283"/>
      <c r="V157" s="628" t="str">
        <f t="shared" ca="1" si="555"/>
        <v/>
      </c>
      <c r="W157" s="164">
        <f t="shared" ca="1" si="556"/>
        <v>0</v>
      </c>
      <c r="X157" s="164">
        <f t="shared" ca="1" si="557"/>
        <v>0</v>
      </c>
      <c r="Y157" s="164">
        <f t="shared" ca="1" si="558"/>
        <v>0</v>
      </c>
      <c r="Z157" s="164">
        <f t="shared" ca="1" si="559"/>
        <v>0</v>
      </c>
      <c r="AA157" s="164">
        <f t="shared" ca="1" si="560"/>
        <v>0</v>
      </c>
      <c r="AB157" s="164">
        <f t="shared" ca="1" si="561"/>
        <v>0</v>
      </c>
      <c r="AC157" s="164">
        <f t="shared" ca="1" si="562"/>
        <v>0</v>
      </c>
      <c r="AD157" s="164">
        <f t="shared" ca="1" si="563"/>
        <v>0</v>
      </c>
      <c r="AE157" s="164">
        <f t="shared" ca="1" si="564"/>
        <v>0</v>
      </c>
      <c r="AF157" s="164">
        <f t="shared" ca="1" si="565"/>
        <v>0</v>
      </c>
      <c r="AG157" s="164">
        <f t="shared" ca="1" si="566"/>
        <v>0</v>
      </c>
      <c r="AH157" s="164">
        <f t="shared" ca="1" si="567"/>
        <v>0</v>
      </c>
      <c r="AI157" s="164">
        <f t="shared" ca="1" si="568"/>
        <v>0</v>
      </c>
      <c r="AJ157" s="164">
        <f t="shared" ca="1" si="569"/>
        <v>0</v>
      </c>
      <c r="AK157" s="164">
        <f t="shared" ca="1" si="570"/>
        <v>0</v>
      </c>
      <c r="AL157" s="164">
        <f t="shared" ca="1" si="571"/>
        <v>0</v>
      </c>
      <c r="AM157" s="164">
        <f t="shared" ca="1" si="572"/>
        <v>0</v>
      </c>
      <c r="AN157" s="164">
        <f t="shared" ca="1" si="573"/>
        <v>0</v>
      </c>
      <c r="AO157" s="164">
        <f t="shared" ca="1" si="574"/>
        <v>0</v>
      </c>
      <c r="AP157" s="164">
        <f t="shared" ca="1" si="575"/>
        <v>0</v>
      </c>
      <c r="AQ157" s="164">
        <f t="shared" ca="1" si="576"/>
        <v>0</v>
      </c>
      <c r="AR157" s="164">
        <f t="shared" ca="1" si="577"/>
        <v>0</v>
      </c>
      <c r="AS157" s="195"/>
      <c r="AT157" s="154">
        <f t="shared" ca="1" si="578"/>
        <v>0</v>
      </c>
      <c r="AU157" s="154">
        <f t="shared" ca="1" si="579"/>
        <v>0</v>
      </c>
      <c r="AV157" s="154">
        <f t="shared" ca="1" si="580"/>
        <v>0</v>
      </c>
      <c r="AW157" s="154">
        <f t="shared" ca="1" si="581"/>
        <v>0</v>
      </c>
      <c r="AX157" s="154">
        <f t="shared" ca="1" si="582"/>
        <v>0</v>
      </c>
      <c r="AY157" s="154">
        <f t="shared" ca="1" si="583"/>
        <v>0</v>
      </c>
      <c r="AZ157" s="154">
        <f t="shared" ca="1" si="584"/>
        <v>0</v>
      </c>
      <c r="BA157" s="154">
        <f t="shared" ca="1" si="585"/>
        <v>0</v>
      </c>
      <c r="BB157" s="154">
        <f t="shared" ca="1" si="586"/>
        <v>0</v>
      </c>
      <c r="BC157" s="154">
        <f t="shared" ca="1" si="587"/>
        <v>0</v>
      </c>
      <c r="BD157" s="154">
        <f t="shared" ca="1" si="588"/>
        <v>0</v>
      </c>
      <c r="BE157" s="154">
        <f t="shared" ca="1" si="589"/>
        <v>0</v>
      </c>
      <c r="BF157" s="154">
        <f t="shared" ca="1" si="590"/>
        <v>0</v>
      </c>
      <c r="BG157" s="154">
        <f t="shared" ca="1" si="591"/>
        <v>0</v>
      </c>
      <c r="BH157" s="154">
        <f t="shared" ca="1" si="592"/>
        <v>0</v>
      </c>
      <c r="BI157" s="154">
        <f t="shared" ca="1" si="593"/>
        <v>0</v>
      </c>
      <c r="BJ157" s="154">
        <f t="shared" ca="1" si="594"/>
        <v>0</v>
      </c>
      <c r="BK157" s="154">
        <f t="shared" ca="1" si="595"/>
        <v>0</v>
      </c>
      <c r="BL157" s="154">
        <f t="shared" ca="1" si="596"/>
        <v>0</v>
      </c>
      <c r="BM157" s="154">
        <f t="shared" ca="1" si="597"/>
        <v>0</v>
      </c>
      <c r="BN157" s="154">
        <f t="shared" ca="1" si="598"/>
        <v>0</v>
      </c>
      <c r="BO157" s="154">
        <f t="shared" ca="1" si="599"/>
        <v>0</v>
      </c>
      <c r="BP157" s="154">
        <f t="shared" ca="1" si="600"/>
        <v>0</v>
      </c>
      <c r="BQ157" s="154">
        <f t="shared" ca="1" si="601"/>
        <v>0</v>
      </c>
      <c r="BR157" s="154">
        <f t="shared" ca="1" si="602"/>
        <v>0</v>
      </c>
      <c r="BS157" s="154">
        <f t="shared" ca="1" si="603"/>
        <v>0</v>
      </c>
      <c r="BT157" s="154">
        <f t="shared" ca="1" si="604"/>
        <v>0</v>
      </c>
      <c r="BU157" s="154">
        <f t="shared" ca="1" si="605"/>
        <v>0</v>
      </c>
      <c r="BV157" s="154">
        <f t="shared" ca="1" si="606"/>
        <v>0</v>
      </c>
      <c r="BW157" s="154">
        <f t="shared" ca="1" si="607"/>
        <v>0</v>
      </c>
      <c r="BX157" s="154">
        <f t="shared" ca="1" si="608"/>
        <v>0</v>
      </c>
      <c r="BY157" s="154">
        <f t="shared" ca="1" si="609"/>
        <v>0</v>
      </c>
      <c r="BZ157" s="154">
        <f t="shared" si="610"/>
        <v>0</v>
      </c>
      <c r="CA157" s="154">
        <f t="shared" si="611"/>
        <v>0</v>
      </c>
      <c r="CB157" s="154">
        <f t="shared" ca="1" si="612"/>
        <v>0</v>
      </c>
      <c r="CC157" s="523"/>
      <c r="CD157" s="355">
        <f t="shared" si="613"/>
        <v>181</v>
      </c>
      <c r="CE157" s="751" t="str">
        <f t="shared" ca="1" si="614"/>
        <v>B</v>
      </c>
      <c r="CF157" s="355" t="str">
        <f t="shared" ca="1" si="636"/>
        <v/>
      </c>
      <c r="CG157" s="268"/>
      <c r="CH157" s="268"/>
      <c r="CI157" s="269">
        <f t="shared" ca="1" si="615"/>
        <v>0</v>
      </c>
      <c r="CJ157" s="269">
        <f t="shared" ca="1" si="616"/>
        <v>0</v>
      </c>
      <c r="CK157" s="268"/>
      <c r="CL157" s="268"/>
      <c r="CM157" s="268">
        <f t="shared" ca="1" si="632"/>
        <v>0</v>
      </c>
      <c r="CN157" s="269">
        <f t="shared" ca="1" si="633"/>
        <v>0</v>
      </c>
      <c r="CO157" s="268" t="str">
        <f t="shared" ca="1" si="617"/>
        <v>B</v>
      </c>
      <c r="CP157" s="269" t="b">
        <f t="shared" ca="1" si="631"/>
        <v>1</v>
      </c>
      <c r="CQ157" s="269">
        <f t="shared" si="618"/>
        <v>0</v>
      </c>
      <c r="CR157" s="269">
        <f t="shared" si="619"/>
        <v>0</v>
      </c>
      <c r="CS157" s="269">
        <f t="shared" ca="1" si="620"/>
        <v>0</v>
      </c>
      <c r="CT157" s="302" t="str">
        <f t="shared" ca="1" si="519"/>
        <v>0</v>
      </c>
      <c r="CU157" s="269">
        <f t="shared" ca="1" si="621"/>
        <v>0</v>
      </c>
      <c r="CV157" s="268"/>
      <c r="CW157" s="269">
        <f t="shared" ca="1" si="622"/>
        <v>0</v>
      </c>
      <c r="CX157" s="301">
        <f t="shared" ca="1" si="623"/>
        <v>0</v>
      </c>
      <c r="CY157" s="301">
        <f t="shared" ca="1" si="634"/>
        <v>0</v>
      </c>
      <c r="CZ157" s="301">
        <f t="shared" ca="1" si="624"/>
        <v>0</v>
      </c>
      <c r="DA157" s="301">
        <f t="shared" ca="1" si="524"/>
        <v>0</v>
      </c>
      <c r="DB157" t="str">
        <f ca="1">IF(AND(NOT(AND(ISBLANK($G157),ISBLANK($I157))),$O$130&lt;4,SUM(B157,G157,I157)&gt;=10),"Holzbearbeitung 4+",IF(AND(NOT(ISBLANK($F157)),$F157&lt;=$B157),"TaW SE zu klein",""))</f>
        <v/>
      </c>
      <c r="DC157" s="301" t="str">
        <f t="shared" ca="1" si="625"/>
        <v/>
      </c>
      <c r="DD157" s="1337" t="str">
        <f t="shared" ca="1" si="628"/>
        <v/>
      </c>
      <c r="DE157" s="1337" t="str">
        <f t="shared" ca="1" si="629"/>
        <v/>
      </c>
      <c r="DG157" s="269" t="str">
        <f t="shared" ca="1" si="626"/>
        <v>Tabellen_Andere!BA137:BF137</v>
      </c>
      <c r="DH157" s="269" t="str">
        <f t="shared" si="527"/>
        <v>Tabellen_Andere!BA137:BF137</v>
      </c>
      <c r="DI157" s="269" t="str">
        <f ca="1">IF(NOT(ISERR(FIND(A157&amp;" ",Abfragen!$O$264,1))),MID(Abfragen!$O$264,FIND("(",Abfragen!$O$264,FIND(A157,Abfragen!$O$264,1)+LEN(A157))+1,FIND(")",Abfragen!$O$264,FIND(A157,Abfragen!$O$264,1)+LEN(A157))-FIND("(",Abfragen!$O$264,FIND(A157,Abfragen!$O$264,1)+LEN(A157))-1),"")</f>
        <v/>
      </c>
      <c r="DJ157" s="301" t="str">
        <f t="shared" ca="1" si="641"/>
        <v>B</v>
      </c>
      <c r="DK157" s="301" t="str">
        <f t="shared" ca="1" si="641"/>
        <v>B</v>
      </c>
      <c r="DL157" s="301" t="str">
        <f t="shared" ca="1" si="641"/>
        <v>B</v>
      </c>
      <c r="DM157" s="301" t="str">
        <f t="shared" ca="1" si="641"/>
        <v>B</v>
      </c>
      <c r="DN157" s="301" t="str">
        <f t="shared" ca="1" si="641"/>
        <v>B</v>
      </c>
      <c r="DO157" s="301" t="str">
        <f t="shared" ca="1" si="641"/>
        <v>B</v>
      </c>
      <c r="DP157" s="301" t="str">
        <f t="shared" ca="1" si="641"/>
        <v>B</v>
      </c>
      <c r="DQ157" s="301" t="str">
        <f t="shared" ca="1" si="641"/>
        <v>B</v>
      </c>
      <c r="DR157" s="301" t="str">
        <f t="shared" ca="1" si="641"/>
        <v>B</v>
      </c>
      <c r="DS157" s="301" t="str">
        <f t="shared" ca="1" si="641"/>
        <v>B</v>
      </c>
      <c r="DT157" s="301" t="str">
        <f t="shared" ca="1" si="641"/>
        <v>B</v>
      </c>
      <c r="DU157" s="301" t="str">
        <f t="shared" ca="1" si="641"/>
        <v>B</v>
      </c>
      <c r="DV157" s="301" t="str">
        <f t="shared" ca="1" si="641"/>
        <v>B</v>
      </c>
      <c r="DW157" s="301" t="str">
        <f t="shared" ca="1" si="641"/>
        <v>B</v>
      </c>
      <c r="DX157" s="301" t="str">
        <f t="shared" ca="1" si="641"/>
        <v>B</v>
      </c>
      <c r="DY157" s="301" t="str">
        <f t="shared" ca="1" si="641"/>
        <v>B</v>
      </c>
      <c r="DZ157" s="301" t="str">
        <f t="shared" ca="1" si="640"/>
        <v>B</v>
      </c>
      <c r="EA157" s="301" t="str">
        <f t="shared" ca="1" si="640"/>
        <v>B</v>
      </c>
      <c r="EB157" s="301" t="str">
        <f t="shared" ca="1" si="640"/>
        <v>B</v>
      </c>
      <c r="EC157" s="301" t="str">
        <f t="shared" ca="1" si="640"/>
        <v>B</v>
      </c>
      <c r="ED157" s="301" t="str">
        <f t="shared" ca="1" si="640"/>
        <v>B</v>
      </c>
      <c r="EE157" s="301" t="str">
        <f t="shared" ca="1" si="640"/>
        <v>B</v>
      </c>
      <c r="EF157" s="205"/>
      <c r="EG157" s="301" t="str">
        <f t="shared" ca="1" si="637"/>
        <v>B</v>
      </c>
      <c r="EH157" s="301" t="str">
        <f t="shared" ca="1" si="637"/>
        <v>B</v>
      </c>
      <c r="EI157" s="301" t="str">
        <f t="shared" ca="1" si="637"/>
        <v>B</v>
      </c>
      <c r="EJ157" s="301" t="str">
        <f t="shared" ca="1" si="637"/>
        <v>B</v>
      </c>
      <c r="EK157" s="301" t="str">
        <f t="shared" ca="1" si="637"/>
        <v>B</v>
      </c>
      <c r="EL157" s="301" t="str">
        <f t="shared" ca="1" si="637"/>
        <v>B</v>
      </c>
      <c r="EM157" s="301" t="str">
        <f t="shared" ca="1" si="637"/>
        <v>B</v>
      </c>
      <c r="EN157" s="301" t="str">
        <f t="shared" ca="1" si="637"/>
        <v>B</v>
      </c>
      <c r="EO157" s="301" t="str">
        <f t="shared" ca="1" si="637"/>
        <v>B</v>
      </c>
      <c r="EP157" s="301" t="str">
        <f t="shared" ca="1" si="637"/>
        <v>B</v>
      </c>
      <c r="EQ157" s="301" t="str">
        <f t="shared" ca="1" si="638"/>
        <v>B</v>
      </c>
      <c r="ER157" s="301" t="str">
        <f t="shared" ca="1" si="638"/>
        <v>B</v>
      </c>
      <c r="ES157" s="301" t="str">
        <f t="shared" ca="1" si="638"/>
        <v>B</v>
      </c>
      <c r="ET157" s="301" t="str">
        <f t="shared" ca="1" si="638"/>
        <v>B</v>
      </c>
      <c r="EU157" s="301" t="str">
        <f t="shared" ca="1" si="638"/>
        <v>B</v>
      </c>
      <c r="EV157" s="301" t="str">
        <f t="shared" ca="1" si="638"/>
        <v>B</v>
      </c>
      <c r="EW157" s="301" t="str">
        <f t="shared" ca="1" si="638"/>
        <v>B</v>
      </c>
      <c r="EX157" s="301" t="str">
        <f t="shared" ca="1" si="638"/>
        <v>B</v>
      </c>
      <c r="EY157" s="301" t="str">
        <f t="shared" ca="1" si="638"/>
        <v>B</v>
      </c>
      <c r="EZ157" s="301" t="str">
        <f t="shared" ca="1" si="638"/>
        <v>B</v>
      </c>
      <c r="FA157" s="301" t="str">
        <f t="shared" ca="1" si="639"/>
        <v>B</v>
      </c>
      <c r="FB157" s="301" t="str">
        <f t="shared" ca="1" si="639"/>
        <v>B</v>
      </c>
      <c r="FC157" s="301" t="str">
        <f t="shared" ca="1" si="639"/>
        <v>B</v>
      </c>
      <c r="FD157" s="301" t="str">
        <f t="shared" ca="1" si="639"/>
        <v>B</v>
      </c>
      <c r="FE157" s="301" t="str">
        <f t="shared" ca="1" si="639"/>
        <v>B</v>
      </c>
      <c r="FF157" s="301" t="str">
        <f t="shared" ca="1" si="639"/>
        <v>B</v>
      </c>
      <c r="FG157" s="301" t="str">
        <f t="shared" ca="1" si="639"/>
        <v>B</v>
      </c>
      <c r="FH157" s="301" t="str">
        <f t="shared" ca="1" si="639"/>
        <v>B</v>
      </c>
      <c r="FI157" s="301" t="str">
        <f t="shared" ca="1" si="639"/>
        <v>B</v>
      </c>
      <c r="FJ157" s="301" t="str">
        <f t="shared" ca="1" si="639"/>
        <v>B</v>
      </c>
      <c r="FK157" s="301" t="str">
        <f t="shared" ca="1" si="639"/>
        <v>B</v>
      </c>
      <c r="FL157" s="301" t="str">
        <f t="shared" ca="1" si="639"/>
        <v>B</v>
      </c>
    </row>
    <row r="158" spans="1:168" ht="15.75" x14ac:dyDescent="0.25">
      <c r="A158" s="300" t="s">
        <v>2155</v>
      </c>
      <c r="B158" s="131"/>
      <c r="C158" s="476"/>
      <c r="D158" s="769"/>
      <c r="E158" s="769"/>
      <c r="F158" s="968"/>
      <c r="G158" s="968"/>
      <c r="H158" s="968"/>
      <c r="I158" s="968"/>
      <c r="J158" s="1879" t="str">
        <f ca="1">IF(APGUT&lt;0,"Keine AP mehr übrig!",IF(TL_GP_UEBRIG&lt;0,"Keine Start-AP mehr übrig!",IF(STARTAP2_UEBRIG&lt;0,"Keine 2. Prof.-Start-AP mehr übrig!","▼ Fehlermeldungen ▼  "&amp;"(AP: "&amp;APGUT&amp;")")))</f>
        <v>▼ Fehlermeldungen ▼  (AP: 0)</v>
      </c>
      <c r="K158" s="1879"/>
      <c r="L158" s="1879"/>
      <c r="M158" s="1879"/>
      <c r="N158" s="1879"/>
      <c r="O158" s="515"/>
      <c r="P158" s="515"/>
      <c r="Q158" s="515"/>
      <c r="R158" s="515"/>
      <c r="S158" s="515"/>
      <c r="T158" s="515"/>
      <c r="U158" s="515"/>
      <c r="V158" s="515"/>
      <c r="W158" s="134"/>
      <c r="X158" s="6"/>
      <c r="Y158" s="6"/>
      <c r="Z158" s="6"/>
      <c r="AA158" s="6"/>
      <c r="AB158" s="6"/>
      <c r="AC158" s="6"/>
      <c r="AD158" s="6"/>
      <c r="AE158" s="6"/>
      <c r="AF158" s="6"/>
      <c r="AG158" s="6"/>
      <c r="AH158" s="6"/>
      <c r="AI158" s="6"/>
      <c r="AJ158" s="6"/>
      <c r="AK158" s="6"/>
      <c r="AL158" s="6"/>
      <c r="AM158" s="6"/>
      <c r="AN158" s="6"/>
      <c r="AO158" s="6"/>
      <c r="AP158" s="6"/>
      <c r="AQ158" s="6"/>
      <c r="AR158" s="6"/>
      <c r="AS158" s="194"/>
      <c r="AT158" s="134"/>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90"/>
      <c r="CD158" s="752"/>
      <c r="CE158" s="752" t="s">
        <v>1480</v>
      </c>
      <c r="CF158" s="355" t="str">
        <f ca="1">$CF157</f>
        <v/>
      </c>
      <c r="CG158" s="268"/>
      <c r="CH158" s="268"/>
      <c r="CI158" s="268"/>
      <c r="CJ158" s="268"/>
      <c r="CK158" s="268"/>
      <c r="CL158" s="268"/>
      <c r="CM158" s="268"/>
      <c r="CN158" s="268"/>
      <c r="CO158" s="268"/>
      <c r="CP158" s="268"/>
      <c r="CQ158" s="268"/>
      <c r="CR158" s="268"/>
      <c r="CS158" s="268"/>
      <c r="CT158" s="269"/>
      <c r="CU158" s="269"/>
      <c r="CV158" s="269"/>
      <c r="CW158" s="269"/>
      <c r="CX158" s="268"/>
      <c r="CY158" s="269"/>
      <c r="DA158" s="612"/>
      <c r="DC158" s="612"/>
      <c r="DD158" s="611" t="str">
        <f ca="1">IF(CONCATENATE(DD40,DD59,DD71,DD80,DD105,DD157)="","",LEFT(CONCATENATE(DD40,DD59,DD71,DD80,DD105,DD157),LEN(CONCATENATE(DD40,DD59,DD71,DD80,DD105,DD157))-1))</f>
        <v/>
      </c>
      <c r="DE158" s="611" t="str">
        <f ca="1">IF(CONCATENATE(DE40,DE59,DE71,DE80,DE105,DE157)="","",LEFT(CONCATENATE(DE40,DE59,DE71,DE80,DE105,DE157),LEN(CONCATENATE(DE40,DE59,DE71,DE80,DE105,DE157))-1))</f>
        <v/>
      </c>
      <c r="EG158" s="1213"/>
    </row>
    <row r="159" spans="1:168" x14ac:dyDescent="0.2">
      <c r="A159" s="24" t="s">
        <v>2160</v>
      </c>
      <c r="B159" s="317">
        <f t="shared" ref="B159:B164" ca="1" si="642">IF(VLOOKUP(A159,TL_META_WERTE,7,FALSE)="x",VLOOKUP(A159,TL_META_WERTE,6,FALSE),"akt.")</f>
        <v>0</v>
      </c>
      <c r="C159" s="727"/>
      <c r="D159" s="720"/>
      <c r="E159" s="720"/>
      <c r="F159" s="720"/>
      <c r="G159" s="720"/>
      <c r="H159" s="720"/>
      <c r="I159" s="720"/>
      <c r="J159" s="1886"/>
      <c r="K159" s="1887"/>
      <c r="L159" s="1887"/>
      <c r="M159" s="1887"/>
      <c r="N159" s="1888"/>
      <c r="O159" s="613">
        <f t="shared" ref="O159:O164" ca="1" si="643">B159</f>
        <v>0</v>
      </c>
      <c r="P159" s="596"/>
      <c r="Q159" s="596"/>
      <c r="R159" s="596"/>
      <c r="S159" s="596"/>
      <c r="T159" s="596"/>
      <c r="U159" s="596"/>
      <c r="V159" s="596"/>
      <c r="W159" s="164"/>
      <c r="X159" s="154"/>
      <c r="Y159" s="154"/>
      <c r="Z159" s="154"/>
      <c r="AA159" s="154"/>
      <c r="AB159" s="154"/>
      <c r="AC159" s="154"/>
      <c r="AD159" s="154"/>
      <c r="AE159" s="154"/>
      <c r="AF159" s="154"/>
      <c r="AG159" s="154"/>
      <c r="AH159" s="154"/>
      <c r="AI159" s="154"/>
      <c r="AJ159" s="154"/>
      <c r="AK159" s="154"/>
      <c r="AL159" s="154"/>
      <c r="AM159" s="154"/>
      <c r="AN159" s="154"/>
      <c r="AO159" s="154"/>
      <c r="AP159" s="154"/>
      <c r="AQ159" s="154"/>
      <c r="AR159" s="154"/>
      <c r="AS159" s="195"/>
      <c r="AT159" s="154"/>
      <c r="AU159" s="154"/>
      <c r="AV159" s="154"/>
      <c r="AW159" s="154"/>
      <c r="AX159" s="154"/>
      <c r="AY159" s="154"/>
      <c r="AZ159" s="154"/>
      <c r="BA159" s="154"/>
      <c r="BB159" s="154"/>
      <c r="BC159" s="154"/>
      <c r="BD159" s="154"/>
      <c r="BE159" s="154"/>
      <c r="BF159" s="154"/>
      <c r="BG159" s="154"/>
      <c r="BH159" s="154"/>
      <c r="BI159" s="154"/>
      <c r="BJ159" s="154"/>
      <c r="BK159" s="154"/>
      <c r="BL159" s="154"/>
      <c r="BM159" s="154"/>
      <c r="BN159" s="154"/>
      <c r="BO159" s="154"/>
      <c r="BP159" s="154"/>
      <c r="BQ159" s="154"/>
      <c r="BR159" s="154"/>
      <c r="BS159" s="154"/>
      <c r="BT159" s="154"/>
      <c r="BU159" s="154"/>
      <c r="BV159" s="154"/>
      <c r="BW159" s="154"/>
      <c r="BX159" s="154"/>
      <c r="BY159" s="154"/>
      <c r="BZ159" s="154"/>
      <c r="CA159" s="154"/>
      <c r="CB159" s="154"/>
      <c r="CC159" s="523"/>
      <c r="CD159" s="355"/>
      <c r="CE159" s="355"/>
      <c r="CF159" s="355"/>
      <c r="CG159" s="268"/>
      <c r="CH159" s="268"/>
      <c r="CI159" s="268"/>
      <c r="CJ159" s="268"/>
      <c r="CK159" s="268"/>
      <c r="CL159" s="268"/>
      <c r="CM159" s="268"/>
      <c r="CN159" s="268"/>
      <c r="CO159" s="268"/>
      <c r="CP159" s="268"/>
      <c r="CQ159" s="268"/>
      <c r="CR159" s="268"/>
      <c r="CS159" s="268"/>
      <c r="CT159" s="269"/>
      <c r="CU159" s="269"/>
      <c r="CV159" s="270"/>
      <c r="CW159" s="269"/>
      <c r="CX159" s="268"/>
      <c r="CY159" s="269"/>
      <c r="EG159" s="1213"/>
    </row>
    <row r="160" spans="1:168" x14ac:dyDescent="0.2">
      <c r="A160" s="24" t="s">
        <v>2159</v>
      </c>
      <c r="B160" s="317" t="str">
        <f t="shared" ca="1" si="642"/>
        <v>akt.</v>
      </c>
      <c r="C160" s="727"/>
      <c r="D160" s="720"/>
      <c r="E160" s="720"/>
      <c r="F160" s="720"/>
      <c r="G160" s="720"/>
      <c r="H160" s="720"/>
      <c r="I160" s="720"/>
      <c r="J160" s="1886"/>
      <c r="K160" s="1887"/>
      <c r="L160" s="1887"/>
      <c r="M160" s="1887"/>
      <c r="N160" s="1888"/>
      <c r="O160" s="613" t="str">
        <f t="shared" ca="1" si="643"/>
        <v>akt.</v>
      </c>
      <c r="P160" s="596"/>
      <c r="Q160" s="596"/>
      <c r="R160" s="596"/>
      <c r="S160" s="596"/>
      <c r="T160" s="596"/>
      <c r="U160" s="596"/>
      <c r="V160" s="596"/>
      <c r="W160" s="164"/>
      <c r="X160" s="154"/>
      <c r="Y160" s="154"/>
      <c r="Z160" s="154"/>
      <c r="AA160" s="154"/>
      <c r="AB160" s="154"/>
      <c r="AC160" s="154"/>
      <c r="AD160" s="154"/>
      <c r="AE160" s="154"/>
      <c r="AF160" s="154"/>
      <c r="AG160" s="154"/>
      <c r="AH160" s="154"/>
      <c r="AI160" s="154"/>
      <c r="AJ160" s="154"/>
      <c r="AK160" s="154"/>
      <c r="AL160" s="154"/>
      <c r="AM160" s="154"/>
      <c r="AN160" s="154"/>
      <c r="AO160" s="154"/>
      <c r="AP160" s="154"/>
      <c r="AQ160" s="154"/>
      <c r="AR160" s="154"/>
      <c r="AS160" s="195"/>
      <c r="AT160" s="154"/>
      <c r="AU160" s="154"/>
      <c r="AV160" s="154"/>
      <c r="AW160" s="154"/>
      <c r="AX160" s="154"/>
      <c r="AY160" s="154"/>
      <c r="AZ160" s="154"/>
      <c r="BA160" s="154"/>
      <c r="BB160" s="154"/>
      <c r="BC160" s="154"/>
      <c r="BD160" s="154"/>
      <c r="BE160" s="154"/>
      <c r="BF160" s="154"/>
      <c r="BG160" s="154"/>
      <c r="BH160" s="154"/>
      <c r="BI160" s="154"/>
      <c r="BJ160" s="154"/>
      <c r="BK160" s="154"/>
      <c r="BL160" s="154"/>
      <c r="BM160" s="154"/>
      <c r="BN160" s="154"/>
      <c r="BO160" s="154"/>
      <c r="BP160" s="154"/>
      <c r="BQ160" s="154"/>
      <c r="BR160" s="154"/>
      <c r="BS160" s="154"/>
      <c r="BT160" s="154"/>
      <c r="BU160" s="154"/>
      <c r="BV160" s="154"/>
      <c r="BW160" s="154"/>
      <c r="BX160" s="154"/>
      <c r="BY160" s="154"/>
      <c r="BZ160" s="154"/>
      <c r="CA160" s="154"/>
      <c r="CB160" s="154"/>
      <c r="CC160" s="523"/>
      <c r="CD160" s="355"/>
      <c r="CE160" s="355"/>
      <c r="CF160" s="355"/>
      <c r="CG160" s="268"/>
      <c r="CH160" s="268"/>
      <c r="CI160" s="268"/>
      <c r="CJ160" s="268"/>
      <c r="CK160" s="268"/>
      <c r="CL160" s="268"/>
      <c r="CM160" s="268"/>
      <c r="CN160" s="268"/>
      <c r="CO160" s="268"/>
      <c r="CP160" s="268"/>
      <c r="CQ160" s="268"/>
      <c r="CR160" s="268"/>
      <c r="CS160" s="268"/>
      <c r="CT160" s="269"/>
      <c r="CU160" s="269"/>
      <c r="CV160" s="270"/>
      <c r="CW160" s="269"/>
      <c r="CX160" s="269"/>
      <c r="CY160" s="269"/>
      <c r="CZ160" s="268"/>
      <c r="EG160" s="1213"/>
    </row>
    <row r="161" spans="1:168" x14ac:dyDescent="0.2">
      <c r="A161" s="24" t="s">
        <v>2158</v>
      </c>
      <c r="B161" s="317" t="str">
        <f t="shared" ca="1" si="642"/>
        <v>akt.</v>
      </c>
      <c r="C161" s="727"/>
      <c r="D161" s="720"/>
      <c r="E161" s="720"/>
      <c r="F161" s="720"/>
      <c r="G161" s="720"/>
      <c r="H161" s="720"/>
      <c r="I161" s="720"/>
      <c r="J161" s="1886"/>
      <c r="K161" s="1887"/>
      <c r="L161" s="1887"/>
      <c r="M161" s="1887"/>
      <c r="N161" s="1888"/>
      <c r="O161" s="613" t="str">
        <f t="shared" ca="1" si="643"/>
        <v>akt.</v>
      </c>
      <c r="P161" s="596"/>
      <c r="Q161" s="596"/>
      <c r="R161" s="596"/>
      <c r="S161" s="596"/>
      <c r="T161" s="596"/>
      <c r="U161" s="596"/>
      <c r="V161" s="596"/>
      <c r="W161" s="164"/>
      <c r="X161" s="154"/>
      <c r="Y161" s="154"/>
      <c r="Z161" s="154"/>
      <c r="AA161" s="154"/>
      <c r="AB161" s="154"/>
      <c r="AC161" s="154"/>
      <c r="AD161" s="154"/>
      <c r="AE161" s="154"/>
      <c r="AF161" s="154"/>
      <c r="AG161" s="154"/>
      <c r="AH161" s="154"/>
      <c r="AI161" s="154"/>
      <c r="AJ161" s="154"/>
      <c r="AK161" s="154"/>
      <c r="AL161" s="154"/>
      <c r="AM161" s="154"/>
      <c r="AN161" s="154"/>
      <c r="AO161" s="154"/>
      <c r="AP161" s="154"/>
      <c r="AQ161" s="154"/>
      <c r="AR161" s="154"/>
      <c r="AS161" s="195"/>
      <c r="AT161" s="154"/>
      <c r="AU161" s="154"/>
      <c r="AV161" s="154"/>
      <c r="AW161" s="154"/>
      <c r="AX161" s="154"/>
      <c r="AY161" s="154"/>
      <c r="AZ161" s="154"/>
      <c r="BA161" s="154"/>
      <c r="BB161" s="154"/>
      <c r="BC161" s="154"/>
      <c r="BD161" s="154"/>
      <c r="BE161" s="154"/>
      <c r="BF161" s="154"/>
      <c r="BG161" s="154"/>
      <c r="BH161" s="154"/>
      <c r="BI161" s="154"/>
      <c r="BJ161" s="154"/>
      <c r="BK161" s="154"/>
      <c r="BL161" s="154"/>
      <c r="BM161" s="154"/>
      <c r="BN161" s="154"/>
      <c r="BO161" s="154"/>
      <c r="BP161" s="154"/>
      <c r="BQ161" s="154"/>
      <c r="BR161" s="154"/>
      <c r="BS161" s="154"/>
      <c r="BT161" s="154"/>
      <c r="BU161" s="154"/>
      <c r="BV161" s="154"/>
      <c r="BW161" s="154"/>
      <c r="BX161" s="154"/>
      <c r="BY161" s="154"/>
      <c r="BZ161" s="154"/>
      <c r="CA161" s="154"/>
      <c r="CB161" s="154"/>
      <c r="CC161" s="523"/>
      <c r="CD161" s="355"/>
      <c r="CE161" s="355"/>
      <c r="CF161" s="355"/>
      <c r="CG161" s="268"/>
      <c r="CH161" s="268"/>
      <c r="CI161" s="268"/>
      <c r="CJ161" s="268"/>
      <c r="CK161" s="268"/>
      <c r="CL161" s="268"/>
      <c r="CM161" s="268"/>
      <c r="CN161" s="268"/>
      <c r="CO161" s="268"/>
      <c r="CP161" s="268"/>
      <c r="CQ161" s="268"/>
      <c r="CR161" s="268"/>
      <c r="CS161" s="268"/>
      <c r="CT161" s="269"/>
      <c r="CU161" s="269"/>
      <c r="CV161" s="270"/>
      <c r="CW161" s="269"/>
      <c r="CX161" s="269"/>
      <c r="CY161" s="269"/>
      <c r="CZ161" s="268"/>
      <c r="EG161" s="1213"/>
    </row>
    <row r="162" spans="1:168" x14ac:dyDescent="0.2">
      <c r="A162" s="24" t="s">
        <v>7285</v>
      </c>
      <c r="B162" s="317" t="str">
        <f t="shared" ca="1" si="642"/>
        <v>akt.</v>
      </c>
      <c r="C162" s="727"/>
      <c r="D162" s="720"/>
      <c r="E162" s="720"/>
      <c r="F162" s="720"/>
      <c r="G162" s="720"/>
      <c r="H162" s="720"/>
      <c r="I162" s="720"/>
      <c r="J162" s="1886"/>
      <c r="K162" s="1887"/>
      <c r="L162" s="1887"/>
      <c r="M162" s="1887"/>
      <c r="N162" s="1888"/>
      <c r="O162" s="613" t="str">
        <f t="shared" ca="1" si="643"/>
        <v>akt.</v>
      </c>
      <c r="P162" s="596"/>
      <c r="Q162" s="596"/>
      <c r="R162" s="596"/>
      <c r="S162" s="596"/>
      <c r="T162" s="596"/>
      <c r="U162" s="596"/>
      <c r="V162" s="596"/>
      <c r="W162" s="164"/>
      <c r="X162" s="154"/>
      <c r="Y162" s="154"/>
      <c r="Z162" s="154"/>
      <c r="AA162" s="154"/>
      <c r="AB162" s="154"/>
      <c r="AC162" s="154"/>
      <c r="AD162" s="154"/>
      <c r="AE162" s="154"/>
      <c r="AF162" s="154"/>
      <c r="AG162" s="154"/>
      <c r="AH162" s="154"/>
      <c r="AI162" s="154"/>
      <c r="AJ162" s="154"/>
      <c r="AK162" s="154"/>
      <c r="AL162" s="154"/>
      <c r="AM162" s="154"/>
      <c r="AN162" s="154"/>
      <c r="AO162" s="154"/>
      <c r="AP162" s="154"/>
      <c r="AQ162" s="154"/>
      <c r="AR162" s="154"/>
      <c r="AS162" s="195"/>
      <c r="AT162" s="154"/>
      <c r="AU162" s="154"/>
      <c r="AV162" s="154"/>
      <c r="AW162" s="154"/>
      <c r="AX162" s="154"/>
      <c r="AY162" s="154"/>
      <c r="AZ162" s="154"/>
      <c r="BA162" s="154"/>
      <c r="BB162" s="154"/>
      <c r="BC162" s="154"/>
      <c r="BD162" s="154"/>
      <c r="BE162" s="154"/>
      <c r="BF162" s="154"/>
      <c r="BG162" s="154"/>
      <c r="BH162" s="154"/>
      <c r="BI162" s="154"/>
      <c r="BJ162" s="154"/>
      <c r="BK162" s="154"/>
      <c r="BL162" s="154"/>
      <c r="BM162" s="154"/>
      <c r="BN162" s="154"/>
      <c r="BO162" s="154"/>
      <c r="BP162" s="154"/>
      <c r="BQ162" s="154"/>
      <c r="BR162" s="154"/>
      <c r="BS162" s="154"/>
      <c r="BT162" s="154"/>
      <c r="BU162" s="154"/>
      <c r="BV162" s="154"/>
      <c r="BW162" s="154"/>
      <c r="BX162" s="154"/>
      <c r="BY162" s="154"/>
      <c r="BZ162" s="154"/>
      <c r="CA162" s="154"/>
      <c r="CB162" s="154"/>
      <c r="CC162" s="523"/>
      <c r="CD162" s="355"/>
      <c r="CE162" s="355"/>
      <c r="CF162" s="355"/>
      <c r="CG162" s="268"/>
      <c r="CH162" s="268"/>
      <c r="CI162" s="268"/>
      <c r="CJ162" s="268"/>
      <c r="CK162" s="268"/>
      <c r="CL162" s="268"/>
      <c r="CM162" s="268"/>
      <c r="CN162" s="268"/>
      <c r="CO162" s="268"/>
      <c r="CP162" s="268"/>
      <c r="CQ162" s="268"/>
      <c r="CR162" s="268"/>
      <c r="CS162" s="268"/>
      <c r="CT162" s="269"/>
      <c r="CU162" s="269"/>
      <c r="CV162" s="270"/>
      <c r="CW162" s="269"/>
      <c r="CX162" s="269"/>
      <c r="CY162" s="269"/>
      <c r="CZ162" s="268"/>
      <c r="EG162" s="1213"/>
    </row>
    <row r="163" spans="1:168" x14ac:dyDescent="0.2">
      <c r="A163" s="24" t="s">
        <v>2433</v>
      </c>
      <c r="B163" s="317" t="str">
        <f t="shared" ca="1" si="642"/>
        <v>akt.</v>
      </c>
      <c r="C163" s="727"/>
      <c r="D163" s="720"/>
      <c r="E163" s="720"/>
      <c r="F163" s="720"/>
      <c r="G163" s="720"/>
      <c r="H163" s="720"/>
      <c r="I163" s="720"/>
      <c r="J163" s="1886"/>
      <c r="K163" s="1887"/>
      <c r="L163" s="1887"/>
      <c r="M163" s="1887"/>
      <c r="N163" s="1888"/>
      <c r="O163" s="613" t="str">
        <f t="shared" ca="1" si="643"/>
        <v>akt.</v>
      </c>
      <c r="P163" s="596"/>
      <c r="Q163" s="596"/>
      <c r="R163" s="596"/>
      <c r="S163" s="596"/>
      <c r="T163" s="596"/>
      <c r="U163" s="596"/>
      <c r="V163" s="596"/>
      <c r="W163" s="164"/>
      <c r="X163" s="154"/>
      <c r="Y163" s="154"/>
      <c r="Z163" s="154"/>
      <c r="AA163" s="154"/>
      <c r="AB163" s="154"/>
      <c r="AC163" s="154"/>
      <c r="AD163" s="154"/>
      <c r="AE163" s="154"/>
      <c r="AF163" s="154"/>
      <c r="AG163" s="154"/>
      <c r="AH163" s="154"/>
      <c r="AI163" s="154"/>
      <c r="AJ163" s="154"/>
      <c r="AK163" s="154"/>
      <c r="AL163" s="154"/>
      <c r="AM163" s="154"/>
      <c r="AN163" s="154"/>
      <c r="AO163" s="154"/>
      <c r="AP163" s="154"/>
      <c r="AQ163" s="154"/>
      <c r="AR163" s="154"/>
      <c r="AS163" s="195"/>
      <c r="AT163" s="154"/>
      <c r="AU163" s="154"/>
      <c r="AV163" s="154"/>
      <c r="AW163" s="154"/>
      <c r="AX163" s="154"/>
      <c r="AY163" s="154"/>
      <c r="AZ163" s="154"/>
      <c r="BA163" s="154"/>
      <c r="BB163" s="154"/>
      <c r="BC163" s="154"/>
      <c r="BD163" s="154"/>
      <c r="BE163" s="154"/>
      <c r="BF163" s="154"/>
      <c r="BG163" s="154"/>
      <c r="BH163" s="154"/>
      <c r="BI163" s="154"/>
      <c r="BJ163" s="154"/>
      <c r="BK163" s="154"/>
      <c r="BL163" s="154"/>
      <c r="BM163" s="154"/>
      <c r="BN163" s="154"/>
      <c r="BO163" s="154"/>
      <c r="BP163" s="154"/>
      <c r="BQ163" s="154"/>
      <c r="BR163" s="154"/>
      <c r="BS163" s="154"/>
      <c r="BT163" s="154"/>
      <c r="BU163" s="154"/>
      <c r="BV163" s="154"/>
      <c r="BW163" s="154"/>
      <c r="BX163" s="154"/>
      <c r="BY163" s="154"/>
      <c r="BZ163" s="154"/>
      <c r="CA163" s="154"/>
      <c r="CB163" s="154"/>
      <c r="CC163" s="523"/>
      <c r="CD163" s="355"/>
      <c r="CE163" s="355"/>
      <c r="CF163" s="355"/>
      <c r="CG163" s="268"/>
      <c r="CH163" s="268"/>
      <c r="CI163" s="268"/>
      <c r="CJ163" s="268"/>
      <c r="CK163" s="268"/>
      <c r="CL163" s="268"/>
      <c r="CM163" s="268"/>
      <c r="CN163" s="268"/>
      <c r="CO163" s="268"/>
      <c r="CP163" s="268"/>
      <c r="CQ163" s="268"/>
      <c r="CR163" s="268"/>
      <c r="CS163" s="268"/>
      <c r="CT163" s="269"/>
      <c r="CU163" s="269"/>
      <c r="CV163" s="270"/>
      <c r="CW163" s="269"/>
      <c r="CX163" s="269"/>
      <c r="CY163" s="269"/>
      <c r="CZ163" s="268"/>
      <c r="EG163" s="1213"/>
    </row>
    <row r="164" spans="1:168" x14ac:dyDescent="0.2">
      <c r="A164" s="24" t="s">
        <v>7421</v>
      </c>
      <c r="B164" s="317" t="str">
        <f t="shared" ca="1" si="642"/>
        <v>akt.</v>
      </c>
      <c r="C164" s="727"/>
      <c r="D164" s="720"/>
      <c r="E164" s="720"/>
      <c r="F164" s="720"/>
      <c r="G164" s="720"/>
      <c r="H164" s="720"/>
      <c r="I164" s="720"/>
      <c r="J164" s="1944"/>
      <c r="K164" s="1945"/>
      <c r="L164" s="1945"/>
      <c r="M164" s="1945"/>
      <c r="N164" s="1946"/>
      <c r="O164" s="613" t="str">
        <f t="shared" ca="1" si="643"/>
        <v>akt.</v>
      </c>
      <c r="P164" s="596"/>
      <c r="Q164" s="596"/>
      <c r="R164" s="596"/>
      <c r="S164" s="596"/>
      <c r="T164" s="596"/>
      <c r="U164" s="596"/>
      <c r="V164" s="596"/>
      <c r="W164" s="164"/>
      <c r="X164" s="154"/>
      <c r="Y164" s="154"/>
      <c r="Z164" s="154"/>
      <c r="AA164" s="154"/>
      <c r="AB164" s="154"/>
      <c r="AC164" s="154"/>
      <c r="AD164" s="154"/>
      <c r="AE164" s="154"/>
      <c r="AF164" s="154"/>
      <c r="AG164" s="154"/>
      <c r="AH164" s="154"/>
      <c r="AI164" s="154"/>
      <c r="AJ164" s="154"/>
      <c r="AK164" s="154"/>
      <c r="AL164" s="154"/>
      <c r="AM164" s="154"/>
      <c r="AN164" s="154"/>
      <c r="AO164" s="154"/>
      <c r="AP164" s="154"/>
      <c r="AQ164" s="154"/>
      <c r="AR164" s="154"/>
      <c r="AS164" s="195"/>
      <c r="AT164" s="154"/>
      <c r="AU164" s="154"/>
      <c r="AV164" s="154"/>
      <c r="AW164" s="154"/>
      <c r="AX164" s="154"/>
      <c r="AY164" s="154"/>
      <c r="AZ164" s="154"/>
      <c r="BA164" s="154"/>
      <c r="BB164" s="154"/>
      <c r="BC164" s="154"/>
      <c r="BD164" s="154"/>
      <c r="BE164" s="154"/>
      <c r="BF164" s="154"/>
      <c r="BG164" s="154"/>
      <c r="BH164" s="154"/>
      <c r="BI164" s="154"/>
      <c r="BJ164" s="154"/>
      <c r="BK164" s="154"/>
      <c r="BL164" s="154"/>
      <c r="BM164" s="154"/>
      <c r="BN164" s="154"/>
      <c r="BO164" s="154"/>
      <c r="BP164" s="154"/>
      <c r="BQ164" s="154"/>
      <c r="BR164" s="154"/>
      <c r="BS164" s="154"/>
      <c r="BT164" s="154"/>
      <c r="BU164" s="154"/>
      <c r="BV164" s="154"/>
      <c r="BW164" s="154"/>
      <c r="BX164" s="154"/>
      <c r="BY164" s="154"/>
      <c r="BZ164" s="154"/>
      <c r="CA164" s="154"/>
      <c r="CB164" s="154"/>
      <c r="CC164" s="523"/>
      <c r="CD164" s="355"/>
      <c r="CE164" s="355"/>
      <c r="CF164" s="355"/>
      <c r="CG164" s="268"/>
      <c r="CH164" s="268"/>
      <c r="CI164" s="268"/>
      <c r="CJ164" s="268"/>
      <c r="CK164" s="268"/>
      <c r="CL164" s="268"/>
      <c r="CM164" s="268"/>
      <c r="CN164" s="268"/>
      <c r="CO164" s="268"/>
      <c r="CP164" s="268"/>
      <c r="CQ164" s="268"/>
      <c r="CR164" s="268"/>
      <c r="CS164" s="268"/>
      <c r="CT164" s="269"/>
      <c r="CU164" s="269"/>
      <c r="CV164" s="270"/>
      <c r="CW164" s="269"/>
      <c r="CX164" s="269"/>
      <c r="CY164" s="269"/>
      <c r="CZ164" s="268"/>
      <c r="EG164" s="1213"/>
    </row>
    <row r="165" spans="1:168" ht="15.75" x14ac:dyDescent="0.25">
      <c r="A165" s="300" t="s">
        <v>2154</v>
      </c>
      <c r="B165" s="131"/>
      <c r="C165" s="531"/>
      <c r="D165" s="531"/>
      <c r="E165" s="149"/>
      <c r="F165" s="477"/>
      <c r="G165" s="477"/>
      <c r="H165" s="477"/>
      <c r="I165" s="477"/>
      <c r="J165" s="1952" t="s">
        <v>1646</v>
      </c>
      <c r="K165" s="1952"/>
      <c r="L165" s="1952"/>
      <c r="M165" s="774" t="s">
        <v>3086</v>
      </c>
      <c r="N165" s="293"/>
      <c r="O165" s="749" t="s">
        <v>718</v>
      </c>
      <c r="P165" s="515"/>
      <c r="Q165" s="515"/>
      <c r="R165" s="515"/>
      <c r="S165" s="515"/>
      <c r="T165" s="515"/>
      <c r="U165" s="515"/>
      <c r="V165" s="515"/>
      <c r="W165" s="134">
        <v>0</v>
      </c>
      <c r="X165" s="6">
        <v>1</v>
      </c>
      <c r="Y165" s="6">
        <v>2</v>
      </c>
      <c r="Z165" s="6">
        <v>3</v>
      </c>
      <c r="AA165" s="6">
        <v>4</v>
      </c>
      <c r="AB165" s="6">
        <v>5</v>
      </c>
      <c r="AC165" s="6">
        <v>6</v>
      </c>
      <c r="AD165" s="6">
        <v>7</v>
      </c>
      <c r="AE165" s="6">
        <v>8</v>
      </c>
      <c r="AF165" s="6">
        <v>9</v>
      </c>
      <c r="AG165" s="6">
        <v>10</v>
      </c>
      <c r="AH165" s="6">
        <v>11</v>
      </c>
      <c r="AI165" s="6">
        <v>12</v>
      </c>
      <c r="AJ165" s="6">
        <v>13</v>
      </c>
      <c r="AK165" s="6">
        <v>14</v>
      </c>
      <c r="AL165" s="6">
        <v>15</v>
      </c>
      <c r="AM165" s="6">
        <v>16</v>
      </c>
      <c r="AN165" s="6">
        <v>17</v>
      </c>
      <c r="AO165" s="6">
        <v>18</v>
      </c>
      <c r="AP165" s="6">
        <v>19</v>
      </c>
      <c r="AQ165" s="6">
        <v>20</v>
      </c>
      <c r="AR165" s="6">
        <v>21</v>
      </c>
      <c r="AS165" s="194"/>
      <c r="AT165" s="134">
        <v>0</v>
      </c>
      <c r="AU165" s="6">
        <v>1</v>
      </c>
      <c r="AV165" s="6">
        <v>2</v>
      </c>
      <c r="AW165" s="6">
        <v>3</v>
      </c>
      <c r="AX165" s="6">
        <v>4</v>
      </c>
      <c r="AY165" s="6">
        <v>5</v>
      </c>
      <c r="AZ165" s="6">
        <v>6</v>
      </c>
      <c r="BA165" s="6">
        <v>7</v>
      </c>
      <c r="BB165" s="6">
        <v>8</v>
      </c>
      <c r="BC165" s="6">
        <v>9</v>
      </c>
      <c r="BD165" s="6">
        <v>10</v>
      </c>
      <c r="BE165" s="6">
        <v>11</v>
      </c>
      <c r="BF165" s="6">
        <v>12</v>
      </c>
      <c r="BG165" s="6">
        <v>13</v>
      </c>
      <c r="BH165" s="6">
        <v>14</v>
      </c>
      <c r="BI165" s="6">
        <v>15</v>
      </c>
      <c r="BJ165" s="6">
        <v>16</v>
      </c>
      <c r="BK165" s="6">
        <v>17</v>
      </c>
      <c r="BL165" s="6">
        <v>18</v>
      </c>
      <c r="BM165" s="6">
        <v>19</v>
      </c>
      <c r="BN165" s="6">
        <v>20</v>
      </c>
      <c r="BO165" s="6">
        <v>21</v>
      </c>
      <c r="BP165" s="6">
        <v>22</v>
      </c>
      <c r="BQ165" s="6">
        <v>23</v>
      </c>
      <c r="BR165" s="6">
        <v>24</v>
      </c>
      <c r="BS165" s="6">
        <v>25</v>
      </c>
      <c r="BT165" s="6">
        <v>26</v>
      </c>
      <c r="BU165" s="6">
        <v>27</v>
      </c>
      <c r="BV165" s="6">
        <v>28</v>
      </c>
      <c r="BW165" s="6">
        <v>29</v>
      </c>
      <c r="BX165" s="6">
        <v>30</v>
      </c>
      <c r="BY165" s="6">
        <v>31</v>
      </c>
      <c r="BZ165" s="6" t="s">
        <v>3170</v>
      </c>
      <c r="CA165" s="6" t="s">
        <v>3170</v>
      </c>
      <c r="CB165" s="6" t="s">
        <v>3170</v>
      </c>
      <c r="CC165" s="90"/>
      <c r="CD165" s="355"/>
      <c r="CE165" s="355" t="str">
        <f>IF(ISBLANK($A165),"",IF(ISBLANK($F165),$M165,CHAR(CODE($M165)-1)))</f>
        <v>SKT</v>
      </c>
      <c r="CF165" s="355"/>
      <c r="CG165" s="268"/>
      <c r="CH165" s="268"/>
      <c r="CI165" s="268"/>
      <c r="CJ165" s="268"/>
      <c r="CK165" s="268"/>
      <c r="CL165" s="268"/>
      <c r="CM165" s="268"/>
      <c r="CN165" s="268"/>
      <c r="CO165" s="268"/>
      <c r="CP165" s="268"/>
      <c r="CQ165" s="268"/>
      <c r="CR165" s="268"/>
      <c r="CS165" s="268"/>
      <c r="CT165" s="269"/>
      <c r="CU165" s="269"/>
      <c r="CV165" s="270"/>
      <c r="CW165" s="269"/>
      <c r="CX165" s="269"/>
      <c r="CY165" s="269"/>
      <c r="CZ165" s="268"/>
      <c r="EG165" s="1213"/>
    </row>
    <row r="166" spans="1:168" x14ac:dyDescent="0.2">
      <c r="A166" s="1095"/>
      <c r="B166" s="317"/>
      <c r="C166" s="27"/>
      <c r="D166" s="27"/>
      <c r="E166" s="1276"/>
      <c r="F166" s="325"/>
      <c r="G166" s="958"/>
      <c r="H166" s="1277"/>
      <c r="I166" s="326"/>
      <c r="J166" s="1298"/>
      <c r="K166" s="1298"/>
      <c r="L166" s="1298"/>
      <c r="M166" s="1067"/>
      <c r="N166" s="1278"/>
      <c r="O166" s="596" t="str">
        <f>IF(AND(EXACT($B166,""),ISBLANK($G166),ISBLANK($I166)),"",SUM($B166,$G166,$I166))</f>
        <v/>
      </c>
      <c r="P166" s="596"/>
      <c r="Q166" s="596"/>
      <c r="R166" s="596"/>
      <c r="S166" s="596"/>
      <c r="T166" s="596"/>
      <c r="U166" s="596"/>
      <c r="V166" s="596"/>
      <c r="W166" s="164">
        <f>IF(NOT(ISBLANK($G166)),
IF(SUM($B166)&lt;=0,SUM(IF($G166&lt;ABS($B166),$G166,ABS($B166)),1)*HLOOKUP($CE166,SKT,3,FALSE),0),0)</f>
        <v>0</v>
      </c>
      <c r="X166" s="154">
        <f t="shared" ref="X166:AG170" si="644">IF(AND(NOT(ISBLANK($G166)),$B166&lt;X$41,SUM($B166,$G166)&gt;=X$41),IF(AND(NOT(ISBLANK($F166)),IF(ISERR(FIND(";"&amp;X$41&amp;";",$F166)),FALSE,TRUE)),HLOOKUP(IF(CODE($CE166)&lt;66,"A+",CHAR(CODE($CE166)-1)),SKT,X$41+3,FALSE),HLOOKUP($CE166,SKT,X$41+3,FALSE)),0)</f>
        <v>0</v>
      </c>
      <c r="Y166" s="154">
        <f t="shared" si="644"/>
        <v>0</v>
      </c>
      <c r="Z166" s="154">
        <f t="shared" si="644"/>
        <v>0</v>
      </c>
      <c r="AA166" s="154">
        <f t="shared" si="644"/>
        <v>0</v>
      </c>
      <c r="AB166" s="154">
        <f t="shared" si="644"/>
        <v>0</v>
      </c>
      <c r="AC166" s="154">
        <f t="shared" si="644"/>
        <v>0</v>
      </c>
      <c r="AD166" s="154">
        <f t="shared" si="644"/>
        <v>0</v>
      </c>
      <c r="AE166" s="154">
        <f t="shared" si="644"/>
        <v>0</v>
      </c>
      <c r="AF166" s="154">
        <f t="shared" si="644"/>
        <v>0</v>
      </c>
      <c r="AG166" s="154">
        <f t="shared" si="644"/>
        <v>0</v>
      </c>
      <c r="AH166" s="154">
        <f t="shared" ref="AH166:AR170" si="645">IF(AND(NOT(ISBLANK($G166)),$B166&lt;AH$41,SUM($B166,$G166)&gt;=AH$41),IF(AND(NOT(ISBLANK($F166)),IF(ISERR(FIND(";"&amp;AH$41&amp;";",$F166)),FALSE,TRUE)),HLOOKUP(IF(CODE($CE166)&lt;66,"A+",CHAR(CODE($CE166)-1)),SKT,AH$41+3,FALSE),HLOOKUP($CE166,SKT,AH$41+3,FALSE)),0)</f>
        <v>0</v>
      </c>
      <c r="AI166" s="154">
        <f t="shared" si="645"/>
        <v>0</v>
      </c>
      <c r="AJ166" s="154">
        <f t="shared" si="645"/>
        <v>0</v>
      </c>
      <c r="AK166" s="154">
        <f t="shared" si="645"/>
        <v>0</v>
      </c>
      <c r="AL166" s="154">
        <f t="shared" si="645"/>
        <v>0</v>
      </c>
      <c r="AM166" s="154">
        <f t="shared" si="645"/>
        <v>0</v>
      </c>
      <c r="AN166" s="154">
        <f t="shared" si="645"/>
        <v>0</v>
      </c>
      <c r="AO166" s="154">
        <f t="shared" si="645"/>
        <v>0</v>
      </c>
      <c r="AP166" s="154">
        <f t="shared" si="645"/>
        <v>0</v>
      </c>
      <c r="AQ166" s="154">
        <f t="shared" si="645"/>
        <v>0</v>
      </c>
      <c r="AR166" s="154">
        <f t="shared" si="645"/>
        <v>0</v>
      </c>
      <c r="AS166" s="195"/>
      <c r="AT166" s="154">
        <f>IF(NOT(ISBLANK($I166)),
ROUND(IF(SUM($B166,$G166)&lt;=0,
SUM(IF($I166&lt;ABS(SUM($B166,$G166)),$I166,ABS(SUM($B166,$G166))),1)*HLOOKUP($CE166,SKT,3,FALSE),0)*5,0),0)</f>
        <v>0</v>
      </c>
      <c r="AU166" s="154">
        <f t="shared" ref="AU166:BD170" si="646">IF(AND(NOT(ISBLANK($I166)),SUM($B166,$G166)&lt;AU$41,SUM($B166,$G166,$I166)&gt;=AU$41),IF(AND(NOT(ISBLANK($F166)),IF(ISERR(FIND(";"&amp;AU$41&amp;";",$F166)),FALSE,TRUE)),HLOOKUP(IF(CODE($CE166)&lt;66,"A+",CHAR(CODE($CE166)-1)),SKT,AU$41+3,FALSE),HLOOKUP($CE166,SKT,AU$41+3,FALSE)),0)</f>
        <v>0</v>
      </c>
      <c r="AV166" s="154">
        <f t="shared" si="646"/>
        <v>0</v>
      </c>
      <c r="AW166" s="154">
        <f t="shared" si="646"/>
        <v>0</v>
      </c>
      <c r="AX166" s="154">
        <f t="shared" si="646"/>
        <v>0</v>
      </c>
      <c r="AY166" s="154">
        <f t="shared" si="646"/>
        <v>0</v>
      </c>
      <c r="AZ166" s="154">
        <f t="shared" si="646"/>
        <v>0</v>
      </c>
      <c r="BA166" s="154">
        <f t="shared" si="646"/>
        <v>0</v>
      </c>
      <c r="BB166" s="154">
        <f t="shared" si="646"/>
        <v>0</v>
      </c>
      <c r="BC166" s="154">
        <f t="shared" si="646"/>
        <v>0</v>
      </c>
      <c r="BD166" s="154">
        <f t="shared" si="646"/>
        <v>0</v>
      </c>
      <c r="BE166" s="154">
        <f t="shared" ref="BE166:BN170" si="647">IF(AND(NOT(ISBLANK($I166)),SUM($B166,$G166)&lt;BE$41,SUM($B166,$G166,$I166)&gt;=BE$41),IF(AND(NOT(ISBLANK($F166)),IF(ISERR(FIND(";"&amp;BE$41&amp;";",$F166)),FALSE,TRUE)),HLOOKUP(IF(CODE($CE166)&lt;66,"A+",CHAR(CODE($CE166)-1)),SKT,BE$41+3,FALSE),HLOOKUP($CE166,SKT,BE$41+3,FALSE)),0)</f>
        <v>0</v>
      </c>
      <c r="BF166" s="154">
        <f t="shared" si="647"/>
        <v>0</v>
      </c>
      <c r="BG166" s="154">
        <f t="shared" si="647"/>
        <v>0</v>
      </c>
      <c r="BH166" s="154">
        <f t="shared" si="647"/>
        <v>0</v>
      </c>
      <c r="BI166" s="154">
        <f t="shared" si="647"/>
        <v>0</v>
      </c>
      <c r="BJ166" s="154">
        <f t="shared" si="647"/>
        <v>0</v>
      </c>
      <c r="BK166" s="154">
        <f t="shared" si="647"/>
        <v>0</v>
      </c>
      <c r="BL166" s="154">
        <f t="shared" si="647"/>
        <v>0</v>
      </c>
      <c r="BM166" s="154">
        <f t="shared" si="647"/>
        <v>0</v>
      </c>
      <c r="BN166" s="154">
        <f t="shared" si="647"/>
        <v>0</v>
      </c>
      <c r="BO166" s="154">
        <f t="shared" ref="BO166:BY170" si="648">IF(AND(NOT(ISBLANK($I166)),SUM($B166,$G166)&lt;BO$41,SUM($B166,$G166,$I166)&gt;=BO$41),IF(AND(NOT(ISBLANK($F166)),IF(ISERR(FIND(";"&amp;BO$41&amp;";",$F166)),FALSE,TRUE)),HLOOKUP(IF(CODE($CE166)&lt;66,"A+",CHAR(CODE($CE166)-1)),SKT,BO$41+3,FALSE),HLOOKUP($CE166,SKT,BO$41+3,FALSE)),0)</f>
        <v>0</v>
      </c>
      <c r="BP166" s="154">
        <f t="shared" si="648"/>
        <v>0</v>
      </c>
      <c r="BQ166" s="154">
        <f t="shared" si="648"/>
        <v>0</v>
      </c>
      <c r="BR166" s="154">
        <f t="shared" si="648"/>
        <v>0</v>
      </c>
      <c r="BS166" s="154">
        <f t="shared" si="648"/>
        <v>0</v>
      </c>
      <c r="BT166" s="154">
        <f t="shared" si="648"/>
        <v>0</v>
      </c>
      <c r="BU166" s="154">
        <f t="shared" si="648"/>
        <v>0</v>
      </c>
      <c r="BV166" s="154">
        <f t="shared" si="648"/>
        <v>0</v>
      </c>
      <c r="BW166" s="154">
        <f t="shared" si="648"/>
        <v>0</v>
      </c>
      <c r="BX166" s="154">
        <f t="shared" si="648"/>
        <v>0</v>
      </c>
      <c r="BY166" s="154">
        <f t="shared" si="648"/>
        <v>0</v>
      </c>
      <c r="BZ166" s="154"/>
      <c r="CA166" s="154"/>
      <c r="CB166" s="154"/>
      <c r="CC166" s="523"/>
      <c r="CD166" s="355"/>
      <c r="CE166" s="751" t="str">
        <f>IF(ISBLANK($A166),"",$M166)</f>
        <v/>
      </c>
      <c r="CF166" s="355"/>
      <c r="CG166" s="268"/>
      <c r="CH166" s="268"/>
      <c r="CI166" s="268"/>
      <c r="CJ166" s="268"/>
      <c r="CK166" s="268"/>
      <c r="CL166" s="268"/>
      <c r="CM166" s="268"/>
      <c r="CN166" s="268"/>
      <c r="CO166" s="268"/>
      <c r="CP166" s="268"/>
      <c r="CQ166" s="268"/>
      <c r="CR166" s="268"/>
      <c r="CS166" s="268"/>
      <c r="CT166" s="269"/>
      <c r="CU166" s="269"/>
      <c r="CV166" s="270"/>
      <c r="CW166" s="269"/>
      <c r="CX166" s="269"/>
      <c r="CY166" s="269"/>
      <c r="CZ166" s="268"/>
      <c r="EG166" s="1213"/>
    </row>
    <row r="167" spans="1:168" x14ac:dyDescent="0.2">
      <c r="A167" s="24"/>
      <c r="B167" s="317"/>
      <c r="C167" s="27"/>
      <c r="D167" s="27"/>
      <c r="E167" s="1276"/>
      <c r="F167" s="325"/>
      <c r="G167" s="958"/>
      <c r="H167" s="1276"/>
      <c r="I167" s="326"/>
      <c r="J167" s="1298"/>
      <c r="K167" s="1298"/>
      <c r="L167" s="1298"/>
      <c r="M167" s="1067"/>
      <c r="N167" s="1278"/>
      <c r="O167" s="596" t="str">
        <f>IF(AND(EXACT($B167,""),ISBLANK($G167),ISBLANK($I167)),"",SUM($B167,$G167,$I167))</f>
        <v/>
      </c>
      <c r="P167" s="596"/>
      <c r="Q167" s="596"/>
      <c r="R167" s="596"/>
      <c r="S167" s="596"/>
      <c r="T167" s="596"/>
      <c r="U167" s="596"/>
      <c r="V167" s="596"/>
      <c r="W167" s="164">
        <f>IF(NOT(ISBLANK($G167)),
IF(SUM($B167)&lt;=0,SUM(IF($G167&lt;ABS($B167),$G167,ABS($B167)),1)*HLOOKUP($CE167,SKT,3,FALSE),0),0)</f>
        <v>0</v>
      </c>
      <c r="X167" s="154">
        <f t="shared" si="644"/>
        <v>0</v>
      </c>
      <c r="Y167" s="154">
        <f t="shared" si="644"/>
        <v>0</v>
      </c>
      <c r="Z167" s="154">
        <f t="shared" si="644"/>
        <v>0</v>
      </c>
      <c r="AA167" s="154">
        <f t="shared" si="644"/>
        <v>0</v>
      </c>
      <c r="AB167" s="154">
        <f t="shared" si="644"/>
        <v>0</v>
      </c>
      <c r="AC167" s="154">
        <f t="shared" si="644"/>
        <v>0</v>
      </c>
      <c r="AD167" s="154">
        <f t="shared" si="644"/>
        <v>0</v>
      </c>
      <c r="AE167" s="154">
        <f t="shared" si="644"/>
        <v>0</v>
      </c>
      <c r="AF167" s="154">
        <f t="shared" si="644"/>
        <v>0</v>
      </c>
      <c r="AG167" s="154">
        <f t="shared" si="644"/>
        <v>0</v>
      </c>
      <c r="AH167" s="154">
        <f t="shared" si="645"/>
        <v>0</v>
      </c>
      <c r="AI167" s="154">
        <f t="shared" si="645"/>
        <v>0</v>
      </c>
      <c r="AJ167" s="154">
        <f t="shared" si="645"/>
        <v>0</v>
      </c>
      <c r="AK167" s="154">
        <f t="shared" si="645"/>
        <v>0</v>
      </c>
      <c r="AL167" s="154">
        <f t="shared" si="645"/>
        <v>0</v>
      </c>
      <c r="AM167" s="154">
        <f t="shared" si="645"/>
        <v>0</v>
      </c>
      <c r="AN167" s="154">
        <f t="shared" si="645"/>
        <v>0</v>
      </c>
      <c r="AO167" s="154">
        <f t="shared" si="645"/>
        <v>0</v>
      </c>
      <c r="AP167" s="154">
        <f t="shared" si="645"/>
        <v>0</v>
      </c>
      <c r="AQ167" s="154">
        <f t="shared" si="645"/>
        <v>0</v>
      </c>
      <c r="AR167" s="154">
        <f t="shared" si="645"/>
        <v>0</v>
      </c>
      <c r="AS167" s="195"/>
      <c r="AT167" s="154">
        <f>IF(NOT(ISBLANK($I167)),
ROUND(IF(SUM($B167,$G167)&lt;=0,
SUM(IF($I167&lt;ABS(SUM($B167,$G167)),$I167,ABS(SUM($B167,$G167))),1)*HLOOKUP($CE167,SKT,3,FALSE),0)*5,0),0)</f>
        <v>0</v>
      </c>
      <c r="AU167" s="154">
        <f t="shared" si="646"/>
        <v>0</v>
      </c>
      <c r="AV167" s="154">
        <f t="shared" si="646"/>
        <v>0</v>
      </c>
      <c r="AW167" s="154">
        <f t="shared" si="646"/>
        <v>0</v>
      </c>
      <c r="AX167" s="154">
        <f t="shared" si="646"/>
        <v>0</v>
      </c>
      <c r="AY167" s="154">
        <f t="shared" si="646"/>
        <v>0</v>
      </c>
      <c r="AZ167" s="154">
        <f t="shared" si="646"/>
        <v>0</v>
      </c>
      <c r="BA167" s="154">
        <f t="shared" si="646"/>
        <v>0</v>
      </c>
      <c r="BB167" s="154">
        <f t="shared" si="646"/>
        <v>0</v>
      </c>
      <c r="BC167" s="154">
        <f t="shared" si="646"/>
        <v>0</v>
      </c>
      <c r="BD167" s="154">
        <f t="shared" si="646"/>
        <v>0</v>
      </c>
      <c r="BE167" s="154">
        <f t="shared" si="647"/>
        <v>0</v>
      </c>
      <c r="BF167" s="154">
        <f t="shared" si="647"/>
        <v>0</v>
      </c>
      <c r="BG167" s="154">
        <f t="shared" si="647"/>
        <v>0</v>
      </c>
      <c r="BH167" s="154">
        <f t="shared" si="647"/>
        <v>0</v>
      </c>
      <c r="BI167" s="154">
        <f t="shared" si="647"/>
        <v>0</v>
      </c>
      <c r="BJ167" s="154">
        <f t="shared" si="647"/>
        <v>0</v>
      </c>
      <c r="BK167" s="154">
        <f t="shared" si="647"/>
        <v>0</v>
      </c>
      <c r="BL167" s="154">
        <f t="shared" si="647"/>
        <v>0</v>
      </c>
      <c r="BM167" s="154">
        <f t="shared" si="647"/>
        <v>0</v>
      </c>
      <c r="BN167" s="154">
        <f t="shared" si="647"/>
        <v>0</v>
      </c>
      <c r="BO167" s="154">
        <f t="shared" si="648"/>
        <v>0</v>
      </c>
      <c r="BP167" s="154">
        <f t="shared" si="648"/>
        <v>0</v>
      </c>
      <c r="BQ167" s="154">
        <f t="shared" si="648"/>
        <v>0</v>
      </c>
      <c r="BR167" s="154">
        <f t="shared" si="648"/>
        <v>0</v>
      </c>
      <c r="BS167" s="154">
        <f t="shared" si="648"/>
        <v>0</v>
      </c>
      <c r="BT167" s="154">
        <f t="shared" si="648"/>
        <v>0</v>
      </c>
      <c r="BU167" s="154">
        <f t="shared" si="648"/>
        <v>0</v>
      </c>
      <c r="BV167" s="154">
        <f t="shared" si="648"/>
        <v>0</v>
      </c>
      <c r="BW167" s="154">
        <f t="shared" si="648"/>
        <v>0</v>
      </c>
      <c r="BX167" s="154">
        <f t="shared" si="648"/>
        <v>0</v>
      </c>
      <c r="BY167" s="154">
        <f t="shared" si="648"/>
        <v>0</v>
      </c>
      <c r="BZ167" s="154"/>
      <c r="CA167" s="154"/>
      <c r="CB167" s="154"/>
      <c r="CC167" s="523"/>
      <c r="CD167" s="355"/>
      <c r="CE167" s="751" t="str">
        <f>IF(ISBLANK($A167),"",$M167)</f>
        <v/>
      </c>
      <c r="CF167" s="355"/>
      <c r="CG167" s="268"/>
      <c r="CH167" s="268"/>
      <c r="CI167" s="268"/>
      <c r="CJ167" s="268"/>
      <c r="CK167" s="268"/>
      <c r="CL167" s="268"/>
      <c r="CM167" s="268"/>
      <c r="CN167" s="268"/>
      <c r="CO167" s="268"/>
      <c r="CP167" s="268"/>
      <c r="CQ167" s="268"/>
      <c r="CR167" s="268"/>
      <c r="CS167" s="268"/>
      <c r="CT167" s="269"/>
      <c r="CU167" s="269"/>
      <c r="CV167" s="270"/>
      <c r="CW167" s="269"/>
      <c r="CX167" s="269"/>
      <c r="CY167" s="269"/>
      <c r="CZ167" s="268"/>
      <c r="EG167" s="1213"/>
    </row>
    <row r="168" spans="1:168" x14ac:dyDescent="0.2">
      <c r="A168" s="24"/>
      <c r="B168" s="317"/>
      <c r="C168" s="27"/>
      <c r="D168" s="27"/>
      <c r="E168" s="1276"/>
      <c r="F168" s="325"/>
      <c r="G168" s="958"/>
      <c r="H168" s="1276"/>
      <c r="I168" s="326"/>
      <c r="J168" s="1298"/>
      <c r="K168" s="1298"/>
      <c r="L168" s="1298"/>
      <c r="M168" s="1067"/>
      <c r="N168" s="1278"/>
      <c r="O168" s="596" t="str">
        <f>IF(AND(EXACT($B168,""),ISBLANK($G168),ISBLANK($I168)),"",SUM($B168,$G168,$I168))</f>
        <v/>
      </c>
      <c r="P168" s="596"/>
      <c r="Q168" s="596"/>
      <c r="R168" s="596"/>
      <c r="S168" s="596"/>
      <c r="T168" s="596"/>
      <c r="U168" s="596"/>
      <c r="V168" s="596"/>
      <c r="W168" s="164">
        <f>IF(NOT(ISBLANK($G168)),
IF(SUM($B168)&lt;=0,SUM(IF($G168&lt;ABS($B168),$G168,ABS($B168)),1)*HLOOKUP($CE168,SKT,3,FALSE),0),0)</f>
        <v>0</v>
      </c>
      <c r="X168" s="154">
        <f t="shared" si="644"/>
        <v>0</v>
      </c>
      <c r="Y168" s="154">
        <f t="shared" si="644"/>
        <v>0</v>
      </c>
      <c r="Z168" s="154">
        <f t="shared" si="644"/>
        <v>0</v>
      </c>
      <c r="AA168" s="154">
        <f t="shared" si="644"/>
        <v>0</v>
      </c>
      <c r="AB168" s="154">
        <f t="shared" si="644"/>
        <v>0</v>
      </c>
      <c r="AC168" s="154">
        <f t="shared" si="644"/>
        <v>0</v>
      </c>
      <c r="AD168" s="154">
        <f t="shared" si="644"/>
        <v>0</v>
      </c>
      <c r="AE168" s="154">
        <f t="shared" si="644"/>
        <v>0</v>
      </c>
      <c r="AF168" s="154">
        <f t="shared" si="644"/>
        <v>0</v>
      </c>
      <c r="AG168" s="154">
        <f t="shared" si="644"/>
        <v>0</v>
      </c>
      <c r="AH168" s="154">
        <f t="shared" si="645"/>
        <v>0</v>
      </c>
      <c r="AI168" s="154">
        <f t="shared" si="645"/>
        <v>0</v>
      </c>
      <c r="AJ168" s="154">
        <f t="shared" si="645"/>
        <v>0</v>
      </c>
      <c r="AK168" s="154">
        <f t="shared" si="645"/>
        <v>0</v>
      </c>
      <c r="AL168" s="154">
        <f t="shared" si="645"/>
        <v>0</v>
      </c>
      <c r="AM168" s="154">
        <f t="shared" si="645"/>
        <v>0</v>
      </c>
      <c r="AN168" s="154">
        <f t="shared" si="645"/>
        <v>0</v>
      </c>
      <c r="AO168" s="154">
        <f t="shared" si="645"/>
        <v>0</v>
      </c>
      <c r="AP168" s="154">
        <f t="shared" si="645"/>
        <v>0</v>
      </c>
      <c r="AQ168" s="154">
        <f t="shared" si="645"/>
        <v>0</v>
      </c>
      <c r="AR168" s="154">
        <f t="shared" si="645"/>
        <v>0</v>
      </c>
      <c r="AS168" s="195"/>
      <c r="AT168" s="154">
        <f>IF(NOT(ISBLANK($I168)),
ROUND(IF(SUM($B168,$G168)&lt;=0,
SUM(IF($I168&lt;ABS(SUM($B168,$G168)),$I168,ABS(SUM($B168,$G168))),1)*HLOOKUP($CE168,SKT,3,FALSE),0)*5,0),0)</f>
        <v>0</v>
      </c>
      <c r="AU168" s="154">
        <f t="shared" si="646"/>
        <v>0</v>
      </c>
      <c r="AV168" s="154">
        <f t="shared" si="646"/>
        <v>0</v>
      </c>
      <c r="AW168" s="154">
        <f t="shared" si="646"/>
        <v>0</v>
      </c>
      <c r="AX168" s="154">
        <f t="shared" si="646"/>
        <v>0</v>
      </c>
      <c r="AY168" s="154">
        <f t="shared" si="646"/>
        <v>0</v>
      </c>
      <c r="AZ168" s="154">
        <f t="shared" si="646"/>
        <v>0</v>
      </c>
      <c r="BA168" s="154">
        <f t="shared" si="646"/>
        <v>0</v>
      </c>
      <c r="BB168" s="154">
        <f t="shared" si="646"/>
        <v>0</v>
      </c>
      <c r="BC168" s="154">
        <f t="shared" si="646"/>
        <v>0</v>
      </c>
      <c r="BD168" s="154">
        <f t="shared" si="646"/>
        <v>0</v>
      </c>
      <c r="BE168" s="154">
        <f t="shared" si="647"/>
        <v>0</v>
      </c>
      <c r="BF168" s="154">
        <f t="shared" si="647"/>
        <v>0</v>
      </c>
      <c r="BG168" s="154">
        <f t="shared" si="647"/>
        <v>0</v>
      </c>
      <c r="BH168" s="154">
        <f t="shared" si="647"/>
        <v>0</v>
      </c>
      <c r="BI168" s="154">
        <f t="shared" si="647"/>
        <v>0</v>
      </c>
      <c r="BJ168" s="154">
        <f t="shared" si="647"/>
        <v>0</v>
      </c>
      <c r="BK168" s="154">
        <f t="shared" si="647"/>
        <v>0</v>
      </c>
      <c r="BL168" s="154">
        <f t="shared" si="647"/>
        <v>0</v>
      </c>
      <c r="BM168" s="154">
        <f t="shared" si="647"/>
        <v>0</v>
      </c>
      <c r="BN168" s="154">
        <f t="shared" si="647"/>
        <v>0</v>
      </c>
      <c r="BO168" s="154">
        <f t="shared" si="648"/>
        <v>0</v>
      </c>
      <c r="BP168" s="154">
        <f t="shared" si="648"/>
        <v>0</v>
      </c>
      <c r="BQ168" s="154">
        <f t="shared" si="648"/>
        <v>0</v>
      </c>
      <c r="BR168" s="154">
        <f t="shared" si="648"/>
        <v>0</v>
      </c>
      <c r="BS168" s="154">
        <f t="shared" si="648"/>
        <v>0</v>
      </c>
      <c r="BT168" s="154">
        <f t="shared" si="648"/>
        <v>0</v>
      </c>
      <c r="BU168" s="154">
        <f t="shared" si="648"/>
        <v>0</v>
      </c>
      <c r="BV168" s="154">
        <f t="shared" si="648"/>
        <v>0</v>
      </c>
      <c r="BW168" s="154">
        <f t="shared" si="648"/>
        <v>0</v>
      </c>
      <c r="BX168" s="154">
        <f t="shared" si="648"/>
        <v>0</v>
      </c>
      <c r="BY168" s="154">
        <f t="shared" si="648"/>
        <v>0</v>
      </c>
      <c r="BZ168" s="154"/>
      <c r="CA168" s="154"/>
      <c r="CB168" s="154"/>
      <c r="CC168" s="523"/>
      <c r="CD168" s="355"/>
      <c r="CE168" s="751" t="str">
        <f>IF(ISBLANK($A168),"",$M168)</f>
        <v/>
      </c>
      <c r="CF168" s="355"/>
      <c r="CG168" s="268"/>
      <c r="CH168" s="268"/>
      <c r="CI168" s="268"/>
      <c r="CJ168" s="268"/>
      <c r="CK168" s="268"/>
      <c r="CL168" s="268"/>
      <c r="CM168" s="268"/>
      <c r="CN168" s="268"/>
      <c r="CO168" s="268"/>
      <c r="CP168" s="268"/>
      <c r="CQ168" s="268"/>
      <c r="CR168" s="268"/>
      <c r="CS168" s="268"/>
      <c r="CT168" s="269"/>
      <c r="CU168" s="269"/>
      <c r="CV168" s="270"/>
      <c r="CW168" s="269"/>
      <c r="CX168" s="269"/>
      <c r="CY168" s="269"/>
      <c r="CZ168" s="268"/>
      <c r="EG168" s="1213"/>
    </row>
    <row r="169" spans="1:168" x14ac:dyDescent="0.2">
      <c r="A169" s="24"/>
      <c r="B169" s="317"/>
      <c r="C169" s="27"/>
      <c r="D169" s="27"/>
      <c r="E169" s="1276"/>
      <c r="F169" s="325"/>
      <c r="G169" s="958"/>
      <c r="H169" s="1276"/>
      <c r="I169" s="326"/>
      <c r="J169" s="1298"/>
      <c r="K169" s="1298"/>
      <c r="L169" s="1298"/>
      <c r="M169" s="1067"/>
      <c r="N169" s="1278"/>
      <c r="O169" s="596" t="str">
        <f>IF(AND(EXACT($B169,""),ISBLANK($G169),ISBLANK($I169)),"",SUM($B169,$G169,$I169))</f>
        <v/>
      </c>
      <c r="P169" s="596"/>
      <c r="Q169" s="596"/>
      <c r="R169" s="596"/>
      <c r="S169" s="596"/>
      <c r="T169" s="596"/>
      <c r="U169" s="596"/>
      <c r="V169" s="596"/>
      <c r="W169" s="164">
        <f>IF(NOT(ISBLANK($G169)),
IF(SUM($B169)&lt;=0,SUM(IF($G169&lt;ABS($B169),$G169,ABS($B169)),1)*HLOOKUP($CE169,SKT,3,FALSE),0),0)</f>
        <v>0</v>
      </c>
      <c r="X169" s="154">
        <f t="shared" si="644"/>
        <v>0</v>
      </c>
      <c r="Y169" s="154">
        <f t="shared" si="644"/>
        <v>0</v>
      </c>
      <c r="Z169" s="154">
        <f t="shared" si="644"/>
        <v>0</v>
      </c>
      <c r="AA169" s="154">
        <f t="shared" si="644"/>
        <v>0</v>
      </c>
      <c r="AB169" s="154">
        <f t="shared" si="644"/>
        <v>0</v>
      </c>
      <c r="AC169" s="154">
        <f t="shared" si="644"/>
        <v>0</v>
      </c>
      <c r="AD169" s="154">
        <f t="shared" si="644"/>
        <v>0</v>
      </c>
      <c r="AE169" s="154">
        <f t="shared" si="644"/>
        <v>0</v>
      </c>
      <c r="AF169" s="154">
        <f t="shared" si="644"/>
        <v>0</v>
      </c>
      <c r="AG169" s="154">
        <f t="shared" si="644"/>
        <v>0</v>
      </c>
      <c r="AH169" s="154">
        <f t="shared" si="645"/>
        <v>0</v>
      </c>
      <c r="AI169" s="154">
        <f t="shared" si="645"/>
        <v>0</v>
      </c>
      <c r="AJ169" s="154">
        <f t="shared" si="645"/>
        <v>0</v>
      </c>
      <c r="AK169" s="154">
        <f t="shared" si="645"/>
        <v>0</v>
      </c>
      <c r="AL169" s="154">
        <f t="shared" si="645"/>
        <v>0</v>
      </c>
      <c r="AM169" s="154">
        <f t="shared" si="645"/>
        <v>0</v>
      </c>
      <c r="AN169" s="154">
        <f t="shared" si="645"/>
        <v>0</v>
      </c>
      <c r="AO169" s="154">
        <f t="shared" si="645"/>
        <v>0</v>
      </c>
      <c r="AP169" s="154">
        <f t="shared" si="645"/>
        <v>0</v>
      </c>
      <c r="AQ169" s="154">
        <f t="shared" si="645"/>
        <v>0</v>
      </c>
      <c r="AR169" s="154">
        <f t="shared" si="645"/>
        <v>0</v>
      </c>
      <c r="AS169" s="195"/>
      <c r="AT169" s="154">
        <f>IF(NOT(ISBLANK($I169)),
ROUND(IF(SUM($B169,$G169)&lt;=0,
SUM(IF($I169&lt;ABS(SUM($B169,$G169)),$I169,ABS(SUM($B169,$G169))),1)*HLOOKUP($CE169,SKT,3,FALSE),0)*5,0),0)</f>
        <v>0</v>
      </c>
      <c r="AU169" s="154">
        <f t="shared" si="646"/>
        <v>0</v>
      </c>
      <c r="AV169" s="154">
        <f t="shared" si="646"/>
        <v>0</v>
      </c>
      <c r="AW169" s="154">
        <f t="shared" si="646"/>
        <v>0</v>
      </c>
      <c r="AX169" s="154">
        <f t="shared" si="646"/>
        <v>0</v>
      </c>
      <c r="AY169" s="154">
        <f t="shared" si="646"/>
        <v>0</v>
      </c>
      <c r="AZ169" s="154">
        <f t="shared" si="646"/>
        <v>0</v>
      </c>
      <c r="BA169" s="154">
        <f t="shared" si="646"/>
        <v>0</v>
      </c>
      <c r="BB169" s="154">
        <f t="shared" si="646"/>
        <v>0</v>
      </c>
      <c r="BC169" s="154">
        <f t="shared" si="646"/>
        <v>0</v>
      </c>
      <c r="BD169" s="154">
        <f t="shared" si="646"/>
        <v>0</v>
      </c>
      <c r="BE169" s="154">
        <f t="shared" si="647"/>
        <v>0</v>
      </c>
      <c r="BF169" s="154">
        <f t="shared" si="647"/>
        <v>0</v>
      </c>
      <c r="BG169" s="154">
        <f t="shared" si="647"/>
        <v>0</v>
      </c>
      <c r="BH169" s="154">
        <f t="shared" si="647"/>
        <v>0</v>
      </c>
      <c r="BI169" s="154">
        <f t="shared" si="647"/>
        <v>0</v>
      </c>
      <c r="BJ169" s="154">
        <f t="shared" si="647"/>
        <v>0</v>
      </c>
      <c r="BK169" s="154">
        <f t="shared" si="647"/>
        <v>0</v>
      </c>
      <c r="BL169" s="154">
        <f t="shared" si="647"/>
        <v>0</v>
      </c>
      <c r="BM169" s="154">
        <f t="shared" si="647"/>
        <v>0</v>
      </c>
      <c r="BN169" s="154">
        <f t="shared" si="647"/>
        <v>0</v>
      </c>
      <c r="BO169" s="154">
        <f t="shared" si="648"/>
        <v>0</v>
      </c>
      <c r="BP169" s="154">
        <f t="shared" si="648"/>
        <v>0</v>
      </c>
      <c r="BQ169" s="154">
        <f t="shared" si="648"/>
        <v>0</v>
      </c>
      <c r="BR169" s="154">
        <f t="shared" si="648"/>
        <v>0</v>
      </c>
      <c r="BS169" s="154">
        <f t="shared" si="648"/>
        <v>0</v>
      </c>
      <c r="BT169" s="154">
        <f t="shared" si="648"/>
        <v>0</v>
      </c>
      <c r="BU169" s="154">
        <f t="shared" si="648"/>
        <v>0</v>
      </c>
      <c r="BV169" s="154">
        <f t="shared" si="648"/>
        <v>0</v>
      </c>
      <c r="BW169" s="154">
        <f t="shared" si="648"/>
        <v>0</v>
      </c>
      <c r="BX169" s="154">
        <f t="shared" si="648"/>
        <v>0</v>
      </c>
      <c r="BY169" s="154">
        <f t="shared" si="648"/>
        <v>0</v>
      </c>
      <c r="BZ169" s="154"/>
      <c r="CA169" s="154"/>
      <c r="CB169" s="154"/>
      <c r="CC169" s="523"/>
      <c r="CD169" s="355"/>
      <c r="CE169" s="751" t="str">
        <f>IF(ISBLANK($A169),"",$M169)</f>
        <v/>
      </c>
      <c r="CF169" s="355"/>
      <c r="CG169" s="268"/>
      <c r="CH169" s="268"/>
      <c r="CI169" s="268"/>
      <c r="CJ169" s="268"/>
      <c r="CK169" s="268"/>
      <c r="CL169" s="268"/>
      <c r="CM169" s="268"/>
      <c r="CN169" s="268"/>
      <c r="CO169" s="268"/>
      <c r="CP169" s="268"/>
      <c r="CQ169" s="268"/>
      <c r="CR169" s="268"/>
      <c r="CS169" s="268"/>
      <c r="CT169" s="269"/>
      <c r="CU169" s="269"/>
      <c r="CV169" s="270"/>
      <c r="CW169" s="269"/>
      <c r="CX169" s="269"/>
      <c r="CY169" s="269"/>
      <c r="CZ169" s="268"/>
      <c r="EG169" s="1213"/>
    </row>
    <row r="170" spans="1:168" x14ac:dyDescent="0.2">
      <c r="A170" s="24"/>
      <c r="B170" s="317"/>
      <c r="C170" s="27"/>
      <c r="D170" s="27"/>
      <c r="E170" s="1276"/>
      <c r="F170" s="1279"/>
      <c r="G170" s="958"/>
      <c r="H170" s="1276"/>
      <c r="I170" s="326"/>
      <c r="J170" s="1298"/>
      <c r="K170" s="1298"/>
      <c r="L170" s="1298"/>
      <c r="M170" s="1067"/>
      <c r="N170" s="1278"/>
      <c r="O170" s="596" t="str">
        <f>IF(AND(EXACT($B170,""),ISBLANK($G170),ISBLANK($I170)),"",SUM($B170,$G170,$I170))</f>
        <v/>
      </c>
      <c r="P170" s="596"/>
      <c r="Q170" s="596"/>
      <c r="R170" s="596"/>
      <c r="S170" s="596"/>
      <c r="T170" s="596"/>
      <c r="U170" s="596"/>
      <c r="V170" s="596"/>
      <c r="W170" s="164">
        <f>IF(NOT(ISBLANK($G170)),
IF(SUM($B170)&lt;=0,SUM(IF($G170&lt;ABS($B170),$G170,ABS($B170)),1)*HLOOKUP($CE170,SKT,3,FALSE),0),0)</f>
        <v>0</v>
      </c>
      <c r="X170" s="154">
        <f t="shared" si="644"/>
        <v>0</v>
      </c>
      <c r="Y170" s="154">
        <f t="shared" si="644"/>
        <v>0</v>
      </c>
      <c r="Z170" s="154">
        <f t="shared" si="644"/>
        <v>0</v>
      </c>
      <c r="AA170" s="154">
        <f t="shared" si="644"/>
        <v>0</v>
      </c>
      <c r="AB170" s="154">
        <f t="shared" si="644"/>
        <v>0</v>
      </c>
      <c r="AC170" s="154">
        <f t="shared" si="644"/>
        <v>0</v>
      </c>
      <c r="AD170" s="154">
        <f t="shared" si="644"/>
        <v>0</v>
      </c>
      <c r="AE170" s="154">
        <f t="shared" si="644"/>
        <v>0</v>
      </c>
      <c r="AF170" s="154">
        <f t="shared" si="644"/>
        <v>0</v>
      </c>
      <c r="AG170" s="154">
        <f t="shared" si="644"/>
        <v>0</v>
      </c>
      <c r="AH170" s="154">
        <f t="shared" si="645"/>
        <v>0</v>
      </c>
      <c r="AI170" s="154">
        <f t="shared" si="645"/>
        <v>0</v>
      </c>
      <c r="AJ170" s="154">
        <f t="shared" si="645"/>
        <v>0</v>
      </c>
      <c r="AK170" s="154">
        <f t="shared" si="645"/>
        <v>0</v>
      </c>
      <c r="AL170" s="154">
        <f t="shared" si="645"/>
        <v>0</v>
      </c>
      <c r="AM170" s="154">
        <f t="shared" si="645"/>
        <v>0</v>
      </c>
      <c r="AN170" s="154">
        <f t="shared" si="645"/>
        <v>0</v>
      </c>
      <c r="AO170" s="154">
        <f t="shared" si="645"/>
        <v>0</v>
      </c>
      <c r="AP170" s="154">
        <f t="shared" si="645"/>
        <v>0</v>
      </c>
      <c r="AQ170" s="154">
        <f t="shared" si="645"/>
        <v>0</v>
      </c>
      <c r="AR170" s="154">
        <f t="shared" si="645"/>
        <v>0</v>
      </c>
      <c r="AS170" s="196"/>
      <c r="AT170" s="154">
        <f>IF(NOT(ISBLANK($I170)),
ROUND(IF(SUM($B170,$G170)&lt;=0,
SUM(IF($I170&lt;ABS(SUM($B170,$G170)),$I170,ABS(SUM($B170,$G170))),1)*HLOOKUP($CE170,SKT,3,FALSE),0)*5,0),0)</f>
        <v>0</v>
      </c>
      <c r="AU170" s="154">
        <f t="shared" si="646"/>
        <v>0</v>
      </c>
      <c r="AV170" s="154">
        <f t="shared" si="646"/>
        <v>0</v>
      </c>
      <c r="AW170" s="154">
        <f t="shared" si="646"/>
        <v>0</v>
      </c>
      <c r="AX170" s="154">
        <f t="shared" si="646"/>
        <v>0</v>
      </c>
      <c r="AY170" s="154">
        <f t="shared" si="646"/>
        <v>0</v>
      </c>
      <c r="AZ170" s="154">
        <f t="shared" si="646"/>
        <v>0</v>
      </c>
      <c r="BA170" s="154">
        <f t="shared" si="646"/>
        <v>0</v>
      </c>
      <c r="BB170" s="154">
        <f t="shared" si="646"/>
        <v>0</v>
      </c>
      <c r="BC170" s="154">
        <f t="shared" si="646"/>
        <v>0</v>
      </c>
      <c r="BD170" s="154">
        <f t="shared" si="646"/>
        <v>0</v>
      </c>
      <c r="BE170" s="154">
        <f t="shared" si="647"/>
        <v>0</v>
      </c>
      <c r="BF170" s="154">
        <f t="shared" si="647"/>
        <v>0</v>
      </c>
      <c r="BG170" s="154">
        <f t="shared" si="647"/>
        <v>0</v>
      </c>
      <c r="BH170" s="154">
        <f t="shared" si="647"/>
        <v>0</v>
      </c>
      <c r="BI170" s="154">
        <f t="shared" si="647"/>
        <v>0</v>
      </c>
      <c r="BJ170" s="154">
        <f t="shared" si="647"/>
        <v>0</v>
      </c>
      <c r="BK170" s="154">
        <f t="shared" si="647"/>
        <v>0</v>
      </c>
      <c r="BL170" s="154">
        <f t="shared" si="647"/>
        <v>0</v>
      </c>
      <c r="BM170" s="154">
        <f t="shared" si="647"/>
        <v>0</v>
      </c>
      <c r="BN170" s="154">
        <f t="shared" si="647"/>
        <v>0</v>
      </c>
      <c r="BO170" s="154">
        <f t="shared" si="648"/>
        <v>0</v>
      </c>
      <c r="BP170" s="154">
        <f t="shared" si="648"/>
        <v>0</v>
      </c>
      <c r="BQ170" s="154">
        <f t="shared" si="648"/>
        <v>0</v>
      </c>
      <c r="BR170" s="154">
        <f t="shared" si="648"/>
        <v>0</v>
      </c>
      <c r="BS170" s="154">
        <f t="shared" si="648"/>
        <v>0</v>
      </c>
      <c r="BT170" s="154">
        <f t="shared" si="648"/>
        <v>0</v>
      </c>
      <c r="BU170" s="154">
        <f t="shared" si="648"/>
        <v>0</v>
      </c>
      <c r="BV170" s="154">
        <f t="shared" si="648"/>
        <v>0</v>
      </c>
      <c r="BW170" s="154">
        <f t="shared" si="648"/>
        <v>0</v>
      </c>
      <c r="BX170" s="154">
        <f t="shared" si="648"/>
        <v>0</v>
      </c>
      <c r="BY170" s="154">
        <f t="shared" si="648"/>
        <v>0</v>
      </c>
      <c r="BZ170" s="154"/>
      <c r="CA170" s="154"/>
      <c r="CB170" s="154"/>
      <c r="CC170" s="523"/>
      <c r="CD170" s="355"/>
      <c r="CE170" s="751" t="str">
        <f>IF(ISBLANK($A170),"",$M170)</f>
        <v/>
      </c>
      <c r="CF170" s="355"/>
      <c r="CG170" s="268"/>
      <c r="CH170" s="268"/>
      <c r="CI170" s="268"/>
      <c r="CJ170" s="268"/>
      <c r="CK170" s="268"/>
      <c r="CL170" s="268"/>
      <c r="CM170" s="268"/>
      <c r="CN170" s="268"/>
      <c r="CO170" s="268"/>
      <c r="CP170" s="268"/>
      <c r="CQ170" s="268"/>
      <c r="CR170" s="268"/>
      <c r="CS170" s="268"/>
      <c r="CT170" s="269"/>
      <c r="CU170" s="269"/>
      <c r="CV170" s="270"/>
      <c r="CW170" s="269"/>
      <c r="CX170" s="269"/>
      <c r="CY170" s="269"/>
      <c r="CZ170" s="268"/>
      <c r="EG170" s="1213"/>
    </row>
    <row r="171" spans="1:168" x14ac:dyDescent="0.2">
      <c r="E171" s="78"/>
      <c r="N171" s="78"/>
      <c r="EG171" s="1213"/>
    </row>
    <row r="172" spans="1:168" x14ac:dyDescent="0.2">
      <c r="EG172" s="1213"/>
    </row>
    <row r="173" spans="1:168" x14ac:dyDescent="0.2">
      <c r="EG173" s="1213"/>
    </row>
    <row r="174" spans="1:168" x14ac:dyDescent="0.2">
      <c r="EF174" s="1213"/>
    </row>
    <row r="175" spans="1:168" ht="159.75" customHeight="1" x14ac:dyDescent="0.2">
      <c r="A175" s="19"/>
      <c r="B175" s="316" t="s">
        <v>2404</v>
      </c>
      <c r="C175" s="379" t="s">
        <v>3261</v>
      </c>
      <c r="D175" s="1111" t="s">
        <v>5774</v>
      </c>
      <c r="E175" s="1280" t="s">
        <v>341</v>
      </c>
      <c r="F175" s="386" t="s">
        <v>3259</v>
      </c>
      <c r="G175" s="386" t="s">
        <v>3260</v>
      </c>
      <c r="H175" s="381" t="s">
        <v>3788</v>
      </c>
      <c r="I175" s="548" t="str">
        <f>IF(OR(VT_VETERAN,VT_BBILDUNG),"daraus Anzahl mit 2.Prof Start-AP","")</f>
        <v/>
      </c>
      <c r="J175" s="380" t="s">
        <v>293</v>
      </c>
      <c r="K175" s="1949" t="str">
        <f ca="1">IF(BP175="","","Wählbare Sprachen &amp; Schriften: "&amp;BP175)</f>
        <v/>
      </c>
      <c r="L175" s="1950"/>
      <c r="M175" s="1950"/>
      <c r="N175" s="1950"/>
      <c r="O175" s="1950"/>
      <c r="P175" s="1950"/>
      <c r="Q175" s="1950"/>
      <c r="R175" s="1951"/>
      <c r="AK175" s="97"/>
      <c r="AL175" s="99"/>
      <c r="AQ175" s="100"/>
      <c r="BN175" s="78"/>
      <c r="BO175" s="1356" t="s">
        <v>5775</v>
      </c>
      <c r="BP175" s="1357" t="str">
        <f ca="1">IF(OR(RASSEGENE="",PROFGENE="LEER",KULTURGENE="LEER"),"",IF(HLOOKUP(RASSEGENE,RASSE,IDX_WS,FALSE)="","",HLOOKUP(RASSEGENE,RASSE,IDX_WS,FALSE)&amp;"; ")&amp;
IF(HLOOKUP(KULTURGENE,KULTUR,IDX_WS,FALSE)="","",HLOOKUP(KULTURGENE,KULTUR,IDX_WS,FALSE)&amp;"; ")&amp;
IF(HLOOKUP(PROFGENE,INDIRECT(PROFGEBIET),IDX_WS,FALSE)="","",HLOOKUP(PROFGENE,INDIRECT(PROFGEBIET),IDX_WS,FALSE)&amp;"; ")&amp;
IF(LEN(PROFZWEITE)&lt;1,"",IF(HLOOKUP(PROFZWEITE,INDIRECT(PROFGEBIET2),IDX_WS,FALSE)="",""," Boni aus 2.Profession: "&amp;HLOOKUP(PROFZWEITE,INDIRECT(PROFGEBIET2),IDX_WS,FALSE))))</f>
        <v/>
      </c>
      <c r="BQ175" s="1197"/>
      <c r="BR175" s="1197"/>
      <c r="BS175" s="1197"/>
      <c r="BT175" s="1197" t="s">
        <v>3836</v>
      </c>
      <c r="BU175" s="1197"/>
      <c r="BV175" s="1197"/>
      <c r="BW175" s="1197"/>
      <c r="BX175" s="1197"/>
      <c r="BY175" s="1197"/>
      <c r="BZ175" s="1197"/>
      <c r="CA175" s="1197"/>
      <c r="CB175" s="1197"/>
      <c r="CC175" s="1197"/>
      <c r="CD175" s="1197"/>
      <c r="CE175" s="1197"/>
      <c r="CF175" s="1197"/>
      <c r="CG175" s="78"/>
      <c r="CH175" s="78"/>
      <c r="CI175" s="78"/>
      <c r="CJ175" s="78"/>
      <c r="CK175" s="78"/>
      <c r="CL175" s="78"/>
      <c r="CM175" s="78"/>
      <c r="CN175" s="78"/>
      <c r="CO175" s="78"/>
      <c r="CP175" s="78"/>
      <c r="EG175" t="s">
        <v>4006</v>
      </c>
    </row>
    <row r="176" spans="1:168" ht="15.75" customHeight="1" x14ac:dyDescent="0.25">
      <c r="A176" s="300" t="s">
        <v>1515</v>
      </c>
      <c r="B176" s="131"/>
      <c r="C176" s="304"/>
      <c r="D176" s="304"/>
      <c r="E176" s="6"/>
      <c r="F176" s="320"/>
      <c r="G176" s="320"/>
      <c r="H176" s="304"/>
      <c r="I176" s="304"/>
      <c r="J176" s="320"/>
      <c r="K176" s="1879" t="str">
        <f ca="1">IF(APGUT&lt;0,"Keine AP mehr übrig!",IF(TL_GP_UEBRIG&lt;0,"Keine Start-AP übrig!",IF(STARTAP2_UEBRIG&lt;0,"Keine 2. Prof.-Start-AP übrig!","▼ Fehlermeldungen ▼  "&amp;"(AP: "&amp;APGUT&amp;")")))</f>
        <v>▼ Fehlermeldungen ▼  (AP: 0)</v>
      </c>
      <c r="L176" s="1879"/>
      <c r="M176" s="1879"/>
      <c r="N176" s="1879"/>
      <c r="O176" s="750" t="s">
        <v>718</v>
      </c>
      <c r="P176" s="134">
        <v>0</v>
      </c>
      <c r="Q176" s="6">
        <v>1</v>
      </c>
      <c r="R176" s="6">
        <v>2</v>
      </c>
      <c r="S176" s="6">
        <v>3</v>
      </c>
      <c r="T176" s="6">
        <v>4</v>
      </c>
      <c r="U176" s="6">
        <v>5</v>
      </c>
      <c r="V176" s="6">
        <v>6</v>
      </c>
      <c r="W176" s="6">
        <v>7</v>
      </c>
      <c r="X176" s="6">
        <v>8</v>
      </c>
      <c r="Y176" s="6">
        <v>9</v>
      </c>
      <c r="Z176" s="6">
        <v>10</v>
      </c>
      <c r="AA176" s="6">
        <v>11</v>
      </c>
      <c r="AB176" s="6">
        <v>12</v>
      </c>
      <c r="AC176" s="6">
        <v>13</v>
      </c>
      <c r="AD176" s="6">
        <v>14</v>
      </c>
      <c r="AE176" s="6">
        <v>15</v>
      </c>
      <c r="AF176" s="6">
        <v>16</v>
      </c>
      <c r="AG176" s="6">
        <v>17</v>
      </c>
      <c r="AH176" s="6">
        <v>18</v>
      </c>
      <c r="AI176" s="6">
        <v>19</v>
      </c>
      <c r="AJ176" s="6">
        <v>20</v>
      </c>
      <c r="AK176" s="6">
        <v>21</v>
      </c>
      <c r="AL176" s="6">
        <v>22</v>
      </c>
      <c r="AM176" s="6">
        <v>23</v>
      </c>
      <c r="AN176" s="151"/>
      <c r="AO176" s="134">
        <v>0</v>
      </c>
      <c r="AP176" s="6">
        <v>1</v>
      </c>
      <c r="AQ176" s="6">
        <v>2</v>
      </c>
      <c r="AR176" s="6">
        <v>3</v>
      </c>
      <c r="AS176" s="6">
        <v>4</v>
      </c>
      <c r="AT176" s="6">
        <v>5</v>
      </c>
      <c r="AU176" s="6">
        <v>6</v>
      </c>
      <c r="AV176" s="6">
        <v>7</v>
      </c>
      <c r="AW176" s="6">
        <v>8</v>
      </c>
      <c r="AX176" s="6">
        <v>9</v>
      </c>
      <c r="AY176" s="6">
        <v>10</v>
      </c>
      <c r="AZ176" s="6">
        <v>11</v>
      </c>
      <c r="BA176" s="6">
        <v>12</v>
      </c>
      <c r="BB176" s="6">
        <v>13</v>
      </c>
      <c r="BC176" s="6">
        <v>14</v>
      </c>
      <c r="BD176" s="6">
        <v>15</v>
      </c>
      <c r="BE176" s="6">
        <v>16</v>
      </c>
      <c r="BF176" s="6">
        <v>17</v>
      </c>
      <c r="BG176" s="6">
        <v>18</v>
      </c>
      <c r="BH176" s="6">
        <v>19</v>
      </c>
      <c r="BI176" s="6">
        <v>20</v>
      </c>
      <c r="BJ176" s="6">
        <v>21</v>
      </c>
      <c r="BK176" s="6">
        <v>22</v>
      </c>
      <c r="BL176" s="6">
        <v>23</v>
      </c>
      <c r="BM176" s="72">
        <v>24</v>
      </c>
      <c r="BN176" s="78"/>
      <c r="BO176" s="78"/>
      <c r="BP176" s="1197" t="s">
        <v>7495</v>
      </c>
      <c r="BQ176" s="1198"/>
      <c r="BR176" s="78"/>
      <c r="BS176" s="78"/>
      <c r="BT176" s="78"/>
      <c r="BU176" s="78"/>
      <c r="BV176" s="78"/>
      <c r="BW176" s="1197" t="s">
        <v>3772</v>
      </c>
      <c r="BX176" s="1197" t="s">
        <v>3771</v>
      </c>
      <c r="BY176" s="1197" t="s">
        <v>2416</v>
      </c>
      <c r="BZ176" s="1197" t="s">
        <v>519</v>
      </c>
      <c r="CA176" s="1197" t="s">
        <v>3084</v>
      </c>
      <c r="CB176" s="1197" t="s">
        <v>7497</v>
      </c>
      <c r="CC176" s="1197" t="s">
        <v>7496</v>
      </c>
      <c r="CD176" s="1197" t="s">
        <v>6509</v>
      </c>
      <c r="CE176" s="1197" t="s">
        <v>3786</v>
      </c>
      <c r="CF176" s="1197" t="s">
        <v>3787</v>
      </c>
      <c r="CG176" s="1197" t="s">
        <v>3776</v>
      </c>
      <c r="CH176" s="1197" t="s">
        <v>6313</v>
      </c>
      <c r="CI176" s="78"/>
      <c r="CJ176" s="78"/>
      <c r="CK176" s="1197" t="s">
        <v>3259</v>
      </c>
      <c r="CL176" s="1197" t="s">
        <v>3260</v>
      </c>
      <c r="CM176" s="78"/>
      <c r="CN176" s="1197" t="s">
        <v>6531</v>
      </c>
      <c r="CO176" s="1197" t="s">
        <v>3793</v>
      </c>
      <c r="CP176" s="1197" t="s">
        <v>6530</v>
      </c>
      <c r="DJ176" s="134">
        <v>0</v>
      </c>
      <c r="DK176" s="6">
        <v>1</v>
      </c>
      <c r="DL176" s="6">
        <v>2</v>
      </c>
      <c r="DM176" s="6">
        <v>3</v>
      </c>
      <c r="DN176" s="6">
        <v>4</v>
      </c>
      <c r="DO176" s="6">
        <v>5</v>
      </c>
      <c r="DP176" s="6">
        <v>6</v>
      </c>
      <c r="DQ176" s="6">
        <v>7</v>
      </c>
      <c r="DR176" s="6">
        <v>8</v>
      </c>
      <c r="DS176" s="6">
        <v>9</v>
      </c>
      <c r="DT176" s="6">
        <v>10</v>
      </c>
      <c r="DU176" s="6">
        <v>11</v>
      </c>
      <c r="DV176" s="6">
        <v>12</v>
      </c>
      <c r="DW176" s="6">
        <v>13</v>
      </c>
      <c r="DX176" s="6">
        <v>14</v>
      </c>
      <c r="DY176" s="6">
        <v>15</v>
      </c>
      <c r="DZ176" s="6">
        <v>16</v>
      </c>
      <c r="EA176" s="6">
        <v>17</v>
      </c>
      <c r="EB176" s="6">
        <v>18</v>
      </c>
      <c r="EC176" s="6">
        <v>19</v>
      </c>
      <c r="ED176" s="6">
        <v>20</v>
      </c>
      <c r="EE176" s="6">
        <v>21</v>
      </c>
      <c r="EF176" s="6" t="s">
        <v>7066</v>
      </c>
      <c r="EG176" s="1425">
        <v>0</v>
      </c>
      <c r="EH176" s="134">
        <v>1</v>
      </c>
      <c r="EI176" s="134">
        <v>2</v>
      </c>
      <c r="EJ176" s="134">
        <v>3</v>
      </c>
      <c r="EK176" s="134">
        <v>4</v>
      </c>
      <c r="EL176" s="134">
        <v>5</v>
      </c>
      <c r="EM176" s="134">
        <v>6</v>
      </c>
      <c r="EN176" s="134">
        <v>7</v>
      </c>
      <c r="EO176" s="134">
        <v>8</v>
      </c>
      <c r="EP176" s="134">
        <v>9</v>
      </c>
      <c r="EQ176" s="134">
        <v>10</v>
      </c>
      <c r="ER176" s="134">
        <v>11</v>
      </c>
      <c r="ES176" s="134">
        <v>12</v>
      </c>
      <c r="ET176" s="134">
        <v>13</v>
      </c>
      <c r="EU176" s="134">
        <v>14</v>
      </c>
      <c r="EV176" s="134">
        <v>15</v>
      </c>
      <c r="EW176" s="134">
        <v>16</v>
      </c>
      <c r="EX176" s="134">
        <v>17</v>
      </c>
      <c r="EY176" s="134">
        <v>18</v>
      </c>
      <c r="EZ176" s="134">
        <v>19</v>
      </c>
      <c r="FA176" s="134">
        <v>20</v>
      </c>
      <c r="FB176" s="134">
        <v>21</v>
      </c>
      <c r="FC176" s="134">
        <v>22</v>
      </c>
      <c r="FD176" s="134">
        <v>23</v>
      </c>
      <c r="FE176" s="134">
        <v>24</v>
      </c>
      <c r="FF176" s="134">
        <v>25</v>
      </c>
      <c r="FG176" s="134">
        <v>26</v>
      </c>
      <c r="FH176" s="134">
        <v>27</v>
      </c>
      <c r="FI176" s="134">
        <v>28</v>
      </c>
      <c r="FJ176" s="134">
        <v>29</v>
      </c>
      <c r="FK176" s="134">
        <v>30</v>
      </c>
      <c r="FL176" s="134">
        <v>31</v>
      </c>
    </row>
    <row r="177" spans="1:168" x14ac:dyDescent="0.2">
      <c r="A177" s="62" t="str">
        <f t="shared" ref="A177:A222" si="649">INDEX(SPRACHEN,$BQ177)</f>
        <v>Alaani ('Norbardisch')</v>
      </c>
      <c r="B177" s="317" t="str">
        <f t="shared" ref="B177:B222" ca="1" si="650">IF(AND(EXACT($C177,""),EXACT($F177,""),EXACT($G177,""),ISBLANK($H177),ISBLANK($J177)),"",
IF(NOT(EXACT($F177,"")),IF(NOT(EXACT($G177,"")),KLSTART+2+BW177,KLSTART-2+BW177),IF(NOT(EXACT($G177,"")),KLSTART-4+BW177,
SUM(HLOOKUP(RASSEGENE,RASSE,$BN177,FALSE),HLOOKUP(KULTURGENE,KULTUR,$BN177,FALSE),BW177)
)))</f>
        <v/>
      </c>
      <c r="C177" s="332" t="str">
        <f ca="1">IF(AND(EXACT($F177,""),EXACT($G177,"")),IF(OR(NOT(ISBLANK(D177)),NOT(EXACT(HLOOKUP(RASSEGENE,RASSE,$BN177,FALSE),"")),NOT(EXACT(HLOOKUP(KULTURGENE,KULTUR,$BN177,FALSE),"")),NOT(EXACT(HLOOKUP(PROFGENE,INDIRECT(PROFGEBIET),$BN177,FALSE),"")),
IF(LEN(PROFZWEITE)&lt;1,FALSE,NOT(EXACT(HLOOKUP(Generierung!$D$12,INDIRECT(PROFGEBIET2),$BN177,FALSE),"")))
),"x",""),"")</f>
        <v/>
      </c>
      <c r="D177" s="1127"/>
      <c r="E177" s="325"/>
      <c r="F177" s="388" t="str">
        <f t="shared" ref="F177:F222" ca="1" si="651">IF(OR(EXACT(HLOOKUP(RASSEGENE,RASSE,$BN177,FALSE),"M"),EXACT(HLOOKUP(KULTURGENE,KULTUR,$BN177,FALSE),"M"),EXACT(HLOOKUP(PROFGENE,INDIRECT(PROFGEBIET),$BN177,FALSE),"M")),"x","")</f>
        <v/>
      </c>
      <c r="G177" s="388" t="str">
        <f t="shared" ref="G177:G222" ca="1" si="652">IF(OR(EXACT(HLOOKUP(RASSEGENE,RASSE,$BN177,FALSE),"Z"),EXACT(HLOOKUP(KULTURGENE,KULTUR,$BN177,FALSE),"Z"),EXACT(HLOOKUP(PROFGENE,INDIRECT(PROFGEBIET),$BN177,FALSE),"Z")),"x","")</f>
        <v/>
      </c>
      <c r="H177" s="389"/>
      <c r="I177" s="1196"/>
      <c r="J177" s="326"/>
      <c r="O177" s="514" t="str">
        <f t="shared" ref="O177:O222" ca="1" si="653">IF(AND(EXACT($B177,""),ISBLANK($H177),ISBLANK($J177)),"",SUM($B177,$H177,$J177))</f>
        <v/>
      </c>
      <c r="P177" s="164">
        <f t="shared" ref="P177:P222" ca="1" si="654">IF(DJ177=0,0,IF(AND(NOT(ISBLANK($H177)),$B177=0),
ROUND(HLOOKUP(IF(CODE(DJ177)&lt;65,"A+",DJ177),SKT,3,FALSE)*IF(VT_EIDGED,0.5,IF(VT_GUTGED,0.75,1)),0),0))</f>
        <v>0</v>
      </c>
      <c r="Q177" s="164">
        <f t="shared" ref="Q177:Q222" ca="1" si="655">IF(DK177=0,0,IF(AND(NOT(ISBLANK($H177)),$B177&lt;Q$176,SUM($B177,$H177)&gt;=Q$176),
ROUND(HLOOKUP(IF(CODE(DK177)&lt;65,"A+",DK177),SKT,Q$176+3,FALSE)*IF(VT_EIDGED,0.5,IF(VT_GUTGED,0.75,1)),0),0))</f>
        <v>0</v>
      </c>
      <c r="R177" s="164">
        <f t="shared" ref="R177:R222" ca="1" si="656">IF(DL177=0,0,IF(AND(NOT(ISBLANK($H177)),$B177&lt;R$176,SUM($B177,$H177)&gt;=R$176),
ROUND(HLOOKUP(IF(CODE(DL177)&lt;65,"A+",DL177),SKT,R$176+3,FALSE)*IF(VT_EIDGED,0.5,IF(VT_GUTGED,0.75,1)),0),0))</f>
        <v>0</v>
      </c>
      <c r="S177" s="164">
        <f t="shared" ref="S177:S222" ca="1" si="657">IF(DM177=0,0,IF(AND(NOT(ISBLANK($H177)),$B177&lt;S$176,SUM($B177,$H177)&gt;=S$176),
ROUND(HLOOKUP(IF(CODE(DM177)&lt;65,"A+",DM177),SKT,S$176+3,FALSE)*IF(VT_EIDGED,0.5,IF(VT_GUTGED,0.75,1)),0),0))</f>
        <v>0</v>
      </c>
      <c r="T177" s="164">
        <f t="shared" ref="T177:T222" ca="1" si="658">IF(DN177=0,0,IF(AND(NOT(ISBLANK($H177)),$B177&lt;T$176,SUM($B177,$H177)&gt;=T$176),
ROUND(HLOOKUP(IF(CODE(DN177)&lt;65,"A+",DN177),SKT,T$176+3,FALSE)*IF(VT_EIDGED,0.5,IF(VT_GUTGED,0.75,1)),0),0))</f>
        <v>0</v>
      </c>
      <c r="U177" s="164">
        <f t="shared" ref="U177:U222" ca="1" si="659">IF(DO177=0,0,IF(AND(NOT(ISBLANK($H177)),$B177&lt;U$176,SUM($B177,$H177)&gt;=U$176),
ROUND(HLOOKUP(IF(CODE(DO177)&lt;65,"A+",DO177),SKT,U$176+3,FALSE)*IF(VT_EIDGED,0.5,IF(VT_GUTGED,0.75,1)),0),0))</f>
        <v>0</v>
      </c>
      <c r="V177" s="164">
        <f t="shared" ref="V177:V222" ca="1" si="660">IF(DP177=0,0,IF(AND(NOT(ISBLANK($H177)),$B177&lt;V$176,SUM($B177,$H177)&gt;=V$176),
ROUND(HLOOKUP(IF(CODE(DP177)&lt;65,"A+",DP177),SKT,V$176+3,FALSE)*IF(VT_EIDGED,0.5,IF(VT_GUTGED,0.75,1)),0),0))</f>
        <v>0</v>
      </c>
      <c r="W177" s="164">
        <f t="shared" ref="W177:W222" ca="1" si="661">IF(DQ177=0,0,IF(AND(NOT(ISBLANK($H177)),$B177&lt;W$176,SUM($B177,$H177)&gt;=W$176),
ROUND(HLOOKUP(IF(CODE(DQ177)&lt;65,"A+",DQ177),SKT,W$176+3,FALSE)*IF(VT_EIDGED,0.5,IF(VT_GUTGED,0.75,1)),0),0))</f>
        <v>0</v>
      </c>
      <c r="X177" s="164">
        <f t="shared" ref="X177:X222" ca="1" si="662">IF(DR177=0,0,IF(AND(NOT(ISBLANK($H177)),$B177&lt;X$176,SUM($B177,$H177)&gt;=X$176),
ROUND(HLOOKUP(IF(CODE(DR177)&lt;65,"A+",DR177),SKT,X$176+3,FALSE)*IF(VT_EIDGED,0.5,IF(VT_GUTGED,0.75,1)),0),0))</f>
        <v>0</v>
      </c>
      <c r="Y177" s="164">
        <f t="shared" ref="Y177:Y222" ca="1" si="663">IF(DS177=0,0,IF(AND(NOT(ISBLANK($H177)),$B177&lt;Y$176,SUM($B177,$H177)&gt;=Y$176),
ROUND(HLOOKUP(IF(CODE(DS177)&lt;65,"A+",DS177),SKT,Y$176+3,FALSE)*IF(VT_EIDGED,0.5,IF(VT_GUTGED,0.75,1)),0),0))</f>
        <v>0</v>
      </c>
      <c r="Z177" s="164">
        <f t="shared" ref="Z177:Z222" ca="1" si="664">IF(DT177=0,0,IF(AND(NOT(ISBLANK($H177)),$B177&lt;Z$176,SUM($B177,$H177)&gt;=Z$176),
ROUND(HLOOKUP(IF(CODE(DT177)&lt;65,"A+",DT177),SKT,Z$176+3,FALSE)*IF(VT_EIDGED,0.5,IF(VT_GUTGED,0.75,1)),0),0))</f>
        <v>0</v>
      </c>
      <c r="AA177" s="164">
        <f t="shared" ref="AA177:AA222" ca="1" si="665">IF(DU177=0,0,IF(AND(NOT(ISBLANK($H177)),$B177&lt;AA$176,SUM($B177,$H177)&gt;=AA$176),
ROUND(HLOOKUP(IF(CODE(DU177)&lt;65,"A+",DU177),SKT,AA$176+3,FALSE)*IF(VT_EIDGED,0.5,IF(VT_GUTGED,0.75,1)),0),0))</f>
        <v>0</v>
      </c>
      <c r="AB177" s="164">
        <f t="shared" ref="AB177:AB222" ca="1" si="666">IF(DV177=0,0,IF(AND(NOT(ISBLANK($H177)),$B177&lt;AB$176,SUM($B177,$H177)&gt;=AB$176),
ROUND(HLOOKUP(IF(CODE(DV177)&lt;65,"A+",DV177),SKT,AB$176+3,FALSE)*IF(VT_EIDGED,0.5,IF(VT_GUTGED,0.75,1)),0),0))</f>
        <v>0</v>
      </c>
      <c r="AC177" s="164">
        <f t="shared" ref="AC177:AC222" ca="1" si="667">IF(DW177=0,0,IF(AND(NOT(ISBLANK($H177)),$B177&lt;AC$176,SUM($B177,$H177)&gt;=AC$176),
ROUND(HLOOKUP(IF(CODE(DW177)&lt;65,"A+",DW177),SKT,AC$176+3,FALSE)*IF(VT_EIDGED,0.5,IF(VT_GUTGED,0.75,1)),0),0))</f>
        <v>0</v>
      </c>
      <c r="AD177" s="164">
        <f t="shared" ref="AD177:AD222" ca="1" si="668">IF(DX177=0,0,IF(AND(NOT(ISBLANK($H177)),$B177&lt;AD$176,SUM($B177,$H177)&gt;=AD$176),
ROUND(HLOOKUP(IF(CODE(DX177)&lt;65,"A+",DX177),SKT,AD$176+3,FALSE)*IF(VT_EIDGED,0.5,IF(VT_GUTGED,0.75,1)),0),0))</f>
        <v>0</v>
      </c>
      <c r="AE177" s="164">
        <f t="shared" ref="AE177:AE222" ca="1" si="669">IF(DY177=0,0,IF(AND(NOT(ISBLANK($H177)),$B177&lt;AE$176,SUM($B177,$H177)&gt;=AE$176),
ROUND(HLOOKUP(IF(CODE(DY177)&lt;65,"A+",DY177),SKT,AE$176+3,FALSE)*IF(VT_EIDGED,0.5,IF(VT_GUTGED,0.75,1)),0),0))</f>
        <v>0</v>
      </c>
      <c r="AF177" s="164">
        <f t="shared" ref="AF177:AF222" ca="1" si="670">IF(DZ177=0,0,IF(AND(NOT(ISBLANK($H177)),$B177&lt;AF$176,SUM($B177,$H177)&gt;=AF$176),
ROUND(HLOOKUP(IF(CODE(DZ177)&lt;65,"A+",DZ177),SKT,AF$176+3,FALSE)*IF(VT_EIDGED,0.5,IF(VT_GUTGED,0.75,1)),0),0))</f>
        <v>0</v>
      </c>
      <c r="AG177" s="164">
        <f t="shared" ref="AG177:AG222" ca="1" si="671">IF(EA177=0,0,IF(AND(NOT(ISBLANK($H177)),$B177&lt;AG$176,SUM($B177,$H177)&gt;=AG$176),
ROUND(HLOOKUP(IF(CODE(EA177)&lt;65,"A+",EA177),SKT,AG$176+3,FALSE)*IF(VT_EIDGED,0.5,IF(VT_GUTGED,0.75,1)),0),0))</f>
        <v>0</v>
      </c>
      <c r="AH177" s="164">
        <f t="shared" ref="AH177:AH222" ca="1" si="672">IF(EB177=0,0,IF(AND(NOT(ISBLANK($H177)),$B177&lt;AH$176,SUM($B177,$H177)&gt;=AH$176),
ROUND(HLOOKUP(IF(CODE(EB177)&lt;65,"A+",EB177),SKT,AH$176+3,FALSE)*IF(VT_EIDGED,0.5,IF(VT_GUTGED,0.75,1)),0),0))</f>
        <v>0</v>
      </c>
      <c r="AI177" s="164">
        <f t="shared" ref="AI177:AI222" ca="1" si="673">IF(EC177=0,0,IF(AND(NOT(ISBLANK($H177)),$B177&lt;AI$176,SUM($B177,$H177)&gt;=AI$176),
ROUND(HLOOKUP(IF(CODE(EC177)&lt;65,"A+",EC177),SKT,AI$176+3,FALSE)*IF(VT_EIDGED,0.5,IF(VT_GUTGED,0.75,1)),0),0))</f>
        <v>0</v>
      </c>
      <c r="AJ177" s="164">
        <f t="shared" ref="AJ177:AJ222" ca="1" si="674">IF(ED177=0,0,IF(AND(NOT(ISBLANK($H177)),$B177&lt;AJ$176,SUM($B177,$H177)&gt;=AJ$176),
ROUND(HLOOKUP(IF(CODE(ED177)&lt;65,"A+",ED177),SKT,AJ$176+3,FALSE)*IF(VT_EIDGED,0.5,IF(VT_GUTGED,0.75,1)),0),0))</f>
        <v>0</v>
      </c>
      <c r="AK177" s="164">
        <f t="shared" ref="AK177:AK222" ca="1" si="675">IF(EE177=0,0,IF(AND(NOT(ISBLANK($H177)),$B177&lt;AK$176,SUM($B177,$H177)&gt;=AK$176),
ROUND(HLOOKUP(IF(CODE(EE177)&lt;65,"A+",EE177),SKT,AK$176+3,FALSE)*IF(VT_EIDGED,0.5,IF(VT_GUTGED,0.75,1)),0),0))</f>
        <v>0</v>
      </c>
      <c r="AL177" s="164">
        <f t="shared" ref="AL177:AL222" si="676">IF(EF177=0,0,IF(AND(NOT(ISBLANK($H177)),$B177&lt;AL$176,SUM($B177,$H177)&gt;=AL$176),
ROUND(HLOOKUP(IF(CODE(EF177)&lt;65,"A+",EF177),SKT,AL$176+3,FALSE)*IF(VT_EIDGED,0.5,IF(VT_GUTGED,0.75,1)),0),0))</f>
        <v>0</v>
      </c>
      <c r="AM177" s="164">
        <f t="shared" ref="AM177:AM222" ca="1" si="677">IF(EG177=0,0,IF(AND(NOT(ISBLANK($H177)),$B177&lt;AM$176,SUM($B177,$H177)&gt;=AM$176),
ROUND(HLOOKUP(IF(CODE(EG177)&lt;65,"A+",EG177),SKT,AM$176+3,FALSE)*IF(VT_EIDGED,0.5,IF(VT_GUTGED,0.75,1)),0),0))</f>
        <v>0</v>
      </c>
      <c r="AN177" s="205"/>
      <c r="AO177" s="154">
        <f t="shared" ref="AO177:AO222" ca="1" si="678">IF(EG177=0,0,IF(AND(ISBLANK($H177),NOT(ISBLANK($J177)),SUM($B177,H177)&lt;=0),
ROUND(HLOOKUP(IF(CODE(EG177)&lt;65,"A+",EG177),SKT,3,FALSE)*5*ABS(SUM($B177,H177,-1))*IF(VT_EIDGED,0.5,IF(VT_GUTGED,0.75,1)),0),0))</f>
        <v>0</v>
      </c>
      <c r="AP177" s="154">
        <f t="shared" ref="AP177:AP222" ca="1" si="679">IF(EH177=0,0,IF(AND(NOT(ISBLANK($J177)),SUM($B177,$H177)&lt;AP$176,SUM($B177,$H177,$J177)&gt;=AP$176),
ROUND(HLOOKUP(IF(CODE(EH177)&lt;65,"A+",EH177),SKT,AP$176+3,FALSE)*IF(VT_EIDGED,0.5,IF(VT_GUTGED,0.75,1)),0),0))</f>
        <v>0</v>
      </c>
      <c r="AQ177" s="154">
        <f t="shared" ref="AQ177:AQ222" ca="1" si="680">IF(EI177=0,0,IF(AND(NOT(ISBLANK($J177)),SUM($B177,$H177)&lt;AQ$176,SUM($B177,$H177,$J177)&gt;=AQ$176),
ROUND(HLOOKUP(IF(CODE(EI177)&lt;65,"A+",EI177),SKT,AQ$176+3,FALSE)*IF(VT_EIDGED,0.5,IF(VT_GUTGED,0.75,1)),0),0))</f>
        <v>0</v>
      </c>
      <c r="AR177" s="154">
        <f t="shared" ref="AR177:AR222" ca="1" si="681">IF(EJ177=0,0,IF(AND(NOT(ISBLANK($J177)),SUM($B177,$H177)&lt;AR$176,SUM($B177,$H177,$J177)&gt;=AR$176),
ROUND(HLOOKUP(IF(CODE(EJ177)&lt;65,"A+",EJ177),SKT,AR$176+3,FALSE)*IF(VT_EIDGED,0.5,IF(VT_GUTGED,0.75,1)),0),0))</f>
        <v>0</v>
      </c>
      <c r="AS177" s="154">
        <f t="shared" ref="AS177:AS222" ca="1" si="682">IF(EK177=0,0,IF(AND(NOT(ISBLANK($J177)),SUM($B177,$H177)&lt;AS$176,SUM($B177,$H177,$J177)&gt;=AS$176),
ROUND(HLOOKUP(IF(CODE(EK177)&lt;65,"A+",EK177),SKT,AS$176+3,FALSE)*IF(VT_EIDGED,0.5,IF(VT_GUTGED,0.75,1)),0),0))</f>
        <v>0</v>
      </c>
      <c r="AT177" s="154">
        <f t="shared" ref="AT177:AT222" ca="1" si="683">IF(EL177=0,0,IF(AND(NOT(ISBLANK($J177)),SUM($B177,$H177)&lt;AT$176,SUM($B177,$H177,$J177)&gt;=AT$176),
ROUND(HLOOKUP(IF(CODE(EL177)&lt;65,"A+",EL177),SKT,AT$176+3,FALSE)*IF(VT_EIDGED,0.5,IF(VT_GUTGED,0.75,1)),0),0))</f>
        <v>0</v>
      </c>
      <c r="AU177" s="154">
        <f t="shared" ref="AU177:AU222" ca="1" si="684">IF(EM177=0,0,IF(AND(NOT(ISBLANK($J177)),SUM($B177,$H177)&lt;AU$176,SUM($B177,$H177,$J177)&gt;=AU$176),
ROUND(HLOOKUP(IF(CODE(EM177)&lt;65,"A+",EM177),SKT,AU$176+3,FALSE)*IF(VT_EIDGED,0.5,IF(VT_GUTGED,0.75,1)),0),0))</f>
        <v>0</v>
      </c>
      <c r="AV177" s="154">
        <f t="shared" ref="AV177:AV222" ca="1" si="685">IF(EN177=0,0,IF(AND(NOT(ISBLANK($J177)),SUM($B177,$H177)&lt;AV$176,SUM($B177,$H177,$J177)&gt;=AV$176),
ROUND(HLOOKUP(IF(CODE(EN177)&lt;65,"A+",EN177),SKT,AV$176+3,FALSE)*IF(VT_EIDGED,0.5,IF(VT_GUTGED,0.75,1)),0),0))</f>
        <v>0</v>
      </c>
      <c r="AW177" s="154">
        <f t="shared" ref="AW177:AW222" ca="1" si="686">IF(EO177=0,0,IF(AND(NOT(ISBLANK($J177)),SUM($B177,$H177)&lt;AW$176,SUM($B177,$H177,$J177)&gt;=AW$176),
ROUND(HLOOKUP(IF(CODE(EO177)&lt;65,"A+",EO177),SKT,AW$176+3,FALSE)*IF(VT_EIDGED,0.5,IF(VT_GUTGED,0.75,1)),0),0))</f>
        <v>0</v>
      </c>
      <c r="AX177" s="154">
        <f t="shared" ref="AX177:AX222" ca="1" si="687">IF(EP177=0,0,IF(AND(NOT(ISBLANK($J177)),SUM($B177,$H177)&lt;AX$176,SUM($B177,$H177,$J177)&gt;=AX$176),
ROUND(HLOOKUP(IF(CODE(EP177)&lt;65,"A+",EP177),SKT,AX$176+3,FALSE)*IF(VT_EIDGED,0.5,IF(VT_GUTGED,0.75,1)),0),0))</f>
        <v>0</v>
      </c>
      <c r="AY177" s="154">
        <f t="shared" ref="AY177:AY222" ca="1" si="688">IF(EQ177=0,0,IF(AND(NOT(ISBLANK($J177)),SUM($B177,$H177)&lt;AY$176,SUM($B177,$H177,$J177)&gt;=AY$176),
ROUND(HLOOKUP(IF(CODE(EQ177)&lt;65,"A+",EQ177),SKT,AY$176+3,FALSE)*IF(VT_EIDGED,0.5,IF(VT_GUTGED,0.75,1)),0),0))</f>
        <v>0</v>
      </c>
      <c r="AZ177" s="154">
        <f t="shared" ref="AZ177:AZ222" ca="1" si="689">IF(ER177=0,0,IF(AND(NOT(ISBLANK($J177)),SUM($B177,$H177)&lt;AZ$176,SUM($B177,$H177,$J177)&gt;=AZ$176),
ROUND(HLOOKUP(IF(CODE(ER177)&lt;65,"A+",ER177),SKT,AZ$176+3,FALSE)*IF(VT_EIDGED,0.5,IF(VT_GUTGED,0.75,1)),0),0))</f>
        <v>0</v>
      </c>
      <c r="BA177" s="154">
        <f t="shared" ref="BA177:BA222" ca="1" si="690">IF(ES177=0,0,IF(AND(NOT(ISBLANK($J177)),SUM($B177,$H177)&lt;BA$176,SUM($B177,$H177,$J177)&gt;=BA$176),
ROUND(HLOOKUP(IF(CODE(ES177)&lt;65,"A+",ES177),SKT,BA$176+3,FALSE)*IF(VT_EIDGED,0.5,IF(VT_GUTGED,0.75,1)),0),0))</f>
        <v>0</v>
      </c>
      <c r="BB177" s="154">
        <f t="shared" ref="BB177:BB222" ca="1" si="691">IF(ET177=0,0,IF(AND(NOT(ISBLANK($J177)),SUM($B177,$H177)&lt;BB$176,SUM($B177,$H177,$J177)&gt;=BB$176),
ROUND(HLOOKUP(IF(CODE(ET177)&lt;65,"A+",ET177),SKT,BB$176+3,FALSE)*IF(VT_EIDGED,0.5,IF(VT_GUTGED,0.75,1)),0),0))</f>
        <v>0</v>
      </c>
      <c r="BC177" s="154">
        <f t="shared" ref="BC177:BC222" ca="1" si="692">IF(EU177=0,0,IF(AND(NOT(ISBLANK($J177)),SUM($B177,$H177)&lt;BC$176,SUM($B177,$H177,$J177)&gt;=BC$176),
ROUND(HLOOKUP(IF(CODE(EU177)&lt;65,"A+",EU177),SKT,BC$176+3,FALSE)*IF(VT_EIDGED,0.5,IF(VT_GUTGED,0.75,1)),0),0))</f>
        <v>0</v>
      </c>
      <c r="BD177" s="154">
        <f t="shared" ref="BD177:BD222" ca="1" si="693">IF(EV177=0,0,IF(AND(NOT(ISBLANK($J177)),SUM($B177,$H177)&lt;BD$176,SUM($B177,$H177,$J177)&gt;=BD$176),
ROUND(HLOOKUP(IF(CODE(EV177)&lt;65,"A+",EV177),SKT,BD$176+3,FALSE)*IF(VT_EIDGED,0.5,IF(VT_GUTGED,0.75,1)),0),0))</f>
        <v>0</v>
      </c>
      <c r="BE177" s="154">
        <f t="shared" ref="BE177:BE222" ca="1" si="694">IF(EW177=0,0,IF(AND(NOT(ISBLANK($J177)),SUM($B177,$H177)&lt;BE$176,SUM($B177,$H177,$J177)&gt;=BE$176),
ROUND(HLOOKUP(IF(CODE(EW177)&lt;65,"A+",EW177),SKT,BE$176+3,FALSE)*IF(VT_EIDGED,0.5,IF(VT_GUTGED,0.75,1)),0),0))</f>
        <v>0</v>
      </c>
      <c r="BF177" s="154">
        <f t="shared" ref="BF177:BF222" ca="1" si="695">IF(EX177=0,0,IF(AND(NOT(ISBLANK($J177)),SUM($B177,$H177)&lt;BF$176,SUM($B177,$H177,$J177)&gt;=BF$176),
ROUND(HLOOKUP(IF(CODE(EX177)&lt;65,"A+",EX177),SKT,BF$176+3,FALSE)*IF(VT_EIDGED,0.5,IF(VT_GUTGED,0.75,1)),0),0))</f>
        <v>0</v>
      </c>
      <c r="BG177" s="154">
        <f t="shared" ref="BG177:BG222" ca="1" si="696">IF(EY177=0,0,IF(AND(NOT(ISBLANK($J177)),SUM($B177,$H177)&lt;BG$176,SUM($B177,$H177,$J177)&gt;=BG$176),
ROUND(HLOOKUP(IF(CODE(EY177)&lt;65,"A+",EY177),SKT,BG$176+3,FALSE)*IF(VT_EIDGED,0.5,IF(VT_GUTGED,0.75,1)),0),0))</f>
        <v>0</v>
      </c>
      <c r="BH177" s="154">
        <f t="shared" ref="BH177:BH222" ca="1" si="697">IF(EZ177=0,0,IF(AND(NOT(ISBLANK($J177)),SUM($B177,$H177)&lt;BH$176,SUM($B177,$H177,$J177)&gt;=BH$176),
ROUND(HLOOKUP(IF(CODE(EZ177)&lt;65,"A+",EZ177),SKT,BH$176+3,FALSE)*IF(VT_EIDGED,0.5,IF(VT_GUTGED,0.75,1)),0),0))</f>
        <v>0</v>
      </c>
      <c r="BI177" s="154">
        <f t="shared" ref="BI177:BI222" ca="1" si="698">IF(FA177=0,0,IF(AND(NOT(ISBLANK($J177)),SUM($B177,$H177)&lt;BI$176,SUM($B177,$H177,$J177)&gt;=BI$176),
ROUND(HLOOKUP(IF(CODE(FA177)&lt;65,"A+",FA177),SKT,BI$176+3,FALSE)*IF(VT_EIDGED,0.5,IF(VT_GUTGED,0.75,1)),0),0))</f>
        <v>0</v>
      </c>
      <c r="BJ177" s="154">
        <f t="shared" ref="BJ177:BJ222" ca="1" si="699">IF(FB177=0,0,IF(AND(NOT(ISBLANK($J177)),SUM($B177,$H177)&lt;BJ$176,SUM($B177,$H177,$J177)&gt;=BJ$176),
ROUND(HLOOKUP(IF(CODE(FB177)&lt;65,"A+",FB177),SKT,BJ$176+3,FALSE)*IF(VT_EIDGED,0.5,IF(VT_GUTGED,0.75,1)),0),0))</f>
        <v>0</v>
      </c>
      <c r="BK177" s="154">
        <f t="shared" ref="BK177:BK222" ca="1" si="700">IF(FC177=0,0,IF(AND(NOT(ISBLANK($J177)),SUM($B177,$H177)&lt;BK$176,SUM($B177,$H177,$J177)&gt;=BK$176),
ROUND(HLOOKUP(IF(CODE(FC177)&lt;65,"A+",FC177),SKT,BK$176+3,FALSE)*IF(VT_EIDGED,0.5,IF(VT_GUTGED,0.75,1)),0),0))</f>
        <v>0</v>
      </c>
      <c r="BL177" s="154">
        <f t="shared" ref="BL177:BL222" ca="1" si="701">IF(FD177=0,0,IF(AND(NOT(ISBLANK($J177)),SUM($B177,$H177)&lt;BL$176,SUM($B177,$H177,$J177)&gt;=BL$176),
ROUND(HLOOKUP(IF(CODE(FD177)&lt;65,"A+",FD177),SKT,BL$176+3,FALSE)*IF(VT_EIDGED,0.5,IF(VT_GUTGED,0.75,1)),0),0))</f>
        <v>0</v>
      </c>
      <c r="BM177" s="154">
        <f t="shared" ref="BM177:BM222" ca="1" si="702">IF(FE177=0,0,IF(AND(NOT(ISBLANK($J177)),SUM($B177,$H177)&lt;BM$176,SUM($B177,$H177,$J177)&gt;=BM$176),
ROUND(HLOOKUP(IF(CODE(FE177)&lt;65,"A+",FE177),SKT,BM$176+3,FALSE)*IF(VT_EIDGED,0.5,IF(VT_GUTGED,0.75,1)),0),0))</f>
        <v>0</v>
      </c>
      <c r="BN177" s="1198">
        <f>CD157+1</f>
        <v>182</v>
      </c>
      <c r="BO177" s="1197" t="str">
        <f t="shared" ref="BO177:BO222" si="703">$A177</f>
        <v>Alaani ('Norbardisch')</v>
      </c>
      <c r="BP177" s="1197" t="str">
        <f t="shared" ref="BP177:BP222" ca="1" si="704">IF(CC177&lt;65,"A+",IF(CC177&gt;72,"H",CHAR(CC177)))</f>
        <v>B</v>
      </c>
      <c r="BQ177" s="1197">
        <v>1</v>
      </c>
      <c r="BR177" s="1198" t="str">
        <f ca="1">IF(EXACT($B177,""),"",$A177)</f>
        <v/>
      </c>
      <c r="BS177" s="1198" t="s">
        <v>3836</v>
      </c>
      <c r="BT177" s="78"/>
      <c r="BU177" s="78"/>
      <c r="BV177" s="78"/>
      <c r="BW177" s="1197">
        <f ca="1">SUM(IF(ISERROR(VALUE(BX177)),0,BX177),
IF(ISERROR(FIND("L",D177,1)),IF(ISNUMBER(D177),D177,0),LEFT(D177,LEN(D177)-1)))</f>
        <v>0</v>
      </c>
      <c r="BX177" s="1197">
        <f t="shared" ref="BX177:BX222" ca="1" si="705">HLOOKUP(PROFGENE,INDIRECT(PROFGEBIET),$BN177,FALSE)</f>
        <v>0</v>
      </c>
      <c r="BY177" s="1197">
        <f t="shared" ref="BY177:BY222" ca="1" si="706">IF(LEN(PROFZWEITE)&lt;1,0,HLOOKUP(PROFZWEITE,INDIRECT(PROFGEBIET2),$BN177,FALSE))</f>
        <v>0</v>
      </c>
      <c r="BZ177" s="1081">
        <f t="shared" ref="BZ177:BZ222" ca="1" si="707">IF(AND(ISNA(VLOOKUP($A$176,UNFAEH,1,FALSE)),ISERR(FIND($A$176,GEW_UNFAEH,1))),0,1)</f>
        <v>0</v>
      </c>
      <c r="CA177" s="1081">
        <f t="shared" ref="CA177:CA222" ca="1" si="708">IF(AND(ISNA(VLOOKUP($A$176,BEGABG,1,FALSE)),ISERR(FIND($A$176,GEW_BEGABUNG,1))),0,-1)</f>
        <v>0</v>
      </c>
      <c r="CB177" s="1081">
        <f t="shared" ref="CB177:CB222" ca="1" si="709">CODE(VLOOKUP($A177,SPRACHENKOMP,2,FALSE))+BZ177+CA177+CD177+CF177</f>
        <v>65</v>
      </c>
      <c r="CC177" s="1081">
        <f t="shared" ref="CC177:CC222" ca="1" si="710">CODE(VLOOKUP($A177,SPRACHENKOMP,2,FALSE))+BZ177+CA177+CD177+CE177+CF177</f>
        <v>66</v>
      </c>
      <c r="CD177" s="1081">
        <f>IF(RIGHT(D177)="L",0,
IF(NT_ELFWELT,1,0))</f>
        <v>0</v>
      </c>
      <c r="CE177" s="1081">
        <f t="shared" ref="CE177:CE222" ca="1" si="711">IF(ISERROR(FIND(CG177,$CH$223)),1,0)</f>
        <v>1</v>
      </c>
      <c r="CF177" s="1081">
        <f ca="1">IF(OR(AND(A177="Alaani ('Norbardisch')",IF(ISERROR(FIND("Gjalskisch",$CH$223)),FALSE,TRUE)),
AND(A177="Gjalskisch",IF(ISERROR(FIND("Alaani",$CH$223)),FALSE,TRUE)),
AND(A177="Garethi",IF(ISERROR(FIND("Thorwalsche Familie (Thorwalsch)",$CH$223)),FALSE,TRUE)),
AND(A177="Thorwalsch",IF(ISERROR(FIND("Garethi",$CH$223)),FALSE,TRUE))),-1,
IF(G177="",0,-1))</f>
        <v>0</v>
      </c>
      <c r="CG177" s="1198" t="str">
        <f t="shared" ref="CG177:CG222" si="712">VLOOKUP($A177,SPRACHENKOMP,4,FALSE)</f>
        <v>Tulamidya-Familie</v>
      </c>
      <c r="CH177" s="1198" t="str">
        <f t="shared" ref="CH177:CH222" ca="1" si="713">IF(F177="","",CG177&amp;" ("&amp;A177&amp;"), ")</f>
        <v/>
      </c>
      <c r="CI177" s="1198"/>
      <c r="CJ177" s="1198"/>
      <c r="CK177" s="1198" t="str">
        <f ca="1">IF(AND(NOT(EXACT($B177,"")),EXACT($F177,"x")),$A177&amp;" [Mutter]","")</f>
        <v/>
      </c>
      <c r="CL177" s="1198" t="str">
        <f ca="1">IF(AND(NOT(EXACT($B177,"")),EXACT($G177,"x")),$A177&amp;" [Zweit]","")</f>
        <v/>
      </c>
      <c r="CM177" s="78"/>
      <c r="CN177" s="1081">
        <f ca="1">IF(B177="",0,VALUE(B177))+IF(H177="",0,VALUE(H177))- IF(I177="",0,VALUE(I177))</f>
        <v>0</v>
      </c>
      <c r="CO177" s="1081">
        <f t="shared" ref="CO177:CO222" ca="1" si="714">SUM(P177:AM177)-IF(OR(VT_VETERAN,VT_BBILDUNG),CP177,0)</f>
        <v>0</v>
      </c>
      <c r="CP177" s="1081">
        <f ca="1">IF(I177="",0,SUM(INDIRECT(
ADDRESS(ROW(),COLUMN($P177)+CN177+IF(CN177=0,0,1))
&amp;":"&amp;
ADDRESS(ROW(),COLUMN($AM177))
)))</f>
        <v>0</v>
      </c>
      <c r="DJ177" s="301" t="str">
        <f t="shared" ref="DJ177:DS186" ca="1" si="715">IF(ISERR(FIND(";"&amp;DJ$176&amp;":0;",$E177)),
CHAR($CB177+SUM(IF(ISERR(FIND(";"&amp;DJ$176&amp;";",$F177)),0,-1),IF(OR(VT_AKADGEL,VT_AKADMAG),IF(DJ$176&lt;$EF177+1,-1,0),0),IF(ISERR(FIND(";"&amp;DJ$176&amp;":",$E177)),0,-VALUE(MID($E177,FIND(";"&amp;DJ$176&amp;":",$E177)+LEN(DJ$176)+2,1))))),0)</f>
        <v>A</v>
      </c>
      <c r="DK177" s="301" t="str">
        <f t="shared" ca="1" si="715"/>
        <v>A</v>
      </c>
      <c r="DL177" s="301" t="str">
        <f t="shared" ca="1" si="715"/>
        <v>A</v>
      </c>
      <c r="DM177" s="301" t="str">
        <f t="shared" ca="1" si="715"/>
        <v>A</v>
      </c>
      <c r="DN177" s="301" t="str">
        <f t="shared" ca="1" si="715"/>
        <v>A</v>
      </c>
      <c r="DO177" s="301" t="str">
        <f t="shared" ca="1" si="715"/>
        <v>A</v>
      </c>
      <c r="DP177" s="301" t="str">
        <f t="shared" ca="1" si="715"/>
        <v>A</v>
      </c>
      <c r="DQ177" s="301" t="str">
        <f t="shared" ca="1" si="715"/>
        <v>A</v>
      </c>
      <c r="DR177" s="301" t="str">
        <f t="shared" ca="1" si="715"/>
        <v>A</v>
      </c>
      <c r="DS177" s="301" t="str">
        <f t="shared" ca="1" si="715"/>
        <v>A</v>
      </c>
      <c r="DT177" s="301" t="str">
        <f t="shared" ref="DT177:EE186" ca="1" si="716">IF(ISERR(FIND(";"&amp;DT$176&amp;":0;",$E177)),
CHAR($CB177+SUM(IF(ISERR(FIND(";"&amp;DT$176&amp;";",$F177)),0,-1),IF(OR(VT_AKADGEL,VT_AKADMAG),IF(DT$176&lt;$EF177+1,-1,0),0),IF(ISERR(FIND(";"&amp;DT$176&amp;":",$E177)),0,-VALUE(MID($E177,FIND(";"&amp;DT$176&amp;":",$E177)+LEN(DT$176)+2,1))))),0)</f>
        <v>A</v>
      </c>
      <c r="DU177" s="301" t="str">
        <f t="shared" ca="1" si="716"/>
        <v>A</v>
      </c>
      <c r="DV177" s="301" t="str">
        <f t="shared" ca="1" si="716"/>
        <v>A</v>
      </c>
      <c r="DW177" s="301" t="str">
        <f t="shared" ca="1" si="716"/>
        <v>A</v>
      </c>
      <c r="DX177" s="301" t="str">
        <f t="shared" ca="1" si="716"/>
        <v>A</v>
      </c>
      <c r="DY177" s="301" t="str">
        <f t="shared" ca="1" si="716"/>
        <v>A</v>
      </c>
      <c r="DZ177" s="301" t="str">
        <f t="shared" ca="1" si="716"/>
        <v>A</v>
      </c>
      <c r="EA177" s="301" t="str">
        <f t="shared" ca="1" si="716"/>
        <v>A</v>
      </c>
      <c r="EB177" s="301" t="str">
        <f t="shared" ca="1" si="716"/>
        <v>A</v>
      </c>
      <c r="EC177" s="301" t="str">
        <f t="shared" ca="1" si="716"/>
        <v>A</v>
      </c>
      <c r="ED177" s="301" t="str">
        <f t="shared" ca="1" si="716"/>
        <v>A</v>
      </c>
      <c r="EE177" s="301" t="str">
        <f t="shared" ca="1" si="716"/>
        <v>A</v>
      </c>
      <c r="EF177" s="301">
        <f t="shared" ref="EF177:EF222" si="717">IF(OR(VT_AKADGEL,VT_AKADMAG),IF(OR(VT_VETERAN,AND(BY177&lt;&gt;0,VT_BBILDUNG)),15,10),0)</f>
        <v>0</v>
      </c>
      <c r="EG177" s="1427" t="str">
        <f ca="1">IF(ISERR(FIND(";"&amp;EG$176&amp;":0;",$E177)),
CHAR($CC177+SUM(IF(ISERR(FIND(";"&amp;EG$176&amp;";",$E177)),0,-1),
IF(ISERR(FIND(";"&amp;EG$176&amp;":",$E177)),0,-VALUE(MID($E177,FIND(";"&amp;EG$176&amp;":",$E177)+LEN(EG$176)+2,1))),
IF(ISERR(FIND(";"&amp;EG$176&amp;"+",$E177)),0,VALUE(MID($E177,FIND(";"&amp;EG$176&amp;"+",$E177)+LEN(EG$176)+2,1))),
)),0)</f>
        <v>B</v>
      </c>
      <c r="EH177" s="1428" t="str">
        <f t="shared" ref="EH177:FL185" ca="1" si="718">IF(ISERR(FIND(";"&amp;EH$176&amp;":0;",$E177)),
CHAR($CC177+SUM(IF(ISERR(FIND(";"&amp;EH$176&amp;";",$E177)),0,-1),
IF(ISERR(FIND(";"&amp;EH$176&amp;":",$E177)),0,-VALUE(MID($E177,FIND(";"&amp;EH$176&amp;":",$E177)+LEN(EH$176)+2,1))),
IF(ISERR(FIND(";"&amp;EH$176&amp;"+",$E177)),0,VALUE(MID($E177,FIND(";"&amp;EH$176&amp;"+",$E177)+LEN(EH$176)+2,1))),
)),0)</f>
        <v>B</v>
      </c>
      <c r="EI177" s="1428" t="str">
        <f t="shared" ca="1" si="718"/>
        <v>B</v>
      </c>
      <c r="EJ177" s="1428" t="str">
        <f t="shared" ca="1" si="718"/>
        <v>B</v>
      </c>
      <c r="EK177" s="1428" t="str">
        <f t="shared" ca="1" si="718"/>
        <v>B</v>
      </c>
      <c r="EL177" s="1428" t="str">
        <f t="shared" ca="1" si="718"/>
        <v>B</v>
      </c>
      <c r="EM177" s="1428" t="str">
        <f t="shared" ca="1" si="718"/>
        <v>B</v>
      </c>
      <c r="EN177" s="1428" t="str">
        <f t="shared" ca="1" si="718"/>
        <v>B</v>
      </c>
      <c r="EO177" s="1428" t="str">
        <f t="shared" ca="1" si="718"/>
        <v>B</v>
      </c>
      <c r="EP177" s="1428" t="str">
        <f t="shared" ca="1" si="718"/>
        <v>B</v>
      </c>
      <c r="EQ177" s="1428" t="str">
        <f t="shared" ca="1" si="718"/>
        <v>B</v>
      </c>
      <c r="ER177" s="1428" t="str">
        <f t="shared" ca="1" si="718"/>
        <v>B</v>
      </c>
      <c r="ES177" s="1428" t="str">
        <f t="shared" ca="1" si="718"/>
        <v>B</v>
      </c>
      <c r="ET177" s="1428" t="str">
        <f t="shared" ca="1" si="718"/>
        <v>B</v>
      </c>
      <c r="EU177" s="1428" t="str">
        <f t="shared" ca="1" si="718"/>
        <v>B</v>
      </c>
      <c r="EV177" s="1428" t="str">
        <f t="shared" ca="1" si="718"/>
        <v>B</v>
      </c>
      <c r="EW177" s="1428" t="str">
        <f t="shared" ca="1" si="718"/>
        <v>B</v>
      </c>
      <c r="EX177" s="1428" t="str">
        <f t="shared" ca="1" si="718"/>
        <v>B</v>
      </c>
      <c r="EY177" s="1428" t="str">
        <f t="shared" ca="1" si="718"/>
        <v>B</v>
      </c>
      <c r="EZ177" s="1428" t="str">
        <f t="shared" ca="1" si="718"/>
        <v>B</v>
      </c>
      <c r="FA177" s="1428" t="str">
        <f t="shared" ca="1" si="718"/>
        <v>B</v>
      </c>
      <c r="FB177" s="1428" t="str">
        <f t="shared" ca="1" si="718"/>
        <v>B</v>
      </c>
      <c r="FC177" s="1428" t="str">
        <f t="shared" ca="1" si="718"/>
        <v>B</v>
      </c>
      <c r="FD177" s="1428" t="str">
        <f t="shared" ca="1" si="718"/>
        <v>B</v>
      </c>
      <c r="FE177" s="1428" t="str">
        <f t="shared" ca="1" si="718"/>
        <v>B</v>
      </c>
      <c r="FF177" s="1428" t="str">
        <f t="shared" ca="1" si="718"/>
        <v>B</v>
      </c>
      <c r="FG177" s="1428" t="str">
        <f t="shared" ca="1" si="718"/>
        <v>B</v>
      </c>
      <c r="FH177" s="1428" t="str">
        <f t="shared" ca="1" si="718"/>
        <v>B</v>
      </c>
      <c r="FI177" s="1428" t="str">
        <f t="shared" ca="1" si="718"/>
        <v>B</v>
      </c>
      <c r="FJ177" s="1428" t="str">
        <f t="shared" ca="1" si="718"/>
        <v>B</v>
      </c>
      <c r="FK177" s="1428" t="str">
        <f t="shared" ca="1" si="718"/>
        <v>B</v>
      </c>
      <c r="FL177" s="1428" t="str">
        <f t="shared" ca="1" si="718"/>
        <v>B</v>
      </c>
    </row>
    <row r="178" spans="1:168" x14ac:dyDescent="0.2">
      <c r="A178" s="62" t="str">
        <f t="shared" si="649"/>
        <v>Alberned (Dialekt)</v>
      </c>
      <c r="B178" s="317" t="str">
        <f t="shared" ca="1" si="650"/>
        <v/>
      </c>
      <c r="C178" s="332" t="str">
        <f ca="1">IF(AND(EXACT($F178,""),EXACT($G178,"")),IF(OR(NOT(ISBLANK(D178)),NOT(EXACT(HLOOKUP(RASSEGENE,RASSE,$BN178,FALSE),"")),NOT(EXACT(HLOOKUP(KULTURGENE,KULTUR,$BN178,FALSE),"")),NOT(EXACT(HLOOKUP(PROFGENE,INDIRECT(PROFGEBIET),$BN178,FALSE),"")),
IF(LEN(PROFZWEITE)&lt;1,FALSE,NOT(EXACT(HLOOKUP(Generierung!$D$12,INDIRECT(PROFGEBIET2),$BN178,FALSE),"")))
),"x",""),"")</f>
        <v/>
      </c>
      <c r="D178" s="1110"/>
      <c r="E178" s="325"/>
      <c r="F178" s="388" t="str">
        <f t="shared" ca="1" si="651"/>
        <v/>
      </c>
      <c r="G178" s="388" t="str">
        <f t="shared" ca="1" si="652"/>
        <v/>
      </c>
      <c r="H178" s="389"/>
      <c r="I178" s="1196"/>
      <c r="J178" s="326"/>
      <c r="O178" s="514" t="str">
        <f t="shared" ca="1" si="653"/>
        <v/>
      </c>
      <c r="P178" s="164">
        <f t="shared" ca="1" si="654"/>
        <v>0</v>
      </c>
      <c r="Q178" s="164">
        <f t="shared" ca="1" si="655"/>
        <v>0</v>
      </c>
      <c r="R178" s="164">
        <f t="shared" ca="1" si="656"/>
        <v>0</v>
      </c>
      <c r="S178" s="164">
        <f t="shared" ca="1" si="657"/>
        <v>0</v>
      </c>
      <c r="T178" s="164">
        <f t="shared" ca="1" si="658"/>
        <v>0</v>
      </c>
      <c r="U178" s="164">
        <f t="shared" ca="1" si="659"/>
        <v>0</v>
      </c>
      <c r="V178" s="164">
        <f t="shared" ca="1" si="660"/>
        <v>0</v>
      </c>
      <c r="W178" s="164">
        <f t="shared" ca="1" si="661"/>
        <v>0</v>
      </c>
      <c r="X178" s="164">
        <f t="shared" ca="1" si="662"/>
        <v>0</v>
      </c>
      <c r="Y178" s="164">
        <f t="shared" ca="1" si="663"/>
        <v>0</v>
      </c>
      <c r="Z178" s="164">
        <f t="shared" ca="1" si="664"/>
        <v>0</v>
      </c>
      <c r="AA178" s="164">
        <f t="shared" ca="1" si="665"/>
        <v>0</v>
      </c>
      <c r="AB178" s="164">
        <f t="shared" ca="1" si="666"/>
        <v>0</v>
      </c>
      <c r="AC178" s="164">
        <f t="shared" ca="1" si="667"/>
        <v>0</v>
      </c>
      <c r="AD178" s="164">
        <f t="shared" ca="1" si="668"/>
        <v>0</v>
      </c>
      <c r="AE178" s="164">
        <f t="shared" ca="1" si="669"/>
        <v>0</v>
      </c>
      <c r="AF178" s="164">
        <f t="shared" ca="1" si="670"/>
        <v>0</v>
      </c>
      <c r="AG178" s="164">
        <f t="shared" ca="1" si="671"/>
        <v>0</v>
      </c>
      <c r="AH178" s="164">
        <f t="shared" ca="1" si="672"/>
        <v>0</v>
      </c>
      <c r="AI178" s="164">
        <f t="shared" ca="1" si="673"/>
        <v>0</v>
      </c>
      <c r="AJ178" s="164">
        <f t="shared" ca="1" si="674"/>
        <v>0</v>
      </c>
      <c r="AK178" s="164">
        <f t="shared" ca="1" si="675"/>
        <v>0</v>
      </c>
      <c r="AL178" s="164">
        <f t="shared" si="676"/>
        <v>0</v>
      </c>
      <c r="AM178" s="164">
        <f t="shared" ca="1" si="677"/>
        <v>0</v>
      </c>
      <c r="AN178" s="205"/>
      <c r="AO178" s="154">
        <f t="shared" ca="1" si="678"/>
        <v>0</v>
      </c>
      <c r="AP178" s="154">
        <f t="shared" ca="1" si="679"/>
        <v>0</v>
      </c>
      <c r="AQ178" s="154">
        <f t="shared" ca="1" si="680"/>
        <v>0</v>
      </c>
      <c r="AR178" s="154">
        <f t="shared" ca="1" si="681"/>
        <v>0</v>
      </c>
      <c r="AS178" s="154">
        <f t="shared" ca="1" si="682"/>
        <v>0</v>
      </c>
      <c r="AT178" s="154">
        <f t="shared" ca="1" si="683"/>
        <v>0</v>
      </c>
      <c r="AU178" s="154">
        <f t="shared" ca="1" si="684"/>
        <v>0</v>
      </c>
      <c r="AV178" s="154">
        <f t="shared" ca="1" si="685"/>
        <v>0</v>
      </c>
      <c r="AW178" s="154">
        <f t="shared" ca="1" si="686"/>
        <v>0</v>
      </c>
      <c r="AX178" s="154">
        <f t="shared" ca="1" si="687"/>
        <v>0</v>
      </c>
      <c r="AY178" s="154">
        <f t="shared" ca="1" si="688"/>
        <v>0</v>
      </c>
      <c r="AZ178" s="154">
        <f t="shared" ca="1" si="689"/>
        <v>0</v>
      </c>
      <c r="BA178" s="154">
        <f t="shared" ca="1" si="690"/>
        <v>0</v>
      </c>
      <c r="BB178" s="154">
        <f t="shared" ca="1" si="691"/>
        <v>0</v>
      </c>
      <c r="BC178" s="154">
        <f t="shared" ca="1" si="692"/>
        <v>0</v>
      </c>
      <c r="BD178" s="154">
        <f t="shared" ca="1" si="693"/>
        <v>0</v>
      </c>
      <c r="BE178" s="154">
        <f t="shared" ca="1" si="694"/>
        <v>0</v>
      </c>
      <c r="BF178" s="154">
        <f t="shared" ca="1" si="695"/>
        <v>0</v>
      </c>
      <c r="BG178" s="154">
        <f t="shared" ca="1" si="696"/>
        <v>0</v>
      </c>
      <c r="BH178" s="154">
        <f t="shared" ca="1" si="697"/>
        <v>0</v>
      </c>
      <c r="BI178" s="154">
        <f t="shared" ca="1" si="698"/>
        <v>0</v>
      </c>
      <c r="BJ178" s="154">
        <f t="shared" ca="1" si="699"/>
        <v>0</v>
      </c>
      <c r="BK178" s="154">
        <f t="shared" ca="1" si="700"/>
        <v>0</v>
      </c>
      <c r="BL178" s="154">
        <f t="shared" ca="1" si="701"/>
        <v>0</v>
      </c>
      <c r="BM178" s="154">
        <f t="shared" ca="1" si="702"/>
        <v>0</v>
      </c>
      <c r="BN178" s="1198">
        <f t="shared" ref="BN178:BN222" si="719">BN177+1</f>
        <v>183</v>
      </c>
      <c r="BO178" s="1197" t="str">
        <f t="shared" si="703"/>
        <v>Alberned (Dialekt)</v>
      </c>
      <c r="BP178" s="1197" t="str">
        <f t="shared" ca="1" si="704"/>
        <v>B</v>
      </c>
      <c r="BQ178" s="1197">
        <f>BQ177+1</f>
        <v>2</v>
      </c>
      <c r="BR178" s="1198" t="str">
        <f t="shared" ref="BR178:BR222" ca="1" si="720">IF(EXACT($B178,""),$BR177,CONCATENATE($BR177,$A178))</f>
        <v/>
      </c>
      <c r="BS178" s="1198" t="s">
        <v>3837</v>
      </c>
      <c r="BT178" s="78"/>
      <c r="BU178" s="78"/>
      <c r="BV178" s="78"/>
      <c r="BW178" s="1197">
        <f t="shared" ref="BW178:BW224" ca="1" si="721">SUM(IF(ISERROR(VALUE(BX178)),0,BX178),
IF(ISERROR(FIND("L",D178,1)),IF(ISNUMBER(D178),D178,0),LEFT(D178,LEN(D178)-1)))</f>
        <v>0</v>
      </c>
      <c r="BX178" s="1197">
        <f t="shared" ca="1" si="705"/>
        <v>0</v>
      </c>
      <c r="BY178" s="1197">
        <f t="shared" ca="1" si="706"/>
        <v>0</v>
      </c>
      <c r="BZ178" s="1081">
        <f t="shared" ca="1" si="707"/>
        <v>0</v>
      </c>
      <c r="CA178" s="1081">
        <f t="shared" ca="1" si="708"/>
        <v>0</v>
      </c>
      <c r="CB178" s="1081">
        <f t="shared" ca="1" si="709"/>
        <v>65</v>
      </c>
      <c r="CC178" s="1081">
        <f t="shared" ca="1" si="710"/>
        <v>66</v>
      </c>
      <c r="CD178" s="1081">
        <f>IF(RIGHT(D178)="L",0,
IF(NT_ELFWELT,1,0))</f>
        <v>0</v>
      </c>
      <c r="CE178" s="1081">
        <f t="shared" ca="1" si="711"/>
        <v>1</v>
      </c>
      <c r="CF178" s="1081">
        <f t="shared" ref="CF178:CF222" ca="1" si="722">IF(OR(AND(A178="Alaani",IF(ISERROR(FIND("Gjalskisch",$CH$223)),FALSE,TRUE)),
AND(A178="Gjalskisch",IF(ISERROR(FIND("Alaani",$CH$223)),FALSE,TRUE)),
AND(A178="Garethi",IF(ISERROR(FIND("Thorwalsche Familie (Thorwalsch)",$CH$223)),FALSE,TRUE)),
AND(A178="Thorwalsch",IF(ISERROR(FIND("Garethi",$CH$223)),FALSE,TRUE))),-1,
IF(G178="",0,-1))</f>
        <v>0</v>
      </c>
      <c r="CG178" s="1198" t="str">
        <f t="shared" si="712"/>
        <v>Garethi-Familie</v>
      </c>
      <c r="CH178" s="1198" t="str">
        <f t="shared" ca="1" si="713"/>
        <v/>
      </c>
      <c r="CI178" s="1198"/>
      <c r="CJ178" s="1198"/>
      <c r="CK178" s="1198" t="str">
        <f t="shared" ref="CK178:CK222" ca="1" si="723">IF(OR(EXACT($B178,""),NOT(EXACT($F178,"x"))),$CK177,CONCATENATE($CK177,$A178&amp;" [Mutter]") )</f>
        <v/>
      </c>
      <c r="CL178" s="1198" t="str">
        <f t="shared" ref="CL178:CL222" ca="1" si="724">IF(OR(EXACT($B178,""),NOT(EXACT($G178,"x"))),$CL177,CONCATENATE($CL177,$A178&amp;" [Zweit]") )</f>
        <v/>
      </c>
      <c r="CM178" s="78"/>
      <c r="CN178" s="1081">
        <f t="shared" ref="CN178:CN241" ca="1" si="725">IF(B178="",0,VALUE(B178))+IF(H178="",0,VALUE(H178))- IF(I178="",0,VALUE(I178))</f>
        <v>0</v>
      </c>
      <c r="CO178" s="1081">
        <f t="shared" ca="1" si="714"/>
        <v>0</v>
      </c>
      <c r="CP178" s="1081">
        <f t="shared" ref="CP178:CP241" ca="1" si="726">IF(I178="",0,SUM(INDIRECT(
ADDRESS(ROW(),COLUMN($P178)+CN178+IF(CN178=0,0,1))
&amp;":"&amp;
ADDRESS(ROW(),COLUMN($AM178))
)))</f>
        <v>0</v>
      </c>
      <c r="DJ178" s="301" t="str">
        <f t="shared" ca="1" si="715"/>
        <v>A</v>
      </c>
      <c r="DK178" s="301" t="str">
        <f t="shared" ca="1" si="715"/>
        <v>A</v>
      </c>
      <c r="DL178" s="301" t="str">
        <f t="shared" ca="1" si="715"/>
        <v>A</v>
      </c>
      <c r="DM178" s="301" t="str">
        <f t="shared" ca="1" si="715"/>
        <v>A</v>
      </c>
      <c r="DN178" s="301" t="str">
        <f t="shared" ca="1" si="715"/>
        <v>A</v>
      </c>
      <c r="DO178" s="301" t="str">
        <f t="shared" ca="1" si="715"/>
        <v>A</v>
      </c>
      <c r="DP178" s="301" t="str">
        <f t="shared" ca="1" si="715"/>
        <v>A</v>
      </c>
      <c r="DQ178" s="301" t="str">
        <f t="shared" ca="1" si="715"/>
        <v>A</v>
      </c>
      <c r="DR178" s="301" t="str">
        <f t="shared" ca="1" si="715"/>
        <v>A</v>
      </c>
      <c r="DS178" s="301" t="str">
        <f t="shared" ca="1" si="715"/>
        <v>A</v>
      </c>
      <c r="DT178" s="301" t="str">
        <f t="shared" ca="1" si="716"/>
        <v>A</v>
      </c>
      <c r="DU178" s="301" t="str">
        <f t="shared" ca="1" si="716"/>
        <v>A</v>
      </c>
      <c r="DV178" s="301" t="str">
        <f t="shared" ca="1" si="716"/>
        <v>A</v>
      </c>
      <c r="DW178" s="301" t="str">
        <f t="shared" ca="1" si="716"/>
        <v>A</v>
      </c>
      <c r="DX178" s="301" t="str">
        <f t="shared" ca="1" si="716"/>
        <v>A</v>
      </c>
      <c r="DY178" s="301" t="str">
        <f t="shared" ca="1" si="716"/>
        <v>A</v>
      </c>
      <c r="DZ178" s="301" t="str">
        <f t="shared" ca="1" si="716"/>
        <v>A</v>
      </c>
      <c r="EA178" s="301" t="str">
        <f t="shared" ca="1" si="716"/>
        <v>A</v>
      </c>
      <c r="EB178" s="301" t="str">
        <f t="shared" ca="1" si="716"/>
        <v>A</v>
      </c>
      <c r="EC178" s="301" t="str">
        <f t="shared" ca="1" si="716"/>
        <v>A</v>
      </c>
      <c r="ED178" s="301" t="str">
        <f t="shared" ca="1" si="716"/>
        <v>A</v>
      </c>
      <c r="EE178" s="301" t="str">
        <f t="shared" ca="1" si="716"/>
        <v>A</v>
      </c>
      <c r="EF178" s="301">
        <f t="shared" si="717"/>
        <v>0</v>
      </c>
      <c r="EG178" s="1426" t="str">
        <f ca="1">IF(ISERR(FIND(";"&amp;EG$176&amp;":0;",$E178)),
CHAR($CC178+SUM(IF(ISERR(FIND(";"&amp;EG$176&amp;";",$E178)),0,-1),
IF(ISERR(FIND(";"&amp;EG$176&amp;":",$E178)),0,-VALUE(MID($E178,FIND(";"&amp;EG$176&amp;":",$E178)+LEN(EG$176)+2,1))),
IF(ISERR(FIND(";"&amp;EG$176&amp;"+",$E178)),0,VALUE(MID($E178,FIND(";"&amp;EG$176&amp;"+",$E178)+LEN(EG$176)+2,1))),
)),0)</f>
        <v>B</v>
      </c>
      <c r="EH178" s="1429" t="str">
        <f t="shared" ca="1" si="718"/>
        <v>B</v>
      </c>
      <c r="EI178" s="1429" t="str">
        <f t="shared" ca="1" si="718"/>
        <v>B</v>
      </c>
      <c r="EJ178" s="1429" t="str">
        <f t="shared" ca="1" si="718"/>
        <v>B</v>
      </c>
      <c r="EK178" s="1429" t="str">
        <f t="shared" ca="1" si="718"/>
        <v>B</v>
      </c>
      <c r="EL178" s="1429" t="str">
        <f t="shared" ca="1" si="718"/>
        <v>B</v>
      </c>
      <c r="EM178" s="1429" t="str">
        <f t="shared" ca="1" si="718"/>
        <v>B</v>
      </c>
      <c r="EN178" s="1429" t="str">
        <f t="shared" ca="1" si="718"/>
        <v>B</v>
      </c>
      <c r="EO178" s="1429" t="str">
        <f t="shared" ca="1" si="718"/>
        <v>B</v>
      </c>
      <c r="EP178" s="1429" t="str">
        <f t="shared" ca="1" si="718"/>
        <v>B</v>
      </c>
      <c r="EQ178" s="1429" t="str">
        <f t="shared" ca="1" si="718"/>
        <v>B</v>
      </c>
      <c r="ER178" s="1429" t="str">
        <f t="shared" ca="1" si="718"/>
        <v>B</v>
      </c>
      <c r="ES178" s="1429" t="str">
        <f t="shared" ca="1" si="718"/>
        <v>B</v>
      </c>
      <c r="ET178" s="1429" t="str">
        <f t="shared" ca="1" si="718"/>
        <v>B</v>
      </c>
      <c r="EU178" s="1429" t="str">
        <f t="shared" ca="1" si="718"/>
        <v>B</v>
      </c>
      <c r="EV178" s="1429" t="str">
        <f t="shared" ca="1" si="718"/>
        <v>B</v>
      </c>
      <c r="EW178" s="1429" t="str">
        <f t="shared" ca="1" si="718"/>
        <v>B</v>
      </c>
      <c r="EX178" s="1429" t="str">
        <f t="shared" ca="1" si="718"/>
        <v>B</v>
      </c>
      <c r="EY178" s="1429" t="str">
        <f t="shared" ca="1" si="718"/>
        <v>B</v>
      </c>
      <c r="EZ178" s="1429" t="str">
        <f t="shared" ca="1" si="718"/>
        <v>B</v>
      </c>
      <c r="FA178" s="1429" t="str">
        <f t="shared" ca="1" si="718"/>
        <v>B</v>
      </c>
      <c r="FB178" s="1429" t="str">
        <f t="shared" ca="1" si="718"/>
        <v>B</v>
      </c>
      <c r="FC178" s="1429" t="str">
        <f t="shared" ca="1" si="718"/>
        <v>B</v>
      </c>
      <c r="FD178" s="1429" t="str">
        <f t="shared" ca="1" si="718"/>
        <v>B</v>
      </c>
      <c r="FE178" s="1429" t="str">
        <f t="shared" ca="1" si="718"/>
        <v>B</v>
      </c>
      <c r="FF178" s="1429" t="str">
        <f t="shared" ca="1" si="718"/>
        <v>B</v>
      </c>
      <c r="FG178" s="1429" t="str">
        <f t="shared" ca="1" si="718"/>
        <v>B</v>
      </c>
      <c r="FH178" s="1429" t="str">
        <f t="shared" ca="1" si="718"/>
        <v>B</v>
      </c>
      <c r="FI178" s="1429" t="str">
        <f t="shared" ca="1" si="718"/>
        <v>B</v>
      </c>
      <c r="FJ178" s="1429" t="str">
        <f t="shared" ca="1" si="718"/>
        <v>B</v>
      </c>
      <c r="FK178" s="1429" t="str">
        <f t="shared" ca="1" si="718"/>
        <v>B</v>
      </c>
      <c r="FL178" s="1429" t="str">
        <f t="shared" ca="1" si="718"/>
        <v>B</v>
      </c>
    </row>
    <row r="179" spans="1:168" x14ac:dyDescent="0.2">
      <c r="A179" s="62" t="str">
        <f t="shared" si="649"/>
        <v>Andergastisch (Dialekt)</v>
      </c>
      <c r="B179" s="317" t="str">
        <f t="shared" ca="1" si="650"/>
        <v/>
      </c>
      <c r="C179" s="332" t="str">
        <f ca="1">IF(AND(EXACT($F179,""),EXACT($G179,"")),IF(OR(NOT(ISBLANK(D179)),NOT(EXACT(HLOOKUP(RASSEGENE,RASSE,$BN179,FALSE),"")),NOT(EXACT(HLOOKUP(KULTURGENE,KULTUR,$BN179,FALSE),"")),NOT(EXACT(HLOOKUP(PROFGENE,INDIRECT(PROFGEBIET),$BN179,FALSE),"")),
IF(LEN(PROFZWEITE)&lt;1,FALSE,NOT(EXACT(HLOOKUP(Generierung!$D$12,INDIRECT(PROFGEBIET2),$BN179,FALSE),"")))
),"x",""),"")</f>
        <v/>
      </c>
      <c r="D179" s="1110"/>
      <c r="E179" s="325"/>
      <c r="F179" s="388" t="str">
        <f t="shared" ca="1" si="651"/>
        <v/>
      </c>
      <c r="G179" s="388" t="str">
        <f t="shared" ca="1" si="652"/>
        <v/>
      </c>
      <c r="H179" s="389"/>
      <c r="I179" s="1196"/>
      <c r="J179" s="326"/>
      <c r="O179" s="514" t="str">
        <f t="shared" ca="1" si="653"/>
        <v/>
      </c>
      <c r="P179" s="164">
        <f t="shared" ca="1" si="654"/>
        <v>0</v>
      </c>
      <c r="Q179" s="164">
        <f t="shared" ca="1" si="655"/>
        <v>0</v>
      </c>
      <c r="R179" s="164">
        <f t="shared" ca="1" si="656"/>
        <v>0</v>
      </c>
      <c r="S179" s="164">
        <f t="shared" ca="1" si="657"/>
        <v>0</v>
      </c>
      <c r="T179" s="164">
        <f t="shared" ca="1" si="658"/>
        <v>0</v>
      </c>
      <c r="U179" s="164">
        <f t="shared" ca="1" si="659"/>
        <v>0</v>
      </c>
      <c r="V179" s="164">
        <f t="shared" ca="1" si="660"/>
        <v>0</v>
      </c>
      <c r="W179" s="164">
        <f t="shared" ca="1" si="661"/>
        <v>0</v>
      </c>
      <c r="X179" s="164">
        <f t="shared" ca="1" si="662"/>
        <v>0</v>
      </c>
      <c r="Y179" s="164">
        <f t="shared" ca="1" si="663"/>
        <v>0</v>
      </c>
      <c r="Z179" s="164">
        <f t="shared" ca="1" si="664"/>
        <v>0</v>
      </c>
      <c r="AA179" s="164">
        <f t="shared" ca="1" si="665"/>
        <v>0</v>
      </c>
      <c r="AB179" s="164">
        <f t="shared" ca="1" si="666"/>
        <v>0</v>
      </c>
      <c r="AC179" s="164">
        <f t="shared" ca="1" si="667"/>
        <v>0</v>
      </c>
      <c r="AD179" s="164">
        <f t="shared" ca="1" si="668"/>
        <v>0</v>
      </c>
      <c r="AE179" s="164">
        <f t="shared" ca="1" si="669"/>
        <v>0</v>
      </c>
      <c r="AF179" s="164">
        <f t="shared" ca="1" si="670"/>
        <v>0</v>
      </c>
      <c r="AG179" s="164">
        <f t="shared" ca="1" si="671"/>
        <v>0</v>
      </c>
      <c r="AH179" s="164">
        <f t="shared" ca="1" si="672"/>
        <v>0</v>
      </c>
      <c r="AI179" s="164">
        <f t="shared" ca="1" si="673"/>
        <v>0</v>
      </c>
      <c r="AJ179" s="164">
        <f t="shared" ca="1" si="674"/>
        <v>0</v>
      </c>
      <c r="AK179" s="164">
        <f t="shared" ca="1" si="675"/>
        <v>0</v>
      </c>
      <c r="AL179" s="164">
        <f t="shared" si="676"/>
        <v>0</v>
      </c>
      <c r="AM179" s="164">
        <f t="shared" ca="1" si="677"/>
        <v>0</v>
      </c>
      <c r="AN179" s="205"/>
      <c r="AO179" s="154">
        <f t="shared" ca="1" si="678"/>
        <v>0</v>
      </c>
      <c r="AP179" s="154">
        <f t="shared" ca="1" si="679"/>
        <v>0</v>
      </c>
      <c r="AQ179" s="154">
        <f t="shared" ca="1" si="680"/>
        <v>0</v>
      </c>
      <c r="AR179" s="154">
        <f t="shared" ca="1" si="681"/>
        <v>0</v>
      </c>
      <c r="AS179" s="154">
        <f t="shared" ca="1" si="682"/>
        <v>0</v>
      </c>
      <c r="AT179" s="154">
        <f t="shared" ca="1" si="683"/>
        <v>0</v>
      </c>
      <c r="AU179" s="154">
        <f t="shared" ca="1" si="684"/>
        <v>0</v>
      </c>
      <c r="AV179" s="154">
        <f t="shared" ca="1" si="685"/>
        <v>0</v>
      </c>
      <c r="AW179" s="154">
        <f t="shared" ca="1" si="686"/>
        <v>0</v>
      </c>
      <c r="AX179" s="154">
        <f t="shared" ca="1" si="687"/>
        <v>0</v>
      </c>
      <c r="AY179" s="154">
        <f t="shared" ca="1" si="688"/>
        <v>0</v>
      </c>
      <c r="AZ179" s="154">
        <f t="shared" ca="1" si="689"/>
        <v>0</v>
      </c>
      <c r="BA179" s="154">
        <f t="shared" ca="1" si="690"/>
        <v>0</v>
      </c>
      <c r="BB179" s="154">
        <f t="shared" ca="1" si="691"/>
        <v>0</v>
      </c>
      <c r="BC179" s="154">
        <f t="shared" ca="1" si="692"/>
        <v>0</v>
      </c>
      <c r="BD179" s="154">
        <f t="shared" ca="1" si="693"/>
        <v>0</v>
      </c>
      <c r="BE179" s="154">
        <f t="shared" ca="1" si="694"/>
        <v>0</v>
      </c>
      <c r="BF179" s="154">
        <f t="shared" ca="1" si="695"/>
        <v>0</v>
      </c>
      <c r="BG179" s="154">
        <f t="shared" ca="1" si="696"/>
        <v>0</v>
      </c>
      <c r="BH179" s="154">
        <f t="shared" ca="1" si="697"/>
        <v>0</v>
      </c>
      <c r="BI179" s="154">
        <f t="shared" ca="1" si="698"/>
        <v>0</v>
      </c>
      <c r="BJ179" s="154">
        <f t="shared" ca="1" si="699"/>
        <v>0</v>
      </c>
      <c r="BK179" s="154">
        <f t="shared" ca="1" si="700"/>
        <v>0</v>
      </c>
      <c r="BL179" s="154">
        <f t="shared" ca="1" si="701"/>
        <v>0</v>
      </c>
      <c r="BM179" s="154">
        <f t="shared" ca="1" si="702"/>
        <v>0</v>
      </c>
      <c r="BN179" s="1198">
        <f t="shared" si="719"/>
        <v>184</v>
      </c>
      <c r="BO179" s="1197" t="str">
        <f t="shared" si="703"/>
        <v>Andergastisch (Dialekt)</v>
      </c>
      <c r="BP179" s="1197" t="str">
        <f t="shared" ca="1" si="704"/>
        <v>B</v>
      </c>
      <c r="BQ179" s="1197">
        <f t="shared" ref="BQ179:BQ222" si="727">BQ178+1</f>
        <v>3</v>
      </c>
      <c r="BR179" s="1198" t="str">
        <f t="shared" ca="1" si="720"/>
        <v/>
      </c>
      <c r="BS179" s="1198" t="s">
        <v>3838</v>
      </c>
      <c r="BT179" s="78"/>
      <c r="BU179" s="78"/>
      <c r="BV179" s="78"/>
      <c r="BW179" s="1197">
        <f t="shared" ca="1" si="721"/>
        <v>0</v>
      </c>
      <c r="BX179" s="1197">
        <f t="shared" ca="1" si="705"/>
        <v>0</v>
      </c>
      <c r="BY179" s="1197">
        <f t="shared" ca="1" si="706"/>
        <v>0</v>
      </c>
      <c r="BZ179" s="1081">
        <f t="shared" ca="1" si="707"/>
        <v>0</v>
      </c>
      <c r="CA179" s="1081">
        <f t="shared" ca="1" si="708"/>
        <v>0</v>
      </c>
      <c r="CB179" s="1081">
        <f t="shared" ca="1" si="709"/>
        <v>65</v>
      </c>
      <c r="CC179" s="1081">
        <f t="shared" ca="1" si="710"/>
        <v>66</v>
      </c>
      <c r="CD179" s="1081">
        <f>IF(RIGHT(D179)="L",0,
IF(NT_ELFWELT,1,0))</f>
        <v>0</v>
      </c>
      <c r="CE179" s="1081">
        <f t="shared" ca="1" si="711"/>
        <v>1</v>
      </c>
      <c r="CF179" s="1081">
        <f t="shared" ca="1" si="722"/>
        <v>0</v>
      </c>
      <c r="CG179" s="1198" t="str">
        <f t="shared" si="712"/>
        <v>Garethi-Familie</v>
      </c>
      <c r="CH179" s="1198" t="str">
        <f t="shared" ca="1" si="713"/>
        <v/>
      </c>
      <c r="CI179" s="1198"/>
      <c r="CJ179" s="1198"/>
      <c r="CK179" s="1198" t="str">
        <f t="shared" ca="1" si="723"/>
        <v/>
      </c>
      <c r="CL179" s="1198" t="str">
        <f t="shared" ca="1" si="724"/>
        <v/>
      </c>
      <c r="CM179" s="78"/>
      <c r="CN179" s="1081">
        <f t="shared" ca="1" si="725"/>
        <v>0</v>
      </c>
      <c r="CO179" s="1081">
        <f t="shared" ca="1" si="714"/>
        <v>0</v>
      </c>
      <c r="CP179" s="1081">
        <f t="shared" ca="1" si="726"/>
        <v>0</v>
      </c>
      <c r="DJ179" s="301" t="str">
        <f t="shared" ca="1" si="715"/>
        <v>A</v>
      </c>
      <c r="DK179" s="301" t="str">
        <f t="shared" ca="1" si="715"/>
        <v>A</v>
      </c>
      <c r="DL179" s="301" t="str">
        <f t="shared" ca="1" si="715"/>
        <v>A</v>
      </c>
      <c r="DM179" s="301" t="str">
        <f t="shared" ca="1" si="715"/>
        <v>A</v>
      </c>
      <c r="DN179" s="301" t="str">
        <f t="shared" ca="1" si="715"/>
        <v>A</v>
      </c>
      <c r="DO179" s="301" t="str">
        <f t="shared" ca="1" si="715"/>
        <v>A</v>
      </c>
      <c r="DP179" s="301" t="str">
        <f t="shared" ca="1" si="715"/>
        <v>A</v>
      </c>
      <c r="DQ179" s="301" t="str">
        <f t="shared" ca="1" si="715"/>
        <v>A</v>
      </c>
      <c r="DR179" s="301" t="str">
        <f t="shared" ca="1" si="715"/>
        <v>A</v>
      </c>
      <c r="DS179" s="301" t="str">
        <f t="shared" ca="1" si="715"/>
        <v>A</v>
      </c>
      <c r="DT179" s="301" t="str">
        <f t="shared" ca="1" si="716"/>
        <v>A</v>
      </c>
      <c r="DU179" s="301" t="str">
        <f t="shared" ca="1" si="716"/>
        <v>A</v>
      </c>
      <c r="DV179" s="301" t="str">
        <f t="shared" ca="1" si="716"/>
        <v>A</v>
      </c>
      <c r="DW179" s="301" t="str">
        <f t="shared" ca="1" si="716"/>
        <v>A</v>
      </c>
      <c r="DX179" s="301" t="str">
        <f t="shared" ca="1" si="716"/>
        <v>A</v>
      </c>
      <c r="DY179" s="301" t="str">
        <f t="shared" ca="1" si="716"/>
        <v>A</v>
      </c>
      <c r="DZ179" s="301" t="str">
        <f t="shared" ca="1" si="716"/>
        <v>A</v>
      </c>
      <c r="EA179" s="301" t="str">
        <f t="shared" ca="1" si="716"/>
        <v>A</v>
      </c>
      <c r="EB179" s="301" t="str">
        <f t="shared" ca="1" si="716"/>
        <v>A</v>
      </c>
      <c r="EC179" s="301" t="str">
        <f t="shared" ca="1" si="716"/>
        <v>A</v>
      </c>
      <c r="ED179" s="301" t="str">
        <f t="shared" ca="1" si="716"/>
        <v>A</v>
      </c>
      <c r="EE179" s="301" t="str">
        <f t="shared" ca="1" si="716"/>
        <v>A</v>
      </c>
      <c r="EF179" s="301">
        <f t="shared" si="717"/>
        <v>0</v>
      </c>
      <c r="EG179" s="1426" t="str">
        <f t="shared" ref="EG179:EV194" ca="1" si="728">IF(ISERR(FIND(";"&amp;EG$176&amp;":0;",$E179)),
CHAR($CC179+SUM(IF(ISERR(FIND(";"&amp;EG$176&amp;";",$E179)),0,-1),
IF(ISERR(FIND(";"&amp;EG$176&amp;":",$E179)),0,-VALUE(MID($E179,FIND(";"&amp;EG$176&amp;":",$E179)+LEN(EG$176)+2,1))),
IF(ISERR(FIND(";"&amp;EG$176&amp;"+",$E179)),0,VALUE(MID($E179,FIND(";"&amp;EG$176&amp;"+",$E179)+LEN(EG$176)+2,1))),
)),0)</f>
        <v>B</v>
      </c>
      <c r="EH179" s="1429" t="str">
        <f t="shared" ca="1" si="718"/>
        <v>B</v>
      </c>
      <c r="EI179" s="1429" t="str">
        <f t="shared" ca="1" si="718"/>
        <v>B</v>
      </c>
      <c r="EJ179" s="1429" t="str">
        <f t="shared" ca="1" si="718"/>
        <v>B</v>
      </c>
      <c r="EK179" s="1429" t="str">
        <f t="shared" ca="1" si="718"/>
        <v>B</v>
      </c>
      <c r="EL179" s="1429" t="str">
        <f t="shared" ca="1" si="718"/>
        <v>B</v>
      </c>
      <c r="EM179" s="1429" t="str">
        <f t="shared" ca="1" si="718"/>
        <v>B</v>
      </c>
      <c r="EN179" s="1429" t="str">
        <f t="shared" ca="1" si="718"/>
        <v>B</v>
      </c>
      <c r="EO179" s="1429" t="str">
        <f t="shared" ca="1" si="718"/>
        <v>B</v>
      </c>
      <c r="EP179" s="1429" t="str">
        <f t="shared" ca="1" si="718"/>
        <v>B</v>
      </c>
      <c r="EQ179" s="1429" t="str">
        <f t="shared" ca="1" si="718"/>
        <v>B</v>
      </c>
      <c r="ER179" s="1429" t="str">
        <f t="shared" ca="1" si="718"/>
        <v>B</v>
      </c>
      <c r="ES179" s="1429" t="str">
        <f t="shared" ca="1" si="718"/>
        <v>B</v>
      </c>
      <c r="ET179" s="1429" t="str">
        <f t="shared" ca="1" si="718"/>
        <v>B</v>
      </c>
      <c r="EU179" s="1429" t="str">
        <f t="shared" ca="1" si="718"/>
        <v>B</v>
      </c>
      <c r="EV179" s="1429" t="str">
        <f t="shared" ca="1" si="718"/>
        <v>B</v>
      </c>
      <c r="EW179" s="1429" t="str">
        <f t="shared" ca="1" si="718"/>
        <v>B</v>
      </c>
      <c r="EX179" s="1429" t="str">
        <f t="shared" ca="1" si="718"/>
        <v>B</v>
      </c>
      <c r="EY179" s="1429" t="str">
        <f t="shared" ca="1" si="718"/>
        <v>B</v>
      </c>
      <c r="EZ179" s="1429" t="str">
        <f t="shared" ca="1" si="718"/>
        <v>B</v>
      </c>
      <c r="FA179" s="1429" t="str">
        <f t="shared" ca="1" si="718"/>
        <v>B</v>
      </c>
      <c r="FB179" s="1429" t="str">
        <f t="shared" ca="1" si="718"/>
        <v>B</v>
      </c>
      <c r="FC179" s="1429" t="str">
        <f t="shared" ca="1" si="718"/>
        <v>B</v>
      </c>
      <c r="FD179" s="1429" t="str">
        <f t="shared" ca="1" si="718"/>
        <v>B</v>
      </c>
      <c r="FE179" s="1429" t="str">
        <f t="shared" ca="1" si="718"/>
        <v>B</v>
      </c>
      <c r="FF179" s="1429" t="str">
        <f t="shared" ca="1" si="718"/>
        <v>B</v>
      </c>
      <c r="FG179" s="1429" t="str">
        <f t="shared" ca="1" si="718"/>
        <v>B</v>
      </c>
      <c r="FH179" s="1429" t="str">
        <f t="shared" ca="1" si="718"/>
        <v>B</v>
      </c>
      <c r="FI179" s="1429" t="str">
        <f t="shared" ca="1" si="718"/>
        <v>B</v>
      </c>
      <c r="FJ179" s="1429" t="str">
        <f t="shared" ca="1" si="718"/>
        <v>B</v>
      </c>
      <c r="FK179" s="1429" t="str">
        <f t="shared" ca="1" si="718"/>
        <v>B</v>
      </c>
      <c r="FL179" s="1429" t="str">
        <f t="shared" ca="1" si="718"/>
        <v>B</v>
      </c>
    </row>
    <row r="180" spans="1:168" x14ac:dyDescent="0.2">
      <c r="A180" s="62" t="str">
        <f t="shared" si="649"/>
        <v>Angram</v>
      </c>
      <c r="B180" s="317" t="str">
        <f t="shared" ca="1" si="650"/>
        <v/>
      </c>
      <c r="C180" s="332" t="str">
        <f ca="1">IF(AND(EXACT($F180,""),EXACT($G180,"")),IF(OR(NOT(ISBLANK(D180)),NOT(EXACT(HLOOKUP(RASSEGENE,RASSE,$BN180,FALSE),"")),NOT(EXACT(HLOOKUP(KULTURGENE,KULTUR,$BN180,FALSE),"")),NOT(EXACT(HLOOKUP(PROFGENE,INDIRECT(PROFGEBIET),$BN180,FALSE),"")),
IF(LEN(PROFZWEITE)&lt;1,FALSE,NOT(EXACT(HLOOKUP(Generierung!$D$12,INDIRECT(PROFGEBIET2),$BN180,FALSE),"")))
),"x",""),"")</f>
        <v/>
      </c>
      <c r="D180" s="1110"/>
      <c r="E180" s="325"/>
      <c r="F180" s="388" t="str">
        <f t="shared" ca="1" si="651"/>
        <v/>
      </c>
      <c r="G180" s="388" t="str">
        <f t="shared" ca="1" si="652"/>
        <v/>
      </c>
      <c r="H180" s="389"/>
      <c r="I180" s="1196"/>
      <c r="J180" s="326"/>
      <c r="O180" s="514" t="str">
        <f t="shared" ca="1" si="653"/>
        <v/>
      </c>
      <c r="P180" s="164">
        <f t="shared" ca="1" si="654"/>
        <v>0</v>
      </c>
      <c r="Q180" s="164">
        <f t="shared" ca="1" si="655"/>
        <v>0</v>
      </c>
      <c r="R180" s="164">
        <f t="shared" ca="1" si="656"/>
        <v>0</v>
      </c>
      <c r="S180" s="164">
        <f t="shared" ca="1" si="657"/>
        <v>0</v>
      </c>
      <c r="T180" s="164">
        <f t="shared" ca="1" si="658"/>
        <v>0</v>
      </c>
      <c r="U180" s="164">
        <f t="shared" ca="1" si="659"/>
        <v>0</v>
      </c>
      <c r="V180" s="164">
        <f t="shared" ca="1" si="660"/>
        <v>0</v>
      </c>
      <c r="W180" s="164">
        <f t="shared" ca="1" si="661"/>
        <v>0</v>
      </c>
      <c r="X180" s="164">
        <f t="shared" ca="1" si="662"/>
        <v>0</v>
      </c>
      <c r="Y180" s="164">
        <f t="shared" ca="1" si="663"/>
        <v>0</v>
      </c>
      <c r="Z180" s="164">
        <f t="shared" ca="1" si="664"/>
        <v>0</v>
      </c>
      <c r="AA180" s="164">
        <f t="shared" ca="1" si="665"/>
        <v>0</v>
      </c>
      <c r="AB180" s="164">
        <f t="shared" ca="1" si="666"/>
        <v>0</v>
      </c>
      <c r="AC180" s="164">
        <f t="shared" ca="1" si="667"/>
        <v>0</v>
      </c>
      <c r="AD180" s="164">
        <f t="shared" ca="1" si="668"/>
        <v>0</v>
      </c>
      <c r="AE180" s="164">
        <f t="shared" ca="1" si="669"/>
        <v>0</v>
      </c>
      <c r="AF180" s="164">
        <f t="shared" ca="1" si="670"/>
        <v>0</v>
      </c>
      <c r="AG180" s="164">
        <f t="shared" ca="1" si="671"/>
        <v>0</v>
      </c>
      <c r="AH180" s="164">
        <f t="shared" ca="1" si="672"/>
        <v>0</v>
      </c>
      <c r="AI180" s="164">
        <f t="shared" ca="1" si="673"/>
        <v>0</v>
      </c>
      <c r="AJ180" s="164">
        <f t="shared" ca="1" si="674"/>
        <v>0</v>
      </c>
      <c r="AK180" s="164">
        <f t="shared" ca="1" si="675"/>
        <v>0</v>
      </c>
      <c r="AL180" s="164">
        <f t="shared" si="676"/>
        <v>0</v>
      </c>
      <c r="AM180" s="164">
        <f t="shared" ca="1" si="677"/>
        <v>0</v>
      </c>
      <c r="AN180" s="205"/>
      <c r="AO180" s="154">
        <f t="shared" ca="1" si="678"/>
        <v>0</v>
      </c>
      <c r="AP180" s="154">
        <f t="shared" ca="1" si="679"/>
        <v>0</v>
      </c>
      <c r="AQ180" s="154">
        <f t="shared" ca="1" si="680"/>
        <v>0</v>
      </c>
      <c r="AR180" s="154">
        <f t="shared" ca="1" si="681"/>
        <v>0</v>
      </c>
      <c r="AS180" s="154">
        <f t="shared" ca="1" si="682"/>
        <v>0</v>
      </c>
      <c r="AT180" s="154">
        <f t="shared" ca="1" si="683"/>
        <v>0</v>
      </c>
      <c r="AU180" s="154">
        <f t="shared" ca="1" si="684"/>
        <v>0</v>
      </c>
      <c r="AV180" s="154">
        <f t="shared" ca="1" si="685"/>
        <v>0</v>
      </c>
      <c r="AW180" s="154">
        <f t="shared" ca="1" si="686"/>
        <v>0</v>
      </c>
      <c r="AX180" s="154">
        <f t="shared" ca="1" si="687"/>
        <v>0</v>
      </c>
      <c r="AY180" s="154">
        <f t="shared" ca="1" si="688"/>
        <v>0</v>
      </c>
      <c r="AZ180" s="154">
        <f t="shared" ca="1" si="689"/>
        <v>0</v>
      </c>
      <c r="BA180" s="154">
        <f t="shared" ca="1" si="690"/>
        <v>0</v>
      </c>
      <c r="BB180" s="154">
        <f t="shared" ca="1" si="691"/>
        <v>0</v>
      </c>
      <c r="BC180" s="154">
        <f t="shared" ca="1" si="692"/>
        <v>0</v>
      </c>
      <c r="BD180" s="154">
        <f t="shared" ca="1" si="693"/>
        <v>0</v>
      </c>
      <c r="BE180" s="154">
        <f t="shared" ca="1" si="694"/>
        <v>0</v>
      </c>
      <c r="BF180" s="154">
        <f t="shared" ca="1" si="695"/>
        <v>0</v>
      </c>
      <c r="BG180" s="154">
        <f t="shared" ca="1" si="696"/>
        <v>0</v>
      </c>
      <c r="BH180" s="154">
        <f t="shared" ca="1" si="697"/>
        <v>0</v>
      </c>
      <c r="BI180" s="154">
        <f t="shared" ca="1" si="698"/>
        <v>0</v>
      </c>
      <c r="BJ180" s="154">
        <f t="shared" ca="1" si="699"/>
        <v>0</v>
      </c>
      <c r="BK180" s="154">
        <f t="shared" ca="1" si="700"/>
        <v>0</v>
      </c>
      <c r="BL180" s="154">
        <f t="shared" ca="1" si="701"/>
        <v>0</v>
      </c>
      <c r="BM180" s="154">
        <f t="shared" ca="1" si="702"/>
        <v>0</v>
      </c>
      <c r="BN180" s="1198">
        <f t="shared" si="719"/>
        <v>185</v>
      </c>
      <c r="BO180" s="1197" t="str">
        <f t="shared" si="703"/>
        <v>Angram</v>
      </c>
      <c r="BP180" s="1197" t="str">
        <f t="shared" ca="1" si="704"/>
        <v>B</v>
      </c>
      <c r="BQ180" s="1197">
        <f t="shared" si="727"/>
        <v>4</v>
      </c>
      <c r="BR180" s="1198" t="str">
        <f t="shared" ca="1" si="720"/>
        <v/>
      </c>
      <c r="BS180" s="1198" t="s">
        <v>3476</v>
      </c>
      <c r="BT180" s="78"/>
      <c r="BU180" s="78"/>
      <c r="BV180" s="78"/>
      <c r="BW180" s="1197">
        <f t="shared" ca="1" si="721"/>
        <v>0</v>
      </c>
      <c r="BX180" s="1197">
        <f t="shared" ca="1" si="705"/>
        <v>0</v>
      </c>
      <c r="BY180" s="1197">
        <f t="shared" ca="1" si="706"/>
        <v>0</v>
      </c>
      <c r="BZ180" s="1081">
        <f t="shared" ca="1" si="707"/>
        <v>0</v>
      </c>
      <c r="CA180" s="1081">
        <f t="shared" ca="1" si="708"/>
        <v>0</v>
      </c>
      <c r="CB180" s="1081">
        <f t="shared" ca="1" si="709"/>
        <v>65</v>
      </c>
      <c r="CC180" s="1081">
        <f t="shared" ca="1" si="710"/>
        <v>66</v>
      </c>
      <c r="CD180" s="1081">
        <f>IF(RIGHT(D180)="L",0,
IF(NT_ELFWELT,1,0))</f>
        <v>0</v>
      </c>
      <c r="CE180" s="1081">
        <f t="shared" ca="1" si="711"/>
        <v>1</v>
      </c>
      <c r="CF180" s="1081">
        <f t="shared" ca="1" si="722"/>
        <v>0</v>
      </c>
      <c r="CG180" s="1198" t="str">
        <f t="shared" si="712"/>
        <v>Zwergisch-Familie</v>
      </c>
      <c r="CH180" s="1198" t="str">
        <f t="shared" ca="1" si="713"/>
        <v/>
      </c>
      <c r="CI180" s="1198"/>
      <c r="CJ180" s="1198"/>
      <c r="CK180" s="1198" t="str">
        <f t="shared" ca="1" si="723"/>
        <v/>
      </c>
      <c r="CL180" s="1198" t="str">
        <f t="shared" ca="1" si="724"/>
        <v/>
      </c>
      <c r="CM180" s="78"/>
      <c r="CN180" s="1081">
        <f t="shared" ca="1" si="725"/>
        <v>0</v>
      </c>
      <c r="CO180" s="1081">
        <f t="shared" ca="1" si="714"/>
        <v>0</v>
      </c>
      <c r="CP180" s="1081">
        <f t="shared" ca="1" si="726"/>
        <v>0</v>
      </c>
      <c r="DJ180" s="301" t="str">
        <f t="shared" ca="1" si="715"/>
        <v>A</v>
      </c>
      <c r="DK180" s="301" t="str">
        <f t="shared" ca="1" si="715"/>
        <v>A</v>
      </c>
      <c r="DL180" s="301" t="str">
        <f t="shared" ca="1" si="715"/>
        <v>A</v>
      </c>
      <c r="DM180" s="301" t="str">
        <f t="shared" ca="1" si="715"/>
        <v>A</v>
      </c>
      <c r="DN180" s="301" t="str">
        <f t="shared" ca="1" si="715"/>
        <v>A</v>
      </c>
      <c r="DO180" s="301" t="str">
        <f t="shared" ca="1" si="715"/>
        <v>A</v>
      </c>
      <c r="DP180" s="301" t="str">
        <f t="shared" ca="1" si="715"/>
        <v>A</v>
      </c>
      <c r="DQ180" s="301" t="str">
        <f t="shared" ca="1" si="715"/>
        <v>A</v>
      </c>
      <c r="DR180" s="301" t="str">
        <f t="shared" ca="1" si="715"/>
        <v>A</v>
      </c>
      <c r="DS180" s="301" t="str">
        <f t="shared" ca="1" si="715"/>
        <v>A</v>
      </c>
      <c r="DT180" s="301" t="str">
        <f t="shared" ca="1" si="716"/>
        <v>A</v>
      </c>
      <c r="DU180" s="301" t="str">
        <f t="shared" ca="1" si="716"/>
        <v>A</v>
      </c>
      <c r="DV180" s="301" t="str">
        <f t="shared" ca="1" si="716"/>
        <v>A</v>
      </c>
      <c r="DW180" s="301" t="str">
        <f t="shared" ca="1" si="716"/>
        <v>A</v>
      </c>
      <c r="DX180" s="301" t="str">
        <f t="shared" ca="1" si="716"/>
        <v>A</v>
      </c>
      <c r="DY180" s="301" t="str">
        <f t="shared" ca="1" si="716"/>
        <v>A</v>
      </c>
      <c r="DZ180" s="301" t="str">
        <f t="shared" ca="1" si="716"/>
        <v>A</v>
      </c>
      <c r="EA180" s="301" t="str">
        <f t="shared" ca="1" si="716"/>
        <v>A</v>
      </c>
      <c r="EB180" s="301" t="str">
        <f t="shared" ca="1" si="716"/>
        <v>A</v>
      </c>
      <c r="EC180" s="301" t="str">
        <f t="shared" ca="1" si="716"/>
        <v>A</v>
      </c>
      <c r="ED180" s="301" t="str">
        <f t="shared" ca="1" si="716"/>
        <v>A</v>
      </c>
      <c r="EE180" s="301" t="str">
        <f t="shared" ca="1" si="716"/>
        <v>A</v>
      </c>
      <c r="EF180" s="301">
        <f t="shared" si="717"/>
        <v>0</v>
      </c>
      <c r="EG180" s="1426" t="str">
        <f t="shared" ca="1" si="728"/>
        <v>B</v>
      </c>
      <c r="EH180" s="1429" t="str">
        <f t="shared" ca="1" si="718"/>
        <v>B</v>
      </c>
      <c r="EI180" s="1429" t="str">
        <f t="shared" ca="1" si="718"/>
        <v>B</v>
      </c>
      <c r="EJ180" s="1429" t="str">
        <f t="shared" ca="1" si="718"/>
        <v>B</v>
      </c>
      <c r="EK180" s="1429" t="str">
        <f t="shared" ca="1" si="718"/>
        <v>B</v>
      </c>
      <c r="EL180" s="1429" t="str">
        <f t="shared" ca="1" si="718"/>
        <v>B</v>
      </c>
      <c r="EM180" s="1429" t="str">
        <f t="shared" ca="1" si="718"/>
        <v>B</v>
      </c>
      <c r="EN180" s="1429" t="str">
        <f t="shared" ca="1" si="718"/>
        <v>B</v>
      </c>
      <c r="EO180" s="1429" t="str">
        <f t="shared" ca="1" si="718"/>
        <v>B</v>
      </c>
      <c r="EP180" s="1429" t="str">
        <f t="shared" ca="1" si="718"/>
        <v>B</v>
      </c>
      <c r="EQ180" s="1429" t="str">
        <f t="shared" ca="1" si="718"/>
        <v>B</v>
      </c>
      <c r="ER180" s="1429" t="str">
        <f t="shared" ca="1" si="718"/>
        <v>B</v>
      </c>
      <c r="ES180" s="1429" t="str">
        <f t="shared" ca="1" si="718"/>
        <v>B</v>
      </c>
      <c r="ET180" s="1429" t="str">
        <f t="shared" ca="1" si="718"/>
        <v>B</v>
      </c>
      <c r="EU180" s="1429" t="str">
        <f t="shared" ca="1" si="718"/>
        <v>B</v>
      </c>
      <c r="EV180" s="1429" t="str">
        <f t="shared" ca="1" si="718"/>
        <v>B</v>
      </c>
      <c r="EW180" s="1429" t="str">
        <f t="shared" ca="1" si="718"/>
        <v>B</v>
      </c>
      <c r="EX180" s="1429" t="str">
        <f t="shared" ca="1" si="718"/>
        <v>B</v>
      </c>
      <c r="EY180" s="1429" t="str">
        <f t="shared" ca="1" si="718"/>
        <v>B</v>
      </c>
      <c r="EZ180" s="1429" t="str">
        <f t="shared" ca="1" si="718"/>
        <v>B</v>
      </c>
      <c r="FA180" s="1429" t="str">
        <f t="shared" ca="1" si="718"/>
        <v>B</v>
      </c>
      <c r="FB180" s="1429" t="str">
        <f t="shared" ca="1" si="718"/>
        <v>B</v>
      </c>
      <c r="FC180" s="1429" t="str">
        <f t="shared" ca="1" si="718"/>
        <v>B</v>
      </c>
      <c r="FD180" s="1429" t="str">
        <f t="shared" ca="1" si="718"/>
        <v>B</v>
      </c>
      <c r="FE180" s="1429" t="str">
        <f t="shared" ca="1" si="718"/>
        <v>B</v>
      </c>
      <c r="FF180" s="1429" t="str">
        <f t="shared" ca="1" si="718"/>
        <v>B</v>
      </c>
      <c r="FG180" s="1429" t="str">
        <f t="shared" ca="1" si="718"/>
        <v>B</v>
      </c>
      <c r="FH180" s="1429" t="str">
        <f t="shared" ca="1" si="718"/>
        <v>B</v>
      </c>
      <c r="FI180" s="1429" t="str">
        <f t="shared" ca="1" si="718"/>
        <v>B</v>
      </c>
      <c r="FJ180" s="1429" t="str">
        <f t="shared" ca="1" si="718"/>
        <v>B</v>
      </c>
      <c r="FK180" s="1429" t="str">
        <f t="shared" ca="1" si="718"/>
        <v>B</v>
      </c>
      <c r="FL180" s="1429" t="str">
        <f t="shared" ca="1" si="718"/>
        <v>B</v>
      </c>
    </row>
    <row r="181" spans="1:168" x14ac:dyDescent="0.2">
      <c r="A181" s="62" t="str">
        <f t="shared" si="649"/>
        <v>Asdharia</v>
      </c>
      <c r="B181" s="317" t="str">
        <f t="shared" ca="1" si="650"/>
        <v/>
      </c>
      <c r="C181" s="332" t="str">
        <f ca="1">IF(AND(EXACT($F181,""),EXACT($G181,"")),IF(OR(NOT(ISBLANK(D181)),NOT(EXACT(HLOOKUP(RASSEGENE,RASSE,$BN181,FALSE),"")),NOT(EXACT(HLOOKUP(KULTURGENE,KULTUR,$BN181,FALSE),"")),NOT(EXACT(HLOOKUP(PROFGENE,INDIRECT(PROFGEBIET),$BN181,FALSE),"")),
IF(LEN(PROFZWEITE)&lt;1,FALSE,NOT(EXACT(HLOOKUP(Generierung!$D$12,INDIRECT(PROFGEBIET2),$BN181,FALSE),"")))
),"x",""),"")</f>
        <v/>
      </c>
      <c r="D181" s="1110"/>
      <c r="E181" s="325"/>
      <c r="F181" s="388" t="str">
        <f t="shared" ca="1" si="651"/>
        <v/>
      </c>
      <c r="G181" s="388" t="str">
        <f t="shared" ca="1" si="652"/>
        <v/>
      </c>
      <c r="H181" s="389"/>
      <c r="I181" s="1196"/>
      <c r="J181" s="326"/>
      <c r="O181" s="514" t="str">
        <f t="shared" ca="1" si="653"/>
        <v/>
      </c>
      <c r="P181" s="164">
        <f t="shared" ca="1" si="654"/>
        <v>0</v>
      </c>
      <c r="Q181" s="164">
        <f t="shared" ca="1" si="655"/>
        <v>0</v>
      </c>
      <c r="R181" s="164">
        <f t="shared" ca="1" si="656"/>
        <v>0</v>
      </c>
      <c r="S181" s="164">
        <f t="shared" ca="1" si="657"/>
        <v>0</v>
      </c>
      <c r="T181" s="164">
        <f t="shared" ca="1" si="658"/>
        <v>0</v>
      </c>
      <c r="U181" s="164">
        <f t="shared" ca="1" si="659"/>
        <v>0</v>
      </c>
      <c r="V181" s="164">
        <f t="shared" ca="1" si="660"/>
        <v>0</v>
      </c>
      <c r="W181" s="164">
        <f t="shared" ca="1" si="661"/>
        <v>0</v>
      </c>
      <c r="X181" s="164">
        <f t="shared" ca="1" si="662"/>
        <v>0</v>
      </c>
      <c r="Y181" s="164">
        <f t="shared" ca="1" si="663"/>
        <v>0</v>
      </c>
      <c r="Z181" s="164">
        <f t="shared" ca="1" si="664"/>
        <v>0</v>
      </c>
      <c r="AA181" s="164">
        <f t="shared" ca="1" si="665"/>
        <v>0</v>
      </c>
      <c r="AB181" s="164">
        <f t="shared" ca="1" si="666"/>
        <v>0</v>
      </c>
      <c r="AC181" s="164">
        <f t="shared" ca="1" si="667"/>
        <v>0</v>
      </c>
      <c r="AD181" s="164">
        <f t="shared" ca="1" si="668"/>
        <v>0</v>
      </c>
      <c r="AE181" s="164">
        <f t="shared" ca="1" si="669"/>
        <v>0</v>
      </c>
      <c r="AF181" s="164">
        <f t="shared" ca="1" si="670"/>
        <v>0</v>
      </c>
      <c r="AG181" s="164">
        <f t="shared" ca="1" si="671"/>
        <v>0</v>
      </c>
      <c r="AH181" s="164">
        <f t="shared" ca="1" si="672"/>
        <v>0</v>
      </c>
      <c r="AI181" s="164">
        <f t="shared" ca="1" si="673"/>
        <v>0</v>
      </c>
      <c r="AJ181" s="164">
        <f t="shared" ca="1" si="674"/>
        <v>0</v>
      </c>
      <c r="AK181" s="164">
        <f t="shared" ca="1" si="675"/>
        <v>0</v>
      </c>
      <c r="AL181" s="164">
        <f t="shared" si="676"/>
        <v>0</v>
      </c>
      <c r="AM181" s="164">
        <f t="shared" ca="1" si="677"/>
        <v>0</v>
      </c>
      <c r="AN181" s="205"/>
      <c r="AO181" s="154">
        <f t="shared" ca="1" si="678"/>
        <v>0</v>
      </c>
      <c r="AP181" s="154">
        <f t="shared" ca="1" si="679"/>
        <v>0</v>
      </c>
      <c r="AQ181" s="154">
        <f t="shared" ca="1" si="680"/>
        <v>0</v>
      </c>
      <c r="AR181" s="154">
        <f t="shared" ca="1" si="681"/>
        <v>0</v>
      </c>
      <c r="AS181" s="154">
        <f t="shared" ca="1" si="682"/>
        <v>0</v>
      </c>
      <c r="AT181" s="154">
        <f t="shared" ca="1" si="683"/>
        <v>0</v>
      </c>
      <c r="AU181" s="154">
        <f t="shared" ca="1" si="684"/>
        <v>0</v>
      </c>
      <c r="AV181" s="154">
        <f t="shared" ca="1" si="685"/>
        <v>0</v>
      </c>
      <c r="AW181" s="154">
        <f t="shared" ca="1" si="686"/>
        <v>0</v>
      </c>
      <c r="AX181" s="154">
        <f t="shared" ca="1" si="687"/>
        <v>0</v>
      </c>
      <c r="AY181" s="154">
        <f t="shared" ca="1" si="688"/>
        <v>0</v>
      </c>
      <c r="AZ181" s="154">
        <f t="shared" ca="1" si="689"/>
        <v>0</v>
      </c>
      <c r="BA181" s="154">
        <f t="shared" ca="1" si="690"/>
        <v>0</v>
      </c>
      <c r="BB181" s="154">
        <f t="shared" ca="1" si="691"/>
        <v>0</v>
      </c>
      <c r="BC181" s="154">
        <f t="shared" ca="1" si="692"/>
        <v>0</v>
      </c>
      <c r="BD181" s="154">
        <f t="shared" ca="1" si="693"/>
        <v>0</v>
      </c>
      <c r="BE181" s="154">
        <f t="shared" ca="1" si="694"/>
        <v>0</v>
      </c>
      <c r="BF181" s="154">
        <f t="shared" ca="1" si="695"/>
        <v>0</v>
      </c>
      <c r="BG181" s="154">
        <f t="shared" ca="1" si="696"/>
        <v>0</v>
      </c>
      <c r="BH181" s="154">
        <f t="shared" ca="1" si="697"/>
        <v>0</v>
      </c>
      <c r="BI181" s="154">
        <f t="shared" ca="1" si="698"/>
        <v>0</v>
      </c>
      <c r="BJ181" s="154">
        <f t="shared" ca="1" si="699"/>
        <v>0</v>
      </c>
      <c r="BK181" s="154">
        <f t="shared" ca="1" si="700"/>
        <v>0</v>
      </c>
      <c r="BL181" s="154">
        <f t="shared" ca="1" si="701"/>
        <v>0</v>
      </c>
      <c r="BM181" s="154">
        <f t="shared" ca="1" si="702"/>
        <v>0</v>
      </c>
      <c r="BN181" s="1198">
        <f t="shared" si="719"/>
        <v>186</v>
      </c>
      <c r="BO181" s="1197" t="str">
        <f t="shared" si="703"/>
        <v>Asdharia</v>
      </c>
      <c r="BP181" s="1197" t="str">
        <f t="shared" ca="1" si="704"/>
        <v>C</v>
      </c>
      <c r="BQ181" s="1197">
        <f t="shared" si="727"/>
        <v>5</v>
      </c>
      <c r="BR181" s="1198" t="str">
        <f t="shared" ca="1" si="720"/>
        <v/>
      </c>
      <c r="BS181" s="1198" t="s">
        <v>3474</v>
      </c>
      <c r="BT181" s="78"/>
      <c r="BU181" s="78"/>
      <c r="BV181" s="78"/>
      <c r="BW181" s="1197">
        <f t="shared" ca="1" si="721"/>
        <v>0</v>
      </c>
      <c r="BX181" s="1197">
        <f t="shared" ca="1" si="705"/>
        <v>0</v>
      </c>
      <c r="BY181" s="1197">
        <f t="shared" ca="1" si="706"/>
        <v>0</v>
      </c>
      <c r="BZ181" s="1081">
        <f t="shared" ca="1" si="707"/>
        <v>0</v>
      </c>
      <c r="CA181" s="1081">
        <f t="shared" ca="1" si="708"/>
        <v>0</v>
      </c>
      <c r="CB181" s="1081">
        <f t="shared" ca="1" si="709"/>
        <v>66</v>
      </c>
      <c r="CC181" s="1081">
        <f t="shared" ca="1" si="710"/>
        <v>67</v>
      </c>
      <c r="CD181" s="627">
        <v>0</v>
      </c>
      <c r="CE181" s="1081">
        <f t="shared" ca="1" si="711"/>
        <v>1</v>
      </c>
      <c r="CF181" s="1081">
        <f t="shared" ca="1" si="722"/>
        <v>0</v>
      </c>
      <c r="CG181" s="1198" t="str">
        <f t="shared" si="712"/>
        <v>Elfisch-Familie</v>
      </c>
      <c r="CH181" s="1198" t="str">
        <f t="shared" ca="1" si="713"/>
        <v/>
      </c>
      <c r="CI181" s="1198"/>
      <c r="CJ181" s="1198"/>
      <c r="CK181" s="1198" t="str">
        <f t="shared" ca="1" si="723"/>
        <v/>
      </c>
      <c r="CL181" s="1198" t="str">
        <f t="shared" ca="1" si="724"/>
        <v/>
      </c>
      <c r="CM181" s="78"/>
      <c r="CN181" s="1081">
        <f t="shared" ca="1" si="725"/>
        <v>0</v>
      </c>
      <c r="CO181" s="1081">
        <f t="shared" ca="1" si="714"/>
        <v>0</v>
      </c>
      <c r="CP181" s="1081">
        <f t="shared" ca="1" si="726"/>
        <v>0</v>
      </c>
      <c r="DJ181" s="301" t="str">
        <f t="shared" ca="1" si="715"/>
        <v>B</v>
      </c>
      <c r="DK181" s="301" t="str">
        <f t="shared" ca="1" si="715"/>
        <v>B</v>
      </c>
      <c r="DL181" s="301" t="str">
        <f t="shared" ca="1" si="715"/>
        <v>B</v>
      </c>
      <c r="DM181" s="301" t="str">
        <f t="shared" ca="1" si="715"/>
        <v>B</v>
      </c>
      <c r="DN181" s="301" t="str">
        <f t="shared" ca="1" si="715"/>
        <v>B</v>
      </c>
      <c r="DO181" s="301" t="str">
        <f t="shared" ca="1" si="715"/>
        <v>B</v>
      </c>
      <c r="DP181" s="301" t="str">
        <f t="shared" ca="1" si="715"/>
        <v>B</v>
      </c>
      <c r="DQ181" s="301" t="str">
        <f t="shared" ca="1" si="715"/>
        <v>B</v>
      </c>
      <c r="DR181" s="301" t="str">
        <f t="shared" ca="1" si="715"/>
        <v>B</v>
      </c>
      <c r="DS181" s="301" t="str">
        <f t="shared" ca="1" si="715"/>
        <v>B</v>
      </c>
      <c r="DT181" s="301" t="str">
        <f t="shared" ca="1" si="716"/>
        <v>B</v>
      </c>
      <c r="DU181" s="301" t="str">
        <f t="shared" ca="1" si="716"/>
        <v>B</v>
      </c>
      <c r="DV181" s="301" t="str">
        <f t="shared" ca="1" si="716"/>
        <v>B</v>
      </c>
      <c r="DW181" s="301" t="str">
        <f t="shared" ca="1" si="716"/>
        <v>B</v>
      </c>
      <c r="DX181" s="301" t="str">
        <f t="shared" ca="1" si="716"/>
        <v>B</v>
      </c>
      <c r="DY181" s="301" t="str">
        <f t="shared" ca="1" si="716"/>
        <v>B</v>
      </c>
      <c r="DZ181" s="301" t="str">
        <f t="shared" ca="1" si="716"/>
        <v>B</v>
      </c>
      <c r="EA181" s="301" t="str">
        <f t="shared" ca="1" si="716"/>
        <v>B</v>
      </c>
      <c r="EB181" s="301" t="str">
        <f t="shared" ca="1" si="716"/>
        <v>B</v>
      </c>
      <c r="EC181" s="301" t="str">
        <f t="shared" ca="1" si="716"/>
        <v>B</v>
      </c>
      <c r="ED181" s="301" t="str">
        <f t="shared" ca="1" si="716"/>
        <v>B</v>
      </c>
      <c r="EE181" s="301" t="str">
        <f t="shared" ca="1" si="716"/>
        <v>B</v>
      </c>
      <c r="EF181" s="301">
        <f t="shared" si="717"/>
        <v>0</v>
      </c>
      <c r="EG181" s="1426" t="str">
        <f t="shared" ca="1" si="728"/>
        <v>C</v>
      </c>
      <c r="EH181" s="1429" t="str">
        <f t="shared" ca="1" si="718"/>
        <v>C</v>
      </c>
      <c r="EI181" s="1429" t="str">
        <f t="shared" ca="1" si="718"/>
        <v>C</v>
      </c>
      <c r="EJ181" s="1429" t="str">
        <f t="shared" ca="1" si="718"/>
        <v>C</v>
      </c>
      <c r="EK181" s="1429" t="str">
        <f t="shared" ca="1" si="718"/>
        <v>C</v>
      </c>
      <c r="EL181" s="1429" t="str">
        <f t="shared" ca="1" si="718"/>
        <v>C</v>
      </c>
      <c r="EM181" s="1429" t="str">
        <f t="shared" ca="1" si="718"/>
        <v>C</v>
      </c>
      <c r="EN181" s="1429" t="str">
        <f t="shared" ca="1" si="718"/>
        <v>C</v>
      </c>
      <c r="EO181" s="1429" t="str">
        <f t="shared" ca="1" si="718"/>
        <v>C</v>
      </c>
      <c r="EP181" s="1429" t="str">
        <f t="shared" ca="1" si="718"/>
        <v>C</v>
      </c>
      <c r="EQ181" s="1429" t="str">
        <f t="shared" ca="1" si="718"/>
        <v>C</v>
      </c>
      <c r="ER181" s="1429" t="str">
        <f t="shared" ca="1" si="718"/>
        <v>C</v>
      </c>
      <c r="ES181" s="1429" t="str">
        <f t="shared" ca="1" si="718"/>
        <v>C</v>
      </c>
      <c r="ET181" s="1429" t="str">
        <f t="shared" ca="1" si="718"/>
        <v>C</v>
      </c>
      <c r="EU181" s="1429" t="str">
        <f t="shared" ca="1" si="718"/>
        <v>C</v>
      </c>
      <c r="EV181" s="1429" t="str">
        <f t="shared" ca="1" si="718"/>
        <v>C</v>
      </c>
      <c r="EW181" s="1429" t="str">
        <f t="shared" ca="1" si="718"/>
        <v>C</v>
      </c>
      <c r="EX181" s="1429" t="str">
        <f t="shared" ca="1" si="718"/>
        <v>C</v>
      </c>
      <c r="EY181" s="1429" t="str">
        <f t="shared" ca="1" si="718"/>
        <v>C</v>
      </c>
      <c r="EZ181" s="1429" t="str">
        <f t="shared" ca="1" si="718"/>
        <v>C</v>
      </c>
      <c r="FA181" s="1429" t="str">
        <f t="shared" ca="1" si="718"/>
        <v>C</v>
      </c>
      <c r="FB181" s="1429" t="str">
        <f t="shared" ca="1" si="718"/>
        <v>C</v>
      </c>
      <c r="FC181" s="1429" t="str">
        <f t="shared" ca="1" si="718"/>
        <v>C</v>
      </c>
      <c r="FD181" s="1429" t="str">
        <f t="shared" ca="1" si="718"/>
        <v>C</v>
      </c>
      <c r="FE181" s="1429" t="str">
        <f t="shared" ca="1" si="718"/>
        <v>C</v>
      </c>
      <c r="FF181" s="1429" t="str">
        <f t="shared" ca="1" si="718"/>
        <v>C</v>
      </c>
      <c r="FG181" s="1429" t="str">
        <f t="shared" ca="1" si="718"/>
        <v>C</v>
      </c>
      <c r="FH181" s="1429" t="str">
        <f t="shared" ca="1" si="718"/>
        <v>C</v>
      </c>
      <c r="FI181" s="1429" t="str">
        <f t="shared" ca="1" si="718"/>
        <v>C</v>
      </c>
      <c r="FJ181" s="1429" t="str">
        <f t="shared" ca="1" si="718"/>
        <v>C</v>
      </c>
      <c r="FK181" s="1429" t="str">
        <f t="shared" ca="1" si="718"/>
        <v>C</v>
      </c>
      <c r="FL181" s="1429" t="str">
        <f t="shared" ca="1" si="718"/>
        <v>C</v>
      </c>
    </row>
    <row r="182" spans="1:168" x14ac:dyDescent="0.2">
      <c r="A182" s="62" t="str">
        <f t="shared" si="649"/>
        <v>Atak (inkl.  Schrift)</v>
      </c>
      <c r="B182" s="317" t="str">
        <f t="shared" ca="1" si="650"/>
        <v/>
      </c>
      <c r="C182" s="332" t="str">
        <f ca="1">IF(AND(EXACT($F182,""),EXACT($G182,"")),IF(OR(NOT(ISBLANK(D182)),NOT(EXACT(HLOOKUP(RASSEGENE,RASSE,$BN182,FALSE),"")),NOT(EXACT(HLOOKUP(KULTURGENE,KULTUR,$BN182,FALSE),"")),NOT(EXACT(HLOOKUP(PROFGENE,INDIRECT(PROFGEBIET),$BN182,FALSE),"")),
IF(LEN(PROFZWEITE)&lt;1,FALSE,NOT(EXACT(HLOOKUP(Generierung!$D$12,INDIRECT(PROFGEBIET2),$BN182,FALSE),"")))
),"x",""),"")</f>
        <v/>
      </c>
      <c r="D182" s="1110"/>
      <c r="E182" s="325"/>
      <c r="F182" s="388" t="str">
        <f t="shared" ca="1" si="651"/>
        <v/>
      </c>
      <c r="G182" s="388" t="str">
        <f t="shared" ca="1" si="652"/>
        <v/>
      </c>
      <c r="H182" s="389"/>
      <c r="I182" s="1196"/>
      <c r="J182" s="326"/>
      <c r="O182" s="514" t="str">
        <f t="shared" ca="1" si="653"/>
        <v/>
      </c>
      <c r="P182" s="164">
        <f t="shared" ca="1" si="654"/>
        <v>0</v>
      </c>
      <c r="Q182" s="164">
        <f t="shared" ca="1" si="655"/>
        <v>0</v>
      </c>
      <c r="R182" s="164">
        <f t="shared" ca="1" si="656"/>
        <v>0</v>
      </c>
      <c r="S182" s="164">
        <f t="shared" ca="1" si="657"/>
        <v>0</v>
      </c>
      <c r="T182" s="164">
        <f t="shared" ca="1" si="658"/>
        <v>0</v>
      </c>
      <c r="U182" s="164">
        <f t="shared" ca="1" si="659"/>
        <v>0</v>
      </c>
      <c r="V182" s="164">
        <f t="shared" ca="1" si="660"/>
        <v>0</v>
      </c>
      <c r="W182" s="164">
        <f t="shared" ca="1" si="661"/>
        <v>0</v>
      </c>
      <c r="X182" s="164">
        <f t="shared" ca="1" si="662"/>
        <v>0</v>
      </c>
      <c r="Y182" s="164">
        <f t="shared" ca="1" si="663"/>
        <v>0</v>
      </c>
      <c r="Z182" s="164">
        <f t="shared" ca="1" si="664"/>
        <v>0</v>
      </c>
      <c r="AA182" s="164">
        <f t="shared" ca="1" si="665"/>
        <v>0</v>
      </c>
      <c r="AB182" s="164">
        <f t="shared" ca="1" si="666"/>
        <v>0</v>
      </c>
      <c r="AC182" s="164">
        <f t="shared" ca="1" si="667"/>
        <v>0</v>
      </c>
      <c r="AD182" s="164">
        <f t="shared" ca="1" si="668"/>
        <v>0</v>
      </c>
      <c r="AE182" s="164">
        <f t="shared" ca="1" si="669"/>
        <v>0</v>
      </c>
      <c r="AF182" s="164">
        <f t="shared" ca="1" si="670"/>
        <v>0</v>
      </c>
      <c r="AG182" s="164">
        <f t="shared" ca="1" si="671"/>
        <v>0</v>
      </c>
      <c r="AH182" s="164">
        <f t="shared" ca="1" si="672"/>
        <v>0</v>
      </c>
      <c r="AI182" s="164">
        <f t="shared" ca="1" si="673"/>
        <v>0</v>
      </c>
      <c r="AJ182" s="164">
        <f t="shared" ca="1" si="674"/>
        <v>0</v>
      </c>
      <c r="AK182" s="164">
        <f t="shared" ca="1" si="675"/>
        <v>0</v>
      </c>
      <c r="AL182" s="164">
        <f t="shared" si="676"/>
        <v>0</v>
      </c>
      <c r="AM182" s="164">
        <f t="shared" ca="1" si="677"/>
        <v>0</v>
      </c>
      <c r="AN182" s="205"/>
      <c r="AO182" s="154">
        <f t="shared" ca="1" si="678"/>
        <v>0</v>
      </c>
      <c r="AP182" s="154">
        <f t="shared" ca="1" si="679"/>
        <v>0</v>
      </c>
      <c r="AQ182" s="154">
        <f t="shared" ca="1" si="680"/>
        <v>0</v>
      </c>
      <c r="AR182" s="154">
        <f t="shared" ca="1" si="681"/>
        <v>0</v>
      </c>
      <c r="AS182" s="154">
        <f t="shared" ca="1" si="682"/>
        <v>0</v>
      </c>
      <c r="AT182" s="154">
        <f t="shared" ca="1" si="683"/>
        <v>0</v>
      </c>
      <c r="AU182" s="154">
        <f t="shared" ca="1" si="684"/>
        <v>0</v>
      </c>
      <c r="AV182" s="154">
        <f t="shared" ca="1" si="685"/>
        <v>0</v>
      </c>
      <c r="AW182" s="154">
        <f t="shared" ca="1" si="686"/>
        <v>0</v>
      </c>
      <c r="AX182" s="154">
        <f t="shared" ca="1" si="687"/>
        <v>0</v>
      </c>
      <c r="AY182" s="154">
        <f t="shared" ca="1" si="688"/>
        <v>0</v>
      </c>
      <c r="AZ182" s="154">
        <f t="shared" ca="1" si="689"/>
        <v>0</v>
      </c>
      <c r="BA182" s="154">
        <f t="shared" ca="1" si="690"/>
        <v>0</v>
      </c>
      <c r="BB182" s="154">
        <f t="shared" ca="1" si="691"/>
        <v>0</v>
      </c>
      <c r="BC182" s="154">
        <f t="shared" ca="1" si="692"/>
        <v>0</v>
      </c>
      <c r="BD182" s="154">
        <f t="shared" ca="1" si="693"/>
        <v>0</v>
      </c>
      <c r="BE182" s="154">
        <f t="shared" ca="1" si="694"/>
        <v>0</v>
      </c>
      <c r="BF182" s="154">
        <f t="shared" ca="1" si="695"/>
        <v>0</v>
      </c>
      <c r="BG182" s="154">
        <f t="shared" ca="1" si="696"/>
        <v>0</v>
      </c>
      <c r="BH182" s="154">
        <f t="shared" ca="1" si="697"/>
        <v>0</v>
      </c>
      <c r="BI182" s="154">
        <f t="shared" ca="1" si="698"/>
        <v>0</v>
      </c>
      <c r="BJ182" s="154">
        <f t="shared" ca="1" si="699"/>
        <v>0</v>
      </c>
      <c r="BK182" s="154">
        <f t="shared" ca="1" si="700"/>
        <v>0</v>
      </c>
      <c r="BL182" s="154">
        <f t="shared" ca="1" si="701"/>
        <v>0</v>
      </c>
      <c r="BM182" s="154">
        <f t="shared" ca="1" si="702"/>
        <v>0</v>
      </c>
      <c r="BN182" s="1198">
        <f t="shared" si="719"/>
        <v>187</v>
      </c>
      <c r="BO182" s="1197" t="str">
        <f t="shared" si="703"/>
        <v>Atak (inkl.  Schrift)</v>
      </c>
      <c r="BP182" s="1197" t="str">
        <f t="shared" ca="1" si="704"/>
        <v>A</v>
      </c>
      <c r="BQ182" s="1197">
        <f t="shared" si="727"/>
        <v>6</v>
      </c>
      <c r="BR182" s="1198" t="str">
        <f t="shared" ca="1" si="720"/>
        <v/>
      </c>
      <c r="BS182" s="1198" t="s">
        <v>3881</v>
      </c>
      <c r="BT182" s="78"/>
      <c r="BU182" s="78"/>
      <c r="BV182" s="78"/>
      <c r="BW182" s="1197">
        <f t="shared" ca="1" si="721"/>
        <v>0</v>
      </c>
      <c r="BX182" s="1197">
        <f t="shared" ca="1" si="705"/>
        <v>0</v>
      </c>
      <c r="BY182" s="1197">
        <f t="shared" ca="1" si="706"/>
        <v>0</v>
      </c>
      <c r="BZ182" s="1081">
        <f t="shared" ca="1" si="707"/>
        <v>0</v>
      </c>
      <c r="CA182" s="1081">
        <f t="shared" ca="1" si="708"/>
        <v>0</v>
      </c>
      <c r="CB182" s="1081">
        <f t="shared" ca="1" si="709"/>
        <v>65</v>
      </c>
      <c r="CC182" s="1081">
        <f t="shared" ca="1" si="710"/>
        <v>65</v>
      </c>
      <c r="CD182" s="1081">
        <f t="shared" ref="CD182:CD198" si="729">IF(RIGHT(D182)="L",0,
IF(NT_ELFWELT,1,0))</f>
        <v>0</v>
      </c>
      <c r="CE182" s="627">
        <v>0</v>
      </c>
      <c r="CF182" s="1081">
        <f t="shared" ca="1" si="722"/>
        <v>0</v>
      </c>
      <c r="CG182" s="1198" t="str">
        <f t="shared" si="712"/>
        <v>Atak</v>
      </c>
      <c r="CH182" s="1198" t="str">
        <f t="shared" ca="1" si="713"/>
        <v/>
      </c>
      <c r="CI182" s="1198"/>
      <c r="CJ182" s="1198"/>
      <c r="CK182" s="1198" t="str">
        <f t="shared" ca="1" si="723"/>
        <v/>
      </c>
      <c r="CL182" s="1198" t="str">
        <f t="shared" ca="1" si="724"/>
        <v/>
      </c>
      <c r="CM182" s="78"/>
      <c r="CN182" s="1081">
        <f t="shared" ca="1" si="725"/>
        <v>0</v>
      </c>
      <c r="CO182" s="1081">
        <f t="shared" ca="1" si="714"/>
        <v>0</v>
      </c>
      <c r="CP182" s="1081">
        <f t="shared" ca="1" si="726"/>
        <v>0</v>
      </c>
      <c r="DJ182" s="301" t="str">
        <f t="shared" ca="1" si="715"/>
        <v>A</v>
      </c>
      <c r="DK182" s="301" t="str">
        <f t="shared" ca="1" si="715"/>
        <v>A</v>
      </c>
      <c r="DL182" s="301" t="str">
        <f t="shared" ca="1" si="715"/>
        <v>A</v>
      </c>
      <c r="DM182" s="301" t="str">
        <f t="shared" ca="1" si="715"/>
        <v>A</v>
      </c>
      <c r="DN182" s="301" t="str">
        <f t="shared" ca="1" si="715"/>
        <v>A</v>
      </c>
      <c r="DO182" s="301" t="str">
        <f t="shared" ca="1" si="715"/>
        <v>A</v>
      </c>
      <c r="DP182" s="301" t="str">
        <f t="shared" ca="1" si="715"/>
        <v>A</v>
      </c>
      <c r="DQ182" s="301" t="str">
        <f t="shared" ca="1" si="715"/>
        <v>A</v>
      </c>
      <c r="DR182" s="301" t="str">
        <f t="shared" ca="1" si="715"/>
        <v>A</v>
      </c>
      <c r="DS182" s="301" t="str">
        <f t="shared" ca="1" si="715"/>
        <v>A</v>
      </c>
      <c r="DT182" s="301" t="str">
        <f t="shared" ca="1" si="716"/>
        <v>A</v>
      </c>
      <c r="DU182" s="301" t="str">
        <f t="shared" ca="1" si="716"/>
        <v>A</v>
      </c>
      <c r="DV182" s="301" t="str">
        <f t="shared" ca="1" si="716"/>
        <v>A</v>
      </c>
      <c r="DW182" s="301" t="str">
        <f t="shared" ca="1" si="716"/>
        <v>A</v>
      </c>
      <c r="DX182" s="301" t="str">
        <f t="shared" ca="1" si="716"/>
        <v>A</v>
      </c>
      <c r="DY182" s="301" t="str">
        <f t="shared" ca="1" si="716"/>
        <v>A</v>
      </c>
      <c r="DZ182" s="301" t="str">
        <f t="shared" ca="1" si="716"/>
        <v>A</v>
      </c>
      <c r="EA182" s="301" t="str">
        <f t="shared" ca="1" si="716"/>
        <v>A</v>
      </c>
      <c r="EB182" s="301" t="str">
        <f t="shared" ca="1" si="716"/>
        <v>A</v>
      </c>
      <c r="EC182" s="301" t="str">
        <f t="shared" ca="1" si="716"/>
        <v>A</v>
      </c>
      <c r="ED182" s="301" t="str">
        <f t="shared" ca="1" si="716"/>
        <v>A</v>
      </c>
      <c r="EE182" s="301" t="str">
        <f t="shared" ca="1" si="716"/>
        <v>A</v>
      </c>
      <c r="EF182" s="301">
        <f t="shared" si="717"/>
        <v>0</v>
      </c>
      <c r="EG182" s="1426" t="str">
        <f t="shared" ca="1" si="728"/>
        <v>A</v>
      </c>
      <c r="EH182" s="1429" t="str">
        <f t="shared" ca="1" si="718"/>
        <v>A</v>
      </c>
      <c r="EI182" s="1429" t="str">
        <f t="shared" ca="1" si="718"/>
        <v>A</v>
      </c>
      <c r="EJ182" s="1429" t="str">
        <f t="shared" ca="1" si="718"/>
        <v>A</v>
      </c>
      <c r="EK182" s="1429" t="str">
        <f t="shared" ca="1" si="718"/>
        <v>A</v>
      </c>
      <c r="EL182" s="1429" t="str">
        <f t="shared" ca="1" si="718"/>
        <v>A</v>
      </c>
      <c r="EM182" s="1429" t="str">
        <f t="shared" ca="1" si="718"/>
        <v>A</v>
      </c>
      <c r="EN182" s="1429" t="str">
        <f t="shared" ca="1" si="718"/>
        <v>A</v>
      </c>
      <c r="EO182" s="1429" t="str">
        <f t="shared" ca="1" si="718"/>
        <v>A</v>
      </c>
      <c r="EP182" s="1429" t="str">
        <f t="shared" ca="1" si="718"/>
        <v>A</v>
      </c>
      <c r="EQ182" s="1429" t="str">
        <f t="shared" ca="1" si="718"/>
        <v>A</v>
      </c>
      <c r="ER182" s="1429" t="str">
        <f t="shared" ca="1" si="718"/>
        <v>A</v>
      </c>
      <c r="ES182" s="1429" t="str">
        <f t="shared" ca="1" si="718"/>
        <v>A</v>
      </c>
      <c r="ET182" s="1429" t="str">
        <f t="shared" ca="1" si="718"/>
        <v>A</v>
      </c>
      <c r="EU182" s="1429" t="str">
        <f t="shared" ca="1" si="718"/>
        <v>A</v>
      </c>
      <c r="EV182" s="1429" t="str">
        <f t="shared" ca="1" si="718"/>
        <v>A</v>
      </c>
      <c r="EW182" s="1429" t="str">
        <f t="shared" ca="1" si="718"/>
        <v>A</v>
      </c>
      <c r="EX182" s="1429" t="str">
        <f t="shared" ca="1" si="718"/>
        <v>A</v>
      </c>
      <c r="EY182" s="1429" t="str">
        <f t="shared" ca="1" si="718"/>
        <v>A</v>
      </c>
      <c r="EZ182" s="1429" t="str">
        <f t="shared" ca="1" si="718"/>
        <v>A</v>
      </c>
      <c r="FA182" s="1429" t="str">
        <f t="shared" ca="1" si="718"/>
        <v>A</v>
      </c>
      <c r="FB182" s="1429" t="str">
        <f t="shared" ca="1" si="718"/>
        <v>A</v>
      </c>
      <c r="FC182" s="1429" t="str">
        <f t="shared" ca="1" si="718"/>
        <v>A</v>
      </c>
      <c r="FD182" s="1429" t="str">
        <f t="shared" ca="1" si="718"/>
        <v>A</v>
      </c>
      <c r="FE182" s="1429" t="str">
        <f t="shared" ca="1" si="718"/>
        <v>A</v>
      </c>
      <c r="FF182" s="1429" t="str">
        <f t="shared" ca="1" si="718"/>
        <v>A</v>
      </c>
      <c r="FG182" s="1429" t="str">
        <f t="shared" ca="1" si="718"/>
        <v>A</v>
      </c>
      <c r="FH182" s="1429" t="str">
        <f t="shared" ca="1" si="718"/>
        <v>A</v>
      </c>
      <c r="FI182" s="1429" t="str">
        <f t="shared" ca="1" si="718"/>
        <v>A</v>
      </c>
      <c r="FJ182" s="1429" t="str">
        <f t="shared" ca="1" si="718"/>
        <v>A</v>
      </c>
      <c r="FK182" s="1429" t="str">
        <f t="shared" ca="1" si="718"/>
        <v>A</v>
      </c>
      <c r="FL182" s="1429" t="str">
        <f t="shared" ca="1" si="718"/>
        <v>A</v>
      </c>
    </row>
    <row r="183" spans="1:168" x14ac:dyDescent="0.2">
      <c r="A183" s="62" t="str">
        <f t="shared" si="649"/>
        <v>Aureliani ('Altgüldenländisch')</v>
      </c>
      <c r="B183" s="317" t="str">
        <f t="shared" ca="1" si="650"/>
        <v/>
      </c>
      <c r="C183" s="332" t="str">
        <f ca="1">IF(AND(EXACT($F183,""),EXACT($G183,"")),IF(OR(NOT(ISBLANK(D183)),NOT(EXACT(HLOOKUP(RASSEGENE,RASSE,$BN183,FALSE),"")),NOT(EXACT(HLOOKUP(KULTURGENE,KULTUR,$BN183,FALSE),"")),NOT(EXACT(HLOOKUP(PROFGENE,INDIRECT(PROFGEBIET),$BN183,FALSE),"")),
IF(LEN(PROFZWEITE)&lt;1,FALSE,NOT(EXACT(HLOOKUP(Generierung!$D$12,INDIRECT(PROFGEBIET2),$BN183,FALSE),"")))
),"x",""),"")</f>
        <v/>
      </c>
      <c r="D183" s="1110"/>
      <c r="E183" s="325"/>
      <c r="F183" s="388" t="str">
        <f t="shared" ca="1" si="651"/>
        <v/>
      </c>
      <c r="G183" s="388" t="str">
        <f t="shared" ca="1" si="652"/>
        <v/>
      </c>
      <c r="H183" s="389"/>
      <c r="I183" s="1196"/>
      <c r="J183" s="326"/>
      <c r="O183" s="514" t="str">
        <f t="shared" ca="1" si="653"/>
        <v/>
      </c>
      <c r="P183" s="164">
        <f t="shared" ca="1" si="654"/>
        <v>0</v>
      </c>
      <c r="Q183" s="164">
        <f t="shared" ca="1" si="655"/>
        <v>0</v>
      </c>
      <c r="R183" s="164">
        <f t="shared" ca="1" si="656"/>
        <v>0</v>
      </c>
      <c r="S183" s="164">
        <f t="shared" ca="1" si="657"/>
        <v>0</v>
      </c>
      <c r="T183" s="164">
        <f t="shared" ca="1" si="658"/>
        <v>0</v>
      </c>
      <c r="U183" s="164">
        <f t="shared" ca="1" si="659"/>
        <v>0</v>
      </c>
      <c r="V183" s="164">
        <f t="shared" ca="1" si="660"/>
        <v>0</v>
      </c>
      <c r="W183" s="164">
        <f t="shared" ca="1" si="661"/>
        <v>0</v>
      </c>
      <c r="X183" s="164">
        <f t="shared" ca="1" si="662"/>
        <v>0</v>
      </c>
      <c r="Y183" s="164">
        <f t="shared" ca="1" si="663"/>
        <v>0</v>
      </c>
      <c r="Z183" s="164">
        <f t="shared" ca="1" si="664"/>
        <v>0</v>
      </c>
      <c r="AA183" s="164">
        <f t="shared" ca="1" si="665"/>
        <v>0</v>
      </c>
      <c r="AB183" s="164">
        <f t="shared" ca="1" si="666"/>
        <v>0</v>
      </c>
      <c r="AC183" s="164">
        <f t="shared" ca="1" si="667"/>
        <v>0</v>
      </c>
      <c r="AD183" s="164">
        <f t="shared" ca="1" si="668"/>
        <v>0</v>
      </c>
      <c r="AE183" s="164">
        <f t="shared" ca="1" si="669"/>
        <v>0</v>
      </c>
      <c r="AF183" s="164">
        <f t="shared" ca="1" si="670"/>
        <v>0</v>
      </c>
      <c r="AG183" s="164">
        <f t="shared" ca="1" si="671"/>
        <v>0</v>
      </c>
      <c r="AH183" s="164">
        <f t="shared" ca="1" si="672"/>
        <v>0</v>
      </c>
      <c r="AI183" s="164">
        <f t="shared" ca="1" si="673"/>
        <v>0</v>
      </c>
      <c r="AJ183" s="164">
        <f t="shared" ca="1" si="674"/>
        <v>0</v>
      </c>
      <c r="AK183" s="164">
        <f t="shared" ca="1" si="675"/>
        <v>0</v>
      </c>
      <c r="AL183" s="164">
        <f t="shared" si="676"/>
        <v>0</v>
      </c>
      <c r="AM183" s="164">
        <f t="shared" ca="1" si="677"/>
        <v>0</v>
      </c>
      <c r="AN183" s="205"/>
      <c r="AO183" s="154">
        <f t="shared" ca="1" si="678"/>
        <v>0</v>
      </c>
      <c r="AP183" s="154">
        <f t="shared" ca="1" si="679"/>
        <v>0</v>
      </c>
      <c r="AQ183" s="154">
        <f t="shared" ca="1" si="680"/>
        <v>0</v>
      </c>
      <c r="AR183" s="154">
        <f t="shared" ca="1" si="681"/>
        <v>0</v>
      </c>
      <c r="AS183" s="154">
        <f t="shared" ca="1" si="682"/>
        <v>0</v>
      </c>
      <c r="AT183" s="154">
        <f t="shared" ca="1" si="683"/>
        <v>0</v>
      </c>
      <c r="AU183" s="154">
        <f t="shared" ca="1" si="684"/>
        <v>0</v>
      </c>
      <c r="AV183" s="154">
        <f t="shared" ca="1" si="685"/>
        <v>0</v>
      </c>
      <c r="AW183" s="154">
        <f t="shared" ca="1" si="686"/>
        <v>0</v>
      </c>
      <c r="AX183" s="154">
        <f t="shared" ca="1" si="687"/>
        <v>0</v>
      </c>
      <c r="AY183" s="154">
        <f t="shared" ca="1" si="688"/>
        <v>0</v>
      </c>
      <c r="AZ183" s="154">
        <f t="shared" ca="1" si="689"/>
        <v>0</v>
      </c>
      <c r="BA183" s="154">
        <f t="shared" ca="1" si="690"/>
        <v>0</v>
      </c>
      <c r="BB183" s="154">
        <f t="shared" ca="1" si="691"/>
        <v>0</v>
      </c>
      <c r="BC183" s="154">
        <f t="shared" ca="1" si="692"/>
        <v>0</v>
      </c>
      <c r="BD183" s="154">
        <f t="shared" ca="1" si="693"/>
        <v>0</v>
      </c>
      <c r="BE183" s="154">
        <f t="shared" ca="1" si="694"/>
        <v>0</v>
      </c>
      <c r="BF183" s="154">
        <f t="shared" ca="1" si="695"/>
        <v>0</v>
      </c>
      <c r="BG183" s="154">
        <f t="shared" ca="1" si="696"/>
        <v>0</v>
      </c>
      <c r="BH183" s="154">
        <f t="shared" ca="1" si="697"/>
        <v>0</v>
      </c>
      <c r="BI183" s="154">
        <f t="shared" ca="1" si="698"/>
        <v>0</v>
      </c>
      <c r="BJ183" s="154">
        <f t="shared" ca="1" si="699"/>
        <v>0</v>
      </c>
      <c r="BK183" s="154">
        <f t="shared" ca="1" si="700"/>
        <v>0</v>
      </c>
      <c r="BL183" s="154">
        <f t="shared" ca="1" si="701"/>
        <v>0</v>
      </c>
      <c r="BM183" s="154">
        <f t="shared" ca="1" si="702"/>
        <v>0</v>
      </c>
      <c r="BN183" s="1198">
        <f t="shared" si="719"/>
        <v>188</v>
      </c>
      <c r="BO183" s="1197" t="str">
        <f t="shared" si="703"/>
        <v>Aureliani ('Altgüldenländisch')</v>
      </c>
      <c r="BP183" s="1197" t="str">
        <f t="shared" ca="1" si="704"/>
        <v>B</v>
      </c>
      <c r="BQ183" s="1197">
        <f t="shared" si="727"/>
        <v>7</v>
      </c>
      <c r="BR183" s="1198" t="str">
        <f t="shared" ca="1" si="720"/>
        <v/>
      </c>
      <c r="BS183" s="1198" t="s">
        <v>3876</v>
      </c>
      <c r="BT183" s="78"/>
      <c r="BU183" s="78"/>
      <c r="BV183" s="78"/>
      <c r="BW183" s="1197">
        <f t="shared" ca="1" si="721"/>
        <v>0</v>
      </c>
      <c r="BX183" s="1197">
        <f t="shared" ca="1" si="705"/>
        <v>0</v>
      </c>
      <c r="BY183" s="1197">
        <f t="shared" ca="1" si="706"/>
        <v>0</v>
      </c>
      <c r="BZ183" s="1081">
        <f t="shared" ca="1" si="707"/>
        <v>0</v>
      </c>
      <c r="CA183" s="1081">
        <f t="shared" ca="1" si="708"/>
        <v>0</v>
      </c>
      <c r="CB183" s="1081">
        <f t="shared" ca="1" si="709"/>
        <v>65</v>
      </c>
      <c r="CC183" s="1081">
        <f t="shared" ca="1" si="710"/>
        <v>66</v>
      </c>
      <c r="CD183" s="1081">
        <f t="shared" si="729"/>
        <v>0</v>
      </c>
      <c r="CE183" s="1081">
        <f t="shared" ca="1" si="711"/>
        <v>1</v>
      </c>
      <c r="CF183" s="1081">
        <f t="shared" ca="1" si="722"/>
        <v>0</v>
      </c>
      <c r="CG183" s="1198" t="str">
        <f t="shared" si="712"/>
        <v>Garethi-Familie</v>
      </c>
      <c r="CH183" s="1198" t="str">
        <f t="shared" ca="1" si="713"/>
        <v/>
      </c>
      <c r="CI183" s="1198"/>
      <c r="CJ183" s="1198"/>
      <c r="CK183" s="1198" t="str">
        <f t="shared" ca="1" si="723"/>
        <v/>
      </c>
      <c r="CL183" s="1198" t="str">
        <f t="shared" ca="1" si="724"/>
        <v/>
      </c>
      <c r="CM183" s="78"/>
      <c r="CN183" s="1081">
        <f t="shared" ca="1" si="725"/>
        <v>0</v>
      </c>
      <c r="CO183" s="1081">
        <f t="shared" ca="1" si="714"/>
        <v>0</v>
      </c>
      <c r="CP183" s="1081">
        <f t="shared" ca="1" si="726"/>
        <v>0</v>
      </c>
      <c r="DJ183" s="301" t="str">
        <f t="shared" ca="1" si="715"/>
        <v>A</v>
      </c>
      <c r="DK183" s="301" t="str">
        <f t="shared" ca="1" si="715"/>
        <v>A</v>
      </c>
      <c r="DL183" s="301" t="str">
        <f t="shared" ca="1" si="715"/>
        <v>A</v>
      </c>
      <c r="DM183" s="301" t="str">
        <f t="shared" ca="1" si="715"/>
        <v>A</v>
      </c>
      <c r="DN183" s="301" t="str">
        <f t="shared" ca="1" si="715"/>
        <v>A</v>
      </c>
      <c r="DO183" s="301" t="str">
        <f t="shared" ca="1" si="715"/>
        <v>A</v>
      </c>
      <c r="DP183" s="301" t="str">
        <f t="shared" ca="1" si="715"/>
        <v>A</v>
      </c>
      <c r="DQ183" s="301" t="str">
        <f t="shared" ca="1" si="715"/>
        <v>A</v>
      </c>
      <c r="DR183" s="301" t="str">
        <f t="shared" ca="1" si="715"/>
        <v>A</v>
      </c>
      <c r="DS183" s="301" t="str">
        <f t="shared" ca="1" si="715"/>
        <v>A</v>
      </c>
      <c r="DT183" s="301" t="str">
        <f t="shared" ca="1" si="716"/>
        <v>A</v>
      </c>
      <c r="DU183" s="301" t="str">
        <f t="shared" ca="1" si="716"/>
        <v>A</v>
      </c>
      <c r="DV183" s="301" t="str">
        <f t="shared" ca="1" si="716"/>
        <v>A</v>
      </c>
      <c r="DW183" s="301" t="str">
        <f t="shared" ca="1" si="716"/>
        <v>A</v>
      </c>
      <c r="DX183" s="301" t="str">
        <f t="shared" ca="1" si="716"/>
        <v>A</v>
      </c>
      <c r="DY183" s="301" t="str">
        <f t="shared" ca="1" si="716"/>
        <v>A</v>
      </c>
      <c r="DZ183" s="301" t="str">
        <f t="shared" ca="1" si="716"/>
        <v>A</v>
      </c>
      <c r="EA183" s="301" t="str">
        <f t="shared" ca="1" si="716"/>
        <v>A</v>
      </c>
      <c r="EB183" s="301" t="str">
        <f t="shared" ca="1" si="716"/>
        <v>A</v>
      </c>
      <c r="EC183" s="301" t="str">
        <f t="shared" ca="1" si="716"/>
        <v>A</v>
      </c>
      <c r="ED183" s="301" t="str">
        <f t="shared" ca="1" si="716"/>
        <v>A</v>
      </c>
      <c r="EE183" s="301" t="str">
        <f t="shared" ca="1" si="716"/>
        <v>A</v>
      </c>
      <c r="EF183" s="301">
        <f t="shared" si="717"/>
        <v>0</v>
      </c>
      <c r="EG183" s="1426" t="str">
        <f t="shared" ca="1" si="728"/>
        <v>B</v>
      </c>
      <c r="EH183" s="1429" t="str">
        <f t="shared" ca="1" si="718"/>
        <v>B</v>
      </c>
      <c r="EI183" s="1429" t="str">
        <f t="shared" ca="1" si="718"/>
        <v>B</v>
      </c>
      <c r="EJ183" s="1429" t="str">
        <f t="shared" ca="1" si="718"/>
        <v>B</v>
      </c>
      <c r="EK183" s="1429" t="str">
        <f t="shared" ca="1" si="718"/>
        <v>B</v>
      </c>
      <c r="EL183" s="1429" t="str">
        <f t="shared" ca="1" si="718"/>
        <v>B</v>
      </c>
      <c r="EM183" s="1429" t="str">
        <f t="shared" ca="1" si="718"/>
        <v>B</v>
      </c>
      <c r="EN183" s="1429" t="str">
        <f t="shared" ca="1" si="718"/>
        <v>B</v>
      </c>
      <c r="EO183" s="1429" t="str">
        <f t="shared" ca="1" si="718"/>
        <v>B</v>
      </c>
      <c r="EP183" s="1429" t="str">
        <f t="shared" ca="1" si="718"/>
        <v>B</v>
      </c>
      <c r="EQ183" s="1429" t="str">
        <f t="shared" ca="1" si="718"/>
        <v>B</v>
      </c>
      <c r="ER183" s="1429" t="str">
        <f t="shared" ca="1" si="718"/>
        <v>B</v>
      </c>
      <c r="ES183" s="1429" t="str">
        <f t="shared" ca="1" si="718"/>
        <v>B</v>
      </c>
      <c r="ET183" s="1429" t="str">
        <f t="shared" ca="1" si="718"/>
        <v>B</v>
      </c>
      <c r="EU183" s="1429" t="str">
        <f t="shared" ca="1" si="718"/>
        <v>B</v>
      </c>
      <c r="EV183" s="1429" t="str">
        <f t="shared" ca="1" si="718"/>
        <v>B</v>
      </c>
      <c r="EW183" s="1429" t="str">
        <f t="shared" ca="1" si="718"/>
        <v>B</v>
      </c>
      <c r="EX183" s="1429" t="str">
        <f t="shared" ca="1" si="718"/>
        <v>B</v>
      </c>
      <c r="EY183" s="1429" t="str">
        <f t="shared" ca="1" si="718"/>
        <v>B</v>
      </c>
      <c r="EZ183" s="1429" t="str">
        <f t="shared" ca="1" si="718"/>
        <v>B</v>
      </c>
      <c r="FA183" s="1429" t="str">
        <f t="shared" ca="1" si="718"/>
        <v>B</v>
      </c>
      <c r="FB183" s="1429" t="str">
        <f t="shared" ca="1" si="718"/>
        <v>B</v>
      </c>
      <c r="FC183" s="1429" t="str">
        <f t="shared" ca="1" si="718"/>
        <v>B</v>
      </c>
      <c r="FD183" s="1429" t="str">
        <f t="shared" ca="1" si="718"/>
        <v>B</v>
      </c>
      <c r="FE183" s="1429" t="str">
        <f t="shared" ca="1" si="718"/>
        <v>B</v>
      </c>
      <c r="FF183" s="1429" t="str">
        <f t="shared" ca="1" si="718"/>
        <v>B</v>
      </c>
      <c r="FG183" s="1429" t="str">
        <f t="shared" ca="1" si="718"/>
        <v>B</v>
      </c>
      <c r="FH183" s="1429" t="str">
        <f t="shared" ca="1" si="718"/>
        <v>B</v>
      </c>
      <c r="FI183" s="1429" t="str">
        <f t="shared" ca="1" si="718"/>
        <v>B</v>
      </c>
      <c r="FJ183" s="1429" t="str">
        <f t="shared" ca="1" si="718"/>
        <v>B</v>
      </c>
      <c r="FK183" s="1429" t="str">
        <f t="shared" ca="1" si="718"/>
        <v>B</v>
      </c>
      <c r="FL183" s="1429" t="str">
        <f t="shared" ca="1" si="718"/>
        <v>B</v>
      </c>
    </row>
    <row r="184" spans="1:168" x14ac:dyDescent="0.2">
      <c r="A184" s="62" t="str">
        <f t="shared" si="649"/>
        <v>Bornländisch  (Dialekt)</v>
      </c>
      <c r="B184" s="317" t="str">
        <f t="shared" ca="1" si="650"/>
        <v/>
      </c>
      <c r="C184" s="332" t="str">
        <f ca="1">IF(AND(EXACT($F184,""),EXACT($G184,"")),IF(OR(NOT(ISBLANK(D184)),NOT(EXACT(HLOOKUP(RASSEGENE,RASSE,$BN184,FALSE),"")),NOT(EXACT(HLOOKUP(KULTURGENE,KULTUR,$BN184,FALSE),"")),NOT(EXACT(HLOOKUP(PROFGENE,INDIRECT(PROFGEBIET),$BN184,FALSE),"")),
IF(LEN(PROFZWEITE)&lt;1,FALSE,NOT(EXACT(HLOOKUP(Generierung!$D$12,INDIRECT(PROFGEBIET2),$BN184,FALSE),"")))
),"x",""),"")</f>
        <v/>
      </c>
      <c r="D184" s="1110"/>
      <c r="E184" s="325"/>
      <c r="F184" s="388" t="str">
        <f t="shared" ca="1" si="651"/>
        <v/>
      </c>
      <c r="G184" s="388" t="str">
        <f t="shared" ca="1" si="652"/>
        <v/>
      </c>
      <c r="H184" s="389"/>
      <c r="I184" s="1196"/>
      <c r="J184" s="326"/>
      <c r="O184" s="514" t="str">
        <f t="shared" ca="1" si="653"/>
        <v/>
      </c>
      <c r="P184" s="164">
        <f t="shared" ca="1" si="654"/>
        <v>0</v>
      </c>
      <c r="Q184" s="164">
        <f t="shared" ca="1" si="655"/>
        <v>0</v>
      </c>
      <c r="R184" s="164">
        <f t="shared" ca="1" si="656"/>
        <v>0</v>
      </c>
      <c r="S184" s="164">
        <f t="shared" ca="1" si="657"/>
        <v>0</v>
      </c>
      <c r="T184" s="164">
        <f t="shared" ca="1" si="658"/>
        <v>0</v>
      </c>
      <c r="U184" s="164">
        <f t="shared" ca="1" si="659"/>
        <v>0</v>
      </c>
      <c r="V184" s="164">
        <f t="shared" ca="1" si="660"/>
        <v>0</v>
      </c>
      <c r="W184" s="164">
        <f t="shared" ca="1" si="661"/>
        <v>0</v>
      </c>
      <c r="X184" s="164">
        <f t="shared" ca="1" si="662"/>
        <v>0</v>
      </c>
      <c r="Y184" s="164">
        <f t="shared" ca="1" si="663"/>
        <v>0</v>
      </c>
      <c r="Z184" s="164">
        <f t="shared" ca="1" si="664"/>
        <v>0</v>
      </c>
      <c r="AA184" s="164">
        <f t="shared" ca="1" si="665"/>
        <v>0</v>
      </c>
      <c r="AB184" s="164">
        <f t="shared" ca="1" si="666"/>
        <v>0</v>
      </c>
      <c r="AC184" s="164">
        <f t="shared" ca="1" si="667"/>
        <v>0</v>
      </c>
      <c r="AD184" s="164">
        <f t="shared" ca="1" si="668"/>
        <v>0</v>
      </c>
      <c r="AE184" s="164">
        <f t="shared" ca="1" si="669"/>
        <v>0</v>
      </c>
      <c r="AF184" s="164">
        <f t="shared" ca="1" si="670"/>
        <v>0</v>
      </c>
      <c r="AG184" s="164">
        <f t="shared" ca="1" si="671"/>
        <v>0</v>
      </c>
      <c r="AH184" s="164">
        <f t="shared" ca="1" si="672"/>
        <v>0</v>
      </c>
      <c r="AI184" s="164">
        <f t="shared" ca="1" si="673"/>
        <v>0</v>
      </c>
      <c r="AJ184" s="164">
        <f t="shared" ca="1" si="674"/>
        <v>0</v>
      </c>
      <c r="AK184" s="164">
        <f t="shared" ca="1" si="675"/>
        <v>0</v>
      </c>
      <c r="AL184" s="164">
        <f t="shared" si="676"/>
        <v>0</v>
      </c>
      <c r="AM184" s="164">
        <f t="shared" ca="1" si="677"/>
        <v>0</v>
      </c>
      <c r="AN184" s="205"/>
      <c r="AO184" s="154">
        <f t="shared" ca="1" si="678"/>
        <v>0</v>
      </c>
      <c r="AP184" s="154">
        <f t="shared" ca="1" si="679"/>
        <v>0</v>
      </c>
      <c r="AQ184" s="154">
        <f t="shared" ca="1" si="680"/>
        <v>0</v>
      </c>
      <c r="AR184" s="154">
        <f t="shared" ca="1" si="681"/>
        <v>0</v>
      </c>
      <c r="AS184" s="154">
        <f t="shared" ca="1" si="682"/>
        <v>0</v>
      </c>
      <c r="AT184" s="154">
        <f t="shared" ca="1" si="683"/>
        <v>0</v>
      </c>
      <c r="AU184" s="154">
        <f t="shared" ca="1" si="684"/>
        <v>0</v>
      </c>
      <c r="AV184" s="154">
        <f t="shared" ca="1" si="685"/>
        <v>0</v>
      </c>
      <c r="AW184" s="154">
        <f t="shared" ca="1" si="686"/>
        <v>0</v>
      </c>
      <c r="AX184" s="154">
        <f t="shared" ca="1" si="687"/>
        <v>0</v>
      </c>
      <c r="AY184" s="154">
        <f t="shared" ca="1" si="688"/>
        <v>0</v>
      </c>
      <c r="AZ184" s="154">
        <f t="shared" ca="1" si="689"/>
        <v>0</v>
      </c>
      <c r="BA184" s="154">
        <f t="shared" ca="1" si="690"/>
        <v>0</v>
      </c>
      <c r="BB184" s="154">
        <f t="shared" ca="1" si="691"/>
        <v>0</v>
      </c>
      <c r="BC184" s="154">
        <f t="shared" ca="1" si="692"/>
        <v>0</v>
      </c>
      <c r="BD184" s="154">
        <f t="shared" ca="1" si="693"/>
        <v>0</v>
      </c>
      <c r="BE184" s="154">
        <f t="shared" ca="1" si="694"/>
        <v>0</v>
      </c>
      <c r="BF184" s="154">
        <f t="shared" ca="1" si="695"/>
        <v>0</v>
      </c>
      <c r="BG184" s="154">
        <f t="shared" ca="1" si="696"/>
        <v>0</v>
      </c>
      <c r="BH184" s="154">
        <f t="shared" ca="1" si="697"/>
        <v>0</v>
      </c>
      <c r="BI184" s="154">
        <f t="shared" ca="1" si="698"/>
        <v>0</v>
      </c>
      <c r="BJ184" s="154">
        <f t="shared" ca="1" si="699"/>
        <v>0</v>
      </c>
      <c r="BK184" s="154">
        <f t="shared" ca="1" si="700"/>
        <v>0</v>
      </c>
      <c r="BL184" s="154">
        <f t="shared" ca="1" si="701"/>
        <v>0</v>
      </c>
      <c r="BM184" s="154">
        <f t="shared" ca="1" si="702"/>
        <v>0</v>
      </c>
      <c r="BN184" s="1198">
        <f t="shared" si="719"/>
        <v>189</v>
      </c>
      <c r="BO184" s="1197" t="str">
        <f t="shared" si="703"/>
        <v>Bornländisch  (Dialekt)</v>
      </c>
      <c r="BP184" s="1197" t="str">
        <f t="shared" ca="1" si="704"/>
        <v>B</v>
      </c>
      <c r="BQ184" s="1197">
        <f t="shared" si="727"/>
        <v>8</v>
      </c>
      <c r="BR184" s="1198" t="str">
        <f t="shared" ca="1" si="720"/>
        <v/>
      </c>
      <c r="BS184" s="1198" t="s">
        <v>3839</v>
      </c>
      <c r="BT184" s="78"/>
      <c r="BU184" s="78"/>
      <c r="BV184" s="78"/>
      <c r="BW184" s="1197">
        <f t="shared" ca="1" si="721"/>
        <v>0</v>
      </c>
      <c r="BX184" s="1197">
        <f t="shared" ca="1" si="705"/>
        <v>0</v>
      </c>
      <c r="BY184" s="1197">
        <f t="shared" ca="1" si="706"/>
        <v>0</v>
      </c>
      <c r="BZ184" s="1081">
        <f t="shared" ca="1" si="707"/>
        <v>0</v>
      </c>
      <c r="CA184" s="1081">
        <f t="shared" ca="1" si="708"/>
        <v>0</v>
      </c>
      <c r="CB184" s="1081">
        <f t="shared" ca="1" si="709"/>
        <v>65</v>
      </c>
      <c r="CC184" s="1081">
        <f t="shared" ca="1" si="710"/>
        <v>66</v>
      </c>
      <c r="CD184" s="1081">
        <f t="shared" si="729"/>
        <v>0</v>
      </c>
      <c r="CE184" s="1081">
        <f t="shared" ca="1" si="711"/>
        <v>1</v>
      </c>
      <c r="CF184" s="1081">
        <f t="shared" ca="1" si="722"/>
        <v>0</v>
      </c>
      <c r="CG184" s="1198" t="str">
        <f t="shared" si="712"/>
        <v>Garethi-Familie</v>
      </c>
      <c r="CH184" s="1198" t="str">
        <f t="shared" ca="1" si="713"/>
        <v/>
      </c>
      <c r="CI184" s="1198"/>
      <c r="CJ184" s="1198"/>
      <c r="CK184" s="1198" t="str">
        <f t="shared" ca="1" si="723"/>
        <v/>
      </c>
      <c r="CL184" s="1198" t="str">
        <f t="shared" ca="1" si="724"/>
        <v/>
      </c>
      <c r="CM184" s="78"/>
      <c r="CN184" s="1081">
        <f t="shared" ca="1" si="725"/>
        <v>0</v>
      </c>
      <c r="CO184" s="1081">
        <f t="shared" ca="1" si="714"/>
        <v>0</v>
      </c>
      <c r="CP184" s="1081">
        <f t="shared" ca="1" si="726"/>
        <v>0</v>
      </c>
      <c r="DJ184" s="301" t="str">
        <f t="shared" ca="1" si="715"/>
        <v>A</v>
      </c>
      <c r="DK184" s="301" t="str">
        <f t="shared" ca="1" si="715"/>
        <v>A</v>
      </c>
      <c r="DL184" s="301" t="str">
        <f t="shared" ca="1" si="715"/>
        <v>A</v>
      </c>
      <c r="DM184" s="301" t="str">
        <f t="shared" ca="1" si="715"/>
        <v>A</v>
      </c>
      <c r="DN184" s="301" t="str">
        <f t="shared" ca="1" si="715"/>
        <v>A</v>
      </c>
      <c r="DO184" s="301" t="str">
        <f t="shared" ca="1" si="715"/>
        <v>A</v>
      </c>
      <c r="DP184" s="301" t="str">
        <f t="shared" ca="1" si="715"/>
        <v>A</v>
      </c>
      <c r="DQ184" s="301" t="str">
        <f t="shared" ca="1" si="715"/>
        <v>A</v>
      </c>
      <c r="DR184" s="301" t="str">
        <f t="shared" ca="1" si="715"/>
        <v>A</v>
      </c>
      <c r="DS184" s="301" t="str">
        <f t="shared" ca="1" si="715"/>
        <v>A</v>
      </c>
      <c r="DT184" s="301" t="str">
        <f t="shared" ca="1" si="716"/>
        <v>A</v>
      </c>
      <c r="DU184" s="301" t="str">
        <f t="shared" ca="1" si="716"/>
        <v>A</v>
      </c>
      <c r="DV184" s="301" t="str">
        <f t="shared" ca="1" si="716"/>
        <v>A</v>
      </c>
      <c r="DW184" s="301" t="str">
        <f t="shared" ca="1" si="716"/>
        <v>A</v>
      </c>
      <c r="DX184" s="301" t="str">
        <f t="shared" ca="1" si="716"/>
        <v>A</v>
      </c>
      <c r="DY184" s="301" t="str">
        <f t="shared" ca="1" si="716"/>
        <v>A</v>
      </c>
      <c r="DZ184" s="301" t="str">
        <f t="shared" ca="1" si="716"/>
        <v>A</v>
      </c>
      <c r="EA184" s="301" t="str">
        <f t="shared" ca="1" si="716"/>
        <v>A</v>
      </c>
      <c r="EB184" s="301" t="str">
        <f t="shared" ca="1" si="716"/>
        <v>A</v>
      </c>
      <c r="EC184" s="301" t="str">
        <f t="shared" ca="1" si="716"/>
        <v>A</v>
      </c>
      <c r="ED184" s="301" t="str">
        <f t="shared" ca="1" si="716"/>
        <v>A</v>
      </c>
      <c r="EE184" s="301" t="str">
        <f t="shared" ca="1" si="716"/>
        <v>A</v>
      </c>
      <c r="EF184" s="301">
        <f t="shared" si="717"/>
        <v>0</v>
      </c>
      <c r="EG184" s="1426" t="str">
        <f t="shared" ca="1" si="728"/>
        <v>B</v>
      </c>
      <c r="EH184" s="1429" t="str">
        <f t="shared" ca="1" si="718"/>
        <v>B</v>
      </c>
      <c r="EI184" s="1429" t="str">
        <f t="shared" ca="1" si="718"/>
        <v>B</v>
      </c>
      <c r="EJ184" s="1429" t="str">
        <f t="shared" ca="1" si="718"/>
        <v>B</v>
      </c>
      <c r="EK184" s="1429" t="str">
        <f t="shared" ca="1" si="718"/>
        <v>B</v>
      </c>
      <c r="EL184" s="1429" t="str">
        <f t="shared" ca="1" si="718"/>
        <v>B</v>
      </c>
      <c r="EM184" s="1429" t="str">
        <f t="shared" ca="1" si="718"/>
        <v>B</v>
      </c>
      <c r="EN184" s="1429" t="str">
        <f t="shared" ca="1" si="718"/>
        <v>B</v>
      </c>
      <c r="EO184" s="1429" t="str">
        <f t="shared" ca="1" si="718"/>
        <v>B</v>
      </c>
      <c r="EP184" s="1429" t="str">
        <f t="shared" ca="1" si="718"/>
        <v>B</v>
      </c>
      <c r="EQ184" s="1429" t="str">
        <f t="shared" ca="1" si="718"/>
        <v>B</v>
      </c>
      <c r="ER184" s="1429" t="str">
        <f t="shared" ca="1" si="718"/>
        <v>B</v>
      </c>
      <c r="ES184" s="1429" t="str">
        <f t="shared" ca="1" si="718"/>
        <v>B</v>
      </c>
      <c r="ET184" s="1429" t="str">
        <f t="shared" ca="1" si="718"/>
        <v>B</v>
      </c>
      <c r="EU184" s="1429" t="str">
        <f t="shared" ca="1" si="718"/>
        <v>B</v>
      </c>
      <c r="EV184" s="1429" t="str">
        <f t="shared" ca="1" si="718"/>
        <v>B</v>
      </c>
      <c r="EW184" s="1429" t="str">
        <f t="shared" ca="1" si="718"/>
        <v>B</v>
      </c>
      <c r="EX184" s="1429" t="str">
        <f t="shared" ca="1" si="718"/>
        <v>B</v>
      </c>
      <c r="EY184" s="1429" t="str">
        <f t="shared" ca="1" si="718"/>
        <v>B</v>
      </c>
      <c r="EZ184" s="1429" t="str">
        <f t="shared" ca="1" si="718"/>
        <v>B</v>
      </c>
      <c r="FA184" s="1429" t="str">
        <f t="shared" ca="1" si="718"/>
        <v>B</v>
      </c>
      <c r="FB184" s="1429" t="str">
        <f t="shared" ca="1" si="718"/>
        <v>B</v>
      </c>
      <c r="FC184" s="1429" t="str">
        <f t="shared" ca="1" si="718"/>
        <v>B</v>
      </c>
      <c r="FD184" s="1429" t="str">
        <f t="shared" ca="1" si="718"/>
        <v>B</v>
      </c>
      <c r="FE184" s="1429" t="str">
        <f t="shared" ca="1" si="718"/>
        <v>B</v>
      </c>
      <c r="FF184" s="1429" t="str">
        <f t="shared" ca="1" si="718"/>
        <v>B</v>
      </c>
      <c r="FG184" s="1429" t="str">
        <f t="shared" ca="1" si="718"/>
        <v>B</v>
      </c>
      <c r="FH184" s="1429" t="str">
        <f t="shared" ca="1" si="718"/>
        <v>B</v>
      </c>
      <c r="FI184" s="1429" t="str">
        <f t="shared" ca="1" si="718"/>
        <v>B</v>
      </c>
      <c r="FJ184" s="1429" t="str">
        <f t="shared" ca="1" si="718"/>
        <v>B</v>
      </c>
      <c r="FK184" s="1429" t="str">
        <f t="shared" ca="1" si="718"/>
        <v>B</v>
      </c>
      <c r="FL184" s="1429" t="str">
        <f t="shared" ca="1" si="718"/>
        <v>B</v>
      </c>
    </row>
    <row r="185" spans="1:168" x14ac:dyDescent="0.2">
      <c r="A185" s="62" t="str">
        <f t="shared" si="649"/>
        <v>Bosparano</v>
      </c>
      <c r="B185" s="317" t="str">
        <f t="shared" ca="1" si="650"/>
        <v/>
      </c>
      <c r="C185" s="332" t="str">
        <f ca="1">IF(AND(EXACT($F185,""),EXACT($G185,"")),IF(OR(NOT(ISBLANK(D185)),NOT(EXACT(HLOOKUP(RASSEGENE,RASSE,$BN185,FALSE),"")),NOT(EXACT(HLOOKUP(KULTURGENE,KULTUR,$BN185,FALSE),"")),NOT(EXACT(HLOOKUP(PROFGENE,INDIRECT(PROFGEBIET),$BN185,FALSE),"")),
IF(LEN(PROFZWEITE)&lt;1,FALSE,NOT(EXACT(HLOOKUP(Generierung!$D$12,INDIRECT(PROFGEBIET2),$BN185,FALSE),"")))
),"x",""),"")</f>
        <v/>
      </c>
      <c r="D185" s="1110"/>
      <c r="E185" s="325"/>
      <c r="F185" s="388" t="str">
        <f t="shared" ca="1" si="651"/>
        <v/>
      </c>
      <c r="G185" s="388" t="str">
        <f t="shared" ca="1" si="652"/>
        <v/>
      </c>
      <c r="H185" s="389"/>
      <c r="I185" s="1196"/>
      <c r="J185" s="326"/>
      <c r="O185" s="514" t="str">
        <f t="shared" ca="1" si="653"/>
        <v/>
      </c>
      <c r="P185" s="164">
        <f t="shared" ca="1" si="654"/>
        <v>0</v>
      </c>
      <c r="Q185" s="164">
        <f t="shared" ca="1" si="655"/>
        <v>0</v>
      </c>
      <c r="R185" s="164">
        <f t="shared" ca="1" si="656"/>
        <v>0</v>
      </c>
      <c r="S185" s="164">
        <f t="shared" ca="1" si="657"/>
        <v>0</v>
      </c>
      <c r="T185" s="164">
        <f t="shared" ca="1" si="658"/>
        <v>0</v>
      </c>
      <c r="U185" s="164">
        <f t="shared" ca="1" si="659"/>
        <v>0</v>
      </c>
      <c r="V185" s="164">
        <f t="shared" ca="1" si="660"/>
        <v>0</v>
      </c>
      <c r="W185" s="164">
        <f t="shared" ca="1" si="661"/>
        <v>0</v>
      </c>
      <c r="X185" s="164">
        <f t="shared" ca="1" si="662"/>
        <v>0</v>
      </c>
      <c r="Y185" s="164">
        <f t="shared" ca="1" si="663"/>
        <v>0</v>
      </c>
      <c r="Z185" s="164">
        <f t="shared" ca="1" si="664"/>
        <v>0</v>
      </c>
      <c r="AA185" s="164">
        <f t="shared" ca="1" si="665"/>
        <v>0</v>
      </c>
      <c r="AB185" s="164">
        <f t="shared" ca="1" si="666"/>
        <v>0</v>
      </c>
      <c r="AC185" s="164">
        <f t="shared" ca="1" si="667"/>
        <v>0</v>
      </c>
      <c r="AD185" s="164">
        <f t="shared" ca="1" si="668"/>
        <v>0</v>
      </c>
      <c r="AE185" s="164">
        <f t="shared" ca="1" si="669"/>
        <v>0</v>
      </c>
      <c r="AF185" s="164">
        <f t="shared" ca="1" si="670"/>
        <v>0</v>
      </c>
      <c r="AG185" s="164">
        <f t="shared" ca="1" si="671"/>
        <v>0</v>
      </c>
      <c r="AH185" s="164">
        <f t="shared" ca="1" si="672"/>
        <v>0</v>
      </c>
      <c r="AI185" s="164">
        <f t="shared" ca="1" si="673"/>
        <v>0</v>
      </c>
      <c r="AJ185" s="164">
        <f t="shared" ca="1" si="674"/>
        <v>0</v>
      </c>
      <c r="AK185" s="164">
        <f t="shared" ca="1" si="675"/>
        <v>0</v>
      </c>
      <c r="AL185" s="164">
        <f t="shared" si="676"/>
        <v>0</v>
      </c>
      <c r="AM185" s="164">
        <f t="shared" ca="1" si="677"/>
        <v>0</v>
      </c>
      <c r="AN185" s="205"/>
      <c r="AO185" s="154">
        <f t="shared" ca="1" si="678"/>
        <v>0</v>
      </c>
      <c r="AP185" s="154">
        <f t="shared" ca="1" si="679"/>
        <v>0</v>
      </c>
      <c r="AQ185" s="154">
        <f t="shared" ca="1" si="680"/>
        <v>0</v>
      </c>
      <c r="AR185" s="154">
        <f t="shared" ca="1" si="681"/>
        <v>0</v>
      </c>
      <c r="AS185" s="154">
        <f t="shared" ca="1" si="682"/>
        <v>0</v>
      </c>
      <c r="AT185" s="154">
        <f t="shared" ca="1" si="683"/>
        <v>0</v>
      </c>
      <c r="AU185" s="154">
        <f t="shared" ca="1" si="684"/>
        <v>0</v>
      </c>
      <c r="AV185" s="154">
        <f t="shared" ca="1" si="685"/>
        <v>0</v>
      </c>
      <c r="AW185" s="154">
        <f t="shared" ca="1" si="686"/>
        <v>0</v>
      </c>
      <c r="AX185" s="154">
        <f t="shared" ca="1" si="687"/>
        <v>0</v>
      </c>
      <c r="AY185" s="154">
        <f t="shared" ca="1" si="688"/>
        <v>0</v>
      </c>
      <c r="AZ185" s="154">
        <f t="shared" ca="1" si="689"/>
        <v>0</v>
      </c>
      <c r="BA185" s="154">
        <f t="shared" ca="1" si="690"/>
        <v>0</v>
      </c>
      <c r="BB185" s="154">
        <f t="shared" ca="1" si="691"/>
        <v>0</v>
      </c>
      <c r="BC185" s="154">
        <f t="shared" ca="1" si="692"/>
        <v>0</v>
      </c>
      <c r="BD185" s="154">
        <f t="shared" ca="1" si="693"/>
        <v>0</v>
      </c>
      <c r="BE185" s="154">
        <f t="shared" ca="1" si="694"/>
        <v>0</v>
      </c>
      <c r="BF185" s="154">
        <f t="shared" ca="1" si="695"/>
        <v>0</v>
      </c>
      <c r="BG185" s="154">
        <f t="shared" ca="1" si="696"/>
        <v>0</v>
      </c>
      <c r="BH185" s="154">
        <f t="shared" ca="1" si="697"/>
        <v>0</v>
      </c>
      <c r="BI185" s="154">
        <f t="shared" ca="1" si="698"/>
        <v>0</v>
      </c>
      <c r="BJ185" s="154">
        <f t="shared" ca="1" si="699"/>
        <v>0</v>
      </c>
      <c r="BK185" s="154">
        <f t="shared" ca="1" si="700"/>
        <v>0</v>
      </c>
      <c r="BL185" s="154">
        <f t="shared" ca="1" si="701"/>
        <v>0</v>
      </c>
      <c r="BM185" s="154">
        <f t="shared" ca="1" si="702"/>
        <v>0</v>
      </c>
      <c r="BN185" s="1198">
        <f t="shared" si="719"/>
        <v>190</v>
      </c>
      <c r="BO185" s="1197" t="str">
        <f t="shared" si="703"/>
        <v>Bosparano</v>
      </c>
      <c r="BP185" s="1197" t="str">
        <f t="shared" ca="1" si="704"/>
        <v>B</v>
      </c>
      <c r="BQ185" s="1197">
        <f t="shared" si="727"/>
        <v>9</v>
      </c>
      <c r="BR185" s="1198" t="str">
        <f t="shared" ca="1" si="720"/>
        <v/>
      </c>
      <c r="BS185" s="1198" t="s">
        <v>1714</v>
      </c>
      <c r="BT185" s="78"/>
      <c r="BU185" s="78"/>
      <c r="BV185" s="78"/>
      <c r="BW185" s="1197">
        <f t="shared" ca="1" si="721"/>
        <v>0</v>
      </c>
      <c r="BX185" s="1197">
        <f t="shared" ca="1" si="705"/>
        <v>0</v>
      </c>
      <c r="BY185" s="1197">
        <f t="shared" ca="1" si="706"/>
        <v>0</v>
      </c>
      <c r="BZ185" s="1081">
        <f t="shared" ca="1" si="707"/>
        <v>0</v>
      </c>
      <c r="CA185" s="1081">
        <f t="shared" ca="1" si="708"/>
        <v>0</v>
      </c>
      <c r="CB185" s="1081">
        <f t="shared" ca="1" si="709"/>
        <v>65</v>
      </c>
      <c r="CC185" s="1081">
        <f t="shared" ca="1" si="710"/>
        <v>66</v>
      </c>
      <c r="CD185" s="1081">
        <f t="shared" si="729"/>
        <v>0</v>
      </c>
      <c r="CE185" s="1081">
        <f t="shared" ca="1" si="711"/>
        <v>1</v>
      </c>
      <c r="CF185" s="1081">
        <f t="shared" ca="1" si="722"/>
        <v>0</v>
      </c>
      <c r="CG185" s="1198" t="str">
        <f t="shared" si="712"/>
        <v>Garethi-Familie</v>
      </c>
      <c r="CH185" s="1198" t="str">
        <f t="shared" ca="1" si="713"/>
        <v/>
      </c>
      <c r="CI185" s="1198"/>
      <c r="CJ185" s="1198"/>
      <c r="CK185" s="1198" t="str">
        <f t="shared" ca="1" si="723"/>
        <v/>
      </c>
      <c r="CL185" s="1198" t="str">
        <f t="shared" ca="1" si="724"/>
        <v/>
      </c>
      <c r="CM185" s="78"/>
      <c r="CN185" s="1081">
        <f t="shared" ca="1" si="725"/>
        <v>0</v>
      </c>
      <c r="CO185" s="1081">
        <f t="shared" ca="1" si="714"/>
        <v>0</v>
      </c>
      <c r="CP185" s="1081">
        <f t="shared" ca="1" si="726"/>
        <v>0</v>
      </c>
      <c r="DJ185" s="301" t="str">
        <f t="shared" ca="1" si="715"/>
        <v>A</v>
      </c>
      <c r="DK185" s="301" t="str">
        <f t="shared" ca="1" si="715"/>
        <v>A</v>
      </c>
      <c r="DL185" s="301" t="str">
        <f t="shared" ca="1" si="715"/>
        <v>A</v>
      </c>
      <c r="DM185" s="301" t="str">
        <f t="shared" ca="1" si="715"/>
        <v>A</v>
      </c>
      <c r="DN185" s="301" t="str">
        <f t="shared" ca="1" si="715"/>
        <v>A</v>
      </c>
      <c r="DO185" s="301" t="str">
        <f t="shared" ca="1" si="715"/>
        <v>A</v>
      </c>
      <c r="DP185" s="301" t="str">
        <f t="shared" ca="1" si="715"/>
        <v>A</v>
      </c>
      <c r="DQ185" s="301" t="str">
        <f t="shared" ca="1" si="715"/>
        <v>A</v>
      </c>
      <c r="DR185" s="301" t="str">
        <f t="shared" ca="1" si="715"/>
        <v>A</v>
      </c>
      <c r="DS185" s="301" t="str">
        <f t="shared" ca="1" si="715"/>
        <v>A</v>
      </c>
      <c r="DT185" s="301" t="str">
        <f t="shared" ca="1" si="716"/>
        <v>A</v>
      </c>
      <c r="DU185" s="301" t="str">
        <f t="shared" ca="1" si="716"/>
        <v>A</v>
      </c>
      <c r="DV185" s="301" t="str">
        <f t="shared" ca="1" si="716"/>
        <v>A</v>
      </c>
      <c r="DW185" s="301" t="str">
        <f t="shared" ca="1" si="716"/>
        <v>A</v>
      </c>
      <c r="DX185" s="301" t="str">
        <f t="shared" ca="1" si="716"/>
        <v>A</v>
      </c>
      <c r="DY185" s="301" t="str">
        <f t="shared" ca="1" si="716"/>
        <v>A</v>
      </c>
      <c r="DZ185" s="301" t="str">
        <f t="shared" ca="1" si="716"/>
        <v>A</v>
      </c>
      <c r="EA185" s="301" t="str">
        <f t="shared" ca="1" si="716"/>
        <v>A</v>
      </c>
      <c r="EB185" s="301" t="str">
        <f t="shared" ca="1" si="716"/>
        <v>A</v>
      </c>
      <c r="EC185" s="301" t="str">
        <f t="shared" ca="1" si="716"/>
        <v>A</v>
      </c>
      <c r="ED185" s="301" t="str">
        <f t="shared" ca="1" si="716"/>
        <v>A</v>
      </c>
      <c r="EE185" s="301" t="str">
        <f t="shared" ca="1" si="716"/>
        <v>A</v>
      </c>
      <c r="EF185" s="301">
        <f t="shared" si="717"/>
        <v>0</v>
      </c>
      <c r="EG185" s="1426" t="str">
        <f t="shared" ca="1" si="728"/>
        <v>B</v>
      </c>
      <c r="EH185" s="1429" t="str">
        <f t="shared" ca="1" si="718"/>
        <v>B</v>
      </c>
      <c r="EI185" s="1429" t="str">
        <f t="shared" ca="1" si="718"/>
        <v>B</v>
      </c>
      <c r="EJ185" s="1429" t="str">
        <f t="shared" ca="1" si="718"/>
        <v>B</v>
      </c>
      <c r="EK185" s="1429" t="str">
        <f t="shared" ca="1" si="718"/>
        <v>B</v>
      </c>
      <c r="EL185" s="1429" t="str">
        <f t="shared" ca="1" si="718"/>
        <v>B</v>
      </c>
      <c r="EM185" s="1429" t="str">
        <f t="shared" ca="1" si="718"/>
        <v>B</v>
      </c>
      <c r="EN185" s="1429" t="str">
        <f t="shared" ca="1" si="718"/>
        <v>B</v>
      </c>
      <c r="EO185" s="1429" t="str">
        <f t="shared" ref="EO185:FD200" ca="1" si="730">IF(ISERR(FIND(";"&amp;EO$176&amp;":0;",$E185)),
CHAR($CC185+SUM(IF(ISERR(FIND(";"&amp;EO$176&amp;";",$E185)),0,-1),
IF(ISERR(FIND(";"&amp;EO$176&amp;":",$E185)),0,-VALUE(MID($E185,FIND(";"&amp;EO$176&amp;":",$E185)+LEN(EO$176)+2,1))),
IF(ISERR(FIND(";"&amp;EO$176&amp;"+",$E185)),0,VALUE(MID($E185,FIND(";"&amp;EO$176&amp;"+",$E185)+LEN(EO$176)+2,1))),
)),0)</f>
        <v>B</v>
      </c>
      <c r="EP185" s="1429" t="str">
        <f t="shared" ca="1" si="730"/>
        <v>B</v>
      </c>
      <c r="EQ185" s="1429" t="str">
        <f t="shared" ca="1" si="730"/>
        <v>B</v>
      </c>
      <c r="ER185" s="1429" t="str">
        <f t="shared" ca="1" si="730"/>
        <v>B</v>
      </c>
      <c r="ES185" s="1429" t="str">
        <f t="shared" ca="1" si="730"/>
        <v>B</v>
      </c>
      <c r="ET185" s="1429" t="str">
        <f t="shared" ca="1" si="730"/>
        <v>B</v>
      </c>
      <c r="EU185" s="1429" t="str">
        <f t="shared" ca="1" si="730"/>
        <v>B</v>
      </c>
      <c r="EV185" s="1429" t="str">
        <f t="shared" ca="1" si="730"/>
        <v>B</v>
      </c>
      <c r="EW185" s="1429" t="str">
        <f t="shared" ca="1" si="730"/>
        <v>B</v>
      </c>
      <c r="EX185" s="1429" t="str">
        <f t="shared" ca="1" si="730"/>
        <v>B</v>
      </c>
      <c r="EY185" s="1429" t="str">
        <f t="shared" ca="1" si="730"/>
        <v>B</v>
      </c>
      <c r="EZ185" s="1429" t="str">
        <f t="shared" ca="1" si="730"/>
        <v>B</v>
      </c>
      <c r="FA185" s="1429" t="str">
        <f t="shared" ca="1" si="730"/>
        <v>B</v>
      </c>
      <c r="FB185" s="1429" t="str">
        <f t="shared" ca="1" si="730"/>
        <v>B</v>
      </c>
      <c r="FC185" s="1429" t="str">
        <f t="shared" ca="1" si="730"/>
        <v>B</v>
      </c>
      <c r="FD185" s="1429" t="str">
        <f t="shared" ca="1" si="730"/>
        <v>B</v>
      </c>
      <c r="FE185" s="1429" t="str">
        <f t="shared" ref="FE185:FL200" ca="1" si="731">IF(ISERR(FIND(";"&amp;FE$176&amp;":0;",$E185)),
CHAR($CC185+SUM(IF(ISERR(FIND(";"&amp;FE$176&amp;";",$E185)),0,-1),
IF(ISERR(FIND(";"&amp;FE$176&amp;":",$E185)),0,-VALUE(MID($E185,FIND(";"&amp;FE$176&amp;":",$E185)+LEN(FE$176)+2,1))),
IF(ISERR(FIND(";"&amp;FE$176&amp;"+",$E185)),0,VALUE(MID($E185,FIND(";"&amp;FE$176&amp;"+",$E185)+LEN(FE$176)+2,1))),
)),0)</f>
        <v>B</v>
      </c>
      <c r="FF185" s="1429" t="str">
        <f t="shared" ca="1" si="731"/>
        <v>B</v>
      </c>
      <c r="FG185" s="1429" t="str">
        <f t="shared" ca="1" si="731"/>
        <v>B</v>
      </c>
      <c r="FH185" s="1429" t="str">
        <f t="shared" ca="1" si="731"/>
        <v>B</v>
      </c>
      <c r="FI185" s="1429" t="str">
        <f t="shared" ca="1" si="731"/>
        <v>B</v>
      </c>
      <c r="FJ185" s="1429" t="str">
        <f t="shared" ca="1" si="731"/>
        <v>B</v>
      </c>
      <c r="FK185" s="1429" t="str">
        <f t="shared" ca="1" si="731"/>
        <v>B</v>
      </c>
      <c r="FL185" s="1429" t="str">
        <f t="shared" ca="1" si="731"/>
        <v>B</v>
      </c>
    </row>
    <row r="186" spans="1:168" x14ac:dyDescent="0.2">
      <c r="A186" s="62" t="str">
        <f t="shared" si="649"/>
        <v>Brabaci  (Dialekt)</v>
      </c>
      <c r="B186" s="317" t="str">
        <f t="shared" ca="1" si="650"/>
        <v/>
      </c>
      <c r="C186" s="332" t="str">
        <f ca="1">IF(AND(EXACT($F186,""),EXACT($G186,"")),IF(OR(NOT(ISBLANK(D186)),NOT(EXACT(HLOOKUP(RASSEGENE,RASSE,$BN186,FALSE),"")),NOT(EXACT(HLOOKUP(KULTURGENE,KULTUR,$BN186,FALSE),"")),NOT(EXACT(HLOOKUP(PROFGENE,INDIRECT(PROFGEBIET),$BN186,FALSE),"")),
IF(LEN(PROFZWEITE)&lt;1,FALSE,NOT(EXACT(HLOOKUP(Generierung!$D$12,INDIRECT(PROFGEBIET2),$BN186,FALSE),"")))
),"x",""),"")</f>
        <v/>
      </c>
      <c r="D186" s="1110"/>
      <c r="E186" s="325"/>
      <c r="F186" s="388" t="str">
        <f t="shared" ca="1" si="651"/>
        <v/>
      </c>
      <c r="G186" s="388" t="str">
        <f t="shared" ca="1" si="652"/>
        <v/>
      </c>
      <c r="H186" s="389"/>
      <c r="I186" s="1196"/>
      <c r="J186" s="326"/>
      <c r="O186" s="514" t="str">
        <f t="shared" ca="1" si="653"/>
        <v/>
      </c>
      <c r="P186" s="164">
        <f t="shared" ca="1" si="654"/>
        <v>0</v>
      </c>
      <c r="Q186" s="164">
        <f t="shared" ca="1" si="655"/>
        <v>0</v>
      </c>
      <c r="R186" s="164">
        <f t="shared" ca="1" si="656"/>
        <v>0</v>
      </c>
      <c r="S186" s="164">
        <f t="shared" ca="1" si="657"/>
        <v>0</v>
      </c>
      <c r="T186" s="164">
        <f t="shared" ca="1" si="658"/>
        <v>0</v>
      </c>
      <c r="U186" s="164">
        <f t="shared" ca="1" si="659"/>
        <v>0</v>
      </c>
      <c r="V186" s="164">
        <f t="shared" ca="1" si="660"/>
        <v>0</v>
      </c>
      <c r="W186" s="164">
        <f t="shared" ca="1" si="661"/>
        <v>0</v>
      </c>
      <c r="X186" s="164">
        <f t="shared" ca="1" si="662"/>
        <v>0</v>
      </c>
      <c r="Y186" s="164">
        <f t="shared" ca="1" si="663"/>
        <v>0</v>
      </c>
      <c r="Z186" s="164">
        <f t="shared" ca="1" si="664"/>
        <v>0</v>
      </c>
      <c r="AA186" s="164">
        <f t="shared" ca="1" si="665"/>
        <v>0</v>
      </c>
      <c r="AB186" s="164">
        <f t="shared" ca="1" si="666"/>
        <v>0</v>
      </c>
      <c r="AC186" s="164">
        <f t="shared" ca="1" si="667"/>
        <v>0</v>
      </c>
      <c r="AD186" s="164">
        <f t="shared" ca="1" si="668"/>
        <v>0</v>
      </c>
      <c r="AE186" s="164">
        <f t="shared" ca="1" si="669"/>
        <v>0</v>
      </c>
      <c r="AF186" s="164">
        <f t="shared" ca="1" si="670"/>
        <v>0</v>
      </c>
      <c r="AG186" s="164">
        <f t="shared" ca="1" si="671"/>
        <v>0</v>
      </c>
      <c r="AH186" s="164">
        <f t="shared" ca="1" si="672"/>
        <v>0</v>
      </c>
      <c r="AI186" s="164">
        <f t="shared" ca="1" si="673"/>
        <v>0</v>
      </c>
      <c r="AJ186" s="164">
        <f t="shared" ca="1" si="674"/>
        <v>0</v>
      </c>
      <c r="AK186" s="164">
        <f t="shared" ca="1" si="675"/>
        <v>0</v>
      </c>
      <c r="AL186" s="164">
        <f t="shared" si="676"/>
        <v>0</v>
      </c>
      <c r="AM186" s="164">
        <f t="shared" ca="1" si="677"/>
        <v>0</v>
      </c>
      <c r="AN186" s="205"/>
      <c r="AO186" s="154">
        <f t="shared" ca="1" si="678"/>
        <v>0</v>
      </c>
      <c r="AP186" s="154">
        <f t="shared" ca="1" si="679"/>
        <v>0</v>
      </c>
      <c r="AQ186" s="154">
        <f t="shared" ca="1" si="680"/>
        <v>0</v>
      </c>
      <c r="AR186" s="154">
        <f t="shared" ca="1" si="681"/>
        <v>0</v>
      </c>
      <c r="AS186" s="154">
        <f t="shared" ca="1" si="682"/>
        <v>0</v>
      </c>
      <c r="AT186" s="154">
        <f t="shared" ca="1" si="683"/>
        <v>0</v>
      </c>
      <c r="AU186" s="154">
        <f t="shared" ca="1" si="684"/>
        <v>0</v>
      </c>
      <c r="AV186" s="154">
        <f t="shared" ca="1" si="685"/>
        <v>0</v>
      </c>
      <c r="AW186" s="154">
        <f t="shared" ca="1" si="686"/>
        <v>0</v>
      </c>
      <c r="AX186" s="154">
        <f t="shared" ca="1" si="687"/>
        <v>0</v>
      </c>
      <c r="AY186" s="154">
        <f t="shared" ca="1" si="688"/>
        <v>0</v>
      </c>
      <c r="AZ186" s="154">
        <f t="shared" ca="1" si="689"/>
        <v>0</v>
      </c>
      <c r="BA186" s="154">
        <f t="shared" ca="1" si="690"/>
        <v>0</v>
      </c>
      <c r="BB186" s="154">
        <f t="shared" ca="1" si="691"/>
        <v>0</v>
      </c>
      <c r="BC186" s="154">
        <f t="shared" ca="1" si="692"/>
        <v>0</v>
      </c>
      <c r="BD186" s="154">
        <f t="shared" ca="1" si="693"/>
        <v>0</v>
      </c>
      <c r="BE186" s="154">
        <f t="shared" ca="1" si="694"/>
        <v>0</v>
      </c>
      <c r="BF186" s="154">
        <f t="shared" ca="1" si="695"/>
        <v>0</v>
      </c>
      <c r="BG186" s="154">
        <f t="shared" ca="1" si="696"/>
        <v>0</v>
      </c>
      <c r="BH186" s="154">
        <f t="shared" ca="1" si="697"/>
        <v>0</v>
      </c>
      <c r="BI186" s="154">
        <f t="shared" ca="1" si="698"/>
        <v>0</v>
      </c>
      <c r="BJ186" s="154">
        <f t="shared" ca="1" si="699"/>
        <v>0</v>
      </c>
      <c r="BK186" s="154">
        <f t="shared" ca="1" si="700"/>
        <v>0</v>
      </c>
      <c r="BL186" s="154">
        <f t="shared" ca="1" si="701"/>
        <v>0</v>
      </c>
      <c r="BM186" s="154">
        <f t="shared" ca="1" si="702"/>
        <v>0</v>
      </c>
      <c r="BN186" s="1198">
        <f t="shared" si="719"/>
        <v>191</v>
      </c>
      <c r="BO186" s="1197" t="str">
        <f t="shared" si="703"/>
        <v>Brabaci  (Dialekt)</v>
      </c>
      <c r="BP186" s="1197" t="str">
        <f t="shared" ca="1" si="704"/>
        <v>B</v>
      </c>
      <c r="BQ186" s="1197">
        <f t="shared" si="727"/>
        <v>10</v>
      </c>
      <c r="BR186" s="1198" t="str">
        <f t="shared" ca="1" si="720"/>
        <v/>
      </c>
      <c r="BS186" s="1198" t="s">
        <v>3840</v>
      </c>
      <c r="BT186" s="78"/>
      <c r="BU186" s="78"/>
      <c r="BV186" s="78"/>
      <c r="BW186" s="1197">
        <f t="shared" ca="1" si="721"/>
        <v>0</v>
      </c>
      <c r="BX186" s="1197">
        <f t="shared" ca="1" si="705"/>
        <v>0</v>
      </c>
      <c r="BY186" s="1197">
        <f t="shared" ca="1" si="706"/>
        <v>0</v>
      </c>
      <c r="BZ186" s="1081">
        <f t="shared" ca="1" si="707"/>
        <v>0</v>
      </c>
      <c r="CA186" s="1081">
        <f t="shared" ca="1" si="708"/>
        <v>0</v>
      </c>
      <c r="CB186" s="1081">
        <f t="shared" ca="1" si="709"/>
        <v>65</v>
      </c>
      <c r="CC186" s="1081">
        <f t="shared" ca="1" si="710"/>
        <v>66</v>
      </c>
      <c r="CD186" s="1081">
        <f t="shared" si="729"/>
        <v>0</v>
      </c>
      <c r="CE186" s="1081">
        <f t="shared" ca="1" si="711"/>
        <v>1</v>
      </c>
      <c r="CF186" s="1081">
        <f t="shared" ca="1" si="722"/>
        <v>0</v>
      </c>
      <c r="CG186" s="1198" t="str">
        <f t="shared" si="712"/>
        <v>Garethi-Familie</v>
      </c>
      <c r="CH186" s="1198" t="str">
        <f t="shared" ca="1" si="713"/>
        <v/>
      </c>
      <c r="CI186" s="1198"/>
      <c r="CJ186" s="1198"/>
      <c r="CK186" s="1198" t="str">
        <f t="shared" ca="1" si="723"/>
        <v/>
      </c>
      <c r="CL186" s="1198" t="str">
        <f t="shared" ca="1" si="724"/>
        <v/>
      </c>
      <c r="CM186" s="78"/>
      <c r="CN186" s="1081">
        <f t="shared" ca="1" si="725"/>
        <v>0</v>
      </c>
      <c r="CO186" s="1081">
        <f t="shared" ca="1" si="714"/>
        <v>0</v>
      </c>
      <c r="CP186" s="1081">
        <f t="shared" ca="1" si="726"/>
        <v>0</v>
      </c>
      <c r="DJ186" s="301" t="str">
        <f t="shared" ca="1" si="715"/>
        <v>A</v>
      </c>
      <c r="DK186" s="301" t="str">
        <f t="shared" ca="1" si="715"/>
        <v>A</v>
      </c>
      <c r="DL186" s="301" t="str">
        <f t="shared" ca="1" si="715"/>
        <v>A</v>
      </c>
      <c r="DM186" s="301" t="str">
        <f t="shared" ca="1" si="715"/>
        <v>A</v>
      </c>
      <c r="DN186" s="301" t="str">
        <f t="shared" ca="1" si="715"/>
        <v>A</v>
      </c>
      <c r="DO186" s="301" t="str">
        <f t="shared" ca="1" si="715"/>
        <v>A</v>
      </c>
      <c r="DP186" s="301" t="str">
        <f t="shared" ca="1" si="715"/>
        <v>A</v>
      </c>
      <c r="DQ186" s="301" t="str">
        <f t="shared" ca="1" si="715"/>
        <v>A</v>
      </c>
      <c r="DR186" s="301" t="str">
        <f t="shared" ca="1" si="715"/>
        <v>A</v>
      </c>
      <c r="DS186" s="301" t="str">
        <f t="shared" ca="1" si="715"/>
        <v>A</v>
      </c>
      <c r="DT186" s="301" t="str">
        <f t="shared" ca="1" si="716"/>
        <v>A</v>
      </c>
      <c r="DU186" s="301" t="str">
        <f t="shared" ca="1" si="716"/>
        <v>A</v>
      </c>
      <c r="DV186" s="301" t="str">
        <f t="shared" ca="1" si="716"/>
        <v>A</v>
      </c>
      <c r="DW186" s="301" t="str">
        <f t="shared" ca="1" si="716"/>
        <v>A</v>
      </c>
      <c r="DX186" s="301" t="str">
        <f t="shared" ca="1" si="716"/>
        <v>A</v>
      </c>
      <c r="DY186" s="301" t="str">
        <f t="shared" ca="1" si="716"/>
        <v>A</v>
      </c>
      <c r="DZ186" s="301" t="str">
        <f t="shared" ca="1" si="716"/>
        <v>A</v>
      </c>
      <c r="EA186" s="301" t="str">
        <f t="shared" ca="1" si="716"/>
        <v>A</v>
      </c>
      <c r="EB186" s="301" t="str">
        <f t="shared" ca="1" si="716"/>
        <v>A</v>
      </c>
      <c r="EC186" s="301" t="str">
        <f t="shared" ca="1" si="716"/>
        <v>A</v>
      </c>
      <c r="ED186" s="301" t="str">
        <f t="shared" ca="1" si="716"/>
        <v>A</v>
      </c>
      <c r="EE186" s="301" t="str">
        <f t="shared" ca="1" si="716"/>
        <v>A</v>
      </c>
      <c r="EF186" s="301">
        <f t="shared" si="717"/>
        <v>0</v>
      </c>
      <c r="EG186" s="1426" t="str">
        <f t="shared" ca="1" si="728"/>
        <v>B</v>
      </c>
      <c r="EH186" s="1429" t="str">
        <f t="shared" ca="1" si="728"/>
        <v>B</v>
      </c>
      <c r="EI186" s="1429" t="str">
        <f t="shared" ca="1" si="728"/>
        <v>B</v>
      </c>
      <c r="EJ186" s="1429" t="str">
        <f t="shared" ca="1" si="728"/>
        <v>B</v>
      </c>
      <c r="EK186" s="1429" t="str">
        <f t="shared" ca="1" si="728"/>
        <v>B</v>
      </c>
      <c r="EL186" s="1429" t="str">
        <f t="shared" ca="1" si="728"/>
        <v>B</v>
      </c>
      <c r="EM186" s="1429" t="str">
        <f t="shared" ca="1" si="728"/>
        <v>B</v>
      </c>
      <c r="EN186" s="1429" t="str">
        <f t="shared" ca="1" si="728"/>
        <v>B</v>
      </c>
      <c r="EO186" s="1429" t="str">
        <f t="shared" ca="1" si="728"/>
        <v>B</v>
      </c>
      <c r="EP186" s="1429" t="str">
        <f t="shared" ca="1" si="728"/>
        <v>B</v>
      </c>
      <c r="EQ186" s="1429" t="str">
        <f t="shared" ca="1" si="728"/>
        <v>B</v>
      </c>
      <c r="ER186" s="1429" t="str">
        <f t="shared" ca="1" si="728"/>
        <v>B</v>
      </c>
      <c r="ES186" s="1429" t="str">
        <f t="shared" ca="1" si="728"/>
        <v>B</v>
      </c>
      <c r="ET186" s="1429" t="str">
        <f t="shared" ca="1" si="728"/>
        <v>B</v>
      </c>
      <c r="EU186" s="1429" t="str">
        <f t="shared" ca="1" si="728"/>
        <v>B</v>
      </c>
      <c r="EV186" s="1429" t="str">
        <f t="shared" ca="1" si="728"/>
        <v>B</v>
      </c>
      <c r="EW186" s="1429" t="str">
        <f t="shared" ca="1" si="730"/>
        <v>B</v>
      </c>
      <c r="EX186" s="1429" t="str">
        <f t="shared" ca="1" si="730"/>
        <v>B</v>
      </c>
      <c r="EY186" s="1429" t="str">
        <f t="shared" ca="1" si="730"/>
        <v>B</v>
      </c>
      <c r="EZ186" s="1429" t="str">
        <f t="shared" ca="1" si="730"/>
        <v>B</v>
      </c>
      <c r="FA186" s="1429" t="str">
        <f t="shared" ca="1" si="730"/>
        <v>B</v>
      </c>
      <c r="FB186" s="1429" t="str">
        <f t="shared" ca="1" si="730"/>
        <v>B</v>
      </c>
      <c r="FC186" s="1429" t="str">
        <f t="shared" ca="1" si="730"/>
        <v>B</v>
      </c>
      <c r="FD186" s="1429" t="str">
        <f t="shared" ca="1" si="730"/>
        <v>B</v>
      </c>
      <c r="FE186" s="1429" t="str">
        <f t="shared" ca="1" si="731"/>
        <v>B</v>
      </c>
      <c r="FF186" s="1429" t="str">
        <f t="shared" ca="1" si="731"/>
        <v>B</v>
      </c>
      <c r="FG186" s="1429" t="str">
        <f t="shared" ca="1" si="731"/>
        <v>B</v>
      </c>
      <c r="FH186" s="1429" t="str">
        <f t="shared" ca="1" si="731"/>
        <v>B</v>
      </c>
      <c r="FI186" s="1429" t="str">
        <f t="shared" ca="1" si="731"/>
        <v>B</v>
      </c>
      <c r="FJ186" s="1429" t="str">
        <f t="shared" ca="1" si="731"/>
        <v>B</v>
      </c>
      <c r="FK186" s="1429" t="str">
        <f t="shared" ca="1" si="731"/>
        <v>B</v>
      </c>
      <c r="FL186" s="1429" t="str">
        <f t="shared" ca="1" si="731"/>
        <v>B</v>
      </c>
    </row>
    <row r="187" spans="1:168" x14ac:dyDescent="0.2">
      <c r="A187" s="62" t="str">
        <f t="shared" si="649"/>
        <v>Charypto  (Dialekt)</v>
      </c>
      <c r="B187" s="317" t="str">
        <f t="shared" ca="1" si="650"/>
        <v/>
      </c>
      <c r="C187" s="332" t="str">
        <f ca="1">IF(AND(EXACT($F187,""),EXACT($G187,"")),IF(OR(NOT(ISBLANK(D187)),NOT(EXACT(HLOOKUP(RASSEGENE,RASSE,$BN187,FALSE),"")),NOT(EXACT(HLOOKUP(KULTURGENE,KULTUR,$BN187,FALSE),"")),NOT(EXACT(HLOOKUP(PROFGENE,INDIRECT(PROFGEBIET),$BN187,FALSE),"")),
IF(LEN(PROFZWEITE)&lt;1,FALSE,NOT(EXACT(HLOOKUP(Generierung!$D$12,INDIRECT(PROFGEBIET2),$BN187,FALSE),"")))
),"x",""),"")</f>
        <v/>
      </c>
      <c r="D187" s="1110"/>
      <c r="E187" s="325"/>
      <c r="F187" s="388" t="str">
        <f t="shared" ca="1" si="651"/>
        <v/>
      </c>
      <c r="G187" s="388" t="str">
        <f t="shared" ca="1" si="652"/>
        <v/>
      </c>
      <c r="H187" s="389"/>
      <c r="I187" s="1196"/>
      <c r="J187" s="326"/>
      <c r="O187" s="514" t="str">
        <f t="shared" ca="1" si="653"/>
        <v/>
      </c>
      <c r="P187" s="164">
        <f t="shared" ca="1" si="654"/>
        <v>0</v>
      </c>
      <c r="Q187" s="164">
        <f t="shared" ca="1" si="655"/>
        <v>0</v>
      </c>
      <c r="R187" s="164">
        <f t="shared" ca="1" si="656"/>
        <v>0</v>
      </c>
      <c r="S187" s="164">
        <f t="shared" ca="1" si="657"/>
        <v>0</v>
      </c>
      <c r="T187" s="164">
        <f t="shared" ca="1" si="658"/>
        <v>0</v>
      </c>
      <c r="U187" s="164">
        <f t="shared" ca="1" si="659"/>
        <v>0</v>
      </c>
      <c r="V187" s="164">
        <f t="shared" ca="1" si="660"/>
        <v>0</v>
      </c>
      <c r="W187" s="164">
        <f t="shared" ca="1" si="661"/>
        <v>0</v>
      </c>
      <c r="X187" s="164">
        <f t="shared" ca="1" si="662"/>
        <v>0</v>
      </c>
      <c r="Y187" s="164">
        <f t="shared" ca="1" si="663"/>
        <v>0</v>
      </c>
      <c r="Z187" s="164">
        <f t="shared" ca="1" si="664"/>
        <v>0</v>
      </c>
      <c r="AA187" s="164">
        <f t="shared" ca="1" si="665"/>
        <v>0</v>
      </c>
      <c r="AB187" s="164">
        <f t="shared" ca="1" si="666"/>
        <v>0</v>
      </c>
      <c r="AC187" s="164">
        <f t="shared" ca="1" si="667"/>
        <v>0</v>
      </c>
      <c r="AD187" s="164">
        <f t="shared" ca="1" si="668"/>
        <v>0</v>
      </c>
      <c r="AE187" s="164">
        <f t="shared" ca="1" si="669"/>
        <v>0</v>
      </c>
      <c r="AF187" s="164">
        <f t="shared" ca="1" si="670"/>
        <v>0</v>
      </c>
      <c r="AG187" s="164">
        <f t="shared" ca="1" si="671"/>
        <v>0</v>
      </c>
      <c r="AH187" s="164">
        <f t="shared" ca="1" si="672"/>
        <v>0</v>
      </c>
      <c r="AI187" s="164">
        <f t="shared" ca="1" si="673"/>
        <v>0</v>
      </c>
      <c r="AJ187" s="164">
        <f t="shared" ca="1" si="674"/>
        <v>0</v>
      </c>
      <c r="AK187" s="164">
        <f t="shared" ca="1" si="675"/>
        <v>0</v>
      </c>
      <c r="AL187" s="164">
        <f t="shared" si="676"/>
        <v>0</v>
      </c>
      <c r="AM187" s="164">
        <f t="shared" ca="1" si="677"/>
        <v>0</v>
      </c>
      <c r="AN187" s="205"/>
      <c r="AO187" s="154">
        <f t="shared" ca="1" si="678"/>
        <v>0</v>
      </c>
      <c r="AP187" s="154">
        <f t="shared" ca="1" si="679"/>
        <v>0</v>
      </c>
      <c r="AQ187" s="154">
        <f t="shared" ca="1" si="680"/>
        <v>0</v>
      </c>
      <c r="AR187" s="154">
        <f t="shared" ca="1" si="681"/>
        <v>0</v>
      </c>
      <c r="AS187" s="154">
        <f t="shared" ca="1" si="682"/>
        <v>0</v>
      </c>
      <c r="AT187" s="154">
        <f t="shared" ca="1" si="683"/>
        <v>0</v>
      </c>
      <c r="AU187" s="154">
        <f t="shared" ca="1" si="684"/>
        <v>0</v>
      </c>
      <c r="AV187" s="154">
        <f t="shared" ca="1" si="685"/>
        <v>0</v>
      </c>
      <c r="AW187" s="154">
        <f t="shared" ca="1" si="686"/>
        <v>0</v>
      </c>
      <c r="AX187" s="154">
        <f t="shared" ca="1" si="687"/>
        <v>0</v>
      </c>
      <c r="AY187" s="154">
        <f t="shared" ca="1" si="688"/>
        <v>0</v>
      </c>
      <c r="AZ187" s="154">
        <f t="shared" ca="1" si="689"/>
        <v>0</v>
      </c>
      <c r="BA187" s="154">
        <f t="shared" ca="1" si="690"/>
        <v>0</v>
      </c>
      <c r="BB187" s="154">
        <f t="shared" ca="1" si="691"/>
        <v>0</v>
      </c>
      <c r="BC187" s="154">
        <f t="shared" ca="1" si="692"/>
        <v>0</v>
      </c>
      <c r="BD187" s="154">
        <f t="shared" ca="1" si="693"/>
        <v>0</v>
      </c>
      <c r="BE187" s="154">
        <f t="shared" ca="1" si="694"/>
        <v>0</v>
      </c>
      <c r="BF187" s="154">
        <f t="shared" ca="1" si="695"/>
        <v>0</v>
      </c>
      <c r="BG187" s="154">
        <f t="shared" ca="1" si="696"/>
        <v>0</v>
      </c>
      <c r="BH187" s="154">
        <f t="shared" ca="1" si="697"/>
        <v>0</v>
      </c>
      <c r="BI187" s="154">
        <f t="shared" ca="1" si="698"/>
        <v>0</v>
      </c>
      <c r="BJ187" s="154">
        <f t="shared" ca="1" si="699"/>
        <v>0</v>
      </c>
      <c r="BK187" s="154">
        <f t="shared" ca="1" si="700"/>
        <v>0</v>
      </c>
      <c r="BL187" s="154">
        <f t="shared" ca="1" si="701"/>
        <v>0</v>
      </c>
      <c r="BM187" s="154">
        <f t="shared" ca="1" si="702"/>
        <v>0</v>
      </c>
      <c r="BN187" s="1198">
        <f t="shared" si="719"/>
        <v>192</v>
      </c>
      <c r="BO187" s="1197" t="str">
        <f t="shared" si="703"/>
        <v>Charypto  (Dialekt)</v>
      </c>
      <c r="BP187" s="1197" t="str">
        <f t="shared" ca="1" si="704"/>
        <v>B</v>
      </c>
      <c r="BQ187" s="1197">
        <f t="shared" si="727"/>
        <v>11</v>
      </c>
      <c r="BR187" s="1198" t="str">
        <f t="shared" ca="1" si="720"/>
        <v/>
      </c>
      <c r="BS187" s="1198" t="s">
        <v>3841</v>
      </c>
      <c r="BT187" s="78"/>
      <c r="BU187" s="78"/>
      <c r="BV187" s="78"/>
      <c r="BW187" s="1197">
        <f t="shared" ca="1" si="721"/>
        <v>0</v>
      </c>
      <c r="BX187" s="1197">
        <f t="shared" ca="1" si="705"/>
        <v>0</v>
      </c>
      <c r="BY187" s="1197">
        <f t="shared" ca="1" si="706"/>
        <v>0</v>
      </c>
      <c r="BZ187" s="1081">
        <f t="shared" ca="1" si="707"/>
        <v>0</v>
      </c>
      <c r="CA187" s="1081">
        <f t="shared" ca="1" si="708"/>
        <v>0</v>
      </c>
      <c r="CB187" s="1081">
        <f t="shared" ca="1" si="709"/>
        <v>65</v>
      </c>
      <c r="CC187" s="1081">
        <f t="shared" ca="1" si="710"/>
        <v>66</v>
      </c>
      <c r="CD187" s="1081">
        <f t="shared" si="729"/>
        <v>0</v>
      </c>
      <c r="CE187" s="1081">
        <f t="shared" ca="1" si="711"/>
        <v>1</v>
      </c>
      <c r="CF187" s="1081">
        <f t="shared" ca="1" si="722"/>
        <v>0</v>
      </c>
      <c r="CG187" s="1198" t="str">
        <f t="shared" si="712"/>
        <v>Garethi-Familie</v>
      </c>
      <c r="CH187" s="1198" t="str">
        <f t="shared" ca="1" si="713"/>
        <v/>
      </c>
      <c r="CI187" s="1198"/>
      <c r="CJ187" s="1198"/>
      <c r="CK187" s="1198" t="str">
        <f t="shared" ca="1" si="723"/>
        <v/>
      </c>
      <c r="CL187" s="1198" t="str">
        <f t="shared" ca="1" si="724"/>
        <v/>
      </c>
      <c r="CM187" s="78"/>
      <c r="CN187" s="1081">
        <f t="shared" ca="1" si="725"/>
        <v>0</v>
      </c>
      <c r="CO187" s="1081">
        <f t="shared" ca="1" si="714"/>
        <v>0</v>
      </c>
      <c r="CP187" s="1081">
        <f t="shared" ca="1" si="726"/>
        <v>0</v>
      </c>
      <c r="DJ187" s="301" t="str">
        <f t="shared" ref="DJ187:DS196" ca="1" si="732">IF(ISERR(FIND(";"&amp;DJ$176&amp;":0;",$E187)),
CHAR($CB187+SUM(IF(ISERR(FIND(";"&amp;DJ$176&amp;";",$F187)),0,-1),IF(OR(VT_AKADGEL,VT_AKADMAG),IF(DJ$176&lt;$EF187+1,-1,0),0),IF(ISERR(FIND(";"&amp;DJ$176&amp;":",$E187)),0,-VALUE(MID($E187,FIND(";"&amp;DJ$176&amp;":",$E187)+LEN(DJ$176)+2,1))))),0)</f>
        <v>A</v>
      </c>
      <c r="DK187" s="301" t="str">
        <f t="shared" ca="1" si="732"/>
        <v>A</v>
      </c>
      <c r="DL187" s="301" t="str">
        <f t="shared" ca="1" si="732"/>
        <v>A</v>
      </c>
      <c r="DM187" s="301" t="str">
        <f t="shared" ca="1" si="732"/>
        <v>A</v>
      </c>
      <c r="DN187" s="301" t="str">
        <f t="shared" ca="1" si="732"/>
        <v>A</v>
      </c>
      <c r="DO187" s="301" t="str">
        <f t="shared" ca="1" si="732"/>
        <v>A</v>
      </c>
      <c r="DP187" s="301" t="str">
        <f t="shared" ca="1" si="732"/>
        <v>A</v>
      </c>
      <c r="DQ187" s="301" t="str">
        <f t="shared" ca="1" si="732"/>
        <v>A</v>
      </c>
      <c r="DR187" s="301" t="str">
        <f t="shared" ca="1" si="732"/>
        <v>A</v>
      </c>
      <c r="DS187" s="301" t="str">
        <f t="shared" ca="1" si="732"/>
        <v>A</v>
      </c>
      <c r="DT187" s="301" t="str">
        <f t="shared" ref="DT187:EE196" ca="1" si="733">IF(ISERR(FIND(";"&amp;DT$176&amp;":0;",$E187)),
CHAR($CB187+SUM(IF(ISERR(FIND(";"&amp;DT$176&amp;";",$F187)),0,-1),IF(OR(VT_AKADGEL,VT_AKADMAG),IF(DT$176&lt;$EF187+1,-1,0),0),IF(ISERR(FIND(";"&amp;DT$176&amp;":",$E187)),0,-VALUE(MID($E187,FIND(";"&amp;DT$176&amp;":",$E187)+LEN(DT$176)+2,1))))),0)</f>
        <v>A</v>
      </c>
      <c r="DU187" s="301" t="str">
        <f t="shared" ca="1" si="733"/>
        <v>A</v>
      </c>
      <c r="DV187" s="301" t="str">
        <f t="shared" ca="1" si="733"/>
        <v>A</v>
      </c>
      <c r="DW187" s="301" t="str">
        <f t="shared" ca="1" si="733"/>
        <v>A</v>
      </c>
      <c r="DX187" s="301" t="str">
        <f t="shared" ca="1" si="733"/>
        <v>A</v>
      </c>
      <c r="DY187" s="301" t="str">
        <f t="shared" ca="1" si="733"/>
        <v>A</v>
      </c>
      <c r="DZ187" s="301" t="str">
        <f t="shared" ca="1" si="733"/>
        <v>A</v>
      </c>
      <c r="EA187" s="301" t="str">
        <f t="shared" ca="1" si="733"/>
        <v>A</v>
      </c>
      <c r="EB187" s="301" t="str">
        <f t="shared" ca="1" si="733"/>
        <v>A</v>
      </c>
      <c r="EC187" s="301" t="str">
        <f t="shared" ca="1" si="733"/>
        <v>A</v>
      </c>
      <c r="ED187" s="301" t="str">
        <f t="shared" ca="1" si="733"/>
        <v>A</v>
      </c>
      <c r="EE187" s="301" t="str">
        <f t="shared" ca="1" si="733"/>
        <v>A</v>
      </c>
      <c r="EF187" s="301">
        <f t="shared" si="717"/>
        <v>0</v>
      </c>
      <c r="EG187" s="1426" t="str">
        <f t="shared" ca="1" si="728"/>
        <v>B</v>
      </c>
      <c r="EH187" s="1429" t="str">
        <f t="shared" ca="1" si="728"/>
        <v>B</v>
      </c>
      <c r="EI187" s="1429" t="str">
        <f t="shared" ca="1" si="728"/>
        <v>B</v>
      </c>
      <c r="EJ187" s="1429" t="str">
        <f t="shared" ca="1" si="728"/>
        <v>B</v>
      </c>
      <c r="EK187" s="1429" t="str">
        <f t="shared" ca="1" si="728"/>
        <v>B</v>
      </c>
      <c r="EL187" s="1429" t="str">
        <f t="shared" ca="1" si="728"/>
        <v>B</v>
      </c>
      <c r="EM187" s="1429" t="str">
        <f t="shared" ca="1" si="728"/>
        <v>B</v>
      </c>
      <c r="EN187" s="1429" t="str">
        <f t="shared" ca="1" si="728"/>
        <v>B</v>
      </c>
      <c r="EO187" s="1429" t="str">
        <f t="shared" ca="1" si="728"/>
        <v>B</v>
      </c>
      <c r="EP187" s="1429" t="str">
        <f t="shared" ca="1" si="728"/>
        <v>B</v>
      </c>
      <c r="EQ187" s="1429" t="str">
        <f t="shared" ca="1" si="728"/>
        <v>B</v>
      </c>
      <c r="ER187" s="1429" t="str">
        <f t="shared" ca="1" si="728"/>
        <v>B</v>
      </c>
      <c r="ES187" s="1429" t="str">
        <f t="shared" ca="1" si="728"/>
        <v>B</v>
      </c>
      <c r="ET187" s="1429" t="str">
        <f t="shared" ca="1" si="728"/>
        <v>B</v>
      </c>
      <c r="EU187" s="1429" t="str">
        <f t="shared" ca="1" si="728"/>
        <v>B</v>
      </c>
      <c r="EV187" s="1429" t="str">
        <f t="shared" ca="1" si="728"/>
        <v>B</v>
      </c>
      <c r="EW187" s="1429" t="str">
        <f t="shared" ca="1" si="730"/>
        <v>B</v>
      </c>
      <c r="EX187" s="1429" t="str">
        <f t="shared" ca="1" si="730"/>
        <v>B</v>
      </c>
      <c r="EY187" s="1429" t="str">
        <f t="shared" ca="1" si="730"/>
        <v>B</v>
      </c>
      <c r="EZ187" s="1429" t="str">
        <f t="shared" ca="1" si="730"/>
        <v>B</v>
      </c>
      <c r="FA187" s="1429" t="str">
        <f t="shared" ca="1" si="730"/>
        <v>B</v>
      </c>
      <c r="FB187" s="1429" t="str">
        <f t="shared" ca="1" si="730"/>
        <v>B</v>
      </c>
      <c r="FC187" s="1429" t="str">
        <f t="shared" ca="1" si="730"/>
        <v>B</v>
      </c>
      <c r="FD187" s="1429" t="str">
        <f t="shared" ca="1" si="730"/>
        <v>B</v>
      </c>
      <c r="FE187" s="1429" t="str">
        <f t="shared" ca="1" si="731"/>
        <v>B</v>
      </c>
      <c r="FF187" s="1429" t="str">
        <f t="shared" ca="1" si="731"/>
        <v>B</v>
      </c>
      <c r="FG187" s="1429" t="str">
        <f t="shared" ca="1" si="731"/>
        <v>B</v>
      </c>
      <c r="FH187" s="1429" t="str">
        <f t="shared" ca="1" si="731"/>
        <v>B</v>
      </c>
      <c r="FI187" s="1429" t="str">
        <f t="shared" ca="1" si="731"/>
        <v>B</v>
      </c>
      <c r="FJ187" s="1429" t="str">
        <f t="shared" ca="1" si="731"/>
        <v>B</v>
      </c>
      <c r="FK187" s="1429" t="str">
        <f t="shared" ca="1" si="731"/>
        <v>B</v>
      </c>
      <c r="FL187" s="1429" t="str">
        <f t="shared" ca="1" si="731"/>
        <v>B</v>
      </c>
    </row>
    <row r="188" spans="1:168" x14ac:dyDescent="0.2">
      <c r="A188" s="62" t="str">
        <f t="shared" si="649"/>
        <v>Drachisch</v>
      </c>
      <c r="B188" s="317" t="str">
        <f t="shared" ca="1" si="650"/>
        <v/>
      </c>
      <c r="C188" s="332" t="str">
        <f ca="1">IF(AND(EXACT($F188,""),EXACT($G188,"")),IF(OR(NOT(ISBLANK(D188)),NOT(EXACT(HLOOKUP(RASSEGENE,RASSE,$BN188,FALSE),"")),NOT(EXACT(HLOOKUP(KULTURGENE,KULTUR,$BN188,FALSE),"")),NOT(EXACT(HLOOKUP(PROFGENE,INDIRECT(PROFGEBIET),$BN188,FALSE),"")),
IF(LEN(PROFZWEITE)&lt;1,FALSE,NOT(EXACT(HLOOKUP(Generierung!$D$12,INDIRECT(PROFGEBIET2),$BN188,FALSE),"")))
),"x",""),"")</f>
        <v/>
      </c>
      <c r="D188" s="1110"/>
      <c r="E188" s="325"/>
      <c r="F188" s="388" t="str">
        <f t="shared" ca="1" si="651"/>
        <v/>
      </c>
      <c r="G188" s="388" t="str">
        <f t="shared" ca="1" si="652"/>
        <v/>
      </c>
      <c r="H188" s="389"/>
      <c r="I188" s="1196"/>
      <c r="J188" s="326"/>
      <c r="O188" s="514" t="str">
        <f t="shared" ca="1" si="653"/>
        <v/>
      </c>
      <c r="P188" s="164">
        <f t="shared" ca="1" si="654"/>
        <v>0</v>
      </c>
      <c r="Q188" s="164">
        <f t="shared" ca="1" si="655"/>
        <v>0</v>
      </c>
      <c r="R188" s="164">
        <f t="shared" ca="1" si="656"/>
        <v>0</v>
      </c>
      <c r="S188" s="164">
        <f t="shared" ca="1" si="657"/>
        <v>0</v>
      </c>
      <c r="T188" s="164">
        <f t="shared" ca="1" si="658"/>
        <v>0</v>
      </c>
      <c r="U188" s="164">
        <f t="shared" ca="1" si="659"/>
        <v>0</v>
      </c>
      <c r="V188" s="164">
        <f t="shared" ca="1" si="660"/>
        <v>0</v>
      </c>
      <c r="W188" s="164">
        <f t="shared" ca="1" si="661"/>
        <v>0</v>
      </c>
      <c r="X188" s="164">
        <f t="shared" ca="1" si="662"/>
        <v>0</v>
      </c>
      <c r="Y188" s="164">
        <f t="shared" ca="1" si="663"/>
        <v>0</v>
      </c>
      <c r="Z188" s="164">
        <f t="shared" ca="1" si="664"/>
        <v>0</v>
      </c>
      <c r="AA188" s="164">
        <f t="shared" ca="1" si="665"/>
        <v>0</v>
      </c>
      <c r="AB188" s="164">
        <f t="shared" ca="1" si="666"/>
        <v>0</v>
      </c>
      <c r="AC188" s="164">
        <f t="shared" ca="1" si="667"/>
        <v>0</v>
      </c>
      <c r="AD188" s="164">
        <f t="shared" ca="1" si="668"/>
        <v>0</v>
      </c>
      <c r="AE188" s="164">
        <f t="shared" ca="1" si="669"/>
        <v>0</v>
      </c>
      <c r="AF188" s="164">
        <f t="shared" ca="1" si="670"/>
        <v>0</v>
      </c>
      <c r="AG188" s="164">
        <f t="shared" ca="1" si="671"/>
        <v>0</v>
      </c>
      <c r="AH188" s="164">
        <f t="shared" ca="1" si="672"/>
        <v>0</v>
      </c>
      <c r="AI188" s="164">
        <f t="shared" ca="1" si="673"/>
        <v>0</v>
      </c>
      <c r="AJ188" s="164">
        <f t="shared" ca="1" si="674"/>
        <v>0</v>
      </c>
      <c r="AK188" s="164">
        <f t="shared" ca="1" si="675"/>
        <v>0</v>
      </c>
      <c r="AL188" s="164">
        <f t="shared" si="676"/>
        <v>0</v>
      </c>
      <c r="AM188" s="164">
        <f t="shared" ca="1" si="677"/>
        <v>0</v>
      </c>
      <c r="AN188" s="205"/>
      <c r="AO188" s="154">
        <f t="shared" ca="1" si="678"/>
        <v>0</v>
      </c>
      <c r="AP188" s="154">
        <f t="shared" ca="1" si="679"/>
        <v>0</v>
      </c>
      <c r="AQ188" s="154">
        <f t="shared" ca="1" si="680"/>
        <v>0</v>
      </c>
      <c r="AR188" s="154">
        <f t="shared" ca="1" si="681"/>
        <v>0</v>
      </c>
      <c r="AS188" s="154">
        <f t="shared" ca="1" si="682"/>
        <v>0</v>
      </c>
      <c r="AT188" s="154">
        <f t="shared" ca="1" si="683"/>
        <v>0</v>
      </c>
      <c r="AU188" s="154">
        <f t="shared" ca="1" si="684"/>
        <v>0</v>
      </c>
      <c r="AV188" s="154">
        <f t="shared" ca="1" si="685"/>
        <v>0</v>
      </c>
      <c r="AW188" s="154">
        <f t="shared" ca="1" si="686"/>
        <v>0</v>
      </c>
      <c r="AX188" s="154">
        <f t="shared" ca="1" si="687"/>
        <v>0</v>
      </c>
      <c r="AY188" s="154">
        <f t="shared" ca="1" si="688"/>
        <v>0</v>
      </c>
      <c r="AZ188" s="154">
        <f t="shared" ca="1" si="689"/>
        <v>0</v>
      </c>
      <c r="BA188" s="154">
        <f t="shared" ca="1" si="690"/>
        <v>0</v>
      </c>
      <c r="BB188" s="154">
        <f t="shared" ca="1" si="691"/>
        <v>0</v>
      </c>
      <c r="BC188" s="154">
        <f t="shared" ca="1" si="692"/>
        <v>0</v>
      </c>
      <c r="BD188" s="154">
        <f t="shared" ca="1" si="693"/>
        <v>0</v>
      </c>
      <c r="BE188" s="154">
        <f t="shared" ca="1" si="694"/>
        <v>0</v>
      </c>
      <c r="BF188" s="154">
        <f t="shared" ca="1" si="695"/>
        <v>0</v>
      </c>
      <c r="BG188" s="154">
        <f t="shared" ca="1" si="696"/>
        <v>0</v>
      </c>
      <c r="BH188" s="154">
        <f t="shared" ca="1" si="697"/>
        <v>0</v>
      </c>
      <c r="BI188" s="154">
        <f t="shared" ca="1" si="698"/>
        <v>0</v>
      </c>
      <c r="BJ188" s="154">
        <f t="shared" ca="1" si="699"/>
        <v>0</v>
      </c>
      <c r="BK188" s="154">
        <f t="shared" ca="1" si="700"/>
        <v>0</v>
      </c>
      <c r="BL188" s="154">
        <f t="shared" ca="1" si="701"/>
        <v>0</v>
      </c>
      <c r="BM188" s="154">
        <f t="shared" ca="1" si="702"/>
        <v>0</v>
      </c>
      <c r="BN188" s="1198">
        <f t="shared" si="719"/>
        <v>193</v>
      </c>
      <c r="BO188" s="1197" t="str">
        <f t="shared" si="703"/>
        <v>Drachisch</v>
      </c>
      <c r="BP188" s="1197" t="str">
        <f t="shared" ca="1" si="704"/>
        <v>B</v>
      </c>
      <c r="BQ188" s="1197">
        <f t="shared" si="727"/>
        <v>12</v>
      </c>
      <c r="BR188" s="1198" t="str">
        <f t="shared" ca="1" si="720"/>
        <v/>
      </c>
      <c r="BS188" s="1198" t="s">
        <v>1511</v>
      </c>
      <c r="BT188" s="78"/>
      <c r="BU188" s="78"/>
      <c r="BV188" s="78"/>
      <c r="BW188" s="1197">
        <f t="shared" ca="1" si="721"/>
        <v>0</v>
      </c>
      <c r="BX188" s="1197">
        <f t="shared" ca="1" si="705"/>
        <v>0</v>
      </c>
      <c r="BY188" s="1197">
        <f t="shared" ca="1" si="706"/>
        <v>0</v>
      </c>
      <c r="BZ188" s="1081">
        <f t="shared" ca="1" si="707"/>
        <v>0</v>
      </c>
      <c r="CA188" s="1081">
        <f t="shared" ca="1" si="708"/>
        <v>0</v>
      </c>
      <c r="CB188" s="1081">
        <f t="shared" ca="1" si="709"/>
        <v>65</v>
      </c>
      <c r="CC188" s="1081">
        <f t="shared" ca="1" si="710"/>
        <v>66</v>
      </c>
      <c r="CD188" s="1081">
        <f t="shared" si="729"/>
        <v>0</v>
      </c>
      <c r="CE188" s="1081">
        <f t="shared" ca="1" si="711"/>
        <v>1</v>
      </c>
      <c r="CF188" s="1081">
        <f t="shared" ca="1" si="722"/>
        <v>0</v>
      </c>
      <c r="CG188" s="1198" t="str">
        <f t="shared" si="712"/>
        <v>Drachisch</v>
      </c>
      <c r="CH188" s="1198" t="str">
        <f t="shared" ca="1" si="713"/>
        <v/>
      </c>
      <c r="CI188" s="1198"/>
      <c r="CJ188" s="1198"/>
      <c r="CK188" s="1198" t="str">
        <f t="shared" ca="1" si="723"/>
        <v/>
      </c>
      <c r="CL188" s="1198" t="str">
        <f t="shared" ca="1" si="724"/>
        <v/>
      </c>
      <c r="CM188" s="78"/>
      <c r="CN188" s="1081">
        <f t="shared" ca="1" si="725"/>
        <v>0</v>
      </c>
      <c r="CO188" s="1081">
        <f t="shared" ca="1" si="714"/>
        <v>0</v>
      </c>
      <c r="CP188" s="1081">
        <f t="shared" ca="1" si="726"/>
        <v>0</v>
      </c>
      <c r="DJ188" s="301" t="str">
        <f t="shared" ca="1" si="732"/>
        <v>A</v>
      </c>
      <c r="DK188" s="301" t="str">
        <f t="shared" ca="1" si="732"/>
        <v>A</v>
      </c>
      <c r="DL188" s="301" t="str">
        <f t="shared" ca="1" si="732"/>
        <v>A</v>
      </c>
      <c r="DM188" s="301" t="str">
        <f t="shared" ca="1" si="732"/>
        <v>A</v>
      </c>
      <c r="DN188" s="301" t="str">
        <f t="shared" ca="1" si="732"/>
        <v>A</v>
      </c>
      <c r="DO188" s="301" t="str">
        <f t="shared" ca="1" si="732"/>
        <v>A</v>
      </c>
      <c r="DP188" s="301" t="str">
        <f t="shared" ca="1" si="732"/>
        <v>A</v>
      </c>
      <c r="DQ188" s="301" t="str">
        <f t="shared" ca="1" si="732"/>
        <v>A</v>
      </c>
      <c r="DR188" s="301" t="str">
        <f t="shared" ca="1" si="732"/>
        <v>A</v>
      </c>
      <c r="DS188" s="301" t="str">
        <f t="shared" ca="1" si="732"/>
        <v>A</v>
      </c>
      <c r="DT188" s="301" t="str">
        <f t="shared" ca="1" si="733"/>
        <v>A</v>
      </c>
      <c r="DU188" s="301" t="str">
        <f t="shared" ca="1" si="733"/>
        <v>A</v>
      </c>
      <c r="DV188" s="301" t="str">
        <f t="shared" ca="1" si="733"/>
        <v>A</v>
      </c>
      <c r="DW188" s="301" t="str">
        <f t="shared" ca="1" si="733"/>
        <v>A</v>
      </c>
      <c r="DX188" s="301" t="str">
        <f t="shared" ca="1" si="733"/>
        <v>A</v>
      </c>
      <c r="DY188" s="301" t="str">
        <f t="shared" ca="1" si="733"/>
        <v>A</v>
      </c>
      <c r="DZ188" s="301" t="str">
        <f t="shared" ca="1" si="733"/>
        <v>A</v>
      </c>
      <c r="EA188" s="301" t="str">
        <f t="shared" ca="1" si="733"/>
        <v>A</v>
      </c>
      <c r="EB188" s="301" t="str">
        <f t="shared" ca="1" si="733"/>
        <v>A</v>
      </c>
      <c r="EC188" s="301" t="str">
        <f t="shared" ca="1" si="733"/>
        <v>A</v>
      </c>
      <c r="ED188" s="301" t="str">
        <f t="shared" ca="1" si="733"/>
        <v>A</v>
      </c>
      <c r="EE188" s="301" t="str">
        <f t="shared" ca="1" si="733"/>
        <v>A</v>
      </c>
      <c r="EF188" s="301">
        <f t="shared" si="717"/>
        <v>0</v>
      </c>
      <c r="EG188" s="1426" t="str">
        <f t="shared" ca="1" si="728"/>
        <v>B</v>
      </c>
      <c r="EH188" s="1429" t="str">
        <f t="shared" ca="1" si="728"/>
        <v>B</v>
      </c>
      <c r="EI188" s="1429" t="str">
        <f t="shared" ca="1" si="728"/>
        <v>B</v>
      </c>
      <c r="EJ188" s="1429" t="str">
        <f t="shared" ca="1" si="728"/>
        <v>B</v>
      </c>
      <c r="EK188" s="1429" t="str">
        <f t="shared" ca="1" si="728"/>
        <v>B</v>
      </c>
      <c r="EL188" s="1429" t="str">
        <f t="shared" ca="1" si="728"/>
        <v>B</v>
      </c>
      <c r="EM188" s="1429" t="str">
        <f t="shared" ca="1" si="728"/>
        <v>B</v>
      </c>
      <c r="EN188" s="1429" t="str">
        <f t="shared" ca="1" si="728"/>
        <v>B</v>
      </c>
      <c r="EO188" s="1429" t="str">
        <f t="shared" ca="1" si="728"/>
        <v>B</v>
      </c>
      <c r="EP188" s="1429" t="str">
        <f t="shared" ca="1" si="728"/>
        <v>B</v>
      </c>
      <c r="EQ188" s="1429" t="str">
        <f t="shared" ca="1" si="728"/>
        <v>B</v>
      </c>
      <c r="ER188" s="1429" t="str">
        <f t="shared" ca="1" si="728"/>
        <v>B</v>
      </c>
      <c r="ES188" s="1429" t="str">
        <f t="shared" ca="1" si="728"/>
        <v>B</v>
      </c>
      <c r="ET188" s="1429" t="str">
        <f t="shared" ca="1" si="728"/>
        <v>B</v>
      </c>
      <c r="EU188" s="1429" t="str">
        <f t="shared" ca="1" si="728"/>
        <v>B</v>
      </c>
      <c r="EV188" s="1429" t="str">
        <f t="shared" ca="1" si="728"/>
        <v>B</v>
      </c>
      <c r="EW188" s="1429" t="str">
        <f t="shared" ca="1" si="730"/>
        <v>B</v>
      </c>
      <c r="EX188" s="1429" t="str">
        <f t="shared" ca="1" si="730"/>
        <v>B</v>
      </c>
      <c r="EY188" s="1429" t="str">
        <f t="shared" ca="1" si="730"/>
        <v>B</v>
      </c>
      <c r="EZ188" s="1429" t="str">
        <f t="shared" ca="1" si="730"/>
        <v>B</v>
      </c>
      <c r="FA188" s="1429" t="str">
        <f t="shared" ca="1" si="730"/>
        <v>B</v>
      </c>
      <c r="FB188" s="1429" t="str">
        <f t="shared" ca="1" si="730"/>
        <v>B</v>
      </c>
      <c r="FC188" s="1429" t="str">
        <f t="shared" ca="1" si="730"/>
        <v>B</v>
      </c>
      <c r="FD188" s="1429" t="str">
        <f t="shared" ca="1" si="730"/>
        <v>B</v>
      </c>
      <c r="FE188" s="1429" t="str">
        <f t="shared" ca="1" si="731"/>
        <v>B</v>
      </c>
      <c r="FF188" s="1429" t="str">
        <f t="shared" ca="1" si="731"/>
        <v>B</v>
      </c>
      <c r="FG188" s="1429" t="str">
        <f t="shared" ca="1" si="731"/>
        <v>B</v>
      </c>
      <c r="FH188" s="1429" t="str">
        <f t="shared" ca="1" si="731"/>
        <v>B</v>
      </c>
      <c r="FI188" s="1429" t="str">
        <f t="shared" ca="1" si="731"/>
        <v>B</v>
      </c>
      <c r="FJ188" s="1429" t="str">
        <f t="shared" ca="1" si="731"/>
        <v>B</v>
      </c>
      <c r="FK188" s="1429" t="str">
        <f t="shared" ca="1" si="731"/>
        <v>B</v>
      </c>
      <c r="FL188" s="1429" t="str">
        <f t="shared" ca="1" si="731"/>
        <v>B</v>
      </c>
    </row>
    <row r="189" spans="1:168" x14ac:dyDescent="0.2">
      <c r="A189" s="62" t="str">
        <f t="shared" si="649"/>
        <v>Ferkina</v>
      </c>
      <c r="B189" s="317" t="str">
        <f t="shared" ca="1" si="650"/>
        <v/>
      </c>
      <c r="C189" s="332" t="str">
        <f ca="1">IF(AND(EXACT($F189,""),EXACT($G189,"")),IF(OR(NOT(ISBLANK(D189)),NOT(EXACT(HLOOKUP(RASSEGENE,RASSE,$BN189,FALSE),"")),NOT(EXACT(HLOOKUP(KULTURGENE,KULTUR,$BN189,FALSE),"")),NOT(EXACT(HLOOKUP(PROFGENE,INDIRECT(PROFGEBIET),$BN189,FALSE),"")),
IF(LEN(PROFZWEITE)&lt;1,FALSE,NOT(EXACT(HLOOKUP(Generierung!$D$12,INDIRECT(PROFGEBIET2),$BN189,FALSE),"")))
),"x",""),"")</f>
        <v/>
      </c>
      <c r="D189" s="1110"/>
      <c r="E189" s="325"/>
      <c r="F189" s="388" t="str">
        <f t="shared" ca="1" si="651"/>
        <v/>
      </c>
      <c r="G189" s="388" t="str">
        <f t="shared" ca="1" si="652"/>
        <v/>
      </c>
      <c r="H189" s="389"/>
      <c r="I189" s="1196"/>
      <c r="J189" s="326"/>
      <c r="O189" s="514" t="str">
        <f t="shared" ca="1" si="653"/>
        <v/>
      </c>
      <c r="P189" s="164">
        <f t="shared" ca="1" si="654"/>
        <v>0</v>
      </c>
      <c r="Q189" s="164">
        <f t="shared" ca="1" si="655"/>
        <v>0</v>
      </c>
      <c r="R189" s="164">
        <f t="shared" ca="1" si="656"/>
        <v>0</v>
      </c>
      <c r="S189" s="164">
        <f t="shared" ca="1" si="657"/>
        <v>0</v>
      </c>
      <c r="T189" s="164">
        <f t="shared" ca="1" si="658"/>
        <v>0</v>
      </c>
      <c r="U189" s="164">
        <f t="shared" ca="1" si="659"/>
        <v>0</v>
      </c>
      <c r="V189" s="164">
        <f t="shared" ca="1" si="660"/>
        <v>0</v>
      </c>
      <c r="W189" s="164">
        <f t="shared" ca="1" si="661"/>
        <v>0</v>
      </c>
      <c r="X189" s="164">
        <f t="shared" ca="1" si="662"/>
        <v>0</v>
      </c>
      <c r="Y189" s="164">
        <f t="shared" ca="1" si="663"/>
        <v>0</v>
      </c>
      <c r="Z189" s="164">
        <f t="shared" ca="1" si="664"/>
        <v>0</v>
      </c>
      <c r="AA189" s="164">
        <f t="shared" ca="1" si="665"/>
        <v>0</v>
      </c>
      <c r="AB189" s="164">
        <f t="shared" ca="1" si="666"/>
        <v>0</v>
      </c>
      <c r="AC189" s="164">
        <f t="shared" ca="1" si="667"/>
        <v>0</v>
      </c>
      <c r="AD189" s="164">
        <f t="shared" ca="1" si="668"/>
        <v>0</v>
      </c>
      <c r="AE189" s="164">
        <f t="shared" ca="1" si="669"/>
        <v>0</v>
      </c>
      <c r="AF189" s="164">
        <f t="shared" ca="1" si="670"/>
        <v>0</v>
      </c>
      <c r="AG189" s="164">
        <f t="shared" ca="1" si="671"/>
        <v>0</v>
      </c>
      <c r="AH189" s="164">
        <f t="shared" ca="1" si="672"/>
        <v>0</v>
      </c>
      <c r="AI189" s="164">
        <f t="shared" ca="1" si="673"/>
        <v>0</v>
      </c>
      <c r="AJ189" s="164">
        <f t="shared" ca="1" si="674"/>
        <v>0</v>
      </c>
      <c r="AK189" s="164">
        <f t="shared" ca="1" si="675"/>
        <v>0</v>
      </c>
      <c r="AL189" s="164">
        <f t="shared" si="676"/>
        <v>0</v>
      </c>
      <c r="AM189" s="164">
        <f t="shared" ca="1" si="677"/>
        <v>0</v>
      </c>
      <c r="AN189" s="205"/>
      <c r="AO189" s="154">
        <f t="shared" ca="1" si="678"/>
        <v>0</v>
      </c>
      <c r="AP189" s="154">
        <f t="shared" ca="1" si="679"/>
        <v>0</v>
      </c>
      <c r="AQ189" s="154">
        <f t="shared" ca="1" si="680"/>
        <v>0</v>
      </c>
      <c r="AR189" s="154">
        <f t="shared" ca="1" si="681"/>
        <v>0</v>
      </c>
      <c r="AS189" s="154">
        <f t="shared" ca="1" si="682"/>
        <v>0</v>
      </c>
      <c r="AT189" s="154">
        <f t="shared" ca="1" si="683"/>
        <v>0</v>
      </c>
      <c r="AU189" s="154">
        <f t="shared" ca="1" si="684"/>
        <v>0</v>
      </c>
      <c r="AV189" s="154">
        <f t="shared" ca="1" si="685"/>
        <v>0</v>
      </c>
      <c r="AW189" s="154">
        <f t="shared" ca="1" si="686"/>
        <v>0</v>
      </c>
      <c r="AX189" s="154">
        <f t="shared" ca="1" si="687"/>
        <v>0</v>
      </c>
      <c r="AY189" s="154">
        <f t="shared" ca="1" si="688"/>
        <v>0</v>
      </c>
      <c r="AZ189" s="154">
        <f t="shared" ca="1" si="689"/>
        <v>0</v>
      </c>
      <c r="BA189" s="154">
        <f t="shared" ca="1" si="690"/>
        <v>0</v>
      </c>
      <c r="BB189" s="154">
        <f t="shared" ca="1" si="691"/>
        <v>0</v>
      </c>
      <c r="BC189" s="154">
        <f t="shared" ca="1" si="692"/>
        <v>0</v>
      </c>
      <c r="BD189" s="154">
        <f t="shared" ca="1" si="693"/>
        <v>0</v>
      </c>
      <c r="BE189" s="154">
        <f t="shared" ca="1" si="694"/>
        <v>0</v>
      </c>
      <c r="BF189" s="154">
        <f t="shared" ca="1" si="695"/>
        <v>0</v>
      </c>
      <c r="BG189" s="154">
        <f t="shared" ca="1" si="696"/>
        <v>0</v>
      </c>
      <c r="BH189" s="154">
        <f t="shared" ca="1" si="697"/>
        <v>0</v>
      </c>
      <c r="BI189" s="154">
        <f t="shared" ca="1" si="698"/>
        <v>0</v>
      </c>
      <c r="BJ189" s="154">
        <f t="shared" ca="1" si="699"/>
        <v>0</v>
      </c>
      <c r="BK189" s="154">
        <f t="shared" ca="1" si="700"/>
        <v>0</v>
      </c>
      <c r="BL189" s="154">
        <f t="shared" ca="1" si="701"/>
        <v>0</v>
      </c>
      <c r="BM189" s="154">
        <f t="shared" ca="1" si="702"/>
        <v>0</v>
      </c>
      <c r="BN189" s="1198">
        <f t="shared" si="719"/>
        <v>194</v>
      </c>
      <c r="BO189" s="1197" t="str">
        <f t="shared" si="703"/>
        <v>Ferkina</v>
      </c>
      <c r="BP189" s="1197" t="str">
        <f t="shared" ca="1" si="704"/>
        <v>B</v>
      </c>
      <c r="BQ189" s="1197">
        <f t="shared" si="727"/>
        <v>13</v>
      </c>
      <c r="BR189" s="1198" t="str">
        <f t="shared" ca="1" si="720"/>
        <v/>
      </c>
      <c r="BS189" s="1198" t="s">
        <v>2145</v>
      </c>
      <c r="BT189" s="78"/>
      <c r="BU189" s="78"/>
      <c r="BV189" s="78"/>
      <c r="BW189" s="1197">
        <f t="shared" ca="1" si="721"/>
        <v>0</v>
      </c>
      <c r="BX189" s="1197">
        <f t="shared" ca="1" si="705"/>
        <v>0</v>
      </c>
      <c r="BY189" s="1197">
        <f t="shared" ca="1" si="706"/>
        <v>0</v>
      </c>
      <c r="BZ189" s="1081">
        <f t="shared" ca="1" si="707"/>
        <v>0</v>
      </c>
      <c r="CA189" s="1081">
        <f t="shared" ca="1" si="708"/>
        <v>0</v>
      </c>
      <c r="CB189" s="1081">
        <f t="shared" ca="1" si="709"/>
        <v>65</v>
      </c>
      <c r="CC189" s="1081">
        <f t="shared" ca="1" si="710"/>
        <v>66</v>
      </c>
      <c r="CD189" s="1081">
        <f t="shared" si="729"/>
        <v>0</v>
      </c>
      <c r="CE189" s="1081">
        <f t="shared" ca="1" si="711"/>
        <v>1</v>
      </c>
      <c r="CF189" s="1081">
        <f t="shared" ca="1" si="722"/>
        <v>0</v>
      </c>
      <c r="CG189" s="1198" t="str">
        <f t="shared" si="712"/>
        <v>Tulamidya-Familie</v>
      </c>
      <c r="CH189" s="1198" t="str">
        <f t="shared" ca="1" si="713"/>
        <v/>
      </c>
      <c r="CI189" s="1198"/>
      <c r="CJ189" s="1198"/>
      <c r="CK189" s="1198" t="str">
        <f t="shared" ca="1" si="723"/>
        <v/>
      </c>
      <c r="CL189" s="1198" t="str">
        <f t="shared" ca="1" si="724"/>
        <v/>
      </c>
      <c r="CM189" s="78"/>
      <c r="CN189" s="1081">
        <f t="shared" ca="1" si="725"/>
        <v>0</v>
      </c>
      <c r="CO189" s="1081">
        <f t="shared" ca="1" si="714"/>
        <v>0</v>
      </c>
      <c r="CP189" s="1081">
        <f t="shared" ca="1" si="726"/>
        <v>0</v>
      </c>
      <c r="DJ189" s="301" t="str">
        <f t="shared" ca="1" si="732"/>
        <v>A</v>
      </c>
      <c r="DK189" s="301" t="str">
        <f t="shared" ca="1" si="732"/>
        <v>A</v>
      </c>
      <c r="DL189" s="301" t="str">
        <f t="shared" ca="1" si="732"/>
        <v>A</v>
      </c>
      <c r="DM189" s="301" t="str">
        <f t="shared" ca="1" si="732"/>
        <v>A</v>
      </c>
      <c r="DN189" s="301" t="str">
        <f t="shared" ca="1" si="732"/>
        <v>A</v>
      </c>
      <c r="DO189" s="301" t="str">
        <f t="shared" ca="1" si="732"/>
        <v>A</v>
      </c>
      <c r="DP189" s="301" t="str">
        <f t="shared" ca="1" si="732"/>
        <v>A</v>
      </c>
      <c r="DQ189" s="301" t="str">
        <f t="shared" ca="1" si="732"/>
        <v>A</v>
      </c>
      <c r="DR189" s="301" t="str">
        <f t="shared" ca="1" si="732"/>
        <v>A</v>
      </c>
      <c r="DS189" s="301" t="str">
        <f t="shared" ca="1" si="732"/>
        <v>A</v>
      </c>
      <c r="DT189" s="301" t="str">
        <f t="shared" ca="1" si="733"/>
        <v>A</v>
      </c>
      <c r="DU189" s="301" t="str">
        <f t="shared" ca="1" si="733"/>
        <v>A</v>
      </c>
      <c r="DV189" s="301" t="str">
        <f t="shared" ca="1" si="733"/>
        <v>A</v>
      </c>
      <c r="DW189" s="301" t="str">
        <f t="shared" ca="1" si="733"/>
        <v>A</v>
      </c>
      <c r="DX189" s="301" t="str">
        <f t="shared" ca="1" si="733"/>
        <v>A</v>
      </c>
      <c r="DY189" s="301" t="str">
        <f t="shared" ca="1" si="733"/>
        <v>A</v>
      </c>
      <c r="DZ189" s="301" t="str">
        <f t="shared" ca="1" si="733"/>
        <v>A</v>
      </c>
      <c r="EA189" s="301" t="str">
        <f t="shared" ca="1" si="733"/>
        <v>A</v>
      </c>
      <c r="EB189" s="301" t="str">
        <f t="shared" ca="1" si="733"/>
        <v>A</v>
      </c>
      <c r="EC189" s="301" t="str">
        <f t="shared" ca="1" si="733"/>
        <v>A</v>
      </c>
      <c r="ED189" s="301" t="str">
        <f t="shared" ca="1" si="733"/>
        <v>A</v>
      </c>
      <c r="EE189" s="301" t="str">
        <f t="shared" ca="1" si="733"/>
        <v>A</v>
      </c>
      <c r="EF189" s="301">
        <f t="shared" si="717"/>
        <v>0</v>
      </c>
      <c r="EG189" s="1426" t="str">
        <f t="shared" ca="1" si="728"/>
        <v>B</v>
      </c>
      <c r="EH189" s="1429" t="str">
        <f t="shared" ca="1" si="728"/>
        <v>B</v>
      </c>
      <c r="EI189" s="1429" t="str">
        <f t="shared" ca="1" si="728"/>
        <v>B</v>
      </c>
      <c r="EJ189" s="1429" t="str">
        <f t="shared" ca="1" si="728"/>
        <v>B</v>
      </c>
      <c r="EK189" s="1429" t="str">
        <f t="shared" ca="1" si="728"/>
        <v>B</v>
      </c>
      <c r="EL189" s="1429" t="str">
        <f t="shared" ca="1" si="728"/>
        <v>B</v>
      </c>
      <c r="EM189" s="1429" t="str">
        <f t="shared" ca="1" si="728"/>
        <v>B</v>
      </c>
      <c r="EN189" s="1429" t="str">
        <f t="shared" ca="1" si="728"/>
        <v>B</v>
      </c>
      <c r="EO189" s="1429" t="str">
        <f t="shared" ca="1" si="728"/>
        <v>B</v>
      </c>
      <c r="EP189" s="1429" t="str">
        <f t="shared" ca="1" si="728"/>
        <v>B</v>
      </c>
      <c r="EQ189" s="1429" t="str">
        <f t="shared" ca="1" si="728"/>
        <v>B</v>
      </c>
      <c r="ER189" s="1429" t="str">
        <f t="shared" ca="1" si="728"/>
        <v>B</v>
      </c>
      <c r="ES189" s="1429" t="str">
        <f t="shared" ca="1" si="728"/>
        <v>B</v>
      </c>
      <c r="ET189" s="1429" t="str">
        <f t="shared" ca="1" si="728"/>
        <v>B</v>
      </c>
      <c r="EU189" s="1429" t="str">
        <f t="shared" ca="1" si="728"/>
        <v>B</v>
      </c>
      <c r="EV189" s="1429" t="str">
        <f t="shared" ca="1" si="728"/>
        <v>B</v>
      </c>
      <c r="EW189" s="1429" t="str">
        <f t="shared" ca="1" si="730"/>
        <v>B</v>
      </c>
      <c r="EX189" s="1429" t="str">
        <f t="shared" ca="1" si="730"/>
        <v>B</v>
      </c>
      <c r="EY189" s="1429" t="str">
        <f t="shared" ca="1" si="730"/>
        <v>B</v>
      </c>
      <c r="EZ189" s="1429" t="str">
        <f t="shared" ca="1" si="730"/>
        <v>B</v>
      </c>
      <c r="FA189" s="1429" t="str">
        <f t="shared" ca="1" si="730"/>
        <v>B</v>
      </c>
      <c r="FB189" s="1429" t="str">
        <f t="shared" ca="1" si="730"/>
        <v>B</v>
      </c>
      <c r="FC189" s="1429" t="str">
        <f t="shared" ca="1" si="730"/>
        <v>B</v>
      </c>
      <c r="FD189" s="1429" t="str">
        <f t="shared" ca="1" si="730"/>
        <v>B</v>
      </c>
      <c r="FE189" s="1429" t="str">
        <f t="shared" ca="1" si="731"/>
        <v>B</v>
      </c>
      <c r="FF189" s="1429" t="str">
        <f t="shared" ca="1" si="731"/>
        <v>B</v>
      </c>
      <c r="FG189" s="1429" t="str">
        <f t="shared" ca="1" si="731"/>
        <v>B</v>
      </c>
      <c r="FH189" s="1429" t="str">
        <f t="shared" ca="1" si="731"/>
        <v>B</v>
      </c>
      <c r="FI189" s="1429" t="str">
        <f t="shared" ca="1" si="731"/>
        <v>B</v>
      </c>
      <c r="FJ189" s="1429" t="str">
        <f t="shared" ca="1" si="731"/>
        <v>B</v>
      </c>
      <c r="FK189" s="1429" t="str">
        <f t="shared" ca="1" si="731"/>
        <v>B</v>
      </c>
      <c r="FL189" s="1429" t="str">
        <f t="shared" ca="1" si="731"/>
        <v>B</v>
      </c>
    </row>
    <row r="190" spans="1:168" x14ac:dyDescent="0.2">
      <c r="A190" s="62" t="str">
        <f t="shared" si="649"/>
        <v>Fjarningsch</v>
      </c>
      <c r="B190" s="317" t="str">
        <f t="shared" ca="1" si="650"/>
        <v/>
      </c>
      <c r="C190" s="332" t="str">
        <f ca="1">IF(AND(EXACT($F190,""),EXACT($G190,"")),IF(OR(NOT(ISBLANK(D190)),NOT(EXACT(HLOOKUP(RASSEGENE,RASSE,$BN190,FALSE),"")),NOT(EXACT(HLOOKUP(KULTURGENE,KULTUR,$BN190,FALSE),"")),NOT(EXACT(HLOOKUP(PROFGENE,INDIRECT(PROFGEBIET),$BN190,FALSE),"")),
IF(LEN(PROFZWEITE)&lt;1,FALSE,NOT(EXACT(HLOOKUP(Generierung!$D$12,INDIRECT(PROFGEBIET2),$BN190,FALSE),"")))
),"x",""),"")</f>
        <v/>
      </c>
      <c r="D190" s="1110"/>
      <c r="E190" s="325"/>
      <c r="F190" s="388" t="str">
        <f t="shared" ca="1" si="651"/>
        <v/>
      </c>
      <c r="G190" s="388" t="str">
        <f t="shared" ca="1" si="652"/>
        <v/>
      </c>
      <c r="H190" s="389"/>
      <c r="I190" s="1196"/>
      <c r="J190" s="326"/>
      <c r="O190" s="514" t="str">
        <f t="shared" ca="1" si="653"/>
        <v/>
      </c>
      <c r="P190" s="164">
        <f t="shared" ca="1" si="654"/>
        <v>0</v>
      </c>
      <c r="Q190" s="164">
        <f t="shared" ca="1" si="655"/>
        <v>0</v>
      </c>
      <c r="R190" s="164">
        <f t="shared" ca="1" si="656"/>
        <v>0</v>
      </c>
      <c r="S190" s="164">
        <f t="shared" ca="1" si="657"/>
        <v>0</v>
      </c>
      <c r="T190" s="164">
        <f t="shared" ca="1" si="658"/>
        <v>0</v>
      </c>
      <c r="U190" s="164">
        <f t="shared" ca="1" si="659"/>
        <v>0</v>
      </c>
      <c r="V190" s="164">
        <f t="shared" ca="1" si="660"/>
        <v>0</v>
      </c>
      <c r="W190" s="164">
        <f t="shared" ca="1" si="661"/>
        <v>0</v>
      </c>
      <c r="X190" s="164">
        <f t="shared" ca="1" si="662"/>
        <v>0</v>
      </c>
      <c r="Y190" s="164">
        <f t="shared" ca="1" si="663"/>
        <v>0</v>
      </c>
      <c r="Z190" s="164">
        <f t="shared" ca="1" si="664"/>
        <v>0</v>
      </c>
      <c r="AA190" s="164">
        <f t="shared" ca="1" si="665"/>
        <v>0</v>
      </c>
      <c r="AB190" s="164">
        <f t="shared" ca="1" si="666"/>
        <v>0</v>
      </c>
      <c r="AC190" s="164">
        <f t="shared" ca="1" si="667"/>
        <v>0</v>
      </c>
      <c r="AD190" s="164">
        <f t="shared" ca="1" si="668"/>
        <v>0</v>
      </c>
      <c r="AE190" s="164">
        <f t="shared" ca="1" si="669"/>
        <v>0</v>
      </c>
      <c r="AF190" s="164">
        <f t="shared" ca="1" si="670"/>
        <v>0</v>
      </c>
      <c r="AG190" s="164">
        <f t="shared" ca="1" si="671"/>
        <v>0</v>
      </c>
      <c r="AH190" s="164">
        <f t="shared" ca="1" si="672"/>
        <v>0</v>
      </c>
      <c r="AI190" s="164">
        <f t="shared" ca="1" si="673"/>
        <v>0</v>
      </c>
      <c r="AJ190" s="164">
        <f t="shared" ca="1" si="674"/>
        <v>0</v>
      </c>
      <c r="AK190" s="164">
        <f t="shared" ca="1" si="675"/>
        <v>0</v>
      </c>
      <c r="AL190" s="164">
        <f t="shared" si="676"/>
        <v>0</v>
      </c>
      <c r="AM190" s="164">
        <f t="shared" ca="1" si="677"/>
        <v>0</v>
      </c>
      <c r="AN190" s="205"/>
      <c r="AO190" s="154">
        <f t="shared" ca="1" si="678"/>
        <v>0</v>
      </c>
      <c r="AP190" s="154">
        <f t="shared" ca="1" si="679"/>
        <v>0</v>
      </c>
      <c r="AQ190" s="154">
        <f t="shared" ca="1" si="680"/>
        <v>0</v>
      </c>
      <c r="AR190" s="154">
        <f t="shared" ca="1" si="681"/>
        <v>0</v>
      </c>
      <c r="AS190" s="154">
        <f t="shared" ca="1" si="682"/>
        <v>0</v>
      </c>
      <c r="AT190" s="154">
        <f t="shared" ca="1" si="683"/>
        <v>0</v>
      </c>
      <c r="AU190" s="154">
        <f t="shared" ca="1" si="684"/>
        <v>0</v>
      </c>
      <c r="AV190" s="154">
        <f t="shared" ca="1" si="685"/>
        <v>0</v>
      </c>
      <c r="AW190" s="154">
        <f t="shared" ca="1" si="686"/>
        <v>0</v>
      </c>
      <c r="AX190" s="154">
        <f t="shared" ca="1" si="687"/>
        <v>0</v>
      </c>
      <c r="AY190" s="154">
        <f t="shared" ca="1" si="688"/>
        <v>0</v>
      </c>
      <c r="AZ190" s="154">
        <f t="shared" ca="1" si="689"/>
        <v>0</v>
      </c>
      <c r="BA190" s="154">
        <f t="shared" ca="1" si="690"/>
        <v>0</v>
      </c>
      <c r="BB190" s="154">
        <f t="shared" ca="1" si="691"/>
        <v>0</v>
      </c>
      <c r="BC190" s="154">
        <f t="shared" ca="1" si="692"/>
        <v>0</v>
      </c>
      <c r="BD190" s="154">
        <f t="shared" ca="1" si="693"/>
        <v>0</v>
      </c>
      <c r="BE190" s="154">
        <f t="shared" ca="1" si="694"/>
        <v>0</v>
      </c>
      <c r="BF190" s="154">
        <f t="shared" ca="1" si="695"/>
        <v>0</v>
      </c>
      <c r="BG190" s="154">
        <f t="shared" ca="1" si="696"/>
        <v>0</v>
      </c>
      <c r="BH190" s="154">
        <f t="shared" ca="1" si="697"/>
        <v>0</v>
      </c>
      <c r="BI190" s="154">
        <f t="shared" ca="1" si="698"/>
        <v>0</v>
      </c>
      <c r="BJ190" s="154">
        <f t="shared" ca="1" si="699"/>
        <v>0</v>
      </c>
      <c r="BK190" s="154">
        <f t="shared" ca="1" si="700"/>
        <v>0</v>
      </c>
      <c r="BL190" s="154">
        <f t="shared" ca="1" si="701"/>
        <v>0</v>
      </c>
      <c r="BM190" s="154">
        <f t="shared" ca="1" si="702"/>
        <v>0</v>
      </c>
      <c r="BN190" s="1198">
        <f t="shared" si="719"/>
        <v>195</v>
      </c>
      <c r="BO190" s="1197" t="str">
        <f t="shared" si="703"/>
        <v>Fjarningsch</v>
      </c>
      <c r="BP190" s="1197" t="str">
        <f t="shared" ca="1" si="704"/>
        <v>B</v>
      </c>
      <c r="BQ190" s="1197">
        <f t="shared" si="727"/>
        <v>14</v>
      </c>
      <c r="BR190" s="1198" t="str">
        <f t="shared" ca="1" si="720"/>
        <v/>
      </c>
      <c r="BS190" s="1198" t="s">
        <v>3842</v>
      </c>
      <c r="BT190" s="78"/>
      <c r="BU190" s="78"/>
      <c r="BV190" s="78"/>
      <c r="BW190" s="1197">
        <f t="shared" ca="1" si="721"/>
        <v>0</v>
      </c>
      <c r="BX190" s="1197">
        <f t="shared" ca="1" si="705"/>
        <v>0</v>
      </c>
      <c r="BY190" s="1197">
        <f t="shared" ca="1" si="706"/>
        <v>0</v>
      </c>
      <c r="BZ190" s="1081">
        <f t="shared" ca="1" si="707"/>
        <v>0</v>
      </c>
      <c r="CA190" s="1081">
        <f t="shared" ca="1" si="708"/>
        <v>0</v>
      </c>
      <c r="CB190" s="1081">
        <f t="shared" ca="1" si="709"/>
        <v>65</v>
      </c>
      <c r="CC190" s="1081">
        <f t="shared" ca="1" si="710"/>
        <v>66</v>
      </c>
      <c r="CD190" s="1081">
        <f t="shared" si="729"/>
        <v>0</v>
      </c>
      <c r="CE190" s="1081">
        <f t="shared" ca="1" si="711"/>
        <v>1</v>
      </c>
      <c r="CF190" s="1081">
        <f t="shared" ca="1" si="722"/>
        <v>0</v>
      </c>
      <c r="CG190" s="1198" t="str">
        <f t="shared" si="712"/>
        <v>Thorwalsch-Familie</v>
      </c>
      <c r="CH190" s="1198" t="str">
        <f t="shared" ca="1" si="713"/>
        <v/>
      </c>
      <c r="CI190" s="1198"/>
      <c r="CJ190" s="1198"/>
      <c r="CK190" s="1198" t="str">
        <f t="shared" ca="1" si="723"/>
        <v/>
      </c>
      <c r="CL190" s="1198" t="str">
        <f t="shared" ca="1" si="724"/>
        <v/>
      </c>
      <c r="CM190" s="78"/>
      <c r="CN190" s="1081">
        <f t="shared" ca="1" si="725"/>
        <v>0</v>
      </c>
      <c r="CO190" s="1081">
        <f t="shared" ca="1" si="714"/>
        <v>0</v>
      </c>
      <c r="CP190" s="1081">
        <f t="shared" ca="1" si="726"/>
        <v>0</v>
      </c>
      <c r="DJ190" s="301" t="str">
        <f t="shared" ca="1" si="732"/>
        <v>A</v>
      </c>
      <c r="DK190" s="301" t="str">
        <f t="shared" ca="1" si="732"/>
        <v>A</v>
      </c>
      <c r="DL190" s="301" t="str">
        <f t="shared" ca="1" si="732"/>
        <v>A</v>
      </c>
      <c r="DM190" s="301" t="str">
        <f t="shared" ca="1" si="732"/>
        <v>A</v>
      </c>
      <c r="DN190" s="301" t="str">
        <f t="shared" ca="1" si="732"/>
        <v>A</v>
      </c>
      <c r="DO190" s="301" t="str">
        <f t="shared" ca="1" si="732"/>
        <v>A</v>
      </c>
      <c r="DP190" s="301" t="str">
        <f t="shared" ca="1" si="732"/>
        <v>A</v>
      </c>
      <c r="DQ190" s="301" t="str">
        <f t="shared" ca="1" si="732"/>
        <v>A</v>
      </c>
      <c r="DR190" s="301" t="str">
        <f t="shared" ca="1" si="732"/>
        <v>A</v>
      </c>
      <c r="DS190" s="301" t="str">
        <f t="shared" ca="1" si="732"/>
        <v>A</v>
      </c>
      <c r="DT190" s="301" t="str">
        <f t="shared" ca="1" si="733"/>
        <v>A</v>
      </c>
      <c r="DU190" s="301" t="str">
        <f t="shared" ca="1" si="733"/>
        <v>A</v>
      </c>
      <c r="DV190" s="301" t="str">
        <f t="shared" ca="1" si="733"/>
        <v>A</v>
      </c>
      <c r="DW190" s="301" t="str">
        <f t="shared" ca="1" si="733"/>
        <v>A</v>
      </c>
      <c r="DX190" s="301" t="str">
        <f t="shared" ca="1" si="733"/>
        <v>A</v>
      </c>
      <c r="DY190" s="301" t="str">
        <f t="shared" ca="1" si="733"/>
        <v>A</v>
      </c>
      <c r="DZ190" s="301" t="str">
        <f t="shared" ca="1" si="733"/>
        <v>A</v>
      </c>
      <c r="EA190" s="301" t="str">
        <f t="shared" ca="1" si="733"/>
        <v>A</v>
      </c>
      <c r="EB190" s="301" t="str">
        <f t="shared" ca="1" si="733"/>
        <v>A</v>
      </c>
      <c r="EC190" s="301" t="str">
        <f t="shared" ca="1" si="733"/>
        <v>A</v>
      </c>
      <c r="ED190" s="301" t="str">
        <f t="shared" ca="1" si="733"/>
        <v>A</v>
      </c>
      <c r="EE190" s="301" t="str">
        <f t="shared" ca="1" si="733"/>
        <v>A</v>
      </c>
      <c r="EF190" s="301">
        <f t="shared" si="717"/>
        <v>0</v>
      </c>
      <c r="EG190" s="1426" t="str">
        <f t="shared" ca="1" si="728"/>
        <v>B</v>
      </c>
      <c r="EH190" s="1429" t="str">
        <f t="shared" ca="1" si="728"/>
        <v>B</v>
      </c>
      <c r="EI190" s="1429" t="str">
        <f t="shared" ca="1" si="728"/>
        <v>B</v>
      </c>
      <c r="EJ190" s="1429" t="str">
        <f t="shared" ca="1" si="728"/>
        <v>B</v>
      </c>
      <c r="EK190" s="1429" t="str">
        <f t="shared" ca="1" si="728"/>
        <v>B</v>
      </c>
      <c r="EL190" s="1429" t="str">
        <f t="shared" ca="1" si="728"/>
        <v>B</v>
      </c>
      <c r="EM190" s="1429" t="str">
        <f t="shared" ca="1" si="728"/>
        <v>B</v>
      </c>
      <c r="EN190" s="1429" t="str">
        <f t="shared" ca="1" si="728"/>
        <v>B</v>
      </c>
      <c r="EO190" s="1429" t="str">
        <f t="shared" ca="1" si="728"/>
        <v>B</v>
      </c>
      <c r="EP190" s="1429" t="str">
        <f t="shared" ca="1" si="728"/>
        <v>B</v>
      </c>
      <c r="EQ190" s="1429" t="str">
        <f t="shared" ca="1" si="728"/>
        <v>B</v>
      </c>
      <c r="ER190" s="1429" t="str">
        <f t="shared" ca="1" si="728"/>
        <v>B</v>
      </c>
      <c r="ES190" s="1429" t="str">
        <f t="shared" ca="1" si="728"/>
        <v>B</v>
      </c>
      <c r="ET190" s="1429" t="str">
        <f t="shared" ca="1" si="728"/>
        <v>B</v>
      </c>
      <c r="EU190" s="1429" t="str">
        <f t="shared" ca="1" si="728"/>
        <v>B</v>
      </c>
      <c r="EV190" s="1429" t="str">
        <f t="shared" ca="1" si="728"/>
        <v>B</v>
      </c>
      <c r="EW190" s="1429" t="str">
        <f t="shared" ca="1" si="730"/>
        <v>B</v>
      </c>
      <c r="EX190" s="1429" t="str">
        <f t="shared" ca="1" si="730"/>
        <v>B</v>
      </c>
      <c r="EY190" s="1429" t="str">
        <f t="shared" ca="1" si="730"/>
        <v>B</v>
      </c>
      <c r="EZ190" s="1429" t="str">
        <f t="shared" ca="1" si="730"/>
        <v>B</v>
      </c>
      <c r="FA190" s="1429" t="str">
        <f t="shared" ca="1" si="730"/>
        <v>B</v>
      </c>
      <c r="FB190" s="1429" t="str">
        <f t="shared" ca="1" si="730"/>
        <v>B</v>
      </c>
      <c r="FC190" s="1429" t="str">
        <f t="shared" ca="1" si="730"/>
        <v>B</v>
      </c>
      <c r="FD190" s="1429" t="str">
        <f t="shared" ca="1" si="730"/>
        <v>B</v>
      </c>
      <c r="FE190" s="1429" t="str">
        <f t="shared" ca="1" si="731"/>
        <v>B</v>
      </c>
      <c r="FF190" s="1429" t="str">
        <f t="shared" ca="1" si="731"/>
        <v>B</v>
      </c>
      <c r="FG190" s="1429" t="str">
        <f t="shared" ca="1" si="731"/>
        <v>B</v>
      </c>
      <c r="FH190" s="1429" t="str">
        <f t="shared" ca="1" si="731"/>
        <v>B</v>
      </c>
      <c r="FI190" s="1429" t="str">
        <f t="shared" ca="1" si="731"/>
        <v>B</v>
      </c>
      <c r="FJ190" s="1429" t="str">
        <f t="shared" ca="1" si="731"/>
        <v>B</v>
      </c>
      <c r="FK190" s="1429" t="str">
        <f t="shared" ca="1" si="731"/>
        <v>B</v>
      </c>
      <c r="FL190" s="1429" t="str">
        <f t="shared" ca="1" si="731"/>
        <v>B</v>
      </c>
    </row>
    <row r="191" spans="1:168" x14ac:dyDescent="0.2">
      <c r="A191" s="62" t="str">
        <f t="shared" si="649"/>
        <v>Füchsisch (inkl. 'Schrift')</v>
      </c>
      <c r="B191" s="317" t="str">
        <f t="shared" ca="1" si="650"/>
        <v/>
      </c>
      <c r="C191" s="332" t="str">
        <f ca="1">IF(AND(EXACT($F191,""),EXACT($G191,"")),IF(OR(NOT(ISBLANK(D191)),NOT(EXACT(HLOOKUP(RASSEGENE,RASSE,$BN191,FALSE),"")),NOT(EXACT(HLOOKUP(KULTURGENE,KULTUR,$BN191,FALSE),"")),NOT(EXACT(HLOOKUP(PROFGENE,INDIRECT(PROFGEBIET),$BN191,FALSE),"")),
IF(LEN(PROFZWEITE)&lt;1,FALSE,NOT(EXACT(HLOOKUP(Generierung!$D$12,INDIRECT(PROFGEBIET2),$BN191,FALSE),"")))
),"x",""),"")</f>
        <v/>
      </c>
      <c r="D191" s="1110"/>
      <c r="E191" s="325"/>
      <c r="F191" s="388" t="str">
        <f t="shared" ca="1" si="651"/>
        <v/>
      </c>
      <c r="G191" s="388" t="str">
        <f t="shared" ca="1" si="652"/>
        <v/>
      </c>
      <c r="H191" s="389"/>
      <c r="I191" s="1196"/>
      <c r="J191" s="326"/>
      <c r="O191" s="514" t="str">
        <f t="shared" ca="1" si="653"/>
        <v/>
      </c>
      <c r="P191" s="164">
        <f t="shared" ca="1" si="654"/>
        <v>0</v>
      </c>
      <c r="Q191" s="164">
        <f t="shared" ca="1" si="655"/>
        <v>0</v>
      </c>
      <c r="R191" s="164">
        <f t="shared" ca="1" si="656"/>
        <v>0</v>
      </c>
      <c r="S191" s="164">
        <f t="shared" ca="1" si="657"/>
        <v>0</v>
      </c>
      <c r="T191" s="164">
        <f t="shared" ca="1" si="658"/>
        <v>0</v>
      </c>
      <c r="U191" s="164">
        <f t="shared" ca="1" si="659"/>
        <v>0</v>
      </c>
      <c r="V191" s="164">
        <f t="shared" ca="1" si="660"/>
        <v>0</v>
      </c>
      <c r="W191" s="164">
        <f t="shared" ca="1" si="661"/>
        <v>0</v>
      </c>
      <c r="X191" s="164">
        <f t="shared" ca="1" si="662"/>
        <v>0</v>
      </c>
      <c r="Y191" s="164">
        <f t="shared" ca="1" si="663"/>
        <v>0</v>
      </c>
      <c r="Z191" s="164">
        <f t="shared" ca="1" si="664"/>
        <v>0</v>
      </c>
      <c r="AA191" s="164">
        <f t="shared" ca="1" si="665"/>
        <v>0</v>
      </c>
      <c r="AB191" s="164">
        <f t="shared" ca="1" si="666"/>
        <v>0</v>
      </c>
      <c r="AC191" s="164">
        <f t="shared" ca="1" si="667"/>
        <v>0</v>
      </c>
      <c r="AD191" s="164">
        <f t="shared" ca="1" si="668"/>
        <v>0</v>
      </c>
      <c r="AE191" s="164">
        <f t="shared" ca="1" si="669"/>
        <v>0</v>
      </c>
      <c r="AF191" s="164">
        <f t="shared" ca="1" si="670"/>
        <v>0</v>
      </c>
      <c r="AG191" s="164">
        <f t="shared" ca="1" si="671"/>
        <v>0</v>
      </c>
      <c r="AH191" s="164">
        <f t="shared" ca="1" si="672"/>
        <v>0</v>
      </c>
      <c r="AI191" s="164">
        <f t="shared" ca="1" si="673"/>
        <v>0</v>
      </c>
      <c r="AJ191" s="164">
        <f t="shared" ca="1" si="674"/>
        <v>0</v>
      </c>
      <c r="AK191" s="164">
        <f t="shared" ca="1" si="675"/>
        <v>0</v>
      </c>
      <c r="AL191" s="164">
        <f t="shared" si="676"/>
        <v>0</v>
      </c>
      <c r="AM191" s="164">
        <f t="shared" ca="1" si="677"/>
        <v>0</v>
      </c>
      <c r="AN191" s="205"/>
      <c r="AO191" s="154">
        <f t="shared" ca="1" si="678"/>
        <v>0</v>
      </c>
      <c r="AP191" s="154">
        <f t="shared" ca="1" si="679"/>
        <v>0</v>
      </c>
      <c r="AQ191" s="154">
        <f t="shared" ca="1" si="680"/>
        <v>0</v>
      </c>
      <c r="AR191" s="154">
        <f t="shared" ca="1" si="681"/>
        <v>0</v>
      </c>
      <c r="AS191" s="154">
        <f t="shared" ca="1" si="682"/>
        <v>0</v>
      </c>
      <c r="AT191" s="154">
        <f t="shared" ca="1" si="683"/>
        <v>0</v>
      </c>
      <c r="AU191" s="154">
        <f t="shared" ca="1" si="684"/>
        <v>0</v>
      </c>
      <c r="AV191" s="154">
        <f t="shared" ca="1" si="685"/>
        <v>0</v>
      </c>
      <c r="AW191" s="154">
        <f t="shared" ca="1" si="686"/>
        <v>0</v>
      </c>
      <c r="AX191" s="154">
        <f t="shared" ca="1" si="687"/>
        <v>0</v>
      </c>
      <c r="AY191" s="154">
        <f t="shared" ca="1" si="688"/>
        <v>0</v>
      </c>
      <c r="AZ191" s="154">
        <f t="shared" ca="1" si="689"/>
        <v>0</v>
      </c>
      <c r="BA191" s="154">
        <f t="shared" ca="1" si="690"/>
        <v>0</v>
      </c>
      <c r="BB191" s="154">
        <f t="shared" ca="1" si="691"/>
        <v>0</v>
      </c>
      <c r="BC191" s="154">
        <f t="shared" ca="1" si="692"/>
        <v>0</v>
      </c>
      <c r="BD191" s="154">
        <f t="shared" ca="1" si="693"/>
        <v>0</v>
      </c>
      <c r="BE191" s="154">
        <f t="shared" ca="1" si="694"/>
        <v>0</v>
      </c>
      <c r="BF191" s="154">
        <f t="shared" ca="1" si="695"/>
        <v>0</v>
      </c>
      <c r="BG191" s="154">
        <f t="shared" ca="1" si="696"/>
        <v>0</v>
      </c>
      <c r="BH191" s="154">
        <f t="shared" ca="1" si="697"/>
        <v>0</v>
      </c>
      <c r="BI191" s="154">
        <f t="shared" ca="1" si="698"/>
        <v>0</v>
      </c>
      <c r="BJ191" s="154">
        <f t="shared" ca="1" si="699"/>
        <v>0</v>
      </c>
      <c r="BK191" s="154">
        <f t="shared" ca="1" si="700"/>
        <v>0</v>
      </c>
      <c r="BL191" s="154">
        <f t="shared" ca="1" si="701"/>
        <v>0</v>
      </c>
      <c r="BM191" s="154">
        <f t="shared" ca="1" si="702"/>
        <v>0</v>
      </c>
      <c r="BN191" s="1198">
        <f t="shared" si="719"/>
        <v>196</v>
      </c>
      <c r="BO191" s="1197" t="str">
        <f t="shared" si="703"/>
        <v>Füchsisch (inkl. 'Schrift')</v>
      </c>
      <c r="BP191" s="1197" t="str">
        <f t="shared" ca="1" si="704"/>
        <v>A</v>
      </c>
      <c r="BQ191" s="1197">
        <f t="shared" si="727"/>
        <v>15</v>
      </c>
      <c r="BR191" s="1198" t="str">
        <f t="shared" ca="1" si="720"/>
        <v/>
      </c>
      <c r="BS191" s="1198" t="s">
        <v>3867</v>
      </c>
      <c r="BT191" s="78"/>
      <c r="BU191" s="78"/>
      <c r="BV191" s="78"/>
      <c r="BW191" s="1197">
        <f t="shared" ca="1" si="721"/>
        <v>0</v>
      </c>
      <c r="BX191" s="1197">
        <f t="shared" ca="1" si="705"/>
        <v>0</v>
      </c>
      <c r="BY191" s="1197">
        <f t="shared" ca="1" si="706"/>
        <v>0</v>
      </c>
      <c r="BZ191" s="1081">
        <f t="shared" ca="1" si="707"/>
        <v>0</v>
      </c>
      <c r="CA191" s="1081">
        <f t="shared" ca="1" si="708"/>
        <v>0</v>
      </c>
      <c r="CB191" s="1081">
        <f t="shared" ca="1" si="709"/>
        <v>65</v>
      </c>
      <c r="CC191" s="1081">
        <f t="shared" ca="1" si="710"/>
        <v>65</v>
      </c>
      <c r="CD191" s="1081">
        <f t="shared" si="729"/>
        <v>0</v>
      </c>
      <c r="CE191" s="627">
        <v>0</v>
      </c>
      <c r="CF191" s="1081">
        <f t="shared" ca="1" si="722"/>
        <v>0</v>
      </c>
      <c r="CG191" s="1198" t="str">
        <f t="shared" si="712"/>
        <v>Füchsisch</v>
      </c>
      <c r="CH191" s="1198" t="str">
        <f t="shared" ca="1" si="713"/>
        <v/>
      </c>
      <c r="CI191" s="1198"/>
      <c r="CJ191" s="1198"/>
      <c r="CK191" s="1198" t="str">
        <f t="shared" ca="1" si="723"/>
        <v/>
      </c>
      <c r="CL191" s="1198" t="str">
        <f t="shared" ca="1" si="724"/>
        <v/>
      </c>
      <c r="CM191" s="78"/>
      <c r="CN191" s="1081">
        <f t="shared" ca="1" si="725"/>
        <v>0</v>
      </c>
      <c r="CO191" s="1081">
        <f t="shared" ca="1" si="714"/>
        <v>0</v>
      </c>
      <c r="CP191" s="1081">
        <f t="shared" ca="1" si="726"/>
        <v>0</v>
      </c>
      <c r="DJ191" s="301" t="str">
        <f t="shared" ca="1" si="732"/>
        <v>A</v>
      </c>
      <c r="DK191" s="301" t="str">
        <f t="shared" ca="1" si="732"/>
        <v>A</v>
      </c>
      <c r="DL191" s="301" t="str">
        <f t="shared" ca="1" si="732"/>
        <v>A</v>
      </c>
      <c r="DM191" s="301" t="str">
        <f t="shared" ca="1" si="732"/>
        <v>A</v>
      </c>
      <c r="DN191" s="301" t="str">
        <f t="shared" ca="1" si="732"/>
        <v>A</v>
      </c>
      <c r="DO191" s="301" t="str">
        <f t="shared" ca="1" si="732"/>
        <v>A</v>
      </c>
      <c r="DP191" s="301" t="str">
        <f t="shared" ca="1" si="732"/>
        <v>A</v>
      </c>
      <c r="DQ191" s="301" t="str">
        <f t="shared" ca="1" si="732"/>
        <v>A</v>
      </c>
      <c r="DR191" s="301" t="str">
        <f t="shared" ca="1" si="732"/>
        <v>A</v>
      </c>
      <c r="DS191" s="301" t="str">
        <f t="shared" ca="1" si="732"/>
        <v>A</v>
      </c>
      <c r="DT191" s="301" t="str">
        <f t="shared" ca="1" si="733"/>
        <v>A</v>
      </c>
      <c r="DU191" s="301" t="str">
        <f t="shared" ca="1" si="733"/>
        <v>A</v>
      </c>
      <c r="DV191" s="301" t="str">
        <f t="shared" ca="1" si="733"/>
        <v>A</v>
      </c>
      <c r="DW191" s="301" t="str">
        <f t="shared" ca="1" si="733"/>
        <v>A</v>
      </c>
      <c r="DX191" s="301" t="str">
        <f t="shared" ca="1" si="733"/>
        <v>A</v>
      </c>
      <c r="DY191" s="301" t="str">
        <f t="shared" ca="1" si="733"/>
        <v>A</v>
      </c>
      <c r="DZ191" s="301" t="str">
        <f t="shared" ca="1" si="733"/>
        <v>A</v>
      </c>
      <c r="EA191" s="301" t="str">
        <f t="shared" ca="1" si="733"/>
        <v>A</v>
      </c>
      <c r="EB191" s="301" t="str">
        <f t="shared" ca="1" si="733"/>
        <v>A</v>
      </c>
      <c r="EC191" s="301" t="str">
        <f t="shared" ca="1" si="733"/>
        <v>A</v>
      </c>
      <c r="ED191" s="301" t="str">
        <f t="shared" ca="1" si="733"/>
        <v>A</v>
      </c>
      <c r="EE191" s="301" t="str">
        <f t="shared" ca="1" si="733"/>
        <v>A</v>
      </c>
      <c r="EF191" s="301">
        <f t="shared" si="717"/>
        <v>0</v>
      </c>
      <c r="EG191" s="1426" t="str">
        <f t="shared" ca="1" si="728"/>
        <v>A</v>
      </c>
      <c r="EH191" s="1429" t="str">
        <f t="shared" ca="1" si="728"/>
        <v>A</v>
      </c>
      <c r="EI191" s="1429" t="str">
        <f t="shared" ca="1" si="728"/>
        <v>A</v>
      </c>
      <c r="EJ191" s="1429" t="str">
        <f t="shared" ca="1" si="728"/>
        <v>A</v>
      </c>
      <c r="EK191" s="1429" t="str">
        <f t="shared" ca="1" si="728"/>
        <v>A</v>
      </c>
      <c r="EL191" s="1429" t="str">
        <f t="shared" ca="1" si="728"/>
        <v>A</v>
      </c>
      <c r="EM191" s="1429" t="str">
        <f t="shared" ca="1" si="728"/>
        <v>A</v>
      </c>
      <c r="EN191" s="1429" t="str">
        <f t="shared" ca="1" si="728"/>
        <v>A</v>
      </c>
      <c r="EO191" s="1429" t="str">
        <f t="shared" ca="1" si="728"/>
        <v>A</v>
      </c>
      <c r="EP191" s="1429" t="str">
        <f t="shared" ca="1" si="728"/>
        <v>A</v>
      </c>
      <c r="EQ191" s="1429" t="str">
        <f t="shared" ca="1" si="728"/>
        <v>A</v>
      </c>
      <c r="ER191" s="1429" t="str">
        <f t="shared" ca="1" si="728"/>
        <v>A</v>
      </c>
      <c r="ES191" s="1429" t="str">
        <f t="shared" ca="1" si="728"/>
        <v>A</v>
      </c>
      <c r="ET191" s="1429" t="str">
        <f t="shared" ca="1" si="728"/>
        <v>A</v>
      </c>
      <c r="EU191" s="1429" t="str">
        <f t="shared" ca="1" si="728"/>
        <v>A</v>
      </c>
      <c r="EV191" s="1429" t="str">
        <f t="shared" ca="1" si="728"/>
        <v>A</v>
      </c>
      <c r="EW191" s="1429" t="str">
        <f t="shared" ca="1" si="730"/>
        <v>A</v>
      </c>
      <c r="EX191" s="1429" t="str">
        <f t="shared" ca="1" si="730"/>
        <v>A</v>
      </c>
      <c r="EY191" s="1429" t="str">
        <f t="shared" ca="1" si="730"/>
        <v>A</v>
      </c>
      <c r="EZ191" s="1429" t="str">
        <f t="shared" ca="1" si="730"/>
        <v>A</v>
      </c>
      <c r="FA191" s="1429" t="str">
        <f t="shared" ca="1" si="730"/>
        <v>A</v>
      </c>
      <c r="FB191" s="1429" t="str">
        <f t="shared" ca="1" si="730"/>
        <v>A</v>
      </c>
      <c r="FC191" s="1429" t="str">
        <f t="shared" ca="1" si="730"/>
        <v>A</v>
      </c>
      <c r="FD191" s="1429" t="str">
        <f t="shared" ca="1" si="730"/>
        <v>A</v>
      </c>
      <c r="FE191" s="1429" t="str">
        <f t="shared" ca="1" si="731"/>
        <v>A</v>
      </c>
      <c r="FF191" s="1429" t="str">
        <f t="shared" ca="1" si="731"/>
        <v>A</v>
      </c>
      <c r="FG191" s="1429" t="str">
        <f t="shared" ca="1" si="731"/>
        <v>A</v>
      </c>
      <c r="FH191" s="1429" t="str">
        <f t="shared" ca="1" si="731"/>
        <v>A</v>
      </c>
      <c r="FI191" s="1429" t="str">
        <f t="shared" ca="1" si="731"/>
        <v>A</v>
      </c>
      <c r="FJ191" s="1429" t="str">
        <f t="shared" ca="1" si="731"/>
        <v>A</v>
      </c>
      <c r="FK191" s="1429" t="str">
        <f t="shared" ca="1" si="731"/>
        <v>A</v>
      </c>
      <c r="FL191" s="1429" t="str">
        <f t="shared" ca="1" si="731"/>
        <v>A</v>
      </c>
    </row>
    <row r="192" spans="1:168" x14ac:dyDescent="0.2">
      <c r="A192" s="62" t="str">
        <f t="shared" si="649"/>
        <v>Garethi</v>
      </c>
      <c r="B192" s="317" t="str">
        <f t="shared" ca="1" si="650"/>
        <v/>
      </c>
      <c r="C192" s="332" t="str">
        <f ca="1">IF(AND(EXACT($F192,""),EXACT($G192,"")),IF(OR(NOT(ISBLANK(D192)),NOT(EXACT(HLOOKUP(RASSEGENE,RASSE,$BN192,FALSE),"")),NOT(EXACT(HLOOKUP(KULTURGENE,KULTUR,$BN192,FALSE),"")),NOT(EXACT(HLOOKUP(PROFGENE,INDIRECT(PROFGEBIET),$BN192,FALSE),"")),
IF(LEN(PROFZWEITE)&lt;1,FALSE,NOT(EXACT(HLOOKUP(Generierung!$D$12,INDIRECT(PROFGEBIET2),$BN192,FALSE),"")))
),"x",""),"")</f>
        <v/>
      </c>
      <c r="D192" s="1110"/>
      <c r="E192" s="325"/>
      <c r="F192" s="388" t="str">
        <f t="shared" ca="1" si="651"/>
        <v/>
      </c>
      <c r="G192" s="388" t="str">
        <f t="shared" ca="1" si="652"/>
        <v/>
      </c>
      <c r="H192" s="389"/>
      <c r="I192" s="1196"/>
      <c r="J192" s="326"/>
      <c r="O192" s="514" t="str">
        <f t="shared" ca="1" si="653"/>
        <v/>
      </c>
      <c r="P192" s="164">
        <f t="shared" ca="1" si="654"/>
        <v>0</v>
      </c>
      <c r="Q192" s="164">
        <f t="shared" ca="1" si="655"/>
        <v>0</v>
      </c>
      <c r="R192" s="164">
        <f t="shared" ca="1" si="656"/>
        <v>0</v>
      </c>
      <c r="S192" s="164">
        <f t="shared" ca="1" si="657"/>
        <v>0</v>
      </c>
      <c r="T192" s="164">
        <f t="shared" ca="1" si="658"/>
        <v>0</v>
      </c>
      <c r="U192" s="164">
        <f t="shared" ca="1" si="659"/>
        <v>0</v>
      </c>
      <c r="V192" s="164">
        <f t="shared" ca="1" si="660"/>
        <v>0</v>
      </c>
      <c r="W192" s="164">
        <f t="shared" ca="1" si="661"/>
        <v>0</v>
      </c>
      <c r="X192" s="164">
        <f t="shared" ca="1" si="662"/>
        <v>0</v>
      </c>
      <c r="Y192" s="164">
        <f t="shared" ca="1" si="663"/>
        <v>0</v>
      </c>
      <c r="Z192" s="164">
        <f t="shared" ca="1" si="664"/>
        <v>0</v>
      </c>
      <c r="AA192" s="164">
        <f t="shared" ca="1" si="665"/>
        <v>0</v>
      </c>
      <c r="AB192" s="164">
        <f t="shared" ca="1" si="666"/>
        <v>0</v>
      </c>
      <c r="AC192" s="164">
        <f t="shared" ca="1" si="667"/>
        <v>0</v>
      </c>
      <c r="AD192" s="164">
        <f t="shared" ca="1" si="668"/>
        <v>0</v>
      </c>
      <c r="AE192" s="164">
        <f t="shared" ca="1" si="669"/>
        <v>0</v>
      </c>
      <c r="AF192" s="164">
        <f t="shared" ca="1" si="670"/>
        <v>0</v>
      </c>
      <c r="AG192" s="164">
        <f t="shared" ca="1" si="671"/>
        <v>0</v>
      </c>
      <c r="AH192" s="164">
        <f t="shared" ca="1" si="672"/>
        <v>0</v>
      </c>
      <c r="AI192" s="164">
        <f t="shared" ca="1" si="673"/>
        <v>0</v>
      </c>
      <c r="AJ192" s="164">
        <f t="shared" ca="1" si="674"/>
        <v>0</v>
      </c>
      <c r="AK192" s="164">
        <f t="shared" ca="1" si="675"/>
        <v>0</v>
      </c>
      <c r="AL192" s="164">
        <f t="shared" si="676"/>
        <v>0</v>
      </c>
      <c r="AM192" s="164">
        <f t="shared" ca="1" si="677"/>
        <v>0</v>
      </c>
      <c r="AN192" s="205"/>
      <c r="AO192" s="154">
        <f t="shared" ca="1" si="678"/>
        <v>0</v>
      </c>
      <c r="AP192" s="154">
        <f t="shared" ca="1" si="679"/>
        <v>0</v>
      </c>
      <c r="AQ192" s="154">
        <f t="shared" ca="1" si="680"/>
        <v>0</v>
      </c>
      <c r="AR192" s="154">
        <f t="shared" ca="1" si="681"/>
        <v>0</v>
      </c>
      <c r="AS192" s="154">
        <f t="shared" ca="1" si="682"/>
        <v>0</v>
      </c>
      <c r="AT192" s="154">
        <f t="shared" ca="1" si="683"/>
        <v>0</v>
      </c>
      <c r="AU192" s="154">
        <f t="shared" ca="1" si="684"/>
        <v>0</v>
      </c>
      <c r="AV192" s="154">
        <f t="shared" ca="1" si="685"/>
        <v>0</v>
      </c>
      <c r="AW192" s="154">
        <f t="shared" ca="1" si="686"/>
        <v>0</v>
      </c>
      <c r="AX192" s="154">
        <f t="shared" ca="1" si="687"/>
        <v>0</v>
      </c>
      <c r="AY192" s="154">
        <f t="shared" ca="1" si="688"/>
        <v>0</v>
      </c>
      <c r="AZ192" s="154">
        <f t="shared" ca="1" si="689"/>
        <v>0</v>
      </c>
      <c r="BA192" s="154">
        <f t="shared" ca="1" si="690"/>
        <v>0</v>
      </c>
      <c r="BB192" s="154">
        <f t="shared" ca="1" si="691"/>
        <v>0</v>
      </c>
      <c r="BC192" s="154">
        <f t="shared" ca="1" si="692"/>
        <v>0</v>
      </c>
      <c r="BD192" s="154">
        <f t="shared" ca="1" si="693"/>
        <v>0</v>
      </c>
      <c r="BE192" s="154">
        <f t="shared" ca="1" si="694"/>
        <v>0</v>
      </c>
      <c r="BF192" s="154">
        <f t="shared" ca="1" si="695"/>
        <v>0</v>
      </c>
      <c r="BG192" s="154">
        <f t="shared" ca="1" si="696"/>
        <v>0</v>
      </c>
      <c r="BH192" s="154">
        <f t="shared" ca="1" si="697"/>
        <v>0</v>
      </c>
      <c r="BI192" s="154">
        <f t="shared" ca="1" si="698"/>
        <v>0</v>
      </c>
      <c r="BJ192" s="154">
        <f t="shared" ca="1" si="699"/>
        <v>0</v>
      </c>
      <c r="BK192" s="154">
        <f t="shared" ca="1" si="700"/>
        <v>0</v>
      </c>
      <c r="BL192" s="154">
        <f t="shared" ca="1" si="701"/>
        <v>0</v>
      </c>
      <c r="BM192" s="154">
        <f t="shared" ca="1" si="702"/>
        <v>0</v>
      </c>
      <c r="BN192" s="1198">
        <f t="shared" si="719"/>
        <v>197</v>
      </c>
      <c r="BO192" s="1197" t="str">
        <f t="shared" si="703"/>
        <v>Garethi</v>
      </c>
      <c r="BP192" s="1197" t="str">
        <f t="shared" ca="1" si="704"/>
        <v>B</v>
      </c>
      <c r="BQ192" s="1197">
        <f t="shared" si="727"/>
        <v>16</v>
      </c>
      <c r="BR192" s="1198" t="str">
        <f t="shared" ca="1" si="720"/>
        <v/>
      </c>
      <c r="BS192" s="1198" t="s">
        <v>4645</v>
      </c>
      <c r="BT192" s="78"/>
      <c r="BU192" s="78"/>
      <c r="BV192" s="78"/>
      <c r="BW192" s="1197">
        <f t="shared" ca="1" si="721"/>
        <v>0</v>
      </c>
      <c r="BX192" s="1197">
        <f t="shared" ca="1" si="705"/>
        <v>0</v>
      </c>
      <c r="BY192" s="1197">
        <f t="shared" ca="1" si="706"/>
        <v>0</v>
      </c>
      <c r="BZ192" s="1081">
        <f t="shared" ca="1" si="707"/>
        <v>0</v>
      </c>
      <c r="CA192" s="1081">
        <f t="shared" ca="1" si="708"/>
        <v>0</v>
      </c>
      <c r="CB192" s="1081">
        <f t="shared" ca="1" si="709"/>
        <v>65</v>
      </c>
      <c r="CC192" s="1081">
        <f t="shared" ca="1" si="710"/>
        <v>66</v>
      </c>
      <c r="CD192" s="1081">
        <f t="shared" si="729"/>
        <v>0</v>
      </c>
      <c r="CE192" s="1081">
        <f t="shared" ca="1" si="711"/>
        <v>1</v>
      </c>
      <c r="CF192" s="1081">
        <f t="shared" ca="1" si="722"/>
        <v>0</v>
      </c>
      <c r="CG192" s="1198" t="str">
        <f t="shared" si="712"/>
        <v>Garethi-Familie</v>
      </c>
      <c r="CH192" s="1198" t="str">
        <f t="shared" ca="1" si="713"/>
        <v/>
      </c>
      <c r="CI192" s="1198"/>
      <c r="CJ192" s="1198"/>
      <c r="CK192" s="1198" t="str">
        <f t="shared" ca="1" si="723"/>
        <v/>
      </c>
      <c r="CL192" s="1198" t="str">
        <f t="shared" ca="1" si="724"/>
        <v/>
      </c>
      <c r="CM192" s="78"/>
      <c r="CN192" s="1081">
        <f t="shared" ca="1" si="725"/>
        <v>0</v>
      </c>
      <c r="CO192" s="1081">
        <f t="shared" ca="1" si="714"/>
        <v>0</v>
      </c>
      <c r="CP192" s="1081">
        <f t="shared" ca="1" si="726"/>
        <v>0</v>
      </c>
      <c r="DJ192" s="301" t="str">
        <f t="shared" ca="1" si="732"/>
        <v>A</v>
      </c>
      <c r="DK192" s="301" t="str">
        <f t="shared" ca="1" si="732"/>
        <v>A</v>
      </c>
      <c r="DL192" s="301" t="str">
        <f t="shared" ca="1" si="732"/>
        <v>A</v>
      </c>
      <c r="DM192" s="301" t="str">
        <f t="shared" ca="1" si="732"/>
        <v>A</v>
      </c>
      <c r="DN192" s="301" t="str">
        <f t="shared" ca="1" si="732"/>
        <v>A</v>
      </c>
      <c r="DO192" s="301" t="str">
        <f t="shared" ca="1" si="732"/>
        <v>A</v>
      </c>
      <c r="DP192" s="301" t="str">
        <f t="shared" ca="1" si="732"/>
        <v>A</v>
      </c>
      <c r="DQ192" s="301" t="str">
        <f t="shared" ca="1" si="732"/>
        <v>A</v>
      </c>
      <c r="DR192" s="301" t="str">
        <f t="shared" ca="1" si="732"/>
        <v>A</v>
      </c>
      <c r="DS192" s="301" t="str">
        <f t="shared" ca="1" si="732"/>
        <v>A</v>
      </c>
      <c r="DT192" s="301" t="str">
        <f t="shared" ca="1" si="733"/>
        <v>A</v>
      </c>
      <c r="DU192" s="301" t="str">
        <f t="shared" ca="1" si="733"/>
        <v>A</v>
      </c>
      <c r="DV192" s="301" t="str">
        <f t="shared" ca="1" si="733"/>
        <v>A</v>
      </c>
      <c r="DW192" s="301" t="str">
        <f t="shared" ca="1" si="733"/>
        <v>A</v>
      </c>
      <c r="DX192" s="301" t="str">
        <f t="shared" ca="1" si="733"/>
        <v>A</v>
      </c>
      <c r="DY192" s="301" t="str">
        <f t="shared" ca="1" si="733"/>
        <v>A</v>
      </c>
      <c r="DZ192" s="301" t="str">
        <f t="shared" ca="1" si="733"/>
        <v>A</v>
      </c>
      <c r="EA192" s="301" t="str">
        <f t="shared" ca="1" si="733"/>
        <v>A</v>
      </c>
      <c r="EB192" s="301" t="str">
        <f t="shared" ca="1" si="733"/>
        <v>A</v>
      </c>
      <c r="EC192" s="301" t="str">
        <f t="shared" ca="1" si="733"/>
        <v>A</v>
      </c>
      <c r="ED192" s="301" t="str">
        <f t="shared" ca="1" si="733"/>
        <v>A</v>
      </c>
      <c r="EE192" s="301" t="str">
        <f t="shared" ca="1" si="733"/>
        <v>A</v>
      </c>
      <c r="EF192" s="301">
        <f t="shared" si="717"/>
        <v>0</v>
      </c>
      <c r="EG192" s="1426" t="str">
        <f t="shared" ca="1" si="728"/>
        <v>B</v>
      </c>
      <c r="EH192" s="1429" t="str">
        <f t="shared" ca="1" si="728"/>
        <v>B</v>
      </c>
      <c r="EI192" s="1429" t="str">
        <f t="shared" ca="1" si="728"/>
        <v>B</v>
      </c>
      <c r="EJ192" s="1429" t="str">
        <f t="shared" ca="1" si="728"/>
        <v>B</v>
      </c>
      <c r="EK192" s="1429" t="str">
        <f t="shared" ca="1" si="728"/>
        <v>B</v>
      </c>
      <c r="EL192" s="1429" t="str">
        <f t="shared" ca="1" si="728"/>
        <v>B</v>
      </c>
      <c r="EM192" s="1429" t="str">
        <f t="shared" ca="1" si="728"/>
        <v>B</v>
      </c>
      <c r="EN192" s="1429" t="str">
        <f t="shared" ca="1" si="728"/>
        <v>B</v>
      </c>
      <c r="EO192" s="1429" t="str">
        <f t="shared" ca="1" si="728"/>
        <v>B</v>
      </c>
      <c r="EP192" s="1429" t="str">
        <f t="shared" ca="1" si="728"/>
        <v>B</v>
      </c>
      <c r="EQ192" s="1429" t="str">
        <f t="shared" ca="1" si="728"/>
        <v>B</v>
      </c>
      <c r="ER192" s="1429" t="str">
        <f t="shared" ca="1" si="728"/>
        <v>B</v>
      </c>
      <c r="ES192" s="1429" t="str">
        <f t="shared" ca="1" si="728"/>
        <v>B</v>
      </c>
      <c r="ET192" s="1429" t="str">
        <f t="shared" ca="1" si="728"/>
        <v>B</v>
      </c>
      <c r="EU192" s="1429" t="str">
        <f t="shared" ca="1" si="728"/>
        <v>B</v>
      </c>
      <c r="EV192" s="1429" t="str">
        <f t="shared" ca="1" si="728"/>
        <v>B</v>
      </c>
      <c r="EW192" s="1429" t="str">
        <f t="shared" ca="1" si="730"/>
        <v>B</v>
      </c>
      <c r="EX192" s="1429" t="str">
        <f t="shared" ca="1" si="730"/>
        <v>B</v>
      </c>
      <c r="EY192" s="1429" t="str">
        <f t="shared" ca="1" si="730"/>
        <v>B</v>
      </c>
      <c r="EZ192" s="1429" t="str">
        <f t="shared" ca="1" si="730"/>
        <v>B</v>
      </c>
      <c r="FA192" s="1429" t="str">
        <f t="shared" ca="1" si="730"/>
        <v>B</v>
      </c>
      <c r="FB192" s="1429" t="str">
        <f t="shared" ca="1" si="730"/>
        <v>B</v>
      </c>
      <c r="FC192" s="1429" t="str">
        <f t="shared" ca="1" si="730"/>
        <v>B</v>
      </c>
      <c r="FD192" s="1429" t="str">
        <f t="shared" ca="1" si="730"/>
        <v>B</v>
      </c>
      <c r="FE192" s="1429" t="str">
        <f t="shared" ca="1" si="731"/>
        <v>B</v>
      </c>
      <c r="FF192" s="1429" t="str">
        <f t="shared" ca="1" si="731"/>
        <v>B</v>
      </c>
      <c r="FG192" s="1429" t="str">
        <f t="shared" ca="1" si="731"/>
        <v>B</v>
      </c>
      <c r="FH192" s="1429" t="str">
        <f t="shared" ca="1" si="731"/>
        <v>B</v>
      </c>
      <c r="FI192" s="1429" t="str">
        <f t="shared" ca="1" si="731"/>
        <v>B</v>
      </c>
      <c r="FJ192" s="1429" t="str">
        <f t="shared" ca="1" si="731"/>
        <v>B</v>
      </c>
      <c r="FK192" s="1429" t="str">
        <f t="shared" ca="1" si="731"/>
        <v>B</v>
      </c>
      <c r="FL192" s="1429" t="str">
        <f t="shared" ca="1" si="731"/>
        <v>B</v>
      </c>
    </row>
    <row r="193" spans="1:168" x14ac:dyDescent="0.2">
      <c r="A193" s="62" t="str">
        <f t="shared" si="649"/>
        <v>Gatamo  (Dialekt)</v>
      </c>
      <c r="B193" s="317" t="str">
        <f t="shared" ca="1" si="650"/>
        <v/>
      </c>
      <c r="C193" s="332" t="str">
        <f ca="1">IF(AND(EXACT($F193,""),EXACT($G193,"")),IF(OR(NOT(ISBLANK(D193)),NOT(EXACT(HLOOKUP(RASSEGENE,RASSE,$BN193,FALSE),"")),NOT(EXACT(HLOOKUP(KULTURGENE,KULTUR,$BN193,FALSE),"")),NOT(EXACT(HLOOKUP(PROFGENE,INDIRECT(PROFGEBIET),$BN193,FALSE),"")),
IF(LEN(PROFZWEITE)&lt;1,FALSE,NOT(EXACT(HLOOKUP(Generierung!$D$12,INDIRECT(PROFGEBIET2),$BN193,FALSE),"")))
),"x",""),"")</f>
        <v/>
      </c>
      <c r="D193" s="1110"/>
      <c r="E193" s="325"/>
      <c r="F193" s="388" t="str">
        <f t="shared" ca="1" si="651"/>
        <v/>
      </c>
      <c r="G193" s="388" t="str">
        <f t="shared" ca="1" si="652"/>
        <v/>
      </c>
      <c r="H193" s="389"/>
      <c r="I193" s="1196"/>
      <c r="J193" s="326"/>
      <c r="O193" s="514" t="str">
        <f t="shared" ca="1" si="653"/>
        <v/>
      </c>
      <c r="P193" s="164">
        <f t="shared" ca="1" si="654"/>
        <v>0</v>
      </c>
      <c r="Q193" s="164">
        <f t="shared" ca="1" si="655"/>
        <v>0</v>
      </c>
      <c r="R193" s="164">
        <f t="shared" ca="1" si="656"/>
        <v>0</v>
      </c>
      <c r="S193" s="164">
        <f t="shared" ca="1" si="657"/>
        <v>0</v>
      </c>
      <c r="T193" s="164">
        <f t="shared" ca="1" si="658"/>
        <v>0</v>
      </c>
      <c r="U193" s="164">
        <f t="shared" ca="1" si="659"/>
        <v>0</v>
      </c>
      <c r="V193" s="164">
        <f t="shared" ca="1" si="660"/>
        <v>0</v>
      </c>
      <c r="W193" s="164">
        <f t="shared" ca="1" si="661"/>
        <v>0</v>
      </c>
      <c r="X193" s="164">
        <f t="shared" ca="1" si="662"/>
        <v>0</v>
      </c>
      <c r="Y193" s="164">
        <f t="shared" ca="1" si="663"/>
        <v>0</v>
      </c>
      <c r="Z193" s="164">
        <f t="shared" ca="1" si="664"/>
        <v>0</v>
      </c>
      <c r="AA193" s="164">
        <f t="shared" ca="1" si="665"/>
        <v>0</v>
      </c>
      <c r="AB193" s="164">
        <f t="shared" ca="1" si="666"/>
        <v>0</v>
      </c>
      <c r="AC193" s="164">
        <f t="shared" ca="1" si="667"/>
        <v>0</v>
      </c>
      <c r="AD193" s="164">
        <f t="shared" ca="1" si="668"/>
        <v>0</v>
      </c>
      <c r="AE193" s="164">
        <f t="shared" ca="1" si="669"/>
        <v>0</v>
      </c>
      <c r="AF193" s="164">
        <f t="shared" ca="1" si="670"/>
        <v>0</v>
      </c>
      <c r="AG193" s="164">
        <f t="shared" ca="1" si="671"/>
        <v>0</v>
      </c>
      <c r="AH193" s="164">
        <f t="shared" ca="1" si="672"/>
        <v>0</v>
      </c>
      <c r="AI193" s="164">
        <f t="shared" ca="1" si="673"/>
        <v>0</v>
      </c>
      <c r="AJ193" s="164">
        <f t="shared" ca="1" si="674"/>
        <v>0</v>
      </c>
      <c r="AK193" s="164">
        <f t="shared" ca="1" si="675"/>
        <v>0</v>
      </c>
      <c r="AL193" s="164">
        <f t="shared" si="676"/>
        <v>0</v>
      </c>
      <c r="AM193" s="164">
        <f t="shared" ca="1" si="677"/>
        <v>0</v>
      </c>
      <c r="AN193" s="205"/>
      <c r="AO193" s="154">
        <f t="shared" ca="1" si="678"/>
        <v>0</v>
      </c>
      <c r="AP193" s="154">
        <f t="shared" ca="1" si="679"/>
        <v>0</v>
      </c>
      <c r="AQ193" s="154">
        <f t="shared" ca="1" si="680"/>
        <v>0</v>
      </c>
      <c r="AR193" s="154">
        <f t="shared" ca="1" si="681"/>
        <v>0</v>
      </c>
      <c r="AS193" s="154">
        <f t="shared" ca="1" si="682"/>
        <v>0</v>
      </c>
      <c r="AT193" s="154">
        <f t="shared" ca="1" si="683"/>
        <v>0</v>
      </c>
      <c r="AU193" s="154">
        <f t="shared" ca="1" si="684"/>
        <v>0</v>
      </c>
      <c r="AV193" s="154">
        <f t="shared" ca="1" si="685"/>
        <v>0</v>
      </c>
      <c r="AW193" s="154">
        <f t="shared" ca="1" si="686"/>
        <v>0</v>
      </c>
      <c r="AX193" s="154">
        <f t="shared" ca="1" si="687"/>
        <v>0</v>
      </c>
      <c r="AY193" s="154">
        <f t="shared" ca="1" si="688"/>
        <v>0</v>
      </c>
      <c r="AZ193" s="154">
        <f t="shared" ca="1" si="689"/>
        <v>0</v>
      </c>
      <c r="BA193" s="154">
        <f t="shared" ca="1" si="690"/>
        <v>0</v>
      </c>
      <c r="BB193" s="154">
        <f t="shared" ca="1" si="691"/>
        <v>0</v>
      </c>
      <c r="BC193" s="154">
        <f t="shared" ca="1" si="692"/>
        <v>0</v>
      </c>
      <c r="BD193" s="154">
        <f t="shared" ca="1" si="693"/>
        <v>0</v>
      </c>
      <c r="BE193" s="154">
        <f t="shared" ca="1" si="694"/>
        <v>0</v>
      </c>
      <c r="BF193" s="154">
        <f t="shared" ca="1" si="695"/>
        <v>0</v>
      </c>
      <c r="BG193" s="154">
        <f t="shared" ca="1" si="696"/>
        <v>0</v>
      </c>
      <c r="BH193" s="154">
        <f t="shared" ca="1" si="697"/>
        <v>0</v>
      </c>
      <c r="BI193" s="154">
        <f t="shared" ca="1" si="698"/>
        <v>0</v>
      </c>
      <c r="BJ193" s="154">
        <f t="shared" ca="1" si="699"/>
        <v>0</v>
      </c>
      <c r="BK193" s="154">
        <f t="shared" ca="1" si="700"/>
        <v>0</v>
      </c>
      <c r="BL193" s="154">
        <f t="shared" ca="1" si="701"/>
        <v>0</v>
      </c>
      <c r="BM193" s="154">
        <f t="shared" ca="1" si="702"/>
        <v>0</v>
      </c>
      <c r="BN193" s="1198">
        <f t="shared" si="719"/>
        <v>198</v>
      </c>
      <c r="BO193" s="1197" t="str">
        <f t="shared" si="703"/>
        <v>Gatamo  (Dialekt)</v>
      </c>
      <c r="BP193" s="1197" t="str">
        <f t="shared" ca="1" si="704"/>
        <v>B</v>
      </c>
      <c r="BQ193" s="1197">
        <f t="shared" si="727"/>
        <v>17</v>
      </c>
      <c r="BR193" s="1198" t="str">
        <f t="shared" ca="1" si="720"/>
        <v/>
      </c>
      <c r="BS193" s="1198" t="s">
        <v>3843</v>
      </c>
      <c r="BT193" s="78"/>
      <c r="BU193" s="78"/>
      <c r="BV193" s="78"/>
      <c r="BW193" s="1197">
        <f t="shared" ca="1" si="721"/>
        <v>0</v>
      </c>
      <c r="BX193" s="1197">
        <f t="shared" ca="1" si="705"/>
        <v>0</v>
      </c>
      <c r="BY193" s="1197">
        <f t="shared" ca="1" si="706"/>
        <v>0</v>
      </c>
      <c r="BZ193" s="1081">
        <f t="shared" ca="1" si="707"/>
        <v>0</v>
      </c>
      <c r="CA193" s="1081">
        <f t="shared" ca="1" si="708"/>
        <v>0</v>
      </c>
      <c r="CB193" s="1081">
        <f t="shared" ca="1" si="709"/>
        <v>65</v>
      </c>
      <c r="CC193" s="1081">
        <f t="shared" ca="1" si="710"/>
        <v>66</v>
      </c>
      <c r="CD193" s="1081">
        <f t="shared" si="729"/>
        <v>0</v>
      </c>
      <c r="CE193" s="1081">
        <f t="shared" ca="1" si="711"/>
        <v>1</v>
      </c>
      <c r="CF193" s="1081">
        <f t="shared" ca="1" si="722"/>
        <v>0</v>
      </c>
      <c r="CG193" s="1198" t="str">
        <f t="shared" si="712"/>
        <v>Garethi-Familie</v>
      </c>
      <c r="CH193" s="1198" t="str">
        <f t="shared" ca="1" si="713"/>
        <v/>
      </c>
      <c r="CI193" s="1198"/>
      <c r="CJ193" s="1198"/>
      <c r="CK193" s="1198" t="str">
        <f t="shared" ca="1" si="723"/>
        <v/>
      </c>
      <c r="CL193" s="1198" t="str">
        <f t="shared" ca="1" si="724"/>
        <v/>
      </c>
      <c r="CM193" s="78"/>
      <c r="CN193" s="1081">
        <f t="shared" ca="1" si="725"/>
        <v>0</v>
      </c>
      <c r="CO193" s="1081">
        <f t="shared" ca="1" si="714"/>
        <v>0</v>
      </c>
      <c r="CP193" s="1081">
        <f t="shared" ca="1" si="726"/>
        <v>0</v>
      </c>
      <c r="DJ193" s="301" t="str">
        <f t="shared" ca="1" si="732"/>
        <v>A</v>
      </c>
      <c r="DK193" s="301" t="str">
        <f t="shared" ca="1" si="732"/>
        <v>A</v>
      </c>
      <c r="DL193" s="301" t="str">
        <f t="shared" ca="1" si="732"/>
        <v>A</v>
      </c>
      <c r="DM193" s="301" t="str">
        <f t="shared" ca="1" si="732"/>
        <v>A</v>
      </c>
      <c r="DN193" s="301" t="str">
        <f t="shared" ca="1" si="732"/>
        <v>A</v>
      </c>
      <c r="DO193" s="301" t="str">
        <f t="shared" ca="1" si="732"/>
        <v>A</v>
      </c>
      <c r="DP193" s="301" t="str">
        <f t="shared" ca="1" si="732"/>
        <v>A</v>
      </c>
      <c r="DQ193" s="301" t="str">
        <f t="shared" ca="1" si="732"/>
        <v>A</v>
      </c>
      <c r="DR193" s="301" t="str">
        <f t="shared" ca="1" si="732"/>
        <v>A</v>
      </c>
      <c r="DS193" s="301" t="str">
        <f t="shared" ca="1" si="732"/>
        <v>A</v>
      </c>
      <c r="DT193" s="301" t="str">
        <f t="shared" ca="1" si="733"/>
        <v>A</v>
      </c>
      <c r="DU193" s="301" t="str">
        <f t="shared" ca="1" si="733"/>
        <v>A</v>
      </c>
      <c r="DV193" s="301" t="str">
        <f t="shared" ca="1" si="733"/>
        <v>A</v>
      </c>
      <c r="DW193" s="301" t="str">
        <f t="shared" ca="1" si="733"/>
        <v>A</v>
      </c>
      <c r="DX193" s="301" t="str">
        <f t="shared" ca="1" si="733"/>
        <v>A</v>
      </c>
      <c r="DY193" s="301" t="str">
        <f t="shared" ca="1" si="733"/>
        <v>A</v>
      </c>
      <c r="DZ193" s="301" t="str">
        <f t="shared" ca="1" si="733"/>
        <v>A</v>
      </c>
      <c r="EA193" s="301" t="str">
        <f t="shared" ca="1" si="733"/>
        <v>A</v>
      </c>
      <c r="EB193" s="301" t="str">
        <f t="shared" ca="1" si="733"/>
        <v>A</v>
      </c>
      <c r="EC193" s="301" t="str">
        <f t="shared" ca="1" si="733"/>
        <v>A</v>
      </c>
      <c r="ED193" s="301" t="str">
        <f t="shared" ca="1" si="733"/>
        <v>A</v>
      </c>
      <c r="EE193" s="301" t="str">
        <f t="shared" ca="1" si="733"/>
        <v>A</v>
      </c>
      <c r="EF193" s="301">
        <f t="shared" si="717"/>
        <v>0</v>
      </c>
      <c r="EG193" s="1426" t="str">
        <f t="shared" ca="1" si="728"/>
        <v>B</v>
      </c>
      <c r="EH193" s="1429" t="str">
        <f t="shared" ca="1" si="728"/>
        <v>B</v>
      </c>
      <c r="EI193" s="1429" t="str">
        <f t="shared" ca="1" si="728"/>
        <v>B</v>
      </c>
      <c r="EJ193" s="1429" t="str">
        <f t="shared" ca="1" si="728"/>
        <v>B</v>
      </c>
      <c r="EK193" s="1429" t="str">
        <f t="shared" ca="1" si="728"/>
        <v>B</v>
      </c>
      <c r="EL193" s="1429" t="str">
        <f t="shared" ca="1" si="728"/>
        <v>B</v>
      </c>
      <c r="EM193" s="1429" t="str">
        <f t="shared" ca="1" si="728"/>
        <v>B</v>
      </c>
      <c r="EN193" s="1429" t="str">
        <f t="shared" ca="1" si="728"/>
        <v>B</v>
      </c>
      <c r="EO193" s="1429" t="str">
        <f t="shared" ca="1" si="728"/>
        <v>B</v>
      </c>
      <c r="EP193" s="1429" t="str">
        <f t="shared" ca="1" si="728"/>
        <v>B</v>
      </c>
      <c r="EQ193" s="1429" t="str">
        <f t="shared" ca="1" si="728"/>
        <v>B</v>
      </c>
      <c r="ER193" s="1429" t="str">
        <f t="shared" ca="1" si="728"/>
        <v>B</v>
      </c>
      <c r="ES193" s="1429" t="str">
        <f t="shared" ca="1" si="728"/>
        <v>B</v>
      </c>
      <c r="ET193" s="1429" t="str">
        <f t="shared" ca="1" si="728"/>
        <v>B</v>
      </c>
      <c r="EU193" s="1429" t="str">
        <f t="shared" ca="1" si="728"/>
        <v>B</v>
      </c>
      <c r="EV193" s="1429" t="str">
        <f t="shared" ca="1" si="728"/>
        <v>B</v>
      </c>
      <c r="EW193" s="1429" t="str">
        <f t="shared" ca="1" si="730"/>
        <v>B</v>
      </c>
      <c r="EX193" s="1429" t="str">
        <f t="shared" ca="1" si="730"/>
        <v>B</v>
      </c>
      <c r="EY193" s="1429" t="str">
        <f t="shared" ca="1" si="730"/>
        <v>B</v>
      </c>
      <c r="EZ193" s="1429" t="str">
        <f t="shared" ca="1" si="730"/>
        <v>B</v>
      </c>
      <c r="FA193" s="1429" t="str">
        <f t="shared" ca="1" si="730"/>
        <v>B</v>
      </c>
      <c r="FB193" s="1429" t="str">
        <f t="shared" ca="1" si="730"/>
        <v>B</v>
      </c>
      <c r="FC193" s="1429" t="str">
        <f t="shared" ca="1" si="730"/>
        <v>B</v>
      </c>
      <c r="FD193" s="1429" t="str">
        <f t="shared" ca="1" si="730"/>
        <v>B</v>
      </c>
      <c r="FE193" s="1429" t="str">
        <f t="shared" ca="1" si="731"/>
        <v>B</v>
      </c>
      <c r="FF193" s="1429" t="str">
        <f t="shared" ca="1" si="731"/>
        <v>B</v>
      </c>
      <c r="FG193" s="1429" t="str">
        <f t="shared" ca="1" si="731"/>
        <v>B</v>
      </c>
      <c r="FH193" s="1429" t="str">
        <f t="shared" ca="1" si="731"/>
        <v>B</v>
      </c>
      <c r="FI193" s="1429" t="str">
        <f t="shared" ca="1" si="731"/>
        <v>B</v>
      </c>
      <c r="FJ193" s="1429" t="str">
        <f t="shared" ca="1" si="731"/>
        <v>B</v>
      </c>
      <c r="FK193" s="1429" t="str">
        <f t="shared" ca="1" si="731"/>
        <v>B</v>
      </c>
      <c r="FL193" s="1429" t="str">
        <f t="shared" ca="1" si="731"/>
        <v>B</v>
      </c>
    </row>
    <row r="194" spans="1:168" x14ac:dyDescent="0.2">
      <c r="A194" s="62" t="str">
        <f t="shared" si="649"/>
        <v>Gjalskisch</v>
      </c>
      <c r="B194" s="317" t="str">
        <f t="shared" ca="1" si="650"/>
        <v/>
      </c>
      <c r="C194" s="332" t="str">
        <f ca="1">IF(AND(EXACT($F194,""),EXACT($G194,"")),IF(OR(NOT(ISBLANK(D194)),NOT(EXACT(HLOOKUP(RASSEGENE,RASSE,$BN194,FALSE),"")),NOT(EXACT(HLOOKUP(KULTURGENE,KULTUR,$BN194,FALSE),"")),NOT(EXACT(HLOOKUP(PROFGENE,INDIRECT(PROFGEBIET),$BN194,FALSE),"")),
IF(LEN(PROFZWEITE)&lt;1,FALSE,NOT(EXACT(HLOOKUP(Generierung!$D$12,INDIRECT(PROFGEBIET2),$BN194,FALSE),"")))
),"x",""),"")</f>
        <v/>
      </c>
      <c r="D194" s="1110"/>
      <c r="E194" s="325"/>
      <c r="F194" s="388" t="str">
        <f t="shared" ca="1" si="651"/>
        <v/>
      </c>
      <c r="G194" s="388" t="str">
        <f t="shared" ca="1" si="652"/>
        <v/>
      </c>
      <c r="H194" s="389"/>
      <c r="I194" s="1196"/>
      <c r="J194" s="326"/>
      <c r="O194" s="514" t="str">
        <f t="shared" ca="1" si="653"/>
        <v/>
      </c>
      <c r="P194" s="164">
        <f t="shared" ca="1" si="654"/>
        <v>0</v>
      </c>
      <c r="Q194" s="164">
        <f t="shared" ca="1" si="655"/>
        <v>0</v>
      </c>
      <c r="R194" s="164">
        <f t="shared" ca="1" si="656"/>
        <v>0</v>
      </c>
      <c r="S194" s="164">
        <f t="shared" ca="1" si="657"/>
        <v>0</v>
      </c>
      <c r="T194" s="164">
        <f t="shared" ca="1" si="658"/>
        <v>0</v>
      </c>
      <c r="U194" s="164">
        <f t="shared" ca="1" si="659"/>
        <v>0</v>
      </c>
      <c r="V194" s="164">
        <f t="shared" ca="1" si="660"/>
        <v>0</v>
      </c>
      <c r="W194" s="164">
        <f t="shared" ca="1" si="661"/>
        <v>0</v>
      </c>
      <c r="X194" s="164">
        <f t="shared" ca="1" si="662"/>
        <v>0</v>
      </c>
      <c r="Y194" s="164">
        <f t="shared" ca="1" si="663"/>
        <v>0</v>
      </c>
      <c r="Z194" s="164">
        <f t="shared" ca="1" si="664"/>
        <v>0</v>
      </c>
      <c r="AA194" s="164">
        <f t="shared" ca="1" si="665"/>
        <v>0</v>
      </c>
      <c r="AB194" s="164">
        <f t="shared" ca="1" si="666"/>
        <v>0</v>
      </c>
      <c r="AC194" s="164">
        <f t="shared" ca="1" si="667"/>
        <v>0</v>
      </c>
      <c r="AD194" s="164">
        <f t="shared" ca="1" si="668"/>
        <v>0</v>
      </c>
      <c r="AE194" s="164">
        <f t="shared" ca="1" si="669"/>
        <v>0</v>
      </c>
      <c r="AF194" s="164">
        <f t="shared" ca="1" si="670"/>
        <v>0</v>
      </c>
      <c r="AG194" s="164">
        <f t="shared" ca="1" si="671"/>
        <v>0</v>
      </c>
      <c r="AH194" s="164">
        <f t="shared" ca="1" si="672"/>
        <v>0</v>
      </c>
      <c r="AI194" s="164">
        <f t="shared" ca="1" si="673"/>
        <v>0</v>
      </c>
      <c r="AJ194" s="164">
        <f t="shared" ca="1" si="674"/>
        <v>0</v>
      </c>
      <c r="AK194" s="164">
        <f t="shared" ca="1" si="675"/>
        <v>0</v>
      </c>
      <c r="AL194" s="164">
        <f t="shared" si="676"/>
        <v>0</v>
      </c>
      <c r="AM194" s="164">
        <f t="shared" ca="1" si="677"/>
        <v>0</v>
      </c>
      <c r="AN194" s="205"/>
      <c r="AO194" s="154">
        <f t="shared" ca="1" si="678"/>
        <v>0</v>
      </c>
      <c r="AP194" s="154">
        <f t="shared" ca="1" si="679"/>
        <v>0</v>
      </c>
      <c r="AQ194" s="154">
        <f t="shared" ca="1" si="680"/>
        <v>0</v>
      </c>
      <c r="AR194" s="154">
        <f t="shared" ca="1" si="681"/>
        <v>0</v>
      </c>
      <c r="AS194" s="154">
        <f t="shared" ca="1" si="682"/>
        <v>0</v>
      </c>
      <c r="AT194" s="154">
        <f t="shared" ca="1" si="683"/>
        <v>0</v>
      </c>
      <c r="AU194" s="154">
        <f t="shared" ca="1" si="684"/>
        <v>0</v>
      </c>
      <c r="AV194" s="154">
        <f t="shared" ca="1" si="685"/>
        <v>0</v>
      </c>
      <c r="AW194" s="154">
        <f t="shared" ca="1" si="686"/>
        <v>0</v>
      </c>
      <c r="AX194" s="154">
        <f t="shared" ca="1" si="687"/>
        <v>0</v>
      </c>
      <c r="AY194" s="154">
        <f t="shared" ca="1" si="688"/>
        <v>0</v>
      </c>
      <c r="AZ194" s="154">
        <f t="shared" ca="1" si="689"/>
        <v>0</v>
      </c>
      <c r="BA194" s="154">
        <f t="shared" ca="1" si="690"/>
        <v>0</v>
      </c>
      <c r="BB194" s="154">
        <f t="shared" ca="1" si="691"/>
        <v>0</v>
      </c>
      <c r="BC194" s="154">
        <f t="shared" ca="1" si="692"/>
        <v>0</v>
      </c>
      <c r="BD194" s="154">
        <f t="shared" ca="1" si="693"/>
        <v>0</v>
      </c>
      <c r="BE194" s="154">
        <f t="shared" ca="1" si="694"/>
        <v>0</v>
      </c>
      <c r="BF194" s="154">
        <f t="shared" ca="1" si="695"/>
        <v>0</v>
      </c>
      <c r="BG194" s="154">
        <f t="shared" ca="1" si="696"/>
        <v>0</v>
      </c>
      <c r="BH194" s="154">
        <f t="shared" ca="1" si="697"/>
        <v>0</v>
      </c>
      <c r="BI194" s="154">
        <f t="shared" ca="1" si="698"/>
        <v>0</v>
      </c>
      <c r="BJ194" s="154">
        <f t="shared" ca="1" si="699"/>
        <v>0</v>
      </c>
      <c r="BK194" s="154">
        <f t="shared" ca="1" si="700"/>
        <v>0</v>
      </c>
      <c r="BL194" s="154">
        <f t="shared" ca="1" si="701"/>
        <v>0</v>
      </c>
      <c r="BM194" s="154">
        <f t="shared" ca="1" si="702"/>
        <v>0</v>
      </c>
      <c r="BN194" s="1198">
        <f t="shared" si="719"/>
        <v>199</v>
      </c>
      <c r="BO194" s="1197" t="str">
        <f t="shared" si="703"/>
        <v>Gjalskisch</v>
      </c>
      <c r="BP194" s="1197" t="str">
        <f t="shared" ca="1" si="704"/>
        <v>B</v>
      </c>
      <c r="BQ194" s="1197">
        <f t="shared" si="727"/>
        <v>18</v>
      </c>
      <c r="BR194" s="1198" t="str">
        <f t="shared" ca="1" si="720"/>
        <v/>
      </c>
      <c r="BS194" s="1198" t="s">
        <v>3305</v>
      </c>
      <c r="BT194" s="78"/>
      <c r="BU194" s="78"/>
      <c r="BV194" s="78"/>
      <c r="BW194" s="1197">
        <f t="shared" ca="1" si="721"/>
        <v>0</v>
      </c>
      <c r="BX194" s="1197">
        <f t="shared" ca="1" si="705"/>
        <v>0</v>
      </c>
      <c r="BY194" s="1197">
        <f t="shared" ca="1" si="706"/>
        <v>0</v>
      </c>
      <c r="BZ194" s="1081">
        <f t="shared" ca="1" si="707"/>
        <v>0</v>
      </c>
      <c r="CA194" s="1081">
        <f t="shared" ca="1" si="708"/>
        <v>0</v>
      </c>
      <c r="CB194" s="1081">
        <f t="shared" ca="1" si="709"/>
        <v>65</v>
      </c>
      <c r="CC194" s="1081">
        <f t="shared" ca="1" si="710"/>
        <v>66</v>
      </c>
      <c r="CD194" s="1081">
        <f t="shared" si="729"/>
        <v>0</v>
      </c>
      <c r="CE194" s="1081">
        <f t="shared" ca="1" si="711"/>
        <v>1</v>
      </c>
      <c r="CF194" s="1081">
        <f t="shared" ca="1" si="722"/>
        <v>0</v>
      </c>
      <c r="CG194" s="1198" t="str">
        <f t="shared" si="712"/>
        <v>Thorwalsch-Familie</v>
      </c>
      <c r="CH194" s="1198" t="str">
        <f t="shared" ca="1" si="713"/>
        <v/>
      </c>
      <c r="CI194" s="1198"/>
      <c r="CJ194" s="1198"/>
      <c r="CK194" s="1198" t="str">
        <f t="shared" ca="1" si="723"/>
        <v/>
      </c>
      <c r="CL194" s="1198" t="str">
        <f t="shared" ca="1" si="724"/>
        <v/>
      </c>
      <c r="CM194" s="78"/>
      <c r="CN194" s="1081">
        <f t="shared" ca="1" si="725"/>
        <v>0</v>
      </c>
      <c r="CO194" s="1081">
        <f t="shared" ca="1" si="714"/>
        <v>0</v>
      </c>
      <c r="CP194" s="1081">
        <f t="shared" ca="1" si="726"/>
        <v>0</v>
      </c>
      <c r="DJ194" s="301" t="str">
        <f t="shared" ca="1" si="732"/>
        <v>A</v>
      </c>
      <c r="DK194" s="301" t="str">
        <f t="shared" ca="1" si="732"/>
        <v>A</v>
      </c>
      <c r="DL194" s="301" t="str">
        <f t="shared" ca="1" si="732"/>
        <v>A</v>
      </c>
      <c r="DM194" s="301" t="str">
        <f t="shared" ca="1" si="732"/>
        <v>A</v>
      </c>
      <c r="DN194" s="301" t="str">
        <f t="shared" ca="1" si="732"/>
        <v>A</v>
      </c>
      <c r="DO194" s="301" t="str">
        <f t="shared" ca="1" si="732"/>
        <v>A</v>
      </c>
      <c r="DP194" s="301" t="str">
        <f t="shared" ca="1" si="732"/>
        <v>A</v>
      </c>
      <c r="DQ194" s="301" t="str">
        <f t="shared" ca="1" si="732"/>
        <v>A</v>
      </c>
      <c r="DR194" s="301" t="str">
        <f t="shared" ca="1" si="732"/>
        <v>A</v>
      </c>
      <c r="DS194" s="301" t="str">
        <f t="shared" ca="1" si="732"/>
        <v>A</v>
      </c>
      <c r="DT194" s="301" t="str">
        <f t="shared" ca="1" si="733"/>
        <v>A</v>
      </c>
      <c r="DU194" s="301" t="str">
        <f t="shared" ca="1" si="733"/>
        <v>A</v>
      </c>
      <c r="DV194" s="301" t="str">
        <f t="shared" ca="1" si="733"/>
        <v>A</v>
      </c>
      <c r="DW194" s="301" t="str">
        <f t="shared" ca="1" si="733"/>
        <v>A</v>
      </c>
      <c r="DX194" s="301" t="str">
        <f t="shared" ca="1" si="733"/>
        <v>A</v>
      </c>
      <c r="DY194" s="301" t="str">
        <f t="shared" ca="1" si="733"/>
        <v>A</v>
      </c>
      <c r="DZ194" s="301" t="str">
        <f t="shared" ca="1" si="733"/>
        <v>A</v>
      </c>
      <c r="EA194" s="301" t="str">
        <f t="shared" ca="1" si="733"/>
        <v>A</v>
      </c>
      <c r="EB194" s="301" t="str">
        <f t="shared" ca="1" si="733"/>
        <v>A</v>
      </c>
      <c r="EC194" s="301" t="str">
        <f t="shared" ca="1" si="733"/>
        <v>A</v>
      </c>
      <c r="ED194" s="301" t="str">
        <f t="shared" ca="1" si="733"/>
        <v>A</v>
      </c>
      <c r="EE194" s="301" t="str">
        <f t="shared" ca="1" si="733"/>
        <v>A</v>
      </c>
      <c r="EF194" s="301">
        <f t="shared" si="717"/>
        <v>0</v>
      </c>
      <c r="EG194" s="1426" t="str">
        <f t="shared" ca="1" si="728"/>
        <v>B</v>
      </c>
      <c r="EH194" s="1429" t="str">
        <f t="shared" ca="1" si="728"/>
        <v>B</v>
      </c>
      <c r="EI194" s="1429" t="str">
        <f t="shared" ca="1" si="728"/>
        <v>B</v>
      </c>
      <c r="EJ194" s="1429" t="str">
        <f t="shared" ca="1" si="728"/>
        <v>B</v>
      </c>
      <c r="EK194" s="1429" t="str">
        <f t="shared" ca="1" si="728"/>
        <v>B</v>
      </c>
      <c r="EL194" s="1429" t="str">
        <f t="shared" ca="1" si="728"/>
        <v>B</v>
      </c>
      <c r="EM194" s="1429" t="str">
        <f t="shared" ca="1" si="728"/>
        <v>B</v>
      </c>
      <c r="EN194" s="1429" t="str">
        <f t="shared" ca="1" si="728"/>
        <v>B</v>
      </c>
      <c r="EO194" s="1429" t="str">
        <f t="shared" ca="1" si="728"/>
        <v>B</v>
      </c>
      <c r="EP194" s="1429" t="str">
        <f t="shared" ca="1" si="728"/>
        <v>B</v>
      </c>
      <c r="EQ194" s="1429" t="str">
        <f t="shared" ca="1" si="728"/>
        <v>B</v>
      </c>
      <c r="ER194" s="1429" t="str">
        <f t="shared" ca="1" si="728"/>
        <v>B</v>
      </c>
      <c r="ES194" s="1429" t="str">
        <f t="shared" ca="1" si="728"/>
        <v>B</v>
      </c>
      <c r="ET194" s="1429" t="str">
        <f t="shared" ca="1" si="728"/>
        <v>B</v>
      </c>
      <c r="EU194" s="1429" t="str">
        <f t="shared" ca="1" si="728"/>
        <v>B</v>
      </c>
      <c r="EV194" s="1429" t="str">
        <f t="shared" ca="1" si="728"/>
        <v>B</v>
      </c>
      <c r="EW194" s="1429" t="str">
        <f t="shared" ca="1" si="730"/>
        <v>B</v>
      </c>
      <c r="EX194" s="1429" t="str">
        <f t="shared" ca="1" si="730"/>
        <v>B</v>
      </c>
      <c r="EY194" s="1429" t="str">
        <f t="shared" ca="1" si="730"/>
        <v>B</v>
      </c>
      <c r="EZ194" s="1429" t="str">
        <f t="shared" ca="1" si="730"/>
        <v>B</v>
      </c>
      <c r="FA194" s="1429" t="str">
        <f t="shared" ca="1" si="730"/>
        <v>B</v>
      </c>
      <c r="FB194" s="1429" t="str">
        <f t="shared" ca="1" si="730"/>
        <v>B</v>
      </c>
      <c r="FC194" s="1429" t="str">
        <f t="shared" ca="1" si="730"/>
        <v>B</v>
      </c>
      <c r="FD194" s="1429" t="str">
        <f t="shared" ca="1" si="730"/>
        <v>B</v>
      </c>
      <c r="FE194" s="1429" t="str">
        <f t="shared" ca="1" si="731"/>
        <v>B</v>
      </c>
      <c r="FF194" s="1429" t="str">
        <f t="shared" ca="1" si="731"/>
        <v>B</v>
      </c>
      <c r="FG194" s="1429" t="str">
        <f t="shared" ca="1" si="731"/>
        <v>B</v>
      </c>
      <c r="FH194" s="1429" t="str">
        <f t="shared" ca="1" si="731"/>
        <v>B</v>
      </c>
      <c r="FI194" s="1429" t="str">
        <f t="shared" ca="1" si="731"/>
        <v>B</v>
      </c>
      <c r="FJ194" s="1429" t="str">
        <f t="shared" ca="1" si="731"/>
        <v>B</v>
      </c>
      <c r="FK194" s="1429" t="str">
        <f t="shared" ca="1" si="731"/>
        <v>B</v>
      </c>
      <c r="FL194" s="1429" t="str">
        <f t="shared" ca="1" si="731"/>
        <v>B</v>
      </c>
    </row>
    <row r="195" spans="1:168" x14ac:dyDescent="0.2">
      <c r="A195" s="62" t="str">
        <f t="shared" si="649"/>
        <v>Goblinisch</v>
      </c>
      <c r="B195" s="317" t="str">
        <f t="shared" ca="1" si="650"/>
        <v/>
      </c>
      <c r="C195" s="332" t="str">
        <f ca="1">IF(AND(EXACT($F195,""),EXACT($G195,"")),IF(OR(NOT(ISBLANK(D195)),NOT(EXACT(HLOOKUP(RASSEGENE,RASSE,$BN195,FALSE),"")),NOT(EXACT(HLOOKUP(KULTURGENE,KULTUR,$BN195,FALSE),"")),NOT(EXACT(HLOOKUP(PROFGENE,INDIRECT(PROFGEBIET),$BN195,FALSE),"")),
IF(LEN(PROFZWEITE)&lt;1,FALSE,NOT(EXACT(HLOOKUP(Generierung!$D$12,INDIRECT(PROFGEBIET2),$BN195,FALSE),"")))
),"x",""),"")</f>
        <v/>
      </c>
      <c r="D195" s="1110"/>
      <c r="E195" s="325"/>
      <c r="F195" s="388" t="str">
        <f t="shared" ca="1" si="651"/>
        <v/>
      </c>
      <c r="G195" s="388" t="str">
        <f t="shared" ca="1" si="652"/>
        <v/>
      </c>
      <c r="H195" s="389"/>
      <c r="I195" s="1196"/>
      <c r="J195" s="326"/>
      <c r="O195" s="514" t="str">
        <f t="shared" ca="1" si="653"/>
        <v/>
      </c>
      <c r="P195" s="164">
        <f t="shared" ca="1" si="654"/>
        <v>0</v>
      </c>
      <c r="Q195" s="164">
        <f t="shared" ca="1" si="655"/>
        <v>0</v>
      </c>
      <c r="R195" s="164">
        <f t="shared" ca="1" si="656"/>
        <v>0</v>
      </c>
      <c r="S195" s="164">
        <f t="shared" ca="1" si="657"/>
        <v>0</v>
      </c>
      <c r="T195" s="164">
        <f t="shared" ca="1" si="658"/>
        <v>0</v>
      </c>
      <c r="U195" s="164">
        <f t="shared" ca="1" si="659"/>
        <v>0</v>
      </c>
      <c r="V195" s="164">
        <f t="shared" ca="1" si="660"/>
        <v>0</v>
      </c>
      <c r="W195" s="164">
        <f t="shared" ca="1" si="661"/>
        <v>0</v>
      </c>
      <c r="X195" s="164">
        <f t="shared" ca="1" si="662"/>
        <v>0</v>
      </c>
      <c r="Y195" s="164">
        <f t="shared" ca="1" si="663"/>
        <v>0</v>
      </c>
      <c r="Z195" s="164">
        <f t="shared" ca="1" si="664"/>
        <v>0</v>
      </c>
      <c r="AA195" s="164">
        <f t="shared" ca="1" si="665"/>
        <v>0</v>
      </c>
      <c r="AB195" s="164">
        <f t="shared" ca="1" si="666"/>
        <v>0</v>
      </c>
      <c r="AC195" s="164">
        <f t="shared" ca="1" si="667"/>
        <v>0</v>
      </c>
      <c r="AD195" s="164">
        <f t="shared" ca="1" si="668"/>
        <v>0</v>
      </c>
      <c r="AE195" s="164">
        <f t="shared" ca="1" si="669"/>
        <v>0</v>
      </c>
      <c r="AF195" s="164">
        <f t="shared" ca="1" si="670"/>
        <v>0</v>
      </c>
      <c r="AG195" s="164">
        <f t="shared" ca="1" si="671"/>
        <v>0</v>
      </c>
      <c r="AH195" s="164">
        <f t="shared" ca="1" si="672"/>
        <v>0</v>
      </c>
      <c r="AI195" s="164">
        <f t="shared" ca="1" si="673"/>
        <v>0</v>
      </c>
      <c r="AJ195" s="164">
        <f t="shared" ca="1" si="674"/>
        <v>0</v>
      </c>
      <c r="AK195" s="164">
        <f t="shared" ca="1" si="675"/>
        <v>0</v>
      </c>
      <c r="AL195" s="164">
        <f t="shared" si="676"/>
        <v>0</v>
      </c>
      <c r="AM195" s="164">
        <f t="shared" ca="1" si="677"/>
        <v>0</v>
      </c>
      <c r="AN195" s="205"/>
      <c r="AO195" s="154">
        <f t="shared" ca="1" si="678"/>
        <v>0</v>
      </c>
      <c r="AP195" s="154">
        <f t="shared" ca="1" si="679"/>
        <v>0</v>
      </c>
      <c r="AQ195" s="154">
        <f t="shared" ca="1" si="680"/>
        <v>0</v>
      </c>
      <c r="AR195" s="154">
        <f t="shared" ca="1" si="681"/>
        <v>0</v>
      </c>
      <c r="AS195" s="154">
        <f t="shared" ca="1" si="682"/>
        <v>0</v>
      </c>
      <c r="AT195" s="154">
        <f t="shared" ca="1" si="683"/>
        <v>0</v>
      </c>
      <c r="AU195" s="154">
        <f t="shared" ca="1" si="684"/>
        <v>0</v>
      </c>
      <c r="AV195" s="154">
        <f t="shared" ca="1" si="685"/>
        <v>0</v>
      </c>
      <c r="AW195" s="154">
        <f t="shared" ca="1" si="686"/>
        <v>0</v>
      </c>
      <c r="AX195" s="154">
        <f t="shared" ca="1" si="687"/>
        <v>0</v>
      </c>
      <c r="AY195" s="154">
        <f t="shared" ca="1" si="688"/>
        <v>0</v>
      </c>
      <c r="AZ195" s="154">
        <f t="shared" ca="1" si="689"/>
        <v>0</v>
      </c>
      <c r="BA195" s="154">
        <f t="shared" ca="1" si="690"/>
        <v>0</v>
      </c>
      <c r="BB195" s="154">
        <f t="shared" ca="1" si="691"/>
        <v>0</v>
      </c>
      <c r="BC195" s="154">
        <f t="shared" ca="1" si="692"/>
        <v>0</v>
      </c>
      <c r="BD195" s="154">
        <f t="shared" ca="1" si="693"/>
        <v>0</v>
      </c>
      <c r="BE195" s="154">
        <f t="shared" ca="1" si="694"/>
        <v>0</v>
      </c>
      <c r="BF195" s="154">
        <f t="shared" ca="1" si="695"/>
        <v>0</v>
      </c>
      <c r="BG195" s="154">
        <f t="shared" ca="1" si="696"/>
        <v>0</v>
      </c>
      <c r="BH195" s="154">
        <f t="shared" ca="1" si="697"/>
        <v>0</v>
      </c>
      <c r="BI195" s="154">
        <f t="shared" ca="1" si="698"/>
        <v>0</v>
      </c>
      <c r="BJ195" s="154">
        <f t="shared" ca="1" si="699"/>
        <v>0</v>
      </c>
      <c r="BK195" s="154">
        <f t="shared" ca="1" si="700"/>
        <v>0</v>
      </c>
      <c r="BL195" s="154">
        <f t="shared" ca="1" si="701"/>
        <v>0</v>
      </c>
      <c r="BM195" s="154">
        <f t="shared" ca="1" si="702"/>
        <v>0</v>
      </c>
      <c r="BN195" s="1198">
        <f t="shared" si="719"/>
        <v>200</v>
      </c>
      <c r="BO195" s="1197" t="str">
        <f t="shared" si="703"/>
        <v>Goblinisch</v>
      </c>
      <c r="BP195" s="1197" t="str">
        <f t="shared" ca="1" si="704"/>
        <v>B</v>
      </c>
      <c r="BQ195" s="1197">
        <f t="shared" si="727"/>
        <v>19</v>
      </c>
      <c r="BR195" s="1198" t="str">
        <f t="shared" ca="1" si="720"/>
        <v/>
      </c>
      <c r="BS195" s="1198" t="s">
        <v>3477</v>
      </c>
      <c r="BT195" s="78"/>
      <c r="BU195" s="78"/>
      <c r="BV195" s="78"/>
      <c r="BW195" s="1197">
        <f t="shared" ca="1" si="721"/>
        <v>0</v>
      </c>
      <c r="BX195" s="1197">
        <f t="shared" ca="1" si="705"/>
        <v>0</v>
      </c>
      <c r="BY195" s="1197">
        <f t="shared" ca="1" si="706"/>
        <v>0</v>
      </c>
      <c r="BZ195" s="1081">
        <f t="shared" ca="1" si="707"/>
        <v>0</v>
      </c>
      <c r="CA195" s="1081">
        <f t="shared" ca="1" si="708"/>
        <v>0</v>
      </c>
      <c r="CB195" s="1081">
        <f t="shared" ca="1" si="709"/>
        <v>65</v>
      </c>
      <c r="CC195" s="1081">
        <f t="shared" ca="1" si="710"/>
        <v>66</v>
      </c>
      <c r="CD195" s="1081">
        <f t="shared" si="729"/>
        <v>0</v>
      </c>
      <c r="CE195" s="1081">
        <f t="shared" ca="1" si="711"/>
        <v>1</v>
      </c>
      <c r="CF195" s="1081">
        <f t="shared" ca="1" si="722"/>
        <v>0</v>
      </c>
      <c r="CG195" s="1198" t="str">
        <f t="shared" si="712"/>
        <v>Goblinisch</v>
      </c>
      <c r="CH195" s="1198" t="str">
        <f t="shared" ca="1" si="713"/>
        <v/>
      </c>
      <c r="CI195" s="1198"/>
      <c r="CJ195" s="1198"/>
      <c r="CK195" s="1198" t="str">
        <f t="shared" ca="1" si="723"/>
        <v/>
      </c>
      <c r="CL195" s="1198" t="str">
        <f t="shared" ca="1" si="724"/>
        <v/>
      </c>
      <c r="CM195" s="78"/>
      <c r="CN195" s="1081">
        <f t="shared" ca="1" si="725"/>
        <v>0</v>
      </c>
      <c r="CO195" s="1081">
        <f t="shared" ca="1" si="714"/>
        <v>0</v>
      </c>
      <c r="CP195" s="1081">
        <f t="shared" ca="1" si="726"/>
        <v>0</v>
      </c>
      <c r="DJ195" s="301" t="str">
        <f t="shared" ca="1" si="732"/>
        <v>A</v>
      </c>
      <c r="DK195" s="301" t="str">
        <f t="shared" ca="1" si="732"/>
        <v>A</v>
      </c>
      <c r="DL195" s="301" t="str">
        <f t="shared" ca="1" si="732"/>
        <v>A</v>
      </c>
      <c r="DM195" s="301" t="str">
        <f t="shared" ca="1" si="732"/>
        <v>A</v>
      </c>
      <c r="DN195" s="301" t="str">
        <f t="shared" ca="1" si="732"/>
        <v>A</v>
      </c>
      <c r="DO195" s="301" t="str">
        <f t="shared" ca="1" si="732"/>
        <v>A</v>
      </c>
      <c r="DP195" s="301" t="str">
        <f t="shared" ca="1" si="732"/>
        <v>A</v>
      </c>
      <c r="DQ195" s="301" t="str">
        <f t="shared" ca="1" si="732"/>
        <v>A</v>
      </c>
      <c r="DR195" s="301" t="str">
        <f t="shared" ca="1" si="732"/>
        <v>A</v>
      </c>
      <c r="DS195" s="301" t="str">
        <f t="shared" ca="1" si="732"/>
        <v>A</v>
      </c>
      <c r="DT195" s="301" t="str">
        <f t="shared" ca="1" si="733"/>
        <v>A</v>
      </c>
      <c r="DU195" s="301" t="str">
        <f t="shared" ca="1" si="733"/>
        <v>A</v>
      </c>
      <c r="DV195" s="301" t="str">
        <f t="shared" ca="1" si="733"/>
        <v>A</v>
      </c>
      <c r="DW195" s="301" t="str">
        <f t="shared" ca="1" si="733"/>
        <v>A</v>
      </c>
      <c r="DX195" s="301" t="str">
        <f t="shared" ca="1" si="733"/>
        <v>A</v>
      </c>
      <c r="DY195" s="301" t="str">
        <f t="shared" ca="1" si="733"/>
        <v>A</v>
      </c>
      <c r="DZ195" s="301" t="str">
        <f t="shared" ca="1" si="733"/>
        <v>A</v>
      </c>
      <c r="EA195" s="301" t="str">
        <f t="shared" ca="1" si="733"/>
        <v>A</v>
      </c>
      <c r="EB195" s="301" t="str">
        <f t="shared" ca="1" si="733"/>
        <v>A</v>
      </c>
      <c r="EC195" s="301" t="str">
        <f t="shared" ca="1" si="733"/>
        <v>A</v>
      </c>
      <c r="ED195" s="301" t="str">
        <f t="shared" ca="1" si="733"/>
        <v>A</v>
      </c>
      <c r="EE195" s="301" t="str">
        <f t="shared" ca="1" si="733"/>
        <v>A</v>
      </c>
      <c r="EF195" s="301">
        <f t="shared" si="717"/>
        <v>0</v>
      </c>
      <c r="EG195" s="1426" t="str">
        <f t="shared" ref="EG195:EV198" ca="1" si="734">IF(ISERR(FIND(";"&amp;EG$176&amp;":0;",$E195)),
CHAR($CC195+SUM(IF(ISERR(FIND(";"&amp;EG$176&amp;";",$E195)),0,-1),
IF(ISERR(FIND(";"&amp;EG$176&amp;":",$E195)),0,-VALUE(MID($E195,FIND(";"&amp;EG$176&amp;":",$E195)+LEN(EG$176)+2,1))),
IF(ISERR(FIND(";"&amp;EG$176&amp;"+",$E195)),0,VALUE(MID($E195,FIND(";"&amp;EG$176&amp;"+",$E195)+LEN(EG$176)+2,1))),
)),0)</f>
        <v>B</v>
      </c>
      <c r="EH195" s="1429" t="str">
        <f t="shared" ca="1" si="734"/>
        <v>B</v>
      </c>
      <c r="EI195" s="1429" t="str">
        <f t="shared" ca="1" si="734"/>
        <v>B</v>
      </c>
      <c r="EJ195" s="1429" t="str">
        <f t="shared" ca="1" si="734"/>
        <v>B</v>
      </c>
      <c r="EK195" s="1429" t="str">
        <f t="shared" ca="1" si="734"/>
        <v>B</v>
      </c>
      <c r="EL195" s="1429" t="str">
        <f t="shared" ca="1" si="734"/>
        <v>B</v>
      </c>
      <c r="EM195" s="1429" t="str">
        <f t="shared" ca="1" si="734"/>
        <v>B</v>
      </c>
      <c r="EN195" s="1429" t="str">
        <f t="shared" ca="1" si="734"/>
        <v>B</v>
      </c>
      <c r="EO195" s="1429" t="str">
        <f t="shared" ca="1" si="734"/>
        <v>B</v>
      </c>
      <c r="EP195" s="1429" t="str">
        <f t="shared" ca="1" si="734"/>
        <v>B</v>
      </c>
      <c r="EQ195" s="1429" t="str">
        <f t="shared" ca="1" si="734"/>
        <v>B</v>
      </c>
      <c r="ER195" s="1429" t="str">
        <f t="shared" ca="1" si="734"/>
        <v>B</v>
      </c>
      <c r="ES195" s="1429" t="str">
        <f t="shared" ca="1" si="734"/>
        <v>B</v>
      </c>
      <c r="ET195" s="1429" t="str">
        <f t="shared" ca="1" si="734"/>
        <v>B</v>
      </c>
      <c r="EU195" s="1429" t="str">
        <f t="shared" ca="1" si="734"/>
        <v>B</v>
      </c>
      <c r="EV195" s="1429" t="str">
        <f t="shared" ca="1" si="734"/>
        <v>B</v>
      </c>
      <c r="EW195" s="1429" t="str">
        <f t="shared" ca="1" si="730"/>
        <v>B</v>
      </c>
      <c r="EX195" s="1429" t="str">
        <f t="shared" ca="1" si="730"/>
        <v>B</v>
      </c>
      <c r="EY195" s="1429" t="str">
        <f t="shared" ca="1" si="730"/>
        <v>B</v>
      </c>
      <c r="EZ195" s="1429" t="str">
        <f t="shared" ca="1" si="730"/>
        <v>B</v>
      </c>
      <c r="FA195" s="1429" t="str">
        <f t="shared" ca="1" si="730"/>
        <v>B</v>
      </c>
      <c r="FB195" s="1429" t="str">
        <f t="shared" ca="1" si="730"/>
        <v>B</v>
      </c>
      <c r="FC195" s="1429" t="str">
        <f t="shared" ca="1" si="730"/>
        <v>B</v>
      </c>
      <c r="FD195" s="1429" t="str">
        <f t="shared" ca="1" si="730"/>
        <v>B</v>
      </c>
      <c r="FE195" s="1429" t="str">
        <f t="shared" ca="1" si="731"/>
        <v>B</v>
      </c>
      <c r="FF195" s="1429" t="str">
        <f t="shared" ca="1" si="731"/>
        <v>B</v>
      </c>
      <c r="FG195" s="1429" t="str">
        <f t="shared" ca="1" si="731"/>
        <v>B</v>
      </c>
      <c r="FH195" s="1429" t="str">
        <f t="shared" ca="1" si="731"/>
        <v>B</v>
      </c>
      <c r="FI195" s="1429" t="str">
        <f t="shared" ca="1" si="731"/>
        <v>B</v>
      </c>
      <c r="FJ195" s="1429" t="str">
        <f t="shared" ca="1" si="731"/>
        <v>B</v>
      </c>
      <c r="FK195" s="1429" t="str">
        <f t="shared" ca="1" si="731"/>
        <v>B</v>
      </c>
      <c r="FL195" s="1429" t="str">
        <f t="shared" ca="1" si="731"/>
        <v>B</v>
      </c>
    </row>
    <row r="196" spans="1:168" x14ac:dyDescent="0.2">
      <c r="A196" s="62" t="str">
        <f t="shared" si="649"/>
        <v>Grolmisch</v>
      </c>
      <c r="B196" s="317" t="str">
        <f t="shared" ca="1" si="650"/>
        <v/>
      </c>
      <c r="C196" s="332" t="str">
        <f ca="1">IF(AND(EXACT($F196,""),EXACT($G196,"")),IF(OR(NOT(ISBLANK(D196)),NOT(EXACT(HLOOKUP(RASSEGENE,RASSE,$BN196,FALSE),"")),NOT(EXACT(HLOOKUP(KULTURGENE,KULTUR,$BN196,FALSE),"")),NOT(EXACT(HLOOKUP(PROFGENE,INDIRECT(PROFGEBIET),$BN196,FALSE),"")),
IF(LEN(PROFZWEITE)&lt;1,FALSE,NOT(EXACT(HLOOKUP(Generierung!$D$12,INDIRECT(PROFGEBIET2),$BN196,FALSE),"")))
),"x",""),"")</f>
        <v/>
      </c>
      <c r="D196" s="1110"/>
      <c r="E196" s="325"/>
      <c r="F196" s="388" t="str">
        <f t="shared" ca="1" si="651"/>
        <v/>
      </c>
      <c r="G196" s="388" t="str">
        <f t="shared" ca="1" si="652"/>
        <v/>
      </c>
      <c r="H196" s="389"/>
      <c r="I196" s="1196"/>
      <c r="J196" s="326"/>
      <c r="O196" s="514" t="str">
        <f t="shared" ca="1" si="653"/>
        <v/>
      </c>
      <c r="P196" s="164">
        <f t="shared" ca="1" si="654"/>
        <v>0</v>
      </c>
      <c r="Q196" s="164">
        <f t="shared" ca="1" si="655"/>
        <v>0</v>
      </c>
      <c r="R196" s="164">
        <f t="shared" ca="1" si="656"/>
        <v>0</v>
      </c>
      <c r="S196" s="164">
        <f t="shared" ca="1" si="657"/>
        <v>0</v>
      </c>
      <c r="T196" s="164">
        <f t="shared" ca="1" si="658"/>
        <v>0</v>
      </c>
      <c r="U196" s="164">
        <f t="shared" ca="1" si="659"/>
        <v>0</v>
      </c>
      <c r="V196" s="164">
        <f t="shared" ca="1" si="660"/>
        <v>0</v>
      </c>
      <c r="W196" s="164">
        <f t="shared" ca="1" si="661"/>
        <v>0</v>
      </c>
      <c r="X196" s="164">
        <f t="shared" ca="1" si="662"/>
        <v>0</v>
      </c>
      <c r="Y196" s="164">
        <f t="shared" ca="1" si="663"/>
        <v>0</v>
      </c>
      <c r="Z196" s="164">
        <f t="shared" ca="1" si="664"/>
        <v>0</v>
      </c>
      <c r="AA196" s="164">
        <f t="shared" ca="1" si="665"/>
        <v>0</v>
      </c>
      <c r="AB196" s="164">
        <f t="shared" ca="1" si="666"/>
        <v>0</v>
      </c>
      <c r="AC196" s="164">
        <f t="shared" ca="1" si="667"/>
        <v>0</v>
      </c>
      <c r="AD196" s="164">
        <f t="shared" ca="1" si="668"/>
        <v>0</v>
      </c>
      <c r="AE196" s="164">
        <f t="shared" ca="1" si="669"/>
        <v>0</v>
      </c>
      <c r="AF196" s="164">
        <f t="shared" ca="1" si="670"/>
        <v>0</v>
      </c>
      <c r="AG196" s="164">
        <f t="shared" ca="1" si="671"/>
        <v>0</v>
      </c>
      <c r="AH196" s="164">
        <f t="shared" ca="1" si="672"/>
        <v>0</v>
      </c>
      <c r="AI196" s="164">
        <f t="shared" ca="1" si="673"/>
        <v>0</v>
      </c>
      <c r="AJ196" s="164">
        <f t="shared" ca="1" si="674"/>
        <v>0</v>
      </c>
      <c r="AK196" s="164">
        <f t="shared" ca="1" si="675"/>
        <v>0</v>
      </c>
      <c r="AL196" s="164">
        <f t="shared" si="676"/>
        <v>0</v>
      </c>
      <c r="AM196" s="164">
        <f t="shared" ca="1" si="677"/>
        <v>0</v>
      </c>
      <c r="AN196" s="205"/>
      <c r="AO196" s="154">
        <f t="shared" ca="1" si="678"/>
        <v>0</v>
      </c>
      <c r="AP196" s="154">
        <f t="shared" ca="1" si="679"/>
        <v>0</v>
      </c>
      <c r="AQ196" s="154">
        <f t="shared" ca="1" si="680"/>
        <v>0</v>
      </c>
      <c r="AR196" s="154">
        <f t="shared" ca="1" si="681"/>
        <v>0</v>
      </c>
      <c r="AS196" s="154">
        <f t="shared" ca="1" si="682"/>
        <v>0</v>
      </c>
      <c r="AT196" s="154">
        <f t="shared" ca="1" si="683"/>
        <v>0</v>
      </c>
      <c r="AU196" s="154">
        <f t="shared" ca="1" si="684"/>
        <v>0</v>
      </c>
      <c r="AV196" s="154">
        <f t="shared" ca="1" si="685"/>
        <v>0</v>
      </c>
      <c r="AW196" s="154">
        <f t="shared" ca="1" si="686"/>
        <v>0</v>
      </c>
      <c r="AX196" s="154">
        <f t="shared" ca="1" si="687"/>
        <v>0</v>
      </c>
      <c r="AY196" s="154">
        <f t="shared" ca="1" si="688"/>
        <v>0</v>
      </c>
      <c r="AZ196" s="154">
        <f t="shared" ca="1" si="689"/>
        <v>0</v>
      </c>
      <c r="BA196" s="154">
        <f t="shared" ca="1" si="690"/>
        <v>0</v>
      </c>
      <c r="BB196" s="154">
        <f t="shared" ca="1" si="691"/>
        <v>0</v>
      </c>
      <c r="BC196" s="154">
        <f t="shared" ca="1" si="692"/>
        <v>0</v>
      </c>
      <c r="BD196" s="154">
        <f t="shared" ca="1" si="693"/>
        <v>0</v>
      </c>
      <c r="BE196" s="154">
        <f t="shared" ca="1" si="694"/>
        <v>0</v>
      </c>
      <c r="BF196" s="154">
        <f t="shared" ca="1" si="695"/>
        <v>0</v>
      </c>
      <c r="BG196" s="154">
        <f t="shared" ca="1" si="696"/>
        <v>0</v>
      </c>
      <c r="BH196" s="154">
        <f t="shared" ca="1" si="697"/>
        <v>0</v>
      </c>
      <c r="BI196" s="154">
        <f t="shared" ca="1" si="698"/>
        <v>0</v>
      </c>
      <c r="BJ196" s="154">
        <f t="shared" ca="1" si="699"/>
        <v>0</v>
      </c>
      <c r="BK196" s="154">
        <f t="shared" ca="1" si="700"/>
        <v>0</v>
      </c>
      <c r="BL196" s="154">
        <f t="shared" ca="1" si="701"/>
        <v>0</v>
      </c>
      <c r="BM196" s="154">
        <f t="shared" ca="1" si="702"/>
        <v>0</v>
      </c>
      <c r="BN196" s="1198">
        <f t="shared" si="719"/>
        <v>201</v>
      </c>
      <c r="BO196" s="1197" t="str">
        <f t="shared" si="703"/>
        <v>Grolmisch</v>
      </c>
      <c r="BP196" s="1197" t="str">
        <f t="shared" ca="1" si="704"/>
        <v>B</v>
      </c>
      <c r="BQ196" s="1197">
        <f t="shared" si="727"/>
        <v>20</v>
      </c>
      <c r="BR196" s="1198" t="str">
        <f t="shared" ca="1" si="720"/>
        <v/>
      </c>
      <c r="BS196" s="1198" t="s">
        <v>523</v>
      </c>
      <c r="BT196" s="78"/>
      <c r="BU196" s="78"/>
      <c r="BV196" s="78"/>
      <c r="BW196" s="1197">
        <f t="shared" ca="1" si="721"/>
        <v>0</v>
      </c>
      <c r="BX196" s="1197">
        <f t="shared" ca="1" si="705"/>
        <v>0</v>
      </c>
      <c r="BY196" s="1197">
        <f t="shared" ca="1" si="706"/>
        <v>0</v>
      </c>
      <c r="BZ196" s="1081">
        <f t="shared" ca="1" si="707"/>
        <v>0</v>
      </c>
      <c r="CA196" s="1081">
        <f t="shared" ca="1" si="708"/>
        <v>0</v>
      </c>
      <c r="CB196" s="1081">
        <f t="shared" ca="1" si="709"/>
        <v>65</v>
      </c>
      <c r="CC196" s="1081">
        <f t="shared" ca="1" si="710"/>
        <v>66</v>
      </c>
      <c r="CD196" s="1081">
        <f t="shared" si="729"/>
        <v>0</v>
      </c>
      <c r="CE196" s="1081">
        <f t="shared" ca="1" si="711"/>
        <v>1</v>
      </c>
      <c r="CF196" s="1081">
        <f t="shared" ca="1" si="722"/>
        <v>0</v>
      </c>
      <c r="CG196" s="1198" t="str">
        <f t="shared" si="712"/>
        <v>Grolmisch</v>
      </c>
      <c r="CH196" s="1198" t="str">
        <f t="shared" ca="1" si="713"/>
        <v/>
      </c>
      <c r="CI196" s="1198"/>
      <c r="CJ196" s="1198"/>
      <c r="CK196" s="1198" t="str">
        <f t="shared" ca="1" si="723"/>
        <v/>
      </c>
      <c r="CL196" s="1198" t="str">
        <f t="shared" ca="1" si="724"/>
        <v/>
      </c>
      <c r="CM196" s="78"/>
      <c r="CN196" s="1081">
        <f t="shared" ca="1" si="725"/>
        <v>0</v>
      </c>
      <c r="CO196" s="1081">
        <f t="shared" ca="1" si="714"/>
        <v>0</v>
      </c>
      <c r="CP196" s="1081">
        <f t="shared" ca="1" si="726"/>
        <v>0</v>
      </c>
      <c r="DJ196" s="301" t="str">
        <f t="shared" ca="1" si="732"/>
        <v>A</v>
      </c>
      <c r="DK196" s="301" t="str">
        <f t="shared" ca="1" si="732"/>
        <v>A</v>
      </c>
      <c r="DL196" s="301" t="str">
        <f t="shared" ca="1" si="732"/>
        <v>A</v>
      </c>
      <c r="DM196" s="301" t="str">
        <f t="shared" ca="1" si="732"/>
        <v>A</v>
      </c>
      <c r="DN196" s="301" t="str">
        <f t="shared" ca="1" si="732"/>
        <v>A</v>
      </c>
      <c r="DO196" s="301" t="str">
        <f t="shared" ca="1" si="732"/>
        <v>A</v>
      </c>
      <c r="DP196" s="301" t="str">
        <f t="shared" ca="1" si="732"/>
        <v>A</v>
      </c>
      <c r="DQ196" s="301" t="str">
        <f t="shared" ca="1" si="732"/>
        <v>A</v>
      </c>
      <c r="DR196" s="301" t="str">
        <f t="shared" ca="1" si="732"/>
        <v>A</v>
      </c>
      <c r="DS196" s="301" t="str">
        <f t="shared" ca="1" si="732"/>
        <v>A</v>
      </c>
      <c r="DT196" s="301" t="str">
        <f t="shared" ca="1" si="733"/>
        <v>A</v>
      </c>
      <c r="DU196" s="301" t="str">
        <f t="shared" ca="1" si="733"/>
        <v>A</v>
      </c>
      <c r="DV196" s="301" t="str">
        <f t="shared" ca="1" si="733"/>
        <v>A</v>
      </c>
      <c r="DW196" s="301" t="str">
        <f t="shared" ca="1" si="733"/>
        <v>A</v>
      </c>
      <c r="DX196" s="301" t="str">
        <f t="shared" ca="1" si="733"/>
        <v>A</v>
      </c>
      <c r="DY196" s="301" t="str">
        <f t="shared" ca="1" si="733"/>
        <v>A</v>
      </c>
      <c r="DZ196" s="301" t="str">
        <f t="shared" ca="1" si="733"/>
        <v>A</v>
      </c>
      <c r="EA196" s="301" t="str">
        <f t="shared" ca="1" si="733"/>
        <v>A</v>
      </c>
      <c r="EB196" s="301" t="str">
        <f t="shared" ca="1" si="733"/>
        <v>A</v>
      </c>
      <c r="EC196" s="301" t="str">
        <f t="shared" ca="1" si="733"/>
        <v>A</v>
      </c>
      <c r="ED196" s="301" t="str">
        <f t="shared" ca="1" si="733"/>
        <v>A</v>
      </c>
      <c r="EE196" s="301" t="str">
        <f t="shared" ca="1" si="733"/>
        <v>A</v>
      </c>
      <c r="EF196" s="301">
        <f t="shared" si="717"/>
        <v>0</v>
      </c>
      <c r="EG196" s="1426" t="str">
        <f t="shared" ca="1" si="734"/>
        <v>B</v>
      </c>
      <c r="EH196" s="1429" t="str">
        <f t="shared" ca="1" si="734"/>
        <v>B</v>
      </c>
      <c r="EI196" s="1429" t="str">
        <f t="shared" ca="1" si="734"/>
        <v>B</v>
      </c>
      <c r="EJ196" s="1429" t="str">
        <f t="shared" ca="1" si="734"/>
        <v>B</v>
      </c>
      <c r="EK196" s="1429" t="str">
        <f t="shared" ca="1" si="734"/>
        <v>B</v>
      </c>
      <c r="EL196" s="1429" t="str">
        <f t="shared" ca="1" si="734"/>
        <v>B</v>
      </c>
      <c r="EM196" s="1429" t="str">
        <f t="shared" ca="1" si="734"/>
        <v>B</v>
      </c>
      <c r="EN196" s="1429" t="str">
        <f t="shared" ca="1" si="734"/>
        <v>B</v>
      </c>
      <c r="EO196" s="1429" t="str">
        <f t="shared" ca="1" si="734"/>
        <v>B</v>
      </c>
      <c r="EP196" s="1429" t="str">
        <f t="shared" ca="1" si="734"/>
        <v>B</v>
      </c>
      <c r="EQ196" s="1429" t="str">
        <f t="shared" ca="1" si="734"/>
        <v>B</v>
      </c>
      <c r="ER196" s="1429" t="str">
        <f t="shared" ca="1" si="734"/>
        <v>B</v>
      </c>
      <c r="ES196" s="1429" t="str">
        <f t="shared" ca="1" si="734"/>
        <v>B</v>
      </c>
      <c r="ET196" s="1429" t="str">
        <f t="shared" ca="1" si="734"/>
        <v>B</v>
      </c>
      <c r="EU196" s="1429" t="str">
        <f t="shared" ca="1" si="734"/>
        <v>B</v>
      </c>
      <c r="EV196" s="1429" t="str">
        <f t="shared" ca="1" si="734"/>
        <v>B</v>
      </c>
      <c r="EW196" s="1429" t="str">
        <f t="shared" ca="1" si="730"/>
        <v>B</v>
      </c>
      <c r="EX196" s="1429" t="str">
        <f t="shared" ca="1" si="730"/>
        <v>B</v>
      </c>
      <c r="EY196" s="1429" t="str">
        <f t="shared" ca="1" si="730"/>
        <v>B</v>
      </c>
      <c r="EZ196" s="1429" t="str">
        <f t="shared" ca="1" si="730"/>
        <v>B</v>
      </c>
      <c r="FA196" s="1429" t="str">
        <f t="shared" ca="1" si="730"/>
        <v>B</v>
      </c>
      <c r="FB196" s="1429" t="str">
        <f t="shared" ca="1" si="730"/>
        <v>B</v>
      </c>
      <c r="FC196" s="1429" t="str">
        <f t="shared" ca="1" si="730"/>
        <v>B</v>
      </c>
      <c r="FD196" s="1429" t="str">
        <f t="shared" ca="1" si="730"/>
        <v>B</v>
      </c>
      <c r="FE196" s="1429" t="str">
        <f t="shared" ca="1" si="731"/>
        <v>B</v>
      </c>
      <c r="FF196" s="1429" t="str">
        <f t="shared" ca="1" si="731"/>
        <v>B</v>
      </c>
      <c r="FG196" s="1429" t="str">
        <f t="shared" ca="1" si="731"/>
        <v>B</v>
      </c>
      <c r="FH196" s="1429" t="str">
        <f t="shared" ca="1" si="731"/>
        <v>B</v>
      </c>
      <c r="FI196" s="1429" t="str">
        <f t="shared" ca="1" si="731"/>
        <v>B</v>
      </c>
      <c r="FJ196" s="1429" t="str">
        <f t="shared" ca="1" si="731"/>
        <v>B</v>
      </c>
      <c r="FK196" s="1429" t="str">
        <f t="shared" ca="1" si="731"/>
        <v>B</v>
      </c>
      <c r="FL196" s="1429" t="str">
        <f t="shared" ca="1" si="731"/>
        <v>B</v>
      </c>
    </row>
    <row r="197" spans="1:168" x14ac:dyDescent="0.2">
      <c r="A197" s="62" t="str">
        <f t="shared" si="649"/>
        <v>Hjaldingsch ('Saga-Thorwalsch')</v>
      </c>
      <c r="B197" s="317" t="str">
        <f t="shared" ca="1" si="650"/>
        <v/>
      </c>
      <c r="C197" s="332" t="str">
        <f ca="1">IF(AND(EXACT($F197,""),EXACT($G197,"")),IF(OR(NOT(ISBLANK(D197)),NOT(EXACT(HLOOKUP(RASSEGENE,RASSE,$BN197,FALSE),"")),NOT(EXACT(HLOOKUP(KULTURGENE,KULTUR,$BN197,FALSE),"")),NOT(EXACT(HLOOKUP(PROFGENE,INDIRECT(PROFGEBIET),$BN197,FALSE),"")),
IF(LEN(PROFZWEITE)&lt;1,FALSE,NOT(EXACT(HLOOKUP(Generierung!$D$12,INDIRECT(PROFGEBIET2),$BN197,FALSE),"")))
),"x",""),"")</f>
        <v/>
      </c>
      <c r="D197" s="1110"/>
      <c r="E197" s="325"/>
      <c r="F197" s="388" t="str">
        <f t="shared" ca="1" si="651"/>
        <v/>
      </c>
      <c r="G197" s="388" t="str">
        <f t="shared" ca="1" si="652"/>
        <v/>
      </c>
      <c r="H197" s="389"/>
      <c r="I197" s="1196"/>
      <c r="J197" s="326"/>
      <c r="O197" s="514" t="str">
        <f t="shared" ca="1" si="653"/>
        <v/>
      </c>
      <c r="P197" s="164">
        <f t="shared" ca="1" si="654"/>
        <v>0</v>
      </c>
      <c r="Q197" s="164">
        <f t="shared" ca="1" si="655"/>
        <v>0</v>
      </c>
      <c r="R197" s="164">
        <f t="shared" ca="1" si="656"/>
        <v>0</v>
      </c>
      <c r="S197" s="164">
        <f t="shared" ca="1" si="657"/>
        <v>0</v>
      </c>
      <c r="T197" s="164">
        <f t="shared" ca="1" si="658"/>
        <v>0</v>
      </c>
      <c r="U197" s="164">
        <f t="shared" ca="1" si="659"/>
        <v>0</v>
      </c>
      <c r="V197" s="164">
        <f t="shared" ca="1" si="660"/>
        <v>0</v>
      </c>
      <c r="W197" s="164">
        <f t="shared" ca="1" si="661"/>
        <v>0</v>
      </c>
      <c r="X197" s="164">
        <f t="shared" ca="1" si="662"/>
        <v>0</v>
      </c>
      <c r="Y197" s="164">
        <f t="shared" ca="1" si="663"/>
        <v>0</v>
      </c>
      <c r="Z197" s="164">
        <f t="shared" ca="1" si="664"/>
        <v>0</v>
      </c>
      <c r="AA197" s="164">
        <f t="shared" ca="1" si="665"/>
        <v>0</v>
      </c>
      <c r="AB197" s="164">
        <f t="shared" ca="1" si="666"/>
        <v>0</v>
      </c>
      <c r="AC197" s="164">
        <f t="shared" ca="1" si="667"/>
        <v>0</v>
      </c>
      <c r="AD197" s="164">
        <f t="shared" ca="1" si="668"/>
        <v>0</v>
      </c>
      <c r="AE197" s="164">
        <f t="shared" ca="1" si="669"/>
        <v>0</v>
      </c>
      <c r="AF197" s="164">
        <f t="shared" ca="1" si="670"/>
        <v>0</v>
      </c>
      <c r="AG197" s="164">
        <f t="shared" ca="1" si="671"/>
        <v>0</v>
      </c>
      <c r="AH197" s="164">
        <f t="shared" ca="1" si="672"/>
        <v>0</v>
      </c>
      <c r="AI197" s="164">
        <f t="shared" ca="1" si="673"/>
        <v>0</v>
      </c>
      <c r="AJ197" s="164">
        <f t="shared" ca="1" si="674"/>
        <v>0</v>
      </c>
      <c r="AK197" s="164">
        <f t="shared" ca="1" si="675"/>
        <v>0</v>
      </c>
      <c r="AL197" s="164">
        <f t="shared" si="676"/>
        <v>0</v>
      </c>
      <c r="AM197" s="164">
        <f t="shared" ca="1" si="677"/>
        <v>0</v>
      </c>
      <c r="AN197" s="205"/>
      <c r="AO197" s="154">
        <f t="shared" ca="1" si="678"/>
        <v>0</v>
      </c>
      <c r="AP197" s="154">
        <f t="shared" ca="1" si="679"/>
        <v>0</v>
      </c>
      <c r="AQ197" s="154">
        <f t="shared" ca="1" si="680"/>
        <v>0</v>
      </c>
      <c r="AR197" s="154">
        <f t="shared" ca="1" si="681"/>
        <v>0</v>
      </c>
      <c r="AS197" s="154">
        <f t="shared" ca="1" si="682"/>
        <v>0</v>
      </c>
      <c r="AT197" s="154">
        <f t="shared" ca="1" si="683"/>
        <v>0</v>
      </c>
      <c r="AU197" s="154">
        <f t="shared" ca="1" si="684"/>
        <v>0</v>
      </c>
      <c r="AV197" s="154">
        <f t="shared" ca="1" si="685"/>
        <v>0</v>
      </c>
      <c r="AW197" s="154">
        <f t="shared" ca="1" si="686"/>
        <v>0</v>
      </c>
      <c r="AX197" s="154">
        <f t="shared" ca="1" si="687"/>
        <v>0</v>
      </c>
      <c r="AY197" s="154">
        <f t="shared" ca="1" si="688"/>
        <v>0</v>
      </c>
      <c r="AZ197" s="154">
        <f t="shared" ca="1" si="689"/>
        <v>0</v>
      </c>
      <c r="BA197" s="154">
        <f t="shared" ca="1" si="690"/>
        <v>0</v>
      </c>
      <c r="BB197" s="154">
        <f t="shared" ca="1" si="691"/>
        <v>0</v>
      </c>
      <c r="BC197" s="154">
        <f t="shared" ca="1" si="692"/>
        <v>0</v>
      </c>
      <c r="BD197" s="154">
        <f t="shared" ca="1" si="693"/>
        <v>0</v>
      </c>
      <c r="BE197" s="154">
        <f t="shared" ca="1" si="694"/>
        <v>0</v>
      </c>
      <c r="BF197" s="154">
        <f t="shared" ca="1" si="695"/>
        <v>0</v>
      </c>
      <c r="BG197" s="154">
        <f t="shared" ca="1" si="696"/>
        <v>0</v>
      </c>
      <c r="BH197" s="154">
        <f t="shared" ca="1" si="697"/>
        <v>0</v>
      </c>
      <c r="BI197" s="154">
        <f t="shared" ca="1" si="698"/>
        <v>0</v>
      </c>
      <c r="BJ197" s="154">
        <f t="shared" ca="1" si="699"/>
        <v>0</v>
      </c>
      <c r="BK197" s="154">
        <f t="shared" ca="1" si="700"/>
        <v>0</v>
      </c>
      <c r="BL197" s="154">
        <f t="shared" ca="1" si="701"/>
        <v>0</v>
      </c>
      <c r="BM197" s="154">
        <f t="shared" ca="1" si="702"/>
        <v>0</v>
      </c>
      <c r="BN197" s="1198">
        <f t="shared" si="719"/>
        <v>202</v>
      </c>
      <c r="BO197" s="1197" t="str">
        <f t="shared" si="703"/>
        <v>Hjaldingsch ('Saga-Thorwalsch')</v>
      </c>
      <c r="BP197" s="1197" t="str">
        <f t="shared" ca="1" si="704"/>
        <v>B</v>
      </c>
      <c r="BQ197" s="1197">
        <f t="shared" si="727"/>
        <v>21</v>
      </c>
      <c r="BR197" s="1198" t="str">
        <f t="shared" ca="1" si="720"/>
        <v/>
      </c>
      <c r="BS197" s="1198" t="s">
        <v>3844</v>
      </c>
      <c r="BT197" s="78"/>
      <c r="BU197" s="78"/>
      <c r="BV197" s="78"/>
      <c r="BW197" s="1197">
        <f t="shared" ca="1" si="721"/>
        <v>0</v>
      </c>
      <c r="BX197" s="1197">
        <f t="shared" ca="1" si="705"/>
        <v>0</v>
      </c>
      <c r="BY197" s="1197">
        <f t="shared" ca="1" si="706"/>
        <v>0</v>
      </c>
      <c r="BZ197" s="1081">
        <f t="shared" ca="1" si="707"/>
        <v>0</v>
      </c>
      <c r="CA197" s="1081">
        <f t="shared" ca="1" si="708"/>
        <v>0</v>
      </c>
      <c r="CB197" s="1081">
        <f t="shared" ca="1" si="709"/>
        <v>65</v>
      </c>
      <c r="CC197" s="1081">
        <f t="shared" ca="1" si="710"/>
        <v>66</v>
      </c>
      <c r="CD197" s="1081">
        <f t="shared" si="729"/>
        <v>0</v>
      </c>
      <c r="CE197" s="1081">
        <f t="shared" ca="1" si="711"/>
        <v>1</v>
      </c>
      <c r="CF197" s="1081">
        <f t="shared" ca="1" si="722"/>
        <v>0</v>
      </c>
      <c r="CG197" s="1198" t="str">
        <f t="shared" si="712"/>
        <v>Thorwalsch-Familie</v>
      </c>
      <c r="CH197" s="1198" t="str">
        <f t="shared" ca="1" si="713"/>
        <v/>
      </c>
      <c r="CI197" s="1198"/>
      <c r="CJ197" s="1198"/>
      <c r="CK197" s="1198" t="str">
        <f t="shared" ca="1" si="723"/>
        <v/>
      </c>
      <c r="CL197" s="1198" t="str">
        <f t="shared" ca="1" si="724"/>
        <v/>
      </c>
      <c r="CM197" s="78"/>
      <c r="CN197" s="1081">
        <f t="shared" ca="1" si="725"/>
        <v>0</v>
      </c>
      <c r="CO197" s="1081">
        <f t="shared" ca="1" si="714"/>
        <v>0</v>
      </c>
      <c r="CP197" s="1081">
        <f t="shared" ca="1" si="726"/>
        <v>0</v>
      </c>
      <c r="DJ197" s="301" t="str">
        <f t="shared" ref="DJ197:DS206" ca="1" si="735">IF(ISERR(FIND(";"&amp;DJ$176&amp;":0;",$E197)),
CHAR($CB197+SUM(IF(ISERR(FIND(";"&amp;DJ$176&amp;";",$F197)),0,-1),IF(OR(VT_AKADGEL,VT_AKADMAG),IF(DJ$176&lt;$EF197+1,-1,0),0),IF(ISERR(FIND(";"&amp;DJ$176&amp;":",$E197)),0,-VALUE(MID($E197,FIND(";"&amp;DJ$176&amp;":",$E197)+LEN(DJ$176)+2,1))))),0)</f>
        <v>A</v>
      </c>
      <c r="DK197" s="301" t="str">
        <f t="shared" ca="1" si="735"/>
        <v>A</v>
      </c>
      <c r="DL197" s="301" t="str">
        <f t="shared" ca="1" si="735"/>
        <v>A</v>
      </c>
      <c r="DM197" s="301" t="str">
        <f t="shared" ca="1" si="735"/>
        <v>A</v>
      </c>
      <c r="DN197" s="301" t="str">
        <f t="shared" ca="1" si="735"/>
        <v>A</v>
      </c>
      <c r="DO197" s="301" t="str">
        <f t="shared" ca="1" si="735"/>
        <v>A</v>
      </c>
      <c r="DP197" s="301" t="str">
        <f t="shared" ca="1" si="735"/>
        <v>A</v>
      </c>
      <c r="DQ197" s="301" t="str">
        <f t="shared" ca="1" si="735"/>
        <v>A</v>
      </c>
      <c r="DR197" s="301" t="str">
        <f t="shared" ca="1" si="735"/>
        <v>A</v>
      </c>
      <c r="DS197" s="301" t="str">
        <f t="shared" ca="1" si="735"/>
        <v>A</v>
      </c>
      <c r="DT197" s="301" t="str">
        <f t="shared" ref="DT197:EE206" ca="1" si="736">IF(ISERR(FIND(";"&amp;DT$176&amp;":0;",$E197)),
CHAR($CB197+SUM(IF(ISERR(FIND(";"&amp;DT$176&amp;";",$F197)),0,-1),IF(OR(VT_AKADGEL,VT_AKADMAG),IF(DT$176&lt;$EF197+1,-1,0),0),IF(ISERR(FIND(";"&amp;DT$176&amp;":",$E197)),0,-VALUE(MID($E197,FIND(";"&amp;DT$176&amp;":",$E197)+LEN(DT$176)+2,1))))),0)</f>
        <v>A</v>
      </c>
      <c r="DU197" s="301" t="str">
        <f t="shared" ca="1" si="736"/>
        <v>A</v>
      </c>
      <c r="DV197" s="301" t="str">
        <f t="shared" ca="1" si="736"/>
        <v>A</v>
      </c>
      <c r="DW197" s="301" t="str">
        <f t="shared" ca="1" si="736"/>
        <v>A</v>
      </c>
      <c r="DX197" s="301" t="str">
        <f t="shared" ca="1" si="736"/>
        <v>A</v>
      </c>
      <c r="DY197" s="301" t="str">
        <f t="shared" ca="1" si="736"/>
        <v>A</v>
      </c>
      <c r="DZ197" s="301" t="str">
        <f t="shared" ca="1" si="736"/>
        <v>A</v>
      </c>
      <c r="EA197" s="301" t="str">
        <f t="shared" ca="1" si="736"/>
        <v>A</v>
      </c>
      <c r="EB197" s="301" t="str">
        <f t="shared" ca="1" si="736"/>
        <v>A</v>
      </c>
      <c r="EC197" s="301" t="str">
        <f t="shared" ca="1" si="736"/>
        <v>A</v>
      </c>
      <c r="ED197" s="301" t="str">
        <f t="shared" ca="1" si="736"/>
        <v>A</v>
      </c>
      <c r="EE197" s="301" t="str">
        <f t="shared" ca="1" si="736"/>
        <v>A</v>
      </c>
      <c r="EF197" s="301">
        <f t="shared" si="717"/>
        <v>0</v>
      </c>
      <c r="EG197" s="1426" t="str">
        <f t="shared" ca="1" si="734"/>
        <v>B</v>
      </c>
      <c r="EH197" s="1429" t="str">
        <f t="shared" ca="1" si="734"/>
        <v>B</v>
      </c>
      <c r="EI197" s="1429" t="str">
        <f t="shared" ca="1" si="734"/>
        <v>B</v>
      </c>
      <c r="EJ197" s="1429" t="str">
        <f t="shared" ca="1" si="734"/>
        <v>B</v>
      </c>
      <c r="EK197" s="1429" t="str">
        <f t="shared" ca="1" si="734"/>
        <v>B</v>
      </c>
      <c r="EL197" s="1429" t="str">
        <f t="shared" ca="1" si="734"/>
        <v>B</v>
      </c>
      <c r="EM197" s="1429" t="str">
        <f t="shared" ca="1" si="734"/>
        <v>B</v>
      </c>
      <c r="EN197" s="1429" t="str">
        <f t="shared" ca="1" si="734"/>
        <v>B</v>
      </c>
      <c r="EO197" s="1429" t="str">
        <f t="shared" ca="1" si="734"/>
        <v>B</v>
      </c>
      <c r="EP197" s="1429" t="str">
        <f t="shared" ca="1" si="734"/>
        <v>B</v>
      </c>
      <c r="EQ197" s="1429" t="str">
        <f t="shared" ca="1" si="734"/>
        <v>B</v>
      </c>
      <c r="ER197" s="1429" t="str">
        <f t="shared" ca="1" si="734"/>
        <v>B</v>
      </c>
      <c r="ES197" s="1429" t="str">
        <f t="shared" ca="1" si="734"/>
        <v>B</v>
      </c>
      <c r="ET197" s="1429" t="str">
        <f t="shared" ca="1" si="734"/>
        <v>B</v>
      </c>
      <c r="EU197" s="1429" t="str">
        <f t="shared" ca="1" si="734"/>
        <v>B</v>
      </c>
      <c r="EV197" s="1429" t="str">
        <f t="shared" ca="1" si="734"/>
        <v>B</v>
      </c>
      <c r="EW197" s="1429" t="str">
        <f t="shared" ca="1" si="730"/>
        <v>B</v>
      </c>
      <c r="EX197" s="1429" t="str">
        <f t="shared" ca="1" si="730"/>
        <v>B</v>
      </c>
      <c r="EY197" s="1429" t="str">
        <f t="shared" ca="1" si="730"/>
        <v>B</v>
      </c>
      <c r="EZ197" s="1429" t="str">
        <f t="shared" ca="1" si="730"/>
        <v>B</v>
      </c>
      <c r="FA197" s="1429" t="str">
        <f t="shared" ca="1" si="730"/>
        <v>B</v>
      </c>
      <c r="FB197" s="1429" t="str">
        <f t="shared" ca="1" si="730"/>
        <v>B</v>
      </c>
      <c r="FC197" s="1429" t="str">
        <f t="shared" ca="1" si="730"/>
        <v>B</v>
      </c>
      <c r="FD197" s="1429" t="str">
        <f t="shared" ca="1" si="730"/>
        <v>B</v>
      </c>
      <c r="FE197" s="1429" t="str">
        <f t="shared" ca="1" si="731"/>
        <v>B</v>
      </c>
      <c r="FF197" s="1429" t="str">
        <f t="shared" ca="1" si="731"/>
        <v>B</v>
      </c>
      <c r="FG197" s="1429" t="str">
        <f t="shared" ca="1" si="731"/>
        <v>B</v>
      </c>
      <c r="FH197" s="1429" t="str">
        <f t="shared" ca="1" si="731"/>
        <v>B</v>
      </c>
      <c r="FI197" s="1429" t="str">
        <f t="shared" ca="1" si="731"/>
        <v>B</v>
      </c>
      <c r="FJ197" s="1429" t="str">
        <f t="shared" ca="1" si="731"/>
        <v>B</v>
      </c>
      <c r="FK197" s="1429" t="str">
        <f t="shared" ca="1" si="731"/>
        <v>B</v>
      </c>
      <c r="FL197" s="1429" t="str">
        <f t="shared" ca="1" si="731"/>
        <v>B</v>
      </c>
    </row>
    <row r="198" spans="1:168" x14ac:dyDescent="0.2">
      <c r="A198" s="62" t="str">
        <f t="shared" si="649"/>
        <v>Horathi  (Dialekt)</v>
      </c>
      <c r="B198" s="317" t="str">
        <f t="shared" ca="1" si="650"/>
        <v/>
      </c>
      <c r="C198" s="332" t="str">
        <f ca="1">IF(AND(EXACT($F198,""),EXACT($G198,"")),IF(OR(NOT(ISBLANK(D198)),NOT(EXACT(HLOOKUP(RASSEGENE,RASSE,$BN198,FALSE),"")),NOT(EXACT(HLOOKUP(KULTURGENE,KULTUR,$BN198,FALSE),"")),NOT(EXACT(HLOOKUP(PROFGENE,INDIRECT(PROFGEBIET),$BN198,FALSE),"")),
IF(LEN(PROFZWEITE)&lt;1,FALSE,NOT(EXACT(HLOOKUP(Generierung!$D$12,INDIRECT(PROFGEBIET2),$BN198,FALSE),"")))
),"x",""),"")</f>
        <v/>
      </c>
      <c r="D198" s="1110"/>
      <c r="E198" s="325"/>
      <c r="F198" s="388" t="str">
        <f t="shared" ca="1" si="651"/>
        <v/>
      </c>
      <c r="G198" s="388" t="str">
        <f t="shared" ca="1" si="652"/>
        <v/>
      </c>
      <c r="H198" s="389"/>
      <c r="I198" s="1196"/>
      <c r="J198" s="326"/>
      <c r="O198" s="514" t="str">
        <f t="shared" ca="1" si="653"/>
        <v/>
      </c>
      <c r="P198" s="164">
        <f t="shared" ca="1" si="654"/>
        <v>0</v>
      </c>
      <c r="Q198" s="164">
        <f t="shared" ca="1" si="655"/>
        <v>0</v>
      </c>
      <c r="R198" s="164">
        <f t="shared" ca="1" si="656"/>
        <v>0</v>
      </c>
      <c r="S198" s="164">
        <f t="shared" ca="1" si="657"/>
        <v>0</v>
      </c>
      <c r="T198" s="164">
        <f t="shared" ca="1" si="658"/>
        <v>0</v>
      </c>
      <c r="U198" s="164">
        <f t="shared" ca="1" si="659"/>
        <v>0</v>
      </c>
      <c r="V198" s="164">
        <f t="shared" ca="1" si="660"/>
        <v>0</v>
      </c>
      <c r="W198" s="164">
        <f t="shared" ca="1" si="661"/>
        <v>0</v>
      </c>
      <c r="X198" s="164">
        <f t="shared" ca="1" si="662"/>
        <v>0</v>
      </c>
      <c r="Y198" s="164">
        <f t="shared" ca="1" si="663"/>
        <v>0</v>
      </c>
      <c r="Z198" s="164">
        <f t="shared" ca="1" si="664"/>
        <v>0</v>
      </c>
      <c r="AA198" s="164">
        <f t="shared" ca="1" si="665"/>
        <v>0</v>
      </c>
      <c r="AB198" s="164">
        <f t="shared" ca="1" si="666"/>
        <v>0</v>
      </c>
      <c r="AC198" s="164">
        <f t="shared" ca="1" si="667"/>
        <v>0</v>
      </c>
      <c r="AD198" s="164">
        <f t="shared" ca="1" si="668"/>
        <v>0</v>
      </c>
      <c r="AE198" s="164">
        <f t="shared" ca="1" si="669"/>
        <v>0</v>
      </c>
      <c r="AF198" s="164">
        <f t="shared" ca="1" si="670"/>
        <v>0</v>
      </c>
      <c r="AG198" s="164">
        <f t="shared" ca="1" si="671"/>
        <v>0</v>
      </c>
      <c r="AH198" s="164">
        <f t="shared" ca="1" si="672"/>
        <v>0</v>
      </c>
      <c r="AI198" s="164">
        <f t="shared" ca="1" si="673"/>
        <v>0</v>
      </c>
      <c r="AJ198" s="164">
        <f t="shared" ca="1" si="674"/>
        <v>0</v>
      </c>
      <c r="AK198" s="164">
        <f t="shared" ca="1" si="675"/>
        <v>0</v>
      </c>
      <c r="AL198" s="164">
        <f t="shared" si="676"/>
        <v>0</v>
      </c>
      <c r="AM198" s="164">
        <f t="shared" ca="1" si="677"/>
        <v>0</v>
      </c>
      <c r="AN198" s="205"/>
      <c r="AO198" s="154">
        <f t="shared" ca="1" si="678"/>
        <v>0</v>
      </c>
      <c r="AP198" s="154">
        <f t="shared" ca="1" si="679"/>
        <v>0</v>
      </c>
      <c r="AQ198" s="154">
        <f t="shared" ca="1" si="680"/>
        <v>0</v>
      </c>
      <c r="AR198" s="154">
        <f t="shared" ca="1" si="681"/>
        <v>0</v>
      </c>
      <c r="AS198" s="154">
        <f t="shared" ca="1" si="682"/>
        <v>0</v>
      </c>
      <c r="AT198" s="154">
        <f t="shared" ca="1" si="683"/>
        <v>0</v>
      </c>
      <c r="AU198" s="154">
        <f t="shared" ca="1" si="684"/>
        <v>0</v>
      </c>
      <c r="AV198" s="154">
        <f t="shared" ca="1" si="685"/>
        <v>0</v>
      </c>
      <c r="AW198" s="154">
        <f t="shared" ca="1" si="686"/>
        <v>0</v>
      </c>
      <c r="AX198" s="154">
        <f t="shared" ca="1" si="687"/>
        <v>0</v>
      </c>
      <c r="AY198" s="154">
        <f t="shared" ca="1" si="688"/>
        <v>0</v>
      </c>
      <c r="AZ198" s="154">
        <f t="shared" ca="1" si="689"/>
        <v>0</v>
      </c>
      <c r="BA198" s="154">
        <f t="shared" ca="1" si="690"/>
        <v>0</v>
      </c>
      <c r="BB198" s="154">
        <f t="shared" ca="1" si="691"/>
        <v>0</v>
      </c>
      <c r="BC198" s="154">
        <f t="shared" ca="1" si="692"/>
        <v>0</v>
      </c>
      <c r="BD198" s="154">
        <f t="shared" ca="1" si="693"/>
        <v>0</v>
      </c>
      <c r="BE198" s="154">
        <f t="shared" ca="1" si="694"/>
        <v>0</v>
      </c>
      <c r="BF198" s="154">
        <f t="shared" ca="1" si="695"/>
        <v>0</v>
      </c>
      <c r="BG198" s="154">
        <f t="shared" ca="1" si="696"/>
        <v>0</v>
      </c>
      <c r="BH198" s="154">
        <f t="shared" ca="1" si="697"/>
        <v>0</v>
      </c>
      <c r="BI198" s="154">
        <f t="shared" ca="1" si="698"/>
        <v>0</v>
      </c>
      <c r="BJ198" s="154">
        <f t="shared" ca="1" si="699"/>
        <v>0</v>
      </c>
      <c r="BK198" s="154">
        <f t="shared" ca="1" si="700"/>
        <v>0</v>
      </c>
      <c r="BL198" s="154">
        <f t="shared" ca="1" si="701"/>
        <v>0</v>
      </c>
      <c r="BM198" s="154">
        <f t="shared" ca="1" si="702"/>
        <v>0</v>
      </c>
      <c r="BN198" s="1198">
        <f t="shared" si="719"/>
        <v>203</v>
      </c>
      <c r="BO198" s="1197" t="str">
        <f t="shared" si="703"/>
        <v>Horathi  (Dialekt)</v>
      </c>
      <c r="BP198" s="1197" t="str">
        <f t="shared" ca="1" si="704"/>
        <v>B</v>
      </c>
      <c r="BQ198" s="1197">
        <f t="shared" si="727"/>
        <v>22</v>
      </c>
      <c r="BR198" s="1198" t="str">
        <f t="shared" ca="1" si="720"/>
        <v/>
      </c>
      <c r="BS198" s="1198" t="s">
        <v>3845</v>
      </c>
      <c r="BT198" s="78"/>
      <c r="BU198" s="78"/>
      <c r="BV198" s="78"/>
      <c r="BW198" s="1197">
        <f t="shared" ca="1" si="721"/>
        <v>0</v>
      </c>
      <c r="BX198" s="1197">
        <f t="shared" ca="1" si="705"/>
        <v>0</v>
      </c>
      <c r="BY198" s="1197">
        <f t="shared" ca="1" si="706"/>
        <v>0</v>
      </c>
      <c r="BZ198" s="1081">
        <f t="shared" ca="1" si="707"/>
        <v>0</v>
      </c>
      <c r="CA198" s="1081">
        <f t="shared" ca="1" si="708"/>
        <v>0</v>
      </c>
      <c r="CB198" s="1081">
        <f t="shared" ca="1" si="709"/>
        <v>65</v>
      </c>
      <c r="CC198" s="1081">
        <f t="shared" ca="1" si="710"/>
        <v>66</v>
      </c>
      <c r="CD198" s="1081">
        <f t="shared" si="729"/>
        <v>0</v>
      </c>
      <c r="CE198" s="1081">
        <f t="shared" ca="1" si="711"/>
        <v>1</v>
      </c>
      <c r="CF198" s="1081">
        <f t="shared" ca="1" si="722"/>
        <v>0</v>
      </c>
      <c r="CG198" s="1198" t="str">
        <f t="shared" si="712"/>
        <v>Garethi-Familie</v>
      </c>
      <c r="CH198" s="1198" t="str">
        <f t="shared" ca="1" si="713"/>
        <v/>
      </c>
      <c r="CI198" s="1198"/>
      <c r="CJ198" s="1198"/>
      <c r="CK198" s="1198" t="str">
        <f t="shared" ca="1" si="723"/>
        <v/>
      </c>
      <c r="CL198" s="1198" t="str">
        <f t="shared" ca="1" si="724"/>
        <v/>
      </c>
      <c r="CM198" s="78"/>
      <c r="CN198" s="1081">
        <f t="shared" ca="1" si="725"/>
        <v>0</v>
      </c>
      <c r="CO198" s="1081">
        <f t="shared" ca="1" si="714"/>
        <v>0</v>
      </c>
      <c r="CP198" s="1081">
        <f t="shared" ca="1" si="726"/>
        <v>0</v>
      </c>
      <c r="DJ198" s="301" t="str">
        <f t="shared" ca="1" si="735"/>
        <v>A</v>
      </c>
      <c r="DK198" s="301" t="str">
        <f t="shared" ca="1" si="735"/>
        <v>A</v>
      </c>
      <c r="DL198" s="301" t="str">
        <f t="shared" ca="1" si="735"/>
        <v>A</v>
      </c>
      <c r="DM198" s="301" t="str">
        <f t="shared" ca="1" si="735"/>
        <v>A</v>
      </c>
      <c r="DN198" s="301" t="str">
        <f t="shared" ca="1" si="735"/>
        <v>A</v>
      </c>
      <c r="DO198" s="301" t="str">
        <f t="shared" ca="1" si="735"/>
        <v>A</v>
      </c>
      <c r="DP198" s="301" t="str">
        <f t="shared" ca="1" si="735"/>
        <v>A</v>
      </c>
      <c r="DQ198" s="301" t="str">
        <f t="shared" ca="1" si="735"/>
        <v>A</v>
      </c>
      <c r="DR198" s="301" t="str">
        <f t="shared" ca="1" si="735"/>
        <v>A</v>
      </c>
      <c r="DS198" s="301" t="str">
        <f t="shared" ca="1" si="735"/>
        <v>A</v>
      </c>
      <c r="DT198" s="301" t="str">
        <f t="shared" ca="1" si="736"/>
        <v>A</v>
      </c>
      <c r="DU198" s="301" t="str">
        <f t="shared" ca="1" si="736"/>
        <v>A</v>
      </c>
      <c r="DV198" s="301" t="str">
        <f t="shared" ca="1" si="736"/>
        <v>A</v>
      </c>
      <c r="DW198" s="301" t="str">
        <f t="shared" ca="1" si="736"/>
        <v>A</v>
      </c>
      <c r="DX198" s="301" t="str">
        <f t="shared" ca="1" si="736"/>
        <v>A</v>
      </c>
      <c r="DY198" s="301" t="str">
        <f t="shared" ca="1" si="736"/>
        <v>A</v>
      </c>
      <c r="DZ198" s="301" t="str">
        <f t="shared" ca="1" si="736"/>
        <v>A</v>
      </c>
      <c r="EA198" s="301" t="str">
        <f t="shared" ca="1" si="736"/>
        <v>A</v>
      </c>
      <c r="EB198" s="301" t="str">
        <f t="shared" ca="1" si="736"/>
        <v>A</v>
      </c>
      <c r="EC198" s="301" t="str">
        <f t="shared" ca="1" si="736"/>
        <v>A</v>
      </c>
      <c r="ED198" s="301" t="str">
        <f t="shared" ca="1" si="736"/>
        <v>A</v>
      </c>
      <c r="EE198" s="301" t="str">
        <f t="shared" ca="1" si="736"/>
        <v>A</v>
      </c>
      <c r="EF198" s="301">
        <f t="shared" si="717"/>
        <v>0</v>
      </c>
      <c r="EG198" s="1426" t="str">
        <f t="shared" ca="1" si="734"/>
        <v>B</v>
      </c>
      <c r="EH198" s="1429" t="str">
        <f t="shared" ca="1" si="734"/>
        <v>B</v>
      </c>
      <c r="EI198" s="1429" t="str">
        <f t="shared" ca="1" si="734"/>
        <v>B</v>
      </c>
      <c r="EJ198" s="1429" t="str">
        <f t="shared" ca="1" si="734"/>
        <v>B</v>
      </c>
      <c r="EK198" s="1429" t="str">
        <f t="shared" ca="1" si="734"/>
        <v>B</v>
      </c>
      <c r="EL198" s="1429" t="str">
        <f t="shared" ca="1" si="734"/>
        <v>B</v>
      </c>
      <c r="EM198" s="1429" t="str">
        <f t="shared" ca="1" si="734"/>
        <v>B</v>
      </c>
      <c r="EN198" s="1429" t="str">
        <f t="shared" ca="1" si="734"/>
        <v>B</v>
      </c>
      <c r="EO198" s="1429" t="str">
        <f t="shared" ca="1" si="734"/>
        <v>B</v>
      </c>
      <c r="EP198" s="1429" t="str">
        <f t="shared" ca="1" si="734"/>
        <v>B</v>
      </c>
      <c r="EQ198" s="1429" t="str">
        <f t="shared" ca="1" si="734"/>
        <v>B</v>
      </c>
      <c r="ER198" s="1429" t="str">
        <f t="shared" ca="1" si="734"/>
        <v>B</v>
      </c>
      <c r="ES198" s="1429" t="str">
        <f t="shared" ca="1" si="734"/>
        <v>B</v>
      </c>
      <c r="ET198" s="1429" t="str">
        <f t="shared" ca="1" si="734"/>
        <v>B</v>
      </c>
      <c r="EU198" s="1429" t="str">
        <f t="shared" ca="1" si="734"/>
        <v>B</v>
      </c>
      <c r="EV198" s="1429" t="str">
        <f t="shared" ca="1" si="734"/>
        <v>B</v>
      </c>
      <c r="EW198" s="1429" t="str">
        <f t="shared" ca="1" si="730"/>
        <v>B</v>
      </c>
      <c r="EX198" s="1429" t="str">
        <f t="shared" ca="1" si="730"/>
        <v>B</v>
      </c>
      <c r="EY198" s="1429" t="str">
        <f t="shared" ca="1" si="730"/>
        <v>B</v>
      </c>
      <c r="EZ198" s="1429" t="str">
        <f t="shared" ca="1" si="730"/>
        <v>B</v>
      </c>
      <c r="FA198" s="1429" t="str">
        <f t="shared" ca="1" si="730"/>
        <v>B</v>
      </c>
      <c r="FB198" s="1429" t="str">
        <f t="shared" ca="1" si="730"/>
        <v>B</v>
      </c>
      <c r="FC198" s="1429" t="str">
        <f t="shared" ca="1" si="730"/>
        <v>B</v>
      </c>
      <c r="FD198" s="1429" t="str">
        <f t="shared" ca="1" si="730"/>
        <v>B</v>
      </c>
      <c r="FE198" s="1429" t="str">
        <f t="shared" ca="1" si="731"/>
        <v>B</v>
      </c>
      <c r="FF198" s="1429" t="str">
        <f t="shared" ca="1" si="731"/>
        <v>B</v>
      </c>
      <c r="FG198" s="1429" t="str">
        <f t="shared" ca="1" si="731"/>
        <v>B</v>
      </c>
      <c r="FH198" s="1429" t="str">
        <f t="shared" ca="1" si="731"/>
        <v>B</v>
      </c>
      <c r="FI198" s="1429" t="str">
        <f t="shared" ca="1" si="731"/>
        <v>B</v>
      </c>
      <c r="FJ198" s="1429" t="str">
        <f t="shared" ca="1" si="731"/>
        <v>B</v>
      </c>
      <c r="FK198" s="1429" t="str">
        <f t="shared" ca="1" si="731"/>
        <v>B</v>
      </c>
      <c r="FL198" s="1429" t="str">
        <f t="shared" ca="1" si="731"/>
        <v>B</v>
      </c>
    </row>
    <row r="199" spans="1:168" x14ac:dyDescent="0.2">
      <c r="A199" s="62" t="str">
        <f t="shared" si="649"/>
        <v>Isdira</v>
      </c>
      <c r="B199" s="317" t="str">
        <f t="shared" ca="1" si="650"/>
        <v/>
      </c>
      <c r="C199" s="332" t="str">
        <f ca="1">IF(AND(EXACT($F199,""),EXACT($G199,"")),IF(OR(NOT(ISBLANK(D199)),NOT(EXACT(HLOOKUP(RASSEGENE,RASSE,$BN199,FALSE),"")),NOT(EXACT(HLOOKUP(KULTURGENE,KULTUR,$BN199,FALSE),"")),NOT(EXACT(HLOOKUP(PROFGENE,INDIRECT(PROFGEBIET),$BN199,FALSE),"")),
IF(LEN(PROFZWEITE)&lt;1,FALSE,NOT(EXACT(HLOOKUP(Generierung!$D$12,INDIRECT(PROFGEBIET2),$BN199,FALSE),"")))
),"x",""),"")</f>
        <v/>
      </c>
      <c r="D199" s="1110"/>
      <c r="E199" s="325"/>
      <c r="F199" s="388" t="str">
        <f t="shared" ca="1" si="651"/>
        <v/>
      </c>
      <c r="G199" s="388" t="str">
        <f t="shared" ca="1" si="652"/>
        <v/>
      </c>
      <c r="H199" s="389"/>
      <c r="I199" s="1196"/>
      <c r="J199" s="326"/>
      <c r="O199" s="514" t="str">
        <f t="shared" ca="1" si="653"/>
        <v/>
      </c>
      <c r="P199" s="164">
        <f t="shared" ca="1" si="654"/>
        <v>0</v>
      </c>
      <c r="Q199" s="164">
        <f t="shared" ca="1" si="655"/>
        <v>0</v>
      </c>
      <c r="R199" s="164">
        <f t="shared" ca="1" si="656"/>
        <v>0</v>
      </c>
      <c r="S199" s="164">
        <f t="shared" ca="1" si="657"/>
        <v>0</v>
      </c>
      <c r="T199" s="164">
        <f t="shared" ca="1" si="658"/>
        <v>0</v>
      </c>
      <c r="U199" s="164">
        <f t="shared" ca="1" si="659"/>
        <v>0</v>
      </c>
      <c r="V199" s="164">
        <f t="shared" ca="1" si="660"/>
        <v>0</v>
      </c>
      <c r="W199" s="164">
        <f t="shared" ca="1" si="661"/>
        <v>0</v>
      </c>
      <c r="X199" s="164">
        <f t="shared" ca="1" si="662"/>
        <v>0</v>
      </c>
      <c r="Y199" s="164">
        <f t="shared" ca="1" si="663"/>
        <v>0</v>
      </c>
      <c r="Z199" s="164">
        <f t="shared" ca="1" si="664"/>
        <v>0</v>
      </c>
      <c r="AA199" s="164">
        <f t="shared" ca="1" si="665"/>
        <v>0</v>
      </c>
      <c r="AB199" s="164">
        <f t="shared" ca="1" si="666"/>
        <v>0</v>
      </c>
      <c r="AC199" s="164">
        <f t="shared" ca="1" si="667"/>
        <v>0</v>
      </c>
      <c r="AD199" s="164">
        <f t="shared" ca="1" si="668"/>
        <v>0</v>
      </c>
      <c r="AE199" s="164">
        <f t="shared" ca="1" si="669"/>
        <v>0</v>
      </c>
      <c r="AF199" s="164">
        <f t="shared" ca="1" si="670"/>
        <v>0</v>
      </c>
      <c r="AG199" s="164">
        <f t="shared" ca="1" si="671"/>
        <v>0</v>
      </c>
      <c r="AH199" s="164">
        <f t="shared" ca="1" si="672"/>
        <v>0</v>
      </c>
      <c r="AI199" s="164">
        <f t="shared" ca="1" si="673"/>
        <v>0</v>
      </c>
      <c r="AJ199" s="164">
        <f t="shared" ca="1" si="674"/>
        <v>0</v>
      </c>
      <c r="AK199" s="164">
        <f t="shared" ca="1" si="675"/>
        <v>0</v>
      </c>
      <c r="AL199" s="164">
        <f t="shared" si="676"/>
        <v>0</v>
      </c>
      <c r="AM199" s="164">
        <f t="shared" ca="1" si="677"/>
        <v>0</v>
      </c>
      <c r="AN199" s="205"/>
      <c r="AO199" s="154">
        <f t="shared" ca="1" si="678"/>
        <v>0</v>
      </c>
      <c r="AP199" s="154">
        <f t="shared" ca="1" si="679"/>
        <v>0</v>
      </c>
      <c r="AQ199" s="154">
        <f t="shared" ca="1" si="680"/>
        <v>0</v>
      </c>
      <c r="AR199" s="154">
        <f t="shared" ca="1" si="681"/>
        <v>0</v>
      </c>
      <c r="AS199" s="154">
        <f t="shared" ca="1" si="682"/>
        <v>0</v>
      </c>
      <c r="AT199" s="154">
        <f t="shared" ca="1" si="683"/>
        <v>0</v>
      </c>
      <c r="AU199" s="154">
        <f t="shared" ca="1" si="684"/>
        <v>0</v>
      </c>
      <c r="AV199" s="154">
        <f t="shared" ca="1" si="685"/>
        <v>0</v>
      </c>
      <c r="AW199" s="154">
        <f t="shared" ca="1" si="686"/>
        <v>0</v>
      </c>
      <c r="AX199" s="154">
        <f t="shared" ca="1" si="687"/>
        <v>0</v>
      </c>
      <c r="AY199" s="154">
        <f t="shared" ca="1" si="688"/>
        <v>0</v>
      </c>
      <c r="AZ199" s="154">
        <f t="shared" ca="1" si="689"/>
        <v>0</v>
      </c>
      <c r="BA199" s="154">
        <f t="shared" ca="1" si="690"/>
        <v>0</v>
      </c>
      <c r="BB199" s="154">
        <f t="shared" ca="1" si="691"/>
        <v>0</v>
      </c>
      <c r="BC199" s="154">
        <f t="shared" ca="1" si="692"/>
        <v>0</v>
      </c>
      <c r="BD199" s="154">
        <f t="shared" ca="1" si="693"/>
        <v>0</v>
      </c>
      <c r="BE199" s="154">
        <f t="shared" ca="1" si="694"/>
        <v>0</v>
      </c>
      <c r="BF199" s="154">
        <f t="shared" ca="1" si="695"/>
        <v>0</v>
      </c>
      <c r="BG199" s="154">
        <f t="shared" ca="1" si="696"/>
        <v>0</v>
      </c>
      <c r="BH199" s="154">
        <f t="shared" ca="1" si="697"/>
        <v>0</v>
      </c>
      <c r="BI199" s="154">
        <f t="shared" ca="1" si="698"/>
        <v>0</v>
      </c>
      <c r="BJ199" s="154">
        <f t="shared" ca="1" si="699"/>
        <v>0</v>
      </c>
      <c r="BK199" s="154">
        <f t="shared" ca="1" si="700"/>
        <v>0</v>
      </c>
      <c r="BL199" s="154">
        <f t="shared" ca="1" si="701"/>
        <v>0</v>
      </c>
      <c r="BM199" s="154">
        <f t="shared" ca="1" si="702"/>
        <v>0</v>
      </c>
      <c r="BN199" s="1198">
        <f t="shared" si="719"/>
        <v>204</v>
      </c>
      <c r="BO199" s="1197" t="str">
        <f t="shared" si="703"/>
        <v>Isdira</v>
      </c>
      <c r="BP199" s="1197" t="str">
        <f t="shared" ca="1" si="704"/>
        <v>B</v>
      </c>
      <c r="BQ199" s="1197">
        <f t="shared" si="727"/>
        <v>23</v>
      </c>
      <c r="BR199" s="1198" t="str">
        <f t="shared" ca="1" si="720"/>
        <v/>
      </c>
      <c r="BS199" s="1198" t="s">
        <v>3473</v>
      </c>
      <c r="BT199" s="78"/>
      <c r="BU199" s="78"/>
      <c r="BV199" s="78"/>
      <c r="BW199" s="1197">
        <f t="shared" ca="1" si="721"/>
        <v>0</v>
      </c>
      <c r="BX199" s="1197">
        <f t="shared" ca="1" si="705"/>
        <v>0</v>
      </c>
      <c r="BY199" s="1197">
        <f t="shared" ca="1" si="706"/>
        <v>0</v>
      </c>
      <c r="BZ199" s="1081">
        <f t="shared" ca="1" si="707"/>
        <v>0</v>
      </c>
      <c r="CA199" s="1081">
        <f t="shared" ca="1" si="708"/>
        <v>0</v>
      </c>
      <c r="CB199" s="1081">
        <f t="shared" ca="1" si="709"/>
        <v>65</v>
      </c>
      <c r="CC199" s="1081">
        <f t="shared" ca="1" si="710"/>
        <v>66</v>
      </c>
      <c r="CD199" s="627">
        <v>0</v>
      </c>
      <c r="CE199" s="1081">
        <f t="shared" ca="1" si="711"/>
        <v>1</v>
      </c>
      <c r="CF199" s="1081">
        <f t="shared" ca="1" si="722"/>
        <v>0</v>
      </c>
      <c r="CG199" s="1198" t="str">
        <f t="shared" si="712"/>
        <v>Elfisch-Familie</v>
      </c>
      <c r="CH199" s="1198" t="str">
        <f t="shared" ca="1" si="713"/>
        <v/>
      </c>
      <c r="CI199" s="1198"/>
      <c r="CJ199" s="1198"/>
      <c r="CK199" s="1198" t="str">
        <f t="shared" ca="1" si="723"/>
        <v/>
      </c>
      <c r="CL199" s="1198" t="str">
        <f t="shared" ca="1" si="724"/>
        <v/>
      </c>
      <c r="CM199" s="78"/>
      <c r="CN199" s="1081">
        <f t="shared" ca="1" si="725"/>
        <v>0</v>
      </c>
      <c r="CO199" s="1081">
        <f t="shared" ca="1" si="714"/>
        <v>0</v>
      </c>
      <c r="CP199" s="1081">
        <f t="shared" ca="1" si="726"/>
        <v>0</v>
      </c>
      <c r="DJ199" s="301" t="str">
        <f t="shared" ca="1" si="735"/>
        <v>A</v>
      </c>
      <c r="DK199" s="301" t="str">
        <f t="shared" ca="1" si="735"/>
        <v>A</v>
      </c>
      <c r="DL199" s="301" t="str">
        <f t="shared" ca="1" si="735"/>
        <v>A</v>
      </c>
      <c r="DM199" s="301" t="str">
        <f t="shared" ca="1" si="735"/>
        <v>A</v>
      </c>
      <c r="DN199" s="301" t="str">
        <f t="shared" ca="1" si="735"/>
        <v>A</v>
      </c>
      <c r="DO199" s="301" t="str">
        <f t="shared" ca="1" si="735"/>
        <v>A</v>
      </c>
      <c r="DP199" s="301" t="str">
        <f t="shared" ca="1" si="735"/>
        <v>A</v>
      </c>
      <c r="DQ199" s="301" t="str">
        <f t="shared" ca="1" si="735"/>
        <v>A</v>
      </c>
      <c r="DR199" s="301" t="str">
        <f t="shared" ca="1" si="735"/>
        <v>A</v>
      </c>
      <c r="DS199" s="301" t="str">
        <f t="shared" ca="1" si="735"/>
        <v>A</v>
      </c>
      <c r="DT199" s="301" t="str">
        <f t="shared" ca="1" si="736"/>
        <v>A</v>
      </c>
      <c r="DU199" s="301" t="str">
        <f t="shared" ca="1" si="736"/>
        <v>A</v>
      </c>
      <c r="DV199" s="301" t="str">
        <f t="shared" ca="1" si="736"/>
        <v>A</v>
      </c>
      <c r="DW199" s="301" t="str">
        <f t="shared" ca="1" si="736"/>
        <v>A</v>
      </c>
      <c r="DX199" s="301" t="str">
        <f t="shared" ca="1" si="736"/>
        <v>A</v>
      </c>
      <c r="DY199" s="301" t="str">
        <f t="shared" ca="1" si="736"/>
        <v>A</v>
      </c>
      <c r="DZ199" s="301" t="str">
        <f t="shared" ca="1" si="736"/>
        <v>A</v>
      </c>
      <c r="EA199" s="301" t="str">
        <f t="shared" ca="1" si="736"/>
        <v>A</v>
      </c>
      <c r="EB199" s="301" t="str">
        <f t="shared" ca="1" si="736"/>
        <v>A</v>
      </c>
      <c r="EC199" s="301" t="str">
        <f t="shared" ca="1" si="736"/>
        <v>A</v>
      </c>
      <c r="ED199" s="301" t="str">
        <f t="shared" ca="1" si="736"/>
        <v>A</v>
      </c>
      <c r="EE199" s="301" t="str">
        <f t="shared" ca="1" si="736"/>
        <v>A</v>
      </c>
      <c r="EF199" s="301">
        <f t="shared" si="717"/>
        <v>0</v>
      </c>
      <c r="EG199" s="1426" t="str">
        <f t="shared" ref="EG199:EN208" ca="1" si="737">IF(ISERR(FIND(";"&amp;EG$176&amp;":0;",$E199)),
CHAR($CC199+SUM(IF(ISERR(FIND(";"&amp;EG$176&amp;";",$E199)),0,-1),
IF(ISERR(FIND(";"&amp;EG$176&amp;":",$E199)),0,-VALUE(MID($E199,FIND(";"&amp;EG$176&amp;":",$E199)+LEN(EG$176)+2,1))),
IF(ISERR(FIND(";"&amp;EG$176&amp;"+",$E199)),0,VALUE(MID($E199,FIND(";"&amp;EG$176&amp;"+",$E199)+LEN(EG$176)+2,1))),
)),0)</f>
        <v>B</v>
      </c>
      <c r="EH199" s="1429" t="str">
        <f t="shared" ca="1" si="737"/>
        <v>B</v>
      </c>
      <c r="EI199" s="1429" t="str">
        <f t="shared" ca="1" si="737"/>
        <v>B</v>
      </c>
      <c r="EJ199" s="1429" t="str">
        <f t="shared" ca="1" si="737"/>
        <v>B</v>
      </c>
      <c r="EK199" s="1429" t="str">
        <f t="shared" ca="1" si="737"/>
        <v>B</v>
      </c>
      <c r="EL199" s="1429" t="str">
        <f t="shared" ca="1" si="737"/>
        <v>B</v>
      </c>
      <c r="EM199" s="1429" t="str">
        <f t="shared" ca="1" si="737"/>
        <v>B</v>
      </c>
      <c r="EN199" s="1429" t="str">
        <f t="shared" ca="1" si="737"/>
        <v>B</v>
      </c>
      <c r="EO199" s="1429" t="str">
        <f t="shared" ca="1" si="730"/>
        <v>B</v>
      </c>
      <c r="EP199" s="1429" t="str">
        <f t="shared" ca="1" si="730"/>
        <v>B</v>
      </c>
      <c r="EQ199" s="1429" t="str">
        <f t="shared" ca="1" si="730"/>
        <v>B</v>
      </c>
      <c r="ER199" s="1429" t="str">
        <f t="shared" ca="1" si="730"/>
        <v>B</v>
      </c>
      <c r="ES199" s="1429" t="str">
        <f t="shared" ca="1" si="730"/>
        <v>B</v>
      </c>
      <c r="ET199" s="1429" t="str">
        <f t="shared" ca="1" si="730"/>
        <v>B</v>
      </c>
      <c r="EU199" s="1429" t="str">
        <f t="shared" ca="1" si="730"/>
        <v>B</v>
      </c>
      <c r="EV199" s="1429" t="str">
        <f t="shared" ca="1" si="730"/>
        <v>B</v>
      </c>
      <c r="EW199" s="1429" t="str">
        <f t="shared" ca="1" si="730"/>
        <v>B</v>
      </c>
      <c r="EX199" s="1429" t="str">
        <f t="shared" ca="1" si="730"/>
        <v>B</v>
      </c>
      <c r="EY199" s="1429" t="str">
        <f t="shared" ca="1" si="730"/>
        <v>B</v>
      </c>
      <c r="EZ199" s="1429" t="str">
        <f t="shared" ca="1" si="730"/>
        <v>B</v>
      </c>
      <c r="FA199" s="1429" t="str">
        <f t="shared" ca="1" si="730"/>
        <v>B</v>
      </c>
      <c r="FB199" s="1429" t="str">
        <f t="shared" ca="1" si="730"/>
        <v>B</v>
      </c>
      <c r="FC199" s="1429" t="str">
        <f t="shared" ca="1" si="730"/>
        <v>B</v>
      </c>
      <c r="FD199" s="1429" t="str">
        <f t="shared" ca="1" si="730"/>
        <v>B</v>
      </c>
      <c r="FE199" s="1429" t="str">
        <f t="shared" ca="1" si="731"/>
        <v>B</v>
      </c>
      <c r="FF199" s="1429" t="str">
        <f t="shared" ca="1" si="731"/>
        <v>B</v>
      </c>
      <c r="FG199" s="1429" t="str">
        <f t="shared" ca="1" si="731"/>
        <v>B</v>
      </c>
      <c r="FH199" s="1429" t="str">
        <f t="shared" ca="1" si="731"/>
        <v>B</v>
      </c>
      <c r="FI199" s="1429" t="str">
        <f t="shared" ca="1" si="731"/>
        <v>B</v>
      </c>
      <c r="FJ199" s="1429" t="str">
        <f t="shared" ca="1" si="731"/>
        <v>B</v>
      </c>
      <c r="FK199" s="1429" t="str">
        <f t="shared" ca="1" si="731"/>
        <v>B</v>
      </c>
      <c r="FL199" s="1429" t="str">
        <f t="shared" ca="1" si="731"/>
        <v>B</v>
      </c>
    </row>
    <row r="200" spans="1:168" x14ac:dyDescent="0.2">
      <c r="A200" s="62" t="str">
        <f t="shared" si="649"/>
        <v>Koboldisch</v>
      </c>
      <c r="B200" s="317" t="str">
        <f t="shared" ca="1" si="650"/>
        <v/>
      </c>
      <c r="C200" s="332" t="str">
        <f ca="1">IF(AND(EXACT($F200,""),EXACT($G200,"")),IF(OR(NOT(ISBLANK(D200)),NOT(EXACT(HLOOKUP(RASSEGENE,RASSE,$BN200,FALSE),"")),NOT(EXACT(HLOOKUP(KULTURGENE,KULTUR,$BN200,FALSE),"")),NOT(EXACT(HLOOKUP(PROFGENE,INDIRECT(PROFGEBIET),$BN200,FALSE),"")),
IF(LEN(PROFZWEITE)&lt;1,FALSE,NOT(EXACT(HLOOKUP(Generierung!$D$12,INDIRECT(PROFGEBIET2),$BN200,FALSE),"")))
),"x",""),"")</f>
        <v/>
      </c>
      <c r="D200" s="1110"/>
      <c r="E200" s="325"/>
      <c r="F200" s="388" t="str">
        <f t="shared" ca="1" si="651"/>
        <v/>
      </c>
      <c r="G200" s="388" t="str">
        <f t="shared" ca="1" si="652"/>
        <v/>
      </c>
      <c r="H200" s="389"/>
      <c r="I200" s="1196"/>
      <c r="J200" s="326"/>
      <c r="O200" s="514" t="str">
        <f t="shared" ca="1" si="653"/>
        <v/>
      </c>
      <c r="P200" s="164">
        <f t="shared" ca="1" si="654"/>
        <v>0</v>
      </c>
      <c r="Q200" s="164">
        <f t="shared" ca="1" si="655"/>
        <v>0</v>
      </c>
      <c r="R200" s="164">
        <f t="shared" ca="1" si="656"/>
        <v>0</v>
      </c>
      <c r="S200" s="164">
        <f t="shared" ca="1" si="657"/>
        <v>0</v>
      </c>
      <c r="T200" s="164">
        <f t="shared" ca="1" si="658"/>
        <v>0</v>
      </c>
      <c r="U200" s="164">
        <f t="shared" ca="1" si="659"/>
        <v>0</v>
      </c>
      <c r="V200" s="164">
        <f t="shared" ca="1" si="660"/>
        <v>0</v>
      </c>
      <c r="W200" s="164">
        <f t="shared" ca="1" si="661"/>
        <v>0</v>
      </c>
      <c r="X200" s="164">
        <f t="shared" ca="1" si="662"/>
        <v>0</v>
      </c>
      <c r="Y200" s="164">
        <f t="shared" ca="1" si="663"/>
        <v>0</v>
      </c>
      <c r="Z200" s="164">
        <f t="shared" ca="1" si="664"/>
        <v>0</v>
      </c>
      <c r="AA200" s="164">
        <f t="shared" ca="1" si="665"/>
        <v>0</v>
      </c>
      <c r="AB200" s="164">
        <f t="shared" ca="1" si="666"/>
        <v>0</v>
      </c>
      <c r="AC200" s="164">
        <f t="shared" ca="1" si="667"/>
        <v>0</v>
      </c>
      <c r="AD200" s="164">
        <f t="shared" ca="1" si="668"/>
        <v>0</v>
      </c>
      <c r="AE200" s="164">
        <f t="shared" ca="1" si="669"/>
        <v>0</v>
      </c>
      <c r="AF200" s="164">
        <f t="shared" ca="1" si="670"/>
        <v>0</v>
      </c>
      <c r="AG200" s="164">
        <f t="shared" ca="1" si="671"/>
        <v>0</v>
      </c>
      <c r="AH200" s="164">
        <f t="shared" ca="1" si="672"/>
        <v>0</v>
      </c>
      <c r="AI200" s="164">
        <f t="shared" ca="1" si="673"/>
        <v>0</v>
      </c>
      <c r="AJ200" s="164">
        <f t="shared" ca="1" si="674"/>
        <v>0</v>
      </c>
      <c r="AK200" s="164">
        <f t="shared" ca="1" si="675"/>
        <v>0</v>
      </c>
      <c r="AL200" s="164">
        <f t="shared" si="676"/>
        <v>0</v>
      </c>
      <c r="AM200" s="164">
        <f t="shared" ca="1" si="677"/>
        <v>0</v>
      </c>
      <c r="AN200" s="205"/>
      <c r="AO200" s="154">
        <f t="shared" ca="1" si="678"/>
        <v>0</v>
      </c>
      <c r="AP200" s="154">
        <f t="shared" ca="1" si="679"/>
        <v>0</v>
      </c>
      <c r="AQ200" s="154">
        <f t="shared" ca="1" si="680"/>
        <v>0</v>
      </c>
      <c r="AR200" s="154">
        <f t="shared" ca="1" si="681"/>
        <v>0</v>
      </c>
      <c r="AS200" s="154">
        <f t="shared" ca="1" si="682"/>
        <v>0</v>
      </c>
      <c r="AT200" s="154">
        <f t="shared" ca="1" si="683"/>
        <v>0</v>
      </c>
      <c r="AU200" s="154">
        <f t="shared" ca="1" si="684"/>
        <v>0</v>
      </c>
      <c r="AV200" s="154">
        <f t="shared" ca="1" si="685"/>
        <v>0</v>
      </c>
      <c r="AW200" s="154">
        <f t="shared" ca="1" si="686"/>
        <v>0</v>
      </c>
      <c r="AX200" s="154">
        <f t="shared" ca="1" si="687"/>
        <v>0</v>
      </c>
      <c r="AY200" s="154">
        <f t="shared" ca="1" si="688"/>
        <v>0</v>
      </c>
      <c r="AZ200" s="154">
        <f t="shared" ca="1" si="689"/>
        <v>0</v>
      </c>
      <c r="BA200" s="154">
        <f t="shared" ca="1" si="690"/>
        <v>0</v>
      </c>
      <c r="BB200" s="154">
        <f t="shared" ca="1" si="691"/>
        <v>0</v>
      </c>
      <c r="BC200" s="154">
        <f t="shared" ca="1" si="692"/>
        <v>0</v>
      </c>
      <c r="BD200" s="154">
        <f t="shared" ca="1" si="693"/>
        <v>0</v>
      </c>
      <c r="BE200" s="154">
        <f t="shared" ca="1" si="694"/>
        <v>0</v>
      </c>
      <c r="BF200" s="154">
        <f t="shared" ca="1" si="695"/>
        <v>0</v>
      </c>
      <c r="BG200" s="154">
        <f t="shared" ca="1" si="696"/>
        <v>0</v>
      </c>
      <c r="BH200" s="154">
        <f t="shared" ca="1" si="697"/>
        <v>0</v>
      </c>
      <c r="BI200" s="154">
        <f t="shared" ca="1" si="698"/>
        <v>0</v>
      </c>
      <c r="BJ200" s="154">
        <f t="shared" ca="1" si="699"/>
        <v>0</v>
      </c>
      <c r="BK200" s="154">
        <f t="shared" ca="1" si="700"/>
        <v>0</v>
      </c>
      <c r="BL200" s="154">
        <f t="shared" ca="1" si="701"/>
        <v>0</v>
      </c>
      <c r="BM200" s="154">
        <f t="shared" ca="1" si="702"/>
        <v>0</v>
      </c>
      <c r="BN200" s="1198">
        <f t="shared" si="719"/>
        <v>205</v>
      </c>
      <c r="BO200" s="1197" t="str">
        <f t="shared" si="703"/>
        <v>Koboldisch</v>
      </c>
      <c r="BP200" s="1197" t="str">
        <f t="shared" ca="1" si="704"/>
        <v>B</v>
      </c>
      <c r="BQ200" s="1197">
        <f t="shared" si="727"/>
        <v>24</v>
      </c>
      <c r="BR200" s="1198" t="str">
        <f t="shared" ca="1" si="720"/>
        <v/>
      </c>
      <c r="BS200" s="1198" t="s">
        <v>524</v>
      </c>
      <c r="BT200" s="78"/>
      <c r="BU200" s="78"/>
      <c r="BV200" s="78"/>
      <c r="BW200" s="1197">
        <f t="shared" ca="1" si="721"/>
        <v>0</v>
      </c>
      <c r="BX200" s="1197">
        <f t="shared" ca="1" si="705"/>
        <v>0</v>
      </c>
      <c r="BY200" s="1197">
        <f t="shared" ca="1" si="706"/>
        <v>0</v>
      </c>
      <c r="BZ200" s="1081">
        <f t="shared" ca="1" si="707"/>
        <v>0</v>
      </c>
      <c r="CA200" s="1081">
        <f t="shared" ca="1" si="708"/>
        <v>0</v>
      </c>
      <c r="CB200" s="1081">
        <f t="shared" ca="1" si="709"/>
        <v>65</v>
      </c>
      <c r="CC200" s="1081">
        <f t="shared" ca="1" si="710"/>
        <v>66</v>
      </c>
      <c r="CD200" s="1081">
        <f t="shared" ref="CD200:CD222" si="738">IF(RIGHT(D200)="L",0,
IF(NT_ELFWELT,1,0))</f>
        <v>0</v>
      </c>
      <c r="CE200" s="1081">
        <f t="shared" ca="1" si="711"/>
        <v>1</v>
      </c>
      <c r="CF200" s="1081">
        <f t="shared" ca="1" si="722"/>
        <v>0</v>
      </c>
      <c r="CG200" s="1198" t="str">
        <f t="shared" si="712"/>
        <v>Koboldisch</v>
      </c>
      <c r="CH200" s="1198" t="str">
        <f t="shared" ca="1" si="713"/>
        <v/>
      </c>
      <c r="CI200" s="1198"/>
      <c r="CJ200" s="1198"/>
      <c r="CK200" s="1198" t="str">
        <f t="shared" ca="1" si="723"/>
        <v/>
      </c>
      <c r="CL200" s="1198" t="str">
        <f t="shared" ca="1" si="724"/>
        <v/>
      </c>
      <c r="CM200" s="78"/>
      <c r="CN200" s="1081">
        <f t="shared" ca="1" si="725"/>
        <v>0</v>
      </c>
      <c r="CO200" s="1081">
        <f t="shared" ca="1" si="714"/>
        <v>0</v>
      </c>
      <c r="CP200" s="1081">
        <f t="shared" ca="1" si="726"/>
        <v>0</v>
      </c>
      <c r="DJ200" s="301" t="str">
        <f t="shared" ca="1" si="735"/>
        <v>A</v>
      </c>
      <c r="DK200" s="301" t="str">
        <f t="shared" ca="1" si="735"/>
        <v>A</v>
      </c>
      <c r="DL200" s="301" t="str">
        <f t="shared" ca="1" si="735"/>
        <v>A</v>
      </c>
      <c r="DM200" s="301" t="str">
        <f t="shared" ca="1" si="735"/>
        <v>A</v>
      </c>
      <c r="DN200" s="301" t="str">
        <f t="shared" ca="1" si="735"/>
        <v>A</v>
      </c>
      <c r="DO200" s="301" t="str">
        <f t="shared" ca="1" si="735"/>
        <v>A</v>
      </c>
      <c r="DP200" s="301" t="str">
        <f t="shared" ca="1" si="735"/>
        <v>A</v>
      </c>
      <c r="DQ200" s="301" t="str">
        <f t="shared" ca="1" si="735"/>
        <v>A</v>
      </c>
      <c r="DR200" s="301" t="str">
        <f t="shared" ca="1" si="735"/>
        <v>A</v>
      </c>
      <c r="DS200" s="301" t="str">
        <f t="shared" ca="1" si="735"/>
        <v>A</v>
      </c>
      <c r="DT200" s="301" t="str">
        <f t="shared" ca="1" si="736"/>
        <v>A</v>
      </c>
      <c r="DU200" s="301" t="str">
        <f t="shared" ca="1" si="736"/>
        <v>A</v>
      </c>
      <c r="DV200" s="301" t="str">
        <f t="shared" ca="1" si="736"/>
        <v>A</v>
      </c>
      <c r="DW200" s="301" t="str">
        <f t="shared" ca="1" si="736"/>
        <v>A</v>
      </c>
      <c r="DX200" s="301" t="str">
        <f t="shared" ca="1" si="736"/>
        <v>A</v>
      </c>
      <c r="DY200" s="301" t="str">
        <f t="shared" ca="1" si="736"/>
        <v>A</v>
      </c>
      <c r="DZ200" s="301" t="str">
        <f t="shared" ca="1" si="736"/>
        <v>A</v>
      </c>
      <c r="EA200" s="301" t="str">
        <f t="shared" ca="1" si="736"/>
        <v>A</v>
      </c>
      <c r="EB200" s="301" t="str">
        <f t="shared" ca="1" si="736"/>
        <v>A</v>
      </c>
      <c r="EC200" s="301" t="str">
        <f t="shared" ca="1" si="736"/>
        <v>A</v>
      </c>
      <c r="ED200" s="301" t="str">
        <f t="shared" ca="1" si="736"/>
        <v>A</v>
      </c>
      <c r="EE200" s="301" t="str">
        <f t="shared" ca="1" si="736"/>
        <v>A</v>
      </c>
      <c r="EF200" s="301">
        <f t="shared" si="717"/>
        <v>0</v>
      </c>
      <c r="EG200" s="1426" t="str">
        <f t="shared" ca="1" si="737"/>
        <v>B</v>
      </c>
      <c r="EH200" s="1429" t="str">
        <f t="shared" ca="1" si="737"/>
        <v>B</v>
      </c>
      <c r="EI200" s="1429" t="str">
        <f t="shared" ca="1" si="737"/>
        <v>B</v>
      </c>
      <c r="EJ200" s="1429" t="str">
        <f t="shared" ca="1" si="737"/>
        <v>B</v>
      </c>
      <c r="EK200" s="1429" t="str">
        <f t="shared" ca="1" si="737"/>
        <v>B</v>
      </c>
      <c r="EL200" s="1429" t="str">
        <f t="shared" ca="1" si="737"/>
        <v>B</v>
      </c>
      <c r="EM200" s="1429" t="str">
        <f t="shared" ca="1" si="737"/>
        <v>B</v>
      </c>
      <c r="EN200" s="1429" t="str">
        <f t="shared" ca="1" si="737"/>
        <v>B</v>
      </c>
      <c r="EO200" s="1429" t="str">
        <f t="shared" ref="EO200:EV209" ca="1" si="739">IF(ISERR(FIND(";"&amp;EO$176&amp;":0;",$E200)),
CHAR($CC200+SUM(IF(ISERR(FIND(";"&amp;EO$176&amp;";",$E200)),0,-1),
IF(ISERR(FIND(";"&amp;EO$176&amp;":",$E200)),0,-VALUE(MID($E200,FIND(";"&amp;EO$176&amp;":",$E200)+LEN(EO$176)+2,1))),
IF(ISERR(FIND(";"&amp;EO$176&amp;"+",$E200)),0,VALUE(MID($E200,FIND(";"&amp;EO$176&amp;"+",$E200)+LEN(EO$176)+2,1))),
)),0)</f>
        <v>B</v>
      </c>
      <c r="EP200" s="1429" t="str">
        <f t="shared" ca="1" si="739"/>
        <v>B</v>
      </c>
      <c r="EQ200" s="1429" t="str">
        <f t="shared" ca="1" si="739"/>
        <v>B</v>
      </c>
      <c r="ER200" s="1429" t="str">
        <f t="shared" ca="1" si="739"/>
        <v>B</v>
      </c>
      <c r="ES200" s="1429" t="str">
        <f t="shared" ca="1" si="739"/>
        <v>B</v>
      </c>
      <c r="ET200" s="1429" t="str">
        <f t="shared" ca="1" si="739"/>
        <v>B</v>
      </c>
      <c r="EU200" s="1429" t="str">
        <f t="shared" ca="1" si="739"/>
        <v>B</v>
      </c>
      <c r="EV200" s="1429" t="str">
        <f t="shared" ca="1" si="739"/>
        <v>B</v>
      </c>
      <c r="EW200" s="1429" t="str">
        <f t="shared" ca="1" si="730"/>
        <v>B</v>
      </c>
      <c r="EX200" s="1429" t="str">
        <f t="shared" ca="1" si="730"/>
        <v>B</v>
      </c>
      <c r="EY200" s="1429" t="str">
        <f t="shared" ca="1" si="730"/>
        <v>B</v>
      </c>
      <c r="EZ200" s="1429" t="str">
        <f t="shared" ca="1" si="730"/>
        <v>B</v>
      </c>
      <c r="FA200" s="1429" t="str">
        <f t="shared" ca="1" si="730"/>
        <v>B</v>
      </c>
      <c r="FB200" s="1429" t="str">
        <f t="shared" ca="1" si="730"/>
        <v>B</v>
      </c>
      <c r="FC200" s="1429" t="str">
        <f t="shared" ca="1" si="730"/>
        <v>B</v>
      </c>
      <c r="FD200" s="1429" t="str">
        <f t="shared" ca="1" si="730"/>
        <v>B</v>
      </c>
      <c r="FE200" s="1429" t="str">
        <f t="shared" ca="1" si="731"/>
        <v>B</v>
      </c>
      <c r="FF200" s="1429" t="str">
        <f t="shared" ca="1" si="731"/>
        <v>B</v>
      </c>
      <c r="FG200" s="1429" t="str">
        <f t="shared" ca="1" si="731"/>
        <v>B</v>
      </c>
      <c r="FH200" s="1429" t="str">
        <f t="shared" ca="1" si="731"/>
        <v>B</v>
      </c>
      <c r="FI200" s="1429" t="str">
        <f t="shared" ca="1" si="731"/>
        <v>B</v>
      </c>
      <c r="FJ200" s="1429" t="str">
        <f t="shared" ca="1" si="731"/>
        <v>B</v>
      </c>
      <c r="FK200" s="1429" t="str">
        <f t="shared" ca="1" si="731"/>
        <v>B</v>
      </c>
      <c r="FL200" s="1429" t="str">
        <f t="shared" ca="1" si="731"/>
        <v>B</v>
      </c>
    </row>
    <row r="201" spans="1:168" x14ac:dyDescent="0.2">
      <c r="A201" s="62" t="str">
        <f t="shared" si="649"/>
        <v>Mahrisch</v>
      </c>
      <c r="B201" s="317" t="str">
        <f t="shared" ca="1" si="650"/>
        <v/>
      </c>
      <c r="C201" s="332" t="str">
        <f ca="1">IF(AND(EXACT($F201,""),EXACT($G201,"")),IF(OR(NOT(ISBLANK(D201)),NOT(EXACT(HLOOKUP(RASSEGENE,RASSE,$BN201,FALSE),"")),NOT(EXACT(HLOOKUP(KULTURGENE,KULTUR,$BN201,FALSE),"")),NOT(EXACT(HLOOKUP(PROFGENE,INDIRECT(PROFGEBIET),$BN201,FALSE),"")),
IF(LEN(PROFZWEITE)&lt;1,FALSE,NOT(EXACT(HLOOKUP(Generierung!$D$12,INDIRECT(PROFGEBIET2),$BN201,FALSE),"")))
),"x",""),"")</f>
        <v/>
      </c>
      <c r="D201" s="1110"/>
      <c r="E201" s="325"/>
      <c r="F201" s="388" t="str">
        <f t="shared" ca="1" si="651"/>
        <v/>
      </c>
      <c r="G201" s="388" t="str">
        <f t="shared" ca="1" si="652"/>
        <v/>
      </c>
      <c r="H201" s="389"/>
      <c r="I201" s="1196"/>
      <c r="J201" s="326"/>
      <c r="O201" s="514" t="str">
        <f t="shared" ca="1" si="653"/>
        <v/>
      </c>
      <c r="P201" s="164">
        <f t="shared" ca="1" si="654"/>
        <v>0</v>
      </c>
      <c r="Q201" s="164">
        <f t="shared" ca="1" si="655"/>
        <v>0</v>
      </c>
      <c r="R201" s="164">
        <f t="shared" ca="1" si="656"/>
        <v>0</v>
      </c>
      <c r="S201" s="164">
        <f t="shared" ca="1" si="657"/>
        <v>0</v>
      </c>
      <c r="T201" s="164">
        <f t="shared" ca="1" si="658"/>
        <v>0</v>
      </c>
      <c r="U201" s="164">
        <f t="shared" ca="1" si="659"/>
        <v>0</v>
      </c>
      <c r="V201" s="164">
        <f t="shared" ca="1" si="660"/>
        <v>0</v>
      </c>
      <c r="W201" s="164">
        <f t="shared" ca="1" si="661"/>
        <v>0</v>
      </c>
      <c r="X201" s="164">
        <f t="shared" ca="1" si="662"/>
        <v>0</v>
      </c>
      <c r="Y201" s="164">
        <f t="shared" ca="1" si="663"/>
        <v>0</v>
      </c>
      <c r="Z201" s="164">
        <f t="shared" ca="1" si="664"/>
        <v>0</v>
      </c>
      <c r="AA201" s="164">
        <f t="shared" ca="1" si="665"/>
        <v>0</v>
      </c>
      <c r="AB201" s="164">
        <f t="shared" ca="1" si="666"/>
        <v>0</v>
      </c>
      <c r="AC201" s="164">
        <f t="shared" ca="1" si="667"/>
        <v>0</v>
      </c>
      <c r="AD201" s="164">
        <f t="shared" ca="1" si="668"/>
        <v>0</v>
      </c>
      <c r="AE201" s="164">
        <f t="shared" ca="1" si="669"/>
        <v>0</v>
      </c>
      <c r="AF201" s="164">
        <f t="shared" ca="1" si="670"/>
        <v>0</v>
      </c>
      <c r="AG201" s="164">
        <f t="shared" ca="1" si="671"/>
        <v>0</v>
      </c>
      <c r="AH201" s="164">
        <f t="shared" ca="1" si="672"/>
        <v>0</v>
      </c>
      <c r="AI201" s="164">
        <f t="shared" ca="1" si="673"/>
        <v>0</v>
      </c>
      <c r="AJ201" s="164">
        <f t="shared" ca="1" si="674"/>
        <v>0</v>
      </c>
      <c r="AK201" s="164">
        <f t="shared" ca="1" si="675"/>
        <v>0</v>
      </c>
      <c r="AL201" s="164">
        <f t="shared" si="676"/>
        <v>0</v>
      </c>
      <c r="AM201" s="164">
        <f t="shared" ca="1" si="677"/>
        <v>0</v>
      </c>
      <c r="AN201" s="205"/>
      <c r="AO201" s="154">
        <f t="shared" ca="1" si="678"/>
        <v>0</v>
      </c>
      <c r="AP201" s="154">
        <f t="shared" ca="1" si="679"/>
        <v>0</v>
      </c>
      <c r="AQ201" s="154">
        <f t="shared" ca="1" si="680"/>
        <v>0</v>
      </c>
      <c r="AR201" s="154">
        <f t="shared" ca="1" si="681"/>
        <v>0</v>
      </c>
      <c r="AS201" s="154">
        <f t="shared" ca="1" si="682"/>
        <v>0</v>
      </c>
      <c r="AT201" s="154">
        <f t="shared" ca="1" si="683"/>
        <v>0</v>
      </c>
      <c r="AU201" s="154">
        <f t="shared" ca="1" si="684"/>
        <v>0</v>
      </c>
      <c r="AV201" s="154">
        <f t="shared" ca="1" si="685"/>
        <v>0</v>
      </c>
      <c r="AW201" s="154">
        <f t="shared" ca="1" si="686"/>
        <v>0</v>
      </c>
      <c r="AX201" s="154">
        <f t="shared" ca="1" si="687"/>
        <v>0</v>
      </c>
      <c r="AY201" s="154">
        <f t="shared" ca="1" si="688"/>
        <v>0</v>
      </c>
      <c r="AZ201" s="154">
        <f t="shared" ca="1" si="689"/>
        <v>0</v>
      </c>
      <c r="BA201" s="154">
        <f t="shared" ca="1" si="690"/>
        <v>0</v>
      </c>
      <c r="BB201" s="154">
        <f t="shared" ca="1" si="691"/>
        <v>0</v>
      </c>
      <c r="BC201" s="154">
        <f t="shared" ca="1" si="692"/>
        <v>0</v>
      </c>
      <c r="BD201" s="154">
        <f t="shared" ca="1" si="693"/>
        <v>0</v>
      </c>
      <c r="BE201" s="154">
        <f t="shared" ca="1" si="694"/>
        <v>0</v>
      </c>
      <c r="BF201" s="154">
        <f t="shared" ca="1" si="695"/>
        <v>0</v>
      </c>
      <c r="BG201" s="154">
        <f t="shared" ca="1" si="696"/>
        <v>0</v>
      </c>
      <c r="BH201" s="154">
        <f t="shared" ca="1" si="697"/>
        <v>0</v>
      </c>
      <c r="BI201" s="154">
        <f t="shared" ca="1" si="698"/>
        <v>0</v>
      </c>
      <c r="BJ201" s="154">
        <f t="shared" ca="1" si="699"/>
        <v>0</v>
      </c>
      <c r="BK201" s="154">
        <f t="shared" ca="1" si="700"/>
        <v>0</v>
      </c>
      <c r="BL201" s="154">
        <f t="shared" ca="1" si="701"/>
        <v>0</v>
      </c>
      <c r="BM201" s="154">
        <f t="shared" ca="1" si="702"/>
        <v>0</v>
      </c>
      <c r="BN201" s="1198">
        <f t="shared" si="719"/>
        <v>206</v>
      </c>
      <c r="BO201" s="1197" t="str">
        <f t="shared" si="703"/>
        <v>Mahrisch</v>
      </c>
      <c r="BP201" s="1197" t="str">
        <f t="shared" ca="1" si="704"/>
        <v>B</v>
      </c>
      <c r="BQ201" s="1197">
        <f t="shared" si="727"/>
        <v>25</v>
      </c>
      <c r="BR201" s="1198" t="str">
        <f t="shared" ca="1" si="720"/>
        <v/>
      </c>
      <c r="BS201" s="1198" t="s">
        <v>4911</v>
      </c>
      <c r="BT201" s="78"/>
      <c r="BU201" s="78"/>
      <c r="BV201" s="78"/>
      <c r="BW201" s="1197">
        <f t="shared" ca="1" si="721"/>
        <v>0</v>
      </c>
      <c r="BX201" s="1197">
        <f t="shared" ca="1" si="705"/>
        <v>0</v>
      </c>
      <c r="BY201" s="1197">
        <f t="shared" ca="1" si="706"/>
        <v>0</v>
      </c>
      <c r="BZ201" s="1081">
        <f t="shared" ca="1" si="707"/>
        <v>0</v>
      </c>
      <c r="CA201" s="1081">
        <f t="shared" ca="1" si="708"/>
        <v>0</v>
      </c>
      <c r="CB201" s="1081">
        <f t="shared" ca="1" si="709"/>
        <v>65</v>
      </c>
      <c r="CC201" s="1081">
        <f t="shared" ca="1" si="710"/>
        <v>66</v>
      </c>
      <c r="CD201" s="1081">
        <f t="shared" si="738"/>
        <v>0</v>
      </c>
      <c r="CE201" s="1081">
        <f t="shared" ca="1" si="711"/>
        <v>1</v>
      </c>
      <c r="CF201" s="1081">
        <f t="shared" ca="1" si="722"/>
        <v>0</v>
      </c>
      <c r="CG201" s="1198" t="str">
        <f t="shared" si="712"/>
        <v>Rissoal-Familie</v>
      </c>
      <c r="CH201" s="1198" t="str">
        <f t="shared" ca="1" si="713"/>
        <v/>
      </c>
      <c r="CI201" s="1198"/>
      <c r="CJ201" s="1198"/>
      <c r="CK201" s="1198" t="str">
        <f t="shared" ca="1" si="723"/>
        <v/>
      </c>
      <c r="CL201" s="1198" t="str">
        <f t="shared" ca="1" si="724"/>
        <v/>
      </c>
      <c r="CM201" s="78"/>
      <c r="CN201" s="1081">
        <f t="shared" ca="1" si="725"/>
        <v>0</v>
      </c>
      <c r="CO201" s="1081">
        <f t="shared" ca="1" si="714"/>
        <v>0</v>
      </c>
      <c r="CP201" s="1081">
        <f t="shared" ca="1" si="726"/>
        <v>0</v>
      </c>
      <c r="DJ201" s="301" t="str">
        <f t="shared" ca="1" si="735"/>
        <v>A</v>
      </c>
      <c r="DK201" s="301" t="str">
        <f t="shared" ca="1" si="735"/>
        <v>A</v>
      </c>
      <c r="DL201" s="301" t="str">
        <f t="shared" ca="1" si="735"/>
        <v>A</v>
      </c>
      <c r="DM201" s="301" t="str">
        <f t="shared" ca="1" si="735"/>
        <v>A</v>
      </c>
      <c r="DN201" s="301" t="str">
        <f t="shared" ca="1" si="735"/>
        <v>A</v>
      </c>
      <c r="DO201" s="301" t="str">
        <f t="shared" ca="1" si="735"/>
        <v>A</v>
      </c>
      <c r="DP201" s="301" t="str">
        <f t="shared" ca="1" si="735"/>
        <v>A</v>
      </c>
      <c r="DQ201" s="301" t="str">
        <f t="shared" ca="1" si="735"/>
        <v>A</v>
      </c>
      <c r="DR201" s="301" t="str">
        <f t="shared" ca="1" si="735"/>
        <v>A</v>
      </c>
      <c r="DS201" s="301" t="str">
        <f t="shared" ca="1" si="735"/>
        <v>A</v>
      </c>
      <c r="DT201" s="301" t="str">
        <f t="shared" ca="1" si="736"/>
        <v>A</v>
      </c>
      <c r="DU201" s="301" t="str">
        <f t="shared" ca="1" si="736"/>
        <v>A</v>
      </c>
      <c r="DV201" s="301" t="str">
        <f t="shared" ca="1" si="736"/>
        <v>A</v>
      </c>
      <c r="DW201" s="301" t="str">
        <f t="shared" ca="1" si="736"/>
        <v>A</v>
      </c>
      <c r="DX201" s="301" t="str">
        <f t="shared" ca="1" si="736"/>
        <v>A</v>
      </c>
      <c r="DY201" s="301" t="str">
        <f t="shared" ca="1" si="736"/>
        <v>A</v>
      </c>
      <c r="DZ201" s="301" t="str">
        <f t="shared" ca="1" si="736"/>
        <v>A</v>
      </c>
      <c r="EA201" s="301" t="str">
        <f t="shared" ca="1" si="736"/>
        <v>A</v>
      </c>
      <c r="EB201" s="301" t="str">
        <f t="shared" ca="1" si="736"/>
        <v>A</v>
      </c>
      <c r="EC201" s="301" t="str">
        <f t="shared" ca="1" si="736"/>
        <v>A</v>
      </c>
      <c r="ED201" s="301" t="str">
        <f t="shared" ca="1" si="736"/>
        <v>A</v>
      </c>
      <c r="EE201" s="301" t="str">
        <f t="shared" ca="1" si="736"/>
        <v>A</v>
      </c>
      <c r="EF201" s="301">
        <f t="shared" si="717"/>
        <v>0</v>
      </c>
      <c r="EG201" s="1426" t="str">
        <f t="shared" ca="1" si="737"/>
        <v>B</v>
      </c>
      <c r="EH201" s="1429" t="str">
        <f t="shared" ca="1" si="737"/>
        <v>B</v>
      </c>
      <c r="EI201" s="1429" t="str">
        <f t="shared" ca="1" si="737"/>
        <v>B</v>
      </c>
      <c r="EJ201" s="1429" t="str">
        <f t="shared" ca="1" si="737"/>
        <v>B</v>
      </c>
      <c r="EK201" s="1429" t="str">
        <f t="shared" ca="1" si="737"/>
        <v>B</v>
      </c>
      <c r="EL201" s="1429" t="str">
        <f t="shared" ca="1" si="737"/>
        <v>B</v>
      </c>
      <c r="EM201" s="1429" t="str">
        <f t="shared" ca="1" si="737"/>
        <v>B</v>
      </c>
      <c r="EN201" s="1429" t="str">
        <f t="shared" ca="1" si="737"/>
        <v>B</v>
      </c>
      <c r="EO201" s="1429" t="str">
        <f t="shared" ca="1" si="739"/>
        <v>B</v>
      </c>
      <c r="EP201" s="1429" t="str">
        <f t="shared" ca="1" si="739"/>
        <v>B</v>
      </c>
      <c r="EQ201" s="1429" t="str">
        <f t="shared" ca="1" si="739"/>
        <v>B</v>
      </c>
      <c r="ER201" s="1429" t="str">
        <f t="shared" ca="1" si="739"/>
        <v>B</v>
      </c>
      <c r="ES201" s="1429" t="str">
        <f t="shared" ca="1" si="739"/>
        <v>B</v>
      </c>
      <c r="ET201" s="1429" t="str">
        <f t="shared" ca="1" si="739"/>
        <v>B</v>
      </c>
      <c r="EU201" s="1429" t="str">
        <f t="shared" ca="1" si="739"/>
        <v>B</v>
      </c>
      <c r="EV201" s="1429" t="str">
        <f t="shared" ca="1" si="739"/>
        <v>B</v>
      </c>
      <c r="EW201" s="1429" t="str">
        <f t="shared" ref="EW201:FL210" ca="1" si="740">IF(ISERR(FIND(";"&amp;EW$176&amp;":0;",$E201)),
CHAR($CC201+SUM(IF(ISERR(FIND(";"&amp;EW$176&amp;";",$E201)),0,-1),
IF(ISERR(FIND(";"&amp;EW$176&amp;":",$E201)),0,-VALUE(MID($E201,FIND(";"&amp;EW$176&amp;":",$E201)+LEN(EW$176)+2,1))),
IF(ISERR(FIND(";"&amp;EW$176&amp;"+",$E201)),0,VALUE(MID($E201,FIND(";"&amp;EW$176&amp;"+",$E201)+LEN(EW$176)+2,1))),
)),0)</f>
        <v>B</v>
      </c>
      <c r="EX201" s="1429" t="str">
        <f t="shared" ca="1" si="740"/>
        <v>B</v>
      </c>
      <c r="EY201" s="1429" t="str">
        <f t="shared" ca="1" si="740"/>
        <v>B</v>
      </c>
      <c r="EZ201" s="1429" t="str">
        <f t="shared" ca="1" si="740"/>
        <v>B</v>
      </c>
      <c r="FA201" s="1429" t="str">
        <f t="shared" ca="1" si="740"/>
        <v>B</v>
      </c>
      <c r="FB201" s="1429" t="str">
        <f t="shared" ca="1" si="740"/>
        <v>B</v>
      </c>
      <c r="FC201" s="1429" t="str">
        <f t="shared" ca="1" si="740"/>
        <v>B</v>
      </c>
      <c r="FD201" s="1429" t="str">
        <f t="shared" ca="1" si="740"/>
        <v>B</v>
      </c>
      <c r="FE201" s="1429" t="str">
        <f t="shared" ca="1" si="740"/>
        <v>B</v>
      </c>
      <c r="FF201" s="1429" t="str">
        <f t="shared" ca="1" si="740"/>
        <v>B</v>
      </c>
      <c r="FG201" s="1429" t="str">
        <f t="shared" ca="1" si="740"/>
        <v>B</v>
      </c>
      <c r="FH201" s="1429" t="str">
        <f t="shared" ca="1" si="740"/>
        <v>B</v>
      </c>
      <c r="FI201" s="1429" t="str">
        <f t="shared" ca="1" si="740"/>
        <v>B</v>
      </c>
      <c r="FJ201" s="1429" t="str">
        <f t="shared" ca="1" si="740"/>
        <v>B</v>
      </c>
      <c r="FK201" s="1429" t="str">
        <f t="shared" ca="1" si="740"/>
        <v>B</v>
      </c>
      <c r="FL201" s="1429" t="str">
        <f t="shared" ca="1" si="740"/>
        <v>B</v>
      </c>
    </row>
    <row r="202" spans="1:168" x14ac:dyDescent="0.2">
      <c r="A202" s="62" t="str">
        <f t="shared" si="649"/>
        <v>Maraskani  (Dialekt)</v>
      </c>
      <c r="B202" s="317" t="str">
        <f t="shared" ca="1" si="650"/>
        <v/>
      </c>
      <c r="C202" s="332" t="str">
        <f ca="1">IF(AND(EXACT($F202,""),EXACT($G202,"")),IF(OR(NOT(ISBLANK(D202)),NOT(EXACT(HLOOKUP(RASSEGENE,RASSE,$BN202,FALSE),"")),NOT(EXACT(HLOOKUP(KULTURGENE,KULTUR,$BN202,FALSE),"")),NOT(EXACT(HLOOKUP(PROFGENE,INDIRECT(PROFGEBIET),$BN202,FALSE),"")),
IF(LEN(PROFZWEITE)&lt;1,FALSE,NOT(EXACT(HLOOKUP(Generierung!$D$12,INDIRECT(PROFGEBIET2),$BN202,FALSE),"")))
),"x",""),"")</f>
        <v/>
      </c>
      <c r="D202" s="1110"/>
      <c r="E202" s="325"/>
      <c r="F202" s="388" t="str">
        <f t="shared" ca="1" si="651"/>
        <v/>
      </c>
      <c r="G202" s="388" t="str">
        <f t="shared" ca="1" si="652"/>
        <v/>
      </c>
      <c r="H202" s="389"/>
      <c r="I202" s="1196"/>
      <c r="J202" s="326"/>
      <c r="O202" s="514" t="str">
        <f t="shared" ca="1" si="653"/>
        <v/>
      </c>
      <c r="P202" s="164">
        <f t="shared" ca="1" si="654"/>
        <v>0</v>
      </c>
      <c r="Q202" s="164">
        <f t="shared" ca="1" si="655"/>
        <v>0</v>
      </c>
      <c r="R202" s="164">
        <f t="shared" ca="1" si="656"/>
        <v>0</v>
      </c>
      <c r="S202" s="164">
        <f t="shared" ca="1" si="657"/>
        <v>0</v>
      </c>
      <c r="T202" s="164">
        <f t="shared" ca="1" si="658"/>
        <v>0</v>
      </c>
      <c r="U202" s="164">
        <f t="shared" ca="1" si="659"/>
        <v>0</v>
      </c>
      <c r="V202" s="164">
        <f t="shared" ca="1" si="660"/>
        <v>0</v>
      </c>
      <c r="W202" s="164">
        <f t="shared" ca="1" si="661"/>
        <v>0</v>
      </c>
      <c r="X202" s="164">
        <f t="shared" ca="1" si="662"/>
        <v>0</v>
      </c>
      <c r="Y202" s="164">
        <f t="shared" ca="1" si="663"/>
        <v>0</v>
      </c>
      <c r="Z202" s="164">
        <f t="shared" ca="1" si="664"/>
        <v>0</v>
      </c>
      <c r="AA202" s="164">
        <f t="shared" ca="1" si="665"/>
        <v>0</v>
      </c>
      <c r="AB202" s="164">
        <f t="shared" ca="1" si="666"/>
        <v>0</v>
      </c>
      <c r="AC202" s="164">
        <f t="shared" ca="1" si="667"/>
        <v>0</v>
      </c>
      <c r="AD202" s="164">
        <f t="shared" ca="1" si="668"/>
        <v>0</v>
      </c>
      <c r="AE202" s="164">
        <f t="shared" ca="1" si="669"/>
        <v>0</v>
      </c>
      <c r="AF202" s="164">
        <f t="shared" ca="1" si="670"/>
        <v>0</v>
      </c>
      <c r="AG202" s="164">
        <f t="shared" ca="1" si="671"/>
        <v>0</v>
      </c>
      <c r="AH202" s="164">
        <f t="shared" ca="1" si="672"/>
        <v>0</v>
      </c>
      <c r="AI202" s="164">
        <f t="shared" ca="1" si="673"/>
        <v>0</v>
      </c>
      <c r="AJ202" s="164">
        <f t="shared" ca="1" si="674"/>
        <v>0</v>
      </c>
      <c r="AK202" s="164">
        <f t="shared" ca="1" si="675"/>
        <v>0</v>
      </c>
      <c r="AL202" s="164">
        <f t="shared" si="676"/>
        <v>0</v>
      </c>
      <c r="AM202" s="164">
        <f t="shared" ca="1" si="677"/>
        <v>0</v>
      </c>
      <c r="AN202" s="205"/>
      <c r="AO202" s="154">
        <f t="shared" ca="1" si="678"/>
        <v>0</v>
      </c>
      <c r="AP202" s="154">
        <f t="shared" ca="1" si="679"/>
        <v>0</v>
      </c>
      <c r="AQ202" s="154">
        <f t="shared" ca="1" si="680"/>
        <v>0</v>
      </c>
      <c r="AR202" s="154">
        <f t="shared" ca="1" si="681"/>
        <v>0</v>
      </c>
      <c r="AS202" s="154">
        <f t="shared" ca="1" si="682"/>
        <v>0</v>
      </c>
      <c r="AT202" s="154">
        <f t="shared" ca="1" si="683"/>
        <v>0</v>
      </c>
      <c r="AU202" s="154">
        <f t="shared" ca="1" si="684"/>
        <v>0</v>
      </c>
      <c r="AV202" s="154">
        <f t="shared" ca="1" si="685"/>
        <v>0</v>
      </c>
      <c r="AW202" s="154">
        <f t="shared" ca="1" si="686"/>
        <v>0</v>
      </c>
      <c r="AX202" s="154">
        <f t="shared" ca="1" si="687"/>
        <v>0</v>
      </c>
      <c r="AY202" s="154">
        <f t="shared" ca="1" si="688"/>
        <v>0</v>
      </c>
      <c r="AZ202" s="154">
        <f t="shared" ca="1" si="689"/>
        <v>0</v>
      </c>
      <c r="BA202" s="154">
        <f t="shared" ca="1" si="690"/>
        <v>0</v>
      </c>
      <c r="BB202" s="154">
        <f t="shared" ca="1" si="691"/>
        <v>0</v>
      </c>
      <c r="BC202" s="154">
        <f t="shared" ca="1" si="692"/>
        <v>0</v>
      </c>
      <c r="BD202" s="154">
        <f t="shared" ca="1" si="693"/>
        <v>0</v>
      </c>
      <c r="BE202" s="154">
        <f t="shared" ca="1" si="694"/>
        <v>0</v>
      </c>
      <c r="BF202" s="154">
        <f t="shared" ca="1" si="695"/>
        <v>0</v>
      </c>
      <c r="BG202" s="154">
        <f t="shared" ca="1" si="696"/>
        <v>0</v>
      </c>
      <c r="BH202" s="154">
        <f t="shared" ca="1" si="697"/>
        <v>0</v>
      </c>
      <c r="BI202" s="154">
        <f t="shared" ca="1" si="698"/>
        <v>0</v>
      </c>
      <c r="BJ202" s="154">
        <f t="shared" ca="1" si="699"/>
        <v>0</v>
      </c>
      <c r="BK202" s="154">
        <f t="shared" ca="1" si="700"/>
        <v>0</v>
      </c>
      <c r="BL202" s="154">
        <f t="shared" ca="1" si="701"/>
        <v>0</v>
      </c>
      <c r="BM202" s="154">
        <f t="shared" ca="1" si="702"/>
        <v>0</v>
      </c>
      <c r="BN202" s="1198">
        <f t="shared" si="719"/>
        <v>207</v>
      </c>
      <c r="BO202" s="1197" t="str">
        <f t="shared" si="703"/>
        <v>Maraskani  (Dialekt)</v>
      </c>
      <c r="BP202" s="1197" t="str">
        <f t="shared" ca="1" si="704"/>
        <v>B</v>
      </c>
      <c r="BQ202" s="1197">
        <f t="shared" si="727"/>
        <v>26</v>
      </c>
      <c r="BR202" s="1198" t="str">
        <f t="shared" ca="1" si="720"/>
        <v/>
      </c>
      <c r="BS202" s="1198" t="s">
        <v>3879</v>
      </c>
      <c r="BT202" s="78"/>
      <c r="BU202" s="78"/>
      <c r="BV202" s="78"/>
      <c r="BW202" s="1197">
        <f t="shared" ca="1" si="721"/>
        <v>0</v>
      </c>
      <c r="BX202" s="1197">
        <f t="shared" ca="1" si="705"/>
        <v>0</v>
      </c>
      <c r="BY202" s="1197">
        <f t="shared" ca="1" si="706"/>
        <v>0</v>
      </c>
      <c r="BZ202" s="1081">
        <f t="shared" ca="1" si="707"/>
        <v>0</v>
      </c>
      <c r="CA202" s="1081">
        <f t="shared" ca="1" si="708"/>
        <v>0</v>
      </c>
      <c r="CB202" s="1081">
        <f t="shared" ca="1" si="709"/>
        <v>65</v>
      </c>
      <c r="CC202" s="1081">
        <f t="shared" ca="1" si="710"/>
        <v>66</v>
      </c>
      <c r="CD202" s="1081">
        <f t="shared" si="738"/>
        <v>0</v>
      </c>
      <c r="CE202" s="1081">
        <f t="shared" ca="1" si="711"/>
        <v>1</v>
      </c>
      <c r="CF202" s="1081">
        <f t="shared" ca="1" si="722"/>
        <v>0</v>
      </c>
      <c r="CG202" s="1198" t="str">
        <f t="shared" si="712"/>
        <v>Garethi-Familie</v>
      </c>
      <c r="CH202" s="1198" t="str">
        <f t="shared" ca="1" si="713"/>
        <v/>
      </c>
      <c r="CI202" s="1198"/>
      <c r="CJ202" s="1198"/>
      <c r="CK202" s="1198" t="str">
        <f t="shared" ca="1" si="723"/>
        <v/>
      </c>
      <c r="CL202" s="1198" t="str">
        <f t="shared" ca="1" si="724"/>
        <v/>
      </c>
      <c r="CM202" s="78"/>
      <c r="CN202" s="1081">
        <f t="shared" ca="1" si="725"/>
        <v>0</v>
      </c>
      <c r="CO202" s="1081">
        <f t="shared" ca="1" si="714"/>
        <v>0</v>
      </c>
      <c r="CP202" s="1081">
        <f t="shared" ca="1" si="726"/>
        <v>0</v>
      </c>
      <c r="DJ202" s="301" t="str">
        <f t="shared" ca="1" si="735"/>
        <v>A</v>
      </c>
      <c r="DK202" s="301" t="str">
        <f t="shared" ca="1" si="735"/>
        <v>A</v>
      </c>
      <c r="DL202" s="301" t="str">
        <f t="shared" ca="1" si="735"/>
        <v>A</v>
      </c>
      <c r="DM202" s="301" t="str">
        <f t="shared" ca="1" si="735"/>
        <v>A</v>
      </c>
      <c r="DN202" s="301" t="str">
        <f t="shared" ca="1" si="735"/>
        <v>A</v>
      </c>
      <c r="DO202" s="301" t="str">
        <f t="shared" ca="1" si="735"/>
        <v>A</v>
      </c>
      <c r="DP202" s="301" t="str">
        <f t="shared" ca="1" si="735"/>
        <v>A</v>
      </c>
      <c r="DQ202" s="301" t="str">
        <f t="shared" ca="1" si="735"/>
        <v>A</v>
      </c>
      <c r="DR202" s="301" t="str">
        <f t="shared" ca="1" si="735"/>
        <v>A</v>
      </c>
      <c r="DS202" s="301" t="str">
        <f t="shared" ca="1" si="735"/>
        <v>A</v>
      </c>
      <c r="DT202" s="301" t="str">
        <f t="shared" ca="1" si="736"/>
        <v>A</v>
      </c>
      <c r="DU202" s="301" t="str">
        <f t="shared" ca="1" si="736"/>
        <v>A</v>
      </c>
      <c r="DV202" s="301" t="str">
        <f t="shared" ca="1" si="736"/>
        <v>A</v>
      </c>
      <c r="DW202" s="301" t="str">
        <f t="shared" ca="1" si="736"/>
        <v>A</v>
      </c>
      <c r="DX202" s="301" t="str">
        <f t="shared" ca="1" si="736"/>
        <v>A</v>
      </c>
      <c r="DY202" s="301" t="str">
        <f t="shared" ca="1" si="736"/>
        <v>A</v>
      </c>
      <c r="DZ202" s="301" t="str">
        <f t="shared" ca="1" si="736"/>
        <v>A</v>
      </c>
      <c r="EA202" s="301" t="str">
        <f t="shared" ca="1" si="736"/>
        <v>A</v>
      </c>
      <c r="EB202" s="301" t="str">
        <f t="shared" ca="1" si="736"/>
        <v>A</v>
      </c>
      <c r="EC202" s="301" t="str">
        <f t="shared" ca="1" si="736"/>
        <v>A</v>
      </c>
      <c r="ED202" s="301" t="str">
        <f t="shared" ca="1" si="736"/>
        <v>A</v>
      </c>
      <c r="EE202" s="301" t="str">
        <f t="shared" ca="1" si="736"/>
        <v>A</v>
      </c>
      <c r="EF202" s="301">
        <f t="shared" si="717"/>
        <v>0</v>
      </c>
      <c r="EG202" s="1426" t="str">
        <f t="shared" ca="1" si="737"/>
        <v>B</v>
      </c>
      <c r="EH202" s="1429" t="str">
        <f t="shared" ca="1" si="737"/>
        <v>B</v>
      </c>
      <c r="EI202" s="1429" t="str">
        <f t="shared" ca="1" si="737"/>
        <v>B</v>
      </c>
      <c r="EJ202" s="1429" t="str">
        <f t="shared" ca="1" si="737"/>
        <v>B</v>
      </c>
      <c r="EK202" s="1429" t="str">
        <f t="shared" ca="1" si="737"/>
        <v>B</v>
      </c>
      <c r="EL202" s="1429" t="str">
        <f t="shared" ca="1" si="737"/>
        <v>B</v>
      </c>
      <c r="EM202" s="1429" t="str">
        <f t="shared" ca="1" si="737"/>
        <v>B</v>
      </c>
      <c r="EN202" s="1429" t="str">
        <f t="shared" ca="1" si="737"/>
        <v>B</v>
      </c>
      <c r="EO202" s="1429" t="str">
        <f t="shared" ca="1" si="739"/>
        <v>B</v>
      </c>
      <c r="EP202" s="1429" t="str">
        <f t="shared" ca="1" si="739"/>
        <v>B</v>
      </c>
      <c r="EQ202" s="1429" t="str">
        <f t="shared" ca="1" si="739"/>
        <v>B</v>
      </c>
      <c r="ER202" s="1429" t="str">
        <f t="shared" ca="1" si="739"/>
        <v>B</v>
      </c>
      <c r="ES202" s="1429" t="str">
        <f t="shared" ca="1" si="739"/>
        <v>B</v>
      </c>
      <c r="ET202" s="1429" t="str">
        <f t="shared" ca="1" si="739"/>
        <v>B</v>
      </c>
      <c r="EU202" s="1429" t="str">
        <f t="shared" ca="1" si="739"/>
        <v>B</v>
      </c>
      <c r="EV202" s="1429" t="str">
        <f t="shared" ca="1" si="739"/>
        <v>B</v>
      </c>
      <c r="EW202" s="1429" t="str">
        <f t="shared" ca="1" si="740"/>
        <v>B</v>
      </c>
      <c r="EX202" s="1429" t="str">
        <f t="shared" ca="1" si="740"/>
        <v>B</v>
      </c>
      <c r="EY202" s="1429" t="str">
        <f t="shared" ca="1" si="740"/>
        <v>B</v>
      </c>
      <c r="EZ202" s="1429" t="str">
        <f t="shared" ca="1" si="740"/>
        <v>B</v>
      </c>
      <c r="FA202" s="1429" t="str">
        <f t="shared" ca="1" si="740"/>
        <v>B</v>
      </c>
      <c r="FB202" s="1429" t="str">
        <f t="shared" ca="1" si="740"/>
        <v>B</v>
      </c>
      <c r="FC202" s="1429" t="str">
        <f t="shared" ca="1" si="740"/>
        <v>B</v>
      </c>
      <c r="FD202" s="1429" t="str">
        <f t="shared" ca="1" si="740"/>
        <v>B</v>
      </c>
      <c r="FE202" s="1429" t="str">
        <f t="shared" ca="1" si="740"/>
        <v>B</v>
      </c>
      <c r="FF202" s="1429" t="str">
        <f t="shared" ca="1" si="740"/>
        <v>B</v>
      </c>
      <c r="FG202" s="1429" t="str">
        <f t="shared" ca="1" si="740"/>
        <v>B</v>
      </c>
      <c r="FH202" s="1429" t="str">
        <f t="shared" ca="1" si="740"/>
        <v>B</v>
      </c>
      <c r="FI202" s="1429" t="str">
        <f t="shared" ca="1" si="740"/>
        <v>B</v>
      </c>
      <c r="FJ202" s="1429" t="str">
        <f t="shared" ca="1" si="740"/>
        <v>B</v>
      </c>
      <c r="FK202" s="1429" t="str">
        <f t="shared" ca="1" si="740"/>
        <v>B</v>
      </c>
      <c r="FL202" s="1429" t="str">
        <f t="shared" ca="1" si="740"/>
        <v>B</v>
      </c>
    </row>
    <row r="203" spans="1:168" x14ac:dyDescent="0.2">
      <c r="A203" s="62" t="str">
        <f t="shared" si="649"/>
        <v>Mohisch</v>
      </c>
      <c r="B203" s="317" t="str">
        <f t="shared" ca="1" si="650"/>
        <v/>
      </c>
      <c r="C203" s="332" t="str">
        <f ca="1">IF(AND(EXACT($F203,""),EXACT($G203,"")),IF(OR(NOT(ISBLANK(D203)),NOT(EXACT(HLOOKUP(RASSEGENE,RASSE,$BN203,FALSE),"")),NOT(EXACT(HLOOKUP(KULTURGENE,KULTUR,$BN203,FALSE),"")),NOT(EXACT(HLOOKUP(PROFGENE,INDIRECT(PROFGEBIET),$BN203,FALSE),"")),
IF(LEN(PROFZWEITE)&lt;1,FALSE,NOT(EXACT(HLOOKUP(Generierung!$D$12,INDIRECT(PROFGEBIET2),$BN203,FALSE),"")))
),"x",""),"")</f>
        <v/>
      </c>
      <c r="D203" s="1110"/>
      <c r="E203" s="325"/>
      <c r="F203" s="388" t="str">
        <f t="shared" ca="1" si="651"/>
        <v/>
      </c>
      <c r="G203" s="388" t="str">
        <f t="shared" ca="1" si="652"/>
        <v/>
      </c>
      <c r="H203" s="389"/>
      <c r="I203" s="1196"/>
      <c r="J203" s="326"/>
      <c r="O203" s="514" t="str">
        <f t="shared" ca="1" si="653"/>
        <v/>
      </c>
      <c r="P203" s="164">
        <f t="shared" ca="1" si="654"/>
        <v>0</v>
      </c>
      <c r="Q203" s="164">
        <f t="shared" ca="1" si="655"/>
        <v>0</v>
      </c>
      <c r="R203" s="164">
        <f t="shared" ca="1" si="656"/>
        <v>0</v>
      </c>
      <c r="S203" s="164">
        <f t="shared" ca="1" si="657"/>
        <v>0</v>
      </c>
      <c r="T203" s="164">
        <f t="shared" ca="1" si="658"/>
        <v>0</v>
      </c>
      <c r="U203" s="164">
        <f t="shared" ca="1" si="659"/>
        <v>0</v>
      </c>
      <c r="V203" s="164">
        <f t="shared" ca="1" si="660"/>
        <v>0</v>
      </c>
      <c r="W203" s="164">
        <f t="shared" ca="1" si="661"/>
        <v>0</v>
      </c>
      <c r="X203" s="164">
        <f t="shared" ca="1" si="662"/>
        <v>0</v>
      </c>
      <c r="Y203" s="164">
        <f t="shared" ca="1" si="663"/>
        <v>0</v>
      </c>
      <c r="Z203" s="164">
        <f t="shared" ca="1" si="664"/>
        <v>0</v>
      </c>
      <c r="AA203" s="164">
        <f t="shared" ca="1" si="665"/>
        <v>0</v>
      </c>
      <c r="AB203" s="164">
        <f t="shared" ca="1" si="666"/>
        <v>0</v>
      </c>
      <c r="AC203" s="164">
        <f t="shared" ca="1" si="667"/>
        <v>0</v>
      </c>
      <c r="AD203" s="164">
        <f t="shared" ca="1" si="668"/>
        <v>0</v>
      </c>
      <c r="AE203" s="164">
        <f t="shared" ca="1" si="669"/>
        <v>0</v>
      </c>
      <c r="AF203" s="164">
        <f t="shared" ca="1" si="670"/>
        <v>0</v>
      </c>
      <c r="AG203" s="164">
        <f t="shared" ca="1" si="671"/>
        <v>0</v>
      </c>
      <c r="AH203" s="164">
        <f t="shared" ca="1" si="672"/>
        <v>0</v>
      </c>
      <c r="AI203" s="164">
        <f t="shared" ca="1" si="673"/>
        <v>0</v>
      </c>
      <c r="AJ203" s="164">
        <f t="shared" ca="1" si="674"/>
        <v>0</v>
      </c>
      <c r="AK203" s="164">
        <f t="shared" ca="1" si="675"/>
        <v>0</v>
      </c>
      <c r="AL203" s="164">
        <f t="shared" si="676"/>
        <v>0</v>
      </c>
      <c r="AM203" s="164">
        <f t="shared" ca="1" si="677"/>
        <v>0</v>
      </c>
      <c r="AN203" s="205"/>
      <c r="AO203" s="154">
        <f t="shared" ca="1" si="678"/>
        <v>0</v>
      </c>
      <c r="AP203" s="154">
        <f t="shared" ca="1" si="679"/>
        <v>0</v>
      </c>
      <c r="AQ203" s="154">
        <f t="shared" ca="1" si="680"/>
        <v>0</v>
      </c>
      <c r="AR203" s="154">
        <f t="shared" ca="1" si="681"/>
        <v>0</v>
      </c>
      <c r="AS203" s="154">
        <f t="shared" ca="1" si="682"/>
        <v>0</v>
      </c>
      <c r="AT203" s="154">
        <f t="shared" ca="1" si="683"/>
        <v>0</v>
      </c>
      <c r="AU203" s="154">
        <f t="shared" ca="1" si="684"/>
        <v>0</v>
      </c>
      <c r="AV203" s="154">
        <f t="shared" ca="1" si="685"/>
        <v>0</v>
      </c>
      <c r="AW203" s="154">
        <f t="shared" ca="1" si="686"/>
        <v>0</v>
      </c>
      <c r="AX203" s="154">
        <f t="shared" ca="1" si="687"/>
        <v>0</v>
      </c>
      <c r="AY203" s="154">
        <f t="shared" ca="1" si="688"/>
        <v>0</v>
      </c>
      <c r="AZ203" s="154">
        <f t="shared" ca="1" si="689"/>
        <v>0</v>
      </c>
      <c r="BA203" s="154">
        <f t="shared" ca="1" si="690"/>
        <v>0</v>
      </c>
      <c r="BB203" s="154">
        <f t="shared" ca="1" si="691"/>
        <v>0</v>
      </c>
      <c r="BC203" s="154">
        <f t="shared" ca="1" si="692"/>
        <v>0</v>
      </c>
      <c r="BD203" s="154">
        <f t="shared" ca="1" si="693"/>
        <v>0</v>
      </c>
      <c r="BE203" s="154">
        <f t="shared" ca="1" si="694"/>
        <v>0</v>
      </c>
      <c r="BF203" s="154">
        <f t="shared" ca="1" si="695"/>
        <v>0</v>
      </c>
      <c r="BG203" s="154">
        <f t="shared" ca="1" si="696"/>
        <v>0</v>
      </c>
      <c r="BH203" s="154">
        <f t="shared" ca="1" si="697"/>
        <v>0</v>
      </c>
      <c r="BI203" s="154">
        <f t="shared" ca="1" si="698"/>
        <v>0</v>
      </c>
      <c r="BJ203" s="154">
        <f t="shared" ca="1" si="699"/>
        <v>0</v>
      </c>
      <c r="BK203" s="154">
        <f t="shared" ca="1" si="700"/>
        <v>0</v>
      </c>
      <c r="BL203" s="154">
        <f t="shared" ca="1" si="701"/>
        <v>0</v>
      </c>
      <c r="BM203" s="154">
        <f t="shared" ca="1" si="702"/>
        <v>0</v>
      </c>
      <c r="BN203" s="1198">
        <f t="shared" si="719"/>
        <v>208</v>
      </c>
      <c r="BO203" s="1197" t="str">
        <f t="shared" si="703"/>
        <v>Mohisch</v>
      </c>
      <c r="BP203" s="1197" t="str">
        <f t="shared" ca="1" si="704"/>
        <v>B</v>
      </c>
      <c r="BQ203" s="1197">
        <f t="shared" si="727"/>
        <v>27</v>
      </c>
      <c r="BR203" s="1198" t="str">
        <f t="shared" ca="1" si="720"/>
        <v/>
      </c>
      <c r="BS203" s="1198" t="s">
        <v>1623</v>
      </c>
      <c r="BT203" s="78"/>
      <c r="BU203" s="78"/>
      <c r="BV203" s="78"/>
      <c r="BW203" s="1197">
        <f t="shared" ca="1" si="721"/>
        <v>0</v>
      </c>
      <c r="BX203" s="1197">
        <f t="shared" ca="1" si="705"/>
        <v>0</v>
      </c>
      <c r="BY203" s="1197">
        <f t="shared" ca="1" si="706"/>
        <v>0</v>
      </c>
      <c r="BZ203" s="1081">
        <f t="shared" ca="1" si="707"/>
        <v>0</v>
      </c>
      <c r="CA203" s="1081">
        <f t="shared" ca="1" si="708"/>
        <v>0</v>
      </c>
      <c r="CB203" s="1081">
        <f t="shared" ca="1" si="709"/>
        <v>65</v>
      </c>
      <c r="CC203" s="1081">
        <f t="shared" ca="1" si="710"/>
        <v>66</v>
      </c>
      <c r="CD203" s="1081">
        <f t="shared" si="738"/>
        <v>0</v>
      </c>
      <c r="CE203" s="1081">
        <f t="shared" ca="1" si="711"/>
        <v>1</v>
      </c>
      <c r="CF203" s="1081">
        <f t="shared" ca="1" si="722"/>
        <v>0</v>
      </c>
      <c r="CG203" s="1198" t="str">
        <f t="shared" si="712"/>
        <v>Waldmenschen-Sprachen ('Mohisch'; Tocamuyac, Puka-Puka)</v>
      </c>
      <c r="CH203" s="1198" t="str">
        <f t="shared" ca="1" si="713"/>
        <v/>
      </c>
      <c r="CI203" s="1198"/>
      <c r="CJ203" s="1198"/>
      <c r="CK203" s="1198" t="str">
        <f t="shared" ca="1" si="723"/>
        <v/>
      </c>
      <c r="CL203" s="1198" t="str">
        <f t="shared" ca="1" si="724"/>
        <v/>
      </c>
      <c r="CM203" s="78"/>
      <c r="CN203" s="1081">
        <f t="shared" ca="1" si="725"/>
        <v>0</v>
      </c>
      <c r="CO203" s="1081">
        <f t="shared" ca="1" si="714"/>
        <v>0</v>
      </c>
      <c r="CP203" s="1081">
        <f t="shared" ca="1" si="726"/>
        <v>0</v>
      </c>
      <c r="DJ203" s="301" t="str">
        <f t="shared" ca="1" si="735"/>
        <v>A</v>
      </c>
      <c r="DK203" s="301" t="str">
        <f t="shared" ca="1" si="735"/>
        <v>A</v>
      </c>
      <c r="DL203" s="301" t="str">
        <f t="shared" ca="1" si="735"/>
        <v>A</v>
      </c>
      <c r="DM203" s="301" t="str">
        <f t="shared" ca="1" si="735"/>
        <v>A</v>
      </c>
      <c r="DN203" s="301" t="str">
        <f t="shared" ca="1" si="735"/>
        <v>A</v>
      </c>
      <c r="DO203" s="301" t="str">
        <f t="shared" ca="1" si="735"/>
        <v>A</v>
      </c>
      <c r="DP203" s="301" t="str">
        <f t="shared" ca="1" si="735"/>
        <v>A</v>
      </c>
      <c r="DQ203" s="301" t="str">
        <f t="shared" ca="1" si="735"/>
        <v>A</v>
      </c>
      <c r="DR203" s="301" t="str">
        <f t="shared" ca="1" si="735"/>
        <v>A</v>
      </c>
      <c r="DS203" s="301" t="str">
        <f t="shared" ca="1" si="735"/>
        <v>A</v>
      </c>
      <c r="DT203" s="301" t="str">
        <f t="shared" ca="1" si="736"/>
        <v>A</v>
      </c>
      <c r="DU203" s="301" t="str">
        <f t="shared" ca="1" si="736"/>
        <v>A</v>
      </c>
      <c r="DV203" s="301" t="str">
        <f t="shared" ca="1" si="736"/>
        <v>A</v>
      </c>
      <c r="DW203" s="301" t="str">
        <f t="shared" ca="1" si="736"/>
        <v>A</v>
      </c>
      <c r="DX203" s="301" t="str">
        <f t="shared" ca="1" si="736"/>
        <v>A</v>
      </c>
      <c r="DY203" s="301" t="str">
        <f t="shared" ca="1" si="736"/>
        <v>A</v>
      </c>
      <c r="DZ203" s="301" t="str">
        <f t="shared" ca="1" si="736"/>
        <v>A</v>
      </c>
      <c r="EA203" s="301" t="str">
        <f t="shared" ca="1" si="736"/>
        <v>A</v>
      </c>
      <c r="EB203" s="301" t="str">
        <f t="shared" ca="1" si="736"/>
        <v>A</v>
      </c>
      <c r="EC203" s="301" t="str">
        <f t="shared" ca="1" si="736"/>
        <v>A</v>
      </c>
      <c r="ED203" s="301" t="str">
        <f t="shared" ca="1" si="736"/>
        <v>A</v>
      </c>
      <c r="EE203" s="301" t="str">
        <f t="shared" ca="1" si="736"/>
        <v>A</v>
      </c>
      <c r="EF203" s="301">
        <f t="shared" si="717"/>
        <v>0</v>
      </c>
      <c r="EG203" s="1426" t="str">
        <f t="shared" ca="1" si="737"/>
        <v>B</v>
      </c>
      <c r="EH203" s="1429" t="str">
        <f t="shared" ca="1" si="737"/>
        <v>B</v>
      </c>
      <c r="EI203" s="1429" t="str">
        <f t="shared" ca="1" si="737"/>
        <v>B</v>
      </c>
      <c r="EJ203" s="1429" t="str">
        <f t="shared" ca="1" si="737"/>
        <v>B</v>
      </c>
      <c r="EK203" s="1429" t="str">
        <f t="shared" ca="1" si="737"/>
        <v>B</v>
      </c>
      <c r="EL203" s="1429" t="str">
        <f t="shared" ca="1" si="737"/>
        <v>B</v>
      </c>
      <c r="EM203" s="1429" t="str">
        <f t="shared" ca="1" si="737"/>
        <v>B</v>
      </c>
      <c r="EN203" s="1429" t="str">
        <f t="shared" ca="1" si="737"/>
        <v>B</v>
      </c>
      <c r="EO203" s="1429" t="str">
        <f t="shared" ca="1" si="739"/>
        <v>B</v>
      </c>
      <c r="EP203" s="1429" t="str">
        <f t="shared" ca="1" si="739"/>
        <v>B</v>
      </c>
      <c r="EQ203" s="1429" t="str">
        <f t="shared" ca="1" si="739"/>
        <v>B</v>
      </c>
      <c r="ER203" s="1429" t="str">
        <f t="shared" ca="1" si="739"/>
        <v>B</v>
      </c>
      <c r="ES203" s="1429" t="str">
        <f t="shared" ca="1" si="739"/>
        <v>B</v>
      </c>
      <c r="ET203" s="1429" t="str">
        <f t="shared" ca="1" si="739"/>
        <v>B</v>
      </c>
      <c r="EU203" s="1429" t="str">
        <f t="shared" ca="1" si="739"/>
        <v>B</v>
      </c>
      <c r="EV203" s="1429" t="str">
        <f t="shared" ca="1" si="739"/>
        <v>B</v>
      </c>
      <c r="EW203" s="1429" t="str">
        <f t="shared" ca="1" si="740"/>
        <v>B</v>
      </c>
      <c r="EX203" s="1429" t="str">
        <f t="shared" ca="1" si="740"/>
        <v>B</v>
      </c>
      <c r="EY203" s="1429" t="str">
        <f t="shared" ca="1" si="740"/>
        <v>B</v>
      </c>
      <c r="EZ203" s="1429" t="str">
        <f t="shared" ca="1" si="740"/>
        <v>B</v>
      </c>
      <c r="FA203" s="1429" t="str">
        <f t="shared" ca="1" si="740"/>
        <v>B</v>
      </c>
      <c r="FB203" s="1429" t="str">
        <f t="shared" ca="1" si="740"/>
        <v>B</v>
      </c>
      <c r="FC203" s="1429" t="str">
        <f t="shared" ca="1" si="740"/>
        <v>B</v>
      </c>
      <c r="FD203" s="1429" t="str">
        <f t="shared" ca="1" si="740"/>
        <v>B</v>
      </c>
      <c r="FE203" s="1429" t="str">
        <f t="shared" ca="1" si="740"/>
        <v>B</v>
      </c>
      <c r="FF203" s="1429" t="str">
        <f t="shared" ca="1" si="740"/>
        <v>B</v>
      </c>
      <c r="FG203" s="1429" t="str">
        <f t="shared" ca="1" si="740"/>
        <v>B</v>
      </c>
      <c r="FH203" s="1429" t="str">
        <f t="shared" ca="1" si="740"/>
        <v>B</v>
      </c>
      <c r="FI203" s="1429" t="str">
        <f t="shared" ca="1" si="740"/>
        <v>B</v>
      </c>
      <c r="FJ203" s="1429" t="str">
        <f t="shared" ca="1" si="740"/>
        <v>B</v>
      </c>
      <c r="FK203" s="1429" t="str">
        <f t="shared" ca="1" si="740"/>
        <v>B</v>
      </c>
      <c r="FL203" s="1429" t="str">
        <f t="shared" ca="1" si="740"/>
        <v>B</v>
      </c>
    </row>
    <row r="204" spans="1:168" x14ac:dyDescent="0.2">
      <c r="A204" s="62" t="str">
        <f t="shared" si="649"/>
        <v>Molochisch</v>
      </c>
      <c r="B204" s="317" t="str">
        <f t="shared" ca="1" si="650"/>
        <v/>
      </c>
      <c r="C204" s="332" t="str">
        <f ca="1">IF(AND(EXACT($F204,""),EXACT($G204,"")),IF(OR(NOT(ISBLANK(D204)),NOT(EXACT(HLOOKUP(RASSEGENE,RASSE,$BN204,FALSE),"")),NOT(EXACT(HLOOKUP(KULTURGENE,KULTUR,$BN204,FALSE),"")),NOT(EXACT(HLOOKUP(PROFGENE,INDIRECT(PROFGEBIET),$BN204,FALSE),"")),
IF(LEN(PROFZWEITE)&lt;1,FALSE,NOT(EXACT(HLOOKUP(Generierung!$D$12,INDIRECT(PROFGEBIET2),$BN204,FALSE),"")))
),"x",""),"")</f>
        <v/>
      </c>
      <c r="D204" s="1110"/>
      <c r="E204" s="325"/>
      <c r="F204" s="388" t="str">
        <f t="shared" ca="1" si="651"/>
        <v/>
      </c>
      <c r="G204" s="388" t="str">
        <f t="shared" ca="1" si="652"/>
        <v/>
      </c>
      <c r="H204" s="389"/>
      <c r="I204" s="1196"/>
      <c r="J204" s="326"/>
      <c r="O204" s="514" t="str">
        <f t="shared" ca="1" si="653"/>
        <v/>
      </c>
      <c r="P204" s="164">
        <f t="shared" ca="1" si="654"/>
        <v>0</v>
      </c>
      <c r="Q204" s="164">
        <f t="shared" ca="1" si="655"/>
        <v>0</v>
      </c>
      <c r="R204" s="164">
        <f t="shared" ca="1" si="656"/>
        <v>0</v>
      </c>
      <c r="S204" s="164">
        <f t="shared" ca="1" si="657"/>
        <v>0</v>
      </c>
      <c r="T204" s="164">
        <f t="shared" ca="1" si="658"/>
        <v>0</v>
      </c>
      <c r="U204" s="164">
        <f t="shared" ca="1" si="659"/>
        <v>0</v>
      </c>
      <c r="V204" s="164">
        <f t="shared" ca="1" si="660"/>
        <v>0</v>
      </c>
      <c r="W204" s="164">
        <f t="shared" ca="1" si="661"/>
        <v>0</v>
      </c>
      <c r="X204" s="164">
        <f t="shared" ca="1" si="662"/>
        <v>0</v>
      </c>
      <c r="Y204" s="164">
        <f t="shared" ca="1" si="663"/>
        <v>0</v>
      </c>
      <c r="Z204" s="164">
        <f t="shared" ca="1" si="664"/>
        <v>0</v>
      </c>
      <c r="AA204" s="164">
        <f t="shared" ca="1" si="665"/>
        <v>0</v>
      </c>
      <c r="AB204" s="164">
        <f t="shared" ca="1" si="666"/>
        <v>0</v>
      </c>
      <c r="AC204" s="164">
        <f t="shared" ca="1" si="667"/>
        <v>0</v>
      </c>
      <c r="AD204" s="164">
        <f t="shared" ca="1" si="668"/>
        <v>0</v>
      </c>
      <c r="AE204" s="164">
        <f t="shared" ca="1" si="669"/>
        <v>0</v>
      </c>
      <c r="AF204" s="164">
        <f t="shared" ca="1" si="670"/>
        <v>0</v>
      </c>
      <c r="AG204" s="164">
        <f t="shared" ca="1" si="671"/>
        <v>0</v>
      </c>
      <c r="AH204" s="164">
        <f t="shared" ca="1" si="672"/>
        <v>0</v>
      </c>
      <c r="AI204" s="164">
        <f t="shared" ca="1" si="673"/>
        <v>0</v>
      </c>
      <c r="AJ204" s="164">
        <f t="shared" ca="1" si="674"/>
        <v>0</v>
      </c>
      <c r="AK204" s="164">
        <f t="shared" ca="1" si="675"/>
        <v>0</v>
      </c>
      <c r="AL204" s="164">
        <f t="shared" si="676"/>
        <v>0</v>
      </c>
      <c r="AM204" s="164">
        <f t="shared" ca="1" si="677"/>
        <v>0</v>
      </c>
      <c r="AN204" s="205"/>
      <c r="AO204" s="154">
        <f t="shared" ca="1" si="678"/>
        <v>0</v>
      </c>
      <c r="AP204" s="154">
        <f t="shared" ca="1" si="679"/>
        <v>0</v>
      </c>
      <c r="AQ204" s="154">
        <f t="shared" ca="1" si="680"/>
        <v>0</v>
      </c>
      <c r="AR204" s="154">
        <f t="shared" ca="1" si="681"/>
        <v>0</v>
      </c>
      <c r="AS204" s="154">
        <f t="shared" ca="1" si="682"/>
        <v>0</v>
      </c>
      <c r="AT204" s="154">
        <f t="shared" ca="1" si="683"/>
        <v>0</v>
      </c>
      <c r="AU204" s="154">
        <f t="shared" ca="1" si="684"/>
        <v>0</v>
      </c>
      <c r="AV204" s="154">
        <f t="shared" ca="1" si="685"/>
        <v>0</v>
      </c>
      <c r="AW204" s="154">
        <f t="shared" ca="1" si="686"/>
        <v>0</v>
      </c>
      <c r="AX204" s="154">
        <f t="shared" ca="1" si="687"/>
        <v>0</v>
      </c>
      <c r="AY204" s="154">
        <f t="shared" ca="1" si="688"/>
        <v>0</v>
      </c>
      <c r="AZ204" s="154">
        <f t="shared" ca="1" si="689"/>
        <v>0</v>
      </c>
      <c r="BA204" s="154">
        <f t="shared" ca="1" si="690"/>
        <v>0</v>
      </c>
      <c r="BB204" s="154">
        <f t="shared" ca="1" si="691"/>
        <v>0</v>
      </c>
      <c r="BC204" s="154">
        <f t="shared" ca="1" si="692"/>
        <v>0</v>
      </c>
      <c r="BD204" s="154">
        <f t="shared" ca="1" si="693"/>
        <v>0</v>
      </c>
      <c r="BE204" s="154">
        <f t="shared" ca="1" si="694"/>
        <v>0</v>
      </c>
      <c r="BF204" s="154">
        <f t="shared" ca="1" si="695"/>
        <v>0</v>
      </c>
      <c r="BG204" s="154">
        <f t="shared" ca="1" si="696"/>
        <v>0</v>
      </c>
      <c r="BH204" s="154">
        <f t="shared" ca="1" si="697"/>
        <v>0</v>
      </c>
      <c r="BI204" s="154">
        <f t="shared" ca="1" si="698"/>
        <v>0</v>
      </c>
      <c r="BJ204" s="154">
        <f t="shared" ca="1" si="699"/>
        <v>0</v>
      </c>
      <c r="BK204" s="154">
        <f t="shared" ca="1" si="700"/>
        <v>0</v>
      </c>
      <c r="BL204" s="154">
        <f t="shared" ca="1" si="701"/>
        <v>0</v>
      </c>
      <c r="BM204" s="154">
        <f t="shared" ca="1" si="702"/>
        <v>0</v>
      </c>
      <c r="BN204" s="1198">
        <f t="shared" si="719"/>
        <v>209</v>
      </c>
      <c r="BO204" s="1197" t="str">
        <f t="shared" si="703"/>
        <v>Molochisch</v>
      </c>
      <c r="BP204" s="1197" t="str">
        <f t="shared" ca="1" si="704"/>
        <v>B</v>
      </c>
      <c r="BQ204" s="1197">
        <f t="shared" si="727"/>
        <v>28</v>
      </c>
      <c r="BR204" s="1198" t="str">
        <f t="shared" ca="1" si="720"/>
        <v/>
      </c>
      <c r="BS204" s="1198" t="s">
        <v>3868</v>
      </c>
      <c r="BT204" s="78"/>
      <c r="BU204" s="78"/>
      <c r="BV204" s="78"/>
      <c r="BW204" s="1197">
        <f t="shared" ca="1" si="721"/>
        <v>0</v>
      </c>
      <c r="BX204" s="1197">
        <f t="shared" ca="1" si="705"/>
        <v>0</v>
      </c>
      <c r="BY204" s="1197">
        <f t="shared" ca="1" si="706"/>
        <v>0</v>
      </c>
      <c r="BZ204" s="1081">
        <f t="shared" ca="1" si="707"/>
        <v>0</v>
      </c>
      <c r="CA204" s="1081">
        <f t="shared" ca="1" si="708"/>
        <v>0</v>
      </c>
      <c r="CB204" s="1081">
        <f t="shared" ca="1" si="709"/>
        <v>65</v>
      </c>
      <c r="CC204" s="1081">
        <f t="shared" ca="1" si="710"/>
        <v>66</v>
      </c>
      <c r="CD204" s="1081">
        <f t="shared" si="738"/>
        <v>0</v>
      </c>
      <c r="CE204" s="1081">
        <f t="shared" ca="1" si="711"/>
        <v>1</v>
      </c>
      <c r="CF204" s="1081">
        <f t="shared" ca="1" si="722"/>
        <v>0</v>
      </c>
      <c r="CG204" s="1198" t="str">
        <f t="shared" si="712"/>
        <v>Molochisch</v>
      </c>
      <c r="CH204" s="1198" t="str">
        <f t="shared" ca="1" si="713"/>
        <v/>
      </c>
      <c r="CI204" s="1198"/>
      <c r="CJ204" s="1198"/>
      <c r="CK204" s="1198" t="str">
        <f t="shared" ca="1" si="723"/>
        <v/>
      </c>
      <c r="CL204" s="1198" t="str">
        <f t="shared" ca="1" si="724"/>
        <v/>
      </c>
      <c r="CM204" s="78"/>
      <c r="CN204" s="1081">
        <f t="shared" ca="1" si="725"/>
        <v>0</v>
      </c>
      <c r="CO204" s="1081">
        <f t="shared" ca="1" si="714"/>
        <v>0</v>
      </c>
      <c r="CP204" s="1081">
        <f t="shared" ca="1" si="726"/>
        <v>0</v>
      </c>
      <c r="DJ204" s="301" t="str">
        <f t="shared" ca="1" si="735"/>
        <v>A</v>
      </c>
      <c r="DK204" s="301" t="str">
        <f t="shared" ca="1" si="735"/>
        <v>A</v>
      </c>
      <c r="DL204" s="301" t="str">
        <f t="shared" ca="1" si="735"/>
        <v>A</v>
      </c>
      <c r="DM204" s="301" t="str">
        <f t="shared" ca="1" si="735"/>
        <v>A</v>
      </c>
      <c r="DN204" s="301" t="str">
        <f t="shared" ca="1" si="735"/>
        <v>A</v>
      </c>
      <c r="DO204" s="301" t="str">
        <f t="shared" ca="1" si="735"/>
        <v>A</v>
      </c>
      <c r="DP204" s="301" t="str">
        <f t="shared" ca="1" si="735"/>
        <v>A</v>
      </c>
      <c r="DQ204" s="301" t="str">
        <f t="shared" ca="1" si="735"/>
        <v>A</v>
      </c>
      <c r="DR204" s="301" t="str">
        <f t="shared" ca="1" si="735"/>
        <v>A</v>
      </c>
      <c r="DS204" s="301" t="str">
        <f t="shared" ca="1" si="735"/>
        <v>A</v>
      </c>
      <c r="DT204" s="301" t="str">
        <f t="shared" ca="1" si="736"/>
        <v>A</v>
      </c>
      <c r="DU204" s="301" t="str">
        <f t="shared" ca="1" si="736"/>
        <v>A</v>
      </c>
      <c r="DV204" s="301" t="str">
        <f t="shared" ca="1" si="736"/>
        <v>A</v>
      </c>
      <c r="DW204" s="301" t="str">
        <f t="shared" ca="1" si="736"/>
        <v>A</v>
      </c>
      <c r="DX204" s="301" t="str">
        <f t="shared" ca="1" si="736"/>
        <v>A</v>
      </c>
      <c r="DY204" s="301" t="str">
        <f t="shared" ca="1" si="736"/>
        <v>A</v>
      </c>
      <c r="DZ204" s="301" t="str">
        <f t="shared" ca="1" si="736"/>
        <v>A</v>
      </c>
      <c r="EA204" s="301" t="str">
        <f t="shared" ca="1" si="736"/>
        <v>A</v>
      </c>
      <c r="EB204" s="301" t="str">
        <f t="shared" ca="1" si="736"/>
        <v>A</v>
      </c>
      <c r="EC204" s="301" t="str">
        <f t="shared" ca="1" si="736"/>
        <v>A</v>
      </c>
      <c r="ED204" s="301" t="str">
        <f t="shared" ca="1" si="736"/>
        <v>A</v>
      </c>
      <c r="EE204" s="301" t="str">
        <f t="shared" ca="1" si="736"/>
        <v>A</v>
      </c>
      <c r="EF204" s="301">
        <f t="shared" si="717"/>
        <v>0</v>
      </c>
      <c r="EG204" s="1426" t="str">
        <f t="shared" ca="1" si="737"/>
        <v>B</v>
      </c>
      <c r="EH204" s="1429" t="str">
        <f t="shared" ca="1" si="737"/>
        <v>B</v>
      </c>
      <c r="EI204" s="1429" t="str">
        <f t="shared" ca="1" si="737"/>
        <v>B</v>
      </c>
      <c r="EJ204" s="1429" t="str">
        <f t="shared" ca="1" si="737"/>
        <v>B</v>
      </c>
      <c r="EK204" s="1429" t="str">
        <f t="shared" ca="1" si="737"/>
        <v>B</v>
      </c>
      <c r="EL204" s="1429" t="str">
        <f t="shared" ca="1" si="737"/>
        <v>B</v>
      </c>
      <c r="EM204" s="1429" t="str">
        <f t="shared" ca="1" si="737"/>
        <v>B</v>
      </c>
      <c r="EN204" s="1429" t="str">
        <f t="shared" ca="1" si="737"/>
        <v>B</v>
      </c>
      <c r="EO204" s="1429" t="str">
        <f t="shared" ca="1" si="739"/>
        <v>B</v>
      </c>
      <c r="EP204" s="1429" t="str">
        <f t="shared" ca="1" si="739"/>
        <v>B</v>
      </c>
      <c r="EQ204" s="1429" t="str">
        <f t="shared" ca="1" si="739"/>
        <v>B</v>
      </c>
      <c r="ER204" s="1429" t="str">
        <f t="shared" ca="1" si="739"/>
        <v>B</v>
      </c>
      <c r="ES204" s="1429" t="str">
        <f t="shared" ca="1" si="739"/>
        <v>B</v>
      </c>
      <c r="ET204" s="1429" t="str">
        <f t="shared" ca="1" si="739"/>
        <v>B</v>
      </c>
      <c r="EU204" s="1429" t="str">
        <f t="shared" ca="1" si="739"/>
        <v>B</v>
      </c>
      <c r="EV204" s="1429" t="str">
        <f t="shared" ca="1" si="739"/>
        <v>B</v>
      </c>
      <c r="EW204" s="1429" t="str">
        <f t="shared" ca="1" si="740"/>
        <v>B</v>
      </c>
      <c r="EX204" s="1429" t="str">
        <f t="shared" ca="1" si="740"/>
        <v>B</v>
      </c>
      <c r="EY204" s="1429" t="str">
        <f t="shared" ca="1" si="740"/>
        <v>B</v>
      </c>
      <c r="EZ204" s="1429" t="str">
        <f t="shared" ca="1" si="740"/>
        <v>B</v>
      </c>
      <c r="FA204" s="1429" t="str">
        <f t="shared" ca="1" si="740"/>
        <v>B</v>
      </c>
      <c r="FB204" s="1429" t="str">
        <f t="shared" ca="1" si="740"/>
        <v>B</v>
      </c>
      <c r="FC204" s="1429" t="str">
        <f t="shared" ca="1" si="740"/>
        <v>B</v>
      </c>
      <c r="FD204" s="1429" t="str">
        <f t="shared" ca="1" si="740"/>
        <v>B</v>
      </c>
      <c r="FE204" s="1429" t="str">
        <f t="shared" ca="1" si="740"/>
        <v>B</v>
      </c>
      <c r="FF204" s="1429" t="str">
        <f t="shared" ca="1" si="740"/>
        <v>B</v>
      </c>
      <c r="FG204" s="1429" t="str">
        <f t="shared" ca="1" si="740"/>
        <v>B</v>
      </c>
      <c r="FH204" s="1429" t="str">
        <f t="shared" ca="1" si="740"/>
        <v>B</v>
      </c>
      <c r="FI204" s="1429" t="str">
        <f t="shared" ca="1" si="740"/>
        <v>B</v>
      </c>
      <c r="FJ204" s="1429" t="str">
        <f t="shared" ca="1" si="740"/>
        <v>B</v>
      </c>
      <c r="FK204" s="1429" t="str">
        <f t="shared" ca="1" si="740"/>
        <v>B</v>
      </c>
      <c r="FL204" s="1429" t="str">
        <f t="shared" ca="1" si="740"/>
        <v>B</v>
      </c>
    </row>
    <row r="205" spans="1:168" x14ac:dyDescent="0.2">
      <c r="A205" s="62" t="str">
        <f t="shared" si="649"/>
        <v>Neckergesang</v>
      </c>
      <c r="B205" s="317" t="str">
        <f t="shared" ca="1" si="650"/>
        <v/>
      </c>
      <c r="C205" s="332" t="str">
        <f ca="1">IF(AND(EXACT($F205,""),EXACT($G205,"")),IF(OR(NOT(ISBLANK(D205)),NOT(EXACT(HLOOKUP(RASSEGENE,RASSE,$BN205,FALSE),"")),NOT(EXACT(HLOOKUP(KULTURGENE,KULTUR,$BN205,FALSE),"")),NOT(EXACT(HLOOKUP(PROFGENE,INDIRECT(PROFGEBIET),$BN205,FALSE),"")),
IF(LEN(PROFZWEITE)&lt;1,FALSE,NOT(EXACT(HLOOKUP(Generierung!$D$12,INDIRECT(PROFGEBIET2),$BN205,FALSE),"")))
),"x",""),"")</f>
        <v/>
      </c>
      <c r="D205" s="1110"/>
      <c r="E205" s="325"/>
      <c r="F205" s="388" t="str">
        <f t="shared" ca="1" si="651"/>
        <v/>
      </c>
      <c r="G205" s="388" t="str">
        <f t="shared" ca="1" si="652"/>
        <v/>
      </c>
      <c r="H205" s="389"/>
      <c r="I205" s="1196"/>
      <c r="J205" s="326"/>
      <c r="O205" s="514" t="str">
        <f t="shared" ca="1" si="653"/>
        <v/>
      </c>
      <c r="P205" s="164">
        <f t="shared" ca="1" si="654"/>
        <v>0</v>
      </c>
      <c r="Q205" s="164">
        <f t="shared" ca="1" si="655"/>
        <v>0</v>
      </c>
      <c r="R205" s="164">
        <f t="shared" ca="1" si="656"/>
        <v>0</v>
      </c>
      <c r="S205" s="164">
        <f t="shared" ca="1" si="657"/>
        <v>0</v>
      </c>
      <c r="T205" s="164">
        <f t="shared" ca="1" si="658"/>
        <v>0</v>
      </c>
      <c r="U205" s="164">
        <f t="shared" ca="1" si="659"/>
        <v>0</v>
      </c>
      <c r="V205" s="164">
        <f t="shared" ca="1" si="660"/>
        <v>0</v>
      </c>
      <c r="W205" s="164">
        <f t="shared" ca="1" si="661"/>
        <v>0</v>
      </c>
      <c r="X205" s="164">
        <f t="shared" ca="1" si="662"/>
        <v>0</v>
      </c>
      <c r="Y205" s="164">
        <f t="shared" ca="1" si="663"/>
        <v>0</v>
      </c>
      <c r="Z205" s="164">
        <f t="shared" ca="1" si="664"/>
        <v>0</v>
      </c>
      <c r="AA205" s="164">
        <f t="shared" ca="1" si="665"/>
        <v>0</v>
      </c>
      <c r="AB205" s="164">
        <f t="shared" ca="1" si="666"/>
        <v>0</v>
      </c>
      <c r="AC205" s="164">
        <f t="shared" ca="1" si="667"/>
        <v>0</v>
      </c>
      <c r="AD205" s="164">
        <f t="shared" ca="1" si="668"/>
        <v>0</v>
      </c>
      <c r="AE205" s="164">
        <f t="shared" ca="1" si="669"/>
        <v>0</v>
      </c>
      <c r="AF205" s="164">
        <f t="shared" ca="1" si="670"/>
        <v>0</v>
      </c>
      <c r="AG205" s="164">
        <f t="shared" ca="1" si="671"/>
        <v>0</v>
      </c>
      <c r="AH205" s="164">
        <f t="shared" ca="1" si="672"/>
        <v>0</v>
      </c>
      <c r="AI205" s="164">
        <f t="shared" ca="1" si="673"/>
        <v>0</v>
      </c>
      <c r="AJ205" s="164">
        <f t="shared" ca="1" si="674"/>
        <v>0</v>
      </c>
      <c r="AK205" s="164">
        <f t="shared" ca="1" si="675"/>
        <v>0</v>
      </c>
      <c r="AL205" s="164">
        <f t="shared" si="676"/>
        <v>0</v>
      </c>
      <c r="AM205" s="164">
        <f t="shared" ca="1" si="677"/>
        <v>0</v>
      </c>
      <c r="AN205" s="205"/>
      <c r="AO205" s="154">
        <f t="shared" ca="1" si="678"/>
        <v>0</v>
      </c>
      <c r="AP205" s="154">
        <f t="shared" ca="1" si="679"/>
        <v>0</v>
      </c>
      <c r="AQ205" s="154">
        <f t="shared" ca="1" si="680"/>
        <v>0</v>
      </c>
      <c r="AR205" s="154">
        <f t="shared" ca="1" si="681"/>
        <v>0</v>
      </c>
      <c r="AS205" s="154">
        <f t="shared" ca="1" si="682"/>
        <v>0</v>
      </c>
      <c r="AT205" s="154">
        <f t="shared" ca="1" si="683"/>
        <v>0</v>
      </c>
      <c r="AU205" s="154">
        <f t="shared" ca="1" si="684"/>
        <v>0</v>
      </c>
      <c r="AV205" s="154">
        <f t="shared" ca="1" si="685"/>
        <v>0</v>
      </c>
      <c r="AW205" s="154">
        <f t="shared" ca="1" si="686"/>
        <v>0</v>
      </c>
      <c r="AX205" s="154">
        <f t="shared" ca="1" si="687"/>
        <v>0</v>
      </c>
      <c r="AY205" s="154">
        <f t="shared" ca="1" si="688"/>
        <v>0</v>
      </c>
      <c r="AZ205" s="154">
        <f t="shared" ca="1" si="689"/>
        <v>0</v>
      </c>
      <c r="BA205" s="154">
        <f t="shared" ca="1" si="690"/>
        <v>0</v>
      </c>
      <c r="BB205" s="154">
        <f t="shared" ca="1" si="691"/>
        <v>0</v>
      </c>
      <c r="BC205" s="154">
        <f t="shared" ca="1" si="692"/>
        <v>0</v>
      </c>
      <c r="BD205" s="154">
        <f t="shared" ca="1" si="693"/>
        <v>0</v>
      </c>
      <c r="BE205" s="154">
        <f t="shared" ca="1" si="694"/>
        <v>0</v>
      </c>
      <c r="BF205" s="154">
        <f t="shared" ca="1" si="695"/>
        <v>0</v>
      </c>
      <c r="BG205" s="154">
        <f t="shared" ca="1" si="696"/>
        <v>0</v>
      </c>
      <c r="BH205" s="154">
        <f t="shared" ca="1" si="697"/>
        <v>0</v>
      </c>
      <c r="BI205" s="154">
        <f t="shared" ca="1" si="698"/>
        <v>0</v>
      </c>
      <c r="BJ205" s="154">
        <f t="shared" ca="1" si="699"/>
        <v>0</v>
      </c>
      <c r="BK205" s="154">
        <f t="shared" ca="1" si="700"/>
        <v>0</v>
      </c>
      <c r="BL205" s="154">
        <f t="shared" ca="1" si="701"/>
        <v>0</v>
      </c>
      <c r="BM205" s="154">
        <f t="shared" ca="1" si="702"/>
        <v>0</v>
      </c>
      <c r="BN205" s="1198">
        <f t="shared" si="719"/>
        <v>210</v>
      </c>
      <c r="BO205" s="1197" t="str">
        <f t="shared" si="703"/>
        <v>Neckergesang</v>
      </c>
      <c r="BP205" s="1197" t="str">
        <f t="shared" ca="1" si="704"/>
        <v>B</v>
      </c>
      <c r="BQ205" s="1197">
        <f t="shared" si="727"/>
        <v>29</v>
      </c>
      <c r="BR205" s="1198" t="str">
        <f t="shared" ca="1" si="720"/>
        <v/>
      </c>
      <c r="BS205" s="1198" t="s">
        <v>3869</v>
      </c>
      <c r="BT205" s="78"/>
      <c r="BU205" s="78"/>
      <c r="BV205" s="78"/>
      <c r="BW205" s="1197">
        <f t="shared" ca="1" si="721"/>
        <v>0</v>
      </c>
      <c r="BX205" s="1197">
        <f t="shared" ca="1" si="705"/>
        <v>0</v>
      </c>
      <c r="BY205" s="1197">
        <f t="shared" ca="1" si="706"/>
        <v>0</v>
      </c>
      <c r="BZ205" s="1081">
        <f t="shared" ca="1" si="707"/>
        <v>0</v>
      </c>
      <c r="CA205" s="1081">
        <f t="shared" ca="1" si="708"/>
        <v>0</v>
      </c>
      <c r="CB205" s="1081">
        <f t="shared" ca="1" si="709"/>
        <v>65</v>
      </c>
      <c r="CC205" s="1081">
        <f t="shared" ca="1" si="710"/>
        <v>66</v>
      </c>
      <c r="CD205" s="1081">
        <f t="shared" si="738"/>
        <v>0</v>
      </c>
      <c r="CE205" s="1081">
        <f t="shared" ca="1" si="711"/>
        <v>1</v>
      </c>
      <c r="CF205" s="1081">
        <f t="shared" ca="1" si="722"/>
        <v>0</v>
      </c>
      <c r="CG205" s="1198" t="str">
        <f t="shared" si="712"/>
        <v>Neckergesang</v>
      </c>
      <c r="CH205" s="1198" t="str">
        <f t="shared" ca="1" si="713"/>
        <v/>
      </c>
      <c r="CI205" s="1198"/>
      <c r="CJ205" s="1198"/>
      <c r="CK205" s="1198" t="str">
        <f t="shared" ca="1" si="723"/>
        <v/>
      </c>
      <c r="CL205" s="1198" t="str">
        <f t="shared" ca="1" si="724"/>
        <v/>
      </c>
      <c r="CM205" s="78"/>
      <c r="CN205" s="1081">
        <f t="shared" ca="1" si="725"/>
        <v>0</v>
      </c>
      <c r="CO205" s="1081">
        <f t="shared" ca="1" si="714"/>
        <v>0</v>
      </c>
      <c r="CP205" s="1081">
        <f t="shared" ca="1" si="726"/>
        <v>0</v>
      </c>
      <c r="DJ205" s="301" t="str">
        <f t="shared" ca="1" si="735"/>
        <v>A</v>
      </c>
      <c r="DK205" s="301" t="str">
        <f t="shared" ca="1" si="735"/>
        <v>A</v>
      </c>
      <c r="DL205" s="301" t="str">
        <f t="shared" ca="1" si="735"/>
        <v>A</v>
      </c>
      <c r="DM205" s="301" t="str">
        <f t="shared" ca="1" si="735"/>
        <v>A</v>
      </c>
      <c r="DN205" s="301" t="str">
        <f t="shared" ca="1" si="735"/>
        <v>A</v>
      </c>
      <c r="DO205" s="301" t="str">
        <f t="shared" ca="1" si="735"/>
        <v>A</v>
      </c>
      <c r="DP205" s="301" t="str">
        <f t="shared" ca="1" si="735"/>
        <v>A</v>
      </c>
      <c r="DQ205" s="301" t="str">
        <f t="shared" ca="1" si="735"/>
        <v>A</v>
      </c>
      <c r="DR205" s="301" t="str">
        <f t="shared" ca="1" si="735"/>
        <v>A</v>
      </c>
      <c r="DS205" s="301" t="str">
        <f t="shared" ca="1" si="735"/>
        <v>A</v>
      </c>
      <c r="DT205" s="301" t="str">
        <f t="shared" ca="1" si="736"/>
        <v>A</v>
      </c>
      <c r="DU205" s="301" t="str">
        <f t="shared" ca="1" si="736"/>
        <v>A</v>
      </c>
      <c r="DV205" s="301" t="str">
        <f t="shared" ca="1" si="736"/>
        <v>A</v>
      </c>
      <c r="DW205" s="301" t="str">
        <f t="shared" ca="1" si="736"/>
        <v>A</v>
      </c>
      <c r="DX205" s="301" t="str">
        <f t="shared" ca="1" si="736"/>
        <v>A</v>
      </c>
      <c r="DY205" s="301" t="str">
        <f t="shared" ca="1" si="736"/>
        <v>A</v>
      </c>
      <c r="DZ205" s="301" t="str">
        <f t="shared" ca="1" si="736"/>
        <v>A</v>
      </c>
      <c r="EA205" s="301" t="str">
        <f t="shared" ca="1" si="736"/>
        <v>A</v>
      </c>
      <c r="EB205" s="301" t="str">
        <f t="shared" ca="1" si="736"/>
        <v>A</v>
      </c>
      <c r="EC205" s="301" t="str">
        <f t="shared" ca="1" si="736"/>
        <v>A</v>
      </c>
      <c r="ED205" s="301" t="str">
        <f t="shared" ca="1" si="736"/>
        <v>A</v>
      </c>
      <c r="EE205" s="301" t="str">
        <f t="shared" ca="1" si="736"/>
        <v>A</v>
      </c>
      <c r="EF205" s="301">
        <f t="shared" si="717"/>
        <v>0</v>
      </c>
      <c r="EG205" s="1426" t="str">
        <f t="shared" ca="1" si="737"/>
        <v>B</v>
      </c>
      <c r="EH205" s="1429" t="str">
        <f t="shared" ca="1" si="737"/>
        <v>B</v>
      </c>
      <c r="EI205" s="1429" t="str">
        <f t="shared" ca="1" si="737"/>
        <v>B</v>
      </c>
      <c r="EJ205" s="1429" t="str">
        <f t="shared" ca="1" si="737"/>
        <v>B</v>
      </c>
      <c r="EK205" s="1429" t="str">
        <f t="shared" ca="1" si="737"/>
        <v>B</v>
      </c>
      <c r="EL205" s="1429" t="str">
        <f t="shared" ca="1" si="737"/>
        <v>B</v>
      </c>
      <c r="EM205" s="1429" t="str">
        <f t="shared" ca="1" si="737"/>
        <v>B</v>
      </c>
      <c r="EN205" s="1429" t="str">
        <f t="shared" ca="1" si="737"/>
        <v>B</v>
      </c>
      <c r="EO205" s="1429" t="str">
        <f t="shared" ca="1" si="739"/>
        <v>B</v>
      </c>
      <c r="EP205" s="1429" t="str">
        <f t="shared" ca="1" si="739"/>
        <v>B</v>
      </c>
      <c r="EQ205" s="1429" t="str">
        <f t="shared" ca="1" si="739"/>
        <v>B</v>
      </c>
      <c r="ER205" s="1429" t="str">
        <f t="shared" ca="1" si="739"/>
        <v>B</v>
      </c>
      <c r="ES205" s="1429" t="str">
        <f t="shared" ca="1" si="739"/>
        <v>B</v>
      </c>
      <c r="ET205" s="1429" t="str">
        <f t="shared" ca="1" si="739"/>
        <v>B</v>
      </c>
      <c r="EU205" s="1429" t="str">
        <f t="shared" ca="1" si="739"/>
        <v>B</v>
      </c>
      <c r="EV205" s="1429" t="str">
        <f t="shared" ca="1" si="739"/>
        <v>B</v>
      </c>
      <c r="EW205" s="1429" t="str">
        <f t="shared" ca="1" si="740"/>
        <v>B</v>
      </c>
      <c r="EX205" s="1429" t="str">
        <f t="shared" ca="1" si="740"/>
        <v>B</v>
      </c>
      <c r="EY205" s="1429" t="str">
        <f t="shared" ca="1" si="740"/>
        <v>B</v>
      </c>
      <c r="EZ205" s="1429" t="str">
        <f t="shared" ca="1" si="740"/>
        <v>B</v>
      </c>
      <c r="FA205" s="1429" t="str">
        <f t="shared" ca="1" si="740"/>
        <v>B</v>
      </c>
      <c r="FB205" s="1429" t="str">
        <f t="shared" ca="1" si="740"/>
        <v>B</v>
      </c>
      <c r="FC205" s="1429" t="str">
        <f t="shared" ca="1" si="740"/>
        <v>B</v>
      </c>
      <c r="FD205" s="1429" t="str">
        <f t="shared" ca="1" si="740"/>
        <v>B</v>
      </c>
      <c r="FE205" s="1429" t="str">
        <f t="shared" ca="1" si="740"/>
        <v>B</v>
      </c>
      <c r="FF205" s="1429" t="str">
        <f t="shared" ca="1" si="740"/>
        <v>B</v>
      </c>
      <c r="FG205" s="1429" t="str">
        <f t="shared" ca="1" si="740"/>
        <v>B</v>
      </c>
      <c r="FH205" s="1429" t="str">
        <f t="shared" ca="1" si="740"/>
        <v>B</v>
      </c>
      <c r="FI205" s="1429" t="str">
        <f t="shared" ca="1" si="740"/>
        <v>B</v>
      </c>
      <c r="FJ205" s="1429" t="str">
        <f t="shared" ca="1" si="740"/>
        <v>B</v>
      </c>
      <c r="FK205" s="1429" t="str">
        <f t="shared" ca="1" si="740"/>
        <v>B</v>
      </c>
      <c r="FL205" s="1429" t="str">
        <f t="shared" ca="1" si="740"/>
        <v>B</v>
      </c>
    </row>
    <row r="206" spans="1:168" x14ac:dyDescent="0.2">
      <c r="A206" s="62" t="str">
        <f t="shared" si="649"/>
        <v>Nujuka ('Nivesisch')</v>
      </c>
      <c r="B206" s="317" t="str">
        <f t="shared" ca="1" si="650"/>
        <v/>
      </c>
      <c r="C206" s="332" t="str">
        <f ca="1">IF(AND(EXACT($F206,""),EXACT($G206,"")),IF(OR(NOT(ISBLANK(D206)),NOT(EXACT(HLOOKUP(RASSEGENE,RASSE,$BN206,FALSE),"")),NOT(EXACT(HLOOKUP(KULTURGENE,KULTUR,$BN206,FALSE),"")),NOT(EXACT(HLOOKUP(PROFGENE,INDIRECT(PROFGEBIET),$BN206,FALSE),"")),
IF(LEN(PROFZWEITE)&lt;1,FALSE,NOT(EXACT(HLOOKUP(Generierung!$D$12,INDIRECT(PROFGEBIET2),$BN206,FALSE),"")))
),"x",""),"")</f>
        <v/>
      </c>
      <c r="D206" s="1110"/>
      <c r="E206" s="325"/>
      <c r="F206" s="388" t="str">
        <f t="shared" ca="1" si="651"/>
        <v/>
      </c>
      <c r="G206" s="388" t="str">
        <f t="shared" ca="1" si="652"/>
        <v/>
      </c>
      <c r="H206" s="389"/>
      <c r="I206" s="1196"/>
      <c r="J206" s="326"/>
      <c r="O206" s="514" t="str">
        <f t="shared" ca="1" si="653"/>
        <v/>
      </c>
      <c r="P206" s="164">
        <f t="shared" ca="1" si="654"/>
        <v>0</v>
      </c>
      <c r="Q206" s="164">
        <f t="shared" ca="1" si="655"/>
        <v>0</v>
      </c>
      <c r="R206" s="164">
        <f t="shared" ca="1" si="656"/>
        <v>0</v>
      </c>
      <c r="S206" s="164">
        <f t="shared" ca="1" si="657"/>
        <v>0</v>
      </c>
      <c r="T206" s="164">
        <f t="shared" ca="1" si="658"/>
        <v>0</v>
      </c>
      <c r="U206" s="164">
        <f t="shared" ca="1" si="659"/>
        <v>0</v>
      </c>
      <c r="V206" s="164">
        <f t="shared" ca="1" si="660"/>
        <v>0</v>
      </c>
      <c r="W206" s="164">
        <f t="shared" ca="1" si="661"/>
        <v>0</v>
      </c>
      <c r="X206" s="164">
        <f t="shared" ca="1" si="662"/>
        <v>0</v>
      </c>
      <c r="Y206" s="164">
        <f t="shared" ca="1" si="663"/>
        <v>0</v>
      </c>
      <c r="Z206" s="164">
        <f t="shared" ca="1" si="664"/>
        <v>0</v>
      </c>
      <c r="AA206" s="164">
        <f t="shared" ca="1" si="665"/>
        <v>0</v>
      </c>
      <c r="AB206" s="164">
        <f t="shared" ca="1" si="666"/>
        <v>0</v>
      </c>
      <c r="AC206" s="164">
        <f t="shared" ca="1" si="667"/>
        <v>0</v>
      </c>
      <c r="AD206" s="164">
        <f t="shared" ca="1" si="668"/>
        <v>0</v>
      </c>
      <c r="AE206" s="164">
        <f t="shared" ca="1" si="669"/>
        <v>0</v>
      </c>
      <c r="AF206" s="164">
        <f t="shared" ca="1" si="670"/>
        <v>0</v>
      </c>
      <c r="AG206" s="164">
        <f t="shared" ca="1" si="671"/>
        <v>0</v>
      </c>
      <c r="AH206" s="164">
        <f t="shared" ca="1" si="672"/>
        <v>0</v>
      </c>
      <c r="AI206" s="164">
        <f t="shared" ca="1" si="673"/>
        <v>0</v>
      </c>
      <c r="AJ206" s="164">
        <f t="shared" ca="1" si="674"/>
        <v>0</v>
      </c>
      <c r="AK206" s="164">
        <f t="shared" ca="1" si="675"/>
        <v>0</v>
      </c>
      <c r="AL206" s="164">
        <f t="shared" si="676"/>
        <v>0</v>
      </c>
      <c r="AM206" s="164">
        <f t="shared" ca="1" si="677"/>
        <v>0</v>
      </c>
      <c r="AN206" s="205"/>
      <c r="AO206" s="154">
        <f t="shared" ca="1" si="678"/>
        <v>0</v>
      </c>
      <c r="AP206" s="154">
        <f t="shared" ca="1" si="679"/>
        <v>0</v>
      </c>
      <c r="AQ206" s="154">
        <f t="shared" ca="1" si="680"/>
        <v>0</v>
      </c>
      <c r="AR206" s="154">
        <f t="shared" ca="1" si="681"/>
        <v>0</v>
      </c>
      <c r="AS206" s="154">
        <f t="shared" ca="1" si="682"/>
        <v>0</v>
      </c>
      <c r="AT206" s="154">
        <f t="shared" ca="1" si="683"/>
        <v>0</v>
      </c>
      <c r="AU206" s="154">
        <f t="shared" ca="1" si="684"/>
        <v>0</v>
      </c>
      <c r="AV206" s="154">
        <f t="shared" ca="1" si="685"/>
        <v>0</v>
      </c>
      <c r="AW206" s="154">
        <f t="shared" ca="1" si="686"/>
        <v>0</v>
      </c>
      <c r="AX206" s="154">
        <f t="shared" ca="1" si="687"/>
        <v>0</v>
      </c>
      <c r="AY206" s="154">
        <f t="shared" ca="1" si="688"/>
        <v>0</v>
      </c>
      <c r="AZ206" s="154">
        <f t="shared" ca="1" si="689"/>
        <v>0</v>
      </c>
      <c r="BA206" s="154">
        <f t="shared" ca="1" si="690"/>
        <v>0</v>
      </c>
      <c r="BB206" s="154">
        <f t="shared" ca="1" si="691"/>
        <v>0</v>
      </c>
      <c r="BC206" s="154">
        <f t="shared" ca="1" si="692"/>
        <v>0</v>
      </c>
      <c r="BD206" s="154">
        <f t="shared" ca="1" si="693"/>
        <v>0</v>
      </c>
      <c r="BE206" s="154">
        <f t="shared" ca="1" si="694"/>
        <v>0</v>
      </c>
      <c r="BF206" s="154">
        <f t="shared" ca="1" si="695"/>
        <v>0</v>
      </c>
      <c r="BG206" s="154">
        <f t="shared" ca="1" si="696"/>
        <v>0</v>
      </c>
      <c r="BH206" s="154">
        <f t="shared" ca="1" si="697"/>
        <v>0</v>
      </c>
      <c r="BI206" s="154">
        <f t="shared" ca="1" si="698"/>
        <v>0</v>
      </c>
      <c r="BJ206" s="154">
        <f t="shared" ca="1" si="699"/>
        <v>0</v>
      </c>
      <c r="BK206" s="154">
        <f t="shared" ca="1" si="700"/>
        <v>0</v>
      </c>
      <c r="BL206" s="154">
        <f t="shared" ca="1" si="701"/>
        <v>0</v>
      </c>
      <c r="BM206" s="154">
        <f t="shared" ca="1" si="702"/>
        <v>0</v>
      </c>
      <c r="BN206" s="1198">
        <f t="shared" si="719"/>
        <v>211</v>
      </c>
      <c r="BO206" s="1197" t="str">
        <f t="shared" si="703"/>
        <v>Nujuka ('Nivesisch')</v>
      </c>
      <c r="BP206" s="1197" t="str">
        <f t="shared" ca="1" si="704"/>
        <v>B</v>
      </c>
      <c r="BQ206" s="1197">
        <f t="shared" si="727"/>
        <v>30</v>
      </c>
      <c r="BR206" s="1198" t="str">
        <f t="shared" ca="1" si="720"/>
        <v/>
      </c>
      <c r="BS206" s="1198" t="s">
        <v>3880</v>
      </c>
      <c r="BT206" s="78"/>
      <c r="BU206" s="78"/>
      <c r="BV206" s="78"/>
      <c r="BW206" s="1197">
        <f t="shared" ca="1" si="721"/>
        <v>0</v>
      </c>
      <c r="BX206" s="1197">
        <f t="shared" ca="1" si="705"/>
        <v>0</v>
      </c>
      <c r="BY206" s="1197">
        <f t="shared" ca="1" si="706"/>
        <v>0</v>
      </c>
      <c r="BZ206" s="1081">
        <f t="shared" ca="1" si="707"/>
        <v>0</v>
      </c>
      <c r="CA206" s="1081">
        <f t="shared" ca="1" si="708"/>
        <v>0</v>
      </c>
      <c r="CB206" s="1081">
        <f t="shared" ca="1" si="709"/>
        <v>65</v>
      </c>
      <c r="CC206" s="1081">
        <f t="shared" ca="1" si="710"/>
        <v>66</v>
      </c>
      <c r="CD206" s="1081">
        <f t="shared" si="738"/>
        <v>0</v>
      </c>
      <c r="CE206" s="1081">
        <f t="shared" ca="1" si="711"/>
        <v>1</v>
      </c>
      <c r="CF206" s="1081">
        <f t="shared" ca="1" si="722"/>
        <v>0</v>
      </c>
      <c r="CG206" s="1198" t="str">
        <f t="shared" si="712"/>
        <v>Nujuka ('Nivesisch')</v>
      </c>
      <c r="CH206" s="1198" t="str">
        <f t="shared" ca="1" si="713"/>
        <v/>
      </c>
      <c r="CI206" s="1198"/>
      <c r="CJ206" s="1198"/>
      <c r="CK206" s="1198" t="str">
        <f t="shared" ca="1" si="723"/>
        <v/>
      </c>
      <c r="CL206" s="1198" t="str">
        <f t="shared" ca="1" si="724"/>
        <v/>
      </c>
      <c r="CM206" s="78"/>
      <c r="CN206" s="1081">
        <f t="shared" ca="1" si="725"/>
        <v>0</v>
      </c>
      <c r="CO206" s="1081">
        <f t="shared" ca="1" si="714"/>
        <v>0</v>
      </c>
      <c r="CP206" s="1081">
        <f t="shared" ca="1" si="726"/>
        <v>0</v>
      </c>
      <c r="DJ206" s="301" t="str">
        <f t="shared" ca="1" si="735"/>
        <v>A</v>
      </c>
      <c r="DK206" s="301" t="str">
        <f t="shared" ca="1" si="735"/>
        <v>A</v>
      </c>
      <c r="DL206" s="301" t="str">
        <f t="shared" ca="1" si="735"/>
        <v>A</v>
      </c>
      <c r="DM206" s="301" t="str">
        <f t="shared" ca="1" si="735"/>
        <v>A</v>
      </c>
      <c r="DN206" s="301" t="str">
        <f t="shared" ca="1" si="735"/>
        <v>A</v>
      </c>
      <c r="DO206" s="301" t="str">
        <f t="shared" ca="1" si="735"/>
        <v>A</v>
      </c>
      <c r="DP206" s="301" t="str">
        <f t="shared" ca="1" si="735"/>
        <v>A</v>
      </c>
      <c r="DQ206" s="301" t="str">
        <f t="shared" ca="1" si="735"/>
        <v>A</v>
      </c>
      <c r="DR206" s="301" t="str">
        <f t="shared" ca="1" si="735"/>
        <v>A</v>
      </c>
      <c r="DS206" s="301" t="str">
        <f t="shared" ca="1" si="735"/>
        <v>A</v>
      </c>
      <c r="DT206" s="301" t="str">
        <f t="shared" ca="1" si="736"/>
        <v>A</v>
      </c>
      <c r="DU206" s="301" t="str">
        <f t="shared" ca="1" si="736"/>
        <v>A</v>
      </c>
      <c r="DV206" s="301" t="str">
        <f t="shared" ca="1" si="736"/>
        <v>A</v>
      </c>
      <c r="DW206" s="301" t="str">
        <f t="shared" ca="1" si="736"/>
        <v>A</v>
      </c>
      <c r="DX206" s="301" t="str">
        <f t="shared" ca="1" si="736"/>
        <v>A</v>
      </c>
      <c r="DY206" s="301" t="str">
        <f t="shared" ca="1" si="736"/>
        <v>A</v>
      </c>
      <c r="DZ206" s="301" t="str">
        <f t="shared" ca="1" si="736"/>
        <v>A</v>
      </c>
      <c r="EA206" s="301" t="str">
        <f t="shared" ca="1" si="736"/>
        <v>A</v>
      </c>
      <c r="EB206" s="301" t="str">
        <f t="shared" ca="1" si="736"/>
        <v>A</v>
      </c>
      <c r="EC206" s="301" t="str">
        <f t="shared" ca="1" si="736"/>
        <v>A</v>
      </c>
      <c r="ED206" s="301" t="str">
        <f t="shared" ca="1" si="736"/>
        <v>A</v>
      </c>
      <c r="EE206" s="301" t="str">
        <f t="shared" ca="1" si="736"/>
        <v>A</v>
      </c>
      <c r="EF206" s="301">
        <f t="shared" si="717"/>
        <v>0</v>
      </c>
      <c r="EG206" s="1426" t="str">
        <f t="shared" ca="1" si="737"/>
        <v>B</v>
      </c>
      <c r="EH206" s="1429" t="str">
        <f t="shared" ca="1" si="737"/>
        <v>B</v>
      </c>
      <c r="EI206" s="1429" t="str">
        <f t="shared" ca="1" si="737"/>
        <v>B</v>
      </c>
      <c r="EJ206" s="1429" t="str">
        <f t="shared" ca="1" si="737"/>
        <v>B</v>
      </c>
      <c r="EK206" s="1429" t="str">
        <f t="shared" ca="1" si="737"/>
        <v>B</v>
      </c>
      <c r="EL206" s="1429" t="str">
        <f t="shared" ca="1" si="737"/>
        <v>B</v>
      </c>
      <c r="EM206" s="1429" t="str">
        <f t="shared" ca="1" si="737"/>
        <v>B</v>
      </c>
      <c r="EN206" s="1429" t="str">
        <f t="shared" ca="1" si="737"/>
        <v>B</v>
      </c>
      <c r="EO206" s="1429" t="str">
        <f t="shared" ca="1" si="739"/>
        <v>B</v>
      </c>
      <c r="EP206" s="1429" t="str">
        <f t="shared" ca="1" si="739"/>
        <v>B</v>
      </c>
      <c r="EQ206" s="1429" t="str">
        <f t="shared" ca="1" si="739"/>
        <v>B</v>
      </c>
      <c r="ER206" s="1429" t="str">
        <f t="shared" ca="1" si="739"/>
        <v>B</v>
      </c>
      <c r="ES206" s="1429" t="str">
        <f t="shared" ca="1" si="739"/>
        <v>B</v>
      </c>
      <c r="ET206" s="1429" t="str">
        <f t="shared" ca="1" si="739"/>
        <v>B</v>
      </c>
      <c r="EU206" s="1429" t="str">
        <f t="shared" ca="1" si="739"/>
        <v>B</v>
      </c>
      <c r="EV206" s="1429" t="str">
        <f t="shared" ca="1" si="739"/>
        <v>B</v>
      </c>
      <c r="EW206" s="1429" t="str">
        <f t="shared" ca="1" si="740"/>
        <v>B</v>
      </c>
      <c r="EX206" s="1429" t="str">
        <f t="shared" ca="1" si="740"/>
        <v>B</v>
      </c>
      <c r="EY206" s="1429" t="str">
        <f t="shared" ca="1" si="740"/>
        <v>B</v>
      </c>
      <c r="EZ206" s="1429" t="str">
        <f t="shared" ca="1" si="740"/>
        <v>B</v>
      </c>
      <c r="FA206" s="1429" t="str">
        <f t="shared" ca="1" si="740"/>
        <v>B</v>
      </c>
      <c r="FB206" s="1429" t="str">
        <f t="shared" ca="1" si="740"/>
        <v>B</v>
      </c>
      <c r="FC206" s="1429" t="str">
        <f t="shared" ca="1" si="740"/>
        <v>B</v>
      </c>
      <c r="FD206" s="1429" t="str">
        <f t="shared" ca="1" si="740"/>
        <v>B</v>
      </c>
      <c r="FE206" s="1429" t="str">
        <f t="shared" ca="1" si="740"/>
        <v>B</v>
      </c>
      <c r="FF206" s="1429" t="str">
        <f t="shared" ca="1" si="740"/>
        <v>B</v>
      </c>
      <c r="FG206" s="1429" t="str">
        <f t="shared" ca="1" si="740"/>
        <v>B</v>
      </c>
      <c r="FH206" s="1429" t="str">
        <f t="shared" ca="1" si="740"/>
        <v>B</v>
      </c>
      <c r="FI206" s="1429" t="str">
        <f t="shared" ca="1" si="740"/>
        <v>B</v>
      </c>
      <c r="FJ206" s="1429" t="str">
        <f t="shared" ca="1" si="740"/>
        <v>B</v>
      </c>
      <c r="FK206" s="1429" t="str">
        <f t="shared" ca="1" si="740"/>
        <v>B</v>
      </c>
      <c r="FL206" s="1429" t="str">
        <f t="shared" ca="1" si="740"/>
        <v>B</v>
      </c>
    </row>
    <row r="207" spans="1:168" x14ac:dyDescent="0.2">
      <c r="A207" s="62" t="str">
        <f t="shared" si="649"/>
        <v>Oloarkh</v>
      </c>
      <c r="B207" s="317" t="str">
        <f t="shared" ca="1" si="650"/>
        <v/>
      </c>
      <c r="C207" s="332" t="str">
        <f ca="1">IF(AND(EXACT($F207,""),EXACT($G207,"")),IF(OR(NOT(ISBLANK(D207)),NOT(EXACT(HLOOKUP(RASSEGENE,RASSE,$BN207,FALSE),"")),NOT(EXACT(HLOOKUP(KULTURGENE,KULTUR,$BN207,FALSE),"")),NOT(EXACT(HLOOKUP(PROFGENE,INDIRECT(PROFGEBIET),$BN207,FALSE),"")),
IF(LEN(PROFZWEITE)&lt;1,FALSE,NOT(EXACT(HLOOKUP(Generierung!$D$12,INDIRECT(PROFGEBIET2),$BN207,FALSE),"")))
),"x",""),"")</f>
        <v/>
      </c>
      <c r="D207" s="1110"/>
      <c r="E207" s="325"/>
      <c r="F207" s="388" t="str">
        <f t="shared" ca="1" si="651"/>
        <v/>
      </c>
      <c r="G207" s="388" t="str">
        <f t="shared" ca="1" si="652"/>
        <v/>
      </c>
      <c r="H207" s="389"/>
      <c r="I207" s="1196"/>
      <c r="J207" s="326"/>
      <c r="O207" s="514" t="str">
        <f t="shared" ca="1" si="653"/>
        <v/>
      </c>
      <c r="P207" s="164">
        <f t="shared" ca="1" si="654"/>
        <v>0</v>
      </c>
      <c r="Q207" s="164">
        <f t="shared" ca="1" si="655"/>
        <v>0</v>
      </c>
      <c r="R207" s="164">
        <f t="shared" ca="1" si="656"/>
        <v>0</v>
      </c>
      <c r="S207" s="164">
        <f t="shared" ca="1" si="657"/>
        <v>0</v>
      </c>
      <c r="T207" s="164">
        <f t="shared" ca="1" si="658"/>
        <v>0</v>
      </c>
      <c r="U207" s="164">
        <f t="shared" ca="1" si="659"/>
        <v>0</v>
      </c>
      <c r="V207" s="164">
        <f t="shared" ca="1" si="660"/>
        <v>0</v>
      </c>
      <c r="W207" s="164">
        <f t="shared" ca="1" si="661"/>
        <v>0</v>
      </c>
      <c r="X207" s="164">
        <f t="shared" ca="1" si="662"/>
        <v>0</v>
      </c>
      <c r="Y207" s="164">
        <f t="shared" ca="1" si="663"/>
        <v>0</v>
      </c>
      <c r="Z207" s="164">
        <f t="shared" ca="1" si="664"/>
        <v>0</v>
      </c>
      <c r="AA207" s="164">
        <f t="shared" ca="1" si="665"/>
        <v>0</v>
      </c>
      <c r="AB207" s="164">
        <f t="shared" ca="1" si="666"/>
        <v>0</v>
      </c>
      <c r="AC207" s="164">
        <f t="shared" ca="1" si="667"/>
        <v>0</v>
      </c>
      <c r="AD207" s="164">
        <f t="shared" ca="1" si="668"/>
        <v>0</v>
      </c>
      <c r="AE207" s="164">
        <f t="shared" ca="1" si="669"/>
        <v>0</v>
      </c>
      <c r="AF207" s="164">
        <f t="shared" ca="1" si="670"/>
        <v>0</v>
      </c>
      <c r="AG207" s="164">
        <f t="shared" ca="1" si="671"/>
        <v>0</v>
      </c>
      <c r="AH207" s="164">
        <f t="shared" ca="1" si="672"/>
        <v>0</v>
      </c>
      <c r="AI207" s="164">
        <f t="shared" ca="1" si="673"/>
        <v>0</v>
      </c>
      <c r="AJ207" s="164">
        <f t="shared" ca="1" si="674"/>
        <v>0</v>
      </c>
      <c r="AK207" s="164">
        <f t="shared" ca="1" si="675"/>
        <v>0</v>
      </c>
      <c r="AL207" s="164">
        <f t="shared" si="676"/>
        <v>0</v>
      </c>
      <c r="AM207" s="164">
        <f t="shared" ca="1" si="677"/>
        <v>0</v>
      </c>
      <c r="AN207" s="205"/>
      <c r="AO207" s="154">
        <f t="shared" ca="1" si="678"/>
        <v>0</v>
      </c>
      <c r="AP207" s="154">
        <f t="shared" ca="1" si="679"/>
        <v>0</v>
      </c>
      <c r="AQ207" s="154">
        <f t="shared" ca="1" si="680"/>
        <v>0</v>
      </c>
      <c r="AR207" s="154">
        <f t="shared" ca="1" si="681"/>
        <v>0</v>
      </c>
      <c r="AS207" s="154">
        <f t="shared" ca="1" si="682"/>
        <v>0</v>
      </c>
      <c r="AT207" s="154">
        <f t="shared" ca="1" si="683"/>
        <v>0</v>
      </c>
      <c r="AU207" s="154">
        <f t="shared" ca="1" si="684"/>
        <v>0</v>
      </c>
      <c r="AV207" s="154">
        <f t="shared" ca="1" si="685"/>
        <v>0</v>
      </c>
      <c r="AW207" s="154">
        <f t="shared" ca="1" si="686"/>
        <v>0</v>
      </c>
      <c r="AX207" s="154">
        <f t="shared" ca="1" si="687"/>
        <v>0</v>
      </c>
      <c r="AY207" s="154">
        <f t="shared" ca="1" si="688"/>
        <v>0</v>
      </c>
      <c r="AZ207" s="154">
        <f t="shared" ca="1" si="689"/>
        <v>0</v>
      </c>
      <c r="BA207" s="154">
        <f t="shared" ca="1" si="690"/>
        <v>0</v>
      </c>
      <c r="BB207" s="154">
        <f t="shared" ca="1" si="691"/>
        <v>0</v>
      </c>
      <c r="BC207" s="154">
        <f t="shared" ca="1" si="692"/>
        <v>0</v>
      </c>
      <c r="BD207" s="154">
        <f t="shared" ca="1" si="693"/>
        <v>0</v>
      </c>
      <c r="BE207" s="154">
        <f t="shared" ca="1" si="694"/>
        <v>0</v>
      </c>
      <c r="BF207" s="154">
        <f t="shared" ca="1" si="695"/>
        <v>0</v>
      </c>
      <c r="BG207" s="154">
        <f t="shared" ca="1" si="696"/>
        <v>0</v>
      </c>
      <c r="BH207" s="154">
        <f t="shared" ca="1" si="697"/>
        <v>0</v>
      </c>
      <c r="BI207" s="154">
        <f t="shared" ca="1" si="698"/>
        <v>0</v>
      </c>
      <c r="BJ207" s="154">
        <f t="shared" ca="1" si="699"/>
        <v>0</v>
      </c>
      <c r="BK207" s="154">
        <f t="shared" ca="1" si="700"/>
        <v>0</v>
      </c>
      <c r="BL207" s="154">
        <f t="shared" ca="1" si="701"/>
        <v>0</v>
      </c>
      <c r="BM207" s="154">
        <f t="shared" ca="1" si="702"/>
        <v>0</v>
      </c>
      <c r="BN207" s="1198">
        <f t="shared" si="719"/>
        <v>212</v>
      </c>
      <c r="BO207" s="1197" t="str">
        <f t="shared" si="703"/>
        <v>Oloarkh</v>
      </c>
      <c r="BP207" s="1197" t="str">
        <f t="shared" ca="1" si="704"/>
        <v>B</v>
      </c>
      <c r="BQ207" s="1197">
        <f t="shared" si="727"/>
        <v>31</v>
      </c>
      <c r="BR207" s="1198" t="str">
        <f t="shared" ca="1" si="720"/>
        <v/>
      </c>
      <c r="BS207" s="1198" t="s">
        <v>3870</v>
      </c>
      <c r="BT207" s="78"/>
      <c r="BU207" s="78"/>
      <c r="BV207" s="78"/>
      <c r="BW207" s="1197">
        <f t="shared" ca="1" si="721"/>
        <v>0</v>
      </c>
      <c r="BX207" s="1197">
        <f t="shared" ca="1" si="705"/>
        <v>0</v>
      </c>
      <c r="BY207" s="1197">
        <f t="shared" ca="1" si="706"/>
        <v>0</v>
      </c>
      <c r="BZ207" s="1081">
        <f t="shared" ca="1" si="707"/>
        <v>0</v>
      </c>
      <c r="CA207" s="1081">
        <f t="shared" ca="1" si="708"/>
        <v>0</v>
      </c>
      <c r="CB207" s="1081">
        <f t="shared" ca="1" si="709"/>
        <v>65</v>
      </c>
      <c r="CC207" s="1081">
        <f t="shared" ca="1" si="710"/>
        <v>66</v>
      </c>
      <c r="CD207" s="1081">
        <f t="shared" si="738"/>
        <v>0</v>
      </c>
      <c r="CE207" s="1081">
        <f t="shared" ca="1" si="711"/>
        <v>1</v>
      </c>
      <c r="CF207" s="1081">
        <f t="shared" ca="1" si="722"/>
        <v>0</v>
      </c>
      <c r="CG207" s="1198" t="str">
        <f t="shared" si="712"/>
        <v>Orkisch-Familie</v>
      </c>
      <c r="CH207" s="1198" t="str">
        <f t="shared" ca="1" si="713"/>
        <v/>
      </c>
      <c r="CI207" s="1198"/>
      <c r="CJ207" s="1198"/>
      <c r="CK207" s="1198" t="str">
        <f t="shared" ca="1" si="723"/>
        <v/>
      </c>
      <c r="CL207" s="1198" t="str">
        <f t="shared" ca="1" si="724"/>
        <v/>
      </c>
      <c r="CM207" s="78"/>
      <c r="CN207" s="1081">
        <f t="shared" ca="1" si="725"/>
        <v>0</v>
      </c>
      <c r="CO207" s="1081">
        <f t="shared" ca="1" si="714"/>
        <v>0</v>
      </c>
      <c r="CP207" s="1081">
        <f t="shared" ca="1" si="726"/>
        <v>0</v>
      </c>
      <c r="DJ207" s="301" t="str">
        <f t="shared" ref="DJ207:DS216" ca="1" si="741">IF(ISERR(FIND(";"&amp;DJ$176&amp;":0;",$E207)),
CHAR($CB207+SUM(IF(ISERR(FIND(";"&amp;DJ$176&amp;";",$F207)),0,-1),IF(OR(VT_AKADGEL,VT_AKADMAG),IF(DJ$176&lt;$EF207+1,-1,0),0),IF(ISERR(FIND(";"&amp;DJ$176&amp;":",$E207)),0,-VALUE(MID($E207,FIND(";"&amp;DJ$176&amp;":",$E207)+LEN(DJ$176)+2,1))))),0)</f>
        <v>A</v>
      </c>
      <c r="DK207" s="301" t="str">
        <f t="shared" ca="1" si="741"/>
        <v>A</v>
      </c>
      <c r="DL207" s="301" t="str">
        <f t="shared" ca="1" si="741"/>
        <v>A</v>
      </c>
      <c r="DM207" s="301" t="str">
        <f t="shared" ca="1" si="741"/>
        <v>A</v>
      </c>
      <c r="DN207" s="301" t="str">
        <f t="shared" ca="1" si="741"/>
        <v>A</v>
      </c>
      <c r="DO207" s="301" t="str">
        <f t="shared" ca="1" si="741"/>
        <v>A</v>
      </c>
      <c r="DP207" s="301" t="str">
        <f t="shared" ca="1" si="741"/>
        <v>A</v>
      </c>
      <c r="DQ207" s="301" t="str">
        <f t="shared" ca="1" si="741"/>
        <v>A</v>
      </c>
      <c r="DR207" s="301" t="str">
        <f t="shared" ca="1" si="741"/>
        <v>A</v>
      </c>
      <c r="DS207" s="301" t="str">
        <f t="shared" ca="1" si="741"/>
        <v>A</v>
      </c>
      <c r="DT207" s="301" t="str">
        <f t="shared" ref="DT207:EE216" ca="1" si="742">IF(ISERR(FIND(";"&amp;DT$176&amp;":0;",$E207)),
CHAR($CB207+SUM(IF(ISERR(FIND(";"&amp;DT$176&amp;";",$F207)),0,-1),IF(OR(VT_AKADGEL,VT_AKADMAG),IF(DT$176&lt;$EF207+1,-1,0),0),IF(ISERR(FIND(";"&amp;DT$176&amp;":",$E207)),0,-VALUE(MID($E207,FIND(";"&amp;DT$176&amp;":",$E207)+LEN(DT$176)+2,1))))),0)</f>
        <v>A</v>
      </c>
      <c r="DU207" s="301" t="str">
        <f t="shared" ca="1" si="742"/>
        <v>A</v>
      </c>
      <c r="DV207" s="301" t="str">
        <f t="shared" ca="1" si="742"/>
        <v>A</v>
      </c>
      <c r="DW207" s="301" t="str">
        <f t="shared" ca="1" si="742"/>
        <v>A</v>
      </c>
      <c r="DX207" s="301" t="str">
        <f t="shared" ca="1" si="742"/>
        <v>A</v>
      </c>
      <c r="DY207" s="301" t="str">
        <f t="shared" ca="1" si="742"/>
        <v>A</v>
      </c>
      <c r="DZ207" s="301" t="str">
        <f t="shared" ca="1" si="742"/>
        <v>A</v>
      </c>
      <c r="EA207" s="301" t="str">
        <f t="shared" ca="1" si="742"/>
        <v>A</v>
      </c>
      <c r="EB207" s="301" t="str">
        <f t="shared" ca="1" si="742"/>
        <v>A</v>
      </c>
      <c r="EC207" s="301" t="str">
        <f t="shared" ca="1" si="742"/>
        <v>A</v>
      </c>
      <c r="ED207" s="301" t="str">
        <f t="shared" ca="1" si="742"/>
        <v>A</v>
      </c>
      <c r="EE207" s="301" t="str">
        <f t="shared" ca="1" si="742"/>
        <v>A</v>
      </c>
      <c r="EF207" s="301">
        <f t="shared" si="717"/>
        <v>0</v>
      </c>
      <c r="EG207" s="1426" t="str">
        <f t="shared" ca="1" si="737"/>
        <v>B</v>
      </c>
      <c r="EH207" s="1429" t="str">
        <f t="shared" ca="1" si="737"/>
        <v>B</v>
      </c>
      <c r="EI207" s="1429" t="str">
        <f t="shared" ca="1" si="737"/>
        <v>B</v>
      </c>
      <c r="EJ207" s="1429" t="str">
        <f t="shared" ca="1" si="737"/>
        <v>B</v>
      </c>
      <c r="EK207" s="1429" t="str">
        <f t="shared" ca="1" si="737"/>
        <v>B</v>
      </c>
      <c r="EL207" s="1429" t="str">
        <f t="shared" ca="1" si="737"/>
        <v>B</v>
      </c>
      <c r="EM207" s="1429" t="str">
        <f t="shared" ca="1" si="737"/>
        <v>B</v>
      </c>
      <c r="EN207" s="1429" t="str">
        <f t="shared" ca="1" si="737"/>
        <v>B</v>
      </c>
      <c r="EO207" s="1429" t="str">
        <f t="shared" ca="1" si="739"/>
        <v>B</v>
      </c>
      <c r="EP207" s="1429" t="str">
        <f t="shared" ca="1" si="739"/>
        <v>B</v>
      </c>
      <c r="EQ207" s="1429" t="str">
        <f t="shared" ca="1" si="739"/>
        <v>B</v>
      </c>
      <c r="ER207" s="1429" t="str">
        <f t="shared" ca="1" si="739"/>
        <v>B</v>
      </c>
      <c r="ES207" s="1429" t="str">
        <f t="shared" ca="1" si="739"/>
        <v>B</v>
      </c>
      <c r="ET207" s="1429" t="str">
        <f t="shared" ca="1" si="739"/>
        <v>B</v>
      </c>
      <c r="EU207" s="1429" t="str">
        <f t="shared" ca="1" si="739"/>
        <v>B</v>
      </c>
      <c r="EV207" s="1429" t="str">
        <f t="shared" ca="1" si="739"/>
        <v>B</v>
      </c>
      <c r="EW207" s="1429" t="str">
        <f t="shared" ca="1" si="740"/>
        <v>B</v>
      </c>
      <c r="EX207" s="1429" t="str">
        <f t="shared" ca="1" si="740"/>
        <v>B</v>
      </c>
      <c r="EY207" s="1429" t="str">
        <f t="shared" ca="1" si="740"/>
        <v>B</v>
      </c>
      <c r="EZ207" s="1429" t="str">
        <f t="shared" ca="1" si="740"/>
        <v>B</v>
      </c>
      <c r="FA207" s="1429" t="str">
        <f t="shared" ca="1" si="740"/>
        <v>B</v>
      </c>
      <c r="FB207" s="1429" t="str">
        <f t="shared" ca="1" si="740"/>
        <v>B</v>
      </c>
      <c r="FC207" s="1429" t="str">
        <f t="shared" ca="1" si="740"/>
        <v>B</v>
      </c>
      <c r="FD207" s="1429" t="str">
        <f t="shared" ca="1" si="740"/>
        <v>B</v>
      </c>
      <c r="FE207" s="1429" t="str">
        <f t="shared" ca="1" si="740"/>
        <v>B</v>
      </c>
      <c r="FF207" s="1429" t="str">
        <f t="shared" ca="1" si="740"/>
        <v>B</v>
      </c>
      <c r="FG207" s="1429" t="str">
        <f t="shared" ca="1" si="740"/>
        <v>B</v>
      </c>
      <c r="FH207" s="1429" t="str">
        <f t="shared" ca="1" si="740"/>
        <v>B</v>
      </c>
      <c r="FI207" s="1429" t="str">
        <f t="shared" ca="1" si="740"/>
        <v>B</v>
      </c>
      <c r="FJ207" s="1429" t="str">
        <f t="shared" ca="1" si="740"/>
        <v>B</v>
      </c>
      <c r="FK207" s="1429" t="str">
        <f t="shared" ca="1" si="740"/>
        <v>B</v>
      </c>
      <c r="FL207" s="1429" t="str">
        <f t="shared" ca="1" si="740"/>
        <v>B</v>
      </c>
    </row>
    <row r="208" spans="1:168" x14ac:dyDescent="0.2">
      <c r="A208" s="62" t="str">
        <f t="shared" si="649"/>
        <v>Ologhaijan ('Hochorkisch')</v>
      </c>
      <c r="B208" s="317" t="str">
        <f t="shared" ca="1" si="650"/>
        <v/>
      </c>
      <c r="C208" s="332" t="str">
        <f ca="1">IF(AND(EXACT($F208,""),EXACT($G208,"")),IF(OR(NOT(ISBLANK(D208)),NOT(EXACT(HLOOKUP(RASSEGENE,RASSE,$BN208,FALSE),"")),NOT(EXACT(HLOOKUP(KULTURGENE,KULTUR,$BN208,FALSE),"")),NOT(EXACT(HLOOKUP(PROFGENE,INDIRECT(PROFGEBIET),$BN208,FALSE),"")),
IF(LEN(PROFZWEITE)&lt;1,FALSE,NOT(EXACT(HLOOKUP(Generierung!$D$12,INDIRECT(PROFGEBIET2),$BN208,FALSE),"")))
),"x",""),"")</f>
        <v/>
      </c>
      <c r="D208" s="1110"/>
      <c r="E208" s="325"/>
      <c r="F208" s="388" t="str">
        <f t="shared" ca="1" si="651"/>
        <v/>
      </c>
      <c r="G208" s="388" t="str">
        <f t="shared" ca="1" si="652"/>
        <v/>
      </c>
      <c r="H208" s="389"/>
      <c r="I208" s="1196"/>
      <c r="J208" s="326"/>
      <c r="O208" s="514" t="str">
        <f t="shared" ca="1" si="653"/>
        <v/>
      </c>
      <c r="P208" s="164">
        <f t="shared" ca="1" si="654"/>
        <v>0</v>
      </c>
      <c r="Q208" s="164">
        <f t="shared" ca="1" si="655"/>
        <v>0</v>
      </c>
      <c r="R208" s="164">
        <f t="shared" ca="1" si="656"/>
        <v>0</v>
      </c>
      <c r="S208" s="164">
        <f t="shared" ca="1" si="657"/>
        <v>0</v>
      </c>
      <c r="T208" s="164">
        <f t="shared" ca="1" si="658"/>
        <v>0</v>
      </c>
      <c r="U208" s="164">
        <f t="shared" ca="1" si="659"/>
        <v>0</v>
      </c>
      <c r="V208" s="164">
        <f t="shared" ca="1" si="660"/>
        <v>0</v>
      </c>
      <c r="W208" s="164">
        <f t="shared" ca="1" si="661"/>
        <v>0</v>
      </c>
      <c r="X208" s="164">
        <f t="shared" ca="1" si="662"/>
        <v>0</v>
      </c>
      <c r="Y208" s="164">
        <f t="shared" ca="1" si="663"/>
        <v>0</v>
      </c>
      <c r="Z208" s="164">
        <f t="shared" ca="1" si="664"/>
        <v>0</v>
      </c>
      <c r="AA208" s="164">
        <f t="shared" ca="1" si="665"/>
        <v>0</v>
      </c>
      <c r="AB208" s="164">
        <f t="shared" ca="1" si="666"/>
        <v>0</v>
      </c>
      <c r="AC208" s="164">
        <f t="shared" ca="1" si="667"/>
        <v>0</v>
      </c>
      <c r="AD208" s="164">
        <f t="shared" ca="1" si="668"/>
        <v>0</v>
      </c>
      <c r="AE208" s="164">
        <f t="shared" ca="1" si="669"/>
        <v>0</v>
      </c>
      <c r="AF208" s="164">
        <f t="shared" ca="1" si="670"/>
        <v>0</v>
      </c>
      <c r="AG208" s="164">
        <f t="shared" ca="1" si="671"/>
        <v>0</v>
      </c>
      <c r="AH208" s="164">
        <f t="shared" ca="1" si="672"/>
        <v>0</v>
      </c>
      <c r="AI208" s="164">
        <f t="shared" ca="1" si="673"/>
        <v>0</v>
      </c>
      <c r="AJ208" s="164">
        <f t="shared" ca="1" si="674"/>
        <v>0</v>
      </c>
      <c r="AK208" s="164">
        <f t="shared" ca="1" si="675"/>
        <v>0</v>
      </c>
      <c r="AL208" s="164">
        <f t="shared" si="676"/>
        <v>0</v>
      </c>
      <c r="AM208" s="164">
        <f t="shared" ca="1" si="677"/>
        <v>0</v>
      </c>
      <c r="AN208" s="205"/>
      <c r="AO208" s="154">
        <f t="shared" ca="1" si="678"/>
        <v>0</v>
      </c>
      <c r="AP208" s="154">
        <f t="shared" ca="1" si="679"/>
        <v>0</v>
      </c>
      <c r="AQ208" s="154">
        <f t="shared" ca="1" si="680"/>
        <v>0</v>
      </c>
      <c r="AR208" s="154">
        <f t="shared" ca="1" si="681"/>
        <v>0</v>
      </c>
      <c r="AS208" s="154">
        <f t="shared" ca="1" si="682"/>
        <v>0</v>
      </c>
      <c r="AT208" s="154">
        <f t="shared" ca="1" si="683"/>
        <v>0</v>
      </c>
      <c r="AU208" s="154">
        <f t="shared" ca="1" si="684"/>
        <v>0</v>
      </c>
      <c r="AV208" s="154">
        <f t="shared" ca="1" si="685"/>
        <v>0</v>
      </c>
      <c r="AW208" s="154">
        <f t="shared" ca="1" si="686"/>
        <v>0</v>
      </c>
      <c r="AX208" s="154">
        <f t="shared" ca="1" si="687"/>
        <v>0</v>
      </c>
      <c r="AY208" s="154">
        <f t="shared" ca="1" si="688"/>
        <v>0</v>
      </c>
      <c r="AZ208" s="154">
        <f t="shared" ca="1" si="689"/>
        <v>0</v>
      </c>
      <c r="BA208" s="154">
        <f t="shared" ca="1" si="690"/>
        <v>0</v>
      </c>
      <c r="BB208" s="154">
        <f t="shared" ca="1" si="691"/>
        <v>0</v>
      </c>
      <c r="BC208" s="154">
        <f t="shared" ca="1" si="692"/>
        <v>0</v>
      </c>
      <c r="BD208" s="154">
        <f t="shared" ca="1" si="693"/>
        <v>0</v>
      </c>
      <c r="BE208" s="154">
        <f t="shared" ca="1" si="694"/>
        <v>0</v>
      </c>
      <c r="BF208" s="154">
        <f t="shared" ca="1" si="695"/>
        <v>0</v>
      </c>
      <c r="BG208" s="154">
        <f t="shared" ca="1" si="696"/>
        <v>0</v>
      </c>
      <c r="BH208" s="154">
        <f t="shared" ca="1" si="697"/>
        <v>0</v>
      </c>
      <c r="BI208" s="154">
        <f t="shared" ca="1" si="698"/>
        <v>0</v>
      </c>
      <c r="BJ208" s="154">
        <f t="shared" ca="1" si="699"/>
        <v>0</v>
      </c>
      <c r="BK208" s="154">
        <f t="shared" ca="1" si="700"/>
        <v>0</v>
      </c>
      <c r="BL208" s="154">
        <f t="shared" ca="1" si="701"/>
        <v>0</v>
      </c>
      <c r="BM208" s="154">
        <f t="shared" ca="1" si="702"/>
        <v>0</v>
      </c>
      <c r="BN208" s="1198">
        <f t="shared" si="719"/>
        <v>213</v>
      </c>
      <c r="BO208" s="1197" t="str">
        <f t="shared" si="703"/>
        <v>Ologhaijan ('Hochorkisch')</v>
      </c>
      <c r="BP208" s="1197" t="str">
        <f t="shared" ca="1" si="704"/>
        <v>B</v>
      </c>
      <c r="BQ208" s="1197">
        <f t="shared" si="727"/>
        <v>32</v>
      </c>
      <c r="BR208" s="1198" t="str">
        <f t="shared" ca="1" si="720"/>
        <v/>
      </c>
      <c r="BS208" s="1198" t="s">
        <v>1047</v>
      </c>
      <c r="BT208" s="78"/>
      <c r="BU208" s="78"/>
      <c r="BV208" s="78"/>
      <c r="BW208" s="1197">
        <f t="shared" ca="1" si="721"/>
        <v>0</v>
      </c>
      <c r="BX208" s="1197">
        <f t="shared" ca="1" si="705"/>
        <v>0</v>
      </c>
      <c r="BY208" s="1197">
        <f t="shared" ca="1" si="706"/>
        <v>0</v>
      </c>
      <c r="BZ208" s="1081">
        <f t="shared" ca="1" si="707"/>
        <v>0</v>
      </c>
      <c r="CA208" s="1081">
        <f t="shared" ca="1" si="708"/>
        <v>0</v>
      </c>
      <c r="CB208" s="1081">
        <f t="shared" ca="1" si="709"/>
        <v>65</v>
      </c>
      <c r="CC208" s="1081">
        <f t="shared" ca="1" si="710"/>
        <v>66</v>
      </c>
      <c r="CD208" s="1081">
        <f t="shared" si="738"/>
        <v>0</v>
      </c>
      <c r="CE208" s="1081">
        <f t="shared" ca="1" si="711"/>
        <v>1</v>
      </c>
      <c r="CF208" s="1081">
        <f t="shared" ca="1" si="722"/>
        <v>0</v>
      </c>
      <c r="CG208" s="1198" t="str">
        <f t="shared" si="712"/>
        <v>Orkisch-Familie</v>
      </c>
      <c r="CH208" s="1198" t="str">
        <f t="shared" ca="1" si="713"/>
        <v/>
      </c>
      <c r="CI208" s="1198"/>
      <c r="CJ208" s="1198"/>
      <c r="CK208" s="1198" t="str">
        <f t="shared" ca="1" si="723"/>
        <v/>
      </c>
      <c r="CL208" s="1198" t="str">
        <f t="shared" ca="1" si="724"/>
        <v/>
      </c>
      <c r="CM208" s="78"/>
      <c r="CN208" s="1081">
        <f t="shared" ca="1" si="725"/>
        <v>0</v>
      </c>
      <c r="CO208" s="1081">
        <f t="shared" ca="1" si="714"/>
        <v>0</v>
      </c>
      <c r="CP208" s="1081">
        <f t="shared" ca="1" si="726"/>
        <v>0</v>
      </c>
      <c r="DJ208" s="301" t="str">
        <f t="shared" ca="1" si="741"/>
        <v>A</v>
      </c>
      <c r="DK208" s="301" t="str">
        <f t="shared" ca="1" si="741"/>
        <v>A</v>
      </c>
      <c r="DL208" s="301" t="str">
        <f t="shared" ca="1" si="741"/>
        <v>A</v>
      </c>
      <c r="DM208" s="301" t="str">
        <f t="shared" ca="1" si="741"/>
        <v>A</v>
      </c>
      <c r="DN208" s="301" t="str">
        <f t="shared" ca="1" si="741"/>
        <v>A</v>
      </c>
      <c r="DO208" s="301" t="str">
        <f t="shared" ca="1" si="741"/>
        <v>A</v>
      </c>
      <c r="DP208" s="301" t="str">
        <f t="shared" ca="1" si="741"/>
        <v>A</v>
      </c>
      <c r="DQ208" s="301" t="str">
        <f t="shared" ca="1" si="741"/>
        <v>A</v>
      </c>
      <c r="DR208" s="301" t="str">
        <f t="shared" ca="1" si="741"/>
        <v>A</v>
      </c>
      <c r="DS208" s="301" t="str">
        <f t="shared" ca="1" si="741"/>
        <v>A</v>
      </c>
      <c r="DT208" s="301" t="str">
        <f t="shared" ca="1" si="742"/>
        <v>A</v>
      </c>
      <c r="DU208" s="301" t="str">
        <f t="shared" ca="1" si="742"/>
        <v>A</v>
      </c>
      <c r="DV208" s="301" t="str">
        <f t="shared" ca="1" si="742"/>
        <v>A</v>
      </c>
      <c r="DW208" s="301" t="str">
        <f t="shared" ca="1" si="742"/>
        <v>A</v>
      </c>
      <c r="DX208" s="301" t="str">
        <f t="shared" ca="1" si="742"/>
        <v>A</v>
      </c>
      <c r="DY208" s="301" t="str">
        <f t="shared" ca="1" si="742"/>
        <v>A</v>
      </c>
      <c r="DZ208" s="301" t="str">
        <f t="shared" ca="1" si="742"/>
        <v>A</v>
      </c>
      <c r="EA208" s="301" t="str">
        <f t="shared" ca="1" si="742"/>
        <v>A</v>
      </c>
      <c r="EB208" s="301" t="str">
        <f t="shared" ca="1" si="742"/>
        <v>A</v>
      </c>
      <c r="EC208" s="301" t="str">
        <f t="shared" ca="1" si="742"/>
        <v>A</v>
      </c>
      <c r="ED208" s="301" t="str">
        <f t="shared" ca="1" si="742"/>
        <v>A</v>
      </c>
      <c r="EE208" s="301" t="str">
        <f t="shared" ca="1" si="742"/>
        <v>A</v>
      </c>
      <c r="EF208" s="301">
        <f t="shared" si="717"/>
        <v>0</v>
      </c>
      <c r="EG208" s="1426" t="str">
        <f t="shared" ca="1" si="737"/>
        <v>B</v>
      </c>
      <c r="EH208" s="1429" t="str">
        <f t="shared" ca="1" si="737"/>
        <v>B</v>
      </c>
      <c r="EI208" s="1429" t="str">
        <f t="shared" ca="1" si="737"/>
        <v>B</v>
      </c>
      <c r="EJ208" s="1429" t="str">
        <f t="shared" ca="1" si="737"/>
        <v>B</v>
      </c>
      <c r="EK208" s="1429" t="str">
        <f t="shared" ca="1" si="737"/>
        <v>B</v>
      </c>
      <c r="EL208" s="1429" t="str">
        <f t="shared" ca="1" si="737"/>
        <v>B</v>
      </c>
      <c r="EM208" s="1429" t="str">
        <f t="shared" ca="1" si="737"/>
        <v>B</v>
      </c>
      <c r="EN208" s="1429" t="str">
        <f t="shared" ca="1" si="737"/>
        <v>B</v>
      </c>
      <c r="EO208" s="1429" t="str">
        <f t="shared" ca="1" si="739"/>
        <v>B</v>
      </c>
      <c r="EP208" s="1429" t="str">
        <f t="shared" ca="1" si="739"/>
        <v>B</v>
      </c>
      <c r="EQ208" s="1429" t="str">
        <f t="shared" ca="1" si="739"/>
        <v>B</v>
      </c>
      <c r="ER208" s="1429" t="str">
        <f t="shared" ca="1" si="739"/>
        <v>B</v>
      </c>
      <c r="ES208" s="1429" t="str">
        <f t="shared" ca="1" si="739"/>
        <v>B</v>
      </c>
      <c r="ET208" s="1429" t="str">
        <f t="shared" ca="1" si="739"/>
        <v>B</v>
      </c>
      <c r="EU208" s="1429" t="str">
        <f t="shared" ca="1" si="739"/>
        <v>B</v>
      </c>
      <c r="EV208" s="1429" t="str">
        <f t="shared" ca="1" si="739"/>
        <v>B</v>
      </c>
      <c r="EW208" s="1429" t="str">
        <f t="shared" ca="1" si="740"/>
        <v>B</v>
      </c>
      <c r="EX208" s="1429" t="str">
        <f t="shared" ca="1" si="740"/>
        <v>B</v>
      </c>
      <c r="EY208" s="1429" t="str">
        <f t="shared" ca="1" si="740"/>
        <v>B</v>
      </c>
      <c r="EZ208" s="1429" t="str">
        <f t="shared" ca="1" si="740"/>
        <v>B</v>
      </c>
      <c r="FA208" s="1429" t="str">
        <f t="shared" ca="1" si="740"/>
        <v>B</v>
      </c>
      <c r="FB208" s="1429" t="str">
        <f t="shared" ca="1" si="740"/>
        <v>B</v>
      </c>
      <c r="FC208" s="1429" t="str">
        <f t="shared" ca="1" si="740"/>
        <v>B</v>
      </c>
      <c r="FD208" s="1429" t="str">
        <f t="shared" ca="1" si="740"/>
        <v>B</v>
      </c>
      <c r="FE208" s="1429" t="str">
        <f t="shared" ca="1" si="740"/>
        <v>B</v>
      </c>
      <c r="FF208" s="1429" t="str">
        <f t="shared" ca="1" si="740"/>
        <v>B</v>
      </c>
      <c r="FG208" s="1429" t="str">
        <f t="shared" ca="1" si="740"/>
        <v>B</v>
      </c>
      <c r="FH208" s="1429" t="str">
        <f t="shared" ca="1" si="740"/>
        <v>B</v>
      </c>
      <c r="FI208" s="1429" t="str">
        <f t="shared" ca="1" si="740"/>
        <v>B</v>
      </c>
      <c r="FJ208" s="1429" t="str">
        <f t="shared" ca="1" si="740"/>
        <v>B</v>
      </c>
      <c r="FK208" s="1429" t="str">
        <f t="shared" ca="1" si="740"/>
        <v>B</v>
      </c>
      <c r="FL208" s="1429" t="str">
        <f t="shared" ca="1" si="740"/>
        <v>B</v>
      </c>
    </row>
    <row r="209" spans="1:168" x14ac:dyDescent="0.2">
      <c r="A209" s="62" t="str">
        <f t="shared" si="649"/>
        <v>Rabensprache</v>
      </c>
      <c r="B209" s="317" t="str">
        <f t="shared" ca="1" si="650"/>
        <v/>
      </c>
      <c r="C209" s="332" t="str">
        <f ca="1">IF(AND(EXACT($F209,""),EXACT($G209,"")),IF(OR(NOT(ISBLANK(D209)),NOT(EXACT(HLOOKUP(RASSEGENE,RASSE,$BN209,FALSE),"")),NOT(EXACT(HLOOKUP(KULTURGENE,KULTUR,$BN209,FALSE),"")),NOT(EXACT(HLOOKUP(PROFGENE,INDIRECT(PROFGEBIET),$BN209,FALSE),"")),
IF(LEN(PROFZWEITE)&lt;1,FALSE,NOT(EXACT(HLOOKUP(Generierung!$D$12,INDIRECT(PROFGEBIET2),$BN209,FALSE),"")))
),"x",""),"")</f>
        <v/>
      </c>
      <c r="D209" s="1110"/>
      <c r="E209" s="325"/>
      <c r="F209" s="388" t="str">
        <f t="shared" ca="1" si="651"/>
        <v/>
      </c>
      <c r="G209" s="388" t="str">
        <f t="shared" ca="1" si="652"/>
        <v/>
      </c>
      <c r="H209" s="389"/>
      <c r="I209" s="1196"/>
      <c r="J209" s="326"/>
      <c r="O209" s="514" t="str">
        <f t="shared" ca="1" si="653"/>
        <v/>
      </c>
      <c r="P209" s="164">
        <f t="shared" ca="1" si="654"/>
        <v>0</v>
      </c>
      <c r="Q209" s="164">
        <f t="shared" ca="1" si="655"/>
        <v>0</v>
      </c>
      <c r="R209" s="164">
        <f t="shared" ca="1" si="656"/>
        <v>0</v>
      </c>
      <c r="S209" s="164">
        <f t="shared" ca="1" si="657"/>
        <v>0</v>
      </c>
      <c r="T209" s="164">
        <f t="shared" ca="1" si="658"/>
        <v>0</v>
      </c>
      <c r="U209" s="164">
        <f t="shared" ca="1" si="659"/>
        <v>0</v>
      </c>
      <c r="V209" s="164">
        <f t="shared" ca="1" si="660"/>
        <v>0</v>
      </c>
      <c r="W209" s="164">
        <f t="shared" ca="1" si="661"/>
        <v>0</v>
      </c>
      <c r="X209" s="164">
        <f t="shared" ca="1" si="662"/>
        <v>0</v>
      </c>
      <c r="Y209" s="164">
        <f t="shared" ca="1" si="663"/>
        <v>0</v>
      </c>
      <c r="Z209" s="164">
        <f t="shared" ca="1" si="664"/>
        <v>0</v>
      </c>
      <c r="AA209" s="164">
        <f t="shared" ca="1" si="665"/>
        <v>0</v>
      </c>
      <c r="AB209" s="164">
        <f t="shared" ca="1" si="666"/>
        <v>0</v>
      </c>
      <c r="AC209" s="164">
        <f t="shared" ca="1" si="667"/>
        <v>0</v>
      </c>
      <c r="AD209" s="164">
        <f t="shared" ca="1" si="668"/>
        <v>0</v>
      </c>
      <c r="AE209" s="164">
        <f t="shared" ca="1" si="669"/>
        <v>0</v>
      </c>
      <c r="AF209" s="164">
        <f t="shared" ca="1" si="670"/>
        <v>0</v>
      </c>
      <c r="AG209" s="164">
        <f t="shared" ca="1" si="671"/>
        <v>0</v>
      </c>
      <c r="AH209" s="164">
        <f t="shared" ca="1" si="672"/>
        <v>0</v>
      </c>
      <c r="AI209" s="164">
        <f t="shared" ca="1" si="673"/>
        <v>0</v>
      </c>
      <c r="AJ209" s="164">
        <f t="shared" ca="1" si="674"/>
        <v>0</v>
      </c>
      <c r="AK209" s="164">
        <f t="shared" ca="1" si="675"/>
        <v>0</v>
      </c>
      <c r="AL209" s="164">
        <f t="shared" si="676"/>
        <v>0</v>
      </c>
      <c r="AM209" s="164">
        <f t="shared" ca="1" si="677"/>
        <v>0</v>
      </c>
      <c r="AN209" s="205"/>
      <c r="AO209" s="154">
        <f t="shared" ca="1" si="678"/>
        <v>0</v>
      </c>
      <c r="AP209" s="154">
        <f t="shared" ca="1" si="679"/>
        <v>0</v>
      </c>
      <c r="AQ209" s="154">
        <f t="shared" ca="1" si="680"/>
        <v>0</v>
      </c>
      <c r="AR209" s="154">
        <f t="shared" ca="1" si="681"/>
        <v>0</v>
      </c>
      <c r="AS209" s="154">
        <f t="shared" ca="1" si="682"/>
        <v>0</v>
      </c>
      <c r="AT209" s="154">
        <f t="shared" ca="1" si="683"/>
        <v>0</v>
      </c>
      <c r="AU209" s="154">
        <f t="shared" ca="1" si="684"/>
        <v>0</v>
      </c>
      <c r="AV209" s="154">
        <f t="shared" ca="1" si="685"/>
        <v>0</v>
      </c>
      <c r="AW209" s="154">
        <f t="shared" ca="1" si="686"/>
        <v>0</v>
      </c>
      <c r="AX209" s="154">
        <f t="shared" ca="1" si="687"/>
        <v>0</v>
      </c>
      <c r="AY209" s="154">
        <f t="shared" ca="1" si="688"/>
        <v>0</v>
      </c>
      <c r="AZ209" s="154">
        <f t="shared" ca="1" si="689"/>
        <v>0</v>
      </c>
      <c r="BA209" s="154">
        <f t="shared" ca="1" si="690"/>
        <v>0</v>
      </c>
      <c r="BB209" s="154">
        <f t="shared" ca="1" si="691"/>
        <v>0</v>
      </c>
      <c r="BC209" s="154">
        <f t="shared" ca="1" si="692"/>
        <v>0</v>
      </c>
      <c r="BD209" s="154">
        <f t="shared" ca="1" si="693"/>
        <v>0</v>
      </c>
      <c r="BE209" s="154">
        <f t="shared" ca="1" si="694"/>
        <v>0</v>
      </c>
      <c r="BF209" s="154">
        <f t="shared" ca="1" si="695"/>
        <v>0</v>
      </c>
      <c r="BG209" s="154">
        <f t="shared" ca="1" si="696"/>
        <v>0</v>
      </c>
      <c r="BH209" s="154">
        <f t="shared" ca="1" si="697"/>
        <v>0</v>
      </c>
      <c r="BI209" s="154">
        <f t="shared" ca="1" si="698"/>
        <v>0</v>
      </c>
      <c r="BJ209" s="154">
        <f t="shared" ca="1" si="699"/>
        <v>0</v>
      </c>
      <c r="BK209" s="154">
        <f t="shared" ca="1" si="700"/>
        <v>0</v>
      </c>
      <c r="BL209" s="154">
        <f t="shared" ca="1" si="701"/>
        <v>0</v>
      </c>
      <c r="BM209" s="154">
        <f t="shared" ca="1" si="702"/>
        <v>0</v>
      </c>
      <c r="BN209" s="1198">
        <f t="shared" si="719"/>
        <v>214</v>
      </c>
      <c r="BO209" s="1197" t="str">
        <f t="shared" si="703"/>
        <v>Rabensprache</v>
      </c>
      <c r="BP209" s="1197" t="str">
        <f t="shared" ca="1" si="704"/>
        <v>B</v>
      </c>
      <c r="BQ209" s="1197">
        <f t="shared" si="727"/>
        <v>33</v>
      </c>
      <c r="BR209" s="1198" t="str">
        <f t="shared" ca="1" si="720"/>
        <v/>
      </c>
      <c r="BS209" s="1198" t="s">
        <v>3871</v>
      </c>
      <c r="BT209" s="78"/>
      <c r="BU209" s="78"/>
      <c r="BV209" s="78"/>
      <c r="BW209" s="1197">
        <f t="shared" ca="1" si="721"/>
        <v>0</v>
      </c>
      <c r="BX209" s="1197">
        <f t="shared" ca="1" si="705"/>
        <v>0</v>
      </c>
      <c r="BY209" s="1197">
        <f t="shared" ca="1" si="706"/>
        <v>0</v>
      </c>
      <c r="BZ209" s="1081">
        <f t="shared" ca="1" si="707"/>
        <v>0</v>
      </c>
      <c r="CA209" s="1081">
        <f t="shared" ca="1" si="708"/>
        <v>0</v>
      </c>
      <c r="CB209" s="1081">
        <f t="shared" ca="1" si="709"/>
        <v>65</v>
      </c>
      <c r="CC209" s="1081">
        <f t="shared" ca="1" si="710"/>
        <v>66</v>
      </c>
      <c r="CD209" s="1081">
        <f t="shared" si="738"/>
        <v>0</v>
      </c>
      <c r="CE209" s="1081">
        <f t="shared" ca="1" si="711"/>
        <v>1</v>
      </c>
      <c r="CF209" s="1081">
        <f t="shared" ca="1" si="722"/>
        <v>0</v>
      </c>
      <c r="CG209" s="1198" t="str">
        <f t="shared" si="712"/>
        <v>Tulamidya-Familie</v>
      </c>
      <c r="CH209" s="1198" t="str">
        <f t="shared" ca="1" si="713"/>
        <v/>
      </c>
      <c r="CI209" s="1198"/>
      <c r="CJ209" s="1198"/>
      <c r="CK209" s="1198" t="str">
        <f t="shared" ca="1" si="723"/>
        <v/>
      </c>
      <c r="CL209" s="1198" t="str">
        <f t="shared" ca="1" si="724"/>
        <v/>
      </c>
      <c r="CM209" s="78"/>
      <c r="CN209" s="1081">
        <f t="shared" ca="1" si="725"/>
        <v>0</v>
      </c>
      <c r="CO209" s="1081">
        <f t="shared" ca="1" si="714"/>
        <v>0</v>
      </c>
      <c r="CP209" s="1081">
        <f t="shared" ca="1" si="726"/>
        <v>0</v>
      </c>
      <c r="DJ209" s="301" t="str">
        <f t="shared" ca="1" si="741"/>
        <v>A</v>
      </c>
      <c r="DK209" s="301" t="str">
        <f t="shared" ca="1" si="741"/>
        <v>A</v>
      </c>
      <c r="DL209" s="301" t="str">
        <f t="shared" ca="1" si="741"/>
        <v>A</v>
      </c>
      <c r="DM209" s="301" t="str">
        <f t="shared" ca="1" si="741"/>
        <v>A</v>
      </c>
      <c r="DN209" s="301" t="str">
        <f t="shared" ca="1" si="741"/>
        <v>A</v>
      </c>
      <c r="DO209" s="301" t="str">
        <f t="shared" ca="1" si="741"/>
        <v>A</v>
      </c>
      <c r="DP209" s="301" t="str">
        <f t="shared" ca="1" si="741"/>
        <v>A</v>
      </c>
      <c r="DQ209" s="301" t="str">
        <f t="shared" ca="1" si="741"/>
        <v>A</v>
      </c>
      <c r="DR209" s="301" t="str">
        <f t="shared" ca="1" si="741"/>
        <v>A</v>
      </c>
      <c r="DS209" s="301" t="str">
        <f t="shared" ca="1" si="741"/>
        <v>A</v>
      </c>
      <c r="DT209" s="301" t="str">
        <f t="shared" ca="1" si="742"/>
        <v>A</v>
      </c>
      <c r="DU209" s="301" t="str">
        <f t="shared" ca="1" si="742"/>
        <v>A</v>
      </c>
      <c r="DV209" s="301" t="str">
        <f t="shared" ca="1" si="742"/>
        <v>A</v>
      </c>
      <c r="DW209" s="301" t="str">
        <f t="shared" ca="1" si="742"/>
        <v>A</v>
      </c>
      <c r="DX209" s="301" t="str">
        <f t="shared" ca="1" si="742"/>
        <v>A</v>
      </c>
      <c r="DY209" s="301" t="str">
        <f t="shared" ca="1" si="742"/>
        <v>A</v>
      </c>
      <c r="DZ209" s="301" t="str">
        <f t="shared" ca="1" si="742"/>
        <v>A</v>
      </c>
      <c r="EA209" s="301" t="str">
        <f t="shared" ca="1" si="742"/>
        <v>A</v>
      </c>
      <c r="EB209" s="301" t="str">
        <f t="shared" ca="1" si="742"/>
        <v>A</v>
      </c>
      <c r="EC209" s="301" t="str">
        <f t="shared" ca="1" si="742"/>
        <v>A</v>
      </c>
      <c r="ED209" s="301" t="str">
        <f t="shared" ca="1" si="742"/>
        <v>A</v>
      </c>
      <c r="EE209" s="301" t="str">
        <f t="shared" ca="1" si="742"/>
        <v>A</v>
      </c>
      <c r="EF209" s="301">
        <f t="shared" si="717"/>
        <v>0</v>
      </c>
      <c r="EG209" s="1426" t="str">
        <f t="shared" ref="EG209:EN222" ca="1" si="743">IF(ISERR(FIND(";"&amp;EG$176&amp;":0;",$E209)),
CHAR($CC209+SUM(IF(ISERR(FIND(";"&amp;EG$176&amp;";",$E209)),0,-1),
IF(ISERR(FIND(";"&amp;EG$176&amp;":",$E209)),0,-VALUE(MID($E209,FIND(";"&amp;EG$176&amp;":",$E209)+LEN(EG$176)+2,1))),
IF(ISERR(FIND(";"&amp;EG$176&amp;"+",$E209)),0,VALUE(MID($E209,FIND(";"&amp;EG$176&amp;"+",$E209)+LEN(EG$176)+2,1))),
)),0)</f>
        <v>B</v>
      </c>
      <c r="EH209" s="1429" t="str">
        <f t="shared" ca="1" si="743"/>
        <v>B</v>
      </c>
      <c r="EI209" s="1429" t="str">
        <f t="shared" ca="1" si="743"/>
        <v>B</v>
      </c>
      <c r="EJ209" s="1429" t="str">
        <f t="shared" ca="1" si="743"/>
        <v>B</v>
      </c>
      <c r="EK209" s="1429" t="str">
        <f t="shared" ca="1" si="743"/>
        <v>B</v>
      </c>
      <c r="EL209" s="1429" t="str">
        <f t="shared" ca="1" si="743"/>
        <v>B</v>
      </c>
      <c r="EM209" s="1429" t="str">
        <f t="shared" ca="1" si="743"/>
        <v>B</v>
      </c>
      <c r="EN209" s="1429" t="str">
        <f t="shared" ca="1" si="743"/>
        <v>B</v>
      </c>
      <c r="EO209" s="1429" t="str">
        <f t="shared" ca="1" si="739"/>
        <v>B</v>
      </c>
      <c r="EP209" s="1429" t="str">
        <f t="shared" ca="1" si="739"/>
        <v>B</v>
      </c>
      <c r="EQ209" s="1429" t="str">
        <f t="shared" ca="1" si="739"/>
        <v>B</v>
      </c>
      <c r="ER209" s="1429" t="str">
        <f t="shared" ca="1" si="739"/>
        <v>B</v>
      </c>
      <c r="ES209" s="1429" t="str">
        <f t="shared" ca="1" si="739"/>
        <v>B</v>
      </c>
      <c r="ET209" s="1429" t="str">
        <f t="shared" ca="1" si="739"/>
        <v>B</v>
      </c>
      <c r="EU209" s="1429" t="str">
        <f t="shared" ca="1" si="739"/>
        <v>B</v>
      </c>
      <c r="EV209" s="1429" t="str">
        <f t="shared" ca="1" si="739"/>
        <v>B</v>
      </c>
      <c r="EW209" s="1429" t="str">
        <f t="shared" ca="1" si="740"/>
        <v>B</v>
      </c>
      <c r="EX209" s="1429" t="str">
        <f t="shared" ca="1" si="740"/>
        <v>B</v>
      </c>
      <c r="EY209" s="1429" t="str">
        <f t="shared" ca="1" si="740"/>
        <v>B</v>
      </c>
      <c r="EZ209" s="1429" t="str">
        <f t="shared" ca="1" si="740"/>
        <v>B</v>
      </c>
      <c r="FA209" s="1429" t="str">
        <f t="shared" ca="1" si="740"/>
        <v>B</v>
      </c>
      <c r="FB209" s="1429" t="str">
        <f t="shared" ca="1" si="740"/>
        <v>B</v>
      </c>
      <c r="FC209" s="1429" t="str">
        <f t="shared" ca="1" si="740"/>
        <v>B</v>
      </c>
      <c r="FD209" s="1429" t="str">
        <f t="shared" ca="1" si="740"/>
        <v>B</v>
      </c>
      <c r="FE209" s="1429" t="str">
        <f t="shared" ca="1" si="740"/>
        <v>B</v>
      </c>
      <c r="FF209" s="1429" t="str">
        <f t="shared" ca="1" si="740"/>
        <v>B</v>
      </c>
      <c r="FG209" s="1429" t="str">
        <f t="shared" ca="1" si="740"/>
        <v>B</v>
      </c>
      <c r="FH209" s="1429" t="str">
        <f t="shared" ca="1" si="740"/>
        <v>B</v>
      </c>
      <c r="FI209" s="1429" t="str">
        <f t="shared" ca="1" si="740"/>
        <v>B</v>
      </c>
      <c r="FJ209" s="1429" t="str">
        <f t="shared" ca="1" si="740"/>
        <v>B</v>
      </c>
      <c r="FK209" s="1429" t="str">
        <f t="shared" ca="1" si="740"/>
        <v>B</v>
      </c>
      <c r="FL209" s="1429" t="str">
        <f t="shared" ca="1" si="740"/>
        <v>B</v>
      </c>
    </row>
    <row r="210" spans="1:168" x14ac:dyDescent="0.2">
      <c r="A210" s="62" t="str">
        <f t="shared" si="649"/>
        <v>Rissoal</v>
      </c>
      <c r="B210" s="317" t="str">
        <f t="shared" ca="1" si="650"/>
        <v/>
      </c>
      <c r="C210" s="332" t="str">
        <f ca="1">IF(AND(EXACT($F210,""),EXACT($G210,"")),IF(OR(NOT(ISBLANK(D210)),NOT(EXACT(HLOOKUP(RASSEGENE,RASSE,$BN210,FALSE),"")),NOT(EXACT(HLOOKUP(KULTURGENE,KULTUR,$BN210,FALSE),"")),NOT(EXACT(HLOOKUP(PROFGENE,INDIRECT(PROFGEBIET),$BN210,FALSE),"")),
IF(LEN(PROFZWEITE)&lt;1,FALSE,NOT(EXACT(HLOOKUP(Generierung!$D$12,INDIRECT(PROFGEBIET2),$BN210,FALSE),"")))
),"x",""),"")</f>
        <v/>
      </c>
      <c r="D210" s="1110"/>
      <c r="E210" s="325"/>
      <c r="F210" s="388" t="str">
        <f t="shared" ca="1" si="651"/>
        <v/>
      </c>
      <c r="G210" s="388" t="str">
        <f t="shared" ca="1" si="652"/>
        <v/>
      </c>
      <c r="H210" s="389"/>
      <c r="I210" s="1196"/>
      <c r="J210" s="326"/>
      <c r="O210" s="514" t="str">
        <f t="shared" ca="1" si="653"/>
        <v/>
      </c>
      <c r="P210" s="164">
        <f t="shared" ca="1" si="654"/>
        <v>0</v>
      </c>
      <c r="Q210" s="164">
        <f t="shared" ca="1" si="655"/>
        <v>0</v>
      </c>
      <c r="R210" s="164">
        <f t="shared" ca="1" si="656"/>
        <v>0</v>
      </c>
      <c r="S210" s="164">
        <f t="shared" ca="1" si="657"/>
        <v>0</v>
      </c>
      <c r="T210" s="164">
        <f t="shared" ca="1" si="658"/>
        <v>0</v>
      </c>
      <c r="U210" s="164">
        <f t="shared" ca="1" si="659"/>
        <v>0</v>
      </c>
      <c r="V210" s="164">
        <f t="shared" ca="1" si="660"/>
        <v>0</v>
      </c>
      <c r="W210" s="164">
        <f t="shared" ca="1" si="661"/>
        <v>0</v>
      </c>
      <c r="X210" s="164">
        <f t="shared" ca="1" si="662"/>
        <v>0</v>
      </c>
      <c r="Y210" s="164">
        <f t="shared" ca="1" si="663"/>
        <v>0</v>
      </c>
      <c r="Z210" s="164">
        <f t="shared" ca="1" si="664"/>
        <v>0</v>
      </c>
      <c r="AA210" s="164">
        <f t="shared" ca="1" si="665"/>
        <v>0</v>
      </c>
      <c r="AB210" s="164">
        <f t="shared" ca="1" si="666"/>
        <v>0</v>
      </c>
      <c r="AC210" s="164">
        <f t="shared" ca="1" si="667"/>
        <v>0</v>
      </c>
      <c r="AD210" s="164">
        <f t="shared" ca="1" si="668"/>
        <v>0</v>
      </c>
      <c r="AE210" s="164">
        <f t="shared" ca="1" si="669"/>
        <v>0</v>
      </c>
      <c r="AF210" s="164">
        <f t="shared" ca="1" si="670"/>
        <v>0</v>
      </c>
      <c r="AG210" s="164">
        <f t="shared" ca="1" si="671"/>
        <v>0</v>
      </c>
      <c r="AH210" s="164">
        <f t="shared" ca="1" si="672"/>
        <v>0</v>
      </c>
      <c r="AI210" s="164">
        <f t="shared" ca="1" si="673"/>
        <v>0</v>
      </c>
      <c r="AJ210" s="164">
        <f t="shared" ca="1" si="674"/>
        <v>0</v>
      </c>
      <c r="AK210" s="164">
        <f t="shared" ca="1" si="675"/>
        <v>0</v>
      </c>
      <c r="AL210" s="164">
        <f t="shared" si="676"/>
        <v>0</v>
      </c>
      <c r="AM210" s="164">
        <f t="shared" ca="1" si="677"/>
        <v>0</v>
      </c>
      <c r="AN210" s="205"/>
      <c r="AO210" s="154">
        <f t="shared" ca="1" si="678"/>
        <v>0</v>
      </c>
      <c r="AP210" s="154">
        <f t="shared" ca="1" si="679"/>
        <v>0</v>
      </c>
      <c r="AQ210" s="154">
        <f t="shared" ca="1" si="680"/>
        <v>0</v>
      </c>
      <c r="AR210" s="154">
        <f t="shared" ca="1" si="681"/>
        <v>0</v>
      </c>
      <c r="AS210" s="154">
        <f t="shared" ca="1" si="682"/>
        <v>0</v>
      </c>
      <c r="AT210" s="154">
        <f t="shared" ca="1" si="683"/>
        <v>0</v>
      </c>
      <c r="AU210" s="154">
        <f t="shared" ca="1" si="684"/>
        <v>0</v>
      </c>
      <c r="AV210" s="154">
        <f t="shared" ca="1" si="685"/>
        <v>0</v>
      </c>
      <c r="AW210" s="154">
        <f t="shared" ca="1" si="686"/>
        <v>0</v>
      </c>
      <c r="AX210" s="154">
        <f t="shared" ca="1" si="687"/>
        <v>0</v>
      </c>
      <c r="AY210" s="154">
        <f t="shared" ca="1" si="688"/>
        <v>0</v>
      </c>
      <c r="AZ210" s="154">
        <f t="shared" ca="1" si="689"/>
        <v>0</v>
      </c>
      <c r="BA210" s="154">
        <f t="shared" ca="1" si="690"/>
        <v>0</v>
      </c>
      <c r="BB210" s="154">
        <f t="shared" ca="1" si="691"/>
        <v>0</v>
      </c>
      <c r="BC210" s="154">
        <f t="shared" ca="1" si="692"/>
        <v>0</v>
      </c>
      <c r="BD210" s="154">
        <f t="shared" ca="1" si="693"/>
        <v>0</v>
      </c>
      <c r="BE210" s="154">
        <f t="shared" ca="1" si="694"/>
        <v>0</v>
      </c>
      <c r="BF210" s="154">
        <f t="shared" ca="1" si="695"/>
        <v>0</v>
      </c>
      <c r="BG210" s="154">
        <f t="shared" ca="1" si="696"/>
        <v>0</v>
      </c>
      <c r="BH210" s="154">
        <f t="shared" ca="1" si="697"/>
        <v>0</v>
      </c>
      <c r="BI210" s="154">
        <f t="shared" ca="1" si="698"/>
        <v>0</v>
      </c>
      <c r="BJ210" s="154">
        <f t="shared" ca="1" si="699"/>
        <v>0</v>
      </c>
      <c r="BK210" s="154">
        <f t="shared" ca="1" si="700"/>
        <v>0</v>
      </c>
      <c r="BL210" s="154">
        <f t="shared" ca="1" si="701"/>
        <v>0</v>
      </c>
      <c r="BM210" s="154">
        <f t="shared" ca="1" si="702"/>
        <v>0</v>
      </c>
      <c r="BN210" s="1198">
        <f t="shared" si="719"/>
        <v>215</v>
      </c>
      <c r="BO210" s="1197" t="str">
        <f t="shared" si="703"/>
        <v>Rissoal</v>
      </c>
      <c r="BP210" s="1197" t="str">
        <f t="shared" ca="1" si="704"/>
        <v>B</v>
      </c>
      <c r="BQ210" s="1197">
        <f t="shared" si="727"/>
        <v>34</v>
      </c>
      <c r="BR210" s="1198" t="str">
        <f t="shared" ca="1" si="720"/>
        <v/>
      </c>
      <c r="BS210" s="1198" t="s">
        <v>997</v>
      </c>
      <c r="BT210" s="78"/>
      <c r="BU210" s="78"/>
      <c r="BV210" s="78"/>
      <c r="BW210" s="1197">
        <f t="shared" ca="1" si="721"/>
        <v>0</v>
      </c>
      <c r="BX210" s="1197">
        <f t="shared" ca="1" si="705"/>
        <v>0</v>
      </c>
      <c r="BY210" s="1197">
        <f t="shared" ca="1" si="706"/>
        <v>0</v>
      </c>
      <c r="BZ210" s="1081">
        <f t="shared" ca="1" si="707"/>
        <v>0</v>
      </c>
      <c r="CA210" s="1081">
        <f t="shared" ca="1" si="708"/>
        <v>0</v>
      </c>
      <c r="CB210" s="1081">
        <f t="shared" ca="1" si="709"/>
        <v>65</v>
      </c>
      <c r="CC210" s="1081">
        <f t="shared" ca="1" si="710"/>
        <v>66</v>
      </c>
      <c r="CD210" s="1081">
        <f t="shared" si="738"/>
        <v>0</v>
      </c>
      <c r="CE210" s="1081">
        <f t="shared" ca="1" si="711"/>
        <v>1</v>
      </c>
      <c r="CF210" s="1081">
        <f t="shared" ca="1" si="722"/>
        <v>0</v>
      </c>
      <c r="CG210" s="1198" t="str">
        <f t="shared" si="712"/>
        <v>Rissoal-Familie</v>
      </c>
      <c r="CH210" s="1198" t="str">
        <f t="shared" ca="1" si="713"/>
        <v/>
      </c>
      <c r="CI210" s="1198"/>
      <c r="CJ210" s="1198"/>
      <c r="CK210" s="1198" t="str">
        <f t="shared" ca="1" si="723"/>
        <v/>
      </c>
      <c r="CL210" s="1198" t="str">
        <f t="shared" ca="1" si="724"/>
        <v/>
      </c>
      <c r="CM210" s="78"/>
      <c r="CN210" s="1081">
        <f t="shared" ca="1" si="725"/>
        <v>0</v>
      </c>
      <c r="CO210" s="1081">
        <f t="shared" ca="1" si="714"/>
        <v>0</v>
      </c>
      <c r="CP210" s="1081">
        <f t="shared" ca="1" si="726"/>
        <v>0</v>
      </c>
      <c r="DJ210" s="301" t="str">
        <f t="shared" ca="1" si="741"/>
        <v>A</v>
      </c>
      <c r="DK210" s="301" t="str">
        <f t="shared" ca="1" si="741"/>
        <v>A</v>
      </c>
      <c r="DL210" s="301" t="str">
        <f t="shared" ca="1" si="741"/>
        <v>A</v>
      </c>
      <c r="DM210" s="301" t="str">
        <f t="shared" ca="1" si="741"/>
        <v>A</v>
      </c>
      <c r="DN210" s="301" t="str">
        <f t="shared" ca="1" si="741"/>
        <v>A</v>
      </c>
      <c r="DO210" s="301" t="str">
        <f t="shared" ca="1" si="741"/>
        <v>A</v>
      </c>
      <c r="DP210" s="301" t="str">
        <f t="shared" ca="1" si="741"/>
        <v>A</v>
      </c>
      <c r="DQ210" s="301" t="str">
        <f t="shared" ca="1" si="741"/>
        <v>A</v>
      </c>
      <c r="DR210" s="301" t="str">
        <f t="shared" ca="1" si="741"/>
        <v>A</v>
      </c>
      <c r="DS210" s="301" t="str">
        <f t="shared" ca="1" si="741"/>
        <v>A</v>
      </c>
      <c r="DT210" s="301" t="str">
        <f t="shared" ca="1" si="742"/>
        <v>A</v>
      </c>
      <c r="DU210" s="301" t="str">
        <f t="shared" ca="1" si="742"/>
        <v>A</v>
      </c>
      <c r="DV210" s="301" t="str">
        <f t="shared" ca="1" si="742"/>
        <v>A</v>
      </c>
      <c r="DW210" s="301" t="str">
        <f t="shared" ca="1" si="742"/>
        <v>A</v>
      </c>
      <c r="DX210" s="301" t="str">
        <f t="shared" ca="1" si="742"/>
        <v>A</v>
      </c>
      <c r="DY210" s="301" t="str">
        <f t="shared" ca="1" si="742"/>
        <v>A</v>
      </c>
      <c r="DZ210" s="301" t="str">
        <f t="shared" ca="1" si="742"/>
        <v>A</v>
      </c>
      <c r="EA210" s="301" t="str">
        <f t="shared" ca="1" si="742"/>
        <v>A</v>
      </c>
      <c r="EB210" s="301" t="str">
        <f t="shared" ca="1" si="742"/>
        <v>A</v>
      </c>
      <c r="EC210" s="301" t="str">
        <f t="shared" ca="1" si="742"/>
        <v>A</v>
      </c>
      <c r="ED210" s="301" t="str">
        <f t="shared" ca="1" si="742"/>
        <v>A</v>
      </c>
      <c r="EE210" s="301" t="str">
        <f t="shared" ca="1" si="742"/>
        <v>A</v>
      </c>
      <c r="EF210" s="301">
        <f t="shared" si="717"/>
        <v>0</v>
      </c>
      <c r="EG210" s="1426" t="str">
        <f t="shared" ca="1" si="743"/>
        <v>B</v>
      </c>
      <c r="EH210" s="1429" t="str">
        <f t="shared" ca="1" si="743"/>
        <v>B</v>
      </c>
      <c r="EI210" s="1429" t="str">
        <f t="shared" ca="1" si="743"/>
        <v>B</v>
      </c>
      <c r="EJ210" s="1429" t="str">
        <f t="shared" ca="1" si="743"/>
        <v>B</v>
      </c>
      <c r="EK210" s="1429" t="str">
        <f t="shared" ca="1" si="743"/>
        <v>B</v>
      </c>
      <c r="EL210" s="1429" t="str">
        <f t="shared" ca="1" si="743"/>
        <v>B</v>
      </c>
      <c r="EM210" s="1429" t="str">
        <f t="shared" ca="1" si="743"/>
        <v>B</v>
      </c>
      <c r="EN210" s="1429" t="str">
        <f t="shared" ca="1" si="743"/>
        <v>B</v>
      </c>
      <c r="EO210" s="1429" t="str">
        <f t="shared" ref="EO210:EV222" ca="1" si="744">IF(ISERR(FIND(";"&amp;EO$176&amp;":0;",$E210)),
CHAR($CC210+SUM(IF(ISERR(FIND(";"&amp;EO$176&amp;";",$E210)),0,-1),
IF(ISERR(FIND(";"&amp;EO$176&amp;":",$E210)),0,-VALUE(MID($E210,FIND(";"&amp;EO$176&amp;":",$E210)+LEN(EO$176)+2,1))),
IF(ISERR(FIND(";"&amp;EO$176&amp;"+",$E210)),0,VALUE(MID($E210,FIND(";"&amp;EO$176&amp;"+",$E210)+LEN(EO$176)+2,1))),
)),0)</f>
        <v>B</v>
      </c>
      <c r="EP210" s="1429" t="str">
        <f t="shared" ca="1" si="744"/>
        <v>B</v>
      </c>
      <c r="EQ210" s="1429" t="str">
        <f t="shared" ca="1" si="744"/>
        <v>B</v>
      </c>
      <c r="ER210" s="1429" t="str">
        <f t="shared" ca="1" si="744"/>
        <v>B</v>
      </c>
      <c r="ES210" s="1429" t="str">
        <f t="shared" ca="1" si="744"/>
        <v>B</v>
      </c>
      <c r="ET210" s="1429" t="str">
        <f t="shared" ca="1" si="744"/>
        <v>B</v>
      </c>
      <c r="EU210" s="1429" t="str">
        <f t="shared" ca="1" si="744"/>
        <v>B</v>
      </c>
      <c r="EV210" s="1429" t="str">
        <f t="shared" ca="1" si="744"/>
        <v>B</v>
      </c>
      <c r="EW210" s="1429" t="str">
        <f t="shared" ca="1" si="740"/>
        <v>B</v>
      </c>
      <c r="EX210" s="1429" t="str">
        <f t="shared" ca="1" si="740"/>
        <v>B</v>
      </c>
      <c r="EY210" s="1429" t="str">
        <f t="shared" ca="1" si="740"/>
        <v>B</v>
      </c>
      <c r="EZ210" s="1429" t="str">
        <f t="shared" ca="1" si="740"/>
        <v>B</v>
      </c>
      <c r="FA210" s="1429" t="str">
        <f t="shared" ca="1" si="740"/>
        <v>B</v>
      </c>
      <c r="FB210" s="1429" t="str">
        <f t="shared" ca="1" si="740"/>
        <v>B</v>
      </c>
      <c r="FC210" s="1429" t="str">
        <f t="shared" ca="1" si="740"/>
        <v>B</v>
      </c>
      <c r="FD210" s="1429" t="str">
        <f t="shared" ca="1" si="740"/>
        <v>B</v>
      </c>
      <c r="FE210" s="1429" t="str">
        <f t="shared" ca="1" si="740"/>
        <v>B</v>
      </c>
      <c r="FF210" s="1429" t="str">
        <f t="shared" ca="1" si="740"/>
        <v>B</v>
      </c>
      <c r="FG210" s="1429" t="str">
        <f t="shared" ca="1" si="740"/>
        <v>B</v>
      </c>
      <c r="FH210" s="1429" t="str">
        <f t="shared" ca="1" si="740"/>
        <v>B</v>
      </c>
      <c r="FI210" s="1429" t="str">
        <f t="shared" ca="1" si="740"/>
        <v>B</v>
      </c>
      <c r="FJ210" s="1429" t="str">
        <f t="shared" ca="1" si="740"/>
        <v>B</v>
      </c>
      <c r="FK210" s="1429" t="str">
        <f t="shared" ca="1" si="740"/>
        <v>B</v>
      </c>
      <c r="FL210" s="1429" t="str">
        <f t="shared" ca="1" si="740"/>
        <v>B</v>
      </c>
    </row>
    <row r="211" spans="1:168" x14ac:dyDescent="0.2">
      <c r="A211" s="62" t="str">
        <f t="shared" si="649"/>
        <v>Rogolan</v>
      </c>
      <c r="B211" s="317" t="str">
        <f t="shared" ca="1" si="650"/>
        <v/>
      </c>
      <c r="C211" s="332" t="str">
        <f ca="1">IF(AND(EXACT($F211,""),EXACT($G211,"")),IF(OR(NOT(ISBLANK(D211)),NOT(EXACT(HLOOKUP(RASSEGENE,RASSE,$BN211,FALSE),"")),NOT(EXACT(HLOOKUP(KULTURGENE,KULTUR,$BN211,FALSE),"")),NOT(EXACT(HLOOKUP(PROFGENE,INDIRECT(PROFGEBIET),$BN211,FALSE),"")),
IF(LEN(PROFZWEITE)&lt;1,FALSE,NOT(EXACT(HLOOKUP(Generierung!$D$12,INDIRECT(PROFGEBIET2),$BN211,FALSE),"")))
),"x",""),"")</f>
        <v/>
      </c>
      <c r="D211" s="1110"/>
      <c r="E211" s="325"/>
      <c r="F211" s="388" t="str">
        <f t="shared" ca="1" si="651"/>
        <v/>
      </c>
      <c r="G211" s="388" t="str">
        <f t="shared" ca="1" si="652"/>
        <v/>
      </c>
      <c r="H211" s="389"/>
      <c r="I211" s="1196"/>
      <c r="J211" s="326"/>
      <c r="O211" s="514" t="str">
        <f t="shared" ca="1" si="653"/>
        <v/>
      </c>
      <c r="P211" s="164">
        <f t="shared" ca="1" si="654"/>
        <v>0</v>
      </c>
      <c r="Q211" s="164">
        <f t="shared" ca="1" si="655"/>
        <v>0</v>
      </c>
      <c r="R211" s="164">
        <f t="shared" ca="1" si="656"/>
        <v>0</v>
      </c>
      <c r="S211" s="164">
        <f t="shared" ca="1" si="657"/>
        <v>0</v>
      </c>
      <c r="T211" s="164">
        <f t="shared" ca="1" si="658"/>
        <v>0</v>
      </c>
      <c r="U211" s="164">
        <f t="shared" ca="1" si="659"/>
        <v>0</v>
      </c>
      <c r="V211" s="164">
        <f t="shared" ca="1" si="660"/>
        <v>0</v>
      </c>
      <c r="W211" s="164">
        <f t="shared" ca="1" si="661"/>
        <v>0</v>
      </c>
      <c r="X211" s="164">
        <f t="shared" ca="1" si="662"/>
        <v>0</v>
      </c>
      <c r="Y211" s="164">
        <f t="shared" ca="1" si="663"/>
        <v>0</v>
      </c>
      <c r="Z211" s="164">
        <f t="shared" ca="1" si="664"/>
        <v>0</v>
      </c>
      <c r="AA211" s="164">
        <f t="shared" ca="1" si="665"/>
        <v>0</v>
      </c>
      <c r="AB211" s="164">
        <f t="shared" ca="1" si="666"/>
        <v>0</v>
      </c>
      <c r="AC211" s="164">
        <f t="shared" ca="1" si="667"/>
        <v>0</v>
      </c>
      <c r="AD211" s="164">
        <f t="shared" ca="1" si="668"/>
        <v>0</v>
      </c>
      <c r="AE211" s="164">
        <f t="shared" ca="1" si="669"/>
        <v>0</v>
      </c>
      <c r="AF211" s="164">
        <f t="shared" ca="1" si="670"/>
        <v>0</v>
      </c>
      <c r="AG211" s="164">
        <f t="shared" ca="1" si="671"/>
        <v>0</v>
      </c>
      <c r="AH211" s="164">
        <f t="shared" ca="1" si="672"/>
        <v>0</v>
      </c>
      <c r="AI211" s="164">
        <f t="shared" ca="1" si="673"/>
        <v>0</v>
      </c>
      <c r="AJ211" s="164">
        <f t="shared" ca="1" si="674"/>
        <v>0</v>
      </c>
      <c r="AK211" s="164">
        <f t="shared" ca="1" si="675"/>
        <v>0</v>
      </c>
      <c r="AL211" s="164">
        <f t="shared" si="676"/>
        <v>0</v>
      </c>
      <c r="AM211" s="164">
        <f t="shared" ca="1" si="677"/>
        <v>0</v>
      </c>
      <c r="AN211" s="205"/>
      <c r="AO211" s="154">
        <f t="shared" ca="1" si="678"/>
        <v>0</v>
      </c>
      <c r="AP211" s="154">
        <f t="shared" ca="1" si="679"/>
        <v>0</v>
      </c>
      <c r="AQ211" s="154">
        <f t="shared" ca="1" si="680"/>
        <v>0</v>
      </c>
      <c r="AR211" s="154">
        <f t="shared" ca="1" si="681"/>
        <v>0</v>
      </c>
      <c r="AS211" s="154">
        <f t="shared" ca="1" si="682"/>
        <v>0</v>
      </c>
      <c r="AT211" s="154">
        <f t="shared" ca="1" si="683"/>
        <v>0</v>
      </c>
      <c r="AU211" s="154">
        <f t="shared" ca="1" si="684"/>
        <v>0</v>
      </c>
      <c r="AV211" s="154">
        <f t="shared" ca="1" si="685"/>
        <v>0</v>
      </c>
      <c r="AW211" s="154">
        <f t="shared" ca="1" si="686"/>
        <v>0</v>
      </c>
      <c r="AX211" s="154">
        <f t="shared" ca="1" si="687"/>
        <v>0</v>
      </c>
      <c r="AY211" s="154">
        <f t="shared" ca="1" si="688"/>
        <v>0</v>
      </c>
      <c r="AZ211" s="154">
        <f t="shared" ca="1" si="689"/>
        <v>0</v>
      </c>
      <c r="BA211" s="154">
        <f t="shared" ca="1" si="690"/>
        <v>0</v>
      </c>
      <c r="BB211" s="154">
        <f t="shared" ca="1" si="691"/>
        <v>0</v>
      </c>
      <c r="BC211" s="154">
        <f t="shared" ca="1" si="692"/>
        <v>0</v>
      </c>
      <c r="BD211" s="154">
        <f t="shared" ca="1" si="693"/>
        <v>0</v>
      </c>
      <c r="BE211" s="154">
        <f t="shared" ca="1" si="694"/>
        <v>0</v>
      </c>
      <c r="BF211" s="154">
        <f t="shared" ca="1" si="695"/>
        <v>0</v>
      </c>
      <c r="BG211" s="154">
        <f t="shared" ca="1" si="696"/>
        <v>0</v>
      </c>
      <c r="BH211" s="154">
        <f t="shared" ca="1" si="697"/>
        <v>0</v>
      </c>
      <c r="BI211" s="154">
        <f t="shared" ca="1" si="698"/>
        <v>0</v>
      </c>
      <c r="BJ211" s="154">
        <f t="shared" ca="1" si="699"/>
        <v>0</v>
      </c>
      <c r="BK211" s="154">
        <f t="shared" ca="1" si="700"/>
        <v>0</v>
      </c>
      <c r="BL211" s="154">
        <f t="shared" ca="1" si="701"/>
        <v>0</v>
      </c>
      <c r="BM211" s="154">
        <f t="shared" ca="1" si="702"/>
        <v>0</v>
      </c>
      <c r="BN211" s="1198">
        <f t="shared" si="719"/>
        <v>216</v>
      </c>
      <c r="BO211" s="1197" t="str">
        <f t="shared" si="703"/>
        <v>Rogolan</v>
      </c>
      <c r="BP211" s="1197" t="str">
        <f t="shared" ca="1" si="704"/>
        <v>B</v>
      </c>
      <c r="BQ211" s="1197">
        <f t="shared" si="727"/>
        <v>35</v>
      </c>
      <c r="BR211" s="1198" t="str">
        <f t="shared" ca="1" si="720"/>
        <v/>
      </c>
      <c r="BS211" s="1198" t="s">
        <v>2795</v>
      </c>
      <c r="BT211" s="78"/>
      <c r="BU211" s="78"/>
      <c r="BV211" s="78"/>
      <c r="BW211" s="1197">
        <f t="shared" ca="1" si="721"/>
        <v>0</v>
      </c>
      <c r="BX211" s="1197">
        <f t="shared" ca="1" si="705"/>
        <v>0</v>
      </c>
      <c r="BY211" s="1197">
        <f t="shared" ca="1" si="706"/>
        <v>0</v>
      </c>
      <c r="BZ211" s="1081">
        <f t="shared" ca="1" si="707"/>
        <v>0</v>
      </c>
      <c r="CA211" s="1081">
        <f t="shared" ca="1" si="708"/>
        <v>0</v>
      </c>
      <c r="CB211" s="1081">
        <f t="shared" ca="1" si="709"/>
        <v>65</v>
      </c>
      <c r="CC211" s="1081">
        <f t="shared" ca="1" si="710"/>
        <v>66</v>
      </c>
      <c r="CD211" s="1081">
        <f t="shared" si="738"/>
        <v>0</v>
      </c>
      <c r="CE211" s="1081">
        <f t="shared" ca="1" si="711"/>
        <v>1</v>
      </c>
      <c r="CF211" s="1081">
        <f t="shared" ca="1" si="722"/>
        <v>0</v>
      </c>
      <c r="CG211" s="1198" t="str">
        <f t="shared" si="712"/>
        <v>Zwergisch-Familie</v>
      </c>
      <c r="CH211" s="1198" t="str">
        <f t="shared" ca="1" si="713"/>
        <v/>
      </c>
      <c r="CI211" s="1198"/>
      <c r="CJ211" s="1198"/>
      <c r="CK211" s="1198" t="str">
        <f t="shared" ca="1" si="723"/>
        <v/>
      </c>
      <c r="CL211" s="1198" t="str">
        <f t="shared" ca="1" si="724"/>
        <v/>
      </c>
      <c r="CM211" s="78"/>
      <c r="CN211" s="1081">
        <f t="shared" ca="1" si="725"/>
        <v>0</v>
      </c>
      <c r="CO211" s="1081">
        <f t="shared" ca="1" si="714"/>
        <v>0</v>
      </c>
      <c r="CP211" s="1081">
        <f t="shared" ca="1" si="726"/>
        <v>0</v>
      </c>
      <c r="DJ211" s="301" t="str">
        <f t="shared" ca="1" si="741"/>
        <v>A</v>
      </c>
      <c r="DK211" s="301" t="str">
        <f t="shared" ca="1" si="741"/>
        <v>A</v>
      </c>
      <c r="DL211" s="301" t="str">
        <f t="shared" ca="1" si="741"/>
        <v>A</v>
      </c>
      <c r="DM211" s="301" t="str">
        <f t="shared" ca="1" si="741"/>
        <v>A</v>
      </c>
      <c r="DN211" s="301" t="str">
        <f t="shared" ca="1" si="741"/>
        <v>A</v>
      </c>
      <c r="DO211" s="301" t="str">
        <f t="shared" ca="1" si="741"/>
        <v>A</v>
      </c>
      <c r="DP211" s="301" t="str">
        <f t="shared" ca="1" si="741"/>
        <v>A</v>
      </c>
      <c r="DQ211" s="301" t="str">
        <f t="shared" ca="1" si="741"/>
        <v>A</v>
      </c>
      <c r="DR211" s="301" t="str">
        <f t="shared" ca="1" si="741"/>
        <v>A</v>
      </c>
      <c r="DS211" s="301" t="str">
        <f t="shared" ca="1" si="741"/>
        <v>A</v>
      </c>
      <c r="DT211" s="301" t="str">
        <f t="shared" ca="1" si="742"/>
        <v>A</v>
      </c>
      <c r="DU211" s="301" t="str">
        <f t="shared" ca="1" si="742"/>
        <v>A</v>
      </c>
      <c r="DV211" s="301" t="str">
        <f t="shared" ca="1" si="742"/>
        <v>A</v>
      </c>
      <c r="DW211" s="301" t="str">
        <f t="shared" ca="1" si="742"/>
        <v>A</v>
      </c>
      <c r="DX211" s="301" t="str">
        <f t="shared" ca="1" si="742"/>
        <v>A</v>
      </c>
      <c r="DY211" s="301" t="str">
        <f t="shared" ca="1" si="742"/>
        <v>A</v>
      </c>
      <c r="DZ211" s="301" t="str">
        <f t="shared" ca="1" si="742"/>
        <v>A</v>
      </c>
      <c r="EA211" s="301" t="str">
        <f t="shared" ca="1" si="742"/>
        <v>A</v>
      </c>
      <c r="EB211" s="301" t="str">
        <f t="shared" ca="1" si="742"/>
        <v>A</v>
      </c>
      <c r="EC211" s="301" t="str">
        <f t="shared" ca="1" si="742"/>
        <v>A</v>
      </c>
      <c r="ED211" s="301" t="str">
        <f t="shared" ca="1" si="742"/>
        <v>A</v>
      </c>
      <c r="EE211" s="301" t="str">
        <f t="shared" ca="1" si="742"/>
        <v>A</v>
      </c>
      <c r="EF211" s="301">
        <f t="shared" si="717"/>
        <v>0</v>
      </c>
      <c r="EG211" s="1426" t="str">
        <f t="shared" ca="1" si="743"/>
        <v>B</v>
      </c>
      <c r="EH211" s="1429" t="str">
        <f t="shared" ca="1" si="743"/>
        <v>B</v>
      </c>
      <c r="EI211" s="1429" t="str">
        <f t="shared" ca="1" si="743"/>
        <v>B</v>
      </c>
      <c r="EJ211" s="1429" t="str">
        <f t="shared" ca="1" si="743"/>
        <v>B</v>
      </c>
      <c r="EK211" s="1429" t="str">
        <f t="shared" ca="1" si="743"/>
        <v>B</v>
      </c>
      <c r="EL211" s="1429" t="str">
        <f t="shared" ca="1" si="743"/>
        <v>B</v>
      </c>
      <c r="EM211" s="1429" t="str">
        <f t="shared" ca="1" si="743"/>
        <v>B</v>
      </c>
      <c r="EN211" s="1429" t="str">
        <f t="shared" ca="1" si="743"/>
        <v>B</v>
      </c>
      <c r="EO211" s="1429" t="str">
        <f t="shared" ca="1" si="744"/>
        <v>B</v>
      </c>
      <c r="EP211" s="1429" t="str">
        <f t="shared" ca="1" si="744"/>
        <v>B</v>
      </c>
      <c r="EQ211" s="1429" t="str">
        <f t="shared" ca="1" si="744"/>
        <v>B</v>
      </c>
      <c r="ER211" s="1429" t="str">
        <f t="shared" ca="1" si="744"/>
        <v>B</v>
      </c>
      <c r="ES211" s="1429" t="str">
        <f t="shared" ca="1" si="744"/>
        <v>B</v>
      </c>
      <c r="ET211" s="1429" t="str">
        <f t="shared" ca="1" si="744"/>
        <v>B</v>
      </c>
      <c r="EU211" s="1429" t="str">
        <f t="shared" ca="1" si="744"/>
        <v>B</v>
      </c>
      <c r="EV211" s="1429" t="str">
        <f t="shared" ca="1" si="744"/>
        <v>B</v>
      </c>
      <c r="EW211" s="1429" t="str">
        <f t="shared" ref="EW211:FL217" ca="1" si="745">IF(ISERR(FIND(";"&amp;EW$176&amp;":0;",$E211)),
CHAR($CC211+SUM(IF(ISERR(FIND(";"&amp;EW$176&amp;";",$E211)),0,-1),
IF(ISERR(FIND(";"&amp;EW$176&amp;":",$E211)),0,-VALUE(MID($E211,FIND(";"&amp;EW$176&amp;":",$E211)+LEN(EW$176)+2,1))),
IF(ISERR(FIND(";"&amp;EW$176&amp;"+",$E211)),0,VALUE(MID($E211,FIND(";"&amp;EW$176&amp;"+",$E211)+LEN(EW$176)+2,1))),
)),0)</f>
        <v>B</v>
      </c>
      <c r="EX211" s="1429" t="str">
        <f t="shared" ca="1" si="745"/>
        <v>B</v>
      </c>
      <c r="EY211" s="1429" t="str">
        <f t="shared" ca="1" si="745"/>
        <v>B</v>
      </c>
      <c r="EZ211" s="1429" t="str">
        <f t="shared" ca="1" si="745"/>
        <v>B</v>
      </c>
      <c r="FA211" s="1429" t="str">
        <f t="shared" ca="1" si="745"/>
        <v>B</v>
      </c>
      <c r="FB211" s="1429" t="str">
        <f t="shared" ca="1" si="745"/>
        <v>B</v>
      </c>
      <c r="FC211" s="1429" t="str">
        <f t="shared" ca="1" si="745"/>
        <v>B</v>
      </c>
      <c r="FD211" s="1429" t="str">
        <f t="shared" ca="1" si="745"/>
        <v>B</v>
      </c>
      <c r="FE211" s="1429" t="str">
        <f t="shared" ca="1" si="745"/>
        <v>B</v>
      </c>
      <c r="FF211" s="1429" t="str">
        <f t="shared" ca="1" si="745"/>
        <v>B</v>
      </c>
      <c r="FG211" s="1429" t="str">
        <f t="shared" ca="1" si="745"/>
        <v>B</v>
      </c>
      <c r="FH211" s="1429" t="str">
        <f t="shared" ca="1" si="745"/>
        <v>B</v>
      </c>
      <c r="FI211" s="1429" t="str">
        <f t="shared" ca="1" si="745"/>
        <v>B</v>
      </c>
      <c r="FJ211" s="1429" t="str">
        <f t="shared" ca="1" si="745"/>
        <v>B</v>
      </c>
      <c r="FK211" s="1429" t="str">
        <f t="shared" ca="1" si="745"/>
        <v>B</v>
      </c>
      <c r="FL211" s="1429" t="str">
        <f t="shared" ca="1" si="745"/>
        <v>B</v>
      </c>
    </row>
    <row r="212" spans="1:168" x14ac:dyDescent="0.2">
      <c r="A212" s="62" t="str">
        <f t="shared" si="649"/>
        <v>Rssahh</v>
      </c>
      <c r="B212" s="317" t="str">
        <f t="shared" ca="1" si="650"/>
        <v/>
      </c>
      <c r="C212" s="332" t="str">
        <f ca="1">IF(AND(EXACT($F212,""),EXACT($G212,"")),IF(OR(NOT(ISBLANK(D212)),NOT(EXACT(HLOOKUP(RASSEGENE,RASSE,$BN212,FALSE),"")),NOT(EXACT(HLOOKUP(KULTURGENE,KULTUR,$BN212,FALSE),"")),NOT(EXACT(HLOOKUP(PROFGENE,INDIRECT(PROFGEBIET),$BN212,FALSE),"")),
IF(LEN(PROFZWEITE)&lt;1,FALSE,NOT(EXACT(HLOOKUP(Generierung!$D$12,INDIRECT(PROFGEBIET2),$BN212,FALSE),"")))
),"x",""),"")</f>
        <v/>
      </c>
      <c r="D212" s="1110"/>
      <c r="E212" s="325"/>
      <c r="F212" s="388" t="str">
        <f t="shared" ca="1" si="651"/>
        <v/>
      </c>
      <c r="G212" s="388" t="str">
        <f t="shared" ca="1" si="652"/>
        <v/>
      </c>
      <c r="H212" s="389"/>
      <c r="I212" s="1196"/>
      <c r="J212" s="326"/>
      <c r="O212" s="514" t="str">
        <f t="shared" ca="1" si="653"/>
        <v/>
      </c>
      <c r="P212" s="164">
        <f t="shared" ca="1" si="654"/>
        <v>0</v>
      </c>
      <c r="Q212" s="164">
        <f t="shared" ca="1" si="655"/>
        <v>0</v>
      </c>
      <c r="R212" s="164">
        <f t="shared" ca="1" si="656"/>
        <v>0</v>
      </c>
      <c r="S212" s="164">
        <f t="shared" ca="1" si="657"/>
        <v>0</v>
      </c>
      <c r="T212" s="164">
        <f t="shared" ca="1" si="658"/>
        <v>0</v>
      </c>
      <c r="U212" s="164">
        <f t="shared" ca="1" si="659"/>
        <v>0</v>
      </c>
      <c r="V212" s="164">
        <f t="shared" ca="1" si="660"/>
        <v>0</v>
      </c>
      <c r="W212" s="164">
        <f t="shared" ca="1" si="661"/>
        <v>0</v>
      </c>
      <c r="X212" s="164">
        <f t="shared" ca="1" si="662"/>
        <v>0</v>
      </c>
      <c r="Y212" s="164">
        <f t="shared" ca="1" si="663"/>
        <v>0</v>
      </c>
      <c r="Z212" s="164">
        <f t="shared" ca="1" si="664"/>
        <v>0</v>
      </c>
      <c r="AA212" s="164">
        <f t="shared" ca="1" si="665"/>
        <v>0</v>
      </c>
      <c r="AB212" s="164">
        <f t="shared" ca="1" si="666"/>
        <v>0</v>
      </c>
      <c r="AC212" s="164">
        <f t="shared" ca="1" si="667"/>
        <v>0</v>
      </c>
      <c r="AD212" s="164">
        <f t="shared" ca="1" si="668"/>
        <v>0</v>
      </c>
      <c r="AE212" s="164">
        <f t="shared" ca="1" si="669"/>
        <v>0</v>
      </c>
      <c r="AF212" s="164">
        <f t="shared" ca="1" si="670"/>
        <v>0</v>
      </c>
      <c r="AG212" s="164">
        <f t="shared" ca="1" si="671"/>
        <v>0</v>
      </c>
      <c r="AH212" s="164">
        <f t="shared" ca="1" si="672"/>
        <v>0</v>
      </c>
      <c r="AI212" s="164">
        <f t="shared" ca="1" si="673"/>
        <v>0</v>
      </c>
      <c r="AJ212" s="164">
        <f t="shared" ca="1" si="674"/>
        <v>0</v>
      </c>
      <c r="AK212" s="164">
        <f t="shared" ca="1" si="675"/>
        <v>0</v>
      </c>
      <c r="AL212" s="164">
        <f t="shared" si="676"/>
        <v>0</v>
      </c>
      <c r="AM212" s="164">
        <f t="shared" ca="1" si="677"/>
        <v>0</v>
      </c>
      <c r="AN212" s="205"/>
      <c r="AO212" s="154">
        <f t="shared" ca="1" si="678"/>
        <v>0</v>
      </c>
      <c r="AP212" s="154">
        <f t="shared" ca="1" si="679"/>
        <v>0</v>
      </c>
      <c r="AQ212" s="154">
        <f t="shared" ca="1" si="680"/>
        <v>0</v>
      </c>
      <c r="AR212" s="154">
        <f t="shared" ca="1" si="681"/>
        <v>0</v>
      </c>
      <c r="AS212" s="154">
        <f t="shared" ca="1" si="682"/>
        <v>0</v>
      </c>
      <c r="AT212" s="154">
        <f t="shared" ca="1" si="683"/>
        <v>0</v>
      </c>
      <c r="AU212" s="154">
        <f t="shared" ca="1" si="684"/>
        <v>0</v>
      </c>
      <c r="AV212" s="154">
        <f t="shared" ca="1" si="685"/>
        <v>0</v>
      </c>
      <c r="AW212" s="154">
        <f t="shared" ca="1" si="686"/>
        <v>0</v>
      </c>
      <c r="AX212" s="154">
        <f t="shared" ca="1" si="687"/>
        <v>0</v>
      </c>
      <c r="AY212" s="154">
        <f t="shared" ca="1" si="688"/>
        <v>0</v>
      </c>
      <c r="AZ212" s="154">
        <f t="shared" ca="1" si="689"/>
        <v>0</v>
      </c>
      <c r="BA212" s="154">
        <f t="shared" ca="1" si="690"/>
        <v>0</v>
      </c>
      <c r="BB212" s="154">
        <f t="shared" ca="1" si="691"/>
        <v>0</v>
      </c>
      <c r="BC212" s="154">
        <f t="shared" ca="1" si="692"/>
        <v>0</v>
      </c>
      <c r="BD212" s="154">
        <f t="shared" ca="1" si="693"/>
        <v>0</v>
      </c>
      <c r="BE212" s="154">
        <f t="shared" ca="1" si="694"/>
        <v>0</v>
      </c>
      <c r="BF212" s="154">
        <f t="shared" ca="1" si="695"/>
        <v>0</v>
      </c>
      <c r="BG212" s="154">
        <f t="shared" ca="1" si="696"/>
        <v>0</v>
      </c>
      <c r="BH212" s="154">
        <f t="shared" ca="1" si="697"/>
        <v>0</v>
      </c>
      <c r="BI212" s="154">
        <f t="shared" ca="1" si="698"/>
        <v>0</v>
      </c>
      <c r="BJ212" s="154">
        <f t="shared" ca="1" si="699"/>
        <v>0</v>
      </c>
      <c r="BK212" s="154">
        <f t="shared" ca="1" si="700"/>
        <v>0</v>
      </c>
      <c r="BL212" s="154">
        <f t="shared" ca="1" si="701"/>
        <v>0</v>
      </c>
      <c r="BM212" s="154">
        <f t="shared" ca="1" si="702"/>
        <v>0</v>
      </c>
      <c r="BN212" s="1198">
        <f t="shared" si="719"/>
        <v>217</v>
      </c>
      <c r="BO212" s="1197" t="str">
        <f t="shared" si="703"/>
        <v>Rssahh</v>
      </c>
      <c r="BP212" s="1197" t="str">
        <f t="shared" ca="1" si="704"/>
        <v>B</v>
      </c>
      <c r="BQ212" s="1197">
        <f t="shared" si="727"/>
        <v>36</v>
      </c>
      <c r="BR212" s="1198" t="str">
        <f t="shared" ca="1" si="720"/>
        <v/>
      </c>
      <c r="BS212" s="1198" t="s">
        <v>3872</v>
      </c>
      <c r="BT212" s="78"/>
      <c r="BU212" s="78"/>
      <c r="BV212" s="78"/>
      <c r="BW212" s="1197">
        <f t="shared" ca="1" si="721"/>
        <v>0</v>
      </c>
      <c r="BX212" s="1197">
        <f t="shared" ca="1" si="705"/>
        <v>0</v>
      </c>
      <c r="BY212" s="1197">
        <f t="shared" ca="1" si="706"/>
        <v>0</v>
      </c>
      <c r="BZ212" s="1081">
        <f t="shared" ca="1" si="707"/>
        <v>0</v>
      </c>
      <c r="CA212" s="1081">
        <f t="shared" ca="1" si="708"/>
        <v>0</v>
      </c>
      <c r="CB212" s="1081">
        <f t="shared" ca="1" si="709"/>
        <v>65</v>
      </c>
      <c r="CC212" s="1081">
        <f t="shared" ca="1" si="710"/>
        <v>66</v>
      </c>
      <c r="CD212" s="1081">
        <f t="shared" si="738"/>
        <v>0</v>
      </c>
      <c r="CE212" s="1081">
        <f t="shared" ca="1" si="711"/>
        <v>1</v>
      </c>
      <c r="CF212" s="1081">
        <f t="shared" ca="1" si="722"/>
        <v>0</v>
      </c>
      <c r="CG212" s="1198" t="str">
        <f t="shared" si="712"/>
        <v>Rssahh</v>
      </c>
      <c r="CH212" s="1198" t="str">
        <f t="shared" ca="1" si="713"/>
        <v/>
      </c>
      <c r="CI212" s="1198"/>
      <c r="CJ212" s="1198"/>
      <c r="CK212" s="1198" t="str">
        <f t="shared" ca="1" si="723"/>
        <v/>
      </c>
      <c r="CL212" s="1198" t="str">
        <f t="shared" ca="1" si="724"/>
        <v/>
      </c>
      <c r="CM212" s="78"/>
      <c r="CN212" s="1081">
        <f t="shared" ca="1" si="725"/>
        <v>0</v>
      </c>
      <c r="CO212" s="1081">
        <f t="shared" ca="1" si="714"/>
        <v>0</v>
      </c>
      <c r="CP212" s="1081">
        <f t="shared" ca="1" si="726"/>
        <v>0</v>
      </c>
      <c r="DJ212" s="301" t="str">
        <f t="shared" ca="1" si="741"/>
        <v>A</v>
      </c>
      <c r="DK212" s="301" t="str">
        <f t="shared" ca="1" si="741"/>
        <v>A</v>
      </c>
      <c r="DL212" s="301" t="str">
        <f t="shared" ca="1" si="741"/>
        <v>A</v>
      </c>
      <c r="DM212" s="301" t="str">
        <f t="shared" ca="1" si="741"/>
        <v>A</v>
      </c>
      <c r="DN212" s="301" t="str">
        <f t="shared" ca="1" si="741"/>
        <v>A</v>
      </c>
      <c r="DO212" s="301" t="str">
        <f t="shared" ca="1" si="741"/>
        <v>A</v>
      </c>
      <c r="DP212" s="301" t="str">
        <f t="shared" ca="1" si="741"/>
        <v>A</v>
      </c>
      <c r="DQ212" s="301" t="str">
        <f t="shared" ca="1" si="741"/>
        <v>A</v>
      </c>
      <c r="DR212" s="301" t="str">
        <f t="shared" ca="1" si="741"/>
        <v>A</v>
      </c>
      <c r="DS212" s="301" t="str">
        <f t="shared" ca="1" si="741"/>
        <v>A</v>
      </c>
      <c r="DT212" s="301" t="str">
        <f t="shared" ca="1" si="742"/>
        <v>A</v>
      </c>
      <c r="DU212" s="301" t="str">
        <f t="shared" ca="1" si="742"/>
        <v>A</v>
      </c>
      <c r="DV212" s="301" t="str">
        <f t="shared" ca="1" si="742"/>
        <v>A</v>
      </c>
      <c r="DW212" s="301" t="str">
        <f t="shared" ca="1" si="742"/>
        <v>A</v>
      </c>
      <c r="DX212" s="301" t="str">
        <f t="shared" ca="1" si="742"/>
        <v>A</v>
      </c>
      <c r="DY212" s="301" t="str">
        <f t="shared" ca="1" si="742"/>
        <v>A</v>
      </c>
      <c r="DZ212" s="301" t="str">
        <f t="shared" ca="1" si="742"/>
        <v>A</v>
      </c>
      <c r="EA212" s="301" t="str">
        <f t="shared" ca="1" si="742"/>
        <v>A</v>
      </c>
      <c r="EB212" s="301" t="str">
        <f t="shared" ca="1" si="742"/>
        <v>A</v>
      </c>
      <c r="EC212" s="301" t="str">
        <f t="shared" ca="1" si="742"/>
        <v>A</v>
      </c>
      <c r="ED212" s="301" t="str">
        <f t="shared" ca="1" si="742"/>
        <v>A</v>
      </c>
      <c r="EE212" s="301" t="str">
        <f t="shared" ca="1" si="742"/>
        <v>A</v>
      </c>
      <c r="EF212" s="301">
        <f t="shared" si="717"/>
        <v>0</v>
      </c>
      <c r="EG212" s="1426" t="str">
        <f t="shared" ca="1" si="743"/>
        <v>B</v>
      </c>
      <c r="EH212" s="1429" t="str">
        <f t="shared" ca="1" si="743"/>
        <v>B</v>
      </c>
      <c r="EI212" s="1429" t="str">
        <f t="shared" ca="1" si="743"/>
        <v>B</v>
      </c>
      <c r="EJ212" s="1429" t="str">
        <f t="shared" ca="1" si="743"/>
        <v>B</v>
      </c>
      <c r="EK212" s="1429" t="str">
        <f t="shared" ca="1" si="743"/>
        <v>B</v>
      </c>
      <c r="EL212" s="1429" t="str">
        <f t="shared" ca="1" si="743"/>
        <v>B</v>
      </c>
      <c r="EM212" s="1429" t="str">
        <f t="shared" ca="1" si="743"/>
        <v>B</v>
      </c>
      <c r="EN212" s="1429" t="str">
        <f t="shared" ca="1" si="743"/>
        <v>B</v>
      </c>
      <c r="EO212" s="1429" t="str">
        <f t="shared" ca="1" si="744"/>
        <v>B</v>
      </c>
      <c r="EP212" s="1429" t="str">
        <f t="shared" ca="1" si="744"/>
        <v>B</v>
      </c>
      <c r="EQ212" s="1429" t="str">
        <f t="shared" ca="1" si="744"/>
        <v>B</v>
      </c>
      <c r="ER212" s="1429" t="str">
        <f t="shared" ca="1" si="744"/>
        <v>B</v>
      </c>
      <c r="ES212" s="1429" t="str">
        <f t="shared" ca="1" si="744"/>
        <v>B</v>
      </c>
      <c r="ET212" s="1429" t="str">
        <f t="shared" ca="1" si="744"/>
        <v>B</v>
      </c>
      <c r="EU212" s="1429" t="str">
        <f t="shared" ca="1" si="744"/>
        <v>B</v>
      </c>
      <c r="EV212" s="1429" t="str">
        <f t="shared" ca="1" si="744"/>
        <v>B</v>
      </c>
      <c r="EW212" s="1429" t="str">
        <f t="shared" ca="1" si="745"/>
        <v>B</v>
      </c>
      <c r="EX212" s="1429" t="str">
        <f t="shared" ca="1" si="745"/>
        <v>B</v>
      </c>
      <c r="EY212" s="1429" t="str">
        <f t="shared" ca="1" si="745"/>
        <v>B</v>
      </c>
      <c r="EZ212" s="1429" t="str">
        <f t="shared" ca="1" si="745"/>
        <v>B</v>
      </c>
      <c r="FA212" s="1429" t="str">
        <f t="shared" ca="1" si="745"/>
        <v>B</v>
      </c>
      <c r="FB212" s="1429" t="str">
        <f t="shared" ca="1" si="745"/>
        <v>B</v>
      </c>
      <c r="FC212" s="1429" t="str">
        <f t="shared" ca="1" si="745"/>
        <v>B</v>
      </c>
      <c r="FD212" s="1429" t="str">
        <f t="shared" ca="1" si="745"/>
        <v>B</v>
      </c>
      <c r="FE212" s="1429" t="str">
        <f t="shared" ca="1" si="745"/>
        <v>B</v>
      </c>
      <c r="FF212" s="1429" t="str">
        <f t="shared" ca="1" si="745"/>
        <v>B</v>
      </c>
      <c r="FG212" s="1429" t="str">
        <f t="shared" ca="1" si="745"/>
        <v>B</v>
      </c>
      <c r="FH212" s="1429" t="str">
        <f t="shared" ca="1" si="745"/>
        <v>B</v>
      </c>
      <c r="FI212" s="1429" t="str">
        <f t="shared" ca="1" si="745"/>
        <v>B</v>
      </c>
      <c r="FJ212" s="1429" t="str">
        <f t="shared" ca="1" si="745"/>
        <v>B</v>
      </c>
      <c r="FK212" s="1429" t="str">
        <f t="shared" ca="1" si="745"/>
        <v>B</v>
      </c>
      <c r="FL212" s="1429" t="str">
        <f t="shared" ca="1" si="745"/>
        <v>B</v>
      </c>
    </row>
    <row r="213" spans="1:168" x14ac:dyDescent="0.2">
      <c r="A213" s="62" t="str">
        <f t="shared" si="649"/>
        <v>Ruuz ('Ur-Maraskanisch' )</v>
      </c>
      <c r="B213" s="317" t="str">
        <f t="shared" ca="1" si="650"/>
        <v/>
      </c>
      <c r="C213" s="332" t="str">
        <f ca="1">IF(AND(EXACT($F213,""),EXACT($G213,"")),IF(OR(NOT(ISBLANK(D213)),NOT(EXACT(HLOOKUP(RASSEGENE,RASSE,$BN213,FALSE),"")),NOT(EXACT(HLOOKUP(KULTURGENE,KULTUR,$BN213,FALSE),"")),NOT(EXACT(HLOOKUP(PROFGENE,INDIRECT(PROFGEBIET),$BN213,FALSE),"")),
IF(LEN(PROFZWEITE)&lt;1,FALSE,NOT(EXACT(HLOOKUP(Generierung!$D$12,INDIRECT(PROFGEBIET2),$BN213,FALSE),"")))
),"x",""),"")</f>
        <v/>
      </c>
      <c r="D213" s="1110"/>
      <c r="E213" s="325"/>
      <c r="F213" s="388" t="str">
        <f t="shared" ca="1" si="651"/>
        <v/>
      </c>
      <c r="G213" s="388" t="str">
        <f t="shared" ca="1" si="652"/>
        <v/>
      </c>
      <c r="H213" s="389"/>
      <c r="I213" s="1196"/>
      <c r="J213" s="326"/>
      <c r="O213" s="514" t="str">
        <f t="shared" ca="1" si="653"/>
        <v/>
      </c>
      <c r="P213" s="164">
        <f t="shared" ca="1" si="654"/>
        <v>0</v>
      </c>
      <c r="Q213" s="164">
        <f t="shared" ca="1" si="655"/>
        <v>0</v>
      </c>
      <c r="R213" s="164">
        <f t="shared" ca="1" si="656"/>
        <v>0</v>
      </c>
      <c r="S213" s="164">
        <f t="shared" ca="1" si="657"/>
        <v>0</v>
      </c>
      <c r="T213" s="164">
        <f t="shared" ca="1" si="658"/>
        <v>0</v>
      </c>
      <c r="U213" s="164">
        <f t="shared" ca="1" si="659"/>
        <v>0</v>
      </c>
      <c r="V213" s="164">
        <f t="shared" ca="1" si="660"/>
        <v>0</v>
      </c>
      <c r="W213" s="164">
        <f t="shared" ca="1" si="661"/>
        <v>0</v>
      </c>
      <c r="X213" s="164">
        <f t="shared" ca="1" si="662"/>
        <v>0</v>
      </c>
      <c r="Y213" s="164">
        <f t="shared" ca="1" si="663"/>
        <v>0</v>
      </c>
      <c r="Z213" s="164">
        <f t="shared" ca="1" si="664"/>
        <v>0</v>
      </c>
      <c r="AA213" s="164">
        <f t="shared" ca="1" si="665"/>
        <v>0</v>
      </c>
      <c r="AB213" s="164">
        <f t="shared" ca="1" si="666"/>
        <v>0</v>
      </c>
      <c r="AC213" s="164">
        <f t="shared" ca="1" si="667"/>
        <v>0</v>
      </c>
      <c r="AD213" s="164">
        <f t="shared" ca="1" si="668"/>
        <v>0</v>
      </c>
      <c r="AE213" s="164">
        <f t="shared" ca="1" si="669"/>
        <v>0</v>
      </c>
      <c r="AF213" s="164">
        <f t="shared" ca="1" si="670"/>
        <v>0</v>
      </c>
      <c r="AG213" s="164">
        <f t="shared" ca="1" si="671"/>
        <v>0</v>
      </c>
      <c r="AH213" s="164">
        <f t="shared" ca="1" si="672"/>
        <v>0</v>
      </c>
      <c r="AI213" s="164">
        <f t="shared" ca="1" si="673"/>
        <v>0</v>
      </c>
      <c r="AJ213" s="164">
        <f t="shared" ca="1" si="674"/>
        <v>0</v>
      </c>
      <c r="AK213" s="164">
        <f t="shared" ca="1" si="675"/>
        <v>0</v>
      </c>
      <c r="AL213" s="164">
        <f t="shared" si="676"/>
        <v>0</v>
      </c>
      <c r="AM213" s="164">
        <f t="shared" ca="1" si="677"/>
        <v>0</v>
      </c>
      <c r="AN213" s="205"/>
      <c r="AO213" s="154">
        <f t="shared" ca="1" si="678"/>
        <v>0</v>
      </c>
      <c r="AP213" s="154">
        <f t="shared" ca="1" si="679"/>
        <v>0</v>
      </c>
      <c r="AQ213" s="154">
        <f t="shared" ca="1" si="680"/>
        <v>0</v>
      </c>
      <c r="AR213" s="154">
        <f t="shared" ca="1" si="681"/>
        <v>0</v>
      </c>
      <c r="AS213" s="154">
        <f t="shared" ca="1" si="682"/>
        <v>0</v>
      </c>
      <c r="AT213" s="154">
        <f t="shared" ca="1" si="683"/>
        <v>0</v>
      </c>
      <c r="AU213" s="154">
        <f t="shared" ca="1" si="684"/>
        <v>0</v>
      </c>
      <c r="AV213" s="154">
        <f t="shared" ca="1" si="685"/>
        <v>0</v>
      </c>
      <c r="AW213" s="154">
        <f t="shared" ca="1" si="686"/>
        <v>0</v>
      </c>
      <c r="AX213" s="154">
        <f t="shared" ca="1" si="687"/>
        <v>0</v>
      </c>
      <c r="AY213" s="154">
        <f t="shared" ca="1" si="688"/>
        <v>0</v>
      </c>
      <c r="AZ213" s="154">
        <f t="shared" ca="1" si="689"/>
        <v>0</v>
      </c>
      <c r="BA213" s="154">
        <f t="shared" ca="1" si="690"/>
        <v>0</v>
      </c>
      <c r="BB213" s="154">
        <f t="shared" ca="1" si="691"/>
        <v>0</v>
      </c>
      <c r="BC213" s="154">
        <f t="shared" ca="1" si="692"/>
        <v>0</v>
      </c>
      <c r="BD213" s="154">
        <f t="shared" ca="1" si="693"/>
        <v>0</v>
      </c>
      <c r="BE213" s="154">
        <f t="shared" ca="1" si="694"/>
        <v>0</v>
      </c>
      <c r="BF213" s="154">
        <f t="shared" ca="1" si="695"/>
        <v>0</v>
      </c>
      <c r="BG213" s="154">
        <f t="shared" ca="1" si="696"/>
        <v>0</v>
      </c>
      <c r="BH213" s="154">
        <f t="shared" ca="1" si="697"/>
        <v>0</v>
      </c>
      <c r="BI213" s="154">
        <f t="shared" ca="1" si="698"/>
        <v>0</v>
      </c>
      <c r="BJ213" s="154">
        <f t="shared" ca="1" si="699"/>
        <v>0</v>
      </c>
      <c r="BK213" s="154">
        <f t="shared" ca="1" si="700"/>
        <v>0</v>
      </c>
      <c r="BL213" s="154">
        <f t="shared" ca="1" si="701"/>
        <v>0</v>
      </c>
      <c r="BM213" s="154">
        <f t="shared" ca="1" si="702"/>
        <v>0</v>
      </c>
      <c r="BN213" s="1198">
        <f t="shared" si="719"/>
        <v>218</v>
      </c>
      <c r="BO213" s="1197" t="str">
        <f t="shared" si="703"/>
        <v>Ruuz ('Ur-Maraskanisch' )</v>
      </c>
      <c r="BP213" s="1197" t="str">
        <f t="shared" ca="1" si="704"/>
        <v>B</v>
      </c>
      <c r="BQ213" s="1197">
        <f t="shared" si="727"/>
        <v>37</v>
      </c>
      <c r="BR213" s="1198" t="str">
        <f t="shared" ca="1" si="720"/>
        <v/>
      </c>
      <c r="BS213" s="1198" t="s">
        <v>3873</v>
      </c>
      <c r="BT213" s="78"/>
      <c r="BU213" s="78"/>
      <c r="BV213" s="78"/>
      <c r="BW213" s="1197">
        <f t="shared" ca="1" si="721"/>
        <v>0</v>
      </c>
      <c r="BX213" s="1197">
        <f t="shared" ca="1" si="705"/>
        <v>0</v>
      </c>
      <c r="BY213" s="1197">
        <f t="shared" ca="1" si="706"/>
        <v>0</v>
      </c>
      <c r="BZ213" s="1081">
        <f t="shared" ca="1" si="707"/>
        <v>0</v>
      </c>
      <c r="CA213" s="1081">
        <f t="shared" ca="1" si="708"/>
        <v>0</v>
      </c>
      <c r="CB213" s="1081">
        <f t="shared" ca="1" si="709"/>
        <v>65</v>
      </c>
      <c r="CC213" s="1081">
        <f t="shared" ca="1" si="710"/>
        <v>66</v>
      </c>
      <c r="CD213" s="1081">
        <f t="shared" si="738"/>
        <v>0</v>
      </c>
      <c r="CE213" s="1081">
        <f t="shared" ca="1" si="711"/>
        <v>1</v>
      </c>
      <c r="CF213" s="1081">
        <f t="shared" ca="1" si="722"/>
        <v>0</v>
      </c>
      <c r="CG213" s="1198" t="str">
        <f t="shared" si="712"/>
        <v>Tulamidya-Familie</v>
      </c>
      <c r="CH213" s="1198" t="str">
        <f t="shared" ca="1" si="713"/>
        <v/>
      </c>
      <c r="CI213" s="1198"/>
      <c r="CJ213" s="1198"/>
      <c r="CK213" s="1198" t="str">
        <f t="shared" ca="1" si="723"/>
        <v/>
      </c>
      <c r="CL213" s="1198" t="str">
        <f t="shared" ca="1" si="724"/>
        <v/>
      </c>
      <c r="CM213" s="78"/>
      <c r="CN213" s="1081">
        <f t="shared" ca="1" si="725"/>
        <v>0</v>
      </c>
      <c r="CO213" s="1081">
        <f t="shared" ca="1" si="714"/>
        <v>0</v>
      </c>
      <c r="CP213" s="1081">
        <f t="shared" ca="1" si="726"/>
        <v>0</v>
      </c>
      <c r="DJ213" s="301" t="str">
        <f t="shared" ca="1" si="741"/>
        <v>A</v>
      </c>
      <c r="DK213" s="301" t="str">
        <f t="shared" ca="1" si="741"/>
        <v>A</v>
      </c>
      <c r="DL213" s="301" t="str">
        <f t="shared" ca="1" si="741"/>
        <v>A</v>
      </c>
      <c r="DM213" s="301" t="str">
        <f t="shared" ca="1" si="741"/>
        <v>A</v>
      </c>
      <c r="DN213" s="301" t="str">
        <f t="shared" ca="1" si="741"/>
        <v>A</v>
      </c>
      <c r="DO213" s="301" t="str">
        <f t="shared" ca="1" si="741"/>
        <v>A</v>
      </c>
      <c r="DP213" s="301" t="str">
        <f t="shared" ca="1" si="741"/>
        <v>A</v>
      </c>
      <c r="DQ213" s="301" t="str">
        <f t="shared" ca="1" si="741"/>
        <v>A</v>
      </c>
      <c r="DR213" s="301" t="str">
        <f t="shared" ca="1" si="741"/>
        <v>A</v>
      </c>
      <c r="DS213" s="301" t="str">
        <f t="shared" ca="1" si="741"/>
        <v>A</v>
      </c>
      <c r="DT213" s="301" t="str">
        <f t="shared" ca="1" si="742"/>
        <v>A</v>
      </c>
      <c r="DU213" s="301" t="str">
        <f t="shared" ca="1" si="742"/>
        <v>A</v>
      </c>
      <c r="DV213" s="301" t="str">
        <f t="shared" ca="1" si="742"/>
        <v>A</v>
      </c>
      <c r="DW213" s="301" t="str">
        <f t="shared" ca="1" si="742"/>
        <v>A</v>
      </c>
      <c r="DX213" s="301" t="str">
        <f t="shared" ca="1" si="742"/>
        <v>A</v>
      </c>
      <c r="DY213" s="301" t="str">
        <f t="shared" ca="1" si="742"/>
        <v>A</v>
      </c>
      <c r="DZ213" s="301" t="str">
        <f t="shared" ca="1" si="742"/>
        <v>A</v>
      </c>
      <c r="EA213" s="301" t="str">
        <f t="shared" ca="1" si="742"/>
        <v>A</v>
      </c>
      <c r="EB213" s="301" t="str">
        <f t="shared" ca="1" si="742"/>
        <v>A</v>
      </c>
      <c r="EC213" s="301" t="str">
        <f t="shared" ca="1" si="742"/>
        <v>A</v>
      </c>
      <c r="ED213" s="301" t="str">
        <f t="shared" ca="1" si="742"/>
        <v>A</v>
      </c>
      <c r="EE213" s="301" t="str">
        <f t="shared" ca="1" si="742"/>
        <v>A</v>
      </c>
      <c r="EF213" s="301">
        <f t="shared" si="717"/>
        <v>0</v>
      </c>
      <c r="EG213" s="1426" t="str">
        <f t="shared" ca="1" si="743"/>
        <v>B</v>
      </c>
      <c r="EH213" s="1429" t="str">
        <f t="shared" ca="1" si="743"/>
        <v>B</v>
      </c>
      <c r="EI213" s="1429" t="str">
        <f t="shared" ca="1" si="743"/>
        <v>B</v>
      </c>
      <c r="EJ213" s="1429" t="str">
        <f t="shared" ca="1" si="743"/>
        <v>B</v>
      </c>
      <c r="EK213" s="1429" t="str">
        <f t="shared" ca="1" si="743"/>
        <v>B</v>
      </c>
      <c r="EL213" s="1429" t="str">
        <f t="shared" ca="1" si="743"/>
        <v>B</v>
      </c>
      <c r="EM213" s="1429" t="str">
        <f t="shared" ca="1" si="743"/>
        <v>B</v>
      </c>
      <c r="EN213" s="1429" t="str">
        <f t="shared" ca="1" si="743"/>
        <v>B</v>
      </c>
      <c r="EO213" s="1429" t="str">
        <f t="shared" ca="1" si="744"/>
        <v>B</v>
      </c>
      <c r="EP213" s="1429" t="str">
        <f t="shared" ca="1" si="744"/>
        <v>B</v>
      </c>
      <c r="EQ213" s="1429" t="str">
        <f t="shared" ca="1" si="744"/>
        <v>B</v>
      </c>
      <c r="ER213" s="1429" t="str">
        <f t="shared" ca="1" si="744"/>
        <v>B</v>
      </c>
      <c r="ES213" s="1429" t="str">
        <f t="shared" ca="1" si="744"/>
        <v>B</v>
      </c>
      <c r="ET213" s="1429" t="str">
        <f t="shared" ca="1" si="744"/>
        <v>B</v>
      </c>
      <c r="EU213" s="1429" t="str">
        <f t="shared" ca="1" si="744"/>
        <v>B</v>
      </c>
      <c r="EV213" s="1429" t="str">
        <f t="shared" ca="1" si="744"/>
        <v>B</v>
      </c>
      <c r="EW213" s="1429" t="str">
        <f t="shared" ca="1" si="745"/>
        <v>B</v>
      </c>
      <c r="EX213" s="1429" t="str">
        <f t="shared" ca="1" si="745"/>
        <v>B</v>
      </c>
      <c r="EY213" s="1429" t="str">
        <f t="shared" ca="1" si="745"/>
        <v>B</v>
      </c>
      <c r="EZ213" s="1429" t="str">
        <f t="shared" ca="1" si="745"/>
        <v>B</v>
      </c>
      <c r="FA213" s="1429" t="str">
        <f t="shared" ca="1" si="745"/>
        <v>B</v>
      </c>
      <c r="FB213" s="1429" t="str">
        <f t="shared" ca="1" si="745"/>
        <v>B</v>
      </c>
      <c r="FC213" s="1429" t="str">
        <f t="shared" ca="1" si="745"/>
        <v>B</v>
      </c>
      <c r="FD213" s="1429" t="str">
        <f t="shared" ca="1" si="745"/>
        <v>B</v>
      </c>
      <c r="FE213" s="1429" t="str">
        <f t="shared" ca="1" si="745"/>
        <v>B</v>
      </c>
      <c r="FF213" s="1429" t="str">
        <f t="shared" ca="1" si="745"/>
        <v>B</v>
      </c>
      <c r="FG213" s="1429" t="str">
        <f t="shared" ca="1" si="745"/>
        <v>B</v>
      </c>
      <c r="FH213" s="1429" t="str">
        <f t="shared" ca="1" si="745"/>
        <v>B</v>
      </c>
      <c r="FI213" s="1429" t="str">
        <f t="shared" ca="1" si="745"/>
        <v>B</v>
      </c>
      <c r="FJ213" s="1429" t="str">
        <f t="shared" ca="1" si="745"/>
        <v>B</v>
      </c>
      <c r="FK213" s="1429" t="str">
        <f t="shared" ca="1" si="745"/>
        <v>B</v>
      </c>
      <c r="FL213" s="1429" t="str">
        <f t="shared" ca="1" si="745"/>
        <v>B</v>
      </c>
    </row>
    <row r="214" spans="1:168" x14ac:dyDescent="0.2">
      <c r="A214" s="62" t="str">
        <f t="shared" si="649"/>
        <v>Thorwalsch</v>
      </c>
      <c r="B214" s="317" t="str">
        <f t="shared" ca="1" si="650"/>
        <v/>
      </c>
      <c r="C214" s="332" t="str">
        <f ca="1">IF(AND(EXACT($F214,""),EXACT($G214,"")),IF(OR(NOT(ISBLANK(D214)),NOT(EXACT(HLOOKUP(RASSEGENE,RASSE,$BN214,FALSE),"")),NOT(EXACT(HLOOKUP(KULTURGENE,KULTUR,$BN214,FALSE),"")),NOT(EXACT(HLOOKUP(PROFGENE,INDIRECT(PROFGEBIET),$BN214,FALSE),"")),
IF(LEN(PROFZWEITE)&lt;1,FALSE,NOT(EXACT(HLOOKUP(Generierung!$D$12,INDIRECT(PROFGEBIET2),$BN214,FALSE),"")))
),"x",""),"")</f>
        <v/>
      </c>
      <c r="D214" s="1110"/>
      <c r="E214" s="325"/>
      <c r="F214" s="388" t="str">
        <f t="shared" ca="1" si="651"/>
        <v/>
      </c>
      <c r="G214" s="388" t="str">
        <f t="shared" ca="1" si="652"/>
        <v/>
      </c>
      <c r="H214" s="389"/>
      <c r="I214" s="1196"/>
      <c r="J214" s="326"/>
      <c r="O214" s="514" t="str">
        <f t="shared" ca="1" si="653"/>
        <v/>
      </c>
      <c r="P214" s="164">
        <f t="shared" ca="1" si="654"/>
        <v>0</v>
      </c>
      <c r="Q214" s="164">
        <f t="shared" ca="1" si="655"/>
        <v>0</v>
      </c>
      <c r="R214" s="164">
        <f t="shared" ca="1" si="656"/>
        <v>0</v>
      </c>
      <c r="S214" s="164">
        <f t="shared" ca="1" si="657"/>
        <v>0</v>
      </c>
      <c r="T214" s="164">
        <f t="shared" ca="1" si="658"/>
        <v>0</v>
      </c>
      <c r="U214" s="164">
        <f t="shared" ca="1" si="659"/>
        <v>0</v>
      </c>
      <c r="V214" s="164">
        <f t="shared" ca="1" si="660"/>
        <v>0</v>
      </c>
      <c r="W214" s="164">
        <f t="shared" ca="1" si="661"/>
        <v>0</v>
      </c>
      <c r="X214" s="164">
        <f t="shared" ca="1" si="662"/>
        <v>0</v>
      </c>
      <c r="Y214" s="164">
        <f t="shared" ca="1" si="663"/>
        <v>0</v>
      </c>
      <c r="Z214" s="164">
        <f t="shared" ca="1" si="664"/>
        <v>0</v>
      </c>
      <c r="AA214" s="164">
        <f t="shared" ca="1" si="665"/>
        <v>0</v>
      </c>
      <c r="AB214" s="164">
        <f t="shared" ca="1" si="666"/>
        <v>0</v>
      </c>
      <c r="AC214" s="164">
        <f t="shared" ca="1" si="667"/>
        <v>0</v>
      </c>
      <c r="AD214" s="164">
        <f t="shared" ca="1" si="668"/>
        <v>0</v>
      </c>
      <c r="AE214" s="164">
        <f t="shared" ca="1" si="669"/>
        <v>0</v>
      </c>
      <c r="AF214" s="164">
        <f t="shared" ca="1" si="670"/>
        <v>0</v>
      </c>
      <c r="AG214" s="164">
        <f t="shared" ca="1" si="671"/>
        <v>0</v>
      </c>
      <c r="AH214" s="164">
        <f t="shared" ca="1" si="672"/>
        <v>0</v>
      </c>
      <c r="AI214" s="164">
        <f t="shared" ca="1" si="673"/>
        <v>0</v>
      </c>
      <c r="AJ214" s="164">
        <f t="shared" ca="1" si="674"/>
        <v>0</v>
      </c>
      <c r="AK214" s="164">
        <f t="shared" ca="1" si="675"/>
        <v>0</v>
      </c>
      <c r="AL214" s="164">
        <f t="shared" si="676"/>
        <v>0</v>
      </c>
      <c r="AM214" s="164">
        <f t="shared" ca="1" si="677"/>
        <v>0</v>
      </c>
      <c r="AN214" s="205"/>
      <c r="AO214" s="154">
        <f t="shared" ca="1" si="678"/>
        <v>0</v>
      </c>
      <c r="AP214" s="154">
        <f t="shared" ca="1" si="679"/>
        <v>0</v>
      </c>
      <c r="AQ214" s="154">
        <f t="shared" ca="1" si="680"/>
        <v>0</v>
      </c>
      <c r="AR214" s="154">
        <f t="shared" ca="1" si="681"/>
        <v>0</v>
      </c>
      <c r="AS214" s="154">
        <f t="shared" ca="1" si="682"/>
        <v>0</v>
      </c>
      <c r="AT214" s="154">
        <f t="shared" ca="1" si="683"/>
        <v>0</v>
      </c>
      <c r="AU214" s="154">
        <f t="shared" ca="1" si="684"/>
        <v>0</v>
      </c>
      <c r="AV214" s="154">
        <f t="shared" ca="1" si="685"/>
        <v>0</v>
      </c>
      <c r="AW214" s="154">
        <f t="shared" ca="1" si="686"/>
        <v>0</v>
      </c>
      <c r="AX214" s="154">
        <f t="shared" ca="1" si="687"/>
        <v>0</v>
      </c>
      <c r="AY214" s="154">
        <f t="shared" ca="1" si="688"/>
        <v>0</v>
      </c>
      <c r="AZ214" s="154">
        <f t="shared" ca="1" si="689"/>
        <v>0</v>
      </c>
      <c r="BA214" s="154">
        <f t="shared" ca="1" si="690"/>
        <v>0</v>
      </c>
      <c r="BB214" s="154">
        <f t="shared" ca="1" si="691"/>
        <v>0</v>
      </c>
      <c r="BC214" s="154">
        <f t="shared" ca="1" si="692"/>
        <v>0</v>
      </c>
      <c r="BD214" s="154">
        <f t="shared" ca="1" si="693"/>
        <v>0</v>
      </c>
      <c r="BE214" s="154">
        <f t="shared" ca="1" si="694"/>
        <v>0</v>
      </c>
      <c r="BF214" s="154">
        <f t="shared" ca="1" si="695"/>
        <v>0</v>
      </c>
      <c r="BG214" s="154">
        <f t="shared" ca="1" si="696"/>
        <v>0</v>
      </c>
      <c r="BH214" s="154">
        <f t="shared" ca="1" si="697"/>
        <v>0</v>
      </c>
      <c r="BI214" s="154">
        <f t="shared" ca="1" si="698"/>
        <v>0</v>
      </c>
      <c r="BJ214" s="154">
        <f t="shared" ca="1" si="699"/>
        <v>0</v>
      </c>
      <c r="BK214" s="154">
        <f t="shared" ca="1" si="700"/>
        <v>0</v>
      </c>
      <c r="BL214" s="154">
        <f t="shared" ca="1" si="701"/>
        <v>0</v>
      </c>
      <c r="BM214" s="154">
        <f t="shared" ca="1" si="702"/>
        <v>0</v>
      </c>
      <c r="BN214" s="1198">
        <f t="shared" si="719"/>
        <v>219</v>
      </c>
      <c r="BO214" s="1197" t="str">
        <f t="shared" si="703"/>
        <v>Thorwalsch</v>
      </c>
      <c r="BP214" s="1197" t="str">
        <f t="shared" ca="1" si="704"/>
        <v>B</v>
      </c>
      <c r="BQ214" s="1197">
        <f t="shared" si="727"/>
        <v>38</v>
      </c>
      <c r="BR214" s="1198" t="str">
        <f t="shared" ca="1" si="720"/>
        <v/>
      </c>
      <c r="BS214" s="1198" t="s">
        <v>2921</v>
      </c>
      <c r="BT214" s="78"/>
      <c r="BU214" s="78"/>
      <c r="BV214" s="78"/>
      <c r="BW214" s="1197">
        <f t="shared" ca="1" si="721"/>
        <v>0</v>
      </c>
      <c r="BX214" s="1197">
        <f t="shared" ca="1" si="705"/>
        <v>0</v>
      </c>
      <c r="BY214" s="1197">
        <f t="shared" ca="1" si="706"/>
        <v>0</v>
      </c>
      <c r="BZ214" s="1081">
        <f t="shared" ca="1" si="707"/>
        <v>0</v>
      </c>
      <c r="CA214" s="1081">
        <f t="shared" ca="1" si="708"/>
        <v>0</v>
      </c>
      <c r="CB214" s="1081">
        <f t="shared" ca="1" si="709"/>
        <v>65</v>
      </c>
      <c r="CC214" s="1081">
        <f t="shared" ca="1" si="710"/>
        <v>66</v>
      </c>
      <c r="CD214" s="1081">
        <f t="shared" si="738"/>
        <v>0</v>
      </c>
      <c r="CE214" s="1081">
        <f t="shared" ca="1" si="711"/>
        <v>1</v>
      </c>
      <c r="CF214" s="1081">
        <f t="shared" ca="1" si="722"/>
        <v>0</v>
      </c>
      <c r="CG214" s="1198" t="str">
        <f t="shared" si="712"/>
        <v>Thorwalsch-Familie</v>
      </c>
      <c r="CH214" s="1198" t="str">
        <f t="shared" ca="1" si="713"/>
        <v/>
      </c>
      <c r="CI214" s="1198"/>
      <c r="CJ214" s="1198"/>
      <c r="CK214" s="1198" t="str">
        <f t="shared" ca="1" si="723"/>
        <v/>
      </c>
      <c r="CL214" s="1198" t="str">
        <f t="shared" ca="1" si="724"/>
        <v/>
      </c>
      <c r="CM214" s="78"/>
      <c r="CN214" s="1081">
        <f t="shared" ca="1" si="725"/>
        <v>0</v>
      </c>
      <c r="CO214" s="1081">
        <f t="shared" ca="1" si="714"/>
        <v>0</v>
      </c>
      <c r="CP214" s="1081">
        <f t="shared" ca="1" si="726"/>
        <v>0</v>
      </c>
      <c r="DJ214" s="301" t="str">
        <f t="shared" ca="1" si="741"/>
        <v>A</v>
      </c>
      <c r="DK214" s="301" t="str">
        <f t="shared" ca="1" si="741"/>
        <v>A</v>
      </c>
      <c r="DL214" s="301" t="str">
        <f t="shared" ca="1" si="741"/>
        <v>A</v>
      </c>
      <c r="DM214" s="301" t="str">
        <f t="shared" ca="1" si="741"/>
        <v>A</v>
      </c>
      <c r="DN214" s="301" t="str">
        <f t="shared" ca="1" si="741"/>
        <v>A</v>
      </c>
      <c r="DO214" s="301" t="str">
        <f t="shared" ca="1" si="741"/>
        <v>A</v>
      </c>
      <c r="DP214" s="301" t="str">
        <f t="shared" ca="1" si="741"/>
        <v>A</v>
      </c>
      <c r="DQ214" s="301" t="str">
        <f t="shared" ca="1" si="741"/>
        <v>A</v>
      </c>
      <c r="DR214" s="301" t="str">
        <f t="shared" ca="1" si="741"/>
        <v>A</v>
      </c>
      <c r="DS214" s="301" t="str">
        <f t="shared" ca="1" si="741"/>
        <v>A</v>
      </c>
      <c r="DT214" s="301" t="str">
        <f t="shared" ca="1" si="742"/>
        <v>A</v>
      </c>
      <c r="DU214" s="301" t="str">
        <f t="shared" ca="1" si="742"/>
        <v>A</v>
      </c>
      <c r="DV214" s="301" t="str">
        <f t="shared" ca="1" si="742"/>
        <v>A</v>
      </c>
      <c r="DW214" s="301" t="str">
        <f t="shared" ca="1" si="742"/>
        <v>A</v>
      </c>
      <c r="DX214" s="301" t="str">
        <f t="shared" ca="1" si="742"/>
        <v>A</v>
      </c>
      <c r="DY214" s="301" t="str">
        <f t="shared" ca="1" si="742"/>
        <v>A</v>
      </c>
      <c r="DZ214" s="301" t="str">
        <f t="shared" ca="1" si="742"/>
        <v>A</v>
      </c>
      <c r="EA214" s="301" t="str">
        <f t="shared" ca="1" si="742"/>
        <v>A</v>
      </c>
      <c r="EB214" s="301" t="str">
        <f t="shared" ca="1" si="742"/>
        <v>A</v>
      </c>
      <c r="EC214" s="301" t="str">
        <f t="shared" ca="1" si="742"/>
        <v>A</v>
      </c>
      <c r="ED214" s="301" t="str">
        <f t="shared" ca="1" si="742"/>
        <v>A</v>
      </c>
      <c r="EE214" s="301" t="str">
        <f t="shared" ca="1" si="742"/>
        <v>A</v>
      </c>
      <c r="EF214" s="301">
        <f t="shared" si="717"/>
        <v>0</v>
      </c>
      <c r="EG214" s="1426" t="str">
        <f t="shared" ca="1" si="743"/>
        <v>B</v>
      </c>
      <c r="EH214" s="1429" t="str">
        <f t="shared" ca="1" si="743"/>
        <v>B</v>
      </c>
      <c r="EI214" s="1429" t="str">
        <f t="shared" ca="1" si="743"/>
        <v>B</v>
      </c>
      <c r="EJ214" s="1429" t="str">
        <f t="shared" ca="1" si="743"/>
        <v>B</v>
      </c>
      <c r="EK214" s="1429" t="str">
        <f t="shared" ca="1" si="743"/>
        <v>B</v>
      </c>
      <c r="EL214" s="1429" t="str">
        <f t="shared" ca="1" si="743"/>
        <v>B</v>
      </c>
      <c r="EM214" s="1429" t="str">
        <f t="shared" ca="1" si="743"/>
        <v>B</v>
      </c>
      <c r="EN214" s="1429" t="str">
        <f t="shared" ca="1" si="743"/>
        <v>B</v>
      </c>
      <c r="EO214" s="1429" t="str">
        <f t="shared" ca="1" si="744"/>
        <v>B</v>
      </c>
      <c r="EP214" s="1429" t="str">
        <f t="shared" ca="1" si="744"/>
        <v>B</v>
      </c>
      <c r="EQ214" s="1429" t="str">
        <f t="shared" ca="1" si="744"/>
        <v>B</v>
      </c>
      <c r="ER214" s="1429" t="str">
        <f t="shared" ca="1" si="744"/>
        <v>B</v>
      </c>
      <c r="ES214" s="1429" t="str">
        <f t="shared" ca="1" si="744"/>
        <v>B</v>
      </c>
      <c r="ET214" s="1429" t="str">
        <f t="shared" ca="1" si="744"/>
        <v>B</v>
      </c>
      <c r="EU214" s="1429" t="str">
        <f t="shared" ca="1" si="744"/>
        <v>B</v>
      </c>
      <c r="EV214" s="1429" t="str">
        <f t="shared" ca="1" si="744"/>
        <v>B</v>
      </c>
      <c r="EW214" s="1429" t="str">
        <f t="shared" ca="1" si="745"/>
        <v>B</v>
      </c>
      <c r="EX214" s="1429" t="str">
        <f t="shared" ca="1" si="745"/>
        <v>B</v>
      </c>
      <c r="EY214" s="1429" t="str">
        <f t="shared" ca="1" si="745"/>
        <v>B</v>
      </c>
      <c r="EZ214" s="1429" t="str">
        <f t="shared" ca="1" si="745"/>
        <v>B</v>
      </c>
      <c r="FA214" s="1429" t="str">
        <f t="shared" ca="1" si="745"/>
        <v>B</v>
      </c>
      <c r="FB214" s="1429" t="str">
        <f t="shared" ca="1" si="745"/>
        <v>B</v>
      </c>
      <c r="FC214" s="1429" t="str">
        <f t="shared" ca="1" si="745"/>
        <v>B</v>
      </c>
      <c r="FD214" s="1429" t="str">
        <f t="shared" ca="1" si="745"/>
        <v>B</v>
      </c>
      <c r="FE214" s="1429" t="str">
        <f t="shared" ca="1" si="745"/>
        <v>B</v>
      </c>
      <c r="FF214" s="1429" t="str">
        <f t="shared" ca="1" si="745"/>
        <v>B</v>
      </c>
      <c r="FG214" s="1429" t="str">
        <f t="shared" ca="1" si="745"/>
        <v>B</v>
      </c>
      <c r="FH214" s="1429" t="str">
        <f t="shared" ca="1" si="745"/>
        <v>B</v>
      </c>
      <c r="FI214" s="1429" t="str">
        <f t="shared" ca="1" si="745"/>
        <v>B</v>
      </c>
      <c r="FJ214" s="1429" t="str">
        <f t="shared" ca="1" si="745"/>
        <v>B</v>
      </c>
      <c r="FK214" s="1429" t="str">
        <f t="shared" ca="1" si="745"/>
        <v>B</v>
      </c>
      <c r="FL214" s="1429" t="str">
        <f t="shared" ca="1" si="745"/>
        <v>B</v>
      </c>
    </row>
    <row r="215" spans="1:168" x14ac:dyDescent="0.2">
      <c r="A215" s="62" t="str">
        <f t="shared" si="649"/>
        <v>Trollisch</v>
      </c>
      <c r="B215" s="317" t="str">
        <f t="shared" ca="1" si="650"/>
        <v/>
      </c>
      <c r="C215" s="332" t="str">
        <f ca="1">IF(AND(EXACT($F215,""),EXACT($G215,"")),IF(OR(NOT(ISBLANK(D215)),NOT(EXACT(HLOOKUP(RASSEGENE,RASSE,$BN215,FALSE),"")),NOT(EXACT(HLOOKUP(KULTURGENE,KULTUR,$BN215,FALSE),"")),NOT(EXACT(HLOOKUP(PROFGENE,INDIRECT(PROFGEBIET),$BN215,FALSE),"")),
IF(LEN(PROFZWEITE)&lt;1,FALSE,NOT(EXACT(HLOOKUP(Generierung!$D$12,INDIRECT(PROFGEBIET2),$BN215,FALSE),"")))
),"x",""),"")</f>
        <v/>
      </c>
      <c r="D215" s="1110"/>
      <c r="E215" s="325"/>
      <c r="F215" s="388" t="str">
        <f t="shared" ca="1" si="651"/>
        <v/>
      </c>
      <c r="G215" s="388" t="str">
        <f t="shared" ca="1" si="652"/>
        <v/>
      </c>
      <c r="H215" s="389"/>
      <c r="I215" s="1196"/>
      <c r="J215" s="326"/>
      <c r="O215" s="514" t="str">
        <f t="shared" ca="1" si="653"/>
        <v/>
      </c>
      <c r="P215" s="164">
        <f t="shared" ca="1" si="654"/>
        <v>0</v>
      </c>
      <c r="Q215" s="164">
        <f t="shared" ca="1" si="655"/>
        <v>0</v>
      </c>
      <c r="R215" s="164">
        <f t="shared" ca="1" si="656"/>
        <v>0</v>
      </c>
      <c r="S215" s="164">
        <f t="shared" ca="1" si="657"/>
        <v>0</v>
      </c>
      <c r="T215" s="164">
        <f t="shared" ca="1" si="658"/>
        <v>0</v>
      </c>
      <c r="U215" s="164">
        <f t="shared" ca="1" si="659"/>
        <v>0</v>
      </c>
      <c r="V215" s="164">
        <f t="shared" ca="1" si="660"/>
        <v>0</v>
      </c>
      <c r="W215" s="164">
        <f t="shared" ca="1" si="661"/>
        <v>0</v>
      </c>
      <c r="X215" s="164">
        <f t="shared" ca="1" si="662"/>
        <v>0</v>
      </c>
      <c r="Y215" s="164">
        <f t="shared" ca="1" si="663"/>
        <v>0</v>
      </c>
      <c r="Z215" s="164">
        <f t="shared" ca="1" si="664"/>
        <v>0</v>
      </c>
      <c r="AA215" s="164">
        <f t="shared" ca="1" si="665"/>
        <v>0</v>
      </c>
      <c r="AB215" s="164">
        <f t="shared" ca="1" si="666"/>
        <v>0</v>
      </c>
      <c r="AC215" s="164">
        <f t="shared" ca="1" si="667"/>
        <v>0</v>
      </c>
      <c r="AD215" s="164">
        <f t="shared" ca="1" si="668"/>
        <v>0</v>
      </c>
      <c r="AE215" s="164">
        <f t="shared" ca="1" si="669"/>
        <v>0</v>
      </c>
      <c r="AF215" s="164">
        <f t="shared" ca="1" si="670"/>
        <v>0</v>
      </c>
      <c r="AG215" s="164">
        <f t="shared" ca="1" si="671"/>
        <v>0</v>
      </c>
      <c r="AH215" s="164">
        <f t="shared" ca="1" si="672"/>
        <v>0</v>
      </c>
      <c r="AI215" s="164">
        <f t="shared" ca="1" si="673"/>
        <v>0</v>
      </c>
      <c r="AJ215" s="164">
        <f t="shared" ca="1" si="674"/>
        <v>0</v>
      </c>
      <c r="AK215" s="164">
        <f t="shared" ca="1" si="675"/>
        <v>0</v>
      </c>
      <c r="AL215" s="164">
        <f t="shared" si="676"/>
        <v>0</v>
      </c>
      <c r="AM215" s="164">
        <f t="shared" ca="1" si="677"/>
        <v>0</v>
      </c>
      <c r="AN215" s="205"/>
      <c r="AO215" s="154">
        <f t="shared" ca="1" si="678"/>
        <v>0</v>
      </c>
      <c r="AP215" s="154">
        <f t="shared" ca="1" si="679"/>
        <v>0</v>
      </c>
      <c r="AQ215" s="154">
        <f t="shared" ca="1" si="680"/>
        <v>0</v>
      </c>
      <c r="AR215" s="154">
        <f t="shared" ca="1" si="681"/>
        <v>0</v>
      </c>
      <c r="AS215" s="154">
        <f t="shared" ca="1" si="682"/>
        <v>0</v>
      </c>
      <c r="AT215" s="154">
        <f t="shared" ca="1" si="683"/>
        <v>0</v>
      </c>
      <c r="AU215" s="154">
        <f t="shared" ca="1" si="684"/>
        <v>0</v>
      </c>
      <c r="AV215" s="154">
        <f t="shared" ca="1" si="685"/>
        <v>0</v>
      </c>
      <c r="AW215" s="154">
        <f t="shared" ca="1" si="686"/>
        <v>0</v>
      </c>
      <c r="AX215" s="154">
        <f t="shared" ca="1" si="687"/>
        <v>0</v>
      </c>
      <c r="AY215" s="154">
        <f t="shared" ca="1" si="688"/>
        <v>0</v>
      </c>
      <c r="AZ215" s="154">
        <f t="shared" ca="1" si="689"/>
        <v>0</v>
      </c>
      <c r="BA215" s="154">
        <f t="shared" ca="1" si="690"/>
        <v>0</v>
      </c>
      <c r="BB215" s="154">
        <f t="shared" ca="1" si="691"/>
        <v>0</v>
      </c>
      <c r="BC215" s="154">
        <f t="shared" ca="1" si="692"/>
        <v>0</v>
      </c>
      <c r="BD215" s="154">
        <f t="shared" ca="1" si="693"/>
        <v>0</v>
      </c>
      <c r="BE215" s="154">
        <f t="shared" ca="1" si="694"/>
        <v>0</v>
      </c>
      <c r="BF215" s="154">
        <f t="shared" ca="1" si="695"/>
        <v>0</v>
      </c>
      <c r="BG215" s="154">
        <f t="shared" ca="1" si="696"/>
        <v>0</v>
      </c>
      <c r="BH215" s="154">
        <f t="shared" ca="1" si="697"/>
        <v>0</v>
      </c>
      <c r="BI215" s="154">
        <f t="shared" ca="1" si="698"/>
        <v>0</v>
      </c>
      <c r="BJ215" s="154">
        <f t="shared" ca="1" si="699"/>
        <v>0</v>
      </c>
      <c r="BK215" s="154">
        <f t="shared" ca="1" si="700"/>
        <v>0</v>
      </c>
      <c r="BL215" s="154">
        <f t="shared" ca="1" si="701"/>
        <v>0</v>
      </c>
      <c r="BM215" s="154">
        <f t="shared" ca="1" si="702"/>
        <v>0</v>
      </c>
      <c r="BN215" s="1198">
        <f t="shared" si="719"/>
        <v>220</v>
      </c>
      <c r="BO215" s="1197" t="str">
        <f t="shared" si="703"/>
        <v>Trollisch</v>
      </c>
      <c r="BP215" s="1197" t="str">
        <f t="shared" ca="1" si="704"/>
        <v>B</v>
      </c>
      <c r="BQ215" s="1197">
        <f t="shared" si="727"/>
        <v>39</v>
      </c>
      <c r="BR215" s="1198" t="str">
        <f t="shared" ca="1" si="720"/>
        <v/>
      </c>
      <c r="BS215" s="1198" t="s">
        <v>3874</v>
      </c>
      <c r="BT215" s="78"/>
      <c r="BU215" s="78"/>
      <c r="BV215" s="78"/>
      <c r="BW215" s="1197">
        <f t="shared" ca="1" si="721"/>
        <v>0</v>
      </c>
      <c r="BX215" s="1197">
        <f t="shared" ca="1" si="705"/>
        <v>0</v>
      </c>
      <c r="BY215" s="1197">
        <f t="shared" ca="1" si="706"/>
        <v>0</v>
      </c>
      <c r="BZ215" s="1081">
        <f t="shared" ca="1" si="707"/>
        <v>0</v>
      </c>
      <c r="CA215" s="1081">
        <f t="shared" ca="1" si="708"/>
        <v>0</v>
      </c>
      <c r="CB215" s="1081">
        <f t="shared" ca="1" si="709"/>
        <v>65</v>
      </c>
      <c r="CC215" s="1081">
        <f t="shared" ca="1" si="710"/>
        <v>66</v>
      </c>
      <c r="CD215" s="1081">
        <f t="shared" si="738"/>
        <v>0</v>
      </c>
      <c r="CE215" s="1081">
        <f t="shared" ca="1" si="711"/>
        <v>1</v>
      </c>
      <c r="CF215" s="1081">
        <f t="shared" ca="1" si="722"/>
        <v>0</v>
      </c>
      <c r="CG215" s="1198" t="str">
        <f t="shared" si="712"/>
        <v>Trollisch</v>
      </c>
      <c r="CH215" s="1198" t="str">
        <f t="shared" ca="1" si="713"/>
        <v/>
      </c>
      <c r="CI215" s="1198"/>
      <c r="CJ215" s="1198"/>
      <c r="CK215" s="1198" t="str">
        <f t="shared" ca="1" si="723"/>
        <v/>
      </c>
      <c r="CL215" s="1198" t="str">
        <f t="shared" ca="1" si="724"/>
        <v/>
      </c>
      <c r="CM215" s="78"/>
      <c r="CN215" s="1081">
        <f t="shared" ca="1" si="725"/>
        <v>0</v>
      </c>
      <c r="CO215" s="1081">
        <f t="shared" ca="1" si="714"/>
        <v>0</v>
      </c>
      <c r="CP215" s="1081">
        <f t="shared" ca="1" si="726"/>
        <v>0</v>
      </c>
      <c r="DJ215" s="301" t="str">
        <f t="shared" ca="1" si="741"/>
        <v>A</v>
      </c>
      <c r="DK215" s="301" t="str">
        <f t="shared" ca="1" si="741"/>
        <v>A</v>
      </c>
      <c r="DL215" s="301" t="str">
        <f t="shared" ca="1" si="741"/>
        <v>A</v>
      </c>
      <c r="DM215" s="301" t="str">
        <f t="shared" ca="1" si="741"/>
        <v>A</v>
      </c>
      <c r="DN215" s="301" t="str">
        <f t="shared" ca="1" si="741"/>
        <v>A</v>
      </c>
      <c r="DO215" s="301" t="str">
        <f t="shared" ca="1" si="741"/>
        <v>A</v>
      </c>
      <c r="DP215" s="301" t="str">
        <f t="shared" ca="1" si="741"/>
        <v>A</v>
      </c>
      <c r="DQ215" s="301" t="str">
        <f t="shared" ca="1" si="741"/>
        <v>A</v>
      </c>
      <c r="DR215" s="301" t="str">
        <f t="shared" ca="1" si="741"/>
        <v>A</v>
      </c>
      <c r="DS215" s="301" t="str">
        <f t="shared" ca="1" si="741"/>
        <v>A</v>
      </c>
      <c r="DT215" s="301" t="str">
        <f t="shared" ca="1" si="742"/>
        <v>A</v>
      </c>
      <c r="DU215" s="301" t="str">
        <f t="shared" ca="1" si="742"/>
        <v>A</v>
      </c>
      <c r="DV215" s="301" t="str">
        <f t="shared" ca="1" si="742"/>
        <v>A</v>
      </c>
      <c r="DW215" s="301" t="str">
        <f t="shared" ca="1" si="742"/>
        <v>A</v>
      </c>
      <c r="DX215" s="301" t="str">
        <f t="shared" ca="1" si="742"/>
        <v>A</v>
      </c>
      <c r="DY215" s="301" t="str">
        <f t="shared" ca="1" si="742"/>
        <v>A</v>
      </c>
      <c r="DZ215" s="301" t="str">
        <f t="shared" ca="1" si="742"/>
        <v>A</v>
      </c>
      <c r="EA215" s="301" t="str">
        <f t="shared" ca="1" si="742"/>
        <v>A</v>
      </c>
      <c r="EB215" s="301" t="str">
        <f t="shared" ca="1" si="742"/>
        <v>A</v>
      </c>
      <c r="EC215" s="301" t="str">
        <f t="shared" ca="1" si="742"/>
        <v>A</v>
      </c>
      <c r="ED215" s="301" t="str">
        <f t="shared" ca="1" si="742"/>
        <v>A</v>
      </c>
      <c r="EE215" s="301" t="str">
        <f t="shared" ca="1" si="742"/>
        <v>A</v>
      </c>
      <c r="EF215" s="301">
        <f t="shared" si="717"/>
        <v>0</v>
      </c>
      <c r="EG215" s="1426" t="str">
        <f t="shared" ca="1" si="743"/>
        <v>B</v>
      </c>
      <c r="EH215" s="1429" t="str">
        <f t="shared" ca="1" si="743"/>
        <v>B</v>
      </c>
      <c r="EI215" s="1429" t="str">
        <f t="shared" ca="1" si="743"/>
        <v>B</v>
      </c>
      <c r="EJ215" s="1429" t="str">
        <f t="shared" ca="1" si="743"/>
        <v>B</v>
      </c>
      <c r="EK215" s="1429" t="str">
        <f t="shared" ca="1" si="743"/>
        <v>B</v>
      </c>
      <c r="EL215" s="1429" t="str">
        <f t="shared" ca="1" si="743"/>
        <v>B</v>
      </c>
      <c r="EM215" s="1429" t="str">
        <f t="shared" ca="1" si="743"/>
        <v>B</v>
      </c>
      <c r="EN215" s="1429" t="str">
        <f t="shared" ca="1" si="743"/>
        <v>B</v>
      </c>
      <c r="EO215" s="1429" t="str">
        <f t="shared" ca="1" si="744"/>
        <v>B</v>
      </c>
      <c r="EP215" s="1429" t="str">
        <f t="shared" ca="1" si="744"/>
        <v>B</v>
      </c>
      <c r="EQ215" s="1429" t="str">
        <f t="shared" ca="1" si="744"/>
        <v>B</v>
      </c>
      <c r="ER215" s="1429" t="str">
        <f t="shared" ca="1" si="744"/>
        <v>B</v>
      </c>
      <c r="ES215" s="1429" t="str">
        <f t="shared" ca="1" si="744"/>
        <v>B</v>
      </c>
      <c r="ET215" s="1429" t="str">
        <f t="shared" ca="1" si="744"/>
        <v>B</v>
      </c>
      <c r="EU215" s="1429" t="str">
        <f t="shared" ca="1" si="744"/>
        <v>B</v>
      </c>
      <c r="EV215" s="1429" t="str">
        <f t="shared" ca="1" si="744"/>
        <v>B</v>
      </c>
      <c r="EW215" s="1429" t="str">
        <f t="shared" ca="1" si="745"/>
        <v>B</v>
      </c>
      <c r="EX215" s="1429" t="str">
        <f t="shared" ca="1" si="745"/>
        <v>B</v>
      </c>
      <c r="EY215" s="1429" t="str">
        <f t="shared" ca="1" si="745"/>
        <v>B</v>
      </c>
      <c r="EZ215" s="1429" t="str">
        <f t="shared" ca="1" si="745"/>
        <v>B</v>
      </c>
      <c r="FA215" s="1429" t="str">
        <f t="shared" ca="1" si="745"/>
        <v>B</v>
      </c>
      <c r="FB215" s="1429" t="str">
        <f t="shared" ca="1" si="745"/>
        <v>B</v>
      </c>
      <c r="FC215" s="1429" t="str">
        <f t="shared" ca="1" si="745"/>
        <v>B</v>
      </c>
      <c r="FD215" s="1429" t="str">
        <f t="shared" ca="1" si="745"/>
        <v>B</v>
      </c>
      <c r="FE215" s="1429" t="str">
        <f t="shared" ca="1" si="745"/>
        <v>B</v>
      </c>
      <c r="FF215" s="1429" t="str">
        <f t="shared" ca="1" si="745"/>
        <v>B</v>
      </c>
      <c r="FG215" s="1429" t="str">
        <f t="shared" ca="1" si="745"/>
        <v>B</v>
      </c>
      <c r="FH215" s="1429" t="str">
        <f t="shared" ca="1" si="745"/>
        <v>B</v>
      </c>
      <c r="FI215" s="1429" t="str">
        <f t="shared" ca="1" si="745"/>
        <v>B</v>
      </c>
      <c r="FJ215" s="1429" t="str">
        <f t="shared" ca="1" si="745"/>
        <v>B</v>
      </c>
      <c r="FK215" s="1429" t="str">
        <f t="shared" ca="1" si="745"/>
        <v>B</v>
      </c>
      <c r="FL215" s="1429" t="str">
        <f t="shared" ca="1" si="745"/>
        <v>B</v>
      </c>
    </row>
    <row r="216" spans="1:168" x14ac:dyDescent="0.2">
      <c r="A216" s="62" t="str">
        <f t="shared" si="649"/>
        <v>Tulamidya</v>
      </c>
      <c r="B216" s="317" t="str">
        <f t="shared" ca="1" si="650"/>
        <v/>
      </c>
      <c r="C216" s="332" t="str">
        <f ca="1">IF(AND(EXACT($F216,""),EXACT($G216,"")),IF(OR(NOT(ISBLANK(D216)),NOT(EXACT(HLOOKUP(RASSEGENE,RASSE,$BN216,FALSE),"")),NOT(EXACT(HLOOKUP(KULTURGENE,KULTUR,$BN216,FALSE),"")),NOT(EXACT(HLOOKUP(PROFGENE,INDIRECT(PROFGEBIET),$BN216,FALSE),"")),
IF(LEN(PROFZWEITE)&lt;1,FALSE,NOT(EXACT(HLOOKUP(Generierung!$D$12,INDIRECT(PROFGEBIET2),$BN216,FALSE),"")))
),"x",""),"")</f>
        <v/>
      </c>
      <c r="D216" s="1110"/>
      <c r="E216" s="325"/>
      <c r="F216" s="388" t="str">
        <f t="shared" ca="1" si="651"/>
        <v/>
      </c>
      <c r="G216" s="388" t="str">
        <f t="shared" ca="1" si="652"/>
        <v/>
      </c>
      <c r="H216" s="389"/>
      <c r="I216" s="1196"/>
      <c r="J216" s="326"/>
      <c r="O216" s="514" t="str">
        <f t="shared" ca="1" si="653"/>
        <v/>
      </c>
      <c r="P216" s="164">
        <f t="shared" ca="1" si="654"/>
        <v>0</v>
      </c>
      <c r="Q216" s="164">
        <f t="shared" ca="1" si="655"/>
        <v>0</v>
      </c>
      <c r="R216" s="164">
        <f t="shared" ca="1" si="656"/>
        <v>0</v>
      </c>
      <c r="S216" s="164">
        <f t="shared" ca="1" si="657"/>
        <v>0</v>
      </c>
      <c r="T216" s="164">
        <f t="shared" ca="1" si="658"/>
        <v>0</v>
      </c>
      <c r="U216" s="164">
        <f t="shared" ca="1" si="659"/>
        <v>0</v>
      </c>
      <c r="V216" s="164">
        <f t="shared" ca="1" si="660"/>
        <v>0</v>
      </c>
      <c r="W216" s="164">
        <f t="shared" ca="1" si="661"/>
        <v>0</v>
      </c>
      <c r="X216" s="164">
        <f t="shared" ca="1" si="662"/>
        <v>0</v>
      </c>
      <c r="Y216" s="164">
        <f t="shared" ca="1" si="663"/>
        <v>0</v>
      </c>
      <c r="Z216" s="164">
        <f t="shared" ca="1" si="664"/>
        <v>0</v>
      </c>
      <c r="AA216" s="164">
        <f t="shared" ca="1" si="665"/>
        <v>0</v>
      </c>
      <c r="AB216" s="164">
        <f t="shared" ca="1" si="666"/>
        <v>0</v>
      </c>
      <c r="AC216" s="164">
        <f t="shared" ca="1" si="667"/>
        <v>0</v>
      </c>
      <c r="AD216" s="164">
        <f t="shared" ca="1" si="668"/>
        <v>0</v>
      </c>
      <c r="AE216" s="164">
        <f t="shared" ca="1" si="669"/>
        <v>0</v>
      </c>
      <c r="AF216" s="164">
        <f t="shared" ca="1" si="670"/>
        <v>0</v>
      </c>
      <c r="AG216" s="164">
        <f t="shared" ca="1" si="671"/>
        <v>0</v>
      </c>
      <c r="AH216" s="164">
        <f t="shared" ca="1" si="672"/>
        <v>0</v>
      </c>
      <c r="AI216" s="164">
        <f t="shared" ca="1" si="673"/>
        <v>0</v>
      </c>
      <c r="AJ216" s="164">
        <f t="shared" ca="1" si="674"/>
        <v>0</v>
      </c>
      <c r="AK216" s="164">
        <f t="shared" ca="1" si="675"/>
        <v>0</v>
      </c>
      <c r="AL216" s="164">
        <f t="shared" si="676"/>
        <v>0</v>
      </c>
      <c r="AM216" s="164">
        <f t="shared" ca="1" si="677"/>
        <v>0</v>
      </c>
      <c r="AN216" s="205"/>
      <c r="AO216" s="154">
        <f t="shared" ca="1" si="678"/>
        <v>0</v>
      </c>
      <c r="AP216" s="154">
        <f t="shared" ca="1" si="679"/>
        <v>0</v>
      </c>
      <c r="AQ216" s="154">
        <f t="shared" ca="1" si="680"/>
        <v>0</v>
      </c>
      <c r="AR216" s="154">
        <f t="shared" ca="1" si="681"/>
        <v>0</v>
      </c>
      <c r="AS216" s="154">
        <f t="shared" ca="1" si="682"/>
        <v>0</v>
      </c>
      <c r="AT216" s="154">
        <f t="shared" ca="1" si="683"/>
        <v>0</v>
      </c>
      <c r="AU216" s="154">
        <f t="shared" ca="1" si="684"/>
        <v>0</v>
      </c>
      <c r="AV216" s="154">
        <f t="shared" ca="1" si="685"/>
        <v>0</v>
      </c>
      <c r="AW216" s="154">
        <f t="shared" ca="1" si="686"/>
        <v>0</v>
      </c>
      <c r="AX216" s="154">
        <f t="shared" ca="1" si="687"/>
        <v>0</v>
      </c>
      <c r="AY216" s="154">
        <f t="shared" ca="1" si="688"/>
        <v>0</v>
      </c>
      <c r="AZ216" s="154">
        <f t="shared" ca="1" si="689"/>
        <v>0</v>
      </c>
      <c r="BA216" s="154">
        <f t="shared" ca="1" si="690"/>
        <v>0</v>
      </c>
      <c r="BB216" s="154">
        <f t="shared" ca="1" si="691"/>
        <v>0</v>
      </c>
      <c r="BC216" s="154">
        <f t="shared" ca="1" si="692"/>
        <v>0</v>
      </c>
      <c r="BD216" s="154">
        <f t="shared" ca="1" si="693"/>
        <v>0</v>
      </c>
      <c r="BE216" s="154">
        <f t="shared" ca="1" si="694"/>
        <v>0</v>
      </c>
      <c r="BF216" s="154">
        <f t="shared" ca="1" si="695"/>
        <v>0</v>
      </c>
      <c r="BG216" s="154">
        <f t="shared" ca="1" si="696"/>
        <v>0</v>
      </c>
      <c r="BH216" s="154">
        <f t="shared" ca="1" si="697"/>
        <v>0</v>
      </c>
      <c r="BI216" s="154">
        <f t="shared" ca="1" si="698"/>
        <v>0</v>
      </c>
      <c r="BJ216" s="154">
        <f t="shared" ca="1" si="699"/>
        <v>0</v>
      </c>
      <c r="BK216" s="154">
        <f t="shared" ca="1" si="700"/>
        <v>0</v>
      </c>
      <c r="BL216" s="154">
        <f t="shared" ca="1" si="701"/>
        <v>0</v>
      </c>
      <c r="BM216" s="154">
        <f t="shared" ca="1" si="702"/>
        <v>0</v>
      </c>
      <c r="BN216" s="1198">
        <f t="shared" si="719"/>
        <v>221</v>
      </c>
      <c r="BO216" s="1197" t="str">
        <f t="shared" si="703"/>
        <v>Tulamidya</v>
      </c>
      <c r="BP216" s="1197" t="str">
        <f t="shared" ca="1" si="704"/>
        <v>B</v>
      </c>
      <c r="BQ216" s="1197">
        <f t="shared" si="727"/>
        <v>40</v>
      </c>
      <c r="BR216" s="1198" t="str">
        <f t="shared" ca="1" si="720"/>
        <v/>
      </c>
      <c r="BS216" s="1198" t="s">
        <v>2922</v>
      </c>
      <c r="BT216" s="78"/>
      <c r="BU216" s="78"/>
      <c r="BV216" s="78"/>
      <c r="BW216" s="1197">
        <f t="shared" ca="1" si="721"/>
        <v>0</v>
      </c>
      <c r="BX216" s="1197">
        <f t="shared" ca="1" si="705"/>
        <v>0</v>
      </c>
      <c r="BY216" s="1197">
        <f t="shared" ca="1" si="706"/>
        <v>0</v>
      </c>
      <c r="BZ216" s="1081">
        <f t="shared" ca="1" si="707"/>
        <v>0</v>
      </c>
      <c r="CA216" s="1081">
        <f t="shared" ca="1" si="708"/>
        <v>0</v>
      </c>
      <c r="CB216" s="1081">
        <f t="shared" ca="1" si="709"/>
        <v>65</v>
      </c>
      <c r="CC216" s="1081">
        <f t="shared" ca="1" si="710"/>
        <v>66</v>
      </c>
      <c r="CD216" s="1081">
        <f t="shared" si="738"/>
        <v>0</v>
      </c>
      <c r="CE216" s="1081">
        <f t="shared" ca="1" si="711"/>
        <v>1</v>
      </c>
      <c r="CF216" s="1081">
        <f t="shared" ca="1" si="722"/>
        <v>0</v>
      </c>
      <c r="CG216" s="1198" t="str">
        <f t="shared" si="712"/>
        <v>Tulamidya-Familie</v>
      </c>
      <c r="CH216" s="1198" t="str">
        <f t="shared" ca="1" si="713"/>
        <v/>
      </c>
      <c r="CI216" s="1198"/>
      <c r="CJ216" s="1198"/>
      <c r="CK216" s="1198" t="str">
        <f t="shared" ca="1" si="723"/>
        <v/>
      </c>
      <c r="CL216" s="1198" t="str">
        <f t="shared" ca="1" si="724"/>
        <v/>
      </c>
      <c r="CM216" s="78"/>
      <c r="CN216" s="1081">
        <f t="shared" ca="1" si="725"/>
        <v>0</v>
      </c>
      <c r="CO216" s="1081">
        <f t="shared" ca="1" si="714"/>
        <v>0</v>
      </c>
      <c r="CP216" s="1081">
        <f t="shared" ca="1" si="726"/>
        <v>0</v>
      </c>
      <c r="DJ216" s="301" t="str">
        <f t="shared" ca="1" si="741"/>
        <v>A</v>
      </c>
      <c r="DK216" s="301" t="str">
        <f t="shared" ca="1" si="741"/>
        <v>A</v>
      </c>
      <c r="DL216" s="301" t="str">
        <f t="shared" ca="1" si="741"/>
        <v>A</v>
      </c>
      <c r="DM216" s="301" t="str">
        <f t="shared" ca="1" si="741"/>
        <v>A</v>
      </c>
      <c r="DN216" s="301" t="str">
        <f t="shared" ca="1" si="741"/>
        <v>A</v>
      </c>
      <c r="DO216" s="301" t="str">
        <f t="shared" ca="1" si="741"/>
        <v>A</v>
      </c>
      <c r="DP216" s="301" t="str">
        <f t="shared" ca="1" si="741"/>
        <v>A</v>
      </c>
      <c r="DQ216" s="301" t="str">
        <f t="shared" ca="1" si="741"/>
        <v>A</v>
      </c>
      <c r="DR216" s="301" t="str">
        <f t="shared" ca="1" si="741"/>
        <v>A</v>
      </c>
      <c r="DS216" s="301" t="str">
        <f t="shared" ca="1" si="741"/>
        <v>A</v>
      </c>
      <c r="DT216" s="301" t="str">
        <f t="shared" ca="1" si="742"/>
        <v>A</v>
      </c>
      <c r="DU216" s="301" t="str">
        <f t="shared" ca="1" si="742"/>
        <v>A</v>
      </c>
      <c r="DV216" s="301" t="str">
        <f t="shared" ca="1" si="742"/>
        <v>A</v>
      </c>
      <c r="DW216" s="301" t="str">
        <f t="shared" ca="1" si="742"/>
        <v>A</v>
      </c>
      <c r="DX216" s="301" t="str">
        <f t="shared" ca="1" si="742"/>
        <v>A</v>
      </c>
      <c r="DY216" s="301" t="str">
        <f t="shared" ca="1" si="742"/>
        <v>A</v>
      </c>
      <c r="DZ216" s="301" t="str">
        <f t="shared" ca="1" si="742"/>
        <v>A</v>
      </c>
      <c r="EA216" s="301" t="str">
        <f t="shared" ca="1" si="742"/>
        <v>A</v>
      </c>
      <c r="EB216" s="301" t="str">
        <f t="shared" ca="1" si="742"/>
        <v>A</v>
      </c>
      <c r="EC216" s="301" t="str">
        <f t="shared" ca="1" si="742"/>
        <v>A</v>
      </c>
      <c r="ED216" s="301" t="str">
        <f t="shared" ca="1" si="742"/>
        <v>A</v>
      </c>
      <c r="EE216" s="301" t="str">
        <f t="shared" ca="1" si="742"/>
        <v>A</v>
      </c>
      <c r="EF216" s="301">
        <f t="shared" si="717"/>
        <v>0</v>
      </c>
      <c r="EG216" s="1426" t="str">
        <f t="shared" ca="1" si="743"/>
        <v>B</v>
      </c>
      <c r="EH216" s="1429" t="str">
        <f t="shared" ca="1" si="743"/>
        <v>B</v>
      </c>
      <c r="EI216" s="1429" t="str">
        <f t="shared" ca="1" si="743"/>
        <v>B</v>
      </c>
      <c r="EJ216" s="1429" t="str">
        <f t="shared" ca="1" si="743"/>
        <v>B</v>
      </c>
      <c r="EK216" s="1429" t="str">
        <f t="shared" ca="1" si="743"/>
        <v>B</v>
      </c>
      <c r="EL216" s="1429" t="str">
        <f t="shared" ca="1" si="743"/>
        <v>B</v>
      </c>
      <c r="EM216" s="1429" t="str">
        <f t="shared" ca="1" si="743"/>
        <v>B</v>
      </c>
      <c r="EN216" s="1429" t="str">
        <f t="shared" ca="1" si="743"/>
        <v>B</v>
      </c>
      <c r="EO216" s="1429" t="str">
        <f t="shared" ca="1" si="744"/>
        <v>B</v>
      </c>
      <c r="EP216" s="1429" t="str">
        <f t="shared" ca="1" si="744"/>
        <v>B</v>
      </c>
      <c r="EQ216" s="1429" t="str">
        <f t="shared" ca="1" si="744"/>
        <v>B</v>
      </c>
      <c r="ER216" s="1429" t="str">
        <f t="shared" ca="1" si="744"/>
        <v>B</v>
      </c>
      <c r="ES216" s="1429" t="str">
        <f t="shared" ca="1" si="744"/>
        <v>B</v>
      </c>
      <c r="ET216" s="1429" t="str">
        <f t="shared" ca="1" si="744"/>
        <v>B</v>
      </c>
      <c r="EU216" s="1429" t="str">
        <f t="shared" ca="1" si="744"/>
        <v>B</v>
      </c>
      <c r="EV216" s="1429" t="str">
        <f t="shared" ca="1" si="744"/>
        <v>B</v>
      </c>
      <c r="EW216" s="1429" t="str">
        <f t="shared" ca="1" si="745"/>
        <v>B</v>
      </c>
      <c r="EX216" s="1429" t="str">
        <f t="shared" ca="1" si="745"/>
        <v>B</v>
      </c>
      <c r="EY216" s="1429" t="str">
        <f t="shared" ca="1" si="745"/>
        <v>B</v>
      </c>
      <c r="EZ216" s="1429" t="str">
        <f t="shared" ca="1" si="745"/>
        <v>B</v>
      </c>
      <c r="FA216" s="1429" t="str">
        <f t="shared" ca="1" si="745"/>
        <v>B</v>
      </c>
      <c r="FB216" s="1429" t="str">
        <f t="shared" ca="1" si="745"/>
        <v>B</v>
      </c>
      <c r="FC216" s="1429" t="str">
        <f t="shared" ca="1" si="745"/>
        <v>B</v>
      </c>
      <c r="FD216" s="1429" t="str">
        <f t="shared" ca="1" si="745"/>
        <v>B</v>
      </c>
      <c r="FE216" s="1429" t="str">
        <f t="shared" ca="1" si="745"/>
        <v>B</v>
      </c>
      <c r="FF216" s="1429" t="str">
        <f t="shared" ca="1" si="745"/>
        <v>B</v>
      </c>
      <c r="FG216" s="1429" t="str">
        <f t="shared" ca="1" si="745"/>
        <v>B</v>
      </c>
      <c r="FH216" s="1429" t="str">
        <f t="shared" ca="1" si="745"/>
        <v>B</v>
      </c>
      <c r="FI216" s="1429" t="str">
        <f t="shared" ca="1" si="745"/>
        <v>B</v>
      </c>
      <c r="FJ216" s="1429" t="str">
        <f t="shared" ca="1" si="745"/>
        <v>B</v>
      </c>
      <c r="FK216" s="1429" t="str">
        <f t="shared" ca="1" si="745"/>
        <v>B</v>
      </c>
      <c r="FL216" s="1429" t="str">
        <f t="shared" ca="1" si="745"/>
        <v>B</v>
      </c>
    </row>
    <row r="217" spans="1:168" x14ac:dyDescent="0.2">
      <c r="A217" s="62" t="str">
        <f t="shared" si="649"/>
        <v>Ur-Tulamidya</v>
      </c>
      <c r="B217" s="317" t="str">
        <f t="shared" ca="1" si="650"/>
        <v/>
      </c>
      <c r="C217" s="332" t="str">
        <f ca="1">IF(AND(EXACT($F217,""),EXACT($G217,"")),IF(OR(NOT(ISBLANK(D217)),NOT(EXACT(HLOOKUP(RASSEGENE,RASSE,$BN217,FALSE),"")),NOT(EXACT(HLOOKUP(KULTURGENE,KULTUR,$BN217,FALSE),"")),NOT(EXACT(HLOOKUP(PROFGENE,INDIRECT(PROFGEBIET),$BN217,FALSE),"")),
IF(LEN(PROFZWEITE)&lt;1,FALSE,NOT(EXACT(HLOOKUP(Generierung!$D$12,INDIRECT(PROFGEBIET2),$BN217,FALSE),"")))
),"x",""),"")</f>
        <v/>
      </c>
      <c r="D217" s="1110"/>
      <c r="E217" s="325"/>
      <c r="F217" s="388" t="str">
        <f t="shared" ca="1" si="651"/>
        <v/>
      </c>
      <c r="G217" s="388" t="str">
        <f t="shared" ca="1" si="652"/>
        <v/>
      </c>
      <c r="H217" s="389"/>
      <c r="I217" s="1196"/>
      <c r="J217" s="326"/>
      <c r="O217" s="514" t="str">
        <f t="shared" ca="1" si="653"/>
        <v/>
      </c>
      <c r="P217" s="164">
        <f t="shared" ca="1" si="654"/>
        <v>0</v>
      </c>
      <c r="Q217" s="164">
        <f t="shared" ca="1" si="655"/>
        <v>0</v>
      </c>
      <c r="R217" s="164">
        <f t="shared" ca="1" si="656"/>
        <v>0</v>
      </c>
      <c r="S217" s="164">
        <f t="shared" ca="1" si="657"/>
        <v>0</v>
      </c>
      <c r="T217" s="164">
        <f t="shared" ca="1" si="658"/>
        <v>0</v>
      </c>
      <c r="U217" s="164">
        <f t="shared" ca="1" si="659"/>
        <v>0</v>
      </c>
      <c r="V217" s="164">
        <f t="shared" ca="1" si="660"/>
        <v>0</v>
      </c>
      <c r="W217" s="164">
        <f t="shared" ca="1" si="661"/>
        <v>0</v>
      </c>
      <c r="X217" s="164">
        <f t="shared" ca="1" si="662"/>
        <v>0</v>
      </c>
      <c r="Y217" s="164">
        <f t="shared" ca="1" si="663"/>
        <v>0</v>
      </c>
      <c r="Z217" s="164">
        <f t="shared" ca="1" si="664"/>
        <v>0</v>
      </c>
      <c r="AA217" s="164">
        <f t="shared" ca="1" si="665"/>
        <v>0</v>
      </c>
      <c r="AB217" s="164">
        <f t="shared" ca="1" si="666"/>
        <v>0</v>
      </c>
      <c r="AC217" s="164">
        <f t="shared" ca="1" si="667"/>
        <v>0</v>
      </c>
      <c r="AD217" s="164">
        <f t="shared" ca="1" si="668"/>
        <v>0</v>
      </c>
      <c r="AE217" s="164">
        <f t="shared" ca="1" si="669"/>
        <v>0</v>
      </c>
      <c r="AF217" s="164">
        <f t="shared" ca="1" si="670"/>
        <v>0</v>
      </c>
      <c r="AG217" s="164">
        <f t="shared" ca="1" si="671"/>
        <v>0</v>
      </c>
      <c r="AH217" s="164">
        <f t="shared" ca="1" si="672"/>
        <v>0</v>
      </c>
      <c r="AI217" s="164">
        <f t="shared" ca="1" si="673"/>
        <v>0</v>
      </c>
      <c r="AJ217" s="164">
        <f t="shared" ca="1" si="674"/>
        <v>0</v>
      </c>
      <c r="AK217" s="164">
        <f t="shared" ca="1" si="675"/>
        <v>0</v>
      </c>
      <c r="AL217" s="164">
        <f t="shared" si="676"/>
        <v>0</v>
      </c>
      <c r="AM217" s="164">
        <f t="shared" ca="1" si="677"/>
        <v>0</v>
      </c>
      <c r="AN217" s="205"/>
      <c r="AO217" s="154">
        <f t="shared" ca="1" si="678"/>
        <v>0</v>
      </c>
      <c r="AP217" s="154">
        <f t="shared" ca="1" si="679"/>
        <v>0</v>
      </c>
      <c r="AQ217" s="154">
        <f t="shared" ca="1" si="680"/>
        <v>0</v>
      </c>
      <c r="AR217" s="154">
        <f t="shared" ca="1" si="681"/>
        <v>0</v>
      </c>
      <c r="AS217" s="154">
        <f t="shared" ca="1" si="682"/>
        <v>0</v>
      </c>
      <c r="AT217" s="154">
        <f t="shared" ca="1" si="683"/>
        <v>0</v>
      </c>
      <c r="AU217" s="154">
        <f t="shared" ca="1" si="684"/>
        <v>0</v>
      </c>
      <c r="AV217" s="154">
        <f t="shared" ca="1" si="685"/>
        <v>0</v>
      </c>
      <c r="AW217" s="154">
        <f t="shared" ca="1" si="686"/>
        <v>0</v>
      </c>
      <c r="AX217" s="154">
        <f t="shared" ca="1" si="687"/>
        <v>0</v>
      </c>
      <c r="AY217" s="154">
        <f t="shared" ca="1" si="688"/>
        <v>0</v>
      </c>
      <c r="AZ217" s="154">
        <f t="shared" ca="1" si="689"/>
        <v>0</v>
      </c>
      <c r="BA217" s="154">
        <f t="shared" ca="1" si="690"/>
        <v>0</v>
      </c>
      <c r="BB217" s="154">
        <f t="shared" ca="1" si="691"/>
        <v>0</v>
      </c>
      <c r="BC217" s="154">
        <f t="shared" ca="1" si="692"/>
        <v>0</v>
      </c>
      <c r="BD217" s="154">
        <f t="shared" ca="1" si="693"/>
        <v>0</v>
      </c>
      <c r="BE217" s="154">
        <f t="shared" ca="1" si="694"/>
        <v>0</v>
      </c>
      <c r="BF217" s="154">
        <f t="shared" ca="1" si="695"/>
        <v>0</v>
      </c>
      <c r="BG217" s="154">
        <f t="shared" ca="1" si="696"/>
        <v>0</v>
      </c>
      <c r="BH217" s="154">
        <f t="shared" ca="1" si="697"/>
        <v>0</v>
      </c>
      <c r="BI217" s="154">
        <f t="shared" ca="1" si="698"/>
        <v>0</v>
      </c>
      <c r="BJ217" s="154">
        <f t="shared" ca="1" si="699"/>
        <v>0</v>
      </c>
      <c r="BK217" s="154">
        <f t="shared" ca="1" si="700"/>
        <v>0</v>
      </c>
      <c r="BL217" s="154">
        <f t="shared" ca="1" si="701"/>
        <v>0</v>
      </c>
      <c r="BM217" s="154">
        <f t="shared" ca="1" si="702"/>
        <v>0</v>
      </c>
      <c r="BN217" s="1198">
        <f t="shared" si="719"/>
        <v>222</v>
      </c>
      <c r="BO217" s="1197" t="str">
        <f t="shared" si="703"/>
        <v>Ur-Tulamidya</v>
      </c>
      <c r="BP217" s="1197" t="str">
        <f t="shared" ca="1" si="704"/>
        <v>B</v>
      </c>
      <c r="BQ217" s="1197">
        <f t="shared" si="727"/>
        <v>41</v>
      </c>
      <c r="BR217" s="1198" t="str">
        <f t="shared" ca="1" si="720"/>
        <v/>
      </c>
      <c r="BS217" s="1198" t="s">
        <v>2923</v>
      </c>
      <c r="BT217" s="78"/>
      <c r="BU217" s="78"/>
      <c r="BV217" s="78"/>
      <c r="BW217" s="1197">
        <f t="shared" ca="1" si="721"/>
        <v>0</v>
      </c>
      <c r="BX217" s="1197">
        <f t="shared" ca="1" si="705"/>
        <v>0</v>
      </c>
      <c r="BY217" s="1197">
        <f t="shared" ca="1" si="706"/>
        <v>0</v>
      </c>
      <c r="BZ217" s="1081">
        <f t="shared" ca="1" si="707"/>
        <v>0</v>
      </c>
      <c r="CA217" s="1081">
        <f t="shared" ca="1" si="708"/>
        <v>0</v>
      </c>
      <c r="CB217" s="1081">
        <f t="shared" ca="1" si="709"/>
        <v>65</v>
      </c>
      <c r="CC217" s="1081">
        <f t="shared" ca="1" si="710"/>
        <v>66</v>
      </c>
      <c r="CD217" s="1081">
        <f t="shared" si="738"/>
        <v>0</v>
      </c>
      <c r="CE217" s="1081">
        <f t="shared" ca="1" si="711"/>
        <v>1</v>
      </c>
      <c r="CF217" s="1081">
        <f t="shared" ca="1" si="722"/>
        <v>0</v>
      </c>
      <c r="CG217" s="1198" t="str">
        <f t="shared" si="712"/>
        <v>Tulamidya-Familie</v>
      </c>
      <c r="CH217" s="1198" t="str">
        <f t="shared" ca="1" si="713"/>
        <v/>
      </c>
      <c r="CI217" s="1198"/>
      <c r="CJ217" s="1198"/>
      <c r="CK217" s="1198" t="str">
        <f t="shared" ca="1" si="723"/>
        <v/>
      </c>
      <c r="CL217" s="1198" t="str">
        <f t="shared" ca="1" si="724"/>
        <v/>
      </c>
      <c r="CM217" s="78"/>
      <c r="CN217" s="1081">
        <f t="shared" ca="1" si="725"/>
        <v>0</v>
      </c>
      <c r="CO217" s="1081">
        <f t="shared" ca="1" si="714"/>
        <v>0</v>
      </c>
      <c r="CP217" s="1081">
        <f t="shared" ca="1" si="726"/>
        <v>0</v>
      </c>
      <c r="DJ217" s="301" t="str">
        <f t="shared" ref="DJ217:DS222" ca="1" si="746">IF(ISERR(FIND(";"&amp;DJ$176&amp;":0;",$E217)),
CHAR($CB217+SUM(IF(ISERR(FIND(";"&amp;DJ$176&amp;";",$F217)),0,-1),IF(OR(VT_AKADGEL,VT_AKADMAG),IF(DJ$176&lt;$EF217+1,-1,0),0),IF(ISERR(FIND(";"&amp;DJ$176&amp;":",$E217)),0,-VALUE(MID($E217,FIND(";"&amp;DJ$176&amp;":",$E217)+LEN(DJ$176)+2,1))))),0)</f>
        <v>A</v>
      </c>
      <c r="DK217" s="301" t="str">
        <f t="shared" ca="1" si="746"/>
        <v>A</v>
      </c>
      <c r="DL217" s="301" t="str">
        <f t="shared" ca="1" si="746"/>
        <v>A</v>
      </c>
      <c r="DM217" s="301" t="str">
        <f t="shared" ca="1" si="746"/>
        <v>A</v>
      </c>
      <c r="DN217" s="301" t="str">
        <f t="shared" ca="1" si="746"/>
        <v>A</v>
      </c>
      <c r="DO217" s="301" t="str">
        <f t="shared" ca="1" si="746"/>
        <v>A</v>
      </c>
      <c r="DP217" s="301" t="str">
        <f t="shared" ca="1" si="746"/>
        <v>A</v>
      </c>
      <c r="DQ217" s="301" t="str">
        <f t="shared" ca="1" si="746"/>
        <v>A</v>
      </c>
      <c r="DR217" s="301" t="str">
        <f t="shared" ca="1" si="746"/>
        <v>A</v>
      </c>
      <c r="DS217" s="301" t="str">
        <f t="shared" ca="1" si="746"/>
        <v>A</v>
      </c>
      <c r="DT217" s="301" t="str">
        <f t="shared" ref="DT217:EE222" ca="1" si="747">IF(ISERR(FIND(";"&amp;DT$176&amp;":0;",$E217)),
CHAR($CB217+SUM(IF(ISERR(FIND(";"&amp;DT$176&amp;";",$F217)),0,-1),IF(OR(VT_AKADGEL,VT_AKADMAG),IF(DT$176&lt;$EF217+1,-1,0),0),IF(ISERR(FIND(";"&amp;DT$176&amp;":",$E217)),0,-VALUE(MID($E217,FIND(";"&amp;DT$176&amp;":",$E217)+LEN(DT$176)+2,1))))),0)</f>
        <v>A</v>
      </c>
      <c r="DU217" s="301" t="str">
        <f t="shared" ca="1" si="747"/>
        <v>A</v>
      </c>
      <c r="DV217" s="301" t="str">
        <f t="shared" ca="1" si="747"/>
        <v>A</v>
      </c>
      <c r="DW217" s="301" t="str">
        <f t="shared" ca="1" si="747"/>
        <v>A</v>
      </c>
      <c r="DX217" s="301" t="str">
        <f t="shared" ca="1" si="747"/>
        <v>A</v>
      </c>
      <c r="DY217" s="301" t="str">
        <f t="shared" ca="1" si="747"/>
        <v>A</v>
      </c>
      <c r="DZ217" s="301" t="str">
        <f t="shared" ca="1" si="747"/>
        <v>A</v>
      </c>
      <c r="EA217" s="301" t="str">
        <f t="shared" ca="1" si="747"/>
        <v>A</v>
      </c>
      <c r="EB217" s="301" t="str">
        <f t="shared" ca="1" si="747"/>
        <v>A</v>
      </c>
      <c r="EC217" s="301" t="str">
        <f t="shared" ca="1" si="747"/>
        <v>A</v>
      </c>
      <c r="ED217" s="301" t="str">
        <f t="shared" ca="1" si="747"/>
        <v>A</v>
      </c>
      <c r="EE217" s="301" t="str">
        <f t="shared" ca="1" si="747"/>
        <v>A</v>
      </c>
      <c r="EF217" s="301">
        <f t="shared" si="717"/>
        <v>0</v>
      </c>
      <c r="EG217" s="1426" t="str">
        <f t="shared" ca="1" si="743"/>
        <v>B</v>
      </c>
      <c r="EH217" s="1429" t="str">
        <f t="shared" ca="1" si="743"/>
        <v>B</v>
      </c>
      <c r="EI217" s="1429" t="str">
        <f t="shared" ca="1" si="743"/>
        <v>B</v>
      </c>
      <c r="EJ217" s="1429" t="str">
        <f t="shared" ca="1" si="743"/>
        <v>B</v>
      </c>
      <c r="EK217" s="1429" t="str">
        <f t="shared" ca="1" si="743"/>
        <v>B</v>
      </c>
      <c r="EL217" s="1429" t="str">
        <f t="shared" ca="1" si="743"/>
        <v>B</v>
      </c>
      <c r="EM217" s="1429" t="str">
        <f t="shared" ca="1" si="743"/>
        <v>B</v>
      </c>
      <c r="EN217" s="1429" t="str">
        <f t="shared" ca="1" si="743"/>
        <v>B</v>
      </c>
      <c r="EO217" s="1429" t="str">
        <f t="shared" ca="1" si="744"/>
        <v>B</v>
      </c>
      <c r="EP217" s="1429" t="str">
        <f t="shared" ca="1" si="744"/>
        <v>B</v>
      </c>
      <c r="EQ217" s="1429" t="str">
        <f t="shared" ca="1" si="744"/>
        <v>B</v>
      </c>
      <c r="ER217" s="1429" t="str">
        <f t="shared" ca="1" si="744"/>
        <v>B</v>
      </c>
      <c r="ES217" s="1429" t="str">
        <f t="shared" ca="1" si="744"/>
        <v>B</v>
      </c>
      <c r="ET217" s="1429" t="str">
        <f t="shared" ca="1" si="744"/>
        <v>B</v>
      </c>
      <c r="EU217" s="1429" t="str">
        <f t="shared" ca="1" si="744"/>
        <v>B</v>
      </c>
      <c r="EV217" s="1429" t="str">
        <f t="shared" ca="1" si="744"/>
        <v>B</v>
      </c>
      <c r="EW217" s="1429" t="str">
        <f t="shared" ca="1" si="745"/>
        <v>B</v>
      </c>
      <c r="EX217" s="1429" t="str">
        <f t="shared" ca="1" si="745"/>
        <v>B</v>
      </c>
      <c r="EY217" s="1429" t="str">
        <f t="shared" ca="1" si="745"/>
        <v>B</v>
      </c>
      <c r="EZ217" s="1429" t="str">
        <f t="shared" ca="1" si="745"/>
        <v>B</v>
      </c>
      <c r="FA217" s="1429" t="str">
        <f t="shared" ca="1" si="745"/>
        <v>B</v>
      </c>
      <c r="FB217" s="1429" t="str">
        <f t="shared" ca="1" si="745"/>
        <v>B</v>
      </c>
      <c r="FC217" s="1429" t="str">
        <f t="shared" ca="1" si="745"/>
        <v>B</v>
      </c>
      <c r="FD217" s="1429" t="str">
        <f t="shared" ca="1" si="745"/>
        <v>B</v>
      </c>
      <c r="FE217" s="1429" t="str">
        <f t="shared" ca="1" si="745"/>
        <v>B</v>
      </c>
      <c r="FF217" s="1429" t="str">
        <f t="shared" ca="1" si="745"/>
        <v>B</v>
      </c>
      <c r="FG217" s="1429" t="str">
        <f t="shared" ca="1" si="745"/>
        <v>B</v>
      </c>
      <c r="FH217" s="1429" t="str">
        <f t="shared" ca="1" si="745"/>
        <v>B</v>
      </c>
      <c r="FI217" s="1429" t="str">
        <f t="shared" ca="1" si="745"/>
        <v>B</v>
      </c>
      <c r="FJ217" s="1429" t="str">
        <f t="shared" ca="1" si="745"/>
        <v>B</v>
      </c>
      <c r="FK217" s="1429" t="str">
        <f t="shared" ca="1" si="745"/>
        <v>B</v>
      </c>
      <c r="FL217" s="1429" t="str">
        <f t="shared" ca="1" si="745"/>
        <v>B</v>
      </c>
    </row>
    <row r="218" spans="1:168" x14ac:dyDescent="0.2">
      <c r="A218" s="62" t="str">
        <f t="shared" si="649"/>
        <v>Zelemja</v>
      </c>
      <c r="B218" s="317" t="str">
        <f t="shared" ca="1" si="650"/>
        <v/>
      </c>
      <c r="C218" s="332" t="str">
        <f ca="1">IF(AND(EXACT($F218,""),EXACT($G218,"")),IF(OR(NOT(ISBLANK(D218)),NOT(EXACT(HLOOKUP(RASSEGENE,RASSE,$BN218,FALSE),"")),NOT(EXACT(HLOOKUP(KULTURGENE,KULTUR,$BN218,FALSE),"")),NOT(EXACT(HLOOKUP(PROFGENE,INDIRECT(PROFGEBIET),$BN218,FALSE),"")),
IF(LEN(PROFZWEITE)&lt;1,FALSE,NOT(EXACT(HLOOKUP(Generierung!$D$12,INDIRECT(PROFGEBIET2),$BN218,FALSE),"")))
),"x",""),"")</f>
        <v/>
      </c>
      <c r="D218" s="1110"/>
      <c r="E218" s="325"/>
      <c r="F218" s="388" t="str">
        <f t="shared" ca="1" si="651"/>
        <v/>
      </c>
      <c r="G218" s="388" t="str">
        <f t="shared" ca="1" si="652"/>
        <v/>
      </c>
      <c r="H218" s="389"/>
      <c r="I218" s="1196"/>
      <c r="J218" s="326"/>
      <c r="O218" s="514" t="str">
        <f t="shared" ca="1" si="653"/>
        <v/>
      </c>
      <c r="P218" s="164">
        <f t="shared" ca="1" si="654"/>
        <v>0</v>
      </c>
      <c r="Q218" s="164">
        <f t="shared" ca="1" si="655"/>
        <v>0</v>
      </c>
      <c r="R218" s="164">
        <f t="shared" ca="1" si="656"/>
        <v>0</v>
      </c>
      <c r="S218" s="164">
        <f t="shared" ca="1" si="657"/>
        <v>0</v>
      </c>
      <c r="T218" s="164">
        <f t="shared" ca="1" si="658"/>
        <v>0</v>
      </c>
      <c r="U218" s="164">
        <f t="shared" ca="1" si="659"/>
        <v>0</v>
      </c>
      <c r="V218" s="164">
        <f t="shared" ca="1" si="660"/>
        <v>0</v>
      </c>
      <c r="W218" s="164">
        <f t="shared" ca="1" si="661"/>
        <v>0</v>
      </c>
      <c r="X218" s="164">
        <f t="shared" ca="1" si="662"/>
        <v>0</v>
      </c>
      <c r="Y218" s="164">
        <f t="shared" ca="1" si="663"/>
        <v>0</v>
      </c>
      <c r="Z218" s="164">
        <f t="shared" ca="1" si="664"/>
        <v>0</v>
      </c>
      <c r="AA218" s="164">
        <f t="shared" ca="1" si="665"/>
        <v>0</v>
      </c>
      <c r="AB218" s="164">
        <f t="shared" ca="1" si="666"/>
        <v>0</v>
      </c>
      <c r="AC218" s="164">
        <f t="shared" ca="1" si="667"/>
        <v>0</v>
      </c>
      <c r="AD218" s="164">
        <f t="shared" ca="1" si="668"/>
        <v>0</v>
      </c>
      <c r="AE218" s="164">
        <f t="shared" ca="1" si="669"/>
        <v>0</v>
      </c>
      <c r="AF218" s="164">
        <f t="shared" ca="1" si="670"/>
        <v>0</v>
      </c>
      <c r="AG218" s="164">
        <f t="shared" ca="1" si="671"/>
        <v>0</v>
      </c>
      <c r="AH218" s="164">
        <f t="shared" ca="1" si="672"/>
        <v>0</v>
      </c>
      <c r="AI218" s="164">
        <f t="shared" ca="1" si="673"/>
        <v>0</v>
      </c>
      <c r="AJ218" s="164">
        <f t="shared" ca="1" si="674"/>
        <v>0</v>
      </c>
      <c r="AK218" s="164">
        <f t="shared" ca="1" si="675"/>
        <v>0</v>
      </c>
      <c r="AL218" s="164">
        <f t="shared" si="676"/>
        <v>0</v>
      </c>
      <c r="AM218" s="164">
        <f t="shared" ca="1" si="677"/>
        <v>0</v>
      </c>
      <c r="AN218" s="205"/>
      <c r="AO218" s="154">
        <f t="shared" ca="1" si="678"/>
        <v>0</v>
      </c>
      <c r="AP218" s="154">
        <f t="shared" ca="1" si="679"/>
        <v>0</v>
      </c>
      <c r="AQ218" s="154">
        <f t="shared" ca="1" si="680"/>
        <v>0</v>
      </c>
      <c r="AR218" s="154">
        <f t="shared" ca="1" si="681"/>
        <v>0</v>
      </c>
      <c r="AS218" s="154">
        <f t="shared" ca="1" si="682"/>
        <v>0</v>
      </c>
      <c r="AT218" s="154">
        <f t="shared" ca="1" si="683"/>
        <v>0</v>
      </c>
      <c r="AU218" s="154">
        <f t="shared" ca="1" si="684"/>
        <v>0</v>
      </c>
      <c r="AV218" s="154">
        <f t="shared" ca="1" si="685"/>
        <v>0</v>
      </c>
      <c r="AW218" s="154">
        <f t="shared" ca="1" si="686"/>
        <v>0</v>
      </c>
      <c r="AX218" s="154">
        <f t="shared" ca="1" si="687"/>
        <v>0</v>
      </c>
      <c r="AY218" s="154">
        <f t="shared" ca="1" si="688"/>
        <v>0</v>
      </c>
      <c r="AZ218" s="154">
        <f t="shared" ca="1" si="689"/>
        <v>0</v>
      </c>
      <c r="BA218" s="154">
        <f t="shared" ca="1" si="690"/>
        <v>0</v>
      </c>
      <c r="BB218" s="154">
        <f t="shared" ca="1" si="691"/>
        <v>0</v>
      </c>
      <c r="BC218" s="154">
        <f t="shared" ca="1" si="692"/>
        <v>0</v>
      </c>
      <c r="BD218" s="154">
        <f t="shared" ca="1" si="693"/>
        <v>0</v>
      </c>
      <c r="BE218" s="154">
        <f t="shared" ca="1" si="694"/>
        <v>0</v>
      </c>
      <c r="BF218" s="154">
        <f t="shared" ca="1" si="695"/>
        <v>0</v>
      </c>
      <c r="BG218" s="154">
        <f t="shared" ca="1" si="696"/>
        <v>0</v>
      </c>
      <c r="BH218" s="154">
        <f t="shared" ca="1" si="697"/>
        <v>0</v>
      </c>
      <c r="BI218" s="154">
        <f t="shared" ca="1" si="698"/>
        <v>0</v>
      </c>
      <c r="BJ218" s="154">
        <f t="shared" ca="1" si="699"/>
        <v>0</v>
      </c>
      <c r="BK218" s="154">
        <f t="shared" ca="1" si="700"/>
        <v>0</v>
      </c>
      <c r="BL218" s="154">
        <f t="shared" ca="1" si="701"/>
        <v>0</v>
      </c>
      <c r="BM218" s="154">
        <f t="shared" ca="1" si="702"/>
        <v>0</v>
      </c>
      <c r="BN218" s="1198">
        <f t="shared" si="719"/>
        <v>223</v>
      </c>
      <c r="BO218" s="1197" t="str">
        <f t="shared" si="703"/>
        <v>Zelemja</v>
      </c>
      <c r="BP218" s="1197" t="str">
        <f t="shared" ca="1" si="704"/>
        <v>B</v>
      </c>
      <c r="BQ218" s="1197">
        <f t="shared" si="727"/>
        <v>42</v>
      </c>
      <c r="BR218" s="1198" t="str">
        <f t="shared" ca="1" si="720"/>
        <v/>
      </c>
      <c r="BS218" s="1198" t="s">
        <v>3875</v>
      </c>
      <c r="BT218" s="78"/>
      <c r="BU218" s="78"/>
      <c r="BV218" s="78"/>
      <c r="BW218" s="1197">
        <f t="shared" ca="1" si="721"/>
        <v>0</v>
      </c>
      <c r="BX218" s="1197">
        <f t="shared" ca="1" si="705"/>
        <v>0</v>
      </c>
      <c r="BY218" s="1197">
        <f t="shared" ca="1" si="706"/>
        <v>0</v>
      </c>
      <c r="BZ218" s="1081">
        <f t="shared" ca="1" si="707"/>
        <v>0</v>
      </c>
      <c r="CA218" s="1081">
        <f t="shared" ca="1" si="708"/>
        <v>0</v>
      </c>
      <c r="CB218" s="1081">
        <f t="shared" ca="1" si="709"/>
        <v>65</v>
      </c>
      <c r="CC218" s="1081">
        <f t="shared" ca="1" si="710"/>
        <v>66</v>
      </c>
      <c r="CD218" s="1081">
        <f t="shared" si="738"/>
        <v>0</v>
      </c>
      <c r="CE218" s="1081">
        <f t="shared" ca="1" si="711"/>
        <v>1</v>
      </c>
      <c r="CF218" s="1081">
        <f t="shared" ca="1" si="722"/>
        <v>0</v>
      </c>
      <c r="CG218" s="1198" t="str">
        <f t="shared" si="712"/>
        <v>Tulamidya-Familie</v>
      </c>
      <c r="CH218" s="1198" t="str">
        <f t="shared" ca="1" si="713"/>
        <v/>
      </c>
      <c r="CI218" s="1198"/>
      <c r="CJ218" s="1198"/>
      <c r="CK218" s="1198" t="str">
        <f t="shared" ca="1" si="723"/>
        <v/>
      </c>
      <c r="CL218" s="1198" t="str">
        <f t="shared" ca="1" si="724"/>
        <v/>
      </c>
      <c r="CM218" s="78"/>
      <c r="CN218" s="1081">
        <f t="shared" ca="1" si="725"/>
        <v>0</v>
      </c>
      <c r="CO218" s="1081">
        <f t="shared" ca="1" si="714"/>
        <v>0</v>
      </c>
      <c r="CP218" s="1081">
        <f t="shared" ca="1" si="726"/>
        <v>0</v>
      </c>
      <c r="DJ218" s="301" t="str">
        <f t="shared" ca="1" si="746"/>
        <v>A</v>
      </c>
      <c r="DK218" s="301" t="str">
        <f t="shared" ca="1" si="746"/>
        <v>A</v>
      </c>
      <c r="DL218" s="301" t="str">
        <f t="shared" ca="1" si="746"/>
        <v>A</v>
      </c>
      <c r="DM218" s="301" t="str">
        <f t="shared" ca="1" si="746"/>
        <v>A</v>
      </c>
      <c r="DN218" s="301" t="str">
        <f t="shared" ca="1" si="746"/>
        <v>A</v>
      </c>
      <c r="DO218" s="301" t="str">
        <f t="shared" ca="1" si="746"/>
        <v>A</v>
      </c>
      <c r="DP218" s="301" t="str">
        <f t="shared" ca="1" si="746"/>
        <v>A</v>
      </c>
      <c r="DQ218" s="301" t="str">
        <f t="shared" ca="1" si="746"/>
        <v>A</v>
      </c>
      <c r="DR218" s="301" t="str">
        <f t="shared" ca="1" si="746"/>
        <v>A</v>
      </c>
      <c r="DS218" s="301" t="str">
        <f t="shared" ca="1" si="746"/>
        <v>A</v>
      </c>
      <c r="DT218" s="301" t="str">
        <f t="shared" ca="1" si="747"/>
        <v>A</v>
      </c>
      <c r="DU218" s="301" t="str">
        <f t="shared" ca="1" si="747"/>
        <v>A</v>
      </c>
      <c r="DV218" s="301" t="str">
        <f t="shared" ca="1" si="747"/>
        <v>A</v>
      </c>
      <c r="DW218" s="301" t="str">
        <f t="shared" ca="1" si="747"/>
        <v>A</v>
      </c>
      <c r="DX218" s="301" t="str">
        <f t="shared" ca="1" si="747"/>
        <v>A</v>
      </c>
      <c r="DY218" s="301" t="str">
        <f t="shared" ca="1" si="747"/>
        <v>A</v>
      </c>
      <c r="DZ218" s="301" t="str">
        <f t="shared" ca="1" si="747"/>
        <v>A</v>
      </c>
      <c r="EA218" s="301" t="str">
        <f t="shared" ca="1" si="747"/>
        <v>A</v>
      </c>
      <c r="EB218" s="301" t="str">
        <f t="shared" ca="1" si="747"/>
        <v>A</v>
      </c>
      <c r="EC218" s="301" t="str">
        <f t="shared" ca="1" si="747"/>
        <v>A</v>
      </c>
      <c r="ED218" s="301" t="str">
        <f t="shared" ca="1" si="747"/>
        <v>A</v>
      </c>
      <c r="EE218" s="301" t="str">
        <f t="shared" ca="1" si="747"/>
        <v>A</v>
      </c>
      <c r="EF218" s="301">
        <f t="shared" si="717"/>
        <v>0</v>
      </c>
      <c r="EG218" s="1426" t="str">
        <f t="shared" ca="1" si="743"/>
        <v>B</v>
      </c>
      <c r="EH218" s="1429" t="str">
        <f t="shared" ca="1" si="743"/>
        <v>B</v>
      </c>
      <c r="EI218" s="1429" t="str">
        <f t="shared" ca="1" si="743"/>
        <v>B</v>
      </c>
      <c r="EJ218" s="1429" t="str">
        <f t="shared" ca="1" si="743"/>
        <v>B</v>
      </c>
      <c r="EK218" s="1429" t="str">
        <f t="shared" ca="1" si="743"/>
        <v>B</v>
      </c>
      <c r="EL218" s="1429" t="str">
        <f t="shared" ca="1" si="743"/>
        <v>B</v>
      </c>
      <c r="EM218" s="1429" t="str">
        <f t="shared" ca="1" si="743"/>
        <v>B</v>
      </c>
      <c r="EN218" s="1429" t="str">
        <f t="shared" ca="1" si="743"/>
        <v>B</v>
      </c>
      <c r="EO218" s="1429" t="str">
        <f t="shared" ca="1" si="744"/>
        <v>B</v>
      </c>
      <c r="EP218" s="1429" t="str">
        <f t="shared" ca="1" si="744"/>
        <v>B</v>
      </c>
      <c r="EQ218" s="1429" t="str">
        <f t="shared" ca="1" si="744"/>
        <v>B</v>
      </c>
      <c r="ER218" s="1429" t="str">
        <f t="shared" ca="1" si="744"/>
        <v>B</v>
      </c>
      <c r="ES218" s="1429" t="str">
        <f t="shared" ca="1" si="744"/>
        <v>B</v>
      </c>
      <c r="ET218" s="1429" t="str">
        <f t="shared" ca="1" si="744"/>
        <v>B</v>
      </c>
      <c r="EU218" s="1429" t="str">
        <f t="shared" ca="1" si="744"/>
        <v>B</v>
      </c>
      <c r="EV218" s="1429" t="str">
        <f t="shared" ca="1" si="744"/>
        <v>B</v>
      </c>
      <c r="EW218" s="1429" t="str">
        <f ca="1">IF(ISERR(FIND(";"&amp;EW$176&amp;":0;",$E218)),
CHAR($CC218+SUM(IF(ISERR(FIND(";"&amp;EW$176&amp;";",$E218)),0,-1),
IF(ISERR(FIND(";"&amp;EW$176&amp;":",$E218)),0,-VALUE(MID($E218,FIND(";"&amp;EW$176&amp;":",$E218)+LEN(EW$176)+2,1))),
IF(ISERR(FIND(";"&amp;EW$176&amp;"+",$E218)),0,VALUE(MID($E218,FIND(";"&amp;EW$176&amp;"+",$E218)+LEN(EW$176)+2,1))),
)),0)</f>
        <v>B</v>
      </c>
      <c r="EX218" s="1429" t="str">
        <f ca="1">IF(ISERR(FIND(";"&amp;EX$176&amp;":0;",$E218)),
CHAR($CC218+SUM(IF(ISERR(FIND(";"&amp;EX$176&amp;";",$E218)),0,-1),
IF(ISERR(FIND(";"&amp;EX$176&amp;":",$E218)),0,-VALUE(MID($E218,FIND(";"&amp;EX$176&amp;":",$E218)+LEN(EX$176)+2,1))),
IF(ISERR(FIND(";"&amp;EX$176&amp;"+",$E218)),0,VALUE(MID($E218,FIND(";"&amp;EX$176&amp;"+",$E218)+LEN(EX$176)+2,1))),
)),0)</f>
        <v>B</v>
      </c>
      <c r="EY218" s="1429" t="str">
        <f ca="1">IF(ISERR(FIND(";"&amp;EY$176&amp;":0;",$E218)),
CHAR($CC218+SUM(IF(ISERR(FIND(";"&amp;EY$176&amp;";",$E218)),0,-1),
IF(ISERR(FIND(";"&amp;EY$176&amp;":",$E218)),0,-VALUE(MID($E218,FIND(";"&amp;EY$176&amp;":",$E218)+LEN(EY$176)+2,1))),
IF(ISERR(FIND(";"&amp;EY$176&amp;"+",$E218)),0,VALUE(MID($E218,FIND(";"&amp;EY$176&amp;"+",$E218)+LEN(EY$176)+2,1))),
)),0)</f>
        <v>B</v>
      </c>
      <c r="EZ218" s="1429" t="str">
        <f ca="1">IF(ISERR(FIND(";"&amp;EZ$176&amp;":0;",$E218)),
CHAR($CC218+SUM(IF(ISERR(FIND(";"&amp;EZ$176&amp;";",$E218)),0,-1),
IF(ISERR(FIND(";"&amp;EZ$176&amp;":",$E218)),0,-VALUE(MID($E218,FIND(";"&amp;EZ$176&amp;":",$E218)+LEN(EZ$176)+2,1))),
IF(ISERR(FIND(";"&amp;EZ$176&amp;"+",$E218)),0,VALUE(MID($E218,FIND(";"&amp;EZ$176&amp;"+",$E218)+LEN(EZ$176)+2,1))),
)),0)</f>
        <v>B</v>
      </c>
      <c r="FA218" s="1429" t="str">
        <f t="shared" ref="EW218:FL245" ca="1" si="748">IF(ISERR(FIND(";"&amp;FA$176&amp;":0;",$E218)),
CHAR($CC218+SUM(IF(ISERR(FIND(";"&amp;FA$176&amp;";",$E218)),0,-1),
IF(ISERR(FIND(";"&amp;FA$176&amp;":",$E218)),0,-VALUE(MID($E218,FIND(";"&amp;FA$176&amp;":",$E218)+LEN(FA$176)+2,1))),
IF(ISERR(FIND(";"&amp;FA$176&amp;"+",$E218)),0,VALUE(MID($E218,FIND(";"&amp;FA$176&amp;"+",$E218)+LEN(FA$176)+2,1))),
)),0)</f>
        <v>B</v>
      </c>
      <c r="FB218" s="1429" t="str">
        <f t="shared" ca="1" si="748"/>
        <v>B</v>
      </c>
      <c r="FC218" s="1429" t="str">
        <f t="shared" ca="1" si="748"/>
        <v>B</v>
      </c>
      <c r="FD218" s="1429" t="str">
        <f t="shared" ca="1" si="748"/>
        <v>B</v>
      </c>
      <c r="FE218" s="1429" t="str">
        <f t="shared" ca="1" si="748"/>
        <v>B</v>
      </c>
      <c r="FF218" s="1429" t="str">
        <f t="shared" ca="1" si="748"/>
        <v>B</v>
      </c>
      <c r="FG218" s="1429" t="str">
        <f t="shared" ca="1" si="748"/>
        <v>B</v>
      </c>
      <c r="FH218" s="1429" t="str">
        <f t="shared" ca="1" si="748"/>
        <v>B</v>
      </c>
      <c r="FI218" s="1429" t="str">
        <f t="shared" ca="1" si="748"/>
        <v>B</v>
      </c>
      <c r="FJ218" s="1429" t="str">
        <f t="shared" ca="1" si="748"/>
        <v>B</v>
      </c>
      <c r="FK218" s="1429" t="str">
        <f t="shared" ca="1" si="748"/>
        <v>B</v>
      </c>
      <c r="FL218" s="1429" t="str">
        <f t="shared" ca="1" si="748"/>
        <v>B</v>
      </c>
    </row>
    <row r="219" spans="1:168" x14ac:dyDescent="0.2">
      <c r="A219" s="62" t="str">
        <f t="shared" si="649"/>
        <v>Zhayad</v>
      </c>
      <c r="B219" s="317" t="str">
        <f t="shared" ca="1" si="650"/>
        <v/>
      </c>
      <c r="C219" s="332" t="str">
        <f ca="1">IF(AND(EXACT($F219,""),EXACT($G219,"")),IF(OR(NOT(ISBLANK(D219)),NOT(EXACT(HLOOKUP(RASSEGENE,RASSE,$BN219,FALSE),"")),NOT(EXACT(HLOOKUP(KULTURGENE,KULTUR,$BN219,FALSE),"")),NOT(EXACT(HLOOKUP(PROFGENE,INDIRECT(PROFGEBIET),$BN219,FALSE),"")),
IF(LEN(PROFZWEITE)&lt;1,FALSE,NOT(EXACT(HLOOKUP(Generierung!$D$12,INDIRECT(PROFGEBIET2),$BN219,FALSE),"")))
),"x",""),"")</f>
        <v/>
      </c>
      <c r="D219" s="1110"/>
      <c r="E219" s="325"/>
      <c r="F219" s="388" t="str">
        <f t="shared" ca="1" si="651"/>
        <v/>
      </c>
      <c r="G219" s="388" t="str">
        <f t="shared" ca="1" si="652"/>
        <v/>
      </c>
      <c r="H219" s="389"/>
      <c r="I219" s="1196"/>
      <c r="J219" s="326"/>
      <c r="O219" s="514" t="str">
        <f t="shared" ca="1" si="653"/>
        <v/>
      </c>
      <c r="P219" s="164">
        <f t="shared" ca="1" si="654"/>
        <v>0</v>
      </c>
      <c r="Q219" s="164">
        <f t="shared" ca="1" si="655"/>
        <v>0</v>
      </c>
      <c r="R219" s="164">
        <f t="shared" ca="1" si="656"/>
        <v>0</v>
      </c>
      <c r="S219" s="164">
        <f t="shared" ca="1" si="657"/>
        <v>0</v>
      </c>
      <c r="T219" s="164">
        <f t="shared" ca="1" si="658"/>
        <v>0</v>
      </c>
      <c r="U219" s="164">
        <f t="shared" ca="1" si="659"/>
        <v>0</v>
      </c>
      <c r="V219" s="164">
        <f t="shared" ca="1" si="660"/>
        <v>0</v>
      </c>
      <c r="W219" s="164">
        <f t="shared" ca="1" si="661"/>
        <v>0</v>
      </c>
      <c r="X219" s="164">
        <f t="shared" ca="1" si="662"/>
        <v>0</v>
      </c>
      <c r="Y219" s="164">
        <f t="shared" ca="1" si="663"/>
        <v>0</v>
      </c>
      <c r="Z219" s="164">
        <f t="shared" ca="1" si="664"/>
        <v>0</v>
      </c>
      <c r="AA219" s="164">
        <f t="shared" ca="1" si="665"/>
        <v>0</v>
      </c>
      <c r="AB219" s="164">
        <f t="shared" ca="1" si="666"/>
        <v>0</v>
      </c>
      <c r="AC219" s="164">
        <f t="shared" ca="1" si="667"/>
        <v>0</v>
      </c>
      <c r="AD219" s="164">
        <f t="shared" ca="1" si="668"/>
        <v>0</v>
      </c>
      <c r="AE219" s="164">
        <f t="shared" ca="1" si="669"/>
        <v>0</v>
      </c>
      <c r="AF219" s="164">
        <f t="shared" ca="1" si="670"/>
        <v>0</v>
      </c>
      <c r="AG219" s="164">
        <f t="shared" ca="1" si="671"/>
        <v>0</v>
      </c>
      <c r="AH219" s="164">
        <f t="shared" ca="1" si="672"/>
        <v>0</v>
      </c>
      <c r="AI219" s="164">
        <f t="shared" ca="1" si="673"/>
        <v>0</v>
      </c>
      <c r="AJ219" s="164">
        <f t="shared" ca="1" si="674"/>
        <v>0</v>
      </c>
      <c r="AK219" s="164">
        <f t="shared" ca="1" si="675"/>
        <v>0</v>
      </c>
      <c r="AL219" s="164">
        <f t="shared" si="676"/>
        <v>0</v>
      </c>
      <c r="AM219" s="164">
        <f t="shared" ca="1" si="677"/>
        <v>0</v>
      </c>
      <c r="AN219" s="205"/>
      <c r="AO219" s="154">
        <f t="shared" ca="1" si="678"/>
        <v>0</v>
      </c>
      <c r="AP219" s="154">
        <f t="shared" ca="1" si="679"/>
        <v>0</v>
      </c>
      <c r="AQ219" s="154">
        <f t="shared" ca="1" si="680"/>
        <v>0</v>
      </c>
      <c r="AR219" s="154">
        <f t="shared" ca="1" si="681"/>
        <v>0</v>
      </c>
      <c r="AS219" s="154">
        <f t="shared" ca="1" si="682"/>
        <v>0</v>
      </c>
      <c r="AT219" s="154">
        <f t="shared" ca="1" si="683"/>
        <v>0</v>
      </c>
      <c r="AU219" s="154">
        <f t="shared" ca="1" si="684"/>
        <v>0</v>
      </c>
      <c r="AV219" s="154">
        <f t="shared" ca="1" si="685"/>
        <v>0</v>
      </c>
      <c r="AW219" s="154">
        <f t="shared" ca="1" si="686"/>
        <v>0</v>
      </c>
      <c r="AX219" s="154">
        <f t="shared" ca="1" si="687"/>
        <v>0</v>
      </c>
      <c r="AY219" s="154">
        <f t="shared" ca="1" si="688"/>
        <v>0</v>
      </c>
      <c r="AZ219" s="154">
        <f t="shared" ca="1" si="689"/>
        <v>0</v>
      </c>
      <c r="BA219" s="154">
        <f t="shared" ca="1" si="690"/>
        <v>0</v>
      </c>
      <c r="BB219" s="154">
        <f t="shared" ca="1" si="691"/>
        <v>0</v>
      </c>
      <c r="BC219" s="154">
        <f t="shared" ca="1" si="692"/>
        <v>0</v>
      </c>
      <c r="BD219" s="154">
        <f t="shared" ca="1" si="693"/>
        <v>0</v>
      </c>
      <c r="BE219" s="154">
        <f t="shared" ca="1" si="694"/>
        <v>0</v>
      </c>
      <c r="BF219" s="154">
        <f t="shared" ca="1" si="695"/>
        <v>0</v>
      </c>
      <c r="BG219" s="154">
        <f t="shared" ca="1" si="696"/>
        <v>0</v>
      </c>
      <c r="BH219" s="154">
        <f t="shared" ca="1" si="697"/>
        <v>0</v>
      </c>
      <c r="BI219" s="154">
        <f t="shared" ca="1" si="698"/>
        <v>0</v>
      </c>
      <c r="BJ219" s="154">
        <f t="shared" ca="1" si="699"/>
        <v>0</v>
      </c>
      <c r="BK219" s="154">
        <f t="shared" ca="1" si="700"/>
        <v>0</v>
      </c>
      <c r="BL219" s="154">
        <f t="shared" ca="1" si="701"/>
        <v>0</v>
      </c>
      <c r="BM219" s="154">
        <f t="shared" ca="1" si="702"/>
        <v>0</v>
      </c>
      <c r="BN219" s="1198">
        <f t="shared" si="719"/>
        <v>224</v>
      </c>
      <c r="BO219" s="1197" t="str">
        <f t="shared" si="703"/>
        <v>Zhayad</v>
      </c>
      <c r="BP219" s="1197" t="str">
        <f t="shared" ca="1" si="704"/>
        <v>B</v>
      </c>
      <c r="BQ219" s="1197">
        <f t="shared" si="727"/>
        <v>43</v>
      </c>
      <c r="BR219" s="1198" t="str">
        <f t="shared" ca="1" si="720"/>
        <v/>
      </c>
      <c r="BS219" s="1198" t="s">
        <v>2733</v>
      </c>
      <c r="BT219" s="78"/>
      <c r="BU219" s="78"/>
      <c r="BV219" s="78"/>
      <c r="BW219" s="1197">
        <f t="shared" ca="1" si="721"/>
        <v>0</v>
      </c>
      <c r="BX219" s="1197">
        <f t="shared" ca="1" si="705"/>
        <v>0</v>
      </c>
      <c r="BY219" s="1197">
        <f t="shared" ca="1" si="706"/>
        <v>0</v>
      </c>
      <c r="BZ219" s="1081">
        <f t="shared" ca="1" si="707"/>
        <v>0</v>
      </c>
      <c r="CA219" s="1081">
        <f t="shared" ca="1" si="708"/>
        <v>0</v>
      </c>
      <c r="CB219" s="1081">
        <f t="shared" ca="1" si="709"/>
        <v>65</v>
      </c>
      <c r="CC219" s="1081">
        <f t="shared" ca="1" si="710"/>
        <v>66</v>
      </c>
      <c r="CD219" s="1081">
        <f t="shared" si="738"/>
        <v>0</v>
      </c>
      <c r="CE219" s="1081">
        <f t="shared" ca="1" si="711"/>
        <v>1</v>
      </c>
      <c r="CF219" s="1081">
        <f t="shared" ca="1" si="722"/>
        <v>0</v>
      </c>
      <c r="CG219" s="1198" t="str">
        <f t="shared" si="712"/>
        <v>Zhayad</v>
      </c>
      <c r="CH219" s="1198" t="str">
        <f t="shared" ca="1" si="713"/>
        <v/>
      </c>
      <c r="CI219" s="1198"/>
      <c r="CJ219" s="1198"/>
      <c r="CK219" s="1198" t="str">
        <f t="shared" ca="1" si="723"/>
        <v/>
      </c>
      <c r="CL219" s="1198" t="str">
        <f t="shared" ca="1" si="724"/>
        <v/>
      </c>
      <c r="CM219" s="78"/>
      <c r="CN219" s="1081">
        <f t="shared" ca="1" si="725"/>
        <v>0</v>
      </c>
      <c r="CO219" s="1081">
        <f t="shared" ca="1" si="714"/>
        <v>0</v>
      </c>
      <c r="CP219" s="1081">
        <f t="shared" ca="1" si="726"/>
        <v>0</v>
      </c>
      <c r="DJ219" s="301" t="str">
        <f t="shared" ca="1" si="746"/>
        <v>A</v>
      </c>
      <c r="DK219" s="301" t="str">
        <f t="shared" ca="1" si="746"/>
        <v>A</v>
      </c>
      <c r="DL219" s="301" t="str">
        <f t="shared" ca="1" si="746"/>
        <v>A</v>
      </c>
      <c r="DM219" s="301" t="str">
        <f t="shared" ca="1" si="746"/>
        <v>A</v>
      </c>
      <c r="DN219" s="301" t="str">
        <f t="shared" ca="1" si="746"/>
        <v>A</v>
      </c>
      <c r="DO219" s="301" t="str">
        <f t="shared" ca="1" si="746"/>
        <v>A</v>
      </c>
      <c r="DP219" s="301" t="str">
        <f t="shared" ca="1" si="746"/>
        <v>A</v>
      </c>
      <c r="DQ219" s="301" t="str">
        <f t="shared" ca="1" si="746"/>
        <v>A</v>
      </c>
      <c r="DR219" s="301" t="str">
        <f t="shared" ca="1" si="746"/>
        <v>A</v>
      </c>
      <c r="DS219" s="301" t="str">
        <f t="shared" ca="1" si="746"/>
        <v>A</v>
      </c>
      <c r="DT219" s="301" t="str">
        <f t="shared" ca="1" si="747"/>
        <v>A</v>
      </c>
      <c r="DU219" s="301" t="str">
        <f t="shared" ca="1" si="747"/>
        <v>A</v>
      </c>
      <c r="DV219" s="301" t="str">
        <f t="shared" ca="1" si="747"/>
        <v>A</v>
      </c>
      <c r="DW219" s="301" t="str">
        <f t="shared" ca="1" si="747"/>
        <v>A</v>
      </c>
      <c r="DX219" s="301" t="str">
        <f t="shared" ca="1" si="747"/>
        <v>A</v>
      </c>
      <c r="DY219" s="301" t="str">
        <f t="shared" ca="1" si="747"/>
        <v>A</v>
      </c>
      <c r="DZ219" s="301" t="str">
        <f t="shared" ca="1" si="747"/>
        <v>A</v>
      </c>
      <c r="EA219" s="301" t="str">
        <f t="shared" ca="1" si="747"/>
        <v>A</v>
      </c>
      <c r="EB219" s="301" t="str">
        <f t="shared" ca="1" si="747"/>
        <v>A</v>
      </c>
      <c r="EC219" s="301" t="str">
        <f t="shared" ca="1" si="747"/>
        <v>A</v>
      </c>
      <c r="ED219" s="301" t="str">
        <f t="shared" ca="1" si="747"/>
        <v>A</v>
      </c>
      <c r="EE219" s="301" t="str">
        <f t="shared" ca="1" si="747"/>
        <v>A</v>
      </c>
      <c r="EF219" s="301">
        <f t="shared" si="717"/>
        <v>0</v>
      </c>
      <c r="EG219" s="1426" t="str">
        <f t="shared" ca="1" si="743"/>
        <v>B</v>
      </c>
      <c r="EH219" s="1429" t="str">
        <f t="shared" ca="1" si="743"/>
        <v>B</v>
      </c>
      <c r="EI219" s="1429" t="str">
        <f t="shared" ca="1" si="743"/>
        <v>B</v>
      </c>
      <c r="EJ219" s="1429" t="str">
        <f t="shared" ca="1" si="743"/>
        <v>B</v>
      </c>
      <c r="EK219" s="1429" t="str">
        <f t="shared" ca="1" si="743"/>
        <v>B</v>
      </c>
      <c r="EL219" s="1429" t="str">
        <f t="shared" ca="1" si="743"/>
        <v>B</v>
      </c>
      <c r="EM219" s="1429" t="str">
        <f t="shared" ca="1" si="743"/>
        <v>B</v>
      </c>
      <c r="EN219" s="1429" t="str">
        <f t="shared" ca="1" si="743"/>
        <v>B</v>
      </c>
      <c r="EO219" s="1429" t="str">
        <f t="shared" ca="1" si="744"/>
        <v>B</v>
      </c>
      <c r="EP219" s="1429" t="str">
        <f t="shared" ca="1" si="744"/>
        <v>B</v>
      </c>
      <c r="EQ219" s="1429" t="str">
        <f t="shared" ca="1" si="744"/>
        <v>B</v>
      </c>
      <c r="ER219" s="1429" t="str">
        <f t="shared" ca="1" si="744"/>
        <v>B</v>
      </c>
      <c r="ES219" s="1429" t="str">
        <f t="shared" ca="1" si="744"/>
        <v>B</v>
      </c>
      <c r="ET219" s="1429" t="str">
        <f t="shared" ca="1" si="744"/>
        <v>B</v>
      </c>
      <c r="EU219" s="1429" t="str">
        <f t="shared" ca="1" si="744"/>
        <v>B</v>
      </c>
      <c r="EV219" s="1429" t="str">
        <f t="shared" ca="1" si="744"/>
        <v>B</v>
      </c>
      <c r="EW219" s="1429" t="str">
        <f t="shared" ca="1" si="748"/>
        <v>B</v>
      </c>
      <c r="EX219" s="1429" t="str">
        <f t="shared" ca="1" si="748"/>
        <v>B</v>
      </c>
      <c r="EY219" s="1429" t="str">
        <f t="shared" ca="1" si="748"/>
        <v>B</v>
      </c>
      <c r="EZ219" s="1429" t="str">
        <f t="shared" ca="1" si="748"/>
        <v>B</v>
      </c>
      <c r="FA219" s="1429" t="str">
        <f t="shared" ca="1" si="748"/>
        <v>B</v>
      </c>
      <c r="FB219" s="1429" t="str">
        <f t="shared" ca="1" si="748"/>
        <v>B</v>
      </c>
      <c r="FC219" s="1429" t="str">
        <f t="shared" ca="1" si="748"/>
        <v>B</v>
      </c>
      <c r="FD219" s="1429" t="str">
        <f t="shared" ca="1" si="748"/>
        <v>B</v>
      </c>
      <c r="FE219" s="1429" t="str">
        <f t="shared" ca="1" si="748"/>
        <v>B</v>
      </c>
      <c r="FF219" s="1429" t="str">
        <f t="shared" ca="1" si="748"/>
        <v>B</v>
      </c>
      <c r="FG219" s="1429" t="str">
        <f t="shared" ca="1" si="748"/>
        <v>B</v>
      </c>
      <c r="FH219" s="1429" t="str">
        <f t="shared" ca="1" si="748"/>
        <v>B</v>
      </c>
      <c r="FI219" s="1429" t="str">
        <f t="shared" ca="1" si="748"/>
        <v>B</v>
      </c>
      <c r="FJ219" s="1429" t="str">
        <f t="shared" ca="1" si="748"/>
        <v>B</v>
      </c>
      <c r="FK219" s="1429" t="str">
        <f t="shared" ca="1" si="748"/>
        <v>B</v>
      </c>
      <c r="FL219" s="1429" t="str">
        <f t="shared" ca="1" si="748"/>
        <v>B</v>
      </c>
    </row>
    <row r="220" spans="1:168" x14ac:dyDescent="0.2">
      <c r="A220" s="62" t="str">
        <f t="shared" si="649"/>
        <v>Zhulchammaqra ('Trollzackisch')</v>
      </c>
      <c r="B220" s="317" t="str">
        <f t="shared" ca="1" si="650"/>
        <v/>
      </c>
      <c r="C220" s="332" t="str">
        <f ca="1">IF(AND(EXACT($F220,""),EXACT($G220,"")),IF(OR(NOT(ISBLANK(D220)),NOT(EXACT(HLOOKUP(RASSEGENE,RASSE,$BN220,FALSE),"")),NOT(EXACT(HLOOKUP(KULTURGENE,KULTUR,$BN220,FALSE),"")),NOT(EXACT(HLOOKUP(PROFGENE,INDIRECT(PROFGEBIET),$BN220,FALSE),"")),
IF(LEN(PROFZWEITE)&lt;1,FALSE,NOT(EXACT(HLOOKUP(Generierung!$D$12,INDIRECT(PROFGEBIET2),$BN220,FALSE),"")))
),"x",""),"")</f>
        <v/>
      </c>
      <c r="D220" s="1110"/>
      <c r="E220" s="325"/>
      <c r="F220" s="388" t="str">
        <f t="shared" ca="1" si="651"/>
        <v/>
      </c>
      <c r="G220" s="388" t="str">
        <f t="shared" ca="1" si="652"/>
        <v/>
      </c>
      <c r="H220" s="389"/>
      <c r="I220" s="1196"/>
      <c r="J220" s="326"/>
      <c r="O220" s="514" t="str">
        <f t="shared" ca="1" si="653"/>
        <v/>
      </c>
      <c r="P220" s="164">
        <f t="shared" ca="1" si="654"/>
        <v>0</v>
      </c>
      <c r="Q220" s="164">
        <f t="shared" ca="1" si="655"/>
        <v>0</v>
      </c>
      <c r="R220" s="164">
        <f t="shared" ca="1" si="656"/>
        <v>0</v>
      </c>
      <c r="S220" s="164">
        <f t="shared" ca="1" si="657"/>
        <v>0</v>
      </c>
      <c r="T220" s="164">
        <f t="shared" ca="1" si="658"/>
        <v>0</v>
      </c>
      <c r="U220" s="164">
        <f t="shared" ca="1" si="659"/>
        <v>0</v>
      </c>
      <c r="V220" s="164">
        <f t="shared" ca="1" si="660"/>
        <v>0</v>
      </c>
      <c r="W220" s="164">
        <f t="shared" ca="1" si="661"/>
        <v>0</v>
      </c>
      <c r="X220" s="164">
        <f t="shared" ca="1" si="662"/>
        <v>0</v>
      </c>
      <c r="Y220" s="164">
        <f t="shared" ca="1" si="663"/>
        <v>0</v>
      </c>
      <c r="Z220" s="164">
        <f t="shared" ca="1" si="664"/>
        <v>0</v>
      </c>
      <c r="AA220" s="164">
        <f t="shared" ca="1" si="665"/>
        <v>0</v>
      </c>
      <c r="AB220" s="164">
        <f t="shared" ca="1" si="666"/>
        <v>0</v>
      </c>
      <c r="AC220" s="164">
        <f t="shared" ca="1" si="667"/>
        <v>0</v>
      </c>
      <c r="AD220" s="164">
        <f t="shared" ca="1" si="668"/>
        <v>0</v>
      </c>
      <c r="AE220" s="164">
        <f t="shared" ca="1" si="669"/>
        <v>0</v>
      </c>
      <c r="AF220" s="164">
        <f t="shared" ca="1" si="670"/>
        <v>0</v>
      </c>
      <c r="AG220" s="164">
        <f t="shared" ca="1" si="671"/>
        <v>0</v>
      </c>
      <c r="AH220" s="164">
        <f t="shared" ca="1" si="672"/>
        <v>0</v>
      </c>
      <c r="AI220" s="164">
        <f t="shared" ca="1" si="673"/>
        <v>0</v>
      </c>
      <c r="AJ220" s="164">
        <f t="shared" ca="1" si="674"/>
        <v>0</v>
      </c>
      <c r="AK220" s="164">
        <f t="shared" ca="1" si="675"/>
        <v>0</v>
      </c>
      <c r="AL220" s="164">
        <f t="shared" si="676"/>
        <v>0</v>
      </c>
      <c r="AM220" s="164">
        <f t="shared" ca="1" si="677"/>
        <v>0</v>
      </c>
      <c r="AN220" s="205"/>
      <c r="AO220" s="154">
        <f t="shared" ca="1" si="678"/>
        <v>0</v>
      </c>
      <c r="AP220" s="154">
        <f t="shared" ca="1" si="679"/>
        <v>0</v>
      </c>
      <c r="AQ220" s="154">
        <f t="shared" ca="1" si="680"/>
        <v>0</v>
      </c>
      <c r="AR220" s="154">
        <f t="shared" ca="1" si="681"/>
        <v>0</v>
      </c>
      <c r="AS220" s="154">
        <f t="shared" ca="1" si="682"/>
        <v>0</v>
      </c>
      <c r="AT220" s="154">
        <f t="shared" ca="1" si="683"/>
        <v>0</v>
      </c>
      <c r="AU220" s="154">
        <f t="shared" ca="1" si="684"/>
        <v>0</v>
      </c>
      <c r="AV220" s="154">
        <f t="shared" ca="1" si="685"/>
        <v>0</v>
      </c>
      <c r="AW220" s="154">
        <f t="shared" ca="1" si="686"/>
        <v>0</v>
      </c>
      <c r="AX220" s="154">
        <f t="shared" ca="1" si="687"/>
        <v>0</v>
      </c>
      <c r="AY220" s="154">
        <f t="shared" ca="1" si="688"/>
        <v>0</v>
      </c>
      <c r="AZ220" s="154">
        <f t="shared" ca="1" si="689"/>
        <v>0</v>
      </c>
      <c r="BA220" s="154">
        <f t="shared" ca="1" si="690"/>
        <v>0</v>
      </c>
      <c r="BB220" s="154">
        <f t="shared" ca="1" si="691"/>
        <v>0</v>
      </c>
      <c r="BC220" s="154">
        <f t="shared" ca="1" si="692"/>
        <v>0</v>
      </c>
      <c r="BD220" s="154">
        <f t="shared" ca="1" si="693"/>
        <v>0</v>
      </c>
      <c r="BE220" s="154">
        <f t="shared" ca="1" si="694"/>
        <v>0</v>
      </c>
      <c r="BF220" s="154">
        <f t="shared" ca="1" si="695"/>
        <v>0</v>
      </c>
      <c r="BG220" s="154">
        <f t="shared" ca="1" si="696"/>
        <v>0</v>
      </c>
      <c r="BH220" s="154">
        <f t="shared" ca="1" si="697"/>
        <v>0</v>
      </c>
      <c r="BI220" s="154">
        <f t="shared" ca="1" si="698"/>
        <v>0</v>
      </c>
      <c r="BJ220" s="154">
        <f t="shared" ca="1" si="699"/>
        <v>0</v>
      </c>
      <c r="BK220" s="154">
        <f t="shared" ca="1" si="700"/>
        <v>0</v>
      </c>
      <c r="BL220" s="154">
        <f t="shared" ca="1" si="701"/>
        <v>0</v>
      </c>
      <c r="BM220" s="154">
        <f t="shared" ca="1" si="702"/>
        <v>0</v>
      </c>
      <c r="BN220" s="1198">
        <f t="shared" si="719"/>
        <v>225</v>
      </c>
      <c r="BO220" s="1197" t="str">
        <f t="shared" si="703"/>
        <v>Zhulchammaqra ('Trollzackisch')</v>
      </c>
      <c r="BP220" s="1197" t="str">
        <f t="shared" ca="1" si="704"/>
        <v>B</v>
      </c>
      <c r="BQ220" s="1197">
        <f t="shared" si="727"/>
        <v>44</v>
      </c>
      <c r="BR220" s="1198" t="str">
        <f t="shared" ca="1" si="720"/>
        <v/>
      </c>
      <c r="BS220" s="1198" t="s">
        <v>2168</v>
      </c>
      <c r="BT220" s="78"/>
      <c r="BU220" s="78"/>
      <c r="BV220" s="78"/>
      <c r="BW220" s="1197">
        <f t="shared" ca="1" si="721"/>
        <v>0</v>
      </c>
      <c r="BX220" s="1197">
        <f t="shared" ca="1" si="705"/>
        <v>0</v>
      </c>
      <c r="BY220" s="1197">
        <f t="shared" ca="1" si="706"/>
        <v>0</v>
      </c>
      <c r="BZ220" s="1081">
        <f t="shared" ca="1" si="707"/>
        <v>0</v>
      </c>
      <c r="CA220" s="1081">
        <f t="shared" ca="1" si="708"/>
        <v>0</v>
      </c>
      <c r="CB220" s="1081">
        <f t="shared" ca="1" si="709"/>
        <v>65</v>
      </c>
      <c r="CC220" s="1081">
        <f t="shared" ca="1" si="710"/>
        <v>66</v>
      </c>
      <c r="CD220" s="1081">
        <f t="shared" si="738"/>
        <v>0</v>
      </c>
      <c r="CE220" s="1081">
        <f t="shared" ca="1" si="711"/>
        <v>1</v>
      </c>
      <c r="CF220" s="1081">
        <f t="shared" ca="1" si="722"/>
        <v>0</v>
      </c>
      <c r="CG220" s="1198" t="str">
        <f t="shared" si="712"/>
        <v>Tulamidya-Familie</v>
      </c>
      <c r="CH220" s="1198" t="str">
        <f t="shared" ca="1" si="713"/>
        <v/>
      </c>
      <c r="CI220" s="1198"/>
      <c r="CJ220" s="1198"/>
      <c r="CK220" s="1198" t="str">
        <f t="shared" ca="1" si="723"/>
        <v/>
      </c>
      <c r="CL220" s="1198" t="str">
        <f t="shared" ca="1" si="724"/>
        <v/>
      </c>
      <c r="CM220" s="78"/>
      <c r="CN220" s="1081">
        <f t="shared" ca="1" si="725"/>
        <v>0</v>
      </c>
      <c r="CO220" s="1081">
        <f t="shared" ca="1" si="714"/>
        <v>0</v>
      </c>
      <c r="CP220" s="1081">
        <f t="shared" ca="1" si="726"/>
        <v>0</v>
      </c>
      <c r="DJ220" s="301" t="str">
        <f t="shared" ca="1" si="746"/>
        <v>A</v>
      </c>
      <c r="DK220" s="301" t="str">
        <f t="shared" ca="1" si="746"/>
        <v>A</v>
      </c>
      <c r="DL220" s="301" t="str">
        <f t="shared" ca="1" si="746"/>
        <v>A</v>
      </c>
      <c r="DM220" s="301" t="str">
        <f t="shared" ca="1" si="746"/>
        <v>A</v>
      </c>
      <c r="DN220" s="301" t="str">
        <f t="shared" ca="1" si="746"/>
        <v>A</v>
      </c>
      <c r="DO220" s="301" t="str">
        <f t="shared" ca="1" si="746"/>
        <v>A</v>
      </c>
      <c r="DP220" s="301" t="str">
        <f t="shared" ca="1" si="746"/>
        <v>A</v>
      </c>
      <c r="DQ220" s="301" t="str">
        <f t="shared" ca="1" si="746"/>
        <v>A</v>
      </c>
      <c r="DR220" s="301" t="str">
        <f t="shared" ca="1" si="746"/>
        <v>A</v>
      </c>
      <c r="DS220" s="301" t="str">
        <f t="shared" ca="1" si="746"/>
        <v>A</v>
      </c>
      <c r="DT220" s="301" t="str">
        <f t="shared" ca="1" si="747"/>
        <v>A</v>
      </c>
      <c r="DU220" s="301" t="str">
        <f t="shared" ca="1" si="747"/>
        <v>A</v>
      </c>
      <c r="DV220" s="301" t="str">
        <f t="shared" ca="1" si="747"/>
        <v>A</v>
      </c>
      <c r="DW220" s="301" t="str">
        <f t="shared" ca="1" si="747"/>
        <v>A</v>
      </c>
      <c r="DX220" s="301" t="str">
        <f t="shared" ca="1" si="747"/>
        <v>A</v>
      </c>
      <c r="DY220" s="301" t="str">
        <f t="shared" ca="1" si="747"/>
        <v>A</v>
      </c>
      <c r="DZ220" s="301" t="str">
        <f t="shared" ca="1" si="747"/>
        <v>A</v>
      </c>
      <c r="EA220" s="301" t="str">
        <f t="shared" ca="1" si="747"/>
        <v>A</v>
      </c>
      <c r="EB220" s="301" t="str">
        <f t="shared" ca="1" si="747"/>
        <v>A</v>
      </c>
      <c r="EC220" s="301" t="str">
        <f t="shared" ca="1" si="747"/>
        <v>A</v>
      </c>
      <c r="ED220" s="301" t="str">
        <f t="shared" ca="1" si="747"/>
        <v>A</v>
      </c>
      <c r="EE220" s="301" t="str">
        <f t="shared" ca="1" si="747"/>
        <v>A</v>
      </c>
      <c r="EF220" s="301">
        <f t="shared" si="717"/>
        <v>0</v>
      </c>
      <c r="EG220" s="1426" t="str">
        <f t="shared" ca="1" si="743"/>
        <v>B</v>
      </c>
      <c r="EH220" s="1429" t="str">
        <f t="shared" ca="1" si="743"/>
        <v>B</v>
      </c>
      <c r="EI220" s="1429" t="str">
        <f t="shared" ca="1" si="743"/>
        <v>B</v>
      </c>
      <c r="EJ220" s="1429" t="str">
        <f t="shared" ca="1" si="743"/>
        <v>B</v>
      </c>
      <c r="EK220" s="1429" t="str">
        <f t="shared" ca="1" si="743"/>
        <v>B</v>
      </c>
      <c r="EL220" s="1429" t="str">
        <f t="shared" ca="1" si="743"/>
        <v>B</v>
      </c>
      <c r="EM220" s="1429" t="str">
        <f t="shared" ca="1" si="743"/>
        <v>B</v>
      </c>
      <c r="EN220" s="1429" t="str">
        <f t="shared" ca="1" si="743"/>
        <v>B</v>
      </c>
      <c r="EO220" s="1429" t="str">
        <f t="shared" ca="1" si="744"/>
        <v>B</v>
      </c>
      <c r="EP220" s="1429" t="str">
        <f t="shared" ca="1" si="744"/>
        <v>B</v>
      </c>
      <c r="EQ220" s="1429" t="str">
        <f t="shared" ca="1" si="744"/>
        <v>B</v>
      </c>
      <c r="ER220" s="1429" t="str">
        <f t="shared" ca="1" si="744"/>
        <v>B</v>
      </c>
      <c r="ES220" s="1429" t="str">
        <f t="shared" ca="1" si="744"/>
        <v>B</v>
      </c>
      <c r="ET220" s="1429" t="str">
        <f t="shared" ca="1" si="744"/>
        <v>B</v>
      </c>
      <c r="EU220" s="1429" t="str">
        <f t="shared" ca="1" si="744"/>
        <v>B</v>
      </c>
      <c r="EV220" s="1429" t="str">
        <f t="shared" ca="1" si="744"/>
        <v>B</v>
      </c>
      <c r="EW220" s="1429" t="str">
        <f t="shared" ca="1" si="748"/>
        <v>B</v>
      </c>
      <c r="EX220" s="1429" t="str">
        <f t="shared" ca="1" si="748"/>
        <v>B</v>
      </c>
      <c r="EY220" s="1429" t="str">
        <f t="shared" ca="1" si="748"/>
        <v>B</v>
      </c>
      <c r="EZ220" s="1429" t="str">
        <f t="shared" ca="1" si="748"/>
        <v>B</v>
      </c>
      <c r="FA220" s="1429" t="str">
        <f t="shared" ca="1" si="748"/>
        <v>B</v>
      </c>
      <c r="FB220" s="1429" t="str">
        <f t="shared" ca="1" si="748"/>
        <v>B</v>
      </c>
      <c r="FC220" s="1429" t="str">
        <f t="shared" ca="1" si="748"/>
        <v>B</v>
      </c>
      <c r="FD220" s="1429" t="str">
        <f t="shared" ca="1" si="748"/>
        <v>B</v>
      </c>
      <c r="FE220" s="1429" t="str">
        <f t="shared" ca="1" si="748"/>
        <v>B</v>
      </c>
      <c r="FF220" s="1429" t="str">
        <f t="shared" ca="1" si="748"/>
        <v>B</v>
      </c>
      <c r="FG220" s="1429" t="str">
        <f t="shared" ca="1" si="748"/>
        <v>B</v>
      </c>
      <c r="FH220" s="1429" t="str">
        <f t="shared" ca="1" si="748"/>
        <v>B</v>
      </c>
      <c r="FI220" s="1429" t="str">
        <f t="shared" ca="1" si="748"/>
        <v>B</v>
      </c>
      <c r="FJ220" s="1429" t="str">
        <f t="shared" ca="1" si="748"/>
        <v>B</v>
      </c>
      <c r="FK220" s="1429" t="str">
        <f t="shared" ca="1" si="748"/>
        <v>B</v>
      </c>
      <c r="FL220" s="1429" t="str">
        <f t="shared" ca="1" si="748"/>
        <v>B</v>
      </c>
    </row>
    <row r="221" spans="1:168" x14ac:dyDescent="0.2">
      <c r="A221" s="62" t="str">
        <f t="shared" si="649"/>
        <v>Z'Lit</v>
      </c>
      <c r="B221" s="317" t="str">
        <f t="shared" ca="1" si="650"/>
        <v/>
      </c>
      <c r="C221" s="332" t="str">
        <f ca="1">IF(AND(EXACT($F221,""),EXACT($G221,"")),IF(OR(NOT(ISBLANK(D221)),NOT(EXACT(HLOOKUP(RASSEGENE,RASSE,$BN221,FALSE),"")),NOT(EXACT(HLOOKUP(KULTURGENE,KULTUR,$BN221,FALSE),"")),NOT(EXACT(HLOOKUP(PROFGENE,INDIRECT(PROFGEBIET),$BN221,FALSE),"")),
IF(LEN(PROFZWEITE)&lt;1,FALSE,NOT(EXACT(HLOOKUP(Generierung!$D$12,INDIRECT(PROFGEBIET2),$BN221,FALSE),"")))
),"x",""),"")</f>
        <v/>
      </c>
      <c r="D221" s="1110"/>
      <c r="E221" s="325"/>
      <c r="F221" s="388" t="str">
        <f t="shared" ca="1" si="651"/>
        <v/>
      </c>
      <c r="G221" s="388" t="str">
        <f t="shared" ca="1" si="652"/>
        <v/>
      </c>
      <c r="H221" s="389"/>
      <c r="I221" s="1196"/>
      <c r="J221" s="326"/>
      <c r="O221" s="514" t="str">
        <f t="shared" ca="1" si="653"/>
        <v/>
      </c>
      <c r="P221" s="164">
        <f t="shared" ca="1" si="654"/>
        <v>0</v>
      </c>
      <c r="Q221" s="164">
        <f t="shared" ca="1" si="655"/>
        <v>0</v>
      </c>
      <c r="R221" s="164">
        <f t="shared" ca="1" si="656"/>
        <v>0</v>
      </c>
      <c r="S221" s="164">
        <f t="shared" ca="1" si="657"/>
        <v>0</v>
      </c>
      <c r="T221" s="164">
        <f t="shared" ca="1" si="658"/>
        <v>0</v>
      </c>
      <c r="U221" s="164">
        <f t="shared" ca="1" si="659"/>
        <v>0</v>
      </c>
      <c r="V221" s="164">
        <f t="shared" ca="1" si="660"/>
        <v>0</v>
      </c>
      <c r="W221" s="164">
        <f t="shared" ca="1" si="661"/>
        <v>0</v>
      </c>
      <c r="X221" s="164">
        <f t="shared" ca="1" si="662"/>
        <v>0</v>
      </c>
      <c r="Y221" s="164">
        <f t="shared" ca="1" si="663"/>
        <v>0</v>
      </c>
      <c r="Z221" s="164">
        <f t="shared" ca="1" si="664"/>
        <v>0</v>
      </c>
      <c r="AA221" s="164">
        <f t="shared" ca="1" si="665"/>
        <v>0</v>
      </c>
      <c r="AB221" s="164">
        <f t="shared" ca="1" si="666"/>
        <v>0</v>
      </c>
      <c r="AC221" s="164">
        <f t="shared" ca="1" si="667"/>
        <v>0</v>
      </c>
      <c r="AD221" s="164">
        <f t="shared" ca="1" si="668"/>
        <v>0</v>
      </c>
      <c r="AE221" s="164">
        <f t="shared" ca="1" si="669"/>
        <v>0</v>
      </c>
      <c r="AF221" s="164">
        <f t="shared" ca="1" si="670"/>
        <v>0</v>
      </c>
      <c r="AG221" s="164">
        <f t="shared" ca="1" si="671"/>
        <v>0</v>
      </c>
      <c r="AH221" s="164">
        <f t="shared" ca="1" si="672"/>
        <v>0</v>
      </c>
      <c r="AI221" s="164">
        <f t="shared" ca="1" si="673"/>
        <v>0</v>
      </c>
      <c r="AJ221" s="164">
        <f t="shared" ca="1" si="674"/>
        <v>0</v>
      </c>
      <c r="AK221" s="164">
        <f t="shared" ca="1" si="675"/>
        <v>0</v>
      </c>
      <c r="AL221" s="164">
        <f t="shared" si="676"/>
        <v>0</v>
      </c>
      <c r="AM221" s="164">
        <f t="shared" ca="1" si="677"/>
        <v>0</v>
      </c>
      <c r="AN221" s="205"/>
      <c r="AO221" s="154">
        <f t="shared" ca="1" si="678"/>
        <v>0</v>
      </c>
      <c r="AP221" s="154">
        <f t="shared" ca="1" si="679"/>
        <v>0</v>
      </c>
      <c r="AQ221" s="154">
        <f t="shared" ca="1" si="680"/>
        <v>0</v>
      </c>
      <c r="AR221" s="154">
        <f t="shared" ca="1" si="681"/>
        <v>0</v>
      </c>
      <c r="AS221" s="154">
        <f t="shared" ca="1" si="682"/>
        <v>0</v>
      </c>
      <c r="AT221" s="154">
        <f t="shared" ca="1" si="683"/>
        <v>0</v>
      </c>
      <c r="AU221" s="154">
        <f t="shared" ca="1" si="684"/>
        <v>0</v>
      </c>
      <c r="AV221" s="154">
        <f t="shared" ca="1" si="685"/>
        <v>0</v>
      </c>
      <c r="AW221" s="154">
        <f t="shared" ca="1" si="686"/>
        <v>0</v>
      </c>
      <c r="AX221" s="154">
        <f t="shared" ca="1" si="687"/>
        <v>0</v>
      </c>
      <c r="AY221" s="154">
        <f t="shared" ca="1" si="688"/>
        <v>0</v>
      </c>
      <c r="AZ221" s="154">
        <f t="shared" ca="1" si="689"/>
        <v>0</v>
      </c>
      <c r="BA221" s="154">
        <f t="shared" ca="1" si="690"/>
        <v>0</v>
      </c>
      <c r="BB221" s="154">
        <f t="shared" ca="1" si="691"/>
        <v>0</v>
      </c>
      <c r="BC221" s="154">
        <f t="shared" ca="1" si="692"/>
        <v>0</v>
      </c>
      <c r="BD221" s="154">
        <f t="shared" ca="1" si="693"/>
        <v>0</v>
      </c>
      <c r="BE221" s="154">
        <f t="shared" ca="1" si="694"/>
        <v>0</v>
      </c>
      <c r="BF221" s="154">
        <f t="shared" ca="1" si="695"/>
        <v>0</v>
      </c>
      <c r="BG221" s="154">
        <f t="shared" ca="1" si="696"/>
        <v>0</v>
      </c>
      <c r="BH221" s="154">
        <f t="shared" ca="1" si="697"/>
        <v>0</v>
      </c>
      <c r="BI221" s="154">
        <f t="shared" ca="1" si="698"/>
        <v>0</v>
      </c>
      <c r="BJ221" s="154">
        <f t="shared" ca="1" si="699"/>
        <v>0</v>
      </c>
      <c r="BK221" s="154">
        <f t="shared" ca="1" si="700"/>
        <v>0</v>
      </c>
      <c r="BL221" s="154">
        <f t="shared" ca="1" si="701"/>
        <v>0</v>
      </c>
      <c r="BM221" s="154">
        <f t="shared" ca="1" si="702"/>
        <v>0</v>
      </c>
      <c r="BN221" s="1198">
        <f t="shared" si="719"/>
        <v>226</v>
      </c>
      <c r="BO221" s="1197" t="str">
        <f t="shared" si="703"/>
        <v>Z'Lit</v>
      </c>
      <c r="BP221" s="1197" t="str">
        <f t="shared" ca="1" si="704"/>
        <v>B</v>
      </c>
      <c r="BQ221" s="1197">
        <f t="shared" si="727"/>
        <v>45</v>
      </c>
      <c r="BR221" s="1198" t="str">
        <f t="shared" ca="1" si="720"/>
        <v/>
      </c>
      <c r="BS221" s="1198" t="s">
        <v>2169</v>
      </c>
      <c r="BT221" s="78"/>
      <c r="BU221" s="78"/>
      <c r="BV221" s="78"/>
      <c r="BW221" s="1197">
        <f t="shared" ca="1" si="721"/>
        <v>0</v>
      </c>
      <c r="BX221" s="1197">
        <f t="shared" ca="1" si="705"/>
        <v>0</v>
      </c>
      <c r="BY221" s="1197">
        <f t="shared" ca="1" si="706"/>
        <v>0</v>
      </c>
      <c r="BZ221" s="1081">
        <f t="shared" ca="1" si="707"/>
        <v>0</v>
      </c>
      <c r="CA221" s="1081">
        <f t="shared" ca="1" si="708"/>
        <v>0</v>
      </c>
      <c r="CB221" s="1081">
        <f t="shared" ca="1" si="709"/>
        <v>65</v>
      </c>
      <c r="CC221" s="1081">
        <f t="shared" ca="1" si="710"/>
        <v>66</v>
      </c>
      <c r="CD221" s="1081">
        <f t="shared" si="738"/>
        <v>0</v>
      </c>
      <c r="CE221" s="1081">
        <f t="shared" ca="1" si="711"/>
        <v>1</v>
      </c>
      <c r="CF221" s="1081">
        <f t="shared" ca="1" si="722"/>
        <v>0</v>
      </c>
      <c r="CG221" s="1198" t="str">
        <f t="shared" si="712"/>
        <v>Z'Lit</v>
      </c>
      <c r="CH221" s="1198" t="str">
        <f t="shared" ca="1" si="713"/>
        <v/>
      </c>
      <c r="CI221" s="1198"/>
      <c r="CJ221" s="1198"/>
      <c r="CK221" s="1198" t="str">
        <f t="shared" ca="1" si="723"/>
        <v/>
      </c>
      <c r="CL221" s="1198" t="str">
        <f t="shared" ca="1" si="724"/>
        <v/>
      </c>
      <c r="CM221" s="78"/>
      <c r="CN221" s="1081">
        <f t="shared" ca="1" si="725"/>
        <v>0</v>
      </c>
      <c r="CO221" s="1081">
        <f t="shared" ca="1" si="714"/>
        <v>0</v>
      </c>
      <c r="CP221" s="1081">
        <f t="shared" ca="1" si="726"/>
        <v>0</v>
      </c>
      <c r="DJ221" s="301" t="str">
        <f t="shared" ca="1" si="746"/>
        <v>A</v>
      </c>
      <c r="DK221" s="301" t="str">
        <f t="shared" ca="1" si="746"/>
        <v>A</v>
      </c>
      <c r="DL221" s="301" t="str">
        <f t="shared" ca="1" si="746"/>
        <v>A</v>
      </c>
      <c r="DM221" s="301" t="str">
        <f t="shared" ca="1" si="746"/>
        <v>A</v>
      </c>
      <c r="DN221" s="301" t="str">
        <f t="shared" ca="1" si="746"/>
        <v>A</v>
      </c>
      <c r="DO221" s="301" t="str">
        <f t="shared" ca="1" si="746"/>
        <v>A</v>
      </c>
      <c r="DP221" s="301" t="str">
        <f t="shared" ca="1" si="746"/>
        <v>A</v>
      </c>
      <c r="DQ221" s="301" t="str">
        <f t="shared" ca="1" si="746"/>
        <v>A</v>
      </c>
      <c r="DR221" s="301" t="str">
        <f t="shared" ca="1" si="746"/>
        <v>A</v>
      </c>
      <c r="DS221" s="301" t="str">
        <f t="shared" ca="1" si="746"/>
        <v>A</v>
      </c>
      <c r="DT221" s="301" t="str">
        <f t="shared" ca="1" si="747"/>
        <v>A</v>
      </c>
      <c r="DU221" s="301" t="str">
        <f t="shared" ca="1" si="747"/>
        <v>A</v>
      </c>
      <c r="DV221" s="301" t="str">
        <f t="shared" ca="1" si="747"/>
        <v>A</v>
      </c>
      <c r="DW221" s="301" t="str">
        <f t="shared" ca="1" si="747"/>
        <v>A</v>
      </c>
      <c r="DX221" s="301" t="str">
        <f t="shared" ca="1" si="747"/>
        <v>A</v>
      </c>
      <c r="DY221" s="301" t="str">
        <f t="shared" ca="1" si="747"/>
        <v>A</v>
      </c>
      <c r="DZ221" s="301" t="str">
        <f t="shared" ca="1" si="747"/>
        <v>A</v>
      </c>
      <c r="EA221" s="301" t="str">
        <f t="shared" ca="1" si="747"/>
        <v>A</v>
      </c>
      <c r="EB221" s="301" t="str">
        <f t="shared" ca="1" si="747"/>
        <v>A</v>
      </c>
      <c r="EC221" s="301" t="str">
        <f t="shared" ca="1" si="747"/>
        <v>A</v>
      </c>
      <c r="ED221" s="301" t="str">
        <f t="shared" ca="1" si="747"/>
        <v>A</v>
      </c>
      <c r="EE221" s="301" t="str">
        <f t="shared" ca="1" si="747"/>
        <v>A</v>
      </c>
      <c r="EF221" s="301">
        <f t="shared" si="717"/>
        <v>0</v>
      </c>
      <c r="EG221" s="1426" t="str">
        <f t="shared" ca="1" si="743"/>
        <v>B</v>
      </c>
      <c r="EH221" s="1429" t="str">
        <f t="shared" ca="1" si="743"/>
        <v>B</v>
      </c>
      <c r="EI221" s="1429" t="str">
        <f t="shared" ca="1" si="743"/>
        <v>B</v>
      </c>
      <c r="EJ221" s="1429" t="str">
        <f t="shared" ca="1" si="743"/>
        <v>B</v>
      </c>
      <c r="EK221" s="1429" t="str">
        <f t="shared" ca="1" si="743"/>
        <v>B</v>
      </c>
      <c r="EL221" s="1429" t="str">
        <f t="shared" ca="1" si="743"/>
        <v>B</v>
      </c>
      <c r="EM221" s="1429" t="str">
        <f t="shared" ca="1" si="743"/>
        <v>B</v>
      </c>
      <c r="EN221" s="1429" t="str">
        <f t="shared" ca="1" si="743"/>
        <v>B</v>
      </c>
      <c r="EO221" s="1429" t="str">
        <f t="shared" ca="1" si="744"/>
        <v>B</v>
      </c>
      <c r="EP221" s="1429" t="str">
        <f t="shared" ca="1" si="744"/>
        <v>B</v>
      </c>
      <c r="EQ221" s="1429" t="str">
        <f t="shared" ca="1" si="744"/>
        <v>B</v>
      </c>
      <c r="ER221" s="1429" t="str">
        <f t="shared" ca="1" si="744"/>
        <v>B</v>
      </c>
      <c r="ES221" s="1429" t="str">
        <f t="shared" ca="1" si="744"/>
        <v>B</v>
      </c>
      <c r="ET221" s="1429" t="str">
        <f t="shared" ca="1" si="744"/>
        <v>B</v>
      </c>
      <c r="EU221" s="1429" t="str">
        <f t="shared" ca="1" si="744"/>
        <v>B</v>
      </c>
      <c r="EV221" s="1429" t="str">
        <f t="shared" ca="1" si="744"/>
        <v>B</v>
      </c>
      <c r="EW221" s="1429" t="str">
        <f t="shared" ca="1" si="748"/>
        <v>B</v>
      </c>
      <c r="EX221" s="1429" t="str">
        <f t="shared" ca="1" si="748"/>
        <v>B</v>
      </c>
      <c r="EY221" s="1429" t="str">
        <f t="shared" ca="1" si="748"/>
        <v>B</v>
      </c>
      <c r="EZ221" s="1429" t="str">
        <f t="shared" ca="1" si="748"/>
        <v>B</v>
      </c>
      <c r="FA221" s="1429" t="str">
        <f t="shared" ca="1" si="748"/>
        <v>B</v>
      </c>
      <c r="FB221" s="1429" t="str">
        <f t="shared" ca="1" si="748"/>
        <v>B</v>
      </c>
      <c r="FC221" s="1429" t="str">
        <f t="shared" ca="1" si="748"/>
        <v>B</v>
      </c>
      <c r="FD221" s="1429" t="str">
        <f t="shared" ca="1" si="748"/>
        <v>B</v>
      </c>
      <c r="FE221" s="1429" t="str">
        <f t="shared" ca="1" si="748"/>
        <v>B</v>
      </c>
      <c r="FF221" s="1429" t="str">
        <f t="shared" ca="1" si="748"/>
        <v>B</v>
      </c>
      <c r="FG221" s="1429" t="str">
        <f t="shared" ca="1" si="748"/>
        <v>B</v>
      </c>
      <c r="FH221" s="1429" t="str">
        <f t="shared" ca="1" si="748"/>
        <v>B</v>
      </c>
      <c r="FI221" s="1429" t="str">
        <f t="shared" ca="1" si="748"/>
        <v>B</v>
      </c>
      <c r="FJ221" s="1429" t="str">
        <f t="shared" ca="1" si="748"/>
        <v>B</v>
      </c>
      <c r="FK221" s="1429" t="str">
        <f t="shared" ca="1" si="748"/>
        <v>B</v>
      </c>
      <c r="FL221" s="1429" t="str">
        <f t="shared" ca="1" si="748"/>
        <v>B</v>
      </c>
    </row>
    <row r="222" spans="1:168" x14ac:dyDescent="0.2">
      <c r="A222" s="62" t="str">
        <f t="shared" si="649"/>
        <v>Zyklopäisch</v>
      </c>
      <c r="B222" s="317" t="str">
        <f t="shared" ca="1" si="650"/>
        <v/>
      </c>
      <c r="C222" s="332" t="str">
        <f ca="1">IF(AND(EXACT($F222,""),EXACT($G222,"")),IF(OR(NOT(ISBLANK(D222)),NOT(EXACT(HLOOKUP(RASSEGENE,RASSE,$BN222,FALSE),"")),NOT(EXACT(HLOOKUP(KULTURGENE,KULTUR,$BN222,FALSE),"")),NOT(EXACT(HLOOKUP(PROFGENE,INDIRECT(PROFGEBIET),$BN222,FALSE),"")),
IF(LEN(PROFZWEITE)&lt;1,FALSE,NOT(EXACT(HLOOKUP(Generierung!$D$12,INDIRECT(PROFGEBIET2),$BN222,FALSE),"")))
),"x",""),"")</f>
        <v/>
      </c>
      <c r="D222" s="1110"/>
      <c r="E222" s="325"/>
      <c r="F222" s="388" t="str">
        <f t="shared" ca="1" si="651"/>
        <v/>
      </c>
      <c r="G222" s="388" t="str">
        <f t="shared" ca="1" si="652"/>
        <v/>
      </c>
      <c r="H222" s="389"/>
      <c r="I222" s="1196"/>
      <c r="J222" s="326"/>
      <c r="O222" s="514" t="str">
        <f t="shared" ca="1" si="653"/>
        <v/>
      </c>
      <c r="P222" s="164">
        <f t="shared" ca="1" si="654"/>
        <v>0</v>
      </c>
      <c r="Q222" s="164">
        <f t="shared" ca="1" si="655"/>
        <v>0</v>
      </c>
      <c r="R222" s="164">
        <f t="shared" ca="1" si="656"/>
        <v>0</v>
      </c>
      <c r="S222" s="164">
        <f t="shared" ca="1" si="657"/>
        <v>0</v>
      </c>
      <c r="T222" s="164">
        <f t="shared" ca="1" si="658"/>
        <v>0</v>
      </c>
      <c r="U222" s="164">
        <f t="shared" ca="1" si="659"/>
        <v>0</v>
      </c>
      <c r="V222" s="164">
        <f t="shared" ca="1" si="660"/>
        <v>0</v>
      </c>
      <c r="W222" s="164">
        <f t="shared" ca="1" si="661"/>
        <v>0</v>
      </c>
      <c r="X222" s="164">
        <f t="shared" ca="1" si="662"/>
        <v>0</v>
      </c>
      <c r="Y222" s="164">
        <f t="shared" ca="1" si="663"/>
        <v>0</v>
      </c>
      <c r="Z222" s="164">
        <f t="shared" ca="1" si="664"/>
        <v>0</v>
      </c>
      <c r="AA222" s="164">
        <f t="shared" ca="1" si="665"/>
        <v>0</v>
      </c>
      <c r="AB222" s="164">
        <f t="shared" ca="1" si="666"/>
        <v>0</v>
      </c>
      <c r="AC222" s="164">
        <f t="shared" ca="1" si="667"/>
        <v>0</v>
      </c>
      <c r="AD222" s="164">
        <f t="shared" ca="1" si="668"/>
        <v>0</v>
      </c>
      <c r="AE222" s="164">
        <f t="shared" ca="1" si="669"/>
        <v>0</v>
      </c>
      <c r="AF222" s="164">
        <f t="shared" ca="1" si="670"/>
        <v>0</v>
      </c>
      <c r="AG222" s="164">
        <f t="shared" ca="1" si="671"/>
        <v>0</v>
      </c>
      <c r="AH222" s="164">
        <f t="shared" ca="1" si="672"/>
        <v>0</v>
      </c>
      <c r="AI222" s="164">
        <f t="shared" ca="1" si="673"/>
        <v>0</v>
      </c>
      <c r="AJ222" s="164">
        <f t="shared" ca="1" si="674"/>
        <v>0</v>
      </c>
      <c r="AK222" s="164">
        <f t="shared" ca="1" si="675"/>
        <v>0</v>
      </c>
      <c r="AL222" s="164">
        <f t="shared" si="676"/>
        <v>0</v>
      </c>
      <c r="AM222" s="164">
        <f t="shared" ca="1" si="677"/>
        <v>0</v>
      </c>
      <c r="AN222" s="205"/>
      <c r="AO222" s="154">
        <f t="shared" ca="1" si="678"/>
        <v>0</v>
      </c>
      <c r="AP222" s="154">
        <f t="shared" ca="1" si="679"/>
        <v>0</v>
      </c>
      <c r="AQ222" s="154">
        <f t="shared" ca="1" si="680"/>
        <v>0</v>
      </c>
      <c r="AR222" s="154">
        <f t="shared" ca="1" si="681"/>
        <v>0</v>
      </c>
      <c r="AS222" s="154">
        <f t="shared" ca="1" si="682"/>
        <v>0</v>
      </c>
      <c r="AT222" s="154">
        <f t="shared" ca="1" si="683"/>
        <v>0</v>
      </c>
      <c r="AU222" s="154">
        <f t="shared" ca="1" si="684"/>
        <v>0</v>
      </c>
      <c r="AV222" s="154">
        <f t="shared" ca="1" si="685"/>
        <v>0</v>
      </c>
      <c r="AW222" s="154">
        <f t="shared" ca="1" si="686"/>
        <v>0</v>
      </c>
      <c r="AX222" s="154">
        <f t="shared" ca="1" si="687"/>
        <v>0</v>
      </c>
      <c r="AY222" s="154">
        <f t="shared" ca="1" si="688"/>
        <v>0</v>
      </c>
      <c r="AZ222" s="154">
        <f t="shared" ca="1" si="689"/>
        <v>0</v>
      </c>
      <c r="BA222" s="154">
        <f t="shared" ca="1" si="690"/>
        <v>0</v>
      </c>
      <c r="BB222" s="154">
        <f t="shared" ca="1" si="691"/>
        <v>0</v>
      </c>
      <c r="BC222" s="154">
        <f t="shared" ca="1" si="692"/>
        <v>0</v>
      </c>
      <c r="BD222" s="154">
        <f t="shared" ca="1" si="693"/>
        <v>0</v>
      </c>
      <c r="BE222" s="154">
        <f t="shared" ca="1" si="694"/>
        <v>0</v>
      </c>
      <c r="BF222" s="154">
        <f t="shared" ca="1" si="695"/>
        <v>0</v>
      </c>
      <c r="BG222" s="154">
        <f t="shared" ca="1" si="696"/>
        <v>0</v>
      </c>
      <c r="BH222" s="154">
        <f t="shared" ca="1" si="697"/>
        <v>0</v>
      </c>
      <c r="BI222" s="154">
        <f t="shared" ca="1" si="698"/>
        <v>0</v>
      </c>
      <c r="BJ222" s="154">
        <f t="shared" ca="1" si="699"/>
        <v>0</v>
      </c>
      <c r="BK222" s="154">
        <f t="shared" ca="1" si="700"/>
        <v>0</v>
      </c>
      <c r="BL222" s="154">
        <f t="shared" ca="1" si="701"/>
        <v>0</v>
      </c>
      <c r="BM222" s="154">
        <f t="shared" ca="1" si="702"/>
        <v>0</v>
      </c>
      <c r="BN222" s="1198">
        <f t="shared" si="719"/>
        <v>227</v>
      </c>
      <c r="BO222" s="1197" t="str">
        <f t="shared" si="703"/>
        <v>Zyklopäisch</v>
      </c>
      <c r="BP222" s="1197" t="str">
        <f t="shared" ca="1" si="704"/>
        <v>B</v>
      </c>
      <c r="BQ222" s="1197">
        <f t="shared" si="727"/>
        <v>46</v>
      </c>
      <c r="BR222" s="1198" t="str">
        <f t="shared" ca="1" si="720"/>
        <v/>
      </c>
      <c r="BS222" s="1198" t="s">
        <v>2170</v>
      </c>
      <c r="BT222" s="78"/>
      <c r="BU222" s="78"/>
      <c r="BV222" s="78"/>
      <c r="BW222" s="1197">
        <f t="shared" ca="1" si="721"/>
        <v>0</v>
      </c>
      <c r="BX222" s="1197">
        <f t="shared" ca="1" si="705"/>
        <v>0</v>
      </c>
      <c r="BY222" s="1197">
        <f t="shared" ca="1" si="706"/>
        <v>0</v>
      </c>
      <c r="BZ222" s="1081">
        <f t="shared" ca="1" si="707"/>
        <v>0</v>
      </c>
      <c r="CA222" s="1081">
        <f t="shared" ca="1" si="708"/>
        <v>0</v>
      </c>
      <c r="CB222" s="1081">
        <f t="shared" ca="1" si="709"/>
        <v>65</v>
      </c>
      <c r="CC222" s="1081">
        <f t="shared" ca="1" si="710"/>
        <v>66</v>
      </c>
      <c r="CD222" s="1081">
        <f t="shared" si="738"/>
        <v>0</v>
      </c>
      <c r="CE222" s="1081">
        <f t="shared" ca="1" si="711"/>
        <v>1</v>
      </c>
      <c r="CF222" s="1081">
        <f t="shared" ca="1" si="722"/>
        <v>0</v>
      </c>
      <c r="CG222" s="1198" t="str">
        <f t="shared" si="712"/>
        <v>Garethi-Familie</v>
      </c>
      <c r="CH222" s="1198" t="str">
        <f t="shared" ca="1" si="713"/>
        <v/>
      </c>
      <c r="CI222" s="1198"/>
      <c r="CJ222" s="1198"/>
      <c r="CK222" s="1198" t="str">
        <f t="shared" ca="1" si="723"/>
        <v/>
      </c>
      <c r="CL222" s="1198" t="str">
        <f t="shared" ca="1" si="724"/>
        <v/>
      </c>
      <c r="CM222" s="78"/>
      <c r="CN222" s="1081">
        <f t="shared" ca="1" si="725"/>
        <v>0</v>
      </c>
      <c r="CO222" s="1081">
        <f t="shared" ca="1" si="714"/>
        <v>0</v>
      </c>
      <c r="CP222" s="1081">
        <f t="shared" ca="1" si="726"/>
        <v>0</v>
      </c>
      <c r="DJ222" s="301" t="str">
        <f t="shared" ca="1" si="746"/>
        <v>A</v>
      </c>
      <c r="DK222" s="301" t="str">
        <f t="shared" ca="1" si="746"/>
        <v>A</v>
      </c>
      <c r="DL222" s="301" t="str">
        <f t="shared" ca="1" si="746"/>
        <v>A</v>
      </c>
      <c r="DM222" s="301" t="str">
        <f t="shared" ca="1" si="746"/>
        <v>A</v>
      </c>
      <c r="DN222" s="301" t="str">
        <f t="shared" ca="1" si="746"/>
        <v>A</v>
      </c>
      <c r="DO222" s="301" t="str">
        <f t="shared" ca="1" si="746"/>
        <v>A</v>
      </c>
      <c r="DP222" s="301" t="str">
        <f t="shared" ca="1" si="746"/>
        <v>A</v>
      </c>
      <c r="DQ222" s="301" t="str">
        <f t="shared" ca="1" si="746"/>
        <v>A</v>
      </c>
      <c r="DR222" s="301" t="str">
        <f t="shared" ca="1" si="746"/>
        <v>A</v>
      </c>
      <c r="DS222" s="301" t="str">
        <f t="shared" ca="1" si="746"/>
        <v>A</v>
      </c>
      <c r="DT222" s="301" t="str">
        <f t="shared" ca="1" si="747"/>
        <v>A</v>
      </c>
      <c r="DU222" s="301" t="str">
        <f t="shared" ca="1" si="747"/>
        <v>A</v>
      </c>
      <c r="DV222" s="301" t="str">
        <f t="shared" ca="1" si="747"/>
        <v>A</v>
      </c>
      <c r="DW222" s="301" t="str">
        <f t="shared" ca="1" si="747"/>
        <v>A</v>
      </c>
      <c r="DX222" s="301" t="str">
        <f t="shared" ca="1" si="747"/>
        <v>A</v>
      </c>
      <c r="DY222" s="301" t="str">
        <f t="shared" ca="1" si="747"/>
        <v>A</v>
      </c>
      <c r="DZ222" s="301" t="str">
        <f t="shared" ca="1" si="747"/>
        <v>A</v>
      </c>
      <c r="EA222" s="301" t="str">
        <f t="shared" ca="1" si="747"/>
        <v>A</v>
      </c>
      <c r="EB222" s="301" t="str">
        <f t="shared" ca="1" si="747"/>
        <v>A</v>
      </c>
      <c r="EC222" s="301" t="str">
        <f t="shared" ca="1" si="747"/>
        <v>A</v>
      </c>
      <c r="ED222" s="301" t="str">
        <f t="shared" ca="1" si="747"/>
        <v>A</v>
      </c>
      <c r="EE222" s="301" t="str">
        <f t="shared" ca="1" si="747"/>
        <v>A</v>
      </c>
      <c r="EF222" s="301">
        <f t="shared" si="717"/>
        <v>0</v>
      </c>
      <c r="EG222" s="1426" t="str">
        <f t="shared" ca="1" si="743"/>
        <v>B</v>
      </c>
      <c r="EH222" s="1429" t="str">
        <f t="shared" ca="1" si="743"/>
        <v>B</v>
      </c>
      <c r="EI222" s="1429" t="str">
        <f t="shared" ca="1" si="743"/>
        <v>B</v>
      </c>
      <c r="EJ222" s="1429" t="str">
        <f t="shared" ca="1" si="743"/>
        <v>B</v>
      </c>
      <c r="EK222" s="1429" t="str">
        <f t="shared" ca="1" si="743"/>
        <v>B</v>
      </c>
      <c r="EL222" s="1429" t="str">
        <f t="shared" ca="1" si="743"/>
        <v>B</v>
      </c>
      <c r="EM222" s="1429" t="str">
        <f t="shared" ca="1" si="743"/>
        <v>B</v>
      </c>
      <c r="EN222" s="1429" t="str">
        <f t="shared" ca="1" si="743"/>
        <v>B</v>
      </c>
      <c r="EO222" s="1429" t="str">
        <f t="shared" ca="1" si="744"/>
        <v>B</v>
      </c>
      <c r="EP222" s="1429" t="str">
        <f t="shared" ca="1" si="744"/>
        <v>B</v>
      </c>
      <c r="EQ222" s="1429" t="str">
        <f t="shared" ca="1" si="744"/>
        <v>B</v>
      </c>
      <c r="ER222" s="1429" t="str">
        <f t="shared" ca="1" si="744"/>
        <v>B</v>
      </c>
      <c r="ES222" s="1429" t="str">
        <f t="shared" ca="1" si="744"/>
        <v>B</v>
      </c>
      <c r="ET222" s="1429" t="str">
        <f t="shared" ca="1" si="744"/>
        <v>B</v>
      </c>
      <c r="EU222" s="1429" t="str">
        <f t="shared" ca="1" si="744"/>
        <v>B</v>
      </c>
      <c r="EV222" s="1429" t="str">
        <f t="shared" ca="1" si="744"/>
        <v>B</v>
      </c>
      <c r="EW222" s="1429" t="str">
        <f t="shared" ca="1" si="748"/>
        <v>B</v>
      </c>
      <c r="EX222" s="1429" t="str">
        <f t="shared" ca="1" si="748"/>
        <v>B</v>
      </c>
      <c r="EY222" s="1429" t="str">
        <f t="shared" ca="1" si="748"/>
        <v>B</v>
      </c>
      <c r="EZ222" s="1429" t="str">
        <f t="shared" ca="1" si="748"/>
        <v>B</v>
      </c>
      <c r="FA222" s="1429" t="str">
        <f t="shared" ca="1" si="748"/>
        <v>B</v>
      </c>
      <c r="FB222" s="1429" t="str">
        <f t="shared" ca="1" si="748"/>
        <v>B</v>
      </c>
      <c r="FC222" s="1429" t="str">
        <f t="shared" ca="1" si="748"/>
        <v>B</v>
      </c>
      <c r="FD222" s="1429" t="str">
        <f t="shared" ca="1" si="748"/>
        <v>B</v>
      </c>
      <c r="FE222" s="1429" t="str">
        <f t="shared" ca="1" si="748"/>
        <v>B</v>
      </c>
      <c r="FF222" s="1429" t="str">
        <f t="shared" ca="1" si="748"/>
        <v>B</v>
      </c>
      <c r="FG222" s="1429" t="str">
        <f t="shared" ca="1" si="748"/>
        <v>B</v>
      </c>
      <c r="FH222" s="1429" t="str">
        <f t="shared" ca="1" si="748"/>
        <v>B</v>
      </c>
      <c r="FI222" s="1429" t="str">
        <f t="shared" ca="1" si="748"/>
        <v>B</v>
      </c>
      <c r="FJ222" s="1429" t="str">
        <f t="shared" ca="1" si="748"/>
        <v>B</v>
      </c>
      <c r="FK222" s="1429" t="str">
        <f t="shared" ca="1" si="748"/>
        <v>B</v>
      </c>
      <c r="FL222" s="1429" t="str">
        <f t="shared" ca="1" si="748"/>
        <v>B</v>
      </c>
    </row>
    <row r="223" spans="1:168" ht="15.75" x14ac:dyDescent="0.25">
      <c r="A223" s="300" t="s">
        <v>3262</v>
      </c>
      <c r="B223" s="131"/>
      <c r="C223" s="304"/>
      <c r="D223" s="304"/>
      <c r="E223" s="6"/>
      <c r="F223" s="319"/>
      <c r="G223" s="319"/>
      <c r="H223" s="304"/>
      <c r="I223" s="304"/>
      <c r="J223" s="965"/>
      <c r="K223" s="1879" t="str">
        <f ca="1">IF(APGUT&lt;0,"Keine AP mehr übrig!",IF(TL_GP_UEBRIG&lt;0,"Keine Start-AP übrig!",IF(STARTAP2_UEBRIG&lt;0,"Keine 2. Prof.-Start-AP übrig!","▼ Fehlermeldungen ▼  "&amp;"(AP: "&amp;APGUT&amp;")")))</f>
        <v>▼ Fehlermeldungen ▼  (AP: 0)</v>
      </c>
      <c r="L223" s="1879"/>
      <c r="M223" s="1879"/>
      <c r="N223" s="1879"/>
      <c r="O223" s="749" t="s">
        <v>718</v>
      </c>
      <c r="P223" s="134">
        <v>0</v>
      </c>
      <c r="Q223" s="6">
        <v>1</v>
      </c>
      <c r="R223" s="6">
        <v>2</v>
      </c>
      <c r="S223" s="6">
        <v>3</v>
      </c>
      <c r="T223" s="6">
        <v>4</v>
      </c>
      <c r="U223" s="6">
        <v>5</v>
      </c>
      <c r="V223" s="6">
        <v>6</v>
      </c>
      <c r="W223" s="6">
        <v>7</v>
      </c>
      <c r="X223" s="6">
        <v>8</v>
      </c>
      <c r="Y223" s="6">
        <v>9</v>
      </c>
      <c r="Z223" s="6">
        <v>10</v>
      </c>
      <c r="AA223" s="6">
        <v>11</v>
      </c>
      <c r="AB223" s="6">
        <v>12</v>
      </c>
      <c r="AC223" s="6">
        <v>13</v>
      </c>
      <c r="AD223" s="6">
        <v>14</v>
      </c>
      <c r="AE223" s="6">
        <v>15</v>
      </c>
      <c r="AF223" s="6">
        <v>16</v>
      </c>
      <c r="AG223" s="6">
        <v>17</v>
      </c>
      <c r="AH223" s="6">
        <v>18</v>
      </c>
      <c r="AI223" s="6">
        <v>19</v>
      </c>
      <c r="AJ223" s="6">
        <v>20</v>
      </c>
      <c r="AK223" s="6">
        <v>21</v>
      </c>
      <c r="AL223" s="6">
        <v>22</v>
      </c>
      <c r="AM223" s="6">
        <v>23</v>
      </c>
      <c r="AN223" s="90"/>
      <c r="AO223" s="134">
        <v>0</v>
      </c>
      <c r="AP223" s="6">
        <v>1</v>
      </c>
      <c r="AQ223" s="6">
        <v>2</v>
      </c>
      <c r="AR223" s="6">
        <v>3</v>
      </c>
      <c r="AS223" s="6">
        <v>4</v>
      </c>
      <c r="AT223" s="6">
        <v>5</v>
      </c>
      <c r="AU223" s="6">
        <v>6</v>
      </c>
      <c r="AV223" s="6">
        <v>7</v>
      </c>
      <c r="AW223" s="6">
        <v>8</v>
      </c>
      <c r="AX223" s="6">
        <v>9</v>
      </c>
      <c r="AY223" s="6">
        <v>10</v>
      </c>
      <c r="AZ223" s="6">
        <v>11</v>
      </c>
      <c r="BA223" s="6">
        <v>12</v>
      </c>
      <c r="BB223" s="6">
        <v>13</v>
      </c>
      <c r="BC223" s="6">
        <v>14</v>
      </c>
      <c r="BD223" s="6">
        <v>15</v>
      </c>
      <c r="BE223" s="6">
        <v>16</v>
      </c>
      <c r="BF223" s="6">
        <v>17</v>
      </c>
      <c r="BG223" s="6">
        <v>18</v>
      </c>
      <c r="BH223" s="6">
        <v>19</v>
      </c>
      <c r="BI223" s="6">
        <v>20</v>
      </c>
      <c r="BJ223" s="6">
        <v>21</v>
      </c>
      <c r="BK223" s="6">
        <v>22</v>
      </c>
      <c r="BL223" s="6">
        <v>23</v>
      </c>
      <c r="BM223" s="72">
        <v>24</v>
      </c>
      <c r="BN223" s="140" t="s">
        <v>1139</v>
      </c>
      <c r="BO223" s="140" t="s">
        <v>1139</v>
      </c>
      <c r="BP223" s="140" t="s">
        <v>1139</v>
      </c>
      <c r="BQ223" s="140" t="s">
        <v>1139</v>
      </c>
      <c r="BR223" s="140" t="s">
        <v>1139</v>
      </c>
      <c r="BS223" s="1198" t="s">
        <v>3846</v>
      </c>
      <c r="BT223" s="78"/>
      <c r="BU223" s="78"/>
      <c r="BV223" s="78"/>
      <c r="BW223" s="140" t="s">
        <v>1139</v>
      </c>
      <c r="BX223" s="140" t="s">
        <v>1139</v>
      </c>
      <c r="BY223" s="140" t="s">
        <v>1139</v>
      </c>
      <c r="BZ223" s="140" t="s">
        <v>1139</v>
      </c>
      <c r="CA223" s="140" t="s">
        <v>1139</v>
      </c>
      <c r="CB223" s="140"/>
      <c r="CC223" s="140" t="s">
        <v>1139</v>
      </c>
      <c r="CD223" s="1081"/>
      <c r="CE223" s="1081"/>
      <c r="CF223" s="1081"/>
      <c r="CG223" s="1198"/>
      <c r="CH223" s="1199" t="str">
        <f ca="1">CONCATENATE(CI223,CH207,CH208,CH209,CH210,CH211,CH212,CH213,CH214,CH215,CH216,CH217,CH218,CH219,CH220,CH221,CH222)</f>
        <v/>
      </c>
      <c r="CI223" s="1199" t="str">
        <f ca="1">CONCATENATE(CH177,CH178,CH179,CH180,CH181,CH182,CH183,CH184,CH185,CH186,CH187,CH188,CH189,CH190,CH191,CH192,CH193,CH194,CH195,CH196,CH197,CH198,CH199,CH200,CH201,CH202,CH203,CH204,CH205,CH206)</f>
        <v/>
      </c>
      <c r="CJ223" s="1198"/>
      <c r="CK223" s="1200" t="str">
        <f ca="1">CK222</f>
        <v/>
      </c>
      <c r="CL223" s="1201" t="str">
        <f ca="1">CL222</f>
        <v/>
      </c>
      <c r="CM223" s="78"/>
      <c r="CN223" s="140" t="s">
        <v>1139</v>
      </c>
      <c r="CO223" s="140" t="s">
        <v>1139</v>
      </c>
      <c r="CP223" s="140" t="s">
        <v>1139</v>
      </c>
      <c r="DJ223" s="301"/>
      <c r="DK223" s="301"/>
      <c r="DL223" s="301"/>
      <c r="DM223" s="301"/>
      <c r="DN223" s="301"/>
      <c r="DO223" s="301"/>
      <c r="DP223" s="301"/>
      <c r="DQ223" s="301"/>
      <c r="DR223" s="301"/>
      <c r="DS223" s="301"/>
      <c r="DT223" s="301"/>
      <c r="DU223" s="301"/>
      <c r="DV223" s="301"/>
      <c r="DW223" s="301"/>
      <c r="DX223" s="301"/>
      <c r="DY223" s="301"/>
      <c r="DZ223" s="301"/>
      <c r="EA223" s="301"/>
      <c r="EB223" s="301"/>
      <c r="EC223" s="301"/>
      <c r="ED223" s="301"/>
      <c r="EE223" s="301"/>
      <c r="EF223" s="301"/>
      <c r="EG223" s="1426"/>
      <c r="EH223" s="1429"/>
      <c r="EI223" s="1429"/>
      <c r="EJ223" s="1429"/>
      <c r="EK223" s="1429"/>
      <c r="EL223" s="1429"/>
      <c r="EM223" s="1429"/>
      <c r="EN223" s="1429"/>
      <c r="EO223" s="1429"/>
      <c r="EP223" s="1429"/>
      <c r="EQ223" s="1429"/>
      <c r="ER223" s="1429"/>
      <c r="ES223" s="1429"/>
      <c r="ET223" s="1429"/>
      <c r="EU223" s="1429"/>
      <c r="EV223" s="1429"/>
      <c r="EW223" s="1429"/>
      <c r="EX223" s="1429"/>
      <c r="EY223" s="1429"/>
      <c r="EZ223" s="1429"/>
      <c r="FA223" s="1429"/>
      <c r="FB223" s="1429"/>
      <c r="FC223" s="1429"/>
      <c r="FD223" s="1429"/>
      <c r="FE223" s="1429"/>
      <c r="FF223" s="1429"/>
      <c r="FG223" s="1429"/>
      <c r="FH223" s="1429"/>
      <c r="FI223" s="1429"/>
      <c r="FJ223" s="1429"/>
      <c r="FK223" s="1429"/>
      <c r="FL223" s="1429"/>
    </row>
    <row r="224" spans="1:168" x14ac:dyDescent="0.2">
      <c r="A224" s="62" t="str">
        <f t="shared" ref="A224:A245" si="749">CONCATENATE("L/S: ",INDEX(SCHRIFTEN,$BQ224))</f>
        <v>L/S: Altes Alaani</v>
      </c>
      <c r="B224" s="317" t="str">
        <f t="shared" ref="B224:B245" ca="1" si="750">IF(AND(EXACT($C224,""),ISBLANK($H224),ISBLANK($J224)),"",SUM(HLOOKUP(RASSEGENE,RASSE,$BN224,FALSE),HLOOKUP(KULTURGENE,KULTUR,$BN224,FALSE),BW224
))</f>
        <v/>
      </c>
      <c r="C224" s="332" t="str">
        <f ca="1">IF(AND(EXACT($F224,""),EXACT($G224,"")),IF(OR(NOT(ISBLANK(D224)),NOT(EXACT(HLOOKUP(RASSEGENE,RASSE,$BN224,FALSE),"")),NOT(EXACT(HLOOKUP(KULTURGENE,KULTUR,$BN224,FALSE),"")),NOT(EXACT(HLOOKUP(PROFGENE,INDIRECT(PROFGEBIET),$BN224,FALSE),"")),
IF(LEN(PROFZWEITE)&lt;1,FALSE,NOT(EXACT(HLOOKUP(Generierung!$D$12,INDIRECT(PROFGEBIET2),$BN224,FALSE),"")))
),"x",""),"")</f>
        <v/>
      </c>
      <c r="D224" s="1127"/>
      <c r="E224" s="325"/>
      <c r="F224" s="388" t="str">
        <f t="shared" ref="F224:F245" ca="1" si="751">IF(OR(EXACT(HLOOKUP(RASSEGENE,RASSE,$BN224,FALSE),"M"),EXACT(HLOOKUP(KULTURGENE,KULTUR,$BN224,FALSE),"M"),EXACT(HLOOKUP(PROFGENE,INDIRECT(PROFGEBIET),$BN224,FALSE),"M")),"x","")</f>
        <v/>
      </c>
      <c r="G224" s="388" t="str">
        <f t="shared" ref="G224:G245" ca="1" si="752">IF(OR(EXACT(HLOOKUP(RASSEGENE,RASSE,$BN224,FALSE),"Z"),EXACT(HLOOKUP(KULTURGENE,KULTUR,$BN224,FALSE),"Z"),EXACT(HLOOKUP(PROFGENE,INDIRECT(PROFGEBIET),$BN224,FALSE),"Z")),"x","")</f>
        <v/>
      </c>
      <c r="H224" s="389"/>
      <c r="I224" s="1196"/>
      <c r="J224" s="326"/>
      <c r="O224" s="514" t="str">
        <f t="shared" ref="O224:O245" ca="1" si="753">IF(AND(EXACT($B224,""),ISBLANK($H224),ISBLANK($J224)),"",SUM($B224,$H224,$J224))</f>
        <v/>
      </c>
      <c r="P224" s="164">
        <f t="shared" ref="P224:P245" ca="1" si="754">IF(DJ224=0,0,IF(AND(NOT(ISBLANK($H224)),$B224=0),
ROUND(HLOOKUP(IF(CODE(DJ224)&lt;65,"A+",DJ224),SKT,3,FALSE)*IF(VT_EIDGED,0.5,IF(VT_GUTGED,0.75,1)),0),0))</f>
        <v>0</v>
      </c>
      <c r="Q224" s="164">
        <f t="shared" ref="Q224:Q245" ca="1" si="755">IF(DK224=0,0,IF(AND(NOT(ISBLANK($H224)),$B224&lt;Q$176,SUM($B224,$H224)&gt;=Q$176),
ROUND(HLOOKUP(IF(CODE(DK224)&lt;65,"A+",DK224),SKT,Q$176+3,FALSE)*IF(VT_EIDGED,0.5,IF(VT_GUTGED,0.75,1)),0),0))</f>
        <v>0</v>
      </c>
      <c r="R224" s="164">
        <f t="shared" ref="R224:R245" ca="1" si="756">IF(DL224=0,0,IF(AND(NOT(ISBLANK($H224)),$B224&lt;R$176,SUM($B224,$H224)&gt;=R$176),
ROUND(HLOOKUP(IF(CODE(DL224)&lt;65,"A+",DL224),SKT,R$176+3,FALSE)*IF(VT_EIDGED,0.5,IF(VT_GUTGED,0.75,1)),0),0))</f>
        <v>0</v>
      </c>
      <c r="S224" s="164">
        <f t="shared" ref="S224:S245" ca="1" si="757">IF(DM224=0,0,IF(AND(NOT(ISBLANK($H224)),$B224&lt;S$176,SUM($B224,$H224)&gt;=S$176),
ROUND(HLOOKUP(IF(CODE(DM224)&lt;65,"A+",DM224),SKT,S$176+3,FALSE)*IF(VT_EIDGED,0.5,IF(VT_GUTGED,0.75,1)),0),0))</f>
        <v>0</v>
      </c>
      <c r="T224" s="164">
        <f t="shared" ref="T224:T245" ca="1" si="758">IF(DN224=0,0,IF(AND(NOT(ISBLANK($H224)),$B224&lt;T$176,SUM($B224,$H224)&gt;=T$176),
ROUND(HLOOKUP(IF(CODE(DN224)&lt;65,"A+",DN224),SKT,T$176+3,FALSE)*IF(VT_EIDGED,0.5,IF(VT_GUTGED,0.75,1)),0),0))</f>
        <v>0</v>
      </c>
      <c r="U224" s="164">
        <f t="shared" ref="U224:U245" ca="1" si="759">IF(DO224=0,0,IF(AND(NOT(ISBLANK($H224)),$B224&lt;U$176,SUM($B224,$H224)&gt;=U$176),
ROUND(HLOOKUP(IF(CODE(DO224)&lt;65,"A+",DO224),SKT,U$176+3,FALSE)*IF(VT_EIDGED,0.5,IF(VT_GUTGED,0.75,1)),0),0))</f>
        <v>0</v>
      </c>
      <c r="V224" s="164">
        <f t="shared" ref="V224:V245" ca="1" si="760">IF(DP224=0,0,IF(AND(NOT(ISBLANK($H224)),$B224&lt;V$176,SUM($B224,$H224)&gt;=V$176),
ROUND(HLOOKUP(IF(CODE(DP224)&lt;65,"A+",DP224),SKT,V$176+3,FALSE)*IF(VT_EIDGED,0.5,IF(VT_GUTGED,0.75,1)),0),0))</f>
        <v>0</v>
      </c>
      <c r="W224" s="164">
        <f t="shared" ref="W224:W245" ca="1" si="761">IF(DQ224=0,0,IF(AND(NOT(ISBLANK($H224)),$B224&lt;W$176,SUM($B224,$H224)&gt;=W$176),
ROUND(HLOOKUP(IF(CODE(DQ224)&lt;65,"A+",DQ224),SKT,W$176+3,FALSE)*IF(VT_EIDGED,0.5,IF(VT_GUTGED,0.75,1)),0),0))</f>
        <v>0</v>
      </c>
      <c r="X224" s="164">
        <f t="shared" ref="X224:X245" ca="1" si="762">IF(DR224=0,0,IF(AND(NOT(ISBLANK($H224)),$B224&lt;X$176,SUM($B224,$H224)&gt;=X$176),
ROUND(HLOOKUP(IF(CODE(DR224)&lt;65,"A+",DR224),SKT,X$176+3,FALSE)*IF(VT_EIDGED,0.5,IF(VT_GUTGED,0.75,1)),0),0))</f>
        <v>0</v>
      </c>
      <c r="Y224" s="164">
        <f t="shared" ref="Y224:Y245" ca="1" si="763">IF(DS224=0,0,IF(AND(NOT(ISBLANK($H224)),$B224&lt;Y$176,SUM($B224,$H224)&gt;=Y$176),
ROUND(HLOOKUP(IF(CODE(DS224)&lt;65,"A+",DS224),SKT,Y$176+3,FALSE)*IF(VT_EIDGED,0.5,IF(VT_GUTGED,0.75,1)),0),0))</f>
        <v>0</v>
      </c>
      <c r="Z224" s="164">
        <f t="shared" ref="Z224:Z245" ca="1" si="764">IF(DT224=0,0,IF(AND(NOT(ISBLANK($H224)),$B224&lt;Z$176,SUM($B224,$H224)&gt;=Z$176),
ROUND(HLOOKUP(IF(CODE(DT224)&lt;65,"A+",DT224),SKT,Z$176+3,FALSE)*IF(VT_EIDGED,0.5,IF(VT_GUTGED,0.75,1)),0),0))</f>
        <v>0</v>
      </c>
      <c r="AA224" s="164">
        <f t="shared" ref="AA224:AA245" ca="1" si="765">IF(DU224=0,0,IF(AND(NOT(ISBLANK($H224)),$B224&lt;AA$176,SUM($B224,$H224)&gt;=AA$176),
ROUND(HLOOKUP(IF(CODE(DU224)&lt;65,"A+",DU224),SKT,AA$176+3,FALSE)*IF(VT_EIDGED,0.5,IF(VT_GUTGED,0.75,1)),0),0))</f>
        <v>0</v>
      </c>
      <c r="AB224" s="164">
        <f t="shared" ref="AB224:AB245" ca="1" si="766">IF(DV224=0,0,IF(AND(NOT(ISBLANK($H224)),$B224&lt;AB$176,SUM($B224,$H224)&gt;=AB$176),
ROUND(HLOOKUP(IF(CODE(DV224)&lt;65,"A+",DV224),SKT,AB$176+3,FALSE)*IF(VT_EIDGED,0.5,IF(VT_GUTGED,0.75,1)),0),0))</f>
        <v>0</v>
      </c>
      <c r="AC224" s="164">
        <f t="shared" ref="AC224:AC245" ca="1" si="767">IF(DW224=0,0,IF(AND(NOT(ISBLANK($H224)),$B224&lt;AC$176,SUM($B224,$H224)&gt;=AC$176),
ROUND(HLOOKUP(IF(CODE(DW224)&lt;65,"A+",DW224),SKT,AC$176+3,FALSE)*IF(VT_EIDGED,0.5,IF(VT_GUTGED,0.75,1)),0),0))</f>
        <v>0</v>
      </c>
      <c r="AD224" s="164">
        <f t="shared" ref="AD224:AD245" ca="1" si="768">IF(DX224=0,0,IF(AND(NOT(ISBLANK($H224)),$B224&lt;AD$176,SUM($B224,$H224)&gt;=AD$176),
ROUND(HLOOKUP(IF(CODE(DX224)&lt;65,"A+",DX224),SKT,AD$176+3,FALSE)*IF(VT_EIDGED,0.5,IF(VT_GUTGED,0.75,1)),0),0))</f>
        <v>0</v>
      </c>
      <c r="AE224" s="164">
        <f t="shared" ref="AE224:AE245" ca="1" si="769">IF(DY224=0,0,IF(AND(NOT(ISBLANK($H224)),$B224&lt;AE$176,SUM($B224,$H224)&gt;=AE$176),
ROUND(HLOOKUP(IF(CODE(DY224)&lt;65,"A+",DY224),SKT,AE$176+3,FALSE)*IF(VT_EIDGED,0.5,IF(VT_GUTGED,0.75,1)),0),0))</f>
        <v>0</v>
      </c>
      <c r="AF224" s="164">
        <f t="shared" ref="AF224:AF245" ca="1" si="770">IF(DZ224=0,0,IF(AND(NOT(ISBLANK($H224)),$B224&lt;AF$176,SUM($B224,$H224)&gt;=AF$176),
ROUND(HLOOKUP(IF(CODE(DZ224)&lt;65,"A+",DZ224),SKT,AF$176+3,FALSE)*IF(VT_EIDGED,0.5,IF(VT_GUTGED,0.75,1)),0),0))</f>
        <v>0</v>
      </c>
      <c r="AG224" s="164">
        <f t="shared" ref="AG224:AG245" ca="1" si="771">IF(EA224=0,0,IF(AND(NOT(ISBLANK($H224)),$B224&lt;AG$176,SUM($B224,$H224)&gt;=AG$176),
ROUND(HLOOKUP(IF(CODE(EA224)&lt;65,"A+",EA224),SKT,AG$176+3,FALSE)*IF(VT_EIDGED,0.5,IF(VT_GUTGED,0.75,1)),0),0))</f>
        <v>0</v>
      </c>
      <c r="AH224" s="164">
        <f t="shared" ref="AH224:AH245" ca="1" si="772">IF(EB224=0,0,IF(AND(NOT(ISBLANK($H224)),$B224&lt;AH$176,SUM($B224,$H224)&gt;=AH$176),
ROUND(HLOOKUP(IF(CODE(EB224)&lt;65,"A+",EB224),SKT,AH$176+3,FALSE)*IF(VT_EIDGED,0.5,IF(VT_GUTGED,0.75,1)),0),0))</f>
        <v>0</v>
      </c>
      <c r="AI224" s="164">
        <f t="shared" ref="AI224:AI245" ca="1" si="773">IF(EC224=0,0,IF(AND(NOT(ISBLANK($H224)),$B224&lt;AI$176,SUM($B224,$H224)&gt;=AI$176),
ROUND(HLOOKUP(IF(CODE(EC224)&lt;65,"A+",EC224),SKT,AI$176+3,FALSE)*IF(VT_EIDGED,0.5,IF(VT_GUTGED,0.75,1)),0),0))</f>
        <v>0</v>
      </c>
      <c r="AJ224" s="164">
        <f t="shared" ref="AJ224:AJ245" ca="1" si="774">IF(ED224=0,0,IF(AND(NOT(ISBLANK($H224)),$B224&lt;AJ$176,SUM($B224,$H224)&gt;=AJ$176),
ROUND(HLOOKUP(IF(CODE(ED224)&lt;65,"A+",ED224),SKT,AJ$176+3,FALSE)*IF(VT_EIDGED,0.5,IF(VT_GUTGED,0.75,1)),0),0))</f>
        <v>0</v>
      </c>
      <c r="AK224" s="164">
        <f t="shared" ref="AK224:AK245" ca="1" si="775">IF(EE224=0,0,IF(AND(NOT(ISBLANK($H224)),$B224&lt;AK$176,SUM($B224,$H224)&gt;=AK$176),
ROUND(HLOOKUP(IF(CODE(EE224)&lt;65,"A+",EE224),SKT,AK$176+3,FALSE)*IF(VT_EIDGED,0.5,IF(VT_GUTGED,0.75,1)),0),0))</f>
        <v>0</v>
      </c>
      <c r="AL224" s="164">
        <f t="shared" ref="AL224:AL245" si="776">IF(EF224=0,0,IF(AND(NOT(ISBLANK($H224)),$B224&lt;AL$176,SUM($B224,$H224)&gt;=AL$176),
ROUND(HLOOKUP(IF(CODE(EF224)&lt;65,"A+",EF224),SKT,AL$176+3,FALSE)*IF(VT_EIDGED,0.5,IF(VT_GUTGED,0.75,1)),0),0))</f>
        <v>0</v>
      </c>
      <c r="AM224" s="164">
        <f t="shared" ref="AM224:AM245" ca="1" si="777">IF(EG224=0,0,IF(AND(NOT(ISBLANK($H224)),$B224&lt;AM$176,SUM($B224,$H224)&gt;=AM$176),
ROUND(HLOOKUP(IF(CODE(EG224)&lt;65,"A+",EG224),SKT,AM$176+3,FALSE)*IF(VT_EIDGED,0.5,IF(VT_GUTGED,0.75,1)),0),0))</f>
        <v>0</v>
      </c>
      <c r="AN224" s="205"/>
      <c r="AO224" s="154">
        <f t="shared" ref="AO224:AO245" ca="1" si="778">IF(EG224=0,0,IF(AND(ISBLANK($H224),NOT(ISBLANK($J224)),SUM($B224,H224)&lt;=0),
ROUND(HLOOKUP(IF(CODE(EG224)&lt;65,"A+",EG224),SKT,3,FALSE)*5*ABS(SUM($B224,H224,-1))*IF(VT_EIDGED,0.5,IF(VT_GUTGED,0.75,1)),0),0))</f>
        <v>0</v>
      </c>
      <c r="AP224" s="154">
        <f t="shared" ref="AP224:AP245" ca="1" si="779">IF(EH224=0,0,IF(AND(NOT(ISBLANK($J224)),SUM($B224,$H224)&lt;AP$176,SUM($B224,$H224,$J224)&gt;=AP$176),
ROUND(HLOOKUP(IF(CODE(EH224)&lt;65,"A+",EH224),SKT,AP$176+3,FALSE)*IF(VT_EIDGED,0.5,IF(VT_GUTGED,0.75,1)),0),0))</f>
        <v>0</v>
      </c>
      <c r="AQ224" s="154">
        <f t="shared" ref="AQ224:AQ245" ca="1" si="780">IF(EI224=0,0,IF(AND(NOT(ISBLANK($J224)),SUM($B224,$H224)&lt;AQ$176,SUM($B224,$H224,$J224)&gt;=AQ$176),
ROUND(HLOOKUP(IF(CODE(EI224)&lt;65,"A+",EI224),SKT,AQ$176+3,FALSE)*IF(VT_EIDGED,0.5,IF(VT_GUTGED,0.75,1)),0),0))</f>
        <v>0</v>
      </c>
      <c r="AR224" s="154">
        <f t="shared" ref="AR224:AR245" ca="1" si="781">IF(EJ224=0,0,IF(AND(NOT(ISBLANK($J224)),SUM($B224,$H224)&lt;AR$176,SUM($B224,$H224,$J224)&gt;=AR$176),
ROUND(HLOOKUP(IF(CODE(EJ224)&lt;65,"A+",EJ224),SKT,AR$176+3,FALSE)*IF(VT_EIDGED,0.5,IF(VT_GUTGED,0.75,1)),0),0))</f>
        <v>0</v>
      </c>
      <c r="AS224" s="154">
        <f t="shared" ref="AS224:AS245" ca="1" si="782">IF(EK224=0,0,IF(AND(NOT(ISBLANK($J224)),SUM($B224,$H224)&lt;AS$176,SUM($B224,$H224,$J224)&gt;=AS$176),
ROUND(HLOOKUP(IF(CODE(EK224)&lt;65,"A+",EK224),SKT,AS$176+3,FALSE)*IF(VT_EIDGED,0.5,IF(VT_GUTGED,0.75,1)),0),0))</f>
        <v>0</v>
      </c>
      <c r="AT224" s="154">
        <f t="shared" ref="AT224:AT245" ca="1" si="783">IF(EL224=0,0,IF(AND(NOT(ISBLANK($J224)),SUM($B224,$H224)&lt;AT$176,SUM($B224,$H224,$J224)&gt;=AT$176),
ROUND(HLOOKUP(IF(CODE(EL224)&lt;65,"A+",EL224),SKT,AT$176+3,FALSE)*IF(VT_EIDGED,0.5,IF(VT_GUTGED,0.75,1)),0),0))</f>
        <v>0</v>
      </c>
      <c r="AU224" s="154">
        <f t="shared" ref="AU224:AU245" ca="1" si="784">IF(EM224=0,0,IF(AND(NOT(ISBLANK($J224)),SUM($B224,$H224)&lt;AU$176,SUM($B224,$H224,$J224)&gt;=AU$176),
ROUND(HLOOKUP(IF(CODE(EM224)&lt;65,"A+",EM224),SKT,AU$176+3,FALSE)*IF(VT_EIDGED,0.5,IF(VT_GUTGED,0.75,1)),0),0))</f>
        <v>0</v>
      </c>
      <c r="AV224" s="154">
        <f t="shared" ref="AV224:AV245" ca="1" si="785">IF(EN224=0,0,IF(AND(NOT(ISBLANK($J224)),SUM($B224,$H224)&lt;AV$176,SUM($B224,$H224,$J224)&gt;=AV$176),
ROUND(HLOOKUP(IF(CODE(EN224)&lt;65,"A+",EN224),SKT,AV$176+3,FALSE)*IF(VT_EIDGED,0.5,IF(VT_GUTGED,0.75,1)),0),0))</f>
        <v>0</v>
      </c>
      <c r="AW224" s="154">
        <f t="shared" ref="AW224:AW245" ca="1" si="786">IF(EO224=0,0,IF(AND(NOT(ISBLANK($J224)),SUM($B224,$H224)&lt;AW$176,SUM($B224,$H224,$J224)&gt;=AW$176),
ROUND(HLOOKUP(IF(CODE(EO224)&lt;65,"A+",EO224),SKT,AW$176+3,FALSE)*IF(VT_EIDGED,0.5,IF(VT_GUTGED,0.75,1)),0),0))</f>
        <v>0</v>
      </c>
      <c r="AX224" s="154">
        <f t="shared" ref="AX224:AX245" ca="1" si="787">IF(EP224=0,0,IF(AND(NOT(ISBLANK($J224)),SUM($B224,$H224)&lt;AX$176,SUM($B224,$H224,$J224)&gt;=AX$176),
ROUND(HLOOKUP(IF(CODE(EP224)&lt;65,"A+",EP224),SKT,AX$176+3,FALSE)*IF(VT_EIDGED,0.5,IF(VT_GUTGED,0.75,1)),0),0))</f>
        <v>0</v>
      </c>
      <c r="AY224" s="154">
        <f t="shared" ref="AY224:AY245" ca="1" si="788">IF(EQ224=0,0,IF(AND(NOT(ISBLANK($J224)),SUM($B224,$H224)&lt;AY$176,SUM($B224,$H224,$J224)&gt;=AY$176),
ROUND(HLOOKUP(IF(CODE(EQ224)&lt;65,"A+",EQ224),SKT,AY$176+3,FALSE)*IF(VT_EIDGED,0.5,IF(VT_GUTGED,0.75,1)),0),0))</f>
        <v>0</v>
      </c>
      <c r="AZ224" s="154">
        <f t="shared" ref="AZ224:AZ245" ca="1" si="789">IF(ER224=0,0,IF(AND(NOT(ISBLANK($J224)),SUM($B224,$H224)&lt;AZ$176,SUM($B224,$H224,$J224)&gt;=AZ$176),
ROUND(HLOOKUP(IF(CODE(ER224)&lt;65,"A+",ER224),SKT,AZ$176+3,FALSE)*IF(VT_EIDGED,0.5,IF(VT_GUTGED,0.75,1)),0),0))</f>
        <v>0</v>
      </c>
      <c r="BA224" s="154">
        <f t="shared" ref="BA224:BA245" ca="1" si="790">IF(ES224=0,0,IF(AND(NOT(ISBLANK($J224)),SUM($B224,$H224)&lt;BA$176,SUM($B224,$H224,$J224)&gt;=BA$176),
ROUND(HLOOKUP(IF(CODE(ES224)&lt;65,"A+",ES224),SKT,BA$176+3,FALSE)*IF(VT_EIDGED,0.5,IF(VT_GUTGED,0.75,1)),0),0))</f>
        <v>0</v>
      </c>
      <c r="BB224" s="154">
        <f t="shared" ref="BB224:BB245" ca="1" si="791">IF(ET224=0,0,IF(AND(NOT(ISBLANK($J224)),SUM($B224,$H224)&lt;BB$176,SUM($B224,$H224,$J224)&gt;=BB$176),
ROUND(HLOOKUP(IF(CODE(ET224)&lt;65,"A+",ET224),SKT,BB$176+3,FALSE)*IF(VT_EIDGED,0.5,IF(VT_GUTGED,0.75,1)),0),0))</f>
        <v>0</v>
      </c>
      <c r="BC224" s="154">
        <f t="shared" ref="BC224:BC245" ca="1" si="792">IF(EU224=0,0,IF(AND(NOT(ISBLANK($J224)),SUM($B224,$H224)&lt;BC$176,SUM($B224,$H224,$J224)&gt;=BC$176),
ROUND(HLOOKUP(IF(CODE(EU224)&lt;65,"A+",EU224),SKT,BC$176+3,FALSE)*IF(VT_EIDGED,0.5,IF(VT_GUTGED,0.75,1)),0),0))</f>
        <v>0</v>
      </c>
      <c r="BD224" s="154">
        <f t="shared" ref="BD224:BD245" ca="1" si="793">IF(EV224=0,0,IF(AND(NOT(ISBLANK($J224)),SUM($B224,$H224)&lt;BD$176,SUM($B224,$H224,$J224)&gt;=BD$176),
ROUND(HLOOKUP(IF(CODE(EV224)&lt;65,"A+",EV224),SKT,BD$176+3,FALSE)*IF(VT_EIDGED,0.5,IF(VT_GUTGED,0.75,1)),0),0))</f>
        <v>0</v>
      </c>
      <c r="BE224" s="154">
        <f t="shared" ref="BE224:BE245" ca="1" si="794">IF(EW224=0,0,IF(AND(NOT(ISBLANK($J224)),SUM($B224,$H224)&lt;BE$176,SUM($B224,$H224,$J224)&gt;=BE$176),
ROUND(HLOOKUP(IF(CODE(EW224)&lt;65,"A+",EW224),SKT,BE$176+3,FALSE)*IF(VT_EIDGED,0.5,IF(VT_GUTGED,0.75,1)),0),0))</f>
        <v>0</v>
      </c>
      <c r="BF224" s="154">
        <f t="shared" ref="BF224:BF245" ca="1" si="795">IF(EX224=0,0,IF(AND(NOT(ISBLANK($J224)),SUM($B224,$H224)&lt;BF$176,SUM($B224,$H224,$J224)&gt;=BF$176),
ROUND(HLOOKUP(IF(CODE(EX224)&lt;65,"A+",EX224),SKT,BF$176+3,FALSE)*IF(VT_EIDGED,0.5,IF(VT_GUTGED,0.75,1)),0),0))</f>
        <v>0</v>
      </c>
      <c r="BG224" s="154">
        <f t="shared" ref="BG224:BG245" ca="1" si="796">IF(EY224=0,0,IF(AND(NOT(ISBLANK($J224)),SUM($B224,$H224)&lt;BG$176,SUM($B224,$H224,$J224)&gt;=BG$176),
ROUND(HLOOKUP(IF(CODE(EY224)&lt;65,"A+",EY224),SKT,BG$176+3,FALSE)*IF(VT_EIDGED,0.5,IF(VT_GUTGED,0.75,1)),0),0))</f>
        <v>0</v>
      </c>
      <c r="BH224" s="154">
        <f t="shared" ref="BH224:BH245" ca="1" si="797">IF(EZ224=0,0,IF(AND(NOT(ISBLANK($J224)),SUM($B224,$H224)&lt;BH$176,SUM($B224,$H224,$J224)&gt;=BH$176),
ROUND(HLOOKUP(IF(CODE(EZ224)&lt;65,"A+",EZ224),SKT,BH$176+3,FALSE)*IF(VT_EIDGED,0.5,IF(VT_GUTGED,0.75,1)),0),0))</f>
        <v>0</v>
      </c>
      <c r="BI224" s="154">
        <f t="shared" ref="BI224:BI245" ca="1" si="798">IF(FA224=0,0,IF(AND(NOT(ISBLANK($J224)),SUM($B224,$H224)&lt;BI$176,SUM($B224,$H224,$J224)&gt;=BI$176),
ROUND(HLOOKUP(IF(CODE(FA224)&lt;65,"A+",FA224),SKT,BI$176+3,FALSE)*IF(VT_EIDGED,0.5,IF(VT_GUTGED,0.75,1)),0),0))</f>
        <v>0</v>
      </c>
      <c r="BJ224" s="154">
        <f t="shared" ref="BJ224:BJ245" ca="1" si="799">IF(FB224=0,0,IF(AND(NOT(ISBLANK($J224)),SUM($B224,$H224)&lt;BJ$176,SUM($B224,$H224,$J224)&gt;=BJ$176),
ROUND(HLOOKUP(IF(CODE(FB224)&lt;65,"A+",FB224),SKT,BJ$176+3,FALSE)*IF(VT_EIDGED,0.5,IF(VT_GUTGED,0.75,1)),0),0))</f>
        <v>0</v>
      </c>
      <c r="BK224" s="154">
        <f t="shared" ref="BK224:BK245" ca="1" si="800">IF(FC224=0,0,IF(AND(NOT(ISBLANK($J224)),SUM($B224,$H224)&lt;BK$176,SUM($B224,$H224,$J224)&gt;=BK$176),
ROUND(HLOOKUP(IF(CODE(FC224)&lt;65,"A+",FC224),SKT,BK$176+3,FALSE)*IF(VT_EIDGED,0.5,IF(VT_GUTGED,0.75,1)),0),0))</f>
        <v>0</v>
      </c>
      <c r="BL224" s="154">
        <f t="shared" ref="BL224:BL245" ca="1" si="801">IF(FD224=0,0,IF(AND(NOT(ISBLANK($J224)),SUM($B224,$H224)&lt;BL$176,SUM($B224,$H224,$J224)&gt;=BL$176),
ROUND(HLOOKUP(IF(CODE(FD224)&lt;65,"A+",FD224),SKT,BL$176+3,FALSE)*IF(VT_EIDGED,0.5,IF(VT_GUTGED,0.75,1)),0),0))</f>
        <v>0</v>
      </c>
      <c r="BM224" s="154">
        <f t="shared" ref="BM224:BM245" ca="1" si="802">IF(FE224=0,0,IF(AND(NOT(ISBLANK($J224)),SUM($B224,$H224)&lt;BM$176,SUM($B224,$H224,$J224)&gt;=BM$176),
ROUND(HLOOKUP(IF(CODE(FE224)&lt;65,"A+",FE224),SKT,BM$176+3,FALSE)*IF(VT_EIDGED,0.5,IF(VT_GUTGED,0.75,1)),0),0))</f>
        <v>0</v>
      </c>
      <c r="BN224" s="1198">
        <f>BN222+1</f>
        <v>228</v>
      </c>
      <c r="BO224" s="1197" t="str">
        <f t="shared" ref="BO224:BO245" si="803">$A224</f>
        <v>L/S: Altes Alaani</v>
      </c>
      <c r="BP224" s="1197" t="str">
        <f t="shared" ref="BP224:BP245" ca="1" si="804">IF(CC224&lt;65,"A+",IF(CC224&gt;72,"H",CHAR(CC224)))</f>
        <v>A</v>
      </c>
      <c r="BQ224" s="1197">
        <v>1</v>
      </c>
      <c r="BR224" s="1198" t="str">
        <f ca="1">IF(EXACT($B224,""),$BR222,CONCATENATE($BR222,$A224))</f>
        <v/>
      </c>
      <c r="BS224" s="1198" t="s">
        <v>3848</v>
      </c>
      <c r="BT224" s="78"/>
      <c r="BU224" s="78"/>
      <c r="BV224" s="78"/>
      <c r="BW224" s="1197">
        <f t="shared" ca="1" si="721"/>
        <v>0</v>
      </c>
      <c r="BX224" s="1197">
        <f t="shared" ref="BX224:BX245" ca="1" si="805">HLOOKUP(PROFGENE,INDIRECT(PROFGEBIET),$BN224,FALSE)</f>
        <v>0</v>
      </c>
      <c r="BY224" s="1197">
        <f t="shared" ref="BY224:BY245" ca="1" si="806">IF(LEN(PROFZWEITE)&lt;1,0,HLOOKUP(PROFZWEITE,INDIRECT(PROFGEBIET2),$BN224,FALSE))</f>
        <v>0</v>
      </c>
      <c r="BZ224" s="1081">
        <f t="shared" ref="BZ224:BZ245" ca="1" si="807">IF(AND(ISNA(VLOOKUP($A$176,UNFAEH,1,FALSE)),ISERR(FIND($A$176,GEW_UNFAEH,1))),0,1)</f>
        <v>0</v>
      </c>
      <c r="CA224" s="1081">
        <f t="shared" ref="CA224:CA245" ca="1" si="808">IF(AND(ISNA(VLOOKUP($A$176,BEGABG,1,FALSE)),ISERR(FIND($A$176,GEW_BEGABUNG,1))),0,-1)</f>
        <v>0</v>
      </c>
      <c r="CB224" s="1081">
        <f ca="1">CC224</f>
        <v>65</v>
      </c>
      <c r="CC224" s="1081">
        <f t="shared" ref="CC224:CC245" ca="1" si="809">CODE(INDEX(SCHRIFTENKOMP,$BQ224,2))+BZ224+CA224+CD224</f>
        <v>65</v>
      </c>
      <c r="CD224" s="1081">
        <f t="shared" ref="CD224:CD235" si="810">IF(RIGHT(D224)="L",0,
IF(NT_ELFWELT,1,0))</f>
        <v>0</v>
      </c>
      <c r="CE224" s="1081"/>
      <c r="CF224" s="1081"/>
      <c r="CG224" s="1081"/>
      <c r="CH224" s="1198"/>
      <c r="CI224" s="1081"/>
      <c r="CJ224" s="78"/>
      <c r="CK224" s="78"/>
      <c r="CL224" s="78"/>
      <c r="CM224" s="78"/>
      <c r="CN224" s="1081">
        <f t="shared" ca="1" si="725"/>
        <v>0</v>
      </c>
      <c r="CO224" s="1081">
        <f t="shared" ref="CO224:CO245" ca="1" si="811">SUM(P224:AM224)-IF(OR(VT_VETERAN,VT_BBILDUNG),CP224,0)</f>
        <v>0</v>
      </c>
      <c r="CP224" s="1081">
        <f t="shared" ca="1" si="726"/>
        <v>0</v>
      </c>
      <c r="DJ224" s="301" t="str">
        <f t="shared" ref="DJ224:DS233" ca="1" si="812">IF(ISERR(FIND(";"&amp;DJ$176&amp;":0;",$E224)),
CHAR($CB224+SUM(IF(ISERR(FIND(";"&amp;DJ$176&amp;";",$F224)),0,-1),IF(OR(VT_AKADGEL,VT_AKADMAG),IF(DJ$176&lt;$EF224+1,-1,0),0),IF(ISERR(FIND(";"&amp;DJ$176&amp;":",$E224)),0,-VALUE(MID($E224,FIND(";"&amp;DJ$176&amp;":",$E224)+LEN(DJ$176)+2,1))))),0)</f>
        <v>A</v>
      </c>
      <c r="DK224" s="301" t="str">
        <f t="shared" ca="1" si="812"/>
        <v>A</v>
      </c>
      <c r="DL224" s="301" t="str">
        <f t="shared" ca="1" si="812"/>
        <v>A</v>
      </c>
      <c r="DM224" s="301" t="str">
        <f t="shared" ca="1" si="812"/>
        <v>A</v>
      </c>
      <c r="DN224" s="301" t="str">
        <f t="shared" ca="1" si="812"/>
        <v>A</v>
      </c>
      <c r="DO224" s="301" t="str">
        <f t="shared" ca="1" si="812"/>
        <v>A</v>
      </c>
      <c r="DP224" s="301" t="str">
        <f t="shared" ca="1" si="812"/>
        <v>A</v>
      </c>
      <c r="DQ224" s="301" t="str">
        <f t="shared" ca="1" si="812"/>
        <v>A</v>
      </c>
      <c r="DR224" s="301" t="str">
        <f t="shared" ca="1" si="812"/>
        <v>A</v>
      </c>
      <c r="DS224" s="301" t="str">
        <f t="shared" ca="1" si="812"/>
        <v>A</v>
      </c>
      <c r="DT224" s="301" t="str">
        <f t="shared" ref="DT224:EE233" ca="1" si="813">IF(ISERR(FIND(";"&amp;DT$176&amp;":0;",$E224)),
CHAR($CB224+SUM(IF(ISERR(FIND(";"&amp;DT$176&amp;";",$F224)),0,-1),IF(OR(VT_AKADGEL,VT_AKADMAG),IF(DT$176&lt;$EF224+1,-1,0),0),IF(ISERR(FIND(";"&amp;DT$176&amp;":",$E224)),0,-VALUE(MID($E224,FIND(";"&amp;DT$176&amp;":",$E224)+LEN(DT$176)+2,1))))),0)</f>
        <v>A</v>
      </c>
      <c r="DU224" s="301" t="str">
        <f t="shared" ca="1" si="813"/>
        <v>A</v>
      </c>
      <c r="DV224" s="301" t="str">
        <f t="shared" ca="1" si="813"/>
        <v>A</v>
      </c>
      <c r="DW224" s="301" t="str">
        <f t="shared" ca="1" si="813"/>
        <v>A</v>
      </c>
      <c r="DX224" s="301" t="str">
        <f t="shared" ca="1" si="813"/>
        <v>A</v>
      </c>
      <c r="DY224" s="301" t="str">
        <f t="shared" ca="1" si="813"/>
        <v>A</v>
      </c>
      <c r="DZ224" s="301" t="str">
        <f t="shared" ca="1" si="813"/>
        <v>A</v>
      </c>
      <c r="EA224" s="301" t="str">
        <f t="shared" ca="1" si="813"/>
        <v>A</v>
      </c>
      <c r="EB224" s="301" t="str">
        <f t="shared" ca="1" si="813"/>
        <v>A</v>
      </c>
      <c r="EC224" s="301" t="str">
        <f t="shared" ca="1" si="813"/>
        <v>A</v>
      </c>
      <c r="ED224" s="301" t="str">
        <f t="shared" ca="1" si="813"/>
        <v>A</v>
      </c>
      <c r="EE224" s="301" t="str">
        <f t="shared" ca="1" si="813"/>
        <v>A</v>
      </c>
      <c r="EF224" s="301">
        <f t="shared" ref="EF224:EF245" si="814">IF(OR(VT_AKADGEL,VT_AKADMAG),IF(OR(VT_VETERAN,AND(BY224&lt;&gt;0,VT_BBILDUNG)),15,10),0)</f>
        <v>0</v>
      </c>
      <c r="EG224" s="1426" t="str">
        <f t="shared" ref="EG224:EV226" ca="1" si="815">IF(ISERR(FIND(";"&amp;EG$176&amp;":0;",$E224)),
CHAR($CC224+SUM(IF(ISERR(FIND(";"&amp;EG$176&amp;";",$E224)),0,-1),
IF(ISERR(FIND(";"&amp;EG$176&amp;":",$E224)),0,-VALUE(MID($E224,FIND(";"&amp;EG$176&amp;":",$E224)+LEN(EG$176)+2,1))),
IF(ISERR(FIND(";"&amp;EG$176&amp;"+",$E224)),0,VALUE(MID($E224,FIND(";"&amp;EG$176&amp;"+",$E224)+LEN(EG$176)+2,1))),
)),0)</f>
        <v>A</v>
      </c>
      <c r="EH224" s="1429" t="str">
        <f t="shared" ca="1" si="815"/>
        <v>A</v>
      </c>
      <c r="EI224" s="1429" t="str">
        <f t="shared" ca="1" si="815"/>
        <v>A</v>
      </c>
      <c r="EJ224" s="1429" t="str">
        <f t="shared" ca="1" si="815"/>
        <v>A</v>
      </c>
      <c r="EK224" s="1429" t="str">
        <f t="shared" ca="1" si="815"/>
        <v>A</v>
      </c>
      <c r="EL224" s="1429" t="str">
        <f t="shared" ca="1" si="815"/>
        <v>A</v>
      </c>
      <c r="EM224" s="1429" t="str">
        <f t="shared" ca="1" si="815"/>
        <v>A</v>
      </c>
      <c r="EN224" s="1429" t="str">
        <f t="shared" ca="1" si="815"/>
        <v>A</v>
      </c>
      <c r="EO224" s="1429" t="str">
        <f t="shared" ca="1" si="815"/>
        <v>A</v>
      </c>
      <c r="EP224" s="1429" t="str">
        <f t="shared" ca="1" si="815"/>
        <v>A</v>
      </c>
      <c r="EQ224" s="1429" t="str">
        <f t="shared" ca="1" si="815"/>
        <v>A</v>
      </c>
      <c r="ER224" s="1429" t="str">
        <f t="shared" ca="1" si="815"/>
        <v>A</v>
      </c>
      <c r="ES224" s="1429" t="str">
        <f t="shared" ca="1" si="815"/>
        <v>A</v>
      </c>
      <c r="ET224" s="1429" t="str">
        <f t="shared" ca="1" si="815"/>
        <v>A</v>
      </c>
      <c r="EU224" s="1429" t="str">
        <f t="shared" ca="1" si="815"/>
        <v>A</v>
      </c>
      <c r="EV224" s="1429" t="str">
        <f t="shared" ca="1" si="815"/>
        <v>A</v>
      </c>
      <c r="EW224" s="1429" t="str">
        <f t="shared" ca="1" si="748"/>
        <v>A</v>
      </c>
      <c r="EX224" s="1429" t="str">
        <f t="shared" ca="1" si="748"/>
        <v>A</v>
      </c>
      <c r="EY224" s="1429" t="str">
        <f t="shared" ca="1" si="748"/>
        <v>A</v>
      </c>
      <c r="EZ224" s="1429" t="str">
        <f t="shared" ca="1" si="748"/>
        <v>A</v>
      </c>
      <c r="FA224" s="1429" t="str">
        <f t="shared" ca="1" si="748"/>
        <v>A</v>
      </c>
      <c r="FB224" s="1429" t="str">
        <f t="shared" ca="1" si="748"/>
        <v>A</v>
      </c>
      <c r="FC224" s="1429" t="str">
        <f t="shared" ca="1" si="748"/>
        <v>A</v>
      </c>
      <c r="FD224" s="1429" t="str">
        <f t="shared" ca="1" si="748"/>
        <v>A</v>
      </c>
      <c r="FE224" s="1429" t="str">
        <f t="shared" ca="1" si="748"/>
        <v>A</v>
      </c>
      <c r="FF224" s="1429" t="str">
        <f t="shared" ca="1" si="748"/>
        <v>A</v>
      </c>
      <c r="FG224" s="1429" t="str">
        <f t="shared" ca="1" si="748"/>
        <v>A</v>
      </c>
      <c r="FH224" s="1429" t="str">
        <f t="shared" ca="1" si="748"/>
        <v>A</v>
      </c>
      <c r="FI224" s="1429" t="str">
        <f t="shared" ca="1" si="748"/>
        <v>A</v>
      </c>
      <c r="FJ224" s="1429" t="str">
        <f t="shared" ca="1" si="748"/>
        <v>A</v>
      </c>
      <c r="FK224" s="1429" t="str">
        <f t="shared" ca="1" si="748"/>
        <v>A</v>
      </c>
      <c r="FL224" s="1429" t="str">
        <f t="shared" ca="1" si="748"/>
        <v>A</v>
      </c>
    </row>
    <row r="225" spans="1:168" x14ac:dyDescent="0.2">
      <c r="A225" s="62" t="str">
        <f t="shared" si="749"/>
        <v>L/S: Amulashtra (mod./hist.)</v>
      </c>
      <c r="B225" s="317" t="str">
        <f t="shared" ca="1" si="750"/>
        <v/>
      </c>
      <c r="C225" s="332" t="str">
        <f ca="1">IF(AND(EXACT($F225,""),EXACT($G225,"")),IF(OR(NOT(ISBLANK(D225)),NOT(EXACT(HLOOKUP(RASSEGENE,RASSE,$BN225,FALSE),"")),NOT(EXACT(HLOOKUP(KULTURGENE,KULTUR,$BN225,FALSE),"")),NOT(EXACT(HLOOKUP(PROFGENE,INDIRECT(PROFGEBIET),$BN225,FALSE),"")),
IF(LEN(PROFZWEITE)&lt;1,FALSE,NOT(EXACT(HLOOKUP(Generierung!$D$12,INDIRECT(PROFGEBIET2),$BN225,FALSE),"")))
),"x",""),"")</f>
        <v/>
      </c>
      <c r="D225" s="1110"/>
      <c r="E225" s="325"/>
      <c r="F225" s="388" t="str">
        <f t="shared" ca="1" si="751"/>
        <v/>
      </c>
      <c r="G225" s="388" t="str">
        <f t="shared" ca="1" si="752"/>
        <v/>
      </c>
      <c r="H225" s="389"/>
      <c r="I225" s="1196"/>
      <c r="J225" s="326"/>
      <c r="O225" s="514" t="str">
        <f t="shared" ca="1" si="753"/>
        <v/>
      </c>
      <c r="P225" s="164">
        <f t="shared" ca="1" si="754"/>
        <v>0</v>
      </c>
      <c r="Q225" s="164">
        <f t="shared" ca="1" si="755"/>
        <v>0</v>
      </c>
      <c r="R225" s="164">
        <f t="shared" ca="1" si="756"/>
        <v>0</v>
      </c>
      <c r="S225" s="164">
        <f t="shared" ca="1" si="757"/>
        <v>0</v>
      </c>
      <c r="T225" s="164">
        <f t="shared" ca="1" si="758"/>
        <v>0</v>
      </c>
      <c r="U225" s="164">
        <f t="shared" ca="1" si="759"/>
        <v>0</v>
      </c>
      <c r="V225" s="164">
        <f t="shared" ca="1" si="760"/>
        <v>0</v>
      </c>
      <c r="W225" s="164">
        <f t="shared" ca="1" si="761"/>
        <v>0</v>
      </c>
      <c r="X225" s="164">
        <f t="shared" ca="1" si="762"/>
        <v>0</v>
      </c>
      <c r="Y225" s="164">
        <f t="shared" ca="1" si="763"/>
        <v>0</v>
      </c>
      <c r="Z225" s="164">
        <f t="shared" ca="1" si="764"/>
        <v>0</v>
      </c>
      <c r="AA225" s="164">
        <f t="shared" ca="1" si="765"/>
        <v>0</v>
      </c>
      <c r="AB225" s="164">
        <f t="shared" ca="1" si="766"/>
        <v>0</v>
      </c>
      <c r="AC225" s="164">
        <f t="shared" ca="1" si="767"/>
        <v>0</v>
      </c>
      <c r="AD225" s="164">
        <f t="shared" ca="1" si="768"/>
        <v>0</v>
      </c>
      <c r="AE225" s="164">
        <f t="shared" ca="1" si="769"/>
        <v>0</v>
      </c>
      <c r="AF225" s="164">
        <f t="shared" ca="1" si="770"/>
        <v>0</v>
      </c>
      <c r="AG225" s="164">
        <f t="shared" ca="1" si="771"/>
        <v>0</v>
      </c>
      <c r="AH225" s="164">
        <f t="shared" ca="1" si="772"/>
        <v>0</v>
      </c>
      <c r="AI225" s="164">
        <f t="shared" ca="1" si="773"/>
        <v>0</v>
      </c>
      <c r="AJ225" s="164">
        <f t="shared" ca="1" si="774"/>
        <v>0</v>
      </c>
      <c r="AK225" s="164">
        <f t="shared" ca="1" si="775"/>
        <v>0</v>
      </c>
      <c r="AL225" s="164">
        <f t="shared" si="776"/>
        <v>0</v>
      </c>
      <c r="AM225" s="164">
        <f t="shared" ca="1" si="777"/>
        <v>0</v>
      </c>
      <c r="AN225" s="205"/>
      <c r="AO225" s="154">
        <f t="shared" ca="1" si="778"/>
        <v>0</v>
      </c>
      <c r="AP225" s="154">
        <f t="shared" ca="1" si="779"/>
        <v>0</v>
      </c>
      <c r="AQ225" s="154">
        <f t="shared" ca="1" si="780"/>
        <v>0</v>
      </c>
      <c r="AR225" s="154">
        <f t="shared" ca="1" si="781"/>
        <v>0</v>
      </c>
      <c r="AS225" s="154">
        <f t="shared" ca="1" si="782"/>
        <v>0</v>
      </c>
      <c r="AT225" s="154">
        <f t="shared" ca="1" si="783"/>
        <v>0</v>
      </c>
      <c r="AU225" s="154">
        <f t="shared" ca="1" si="784"/>
        <v>0</v>
      </c>
      <c r="AV225" s="154">
        <f t="shared" ca="1" si="785"/>
        <v>0</v>
      </c>
      <c r="AW225" s="154">
        <f t="shared" ca="1" si="786"/>
        <v>0</v>
      </c>
      <c r="AX225" s="154">
        <f t="shared" ca="1" si="787"/>
        <v>0</v>
      </c>
      <c r="AY225" s="154">
        <f t="shared" ca="1" si="788"/>
        <v>0</v>
      </c>
      <c r="AZ225" s="154">
        <f t="shared" ca="1" si="789"/>
        <v>0</v>
      </c>
      <c r="BA225" s="154">
        <f t="shared" ca="1" si="790"/>
        <v>0</v>
      </c>
      <c r="BB225" s="154">
        <f t="shared" ca="1" si="791"/>
        <v>0</v>
      </c>
      <c r="BC225" s="154">
        <f t="shared" ca="1" si="792"/>
        <v>0</v>
      </c>
      <c r="BD225" s="154">
        <f t="shared" ca="1" si="793"/>
        <v>0</v>
      </c>
      <c r="BE225" s="154">
        <f t="shared" ca="1" si="794"/>
        <v>0</v>
      </c>
      <c r="BF225" s="154">
        <f t="shared" ca="1" si="795"/>
        <v>0</v>
      </c>
      <c r="BG225" s="154">
        <f t="shared" ca="1" si="796"/>
        <v>0</v>
      </c>
      <c r="BH225" s="154">
        <f t="shared" ca="1" si="797"/>
        <v>0</v>
      </c>
      <c r="BI225" s="154">
        <f t="shared" ca="1" si="798"/>
        <v>0</v>
      </c>
      <c r="BJ225" s="154">
        <f t="shared" ca="1" si="799"/>
        <v>0</v>
      </c>
      <c r="BK225" s="154">
        <f t="shared" ca="1" si="800"/>
        <v>0</v>
      </c>
      <c r="BL225" s="154">
        <f t="shared" ca="1" si="801"/>
        <v>0</v>
      </c>
      <c r="BM225" s="154">
        <f t="shared" ca="1" si="802"/>
        <v>0</v>
      </c>
      <c r="BN225" s="1198">
        <f t="shared" ref="BN225:BN245" si="816">BN224+1</f>
        <v>229</v>
      </c>
      <c r="BO225" s="1197" t="str">
        <f t="shared" si="803"/>
        <v>L/S: Amulashtra (mod./hist.)</v>
      </c>
      <c r="BP225" s="1197" t="str">
        <f t="shared" ca="1" si="804"/>
        <v>A</v>
      </c>
      <c r="BQ225" s="1197">
        <f>BQ224+1</f>
        <v>2</v>
      </c>
      <c r="BR225" s="1198" t="str">
        <f t="shared" ref="BR225:BR245" ca="1" si="817">IF(EXACT($B225,""),$BR224,CONCATENATE($BR224,$A225))</f>
        <v/>
      </c>
      <c r="BS225" s="1198" t="s">
        <v>2779</v>
      </c>
      <c r="BT225" s="78"/>
      <c r="BU225" s="78"/>
      <c r="BV225" s="78"/>
      <c r="BW225" s="1197">
        <f t="shared" ref="BW225:BW245" ca="1" si="818">SUM(IF(ISERROR(VALUE(BX225)),0,BX225),
IF(ISERROR(FIND("L",D225,1)),IF(ISNUMBER(D225),D225,0),LEFT(D225,LEN(D225)-1)))</f>
        <v>0</v>
      </c>
      <c r="BX225" s="1197">
        <f t="shared" ca="1" si="805"/>
        <v>0</v>
      </c>
      <c r="BY225" s="1197">
        <f t="shared" ca="1" si="806"/>
        <v>0</v>
      </c>
      <c r="BZ225" s="1081">
        <f t="shared" ca="1" si="807"/>
        <v>0</v>
      </c>
      <c r="CA225" s="1081">
        <f t="shared" ca="1" si="808"/>
        <v>0</v>
      </c>
      <c r="CB225" s="1081">
        <f t="shared" ref="CB225:CB245" ca="1" si="819">CC225</f>
        <v>65</v>
      </c>
      <c r="CC225" s="1081">
        <f t="shared" ca="1" si="809"/>
        <v>65</v>
      </c>
      <c r="CD225" s="1081">
        <f t="shared" si="810"/>
        <v>0</v>
      </c>
      <c r="CE225" s="78"/>
      <c r="CF225" s="78"/>
      <c r="CG225" s="78"/>
      <c r="CH225" s="154"/>
      <c r="CI225" s="78"/>
      <c r="CJ225" s="78"/>
      <c r="CK225" s="78"/>
      <c r="CL225" s="78"/>
      <c r="CM225" s="78"/>
      <c r="CN225" s="1081">
        <f t="shared" ca="1" si="725"/>
        <v>0</v>
      </c>
      <c r="CO225" s="1081">
        <f t="shared" ca="1" si="811"/>
        <v>0</v>
      </c>
      <c r="CP225" s="1081">
        <f t="shared" ca="1" si="726"/>
        <v>0</v>
      </c>
      <c r="DJ225" s="301" t="str">
        <f t="shared" ca="1" si="812"/>
        <v>A</v>
      </c>
      <c r="DK225" s="301" t="str">
        <f t="shared" ca="1" si="812"/>
        <v>A</v>
      </c>
      <c r="DL225" s="301" t="str">
        <f t="shared" ca="1" si="812"/>
        <v>A</v>
      </c>
      <c r="DM225" s="301" t="str">
        <f t="shared" ca="1" si="812"/>
        <v>A</v>
      </c>
      <c r="DN225" s="301" t="str">
        <f t="shared" ca="1" si="812"/>
        <v>A</v>
      </c>
      <c r="DO225" s="301" t="str">
        <f t="shared" ca="1" si="812"/>
        <v>A</v>
      </c>
      <c r="DP225" s="301" t="str">
        <f t="shared" ca="1" si="812"/>
        <v>A</v>
      </c>
      <c r="DQ225" s="301" t="str">
        <f t="shared" ca="1" si="812"/>
        <v>A</v>
      </c>
      <c r="DR225" s="301" t="str">
        <f t="shared" ca="1" si="812"/>
        <v>A</v>
      </c>
      <c r="DS225" s="301" t="str">
        <f t="shared" ca="1" si="812"/>
        <v>A</v>
      </c>
      <c r="DT225" s="301" t="str">
        <f t="shared" ca="1" si="813"/>
        <v>A</v>
      </c>
      <c r="DU225" s="301" t="str">
        <f t="shared" ca="1" si="813"/>
        <v>A</v>
      </c>
      <c r="DV225" s="301" t="str">
        <f t="shared" ca="1" si="813"/>
        <v>A</v>
      </c>
      <c r="DW225" s="301" t="str">
        <f t="shared" ca="1" si="813"/>
        <v>A</v>
      </c>
      <c r="DX225" s="301" t="str">
        <f t="shared" ca="1" si="813"/>
        <v>A</v>
      </c>
      <c r="DY225" s="301" t="str">
        <f t="shared" ca="1" si="813"/>
        <v>A</v>
      </c>
      <c r="DZ225" s="301" t="str">
        <f t="shared" ca="1" si="813"/>
        <v>A</v>
      </c>
      <c r="EA225" s="301" t="str">
        <f t="shared" ca="1" si="813"/>
        <v>A</v>
      </c>
      <c r="EB225" s="301" t="str">
        <f t="shared" ca="1" si="813"/>
        <v>A</v>
      </c>
      <c r="EC225" s="301" t="str">
        <f t="shared" ca="1" si="813"/>
        <v>A</v>
      </c>
      <c r="ED225" s="301" t="str">
        <f t="shared" ca="1" si="813"/>
        <v>A</v>
      </c>
      <c r="EE225" s="301" t="str">
        <f t="shared" ca="1" si="813"/>
        <v>A</v>
      </c>
      <c r="EF225" s="301">
        <f t="shared" si="814"/>
        <v>0</v>
      </c>
      <c r="EG225" s="1426" t="str">
        <f t="shared" ca="1" si="815"/>
        <v>A</v>
      </c>
      <c r="EH225" s="1429" t="str">
        <f t="shared" ca="1" si="815"/>
        <v>A</v>
      </c>
      <c r="EI225" s="1429" t="str">
        <f t="shared" ca="1" si="815"/>
        <v>A</v>
      </c>
      <c r="EJ225" s="1429" t="str">
        <f t="shared" ca="1" si="815"/>
        <v>A</v>
      </c>
      <c r="EK225" s="1429" t="str">
        <f t="shared" ca="1" si="815"/>
        <v>A</v>
      </c>
      <c r="EL225" s="1429" t="str">
        <f t="shared" ca="1" si="815"/>
        <v>A</v>
      </c>
      <c r="EM225" s="1429" t="str">
        <f t="shared" ca="1" si="815"/>
        <v>A</v>
      </c>
      <c r="EN225" s="1429" t="str">
        <f t="shared" ca="1" si="815"/>
        <v>A</v>
      </c>
      <c r="EO225" s="1429" t="str">
        <f t="shared" ca="1" si="815"/>
        <v>A</v>
      </c>
      <c r="EP225" s="1429" t="str">
        <f t="shared" ca="1" si="815"/>
        <v>A</v>
      </c>
      <c r="EQ225" s="1429" t="str">
        <f t="shared" ca="1" si="815"/>
        <v>A</v>
      </c>
      <c r="ER225" s="1429" t="str">
        <f t="shared" ca="1" si="815"/>
        <v>A</v>
      </c>
      <c r="ES225" s="1429" t="str">
        <f t="shared" ca="1" si="815"/>
        <v>A</v>
      </c>
      <c r="ET225" s="1429" t="str">
        <f t="shared" ca="1" si="815"/>
        <v>A</v>
      </c>
      <c r="EU225" s="1429" t="str">
        <f t="shared" ca="1" si="815"/>
        <v>A</v>
      </c>
      <c r="EV225" s="1429" t="str">
        <f t="shared" ca="1" si="815"/>
        <v>A</v>
      </c>
      <c r="EW225" s="1429" t="str">
        <f t="shared" ca="1" si="748"/>
        <v>A</v>
      </c>
      <c r="EX225" s="1429" t="str">
        <f t="shared" ca="1" si="748"/>
        <v>A</v>
      </c>
      <c r="EY225" s="1429" t="str">
        <f t="shared" ca="1" si="748"/>
        <v>A</v>
      </c>
      <c r="EZ225" s="1429" t="str">
        <f t="shared" ca="1" si="748"/>
        <v>A</v>
      </c>
      <c r="FA225" s="1429" t="str">
        <f t="shared" ca="1" si="748"/>
        <v>A</v>
      </c>
      <c r="FB225" s="1429" t="str">
        <f t="shared" ca="1" si="748"/>
        <v>A</v>
      </c>
      <c r="FC225" s="1429" t="str">
        <f t="shared" ca="1" si="748"/>
        <v>A</v>
      </c>
      <c r="FD225" s="1429" t="str">
        <f t="shared" ca="1" si="748"/>
        <v>A</v>
      </c>
      <c r="FE225" s="1429" t="str">
        <f t="shared" ca="1" si="748"/>
        <v>A</v>
      </c>
      <c r="FF225" s="1429" t="str">
        <f t="shared" ca="1" si="748"/>
        <v>A</v>
      </c>
      <c r="FG225" s="1429" t="str">
        <f t="shared" ca="1" si="748"/>
        <v>A</v>
      </c>
      <c r="FH225" s="1429" t="str">
        <f t="shared" ca="1" si="748"/>
        <v>A</v>
      </c>
      <c r="FI225" s="1429" t="str">
        <f t="shared" ca="1" si="748"/>
        <v>A</v>
      </c>
      <c r="FJ225" s="1429" t="str">
        <f t="shared" ca="1" si="748"/>
        <v>A</v>
      </c>
      <c r="FK225" s="1429" t="str">
        <f t="shared" ca="1" si="748"/>
        <v>A</v>
      </c>
      <c r="FL225" s="1429" t="str">
        <f t="shared" ca="1" si="748"/>
        <v>A</v>
      </c>
    </row>
    <row r="226" spans="1:168" x14ac:dyDescent="0.2">
      <c r="A226" s="62" t="str">
        <f t="shared" si="749"/>
        <v>L/S: Angram</v>
      </c>
      <c r="B226" s="317" t="str">
        <f t="shared" ca="1" si="750"/>
        <v/>
      </c>
      <c r="C226" s="332" t="str">
        <f ca="1">IF(AND(EXACT($F226,""),EXACT($G226,"")),IF(OR(NOT(ISBLANK(D226)),NOT(EXACT(HLOOKUP(RASSEGENE,RASSE,$BN226,FALSE),"")),NOT(EXACT(HLOOKUP(KULTURGENE,KULTUR,$BN226,FALSE),"")),NOT(EXACT(HLOOKUP(PROFGENE,INDIRECT(PROFGEBIET),$BN226,FALSE),"")),
IF(LEN(PROFZWEITE)&lt;1,FALSE,NOT(EXACT(HLOOKUP(Generierung!$D$12,INDIRECT(PROFGEBIET2),$BN226,FALSE),"")))
),"x",""),"")</f>
        <v/>
      </c>
      <c r="D226" s="1110"/>
      <c r="E226" s="325"/>
      <c r="F226" s="388" t="str">
        <f t="shared" ca="1" si="751"/>
        <v/>
      </c>
      <c r="G226" s="388" t="str">
        <f t="shared" ca="1" si="752"/>
        <v/>
      </c>
      <c r="H226" s="389"/>
      <c r="I226" s="1196"/>
      <c r="J226" s="326"/>
      <c r="O226" s="514" t="str">
        <f t="shared" ca="1" si="753"/>
        <v/>
      </c>
      <c r="P226" s="164">
        <f t="shared" ca="1" si="754"/>
        <v>0</v>
      </c>
      <c r="Q226" s="164">
        <f t="shared" ca="1" si="755"/>
        <v>0</v>
      </c>
      <c r="R226" s="164">
        <f t="shared" ca="1" si="756"/>
        <v>0</v>
      </c>
      <c r="S226" s="164">
        <f t="shared" ca="1" si="757"/>
        <v>0</v>
      </c>
      <c r="T226" s="164">
        <f t="shared" ca="1" si="758"/>
        <v>0</v>
      </c>
      <c r="U226" s="164">
        <f t="shared" ca="1" si="759"/>
        <v>0</v>
      </c>
      <c r="V226" s="164">
        <f t="shared" ca="1" si="760"/>
        <v>0</v>
      </c>
      <c r="W226" s="164">
        <f t="shared" ca="1" si="761"/>
        <v>0</v>
      </c>
      <c r="X226" s="164">
        <f t="shared" ca="1" si="762"/>
        <v>0</v>
      </c>
      <c r="Y226" s="164">
        <f t="shared" ca="1" si="763"/>
        <v>0</v>
      </c>
      <c r="Z226" s="164">
        <f t="shared" ca="1" si="764"/>
        <v>0</v>
      </c>
      <c r="AA226" s="164">
        <f t="shared" ca="1" si="765"/>
        <v>0</v>
      </c>
      <c r="AB226" s="164">
        <f t="shared" ca="1" si="766"/>
        <v>0</v>
      </c>
      <c r="AC226" s="164">
        <f t="shared" ca="1" si="767"/>
        <v>0</v>
      </c>
      <c r="AD226" s="164">
        <f t="shared" ca="1" si="768"/>
        <v>0</v>
      </c>
      <c r="AE226" s="164">
        <f t="shared" ca="1" si="769"/>
        <v>0</v>
      </c>
      <c r="AF226" s="164">
        <f t="shared" ca="1" si="770"/>
        <v>0</v>
      </c>
      <c r="AG226" s="164">
        <f t="shared" ca="1" si="771"/>
        <v>0</v>
      </c>
      <c r="AH226" s="164">
        <f t="shared" ca="1" si="772"/>
        <v>0</v>
      </c>
      <c r="AI226" s="164">
        <f t="shared" ca="1" si="773"/>
        <v>0</v>
      </c>
      <c r="AJ226" s="164">
        <f t="shared" ca="1" si="774"/>
        <v>0</v>
      </c>
      <c r="AK226" s="164">
        <f t="shared" ca="1" si="775"/>
        <v>0</v>
      </c>
      <c r="AL226" s="164">
        <f t="shared" si="776"/>
        <v>0</v>
      </c>
      <c r="AM226" s="164">
        <f t="shared" ca="1" si="777"/>
        <v>0</v>
      </c>
      <c r="AN226" s="205"/>
      <c r="AO226" s="154">
        <f t="shared" ca="1" si="778"/>
        <v>0</v>
      </c>
      <c r="AP226" s="154">
        <f t="shared" ca="1" si="779"/>
        <v>0</v>
      </c>
      <c r="AQ226" s="154">
        <f t="shared" ca="1" si="780"/>
        <v>0</v>
      </c>
      <c r="AR226" s="154">
        <f t="shared" ca="1" si="781"/>
        <v>0</v>
      </c>
      <c r="AS226" s="154">
        <f t="shared" ca="1" si="782"/>
        <v>0</v>
      </c>
      <c r="AT226" s="154">
        <f t="shared" ca="1" si="783"/>
        <v>0</v>
      </c>
      <c r="AU226" s="154">
        <f t="shared" ca="1" si="784"/>
        <v>0</v>
      </c>
      <c r="AV226" s="154">
        <f t="shared" ca="1" si="785"/>
        <v>0</v>
      </c>
      <c r="AW226" s="154">
        <f t="shared" ca="1" si="786"/>
        <v>0</v>
      </c>
      <c r="AX226" s="154">
        <f t="shared" ca="1" si="787"/>
        <v>0</v>
      </c>
      <c r="AY226" s="154">
        <f t="shared" ca="1" si="788"/>
        <v>0</v>
      </c>
      <c r="AZ226" s="154">
        <f t="shared" ca="1" si="789"/>
        <v>0</v>
      </c>
      <c r="BA226" s="154">
        <f t="shared" ca="1" si="790"/>
        <v>0</v>
      </c>
      <c r="BB226" s="154">
        <f t="shared" ca="1" si="791"/>
        <v>0</v>
      </c>
      <c r="BC226" s="154">
        <f t="shared" ca="1" si="792"/>
        <v>0</v>
      </c>
      <c r="BD226" s="154">
        <f t="shared" ca="1" si="793"/>
        <v>0</v>
      </c>
      <c r="BE226" s="154">
        <f t="shared" ca="1" si="794"/>
        <v>0</v>
      </c>
      <c r="BF226" s="154">
        <f t="shared" ca="1" si="795"/>
        <v>0</v>
      </c>
      <c r="BG226" s="154">
        <f t="shared" ca="1" si="796"/>
        <v>0</v>
      </c>
      <c r="BH226" s="154">
        <f t="shared" ca="1" si="797"/>
        <v>0</v>
      </c>
      <c r="BI226" s="154">
        <f t="shared" ca="1" si="798"/>
        <v>0</v>
      </c>
      <c r="BJ226" s="154">
        <f t="shared" ca="1" si="799"/>
        <v>0</v>
      </c>
      <c r="BK226" s="154">
        <f t="shared" ca="1" si="800"/>
        <v>0</v>
      </c>
      <c r="BL226" s="154">
        <f t="shared" ca="1" si="801"/>
        <v>0</v>
      </c>
      <c r="BM226" s="154">
        <f t="shared" ca="1" si="802"/>
        <v>0</v>
      </c>
      <c r="BN226" s="1198">
        <f t="shared" si="816"/>
        <v>230</v>
      </c>
      <c r="BO226" s="1197" t="str">
        <f t="shared" si="803"/>
        <v>L/S: Angram</v>
      </c>
      <c r="BP226" s="1197" t="str">
        <f t="shared" ca="1" si="804"/>
        <v>A</v>
      </c>
      <c r="BQ226" s="1197">
        <f t="shared" ref="BQ226:BQ244" si="820">BQ225+1</f>
        <v>3</v>
      </c>
      <c r="BR226" s="1198" t="str">
        <f t="shared" ca="1" si="817"/>
        <v/>
      </c>
      <c r="BS226" s="1198" t="s">
        <v>3849</v>
      </c>
      <c r="BT226" s="78"/>
      <c r="BU226" s="78"/>
      <c r="BV226" s="78"/>
      <c r="BW226" s="1197">
        <f t="shared" ca="1" si="818"/>
        <v>0</v>
      </c>
      <c r="BX226" s="1197">
        <f t="shared" ca="1" si="805"/>
        <v>0</v>
      </c>
      <c r="BY226" s="1197">
        <f t="shared" ca="1" si="806"/>
        <v>0</v>
      </c>
      <c r="BZ226" s="1081">
        <f t="shared" ca="1" si="807"/>
        <v>0</v>
      </c>
      <c r="CA226" s="1081">
        <f t="shared" ca="1" si="808"/>
        <v>0</v>
      </c>
      <c r="CB226" s="1081">
        <f t="shared" ca="1" si="819"/>
        <v>65</v>
      </c>
      <c r="CC226" s="1081">
        <f t="shared" ca="1" si="809"/>
        <v>65</v>
      </c>
      <c r="CD226" s="1081">
        <f t="shared" si="810"/>
        <v>0</v>
      </c>
      <c r="CE226" s="78"/>
      <c r="CF226" s="78"/>
      <c r="CG226" s="78"/>
      <c r="CH226" s="154"/>
      <c r="CI226" s="78"/>
      <c r="CJ226" s="78"/>
      <c r="CK226" s="78"/>
      <c r="CL226" s="78"/>
      <c r="CM226" s="78"/>
      <c r="CN226" s="1081">
        <f t="shared" ca="1" si="725"/>
        <v>0</v>
      </c>
      <c r="CO226" s="1081">
        <f t="shared" ca="1" si="811"/>
        <v>0</v>
      </c>
      <c r="CP226" s="1081">
        <f t="shared" ca="1" si="726"/>
        <v>0</v>
      </c>
      <c r="DJ226" s="301" t="str">
        <f t="shared" ca="1" si="812"/>
        <v>A</v>
      </c>
      <c r="DK226" s="301" t="str">
        <f t="shared" ca="1" si="812"/>
        <v>A</v>
      </c>
      <c r="DL226" s="301" t="str">
        <f t="shared" ca="1" si="812"/>
        <v>A</v>
      </c>
      <c r="DM226" s="301" t="str">
        <f t="shared" ca="1" si="812"/>
        <v>A</v>
      </c>
      <c r="DN226" s="301" t="str">
        <f t="shared" ca="1" si="812"/>
        <v>A</v>
      </c>
      <c r="DO226" s="301" t="str">
        <f t="shared" ca="1" si="812"/>
        <v>A</v>
      </c>
      <c r="DP226" s="301" t="str">
        <f t="shared" ca="1" si="812"/>
        <v>A</v>
      </c>
      <c r="DQ226" s="301" t="str">
        <f t="shared" ca="1" si="812"/>
        <v>A</v>
      </c>
      <c r="DR226" s="301" t="str">
        <f t="shared" ca="1" si="812"/>
        <v>A</v>
      </c>
      <c r="DS226" s="301" t="str">
        <f t="shared" ca="1" si="812"/>
        <v>A</v>
      </c>
      <c r="DT226" s="301" t="str">
        <f t="shared" ca="1" si="813"/>
        <v>A</v>
      </c>
      <c r="DU226" s="301" t="str">
        <f t="shared" ca="1" si="813"/>
        <v>A</v>
      </c>
      <c r="DV226" s="301" t="str">
        <f t="shared" ca="1" si="813"/>
        <v>A</v>
      </c>
      <c r="DW226" s="301" t="str">
        <f t="shared" ca="1" si="813"/>
        <v>A</v>
      </c>
      <c r="DX226" s="301" t="str">
        <f t="shared" ca="1" si="813"/>
        <v>A</v>
      </c>
      <c r="DY226" s="301" t="str">
        <f t="shared" ca="1" si="813"/>
        <v>A</v>
      </c>
      <c r="DZ226" s="301" t="str">
        <f t="shared" ca="1" si="813"/>
        <v>A</v>
      </c>
      <c r="EA226" s="301" t="str">
        <f t="shared" ca="1" si="813"/>
        <v>A</v>
      </c>
      <c r="EB226" s="301" t="str">
        <f t="shared" ca="1" si="813"/>
        <v>A</v>
      </c>
      <c r="EC226" s="301" t="str">
        <f t="shared" ca="1" si="813"/>
        <v>A</v>
      </c>
      <c r="ED226" s="301" t="str">
        <f t="shared" ca="1" si="813"/>
        <v>A</v>
      </c>
      <c r="EE226" s="301" t="str">
        <f t="shared" ca="1" si="813"/>
        <v>A</v>
      </c>
      <c r="EF226" s="301">
        <f t="shared" si="814"/>
        <v>0</v>
      </c>
      <c r="EG226" s="1426" t="str">
        <f t="shared" ca="1" si="815"/>
        <v>A</v>
      </c>
      <c r="EH226" s="1429" t="str">
        <f t="shared" ca="1" si="815"/>
        <v>A</v>
      </c>
      <c r="EI226" s="1429" t="str">
        <f t="shared" ca="1" si="815"/>
        <v>A</v>
      </c>
      <c r="EJ226" s="1429" t="str">
        <f t="shared" ca="1" si="815"/>
        <v>A</v>
      </c>
      <c r="EK226" s="1429" t="str">
        <f t="shared" ca="1" si="815"/>
        <v>A</v>
      </c>
      <c r="EL226" s="1429" t="str">
        <f t="shared" ca="1" si="815"/>
        <v>A</v>
      </c>
      <c r="EM226" s="1429" t="str">
        <f t="shared" ca="1" si="815"/>
        <v>A</v>
      </c>
      <c r="EN226" s="1429" t="str">
        <f t="shared" ca="1" si="815"/>
        <v>A</v>
      </c>
      <c r="EO226" s="1429" t="str">
        <f t="shared" ca="1" si="815"/>
        <v>A</v>
      </c>
      <c r="EP226" s="1429" t="str">
        <f t="shared" ca="1" si="815"/>
        <v>A</v>
      </c>
      <c r="EQ226" s="1429" t="str">
        <f t="shared" ca="1" si="815"/>
        <v>A</v>
      </c>
      <c r="ER226" s="1429" t="str">
        <f t="shared" ca="1" si="815"/>
        <v>A</v>
      </c>
      <c r="ES226" s="1429" t="str">
        <f t="shared" ca="1" si="815"/>
        <v>A</v>
      </c>
      <c r="ET226" s="1429" t="str">
        <f t="shared" ca="1" si="815"/>
        <v>A</v>
      </c>
      <c r="EU226" s="1429" t="str">
        <f t="shared" ca="1" si="815"/>
        <v>A</v>
      </c>
      <c r="EV226" s="1429" t="str">
        <f t="shared" ca="1" si="815"/>
        <v>A</v>
      </c>
      <c r="EW226" s="1429" t="str">
        <f t="shared" ca="1" si="748"/>
        <v>A</v>
      </c>
      <c r="EX226" s="1429" t="str">
        <f t="shared" ca="1" si="748"/>
        <v>A</v>
      </c>
      <c r="EY226" s="1429" t="str">
        <f t="shared" ca="1" si="748"/>
        <v>A</v>
      </c>
      <c r="EZ226" s="1429" t="str">
        <f t="shared" ca="1" si="748"/>
        <v>A</v>
      </c>
      <c r="FA226" s="1429" t="str">
        <f t="shared" ca="1" si="748"/>
        <v>A</v>
      </c>
      <c r="FB226" s="1429" t="str">
        <f t="shared" ca="1" si="748"/>
        <v>A</v>
      </c>
      <c r="FC226" s="1429" t="str">
        <f t="shared" ca="1" si="748"/>
        <v>A</v>
      </c>
      <c r="FD226" s="1429" t="str">
        <f t="shared" ca="1" si="748"/>
        <v>A</v>
      </c>
      <c r="FE226" s="1429" t="str">
        <f t="shared" ca="1" si="748"/>
        <v>A</v>
      </c>
      <c r="FF226" s="1429" t="str">
        <f t="shared" ca="1" si="748"/>
        <v>A</v>
      </c>
      <c r="FG226" s="1429" t="str">
        <f t="shared" ca="1" si="748"/>
        <v>A</v>
      </c>
      <c r="FH226" s="1429" t="str">
        <f t="shared" ca="1" si="748"/>
        <v>A</v>
      </c>
      <c r="FI226" s="1429" t="str">
        <f t="shared" ca="1" si="748"/>
        <v>A</v>
      </c>
      <c r="FJ226" s="1429" t="str">
        <f t="shared" ca="1" si="748"/>
        <v>A</v>
      </c>
      <c r="FK226" s="1429" t="str">
        <f t="shared" ca="1" si="748"/>
        <v>A</v>
      </c>
      <c r="FL226" s="1429" t="str">
        <f t="shared" ca="1" si="748"/>
        <v>A</v>
      </c>
    </row>
    <row r="227" spans="1:168" x14ac:dyDescent="0.2">
      <c r="A227" s="62" t="str">
        <f t="shared" si="749"/>
        <v>L/S: Arkanil ('Rohalsschrift')</v>
      </c>
      <c r="B227" s="317" t="str">
        <f t="shared" ca="1" si="750"/>
        <v/>
      </c>
      <c r="C227" s="332" t="str">
        <f ca="1">IF(AND(EXACT($F227,""),EXACT($G227,"")),IF(OR(NOT(ISBLANK(D227)),NOT(EXACT(HLOOKUP(RASSEGENE,RASSE,$BN227,FALSE),"")),NOT(EXACT(HLOOKUP(KULTURGENE,KULTUR,$BN227,FALSE),"")),NOT(EXACT(HLOOKUP(PROFGENE,INDIRECT(PROFGEBIET),$BN227,FALSE),"")),
IF(LEN(PROFZWEITE)&lt;1,FALSE,NOT(EXACT(HLOOKUP(Generierung!$D$12,INDIRECT(PROFGEBIET2),$BN227,FALSE),"")))
),"x",""),"")</f>
        <v/>
      </c>
      <c r="D227" s="1110"/>
      <c r="E227" s="325"/>
      <c r="F227" s="388" t="str">
        <f t="shared" ca="1" si="751"/>
        <v/>
      </c>
      <c r="G227" s="388" t="str">
        <f t="shared" ca="1" si="752"/>
        <v/>
      </c>
      <c r="H227" s="389"/>
      <c r="I227" s="1196"/>
      <c r="J227" s="326"/>
      <c r="O227" s="514" t="str">
        <f t="shared" ca="1" si="753"/>
        <v/>
      </c>
      <c r="P227" s="164">
        <f t="shared" ca="1" si="754"/>
        <v>0</v>
      </c>
      <c r="Q227" s="164">
        <f t="shared" ca="1" si="755"/>
        <v>0</v>
      </c>
      <c r="R227" s="164">
        <f t="shared" ca="1" si="756"/>
        <v>0</v>
      </c>
      <c r="S227" s="164">
        <f t="shared" ca="1" si="757"/>
        <v>0</v>
      </c>
      <c r="T227" s="164">
        <f t="shared" ca="1" si="758"/>
        <v>0</v>
      </c>
      <c r="U227" s="164">
        <f t="shared" ca="1" si="759"/>
        <v>0</v>
      </c>
      <c r="V227" s="164">
        <f t="shared" ca="1" si="760"/>
        <v>0</v>
      </c>
      <c r="W227" s="164">
        <f t="shared" ca="1" si="761"/>
        <v>0</v>
      </c>
      <c r="X227" s="164">
        <f t="shared" ca="1" si="762"/>
        <v>0</v>
      </c>
      <c r="Y227" s="164">
        <f t="shared" ca="1" si="763"/>
        <v>0</v>
      </c>
      <c r="Z227" s="164">
        <f t="shared" ca="1" si="764"/>
        <v>0</v>
      </c>
      <c r="AA227" s="164">
        <f t="shared" ca="1" si="765"/>
        <v>0</v>
      </c>
      <c r="AB227" s="164">
        <f t="shared" ca="1" si="766"/>
        <v>0</v>
      </c>
      <c r="AC227" s="164">
        <f t="shared" ca="1" si="767"/>
        <v>0</v>
      </c>
      <c r="AD227" s="164">
        <f t="shared" ca="1" si="768"/>
        <v>0</v>
      </c>
      <c r="AE227" s="164">
        <f t="shared" ca="1" si="769"/>
        <v>0</v>
      </c>
      <c r="AF227" s="164">
        <f t="shared" ca="1" si="770"/>
        <v>0</v>
      </c>
      <c r="AG227" s="164">
        <f t="shared" ca="1" si="771"/>
        <v>0</v>
      </c>
      <c r="AH227" s="164">
        <f t="shared" ca="1" si="772"/>
        <v>0</v>
      </c>
      <c r="AI227" s="164">
        <f t="shared" ca="1" si="773"/>
        <v>0</v>
      </c>
      <c r="AJ227" s="164">
        <f t="shared" ca="1" si="774"/>
        <v>0</v>
      </c>
      <c r="AK227" s="164">
        <f t="shared" ca="1" si="775"/>
        <v>0</v>
      </c>
      <c r="AL227" s="164">
        <f t="shared" si="776"/>
        <v>0</v>
      </c>
      <c r="AM227" s="164">
        <f t="shared" ca="1" si="777"/>
        <v>0</v>
      </c>
      <c r="AN227" s="205"/>
      <c r="AO227" s="154">
        <f t="shared" ca="1" si="778"/>
        <v>0</v>
      </c>
      <c r="AP227" s="154">
        <f t="shared" ca="1" si="779"/>
        <v>0</v>
      </c>
      <c r="AQ227" s="154">
        <f t="shared" ca="1" si="780"/>
        <v>0</v>
      </c>
      <c r="AR227" s="154">
        <f t="shared" ca="1" si="781"/>
        <v>0</v>
      </c>
      <c r="AS227" s="154">
        <f t="shared" ca="1" si="782"/>
        <v>0</v>
      </c>
      <c r="AT227" s="154">
        <f t="shared" ca="1" si="783"/>
        <v>0</v>
      </c>
      <c r="AU227" s="154">
        <f t="shared" ca="1" si="784"/>
        <v>0</v>
      </c>
      <c r="AV227" s="154">
        <f t="shared" ca="1" si="785"/>
        <v>0</v>
      </c>
      <c r="AW227" s="154">
        <f t="shared" ca="1" si="786"/>
        <v>0</v>
      </c>
      <c r="AX227" s="154">
        <f t="shared" ca="1" si="787"/>
        <v>0</v>
      </c>
      <c r="AY227" s="154">
        <f t="shared" ca="1" si="788"/>
        <v>0</v>
      </c>
      <c r="AZ227" s="154">
        <f t="shared" ca="1" si="789"/>
        <v>0</v>
      </c>
      <c r="BA227" s="154">
        <f t="shared" ca="1" si="790"/>
        <v>0</v>
      </c>
      <c r="BB227" s="154">
        <f t="shared" ca="1" si="791"/>
        <v>0</v>
      </c>
      <c r="BC227" s="154">
        <f t="shared" ca="1" si="792"/>
        <v>0</v>
      </c>
      <c r="BD227" s="154">
        <f t="shared" ca="1" si="793"/>
        <v>0</v>
      </c>
      <c r="BE227" s="154">
        <f t="shared" ca="1" si="794"/>
        <v>0</v>
      </c>
      <c r="BF227" s="154">
        <f t="shared" ca="1" si="795"/>
        <v>0</v>
      </c>
      <c r="BG227" s="154">
        <f t="shared" ca="1" si="796"/>
        <v>0</v>
      </c>
      <c r="BH227" s="154">
        <f t="shared" ca="1" si="797"/>
        <v>0</v>
      </c>
      <c r="BI227" s="154">
        <f t="shared" ca="1" si="798"/>
        <v>0</v>
      </c>
      <c r="BJ227" s="154">
        <f t="shared" ca="1" si="799"/>
        <v>0</v>
      </c>
      <c r="BK227" s="154">
        <f t="shared" ca="1" si="800"/>
        <v>0</v>
      </c>
      <c r="BL227" s="154">
        <f t="shared" ca="1" si="801"/>
        <v>0</v>
      </c>
      <c r="BM227" s="154">
        <f t="shared" ca="1" si="802"/>
        <v>0</v>
      </c>
      <c r="BN227" s="1198">
        <f t="shared" si="816"/>
        <v>231</v>
      </c>
      <c r="BO227" s="1197" t="str">
        <f t="shared" si="803"/>
        <v>L/S: Arkanil ('Rohalsschrift')</v>
      </c>
      <c r="BP227" s="1197" t="str">
        <f t="shared" ca="1" si="804"/>
        <v>C</v>
      </c>
      <c r="BQ227" s="1197">
        <f t="shared" si="820"/>
        <v>4</v>
      </c>
      <c r="BR227" s="1198" t="str">
        <f t="shared" ca="1" si="817"/>
        <v/>
      </c>
      <c r="BS227" s="1198" t="s">
        <v>3850</v>
      </c>
      <c r="BT227" s="78"/>
      <c r="BU227" s="78"/>
      <c r="BV227" s="78"/>
      <c r="BW227" s="1197">
        <f t="shared" ca="1" si="818"/>
        <v>0</v>
      </c>
      <c r="BX227" s="1197">
        <f t="shared" ca="1" si="805"/>
        <v>0</v>
      </c>
      <c r="BY227" s="1197">
        <f t="shared" ca="1" si="806"/>
        <v>0</v>
      </c>
      <c r="BZ227" s="1081">
        <f t="shared" ca="1" si="807"/>
        <v>0</v>
      </c>
      <c r="CA227" s="1081">
        <f t="shared" ca="1" si="808"/>
        <v>0</v>
      </c>
      <c r="CB227" s="1081">
        <f t="shared" ca="1" si="819"/>
        <v>67</v>
      </c>
      <c r="CC227" s="1081">
        <f t="shared" ca="1" si="809"/>
        <v>67</v>
      </c>
      <c r="CD227" s="1081">
        <f t="shared" si="810"/>
        <v>0</v>
      </c>
      <c r="CE227" s="78"/>
      <c r="CF227" s="78"/>
      <c r="CG227" s="78"/>
      <c r="CH227" s="154"/>
      <c r="CI227" s="78"/>
      <c r="CJ227" s="78"/>
      <c r="CK227" s="78"/>
      <c r="CL227" s="78"/>
      <c r="CM227" s="78"/>
      <c r="CN227" s="1081">
        <f t="shared" ca="1" si="725"/>
        <v>0</v>
      </c>
      <c r="CO227" s="1081">
        <f t="shared" ca="1" si="811"/>
        <v>0</v>
      </c>
      <c r="CP227" s="1081">
        <f t="shared" ca="1" si="726"/>
        <v>0</v>
      </c>
      <c r="DJ227" s="301" t="str">
        <f t="shared" ca="1" si="812"/>
        <v>C</v>
      </c>
      <c r="DK227" s="301" t="str">
        <f t="shared" ca="1" si="812"/>
        <v>C</v>
      </c>
      <c r="DL227" s="301" t="str">
        <f t="shared" ca="1" si="812"/>
        <v>C</v>
      </c>
      <c r="DM227" s="301" t="str">
        <f t="shared" ca="1" si="812"/>
        <v>C</v>
      </c>
      <c r="DN227" s="301" t="str">
        <f t="shared" ca="1" si="812"/>
        <v>C</v>
      </c>
      <c r="DO227" s="301" t="str">
        <f t="shared" ca="1" si="812"/>
        <v>C</v>
      </c>
      <c r="DP227" s="301" t="str">
        <f t="shared" ca="1" si="812"/>
        <v>C</v>
      </c>
      <c r="DQ227" s="301" t="str">
        <f t="shared" ca="1" si="812"/>
        <v>C</v>
      </c>
      <c r="DR227" s="301" t="str">
        <f t="shared" ca="1" si="812"/>
        <v>C</v>
      </c>
      <c r="DS227" s="301" t="str">
        <f t="shared" ca="1" si="812"/>
        <v>C</v>
      </c>
      <c r="DT227" s="301" t="str">
        <f t="shared" ca="1" si="813"/>
        <v>C</v>
      </c>
      <c r="DU227" s="301" t="str">
        <f t="shared" ca="1" si="813"/>
        <v>C</v>
      </c>
      <c r="DV227" s="301" t="str">
        <f t="shared" ca="1" si="813"/>
        <v>C</v>
      </c>
      <c r="DW227" s="301" t="str">
        <f t="shared" ca="1" si="813"/>
        <v>C</v>
      </c>
      <c r="DX227" s="301" t="str">
        <f t="shared" ca="1" si="813"/>
        <v>C</v>
      </c>
      <c r="DY227" s="301" t="str">
        <f t="shared" ca="1" si="813"/>
        <v>C</v>
      </c>
      <c r="DZ227" s="301" t="str">
        <f t="shared" ca="1" si="813"/>
        <v>C</v>
      </c>
      <c r="EA227" s="301" t="str">
        <f t="shared" ca="1" si="813"/>
        <v>C</v>
      </c>
      <c r="EB227" s="301" t="str">
        <f t="shared" ca="1" si="813"/>
        <v>C</v>
      </c>
      <c r="EC227" s="301" t="str">
        <f t="shared" ca="1" si="813"/>
        <v>C</v>
      </c>
      <c r="ED227" s="301" t="str">
        <f t="shared" ca="1" si="813"/>
        <v>C</v>
      </c>
      <c r="EE227" s="301" t="str">
        <f t="shared" ca="1" si="813"/>
        <v>C</v>
      </c>
      <c r="EF227" s="301">
        <f t="shared" si="814"/>
        <v>0</v>
      </c>
      <c r="EG227" s="1426" t="str">
        <f t="shared" ref="EG227:EU227" ca="1" si="821">IF(ISERR(FIND(";"&amp;EG$176&amp;":0;",$E227)),
CHAR($CC227+SUM(IF(ISERR(FIND(";"&amp;EG$176&amp;";",$E227)),0,-1),
IF(ISERR(FIND(";"&amp;EG$176&amp;":",$E227)),0,-VALUE(MID($E227,FIND(";"&amp;EG$176&amp;":",$E227)+LEN(EG$176)+2,1))),
IF(ISERR(FIND(";"&amp;EG$176&amp;"+",$E227)),0,VALUE(MID($E227,FIND(";"&amp;EG$176&amp;"+",$E227)+LEN(EG$176)+2,1))),
)),0)</f>
        <v>C</v>
      </c>
      <c r="EH227" s="1429" t="str">
        <f t="shared" ca="1" si="821"/>
        <v>C</v>
      </c>
      <c r="EI227" s="1429" t="str">
        <f t="shared" ca="1" si="821"/>
        <v>C</v>
      </c>
      <c r="EJ227" s="1429" t="str">
        <f t="shared" ca="1" si="821"/>
        <v>C</v>
      </c>
      <c r="EK227" s="1429" t="str">
        <f t="shared" ca="1" si="821"/>
        <v>C</v>
      </c>
      <c r="EL227" s="1429" t="str">
        <f t="shared" ca="1" si="821"/>
        <v>C</v>
      </c>
      <c r="EM227" s="1429" t="str">
        <f t="shared" ca="1" si="821"/>
        <v>C</v>
      </c>
      <c r="EN227" s="1429" t="str">
        <f t="shared" ca="1" si="821"/>
        <v>C</v>
      </c>
      <c r="EO227" s="1429" t="str">
        <f t="shared" ca="1" si="821"/>
        <v>C</v>
      </c>
      <c r="EP227" s="1429" t="str">
        <f t="shared" ca="1" si="821"/>
        <v>C</v>
      </c>
      <c r="EQ227" s="1429" t="str">
        <f t="shared" ca="1" si="821"/>
        <v>C</v>
      </c>
      <c r="ER227" s="1429" t="str">
        <f t="shared" ca="1" si="821"/>
        <v>C</v>
      </c>
      <c r="ES227" s="1429" t="str">
        <f t="shared" ca="1" si="821"/>
        <v>C</v>
      </c>
      <c r="ET227" s="1429" t="str">
        <f t="shared" ca="1" si="821"/>
        <v>C</v>
      </c>
      <c r="EU227" s="1429" t="str">
        <f t="shared" ca="1" si="821"/>
        <v>C</v>
      </c>
      <c r="EV227" s="1429" t="str">
        <f t="shared" ref="EV227:FK245" ca="1" si="822">IF(ISERR(FIND(";"&amp;EV$176&amp;":0;",$E227)),
CHAR($CC227+SUM(IF(ISERR(FIND(";"&amp;EV$176&amp;";",$E227)),0,-1),
IF(ISERR(FIND(";"&amp;EV$176&amp;":",$E227)),0,-VALUE(MID($E227,FIND(";"&amp;EV$176&amp;":",$E227)+LEN(EV$176)+2,1))),
IF(ISERR(FIND(";"&amp;EV$176&amp;"+",$E227)),0,VALUE(MID($E227,FIND(";"&amp;EV$176&amp;"+",$E227)+LEN(EV$176)+2,1))),
)),0)</f>
        <v>C</v>
      </c>
      <c r="EW227" s="1429" t="str">
        <f t="shared" ca="1" si="822"/>
        <v>C</v>
      </c>
      <c r="EX227" s="1429" t="str">
        <f t="shared" ca="1" si="822"/>
        <v>C</v>
      </c>
      <c r="EY227" s="1429" t="str">
        <f t="shared" ca="1" si="822"/>
        <v>C</v>
      </c>
      <c r="EZ227" s="1429" t="str">
        <f t="shared" ca="1" si="822"/>
        <v>C</v>
      </c>
      <c r="FA227" s="1429" t="str">
        <f t="shared" ca="1" si="822"/>
        <v>C</v>
      </c>
      <c r="FB227" s="1429" t="str">
        <f t="shared" ca="1" si="822"/>
        <v>C</v>
      </c>
      <c r="FC227" s="1429" t="str">
        <f t="shared" ca="1" si="822"/>
        <v>C</v>
      </c>
      <c r="FD227" s="1429" t="str">
        <f t="shared" ca="1" si="822"/>
        <v>C</v>
      </c>
      <c r="FE227" s="1429" t="str">
        <f t="shared" ca="1" si="748"/>
        <v>C</v>
      </c>
      <c r="FF227" s="1429" t="str">
        <f t="shared" ca="1" si="748"/>
        <v>C</v>
      </c>
      <c r="FG227" s="1429" t="str">
        <f t="shared" ca="1" si="748"/>
        <v>C</v>
      </c>
      <c r="FH227" s="1429" t="str">
        <f t="shared" ca="1" si="748"/>
        <v>C</v>
      </c>
      <c r="FI227" s="1429" t="str">
        <f t="shared" ca="1" si="748"/>
        <v>C</v>
      </c>
      <c r="FJ227" s="1429" t="str">
        <f t="shared" ca="1" si="748"/>
        <v>C</v>
      </c>
      <c r="FK227" s="1429" t="str">
        <f t="shared" ca="1" si="748"/>
        <v>C</v>
      </c>
      <c r="FL227" s="1429" t="str">
        <f t="shared" ca="1" si="748"/>
        <v>C</v>
      </c>
    </row>
    <row r="228" spans="1:168" x14ac:dyDescent="0.2">
      <c r="A228" s="62" t="str">
        <f t="shared" si="749"/>
        <v>L/S: Chrmk ('Zelemja')</v>
      </c>
      <c r="B228" s="317" t="str">
        <f t="shared" ca="1" si="750"/>
        <v/>
      </c>
      <c r="C228" s="332" t="str">
        <f ca="1">IF(AND(EXACT($F228,""),EXACT($G228,"")),IF(OR(NOT(ISBLANK(D228)),NOT(EXACT(HLOOKUP(RASSEGENE,RASSE,$BN228,FALSE),"")),NOT(EXACT(HLOOKUP(KULTURGENE,KULTUR,$BN228,FALSE),"")),NOT(EXACT(HLOOKUP(PROFGENE,INDIRECT(PROFGEBIET),$BN228,FALSE),"")),
IF(LEN(PROFZWEITE)&lt;1,FALSE,NOT(EXACT(HLOOKUP(Generierung!$D$12,INDIRECT(PROFGEBIET2),$BN228,FALSE),"")))
),"x",""),"")</f>
        <v/>
      </c>
      <c r="D228" s="1110"/>
      <c r="E228" s="325"/>
      <c r="F228" s="388" t="str">
        <f t="shared" ca="1" si="751"/>
        <v/>
      </c>
      <c r="G228" s="388" t="str">
        <f t="shared" ca="1" si="752"/>
        <v/>
      </c>
      <c r="H228" s="389"/>
      <c r="I228" s="1196"/>
      <c r="J228" s="326"/>
      <c r="O228" s="514" t="str">
        <f t="shared" ca="1" si="753"/>
        <v/>
      </c>
      <c r="P228" s="164">
        <f t="shared" ca="1" si="754"/>
        <v>0</v>
      </c>
      <c r="Q228" s="164">
        <f t="shared" ca="1" si="755"/>
        <v>0</v>
      </c>
      <c r="R228" s="164">
        <f t="shared" ca="1" si="756"/>
        <v>0</v>
      </c>
      <c r="S228" s="164">
        <f t="shared" ca="1" si="757"/>
        <v>0</v>
      </c>
      <c r="T228" s="164">
        <f t="shared" ca="1" si="758"/>
        <v>0</v>
      </c>
      <c r="U228" s="164">
        <f t="shared" ca="1" si="759"/>
        <v>0</v>
      </c>
      <c r="V228" s="164">
        <f t="shared" ca="1" si="760"/>
        <v>0</v>
      </c>
      <c r="W228" s="164">
        <f t="shared" ca="1" si="761"/>
        <v>0</v>
      </c>
      <c r="X228" s="164">
        <f t="shared" ca="1" si="762"/>
        <v>0</v>
      </c>
      <c r="Y228" s="164">
        <f t="shared" ca="1" si="763"/>
        <v>0</v>
      </c>
      <c r="Z228" s="164">
        <f t="shared" ca="1" si="764"/>
        <v>0</v>
      </c>
      <c r="AA228" s="164">
        <f t="shared" ca="1" si="765"/>
        <v>0</v>
      </c>
      <c r="AB228" s="164">
        <f t="shared" ca="1" si="766"/>
        <v>0</v>
      </c>
      <c r="AC228" s="164">
        <f t="shared" ca="1" si="767"/>
        <v>0</v>
      </c>
      <c r="AD228" s="164">
        <f t="shared" ca="1" si="768"/>
        <v>0</v>
      </c>
      <c r="AE228" s="164">
        <f t="shared" ca="1" si="769"/>
        <v>0</v>
      </c>
      <c r="AF228" s="164">
        <f t="shared" ca="1" si="770"/>
        <v>0</v>
      </c>
      <c r="AG228" s="164">
        <f t="shared" ca="1" si="771"/>
        <v>0</v>
      </c>
      <c r="AH228" s="164">
        <f t="shared" ca="1" si="772"/>
        <v>0</v>
      </c>
      <c r="AI228" s="164">
        <f t="shared" ca="1" si="773"/>
        <v>0</v>
      </c>
      <c r="AJ228" s="164">
        <f t="shared" ca="1" si="774"/>
        <v>0</v>
      </c>
      <c r="AK228" s="164">
        <f t="shared" ca="1" si="775"/>
        <v>0</v>
      </c>
      <c r="AL228" s="164">
        <f t="shared" si="776"/>
        <v>0</v>
      </c>
      <c r="AM228" s="164">
        <f t="shared" ca="1" si="777"/>
        <v>0</v>
      </c>
      <c r="AN228" s="205"/>
      <c r="AO228" s="154">
        <f t="shared" ca="1" si="778"/>
        <v>0</v>
      </c>
      <c r="AP228" s="154">
        <f t="shared" ca="1" si="779"/>
        <v>0</v>
      </c>
      <c r="AQ228" s="154">
        <f t="shared" ca="1" si="780"/>
        <v>0</v>
      </c>
      <c r="AR228" s="154">
        <f t="shared" ca="1" si="781"/>
        <v>0</v>
      </c>
      <c r="AS228" s="154">
        <f t="shared" ca="1" si="782"/>
        <v>0</v>
      </c>
      <c r="AT228" s="154">
        <f t="shared" ca="1" si="783"/>
        <v>0</v>
      </c>
      <c r="AU228" s="154">
        <f t="shared" ca="1" si="784"/>
        <v>0</v>
      </c>
      <c r="AV228" s="154">
        <f t="shared" ca="1" si="785"/>
        <v>0</v>
      </c>
      <c r="AW228" s="154">
        <f t="shared" ca="1" si="786"/>
        <v>0</v>
      </c>
      <c r="AX228" s="154">
        <f t="shared" ca="1" si="787"/>
        <v>0</v>
      </c>
      <c r="AY228" s="154">
        <f t="shared" ca="1" si="788"/>
        <v>0</v>
      </c>
      <c r="AZ228" s="154">
        <f t="shared" ca="1" si="789"/>
        <v>0</v>
      </c>
      <c r="BA228" s="154">
        <f t="shared" ca="1" si="790"/>
        <v>0</v>
      </c>
      <c r="BB228" s="154">
        <f t="shared" ca="1" si="791"/>
        <v>0</v>
      </c>
      <c r="BC228" s="154">
        <f t="shared" ca="1" si="792"/>
        <v>0</v>
      </c>
      <c r="BD228" s="154">
        <f t="shared" ca="1" si="793"/>
        <v>0</v>
      </c>
      <c r="BE228" s="154">
        <f t="shared" ca="1" si="794"/>
        <v>0</v>
      </c>
      <c r="BF228" s="154">
        <f t="shared" ca="1" si="795"/>
        <v>0</v>
      </c>
      <c r="BG228" s="154">
        <f t="shared" ca="1" si="796"/>
        <v>0</v>
      </c>
      <c r="BH228" s="154">
        <f t="shared" ca="1" si="797"/>
        <v>0</v>
      </c>
      <c r="BI228" s="154">
        <f t="shared" ca="1" si="798"/>
        <v>0</v>
      </c>
      <c r="BJ228" s="154">
        <f t="shared" ca="1" si="799"/>
        <v>0</v>
      </c>
      <c r="BK228" s="154">
        <f t="shared" ca="1" si="800"/>
        <v>0</v>
      </c>
      <c r="BL228" s="154">
        <f t="shared" ca="1" si="801"/>
        <v>0</v>
      </c>
      <c r="BM228" s="154">
        <f t="shared" ca="1" si="802"/>
        <v>0</v>
      </c>
      <c r="BN228" s="1198">
        <f t="shared" si="816"/>
        <v>232</v>
      </c>
      <c r="BO228" s="1197" t="str">
        <f t="shared" si="803"/>
        <v>L/S: Chrmk ('Zelemja')</v>
      </c>
      <c r="BP228" s="1197" t="str">
        <f t="shared" ca="1" si="804"/>
        <v>A</v>
      </c>
      <c r="BQ228" s="1197">
        <f t="shared" si="820"/>
        <v>5</v>
      </c>
      <c r="BR228" s="1198" t="str">
        <f t="shared" ca="1" si="817"/>
        <v/>
      </c>
      <c r="BS228" s="1198" t="s">
        <v>3784</v>
      </c>
      <c r="BT228" s="78"/>
      <c r="BU228" s="78"/>
      <c r="BV228" s="78"/>
      <c r="BW228" s="1197">
        <f t="shared" ca="1" si="818"/>
        <v>0</v>
      </c>
      <c r="BX228" s="1197">
        <f t="shared" ca="1" si="805"/>
        <v>0</v>
      </c>
      <c r="BY228" s="1197">
        <f t="shared" ca="1" si="806"/>
        <v>0</v>
      </c>
      <c r="BZ228" s="1081">
        <f t="shared" ca="1" si="807"/>
        <v>0</v>
      </c>
      <c r="CA228" s="1081">
        <f t="shared" ca="1" si="808"/>
        <v>0</v>
      </c>
      <c r="CB228" s="1081">
        <f t="shared" ca="1" si="819"/>
        <v>65</v>
      </c>
      <c r="CC228" s="1081">
        <f t="shared" ca="1" si="809"/>
        <v>65</v>
      </c>
      <c r="CD228" s="1081">
        <f t="shared" si="810"/>
        <v>0</v>
      </c>
      <c r="CE228" s="78"/>
      <c r="CF228" s="78"/>
      <c r="CG228" s="78"/>
      <c r="CH228" s="154"/>
      <c r="CI228" s="78"/>
      <c r="CJ228" s="78"/>
      <c r="CK228" s="78"/>
      <c r="CL228" s="78"/>
      <c r="CM228" s="78"/>
      <c r="CN228" s="1081">
        <f t="shared" ca="1" si="725"/>
        <v>0</v>
      </c>
      <c r="CO228" s="1081">
        <f t="shared" ca="1" si="811"/>
        <v>0</v>
      </c>
      <c r="CP228" s="1081">
        <f t="shared" ca="1" si="726"/>
        <v>0</v>
      </c>
      <c r="DJ228" s="301" t="str">
        <f t="shared" ca="1" si="812"/>
        <v>A</v>
      </c>
      <c r="DK228" s="301" t="str">
        <f t="shared" ca="1" si="812"/>
        <v>A</v>
      </c>
      <c r="DL228" s="301" t="str">
        <f t="shared" ca="1" si="812"/>
        <v>A</v>
      </c>
      <c r="DM228" s="301" t="str">
        <f t="shared" ca="1" si="812"/>
        <v>A</v>
      </c>
      <c r="DN228" s="301" t="str">
        <f t="shared" ca="1" si="812"/>
        <v>A</v>
      </c>
      <c r="DO228" s="301" t="str">
        <f t="shared" ca="1" si="812"/>
        <v>A</v>
      </c>
      <c r="DP228" s="301" t="str">
        <f t="shared" ca="1" si="812"/>
        <v>A</v>
      </c>
      <c r="DQ228" s="301" t="str">
        <f t="shared" ca="1" si="812"/>
        <v>A</v>
      </c>
      <c r="DR228" s="301" t="str">
        <f t="shared" ca="1" si="812"/>
        <v>A</v>
      </c>
      <c r="DS228" s="301" t="str">
        <f t="shared" ca="1" si="812"/>
        <v>A</v>
      </c>
      <c r="DT228" s="301" t="str">
        <f t="shared" ca="1" si="813"/>
        <v>A</v>
      </c>
      <c r="DU228" s="301" t="str">
        <f t="shared" ca="1" si="813"/>
        <v>A</v>
      </c>
      <c r="DV228" s="301" t="str">
        <f t="shared" ca="1" si="813"/>
        <v>A</v>
      </c>
      <c r="DW228" s="301" t="str">
        <f t="shared" ca="1" si="813"/>
        <v>A</v>
      </c>
      <c r="DX228" s="301" t="str">
        <f t="shared" ca="1" si="813"/>
        <v>A</v>
      </c>
      <c r="DY228" s="301" t="str">
        <f t="shared" ca="1" si="813"/>
        <v>A</v>
      </c>
      <c r="DZ228" s="301" t="str">
        <f t="shared" ca="1" si="813"/>
        <v>A</v>
      </c>
      <c r="EA228" s="301" t="str">
        <f t="shared" ca="1" si="813"/>
        <v>A</v>
      </c>
      <c r="EB228" s="301" t="str">
        <f t="shared" ca="1" si="813"/>
        <v>A</v>
      </c>
      <c r="EC228" s="301" t="str">
        <f t="shared" ca="1" si="813"/>
        <v>A</v>
      </c>
      <c r="ED228" s="301" t="str">
        <f t="shared" ca="1" si="813"/>
        <v>A</v>
      </c>
      <c r="EE228" s="301" t="str">
        <f t="shared" ca="1" si="813"/>
        <v>A</v>
      </c>
      <c r="EF228" s="301">
        <f t="shared" si="814"/>
        <v>0</v>
      </c>
      <c r="EG228" s="1426" t="str">
        <f t="shared" ref="EG228:EV243" ca="1" si="823">IF(ISERR(FIND(";"&amp;EG$176&amp;":0;",$E228)),
CHAR($CC228+SUM(IF(ISERR(FIND(";"&amp;EG$176&amp;";",$E228)),0,-1),
IF(ISERR(FIND(";"&amp;EG$176&amp;":",$E228)),0,-VALUE(MID($E228,FIND(";"&amp;EG$176&amp;":",$E228)+LEN(EG$176)+2,1))),
IF(ISERR(FIND(";"&amp;EG$176&amp;"+",$E228)),0,VALUE(MID($E228,FIND(";"&amp;EG$176&amp;"+",$E228)+LEN(EG$176)+2,1))),
)),0)</f>
        <v>A</v>
      </c>
      <c r="EH228" s="1429" t="str">
        <f t="shared" ca="1" si="823"/>
        <v>A</v>
      </c>
      <c r="EI228" s="1429" t="str">
        <f t="shared" ca="1" si="823"/>
        <v>A</v>
      </c>
      <c r="EJ228" s="1429" t="str">
        <f t="shared" ca="1" si="823"/>
        <v>A</v>
      </c>
      <c r="EK228" s="1429" t="str">
        <f t="shared" ca="1" si="823"/>
        <v>A</v>
      </c>
      <c r="EL228" s="1429" t="str">
        <f t="shared" ca="1" si="823"/>
        <v>A</v>
      </c>
      <c r="EM228" s="1429" t="str">
        <f t="shared" ca="1" si="823"/>
        <v>A</v>
      </c>
      <c r="EN228" s="1429" t="str">
        <f t="shared" ca="1" si="823"/>
        <v>A</v>
      </c>
      <c r="EO228" s="1429" t="str">
        <f t="shared" ca="1" si="823"/>
        <v>A</v>
      </c>
      <c r="EP228" s="1429" t="str">
        <f t="shared" ca="1" si="823"/>
        <v>A</v>
      </c>
      <c r="EQ228" s="1429" t="str">
        <f t="shared" ca="1" si="823"/>
        <v>A</v>
      </c>
      <c r="ER228" s="1429" t="str">
        <f t="shared" ca="1" si="823"/>
        <v>A</v>
      </c>
      <c r="ES228" s="1429" t="str">
        <f t="shared" ca="1" si="823"/>
        <v>A</v>
      </c>
      <c r="ET228" s="1429" t="str">
        <f t="shared" ca="1" si="823"/>
        <v>A</v>
      </c>
      <c r="EU228" s="1429" t="str">
        <f t="shared" ca="1" si="823"/>
        <v>A</v>
      </c>
      <c r="EV228" s="1429" t="str">
        <f t="shared" ca="1" si="823"/>
        <v>A</v>
      </c>
      <c r="EW228" s="1429" t="str">
        <f t="shared" ca="1" si="822"/>
        <v>A</v>
      </c>
      <c r="EX228" s="1429" t="str">
        <f t="shared" ca="1" si="822"/>
        <v>A</v>
      </c>
      <c r="EY228" s="1429" t="str">
        <f t="shared" ca="1" si="822"/>
        <v>A</v>
      </c>
      <c r="EZ228" s="1429" t="str">
        <f t="shared" ca="1" si="822"/>
        <v>A</v>
      </c>
      <c r="FA228" s="1429" t="str">
        <f t="shared" ca="1" si="822"/>
        <v>A</v>
      </c>
      <c r="FB228" s="1429" t="str">
        <f t="shared" ca="1" si="822"/>
        <v>A</v>
      </c>
      <c r="FC228" s="1429" t="str">
        <f t="shared" ca="1" si="822"/>
        <v>A</v>
      </c>
      <c r="FD228" s="1429" t="str">
        <f t="shared" ca="1" si="822"/>
        <v>A</v>
      </c>
      <c r="FE228" s="1429" t="str">
        <f t="shared" ca="1" si="748"/>
        <v>A</v>
      </c>
      <c r="FF228" s="1429" t="str">
        <f t="shared" ca="1" si="748"/>
        <v>A</v>
      </c>
      <c r="FG228" s="1429" t="str">
        <f t="shared" ca="1" si="748"/>
        <v>A</v>
      </c>
      <c r="FH228" s="1429" t="str">
        <f t="shared" ca="1" si="748"/>
        <v>A</v>
      </c>
      <c r="FI228" s="1429" t="str">
        <f t="shared" ca="1" si="748"/>
        <v>A</v>
      </c>
      <c r="FJ228" s="1429" t="str">
        <f t="shared" ca="1" si="748"/>
        <v>A</v>
      </c>
      <c r="FK228" s="1429" t="str">
        <f t="shared" ca="1" si="748"/>
        <v>A</v>
      </c>
      <c r="FL228" s="1429" t="str">
        <f t="shared" ca="1" si="748"/>
        <v>A</v>
      </c>
    </row>
    <row r="229" spans="1:168" x14ac:dyDescent="0.2">
      <c r="A229" s="62" t="str">
        <f t="shared" si="749"/>
        <v>L/S: Chuchas ('Protozelemja')</v>
      </c>
      <c r="B229" s="317" t="str">
        <f t="shared" ca="1" si="750"/>
        <v/>
      </c>
      <c r="C229" s="332" t="str">
        <f ca="1">IF(AND(EXACT($F229,""),EXACT($G229,"")),IF(OR(NOT(ISBLANK(D229)),NOT(EXACT(HLOOKUP(RASSEGENE,RASSE,$BN229,FALSE),"")),NOT(EXACT(HLOOKUP(KULTURGENE,KULTUR,$BN229,FALSE),"")),NOT(EXACT(HLOOKUP(PROFGENE,INDIRECT(PROFGEBIET),$BN229,FALSE),"")),
IF(LEN(PROFZWEITE)&lt;1,FALSE,NOT(EXACT(HLOOKUP(Generierung!$D$12,INDIRECT(PROFGEBIET2),$BN229,FALSE),"")))
),"x",""),"")</f>
        <v/>
      </c>
      <c r="D229" s="1110"/>
      <c r="E229" s="325"/>
      <c r="F229" s="388" t="str">
        <f t="shared" ca="1" si="751"/>
        <v/>
      </c>
      <c r="G229" s="388" t="str">
        <f t="shared" ca="1" si="752"/>
        <v/>
      </c>
      <c r="H229" s="389"/>
      <c r="I229" s="1196"/>
      <c r="J229" s="326"/>
      <c r="O229" s="514" t="str">
        <f t="shared" ca="1" si="753"/>
        <v/>
      </c>
      <c r="P229" s="164">
        <f t="shared" ca="1" si="754"/>
        <v>0</v>
      </c>
      <c r="Q229" s="164">
        <f t="shared" ca="1" si="755"/>
        <v>0</v>
      </c>
      <c r="R229" s="164">
        <f t="shared" ca="1" si="756"/>
        <v>0</v>
      </c>
      <c r="S229" s="164">
        <f t="shared" ca="1" si="757"/>
        <v>0</v>
      </c>
      <c r="T229" s="164">
        <f t="shared" ca="1" si="758"/>
        <v>0</v>
      </c>
      <c r="U229" s="164">
        <f t="shared" ca="1" si="759"/>
        <v>0</v>
      </c>
      <c r="V229" s="164">
        <f t="shared" ca="1" si="760"/>
        <v>0</v>
      </c>
      <c r="W229" s="164">
        <f t="shared" ca="1" si="761"/>
        <v>0</v>
      </c>
      <c r="X229" s="164">
        <f t="shared" ca="1" si="762"/>
        <v>0</v>
      </c>
      <c r="Y229" s="164">
        <f t="shared" ca="1" si="763"/>
        <v>0</v>
      </c>
      <c r="Z229" s="164">
        <f t="shared" ca="1" si="764"/>
        <v>0</v>
      </c>
      <c r="AA229" s="164">
        <f t="shared" ca="1" si="765"/>
        <v>0</v>
      </c>
      <c r="AB229" s="164">
        <f t="shared" ca="1" si="766"/>
        <v>0</v>
      </c>
      <c r="AC229" s="164">
        <f t="shared" ca="1" si="767"/>
        <v>0</v>
      </c>
      <c r="AD229" s="164">
        <f t="shared" ca="1" si="768"/>
        <v>0</v>
      </c>
      <c r="AE229" s="164">
        <f t="shared" ca="1" si="769"/>
        <v>0</v>
      </c>
      <c r="AF229" s="164">
        <f t="shared" ca="1" si="770"/>
        <v>0</v>
      </c>
      <c r="AG229" s="164">
        <f t="shared" ca="1" si="771"/>
        <v>0</v>
      </c>
      <c r="AH229" s="164">
        <f t="shared" ca="1" si="772"/>
        <v>0</v>
      </c>
      <c r="AI229" s="164">
        <f t="shared" ca="1" si="773"/>
        <v>0</v>
      </c>
      <c r="AJ229" s="164">
        <f t="shared" ca="1" si="774"/>
        <v>0</v>
      </c>
      <c r="AK229" s="164">
        <f t="shared" ca="1" si="775"/>
        <v>0</v>
      </c>
      <c r="AL229" s="164">
        <f t="shared" si="776"/>
        <v>0</v>
      </c>
      <c r="AM229" s="164">
        <f t="shared" ca="1" si="777"/>
        <v>0</v>
      </c>
      <c r="AN229" s="205"/>
      <c r="AO229" s="154">
        <f t="shared" ca="1" si="778"/>
        <v>0</v>
      </c>
      <c r="AP229" s="154">
        <f t="shared" ca="1" si="779"/>
        <v>0</v>
      </c>
      <c r="AQ229" s="154">
        <f t="shared" ca="1" si="780"/>
        <v>0</v>
      </c>
      <c r="AR229" s="154">
        <f t="shared" ca="1" si="781"/>
        <v>0</v>
      </c>
      <c r="AS229" s="154">
        <f t="shared" ca="1" si="782"/>
        <v>0</v>
      </c>
      <c r="AT229" s="154">
        <f t="shared" ca="1" si="783"/>
        <v>0</v>
      </c>
      <c r="AU229" s="154">
        <f t="shared" ca="1" si="784"/>
        <v>0</v>
      </c>
      <c r="AV229" s="154">
        <f t="shared" ca="1" si="785"/>
        <v>0</v>
      </c>
      <c r="AW229" s="154">
        <f t="shared" ca="1" si="786"/>
        <v>0</v>
      </c>
      <c r="AX229" s="154">
        <f t="shared" ca="1" si="787"/>
        <v>0</v>
      </c>
      <c r="AY229" s="154">
        <f t="shared" ca="1" si="788"/>
        <v>0</v>
      </c>
      <c r="AZ229" s="154">
        <f t="shared" ca="1" si="789"/>
        <v>0</v>
      </c>
      <c r="BA229" s="154">
        <f t="shared" ca="1" si="790"/>
        <v>0</v>
      </c>
      <c r="BB229" s="154">
        <f t="shared" ca="1" si="791"/>
        <v>0</v>
      </c>
      <c r="BC229" s="154">
        <f t="shared" ca="1" si="792"/>
        <v>0</v>
      </c>
      <c r="BD229" s="154">
        <f t="shared" ca="1" si="793"/>
        <v>0</v>
      </c>
      <c r="BE229" s="154">
        <f t="shared" ca="1" si="794"/>
        <v>0</v>
      </c>
      <c r="BF229" s="154">
        <f t="shared" ca="1" si="795"/>
        <v>0</v>
      </c>
      <c r="BG229" s="154">
        <f t="shared" ca="1" si="796"/>
        <v>0</v>
      </c>
      <c r="BH229" s="154">
        <f t="shared" ca="1" si="797"/>
        <v>0</v>
      </c>
      <c r="BI229" s="154">
        <f t="shared" ca="1" si="798"/>
        <v>0</v>
      </c>
      <c r="BJ229" s="154">
        <f t="shared" ca="1" si="799"/>
        <v>0</v>
      </c>
      <c r="BK229" s="154">
        <f t="shared" ca="1" si="800"/>
        <v>0</v>
      </c>
      <c r="BL229" s="154">
        <f t="shared" ca="1" si="801"/>
        <v>0</v>
      </c>
      <c r="BM229" s="154">
        <f t="shared" ca="1" si="802"/>
        <v>0</v>
      </c>
      <c r="BN229" s="1198">
        <f t="shared" si="816"/>
        <v>233</v>
      </c>
      <c r="BO229" s="1197" t="str">
        <f t="shared" si="803"/>
        <v>L/S: Chuchas ('Protozelemja')</v>
      </c>
      <c r="BP229" s="1197" t="str">
        <f t="shared" ca="1" si="804"/>
        <v>B</v>
      </c>
      <c r="BQ229" s="1197">
        <f t="shared" si="820"/>
        <v>6</v>
      </c>
      <c r="BR229" s="1198" t="str">
        <f t="shared" ca="1" si="817"/>
        <v/>
      </c>
      <c r="BS229" s="1198" t="s">
        <v>4062</v>
      </c>
      <c r="BT229" s="78"/>
      <c r="BU229" s="78"/>
      <c r="BV229" s="78"/>
      <c r="BW229" s="1197">
        <f t="shared" ca="1" si="818"/>
        <v>0</v>
      </c>
      <c r="BX229" s="1197">
        <f t="shared" ca="1" si="805"/>
        <v>0</v>
      </c>
      <c r="BY229" s="1197">
        <f t="shared" ca="1" si="806"/>
        <v>0</v>
      </c>
      <c r="BZ229" s="1081">
        <f t="shared" ca="1" si="807"/>
        <v>0</v>
      </c>
      <c r="CA229" s="1081">
        <f t="shared" ca="1" si="808"/>
        <v>0</v>
      </c>
      <c r="CB229" s="1081">
        <f t="shared" ca="1" si="819"/>
        <v>66</v>
      </c>
      <c r="CC229" s="1081">
        <f t="shared" ca="1" si="809"/>
        <v>66</v>
      </c>
      <c r="CD229" s="1081">
        <f t="shared" si="810"/>
        <v>0</v>
      </c>
      <c r="CE229" s="78"/>
      <c r="CF229" s="78"/>
      <c r="CG229" s="78"/>
      <c r="CH229" s="154"/>
      <c r="CI229" s="78"/>
      <c r="CJ229" s="78"/>
      <c r="CK229" s="78"/>
      <c r="CL229" s="78"/>
      <c r="CM229" s="78"/>
      <c r="CN229" s="1081">
        <f t="shared" ca="1" si="725"/>
        <v>0</v>
      </c>
      <c r="CO229" s="1081">
        <f t="shared" ca="1" si="811"/>
        <v>0</v>
      </c>
      <c r="CP229" s="1081">
        <f t="shared" ca="1" si="726"/>
        <v>0</v>
      </c>
      <c r="DJ229" s="301" t="str">
        <f t="shared" ca="1" si="812"/>
        <v>B</v>
      </c>
      <c r="DK229" s="301" t="str">
        <f t="shared" ca="1" si="812"/>
        <v>B</v>
      </c>
      <c r="DL229" s="301" t="str">
        <f t="shared" ca="1" si="812"/>
        <v>B</v>
      </c>
      <c r="DM229" s="301" t="str">
        <f t="shared" ca="1" si="812"/>
        <v>B</v>
      </c>
      <c r="DN229" s="301" t="str">
        <f t="shared" ca="1" si="812"/>
        <v>B</v>
      </c>
      <c r="DO229" s="301" t="str">
        <f t="shared" ca="1" si="812"/>
        <v>B</v>
      </c>
      <c r="DP229" s="301" t="str">
        <f t="shared" ca="1" si="812"/>
        <v>B</v>
      </c>
      <c r="DQ229" s="301" t="str">
        <f t="shared" ca="1" si="812"/>
        <v>B</v>
      </c>
      <c r="DR229" s="301" t="str">
        <f t="shared" ca="1" si="812"/>
        <v>B</v>
      </c>
      <c r="DS229" s="301" t="str">
        <f t="shared" ca="1" si="812"/>
        <v>B</v>
      </c>
      <c r="DT229" s="301" t="str">
        <f t="shared" ca="1" si="813"/>
        <v>B</v>
      </c>
      <c r="DU229" s="301" t="str">
        <f t="shared" ca="1" si="813"/>
        <v>B</v>
      </c>
      <c r="DV229" s="301" t="str">
        <f t="shared" ca="1" si="813"/>
        <v>B</v>
      </c>
      <c r="DW229" s="301" t="str">
        <f t="shared" ca="1" si="813"/>
        <v>B</v>
      </c>
      <c r="DX229" s="301" t="str">
        <f t="shared" ca="1" si="813"/>
        <v>B</v>
      </c>
      <c r="DY229" s="301" t="str">
        <f t="shared" ca="1" si="813"/>
        <v>B</v>
      </c>
      <c r="DZ229" s="301" t="str">
        <f t="shared" ca="1" si="813"/>
        <v>B</v>
      </c>
      <c r="EA229" s="301" t="str">
        <f t="shared" ca="1" si="813"/>
        <v>B</v>
      </c>
      <c r="EB229" s="301" t="str">
        <f t="shared" ca="1" si="813"/>
        <v>B</v>
      </c>
      <c r="EC229" s="301" t="str">
        <f t="shared" ca="1" si="813"/>
        <v>B</v>
      </c>
      <c r="ED229" s="301" t="str">
        <f t="shared" ca="1" si="813"/>
        <v>B</v>
      </c>
      <c r="EE229" s="301" t="str">
        <f t="shared" ca="1" si="813"/>
        <v>B</v>
      </c>
      <c r="EF229" s="301">
        <f t="shared" si="814"/>
        <v>0</v>
      </c>
      <c r="EG229" s="1426" t="str">
        <f t="shared" ca="1" si="823"/>
        <v>B</v>
      </c>
      <c r="EH229" s="1429" t="str">
        <f t="shared" ca="1" si="823"/>
        <v>B</v>
      </c>
      <c r="EI229" s="1429" t="str">
        <f t="shared" ca="1" si="823"/>
        <v>B</v>
      </c>
      <c r="EJ229" s="1429" t="str">
        <f t="shared" ca="1" si="823"/>
        <v>B</v>
      </c>
      <c r="EK229" s="1429" t="str">
        <f t="shared" ca="1" si="823"/>
        <v>B</v>
      </c>
      <c r="EL229" s="1429" t="str">
        <f t="shared" ca="1" si="823"/>
        <v>B</v>
      </c>
      <c r="EM229" s="1429" t="str">
        <f t="shared" ca="1" si="823"/>
        <v>B</v>
      </c>
      <c r="EN229" s="1429" t="str">
        <f t="shared" ca="1" si="823"/>
        <v>B</v>
      </c>
      <c r="EO229" s="1429" t="str">
        <f t="shared" ca="1" si="823"/>
        <v>B</v>
      </c>
      <c r="EP229" s="1429" t="str">
        <f t="shared" ca="1" si="823"/>
        <v>B</v>
      </c>
      <c r="EQ229" s="1429" t="str">
        <f t="shared" ca="1" si="823"/>
        <v>B</v>
      </c>
      <c r="ER229" s="1429" t="str">
        <f t="shared" ca="1" si="823"/>
        <v>B</v>
      </c>
      <c r="ES229" s="1429" t="str">
        <f t="shared" ca="1" si="823"/>
        <v>B</v>
      </c>
      <c r="ET229" s="1429" t="str">
        <f t="shared" ca="1" si="823"/>
        <v>B</v>
      </c>
      <c r="EU229" s="1429" t="str">
        <f t="shared" ca="1" si="823"/>
        <v>B</v>
      </c>
      <c r="EV229" s="1429" t="str">
        <f t="shared" ca="1" si="823"/>
        <v>B</v>
      </c>
      <c r="EW229" s="1429" t="str">
        <f t="shared" ca="1" si="822"/>
        <v>B</v>
      </c>
      <c r="EX229" s="1429" t="str">
        <f t="shared" ca="1" si="822"/>
        <v>B</v>
      </c>
      <c r="EY229" s="1429" t="str">
        <f t="shared" ca="1" si="822"/>
        <v>B</v>
      </c>
      <c r="EZ229" s="1429" t="str">
        <f t="shared" ca="1" si="822"/>
        <v>B</v>
      </c>
      <c r="FA229" s="1429" t="str">
        <f t="shared" ca="1" si="822"/>
        <v>B</v>
      </c>
      <c r="FB229" s="1429" t="str">
        <f t="shared" ca="1" si="822"/>
        <v>B</v>
      </c>
      <c r="FC229" s="1429" t="str">
        <f t="shared" ca="1" si="822"/>
        <v>B</v>
      </c>
      <c r="FD229" s="1429" t="str">
        <f t="shared" ca="1" si="822"/>
        <v>B</v>
      </c>
      <c r="FE229" s="1429" t="str">
        <f t="shared" ca="1" si="748"/>
        <v>B</v>
      </c>
      <c r="FF229" s="1429" t="str">
        <f t="shared" ca="1" si="748"/>
        <v>B</v>
      </c>
      <c r="FG229" s="1429" t="str">
        <f t="shared" ca="1" si="748"/>
        <v>B</v>
      </c>
      <c r="FH229" s="1429" t="str">
        <f t="shared" ca="1" si="748"/>
        <v>B</v>
      </c>
      <c r="FI229" s="1429" t="str">
        <f t="shared" ca="1" si="748"/>
        <v>B</v>
      </c>
      <c r="FJ229" s="1429" t="str">
        <f t="shared" ca="1" si="748"/>
        <v>B</v>
      </c>
      <c r="FK229" s="1429" t="str">
        <f t="shared" ca="1" si="748"/>
        <v>B</v>
      </c>
      <c r="FL229" s="1429" t="str">
        <f t="shared" ca="1" si="748"/>
        <v>B</v>
      </c>
    </row>
    <row r="230" spans="1:168" x14ac:dyDescent="0.2">
      <c r="A230" s="62" t="str">
        <f t="shared" si="749"/>
        <v>L/S: Drakhard-Zinken</v>
      </c>
      <c r="B230" s="317" t="str">
        <f t="shared" ca="1" si="750"/>
        <v/>
      </c>
      <c r="C230" s="332" t="str">
        <f ca="1">IF(AND(EXACT($F230,""),EXACT($G230,"")),IF(OR(NOT(ISBLANK(D230)),NOT(EXACT(HLOOKUP(RASSEGENE,RASSE,$BN230,FALSE),"")),NOT(EXACT(HLOOKUP(KULTURGENE,KULTUR,$BN230,FALSE),"")),NOT(EXACT(HLOOKUP(PROFGENE,INDIRECT(PROFGEBIET),$BN230,FALSE),"")),
IF(LEN(PROFZWEITE)&lt;1,FALSE,NOT(EXACT(HLOOKUP(Generierung!$D$12,INDIRECT(PROFGEBIET2),$BN230,FALSE),"")))
),"x",""),"")</f>
        <v/>
      </c>
      <c r="D230" s="1110"/>
      <c r="E230" s="325"/>
      <c r="F230" s="388" t="str">
        <f t="shared" ca="1" si="751"/>
        <v/>
      </c>
      <c r="G230" s="388" t="str">
        <f t="shared" ca="1" si="752"/>
        <v/>
      </c>
      <c r="H230" s="389"/>
      <c r="I230" s="1196"/>
      <c r="J230" s="326"/>
      <c r="O230" s="514" t="str">
        <f t="shared" ca="1" si="753"/>
        <v/>
      </c>
      <c r="P230" s="164">
        <f t="shared" ca="1" si="754"/>
        <v>0</v>
      </c>
      <c r="Q230" s="164">
        <f t="shared" ca="1" si="755"/>
        <v>0</v>
      </c>
      <c r="R230" s="164">
        <f t="shared" ca="1" si="756"/>
        <v>0</v>
      </c>
      <c r="S230" s="164">
        <f t="shared" ca="1" si="757"/>
        <v>0</v>
      </c>
      <c r="T230" s="164">
        <f t="shared" ca="1" si="758"/>
        <v>0</v>
      </c>
      <c r="U230" s="164">
        <f t="shared" ca="1" si="759"/>
        <v>0</v>
      </c>
      <c r="V230" s="164">
        <f t="shared" ca="1" si="760"/>
        <v>0</v>
      </c>
      <c r="W230" s="164">
        <f t="shared" ca="1" si="761"/>
        <v>0</v>
      </c>
      <c r="X230" s="164">
        <f t="shared" ca="1" si="762"/>
        <v>0</v>
      </c>
      <c r="Y230" s="164">
        <f t="shared" ca="1" si="763"/>
        <v>0</v>
      </c>
      <c r="Z230" s="164">
        <f t="shared" ca="1" si="764"/>
        <v>0</v>
      </c>
      <c r="AA230" s="164">
        <f t="shared" ca="1" si="765"/>
        <v>0</v>
      </c>
      <c r="AB230" s="164">
        <f t="shared" ca="1" si="766"/>
        <v>0</v>
      </c>
      <c r="AC230" s="164">
        <f t="shared" ca="1" si="767"/>
        <v>0</v>
      </c>
      <c r="AD230" s="164">
        <f t="shared" ca="1" si="768"/>
        <v>0</v>
      </c>
      <c r="AE230" s="164">
        <f t="shared" ca="1" si="769"/>
        <v>0</v>
      </c>
      <c r="AF230" s="164">
        <f t="shared" ca="1" si="770"/>
        <v>0</v>
      </c>
      <c r="AG230" s="164">
        <f t="shared" ca="1" si="771"/>
        <v>0</v>
      </c>
      <c r="AH230" s="164">
        <f t="shared" ca="1" si="772"/>
        <v>0</v>
      </c>
      <c r="AI230" s="164">
        <f t="shared" ca="1" si="773"/>
        <v>0</v>
      </c>
      <c r="AJ230" s="164">
        <f t="shared" ca="1" si="774"/>
        <v>0</v>
      </c>
      <c r="AK230" s="164">
        <f t="shared" ca="1" si="775"/>
        <v>0</v>
      </c>
      <c r="AL230" s="164">
        <f t="shared" si="776"/>
        <v>0</v>
      </c>
      <c r="AM230" s="164">
        <f t="shared" ca="1" si="777"/>
        <v>0</v>
      </c>
      <c r="AN230" s="205"/>
      <c r="AO230" s="154">
        <f t="shared" ca="1" si="778"/>
        <v>0</v>
      </c>
      <c r="AP230" s="154">
        <f t="shared" ca="1" si="779"/>
        <v>0</v>
      </c>
      <c r="AQ230" s="154">
        <f t="shared" ca="1" si="780"/>
        <v>0</v>
      </c>
      <c r="AR230" s="154">
        <f t="shared" ca="1" si="781"/>
        <v>0</v>
      </c>
      <c r="AS230" s="154">
        <f t="shared" ca="1" si="782"/>
        <v>0</v>
      </c>
      <c r="AT230" s="154">
        <f t="shared" ca="1" si="783"/>
        <v>0</v>
      </c>
      <c r="AU230" s="154">
        <f t="shared" ca="1" si="784"/>
        <v>0</v>
      </c>
      <c r="AV230" s="154">
        <f t="shared" ca="1" si="785"/>
        <v>0</v>
      </c>
      <c r="AW230" s="154">
        <f t="shared" ca="1" si="786"/>
        <v>0</v>
      </c>
      <c r="AX230" s="154">
        <f t="shared" ca="1" si="787"/>
        <v>0</v>
      </c>
      <c r="AY230" s="154">
        <f t="shared" ca="1" si="788"/>
        <v>0</v>
      </c>
      <c r="AZ230" s="154">
        <f t="shared" ca="1" si="789"/>
        <v>0</v>
      </c>
      <c r="BA230" s="154">
        <f t="shared" ca="1" si="790"/>
        <v>0</v>
      </c>
      <c r="BB230" s="154">
        <f t="shared" ca="1" si="791"/>
        <v>0</v>
      </c>
      <c r="BC230" s="154">
        <f t="shared" ca="1" si="792"/>
        <v>0</v>
      </c>
      <c r="BD230" s="154">
        <f t="shared" ca="1" si="793"/>
        <v>0</v>
      </c>
      <c r="BE230" s="154">
        <f t="shared" ca="1" si="794"/>
        <v>0</v>
      </c>
      <c r="BF230" s="154">
        <f t="shared" ca="1" si="795"/>
        <v>0</v>
      </c>
      <c r="BG230" s="154">
        <f t="shared" ca="1" si="796"/>
        <v>0</v>
      </c>
      <c r="BH230" s="154">
        <f t="shared" ca="1" si="797"/>
        <v>0</v>
      </c>
      <c r="BI230" s="154">
        <f t="shared" ca="1" si="798"/>
        <v>0</v>
      </c>
      <c r="BJ230" s="154">
        <f t="shared" ca="1" si="799"/>
        <v>0</v>
      </c>
      <c r="BK230" s="154">
        <f t="shared" ca="1" si="800"/>
        <v>0</v>
      </c>
      <c r="BL230" s="154">
        <f t="shared" ca="1" si="801"/>
        <v>0</v>
      </c>
      <c r="BM230" s="154">
        <f t="shared" ca="1" si="802"/>
        <v>0</v>
      </c>
      <c r="BN230" s="1198">
        <f t="shared" si="816"/>
        <v>234</v>
      </c>
      <c r="BO230" s="1197" t="str">
        <f t="shared" si="803"/>
        <v>L/S: Drakhard-Zinken</v>
      </c>
      <c r="BP230" s="1197" t="str">
        <f t="shared" ca="1" si="804"/>
        <v>A</v>
      </c>
      <c r="BQ230" s="1197">
        <f t="shared" si="820"/>
        <v>7</v>
      </c>
      <c r="BR230" s="1198" t="str">
        <f t="shared" ca="1" si="817"/>
        <v/>
      </c>
      <c r="BS230" s="1198" t="s">
        <v>3851</v>
      </c>
      <c r="BT230" s="78"/>
      <c r="BU230" s="78"/>
      <c r="BV230" s="78"/>
      <c r="BW230" s="1197">
        <f t="shared" ca="1" si="818"/>
        <v>0</v>
      </c>
      <c r="BX230" s="1197">
        <f t="shared" ca="1" si="805"/>
        <v>0</v>
      </c>
      <c r="BY230" s="1197">
        <f t="shared" ca="1" si="806"/>
        <v>0</v>
      </c>
      <c r="BZ230" s="1081">
        <f t="shared" ca="1" si="807"/>
        <v>0</v>
      </c>
      <c r="CA230" s="1081">
        <f t="shared" ca="1" si="808"/>
        <v>0</v>
      </c>
      <c r="CB230" s="1081">
        <f t="shared" ca="1" si="819"/>
        <v>65</v>
      </c>
      <c r="CC230" s="1081">
        <f t="shared" ca="1" si="809"/>
        <v>65</v>
      </c>
      <c r="CD230" s="1081">
        <f t="shared" si="810"/>
        <v>0</v>
      </c>
      <c r="CE230" s="78"/>
      <c r="CF230" s="78"/>
      <c r="CG230" s="78"/>
      <c r="CH230" s="154"/>
      <c r="CI230" s="78"/>
      <c r="CJ230" s="78"/>
      <c r="CK230" s="78"/>
      <c r="CL230" s="78"/>
      <c r="CM230" s="78"/>
      <c r="CN230" s="1081">
        <f t="shared" ca="1" si="725"/>
        <v>0</v>
      </c>
      <c r="CO230" s="1081">
        <f t="shared" ca="1" si="811"/>
        <v>0</v>
      </c>
      <c r="CP230" s="1081">
        <f t="shared" ca="1" si="726"/>
        <v>0</v>
      </c>
      <c r="DJ230" s="301" t="str">
        <f t="shared" ca="1" si="812"/>
        <v>A</v>
      </c>
      <c r="DK230" s="301" t="str">
        <f t="shared" ca="1" si="812"/>
        <v>A</v>
      </c>
      <c r="DL230" s="301" t="str">
        <f t="shared" ca="1" si="812"/>
        <v>A</v>
      </c>
      <c r="DM230" s="301" t="str">
        <f t="shared" ca="1" si="812"/>
        <v>A</v>
      </c>
      <c r="DN230" s="301" t="str">
        <f t="shared" ca="1" si="812"/>
        <v>A</v>
      </c>
      <c r="DO230" s="301" t="str">
        <f t="shared" ca="1" si="812"/>
        <v>A</v>
      </c>
      <c r="DP230" s="301" t="str">
        <f t="shared" ca="1" si="812"/>
        <v>A</v>
      </c>
      <c r="DQ230" s="301" t="str">
        <f t="shared" ca="1" si="812"/>
        <v>A</v>
      </c>
      <c r="DR230" s="301" t="str">
        <f t="shared" ca="1" si="812"/>
        <v>A</v>
      </c>
      <c r="DS230" s="301" t="str">
        <f t="shared" ca="1" si="812"/>
        <v>A</v>
      </c>
      <c r="DT230" s="301" t="str">
        <f t="shared" ca="1" si="813"/>
        <v>A</v>
      </c>
      <c r="DU230" s="301" t="str">
        <f t="shared" ca="1" si="813"/>
        <v>A</v>
      </c>
      <c r="DV230" s="301" t="str">
        <f t="shared" ca="1" si="813"/>
        <v>A</v>
      </c>
      <c r="DW230" s="301" t="str">
        <f t="shared" ca="1" si="813"/>
        <v>A</v>
      </c>
      <c r="DX230" s="301" t="str">
        <f t="shared" ca="1" si="813"/>
        <v>A</v>
      </c>
      <c r="DY230" s="301" t="str">
        <f t="shared" ca="1" si="813"/>
        <v>A</v>
      </c>
      <c r="DZ230" s="301" t="str">
        <f t="shared" ca="1" si="813"/>
        <v>A</v>
      </c>
      <c r="EA230" s="301" t="str">
        <f t="shared" ca="1" si="813"/>
        <v>A</v>
      </c>
      <c r="EB230" s="301" t="str">
        <f t="shared" ca="1" si="813"/>
        <v>A</v>
      </c>
      <c r="EC230" s="301" t="str">
        <f t="shared" ca="1" si="813"/>
        <v>A</v>
      </c>
      <c r="ED230" s="301" t="str">
        <f t="shared" ca="1" si="813"/>
        <v>A</v>
      </c>
      <c r="EE230" s="301" t="str">
        <f t="shared" ca="1" si="813"/>
        <v>A</v>
      </c>
      <c r="EF230" s="301">
        <f t="shared" si="814"/>
        <v>0</v>
      </c>
      <c r="EG230" s="1426" t="str">
        <f t="shared" ca="1" si="823"/>
        <v>A</v>
      </c>
      <c r="EH230" s="1429" t="str">
        <f t="shared" ca="1" si="823"/>
        <v>A</v>
      </c>
      <c r="EI230" s="1429" t="str">
        <f t="shared" ca="1" si="823"/>
        <v>A</v>
      </c>
      <c r="EJ230" s="1429" t="str">
        <f t="shared" ca="1" si="823"/>
        <v>A</v>
      </c>
      <c r="EK230" s="1429" t="str">
        <f t="shared" ca="1" si="823"/>
        <v>A</v>
      </c>
      <c r="EL230" s="1429" t="str">
        <f t="shared" ca="1" si="823"/>
        <v>A</v>
      </c>
      <c r="EM230" s="1429" t="str">
        <f t="shared" ca="1" si="823"/>
        <v>A</v>
      </c>
      <c r="EN230" s="1429" t="str">
        <f t="shared" ca="1" si="823"/>
        <v>A</v>
      </c>
      <c r="EO230" s="1429" t="str">
        <f t="shared" ca="1" si="823"/>
        <v>A</v>
      </c>
      <c r="EP230" s="1429" t="str">
        <f t="shared" ca="1" si="823"/>
        <v>A</v>
      </c>
      <c r="EQ230" s="1429" t="str">
        <f t="shared" ca="1" si="823"/>
        <v>A</v>
      </c>
      <c r="ER230" s="1429" t="str">
        <f t="shared" ca="1" si="823"/>
        <v>A</v>
      </c>
      <c r="ES230" s="1429" t="str">
        <f t="shared" ca="1" si="823"/>
        <v>A</v>
      </c>
      <c r="ET230" s="1429" t="str">
        <f t="shared" ca="1" si="823"/>
        <v>A</v>
      </c>
      <c r="EU230" s="1429" t="str">
        <f t="shared" ca="1" si="823"/>
        <v>A</v>
      </c>
      <c r="EV230" s="1429" t="str">
        <f t="shared" ca="1" si="823"/>
        <v>A</v>
      </c>
      <c r="EW230" s="1429" t="str">
        <f t="shared" ca="1" si="822"/>
        <v>A</v>
      </c>
      <c r="EX230" s="1429" t="str">
        <f t="shared" ca="1" si="822"/>
        <v>A</v>
      </c>
      <c r="EY230" s="1429" t="str">
        <f t="shared" ca="1" si="822"/>
        <v>A</v>
      </c>
      <c r="EZ230" s="1429" t="str">
        <f t="shared" ca="1" si="822"/>
        <v>A</v>
      </c>
      <c r="FA230" s="1429" t="str">
        <f t="shared" ca="1" si="822"/>
        <v>A</v>
      </c>
      <c r="FB230" s="1429" t="str">
        <f t="shared" ca="1" si="822"/>
        <v>A</v>
      </c>
      <c r="FC230" s="1429" t="str">
        <f t="shared" ca="1" si="822"/>
        <v>A</v>
      </c>
      <c r="FD230" s="1429" t="str">
        <f t="shared" ca="1" si="822"/>
        <v>A</v>
      </c>
      <c r="FE230" s="1429" t="str">
        <f t="shared" ca="1" si="748"/>
        <v>A</v>
      </c>
      <c r="FF230" s="1429" t="str">
        <f t="shared" ca="1" si="748"/>
        <v>A</v>
      </c>
      <c r="FG230" s="1429" t="str">
        <f t="shared" ca="1" si="748"/>
        <v>A</v>
      </c>
      <c r="FH230" s="1429" t="str">
        <f t="shared" ca="1" si="748"/>
        <v>A</v>
      </c>
      <c r="FI230" s="1429" t="str">
        <f t="shared" ca="1" si="748"/>
        <v>A</v>
      </c>
      <c r="FJ230" s="1429" t="str">
        <f t="shared" ca="1" si="748"/>
        <v>A</v>
      </c>
      <c r="FK230" s="1429" t="str">
        <f t="shared" ca="1" si="748"/>
        <v>A</v>
      </c>
      <c r="FL230" s="1429" t="str">
        <f t="shared" ca="1" si="748"/>
        <v>A</v>
      </c>
    </row>
    <row r="231" spans="1:168" x14ac:dyDescent="0.2">
      <c r="A231" s="62" t="str">
        <f t="shared" si="749"/>
        <v>L/S: Drakned-Glyphen</v>
      </c>
      <c r="B231" s="317" t="str">
        <f t="shared" ca="1" si="750"/>
        <v/>
      </c>
      <c r="C231" s="332" t="str">
        <f ca="1">IF(AND(EXACT($F231,""),EXACT($G231,"")),IF(OR(NOT(ISBLANK(D231)),NOT(EXACT(HLOOKUP(RASSEGENE,RASSE,$BN231,FALSE),"")),NOT(EXACT(HLOOKUP(KULTURGENE,KULTUR,$BN231,FALSE),"")),NOT(EXACT(HLOOKUP(PROFGENE,INDIRECT(PROFGEBIET),$BN231,FALSE),"")),
IF(LEN(PROFZWEITE)&lt;1,FALSE,NOT(EXACT(HLOOKUP(Generierung!$D$12,INDIRECT(PROFGEBIET2),$BN231,FALSE),"")))
),"x",""),"")</f>
        <v/>
      </c>
      <c r="D231" s="1110"/>
      <c r="E231" s="325"/>
      <c r="F231" s="388" t="str">
        <f t="shared" ca="1" si="751"/>
        <v/>
      </c>
      <c r="G231" s="388" t="str">
        <f t="shared" ca="1" si="752"/>
        <v/>
      </c>
      <c r="H231" s="389"/>
      <c r="I231" s="1196"/>
      <c r="J231" s="326"/>
      <c r="O231" s="514" t="str">
        <f t="shared" ca="1" si="753"/>
        <v/>
      </c>
      <c r="P231" s="164">
        <f t="shared" ca="1" si="754"/>
        <v>0</v>
      </c>
      <c r="Q231" s="164">
        <f t="shared" ca="1" si="755"/>
        <v>0</v>
      </c>
      <c r="R231" s="164">
        <f t="shared" ca="1" si="756"/>
        <v>0</v>
      </c>
      <c r="S231" s="164">
        <f t="shared" ca="1" si="757"/>
        <v>0</v>
      </c>
      <c r="T231" s="164">
        <f t="shared" ca="1" si="758"/>
        <v>0</v>
      </c>
      <c r="U231" s="164">
        <f t="shared" ca="1" si="759"/>
        <v>0</v>
      </c>
      <c r="V231" s="164">
        <f t="shared" ca="1" si="760"/>
        <v>0</v>
      </c>
      <c r="W231" s="164">
        <f t="shared" ca="1" si="761"/>
        <v>0</v>
      </c>
      <c r="X231" s="164">
        <f t="shared" ca="1" si="762"/>
        <v>0</v>
      </c>
      <c r="Y231" s="164">
        <f t="shared" ca="1" si="763"/>
        <v>0</v>
      </c>
      <c r="Z231" s="164">
        <f t="shared" ca="1" si="764"/>
        <v>0</v>
      </c>
      <c r="AA231" s="164">
        <f t="shared" ca="1" si="765"/>
        <v>0</v>
      </c>
      <c r="AB231" s="164">
        <f t="shared" ca="1" si="766"/>
        <v>0</v>
      </c>
      <c r="AC231" s="164">
        <f t="shared" ca="1" si="767"/>
        <v>0</v>
      </c>
      <c r="AD231" s="164">
        <f t="shared" ca="1" si="768"/>
        <v>0</v>
      </c>
      <c r="AE231" s="164">
        <f t="shared" ca="1" si="769"/>
        <v>0</v>
      </c>
      <c r="AF231" s="164">
        <f t="shared" ca="1" si="770"/>
        <v>0</v>
      </c>
      <c r="AG231" s="164">
        <f t="shared" ca="1" si="771"/>
        <v>0</v>
      </c>
      <c r="AH231" s="164">
        <f t="shared" ca="1" si="772"/>
        <v>0</v>
      </c>
      <c r="AI231" s="164">
        <f t="shared" ca="1" si="773"/>
        <v>0</v>
      </c>
      <c r="AJ231" s="164">
        <f t="shared" ca="1" si="774"/>
        <v>0</v>
      </c>
      <c r="AK231" s="164">
        <f t="shared" ca="1" si="775"/>
        <v>0</v>
      </c>
      <c r="AL231" s="164">
        <f t="shared" si="776"/>
        <v>0</v>
      </c>
      <c r="AM231" s="164">
        <f t="shared" ca="1" si="777"/>
        <v>0</v>
      </c>
      <c r="AN231" s="205"/>
      <c r="AO231" s="154">
        <f t="shared" ca="1" si="778"/>
        <v>0</v>
      </c>
      <c r="AP231" s="154">
        <f t="shared" ca="1" si="779"/>
        <v>0</v>
      </c>
      <c r="AQ231" s="154">
        <f t="shared" ca="1" si="780"/>
        <v>0</v>
      </c>
      <c r="AR231" s="154">
        <f t="shared" ca="1" si="781"/>
        <v>0</v>
      </c>
      <c r="AS231" s="154">
        <f t="shared" ca="1" si="782"/>
        <v>0</v>
      </c>
      <c r="AT231" s="154">
        <f t="shared" ca="1" si="783"/>
        <v>0</v>
      </c>
      <c r="AU231" s="154">
        <f t="shared" ca="1" si="784"/>
        <v>0</v>
      </c>
      <c r="AV231" s="154">
        <f t="shared" ca="1" si="785"/>
        <v>0</v>
      </c>
      <c r="AW231" s="154">
        <f t="shared" ca="1" si="786"/>
        <v>0</v>
      </c>
      <c r="AX231" s="154">
        <f t="shared" ca="1" si="787"/>
        <v>0</v>
      </c>
      <c r="AY231" s="154">
        <f t="shared" ca="1" si="788"/>
        <v>0</v>
      </c>
      <c r="AZ231" s="154">
        <f t="shared" ca="1" si="789"/>
        <v>0</v>
      </c>
      <c r="BA231" s="154">
        <f t="shared" ca="1" si="790"/>
        <v>0</v>
      </c>
      <c r="BB231" s="154">
        <f t="shared" ca="1" si="791"/>
        <v>0</v>
      </c>
      <c r="BC231" s="154">
        <f t="shared" ca="1" si="792"/>
        <v>0</v>
      </c>
      <c r="BD231" s="154">
        <f t="shared" ca="1" si="793"/>
        <v>0</v>
      </c>
      <c r="BE231" s="154">
        <f t="shared" ca="1" si="794"/>
        <v>0</v>
      </c>
      <c r="BF231" s="154">
        <f t="shared" ca="1" si="795"/>
        <v>0</v>
      </c>
      <c r="BG231" s="154">
        <f t="shared" ca="1" si="796"/>
        <v>0</v>
      </c>
      <c r="BH231" s="154">
        <f t="shared" ca="1" si="797"/>
        <v>0</v>
      </c>
      <c r="BI231" s="154">
        <f t="shared" ca="1" si="798"/>
        <v>0</v>
      </c>
      <c r="BJ231" s="154">
        <f t="shared" ca="1" si="799"/>
        <v>0</v>
      </c>
      <c r="BK231" s="154">
        <f t="shared" ca="1" si="800"/>
        <v>0</v>
      </c>
      <c r="BL231" s="154">
        <f t="shared" ca="1" si="801"/>
        <v>0</v>
      </c>
      <c r="BM231" s="154">
        <f t="shared" ca="1" si="802"/>
        <v>0</v>
      </c>
      <c r="BN231" s="1198">
        <f t="shared" si="816"/>
        <v>235</v>
      </c>
      <c r="BO231" s="1197" t="str">
        <f t="shared" si="803"/>
        <v>L/S: Drakned-Glyphen</v>
      </c>
      <c r="BP231" s="1197" t="str">
        <f t="shared" ca="1" si="804"/>
        <v>B</v>
      </c>
      <c r="BQ231" s="1197">
        <f t="shared" si="820"/>
        <v>8</v>
      </c>
      <c r="BR231" s="1198" t="str">
        <f t="shared" ca="1" si="817"/>
        <v/>
      </c>
      <c r="BS231" s="1198" t="s">
        <v>3472</v>
      </c>
      <c r="BT231" s="78"/>
      <c r="BU231" s="78"/>
      <c r="BV231" s="78"/>
      <c r="BW231" s="1197">
        <f t="shared" ca="1" si="818"/>
        <v>0</v>
      </c>
      <c r="BX231" s="1197">
        <f t="shared" ca="1" si="805"/>
        <v>0</v>
      </c>
      <c r="BY231" s="1197">
        <f t="shared" ca="1" si="806"/>
        <v>0</v>
      </c>
      <c r="BZ231" s="1081">
        <f t="shared" ca="1" si="807"/>
        <v>0</v>
      </c>
      <c r="CA231" s="1081">
        <f t="shared" ca="1" si="808"/>
        <v>0</v>
      </c>
      <c r="CB231" s="1081">
        <f t="shared" ca="1" si="819"/>
        <v>66</v>
      </c>
      <c r="CC231" s="1081">
        <f t="shared" ca="1" si="809"/>
        <v>66</v>
      </c>
      <c r="CD231" s="1081">
        <f t="shared" si="810"/>
        <v>0</v>
      </c>
      <c r="CE231" s="78"/>
      <c r="CF231" s="78"/>
      <c r="CG231" s="78"/>
      <c r="CH231" s="154"/>
      <c r="CI231" s="78"/>
      <c r="CJ231" s="78"/>
      <c r="CK231" s="78"/>
      <c r="CL231" s="78"/>
      <c r="CM231" s="78"/>
      <c r="CN231" s="1081">
        <f t="shared" ca="1" si="725"/>
        <v>0</v>
      </c>
      <c r="CO231" s="1081">
        <f t="shared" ca="1" si="811"/>
        <v>0</v>
      </c>
      <c r="CP231" s="1081">
        <f t="shared" ca="1" si="726"/>
        <v>0</v>
      </c>
      <c r="DJ231" s="301" t="str">
        <f t="shared" ca="1" si="812"/>
        <v>B</v>
      </c>
      <c r="DK231" s="301" t="str">
        <f t="shared" ca="1" si="812"/>
        <v>B</v>
      </c>
      <c r="DL231" s="301" t="str">
        <f t="shared" ca="1" si="812"/>
        <v>B</v>
      </c>
      <c r="DM231" s="301" t="str">
        <f t="shared" ca="1" si="812"/>
        <v>B</v>
      </c>
      <c r="DN231" s="301" t="str">
        <f t="shared" ca="1" si="812"/>
        <v>B</v>
      </c>
      <c r="DO231" s="301" t="str">
        <f t="shared" ca="1" si="812"/>
        <v>B</v>
      </c>
      <c r="DP231" s="301" t="str">
        <f t="shared" ca="1" si="812"/>
        <v>B</v>
      </c>
      <c r="DQ231" s="301" t="str">
        <f t="shared" ca="1" si="812"/>
        <v>B</v>
      </c>
      <c r="DR231" s="301" t="str">
        <f t="shared" ca="1" si="812"/>
        <v>B</v>
      </c>
      <c r="DS231" s="301" t="str">
        <f t="shared" ca="1" si="812"/>
        <v>B</v>
      </c>
      <c r="DT231" s="301" t="str">
        <f t="shared" ca="1" si="813"/>
        <v>B</v>
      </c>
      <c r="DU231" s="301" t="str">
        <f t="shared" ca="1" si="813"/>
        <v>B</v>
      </c>
      <c r="DV231" s="301" t="str">
        <f t="shared" ca="1" si="813"/>
        <v>B</v>
      </c>
      <c r="DW231" s="301" t="str">
        <f t="shared" ca="1" si="813"/>
        <v>B</v>
      </c>
      <c r="DX231" s="301" t="str">
        <f t="shared" ca="1" si="813"/>
        <v>B</v>
      </c>
      <c r="DY231" s="301" t="str">
        <f t="shared" ca="1" si="813"/>
        <v>B</v>
      </c>
      <c r="DZ231" s="301" t="str">
        <f t="shared" ca="1" si="813"/>
        <v>B</v>
      </c>
      <c r="EA231" s="301" t="str">
        <f t="shared" ca="1" si="813"/>
        <v>B</v>
      </c>
      <c r="EB231" s="301" t="str">
        <f t="shared" ca="1" si="813"/>
        <v>B</v>
      </c>
      <c r="EC231" s="301" t="str">
        <f t="shared" ca="1" si="813"/>
        <v>B</v>
      </c>
      <c r="ED231" s="301" t="str">
        <f t="shared" ca="1" si="813"/>
        <v>B</v>
      </c>
      <c r="EE231" s="301" t="str">
        <f t="shared" ca="1" si="813"/>
        <v>B</v>
      </c>
      <c r="EF231" s="301">
        <f t="shared" si="814"/>
        <v>0</v>
      </c>
      <c r="EG231" s="1426" t="str">
        <f t="shared" ca="1" si="823"/>
        <v>B</v>
      </c>
      <c r="EH231" s="1429" t="str">
        <f t="shared" ca="1" si="823"/>
        <v>B</v>
      </c>
      <c r="EI231" s="1429" t="str">
        <f t="shared" ca="1" si="823"/>
        <v>B</v>
      </c>
      <c r="EJ231" s="1429" t="str">
        <f t="shared" ca="1" si="823"/>
        <v>B</v>
      </c>
      <c r="EK231" s="1429" t="str">
        <f t="shared" ca="1" si="823"/>
        <v>B</v>
      </c>
      <c r="EL231" s="1429" t="str">
        <f t="shared" ca="1" si="823"/>
        <v>B</v>
      </c>
      <c r="EM231" s="1429" t="str">
        <f t="shared" ca="1" si="823"/>
        <v>B</v>
      </c>
      <c r="EN231" s="1429" t="str">
        <f t="shared" ca="1" si="823"/>
        <v>B</v>
      </c>
      <c r="EO231" s="1429" t="str">
        <f t="shared" ca="1" si="823"/>
        <v>B</v>
      </c>
      <c r="EP231" s="1429" t="str">
        <f t="shared" ca="1" si="823"/>
        <v>B</v>
      </c>
      <c r="EQ231" s="1429" t="str">
        <f t="shared" ca="1" si="823"/>
        <v>B</v>
      </c>
      <c r="ER231" s="1429" t="str">
        <f t="shared" ca="1" si="823"/>
        <v>B</v>
      </c>
      <c r="ES231" s="1429" t="str">
        <f t="shared" ca="1" si="823"/>
        <v>B</v>
      </c>
      <c r="ET231" s="1429" t="str">
        <f t="shared" ca="1" si="823"/>
        <v>B</v>
      </c>
      <c r="EU231" s="1429" t="str">
        <f t="shared" ca="1" si="823"/>
        <v>B</v>
      </c>
      <c r="EV231" s="1429" t="str">
        <f t="shared" ca="1" si="823"/>
        <v>B</v>
      </c>
      <c r="EW231" s="1429" t="str">
        <f t="shared" ca="1" si="822"/>
        <v>B</v>
      </c>
      <c r="EX231" s="1429" t="str">
        <f t="shared" ca="1" si="822"/>
        <v>B</v>
      </c>
      <c r="EY231" s="1429" t="str">
        <f t="shared" ca="1" si="822"/>
        <v>B</v>
      </c>
      <c r="EZ231" s="1429" t="str">
        <f t="shared" ca="1" si="822"/>
        <v>B</v>
      </c>
      <c r="FA231" s="1429" t="str">
        <f t="shared" ca="1" si="822"/>
        <v>B</v>
      </c>
      <c r="FB231" s="1429" t="str">
        <f t="shared" ca="1" si="822"/>
        <v>B</v>
      </c>
      <c r="FC231" s="1429" t="str">
        <f t="shared" ca="1" si="822"/>
        <v>B</v>
      </c>
      <c r="FD231" s="1429" t="str">
        <f t="shared" ca="1" si="822"/>
        <v>B</v>
      </c>
      <c r="FE231" s="1429" t="str">
        <f t="shared" ca="1" si="748"/>
        <v>B</v>
      </c>
      <c r="FF231" s="1429" t="str">
        <f t="shared" ca="1" si="748"/>
        <v>B</v>
      </c>
      <c r="FG231" s="1429" t="str">
        <f t="shared" ca="1" si="748"/>
        <v>B</v>
      </c>
      <c r="FH231" s="1429" t="str">
        <f t="shared" ca="1" si="748"/>
        <v>B</v>
      </c>
      <c r="FI231" s="1429" t="str">
        <f t="shared" ca="1" si="748"/>
        <v>B</v>
      </c>
      <c r="FJ231" s="1429" t="str">
        <f t="shared" ca="1" si="748"/>
        <v>B</v>
      </c>
      <c r="FK231" s="1429" t="str">
        <f t="shared" ca="1" si="748"/>
        <v>B</v>
      </c>
      <c r="FL231" s="1429" t="str">
        <f t="shared" ca="1" si="748"/>
        <v>B</v>
      </c>
    </row>
    <row r="232" spans="1:168" x14ac:dyDescent="0.2">
      <c r="A232" s="62" t="str">
        <f t="shared" si="749"/>
        <v>L/S: Gimaril</v>
      </c>
      <c r="B232" s="317" t="str">
        <f t="shared" ca="1" si="750"/>
        <v/>
      </c>
      <c r="C232" s="332" t="str">
        <f ca="1">IF(AND(EXACT($F232,""),EXACT($G232,"")),IF(OR(NOT(ISBLANK(D232)),NOT(EXACT(HLOOKUP(RASSEGENE,RASSE,$BN232,FALSE),"")),NOT(EXACT(HLOOKUP(KULTURGENE,KULTUR,$BN232,FALSE),"")),NOT(EXACT(HLOOKUP(PROFGENE,INDIRECT(PROFGEBIET),$BN232,FALSE),"")),
IF(LEN(PROFZWEITE)&lt;1,FALSE,NOT(EXACT(HLOOKUP(Generierung!$D$12,INDIRECT(PROFGEBIET2),$BN232,FALSE),"")))
),"x",""),"")</f>
        <v/>
      </c>
      <c r="D232" s="1110"/>
      <c r="E232" s="325"/>
      <c r="F232" s="388" t="str">
        <f t="shared" ca="1" si="751"/>
        <v/>
      </c>
      <c r="G232" s="388" t="str">
        <f t="shared" ca="1" si="752"/>
        <v/>
      </c>
      <c r="H232" s="389"/>
      <c r="I232" s="1196"/>
      <c r="J232" s="326"/>
      <c r="O232" s="514" t="str">
        <f t="shared" ca="1" si="753"/>
        <v/>
      </c>
      <c r="P232" s="164">
        <f t="shared" ca="1" si="754"/>
        <v>0</v>
      </c>
      <c r="Q232" s="164">
        <f t="shared" ca="1" si="755"/>
        <v>0</v>
      </c>
      <c r="R232" s="164">
        <f t="shared" ca="1" si="756"/>
        <v>0</v>
      </c>
      <c r="S232" s="164">
        <f t="shared" ca="1" si="757"/>
        <v>0</v>
      </c>
      <c r="T232" s="164">
        <f t="shared" ca="1" si="758"/>
        <v>0</v>
      </c>
      <c r="U232" s="164">
        <f t="shared" ca="1" si="759"/>
        <v>0</v>
      </c>
      <c r="V232" s="164">
        <f t="shared" ca="1" si="760"/>
        <v>0</v>
      </c>
      <c r="W232" s="164">
        <f t="shared" ca="1" si="761"/>
        <v>0</v>
      </c>
      <c r="X232" s="164">
        <f t="shared" ca="1" si="762"/>
        <v>0</v>
      </c>
      <c r="Y232" s="164">
        <f t="shared" ca="1" si="763"/>
        <v>0</v>
      </c>
      <c r="Z232" s="164">
        <f t="shared" ca="1" si="764"/>
        <v>0</v>
      </c>
      <c r="AA232" s="164">
        <f t="shared" ca="1" si="765"/>
        <v>0</v>
      </c>
      <c r="AB232" s="164">
        <f t="shared" ca="1" si="766"/>
        <v>0</v>
      </c>
      <c r="AC232" s="164">
        <f t="shared" ca="1" si="767"/>
        <v>0</v>
      </c>
      <c r="AD232" s="164">
        <f t="shared" ca="1" si="768"/>
        <v>0</v>
      </c>
      <c r="AE232" s="164">
        <f t="shared" ca="1" si="769"/>
        <v>0</v>
      </c>
      <c r="AF232" s="164">
        <f t="shared" ca="1" si="770"/>
        <v>0</v>
      </c>
      <c r="AG232" s="164">
        <f t="shared" ca="1" si="771"/>
        <v>0</v>
      </c>
      <c r="AH232" s="164">
        <f t="shared" ca="1" si="772"/>
        <v>0</v>
      </c>
      <c r="AI232" s="164">
        <f t="shared" ca="1" si="773"/>
        <v>0</v>
      </c>
      <c r="AJ232" s="164">
        <f t="shared" ca="1" si="774"/>
        <v>0</v>
      </c>
      <c r="AK232" s="164">
        <f t="shared" ca="1" si="775"/>
        <v>0</v>
      </c>
      <c r="AL232" s="164">
        <f t="shared" si="776"/>
        <v>0</v>
      </c>
      <c r="AM232" s="164">
        <f t="shared" ca="1" si="777"/>
        <v>0</v>
      </c>
      <c r="AN232" s="205"/>
      <c r="AO232" s="154">
        <f t="shared" ca="1" si="778"/>
        <v>0</v>
      </c>
      <c r="AP232" s="154">
        <f t="shared" ca="1" si="779"/>
        <v>0</v>
      </c>
      <c r="AQ232" s="154">
        <f t="shared" ca="1" si="780"/>
        <v>0</v>
      </c>
      <c r="AR232" s="154">
        <f t="shared" ca="1" si="781"/>
        <v>0</v>
      </c>
      <c r="AS232" s="154">
        <f t="shared" ca="1" si="782"/>
        <v>0</v>
      </c>
      <c r="AT232" s="154">
        <f t="shared" ca="1" si="783"/>
        <v>0</v>
      </c>
      <c r="AU232" s="154">
        <f t="shared" ca="1" si="784"/>
        <v>0</v>
      </c>
      <c r="AV232" s="154">
        <f t="shared" ca="1" si="785"/>
        <v>0</v>
      </c>
      <c r="AW232" s="154">
        <f t="shared" ca="1" si="786"/>
        <v>0</v>
      </c>
      <c r="AX232" s="154">
        <f t="shared" ca="1" si="787"/>
        <v>0</v>
      </c>
      <c r="AY232" s="154">
        <f t="shared" ca="1" si="788"/>
        <v>0</v>
      </c>
      <c r="AZ232" s="154">
        <f t="shared" ca="1" si="789"/>
        <v>0</v>
      </c>
      <c r="BA232" s="154">
        <f t="shared" ca="1" si="790"/>
        <v>0</v>
      </c>
      <c r="BB232" s="154">
        <f t="shared" ca="1" si="791"/>
        <v>0</v>
      </c>
      <c r="BC232" s="154">
        <f t="shared" ca="1" si="792"/>
        <v>0</v>
      </c>
      <c r="BD232" s="154">
        <f t="shared" ca="1" si="793"/>
        <v>0</v>
      </c>
      <c r="BE232" s="154">
        <f t="shared" ca="1" si="794"/>
        <v>0</v>
      </c>
      <c r="BF232" s="154">
        <f t="shared" ca="1" si="795"/>
        <v>0</v>
      </c>
      <c r="BG232" s="154">
        <f t="shared" ca="1" si="796"/>
        <v>0</v>
      </c>
      <c r="BH232" s="154">
        <f t="shared" ca="1" si="797"/>
        <v>0</v>
      </c>
      <c r="BI232" s="154">
        <f t="shared" ca="1" si="798"/>
        <v>0</v>
      </c>
      <c r="BJ232" s="154">
        <f t="shared" ca="1" si="799"/>
        <v>0</v>
      </c>
      <c r="BK232" s="154">
        <f t="shared" ca="1" si="800"/>
        <v>0</v>
      </c>
      <c r="BL232" s="154">
        <f t="shared" ca="1" si="801"/>
        <v>0</v>
      </c>
      <c r="BM232" s="154">
        <f t="shared" ca="1" si="802"/>
        <v>0</v>
      </c>
      <c r="BN232" s="1198">
        <f t="shared" si="816"/>
        <v>236</v>
      </c>
      <c r="BO232" s="1197" t="str">
        <f t="shared" si="803"/>
        <v>L/S: Gimaril</v>
      </c>
      <c r="BP232" s="1197" t="str">
        <f t="shared" ca="1" si="804"/>
        <v>A</v>
      </c>
      <c r="BQ232" s="1197">
        <f t="shared" si="820"/>
        <v>9</v>
      </c>
      <c r="BR232" s="1198" t="str">
        <f t="shared" ca="1" si="817"/>
        <v/>
      </c>
      <c r="BS232" s="1198" t="s">
        <v>3852</v>
      </c>
      <c r="BT232" s="78"/>
      <c r="BU232" s="78"/>
      <c r="BV232" s="78"/>
      <c r="BW232" s="1197">
        <f t="shared" ca="1" si="818"/>
        <v>0</v>
      </c>
      <c r="BX232" s="1197">
        <f t="shared" ca="1" si="805"/>
        <v>0</v>
      </c>
      <c r="BY232" s="1197">
        <f t="shared" ca="1" si="806"/>
        <v>0</v>
      </c>
      <c r="BZ232" s="1081">
        <f t="shared" ca="1" si="807"/>
        <v>0</v>
      </c>
      <c r="CA232" s="1081">
        <f t="shared" ca="1" si="808"/>
        <v>0</v>
      </c>
      <c r="CB232" s="1081">
        <f t="shared" ca="1" si="819"/>
        <v>65</v>
      </c>
      <c r="CC232" s="1081">
        <f t="shared" ca="1" si="809"/>
        <v>65</v>
      </c>
      <c r="CD232" s="1081">
        <f t="shared" si="810"/>
        <v>0</v>
      </c>
      <c r="CE232" s="78"/>
      <c r="CF232" s="78"/>
      <c r="CG232" s="78"/>
      <c r="CH232" s="154"/>
      <c r="CI232" s="78"/>
      <c r="CJ232" s="78"/>
      <c r="CK232" s="78"/>
      <c r="CL232" s="78"/>
      <c r="CM232" s="78"/>
      <c r="CN232" s="1081">
        <f t="shared" ca="1" si="725"/>
        <v>0</v>
      </c>
      <c r="CO232" s="1081">
        <f t="shared" ca="1" si="811"/>
        <v>0</v>
      </c>
      <c r="CP232" s="1081">
        <f t="shared" ca="1" si="726"/>
        <v>0</v>
      </c>
      <c r="DJ232" s="301" t="str">
        <f t="shared" ca="1" si="812"/>
        <v>A</v>
      </c>
      <c r="DK232" s="301" t="str">
        <f t="shared" ca="1" si="812"/>
        <v>A</v>
      </c>
      <c r="DL232" s="301" t="str">
        <f t="shared" ca="1" si="812"/>
        <v>A</v>
      </c>
      <c r="DM232" s="301" t="str">
        <f t="shared" ca="1" si="812"/>
        <v>A</v>
      </c>
      <c r="DN232" s="301" t="str">
        <f t="shared" ca="1" si="812"/>
        <v>A</v>
      </c>
      <c r="DO232" s="301" t="str">
        <f t="shared" ca="1" si="812"/>
        <v>A</v>
      </c>
      <c r="DP232" s="301" t="str">
        <f t="shared" ca="1" si="812"/>
        <v>A</v>
      </c>
      <c r="DQ232" s="301" t="str">
        <f t="shared" ca="1" si="812"/>
        <v>A</v>
      </c>
      <c r="DR232" s="301" t="str">
        <f t="shared" ca="1" si="812"/>
        <v>A</v>
      </c>
      <c r="DS232" s="301" t="str">
        <f t="shared" ca="1" si="812"/>
        <v>A</v>
      </c>
      <c r="DT232" s="301" t="str">
        <f t="shared" ca="1" si="813"/>
        <v>A</v>
      </c>
      <c r="DU232" s="301" t="str">
        <f t="shared" ca="1" si="813"/>
        <v>A</v>
      </c>
      <c r="DV232" s="301" t="str">
        <f t="shared" ca="1" si="813"/>
        <v>A</v>
      </c>
      <c r="DW232" s="301" t="str">
        <f t="shared" ca="1" si="813"/>
        <v>A</v>
      </c>
      <c r="DX232" s="301" t="str">
        <f t="shared" ca="1" si="813"/>
        <v>A</v>
      </c>
      <c r="DY232" s="301" t="str">
        <f t="shared" ca="1" si="813"/>
        <v>A</v>
      </c>
      <c r="DZ232" s="301" t="str">
        <f t="shared" ca="1" si="813"/>
        <v>A</v>
      </c>
      <c r="EA232" s="301" t="str">
        <f t="shared" ca="1" si="813"/>
        <v>A</v>
      </c>
      <c r="EB232" s="301" t="str">
        <f t="shared" ca="1" si="813"/>
        <v>A</v>
      </c>
      <c r="EC232" s="301" t="str">
        <f t="shared" ca="1" si="813"/>
        <v>A</v>
      </c>
      <c r="ED232" s="301" t="str">
        <f t="shared" ca="1" si="813"/>
        <v>A</v>
      </c>
      <c r="EE232" s="301" t="str">
        <f t="shared" ca="1" si="813"/>
        <v>A</v>
      </c>
      <c r="EF232" s="301">
        <f t="shared" si="814"/>
        <v>0</v>
      </c>
      <c r="EG232" s="1426" t="str">
        <f t="shared" ca="1" si="823"/>
        <v>A</v>
      </c>
      <c r="EH232" s="1429" t="str">
        <f t="shared" ca="1" si="823"/>
        <v>A</v>
      </c>
      <c r="EI232" s="1429" t="str">
        <f t="shared" ca="1" si="823"/>
        <v>A</v>
      </c>
      <c r="EJ232" s="1429" t="str">
        <f t="shared" ca="1" si="823"/>
        <v>A</v>
      </c>
      <c r="EK232" s="1429" t="str">
        <f t="shared" ca="1" si="823"/>
        <v>A</v>
      </c>
      <c r="EL232" s="1429" t="str">
        <f t="shared" ca="1" si="823"/>
        <v>A</v>
      </c>
      <c r="EM232" s="1429" t="str">
        <f t="shared" ca="1" si="823"/>
        <v>A</v>
      </c>
      <c r="EN232" s="1429" t="str">
        <f t="shared" ca="1" si="823"/>
        <v>A</v>
      </c>
      <c r="EO232" s="1429" t="str">
        <f t="shared" ca="1" si="823"/>
        <v>A</v>
      </c>
      <c r="EP232" s="1429" t="str">
        <f t="shared" ca="1" si="823"/>
        <v>A</v>
      </c>
      <c r="EQ232" s="1429" t="str">
        <f t="shared" ca="1" si="823"/>
        <v>A</v>
      </c>
      <c r="ER232" s="1429" t="str">
        <f t="shared" ca="1" si="823"/>
        <v>A</v>
      </c>
      <c r="ES232" s="1429" t="str">
        <f t="shared" ca="1" si="823"/>
        <v>A</v>
      </c>
      <c r="ET232" s="1429" t="str">
        <f t="shared" ca="1" si="823"/>
        <v>A</v>
      </c>
      <c r="EU232" s="1429" t="str">
        <f t="shared" ca="1" si="823"/>
        <v>A</v>
      </c>
      <c r="EV232" s="1429" t="str">
        <f t="shared" ca="1" si="823"/>
        <v>A</v>
      </c>
      <c r="EW232" s="1429" t="str">
        <f t="shared" ca="1" si="822"/>
        <v>A</v>
      </c>
      <c r="EX232" s="1429" t="str">
        <f t="shared" ca="1" si="822"/>
        <v>A</v>
      </c>
      <c r="EY232" s="1429" t="str">
        <f t="shared" ca="1" si="822"/>
        <v>A</v>
      </c>
      <c r="EZ232" s="1429" t="str">
        <f t="shared" ca="1" si="822"/>
        <v>A</v>
      </c>
      <c r="FA232" s="1429" t="str">
        <f t="shared" ca="1" si="822"/>
        <v>A</v>
      </c>
      <c r="FB232" s="1429" t="str">
        <f t="shared" ca="1" si="822"/>
        <v>A</v>
      </c>
      <c r="FC232" s="1429" t="str">
        <f t="shared" ca="1" si="822"/>
        <v>A</v>
      </c>
      <c r="FD232" s="1429" t="str">
        <f t="shared" ca="1" si="822"/>
        <v>A</v>
      </c>
      <c r="FE232" s="1429" t="str">
        <f t="shared" ca="1" si="748"/>
        <v>A</v>
      </c>
      <c r="FF232" s="1429" t="str">
        <f t="shared" ca="1" si="748"/>
        <v>A</v>
      </c>
      <c r="FG232" s="1429" t="str">
        <f t="shared" ca="1" si="748"/>
        <v>A</v>
      </c>
      <c r="FH232" s="1429" t="str">
        <f t="shared" ca="1" si="748"/>
        <v>A</v>
      </c>
      <c r="FI232" s="1429" t="str">
        <f t="shared" ca="1" si="748"/>
        <v>A</v>
      </c>
      <c r="FJ232" s="1429" t="str">
        <f t="shared" ca="1" si="748"/>
        <v>A</v>
      </c>
      <c r="FK232" s="1429" t="str">
        <f t="shared" ca="1" si="748"/>
        <v>A</v>
      </c>
      <c r="FL232" s="1429" t="str">
        <f t="shared" ca="1" si="748"/>
        <v>A</v>
      </c>
    </row>
    <row r="233" spans="1:168" x14ac:dyDescent="0.2">
      <c r="A233" s="62" t="str">
        <f t="shared" si="749"/>
        <v>L/S: Gjalskisch</v>
      </c>
      <c r="B233" s="317" t="str">
        <f t="shared" ca="1" si="750"/>
        <v/>
      </c>
      <c r="C233" s="332" t="str">
        <f ca="1">IF(AND(EXACT($F233,""),EXACT($G233,"")),IF(OR(NOT(ISBLANK(D233)),NOT(EXACT(HLOOKUP(RASSEGENE,RASSE,$BN233,FALSE),"")),NOT(EXACT(HLOOKUP(KULTURGENE,KULTUR,$BN233,FALSE),"")),NOT(EXACT(HLOOKUP(PROFGENE,INDIRECT(PROFGEBIET),$BN233,FALSE),"")),
IF(LEN(PROFZWEITE)&lt;1,FALSE,NOT(EXACT(HLOOKUP(Generierung!$D$12,INDIRECT(PROFGEBIET2),$BN233,FALSE),"")))
),"x",""),"")</f>
        <v/>
      </c>
      <c r="D233" s="1110"/>
      <c r="E233" s="325"/>
      <c r="F233" s="388" t="str">
        <f t="shared" ca="1" si="751"/>
        <v/>
      </c>
      <c r="G233" s="388" t="str">
        <f t="shared" ca="1" si="752"/>
        <v/>
      </c>
      <c r="H233" s="389"/>
      <c r="I233" s="1196"/>
      <c r="J233" s="326"/>
      <c r="O233" s="514" t="str">
        <f t="shared" ca="1" si="753"/>
        <v/>
      </c>
      <c r="P233" s="164">
        <f t="shared" ca="1" si="754"/>
        <v>0</v>
      </c>
      <c r="Q233" s="164">
        <f t="shared" ca="1" si="755"/>
        <v>0</v>
      </c>
      <c r="R233" s="164">
        <f t="shared" ca="1" si="756"/>
        <v>0</v>
      </c>
      <c r="S233" s="164">
        <f t="shared" ca="1" si="757"/>
        <v>0</v>
      </c>
      <c r="T233" s="164">
        <f t="shared" ca="1" si="758"/>
        <v>0</v>
      </c>
      <c r="U233" s="164">
        <f t="shared" ca="1" si="759"/>
        <v>0</v>
      </c>
      <c r="V233" s="164">
        <f t="shared" ca="1" si="760"/>
        <v>0</v>
      </c>
      <c r="W233" s="164">
        <f t="shared" ca="1" si="761"/>
        <v>0</v>
      </c>
      <c r="X233" s="164">
        <f t="shared" ca="1" si="762"/>
        <v>0</v>
      </c>
      <c r="Y233" s="164">
        <f t="shared" ca="1" si="763"/>
        <v>0</v>
      </c>
      <c r="Z233" s="164">
        <f t="shared" ca="1" si="764"/>
        <v>0</v>
      </c>
      <c r="AA233" s="164">
        <f t="shared" ca="1" si="765"/>
        <v>0</v>
      </c>
      <c r="AB233" s="164">
        <f t="shared" ca="1" si="766"/>
        <v>0</v>
      </c>
      <c r="AC233" s="164">
        <f t="shared" ca="1" si="767"/>
        <v>0</v>
      </c>
      <c r="AD233" s="164">
        <f t="shared" ca="1" si="768"/>
        <v>0</v>
      </c>
      <c r="AE233" s="164">
        <f t="shared" ca="1" si="769"/>
        <v>0</v>
      </c>
      <c r="AF233" s="164">
        <f t="shared" ca="1" si="770"/>
        <v>0</v>
      </c>
      <c r="AG233" s="164">
        <f t="shared" ca="1" si="771"/>
        <v>0</v>
      </c>
      <c r="AH233" s="164">
        <f t="shared" ca="1" si="772"/>
        <v>0</v>
      </c>
      <c r="AI233" s="164">
        <f t="shared" ca="1" si="773"/>
        <v>0</v>
      </c>
      <c r="AJ233" s="164">
        <f t="shared" ca="1" si="774"/>
        <v>0</v>
      </c>
      <c r="AK233" s="164">
        <f t="shared" ca="1" si="775"/>
        <v>0</v>
      </c>
      <c r="AL233" s="164">
        <f t="shared" si="776"/>
        <v>0</v>
      </c>
      <c r="AM233" s="164">
        <f t="shared" ca="1" si="777"/>
        <v>0</v>
      </c>
      <c r="AN233" s="205"/>
      <c r="AO233" s="154">
        <f t="shared" ca="1" si="778"/>
        <v>0</v>
      </c>
      <c r="AP233" s="154">
        <f t="shared" ca="1" si="779"/>
        <v>0</v>
      </c>
      <c r="AQ233" s="154">
        <f t="shared" ca="1" si="780"/>
        <v>0</v>
      </c>
      <c r="AR233" s="154">
        <f t="shared" ca="1" si="781"/>
        <v>0</v>
      </c>
      <c r="AS233" s="154">
        <f t="shared" ca="1" si="782"/>
        <v>0</v>
      </c>
      <c r="AT233" s="154">
        <f t="shared" ca="1" si="783"/>
        <v>0</v>
      </c>
      <c r="AU233" s="154">
        <f t="shared" ca="1" si="784"/>
        <v>0</v>
      </c>
      <c r="AV233" s="154">
        <f t="shared" ca="1" si="785"/>
        <v>0</v>
      </c>
      <c r="AW233" s="154">
        <f t="shared" ca="1" si="786"/>
        <v>0</v>
      </c>
      <c r="AX233" s="154">
        <f t="shared" ca="1" si="787"/>
        <v>0</v>
      </c>
      <c r="AY233" s="154">
        <f t="shared" ca="1" si="788"/>
        <v>0</v>
      </c>
      <c r="AZ233" s="154">
        <f t="shared" ca="1" si="789"/>
        <v>0</v>
      </c>
      <c r="BA233" s="154">
        <f t="shared" ca="1" si="790"/>
        <v>0</v>
      </c>
      <c r="BB233" s="154">
        <f t="shared" ca="1" si="791"/>
        <v>0</v>
      </c>
      <c r="BC233" s="154">
        <f t="shared" ca="1" si="792"/>
        <v>0</v>
      </c>
      <c r="BD233" s="154">
        <f t="shared" ca="1" si="793"/>
        <v>0</v>
      </c>
      <c r="BE233" s="154">
        <f t="shared" ca="1" si="794"/>
        <v>0</v>
      </c>
      <c r="BF233" s="154">
        <f t="shared" ca="1" si="795"/>
        <v>0</v>
      </c>
      <c r="BG233" s="154">
        <f t="shared" ca="1" si="796"/>
        <v>0</v>
      </c>
      <c r="BH233" s="154">
        <f t="shared" ca="1" si="797"/>
        <v>0</v>
      </c>
      <c r="BI233" s="154">
        <f t="shared" ca="1" si="798"/>
        <v>0</v>
      </c>
      <c r="BJ233" s="154">
        <f t="shared" ca="1" si="799"/>
        <v>0</v>
      </c>
      <c r="BK233" s="154">
        <f t="shared" ca="1" si="800"/>
        <v>0</v>
      </c>
      <c r="BL233" s="154">
        <f t="shared" ca="1" si="801"/>
        <v>0</v>
      </c>
      <c r="BM233" s="154">
        <f t="shared" ca="1" si="802"/>
        <v>0</v>
      </c>
      <c r="BN233" s="1198">
        <f t="shared" si="816"/>
        <v>237</v>
      </c>
      <c r="BO233" s="1197" t="str">
        <f t="shared" si="803"/>
        <v>L/S: Gjalskisch</v>
      </c>
      <c r="BP233" s="1197" t="str">
        <f t="shared" ca="1" si="804"/>
        <v>A</v>
      </c>
      <c r="BQ233" s="1197">
        <f t="shared" si="820"/>
        <v>10</v>
      </c>
      <c r="BR233" s="1198" t="str">
        <f t="shared" ca="1" si="817"/>
        <v/>
      </c>
      <c r="BS233" s="1198" t="s">
        <v>3475</v>
      </c>
      <c r="BT233" s="78"/>
      <c r="BU233" s="78"/>
      <c r="BV233" s="78"/>
      <c r="BW233" s="1197">
        <f t="shared" ca="1" si="818"/>
        <v>0</v>
      </c>
      <c r="BX233" s="1197">
        <f t="shared" ca="1" si="805"/>
        <v>0</v>
      </c>
      <c r="BY233" s="1197">
        <f t="shared" ca="1" si="806"/>
        <v>0</v>
      </c>
      <c r="BZ233" s="1081">
        <f t="shared" ca="1" si="807"/>
        <v>0</v>
      </c>
      <c r="CA233" s="1081">
        <f t="shared" ca="1" si="808"/>
        <v>0</v>
      </c>
      <c r="CB233" s="1081">
        <f t="shared" ca="1" si="819"/>
        <v>65</v>
      </c>
      <c r="CC233" s="1081">
        <f t="shared" ca="1" si="809"/>
        <v>65</v>
      </c>
      <c r="CD233" s="1081">
        <f t="shared" si="810"/>
        <v>0</v>
      </c>
      <c r="CE233" s="78"/>
      <c r="CF233" s="78"/>
      <c r="CG233" s="78"/>
      <c r="CH233" s="154"/>
      <c r="CI233" s="78"/>
      <c r="CJ233" s="78"/>
      <c r="CK233" s="78"/>
      <c r="CL233" s="78"/>
      <c r="CM233" s="78"/>
      <c r="CN233" s="1081">
        <f t="shared" ca="1" si="725"/>
        <v>0</v>
      </c>
      <c r="CO233" s="1081">
        <f t="shared" ca="1" si="811"/>
        <v>0</v>
      </c>
      <c r="CP233" s="1081">
        <f t="shared" ca="1" si="726"/>
        <v>0</v>
      </c>
      <c r="DJ233" s="301" t="str">
        <f t="shared" ca="1" si="812"/>
        <v>A</v>
      </c>
      <c r="DK233" s="301" t="str">
        <f t="shared" ca="1" si="812"/>
        <v>A</v>
      </c>
      <c r="DL233" s="301" t="str">
        <f t="shared" ca="1" si="812"/>
        <v>A</v>
      </c>
      <c r="DM233" s="301" t="str">
        <f t="shared" ca="1" si="812"/>
        <v>A</v>
      </c>
      <c r="DN233" s="301" t="str">
        <f t="shared" ca="1" si="812"/>
        <v>A</v>
      </c>
      <c r="DO233" s="301" t="str">
        <f t="shared" ca="1" si="812"/>
        <v>A</v>
      </c>
      <c r="DP233" s="301" t="str">
        <f t="shared" ca="1" si="812"/>
        <v>A</v>
      </c>
      <c r="DQ233" s="301" t="str">
        <f t="shared" ca="1" si="812"/>
        <v>A</v>
      </c>
      <c r="DR233" s="301" t="str">
        <f t="shared" ca="1" si="812"/>
        <v>A</v>
      </c>
      <c r="DS233" s="301" t="str">
        <f t="shared" ca="1" si="812"/>
        <v>A</v>
      </c>
      <c r="DT233" s="301" t="str">
        <f t="shared" ca="1" si="813"/>
        <v>A</v>
      </c>
      <c r="DU233" s="301" t="str">
        <f t="shared" ca="1" si="813"/>
        <v>A</v>
      </c>
      <c r="DV233" s="301" t="str">
        <f t="shared" ca="1" si="813"/>
        <v>A</v>
      </c>
      <c r="DW233" s="301" t="str">
        <f t="shared" ca="1" si="813"/>
        <v>A</v>
      </c>
      <c r="DX233" s="301" t="str">
        <f t="shared" ca="1" si="813"/>
        <v>A</v>
      </c>
      <c r="DY233" s="301" t="str">
        <f t="shared" ca="1" si="813"/>
        <v>A</v>
      </c>
      <c r="DZ233" s="301" t="str">
        <f t="shared" ca="1" si="813"/>
        <v>A</v>
      </c>
      <c r="EA233" s="301" t="str">
        <f t="shared" ca="1" si="813"/>
        <v>A</v>
      </c>
      <c r="EB233" s="301" t="str">
        <f t="shared" ca="1" si="813"/>
        <v>A</v>
      </c>
      <c r="EC233" s="301" t="str">
        <f t="shared" ca="1" si="813"/>
        <v>A</v>
      </c>
      <c r="ED233" s="301" t="str">
        <f t="shared" ca="1" si="813"/>
        <v>A</v>
      </c>
      <c r="EE233" s="301" t="str">
        <f t="shared" ca="1" si="813"/>
        <v>A</v>
      </c>
      <c r="EF233" s="301">
        <f t="shared" si="814"/>
        <v>0</v>
      </c>
      <c r="EG233" s="1426" t="str">
        <f t="shared" ca="1" si="823"/>
        <v>A</v>
      </c>
      <c r="EH233" s="1429" t="str">
        <f t="shared" ca="1" si="823"/>
        <v>A</v>
      </c>
      <c r="EI233" s="1429" t="str">
        <f t="shared" ca="1" si="823"/>
        <v>A</v>
      </c>
      <c r="EJ233" s="1429" t="str">
        <f t="shared" ca="1" si="823"/>
        <v>A</v>
      </c>
      <c r="EK233" s="1429" t="str">
        <f t="shared" ca="1" si="823"/>
        <v>A</v>
      </c>
      <c r="EL233" s="1429" t="str">
        <f t="shared" ca="1" si="823"/>
        <v>A</v>
      </c>
      <c r="EM233" s="1429" t="str">
        <f t="shared" ca="1" si="823"/>
        <v>A</v>
      </c>
      <c r="EN233" s="1429" t="str">
        <f t="shared" ca="1" si="823"/>
        <v>A</v>
      </c>
      <c r="EO233" s="1429" t="str">
        <f t="shared" ca="1" si="823"/>
        <v>A</v>
      </c>
      <c r="EP233" s="1429" t="str">
        <f t="shared" ca="1" si="823"/>
        <v>A</v>
      </c>
      <c r="EQ233" s="1429" t="str">
        <f t="shared" ca="1" si="823"/>
        <v>A</v>
      </c>
      <c r="ER233" s="1429" t="str">
        <f t="shared" ca="1" si="823"/>
        <v>A</v>
      </c>
      <c r="ES233" s="1429" t="str">
        <f t="shared" ca="1" si="823"/>
        <v>A</v>
      </c>
      <c r="ET233" s="1429" t="str">
        <f t="shared" ca="1" si="823"/>
        <v>A</v>
      </c>
      <c r="EU233" s="1429" t="str">
        <f t="shared" ca="1" si="823"/>
        <v>A</v>
      </c>
      <c r="EV233" s="1429" t="str">
        <f t="shared" ca="1" si="823"/>
        <v>A</v>
      </c>
      <c r="EW233" s="1429" t="str">
        <f t="shared" ca="1" si="822"/>
        <v>A</v>
      </c>
      <c r="EX233" s="1429" t="str">
        <f t="shared" ca="1" si="822"/>
        <v>A</v>
      </c>
      <c r="EY233" s="1429" t="str">
        <f t="shared" ca="1" si="822"/>
        <v>A</v>
      </c>
      <c r="EZ233" s="1429" t="str">
        <f t="shared" ca="1" si="822"/>
        <v>A</v>
      </c>
      <c r="FA233" s="1429" t="str">
        <f t="shared" ca="1" si="822"/>
        <v>A</v>
      </c>
      <c r="FB233" s="1429" t="str">
        <f t="shared" ca="1" si="822"/>
        <v>A</v>
      </c>
      <c r="FC233" s="1429" t="str">
        <f t="shared" ca="1" si="822"/>
        <v>A</v>
      </c>
      <c r="FD233" s="1429" t="str">
        <f t="shared" ca="1" si="822"/>
        <v>A</v>
      </c>
      <c r="FE233" s="1429" t="str">
        <f t="shared" ca="1" si="748"/>
        <v>A</v>
      </c>
      <c r="FF233" s="1429" t="str">
        <f t="shared" ca="1" si="748"/>
        <v>A</v>
      </c>
      <c r="FG233" s="1429" t="str">
        <f t="shared" ca="1" si="748"/>
        <v>A</v>
      </c>
      <c r="FH233" s="1429" t="str">
        <f t="shared" ca="1" si="748"/>
        <v>A</v>
      </c>
      <c r="FI233" s="1429" t="str">
        <f t="shared" ca="1" si="748"/>
        <v>A</v>
      </c>
      <c r="FJ233" s="1429" t="str">
        <f t="shared" ca="1" si="748"/>
        <v>A</v>
      </c>
      <c r="FK233" s="1429" t="str">
        <f t="shared" ca="1" si="748"/>
        <v>A</v>
      </c>
      <c r="FL233" s="1429" t="str">
        <f t="shared" ca="1" si="748"/>
        <v>A</v>
      </c>
    </row>
    <row r="234" spans="1:168" x14ac:dyDescent="0.2">
      <c r="A234" s="62" t="str">
        <f t="shared" si="749"/>
        <v>L/S: Hjaldingsche Runen</v>
      </c>
      <c r="B234" s="317" t="str">
        <f t="shared" ca="1" si="750"/>
        <v/>
      </c>
      <c r="C234" s="332" t="str">
        <f ca="1">IF(AND(EXACT($F234,""),EXACT($G234,"")),IF(OR(NOT(ISBLANK(D234)),NOT(EXACT(HLOOKUP(RASSEGENE,RASSE,$BN234,FALSE),"")),NOT(EXACT(HLOOKUP(KULTURGENE,KULTUR,$BN234,FALSE),"")),NOT(EXACT(HLOOKUP(PROFGENE,INDIRECT(PROFGEBIET),$BN234,FALSE),"")),
IF(LEN(PROFZWEITE)&lt;1,FALSE,NOT(EXACT(HLOOKUP(Generierung!$D$12,INDIRECT(PROFGEBIET2),$BN234,FALSE),"")))
),"x",""),"")</f>
        <v/>
      </c>
      <c r="D234" s="1110"/>
      <c r="E234" s="325"/>
      <c r="F234" s="388" t="str">
        <f t="shared" ca="1" si="751"/>
        <v/>
      </c>
      <c r="G234" s="388" t="str">
        <f t="shared" ca="1" si="752"/>
        <v/>
      </c>
      <c r="H234" s="389"/>
      <c r="I234" s="1196"/>
      <c r="J234" s="326"/>
      <c r="O234" s="514" t="str">
        <f t="shared" ca="1" si="753"/>
        <v/>
      </c>
      <c r="P234" s="164">
        <f t="shared" ca="1" si="754"/>
        <v>0</v>
      </c>
      <c r="Q234" s="164">
        <f t="shared" ca="1" si="755"/>
        <v>0</v>
      </c>
      <c r="R234" s="164">
        <f t="shared" ca="1" si="756"/>
        <v>0</v>
      </c>
      <c r="S234" s="164">
        <f t="shared" ca="1" si="757"/>
        <v>0</v>
      </c>
      <c r="T234" s="164">
        <f t="shared" ca="1" si="758"/>
        <v>0</v>
      </c>
      <c r="U234" s="164">
        <f t="shared" ca="1" si="759"/>
        <v>0</v>
      </c>
      <c r="V234" s="164">
        <f t="shared" ca="1" si="760"/>
        <v>0</v>
      </c>
      <c r="W234" s="164">
        <f t="shared" ca="1" si="761"/>
        <v>0</v>
      </c>
      <c r="X234" s="164">
        <f t="shared" ca="1" si="762"/>
        <v>0</v>
      </c>
      <c r="Y234" s="164">
        <f t="shared" ca="1" si="763"/>
        <v>0</v>
      </c>
      <c r="Z234" s="164">
        <f t="shared" ca="1" si="764"/>
        <v>0</v>
      </c>
      <c r="AA234" s="164">
        <f t="shared" ca="1" si="765"/>
        <v>0</v>
      </c>
      <c r="AB234" s="164">
        <f t="shared" ca="1" si="766"/>
        <v>0</v>
      </c>
      <c r="AC234" s="164">
        <f t="shared" ca="1" si="767"/>
        <v>0</v>
      </c>
      <c r="AD234" s="164">
        <f t="shared" ca="1" si="768"/>
        <v>0</v>
      </c>
      <c r="AE234" s="164">
        <f t="shared" ca="1" si="769"/>
        <v>0</v>
      </c>
      <c r="AF234" s="164">
        <f t="shared" ca="1" si="770"/>
        <v>0</v>
      </c>
      <c r="AG234" s="164">
        <f t="shared" ca="1" si="771"/>
        <v>0</v>
      </c>
      <c r="AH234" s="164">
        <f t="shared" ca="1" si="772"/>
        <v>0</v>
      </c>
      <c r="AI234" s="164">
        <f t="shared" ca="1" si="773"/>
        <v>0</v>
      </c>
      <c r="AJ234" s="164">
        <f t="shared" ca="1" si="774"/>
        <v>0</v>
      </c>
      <c r="AK234" s="164">
        <f t="shared" ca="1" si="775"/>
        <v>0</v>
      </c>
      <c r="AL234" s="164">
        <f t="shared" si="776"/>
        <v>0</v>
      </c>
      <c r="AM234" s="164">
        <f t="shared" ca="1" si="777"/>
        <v>0</v>
      </c>
      <c r="AN234" s="205"/>
      <c r="AO234" s="154">
        <f t="shared" ca="1" si="778"/>
        <v>0</v>
      </c>
      <c r="AP234" s="154">
        <f t="shared" ca="1" si="779"/>
        <v>0</v>
      </c>
      <c r="AQ234" s="154">
        <f t="shared" ca="1" si="780"/>
        <v>0</v>
      </c>
      <c r="AR234" s="154">
        <f t="shared" ca="1" si="781"/>
        <v>0</v>
      </c>
      <c r="AS234" s="154">
        <f t="shared" ca="1" si="782"/>
        <v>0</v>
      </c>
      <c r="AT234" s="154">
        <f t="shared" ca="1" si="783"/>
        <v>0</v>
      </c>
      <c r="AU234" s="154">
        <f t="shared" ca="1" si="784"/>
        <v>0</v>
      </c>
      <c r="AV234" s="154">
        <f t="shared" ca="1" si="785"/>
        <v>0</v>
      </c>
      <c r="AW234" s="154">
        <f t="shared" ca="1" si="786"/>
        <v>0</v>
      </c>
      <c r="AX234" s="154">
        <f t="shared" ca="1" si="787"/>
        <v>0</v>
      </c>
      <c r="AY234" s="154">
        <f t="shared" ca="1" si="788"/>
        <v>0</v>
      </c>
      <c r="AZ234" s="154">
        <f t="shared" ca="1" si="789"/>
        <v>0</v>
      </c>
      <c r="BA234" s="154">
        <f t="shared" ca="1" si="790"/>
        <v>0</v>
      </c>
      <c r="BB234" s="154">
        <f t="shared" ca="1" si="791"/>
        <v>0</v>
      </c>
      <c r="BC234" s="154">
        <f t="shared" ca="1" si="792"/>
        <v>0</v>
      </c>
      <c r="BD234" s="154">
        <f t="shared" ca="1" si="793"/>
        <v>0</v>
      </c>
      <c r="BE234" s="154">
        <f t="shared" ca="1" si="794"/>
        <v>0</v>
      </c>
      <c r="BF234" s="154">
        <f t="shared" ca="1" si="795"/>
        <v>0</v>
      </c>
      <c r="BG234" s="154">
        <f t="shared" ca="1" si="796"/>
        <v>0</v>
      </c>
      <c r="BH234" s="154">
        <f t="shared" ca="1" si="797"/>
        <v>0</v>
      </c>
      <c r="BI234" s="154">
        <f t="shared" ca="1" si="798"/>
        <v>0</v>
      </c>
      <c r="BJ234" s="154">
        <f t="shared" ca="1" si="799"/>
        <v>0</v>
      </c>
      <c r="BK234" s="154">
        <f t="shared" ca="1" si="800"/>
        <v>0</v>
      </c>
      <c r="BL234" s="154">
        <f t="shared" ca="1" si="801"/>
        <v>0</v>
      </c>
      <c r="BM234" s="154">
        <f t="shared" ca="1" si="802"/>
        <v>0</v>
      </c>
      <c r="BN234" s="1198">
        <f t="shared" si="816"/>
        <v>238</v>
      </c>
      <c r="BO234" s="1197" t="str">
        <f t="shared" si="803"/>
        <v>L/S: Hjaldingsche Runen</v>
      </c>
      <c r="BP234" s="1197" t="str">
        <f t="shared" ca="1" si="804"/>
        <v>A</v>
      </c>
      <c r="BQ234" s="1197">
        <f t="shared" si="820"/>
        <v>11</v>
      </c>
      <c r="BR234" s="1198" t="str">
        <f t="shared" ca="1" si="817"/>
        <v/>
      </c>
      <c r="BS234" s="1198" t="s">
        <v>522</v>
      </c>
      <c r="BT234" s="78"/>
      <c r="BU234" s="78"/>
      <c r="BV234" s="78"/>
      <c r="BW234" s="1197">
        <f t="shared" ca="1" si="818"/>
        <v>0</v>
      </c>
      <c r="BX234" s="1197">
        <f t="shared" ca="1" si="805"/>
        <v>0</v>
      </c>
      <c r="BY234" s="1197">
        <f t="shared" ca="1" si="806"/>
        <v>0</v>
      </c>
      <c r="BZ234" s="1081">
        <f t="shared" ca="1" si="807"/>
        <v>0</v>
      </c>
      <c r="CA234" s="1081">
        <f t="shared" ca="1" si="808"/>
        <v>0</v>
      </c>
      <c r="CB234" s="1081">
        <f t="shared" ca="1" si="819"/>
        <v>65</v>
      </c>
      <c r="CC234" s="1081">
        <f t="shared" ca="1" si="809"/>
        <v>65</v>
      </c>
      <c r="CD234" s="1081">
        <f t="shared" si="810"/>
        <v>0</v>
      </c>
      <c r="CE234" s="78"/>
      <c r="CF234" s="78"/>
      <c r="CG234" s="78"/>
      <c r="CH234" s="154"/>
      <c r="CI234" s="78"/>
      <c r="CJ234" s="78"/>
      <c r="CK234" s="78"/>
      <c r="CL234" s="78"/>
      <c r="CM234" s="78"/>
      <c r="CN234" s="1081">
        <f t="shared" ca="1" si="725"/>
        <v>0</v>
      </c>
      <c r="CO234" s="1081">
        <f t="shared" ca="1" si="811"/>
        <v>0</v>
      </c>
      <c r="CP234" s="1081">
        <f t="shared" ca="1" si="726"/>
        <v>0</v>
      </c>
      <c r="DJ234" s="301" t="str">
        <f t="shared" ref="DJ234:DS245" ca="1" si="824">IF(ISERR(FIND(";"&amp;DJ$176&amp;":0;",$E234)),
CHAR($CB234+SUM(IF(ISERR(FIND(";"&amp;DJ$176&amp;";",$F234)),0,-1),IF(OR(VT_AKADGEL,VT_AKADMAG),IF(DJ$176&lt;$EF234+1,-1,0),0),IF(ISERR(FIND(";"&amp;DJ$176&amp;":",$E234)),0,-VALUE(MID($E234,FIND(";"&amp;DJ$176&amp;":",$E234)+LEN(DJ$176)+2,1))))),0)</f>
        <v>A</v>
      </c>
      <c r="DK234" s="301" t="str">
        <f t="shared" ca="1" si="824"/>
        <v>A</v>
      </c>
      <c r="DL234" s="301" t="str">
        <f t="shared" ca="1" si="824"/>
        <v>A</v>
      </c>
      <c r="DM234" s="301" t="str">
        <f t="shared" ca="1" si="824"/>
        <v>A</v>
      </c>
      <c r="DN234" s="301" t="str">
        <f t="shared" ca="1" si="824"/>
        <v>A</v>
      </c>
      <c r="DO234" s="301" t="str">
        <f t="shared" ca="1" si="824"/>
        <v>A</v>
      </c>
      <c r="DP234" s="301" t="str">
        <f t="shared" ca="1" si="824"/>
        <v>A</v>
      </c>
      <c r="DQ234" s="301" t="str">
        <f t="shared" ca="1" si="824"/>
        <v>A</v>
      </c>
      <c r="DR234" s="301" t="str">
        <f t="shared" ca="1" si="824"/>
        <v>A</v>
      </c>
      <c r="DS234" s="301" t="str">
        <f t="shared" ca="1" si="824"/>
        <v>A</v>
      </c>
      <c r="DT234" s="301" t="str">
        <f t="shared" ref="DT234:EE245" ca="1" si="825">IF(ISERR(FIND(";"&amp;DT$176&amp;":0;",$E234)),
CHAR($CB234+SUM(IF(ISERR(FIND(";"&amp;DT$176&amp;";",$F234)),0,-1),IF(OR(VT_AKADGEL,VT_AKADMAG),IF(DT$176&lt;$EF234+1,-1,0),0),IF(ISERR(FIND(";"&amp;DT$176&amp;":",$E234)),0,-VALUE(MID($E234,FIND(";"&amp;DT$176&amp;":",$E234)+LEN(DT$176)+2,1))))),0)</f>
        <v>A</v>
      </c>
      <c r="DU234" s="301" t="str">
        <f t="shared" ca="1" si="825"/>
        <v>A</v>
      </c>
      <c r="DV234" s="301" t="str">
        <f t="shared" ca="1" si="825"/>
        <v>A</v>
      </c>
      <c r="DW234" s="301" t="str">
        <f t="shared" ca="1" si="825"/>
        <v>A</v>
      </c>
      <c r="DX234" s="301" t="str">
        <f t="shared" ca="1" si="825"/>
        <v>A</v>
      </c>
      <c r="DY234" s="301" t="str">
        <f t="shared" ca="1" si="825"/>
        <v>A</v>
      </c>
      <c r="DZ234" s="301" t="str">
        <f t="shared" ca="1" si="825"/>
        <v>A</v>
      </c>
      <c r="EA234" s="301" t="str">
        <f t="shared" ca="1" si="825"/>
        <v>A</v>
      </c>
      <c r="EB234" s="301" t="str">
        <f t="shared" ca="1" si="825"/>
        <v>A</v>
      </c>
      <c r="EC234" s="301" t="str">
        <f t="shared" ca="1" si="825"/>
        <v>A</v>
      </c>
      <c r="ED234" s="301" t="str">
        <f t="shared" ca="1" si="825"/>
        <v>A</v>
      </c>
      <c r="EE234" s="301" t="str">
        <f t="shared" ca="1" si="825"/>
        <v>A</v>
      </c>
      <c r="EF234" s="301">
        <f t="shared" si="814"/>
        <v>0</v>
      </c>
      <c r="EG234" s="1426" t="str">
        <f t="shared" ca="1" si="823"/>
        <v>A</v>
      </c>
      <c r="EH234" s="1429" t="str">
        <f t="shared" ca="1" si="823"/>
        <v>A</v>
      </c>
      <c r="EI234" s="1429" t="str">
        <f t="shared" ca="1" si="823"/>
        <v>A</v>
      </c>
      <c r="EJ234" s="1429" t="str">
        <f t="shared" ca="1" si="823"/>
        <v>A</v>
      </c>
      <c r="EK234" s="1429" t="str">
        <f t="shared" ca="1" si="823"/>
        <v>A</v>
      </c>
      <c r="EL234" s="1429" t="str">
        <f t="shared" ca="1" si="823"/>
        <v>A</v>
      </c>
      <c r="EM234" s="1429" t="str">
        <f t="shared" ca="1" si="823"/>
        <v>A</v>
      </c>
      <c r="EN234" s="1429" t="str">
        <f t="shared" ca="1" si="823"/>
        <v>A</v>
      </c>
      <c r="EO234" s="1429" t="str">
        <f t="shared" ca="1" si="823"/>
        <v>A</v>
      </c>
      <c r="EP234" s="1429" t="str">
        <f t="shared" ca="1" si="823"/>
        <v>A</v>
      </c>
      <c r="EQ234" s="1429" t="str">
        <f t="shared" ca="1" si="823"/>
        <v>A</v>
      </c>
      <c r="ER234" s="1429" t="str">
        <f t="shared" ca="1" si="823"/>
        <v>A</v>
      </c>
      <c r="ES234" s="1429" t="str">
        <f t="shared" ca="1" si="823"/>
        <v>A</v>
      </c>
      <c r="ET234" s="1429" t="str">
        <f t="shared" ca="1" si="823"/>
        <v>A</v>
      </c>
      <c r="EU234" s="1429" t="str">
        <f t="shared" ca="1" si="823"/>
        <v>A</v>
      </c>
      <c r="EV234" s="1429" t="str">
        <f t="shared" ca="1" si="823"/>
        <v>A</v>
      </c>
      <c r="EW234" s="1429" t="str">
        <f t="shared" ca="1" si="822"/>
        <v>A</v>
      </c>
      <c r="EX234" s="1429" t="str">
        <f t="shared" ca="1" si="822"/>
        <v>A</v>
      </c>
      <c r="EY234" s="1429" t="str">
        <f t="shared" ca="1" si="822"/>
        <v>A</v>
      </c>
      <c r="EZ234" s="1429" t="str">
        <f t="shared" ca="1" si="822"/>
        <v>A</v>
      </c>
      <c r="FA234" s="1429" t="str">
        <f t="shared" ca="1" si="822"/>
        <v>A</v>
      </c>
      <c r="FB234" s="1429" t="str">
        <f t="shared" ca="1" si="822"/>
        <v>A</v>
      </c>
      <c r="FC234" s="1429" t="str">
        <f t="shared" ca="1" si="822"/>
        <v>A</v>
      </c>
      <c r="FD234" s="1429" t="str">
        <f t="shared" ca="1" si="822"/>
        <v>A</v>
      </c>
      <c r="FE234" s="1429" t="str">
        <f t="shared" ca="1" si="822"/>
        <v>A</v>
      </c>
      <c r="FF234" s="1429" t="str">
        <f t="shared" ca="1" si="822"/>
        <v>A</v>
      </c>
      <c r="FG234" s="1429" t="str">
        <f t="shared" ca="1" si="822"/>
        <v>A</v>
      </c>
      <c r="FH234" s="1429" t="str">
        <f t="shared" ca="1" si="822"/>
        <v>A</v>
      </c>
      <c r="FI234" s="1429" t="str">
        <f t="shared" ca="1" si="822"/>
        <v>A</v>
      </c>
      <c r="FJ234" s="1429" t="str">
        <f t="shared" ca="1" si="822"/>
        <v>A</v>
      </c>
      <c r="FK234" s="1429" t="str">
        <f t="shared" ca="1" si="822"/>
        <v>A</v>
      </c>
      <c r="FL234" s="1429" t="str">
        <f t="shared" ca="1" si="748"/>
        <v>A</v>
      </c>
    </row>
    <row r="235" spans="1:168" x14ac:dyDescent="0.2">
      <c r="A235" s="62" t="str">
        <f t="shared" si="749"/>
        <v>L/S: Imperiale Zeichen ('Altgüldenländisch')</v>
      </c>
      <c r="B235" s="317" t="str">
        <f t="shared" ca="1" si="750"/>
        <v/>
      </c>
      <c r="C235" s="332" t="str">
        <f ca="1">IF(AND(EXACT($F235,""),EXACT($G235,"")),IF(OR(NOT(ISBLANK(D235)),NOT(EXACT(HLOOKUP(RASSEGENE,RASSE,$BN235,FALSE),"")),NOT(EXACT(HLOOKUP(KULTURGENE,KULTUR,$BN235,FALSE),"")),NOT(EXACT(HLOOKUP(PROFGENE,INDIRECT(PROFGEBIET),$BN235,FALSE),"")),
IF(LEN(PROFZWEITE)&lt;1,FALSE,NOT(EXACT(HLOOKUP(Generierung!$D$12,INDIRECT(PROFGEBIET2),$BN235,FALSE),"")))
),"x",""),"")</f>
        <v/>
      </c>
      <c r="D235" s="1110"/>
      <c r="E235" s="325"/>
      <c r="F235" s="388" t="str">
        <f t="shared" ca="1" si="751"/>
        <v/>
      </c>
      <c r="G235" s="388" t="str">
        <f t="shared" ca="1" si="752"/>
        <v/>
      </c>
      <c r="H235" s="389"/>
      <c r="I235" s="1196"/>
      <c r="J235" s="326"/>
      <c r="O235" s="514" t="str">
        <f t="shared" ca="1" si="753"/>
        <v/>
      </c>
      <c r="P235" s="164">
        <f t="shared" ca="1" si="754"/>
        <v>0</v>
      </c>
      <c r="Q235" s="164">
        <f t="shared" ca="1" si="755"/>
        <v>0</v>
      </c>
      <c r="R235" s="164">
        <f t="shared" ca="1" si="756"/>
        <v>0</v>
      </c>
      <c r="S235" s="164">
        <f t="shared" ca="1" si="757"/>
        <v>0</v>
      </c>
      <c r="T235" s="164">
        <f t="shared" ca="1" si="758"/>
        <v>0</v>
      </c>
      <c r="U235" s="164">
        <f t="shared" ca="1" si="759"/>
        <v>0</v>
      </c>
      <c r="V235" s="164">
        <f t="shared" ca="1" si="760"/>
        <v>0</v>
      </c>
      <c r="W235" s="164">
        <f t="shared" ca="1" si="761"/>
        <v>0</v>
      </c>
      <c r="X235" s="164">
        <f t="shared" ca="1" si="762"/>
        <v>0</v>
      </c>
      <c r="Y235" s="164">
        <f t="shared" ca="1" si="763"/>
        <v>0</v>
      </c>
      <c r="Z235" s="164">
        <f t="shared" ca="1" si="764"/>
        <v>0</v>
      </c>
      <c r="AA235" s="164">
        <f t="shared" ca="1" si="765"/>
        <v>0</v>
      </c>
      <c r="AB235" s="164">
        <f t="shared" ca="1" si="766"/>
        <v>0</v>
      </c>
      <c r="AC235" s="164">
        <f t="shared" ca="1" si="767"/>
        <v>0</v>
      </c>
      <c r="AD235" s="164">
        <f t="shared" ca="1" si="768"/>
        <v>0</v>
      </c>
      <c r="AE235" s="164">
        <f t="shared" ca="1" si="769"/>
        <v>0</v>
      </c>
      <c r="AF235" s="164">
        <f t="shared" ca="1" si="770"/>
        <v>0</v>
      </c>
      <c r="AG235" s="164">
        <f t="shared" ca="1" si="771"/>
        <v>0</v>
      </c>
      <c r="AH235" s="164">
        <f t="shared" ca="1" si="772"/>
        <v>0</v>
      </c>
      <c r="AI235" s="164">
        <f t="shared" ca="1" si="773"/>
        <v>0</v>
      </c>
      <c r="AJ235" s="164">
        <f t="shared" ca="1" si="774"/>
        <v>0</v>
      </c>
      <c r="AK235" s="164">
        <f t="shared" ca="1" si="775"/>
        <v>0</v>
      </c>
      <c r="AL235" s="164">
        <f t="shared" si="776"/>
        <v>0</v>
      </c>
      <c r="AM235" s="164">
        <f t="shared" ca="1" si="777"/>
        <v>0</v>
      </c>
      <c r="AN235" s="205"/>
      <c r="AO235" s="154">
        <f t="shared" ca="1" si="778"/>
        <v>0</v>
      </c>
      <c r="AP235" s="154">
        <f t="shared" ca="1" si="779"/>
        <v>0</v>
      </c>
      <c r="AQ235" s="154">
        <f t="shared" ca="1" si="780"/>
        <v>0</v>
      </c>
      <c r="AR235" s="154">
        <f t="shared" ca="1" si="781"/>
        <v>0</v>
      </c>
      <c r="AS235" s="154">
        <f t="shared" ca="1" si="782"/>
        <v>0</v>
      </c>
      <c r="AT235" s="154">
        <f t="shared" ca="1" si="783"/>
        <v>0</v>
      </c>
      <c r="AU235" s="154">
        <f t="shared" ca="1" si="784"/>
        <v>0</v>
      </c>
      <c r="AV235" s="154">
        <f t="shared" ca="1" si="785"/>
        <v>0</v>
      </c>
      <c r="AW235" s="154">
        <f t="shared" ca="1" si="786"/>
        <v>0</v>
      </c>
      <c r="AX235" s="154">
        <f t="shared" ca="1" si="787"/>
        <v>0</v>
      </c>
      <c r="AY235" s="154">
        <f t="shared" ca="1" si="788"/>
        <v>0</v>
      </c>
      <c r="AZ235" s="154">
        <f t="shared" ca="1" si="789"/>
        <v>0</v>
      </c>
      <c r="BA235" s="154">
        <f t="shared" ca="1" si="790"/>
        <v>0</v>
      </c>
      <c r="BB235" s="154">
        <f t="shared" ca="1" si="791"/>
        <v>0</v>
      </c>
      <c r="BC235" s="154">
        <f t="shared" ca="1" si="792"/>
        <v>0</v>
      </c>
      <c r="BD235" s="154">
        <f t="shared" ca="1" si="793"/>
        <v>0</v>
      </c>
      <c r="BE235" s="154">
        <f t="shared" ca="1" si="794"/>
        <v>0</v>
      </c>
      <c r="BF235" s="154">
        <f t="shared" ca="1" si="795"/>
        <v>0</v>
      </c>
      <c r="BG235" s="154">
        <f t="shared" ca="1" si="796"/>
        <v>0</v>
      </c>
      <c r="BH235" s="154">
        <f t="shared" ca="1" si="797"/>
        <v>0</v>
      </c>
      <c r="BI235" s="154">
        <f t="shared" ca="1" si="798"/>
        <v>0</v>
      </c>
      <c r="BJ235" s="154">
        <f t="shared" ca="1" si="799"/>
        <v>0</v>
      </c>
      <c r="BK235" s="154">
        <f t="shared" ca="1" si="800"/>
        <v>0</v>
      </c>
      <c r="BL235" s="154">
        <f t="shared" ca="1" si="801"/>
        <v>0</v>
      </c>
      <c r="BM235" s="154">
        <f t="shared" ca="1" si="802"/>
        <v>0</v>
      </c>
      <c r="BN235" s="1198">
        <f t="shared" si="816"/>
        <v>239</v>
      </c>
      <c r="BO235" s="1197" t="str">
        <f t="shared" si="803"/>
        <v>L/S: Imperiale Zeichen ('Altgüldenländisch')</v>
      </c>
      <c r="BP235" s="1197" t="str">
        <f t="shared" ca="1" si="804"/>
        <v>A</v>
      </c>
      <c r="BQ235" s="1197">
        <f t="shared" si="820"/>
        <v>12</v>
      </c>
      <c r="BR235" s="1198" t="str">
        <f t="shared" ca="1" si="817"/>
        <v/>
      </c>
      <c r="BS235" s="1198" t="s">
        <v>3853</v>
      </c>
      <c r="BT235" s="78"/>
      <c r="BU235" s="78"/>
      <c r="BV235" s="78"/>
      <c r="BW235" s="1197">
        <f t="shared" ca="1" si="818"/>
        <v>0</v>
      </c>
      <c r="BX235" s="1197">
        <f t="shared" ca="1" si="805"/>
        <v>0</v>
      </c>
      <c r="BY235" s="1197">
        <f t="shared" ca="1" si="806"/>
        <v>0</v>
      </c>
      <c r="BZ235" s="1081">
        <f t="shared" ca="1" si="807"/>
        <v>0</v>
      </c>
      <c r="CA235" s="1081">
        <f t="shared" ca="1" si="808"/>
        <v>0</v>
      </c>
      <c r="CB235" s="1081">
        <f t="shared" ca="1" si="819"/>
        <v>65</v>
      </c>
      <c r="CC235" s="1081">
        <f t="shared" ca="1" si="809"/>
        <v>65</v>
      </c>
      <c r="CD235" s="1081">
        <f t="shared" si="810"/>
        <v>0</v>
      </c>
      <c r="CE235" s="78"/>
      <c r="CF235" s="78"/>
      <c r="CG235" s="78"/>
      <c r="CH235" s="154"/>
      <c r="CI235" s="78"/>
      <c r="CJ235" s="78"/>
      <c r="CK235" s="78"/>
      <c r="CL235" s="78"/>
      <c r="CM235" s="78"/>
      <c r="CN235" s="1081">
        <f t="shared" ca="1" si="725"/>
        <v>0</v>
      </c>
      <c r="CO235" s="1081">
        <f t="shared" ca="1" si="811"/>
        <v>0</v>
      </c>
      <c r="CP235" s="1081">
        <f t="shared" ca="1" si="726"/>
        <v>0</v>
      </c>
      <c r="DJ235" s="301" t="str">
        <f t="shared" ca="1" si="824"/>
        <v>A</v>
      </c>
      <c r="DK235" s="301" t="str">
        <f t="shared" ca="1" si="824"/>
        <v>A</v>
      </c>
      <c r="DL235" s="301" t="str">
        <f t="shared" ca="1" si="824"/>
        <v>A</v>
      </c>
      <c r="DM235" s="301" t="str">
        <f t="shared" ca="1" si="824"/>
        <v>A</v>
      </c>
      <c r="DN235" s="301" t="str">
        <f t="shared" ca="1" si="824"/>
        <v>A</v>
      </c>
      <c r="DO235" s="301" t="str">
        <f t="shared" ca="1" si="824"/>
        <v>A</v>
      </c>
      <c r="DP235" s="301" t="str">
        <f t="shared" ca="1" si="824"/>
        <v>A</v>
      </c>
      <c r="DQ235" s="301" t="str">
        <f t="shared" ca="1" si="824"/>
        <v>A</v>
      </c>
      <c r="DR235" s="301" t="str">
        <f t="shared" ca="1" si="824"/>
        <v>A</v>
      </c>
      <c r="DS235" s="301" t="str">
        <f t="shared" ca="1" si="824"/>
        <v>A</v>
      </c>
      <c r="DT235" s="301" t="str">
        <f t="shared" ca="1" si="825"/>
        <v>A</v>
      </c>
      <c r="DU235" s="301" t="str">
        <f t="shared" ca="1" si="825"/>
        <v>A</v>
      </c>
      <c r="DV235" s="301" t="str">
        <f t="shared" ca="1" si="825"/>
        <v>A</v>
      </c>
      <c r="DW235" s="301" t="str">
        <f t="shared" ca="1" si="825"/>
        <v>A</v>
      </c>
      <c r="DX235" s="301" t="str">
        <f t="shared" ca="1" si="825"/>
        <v>A</v>
      </c>
      <c r="DY235" s="301" t="str">
        <f t="shared" ca="1" si="825"/>
        <v>A</v>
      </c>
      <c r="DZ235" s="301" t="str">
        <f t="shared" ca="1" si="825"/>
        <v>A</v>
      </c>
      <c r="EA235" s="301" t="str">
        <f t="shared" ca="1" si="825"/>
        <v>A</v>
      </c>
      <c r="EB235" s="301" t="str">
        <f t="shared" ca="1" si="825"/>
        <v>A</v>
      </c>
      <c r="EC235" s="301" t="str">
        <f t="shared" ca="1" si="825"/>
        <v>A</v>
      </c>
      <c r="ED235" s="301" t="str">
        <f t="shared" ca="1" si="825"/>
        <v>A</v>
      </c>
      <c r="EE235" s="301" t="str">
        <f t="shared" ca="1" si="825"/>
        <v>A</v>
      </c>
      <c r="EF235" s="301">
        <f t="shared" si="814"/>
        <v>0</v>
      </c>
      <c r="EG235" s="1426" t="str">
        <f t="shared" ca="1" si="823"/>
        <v>A</v>
      </c>
      <c r="EH235" s="1429" t="str">
        <f t="shared" ca="1" si="823"/>
        <v>A</v>
      </c>
      <c r="EI235" s="1429" t="str">
        <f t="shared" ca="1" si="823"/>
        <v>A</v>
      </c>
      <c r="EJ235" s="1429" t="str">
        <f t="shared" ca="1" si="823"/>
        <v>A</v>
      </c>
      <c r="EK235" s="1429" t="str">
        <f t="shared" ca="1" si="823"/>
        <v>A</v>
      </c>
      <c r="EL235" s="1429" t="str">
        <f t="shared" ca="1" si="823"/>
        <v>A</v>
      </c>
      <c r="EM235" s="1429" t="str">
        <f t="shared" ca="1" si="823"/>
        <v>A</v>
      </c>
      <c r="EN235" s="1429" t="str">
        <f t="shared" ca="1" si="823"/>
        <v>A</v>
      </c>
      <c r="EO235" s="1429" t="str">
        <f t="shared" ca="1" si="823"/>
        <v>A</v>
      </c>
      <c r="EP235" s="1429" t="str">
        <f t="shared" ca="1" si="823"/>
        <v>A</v>
      </c>
      <c r="EQ235" s="1429" t="str">
        <f t="shared" ca="1" si="823"/>
        <v>A</v>
      </c>
      <c r="ER235" s="1429" t="str">
        <f t="shared" ca="1" si="823"/>
        <v>A</v>
      </c>
      <c r="ES235" s="1429" t="str">
        <f t="shared" ca="1" si="823"/>
        <v>A</v>
      </c>
      <c r="ET235" s="1429" t="str">
        <f t="shared" ca="1" si="823"/>
        <v>A</v>
      </c>
      <c r="EU235" s="1429" t="str">
        <f t="shared" ca="1" si="823"/>
        <v>A</v>
      </c>
      <c r="EV235" s="1429" t="str">
        <f t="shared" ca="1" si="823"/>
        <v>A</v>
      </c>
      <c r="EW235" s="1429" t="str">
        <f t="shared" ca="1" si="822"/>
        <v>A</v>
      </c>
      <c r="EX235" s="1429" t="str">
        <f t="shared" ca="1" si="822"/>
        <v>A</v>
      </c>
      <c r="EY235" s="1429" t="str">
        <f t="shared" ca="1" si="822"/>
        <v>A</v>
      </c>
      <c r="EZ235" s="1429" t="str">
        <f t="shared" ca="1" si="822"/>
        <v>A</v>
      </c>
      <c r="FA235" s="1429" t="str">
        <f t="shared" ca="1" si="822"/>
        <v>A</v>
      </c>
      <c r="FB235" s="1429" t="str">
        <f t="shared" ca="1" si="822"/>
        <v>A</v>
      </c>
      <c r="FC235" s="1429" t="str">
        <f t="shared" ca="1" si="822"/>
        <v>A</v>
      </c>
      <c r="FD235" s="1429" t="str">
        <f t="shared" ca="1" si="822"/>
        <v>A</v>
      </c>
      <c r="FE235" s="1429" t="str">
        <f t="shared" ca="1" si="822"/>
        <v>A</v>
      </c>
      <c r="FF235" s="1429" t="str">
        <f t="shared" ca="1" si="822"/>
        <v>A</v>
      </c>
      <c r="FG235" s="1429" t="str">
        <f t="shared" ca="1" si="822"/>
        <v>A</v>
      </c>
      <c r="FH235" s="1429" t="str">
        <f t="shared" ca="1" si="822"/>
        <v>A</v>
      </c>
      <c r="FI235" s="1429" t="str">
        <f t="shared" ca="1" si="822"/>
        <v>A</v>
      </c>
      <c r="FJ235" s="1429" t="str">
        <f t="shared" ca="1" si="822"/>
        <v>A</v>
      </c>
      <c r="FK235" s="1429" t="str">
        <f t="shared" ca="1" si="822"/>
        <v>A</v>
      </c>
      <c r="FL235" s="1429" t="str">
        <f t="shared" ca="1" si="748"/>
        <v>A</v>
      </c>
    </row>
    <row r="236" spans="1:168" x14ac:dyDescent="0.2">
      <c r="A236" s="62" t="str">
        <f t="shared" si="749"/>
        <v>L/S: Isdira / Asdharia</v>
      </c>
      <c r="B236" s="317" t="str">
        <f t="shared" ca="1" si="750"/>
        <v/>
      </c>
      <c r="C236" s="332" t="str">
        <f ca="1">IF(AND(EXACT($F236,""),EXACT($G236,"")),IF(OR(NOT(ISBLANK(D236)),NOT(EXACT(HLOOKUP(RASSEGENE,RASSE,$BN236,FALSE),"")),NOT(EXACT(HLOOKUP(KULTURGENE,KULTUR,$BN236,FALSE),"")),NOT(EXACT(HLOOKUP(PROFGENE,INDIRECT(PROFGEBIET),$BN236,FALSE),"")),
IF(LEN(PROFZWEITE)&lt;1,FALSE,NOT(EXACT(HLOOKUP(Generierung!$D$12,INDIRECT(PROFGEBIET2),$BN236,FALSE),"")))
),"x",""),"")</f>
        <v/>
      </c>
      <c r="D236" s="1110"/>
      <c r="E236" s="325"/>
      <c r="F236" s="388" t="str">
        <f t="shared" ca="1" si="751"/>
        <v/>
      </c>
      <c r="G236" s="388" t="str">
        <f t="shared" ca="1" si="752"/>
        <v/>
      </c>
      <c r="H236" s="389"/>
      <c r="I236" s="1196"/>
      <c r="J236" s="326"/>
      <c r="O236" s="514" t="str">
        <f t="shared" ca="1" si="753"/>
        <v/>
      </c>
      <c r="P236" s="164">
        <f t="shared" ca="1" si="754"/>
        <v>0</v>
      </c>
      <c r="Q236" s="164">
        <f t="shared" ca="1" si="755"/>
        <v>0</v>
      </c>
      <c r="R236" s="164">
        <f t="shared" ca="1" si="756"/>
        <v>0</v>
      </c>
      <c r="S236" s="164">
        <f t="shared" ca="1" si="757"/>
        <v>0</v>
      </c>
      <c r="T236" s="164">
        <f t="shared" ca="1" si="758"/>
        <v>0</v>
      </c>
      <c r="U236" s="164">
        <f t="shared" ca="1" si="759"/>
        <v>0</v>
      </c>
      <c r="V236" s="164">
        <f t="shared" ca="1" si="760"/>
        <v>0</v>
      </c>
      <c r="W236" s="164">
        <f t="shared" ca="1" si="761"/>
        <v>0</v>
      </c>
      <c r="X236" s="164">
        <f t="shared" ca="1" si="762"/>
        <v>0</v>
      </c>
      <c r="Y236" s="164">
        <f t="shared" ca="1" si="763"/>
        <v>0</v>
      </c>
      <c r="Z236" s="164">
        <f t="shared" ca="1" si="764"/>
        <v>0</v>
      </c>
      <c r="AA236" s="164">
        <f t="shared" ca="1" si="765"/>
        <v>0</v>
      </c>
      <c r="AB236" s="164">
        <f t="shared" ca="1" si="766"/>
        <v>0</v>
      </c>
      <c r="AC236" s="164">
        <f t="shared" ca="1" si="767"/>
        <v>0</v>
      </c>
      <c r="AD236" s="164">
        <f t="shared" ca="1" si="768"/>
        <v>0</v>
      </c>
      <c r="AE236" s="164">
        <f t="shared" ca="1" si="769"/>
        <v>0</v>
      </c>
      <c r="AF236" s="164">
        <f t="shared" ca="1" si="770"/>
        <v>0</v>
      </c>
      <c r="AG236" s="164">
        <f t="shared" ca="1" si="771"/>
        <v>0</v>
      </c>
      <c r="AH236" s="164">
        <f t="shared" ca="1" si="772"/>
        <v>0</v>
      </c>
      <c r="AI236" s="164">
        <f t="shared" ca="1" si="773"/>
        <v>0</v>
      </c>
      <c r="AJ236" s="164">
        <f t="shared" ca="1" si="774"/>
        <v>0</v>
      </c>
      <c r="AK236" s="164">
        <f t="shared" ca="1" si="775"/>
        <v>0</v>
      </c>
      <c r="AL236" s="164">
        <f t="shared" si="776"/>
        <v>0</v>
      </c>
      <c r="AM236" s="164">
        <f t="shared" ca="1" si="777"/>
        <v>0</v>
      </c>
      <c r="AN236" s="205"/>
      <c r="AO236" s="154">
        <f t="shared" ca="1" si="778"/>
        <v>0</v>
      </c>
      <c r="AP236" s="154">
        <f t="shared" ca="1" si="779"/>
        <v>0</v>
      </c>
      <c r="AQ236" s="154">
        <f t="shared" ca="1" si="780"/>
        <v>0</v>
      </c>
      <c r="AR236" s="154">
        <f t="shared" ca="1" si="781"/>
        <v>0</v>
      </c>
      <c r="AS236" s="154">
        <f t="shared" ca="1" si="782"/>
        <v>0</v>
      </c>
      <c r="AT236" s="154">
        <f t="shared" ca="1" si="783"/>
        <v>0</v>
      </c>
      <c r="AU236" s="154">
        <f t="shared" ca="1" si="784"/>
        <v>0</v>
      </c>
      <c r="AV236" s="154">
        <f t="shared" ca="1" si="785"/>
        <v>0</v>
      </c>
      <c r="AW236" s="154">
        <f t="shared" ca="1" si="786"/>
        <v>0</v>
      </c>
      <c r="AX236" s="154">
        <f t="shared" ca="1" si="787"/>
        <v>0</v>
      </c>
      <c r="AY236" s="154">
        <f t="shared" ca="1" si="788"/>
        <v>0</v>
      </c>
      <c r="AZ236" s="154">
        <f t="shared" ca="1" si="789"/>
        <v>0</v>
      </c>
      <c r="BA236" s="154">
        <f t="shared" ca="1" si="790"/>
        <v>0</v>
      </c>
      <c r="BB236" s="154">
        <f t="shared" ca="1" si="791"/>
        <v>0</v>
      </c>
      <c r="BC236" s="154">
        <f t="shared" ca="1" si="792"/>
        <v>0</v>
      </c>
      <c r="BD236" s="154">
        <f t="shared" ca="1" si="793"/>
        <v>0</v>
      </c>
      <c r="BE236" s="154">
        <f t="shared" ca="1" si="794"/>
        <v>0</v>
      </c>
      <c r="BF236" s="154">
        <f t="shared" ca="1" si="795"/>
        <v>0</v>
      </c>
      <c r="BG236" s="154">
        <f t="shared" ca="1" si="796"/>
        <v>0</v>
      </c>
      <c r="BH236" s="154">
        <f t="shared" ca="1" si="797"/>
        <v>0</v>
      </c>
      <c r="BI236" s="154">
        <f t="shared" ca="1" si="798"/>
        <v>0</v>
      </c>
      <c r="BJ236" s="154">
        <f t="shared" ca="1" si="799"/>
        <v>0</v>
      </c>
      <c r="BK236" s="154">
        <f t="shared" ca="1" si="800"/>
        <v>0</v>
      </c>
      <c r="BL236" s="154">
        <f t="shared" ca="1" si="801"/>
        <v>0</v>
      </c>
      <c r="BM236" s="154">
        <f t="shared" ca="1" si="802"/>
        <v>0</v>
      </c>
      <c r="BN236" s="1198">
        <f t="shared" si="816"/>
        <v>240</v>
      </c>
      <c r="BO236" s="1197" t="str">
        <f t="shared" si="803"/>
        <v>L/S: Isdira / Asdharia</v>
      </c>
      <c r="BP236" s="1197" t="str">
        <f t="shared" ca="1" si="804"/>
        <v>A</v>
      </c>
      <c r="BQ236" s="1197">
        <f t="shared" si="820"/>
        <v>13</v>
      </c>
      <c r="BR236" s="1198" t="str">
        <f t="shared" ca="1" si="817"/>
        <v/>
      </c>
      <c r="BS236" s="1198" t="s">
        <v>2063</v>
      </c>
      <c r="BT236" s="78"/>
      <c r="BU236" s="78"/>
      <c r="BV236" s="78"/>
      <c r="BW236" s="1197">
        <f t="shared" ca="1" si="818"/>
        <v>0</v>
      </c>
      <c r="BX236" s="1197">
        <f t="shared" ca="1" si="805"/>
        <v>0</v>
      </c>
      <c r="BY236" s="1197">
        <f t="shared" ca="1" si="806"/>
        <v>0</v>
      </c>
      <c r="BZ236" s="1081">
        <f t="shared" ca="1" si="807"/>
        <v>0</v>
      </c>
      <c r="CA236" s="1081">
        <f t="shared" ca="1" si="808"/>
        <v>0</v>
      </c>
      <c r="CB236" s="1081">
        <f t="shared" ca="1" si="819"/>
        <v>65</v>
      </c>
      <c r="CC236" s="1081">
        <f t="shared" ca="1" si="809"/>
        <v>65</v>
      </c>
      <c r="CD236" s="627">
        <v>0</v>
      </c>
      <c r="CE236" s="78"/>
      <c r="CF236" s="78"/>
      <c r="CG236" s="78"/>
      <c r="CH236" s="154"/>
      <c r="CI236" s="78"/>
      <c r="CJ236" s="78"/>
      <c r="CK236" s="78"/>
      <c r="CL236" s="78"/>
      <c r="CM236" s="78"/>
      <c r="CN236" s="1081">
        <f t="shared" ca="1" si="725"/>
        <v>0</v>
      </c>
      <c r="CO236" s="1081">
        <f t="shared" ca="1" si="811"/>
        <v>0</v>
      </c>
      <c r="CP236" s="1081">
        <f t="shared" ca="1" si="726"/>
        <v>0</v>
      </c>
      <c r="DJ236" s="301" t="str">
        <f t="shared" ca="1" si="824"/>
        <v>A</v>
      </c>
      <c r="DK236" s="301" t="str">
        <f t="shared" ca="1" si="824"/>
        <v>A</v>
      </c>
      <c r="DL236" s="301" t="str">
        <f t="shared" ca="1" si="824"/>
        <v>A</v>
      </c>
      <c r="DM236" s="301" t="str">
        <f t="shared" ca="1" si="824"/>
        <v>A</v>
      </c>
      <c r="DN236" s="301" t="str">
        <f t="shared" ca="1" si="824"/>
        <v>A</v>
      </c>
      <c r="DO236" s="301" t="str">
        <f t="shared" ca="1" si="824"/>
        <v>A</v>
      </c>
      <c r="DP236" s="301" t="str">
        <f t="shared" ca="1" si="824"/>
        <v>A</v>
      </c>
      <c r="DQ236" s="301" t="str">
        <f t="shared" ca="1" si="824"/>
        <v>A</v>
      </c>
      <c r="DR236" s="301" t="str">
        <f t="shared" ca="1" si="824"/>
        <v>A</v>
      </c>
      <c r="DS236" s="301" t="str">
        <f t="shared" ca="1" si="824"/>
        <v>A</v>
      </c>
      <c r="DT236" s="301" t="str">
        <f t="shared" ca="1" si="825"/>
        <v>A</v>
      </c>
      <c r="DU236" s="301" t="str">
        <f t="shared" ca="1" si="825"/>
        <v>A</v>
      </c>
      <c r="DV236" s="301" t="str">
        <f t="shared" ca="1" si="825"/>
        <v>A</v>
      </c>
      <c r="DW236" s="301" t="str">
        <f t="shared" ca="1" si="825"/>
        <v>A</v>
      </c>
      <c r="DX236" s="301" t="str">
        <f t="shared" ca="1" si="825"/>
        <v>A</v>
      </c>
      <c r="DY236" s="301" t="str">
        <f t="shared" ca="1" si="825"/>
        <v>A</v>
      </c>
      <c r="DZ236" s="301" t="str">
        <f t="shared" ca="1" si="825"/>
        <v>A</v>
      </c>
      <c r="EA236" s="301" t="str">
        <f t="shared" ca="1" si="825"/>
        <v>A</v>
      </c>
      <c r="EB236" s="301" t="str">
        <f t="shared" ca="1" si="825"/>
        <v>A</v>
      </c>
      <c r="EC236" s="301" t="str">
        <f t="shared" ca="1" si="825"/>
        <v>A</v>
      </c>
      <c r="ED236" s="301" t="str">
        <f t="shared" ca="1" si="825"/>
        <v>A</v>
      </c>
      <c r="EE236" s="301" t="str">
        <f t="shared" ca="1" si="825"/>
        <v>A</v>
      </c>
      <c r="EF236" s="301">
        <f t="shared" si="814"/>
        <v>0</v>
      </c>
      <c r="EG236" s="1426" t="str">
        <f t="shared" ca="1" si="823"/>
        <v>A</v>
      </c>
      <c r="EH236" s="1429" t="str">
        <f t="shared" ca="1" si="823"/>
        <v>A</v>
      </c>
      <c r="EI236" s="1429" t="str">
        <f t="shared" ca="1" si="823"/>
        <v>A</v>
      </c>
      <c r="EJ236" s="1429" t="str">
        <f t="shared" ca="1" si="823"/>
        <v>A</v>
      </c>
      <c r="EK236" s="1429" t="str">
        <f t="shared" ca="1" si="823"/>
        <v>A</v>
      </c>
      <c r="EL236" s="1429" t="str">
        <f t="shared" ca="1" si="823"/>
        <v>A</v>
      </c>
      <c r="EM236" s="1429" t="str">
        <f t="shared" ca="1" si="823"/>
        <v>A</v>
      </c>
      <c r="EN236" s="1429" t="str">
        <f t="shared" ca="1" si="823"/>
        <v>A</v>
      </c>
      <c r="EO236" s="1429" t="str">
        <f t="shared" ca="1" si="823"/>
        <v>A</v>
      </c>
      <c r="EP236" s="1429" t="str">
        <f t="shared" ca="1" si="823"/>
        <v>A</v>
      </c>
      <c r="EQ236" s="1429" t="str">
        <f t="shared" ca="1" si="823"/>
        <v>A</v>
      </c>
      <c r="ER236" s="1429" t="str">
        <f t="shared" ca="1" si="823"/>
        <v>A</v>
      </c>
      <c r="ES236" s="1429" t="str">
        <f t="shared" ca="1" si="823"/>
        <v>A</v>
      </c>
      <c r="ET236" s="1429" t="str">
        <f t="shared" ca="1" si="823"/>
        <v>A</v>
      </c>
      <c r="EU236" s="1429" t="str">
        <f t="shared" ca="1" si="823"/>
        <v>A</v>
      </c>
      <c r="EV236" s="1429" t="str">
        <f t="shared" ca="1" si="823"/>
        <v>A</v>
      </c>
      <c r="EW236" s="1429" t="str">
        <f t="shared" ca="1" si="822"/>
        <v>A</v>
      </c>
      <c r="EX236" s="1429" t="str">
        <f t="shared" ca="1" si="822"/>
        <v>A</v>
      </c>
      <c r="EY236" s="1429" t="str">
        <f t="shared" ca="1" si="822"/>
        <v>A</v>
      </c>
      <c r="EZ236" s="1429" t="str">
        <f t="shared" ca="1" si="822"/>
        <v>A</v>
      </c>
      <c r="FA236" s="1429" t="str">
        <f t="shared" ca="1" si="822"/>
        <v>A</v>
      </c>
      <c r="FB236" s="1429" t="str">
        <f t="shared" ca="1" si="822"/>
        <v>A</v>
      </c>
      <c r="FC236" s="1429" t="str">
        <f t="shared" ca="1" si="822"/>
        <v>A</v>
      </c>
      <c r="FD236" s="1429" t="str">
        <f t="shared" ca="1" si="822"/>
        <v>A</v>
      </c>
      <c r="FE236" s="1429" t="str">
        <f t="shared" ca="1" si="822"/>
        <v>A</v>
      </c>
      <c r="FF236" s="1429" t="str">
        <f t="shared" ca="1" si="822"/>
        <v>A</v>
      </c>
      <c r="FG236" s="1429" t="str">
        <f t="shared" ca="1" si="822"/>
        <v>A</v>
      </c>
      <c r="FH236" s="1429" t="str">
        <f t="shared" ca="1" si="822"/>
        <v>A</v>
      </c>
      <c r="FI236" s="1429" t="str">
        <f t="shared" ca="1" si="822"/>
        <v>A</v>
      </c>
      <c r="FJ236" s="1429" t="str">
        <f t="shared" ca="1" si="822"/>
        <v>A</v>
      </c>
      <c r="FK236" s="1429" t="str">
        <f t="shared" ca="1" si="822"/>
        <v>A</v>
      </c>
      <c r="FL236" s="1429" t="str">
        <f t="shared" ca="1" si="748"/>
        <v>A</v>
      </c>
    </row>
    <row r="237" spans="1:168" x14ac:dyDescent="0.2">
      <c r="A237" s="62" t="str">
        <f t="shared" si="749"/>
        <v>L/S: Kusliker Zeichen</v>
      </c>
      <c r="B237" s="317" t="str">
        <f t="shared" ca="1" si="750"/>
        <v/>
      </c>
      <c r="C237" s="332" t="str">
        <f ca="1">IF(AND(EXACT($F237,""),EXACT($G237,"")),IF(OR(NOT(ISBLANK(D237)),NOT(EXACT(HLOOKUP(RASSEGENE,RASSE,$BN237,FALSE),"")),NOT(EXACT(HLOOKUP(KULTURGENE,KULTUR,$BN237,FALSE),"")),NOT(EXACT(HLOOKUP(PROFGENE,INDIRECT(PROFGEBIET),$BN237,FALSE),"")),
IF(LEN(PROFZWEITE)&lt;1,FALSE,NOT(EXACT(HLOOKUP(Generierung!$D$12,INDIRECT(PROFGEBIET2),$BN237,FALSE),"")))
),"x",""),"")</f>
        <v/>
      </c>
      <c r="D237" s="1110"/>
      <c r="E237" s="325"/>
      <c r="F237" s="388" t="str">
        <f t="shared" ca="1" si="751"/>
        <v/>
      </c>
      <c r="G237" s="388" t="str">
        <f t="shared" ca="1" si="752"/>
        <v/>
      </c>
      <c r="H237" s="389"/>
      <c r="I237" s="1196"/>
      <c r="J237" s="326"/>
      <c r="O237" s="514" t="str">
        <f t="shared" ca="1" si="753"/>
        <v/>
      </c>
      <c r="P237" s="164">
        <f t="shared" ca="1" si="754"/>
        <v>0</v>
      </c>
      <c r="Q237" s="164">
        <f t="shared" ca="1" si="755"/>
        <v>0</v>
      </c>
      <c r="R237" s="164">
        <f t="shared" ca="1" si="756"/>
        <v>0</v>
      </c>
      <c r="S237" s="164">
        <f t="shared" ca="1" si="757"/>
        <v>0</v>
      </c>
      <c r="T237" s="164">
        <f t="shared" ca="1" si="758"/>
        <v>0</v>
      </c>
      <c r="U237" s="164">
        <f t="shared" ca="1" si="759"/>
        <v>0</v>
      </c>
      <c r="V237" s="164">
        <f t="shared" ca="1" si="760"/>
        <v>0</v>
      </c>
      <c r="W237" s="164">
        <f t="shared" ca="1" si="761"/>
        <v>0</v>
      </c>
      <c r="X237" s="164">
        <f t="shared" ca="1" si="762"/>
        <v>0</v>
      </c>
      <c r="Y237" s="164">
        <f t="shared" ca="1" si="763"/>
        <v>0</v>
      </c>
      <c r="Z237" s="164">
        <f t="shared" ca="1" si="764"/>
        <v>0</v>
      </c>
      <c r="AA237" s="164">
        <f t="shared" ca="1" si="765"/>
        <v>0</v>
      </c>
      <c r="AB237" s="164">
        <f t="shared" ca="1" si="766"/>
        <v>0</v>
      </c>
      <c r="AC237" s="164">
        <f t="shared" ca="1" si="767"/>
        <v>0</v>
      </c>
      <c r="AD237" s="164">
        <f t="shared" ca="1" si="768"/>
        <v>0</v>
      </c>
      <c r="AE237" s="164">
        <f t="shared" ca="1" si="769"/>
        <v>0</v>
      </c>
      <c r="AF237" s="164">
        <f t="shared" ca="1" si="770"/>
        <v>0</v>
      </c>
      <c r="AG237" s="164">
        <f t="shared" ca="1" si="771"/>
        <v>0</v>
      </c>
      <c r="AH237" s="164">
        <f t="shared" ca="1" si="772"/>
        <v>0</v>
      </c>
      <c r="AI237" s="164">
        <f t="shared" ca="1" si="773"/>
        <v>0</v>
      </c>
      <c r="AJ237" s="164">
        <f t="shared" ca="1" si="774"/>
        <v>0</v>
      </c>
      <c r="AK237" s="164">
        <f t="shared" ca="1" si="775"/>
        <v>0</v>
      </c>
      <c r="AL237" s="164">
        <f t="shared" si="776"/>
        <v>0</v>
      </c>
      <c r="AM237" s="164">
        <f t="shared" ca="1" si="777"/>
        <v>0</v>
      </c>
      <c r="AN237" s="205"/>
      <c r="AO237" s="154">
        <f t="shared" ca="1" si="778"/>
        <v>0</v>
      </c>
      <c r="AP237" s="154">
        <f t="shared" ca="1" si="779"/>
        <v>0</v>
      </c>
      <c r="AQ237" s="154">
        <f t="shared" ca="1" si="780"/>
        <v>0</v>
      </c>
      <c r="AR237" s="154">
        <f t="shared" ca="1" si="781"/>
        <v>0</v>
      </c>
      <c r="AS237" s="154">
        <f t="shared" ca="1" si="782"/>
        <v>0</v>
      </c>
      <c r="AT237" s="154">
        <f t="shared" ca="1" si="783"/>
        <v>0</v>
      </c>
      <c r="AU237" s="154">
        <f t="shared" ca="1" si="784"/>
        <v>0</v>
      </c>
      <c r="AV237" s="154">
        <f t="shared" ca="1" si="785"/>
        <v>0</v>
      </c>
      <c r="AW237" s="154">
        <f t="shared" ca="1" si="786"/>
        <v>0</v>
      </c>
      <c r="AX237" s="154">
        <f t="shared" ca="1" si="787"/>
        <v>0</v>
      </c>
      <c r="AY237" s="154">
        <f t="shared" ca="1" si="788"/>
        <v>0</v>
      </c>
      <c r="AZ237" s="154">
        <f t="shared" ca="1" si="789"/>
        <v>0</v>
      </c>
      <c r="BA237" s="154">
        <f t="shared" ca="1" si="790"/>
        <v>0</v>
      </c>
      <c r="BB237" s="154">
        <f t="shared" ca="1" si="791"/>
        <v>0</v>
      </c>
      <c r="BC237" s="154">
        <f t="shared" ca="1" si="792"/>
        <v>0</v>
      </c>
      <c r="BD237" s="154">
        <f t="shared" ca="1" si="793"/>
        <v>0</v>
      </c>
      <c r="BE237" s="154">
        <f t="shared" ca="1" si="794"/>
        <v>0</v>
      </c>
      <c r="BF237" s="154">
        <f t="shared" ca="1" si="795"/>
        <v>0</v>
      </c>
      <c r="BG237" s="154">
        <f t="shared" ca="1" si="796"/>
        <v>0</v>
      </c>
      <c r="BH237" s="154">
        <f t="shared" ca="1" si="797"/>
        <v>0</v>
      </c>
      <c r="BI237" s="154">
        <f t="shared" ca="1" si="798"/>
        <v>0</v>
      </c>
      <c r="BJ237" s="154">
        <f t="shared" ca="1" si="799"/>
        <v>0</v>
      </c>
      <c r="BK237" s="154">
        <f t="shared" ca="1" si="800"/>
        <v>0</v>
      </c>
      <c r="BL237" s="154">
        <f t="shared" ca="1" si="801"/>
        <v>0</v>
      </c>
      <c r="BM237" s="154">
        <f t="shared" ca="1" si="802"/>
        <v>0</v>
      </c>
      <c r="BN237" s="1198">
        <f t="shared" si="816"/>
        <v>241</v>
      </c>
      <c r="BO237" s="1197" t="str">
        <f t="shared" si="803"/>
        <v>L/S: Kusliker Zeichen</v>
      </c>
      <c r="BP237" s="1197" t="str">
        <f t="shared" ca="1" si="804"/>
        <v>A</v>
      </c>
      <c r="BQ237" s="1197">
        <f t="shared" si="820"/>
        <v>14</v>
      </c>
      <c r="BR237" s="1198" t="str">
        <f t="shared" ca="1" si="817"/>
        <v/>
      </c>
      <c r="BS237" s="1198" t="s">
        <v>2796</v>
      </c>
      <c r="BT237" s="78"/>
      <c r="BU237" s="78"/>
      <c r="BV237" s="78"/>
      <c r="BW237" s="1197">
        <f t="shared" ca="1" si="818"/>
        <v>0</v>
      </c>
      <c r="BX237" s="1197">
        <f t="shared" ca="1" si="805"/>
        <v>0</v>
      </c>
      <c r="BY237" s="1197">
        <f t="shared" ca="1" si="806"/>
        <v>0</v>
      </c>
      <c r="BZ237" s="1081">
        <f t="shared" ca="1" si="807"/>
        <v>0</v>
      </c>
      <c r="CA237" s="1081">
        <f t="shared" ca="1" si="808"/>
        <v>0</v>
      </c>
      <c r="CB237" s="1081">
        <f t="shared" ca="1" si="819"/>
        <v>65</v>
      </c>
      <c r="CC237" s="1081">
        <f t="shared" ca="1" si="809"/>
        <v>65</v>
      </c>
      <c r="CD237" s="1081">
        <f t="shared" ref="CD237:CD245" si="826">IF(RIGHT(D237)="L",0,
IF(NT_ELFWELT,1,0))</f>
        <v>0</v>
      </c>
      <c r="CE237" s="78"/>
      <c r="CF237" s="78"/>
      <c r="CG237" s="78"/>
      <c r="CH237" s="154"/>
      <c r="CI237" s="78"/>
      <c r="CJ237" s="78"/>
      <c r="CK237" s="78"/>
      <c r="CL237" s="78"/>
      <c r="CM237" s="78"/>
      <c r="CN237" s="1081">
        <f t="shared" ca="1" si="725"/>
        <v>0</v>
      </c>
      <c r="CO237" s="1081">
        <f t="shared" ca="1" si="811"/>
        <v>0</v>
      </c>
      <c r="CP237" s="1081">
        <f t="shared" ca="1" si="726"/>
        <v>0</v>
      </c>
      <c r="DJ237" s="301" t="str">
        <f t="shared" ca="1" si="824"/>
        <v>A</v>
      </c>
      <c r="DK237" s="301" t="str">
        <f t="shared" ca="1" si="824"/>
        <v>A</v>
      </c>
      <c r="DL237" s="301" t="str">
        <f t="shared" ca="1" si="824"/>
        <v>A</v>
      </c>
      <c r="DM237" s="301" t="str">
        <f t="shared" ca="1" si="824"/>
        <v>A</v>
      </c>
      <c r="DN237" s="301" t="str">
        <f t="shared" ca="1" si="824"/>
        <v>A</v>
      </c>
      <c r="DO237" s="301" t="str">
        <f t="shared" ca="1" si="824"/>
        <v>A</v>
      </c>
      <c r="DP237" s="301" t="str">
        <f t="shared" ca="1" si="824"/>
        <v>A</v>
      </c>
      <c r="DQ237" s="301" t="str">
        <f t="shared" ca="1" si="824"/>
        <v>A</v>
      </c>
      <c r="DR237" s="301" t="str">
        <f t="shared" ca="1" si="824"/>
        <v>A</v>
      </c>
      <c r="DS237" s="301" t="str">
        <f t="shared" ca="1" si="824"/>
        <v>A</v>
      </c>
      <c r="DT237" s="301" t="str">
        <f t="shared" ca="1" si="825"/>
        <v>A</v>
      </c>
      <c r="DU237" s="301" t="str">
        <f t="shared" ca="1" si="825"/>
        <v>A</v>
      </c>
      <c r="DV237" s="301" t="str">
        <f t="shared" ca="1" si="825"/>
        <v>A</v>
      </c>
      <c r="DW237" s="301" t="str">
        <f t="shared" ca="1" si="825"/>
        <v>A</v>
      </c>
      <c r="DX237" s="301" t="str">
        <f t="shared" ca="1" si="825"/>
        <v>A</v>
      </c>
      <c r="DY237" s="301" t="str">
        <f t="shared" ca="1" si="825"/>
        <v>A</v>
      </c>
      <c r="DZ237" s="301" t="str">
        <f t="shared" ca="1" si="825"/>
        <v>A</v>
      </c>
      <c r="EA237" s="301" t="str">
        <f t="shared" ca="1" si="825"/>
        <v>A</v>
      </c>
      <c r="EB237" s="301" t="str">
        <f t="shared" ca="1" si="825"/>
        <v>A</v>
      </c>
      <c r="EC237" s="301" t="str">
        <f t="shared" ca="1" si="825"/>
        <v>A</v>
      </c>
      <c r="ED237" s="301" t="str">
        <f t="shared" ca="1" si="825"/>
        <v>A</v>
      </c>
      <c r="EE237" s="301" t="str">
        <f t="shared" ca="1" si="825"/>
        <v>A</v>
      </c>
      <c r="EF237" s="301">
        <f t="shared" si="814"/>
        <v>0</v>
      </c>
      <c r="EG237" s="1426" t="str">
        <f t="shared" ca="1" si="823"/>
        <v>A</v>
      </c>
      <c r="EH237" s="1429" t="str">
        <f t="shared" ca="1" si="823"/>
        <v>A</v>
      </c>
      <c r="EI237" s="1429" t="str">
        <f t="shared" ca="1" si="823"/>
        <v>A</v>
      </c>
      <c r="EJ237" s="1429" t="str">
        <f t="shared" ca="1" si="823"/>
        <v>A</v>
      </c>
      <c r="EK237" s="1429" t="str">
        <f t="shared" ca="1" si="823"/>
        <v>A</v>
      </c>
      <c r="EL237" s="1429" t="str">
        <f t="shared" ca="1" si="823"/>
        <v>A</v>
      </c>
      <c r="EM237" s="1429" t="str">
        <f t="shared" ca="1" si="823"/>
        <v>A</v>
      </c>
      <c r="EN237" s="1429" t="str">
        <f t="shared" ca="1" si="823"/>
        <v>A</v>
      </c>
      <c r="EO237" s="1429" t="str">
        <f t="shared" ca="1" si="823"/>
        <v>A</v>
      </c>
      <c r="EP237" s="1429" t="str">
        <f t="shared" ca="1" si="823"/>
        <v>A</v>
      </c>
      <c r="EQ237" s="1429" t="str">
        <f t="shared" ca="1" si="823"/>
        <v>A</v>
      </c>
      <c r="ER237" s="1429" t="str">
        <f t="shared" ca="1" si="823"/>
        <v>A</v>
      </c>
      <c r="ES237" s="1429" t="str">
        <f t="shared" ca="1" si="823"/>
        <v>A</v>
      </c>
      <c r="ET237" s="1429" t="str">
        <f t="shared" ca="1" si="823"/>
        <v>A</v>
      </c>
      <c r="EU237" s="1429" t="str">
        <f t="shared" ca="1" si="823"/>
        <v>A</v>
      </c>
      <c r="EV237" s="1429" t="str">
        <f t="shared" ca="1" si="823"/>
        <v>A</v>
      </c>
      <c r="EW237" s="1429" t="str">
        <f t="shared" ca="1" si="822"/>
        <v>A</v>
      </c>
      <c r="EX237" s="1429" t="str">
        <f t="shared" ca="1" si="822"/>
        <v>A</v>
      </c>
      <c r="EY237" s="1429" t="str">
        <f t="shared" ca="1" si="822"/>
        <v>A</v>
      </c>
      <c r="EZ237" s="1429" t="str">
        <f t="shared" ca="1" si="822"/>
        <v>A</v>
      </c>
      <c r="FA237" s="1429" t="str">
        <f t="shared" ca="1" si="822"/>
        <v>A</v>
      </c>
      <c r="FB237" s="1429" t="str">
        <f t="shared" ca="1" si="822"/>
        <v>A</v>
      </c>
      <c r="FC237" s="1429" t="str">
        <f t="shared" ca="1" si="822"/>
        <v>A</v>
      </c>
      <c r="FD237" s="1429" t="str">
        <f t="shared" ca="1" si="822"/>
        <v>A</v>
      </c>
      <c r="FE237" s="1429" t="str">
        <f t="shared" ca="1" si="822"/>
        <v>A</v>
      </c>
      <c r="FF237" s="1429" t="str">
        <f t="shared" ca="1" si="822"/>
        <v>A</v>
      </c>
      <c r="FG237" s="1429" t="str">
        <f t="shared" ca="1" si="822"/>
        <v>A</v>
      </c>
      <c r="FH237" s="1429" t="str">
        <f t="shared" ca="1" si="822"/>
        <v>A</v>
      </c>
      <c r="FI237" s="1429" t="str">
        <f t="shared" ca="1" si="822"/>
        <v>A</v>
      </c>
      <c r="FJ237" s="1429" t="str">
        <f t="shared" ca="1" si="822"/>
        <v>A</v>
      </c>
      <c r="FK237" s="1429" t="str">
        <f t="shared" ca="1" si="822"/>
        <v>A</v>
      </c>
      <c r="FL237" s="1429" t="str">
        <f t="shared" ca="1" si="748"/>
        <v>A</v>
      </c>
    </row>
    <row r="238" spans="1:168" x14ac:dyDescent="0.2">
      <c r="A238" s="62" t="str">
        <f t="shared" si="749"/>
        <v>L/S: Mahrische Glyphen</v>
      </c>
      <c r="B238" s="317" t="str">
        <f t="shared" ca="1" si="750"/>
        <v/>
      </c>
      <c r="C238" s="332" t="str">
        <f ca="1">IF(AND(EXACT($F238,""),EXACT($G238,"")),IF(OR(NOT(ISBLANK(D238)),NOT(EXACT(HLOOKUP(RASSEGENE,RASSE,$BN238,FALSE),"")),NOT(EXACT(HLOOKUP(KULTURGENE,KULTUR,$BN238,FALSE),"")),NOT(EXACT(HLOOKUP(PROFGENE,INDIRECT(PROFGEBIET),$BN238,FALSE),"")),
IF(LEN(PROFZWEITE)&lt;1,FALSE,NOT(EXACT(HLOOKUP(Generierung!$D$12,INDIRECT(PROFGEBIET2),$BN238,FALSE),"")))
),"x",""),"")</f>
        <v/>
      </c>
      <c r="D238" s="1110"/>
      <c r="E238" s="325"/>
      <c r="F238" s="388" t="str">
        <f t="shared" ca="1" si="751"/>
        <v/>
      </c>
      <c r="G238" s="388" t="str">
        <f t="shared" ca="1" si="752"/>
        <v/>
      </c>
      <c r="H238" s="389"/>
      <c r="I238" s="1196"/>
      <c r="J238" s="326"/>
      <c r="O238" s="514" t="str">
        <f t="shared" ca="1" si="753"/>
        <v/>
      </c>
      <c r="P238" s="164">
        <f t="shared" ca="1" si="754"/>
        <v>0</v>
      </c>
      <c r="Q238" s="164">
        <f t="shared" ca="1" si="755"/>
        <v>0</v>
      </c>
      <c r="R238" s="164">
        <f t="shared" ca="1" si="756"/>
        <v>0</v>
      </c>
      <c r="S238" s="164">
        <f t="shared" ca="1" si="757"/>
        <v>0</v>
      </c>
      <c r="T238" s="164">
        <f t="shared" ca="1" si="758"/>
        <v>0</v>
      </c>
      <c r="U238" s="164">
        <f t="shared" ca="1" si="759"/>
        <v>0</v>
      </c>
      <c r="V238" s="164">
        <f t="shared" ca="1" si="760"/>
        <v>0</v>
      </c>
      <c r="W238" s="164">
        <f t="shared" ca="1" si="761"/>
        <v>0</v>
      </c>
      <c r="X238" s="164">
        <f t="shared" ca="1" si="762"/>
        <v>0</v>
      </c>
      <c r="Y238" s="164">
        <f t="shared" ca="1" si="763"/>
        <v>0</v>
      </c>
      <c r="Z238" s="164">
        <f t="shared" ca="1" si="764"/>
        <v>0</v>
      </c>
      <c r="AA238" s="164">
        <f t="shared" ca="1" si="765"/>
        <v>0</v>
      </c>
      <c r="AB238" s="164">
        <f t="shared" ca="1" si="766"/>
        <v>0</v>
      </c>
      <c r="AC238" s="164">
        <f t="shared" ca="1" si="767"/>
        <v>0</v>
      </c>
      <c r="AD238" s="164">
        <f t="shared" ca="1" si="768"/>
        <v>0</v>
      </c>
      <c r="AE238" s="164">
        <f t="shared" ca="1" si="769"/>
        <v>0</v>
      </c>
      <c r="AF238" s="164">
        <f t="shared" ca="1" si="770"/>
        <v>0</v>
      </c>
      <c r="AG238" s="164">
        <f t="shared" ca="1" si="771"/>
        <v>0</v>
      </c>
      <c r="AH238" s="164">
        <f t="shared" ca="1" si="772"/>
        <v>0</v>
      </c>
      <c r="AI238" s="164">
        <f t="shared" ca="1" si="773"/>
        <v>0</v>
      </c>
      <c r="AJ238" s="164">
        <f t="shared" ca="1" si="774"/>
        <v>0</v>
      </c>
      <c r="AK238" s="164">
        <f t="shared" ca="1" si="775"/>
        <v>0</v>
      </c>
      <c r="AL238" s="164">
        <f t="shared" si="776"/>
        <v>0</v>
      </c>
      <c r="AM238" s="164">
        <f t="shared" ca="1" si="777"/>
        <v>0</v>
      </c>
      <c r="AN238" s="205"/>
      <c r="AO238" s="154">
        <f t="shared" ca="1" si="778"/>
        <v>0</v>
      </c>
      <c r="AP238" s="154">
        <f t="shared" ca="1" si="779"/>
        <v>0</v>
      </c>
      <c r="AQ238" s="154">
        <f t="shared" ca="1" si="780"/>
        <v>0</v>
      </c>
      <c r="AR238" s="154">
        <f t="shared" ca="1" si="781"/>
        <v>0</v>
      </c>
      <c r="AS238" s="154">
        <f t="shared" ca="1" si="782"/>
        <v>0</v>
      </c>
      <c r="AT238" s="154">
        <f t="shared" ca="1" si="783"/>
        <v>0</v>
      </c>
      <c r="AU238" s="154">
        <f t="shared" ca="1" si="784"/>
        <v>0</v>
      </c>
      <c r="AV238" s="154">
        <f t="shared" ca="1" si="785"/>
        <v>0</v>
      </c>
      <c r="AW238" s="154">
        <f t="shared" ca="1" si="786"/>
        <v>0</v>
      </c>
      <c r="AX238" s="154">
        <f t="shared" ca="1" si="787"/>
        <v>0</v>
      </c>
      <c r="AY238" s="154">
        <f t="shared" ca="1" si="788"/>
        <v>0</v>
      </c>
      <c r="AZ238" s="154">
        <f t="shared" ca="1" si="789"/>
        <v>0</v>
      </c>
      <c r="BA238" s="154">
        <f t="shared" ca="1" si="790"/>
        <v>0</v>
      </c>
      <c r="BB238" s="154">
        <f t="shared" ca="1" si="791"/>
        <v>0</v>
      </c>
      <c r="BC238" s="154">
        <f t="shared" ca="1" si="792"/>
        <v>0</v>
      </c>
      <c r="BD238" s="154">
        <f t="shared" ca="1" si="793"/>
        <v>0</v>
      </c>
      <c r="BE238" s="154">
        <f t="shared" ca="1" si="794"/>
        <v>0</v>
      </c>
      <c r="BF238" s="154">
        <f t="shared" ca="1" si="795"/>
        <v>0</v>
      </c>
      <c r="BG238" s="154">
        <f t="shared" ca="1" si="796"/>
        <v>0</v>
      </c>
      <c r="BH238" s="154">
        <f t="shared" ca="1" si="797"/>
        <v>0</v>
      </c>
      <c r="BI238" s="154">
        <f t="shared" ca="1" si="798"/>
        <v>0</v>
      </c>
      <c r="BJ238" s="154">
        <f t="shared" ca="1" si="799"/>
        <v>0</v>
      </c>
      <c r="BK238" s="154">
        <f t="shared" ca="1" si="800"/>
        <v>0</v>
      </c>
      <c r="BL238" s="154">
        <f t="shared" ca="1" si="801"/>
        <v>0</v>
      </c>
      <c r="BM238" s="154">
        <f t="shared" ca="1" si="802"/>
        <v>0</v>
      </c>
      <c r="BN238" s="1198">
        <f t="shared" si="816"/>
        <v>242</v>
      </c>
      <c r="BO238" s="1197" t="str">
        <f t="shared" si="803"/>
        <v>L/S: Mahrische Glyphen</v>
      </c>
      <c r="BP238" s="1197" t="str">
        <f t="shared" ca="1" si="804"/>
        <v>B</v>
      </c>
      <c r="BQ238" s="1197">
        <f t="shared" si="820"/>
        <v>15</v>
      </c>
      <c r="BR238" s="1198" t="str">
        <f t="shared" ca="1" si="817"/>
        <v/>
      </c>
      <c r="BS238" s="1198" t="s">
        <v>1716</v>
      </c>
      <c r="BT238" s="78"/>
      <c r="BU238" s="78"/>
      <c r="BV238" s="78"/>
      <c r="BW238" s="1197">
        <f t="shared" ca="1" si="818"/>
        <v>0</v>
      </c>
      <c r="BX238" s="1197">
        <f t="shared" ca="1" si="805"/>
        <v>0</v>
      </c>
      <c r="BY238" s="1197">
        <f t="shared" ca="1" si="806"/>
        <v>0</v>
      </c>
      <c r="BZ238" s="1081">
        <f t="shared" ca="1" si="807"/>
        <v>0</v>
      </c>
      <c r="CA238" s="1081">
        <f t="shared" ca="1" si="808"/>
        <v>0</v>
      </c>
      <c r="CB238" s="1081">
        <f t="shared" ca="1" si="819"/>
        <v>66</v>
      </c>
      <c r="CC238" s="1081">
        <f t="shared" ca="1" si="809"/>
        <v>66</v>
      </c>
      <c r="CD238" s="1081">
        <f t="shared" si="826"/>
        <v>0</v>
      </c>
      <c r="CE238" s="78"/>
      <c r="CF238" s="78"/>
      <c r="CG238" s="78"/>
      <c r="CH238" s="154"/>
      <c r="CI238" s="78"/>
      <c r="CJ238" s="78"/>
      <c r="CK238" s="78"/>
      <c r="CL238" s="78"/>
      <c r="CM238" s="78"/>
      <c r="CN238" s="1081">
        <f t="shared" ca="1" si="725"/>
        <v>0</v>
      </c>
      <c r="CO238" s="1081">
        <f t="shared" ca="1" si="811"/>
        <v>0</v>
      </c>
      <c r="CP238" s="1081">
        <f t="shared" ca="1" si="726"/>
        <v>0</v>
      </c>
      <c r="DJ238" s="301" t="str">
        <f t="shared" ca="1" si="824"/>
        <v>B</v>
      </c>
      <c r="DK238" s="301" t="str">
        <f t="shared" ca="1" si="824"/>
        <v>B</v>
      </c>
      <c r="DL238" s="301" t="str">
        <f t="shared" ca="1" si="824"/>
        <v>B</v>
      </c>
      <c r="DM238" s="301" t="str">
        <f t="shared" ca="1" si="824"/>
        <v>B</v>
      </c>
      <c r="DN238" s="301" t="str">
        <f t="shared" ca="1" si="824"/>
        <v>B</v>
      </c>
      <c r="DO238" s="301" t="str">
        <f t="shared" ca="1" si="824"/>
        <v>B</v>
      </c>
      <c r="DP238" s="301" t="str">
        <f t="shared" ca="1" si="824"/>
        <v>B</v>
      </c>
      <c r="DQ238" s="301" t="str">
        <f t="shared" ca="1" si="824"/>
        <v>B</v>
      </c>
      <c r="DR238" s="301" t="str">
        <f t="shared" ca="1" si="824"/>
        <v>B</v>
      </c>
      <c r="DS238" s="301" t="str">
        <f t="shared" ca="1" si="824"/>
        <v>B</v>
      </c>
      <c r="DT238" s="301" t="str">
        <f t="shared" ca="1" si="825"/>
        <v>B</v>
      </c>
      <c r="DU238" s="301" t="str">
        <f t="shared" ca="1" si="825"/>
        <v>B</v>
      </c>
      <c r="DV238" s="301" t="str">
        <f t="shared" ca="1" si="825"/>
        <v>B</v>
      </c>
      <c r="DW238" s="301" t="str">
        <f t="shared" ca="1" si="825"/>
        <v>B</v>
      </c>
      <c r="DX238" s="301" t="str">
        <f t="shared" ca="1" si="825"/>
        <v>B</v>
      </c>
      <c r="DY238" s="301" t="str">
        <f t="shared" ca="1" si="825"/>
        <v>B</v>
      </c>
      <c r="DZ238" s="301" t="str">
        <f t="shared" ca="1" si="825"/>
        <v>B</v>
      </c>
      <c r="EA238" s="301" t="str">
        <f t="shared" ca="1" si="825"/>
        <v>B</v>
      </c>
      <c r="EB238" s="301" t="str">
        <f t="shared" ca="1" si="825"/>
        <v>B</v>
      </c>
      <c r="EC238" s="301" t="str">
        <f t="shared" ca="1" si="825"/>
        <v>B</v>
      </c>
      <c r="ED238" s="301" t="str">
        <f t="shared" ca="1" si="825"/>
        <v>B</v>
      </c>
      <c r="EE238" s="301" t="str">
        <f t="shared" ca="1" si="825"/>
        <v>B</v>
      </c>
      <c r="EF238" s="301">
        <f t="shared" si="814"/>
        <v>0</v>
      </c>
      <c r="EG238" s="1426" t="str">
        <f t="shared" ca="1" si="823"/>
        <v>B</v>
      </c>
      <c r="EH238" s="1429" t="str">
        <f t="shared" ca="1" si="823"/>
        <v>B</v>
      </c>
      <c r="EI238" s="1429" t="str">
        <f t="shared" ca="1" si="823"/>
        <v>B</v>
      </c>
      <c r="EJ238" s="1429" t="str">
        <f t="shared" ca="1" si="823"/>
        <v>B</v>
      </c>
      <c r="EK238" s="1429" t="str">
        <f t="shared" ca="1" si="823"/>
        <v>B</v>
      </c>
      <c r="EL238" s="1429" t="str">
        <f t="shared" ca="1" si="823"/>
        <v>B</v>
      </c>
      <c r="EM238" s="1429" t="str">
        <f t="shared" ca="1" si="823"/>
        <v>B</v>
      </c>
      <c r="EN238" s="1429" t="str">
        <f t="shared" ca="1" si="823"/>
        <v>B</v>
      </c>
      <c r="EO238" s="1429" t="str">
        <f t="shared" ca="1" si="823"/>
        <v>B</v>
      </c>
      <c r="EP238" s="1429" t="str">
        <f t="shared" ca="1" si="823"/>
        <v>B</v>
      </c>
      <c r="EQ238" s="1429" t="str">
        <f t="shared" ca="1" si="823"/>
        <v>B</v>
      </c>
      <c r="ER238" s="1429" t="str">
        <f t="shared" ca="1" si="823"/>
        <v>B</v>
      </c>
      <c r="ES238" s="1429" t="str">
        <f t="shared" ca="1" si="823"/>
        <v>B</v>
      </c>
      <c r="ET238" s="1429" t="str">
        <f t="shared" ca="1" si="823"/>
        <v>B</v>
      </c>
      <c r="EU238" s="1429" t="str">
        <f t="shared" ca="1" si="823"/>
        <v>B</v>
      </c>
      <c r="EV238" s="1429" t="str">
        <f t="shared" ca="1" si="823"/>
        <v>B</v>
      </c>
      <c r="EW238" s="1429" t="str">
        <f t="shared" ca="1" si="822"/>
        <v>B</v>
      </c>
      <c r="EX238" s="1429" t="str">
        <f t="shared" ca="1" si="822"/>
        <v>B</v>
      </c>
      <c r="EY238" s="1429" t="str">
        <f t="shared" ca="1" si="822"/>
        <v>B</v>
      </c>
      <c r="EZ238" s="1429" t="str">
        <f t="shared" ca="1" si="822"/>
        <v>B</v>
      </c>
      <c r="FA238" s="1429" t="str">
        <f t="shared" ca="1" si="822"/>
        <v>B</v>
      </c>
      <c r="FB238" s="1429" t="str">
        <f t="shared" ca="1" si="822"/>
        <v>B</v>
      </c>
      <c r="FC238" s="1429" t="str">
        <f t="shared" ca="1" si="822"/>
        <v>B</v>
      </c>
      <c r="FD238" s="1429" t="str">
        <f t="shared" ca="1" si="822"/>
        <v>B</v>
      </c>
      <c r="FE238" s="1429" t="str">
        <f t="shared" ca="1" si="822"/>
        <v>B</v>
      </c>
      <c r="FF238" s="1429" t="str">
        <f t="shared" ca="1" si="822"/>
        <v>B</v>
      </c>
      <c r="FG238" s="1429" t="str">
        <f t="shared" ca="1" si="822"/>
        <v>B</v>
      </c>
      <c r="FH238" s="1429" t="str">
        <f t="shared" ca="1" si="822"/>
        <v>B</v>
      </c>
      <c r="FI238" s="1429" t="str">
        <f t="shared" ca="1" si="822"/>
        <v>B</v>
      </c>
      <c r="FJ238" s="1429" t="str">
        <f t="shared" ca="1" si="822"/>
        <v>B</v>
      </c>
      <c r="FK238" s="1429" t="str">
        <f t="shared" ca="1" si="822"/>
        <v>B</v>
      </c>
      <c r="FL238" s="1429" t="str">
        <f t="shared" ca="1" si="748"/>
        <v>B</v>
      </c>
    </row>
    <row r="239" spans="1:168" x14ac:dyDescent="0.2">
      <c r="A239" s="62" t="str">
        <f t="shared" si="749"/>
        <v>L/S: Nanduria</v>
      </c>
      <c r="B239" s="317" t="str">
        <f t="shared" ca="1" si="750"/>
        <v/>
      </c>
      <c r="C239" s="332" t="str">
        <f ca="1">IF(AND(EXACT($F239,""),EXACT($G239,"")),IF(OR(NOT(ISBLANK(D239)),NOT(EXACT(HLOOKUP(RASSEGENE,RASSE,$BN239,FALSE),"")),NOT(EXACT(HLOOKUP(KULTURGENE,KULTUR,$BN239,FALSE),"")),NOT(EXACT(HLOOKUP(PROFGENE,INDIRECT(PROFGEBIET),$BN239,FALSE),"")),
IF(LEN(PROFZWEITE)&lt;1,FALSE,NOT(EXACT(HLOOKUP(Generierung!$D$12,INDIRECT(PROFGEBIET2),$BN239,FALSE),"")))
),"x",""),"")</f>
        <v/>
      </c>
      <c r="D239" s="1110"/>
      <c r="E239" s="325"/>
      <c r="F239" s="388" t="str">
        <f t="shared" ca="1" si="751"/>
        <v/>
      </c>
      <c r="G239" s="388" t="str">
        <f t="shared" ca="1" si="752"/>
        <v/>
      </c>
      <c r="H239" s="389"/>
      <c r="I239" s="1196"/>
      <c r="J239" s="326"/>
      <c r="O239" s="514" t="str">
        <f t="shared" ca="1" si="753"/>
        <v/>
      </c>
      <c r="P239" s="164">
        <f t="shared" ca="1" si="754"/>
        <v>0</v>
      </c>
      <c r="Q239" s="164">
        <f t="shared" ca="1" si="755"/>
        <v>0</v>
      </c>
      <c r="R239" s="164">
        <f t="shared" ca="1" si="756"/>
        <v>0</v>
      </c>
      <c r="S239" s="164">
        <f t="shared" ca="1" si="757"/>
        <v>0</v>
      </c>
      <c r="T239" s="164">
        <f t="shared" ca="1" si="758"/>
        <v>0</v>
      </c>
      <c r="U239" s="164">
        <f t="shared" ca="1" si="759"/>
        <v>0</v>
      </c>
      <c r="V239" s="164">
        <f t="shared" ca="1" si="760"/>
        <v>0</v>
      </c>
      <c r="W239" s="164">
        <f t="shared" ca="1" si="761"/>
        <v>0</v>
      </c>
      <c r="X239" s="164">
        <f t="shared" ca="1" si="762"/>
        <v>0</v>
      </c>
      <c r="Y239" s="164">
        <f t="shared" ca="1" si="763"/>
        <v>0</v>
      </c>
      <c r="Z239" s="164">
        <f t="shared" ca="1" si="764"/>
        <v>0</v>
      </c>
      <c r="AA239" s="164">
        <f t="shared" ca="1" si="765"/>
        <v>0</v>
      </c>
      <c r="AB239" s="164">
        <f t="shared" ca="1" si="766"/>
        <v>0</v>
      </c>
      <c r="AC239" s="164">
        <f t="shared" ca="1" si="767"/>
        <v>0</v>
      </c>
      <c r="AD239" s="164">
        <f t="shared" ca="1" si="768"/>
        <v>0</v>
      </c>
      <c r="AE239" s="164">
        <f t="shared" ca="1" si="769"/>
        <v>0</v>
      </c>
      <c r="AF239" s="164">
        <f t="shared" ca="1" si="770"/>
        <v>0</v>
      </c>
      <c r="AG239" s="164">
        <f t="shared" ca="1" si="771"/>
        <v>0</v>
      </c>
      <c r="AH239" s="164">
        <f t="shared" ca="1" si="772"/>
        <v>0</v>
      </c>
      <c r="AI239" s="164">
        <f t="shared" ca="1" si="773"/>
        <v>0</v>
      </c>
      <c r="AJ239" s="164">
        <f t="shared" ca="1" si="774"/>
        <v>0</v>
      </c>
      <c r="AK239" s="164">
        <f t="shared" ca="1" si="775"/>
        <v>0</v>
      </c>
      <c r="AL239" s="164">
        <f t="shared" si="776"/>
        <v>0</v>
      </c>
      <c r="AM239" s="164">
        <f t="shared" ca="1" si="777"/>
        <v>0</v>
      </c>
      <c r="AN239" s="205"/>
      <c r="AO239" s="154">
        <f t="shared" ca="1" si="778"/>
        <v>0</v>
      </c>
      <c r="AP239" s="154">
        <f t="shared" ca="1" si="779"/>
        <v>0</v>
      </c>
      <c r="AQ239" s="154">
        <f t="shared" ca="1" si="780"/>
        <v>0</v>
      </c>
      <c r="AR239" s="154">
        <f t="shared" ca="1" si="781"/>
        <v>0</v>
      </c>
      <c r="AS239" s="154">
        <f t="shared" ca="1" si="782"/>
        <v>0</v>
      </c>
      <c r="AT239" s="154">
        <f t="shared" ca="1" si="783"/>
        <v>0</v>
      </c>
      <c r="AU239" s="154">
        <f t="shared" ca="1" si="784"/>
        <v>0</v>
      </c>
      <c r="AV239" s="154">
        <f t="shared" ca="1" si="785"/>
        <v>0</v>
      </c>
      <c r="AW239" s="154">
        <f t="shared" ca="1" si="786"/>
        <v>0</v>
      </c>
      <c r="AX239" s="154">
        <f t="shared" ca="1" si="787"/>
        <v>0</v>
      </c>
      <c r="AY239" s="154">
        <f t="shared" ca="1" si="788"/>
        <v>0</v>
      </c>
      <c r="AZ239" s="154">
        <f t="shared" ca="1" si="789"/>
        <v>0</v>
      </c>
      <c r="BA239" s="154">
        <f t="shared" ca="1" si="790"/>
        <v>0</v>
      </c>
      <c r="BB239" s="154">
        <f t="shared" ca="1" si="791"/>
        <v>0</v>
      </c>
      <c r="BC239" s="154">
        <f t="shared" ca="1" si="792"/>
        <v>0</v>
      </c>
      <c r="BD239" s="154">
        <f t="shared" ca="1" si="793"/>
        <v>0</v>
      </c>
      <c r="BE239" s="154">
        <f t="shared" ca="1" si="794"/>
        <v>0</v>
      </c>
      <c r="BF239" s="154">
        <f t="shared" ca="1" si="795"/>
        <v>0</v>
      </c>
      <c r="BG239" s="154">
        <f t="shared" ca="1" si="796"/>
        <v>0</v>
      </c>
      <c r="BH239" s="154">
        <f t="shared" ca="1" si="797"/>
        <v>0</v>
      </c>
      <c r="BI239" s="154">
        <f t="shared" ca="1" si="798"/>
        <v>0</v>
      </c>
      <c r="BJ239" s="154">
        <f t="shared" ca="1" si="799"/>
        <v>0</v>
      </c>
      <c r="BK239" s="154">
        <f t="shared" ca="1" si="800"/>
        <v>0</v>
      </c>
      <c r="BL239" s="154">
        <f t="shared" ca="1" si="801"/>
        <v>0</v>
      </c>
      <c r="BM239" s="154">
        <f t="shared" ca="1" si="802"/>
        <v>0</v>
      </c>
      <c r="BN239" s="1198">
        <f t="shared" si="816"/>
        <v>243</v>
      </c>
      <c r="BO239" s="1197" t="str">
        <f t="shared" si="803"/>
        <v>L/S: Nanduria</v>
      </c>
      <c r="BP239" s="1197" t="str">
        <f t="shared" ca="1" si="804"/>
        <v>A</v>
      </c>
      <c r="BQ239" s="1197">
        <f t="shared" si="820"/>
        <v>16</v>
      </c>
      <c r="BR239" s="1198" t="str">
        <f t="shared" ca="1" si="817"/>
        <v/>
      </c>
      <c r="BS239" s="1198" t="s">
        <v>3470</v>
      </c>
      <c r="BT239" s="78"/>
      <c r="BU239" s="78"/>
      <c r="BV239" s="78"/>
      <c r="BW239" s="1197">
        <f t="shared" ca="1" si="818"/>
        <v>0</v>
      </c>
      <c r="BX239" s="1197">
        <f t="shared" ca="1" si="805"/>
        <v>0</v>
      </c>
      <c r="BY239" s="1197">
        <f t="shared" ca="1" si="806"/>
        <v>0</v>
      </c>
      <c r="BZ239" s="1081">
        <f t="shared" ca="1" si="807"/>
        <v>0</v>
      </c>
      <c r="CA239" s="1081">
        <f t="shared" ca="1" si="808"/>
        <v>0</v>
      </c>
      <c r="CB239" s="1081">
        <f t="shared" ca="1" si="819"/>
        <v>65</v>
      </c>
      <c r="CC239" s="1081">
        <f t="shared" ca="1" si="809"/>
        <v>65</v>
      </c>
      <c r="CD239" s="1081">
        <f t="shared" si="826"/>
        <v>0</v>
      </c>
      <c r="CE239" s="78"/>
      <c r="CF239" s="78"/>
      <c r="CG239" s="78"/>
      <c r="CH239" s="154"/>
      <c r="CI239" s="78"/>
      <c r="CJ239" s="78"/>
      <c r="CK239" s="78"/>
      <c r="CL239" s="78"/>
      <c r="CM239" s="78"/>
      <c r="CN239" s="1081">
        <f t="shared" ca="1" si="725"/>
        <v>0</v>
      </c>
      <c r="CO239" s="1081">
        <f t="shared" ca="1" si="811"/>
        <v>0</v>
      </c>
      <c r="CP239" s="1081">
        <f t="shared" ca="1" si="726"/>
        <v>0</v>
      </c>
      <c r="DJ239" s="301" t="str">
        <f t="shared" ca="1" si="824"/>
        <v>A</v>
      </c>
      <c r="DK239" s="301" t="str">
        <f t="shared" ca="1" si="824"/>
        <v>A</v>
      </c>
      <c r="DL239" s="301" t="str">
        <f t="shared" ca="1" si="824"/>
        <v>A</v>
      </c>
      <c r="DM239" s="301" t="str">
        <f t="shared" ca="1" si="824"/>
        <v>A</v>
      </c>
      <c r="DN239" s="301" t="str">
        <f t="shared" ca="1" si="824"/>
        <v>A</v>
      </c>
      <c r="DO239" s="301" t="str">
        <f t="shared" ca="1" si="824"/>
        <v>A</v>
      </c>
      <c r="DP239" s="301" t="str">
        <f t="shared" ca="1" si="824"/>
        <v>A</v>
      </c>
      <c r="DQ239" s="301" t="str">
        <f t="shared" ca="1" si="824"/>
        <v>A</v>
      </c>
      <c r="DR239" s="301" t="str">
        <f t="shared" ca="1" si="824"/>
        <v>A</v>
      </c>
      <c r="DS239" s="301" t="str">
        <f t="shared" ca="1" si="824"/>
        <v>A</v>
      </c>
      <c r="DT239" s="301" t="str">
        <f t="shared" ca="1" si="825"/>
        <v>A</v>
      </c>
      <c r="DU239" s="301" t="str">
        <f t="shared" ca="1" si="825"/>
        <v>A</v>
      </c>
      <c r="DV239" s="301" t="str">
        <f t="shared" ca="1" si="825"/>
        <v>A</v>
      </c>
      <c r="DW239" s="301" t="str">
        <f t="shared" ca="1" si="825"/>
        <v>A</v>
      </c>
      <c r="DX239" s="301" t="str">
        <f t="shared" ca="1" si="825"/>
        <v>A</v>
      </c>
      <c r="DY239" s="301" t="str">
        <f t="shared" ca="1" si="825"/>
        <v>A</v>
      </c>
      <c r="DZ239" s="301" t="str">
        <f t="shared" ca="1" si="825"/>
        <v>A</v>
      </c>
      <c r="EA239" s="301" t="str">
        <f t="shared" ca="1" si="825"/>
        <v>A</v>
      </c>
      <c r="EB239" s="301" t="str">
        <f t="shared" ca="1" si="825"/>
        <v>A</v>
      </c>
      <c r="EC239" s="301" t="str">
        <f t="shared" ca="1" si="825"/>
        <v>A</v>
      </c>
      <c r="ED239" s="301" t="str">
        <f t="shared" ca="1" si="825"/>
        <v>A</v>
      </c>
      <c r="EE239" s="301" t="str">
        <f t="shared" ca="1" si="825"/>
        <v>A</v>
      </c>
      <c r="EF239" s="301">
        <f t="shared" si="814"/>
        <v>0</v>
      </c>
      <c r="EG239" s="1426" t="str">
        <f t="shared" ca="1" si="823"/>
        <v>A</v>
      </c>
      <c r="EH239" s="1429" t="str">
        <f t="shared" ca="1" si="823"/>
        <v>A</v>
      </c>
      <c r="EI239" s="1429" t="str">
        <f t="shared" ca="1" si="823"/>
        <v>A</v>
      </c>
      <c r="EJ239" s="1429" t="str">
        <f t="shared" ca="1" si="823"/>
        <v>A</v>
      </c>
      <c r="EK239" s="1429" t="str">
        <f t="shared" ca="1" si="823"/>
        <v>A</v>
      </c>
      <c r="EL239" s="1429" t="str">
        <f t="shared" ca="1" si="823"/>
        <v>A</v>
      </c>
      <c r="EM239" s="1429" t="str">
        <f t="shared" ca="1" si="823"/>
        <v>A</v>
      </c>
      <c r="EN239" s="1429" t="str">
        <f t="shared" ca="1" si="823"/>
        <v>A</v>
      </c>
      <c r="EO239" s="1429" t="str">
        <f t="shared" ca="1" si="823"/>
        <v>A</v>
      </c>
      <c r="EP239" s="1429" t="str">
        <f t="shared" ca="1" si="823"/>
        <v>A</v>
      </c>
      <c r="EQ239" s="1429" t="str">
        <f t="shared" ca="1" si="823"/>
        <v>A</v>
      </c>
      <c r="ER239" s="1429" t="str">
        <f t="shared" ca="1" si="823"/>
        <v>A</v>
      </c>
      <c r="ES239" s="1429" t="str">
        <f t="shared" ca="1" si="823"/>
        <v>A</v>
      </c>
      <c r="ET239" s="1429" t="str">
        <f t="shared" ca="1" si="823"/>
        <v>A</v>
      </c>
      <c r="EU239" s="1429" t="str">
        <f t="shared" ca="1" si="823"/>
        <v>A</v>
      </c>
      <c r="EV239" s="1429" t="str">
        <f t="shared" ca="1" si="823"/>
        <v>A</v>
      </c>
      <c r="EW239" s="1429" t="str">
        <f t="shared" ca="1" si="822"/>
        <v>A</v>
      </c>
      <c r="EX239" s="1429" t="str">
        <f t="shared" ca="1" si="822"/>
        <v>A</v>
      </c>
      <c r="EY239" s="1429" t="str">
        <f t="shared" ca="1" si="822"/>
        <v>A</v>
      </c>
      <c r="EZ239" s="1429" t="str">
        <f t="shared" ca="1" si="822"/>
        <v>A</v>
      </c>
      <c r="FA239" s="1429" t="str">
        <f t="shared" ca="1" si="822"/>
        <v>A</v>
      </c>
      <c r="FB239" s="1429" t="str">
        <f t="shared" ca="1" si="822"/>
        <v>A</v>
      </c>
      <c r="FC239" s="1429" t="str">
        <f t="shared" ca="1" si="822"/>
        <v>A</v>
      </c>
      <c r="FD239" s="1429" t="str">
        <f t="shared" ca="1" si="822"/>
        <v>A</v>
      </c>
      <c r="FE239" s="1429" t="str">
        <f t="shared" ca="1" si="822"/>
        <v>A</v>
      </c>
      <c r="FF239" s="1429" t="str">
        <f t="shared" ca="1" si="822"/>
        <v>A</v>
      </c>
      <c r="FG239" s="1429" t="str">
        <f t="shared" ca="1" si="822"/>
        <v>A</v>
      </c>
      <c r="FH239" s="1429" t="str">
        <f t="shared" ca="1" si="822"/>
        <v>A</v>
      </c>
      <c r="FI239" s="1429" t="str">
        <f t="shared" ca="1" si="822"/>
        <v>A</v>
      </c>
      <c r="FJ239" s="1429" t="str">
        <f t="shared" ca="1" si="822"/>
        <v>A</v>
      </c>
      <c r="FK239" s="1429" t="str">
        <f t="shared" ca="1" si="822"/>
        <v>A</v>
      </c>
      <c r="FL239" s="1429" t="str">
        <f t="shared" ca="1" si="748"/>
        <v>A</v>
      </c>
    </row>
    <row r="240" spans="1:168" x14ac:dyDescent="0.2">
      <c r="A240" s="62" t="str">
        <f t="shared" si="749"/>
        <v>L/S: Rogolan</v>
      </c>
      <c r="B240" s="317" t="str">
        <f t="shared" ca="1" si="750"/>
        <v/>
      </c>
      <c r="C240" s="332" t="str">
        <f ca="1">IF(AND(EXACT($F240,""),EXACT($G240,"")),IF(OR(NOT(ISBLANK(D240)),NOT(EXACT(HLOOKUP(RASSEGENE,RASSE,$BN240,FALSE),"")),NOT(EXACT(HLOOKUP(KULTURGENE,KULTUR,$BN240,FALSE),"")),NOT(EXACT(HLOOKUP(PROFGENE,INDIRECT(PROFGEBIET),$BN240,FALSE),"")),
IF(LEN(PROFZWEITE)&lt;1,FALSE,NOT(EXACT(HLOOKUP(Generierung!$D$12,INDIRECT(PROFGEBIET2),$BN240,FALSE),"")))
),"x",""),"")</f>
        <v/>
      </c>
      <c r="D240" s="1110"/>
      <c r="E240" s="325"/>
      <c r="F240" s="388" t="str">
        <f t="shared" ca="1" si="751"/>
        <v/>
      </c>
      <c r="G240" s="388" t="str">
        <f t="shared" ca="1" si="752"/>
        <v/>
      </c>
      <c r="H240" s="389"/>
      <c r="I240" s="1196"/>
      <c r="J240" s="326"/>
      <c r="O240" s="514" t="str">
        <f t="shared" ca="1" si="753"/>
        <v/>
      </c>
      <c r="P240" s="164">
        <f t="shared" ca="1" si="754"/>
        <v>0</v>
      </c>
      <c r="Q240" s="164">
        <f t="shared" ca="1" si="755"/>
        <v>0</v>
      </c>
      <c r="R240" s="164">
        <f t="shared" ca="1" si="756"/>
        <v>0</v>
      </c>
      <c r="S240" s="164">
        <f t="shared" ca="1" si="757"/>
        <v>0</v>
      </c>
      <c r="T240" s="164">
        <f t="shared" ca="1" si="758"/>
        <v>0</v>
      </c>
      <c r="U240" s="164">
        <f t="shared" ca="1" si="759"/>
        <v>0</v>
      </c>
      <c r="V240" s="164">
        <f t="shared" ca="1" si="760"/>
        <v>0</v>
      </c>
      <c r="W240" s="164">
        <f t="shared" ca="1" si="761"/>
        <v>0</v>
      </c>
      <c r="X240" s="164">
        <f t="shared" ca="1" si="762"/>
        <v>0</v>
      </c>
      <c r="Y240" s="164">
        <f t="shared" ca="1" si="763"/>
        <v>0</v>
      </c>
      <c r="Z240" s="164">
        <f t="shared" ca="1" si="764"/>
        <v>0</v>
      </c>
      <c r="AA240" s="164">
        <f t="shared" ca="1" si="765"/>
        <v>0</v>
      </c>
      <c r="AB240" s="164">
        <f t="shared" ca="1" si="766"/>
        <v>0</v>
      </c>
      <c r="AC240" s="164">
        <f t="shared" ca="1" si="767"/>
        <v>0</v>
      </c>
      <c r="AD240" s="164">
        <f t="shared" ca="1" si="768"/>
        <v>0</v>
      </c>
      <c r="AE240" s="164">
        <f t="shared" ca="1" si="769"/>
        <v>0</v>
      </c>
      <c r="AF240" s="164">
        <f t="shared" ca="1" si="770"/>
        <v>0</v>
      </c>
      <c r="AG240" s="164">
        <f t="shared" ca="1" si="771"/>
        <v>0</v>
      </c>
      <c r="AH240" s="164">
        <f t="shared" ca="1" si="772"/>
        <v>0</v>
      </c>
      <c r="AI240" s="164">
        <f t="shared" ca="1" si="773"/>
        <v>0</v>
      </c>
      <c r="AJ240" s="164">
        <f t="shared" ca="1" si="774"/>
        <v>0</v>
      </c>
      <c r="AK240" s="164">
        <f t="shared" ca="1" si="775"/>
        <v>0</v>
      </c>
      <c r="AL240" s="164">
        <f t="shared" si="776"/>
        <v>0</v>
      </c>
      <c r="AM240" s="164">
        <f t="shared" ca="1" si="777"/>
        <v>0</v>
      </c>
      <c r="AN240" s="205"/>
      <c r="AO240" s="154">
        <f t="shared" ca="1" si="778"/>
        <v>0</v>
      </c>
      <c r="AP240" s="154">
        <f t="shared" ca="1" si="779"/>
        <v>0</v>
      </c>
      <c r="AQ240" s="154">
        <f t="shared" ca="1" si="780"/>
        <v>0</v>
      </c>
      <c r="AR240" s="154">
        <f t="shared" ca="1" si="781"/>
        <v>0</v>
      </c>
      <c r="AS240" s="154">
        <f t="shared" ca="1" si="782"/>
        <v>0</v>
      </c>
      <c r="AT240" s="154">
        <f t="shared" ca="1" si="783"/>
        <v>0</v>
      </c>
      <c r="AU240" s="154">
        <f t="shared" ca="1" si="784"/>
        <v>0</v>
      </c>
      <c r="AV240" s="154">
        <f t="shared" ca="1" si="785"/>
        <v>0</v>
      </c>
      <c r="AW240" s="154">
        <f t="shared" ca="1" si="786"/>
        <v>0</v>
      </c>
      <c r="AX240" s="154">
        <f t="shared" ca="1" si="787"/>
        <v>0</v>
      </c>
      <c r="AY240" s="154">
        <f t="shared" ca="1" si="788"/>
        <v>0</v>
      </c>
      <c r="AZ240" s="154">
        <f t="shared" ca="1" si="789"/>
        <v>0</v>
      </c>
      <c r="BA240" s="154">
        <f t="shared" ca="1" si="790"/>
        <v>0</v>
      </c>
      <c r="BB240" s="154">
        <f t="shared" ca="1" si="791"/>
        <v>0</v>
      </c>
      <c r="BC240" s="154">
        <f t="shared" ca="1" si="792"/>
        <v>0</v>
      </c>
      <c r="BD240" s="154">
        <f t="shared" ca="1" si="793"/>
        <v>0</v>
      </c>
      <c r="BE240" s="154">
        <f t="shared" ca="1" si="794"/>
        <v>0</v>
      </c>
      <c r="BF240" s="154">
        <f t="shared" ca="1" si="795"/>
        <v>0</v>
      </c>
      <c r="BG240" s="154">
        <f t="shared" ca="1" si="796"/>
        <v>0</v>
      </c>
      <c r="BH240" s="154">
        <f t="shared" ca="1" si="797"/>
        <v>0</v>
      </c>
      <c r="BI240" s="154">
        <f t="shared" ca="1" si="798"/>
        <v>0</v>
      </c>
      <c r="BJ240" s="154">
        <f t="shared" ca="1" si="799"/>
        <v>0</v>
      </c>
      <c r="BK240" s="154">
        <f t="shared" ca="1" si="800"/>
        <v>0</v>
      </c>
      <c r="BL240" s="154">
        <f t="shared" ca="1" si="801"/>
        <v>0</v>
      </c>
      <c r="BM240" s="154">
        <f t="shared" ca="1" si="802"/>
        <v>0</v>
      </c>
      <c r="BN240" s="1198">
        <f t="shared" si="816"/>
        <v>244</v>
      </c>
      <c r="BO240" s="1197" t="str">
        <f t="shared" si="803"/>
        <v>L/S: Rogolan</v>
      </c>
      <c r="BP240" s="1197" t="str">
        <f t="shared" ca="1" si="804"/>
        <v>A</v>
      </c>
      <c r="BQ240" s="1197">
        <f t="shared" si="820"/>
        <v>17</v>
      </c>
      <c r="BR240" s="1198" t="str">
        <f t="shared" ca="1" si="817"/>
        <v/>
      </c>
      <c r="BS240" s="1198" t="s">
        <v>3471</v>
      </c>
      <c r="BT240" s="78"/>
      <c r="BU240" s="78"/>
      <c r="BV240" s="78"/>
      <c r="BW240" s="1197">
        <f t="shared" ca="1" si="818"/>
        <v>0</v>
      </c>
      <c r="BX240" s="1197">
        <f t="shared" ca="1" si="805"/>
        <v>0</v>
      </c>
      <c r="BY240" s="1197">
        <f t="shared" ca="1" si="806"/>
        <v>0</v>
      </c>
      <c r="BZ240" s="1081">
        <f t="shared" ca="1" si="807"/>
        <v>0</v>
      </c>
      <c r="CA240" s="1081">
        <f t="shared" ca="1" si="808"/>
        <v>0</v>
      </c>
      <c r="CB240" s="1081">
        <f t="shared" ca="1" si="819"/>
        <v>65</v>
      </c>
      <c r="CC240" s="1081">
        <f t="shared" ca="1" si="809"/>
        <v>65</v>
      </c>
      <c r="CD240" s="1081">
        <f t="shared" si="826"/>
        <v>0</v>
      </c>
      <c r="CE240" s="78"/>
      <c r="CF240" s="78"/>
      <c r="CG240" s="78"/>
      <c r="CH240" s="154"/>
      <c r="CI240" s="78"/>
      <c r="CJ240" s="78"/>
      <c r="CK240" s="78"/>
      <c r="CL240" s="78"/>
      <c r="CM240" s="78"/>
      <c r="CN240" s="1081">
        <f t="shared" ca="1" si="725"/>
        <v>0</v>
      </c>
      <c r="CO240" s="1081">
        <f t="shared" ca="1" si="811"/>
        <v>0</v>
      </c>
      <c r="CP240" s="1081">
        <f t="shared" ca="1" si="726"/>
        <v>0</v>
      </c>
      <c r="DJ240" s="301" t="str">
        <f t="shared" ca="1" si="824"/>
        <v>A</v>
      </c>
      <c r="DK240" s="301" t="str">
        <f t="shared" ca="1" si="824"/>
        <v>A</v>
      </c>
      <c r="DL240" s="301" t="str">
        <f t="shared" ca="1" si="824"/>
        <v>A</v>
      </c>
      <c r="DM240" s="301" t="str">
        <f t="shared" ca="1" si="824"/>
        <v>A</v>
      </c>
      <c r="DN240" s="301" t="str">
        <f t="shared" ca="1" si="824"/>
        <v>A</v>
      </c>
      <c r="DO240" s="301" t="str">
        <f t="shared" ca="1" si="824"/>
        <v>A</v>
      </c>
      <c r="DP240" s="301" t="str">
        <f t="shared" ca="1" si="824"/>
        <v>A</v>
      </c>
      <c r="DQ240" s="301" t="str">
        <f t="shared" ca="1" si="824"/>
        <v>A</v>
      </c>
      <c r="DR240" s="301" t="str">
        <f t="shared" ca="1" si="824"/>
        <v>A</v>
      </c>
      <c r="DS240" s="301" t="str">
        <f t="shared" ca="1" si="824"/>
        <v>A</v>
      </c>
      <c r="DT240" s="301" t="str">
        <f t="shared" ca="1" si="825"/>
        <v>A</v>
      </c>
      <c r="DU240" s="301" t="str">
        <f t="shared" ca="1" si="825"/>
        <v>A</v>
      </c>
      <c r="DV240" s="301" t="str">
        <f t="shared" ca="1" si="825"/>
        <v>A</v>
      </c>
      <c r="DW240" s="301" t="str">
        <f t="shared" ca="1" si="825"/>
        <v>A</v>
      </c>
      <c r="DX240" s="301" t="str">
        <f t="shared" ca="1" si="825"/>
        <v>A</v>
      </c>
      <c r="DY240" s="301" t="str">
        <f t="shared" ca="1" si="825"/>
        <v>A</v>
      </c>
      <c r="DZ240" s="301" t="str">
        <f t="shared" ca="1" si="825"/>
        <v>A</v>
      </c>
      <c r="EA240" s="301" t="str">
        <f t="shared" ca="1" si="825"/>
        <v>A</v>
      </c>
      <c r="EB240" s="301" t="str">
        <f t="shared" ca="1" si="825"/>
        <v>A</v>
      </c>
      <c r="EC240" s="301" t="str">
        <f t="shared" ca="1" si="825"/>
        <v>A</v>
      </c>
      <c r="ED240" s="301" t="str">
        <f t="shared" ca="1" si="825"/>
        <v>A</v>
      </c>
      <c r="EE240" s="301" t="str">
        <f t="shared" ca="1" si="825"/>
        <v>A</v>
      </c>
      <c r="EF240" s="301">
        <f t="shared" si="814"/>
        <v>0</v>
      </c>
      <c r="EG240" s="1426" t="str">
        <f t="shared" ca="1" si="823"/>
        <v>A</v>
      </c>
      <c r="EH240" s="1429" t="str">
        <f t="shared" ca="1" si="823"/>
        <v>A</v>
      </c>
      <c r="EI240" s="1429" t="str">
        <f t="shared" ca="1" si="823"/>
        <v>A</v>
      </c>
      <c r="EJ240" s="1429" t="str">
        <f t="shared" ca="1" si="823"/>
        <v>A</v>
      </c>
      <c r="EK240" s="1429" t="str">
        <f t="shared" ca="1" si="823"/>
        <v>A</v>
      </c>
      <c r="EL240" s="1429" t="str">
        <f t="shared" ca="1" si="823"/>
        <v>A</v>
      </c>
      <c r="EM240" s="1429" t="str">
        <f t="shared" ca="1" si="823"/>
        <v>A</v>
      </c>
      <c r="EN240" s="1429" t="str">
        <f t="shared" ca="1" si="823"/>
        <v>A</v>
      </c>
      <c r="EO240" s="1429" t="str">
        <f t="shared" ca="1" si="823"/>
        <v>A</v>
      </c>
      <c r="EP240" s="1429" t="str">
        <f t="shared" ca="1" si="823"/>
        <v>A</v>
      </c>
      <c r="EQ240" s="1429" t="str">
        <f t="shared" ca="1" si="823"/>
        <v>A</v>
      </c>
      <c r="ER240" s="1429" t="str">
        <f t="shared" ca="1" si="823"/>
        <v>A</v>
      </c>
      <c r="ES240" s="1429" t="str">
        <f t="shared" ca="1" si="823"/>
        <v>A</v>
      </c>
      <c r="ET240" s="1429" t="str">
        <f t="shared" ca="1" si="823"/>
        <v>A</v>
      </c>
      <c r="EU240" s="1429" t="str">
        <f t="shared" ca="1" si="823"/>
        <v>A</v>
      </c>
      <c r="EV240" s="1429" t="str">
        <f t="shared" ca="1" si="823"/>
        <v>A</v>
      </c>
      <c r="EW240" s="1429" t="str">
        <f t="shared" ca="1" si="822"/>
        <v>A</v>
      </c>
      <c r="EX240" s="1429" t="str">
        <f t="shared" ca="1" si="822"/>
        <v>A</v>
      </c>
      <c r="EY240" s="1429" t="str">
        <f t="shared" ca="1" si="822"/>
        <v>A</v>
      </c>
      <c r="EZ240" s="1429" t="str">
        <f t="shared" ca="1" si="822"/>
        <v>A</v>
      </c>
      <c r="FA240" s="1429" t="str">
        <f t="shared" ca="1" si="822"/>
        <v>A</v>
      </c>
      <c r="FB240" s="1429" t="str">
        <f t="shared" ca="1" si="822"/>
        <v>A</v>
      </c>
      <c r="FC240" s="1429" t="str">
        <f t="shared" ca="1" si="822"/>
        <v>A</v>
      </c>
      <c r="FD240" s="1429" t="str">
        <f t="shared" ca="1" si="822"/>
        <v>A</v>
      </c>
      <c r="FE240" s="1429" t="str">
        <f t="shared" ca="1" si="822"/>
        <v>A</v>
      </c>
      <c r="FF240" s="1429" t="str">
        <f t="shared" ca="1" si="822"/>
        <v>A</v>
      </c>
      <c r="FG240" s="1429" t="str">
        <f t="shared" ca="1" si="822"/>
        <v>A</v>
      </c>
      <c r="FH240" s="1429" t="str">
        <f t="shared" ca="1" si="822"/>
        <v>A</v>
      </c>
      <c r="FI240" s="1429" t="str">
        <f t="shared" ca="1" si="822"/>
        <v>A</v>
      </c>
      <c r="FJ240" s="1429" t="str">
        <f t="shared" ca="1" si="822"/>
        <v>A</v>
      </c>
      <c r="FK240" s="1429" t="str">
        <f t="shared" ca="1" si="822"/>
        <v>A</v>
      </c>
      <c r="FL240" s="1429" t="str">
        <f t="shared" ca="1" si="748"/>
        <v>A</v>
      </c>
    </row>
    <row r="241" spans="1:168" x14ac:dyDescent="0.2">
      <c r="A241" s="62" t="str">
        <f t="shared" si="749"/>
        <v>L/S: Trollische Raumbilderschrift</v>
      </c>
      <c r="B241" s="317" t="str">
        <f t="shared" ca="1" si="750"/>
        <v/>
      </c>
      <c r="C241" s="332" t="str">
        <f ca="1">IF(AND(EXACT($F241,""),EXACT($G241,"")),IF(OR(NOT(ISBLANK(D241)),NOT(EXACT(HLOOKUP(RASSEGENE,RASSE,$BN241,FALSE),"")),NOT(EXACT(HLOOKUP(KULTURGENE,KULTUR,$BN241,FALSE),"")),NOT(EXACT(HLOOKUP(PROFGENE,INDIRECT(PROFGEBIET),$BN241,FALSE),"")),
IF(LEN(PROFZWEITE)&lt;1,FALSE,NOT(EXACT(HLOOKUP(Generierung!$D$12,INDIRECT(PROFGEBIET2),$BN241,FALSE),"")))
),"x",""),"")</f>
        <v/>
      </c>
      <c r="D241" s="1110"/>
      <c r="E241" s="325"/>
      <c r="F241" s="388" t="str">
        <f t="shared" ca="1" si="751"/>
        <v/>
      </c>
      <c r="G241" s="388" t="str">
        <f t="shared" ca="1" si="752"/>
        <v/>
      </c>
      <c r="H241" s="389"/>
      <c r="I241" s="1196"/>
      <c r="J241" s="326"/>
      <c r="O241" s="514" t="str">
        <f t="shared" ca="1" si="753"/>
        <v/>
      </c>
      <c r="P241" s="164">
        <f t="shared" ca="1" si="754"/>
        <v>0</v>
      </c>
      <c r="Q241" s="164">
        <f t="shared" ca="1" si="755"/>
        <v>0</v>
      </c>
      <c r="R241" s="164">
        <f t="shared" ca="1" si="756"/>
        <v>0</v>
      </c>
      <c r="S241" s="164">
        <f t="shared" ca="1" si="757"/>
        <v>0</v>
      </c>
      <c r="T241" s="164">
        <f t="shared" ca="1" si="758"/>
        <v>0</v>
      </c>
      <c r="U241" s="164">
        <f t="shared" ca="1" si="759"/>
        <v>0</v>
      </c>
      <c r="V241" s="164">
        <f t="shared" ca="1" si="760"/>
        <v>0</v>
      </c>
      <c r="W241" s="164">
        <f t="shared" ca="1" si="761"/>
        <v>0</v>
      </c>
      <c r="X241" s="164">
        <f t="shared" ca="1" si="762"/>
        <v>0</v>
      </c>
      <c r="Y241" s="164">
        <f t="shared" ca="1" si="763"/>
        <v>0</v>
      </c>
      <c r="Z241" s="164">
        <f t="shared" ca="1" si="764"/>
        <v>0</v>
      </c>
      <c r="AA241" s="164">
        <f t="shared" ca="1" si="765"/>
        <v>0</v>
      </c>
      <c r="AB241" s="164">
        <f t="shared" ca="1" si="766"/>
        <v>0</v>
      </c>
      <c r="AC241" s="164">
        <f t="shared" ca="1" si="767"/>
        <v>0</v>
      </c>
      <c r="AD241" s="164">
        <f t="shared" ca="1" si="768"/>
        <v>0</v>
      </c>
      <c r="AE241" s="164">
        <f t="shared" ca="1" si="769"/>
        <v>0</v>
      </c>
      <c r="AF241" s="164">
        <f t="shared" ca="1" si="770"/>
        <v>0</v>
      </c>
      <c r="AG241" s="164">
        <f t="shared" ca="1" si="771"/>
        <v>0</v>
      </c>
      <c r="AH241" s="164">
        <f t="shared" ca="1" si="772"/>
        <v>0</v>
      </c>
      <c r="AI241" s="164">
        <f t="shared" ca="1" si="773"/>
        <v>0</v>
      </c>
      <c r="AJ241" s="164">
        <f t="shared" ca="1" si="774"/>
        <v>0</v>
      </c>
      <c r="AK241" s="164">
        <f t="shared" ca="1" si="775"/>
        <v>0</v>
      </c>
      <c r="AL241" s="164">
        <f t="shared" si="776"/>
        <v>0</v>
      </c>
      <c r="AM241" s="164">
        <f t="shared" ca="1" si="777"/>
        <v>0</v>
      </c>
      <c r="AN241" s="205"/>
      <c r="AO241" s="154">
        <f t="shared" ca="1" si="778"/>
        <v>0</v>
      </c>
      <c r="AP241" s="154">
        <f t="shared" ca="1" si="779"/>
        <v>0</v>
      </c>
      <c r="AQ241" s="154">
        <f t="shared" ca="1" si="780"/>
        <v>0</v>
      </c>
      <c r="AR241" s="154">
        <f t="shared" ca="1" si="781"/>
        <v>0</v>
      </c>
      <c r="AS241" s="154">
        <f t="shared" ca="1" si="782"/>
        <v>0</v>
      </c>
      <c r="AT241" s="154">
        <f t="shared" ca="1" si="783"/>
        <v>0</v>
      </c>
      <c r="AU241" s="154">
        <f t="shared" ca="1" si="784"/>
        <v>0</v>
      </c>
      <c r="AV241" s="154">
        <f t="shared" ca="1" si="785"/>
        <v>0</v>
      </c>
      <c r="AW241" s="154">
        <f t="shared" ca="1" si="786"/>
        <v>0</v>
      </c>
      <c r="AX241" s="154">
        <f t="shared" ca="1" si="787"/>
        <v>0</v>
      </c>
      <c r="AY241" s="154">
        <f t="shared" ca="1" si="788"/>
        <v>0</v>
      </c>
      <c r="AZ241" s="154">
        <f t="shared" ca="1" si="789"/>
        <v>0</v>
      </c>
      <c r="BA241" s="154">
        <f t="shared" ca="1" si="790"/>
        <v>0</v>
      </c>
      <c r="BB241" s="154">
        <f t="shared" ca="1" si="791"/>
        <v>0</v>
      </c>
      <c r="BC241" s="154">
        <f t="shared" ca="1" si="792"/>
        <v>0</v>
      </c>
      <c r="BD241" s="154">
        <f t="shared" ca="1" si="793"/>
        <v>0</v>
      </c>
      <c r="BE241" s="154">
        <f t="shared" ca="1" si="794"/>
        <v>0</v>
      </c>
      <c r="BF241" s="154">
        <f t="shared" ca="1" si="795"/>
        <v>0</v>
      </c>
      <c r="BG241" s="154">
        <f t="shared" ca="1" si="796"/>
        <v>0</v>
      </c>
      <c r="BH241" s="154">
        <f t="shared" ca="1" si="797"/>
        <v>0</v>
      </c>
      <c r="BI241" s="154">
        <f t="shared" ca="1" si="798"/>
        <v>0</v>
      </c>
      <c r="BJ241" s="154">
        <f t="shared" ca="1" si="799"/>
        <v>0</v>
      </c>
      <c r="BK241" s="154">
        <f t="shared" ca="1" si="800"/>
        <v>0</v>
      </c>
      <c r="BL241" s="154">
        <f t="shared" ca="1" si="801"/>
        <v>0</v>
      </c>
      <c r="BM241" s="154">
        <f t="shared" ca="1" si="802"/>
        <v>0</v>
      </c>
      <c r="BN241" s="1198">
        <f t="shared" si="816"/>
        <v>245</v>
      </c>
      <c r="BO241" s="1197" t="str">
        <f t="shared" si="803"/>
        <v>L/S: Trollische Raumbilderschrift</v>
      </c>
      <c r="BP241" s="1197" t="str">
        <f t="shared" ca="1" si="804"/>
        <v>C</v>
      </c>
      <c r="BQ241" s="1197">
        <f t="shared" si="820"/>
        <v>18</v>
      </c>
      <c r="BR241" s="1198" t="str">
        <f t="shared" ca="1" si="817"/>
        <v/>
      </c>
      <c r="BS241" s="1198" t="s">
        <v>1512</v>
      </c>
      <c r="BT241" s="78"/>
      <c r="BU241" s="78"/>
      <c r="BV241" s="78"/>
      <c r="BW241" s="1197">
        <f t="shared" ca="1" si="818"/>
        <v>0</v>
      </c>
      <c r="BX241" s="1197">
        <f t="shared" ca="1" si="805"/>
        <v>0</v>
      </c>
      <c r="BY241" s="1197">
        <f t="shared" ca="1" si="806"/>
        <v>0</v>
      </c>
      <c r="BZ241" s="1081">
        <f t="shared" ca="1" si="807"/>
        <v>0</v>
      </c>
      <c r="CA241" s="1081">
        <f t="shared" ca="1" si="808"/>
        <v>0</v>
      </c>
      <c r="CB241" s="1081">
        <f t="shared" ca="1" si="819"/>
        <v>67</v>
      </c>
      <c r="CC241" s="1081">
        <f t="shared" ca="1" si="809"/>
        <v>67</v>
      </c>
      <c r="CD241" s="1081">
        <f t="shared" si="826"/>
        <v>0</v>
      </c>
      <c r="CE241" s="78"/>
      <c r="CF241" s="78"/>
      <c r="CG241" s="78"/>
      <c r="CH241" s="154"/>
      <c r="CI241" s="78"/>
      <c r="CJ241" s="78"/>
      <c r="CK241" s="78"/>
      <c r="CL241" s="78"/>
      <c r="CM241" s="78"/>
      <c r="CN241" s="1081">
        <f t="shared" ca="1" si="725"/>
        <v>0</v>
      </c>
      <c r="CO241" s="1081">
        <f t="shared" ca="1" si="811"/>
        <v>0</v>
      </c>
      <c r="CP241" s="1081">
        <f t="shared" ca="1" si="726"/>
        <v>0</v>
      </c>
      <c r="DJ241" s="301" t="str">
        <f t="shared" ca="1" si="824"/>
        <v>C</v>
      </c>
      <c r="DK241" s="301" t="str">
        <f t="shared" ca="1" si="824"/>
        <v>C</v>
      </c>
      <c r="DL241" s="301" t="str">
        <f t="shared" ca="1" si="824"/>
        <v>C</v>
      </c>
      <c r="DM241" s="301" t="str">
        <f t="shared" ca="1" si="824"/>
        <v>C</v>
      </c>
      <c r="DN241" s="301" t="str">
        <f t="shared" ca="1" si="824"/>
        <v>C</v>
      </c>
      <c r="DO241" s="301" t="str">
        <f t="shared" ca="1" si="824"/>
        <v>C</v>
      </c>
      <c r="DP241" s="301" t="str">
        <f t="shared" ca="1" si="824"/>
        <v>C</v>
      </c>
      <c r="DQ241" s="301" t="str">
        <f t="shared" ca="1" si="824"/>
        <v>C</v>
      </c>
      <c r="DR241" s="301" t="str">
        <f t="shared" ca="1" si="824"/>
        <v>C</v>
      </c>
      <c r="DS241" s="301" t="str">
        <f t="shared" ca="1" si="824"/>
        <v>C</v>
      </c>
      <c r="DT241" s="301" t="str">
        <f t="shared" ca="1" si="825"/>
        <v>C</v>
      </c>
      <c r="DU241" s="301" t="str">
        <f t="shared" ca="1" si="825"/>
        <v>C</v>
      </c>
      <c r="DV241" s="301" t="str">
        <f t="shared" ca="1" si="825"/>
        <v>C</v>
      </c>
      <c r="DW241" s="301" t="str">
        <f t="shared" ca="1" si="825"/>
        <v>C</v>
      </c>
      <c r="DX241" s="301" t="str">
        <f t="shared" ca="1" si="825"/>
        <v>C</v>
      </c>
      <c r="DY241" s="301" t="str">
        <f t="shared" ca="1" si="825"/>
        <v>C</v>
      </c>
      <c r="DZ241" s="301" t="str">
        <f t="shared" ca="1" si="825"/>
        <v>C</v>
      </c>
      <c r="EA241" s="301" t="str">
        <f t="shared" ca="1" si="825"/>
        <v>C</v>
      </c>
      <c r="EB241" s="301" t="str">
        <f t="shared" ca="1" si="825"/>
        <v>C</v>
      </c>
      <c r="EC241" s="301" t="str">
        <f t="shared" ca="1" si="825"/>
        <v>C</v>
      </c>
      <c r="ED241" s="301" t="str">
        <f t="shared" ca="1" si="825"/>
        <v>C</v>
      </c>
      <c r="EE241" s="301" t="str">
        <f t="shared" ca="1" si="825"/>
        <v>C</v>
      </c>
      <c r="EF241" s="301">
        <f t="shared" si="814"/>
        <v>0</v>
      </c>
      <c r="EG241" s="1426" t="str">
        <f t="shared" ca="1" si="823"/>
        <v>C</v>
      </c>
      <c r="EH241" s="1429" t="str">
        <f t="shared" ca="1" si="823"/>
        <v>C</v>
      </c>
      <c r="EI241" s="1429" t="str">
        <f t="shared" ca="1" si="823"/>
        <v>C</v>
      </c>
      <c r="EJ241" s="1429" t="str">
        <f t="shared" ca="1" si="823"/>
        <v>C</v>
      </c>
      <c r="EK241" s="1429" t="str">
        <f t="shared" ca="1" si="823"/>
        <v>C</v>
      </c>
      <c r="EL241" s="1429" t="str">
        <f t="shared" ca="1" si="823"/>
        <v>C</v>
      </c>
      <c r="EM241" s="1429" t="str">
        <f t="shared" ca="1" si="823"/>
        <v>C</v>
      </c>
      <c r="EN241" s="1429" t="str">
        <f t="shared" ca="1" si="823"/>
        <v>C</v>
      </c>
      <c r="EO241" s="1429" t="str">
        <f t="shared" ca="1" si="823"/>
        <v>C</v>
      </c>
      <c r="EP241" s="1429" t="str">
        <f t="shared" ca="1" si="823"/>
        <v>C</v>
      </c>
      <c r="EQ241" s="1429" t="str">
        <f t="shared" ca="1" si="823"/>
        <v>C</v>
      </c>
      <c r="ER241" s="1429" t="str">
        <f t="shared" ca="1" si="823"/>
        <v>C</v>
      </c>
      <c r="ES241" s="1429" t="str">
        <f t="shared" ca="1" si="823"/>
        <v>C</v>
      </c>
      <c r="ET241" s="1429" t="str">
        <f t="shared" ca="1" si="823"/>
        <v>C</v>
      </c>
      <c r="EU241" s="1429" t="str">
        <f t="shared" ca="1" si="823"/>
        <v>C</v>
      </c>
      <c r="EV241" s="1429" t="str">
        <f t="shared" ca="1" si="823"/>
        <v>C</v>
      </c>
      <c r="EW241" s="1429" t="str">
        <f t="shared" ca="1" si="822"/>
        <v>C</v>
      </c>
      <c r="EX241" s="1429" t="str">
        <f t="shared" ca="1" si="822"/>
        <v>C</v>
      </c>
      <c r="EY241" s="1429" t="str">
        <f t="shared" ca="1" si="822"/>
        <v>C</v>
      </c>
      <c r="EZ241" s="1429" t="str">
        <f t="shared" ca="1" si="822"/>
        <v>C</v>
      </c>
      <c r="FA241" s="1429" t="str">
        <f t="shared" ca="1" si="822"/>
        <v>C</v>
      </c>
      <c r="FB241" s="1429" t="str">
        <f t="shared" ca="1" si="822"/>
        <v>C</v>
      </c>
      <c r="FC241" s="1429" t="str">
        <f t="shared" ca="1" si="822"/>
        <v>C</v>
      </c>
      <c r="FD241" s="1429" t="str">
        <f t="shared" ca="1" si="822"/>
        <v>C</v>
      </c>
      <c r="FE241" s="1429" t="str">
        <f t="shared" ca="1" si="748"/>
        <v>C</v>
      </c>
      <c r="FF241" s="1429" t="str">
        <f t="shared" ca="1" si="748"/>
        <v>C</v>
      </c>
      <c r="FG241" s="1429" t="str">
        <f t="shared" ca="1" si="748"/>
        <v>C</v>
      </c>
      <c r="FH241" s="1429" t="str">
        <f t="shared" ca="1" si="748"/>
        <v>C</v>
      </c>
      <c r="FI241" s="1429" t="str">
        <f t="shared" ca="1" si="748"/>
        <v>C</v>
      </c>
      <c r="FJ241" s="1429" t="str">
        <f t="shared" ca="1" si="748"/>
        <v>C</v>
      </c>
      <c r="FK241" s="1429" t="str">
        <f t="shared" ca="1" si="748"/>
        <v>C</v>
      </c>
      <c r="FL241" s="1429" t="str">
        <f t="shared" ca="1" si="748"/>
        <v>C</v>
      </c>
    </row>
    <row r="242" spans="1:168" x14ac:dyDescent="0.2">
      <c r="A242" s="62" t="str">
        <f t="shared" si="749"/>
        <v>L/S: Tulamidya</v>
      </c>
      <c r="B242" s="317" t="str">
        <f t="shared" ca="1" si="750"/>
        <v/>
      </c>
      <c r="C242" s="332" t="str">
        <f ca="1">IF(AND(EXACT($F242,""),EXACT($G242,"")),IF(OR(NOT(ISBLANK(D242)),NOT(EXACT(HLOOKUP(RASSEGENE,RASSE,$BN242,FALSE),"")),NOT(EXACT(HLOOKUP(KULTURGENE,KULTUR,$BN242,FALSE),"")),NOT(EXACT(HLOOKUP(PROFGENE,INDIRECT(PROFGEBIET),$BN242,FALSE),"")),
IF(LEN(PROFZWEITE)&lt;1,FALSE,NOT(EXACT(HLOOKUP(Generierung!$D$12,INDIRECT(PROFGEBIET2),$BN242,FALSE),"")))
),"x",""),"")</f>
        <v/>
      </c>
      <c r="D242" s="1110"/>
      <c r="E242" s="325"/>
      <c r="F242" s="388" t="str">
        <f t="shared" ca="1" si="751"/>
        <v/>
      </c>
      <c r="G242" s="388" t="str">
        <f t="shared" ca="1" si="752"/>
        <v/>
      </c>
      <c r="H242" s="389"/>
      <c r="I242" s="1196"/>
      <c r="J242" s="326"/>
      <c r="O242" s="514" t="str">
        <f t="shared" ca="1" si="753"/>
        <v/>
      </c>
      <c r="P242" s="164">
        <f t="shared" ca="1" si="754"/>
        <v>0</v>
      </c>
      <c r="Q242" s="164">
        <f t="shared" ca="1" si="755"/>
        <v>0</v>
      </c>
      <c r="R242" s="164">
        <f t="shared" ca="1" si="756"/>
        <v>0</v>
      </c>
      <c r="S242" s="164">
        <f t="shared" ca="1" si="757"/>
        <v>0</v>
      </c>
      <c r="T242" s="164">
        <f t="shared" ca="1" si="758"/>
        <v>0</v>
      </c>
      <c r="U242" s="164">
        <f t="shared" ca="1" si="759"/>
        <v>0</v>
      </c>
      <c r="V242" s="164">
        <f t="shared" ca="1" si="760"/>
        <v>0</v>
      </c>
      <c r="W242" s="164">
        <f t="shared" ca="1" si="761"/>
        <v>0</v>
      </c>
      <c r="X242" s="164">
        <f t="shared" ca="1" si="762"/>
        <v>0</v>
      </c>
      <c r="Y242" s="164">
        <f t="shared" ca="1" si="763"/>
        <v>0</v>
      </c>
      <c r="Z242" s="164">
        <f t="shared" ca="1" si="764"/>
        <v>0</v>
      </c>
      <c r="AA242" s="164">
        <f t="shared" ca="1" si="765"/>
        <v>0</v>
      </c>
      <c r="AB242" s="164">
        <f t="shared" ca="1" si="766"/>
        <v>0</v>
      </c>
      <c r="AC242" s="164">
        <f t="shared" ca="1" si="767"/>
        <v>0</v>
      </c>
      <c r="AD242" s="164">
        <f t="shared" ca="1" si="768"/>
        <v>0</v>
      </c>
      <c r="AE242" s="164">
        <f t="shared" ca="1" si="769"/>
        <v>0</v>
      </c>
      <c r="AF242" s="164">
        <f t="shared" ca="1" si="770"/>
        <v>0</v>
      </c>
      <c r="AG242" s="164">
        <f t="shared" ca="1" si="771"/>
        <v>0</v>
      </c>
      <c r="AH242" s="164">
        <f t="shared" ca="1" si="772"/>
        <v>0</v>
      </c>
      <c r="AI242" s="164">
        <f t="shared" ca="1" si="773"/>
        <v>0</v>
      </c>
      <c r="AJ242" s="164">
        <f t="shared" ca="1" si="774"/>
        <v>0</v>
      </c>
      <c r="AK242" s="164">
        <f t="shared" ca="1" si="775"/>
        <v>0</v>
      </c>
      <c r="AL242" s="164">
        <f t="shared" si="776"/>
        <v>0</v>
      </c>
      <c r="AM242" s="164">
        <f t="shared" ca="1" si="777"/>
        <v>0</v>
      </c>
      <c r="AN242" s="205"/>
      <c r="AO242" s="154">
        <f t="shared" ca="1" si="778"/>
        <v>0</v>
      </c>
      <c r="AP242" s="154">
        <f t="shared" ca="1" si="779"/>
        <v>0</v>
      </c>
      <c r="AQ242" s="154">
        <f t="shared" ca="1" si="780"/>
        <v>0</v>
      </c>
      <c r="AR242" s="154">
        <f t="shared" ca="1" si="781"/>
        <v>0</v>
      </c>
      <c r="AS242" s="154">
        <f t="shared" ca="1" si="782"/>
        <v>0</v>
      </c>
      <c r="AT242" s="154">
        <f t="shared" ca="1" si="783"/>
        <v>0</v>
      </c>
      <c r="AU242" s="154">
        <f t="shared" ca="1" si="784"/>
        <v>0</v>
      </c>
      <c r="AV242" s="154">
        <f t="shared" ca="1" si="785"/>
        <v>0</v>
      </c>
      <c r="AW242" s="154">
        <f t="shared" ca="1" si="786"/>
        <v>0</v>
      </c>
      <c r="AX242" s="154">
        <f t="shared" ca="1" si="787"/>
        <v>0</v>
      </c>
      <c r="AY242" s="154">
        <f t="shared" ca="1" si="788"/>
        <v>0</v>
      </c>
      <c r="AZ242" s="154">
        <f t="shared" ca="1" si="789"/>
        <v>0</v>
      </c>
      <c r="BA242" s="154">
        <f t="shared" ca="1" si="790"/>
        <v>0</v>
      </c>
      <c r="BB242" s="154">
        <f t="shared" ca="1" si="791"/>
        <v>0</v>
      </c>
      <c r="BC242" s="154">
        <f t="shared" ca="1" si="792"/>
        <v>0</v>
      </c>
      <c r="BD242" s="154">
        <f t="shared" ca="1" si="793"/>
        <v>0</v>
      </c>
      <c r="BE242" s="154">
        <f t="shared" ca="1" si="794"/>
        <v>0</v>
      </c>
      <c r="BF242" s="154">
        <f t="shared" ca="1" si="795"/>
        <v>0</v>
      </c>
      <c r="BG242" s="154">
        <f t="shared" ca="1" si="796"/>
        <v>0</v>
      </c>
      <c r="BH242" s="154">
        <f t="shared" ca="1" si="797"/>
        <v>0</v>
      </c>
      <c r="BI242" s="154">
        <f t="shared" ca="1" si="798"/>
        <v>0</v>
      </c>
      <c r="BJ242" s="154">
        <f t="shared" ca="1" si="799"/>
        <v>0</v>
      </c>
      <c r="BK242" s="154">
        <f t="shared" ca="1" si="800"/>
        <v>0</v>
      </c>
      <c r="BL242" s="154">
        <f t="shared" ca="1" si="801"/>
        <v>0</v>
      </c>
      <c r="BM242" s="154">
        <f t="shared" ca="1" si="802"/>
        <v>0</v>
      </c>
      <c r="BN242" s="1198">
        <f t="shared" si="816"/>
        <v>246</v>
      </c>
      <c r="BO242" s="1197" t="str">
        <f t="shared" si="803"/>
        <v>L/S: Tulamidya</v>
      </c>
      <c r="BP242" s="1197" t="str">
        <f t="shared" ca="1" si="804"/>
        <v>A</v>
      </c>
      <c r="BQ242" s="1197">
        <f t="shared" si="820"/>
        <v>19</v>
      </c>
      <c r="BR242" s="1198" t="str">
        <f t="shared" ca="1" si="817"/>
        <v/>
      </c>
      <c r="BS242" s="1198" t="s">
        <v>3854</v>
      </c>
      <c r="BT242" s="78"/>
      <c r="BU242" s="78"/>
      <c r="BV242" s="78"/>
      <c r="BW242" s="1197">
        <f t="shared" ca="1" si="818"/>
        <v>0</v>
      </c>
      <c r="BX242" s="1197">
        <f t="shared" ca="1" si="805"/>
        <v>0</v>
      </c>
      <c r="BY242" s="1197">
        <f t="shared" ca="1" si="806"/>
        <v>0</v>
      </c>
      <c r="BZ242" s="1081">
        <f t="shared" ca="1" si="807"/>
        <v>0</v>
      </c>
      <c r="CA242" s="1081">
        <f t="shared" ca="1" si="808"/>
        <v>0</v>
      </c>
      <c r="CB242" s="1081">
        <f t="shared" ca="1" si="819"/>
        <v>65</v>
      </c>
      <c r="CC242" s="1081">
        <f t="shared" ca="1" si="809"/>
        <v>65</v>
      </c>
      <c r="CD242" s="1081">
        <f t="shared" si="826"/>
        <v>0</v>
      </c>
      <c r="CE242" s="78"/>
      <c r="CF242" s="78"/>
      <c r="CG242" s="78"/>
      <c r="CH242" s="154"/>
      <c r="CI242" s="78"/>
      <c r="CJ242" s="78"/>
      <c r="CK242" s="78"/>
      <c r="CL242" s="78"/>
      <c r="CM242" s="78"/>
      <c r="CN242" s="1081">
        <f ca="1">IF(B242="",0,VALUE(B242))+IF(H242="",0,VALUE(H242))- IF(I242="",0,VALUE(I242))</f>
        <v>0</v>
      </c>
      <c r="CO242" s="1081">
        <f t="shared" ca="1" si="811"/>
        <v>0</v>
      </c>
      <c r="CP242" s="1081">
        <f ca="1">IF(I242="",0,SUM(INDIRECT(
ADDRESS(ROW(),COLUMN($P242)+CN242+IF(CN242=0,0,1))
&amp;":"&amp;
ADDRESS(ROW(),COLUMN($AM242))
)))</f>
        <v>0</v>
      </c>
      <c r="DJ242" s="301" t="str">
        <f t="shared" ca="1" si="824"/>
        <v>A</v>
      </c>
      <c r="DK242" s="301" t="str">
        <f t="shared" ca="1" si="824"/>
        <v>A</v>
      </c>
      <c r="DL242" s="301" t="str">
        <f t="shared" ca="1" si="824"/>
        <v>A</v>
      </c>
      <c r="DM242" s="301" t="str">
        <f t="shared" ca="1" si="824"/>
        <v>A</v>
      </c>
      <c r="DN242" s="301" t="str">
        <f t="shared" ca="1" si="824"/>
        <v>A</v>
      </c>
      <c r="DO242" s="301" t="str">
        <f t="shared" ca="1" si="824"/>
        <v>A</v>
      </c>
      <c r="DP242" s="301" t="str">
        <f t="shared" ca="1" si="824"/>
        <v>A</v>
      </c>
      <c r="DQ242" s="301" t="str">
        <f t="shared" ca="1" si="824"/>
        <v>A</v>
      </c>
      <c r="DR242" s="301" t="str">
        <f t="shared" ca="1" si="824"/>
        <v>A</v>
      </c>
      <c r="DS242" s="301" t="str">
        <f t="shared" ca="1" si="824"/>
        <v>A</v>
      </c>
      <c r="DT242" s="301" t="str">
        <f t="shared" ca="1" si="825"/>
        <v>A</v>
      </c>
      <c r="DU242" s="301" t="str">
        <f t="shared" ca="1" si="825"/>
        <v>A</v>
      </c>
      <c r="DV242" s="301" t="str">
        <f t="shared" ca="1" si="825"/>
        <v>A</v>
      </c>
      <c r="DW242" s="301" t="str">
        <f t="shared" ca="1" si="825"/>
        <v>A</v>
      </c>
      <c r="DX242" s="301" t="str">
        <f t="shared" ca="1" si="825"/>
        <v>A</v>
      </c>
      <c r="DY242" s="301" t="str">
        <f t="shared" ca="1" si="825"/>
        <v>A</v>
      </c>
      <c r="DZ242" s="301" t="str">
        <f t="shared" ca="1" si="825"/>
        <v>A</v>
      </c>
      <c r="EA242" s="301" t="str">
        <f t="shared" ca="1" si="825"/>
        <v>A</v>
      </c>
      <c r="EB242" s="301" t="str">
        <f t="shared" ca="1" si="825"/>
        <v>A</v>
      </c>
      <c r="EC242" s="301" t="str">
        <f t="shared" ca="1" si="825"/>
        <v>A</v>
      </c>
      <c r="ED242" s="301" t="str">
        <f t="shared" ca="1" si="825"/>
        <v>A</v>
      </c>
      <c r="EE242" s="301" t="str">
        <f t="shared" ca="1" si="825"/>
        <v>A</v>
      </c>
      <c r="EF242" s="301">
        <f t="shared" si="814"/>
        <v>0</v>
      </c>
      <c r="EG242" s="1426" t="str">
        <f t="shared" ca="1" si="823"/>
        <v>A</v>
      </c>
      <c r="EH242" s="1429" t="str">
        <f t="shared" ca="1" si="823"/>
        <v>A</v>
      </c>
      <c r="EI242" s="1429" t="str">
        <f t="shared" ca="1" si="823"/>
        <v>A</v>
      </c>
      <c r="EJ242" s="1429" t="str">
        <f t="shared" ca="1" si="823"/>
        <v>A</v>
      </c>
      <c r="EK242" s="1429" t="str">
        <f t="shared" ca="1" si="823"/>
        <v>A</v>
      </c>
      <c r="EL242" s="1429" t="str">
        <f t="shared" ca="1" si="823"/>
        <v>A</v>
      </c>
      <c r="EM242" s="1429" t="str">
        <f t="shared" ca="1" si="823"/>
        <v>A</v>
      </c>
      <c r="EN242" s="1429" t="str">
        <f t="shared" ca="1" si="823"/>
        <v>A</v>
      </c>
      <c r="EO242" s="1429" t="str">
        <f t="shared" ca="1" si="823"/>
        <v>A</v>
      </c>
      <c r="EP242" s="1429" t="str">
        <f t="shared" ca="1" si="823"/>
        <v>A</v>
      </c>
      <c r="EQ242" s="1429" t="str">
        <f t="shared" ca="1" si="823"/>
        <v>A</v>
      </c>
      <c r="ER242" s="1429" t="str">
        <f t="shared" ca="1" si="823"/>
        <v>A</v>
      </c>
      <c r="ES242" s="1429" t="str">
        <f t="shared" ca="1" si="823"/>
        <v>A</v>
      </c>
      <c r="ET242" s="1429" t="str">
        <f t="shared" ca="1" si="823"/>
        <v>A</v>
      </c>
      <c r="EU242" s="1429" t="str">
        <f t="shared" ca="1" si="823"/>
        <v>A</v>
      </c>
      <c r="EV242" s="1429" t="str">
        <f t="shared" ca="1" si="823"/>
        <v>A</v>
      </c>
      <c r="EW242" s="1429" t="str">
        <f t="shared" ca="1" si="822"/>
        <v>A</v>
      </c>
      <c r="EX242" s="1429" t="str">
        <f t="shared" ca="1" si="822"/>
        <v>A</v>
      </c>
      <c r="EY242" s="1429" t="str">
        <f t="shared" ca="1" si="822"/>
        <v>A</v>
      </c>
      <c r="EZ242" s="1429" t="str">
        <f t="shared" ca="1" si="822"/>
        <v>A</v>
      </c>
      <c r="FA242" s="1429" t="str">
        <f t="shared" ca="1" si="822"/>
        <v>A</v>
      </c>
      <c r="FB242" s="1429" t="str">
        <f t="shared" ca="1" si="822"/>
        <v>A</v>
      </c>
      <c r="FC242" s="1429" t="str">
        <f t="shared" ca="1" si="822"/>
        <v>A</v>
      </c>
      <c r="FD242" s="1429" t="str">
        <f t="shared" ca="1" si="822"/>
        <v>A</v>
      </c>
      <c r="FE242" s="1429" t="str">
        <f t="shared" ca="1" si="748"/>
        <v>A</v>
      </c>
      <c r="FF242" s="1429" t="str">
        <f t="shared" ca="1" si="748"/>
        <v>A</v>
      </c>
      <c r="FG242" s="1429" t="str">
        <f t="shared" ca="1" si="748"/>
        <v>A</v>
      </c>
      <c r="FH242" s="1429" t="str">
        <f t="shared" ca="1" si="748"/>
        <v>A</v>
      </c>
      <c r="FI242" s="1429" t="str">
        <f t="shared" ca="1" si="748"/>
        <v>A</v>
      </c>
      <c r="FJ242" s="1429" t="str">
        <f t="shared" ca="1" si="748"/>
        <v>A</v>
      </c>
      <c r="FK242" s="1429" t="str">
        <f t="shared" ca="1" si="748"/>
        <v>A</v>
      </c>
      <c r="FL242" s="1429" t="str">
        <f t="shared" ca="1" si="748"/>
        <v>A</v>
      </c>
    </row>
    <row r="243" spans="1:168" x14ac:dyDescent="0.2">
      <c r="A243" s="62" t="str">
        <f t="shared" si="749"/>
        <v>L/S: Unauer Glyphen</v>
      </c>
      <c r="B243" s="317" t="str">
        <f t="shared" ca="1" si="750"/>
        <v/>
      </c>
      <c r="C243" s="332" t="str">
        <f ca="1">IF(AND(EXACT($F243,""),EXACT($G243,"")),IF(OR(NOT(ISBLANK(D243)),NOT(EXACT(HLOOKUP(RASSEGENE,RASSE,$BN243,FALSE),"")),NOT(EXACT(HLOOKUP(KULTURGENE,KULTUR,$BN243,FALSE),"")),NOT(EXACT(HLOOKUP(PROFGENE,INDIRECT(PROFGEBIET),$BN243,FALSE),"")),
IF(LEN(PROFZWEITE)&lt;1,FALSE,NOT(EXACT(HLOOKUP(Generierung!$D$12,INDIRECT(PROFGEBIET2),$BN243,FALSE),"")))
),"x",""),"")</f>
        <v/>
      </c>
      <c r="D243" s="1110"/>
      <c r="E243" s="325"/>
      <c r="F243" s="388" t="str">
        <f t="shared" ca="1" si="751"/>
        <v/>
      </c>
      <c r="G243" s="388" t="str">
        <f t="shared" ca="1" si="752"/>
        <v/>
      </c>
      <c r="H243" s="389"/>
      <c r="I243" s="1196"/>
      <c r="J243" s="326"/>
      <c r="O243" s="514" t="str">
        <f t="shared" ca="1" si="753"/>
        <v/>
      </c>
      <c r="P243" s="164">
        <f t="shared" ca="1" si="754"/>
        <v>0</v>
      </c>
      <c r="Q243" s="164">
        <f t="shared" ca="1" si="755"/>
        <v>0</v>
      </c>
      <c r="R243" s="164">
        <f t="shared" ca="1" si="756"/>
        <v>0</v>
      </c>
      <c r="S243" s="164">
        <f t="shared" ca="1" si="757"/>
        <v>0</v>
      </c>
      <c r="T243" s="164">
        <f t="shared" ca="1" si="758"/>
        <v>0</v>
      </c>
      <c r="U243" s="164">
        <f t="shared" ca="1" si="759"/>
        <v>0</v>
      </c>
      <c r="V243" s="164">
        <f t="shared" ca="1" si="760"/>
        <v>0</v>
      </c>
      <c r="W243" s="164">
        <f t="shared" ca="1" si="761"/>
        <v>0</v>
      </c>
      <c r="X243" s="164">
        <f t="shared" ca="1" si="762"/>
        <v>0</v>
      </c>
      <c r="Y243" s="164">
        <f t="shared" ca="1" si="763"/>
        <v>0</v>
      </c>
      <c r="Z243" s="164">
        <f t="shared" ca="1" si="764"/>
        <v>0</v>
      </c>
      <c r="AA243" s="164">
        <f t="shared" ca="1" si="765"/>
        <v>0</v>
      </c>
      <c r="AB243" s="164">
        <f t="shared" ca="1" si="766"/>
        <v>0</v>
      </c>
      <c r="AC243" s="164">
        <f t="shared" ca="1" si="767"/>
        <v>0</v>
      </c>
      <c r="AD243" s="164">
        <f t="shared" ca="1" si="768"/>
        <v>0</v>
      </c>
      <c r="AE243" s="164">
        <f t="shared" ca="1" si="769"/>
        <v>0</v>
      </c>
      <c r="AF243" s="164">
        <f t="shared" ca="1" si="770"/>
        <v>0</v>
      </c>
      <c r="AG243" s="164">
        <f t="shared" ca="1" si="771"/>
        <v>0</v>
      </c>
      <c r="AH243" s="164">
        <f t="shared" ca="1" si="772"/>
        <v>0</v>
      </c>
      <c r="AI243" s="164">
        <f t="shared" ca="1" si="773"/>
        <v>0</v>
      </c>
      <c r="AJ243" s="164">
        <f t="shared" ca="1" si="774"/>
        <v>0</v>
      </c>
      <c r="AK243" s="164">
        <f t="shared" ca="1" si="775"/>
        <v>0</v>
      </c>
      <c r="AL243" s="164">
        <f t="shared" si="776"/>
        <v>0</v>
      </c>
      <c r="AM243" s="164">
        <f t="shared" ca="1" si="777"/>
        <v>0</v>
      </c>
      <c r="AN243" s="205"/>
      <c r="AO243" s="154">
        <f t="shared" ca="1" si="778"/>
        <v>0</v>
      </c>
      <c r="AP243" s="154">
        <f t="shared" ca="1" si="779"/>
        <v>0</v>
      </c>
      <c r="AQ243" s="154">
        <f t="shared" ca="1" si="780"/>
        <v>0</v>
      </c>
      <c r="AR243" s="154">
        <f t="shared" ca="1" si="781"/>
        <v>0</v>
      </c>
      <c r="AS243" s="154">
        <f t="shared" ca="1" si="782"/>
        <v>0</v>
      </c>
      <c r="AT243" s="154">
        <f t="shared" ca="1" si="783"/>
        <v>0</v>
      </c>
      <c r="AU243" s="154">
        <f t="shared" ca="1" si="784"/>
        <v>0</v>
      </c>
      <c r="AV243" s="154">
        <f t="shared" ca="1" si="785"/>
        <v>0</v>
      </c>
      <c r="AW243" s="154">
        <f t="shared" ca="1" si="786"/>
        <v>0</v>
      </c>
      <c r="AX243" s="154">
        <f t="shared" ca="1" si="787"/>
        <v>0</v>
      </c>
      <c r="AY243" s="154">
        <f t="shared" ca="1" si="788"/>
        <v>0</v>
      </c>
      <c r="AZ243" s="154">
        <f t="shared" ca="1" si="789"/>
        <v>0</v>
      </c>
      <c r="BA243" s="154">
        <f t="shared" ca="1" si="790"/>
        <v>0</v>
      </c>
      <c r="BB243" s="154">
        <f t="shared" ca="1" si="791"/>
        <v>0</v>
      </c>
      <c r="BC243" s="154">
        <f t="shared" ca="1" si="792"/>
        <v>0</v>
      </c>
      <c r="BD243" s="154">
        <f t="shared" ca="1" si="793"/>
        <v>0</v>
      </c>
      <c r="BE243" s="154">
        <f t="shared" ca="1" si="794"/>
        <v>0</v>
      </c>
      <c r="BF243" s="154">
        <f t="shared" ca="1" si="795"/>
        <v>0</v>
      </c>
      <c r="BG243" s="154">
        <f t="shared" ca="1" si="796"/>
        <v>0</v>
      </c>
      <c r="BH243" s="154">
        <f t="shared" ca="1" si="797"/>
        <v>0</v>
      </c>
      <c r="BI243" s="154">
        <f t="shared" ca="1" si="798"/>
        <v>0</v>
      </c>
      <c r="BJ243" s="154">
        <f t="shared" ca="1" si="799"/>
        <v>0</v>
      </c>
      <c r="BK243" s="154">
        <f t="shared" ca="1" si="800"/>
        <v>0</v>
      </c>
      <c r="BL243" s="154">
        <f t="shared" ca="1" si="801"/>
        <v>0</v>
      </c>
      <c r="BM243" s="154">
        <f t="shared" ca="1" si="802"/>
        <v>0</v>
      </c>
      <c r="BN243" s="1198">
        <f t="shared" si="816"/>
        <v>247</v>
      </c>
      <c r="BO243" s="1197" t="str">
        <f t="shared" si="803"/>
        <v>L/S: Unauer Glyphen</v>
      </c>
      <c r="BP243" s="1197" t="str">
        <f t="shared" ca="1" si="804"/>
        <v>A</v>
      </c>
      <c r="BQ243" s="1197">
        <f t="shared" si="820"/>
        <v>20</v>
      </c>
      <c r="BR243" s="1198" t="str">
        <f t="shared" ca="1" si="817"/>
        <v/>
      </c>
      <c r="BS243" s="1198" t="s">
        <v>3855</v>
      </c>
      <c r="BT243" s="78"/>
      <c r="BU243" s="78"/>
      <c r="BV243" s="78"/>
      <c r="BW243" s="1197">
        <f t="shared" ca="1" si="818"/>
        <v>0</v>
      </c>
      <c r="BX243" s="1197">
        <f t="shared" ca="1" si="805"/>
        <v>0</v>
      </c>
      <c r="BY243" s="1197">
        <f t="shared" ca="1" si="806"/>
        <v>0</v>
      </c>
      <c r="BZ243" s="1081">
        <f t="shared" ca="1" si="807"/>
        <v>0</v>
      </c>
      <c r="CA243" s="1081">
        <f t="shared" ca="1" si="808"/>
        <v>0</v>
      </c>
      <c r="CB243" s="1081">
        <f t="shared" ca="1" si="819"/>
        <v>65</v>
      </c>
      <c r="CC243" s="1081">
        <f t="shared" ca="1" si="809"/>
        <v>65</v>
      </c>
      <c r="CD243" s="1081">
        <f t="shared" si="826"/>
        <v>0</v>
      </c>
      <c r="CE243" s="78"/>
      <c r="CF243" s="78"/>
      <c r="CG243" s="78"/>
      <c r="CH243" s="154"/>
      <c r="CI243" s="78"/>
      <c r="CJ243" s="78"/>
      <c r="CK243" s="78"/>
      <c r="CL243" s="78"/>
      <c r="CM243" s="78"/>
      <c r="CN243" s="1081">
        <f ca="1">IF(B243="",0,VALUE(B243))+IF(H243="",0,VALUE(H243))- IF(I243="",0,VALUE(I243))</f>
        <v>0</v>
      </c>
      <c r="CO243" s="1081">
        <f t="shared" ca="1" si="811"/>
        <v>0</v>
      </c>
      <c r="CP243" s="1081">
        <f ca="1">IF(I243="",0,SUM(INDIRECT(
ADDRESS(ROW(),COLUMN($P243)+CN243+IF(CN243=0,0,1))
&amp;":"&amp;
ADDRESS(ROW(),COLUMN($AM243))
)))</f>
        <v>0</v>
      </c>
      <c r="DJ243" s="301" t="str">
        <f t="shared" ca="1" si="824"/>
        <v>A</v>
      </c>
      <c r="DK243" s="301" t="str">
        <f t="shared" ca="1" si="824"/>
        <v>A</v>
      </c>
      <c r="DL243" s="301" t="str">
        <f t="shared" ca="1" si="824"/>
        <v>A</v>
      </c>
      <c r="DM243" s="301" t="str">
        <f t="shared" ca="1" si="824"/>
        <v>A</v>
      </c>
      <c r="DN243" s="301" t="str">
        <f t="shared" ca="1" si="824"/>
        <v>A</v>
      </c>
      <c r="DO243" s="301" t="str">
        <f t="shared" ca="1" si="824"/>
        <v>A</v>
      </c>
      <c r="DP243" s="301" t="str">
        <f t="shared" ca="1" si="824"/>
        <v>A</v>
      </c>
      <c r="DQ243" s="301" t="str">
        <f t="shared" ca="1" si="824"/>
        <v>A</v>
      </c>
      <c r="DR243" s="301" t="str">
        <f t="shared" ca="1" si="824"/>
        <v>A</v>
      </c>
      <c r="DS243" s="301" t="str">
        <f t="shared" ca="1" si="824"/>
        <v>A</v>
      </c>
      <c r="DT243" s="301" t="str">
        <f t="shared" ca="1" si="825"/>
        <v>A</v>
      </c>
      <c r="DU243" s="301" t="str">
        <f t="shared" ca="1" si="825"/>
        <v>A</v>
      </c>
      <c r="DV243" s="301" t="str">
        <f t="shared" ca="1" si="825"/>
        <v>A</v>
      </c>
      <c r="DW243" s="301" t="str">
        <f t="shared" ca="1" si="825"/>
        <v>A</v>
      </c>
      <c r="DX243" s="301" t="str">
        <f t="shared" ca="1" si="825"/>
        <v>A</v>
      </c>
      <c r="DY243" s="301" t="str">
        <f t="shared" ca="1" si="825"/>
        <v>A</v>
      </c>
      <c r="DZ243" s="301" t="str">
        <f t="shared" ca="1" si="825"/>
        <v>A</v>
      </c>
      <c r="EA243" s="301" t="str">
        <f t="shared" ca="1" si="825"/>
        <v>A</v>
      </c>
      <c r="EB243" s="301" t="str">
        <f t="shared" ca="1" si="825"/>
        <v>A</v>
      </c>
      <c r="EC243" s="301" t="str">
        <f t="shared" ca="1" si="825"/>
        <v>A</v>
      </c>
      <c r="ED243" s="301" t="str">
        <f t="shared" ca="1" si="825"/>
        <v>A</v>
      </c>
      <c r="EE243" s="301" t="str">
        <f t="shared" ca="1" si="825"/>
        <v>A</v>
      </c>
      <c r="EF243" s="301">
        <f t="shared" si="814"/>
        <v>0</v>
      </c>
      <c r="EG243" s="1426" t="str">
        <f t="shared" ca="1" si="823"/>
        <v>A</v>
      </c>
      <c r="EH243" s="1429" t="str">
        <f t="shared" ca="1" si="823"/>
        <v>A</v>
      </c>
      <c r="EI243" s="1429" t="str">
        <f t="shared" ca="1" si="823"/>
        <v>A</v>
      </c>
      <c r="EJ243" s="1429" t="str">
        <f t="shared" ca="1" si="823"/>
        <v>A</v>
      </c>
      <c r="EK243" s="1429" t="str">
        <f t="shared" ca="1" si="823"/>
        <v>A</v>
      </c>
      <c r="EL243" s="1429" t="str">
        <f t="shared" ca="1" si="823"/>
        <v>A</v>
      </c>
      <c r="EM243" s="1429" t="str">
        <f t="shared" ca="1" si="823"/>
        <v>A</v>
      </c>
      <c r="EN243" s="1429" t="str">
        <f t="shared" ca="1" si="823"/>
        <v>A</v>
      </c>
      <c r="EO243" s="1429" t="str">
        <f t="shared" ca="1" si="823"/>
        <v>A</v>
      </c>
      <c r="EP243" s="1429" t="str">
        <f t="shared" ca="1" si="823"/>
        <v>A</v>
      </c>
      <c r="EQ243" s="1429" t="str">
        <f t="shared" ca="1" si="823"/>
        <v>A</v>
      </c>
      <c r="ER243" s="1429" t="str">
        <f t="shared" ca="1" si="823"/>
        <v>A</v>
      </c>
      <c r="ES243" s="1429" t="str">
        <f t="shared" ca="1" si="823"/>
        <v>A</v>
      </c>
      <c r="ET243" s="1429" t="str">
        <f t="shared" ca="1" si="823"/>
        <v>A</v>
      </c>
      <c r="EU243" s="1429" t="str">
        <f t="shared" ca="1" si="823"/>
        <v>A</v>
      </c>
      <c r="EV243" s="1429" t="str">
        <f t="shared" ref="EG243:EV245" ca="1" si="827">IF(ISERR(FIND(";"&amp;EV$176&amp;":0;",$E243)),
CHAR($CC243+SUM(IF(ISERR(FIND(";"&amp;EV$176&amp;";",$E243)),0,-1),
IF(ISERR(FIND(";"&amp;EV$176&amp;":",$E243)),0,-VALUE(MID($E243,FIND(";"&amp;EV$176&amp;":",$E243)+LEN(EV$176)+2,1))),
IF(ISERR(FIND(";"&amp;EV$176&amp;"+",$E243)),0,VALUE(MID($E243,FIND(";"&amp;EV$176&amp;"+",$E243)+LEN(EV$176)+2,1))),
)),0)</f>
        <v>A</v>
      </c>
      <c r="EW243" s="1429" t="str">
        <f t="shared" ca="1" si="822"/>
        <v>A</v>
      </c>
      <c r="EX243" s="1429" t="str">
        <f t="shared" ca="1" si="822"/>
        <v>A</v>
      </c>
      <c r="EY243" s="1429" t="str">
        <f t="shared" ca="1" si="822"/>
        <v>A</v>
      </c>
      <c r="EZ243" s="1429" t="str">
        <f t="shared" ca="1" si="822"/>
        <v>A</v>
      </c>
      <c r="FA243" s="1429" t="str">
        <f t="shared" ca="1" si="822"/>
        <v>A</v>
      </c>
      <c r="FB243" s="1429" t="str">
        <f t="shared" ca="1" si="822"/>
        <v>A</v>
      </c>
      <c r="FC243" s="1429" t="str">
        <f t="shared" ca="1" si="822"/>
        <v>A</v>
      </c>
      <c r="FD243" s="1429" t="str">
        <f t="shared" ca="1" si="822"/>
        <v>A</v>
      </c>
      <c r="FE243" s="1429" t="str">
        <f t="shared" ca="1" si="748"/>
        <v>A</v>
      </c>
      <c r="FF243" s="1429" t="str">
        <f t="shared" ca="1" si="748"/>
        <v>A</v>
      </c>
      <c r="FG243" s="1429" t="str">
        <f t="shared" ca="1" si="748"/>
        <v>A</v>
      </c>
      <c r="FH243" s="1429" t="str">
        <f t="shared" ca="1" si="748"/>
        <v>A</v>
      </c>
      <c r="FI243" s="1429" t="str">
        <f t="shared" ca="1" si="748"/>
        <v>A</v>
      </c>
      <c r="FJ243" s="1429" t="str">
        <f t="shared" ca="1" si="748"/>
        <v>A</v>
      </c>
      <c r="FK243" s="1429" t="str">
        <f t="shared" ca="1" si="748"/>
        <v>A</v>
      </c>
      <c r="FL243" s="1429" t="str">
        <f t="shared" ca="1" si="748"/>
        <v>A</v>
      </c>
    </row>
    <row r="244" spans="1:168" x14ac:dyDescent="0.2">
      <c r="A244" s="62" t="str">
        <f t="shared" si="749"/>
        <v>L/S: Ur-Tulamidya</v>
      </c>
      <c r="B244" s="317" t="str">
        <f t="shared" ca="1" si="750"/>
        <v/>
      </c>
      <c r="C244" s="332" t="str">
        <f ca="1">IF(AND(EXACT($F244,""),EXACT($G244,"")),IF(OR(NOT(ISBLANK(D244)),NOT(EXACT(HLOOKUP(RASSEGENE,RASSE,$BN244,FALSE),"")),NOT(EXACT(HLOOKUP(KULTURGENE,KULTUR,$BN244,FALSE),"")),NOT(EXACT(HLOOKUP(PROFGENE,INDIRECT(PROFGEBIET),$BN244,FALSE),"")),
IF(LEN(PROFZWEITE)&lt;1,FALSE,NOT(EXACT(HLOOKUP(Generierung!$D$12,INDIRECT(PROFGEBIET2),$BN244,FALSE),"")))
),"x",""),"")</f>
        <v/>
      </c>
      <c r="D244" s="1110"/>
      <c r="E244" s="325"/>
      <c r="F244" s="388" t="str">
        <f t="shared" ca="1" si="751"/>
        <v/>
      </c>
      <c r="G244" s="388" t="str">
        <f t="shared" ca="1" si="752"/>
        <v/>
      </c>
      <c r="H244" s="389"/>
      <c r="I244" s="1196"/>
      <c r="J244" s="326"/>
      <c r="O244" s="514" t="str">
        <f t="shared" ca="1" si="753"/>
        <v/>
      </c>
      <c r="P244" s="164">
        <f t="shared" ca="1" si="754"/>
        <v>0</v>
      </c>
      <c r="Q244" s="164">
        <f t="shared" ca="1" si="755"/>
        <v>0</v>
      </c>
      <c r="R244" s="164">
        <f t="shared" ca="1" si="756"/>
        <v>0</v>
      </c>
      <c r="S244" s="164">
        <f t="shared" ca="1" si="757"/>
        <v>0</v>
      </c>
      <c r="T244" s="164">
        <f t="shared" ca="1" si="758"/>
        <v>0</v>
      </c>
      <c r="U244" s="164">
        <f t="shared" ca="1" si="759"/>
        <v>0</v>
      </c>
      <c r="V244" s="164">
        <f t="shared" ca="1" si="760"/>
        <v>0</v>
      </c>
      <c r="W244" s="164">
        <f t="shared" ca="1" si="761"/>
        <v>0</v>
      </c>
      <c r="X244" s="164">
        <f t="shared" ca="1" si="762"/>
        <v>0</v>
      </c>
      <c r="Y244" s="164">
        <f t="shared" ca="1" si="763"/>
        <v>0</v>
      </c>
      <c r="Z244" s="164">
        <f t="shared" ca="1" si="764"/>
        <v>0</v>
      </c>
      <c r="AA244" s="164">
        <f t="shared" ca="1" si="765"/>
        <v>0</v>
      </c>
      <c r="AB244" s="164">
        <f t="shared" ca="1" si="766"/>
        <v>0</v>
      </c>
      <c r="AC244" s="164">
        <f t="shared" ca="1" si="767"/>
        <v>0</v>
      </c>
      <c r="AD244" s="164">
        <f t="shared" ca="1" si="768"/>
        <v>0</v>
      </c>
      <c r="AE244" s="164">
        <f t="shared" ca="1" si="769"/>
        <v>0</v>
      </c>
      <c r="AF244" s="164">
        <f t="shared" ca="1" si="770"/>
        <v>0</v>
      </c>
      <c r="AG244" s="164">
        <f t="shared" ca="1" si="771"/>
        <v>0</v>
      </c>
      <c r="AH244" s="164">
        <f t="shared" ca="1" si="772"/>
        <v>0</v>
      </c>
      <c r="AI244" s="164">
        <f t="shared" ca="1" si="773"/>
        <v>0</v>
      </c>
      <c r="AJ244" s="164">
        <f t="shared" ca="1" si="774"/>
        <v>0</v>
      </c>
      <c r="AK244" s="164">
        <f t="shared" ca="1" si="775"/>
        <v>0</v>
      </c>
      <c r="AL244" s="164">
        <f t="shared" si="776"/>
        <v>0</v>
      </c>
      <c r="AM244" s="164">
        <f t="shared" ca="1" si="777"/>
        <v>0</v>
      </c>
      <c r="AN244" s="205"/>
      <c r="AO244" s="154">
        <f t="shared" ca="1" si="778"/>
        <v>0</v>
      </c>
      <c r="AP244" s="154">
        <f t="shared" ca="1" si="779"/>
        <v>0</v>
      </c>
      <c r="AQ244" s="154">
        <f t="shared" ca="1" si="780"/>
        <v>0</v>
      </c>
      <c r="AR244" s="154">
        <f t="shared" ca="1" si="781"/>
        <v>0</v>
      </c>
      <c r="AS244" s="154">
        <f t="shared" ca="1" si="782"/>
        <v>0</v>
      </c>
      <c r="AT244" s="154">
        <f t="shared" ca="1" si="783"/>
        <v>0</v>
      </c>
      <c r="AU244" s="154">
        <f t="shared" ca="1" si="784"/>
        <v>0</v>
      </c>
      <c r="AV244" s="154">
        <f t="shared" ca="1" si="785"/>
        <v>0</v>
      </c>
      <c r="AW244" s="154">
        <f t="shared" ca="1" si="786"/>
        <v>0</v>
      </c>
      <c r="AX244" s="154">
        <f t="shared" ca="1" si="787"/>
        <v>0</v>
      </c>
      <c r="AY244" s="154">
        <f t="shared" ca="1" si="788"/>
        <v>0</v>
      </c>
      <c r="AZ244" s="154">
        <f t="shared" ca="1" si="789"/>
        <v>0</v>
      </c>
      <c r="BA244" s="154">
        <f t="shared" ca="1" si="790"/>
        <v>0</v>
      </c>
      <c r="BB244" s="154">
        <f t="shared" ca="1" si="791"/>
        <v>0</v>
      </c>
      <c r="BC244" s="154">
        <f t="shared" ca="1" si="792"/>
        <v>0</v>
      </c>
      <c r="BD244" s="154">
        <f t="shared" ca="1" si="793"/>
        <v>0</v>
      </c>
      <c r="BE244" s="154">
        <f t="shared" ca="1" si="794"/>
        <v>0</v>
      </c>
      <c r="BF244" s="154">
        <f t="shared" ca="1" si="795"/>
        <v>0</v>
      </c>
      <c r="BG244" s="154">
        <f t="shared" ca="1" si="796"/>
        <v>0</v>
      </c>
      <c r="BH244" s="154">
        <f t="shared" ca="1" si="797"/>
        <v>0</v>
      </c>
      <c r="BI244" s="154">
        <f t="shared" ca="1" si="798"/>
        <v>0</v>
      </c>
      <c r="BJ244" s="154">
        <f t="shared" ca="1" si="799"/>
        <v>0</v>
      </c>
      <c r="BK244" s="154">
        <f t="shared" ca="1" si="800"/>
        <v>0</v>
      </c>
      <c r="BL244" s="154">
        <f t="shared" ca="1" si="801"/>
        <v>0</v>
      </c>
      <c r="BM244" s="154">
        <f t="shared" ca="1" si="802"/>
        <v>0</v>
      </c>
      <c r="BN244" s="1198">
        <f t="shared" si="816"/>
        <v>248</v>
      </c>
      <c r="BO244" s="1197" t="str">
        <f t="shared" si="803"/>
        <v>L/S: Ur-Tulamidya</v>
      </c>
      <c r="BP244" s="1197" t="str">
        <f t="shared" ca="1" si="804"/>
        <v>A</v>
      </c>
      <c r="BQ244" s="1197">
        <f t="shared" si="820"/>
        <v>21</v>
      </c>
      <c r="BR244" s="1198" t="str">
        <f t="shared" ca="1" si="817"/>
        <v/>
      </c>
      <c r="BS244" s="1198" t="s">
        <v>1715</v>
      </c>
      <c r="BT244" s="78"/>
      <c r="BU244" s="78"/>
      <c r="BV244" s="78"/>
      <c r="BW244" s="1197">
        <f t="shared" ca="1" si="818"/>
        <v>0</v>
      </c>
      <c r="BX244" s="1197">
        <f t="shared" ca="1" si="805"/>
        <v>0</v>
      </c>
      <c r="BY244" s="1197">
        <f t="shared" ca="1" si="806"/>
        <v>0</v>
      </c>
      <c r="BZ244" s="1081">
        <f t="shared" ca="1" si="807"/>
        <v>0</v>
      </c>
      <c r="CA244" s="1081">
        <f t="shared" ca="1" si="808"/>
        <v>0</v>
      </c>
      <c r="CB244" s="1081">
        <f t="shared" ca="1" si="819"/>
        <v>65</v>
      </c>
      <c r="CC244" s="1081">
        <f t="shared" ca="1" si="809"/>
        <v>65</v>
      </c>
      <c r="CD244" s="1081">
        <f t="shared" si="826"/>
        <v>0</v>
      </c>
      <c r="CE244" s="78"/>
      <c r="CF244" s="78"/>
      <c r="CG244" s="78"/>
      <c r="CH244" s="154"/>
      <c r="CI244" s="78"/>
      <c r="CJ244" s="78"/>
      <c r="CK244" s="78"/>
      <c r="CL244" s="78"/>
      <c r="CM244" s="78"/>
      <c r="CN244" s="1081">
        <f ca="1">IF(B244="",0,VALUE(B244))+IF(H244="",0,VALUE(H244))- IF(I244="",0,VALUE(I244))</f>
        <v>0</v>
      </c>
      <c r="CO244" s="1081">
        <f t="shared" ca="1" si="811"/>
        <v>0</v>
      </c>
      <c r="CP244" s="1081">
        <f ca="1">IF(I244="",0,SUM(INDIRECT(
ADDRESS(ROW(),COLUMN($P244)+CN244+IF(CN244=0,0,1))
&amp;":"&amp;
ADDRESS(ROW(),COLUMN($AM244))
)))</f>
        <v>0</v>
      </c>
      <c r="DJ244" s="301" t="str">
        <f t="shared" ca="1" si="824"/>
        <v>A</v>
      </c>
      <c r="DK244" s="301" t="str">
        <f t="shared" ca="1" si="824"/>
        <v>A</v>
      </c>
      <c r="DL244" s="301" t="str">
        <f t="shared" ca="1" si="824"/>
        <v>A</v>
      </c>
      <c r="DM244" s="301" t="str">
        <f t="shared" ca="1" si="824"/>
        <v>A</v>
      </c>
      <c r="DN244" s="301" t="str">
        <f t="shared" ca="1" si="824"/>
        <v>A</v>
      </c>
      <c r="DO244" s="301" t="str">
        <f t="shared" ca="1" si="824"/>
        <v>A</v>
      </c>
      <c r="DP244" s="301" t="str">
        <f t="shared" ca="1" si="824"/>
        <v>A</v>
      </c>
      <c r="DQ244" s="301" t="str">
        <f t="shared" ca="1" si="824"/>
        <v>A</v>
      </c>
      <c r="DR244" s="301" t="str">
        <f t="shared" ca="1" si="824"/>
        <v>A</v>
      </c>
      <c r="DS244" s="301" t="str">
        <f t="shared" ca="1" si="824"/>
        <v>A</v>
      </c>
      <c r="DT244" s="301" t="str">
        <f t="shared" ca="1" si="825"/>
        <v>A</v>
      </c>
      <c r="DU244" s="301" t="str">
        <f t="shared" ca="1" si="825"/>
        <v>A</v>
      </c>
      <c r="DV244" s="301" t="str">
        <f t="shared" ca="1" si="825"/>
        <v>A</v>
      </c>
      <c r="DW244" s="301" t="str">
        <f t="shared" ca="1" si="825"/>
        <v>A</v>
      </c>
      <c r="DX244" s="301" t="str">
        <f t="shared" ca="1" si="825"/>
        <v>A</v>
      </c>
      <c r="DY244" s="301" t="str">
        <f t="shared" ca="1" si="825"/>
        <v>A</v>
      </c>
      <c r="DZ244" s="301" t="str">
        <f t="shared" ca="1" si="825"/>
        <v>A</v>
      </c>
      <c r="EA244" s="301" t="str">
        <f t="shared" ca="1" si="825"/>
        <v>A</v>
      </c>
      <c r="EB244" s="301" t="str">
        <f t="shared" ca="1" si="825"/>
        <v>A</v>
      </c>
      <c r="EC244" s="301" t="str">
        <f t="shared" ca="1" si="825"/>
        <v>A</v>
      </c>
      <c r="ED244" s="301" t="str">
        <f t="shared" ca="1" si="825"/>
        <v>A</v>
      </c>
      <c r="EE244" s="301" t="str">
        <f t="shared" ca="1" si="825"/>
        <v>A</v>
      </c>
      <c r="EF244" s="301">
        <f t="shared" si="814"/>
        <v>0</v>
      </c>
      <c r="EG244" s="1426" t="str">
        <f t="shared" ca="1" si="827"/>
        <v>A</v>
      </c>
      <c r="EH244" s="1429" t="str">
        <f t="shared" ca="1" si="827"/>
        <v>A</v>
      </c>
      <c r="EI244" s="1429" t="str">
        <f t="shared" ca="1" si="827"/>
        <v>A</v>
      </c>
      <c r="EJ244" s="1429" t="str">
        <f t="shared" ca="1" si="827"/>
        <v>A</v>
      </c>
      <c r="EK244" s="1429" t="str">
        <f t="shared" ca="1" si="827"/>
        <v>A</v>
      </c>
      <c r="EL244" s="1429" t="str">
        <f t="shared" ca="1" si="827"/>
        <v>A</v>
      </c>
      <c r="EM244" s="1429" t="str">
        <f t="shared" ca="1" si="827"/>
        <v>A</v>
      </c>
      <c r="EN244" s="1429" t="str">
        <f t="shared" ca="1" si="827"/>
        <v>A</v>
      </c>
      <c r="EO244" s="1429" t="str">
        <f t="shared" ca="1" si="827"/>
        <v>A</v>
      </c>
      <c r="EP244" s="1429" t="str">
        <f t="shared" ca="1" si="827"/>
        <v>A</v>
      </c>
      <c r="EQ244" s="1429" t="str">
        <f t="shared" ca="1" si="827"/>
        <v>A</v>
      </c>
      <c r="ER244" s="1429" t="str">
        <f t="shared" ca="1" si="827"/>
        <v>A</v>
      </c>
      <c r="ES244" s="1429" t="str">
        <f t="shared" ca="1" si="827"/>
        <v>A</v>
      </c>
      <c r="ET244" s="1429" t="str">
        <f t="shared" ca="1" si="827"/>
        <v>A</v>
      </c>
      <c r="EU244" s="1429" t="str">
        <f t="shared" ca="1" si="827"/>
        <v>A</v>
      </c>
      <c r="EV244" s="1429" t="str">
        <f t="shared" ca="1" si="827"/>
        <v>A</v>
      </c>
      <c r="EW244" s="1429" t="str">
        <f t="shared" ca="1" si="822"/>
        <v>A</v>
      </c>
      <c r="EX244" s="1429" t="str">
        <f t="shared" ca="1" si="822"/>
        <v>A</v>
      </c>
      <c r="EY244" s="1429" t="str">
        <f t="shared" ca="1" si="822"/>
        <v>A</v>
      </c>
      <c r="EZ244" s="1429" t="str">
        <f t="shared" ca="1" si="822"/>
        <v>A</v>
      </c>
      <c r="FA244" s="1429" t="str">
        <f t="shared" ca="1" si="822"/>
        <v>A</v>
      </c>
      <c r="FB244" s="1429" t="str">
        <f t="shared" ca="1" si="822"/>
        <v>A</v>
      </c>
      <c r="FC244" s="1429" t="str">
        <f t="shared" ca="1" si="822"/>
        <v>A</v>
      </c>
      <c r="FD244" s="1429" t="str">
        <f t="shared" ca="1" si="822"/>
        <v>A</v>
      </c>
      <c r="FE244" s="1429" t="str">
        <f t="shared" ca="1" si="748"/>
        <v>A</v>
      </c>
      <c r="FF244" s="1429" t="str">
        <f t="shared" ca="1" si="748"/>
        <v>A</v>
      </c>
      <c r="FG244" s="1429" t="str">
        <f t="shared" ca="1" si="748"/>
        <v>A</v>
      </c>
      <c r="FH244" s="1429" t="str">
        <f t="shared" ca="1" si="748"/>
        <v>A</v>
      </c>
      <c r="FI244" s="1429" t="str">
        <f t="shared" ca="1" si="748"/>
        <v>A</v>
      </c>
      <c r="FJ244" s="1429" t="str">
        <f t="shared" ca="1" si="748"/>
        <v>A</v>
      </c>
      <c r="FK244" s="1429" t="str">
        <f t="shared" ca="1" si="748"/>
        <v>A</v>
      </c>
      <c r="FL244" s="1429" t="str">
        <f t="shared" ca="1" si="748"/>
        <v>A</v>
      </c>
    </row>
    <row r="245" spans="1:168" x14ac:dyDescent="0.2">
      <c r="A245" s="62" t="str">
        <f t="shared" si="749"/>
        <v>L/S: Zhayad</v>
      </c>
      <c r="B245" s="317" t="str">
        <f t="shared" ca="1" si="750"/>
        <v/>
      </c>
      <c r="C245" s="332" t="str">
        <f ca="1">IF(AND(EXACT($F245,""),EXACT($G245,"")),IF(OR(NOT(ISBLANK(D245)),NOT(EXACT(HLOOKUP(RASSEGENE,RASSE,$BN245,FALSE),"")),NOT(EXACT(HLOOKUP(KULTURGENE,KULTUR,$BN245,FALSE),"")),NOT(EXACT(HLOOKUP(PROFGENE,INDIRECT(PROFGEBIET),$BN245,FALSE),"")),
IF(LEN(PROFZWEITE)&lt;1,FALSE,NOT(EXACT(HLOOKUP(Generierung!$D$12,INDIRECT(PROFGEBIET2),$BN245,FALSE),"")))
),"x",""),"")</f>
        <v/>
      </c>
      <c r="D245" s="1110"/>
      <c r="E245" s="325"/>
      <c r="F245" s="388" t="str">
        <f t="shared" ca="1" si="751"/>
        <v/>
      </c>
      <c r="G245" s="388" t="str">
        <f t="shared" ca="1" si="752"/>
        <v/>
      </c>
      <c r="H245" s="785"/>
      <c r="I245" s="1196"/>
      <c r="J245" s="969"/>
      <c r="O245" s="514" t="str">
        <f t="shared" ca="1" si="753"/>
        <v/>
      </c>
      <c r="P245" s="164">
        <f t="shared" ca="1" si="754"/>
        <v>0</v>
      </c>
      <c r="Q245" s="164">
        <f t="shared" ca="1" si="755"/>
        <v>0</v>
      </c>
      <c r="R245" s="164">
        <f t="shared" ca="1" si="756"/>
        <v>0</v>
      </c>
      <c r="S245" s="164">
        <f t="shared" ca="1" si="757"/>
        <v>0</v>
      </c>
      <c r="T245" s="164">
        <f t="shared" ca="1" si="758"/>
        <v>0</v>
      </c>
      <c r="U245" s="164">
        <f t="shared" ca="1" si="759"/>
        <v>0</v>
      </c>
      <c r="V245" s="164">
        <f t="shared" ca="1" si="760"/>
        <v>0</v>
      </c>
      <c r="W245" s="164">
        <f t="shared" ca="1" si="761"/>
        <v>0</v>
      </c>
      <c r="X245" s="164">
        <f t="shared" ca="1" si="762"/>
        <v>0</v>
      </c>
      <c r="Y245" s="164">
        <f t="shared" ca="1" si="763"/>
        <v>0</v>
      </c>
      <c r="Z245" s="164">
        <f t="shared" ca="1" si="764"/>
        <v>0</v>
      </c>
      <c r="AA245" s="164">
        <f t="shared" ca="1" si="765"/>
        <v>0</v>
      </c>
      <c r="AB245" s="164">
        <f t="shared" ca="1" si="766"/>
        <v>0</v>
      </c>
      <c r="AC245" s="164">
        <f t="shared" ca="1" si="767"/>
        <v>0</v>
      </c>
      <c r="AD245" s="164">
        <f t="shared" ca="1" si="768"/>
        <v>0</v>
      </c>
      <c r="AE245" s="164">
        <f t="shared" ca="1" si="769"/>
        <v>0</v>
      </c>
      <c r="AF245" s="164">
        <f t="shared" ca="1" si="770"/>
        <v>0</v>
      </c>
      <c r="AG245" s="164">
        <f t="shared" ca="1" si="771"/>
        <v>0</v>
      </c>
      <c r="AH245" s="164">
        <f t="shared" ca="1" si="772"/>
        <v>0</v>
      </c>
      <c r="AI245" s="164">
        <f t="shared" ca="1" si="773"/>
        <v>0</v>
      </c>
      <c r="AJ245" s="164">
        <f t="shared" ca="1" si="774"/>
        <v>0</v>
      </c>
      <c r="AK245" s="164">
        <f t="shared" ca="1" si="775"/>
        <v>0</v>
      </c>
      <c r="AL245" s="164">
        <f t="shared" si="776"/>
        <v>0</v>
      </c>
      <c r="AM245" s="164">
        <f t="shared" ca="1" si="777"/>
        <v>0</v>
      </c>
      <c r="AN245" s="206"/>
      <c r="AO245" s="154">
        <f t="shared" ca="1" si="778"/>
        <v>0</v>
      </c>
      <c r="AP245" s="154">
        <f t="shared" ca="1" si="779"/>
        <v>0</v>
      </c>
      <c r="AQ245" s="154">
        <f t="shared" ca="1" si="780"/>
        <v>0</v>
      </c>
      <c r="AR245" s="154">
        <f t="shared" ca="1" si="781"/>
        <v>0</v>
      </c>
      <c r="AS245" s="154">
        <f t="shared" ca="1" si="782"/>
        <v>0</v>
      </c>
      <c r="AT245" s="154">
        <f t="shared" ca="1" si="783"/>
        <v>0</v>
      </c>
      <c r="AU245" s="154">
        <f t="shared" ca="1" si="784"/>
        <v>0</v>
      </c>
      <c r="AV245" s="154">
        <f t="shared" ca="1" si="785"/>
        <v>0</v>
      </c>
      <c r="AW245" s="154">
        <f t="shared" ca="1" si="786"/>
        <v>0</v>
      </c>
      <c r="AX245" s="154">
        <f t="shared" ca="1" si="787"/>
        <v>0</v>
      </c>
      <c r="AY245" s="154">
        <f t="shared" ca="1" si="788"/>
        <v>0</v>
      </c>
      <c r="AZ245" s="154">
        <f t="shared" ca="1" si="789"/>
        <v>0</v>
      </c>
      <c r="BA245" s="154">
        <f t="shared" ca="1" si="790"/>
        <v>0</v>
      </c>
      <c r="BB245" s="154">
        <f t="shared" ca="1" si="791"/>
        <v>0</v>
      </c>
      <c r="BC245" s="154">
        <f t="shared" ca="1" si="792"/>
        <v>0</v>
      </c>
      <c r="BD245" s="154">
        <f t="shared" ca="1" si="793"/>
        <v>0</v>
      </c>
      <c r="BE245" s="154">
        <f t="shared" ca="1" si="794"/>
        <v>0</v>
      </c>
      <c r="BF245" s="154">
        <f t="shared" ca="1" si="795"/>
        <v>0</v>
      </c>
      <c r="BG245" s="154">
        <f t="shared" ca="1" si="796"/>
        <v>0</v>
      </c>
      <c r="BH245" s="154">
        <f t="shared" ca="1" si="797"/>
        <v>0</v>
      </c>
      <c r="BI245" s="154">
        <f t="shared" ca="1" si="798"/>
        <v>0</v>
      </c>
      <c r="BJ245" s="154">
        <f t="shared" ca="1" si="799"/>
        <v>0</v>
      </c>
      <c r="BK245" s="154">
        <f t="shared" ca="1" si="800"/>
        <v>0</v>
      </c>
      <c r="BL245" s="154">
        <f t="shared" ca="1" si="801"/>
        <v>0</v>
      </c>
      <c r="BM245" s="154">
        <f t="shared" ca="1" si="802"/>
        <v>0</v>
      </c>
      <c r="BN245" s="1198">
        <f t="shared" si="816"/>
        <v>249</v>
      </c>
      <c r="BO245" s="1197" t="str">
        <f t="shared" si="803"/>
        <v>L/S: Zhayad</v>
      </c>
      <c r="BP245" s="1197" t="str">
        <f t="shared" ca="1" si="804"/>
        <v>A</v>
      </c>
      <c r="BQ245" s="1197">
        <f>BQ244+1</f>
        <v>22</v>
      </c>
      <c r="BR245" s="1198" t="str">
        <f t="shared" ca="1" si="817"/>
        <v/>
      </c>
      <c r="BS245" s="1198"/>
      <c r="BT245" s="78"/>
      <c r="BU245" s="78"/>
      <c r="BV245" s="78"/>
      <c r="BW245" s="1197">
        <f t="shared" ca="1" si="818"/>
        <v>0</v>
      </c>
      <c r="BX245" s="1197">
        <f t="shared" ca="1" si="805"/>
        <v>0</v>
      </c>
      <c r="BY245" s="1197">
        <f t="shared" ca="1" si="806"/>
        <v>0</v>
      </c>
      <c r="BZ245" s="1081">
        <f t="shared" ca="1" si="807"/>
        <v>0</v>
      </c>
      <c r="CA245" s="1081">
        <f t="shared" ca="1" si="808"/>
        <v>0</v>
      </c>
      <c r="CB245" s="1081">
        <f t="shared" ca="1" si="819"/>
        <v>65</v>
      </c>
      <c r="CC245" s="1081">
        <f t="shared" ca="1" si="809"/>
        <v>65</v>
      </c>
      <c r="CD245" s="1081">
        <f t="shared" si="826"/>
        <v>0</v>
      </c>
      <c r="CE245" s="78"/>
      <c r="CF245" s="78"/>
      <c r="CG245" s="78"/>
      <c r="CH245" s="154"/>
      <c r="CI245" s="78"/>
      <c r="CJ245" s="78"/>
      <c r="CK245" s="78"/>
      <c r="CL245" s="78"/>
      <c r="CM245" s="78"/>
      <c r="CN245" s="1081">
        <f ca="1">IF(B245="",0,VALUE(B245))+IF(H245="",0,VALUE(H245))- IF(I245="",0,VALUE(I245))</f>
        <v>0</v>
      </c>
      <c r="CO245" s="1081">
        <f t="shared" ca="1" si="811"/>
        <v>0</v>
      </c>
      <c r="CP245" s="1081">
        <f ca="1">IF(I245="",0,SUM(INDIRECT(
ADDRESS(ROW(),COLUMN($P245)+CN245+IF(CN245=0,0,1))
&amp;":"&amp;
ADDRESS(ROW(),COLUMN($AM245))
)))</f>
        <v>0</v>
      </c>
      <c r="DJ245" s="301" t="str">
        <f t="shared" ca="1" si="824"/>
        <v>A</v>
      </c>
      <c r="DK245" s="301" t="str">
        <f t="shared" ca="1" si="824"/>
        <v>A</v>
      </c>
      <c r="DL245" s="301" t="str">
        <f t="shared" ca="1" si="824"/>
        <v>A</v>
      </c>
      <c r="DM245" s="301" t="str">
        <f t="shared" ca="1" si="824"/>
        <v>A</v>
      </c>
      <c r="DN245" s="301" t="str">
        <f t="shared" ca="1" si="824"/>
        <v>A</v>
      </c>
      <c r="DO245" s="301" t="str">
        <f t="shared" ca="1" si="824"/>
        <v>A</v>
      </c>
      <c r="DP245" s="301" t="str">
        <f t="shared" ca="1" si="824"/>
        <v>A</v>
      </c>
      <c r="DQ245" s="301" t="str">
        <f t="shared" ca="1" si="824"/>
        <v>A</v>
      </c>
      <c r="DR245" s="301" t="str">
        <f t="shared" ca="1" si="824"/>
        <v>A</v>
      </c>
      <c r="DS245" s="301" t="str">
        <f t="shared" ca="1" si="824"/>
        <v>A</v>
      </c>
      <c r="DT245" s="301" t="str">
        <f t="shared" ca="1" si="825"/>
        <v>A</v>
      </c>
      <c r="DU245" s="301" t="str">
        <f t="shared" ca="1" si="825"/>
        <v>A</v>
      </c>
      <c r="DV245" s="301" t="str">
        <f t="shared" ca="1" si="825"/>
        <v>A</v>
      </c>
      <c r="DW245" s="301" t="str">
        <f t="shared" ca="1" si="825"/>
        <v>A</v>
      </c>
      <c r="DX245" s="301" t="str">
        <f t="shared" ca="1" si="825"/>
        <v>A</v>
      </c>
      <c r="DY245" s="301" t="str">
        <f t="shared" ca="1" si="825"/>
        <v>A</v>
      </c>
      <c r="DZ245" s="301" t="str">
        <f t="shared" ca="1" si="825"/>
        <v>A</v>
      </c>
      <c r="EA245" s="301" t="str">
        <f t="shared" ca="1" si="825"/>
        <v>A</v>
      </c>
      <c r="EB245" s="301" t="str">
        <f t="shared" ca="1" si="825"/>
        <v>A</v>
      </c>
      <c r="EC245" s="301" t="str">
        <f t="shared" ca="1" si="825"/>
        <v>A</v>
      </c>
      <c r="ED245" s="301" t="str">
        <f t="shared" ca="1" si="825"/>
        <v>A</v>
      </c>
      <c r="EE245" s="301" t="str">
        <f t="shared" ca="1" si="825"/>
        <v>A</v>
      </c>
      <c r="EF245" s="301">
        <f t="shared" si="814"/>
        <v>0</v>
      </c>
      <c r="EG245" s="1426" t="str">
        <f t="shared" ca="1" si="827"/>
        <v>A</v>
      </c>
      <c r="EH245" s="1429" t="str">
        <f t="shared" ca="1" si="827"/>
        <v>A</v>
      </c>
      <c r="EI245" s="1429" t="str">
        <f t="shared" ca="1" si="827"/>
        <v>A</v>
      </c>
      <c r="EJ245" s="1429" t="str">
        <f t="shared" ca="1" si="827"/>
        <v>A</v>
      </c>
      <c r="EK245" s="1429" t="str">
        <f t="shared" ca="1" si="827"/>
        <v>A</v>
      </c>
      <c r="EL245" s="1429" t="str">
        <f t="shared" ca="1" si="827"/>
        <v>A</v>
      </c>
      <c r="EM245" s="1429" t="str">
        <f t="shared" ca="1" si="827"/>
        <v>A</v>
      </c>
      <c r="EN245" s="1429" t="str">
        <f t="shared" ca="1" si="827"/>
        <v>A</v>
      </c>
      <c r="EO245" s="1429" t="str">
        <f t="shared" ca="1" si="827"/>
        <v>A</v>
      </c>
      <c r="EP245" s="1429" t="str">
        <f t="shared" ca="1" si="827"/>
        <v>A</v>
      </c>
      <c r="EQ245" s="1429" t="str">
        <f t="shared" ca="1" si="827"/>
        <v>A</v>
      </c>
      <c r="ER245" s="1429" t="str">
        <f t="shared" ca="1" si="827"/>
        <v>A</v>
      </c>
      <c r="ES245" s="1429" t="str">
        <f t="shared" ca="1" si="827"/>
        <v>A</v>
      </c>
      <c r="ET245" s="1429" t="str">
        <f t="shared" ca="1" si="827"/>
        <v>A</v>
      </c>
      <c r="EU245" s="1429" t="str">
        <f t="shared" ca="1" si="827"/>
        <v>A</v>
      </c>
      <c r="EV245" s="1429" t="str">
        <f t="shared" ca="1" si="827"/>
        <v>A</v>
      </c>
      <c r="EW245" s="1429" t="str">
        <f t="shared" ca="1" si="822"/>
        <v>A</v>
      </c>
      <c r="EX245" s="1429" t="str">
        <f t="shared" ca="1" si="822"/>
        <v>A</v>
      </c>
      <c r="EY245" s="1429" t="str">
        <f t="shared" ca="1" si="822"/>
        <v>A</v>
      </c>
      <c r="EZ245" s="1429" t="str">
        <f t="shared" ca="1" si="822"/>
        <v>A</v>
      </c>
      <c r="FA245" s="1429" t="str">
        <f t="shared" ca="1" si="822"/>
        <v>A</v>
      </c>
      <c r="FB245" s="1429" t="str">
        <f t="shared" ca="1" si="822"/>
        <v>A</v>
      </c>
      <c r="FC245" s="1429" t="str">
        <f t="shared" ca="1" si="822"/>
        <v>A</v>
      </c>
      <c r="FD245" s="1429" t="str">
        <f t="shared" ca="1" si="822"/>
        <v>A</v>
      </c>
      <c r="FE245" s="1429" t="str">
        <f t="shared" ca="1" si="748"/>
        <v>A</v>
      </c>
      <c r="FF245" s="1429" t="str">
        <f t="shared" ca="1" si="748"/>
        <v>A</v>
      </c>
      <c r="FG245" s="1429" t="str">
        <f t="shared" ca="1" si="748"/>
        <v>A</v>
      </c>
      <c r="FH245" s="1429" t="str">
        <f t="shared" ca="1" si="748"/>
        <v>A</v>
      </c>
      <c r="FI245" s="1429" t="str">
        <f t="shared" ca="1" si="748"/>
        <v>A</v>
      </c>
      <c r="FJ245" s="1429" t="str">
        <f t="shared" ca="1" si="748"/>
        <v>A</v>
      </c>
      <c r="FK245" s="1429" t="str">
        <f t="shared" ca="1" si="748"/>
        <v>A</v>
      </c>
      <c r="FL245" s="1429" t="str">
        <f t="shared" ca="1" si="748"/>
        <v>A</v>
      </c>
    </row>
    <row r="246" spans="1:168" x14ac:dyDescent="0.2">
      <c r="A246" s="170" t="s">
        <v>4880</v>
      </c>
      <c r="B246" s="6"/>
      <c r="C246" s="304"/>
      <c r="D246" s="304"/>
      <c r="E246" s="6"/>
      <c r="F246" s="6"/>
      <c r="G246" s="6"/>
      <c r="H246" s="6"/>
      <c r="I246" s="6"/>
      <c r="J246" s="6"/>
      <c r="K246" s="6"/>
      <c r="L246" s="6"/>
      <c r="M246" s="6"/>
      <c r="N246" s="6"/>
      <c r="O246" s="786">
        <f ca="1">MAX(O224:O245)</f>
        <v>0</v>
      </c>
      <c r="AK246" s="97"/>
      <c r="AL246" s="99"/>
      <c r="BK246" s="97"/>
      <c r="BL246" s="99"/>
      <c r="BN246" s="141" t="s">
        <v>1140</v>
      </c>
      <c r="BO246" s="141" t="s">
        <v>1140</v>
      </c>
      <c r="BP246" s="141" t="s">
        <v>1140</v>
      </c>
      <c r="BQ246" s="141" t="s">
        <v>1140</v>
      </c>
      <c r="BR246" s="141" t="s">
        <v>1140</v>
      </c>
      <c r="BS246" s="78"/>
      <c r="BT246" s="78"/>
      <c r="BU246" s="78"/>
      <c r="BV246" s="78"/>
      <c r="BW246" s="78"/>
      <c r="BX246" s="78"/>
      <c r="BY246" s="78"/>
      <c r="BZ246" s="1202"/>
      <c r="CA246" s="1202"/>
      <c r="CB246" s="1202"/>
      <c r="CC246" s="1202"/>
      <c r="CD246" s="1202"/>
      <c r="CE246" s="1202"/>
      <c r="CF246" s="1202"/>
      <c r="CG246" s="1202"/>
      <c r="CH246" s="1202"/>
      <c r="CI246" s="1202"/>
      <c r="CJ246" s="1202"/>
      <c r="CK246" s="1202"/>
      <c r="CL246" s="1202"/>
      <c r="CM246" s="1202"/>
      <c r="CN246" s="1194" t="s">
        <v>6532</v>
      </c>
      <c r="CO246" s="1203">
        <f ca="1">SUM(CZ14:CZ157,CO177:CO222,CO224:CO245)+SUMIF(T14:T157,"Start-AP",CA14:CA157)</f>
        <v>0</v>
      </c>
      <c r="CP246" s="1203">
        <f>IF(OR(VT_VETERAN,VT_BBILDUNG),SUM(DA14:DA157,CP177:CP222,CP224:CP245)+SUMIF(T14:T157,"Start-AP-2P",CA14:CA157),0)</f>
        <v>0</v>
      </c>
      <c r="CQ246" s="1195" t="s">
        <v>6534</v>
      </c>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205"/>
    </row>
    <row r="247" spans="1:168" x14ac:dyDescent="0.2">
      <c r="A247" s="47"/>
      <c r="C247" s="81"/>
      <c r="D247" s="81"/>
      <c r="E247" s="47"/>
      <c r="AK247" s="97"/>
      <c r="AL247" s="99"/>
      <c r="BK247" s="97"/>
      <c r="BL247" s="99"/>
      <c r="BN247" s="141" t="s">
        <v>1140</v>
      </c>
      <c r="BO247" s="141" t="s">
        <v>1140</v>
      </c>
      <c r="BP247" s="141" t="s">
        <v>1140</v>
      </c>
      <c r="BQ247" s="141" t="s">
        <v>1140</v>
      </c>
      <c r="BR247" s="141" t="s">
        <v>1222</v>
      </c>
      <c r="BS247" s="1204" t="s">
        <v>1223</v>
      </c>
      <c r="BT247" s="78"/>
      <c r="BU247" s="78"/>
      <c r="BV247" s="78"/>
      <c r="BW247" s="78"/>
      <c r="BX247" s="78"/>
      <c r="BY247" s="78"/>
      <c r="BZ247" s="78"/>
      <c r="CA247" s="78"/>
      <c r="CB247" s="78"/>
      <c r="CC247" s="78"/>
      <c r="CD247" s="78"/>
      <c r="CE247" s="78"/>
      <c r="CF247" s="78"/>
      <c r="CG247" s="78"/>
      <c r="CH247" s="154"/>
      <c r="CI247" s="78"/>
      <c r="CJ247" s="78"/>
      <c r="CK247" s="78"/>
      <c r="CL247" s="78"/>
      <c r="CM247" s="78"/>
      <c r="CN247" s="78"/>
      <c r="CO247" s="78"/>
      <c r="CP247" s="78"/>
    </row>
    <row r="248" spans="1:168" x14ac:dyDescent="0.2">
      <c r="A248" s="47"/>
      <c r="C248" s="81"/>
      <c r="D248" s="81"/>
      <c r="E248" s="47"/>
      <c r="AK248" s="97"/>
      <c r="AL248" s="99"/>
      <c r="BK248" s="97"/>
      <c r="BL248" s="99"/>
      <c r="BN248" s="141" t="s">
        <v>1140</v>
      </c>
      <c r="BO248" s="141" t="s">
        <v>1140</v>
      </c>
      <c r="BP248" s="141" t="s">
        <v>1140</v>
      </c>
      <c r="BQ248" s="141" t="s">
        <v>1222</v>
      </c>
      <c r="BR248" s="1204" t="s">
        <v>3568</v>
      </c>
      <c r="BS248" s="78"/>
      <c r="BT248" s="78"/>
      <c r="BU248" s="78"/>
      <c r="BV248" s="78"/>
      <c r="BW248" s="78"/>
      <c r="BX248" s="78"/>
      <c r="BY248" s="78"/>
      <c r="BZ248" s="78"/>
      <c r="CA248" s="78"/>
      <c r="CB248" s="78"/>
      <c r="CC248" s="78"/>
      <c r="CD248" s="78"/>
      <c r="CE248" s="78"/>
      <c r="CF248" s="78"/>
      <c r="CG248" s="78"/>
      <c r="CH248" s="154"/>
      <c r="CI248" s="78"/>
      <c r="CJ248" s="78"/>
      <c r="CK248" s="78"/>
      <c r="CL248" s="78"/>
      <c r="CM248" s="78"/>
      <c r="CN248" s="78"/>
      <c r="CO248" s="78"/>
      <c r="CP248" s="78"/>
    </row>
    <row r="249" spans="1:168" x14ac:dyDescent="0.2">
      <c r="A249" s="47"/>
      <c r="C249" s="81"/>
      <c r="D249" s="81"/>
      <c r="E249" s="47"/>
      <c r="AK249" s="97"/>
      <c r="AL249" s="99"/>
      <c r="BK249" s="97"/>
      <c r="BL249" s="99"/>
      <c r="BN249" s="141" t="s">
        <v>1140</v>
      </c>
      <c r="BO249" s="141" t="s">
        <v>1140</v>
      </c>
      <c r="BP249" s="141" t="s">
        <v>1222</v>
      </c>
      <c r="BQ249" s="536" t="s">
        <v>4323</v>
      </c>
      <c r="BR249" s="78"/>
      <c r="BS249" s="78"/>
      <c r="BT249" s="78"/>
      <c r="BU249" s="78"/>
      <c r="BV249" s="78"/>
      <c r="BW249" s="78"/>
      <c r="BX249" s="78"/>
      <c r="BY249" s="78"/>
      <c r="BZ249" s="78"/>
      <c r="CA249" s="78"/>
      <c r="CB249" s="78"/>
      <c r="CC249" s="78"/>
      <c r="CD249" s="78"/>
      <c r="CE249" s="78"/>
      <c r="CF249" s="78"/>
      <c r="CG249" s="78"/>
      <c r="CH249" s="154"/>
      <c r="CI249" s="78"/>
      <c r="CJ249" s="78"/>
      <c r="CK249" s="78"/>
      <c r="CL249" s="78"/>
      <c r="CM249" s="78"/>
      <c r="CN249" s="78"/>
      <c r="CO249" s="78"/>
      <c r="CP249" s="78"/>
    </row>
    <row r="250" spans="1:168" x14ac:dyDescent="0.2">
      <c r="A250" s="47"/>
      <c r="C250" s="81"/>
      <c r="D250" s="81"/>
      <c r="E250" s="47"/>
      <c r="AK250" s="97"/>
      <c r="AL250" s="99"/>
      <c r="BK250" s="97"/>
      <c r="BL250" s="99"/>
      <c r="BN250" s="141" t="s">
        <v>1140</v>
      </c>
      <c r="BO250" s="141" t="s">
        <v>1222</v>
      </c>
      <c r="BP250" s="536" t="s">
        <v>1777</v>
      </c>
      <c r="BQ250" s="536"/>
      <c r="BR250" s="78"/>
      <c r="BS250" s="78"/>
      <c r="BT250" s="78"/>
      <c r="BU250" s="78"/>
      <c r="BV250" s="78"/>
      <c r="BW250" s="78"/>
      <c r="BX250" s="78"/>
      <c r="BY250" s="78"/>
      <c r="BZ250" s="78"/>
      <c r="CA250" s="78"/>
      <c r="CB250" s="78"/>
      <c r="CC250" s="78"/>
      <c r="CD250" s="78"/>
      <c r="CE250" s="78"/>
      <c r="CF250" s="78"/>
      <c r="CG250" s="78"/>
      <c r="CH250" s="154"/>
      <c r="CI250" s="78"/>
      <c r="CJ250" s="78"/>
      <c r="CK250" s="78"/>
      <c r="CL250" s="78"/>
      <c r="CM250" s="78"/>
      <c r="CN250" s="78"/>
      <c r="CO250" s="78"/>
      <c r="CP250" s="78"/>
    </row>
    <row r="251" spans="1:168" x14ac:dyDescent="0.2">
      <c r="A251" s="47"/>
      <c r="C251" s="81"/>
      <c r="D251" s="81"/>
      <c r="E251" s="47"/>
      <c r="AK251" s="97"/>
      <c r="AL251" s="99"/>
      <c r="BK251" s="97"/>
      <c r="BL251" s="99"/>
      <c r="BN251" s="141" t="s">
        <v>1222</v>
      </c>
      <c r="BO251" s="536" t="s">
        <v>498</v>
      </c>
      <c r="BP251" s="1205"/>
      <c r="BQ251" s="536"/>
      <c r="BR251" s="78"/>
      <c r="BS251" s="78"/>
      <c r="BT251" s="78"/>
      <c r="BU251" s="78"/>
      <c r="BV251" s="78"/>
      <c r="BW251" s="78"/>
      <c r="BX251" s="78"/>
      <c r="BY251" s="78"/>
      <c r="BZ251" s="78"/>
      <c r="CA251" s="78"/>
      <c r="CB251" s="78"/>
      <c r="CC251" s="78"/>
      <c r="CD251" s="78"/>
      <c r="CE251" s="78"/>
      <c r="CF251" s="78"/>
      <c r="CG251" s="78"/>
      <c r="CH251" s="154"/>
      <c r="CI251" s="78"/>
      <c r="CJ251" s="78"/>
      <c r="CK251" s="78"/>
      <c r="CL251" s="78"/>
      <c r="CM251" s="78"/>
      <c r="CN251" s="78"/>
      <c r="CO251" s="78"/>
      <c r="CP251" s="78"/>
    </row>
    <row r="252" spans="1:168" x14ac:dyDescent="0.2">
      <c r="A252" s="47"/>
      <c r="C252" s="81"/>
      <c r="D252" s="81"/>
      <c r="E252" s="47"/>
      <c r="AK252" s="97"/>
      <c r="AL252" s="99"/>
      <c r="BK252" s="97"/>
      <c r="BL252" s="99"/>
      <c r="BN252" s="536"/>
      <c r="BO252" s="536"/>
      <c r="BP252" s="536"/>
      <c r="BQ252" s="78"/>
      <c r="BR252" s="78"/>
      <c r="BS252" s="78"/>
      <c r="BT252" s="78"/>
      <c r="BU252" s="78"/>
      <c r="BV252" s="78"/>
      <c r="BW252" s="78"/>
      <c r="BX252" s="78"/>
      <c r="BY252" s="78"/>
      <c r="BZ252" s="78"/>
      <c r="CA252" s="78"/>
      <c r="CB252" s="78"/>
      <c r="CC252" s="78"/>
      <c r="CD252" s="78"/>
      <c r="CE252" s="78"/>
      <c r="CF252" s="78"/>
      <c r="CG252" s="78"/>
      <c r="CH252" s="154"/>
      <c r="CI252" s="78"/>
      <c r="CJ252" s="78"/>
      <c r="CK252" s="78"/>
      <c r="CL252" s="78"/>
      <c r="CM252" s="78"/>
      <c r="CN252" s="78"/>
      <c r="CO252" s="78"/>
      <c r="CP252" s="78"/>
    </row>
    <row r="253" spans="1:168" x14ac:dyDescent="0.2">
      <c r="A253" s="47"/>
      <c r="C253" s="81"/>
      <c r="D253" s="81"/>
      <c r="E253" s="47"/>
      <c r="AJ253" s="97"/>
      <c r="AK253" s="99"/>
      <c r="BJ253" s="97"/>
      <c r="BK253" s="99"/>
      <c r="BP253" s="100"/>
      <c r="CG253" s="268"/>
    </row>
    <row r="254" spans="1:168" x14ac:dyDescent="0.2">
      <c r="A254" s="47"/>
      <c r="C254" s="81"/>
      <c r="D254" s="81"/>
      <c r="E254" s="47"/>
      <c r="AJ254" s="97"/>
      <c r="AK254" s="99"/>
      <c r="AP254" s="100"/>
      <c r="CG254" s="268"/>
    </row>
    <row r="255" spans="1:168" x14ac:dyDescent="0.2">
      <c r="A255" s="47"/>
      <c r="C255" s="81"/>
      <c r="D255" s="81"/>
      <c r="E255" s="47"/>
      <c r="AJ255" s="97"/>
      <c r="AK255" s="99"/>
      <c r="AP255" s="100"/>
      <c r="CG255" s="268"/>
    </row>
    <row r="256" spans="1:168" x14ac:dyDescent="0.2">
      <c r="A256" s="47"/>
      <c r="C256" s="81"/>
      <c r="D256" s="81"/>
      <c r="E256" s="47"/>
      <c r="AJ256" s="97"/>
      <c r="AK256" s="99"/>
      <c r="AP256" s="100"/>
      <c r="CG256" s="268"/>
    </row>
    <row r="257" spans="1:85" x14ac:dyDescent="0.2">
      <c r="A257" s="47"/>
      <c r="C257" s="81"/>
      <c r="D257" s="81"/>
      <c r="E257" s="47"/>
      <c r="AJ257" s="97"/>
      <c r="AK257" s="99"/>
      <c r="AP257" s="100"/>
      <c r="CG257" s="268"/>
    </row>
    <row r="258" spans="1:85" ht="18.75" customHeight="1" x14ac:dyDescent="0.2">
      <c r="A258" s="47"/>
      <c r="C258" s="81"/>
      <c r="D258" s="81"/>
      <c r="E258" s="47"/>
      <c r="AJ258" s="97"/>
      <c r="AK258" s="99"/>
      <c r="AP258" s="100"/>
      <c r="CG258" s="268"/>
    </row>
    <row r="259" spans="1:85" ht="18.75" customHeight="1" x14ac:dyDescent="0.2"/>
    <row r="260" spans="1:85" ht="18.75" customHeight="1" x14ac:dyDescent="0.2"/>
    <row r="261" spans="1:85" ht="18.75" customHeight="1" x14ac:dyDescent="0.2"/>
    <row r="262" spans="1:85" ht="18.75" customHeight="1" x14ac:dyDescent="0.2"/>
    <row r="263" spans="1:85" ht="18.75" customHeight="1" x14ac:dyDescent="0.2"/>
    <row r="264" spans="1:85" ht="18.75" customHeight="1" x14ac:dyDescent="0.2"/>
    <row r="265" spans="1:85" ht="18.75" customHeight="1" x14ac:dyDescent="0.2"/>
    <row r="266" spans="1:85" ht="18.75" customHeight="1" x14ac:dyDescent="0.2"/>
    <row r="267" spans="1:85" ht="18.75" customHeight="1" x14ac:dyDescent="0.2"/>
    <row r="268" spans="1:85" ht="18.75" customHeight="1" x14ac:dyDescent="0.2"/>
    <row r="269" spans="1:85" ht="18.75" customHeight="1" x14ac:dyDescent="0.2"/>
    <row r="270" spans="1:85" ht="18.75" customHeight="1" x14ac:dyDescent="0.2"/>
    <row r="271" spans="1:85" ht="18.75" customHeight="1" x14ac:dyDescent="0.2"/>
    <row r="272" spans="1:85" ht="18.75" customHeight="1" x14ac:dyDescent="0.2"/>
    <row r="273" ht="18.75" customHeight="1" x14ac:dyDescent="0.2"/>
  </sheetData>
  <mergeCells count="196">
    <mergeCell ref="J153:N153"/>
    <mergeCell ref="J125:N125"/>
    <mergeCell ref="J126:N126"/>
    <mergeCell ref="J127:N127"/>
    <mergeCell ref="J128:N128"/>
    <mergeCell ref="J129:N129"/>
    <mergeCell ref="J130:N130"/>
    <mergeCell ref="J131:N131"/>
    <mergeCell ref="J132:N132"/>
    <mergeCell ref="J133:N133"/>
    <mergeCell ref="J136:N136"/>
    <mergeCell ref="J135:N135"/>
    <mergeCell ref="J139:N139"/>
    <mergeCell ref="J140:N140"/>
    <mergeCell ref="J152:N152"/>
    <mergeCell ref="J150:N150"/>
    <mergeCell ref="J151:N151"/>
    <mergeCell ref="J138:N138"/>
    <mergeCell ref="J146:N146"/>
    <mergeCell ref="J142:N142"/>
    <mergeCell ref="J143:N143"/>
    <mergeCell ref="J134:N134"/>
    <mergeCell ref="J147:N147"/>
    <mergeCell ref="J148:N148"/>
    <mergeCell ref="K175:R175"/>
    <mergeCell ref="K176:N176"/>
    <mergeCell ref="K223:N223"/>
    <mergeCell ref="J154:N154"/>
    <mergeCell ref="J155:N155"/>
    <mergeCell ref="J158:N158"/>
    <mergeCell ref="J165:L165"/>
    <mergeCell ref="J162:N162"/>
    <mergeCell ref="J163:N163"/>
    <mergeCell ref="J164:N164"/>
    <mergeCell ref="J157:N157"/>
    <mergeCell ref="J156:N156"/>
    <mergeCell ref="J159:N159"/>
    <mergeCell ref="J149:N149"/>
    <mergeCell ref="J144:N144"/>
    <mergeCell ref="J137:N137"/>
    <mergeCell ref="J145:N145"/>
    <mergeCell ref="J124:N124"/>
    <mergeCell ref="J104:N104"/>
    <mergeCell ref="J105:N105"/>
    <mergeCell ref="J106:N106"/>
    <mergeCell ref="J112:N112"/>
    <mergeCell ref="J113:N113"/>
    <mergeCell ref="J114:N114"/>
    <mergeCell ref="J115:N115"/>
    <mergeCell ref="J107:N107"/>
    <mergeCell ref="J141:N141"/>
    <mergeCell ref="J116:N116"/>
    <mergeCell ref="J117:N117"/>
    <mergeCell ref="J118:N118"/>
    <mergeCell ref="J119:N119"/>
    <mergeCell ref="J120:N120"/>
    <mergeCell ref="J121:N121"/>
    <mergeCell ref="J122:N122"/>
    <mergeCell ref="J89:N89"/>
    <mergeCell ref="J90:N90"/>
    <mergeCell ref="J91:N91"/>
    <mergeCell ref="J92:N92"/>
    <mergeCell ref="J93:N93"/>
    <mergeCell ref="J94:N94"/>
    <mergeCell ref="J95:N95"/>
    <mergeCell ref="J98:N98"/>
    <mergeCell ref="J99:N99"/>
    <mergeCell ref="J100:N100"/>
    <mergeCell ref="J101:N101"/>
    <mergeCell ref="J102:N102"/>
    <mergeCell ref="J103:N103"/>
    <mergeCell ref="J97:N97"/>
    <mergeCell ref="J96:N96"/>
    <mergeCell ref="J123:N123"/>
    <mergeCell ref="J108:N108"/>
    <mergeCell ref="J109:N109"/>
    <mergeCell ref="J110:N110"/>
    <mergeCell ref="J111:N111"/>
    <mergeCell ref="J80:N80"/>
    <mergeCell ref="J81:N81"/>
    <mergeCell ref="J82:N82"/>
    <mergeCell ref="J83:N83"/>
    <mergeCell ref="J84:N84"/>
    <mergeCell ref="J85:N85"/>
    <mergeCell ref="J86:N86"/>
    <mergeCell ref="J87:N87"/>
    <mergeCell ref="J72:N72"/>
    <mergeCell ref="J73:N73"/>
    <mergeCell ref="J74:N74"/>
    <mergeCell ref="J75:N75"/>
    <mergeCell ref="J76:N76"/>
    <mergeCell ref="J77:N77"/>
    <mergeCell ref="J78:N78"/>
    <mergeCell ref="J79:N79"/>
    <mergeCell ref="AH2:AJ2"/>
    <mergeCell ref="X7:AB7"/>
    <mergeCell ref="X6:AB6"/>
    <mergeCell ref="AC3:AG3"/>
    <mergeCell ref="AC4:AG4"/>
    <mergeCell ref="K8:N8"/>
    <mergeCell ref="AH4:AL4"/>
    <mergeCell ref="AH8:AL8"/>
    <mergeCell ref="O6:Q6"/>
    <mergeCell ref="AH3:AL3"/>
    <mergeCell ref="B5:B12"/>
    <mergeCell ref="C5:C12"/>
    <mergeCell ref="I5:I12"/>
    <mergeCell ref="F5:F12"/>
    <mergeCell ref="O10:Q10"/>
    <mergeCell ref="G5:G12"/>
    <mergeCell ref="E5:E12"/>
    <mergeCell ref="D5:D12"/>
    <mergeCell ref="H5:H12"/>
    <mergeCell ref="O7:Q7"/>
    <mergeCell ref="CI11:CN11"/>
    <mergeCell ref="X4:Z4"/>
    <mergeCell ref="X5:AB5"/>
    <mergeCell ref="AH5:AL5"/>
    <mergeCell ref="AH7:AL7"/>
    <mergeCell ref="K5:N5"/>
    <mergeCell ref="K6:N6"/>
    <mergeCell ref="K7:N7"/>
    <mergeCell ref="O5:Q5"/>
    <mergeCell ref="AH6:AL6"/>
    <mergeCell ref="O8:Q8"/>
    <mergeCell ref="AC8:AG8"/>
    <mergeCell ref="X8:AB8"/>
    <mergeCell ref="O9:Q9"/>
    <mergeCell ref="AC9:AG9"/>
    <mergeCell ref="AH9:AL9"/>
    <mergeCell ref="K9:N9"/>
    <mergeCell ref="X9:AB9"/>
    <mergeCell ref="J11:Q12"/>
    <mergeCell ref="J63:N63"/>
    <mergeCell ref="J18:N18"/>
    <mergeCell ref="J19:N19"/>
    <mergeCell ref="J20:N20"/>
    <mergeCell ref="J30:N30"/>
    <mergeCell ref="J31:N31"/>
    <mergeCell ref="J40:N40"/>
    <mergeCell ref="J39:N39"/>
    <mergeCell ref="J36:N36"/>
    <mergeCell ref="J45:N45"/>
    <mergeCell ref="J42:N42"/>
    <mergeCell ref="J43:N43"/>
    <mergeCell ref="J44:N44"/>
    <mergeCell ref="J41:N41"/>
    <mergeCell ref="J24:N24"/>
    <mergeCell ref="J53:N53"/>
    <mergeCell ref="J54:N54"/>
    <mergeCell ref="J55:N55"/>
    <mergeCell ref="J49:N49"/>
    <mergeCell ref="J61:N61"/>
    <mergeCell ref="J38:N38"/>
    <mergeCell ref="J22:N22"/>
    <mergeCell ref="J64:N64"/>
    <mergeCell ref="J65:N65"/>
    <mergeCell ref="J16:N16"/>
    <mergeCell ref="J160:N160"/>
    <mergeCell ref="J161:N161"/>
    <mergeCell ref="J50:N50"/>
    <mergeCell ref="J48:N48"/>
    <mergeCell ref="J51:N51"/>
    <mergeCell ref="J46:N46"/>
    <mergeCell ref="J52:N52"/>
    <mergeCell ref="J47:N47"/>
    <mergeCell ref="J60:N60"/>
    <mergeCell ref="J68:N68"/>
    <mergeCell ref="J69:N69"/>
    <mergeCell ref="J70:N70"/>
    <mergeCell ref="J56:N56"/>
    <mergeCell ref="J57:N57"/>
    <mergeCell ref="J58:N58"/>
    <mergeCell ref="J59:N59"/>
    <mergeCell ref="J62:N62"/>
    <mergeCell ref="J66:N66"/>
    <mergeCell ref="J67:N67"/>
    <mergeCell ref="J88:N88"/>
    <mergeCell ref="J71:N71"/>
    <mergeCell ref="J14:N14"/>
    <mergeCell ref="J13:N13"/>
    <mergeCell ref="J25:N25"/>
    <mergeCell ref="J37:N37"/>
    <mergeCell ref="J33:N33"/>
    <mergeCell ref="J26:N26"/>
    <mergeCell ref="K10:N10"/>
    <mergeCell ref="J17:N17"/>
    <mergeCell ref="J23:N23"/>
    <mergeCell ref="J21:N21"/>
    <mergeCell ref="J35:N35"/>
    <mergeCell ref="J32:N32"/>
    <mergeCell ref="J34:N34"/>
    <mergeCell ref="J27:N27"/>
    <mergeCell ref="J29:N29"/>
    <mergeCell ref="J28:N28"/>
    <mergeCell ref="J15:N15"/>
  </mergeCells>
  <phoneticPr fontId="3" type="noConversion"/>
  <conditionalFormatting sqref="EF41:EF80 EF107:EF157 EG246 C166:D170 W159:AR164 AT159:CC164 W166:AR170 AT166:CC170 P177:BM222 P224:BM245 W14:AR40 W42:AR59 W61:AR71 W73:AR80 W107:AR157 W82:AR105 AT14:CC40 AT42:CC59 AT61:CC71 AT73:CC80 AT107:CC157 AT82:CC105">
    <cfRule type="cellIs" dxfId="23" priority="45" stopIfTrue="1" operator="greaterThan">
      <formula>0</formula>
    </cfRule>
  </conditionalFormatting>
  <conditionalFormatting sqref="J13 K176 J41 J60 J72 J81 J106 J158 K223">
    <cfRule type="cellIs" dxfId="22" priority="46" stopIfTrue="1" operator="equal">
      <formula>"Keine AP mehr übrig!"</formula>
    </cfRule>
  </conditionalFormatting>
  <conditionalFormatting sqref="I177:I222">
    <cfRule type="expression" dxfId="21" priority="14" stopIfTrue="1">
      <formula>OR($BY177&gt;0,AND(VT_VETERAN,$B177&gt;0,NOT($B177="")))</formula>
    </cfRule>
  </conditionalFormatting>
  <conditionalFormatting sqref="I177:I222">
    <cfRule type="expression" dxfId="20" priority="13" stopIfTrue="1">
      <formula>AND(VT_BBILDUNG,$I177&gt;$BY177)</formula>
    </cfRule>
  </conditionalFormatting>
  <conditionalFormatting sqref="I224:I245">
    <cfRule type="expression" dxfId="19" priority="6" stopIfTrue="1">
      <formula>OR($BY224&gt;0,AND(VT_VETERAN,$B224&gt;0,NOT($B224="")))</formula>
    </cfRule>
  </conditionalFormatting>
  <conditionalFormatting sqref="I224:I245">
    <cfRule type="expression" dxfId="18" priority="5" stopIfTrue="1">
      <formula>AND(VT_BBILDUNG,$I224&gt;$BY224)</formula>
    </cfRule>
  </conditionalFormatting>
  <conditionalFormatting sqref="H42:H59 H61:H71 H73:H80 H82:H105 H107:H157 H14:H40">
    <cfRule type="expression" dxfId="17" priority="77" stopIfTrue="1">
      <formula>OR($CU14&gt;0,AND(VT_VETERAN,$B14&gt;-1,$C14="B"))</formula>
    </cfRule>
  </conditionalFormatting>
  <conditionalFormatting sqref="H42:H59 H61:H71 H73:H80 H82:H105 H107:H157 H14:H40">
    <cfRule type="expression" dxfId="16" priority="83" stopIfTrue="1">
      <formula>AND(VT_BBILDUNG,$H14&gt;MAX($D14,$CU14))</formula>
    </cfRule>
  </conditionalFormatting>
  <dataValidations disablePrompts="1" count="32">
    <dataValidation type="list" allowBlank="1" showInputMessage="1" sqref="R107:R157 R61:R71 R73:R80 R82:R105 R43:R59">
      <formula1>INDIRECT($DG43)</formula1>
    </dataValidation>
    <dataValidation type="list" allowBlank="1" showInputMessage="1" sqref="S82:S105 S42:S59 S61:S71 S73:S80 S107:S157">
      <formula1>INDIRECT($DH42)</formula1>
    </dataValidation>
    <dataValidation type="list" allowBlank="1" showInputMessage="1" sqref="R42">
      <formula1>IF($DI42="",INDIRECT($DG42),$DI42)</formula1>
    </dataValidation>
    <dataValidation type="list" allowBlank="1" showInputMessage="1" showErrorMessage="1" sqref="J166:L170">
      <formula1>"MU,KL,IN,CH,FF,GE,KO,KK"</formula1>
    </dataValidation>
    <dataValidation type="list" allowBlank="1" showInputMessage="1" showErrorMessage="1" sqref="M166:M170">
      <formula1>"A,B,C,D,E,F,G,H"</formula1>
    </dataValidation>
    <dataValidation type="list" allowBlank="1" showInputMessage="1" showErrorMessage="1" sqref="A160:A164">
      <formula1>TL_META</formula1>
    </dataValidation>
    <dataValidation type="list" allowBlank="1" showInputMessage="1" sqref="R14:S14">
      <formula1>WS_ANDERTHALBHD</formula1>
    </dataValidation>
    <dataValidation type="list" allowBlank="1" showInputMessage="1" sqref="R15:S15">
      <formula1>WS_ARMBRUST</formula1>
    </dataValidation>
    <dataValidation type="list" allowBlank="1" showInputMessage="1" sqref="R16:S16">
      <formula1>WS_BELAG_WFN</formula1>
    </dataValidation>
    <dataValidation type="list" allowBlank="1" showInputMessage="1" sqref="R17">
      <formula1>"Blasrohr"</formula1>
    </dataValidation>
    <dataValidation allowBlank="1" showInputMessage="1" sqref="S17 R26:S27"/>
    <dataValidation type="list" allowBlank="1" showInputMessage="1" sqref="R18:S18">
      <formula1>WS_BOGEN</formula1>
    </dataValidation>
    <dataValidation type="list" allowBlank="1" showInputMessage="1" sqref="R19:S19">
      <formula1>WS_DISKUS</formula1>
    </dataValidation>
    <dataValidation type="list" allowBlank="1" showInputMessage="1" sqref="R20:S20">
      <formula1>WS_DOLCHE</formula1>
    </dataValidation>
    <dataValidation type="list" allowBlank="1" showInputMessage="1" sqref="R21:S21">
      <formula1>WS_FECHTWFN</formula1>
    </dataValidation>
    <dataValidation type="list" allowBlank="1" showInputMessage="1" sqref="R22:S22">
      <formula1>WS_HIEBWFN</formula1>
    </dataValidation>
    <dataValidation type="list" allowBlank="1" showInputMessage="1" sqref="R23:S23">
      <formula1>WS_INF_WFN</formula1>
    </dataValidation>
    <dataValidation type="list" allowBlank="1" showInputMessage="1" sqref="R24:S24">
      <formula1>WS_KETTENSTAEBE</formula1>
    </dataValidation>
    <dataValidation type="list" allowBlank="1" showInputMessage="1" sqref="R25:S25">
      <formula1>WS_KETTENWFN</formula1>
    </dataValidation>
    <dataValidation type="list" allowBlank="1" showInputMessage="1" sqref="R30:S30">
      <formula1>WS_SAEBEL</formula1>
    </dataValidation>
    <dataValidation type="list" allowBlank="1" showInputMessage="1" sqref="R31:S31">
      <formula1>WS_SCHLEUDER</formula1>
    </dataValidation>
    <dataValidation type="list" allowBlank="1" showInputMessage="1" sqref="R32:S32">
      <formula1>WS_SCHWERTER</formula1>
    </dataValidation>
    <dataValidation type="list" allowBlank="1" showInputMessage="1" sqref="R33:S33">
      <formula1>WS_SPEERE</formula1>
    </dataValidation>
    <dataValidation type="list" allowBlank="1" showInputMessage="1" sqref="R34:S34">
      <formula1>WS_STAEBE</formula1>
    </dataValidation>
    <dataValidation type="list" allowBlank="1" showInputMessage="1" sqref="R35:S35">
      <formula1>WS_WURFBEILE</formula1>
    </dataValidation>
    <dataValidation type="list" allowBlank="1" showInputMessage="1" sqref="R37:S37">
      <formula1>WS_WURFSPEERE</formula1>
    </dataValidation>
    <dataValidation type="list" allowBlank="1" showInputMessage="1" sqref="R38:S38">
      <formula1>WS_2H_FLEGEL</formula1>
    </dataValidation>
    <dataValidation type="list" allowBlank="1" showInputMessage="1" sqref="R36:S36">
      <formula1>WS_WURFMESSER</formula1>
    </dataValidation>
    <dataValidation type="list" allowBlank="1" showInputMessage="1" sqref="R39:S39">
      <formula1>WS_2H_HIEBWFN</formula1>
    </dataValidation>
    <dataValidation type="list" allowBlank="1" showInputMessage="1" sqref="R40:S40">
      <formula1>WS_2H_SCHWERTER</formula1>
    </dataValidation>
    <dataValidation type="list" allowBlank="1" showInputMessage="1" sqref="U14:U25 U30:U40 U42:U59 U61:U71 U73:U80 U82:U105 U107:U157">
      <formula1>"S1 verbilligt, S2 verbilligt, Beide verbilligt"</formula1>
    </dataValidation>
    <dataValidation type="list" allowBlank="1" showInputMessage="1" sqref="T14:T25 T30:T40 T42:T59 T61:T71 T73:T80 T82:T105 T107:T157">
      <formula1>"AP,Start-AP,Start-AP-2P,GP,GEN,"</formula1>
    </dataValidation>
  </dataValidations>
  <hyperlinks>
    <hyperlink ref="A5" location="Talente!A41" tooltip="zu den körperlichen Talenten" display="Körperliche Talente"/>
    <hyperlink ref="A6" location="Talente!A60" tooltip="zu den gesellschaftlichen Talenten" display="Gesellschaftliche Talente"/>
    <hyperlink ref="A7" location="Talente!A72" tooltip="zu den Natur-Talenten" display="Natur-Talente"/>
    <hyperlink ref="A8" location="Talente!A81" tooltip="zu den Wissenstalenten" display="Wissenstalente"/>
    <hyperlink ref="A9" location="Talente!A107" tooltip="zu den handwerklichen Talenten" display="Handwerkstalente"/>
    <hyperlink ref="A10" location="Talente!A158" tooltip="zu den Sprachen und Dialekten" display="Eigene &amp; Meta-Talente"/>
    <hyperlink ref="A60" location="Talente!A1" tooltip="zurück zum Anfang" display="Gesellschftl. Talente"/>
    <hyperlink ref="A72" location="Talente!A1" tooltip="zurück zum Anfang" display="Natur-Talente"/>
    <hyperlink ref="A81" location="Talente!A1" tooltip="zurück zum Anfang" display="Wissenstalente"/>
    <hyperlink ref="A106" location="Talente!A1" tooltip="zurück zum Anfang" display="Handwerkstalente"/>
    <hyperlink ref="A223" location="Talente!A1" tooltip="zurück zum Anfang" display="Schriften"/>
    <hyperlink ref="A11" location="Talente!A185" tooltip="Wenn dein Held schreiben kann, hier klicken um zur Steigerung zu gelangen." display="Sprachen &amp; Schriften"/>
    <hyperlink ref="A176" location="Talente!A1" tooltip="zurück zum Anfang" display="Sprachen"/>
    <hyperlink ref="A158" location="Talente!A1" tooltip="zurück zum Anfang" display="Handwerkstalente"/>
    <hyperlink ref="A165" location="Talente!A1" tooltip="zurück zum Anfang" display="Handwerkstalente"/>
  </hyperlinks>
  <pageMargins left="0.78740157499999996" right="0.78740157499999996" top="0.984251969" bottom="0.984251969" header="0.4921259845" footer="0.4921259845"/>
  <pageSetup paperSize="9" scale="76" fitToHeight="5" orientation="portrait" verticalDpi="36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tabColor indexed="51"/>
  </sheetPr>
  <dimension ref="A1:ES261"/>
  <sheetViews>
    <sheetView zoomScale="85" zoomScaleNormal="85" workbookViewId="0">
      <selection activeCell="M4" sqref="M4"/>
    </sheetView>
  </sheetViews>
  <sheetFormatPr baseColWidth="10" defaultColWidth="9.140625" defaultRowHeight="12.75" outlineLevelRow="1" x14ac:dyDescent="0.2"/>
  <cols>
    <col min="1" max="1" width="24" customWidth="1"/>
    <col min="2" max="2" width="15.7109375" customWidth="1"/>
    <col min="3" max="3" width="10" customWidth="1"/>
    <col min="4" max="5" width="5.7109375" customWidth="1"/>
    <col min="6" max="6" width="5.28515625" customWidth="1"/>
    <col min="7" max="7" width="8.42578125" customWidth="1"/>
    <col min="8" max="11" width="4.28515625" customWidth="1"/>
    <col min="12" max="12" width="30.5703125" customWidth="1"/>
    <col min="13" max="13" width="10.28515625" customWidth="1"/>
    <col min="14" max="14" width="21.85546875" customWidth="1"/>
    <col min="15" max="15" width="9.5703125" customWidth="1"/>
    <col min="16" max="16" width="6.5703125" bestFit="1" customWidth="1"/>
    <col min="17" max="17" width="4.28515625" customWidth="1"/>
    <col min="18" max="18" width="7.140625" customWidth="1"/>
    <col min="19" max="19" width="4.28515625" customWidth="1"/>
    <col min="20" max="20" width="8" customWidth="1"/>
    <col min="21" max="34" width="4.28515625" customWidth="1"/>
    <col min="35" max="35" width="4.7109375" customWidth="1"/>
    <col min="36" max="36" width="5" customWidth="1"/>
    <col min="37" max="39" width="4.28515625" customWidth="1"/>
    <col min="40" max="40" width="4" customWidth="1"/>
    <col min="41" max="41" width="4.140625" customWidth="1"/>
    <col min="42" max="42" width="5.140625" customWidth="1"/>
    <col min="43" max="43" width="9.28515625" customWidth="1"/>
    <col min="44" max="66" width="4.28515625" customWidth="1"/>
    <col min="67" max="67" width="9.28515625" customWidth="1"/>
    <col min="68" max="68" width="28.140625" customWidth="1"/>
    <col min="69" max="69" width="34.85546875" customWidth="1"/>
    <col min="70" max="74" width="4.28515625" customWidth="1"/>
    <col min="75" max="75" width="5.28515625" customWidth="1"/>
    <col min="76" max="76" width="4.28515625" customWidth="1"/>
    <col min="77" max="77" width="5" customWidth="1"/>
    <col min="78" max="79" width="4.28515625" customWidth="1"/>
    <col min="80" max="80" width="5.28515625" customWidth="1"/>
    <col min="81" max="81" width="7.140625" bestFit="1" customWidth="1"/>
    <col min="82" max="82" width="6.140625" customWidth="1"/>
    <col min="83" max="83" width="61.5703125" customWidth="1"/>
    <col min="84" max="99" width="4.28515625" customWidth="1"/>
    <col min="100" max="100" width="7.7109375" customWidth="1"/>
    <col min="101" max="151" width="4.28515625" customWidth="1"/>
  </cols>
  <sheetData>
    <row r="1" spans="1:149" ht="45.75" customHeight="1" x14ac:dyDescent="0.5">
      <c r="A1" s="7" t="s">
        <v>4852</v>
      </c>
      <c r="C1" s="19"/>
      <c r="D1" s="78"/>
      <c r="E1" s="78"/>
      <c r="F1" s="78"/>
      <c r="G1" s="47"/>
      <c r="H1" s="4"/>
      <c r="I1" s="4"/>
      <c r="J1" s="4"/>
      <c r="R1" s="103"/>
      <c r="S1" s="103"/>
      <c r="T1" s="103"/>
      <c r="U1" s="103"/>
      <c r="V1" s="103"/>
      <c r="W1" s="103"/>
      <c r="X1" s="103"/>
      <c r="AC1" s="171"/>
      <c r="AD1" s="171"/>
      <c r="AE1" s="171"/>
      <c r="AF1" s="122"/>
      <c r="AG1" s="122"/>
      <c r="AJ1" s="98"/>
      <c r="AK1" s="97"/>
      <c r="AL1" s="97"/>
      <c r="AM1" s="97"/>
      <c r="AO1" s="100"/>
      <c r="AP1" s="100"/>
      <c r="AQ1" s="100"/>
      <c r="AR1" s="100"/>
      <c r="AS1" s="100"/>
      <c r="AT1" s="100"/>
      <c r="AU1" s="100"/>
      <c r="AV1" s="100"/>
      <c r="AW1" s="100"/>
      <c r="AX1" s="100"/>
      <c r="AY1" s="100"/>
      <c r="AZ1" s="100"/>
      <c r="BA1" s="100"/>
      <c r="BG1" s="154"/>
      <c r="BH1" s="154"/>
      <c r="BI1" s="154"/>
      <c r="BJ1" s="154"/>
      <c r="BK1" s="154"/>
      <c r="BL1" s="154"/>
      <c r="BM1" s="154"/>
      <c r="BN1" s="154"/>
      <c r="BO1" s="154"/>
      <c r="BP1" s="154"/>
      <c r="BQ1" s="154"/>
      <c r="BR1" s="154"/>
      <c r="BS1" s="154"/>
      <c r="BT1" s="154"/>
      <c r="BU1" s="154"/>
      <c r="BV1" s="154"/>
      <c r="BW1" s="154"/>
      <c r="BX1" s="154"/>
      <c r="BY1" s="154"/>
      <c r="BZ1" s="154"/>
      <c r="CA1" s="154"/>
      <c r="CB1" s="154"/>
      <c r="CC1" s="154"/>
      <c r="CD1" s="154"/>
      <c r="CE1" s="154"/>
      <c r="CF1" s="154"/>
      <c r="CG1" s="154"/>
      <c r="CH1" s="154"/>
    </row>
    <row r="2" spans="1:149" ht="16.5" customHeight="1" thickBot="1" x14ac:dyDescent="0.25">
      <c r="A2" s="31"/>
      <c r="B2" s="218"/>
      <c r="C2" s="82"/>
      <c r="D2" s="217"/>
      <c r="E2" s="80"/>
      <c r="F2" s="80"/>
      <c r="G2" s="76"/>
      <c r="H2" s="101"/>
      <c r="I2" s="101"/>
      <c r="J2" s="4"/>
      <c r="T2" s="1896" t="s">
        <v>4730</v>
      </c>
      <c r="U2" s="1896"/>
      <c r="V2" s="1896"/>
      <c r="W2" s="122"/>
      <c r="X2" s="122"/>
      <c r="AC2" s="1333" t="s">
        <v>543</v>
      </c>
      <c r="AD2" s="1333"/>
      <c r="AE2" s="1333"/>
      <c r="AI2" s="78"/>
      <c r="AJ2" s="78"/>
      <c r="AK2" s="78"/>
      <c r="AL2" s="78"/>
      <c r="AM2" s="78"/>
      <c r="AN2" s="78"/>
      <c r="AO2" s="78"/>
      <c r="AP2" s="78"/>
      <c r="AQ2" s="78"/>
      <c r="AR2" s="78"/>
      <c r="AS2" s="78"/>
      <c r="AT2" s="78"/>
      <c r="AU2" s="78"/>
      <c r="AV2" s="78" t="s">
        <v>7143</v>
      </c>
      <c r="AX2" s="78" t="s">
        <v>7144</v>
      </c>
      <c r="AY2" s="78"/>
      <c r="AZ2" s="78"/>
      <c r="BA2" s="78"/>
      <c r="BB2" s="78"/>
      <c r="BC2" s="78"/>
      <c r="BD2" s="78"/>
      <c r="BE2" s="78"/>
      <c r="BF2" s="78"/>
      <c r="BG2" s="78"/>
      <c r="BH2" s="78"/>
      <c r="BI2" s="78"/>
      <c r="BJ2" s="78"/>
      <c r="BK2" s="78"/>
      <c r="BL2" s="78"/>
      <c r="BM2" s="78"/>
      <c r="BN2" s="78"/>
      <c r="BP2" s="354" t="str">
        <f ca="1">IF(MAGISCH,IF(EXACT(HLOOKUP(PROFGENE,INDIRECT(PROFGEBIET),IDX_MRK,FALSE),""),"",HLOOKUP(PROFGENE,INDIRECT(PROFGEBIET),IDX_MRK,FALSE)),"")</f>
        <v/>
      </c>
      <c r="BQ2" s="483" t="s">
        <v>1299</v>
      </c>
      <c r="BR2" s="1989" t="s">
        <v>2579</v>
      </c>
      <c r="BS2" s="1989" t="s">
        <v>2580</v>
      </c>
      <c r="BT2" s="1989" t="s">
        <v>2755</v>
      </c>
      <c r="BU2" s="1989" t="s">
        <v>3596</v>
      </c>
      <c r="BV2" s="1989" t="s">
        <v>6494</v>
      </c>
      <c r="BW2" s="1992" t="s">
        <v>8544</v>
      </c>
      <c r="BX2" s="1989" t="s">
        <v>1391</v>
      </c>
      <c r="BY2" s="1989" t="s">
        <v>525</v>
      </c>
      <c r="BZ2" s="1989"/>
      <c r="CA2" s="1989" t="s">
        <v>4893</v>
      </c>
      <c r="CB2" s="1989" t="s">
        <v>6484</v>
      </c>
      <c r="CC2" s="1989" t="s">
        <v>3391</v>
      </c>
      <c r="CD2" s="1989" t="s">
        <v>3392</v>
      </c>
      <c r="CE2" s="154"/>
      <c r="CF2" s="154"/>
      <c r="CG2" s="1989" t="s">
        <v>7046</v>
      </c>
      <c r="CH2" s="1989" t="s">
        <v>2676</v>
      </c>
      <c r="CI2" s="1989" t="s">
        <v>2675</v>
      </c>
      <c r="CJ2" s="1989" t="s">
        <v>2677</v>
      </c>
      <c r="CK2" s="1989" t="s">
        <v>1233</v>
      </c>
      <c r="CL2" s="1989" t="s">
        <v>6482</v>
      </c>
      <c r="CM2" s="1989" t="s">
        <v>1181</v>
      </c>
      <c r="CN2" s="154"/>
      <c r="CO2" s="349" t="s">
        <v>4792</v>
      </c>
      <c r="CP2" s="350"/>
      <c r="CQ2" s="350"/>
      <c r="CR2" s="350"/>
      <c r="CS2" s="350"/>
      <c r="CT2" s="350"/>
      <c r="CU2" s="350"/>
      <c r="CV2" s="351">
        <f ca="1">IF(ISERROR(VLOOKUP("Arcanovi Artefakt",A11:M172,13,FALSE)),0,VLOOKUP("Arcanovi Artefakt",A11:M172,13,FALSE))</f>
        <v>0</v>
      </c>
    </row>
    <row r="3" spans="1:149" ht="16.5" customHeight="1" x14ac:dyDescent="0.25">
      <c r="A3" s="120" t="s">
        <v>3596</v>
      </c>
      <c r="B3" s="1761" t="s">
        <v>2404</v>
      </c>
      <c r="C3" s="1978" t="s">
        <v>2755</v>
      </c>
      <c r="D3" s="1978" t="s">
        <v>3390</v>
      </c>
      <c r="E3" s="1978"/>
      <c r="F3" s="1939" t="s">
        <v>3788</v>
      </c>
      <c r="G3" s="77"/>
      <c r="H3" s="1777" t="s">
        <v>4903</v>
      </c>
      <c r="I3" s="139"/>
      <c r="J3" s="1763" t="s">
        <v>293</v>
      </c>
      <c r="K3" s="75"/>
      <c r="L3" s="1444" t="s">
        <v>2405</v>
      </c>
      <c r="M3" s="1439">
        <f>APGES</f>
        <v>0</v>
      </c>
      <c r="N3" s="1443" t="s">
        <v>7563</v>
      </c>
      <c r="O3" s="1439">
        <f ca="1">TL_GP_EIGEN</f>
        <v>0</v>
      </c>
      <c r="Q3" s="1916" t="s">
        <v>3268</v>
      </c>
      <c r="R3" s="1916"/>
      <c r="S3" s="1917"/>
      <c r="T3" s="1900" t="str">
        <f ca="1">IF(EXACT(VT_BGBMERKMAL,""),"",INDIRECT(LEFT(VT_BGBMERKMAL,17)))</f>
        <v/>
      </c>
      <c r="U3" s="1901"/>
      <c r="V3" s="1901"/>
      <c r="W3" s="1901"/>
      <c r="X3" s="1902"/>
      <c r="AC3" s="1900" t="b">
        <f ca="1">IF(OR(EXACT(Generierung!$P$7,"Magie"),VT_VRTLZBR,VT_HALBZBR,VT_VOLLZBR),TRUE,FALSE)</f>
        <v>0</v>
      </c>
      <c r="AD3" s="1901"/>
      <c r="AE3" s="1901"/>
      <c r="AF3" s="1901"/>
      <c r="AG3" s="1902"/>
      <c r="AJ3" s="98"/>
      <c r="AK3" s="97"/>
      <c r="AL3" s="97"/>
      <c r="AM3" s="97"/>
      <c r="AO3" s="100"/>
      <c r="AP3" s="1437" t="s">
        <v>6532</v>
      </c>
      <c r="AQ3" s="746"/>
      <c r="AR3" s="746"/>
      <c r="AS3" s="747">
        <f ca="1">SUM(R11:AL35,R37:AL59,Q61:AL160,Q162:AL172,Q174:AL175,O182:O201,P203:AK206,P210:P235,P237:P238,S226:AK226,P241:P247)</f>
        <v>0</v>
      </c>
      <c r="AT3" s="100"/>
      <c r="AU3" s="100"/>
      <c r="AV3" s="1109">
        <f ca="1">IF(NOT(ISERROR(VLOOKUP("Unitatio Geistesbund",ZAUBERHELD,1,FALSE))),VLOOKUP("Unitatio Geistesbund",ZAUBERHELD,13,FALSE),0)</f>
        <v>0</v>
      </c>
      <c r="AW3" s="100"/>
      <c r="AX3" s="1109">
        <f ca="1">IF(NOT(ISERROR(VLOOKUP("Invocatio minor",ZAUBERHELD,1,FALSE))),VLOOKUP("Invocatio minor",ZAUBERHELD,13,FALSE),0)</f>
        <v>0</v>
      </c>
      <c r="AY3" s="1109">
        <f ca="1">IF(NOT(ISERROR(VLOOKUP("Invocatio maior",ZAUBERHELD,1,FALSE))),VLOOKUP("Invocatio maior",ZAUBERHELD,13,FALSE),0)</f>
        <v>0</v>
      </c>
      <c r="AZ3" s="1109">
        <f ca="1">IF(NOT(ISERROR(VLOOKUP("Zauberwesen der Natur",ZAUBERHELD,1,FALSE))),VLOOKUP("Zauberwesen der Natur",ZAUBERHELD,13,FALSE),0)</f>
        <v>0</v>
      </c>
      <c r="BA3" s="1109">
        <f ca="1">IF(NOT(ISERROR(VLOOKUP("Geisterruf",ZAUBERHELD,1,FALSE))),VLOOKUP("Geisterruf",ZAUBERHELD,13,FALSE),0)</f>
        <v>0</v>
      </c>
      <c r="BB3" s="1109">
        <f ca="1">IF(NOT(ISERROR(VLOOKUP("Dschinnenruf",ZAUBERHELD,1,FALSE))),VLOOKUP("Dschinnenruf",ZAUBERHELD,13,FALSE),0)</f>
        <v>0</v>
      </c>
      <c r="BC3" s="1109">
        <f ca="1">IF(NOT(ISERROR(VLOOKUP("Meister der Elemente",ZAUBERHELD,1,FALSE))),VLOOKUP("Meister der Elemente",ZAUBERHELD,13,FALSE),0)</f>
        <v>0</v>
      </c>
      <c r="BD3" s="1109">
        <f ca="1">IF(NOT(ISERROR(VLOOKUP("Elementarer Diener",ZAUBERHELD,1,FALSE))),VLOOKUP("Elementarer Diener",ZAUBERHELD,13,FALSE),0)</f>
        <v>0</v>
      </c>
      <c r="BO3" s="482"/>
      <c r="BP3" s="354" t="str">
        <f ca="1">IF(MAGISCH,IF(EXACT(HLOOKUP(PROFGENE,INDIRECT(PROFGEBIET),IDX_MRK+1,FALSE),""),"",HLOOKUP(PROFGENE,INDIRECT(PROFGEBIET),IDX_MRK+1,FALSE)),"")</f>
        <v/>
      </c>
      <c r="BQ3" s="483" t="s">
        <v>1300</v>
      </c>
      <c r="BR3" s="1989"/>
      <c r="BS3" s="1989"/>
      <c r="BT3" s="1989"/>
      <c r="BU3" s="1989"/>
      <c r="BV3" s="1989"/>
      <c r="BW3" s="1989"/>
      <c r="BX3" s="1989"/>
      <c r="BY3" s="1989"/>
      <c r="BZ3" s="1989"/>
      <c r="CA3" s="1989"/>
      <c r="CB3" s="1989"/>
      <c r="CC3" s="1989"/>
      <c r="CD3" s="1989"/>
      <c r="CE3" s="154"/>
      <c r="CF3" s="154"/>
      <c r="CG3" s="1989"/>
      <c r="CH3" s="1989"/>
      <c r="CI3" s="1989"/>
      <c r="CJ3" s="1989"/>
      <c r="CK3" s="1989"/>
      <c r="CL3" s="1989"/>
      <c r="CM3" s="1989"/>
      <c r="CN3" s="154"/>
      <c r="CO3" s="1553" t="s">
        <v>8868</v>
      </c>
      <c r="CP3" s="350"/>
      <c r="CQ3" s="350"/>
      <c r="CR3" s="350"/>
      <c r="CS3" s="350"/>
      <c r="CT3" s="350"/>
      <c r="CU3" s="350"/>
      <c r="CV3" s="351" t="b">
        <v>1</v>
      </c>
    </row>
    <row r="4" spans="1:149" ht="16.5" customHeight="1" x14ac:dyDescent="0.25">
      <c r="A4" s="120" t="s">
        <v>3597</v>
      </c>
      <c r="B4" s="1761"/>
      <c r="C4" s="1978"/>
      <c r="D4" s="1978"/>
      <c r="E4" s="1978"/>
      <c r="F4" s="1939"/>
      <c r="G4" s="77"/>
      <c r="H4" s="1777"/>
      <c r="I4" s="139"/>
      <c r="J4" s="1763"/>
      <c r="K4" s="75"/>
      <c r="L4" s="1445" t="s">
        <v>771</v>
      </c>
      <c r="M4" s="1440">
        <f ca="1">APGUT</f>
        <v>0</v>
      </c>
      <c r="N4" s="218" t="s">
        <v>7559</v>
      </c>
      <c r="O4" s="1440">
        <f ca="1">TL_GP_SF</f>
        <v>0</v>
      </c>
      <c r="Q4" s="1916" t="s">
        <v>3268</v>
      </c>
      <c r="R4" s="1916"/>
      <c r="S4" s="1917"/>
      <c r="T4" s="1900" t="str">
        <f ca="1">IF(LEN(VT_BGBMERKMAL)&gt;18,INDIRECT(MID(VT_BGBMERKMAL,18,17)),"")</f>
        <v/>
      </c>
      <c r="U4" s="1901"/>
      <c r="V4" s="1901"/>
      <c r="W4" s="1901"/>
      <c r="X4" s="1902"/>
      <c r="AJ4" s="98"/>
      <c r="AK4" s="97"/>
      <c r="AL4" s="97"/>
      <c r="AM4" s="97"/>
      <c r="AO4" s="100"/>
      <c r="AP4" s="100"/>
      <c r="AQ4" s="100"/>
      <c r="AR4" s="100"/>
      <c r="AS4" s="100"/>
      <c r="AT4" s="100"/>
      <c r="AU4" s="100"/>
      <c r="AV4" s="100"/>
      <c r="AW4" s="100"/>
      <c r="AX4" s="481"/>
      <c r="AY4" s="481"/>
      <c r="AZ4" s="481"/>
      <c r="BA4" s="481"/>
      <c r="BO4" s="482"/>
      <c r="BP4" s="354" t="str">
        <f ca="1">IF(MAGISCH,IF(EXACT(HLOOKUP(PROFGENE,INDIRECT(PROFGEBIET),IDX_REP,FALSE),""),"",HLOOKUP(PROFGENE,INDIRECT(PROFGEBIET),IDX_REP,FALSE)),"")</f>
        <v/>
      </c>
      <c r="BQ4" s="483" t="s">
        <v>5023</v>
      </c>
      <c r="BR4" s="1989"/>
      <c r="BS4" s="1989"/>
      <c r="BT4" s="1989"/>
      <c r="BU4" s="1989"/>
      <c r="BV4" s="1989"/>
      <c r="BW4" s="1989"/>
      <c r="BX4" s="1989"/>
      <c r="BY4" s="1989"/>
      <c r="BZ4" s="1989"/>
      <c r="CA4" s="1989"/>
      <c r="CB4" s="1989"/>
      <c r="CC4" s="1989"/>
      <c r="CD4" s="1989"/>
      <c r="CE4" s="154"/>
      <c r="CF4" s="154"/>
      <c r="CG4" s="1989"/>
      <c r="CH4" s="1989"/>
      <c r="CI4" s="1989"/>
      <c r="CJ4" s="1989"/>
      <c r="CK4" s="1989"/>
      <c r="CL4" s="1989"/>
      <c r="CM4" s="1989"/>
      <c r="CN4" s="154"/>
      <c r="CO4" s="1777" t="str">
        <f ca="1">"ZfW vom " &amp;D241</f>
        <v>ZfW vom 1. Merkmal</v>
      </c>
      <c r="CP4" s="1777" t="str">
        <f ca="1">"ZfW vom " &amp;D242</f>
        <v>ZfW vom 2. Merkmal</v>
      </c>
      <c r="CQ4" s="1777" t="str">
        <f ca="1">"ZfW vom " &amp;D243</f>
        <v>ZfW vom 3. Merkmal</v>
      </c>
      <c r="CR4" s="1777" t="str">
        <f ca="1">"ZfW vom " &amp;D244</f>
        <v>ZfW vom 4. Merkmal</v>
      </c>
      <c r="CS4" s="1777" t="str">
        <f ca="1">"ZfW vom " &amp;D245</f>
        <v>ZfW vom 5. Merkmal</v>
      </c>
      <c r="CT4" s="1777" t="str">
        <f ca="1">"ZfW vom " &amp;D246</f>
        <v>ZfW vom 6. Merkmal</v>
      </c>
      <c r="CU4" s="1777" t="str">
        <f ca="1">"ZfW vom " &amp;D247</f>
        <v>ZfW vom 7. Merkmal</v>
      </c>
    </row>
    <row r="5" spans="1:149" ht="16.5" customHeight="1" thickBot="1" x14ac:dyDescent="0.3">
      <c r="A5" s="121" t="s">
        <v>1164</v>
      </c>
      <c r="B5" s="1761"/>
      <c r="C5" s="1978"/>
      <c r="D5" s="1978"/>
      <c r="E5" s="1978"/>
      <c r="F5" s="1939"/>
      <c r="G5" s="77"/>
      <c r="H5" s="1777"/>
      <c r="I5" s="139"/>
      <c r="J5" s="1763"/>
      <c r="K5" s="75"/>
      <c r="L5" s="1445" t="s">
        <v>1137</v>
      </c>
      <c r="M5" s="1440">
        <f ca="1">IF(OR(MAGISCH,EXACT(PROFGEBGENE,"Goetter")),SUM(P11:P175,AO11:BN35,AO37:BN59,AN61:BN160,AN162:BN172,AN174:BN175,P182:P201,AM203:BH205,AM210:AM235,AP226:BH226,R237:R238,R241:R247,R250),0)</f>
        <v>0</v>
      </c>
      <c r="N5" s="218" t="s">
        <v>7560</v>
      </c>
      <c r="O5" s="1440">
        <f ca="1">TL_GP_TALENTE</f>
        <v>0</v>
      </c>
      <c r="Q5" s="1916" t="s">
        <v>3268</v>
      </c>
      <c r="R5" s="1916"/>
      <c r="S5" s="1917"/>
      <c r="T5" s="1966" t="str">
        <f ca="1">IF(LEN(VT_BGBMERKMAL)&gt;35,INDIRECT(RIGHT(VT_BGBMERKMAL,17)),"")</f>
        <v/>
      </c>
      <c r="U5" s="1967"/>
      <c r="V5" s="1967"/>
      <c r="W5" s="1967"/>
      <c r="X5" s="1968"/>
      <c r="AC5" s="1333" t="s">
        <v>8822</v>
      </c>
      <c r="AD5" s="1333"/>
      <c r="AE5" s="1333"/>
      <c r="AF5" s="1541"/>
      <c r="AG5" s="1541"/>
      <c r="AJ5" s="98"/>
      <c r="AK5" s="97"/>
      <c r="AL5" s="97"/>
      <c r="AM5" s="97"/>
      <c r="AO5" s="100"/>
      <c r="AP5" s="100"/>
      <c r="AQ5" s="100"/>
      <c r="AR5" s="100"/>
      <c r="AS5" s="100"/>
      <c r="AT5" s="100"/>
      <c r="AU5" s="100"/>
      <c r="AV5" s="100"/>
      <c r="AW5" s="100"/>
      <c r="AX5" s="481"/>
      <c r="AY5" s="481"/>
      <c r="AZ5" s="481"/>
      <c r="BA5" s="481"/>
      <c r="BO5" s="482"/>
      <c r="BP5" s="354" t="str">
        <f ca="1">IF(MAGISCH,IF(EXACT(HLOOKUP(PROFGENE,INDIRECT(PROFGEBIET),IDX_REP+1,FALSE),""),"",HLOOKUP(PROFGENE,INDIRECT(PROFGEBIET),IDX_REP+1,FALSE)),"")</f>
        <v/>
      </c>
      <c r="BQ5" s="483" t="s">
        <v>5024</v>
      </c>
      <c r="BR5" s="1989"/>
      <c r="BS5" s="1989"/>
      <c r="BT5" s="1989"/>
      <c r="BU5" s="1989"/>
      <c r="BV5" s="1989"/>
      <c r="BW5" s="1989"/>
      <c r="BX5" s="1989"/>
      <c r="BY5" s="1989"/>
      <c r="BZ5" s="1989"/>
      <c r="CA5" s="1989"/>
      <c r="CB5" s="1989"/>
      <c r="CC5" s="1989"/>
      <c r="CD5" s="1989"/>
      <c r="CE5" s="154"/>
      <c r="CF5" s="154"/>
      <c r="CG5" s="1989"/>
      <c r="CH5" s="1989"/>
      <c r="CI5" s="1989"/>
      <c r="CJ5" s="1989"/>
      <c r="CK5" s="1989"/>
      <c r="CL5" s="1989"/>
      <c r="CM5" s="1989"/>
      <c r="CN5" s="154"/>
      <c r="CO5" s="1777"/>
      <c r="CP5" s="1777"/>
      <c r="CQ5" s="1777"/>
      <c r="CR5" s="1777"/>
      <c r="CS5" s="1777"/>
      <c r="CT5" s="1777"/>
      <c r="CU5" s="1777"/>
    </row>
    <row r="6" spans="1:149" ht="16.5" customHeight="1" thickBot="1" x14ac:dyDescent="0.3">
      <c r="A6" s="121" t="s">
        <v>3033</v>
      </c>
      <c r="B6" s="1761"/>
      <c r="C6" s="1978"/>
      <c r="D6" s="1978"/>
      <c r="E6" s="1978"/>
      <c r="F6" s="1939"/>
      <c r="G6" s="77"/>
      <c r="H6" s="1777"/>
      <c r="I6" s="139"/>
      <c r="J6" s="1763"/>
      <c r="K6" s="75"/>
      <c r="L6" s="1445" t="s">
        <v>3789</v>
      </c>
      <c r="M6" s="1441">
        <f ca="1">TL_GP_UEBRIG</f>
        <v>320</v>
      </c>
      <c r="N6" s="218" t="s">
        <v>7561</v>
      </c>
      <c r="O6" s="1440">
        <f ca="1">TL_GP_ZAUBER</f>
        <v>0</v>
      </c>
      <c r="Q6" s="1916" t="s">
        <v>3267</v>
      </c>
      <c r="R6" s="1916"/>
      <c r="S6" s="1917"/>
      <c r="T6" s="1969" t="str">
        <f ca="1">IF(VT_BGBZAUBER="","",INDIRECT(LEFT(VT_BGBZAUBER,17)))</f>
        <v/>
      </c>
      <c r="U6" s="1970"/>
      <c r="V6" s="1970"/>
      <c r="W6" s="1970"/>
      <c r="X6" s="1971"/>
      <c r="Z6" s="1916" t="s">
        <v>3268</v>
      </c>
      <c r="AA6" s="1916"/>
      <c r="AB6" s="1917"/>
      <c r="AC6" s="1900" t="str">
        <f ca="1">IF(EXACT(NT_UNFMERKMAL,""),"",INDIRECT(LEFT(NT_UNFMERKMAL,17)))</f>
        <v/>
      </c>
      <c r="AD6" s="1901"/>
      <c r="AE6" s="1901"/>
      <c r="AF6" s="1901"/>
      <c r="AG6" s="1902"/>
      <c r="AJ6" s="98"/>
      <c r="AK6" s="97"/>
      <c r="AL6" s="97"/>
      <c r="AM6" s="97"/>
      <c r="AO6" s="100"/>
      <c r="AP6" s="78" t="s">
        <v>6748</v>
      </c>
      <c r="AQ6" s="100"/>
      <c r="AR6" s="100"/>
      <c r="AS6" s="100"/>
      <c r="AT6" s="100"/>
      <c r="AU6" s="100"/>
      <c r="AV6" s="78" t="s">
        <v>7557</v>
      </c>
      <c r="AW6" s="100"/>
      <c r="AX6" s="481"/>
      <c r="AY6" s="481"/>
      <c r="AZ6" s="481"/>
      <c r="BA6" s="481"/>
      <c r="BO6" s="482"/>
      <c r="BP6" s="1539" t="str">
        <f ca="1">IF(ISERR(FIND(Tabellen_Andere!Z151,NACHTEILE_RKPROF)),"",
LEFT(RIGHT(NACHTEILE_RKPROF,LEN(NACHTEILE_RKPROF)-LEN(Tabellen_Andere!Z151)-FIND(Tabellen_Andere!Z151,NACHTEILE_RKPROF)),FIND(" ",RIGHT(NACHTEILE_RKPROF,LEN(NACHTEILE_RKPROF)-LEN(Tabellen_Andere!Z151)-FIND(Tabellen_Andere!Z151,NACHTEILE_RKPROF)))-1))</f>
        <v/>
      </c>
      <c r="BQ6" s="1540" t="s">
        <v>8819</v>
      </c>
      <c r="BR6" s="1989"/>
      <c r="BS6" s="1989"/>
      <c r="BT6" s="1989"/>
      <c r="BU6" s="1989"/>
      <c r="BV6" s="1989"/>
      <c r="BW6" s="1989"/>
      <c r="BX6" s="1989"/>
      <c r="BY6" s="1989"/>
      <c r="BZ6" s="1989"/>
      <c r="CA6" s="1989"/>
      <c r="CB6" s="1989"/>
      <c r="CC6" s="1989"/>
      <c r="CD6" s="1989"/>
      <c r="CE6" s="154"/>
      <c r="CF6" s="154"/>
      <c r="CG6" s="1989"/>
      <c r="CH6" s="1989"/>
      <c r="CI6" s="1989"/>
      <c r="CJ6" s="1989"/>
      <c r="CK6" s="1989"/>
      <c r="CL6" s="1989"/>
      <c r="CM6" s="1989"/>
      <c r="CN6" s="154"/>
      <c r="CO6" s="1777"/>
      <c r="CP6" s="1777"/>
      <c r="CQ6" s="1777"/>
      <c r="CR6" s="1777"/>
      <c r="CS6" s="1777"/>
      <c r="CT6" s="1777"/>
      <c r="CU6" s="1777"/>
    </row>
    <row r="7" spans="1:149" ht="16.5" customHeight="1" thickTop="1" thickBot="1" x14ac:dyDescent="0.3">
      <c r="A7" s="121" t="s">
        <v>4299</v>
      </c>
      <c r="B7" s="1761"/>
      <c r="C7" s="1978"/>
      <c r="D7" s="1978"/>
      <c r="E7" s="1978"/>
      <c r="F7" s="1939"/>
      <c r="G7" s="77"/>
      <c r="H7" s="1777"/>
      <c r="I7" s="139"/>
      <c r="J7" s="1763"/>
      <c r="K7" s="75"/>
      <c r="L7" s="1446" t="s">
        <v>4643</v>
      </c>
      <c r="M7" s="1442">
        <f ca="1">SUM(APGUT,IF(TL_GP_UEBRIG&lt;0,0,TL_GP_UEBRIG))</f>
        <v>320</v>
      </c>
      <c r="N7" s="1447" t="s">
        <v>7562</v>
      </c>
      <c r="O7" s="1448">
        <f ca="1">TL_GP_GOETTER</f>
        <v>0</v>
      </c>
      <c r="Q7" s="1916" t="s">
        <v>3267</v>
      </c>
      <c r="R7" s="1916"/>
      <c r="S7" s="1917"/>
      <c r="T7" s="1900" t="str">
        <f ca="1">IF(LEN(VT_BGBZAUBER)&gt;18,INDIRECT(MID(VT_BGBZAUBER,18,17)),"")</f>
        <v/>
      </c>
      <c r="U7" s="1901"/>
      <c r="V7" s="1901"/>
      <c r="W7" s="1901"/>
      <c r="X7" s="1902"/>
      <c r="Z7" s="1916" t="s">
        <v>3268</v>
      </c>
      <c r="AA7" s="1916"/>
      <c r="AB7" s="1917"/>
      <c r="AC7" s="1900" t="str">
        <f ca="1">IF(LEN(NT_UNFMERKMAL)&gt;18,INDIRECT(MID(NT_UNFMERKMAL,18,17)),"")</f>
        <v/>
      </c>
      <c r="AD7" s="1901"/>
      <c r="AE7" s="1901"/>
      <c r="AF7" s="1901"/>
      <c r="AG7" s="1902"/>
      <c r="AJ7" s="98"/>
      <c r="AK7" s="97"/>
      <c r="AL7" s="97"/>
      <c r="AM7" s="97"/>
      <c r="AO7" s="100"/>
      <c r="AP7" s="1109" t="str">
        <f ca="1">HLOOKUP(RASSEGENE,RASSE,IDX_FREMDREP,FALSE)&amp;
HLOOKUP(KULTURGENE,KULTUR,IDX_FREMDREP,FALSE)&amp;
HLOOKUP(PROFGENE,INDIRECT(PROFGEBIET),IDX_FREMDREP,FALSE)&amp;
IF(LEN(PROFZWEITE)&lt;1,"",HLOOKUP(PROFZWEITE,INDIRECT(PROFGEBIET2),IDX_FREMDREP,FALSE))</f>
        <v/>
      </c>
      <c r="AQ7" s="100"/>
      <c r="AR7" s="100"/>
      <c r="AS7" s="100"/>
      <c r="AT7" s="100"/>
      <c r="AU7" s="100"/>
      <c r="AV7" s="1109">
        <v>0</v>
      </c>
      <c r="AW7" s="100"/>
      <c r="AX7" s="481"/>
      <c r="AY7" s="481"/>
      <c r="AZ7" s="481"/>
      <c r="BA7" s="481"/>
      <c r="BO7" s="482"/>
      <c r="BP7" s="355"/>
      <c r="BQ7" s="355"/>
      <c r="BR7" s="1989"/>
      <c r="BS7" s="1989"/>
      <c r="BT7" s="1989"/>
      <c r="BU7" s="1989"/>
      <c r="BV7" s="1989"/>
      <c r="BW7" s="1989"/>
      <c r="BX7" s="1989"/>
      <c r="BY7" s="1989"/>
      <c r="BZ7" s="1989"/>
      <c r="CA7" s="1989"/>
      <c r="CB7" s="1989"/>
      <c r="CC7" s="1989"/>
      <c r="CD7" s="1989"/>
      <c r="CE7" s="154"/>
      <c r="CF7" s="154"/>
      <c r="CG7" s="1989"/>
      <c r="CH7" s="1989"/>
      <c r="CI7" s="1989"/>
      <c r="CJ7" s="1989"/>
      <c r="CK7" s="1989"/>
      <c r="CL7" s="1989"/>
      <c r="CM7" s="1989"/>
      <c r="CN7" s="154"/>
      <c r="CO7" s="1777"/>
      <c r="CP7" s="1777"/>
      <c r="CQ7" s="1777"/>
      <c r="CR7" s="1777"/>
      <c r="CS7" s="1777"/>
      <c r="CT7" s="1777"/>
      <c r="CU7" s="1777"/>
    </row>
    <row r="8" spans="1:149" ht="16.5" customHeight="1" x14ac:dyDescent="0.2">
      <c r="A8" s="121" t="s">
        <v>390</v>
      </c>
      <c r="B8" s="1761"/>
      <c r="C8" s="1978"/>
      <c r="D8" s="1978"/>
      <c r="E8" s="1978"/>
      <c r="F8" s="1939"/>
      <c r="G8" s="77"/>
      <c r="H8" s="1777"/>
      <c r="I8" s="139"/>
      <c r="J8" s="1763"/>
      <c r="K8" s="75"/>
      <c r="L8" s="1990" t="str">
        <f ca="1">IF($M$7&lt;0,"Sie haben zuviel ausgegeben! ▲","")</f>
        <v/>
      </c>
      <c r="M8" s="1990"/>
      <c r="N8" s="1991" t="str">
        <f ca="1">IF(SUM(R11:AL35,R37:AL59,Q61:AL160,Q162:AL172,Q174:AL175)&gt;ROUND(TL_GP/2,0),"Zuviele Start-AP für Zauber eingesetzt! ▲","")</f>
        <v/>
      </c>
      <c r="O8" s="1991"/>
      <c r="P8" s="294"/>
      <c r="Q8" s="1916" t="s">
        <v>3267</v>
      </c>
      <c r="R8" s="1916"/>
      <c r="S8" s="1917"/>
      <c r="T8" s="1900" t="str">
        <f ca="1">IF(LEN(VT_BGBZAUBER)&gt;35,INDIRECT(RIGHT(VT_BGBZAUBER,17)),"")</f>
        <v/>
      </c>
      <c r="U8" s="1901"/>
      <c r="V8" s="1901"/>
      <c r="W8" s="1901"/>
      <c r="X8" s="1902"/>
      <c r="Z8" s="1916" t="s">
        <v>3268</v>
      </c>
      <c r="AA8" s="1916"/>
      <c r="AB8" s="1917"/>
      <c r="AC8" s="1900" t="str">
        <f ca="1">IF(LEN(NT_UNFMERKMAL)&gt;35,INDIRECT(RIGHT(NT_UNFMERKMAL,17)),"")</f>
        <v/>
      </c>
      <c r="AD8" s="1901"/>
      <c r="AE8" s="1901"/>
      <c r="AF8" s="1901"/>
      <c r="AG8" s="1902"/>
      <c r="AJ8" s="98"/>
      <c r="AK8" s="97"/>
      <c r="AL8" s="97"/>
      <c r="AM8" s="97"/>
      <c r="AO8" s="100"/>
      <c r="AP8" s="100"/>
      <c r="AQ8" s="100"/>
      <c r="AR8" s="100"/>
      <c r="AS8" s="100"/>
      <c r="AT8" s="100"/>
      <c r="AU8" s="100"/>
      <c r="AV8" s="100"/>
      <c r="AW8" s="100"/>
      <c r="AX8" s="481"/>
      <c r="AY8" s="481"/>
      <c r="AZ8" s="481"/>
      <c r="BA8" s="481"/>
      <c r="BO8" s="482"/>
      <c r="BP8" s="355"/>
      <c r="BQ8" s="355"/>
      <c r="BR8" s="1989"/>
      <c r="BS8" s="1989"/>
      <c r="BT8" s="1989"/>
      <c r="BU8" s="1989"/>
      <c r="BV8" s="1989"/>
      <c r="BW8" s="1989"/>
      <c r="BX8" s="1989"/>
      <c r="BY8" s="1989"/>
      <c r="BZ8" s="1989"/>
      <c r="CA8" s="1989"/>
      <c r="CB8" s="1989"/>
      <c r="CC8" s="1989"/>
      <c r="CD8" s="1989"/>
      <c r="CE8" s="154"/>
      <c r="CF8" s="154"/>
      <c r="CG8" s="1989"/>
      <c r="CH8" s="1989"/>
      <c r="CI8" s="1989"/>
      <c r="CJ8" s="1989"/>
      <c r="CK8" s="1989"/>
      <c r="CL8" s="1989"/>
      <c r="CM8" s="1989"/>
      <c r="CN8" s="154"/>
      <c r="CO8" s="1777"/>
      <c r="CP8" s="1777"/>
      <c r="CQ8" s="1777"/>
      <c r="CR8" s="1777"/>
      <c r="CS8" s="1777"/>
      <c r="CT8" s="1777"/>
      <c r="CU8" s="1777"/>
    </row>
    <row r="9" spans="1:149" ht="102" customHeight="1" x14ac:dyDescent="0.2">
      <c r="B9" s="1761"/>
      <c r="C9" s="1978"/>
      <c r="D9" s="1978"/>
      <c r="E9" s="1978"/>
      <c r="F9" s="1939"/>
      <c r="G9" s="77"/>
      <c r="H9" s="1777"/>
      <c r="I9" s="955"/>
      <c r="J9" s="1763"/>
      <c r="K9" s="1979" t="str">
        <f ca="1">IF($AP$7="","","Zauber mit Fremder Repräsentation: "&amp;$AP$7)</f>
        <v/>
      </c>
      <c r="L9" s="1980"/>
      <c r="M9" s="73"/>
      <c r="N9" s="956" t="s">
        <v>3634</v>
      </c>
      <c r="O9" s="482" t="s">
        <v>3635</v>
      </c>
      <c r="P9" s="482" t="s">
        <v>3633</v>
      </c>
      <c r="Q9" s="37"/>
      <c r="R9" s="37"/>
      <c r="S9" s="37"/>
      <c r="T9" s="37"/>
      <c r="U9" s="37"/>
      <c r="V9" s="37"/>
      <c r="W9" s="37"/>
      <c r="X9" s="37"/>
      <c r="Y9" s="37"/>
      <c r="Z9" s="37"/>
      <c r="AA9" s="37"/>
      <c r="AB9" s="37"/>
      <c r="AC9" s="37"/>
      <c r="AD9" s="37"/>
      <c r="AE9" s="37"/>
      <c r="AF9" s="37"/>
      <c r="AG9" s="37"/>
      <c r="AH9" s="37"/>
      <c r="AJ9" s="98"/>
      <c r="AK9" s="97"/>
      <c r="AL9" s="97"/>
      <c r="AM9" s="97"/>
      <c r="AO9" s="100"/>
      <c r="AP9" s="100"/>
      <c r="AQ9" s="100"/>
      <c r="AR9" s="100"/>
      <c r="AS9" s="100"/>
      <c r="AT9" s="100"/>
      <c r="AU9" s="100"/>
      <c r="AV9" s="100"/>
      <c r="AW9" s="100"/>
      <c r="AX9" s="484"/>
      <c r="AY9" s="484"/>
      <c r="AZ9" s="484"/>
      <c r="BA9" s="484"/>
      <c r="BO9" s="482" t="s">
        <v>7536</v>
      </c>
      <c r="BP9" s="355"/>
      <c r="BQ9" s="355"/>
      <c r="BR9" s="1989"/>
      <c r="BS9" s="1989"/>
      <c r="BT9" s="1989"/>
      <c r="BU9" s="1989"/>
      <c r="BV9" s="1989"/>
      <c r="BW9" s="1989"/>
      <c r="BX9" s="1989"/>
      <c r="BY9" s="1989"/>
      <c r="BZ9" s="1989"/>
      <c r="CA9" s="1989"/>
      <c r="CB9" s="1989"/>
      <c r="CC9" s="1989"/>
      <c r="CD9" s="1989"/>
      <c r="CE9" s="154"/>
      <c r="CF9" s="154"/>
      <c r="CG9" s="1989" t="s">
        <v>7045</v>
      </c>
      <c r="CH9" s="1989"/>
      <c r="CI9" s="1989"/>
      <c r="CJ9" s="1989"/>
      <c r="CK9" s="1989"/>
      <c r="CL9" s="1989"/>
      <c r="CM9" s="1989"/>
      <c r="CN9" s="154"/>
      <c r="CO9" s="1777"/>
      <c r="CP9" s="1777"/>
      <c r="CQ9" s="1777"/>
      <c r="CR9" s="1777"/>
      <c r="CS9" s="1777"/>
      <c r="CT9" s="1777"/>
      <c r="CU9" s="1777"/>
      <c r="CV9" s="78" t="s">
        <v>7534</v>
      </c>
      <c r="DS9" s="78" t="s">
        <v>7535</v>
      </c>
    </row>
    <row r="10" spans="1:149" ht="15.75" x14ac:dyDescent="0.25">
      <c r="A10" s="168" t="s">
        <v>3596</v>
      </c>
      <c r="B10" s="131"/>
      <c r="C10" s="304"/>
      <c r="D10" s="1977"/>
      <c r="E10" s="1977"/>
      <c r="F10" s="210"/>
      <c r="G10" s="6"/>
      <c r="H10" s="210"/>
      <c r="I10" s="210"/>
      <c r="J10" s="210"/>
      <c r="K10" s="1879" t="str">
        <f ca="1">IF(APGUT&lt;0,"Keine AP mehr übrig!",IF(TL_GP_UEBRIG&lt;0,"Keine Start-AP mehr übrig!","▼ Fehlermeldungen ▼  "&amp;"(AP: "&amp;APGUT&amp;")"))</f>
        <v>▼ Fehlermeldungen ▼  (AP: 0)</v>
      </c>
      <c r="L10" s="1879"/>
      <c r="M10" s="295" t="s">
        <v>1842</v>
      </c>
      <c r="N10" s="1320" t="s">
        <v>7064</v>
      </c>
      <c r="O10" s="1126" t="s">
        <v>3636</v>
      </c>
      <c r="P10" s="134"/>
      <c r="Q10" s="134"/>
      <c r="R10" s="6">
        <v>1</v>
      </c>
      <c r="S10" s="6">
        <v>2</v>
      </c>
      <c r="T10" s="6">
        <v>3</v>
      </c>
      <c r="U10" s="6">
        <v>4</v>
      </c>
      <c r="V10" s="6">
        <v>5</v>
      </c>
      <c r="W10" s="6">
        <v>6</v>
      </c>
      <c r="X10" s="6">
        <v>7</v>
      </c>
      <c r="Y10" s="6">
        <v>8</v>
      </c>
      <c r="Z10" s="6">
        <v>9</v>
      </c>
      <c r="AA10" s="6">
        <v>10</v>
      </c>
      <c r="AB10" s="6">
        <v>11</v>
      </c>
      <c r="AC10" s="6">
        <v>12</v>
      </c>
      <c r="AD10" s="6">
        <v>13</v>
      </c>
      <c r="AE10" s="6">
        <v>14</v>
      </c>
      <c r="AF10" s="6">
        <v>15</v>
      </c>
      <c r="AG10" s="6">
        <v>16</v>
      </c>
      <c r="AH10" s="6">
        <v>17</v>
      </c>
      <c r="AI10" s="6">
        <v>18</v>
      </c>
      <c r="AJ10" s="6">
        <v>19</v>
      </c>
      <c r="AK10" s="6">
        <v>20</v>
      </c>
      <c r="AL10" s="6">
        <v>21</v>
      </c>
      <c r="AM10" s="209"/>
      <c r="AN10" s="134"/>
      <c r="AO10" s="6">
        <v>1</v>
      </c>
      <c r="AP10" s="6">
        <v>2</v>
      </c>
      <c r="AQ10" s="6">
        <v>3</v>
      </c>
      <c r="AR10" s="6">
        <v>4</v>
      </c>
      <c r="AS10" s="6">
        <v>5</v>
      </c>
      <c r="AT10" s="6">
        <v>6</v>
      </c>
      <c r="AU10" s="6">
        <v>7</v>
      </c>
      <c r="AV10" s="6">
        <v>8</v>
      </c>
      <c r="AW10" s="6">
        <v>9</v>
      </c>
      <c r="AX10" s="6">
        <v>10</v>
      </c>
      <c r="AY10" s="6">
        <v>11</v>
      </c>
      <c r="AZ10" s="6">
        <v>12</v>
      </c>
      <c r="BA10" s="6">
        <v>13</v>
      </c>
      <c r="BB10" s="6">
        <v>14</v>
      </c>
      <c r="BC10" s="6">
        <v>15</v>
      </c>
      <c r="BD10" s="6">
        <v>16</v>
      </c>
      <c r="BE10" s="6">
        <v>17</v>
      </c>
      <c r="BF10" s="6">
        <v>18</v>
      </c>
      <c r="BG10" s="6">
        <v>19</v>
      </c>
      <c r="BH10" s="6">
        <v>20</v>
      </c>
      <c r="BI10" s="6">
        <v>21</v>
      </c>
      <c r="BJ10" s="6">
        <v>22</v>
      </c>
      <c r="BK10" s="6">
        <v>23</v>
      </c>
      <c r="BL10" s="6">
        <v>24</v>
      </c>
      <c r="BM10" s="6">
        <v>25</v>
      </c>
      <c r="BN10" s="6">
        <v>26</v>
      </c>
      <c r="BO10" s="356"/>
      <c r="BP10" s="355"/>
      <c r="BQ10" s="355"/>
      <c r="BR10" s="355"/>
      <c r="BS10" s="154"/>
      <c r="BT10" s="357"/>
      <c r="BU10" s="357"/>
      <c r="BV10" s="357"/>
      <c r="BW10" s="357"/>
      <c r="BX10" s="357"/>
      <c r="BY10" s="357"/>
      <c r="BZ10" s="357"/>
      <c r="CA10" s="357"/>
      <c r="CB10" s="357"/>
      <c r="CC10" s="357"/>
      <c r="CD10" s="357"/>
      <c r="CE10" s="357"/>
      <c r="CF10" s="154"/>
      <c r="CG10" s="154"/>
      <c r="CH10" s="154"/>
      <c r="CI10" s="154"/>
      <c r="CJ10" s="154"/>
      <c r="CK10" s="154"/>
      <c r="CL10" s="154"/>
      <c r="CM10" s="154"/>
      <c r="CN10" s="154"/>
      <c r="CO10" s="6"/>
      <c r="CP10" s="6"/>
      <c r="CQ10" s="6"/>
      <c r="CR10" s="6"/>
      <c r="CS10" s="6"/>
      <c r="CT10" s="6"/>
      <c r="CU10" s="6"/>
      <c r="CV10" s="6">
        <v>0</v>
      </c>
      <c r="CW10" s="6">
        <v>1</v>
      </c>
      <c r="CX10" s="6">
        <v>2</v>
      </c>
      <c r="CY10" s="6">
        <v>3</v>
      </c>
      <c r="CZ10" s="6">
        <v>4</v>
      </c>
      <c r="DA10" s="6">
        <v>5</v>
      </c>
      <c r="DB10" s="6">
        <v>6</v>
      </c>
      <c r="DC10" s="6">
        <v>7</v>
      </c>
      <c r="DD10" s="6">
        <v>8</v>
      </c>
      <c r="DE10" s="6">
        <v>9</v>
      </c>
      <c r="DF10" s="6">
        <v>10</v>
      </c>
      <c r="DG10" s="6">
        <v>11</v>
      </c>
      <c r="DH10" s="6">
        <v>12</v>
      </c>
      <c r="DI10" s="6">
        <v>13</v>
      </c>
      <c r="DJ10" s="6">
        <v>14</v>
      </c>
      <c r="DK10" s="6">
        <v>15</v>
      </c>
      <c r="DL10" s="6">
        <v>16</v>
      </c>
      <c r="DM10" s="6">
        <v>17</v>
      </c>
      <c r="DN10" s="6">
        <v>18</v>
      </c>
      <c r="DO10" s="6">
        <v>19</v>
      </c>
      <c r="DP10" s="6">
        <v>20</v>
      </c>
      <c r="DQ10" s="6">
        <v>21</v>
      </c>
      <c r="DR10" s="208"/>
      <c r="DS10" s="6">
        <v>0</v>
      </c>
      <c r="DT10" s="6">
        <v>1</v>
      </c>
      <c r="DU10" s="6">
        <v>2</v>
      </c>
      <c r="DV10" s="6">
        <v>3</v>
      </c>
      <c r="DW10" s="6">
        <v>4</v>
      </c>
      <c r="DX10" s="6">
        <v>5</v>
      </c>
      <c r="DY10" s="6">
        <v>6</v>
      </c>
      <c r="DZ10" s="6">
        <v>7</v>
      </c>
      <c r="EA10" s="6">
        <v>8</v>
      </c>
      <c r="EB10" s="6">
        <v>9</v>
      </c>
      <c r="EC10" s="6">
        <v>10</v>
      </c>
      <c r="ED10" s="6">
        <v>11</v>
      </c>
      <c r="EE10" s="6">
        <v>12</v>
      </c>
      <c r="EF10" s="6">
        <v>13</v>
      </c>
      <c r="EG10" s="6">
        <v>14</v>
      </c>
      <c r="EH10" s="6">
        <v>15</v>
      </c>
      <c r="EI10" s="6">
        <v>16</v>
      </c>
      <c r="EJ10" s="6">
        <v>17</v>
      </c>
      <c r="EK10" s="6">
        <v>18</v>
      </c>
      <c r="EL10" s="6">
        <v>19</v>
      </c>
      <c r="EM10" s="6">
        <v>20</v>
      </c>
      <c r="EN10" s="6">
        <v>21</v>
      </c>
      <c r="EO10" s="6">
        <v>22</v>
      </c>
      <c r="EP10" s="6">
        <v>23</v>
      </c>
      <c r="EQ10" s="6">
        <v>24</v>
      </c>
      <c r="ER10" s="6">
        <v>25</v>
      </c>
      <c r="ES10" s="6">
        <v>26</v>
      </c>
    </row>
    <row r="11" spans="1:149" x14ac:dyDescent="0.2">
      <c r="A11" s="89" t="str">
        <f ca="1">IF(MAGISCH,IF(NOT(EXACT(HZALLE,"")),HLOOKUP(Tabellen_Andere!$CX$3,ZAUBER,MATCH(LEFT(HZALLE,34),ZAUBER,1)),""),"")</f>
        <v/>
      </c>
      <c r="B11" s="317" t="str">
        <f ca="1">IF(AND(MAGISCH,NOT(EXACT($A11,""))),CM11,"")</f>
        <v/>
      </c>
      <c r="C11" s="609" t="str">
        <f t="shared" ref="C11:C35" ca="1" si="0">IF(AND(MAGISCH,NOT(EXACT($A11,""))),$BP$4,"")</f>
        <v/>
      </c>
      <c r="D11" s="1956" t="str">
        <f t="shared" ref="D11:D35" ca="1" si="1">IF(AND(MAGISCH,NOT(EXACT($A11,""))),
CONCATENATE(IF($BR11=1,$CC11&amp;", ",""),IF($BS11=1,$CD11&amp;", ",""),IF($AF$241="","",IF(ISERROR(FIND($AF$241,$BQ11)),"",$AF$241&amp;", ")),IF($AF$242="","",IF(ISERROR(FIND($AF$242,$BQ11)),"",$AF$242&amp;", ")),IF($AF$243="","",IF(ISERROR(FIND($AF$243,$BQ11)),"",$AF$243&amp;", ")),IF($AF$244="","",IF(ISERROR(FIND($AF$244,$BQ11)),"",$AF$244&amp;", ")),IF($AF$245="","",IF(ISERROR(FIND($AF$245,$BQ11)),"",$AF$245&amp;", ")),IF($AF$246="","",IF(ISERROR(FIND($AF$246,$BQ11)),"",$AF$246&amp;", ")),IF($AF$247="","",IF(ISERROR(FIND($AF$247,$BQ11)),"",$AF$247&amp;", "))
),"")</f>
        <v/>
      </c>
      <c r="E11" s="1956"/>
      <c r="F11" s="960"/>
      <c r="G11" s="485" t="str">
        <f t="shared" ref="G11:G35" ca="1" si="2">IF(EXACT($A11,""),"",IF(VT_VRTLZBR,"F",
IF(BO11&lt;65,"A+",IF(BO11&gt;72,"H",CHAR(BO11)))))</f>
        <v/>
      </c>
      <c r="H11" s="983"/>
      <c r="I11" s="486"/>
      <c r="J11" s="972"/>
      <c r="K11" s="1886" t="str">
        <f t="shared" ref="K11:K35" ca="1" si="3">IF(NOT(EXACT($A11,"")),IF(AND(NOT(ISBLANK($H11)),$H11&lt;VALUE($B11)),CONCATENATE("SE erst ab ZfW ",$B11," möglich"),IF(ISERR(FIND(C11,BP11,1)),"Zauber in dieser Repräsentation nicht bekannt",IF(AND(NOT(ISERR(FIND(A11,ZS_HZALLE,1))),ZS_SE_VIEW),"SE aus Zweitstudium",""))),"") &amp; IF(AND(NOT(EXACT($A11,"")),NOT(ISERR(FIND(A11,ZS_HZ_IAAK,1))),ZS_SE_VIEW),"  SE für IAAK-Studium","")
&amp;IF($M11="","",IF($M11&gt;MAX(INDIRECT(VLOOKUP($A11,ZAUBERWERTE,2,FALSE)),INDIRECT(VLOOKUP($A11,ZAUBERWERTE,3,FALSE)),INDIRECT(VLOOKUP($A11,ZAUBERWERTE,4,FALSE)))+3+BX11*2," TaW&gt; Max.EIGN.-Wert+"&amp;3+BX11*2,""))</f>
        <v/>
      </c>
      <c r="L11" s="1888"/>
      <c r="M11" s="296" t="str">
        <f ca="1">IF(AND(EXACT($B11,""),ISBLANK($F11),ISBLANK($J11)),"",$B11+$F11+$J11)</f>
        <v/>
      </c>
      <c r="N11" s="1321"/>
      <c r="O11" s="1319"/>
      <c r="P11" s="957" t="str">
        <f t="shared" ref="P11:P35" ca="1" si="4">IF(AND(NOT(EXACT($A11,"")),NOT(EXACT($O11,""))),ROUND(IF(O11=2,3,O11)*20*HLOOKUP($G11,SKT,3,FALSE)*IF(VT_EIDGED,0.5,IF(VT_GUTGED,0.75,1)),0),"")</f>
        <v/>
      </c>
      <c r="Q11" s="749"/>
      <c r="R11" s="164">
        <f t="shared" ref="R11:R35" ca="1" si="5">IF(AND(NOT(EXACT($A11,"")),NOT(ISBLANK($F11)),IF(ISNUMBER($B11),VALUE($B11),0)&lt;R$10,SUM(IF(ISNUMBER($B11),VALUE($B11),0),$F11)&gt;=R$10,EXACT($K11,"")),
MAX(1,ROUND(HLOOKUP(IF(CW11&lt;65,"A+",IF(CW11&gt;72,"H",CHAR(CW11))),SKT,R$10+3,FALSE)*IF(VT_EIDGED,IF($C11="Dru",1/3,0.5),1)*IF(VT_GUTGED,IF($C11="Dru",2/3,0.75),1),0)),0)
*IF(ISERR(FIND(";"&amp;R$10&amp;":0;",$H11)),1,0)</f>
        <v>0</v>
      </c>
      <c r="S11" s="164">
        <f t="shared" ref="S11:S35" ca="1" si="6">IF(AND(NOT(EXACT($A11,"")),NOT(ISBLANK($F11)),IF(ISNUMBER($B11),VALUE($B11),0)&lt;S$10,SUM(IF(ISNUMBER($B11),VALUE($B11),0),$F11)&gt;=S$10,EXACT($K11,"")),
MAX(1,ROUND(HLOOKUP(IF(CX11&lt;65,"A+",IF(CX11&gt;72,"H",CHAR(CX11))),SKT,S$10+3,FALSE)*IF(VT_EIDGED,IF($C11="Dru",1/3,0.5),1)*IF(VT_GUTGED,IF($C11="Dru",2/3,0.75),1),0)),0)
*IF(ISERR(FIND(";"&amp;S$10&amp;":0;",$H11)),1,0)</f>
        <v>0</v>
      </c>
      <c r="T11" s="164">
        <f t="shared" ref="T11:T35" ca="1" si="7">IF(AND(NOT(EXACT($A11,"")),NOT(ISBLANK($F11)),IF(ISNUMBER($B11),VALUE($B11),0)&lt;T$10,SUM(IF(ISNUMBER($B11),VALUE($B11),0),$F11)&gt;=T$10,EXACT($K11,"")),
MAX(1,ROUND(HLOOKUP(IF(CY11&lt;65,"A+",IF(CY11&gt;72,"H",CHAR(CY11))),SKT,T$10+3,FALSE)*IF(VT_EIDGED,IF($C11="Dru",1/3,0.5),1)*IF(VT_GUTGED,IF($C11="Dru",2/3,0.75),1),0)),0)
*IF(ISERR(FIND(";"&amp;T$10&amp;":0;",$H11)),1,0)</f>
        <v>0</v>
      </c>
      <c r="U11" s="164">
        <f t="shared" ref="U11:U35" ca="1" si="8">IF(AND(NOT(EXACT($A11,"")),NOT(ISBLANK($F11)),IF(ISNUMBER($B11),VALUE($B11),0)&lt;U$10,SUM(IF(ISNUMBER($B11),VALUE($B11),0),$F11)&gt;=U$10,EXACT($K11,"")),
MAX(1,ROUND(HLOOKUP(IF(CZ11&lt;65,"A+",IF(CZ11&gt;72,"H",CHAR(CZ11))),SKT,U$10+3,FALSE)*IF(VT_EIDGED,IF($C11="Dru",1/3,0.5),1)*IF(VT_GUTGED,IF($C11="Dru",2/3,0.75),1),0)),0)
*IF(ISERR(FIND(";"&amp;U$10&amp;":0;",$H11)),1,0)</f>
        <v>0</v>
      </c>
      <c r="V11" s="164">
        <f t="shared" ref="V11:V35" ca="1" si="9">IF(AND(NOT(EXACT($A11,"")),NOT(ISBLANK($F11)),IF(ISNUMBER($B11),VALUE($B11),0)&lt;V$10,SUM(IF(ISNUMBER($B11),VALUE($B11),0),$F11)&gt;=V$10,EXACT($K11,"")),
MAX(1,ROUND(HLOOKUP(IF(DA11&lt;65,"A+",IF(DA11&gt;72,"H",CHAR(DA11))),SKT,V$10+3,FALSE)*IF(VT_EIDGED,IF($C11="Dru",1/3,0.5),1)*IF(VT_GUTGED,IF($C11="Dru",2/3,0.75),1),0)),0)
*IF(ISERR(FIND(";"&amp;V$10&amp;":0;",$H11)),1,0)</f>
        <v>0</v>
      </c>
      <c r="W11" s="164">
        <f t="shared" ref="W11:W35" ca="1" si="10">IF(AND(NOT(EXACT($A11,"")),NOT(ISBLANK($F11)),IF(ISNUMBER($B11),VALUE($B11),0)&lt;W$10,SUM(IF(ISNUMBER($B11),VALUE($B11),0),$F11)&gt;=W$10,EXACT($K11,"")),
MAX(1,ROUND(HLOOKUP(IF(DB11&lt;65,"A+",IF(DB11&gt;72,"H",CHAR(DB11))),SKT,W$10+3,FALSE)*IF(VT_EIDGED,IF($C11="Dru",1/3,0.5),1)*IF(VT_GUTGED,IF($C11="Dru",2/3,0.75),1),0)),0)
*IF(ISERR(FIND(";"&amp;W$10&amp;":0;",$H11)),1,0)</f>
        <v>0</v>
      </c>
      <c r="X11" s="164">
        <f t="shared" ref="X11:X35" ca="1" si="11">IF(AND(NOT(EXACT($A11,"")),NOT(ISBLANK($F11)),IF(ISNUMBER($B11),VALUE($B11),0)&lt;X$10,SUM(IF(ISNUMBER($B11),VALUE($B11),0),$F11)&gt;=X$10,EXACT($K11,"")),
MAX(1,ROUND(HLOOKUP(IF(DC11&lt;65,"A+",IF(DC11&gt;72,"H",CHAR(DC11))),SKT,X$10+3,FALSE)*IF(VT_EIDGED,IF($C11="Dru",1/3,0.5),1)*IF(VT_GUTGED,IF($C11="Dru",2/3,0.75),1),0)),0)
*IF(ISERR(FIND(";"&amp;X$10&amp;":0;",$H11)),1,0)</f>
        <v>0</v>
      </c>
      <c r="Y11" s="164">
        <f t="shared" ref="Y11:Y35" ca="1" si="12">IF(AND(NOT(EXACT($A11,"")),NOT(ISBLANK($F11)),IF(ISNUMBER($B11),VALUE($B11),0)&lt;Y$10,SUM(IF(ISNUMBER($B11),VALUE($B11),0),$F11)&gt;=Y$10,EXACT($K11,"")),
MAX(1,ROUND(HLOOKUP(IF(DD11&lt;65,"A+",IF(DD11&gt;72,"H",CHAR(DD11))),SKT,Y$10+3,FALSE)*IF(VT_EIDGED,IF($C11="Dru",1/3,0.5),1)*IF(VT_GUTGED,IF($C11="Dru",2/3,0.75),1),0)),0)
*IF(ISERR(FIND(";"&amp;Y$10&amp;":0;",$H11)),1,0)</f>
        <v>0</v>
      </c>
      <c r="Z11" s="164">
        <f t="shared" ref="Z11:Z35" ca="1" si="13">IF(AND(NOT(EXACT($A11,"")),NOT(ISBLANK($F11)),IF(ISNUMBER($B11),VALUE($B11),0)&lt;Z$10,SUM(IF(ISNUMBER($B11),VALUE($B11),0),$F11)&gt;=Z$10,EXACT($K11,"")),
MAX(1,ROUND(HLOOKUP(IF(DE11&lt;65,"A+",IF(DE11&gt;72,"H",CHAR(DE11))),SKT,Z$10+3,FALSE)*IF(VT_EIDGED,IF($C11="Dru",1/3,0.5),1)*IF(VT_GUTGED,IF($C11="Dru",2/3,0.75),1),0)),0)
*IF(ISERR(FIND(";"&amp;Z$10&amp;":0;",$H11)),1,0)</f>
        <v>0</v>
      </c>
      <c r="AA11" s="164">
        <f t="shared" ref="AA11:AA35" ca="1" si="14">IF(AND(NOT(EXACT($A11,"")),NOT(ISBLANK($F11)),IF(ISNUMBER($B11),VALUE($B11),0)&lt;AA$10,SUM(IF(ISNUMBER($B11),VALUE($B11),0),$F11)&gt;=AA$10,EXACT($K11,"")),
MAX(1,ROUND(HLOOKUP(IF(DF11&lt;65,"A+",IF(DF11&gt;72,"H",CHAR(DF11))),SKT,AA$10+3,FALSE)*IF(VT_EIDGED,IF($C11="Dru",1/3,0.5),1)*IF(VT_GUTGED,IF($C11="Dru",2/3,0.75),1),0)),0)
*IF(ISERR(FIND(";"&amp;AA$10&amp;":0;",$H11)),1,0)</f>
        <v>0</v>
      </c>
      <c r="AB11" s="164">
        <f t="shared" ref="AB11:AB35" ca="1" si="15">IF(AND(NOT(EXACT($A11,"")),NOT(ISBLANK($F11)),IF(ISNUMBER($B11),VALUE($B11),0)&lt;AB$10,SUM(IF(ISNUMBER($B11),VALUE($B11),0),$F11)&gt;=AB$10,EXACT($K11,"")),
MAX(1,ROUND(HLOOKUP(IF(DG11&lt;65,"A+",IF(DG11&gt;72,"H",CHAR(DG11))),SKT,AB$10+3,FALSE)*IF(VT_EIDGED,IF($C11="Dru",1/3,0.5),1)*IF(VT_GUTGED,IF($C11="Dru",2/3,0.75),1),0)),0)
*IF(ISERR(FIND(";"&amp;AB$10&amp;":0;",$H11)),1,0)</f>
        <v>0</v>
      </c>
      <c r="AC11" s="164">
        <f t="shared" ref="AC11:AC35" ca="1" si="16">IF(AND(NOT(EXACT($A11,"")),NOT(ISBLANK($F11)),IF(ISNUMBER($B11),VALUE($B11),0)&lt;AC$10,SUM(IF(ISNUMBER($B11),VALUE($B11),0),$F11)&gt;=AC$10,EXACT($K11,"")),
MAX(1,ROUND(HLOOKUP(IF(DH11&lt;65,"A+",IF(DH11&gt;72,"H",CHAR(DH11))),SKT,AC$10+3,FALSE)*IF(VT_EIDGED,IF($C11="Dru",1/3,0.5),1)*IF(VT_GUTGED,IF($C11="Dru",2/3,0.75),1),0)),0)
*IF(ISERR(FIND(";"&amp;AC$10&amp;":0;",$H11)),1,0)</f>
        <v>0</v>
      </c>
      <c r="AD11" s="164">
        <f t="shared" ref="AD11:AD35" ca="1" si="17">IF(AND(NOT(EXACT($A11,"")),NOT(ISBLANK($F11)),IF(ISNUMBER($B11),VALUE($B11),0)&lt;AD$10,SUM(IF(ISNUMBER($B11),VALUE($B11),0),$F11)&gt;=AD$10,EXACT($K11,"")),
MAX(1,ROUND(HLOOKUP(IF(DI11&lt;65,"A+",IF(DI11&gt;72,"H",CHAR(DI11))),SKT,AD$10+3,FALSE)*IF(VT_EIDGED,IF($C11="Dru",1/3,0.5),1)*IF(VT_GUTGED,IF($C11="Dru",2/3,0.75),1),0)),0)
*IF(ISERR(FIND(";"&amp;AD$10&amp;":0;",$H11)),1,0)</f>
        <v>0</v>
      </c>
      <c r="AE11" s="164">
        <f t="shared" ref="AE11:AE35" ca="1" si="18">IF(AND(NOT(EXACT($A11,"")),NOT(ISBLANK($F11)),IF(ISNUMBER($B11),VALUE($B11),0)&lt;AE$10,SUM(IF(ISNUMBER($B11),VALUE($B11),0),$F11)&gt;=AE$10,EXACT($K11,"")),
MAX(1,ROUND(HLOOKUP(IF(DJ11&lt;65,"A+",IF(DJ11&gt;72,"H",CHAR(DJ11))),SKT,AE$10+3,FALSE)*IF(VT_EIDGED,IF($C11="Dru",1/3,0.5),1)*IF(VT_GUTGED,IF($C11="Dru",2/3,0.75),1),0)),0)
*IF(ISERR(FIND(";"&amp;AE$10&amp;":0;",$H11)),1,0)</f>
        <v>0</v>
      </c>
      <c r="AF11" s="164">
        <f t="shared" ref="AF11:AF35" ca="1" si="19">IF(AND(NOT(EXACT($A11,"")),NOT(ISBLANK($F11)),IF(ISNUMBER($B11),VALUE($B11),0)&lt;AF$10,SUM(IF(ISNUMBER($B11),VALUE($B11),0),$F11)&gt;=AF$10,EXACT($K11,"")),
MAX(1,ROUND(HLOOKUP(IF(DK11&lt;65,"A+",IF(DK11&gt;72,"H",CHAR(DK11))),SKT,AF$10+3,FALSE)*IF(VT_EIDGED,IF($C11="Dru",1/3,0.5),1)*IF(VT_GUTGED,IF($C11="Dru",2/3,0.75),1),0)),0)
*IF(ISERR(FIND(";"&amp;AF$10&amp;":0;",$H11)),1,0)</f>
        <v>0</v>
      </c>
      <c r="AG11" s="164">
        <f t="shared" ref="AG11:AG35" ca="1" si="20">IF(AND(NOT(EXACT($A11,"")),NOT(ISBLANK($F11)),IF(ISNUMBER($B11),VALUE($B11),0)&lt;AG$10,SUM(IF(ISNUMBER($B11),VALUE($B11),0),$F11)&gt;=AG$10,EXACT($K11,"")),
MAX(1,ROUND(HLOOKUP(IF(DL11&lt;65,"A+",IF(DL11&gt;72,"H",CHAR(DL11))),SKT,AG$10+3,FALSE)*IF(VT_EIDGED,IF($C11="Dru",1/3,0.5),1)*IF(VT_GUTGED,IF($C11="Dru",2/3,0.75),1),0)),0)
*IF(ISERR(FIND(";"&amp;AG$10&amp;":0;",$H11)),1,0)</f>
        <v>0</v>
      </c>
      <c r="AH11" s="164">
        <f t="shared" ref="AH11:AH35" ca="1" si="21">IF(AND(NOT(EXACT($A11,"")),NOT(ISBLANK($F11)),IF(ISNUMBER($B11),VALUE($B11),0)&lt;AH$10,SUM(IF(ISNUMBER($B11),VALUE($B11),0),$F11)&gt;=AH$10,EXACT($K11,"")),
MAX(1,ROUND(HLOOKUP(IF(DM11&lt;65,"A+",IF(DM11&gt;72,"H",CHAR(DM11))),SKT,AH$10+3,FALSE)*IF(VT_EIDGED,IF($C11="Dru",1/3,0.5),1)*IF(VT_GUTGED,IF($C11="Dru",2/3,0.75),1),0)),0)
*IF(ISERR(FIND(";"&amp;AH$10&amp;":0;",$H11)),1,0)</f>
        <v>0</v>
      </c>
      <c r="AI11" s="164">
        <f t="shared" ref="AI11:AI35" ca="1" si="22">IF(AND(NOT(EXACT($A11,"")),NOT(ISBLANK($F11)),IF(ISNUMBER($B11),VALUE($B11),0)&lt;AI$10,SUM(IF(ISNUMBER($B11),VALUE($B11),0),$F11)&gt;=AI$10,EXACT($K11,"")),
MAX(1,ROUND(HLOOKUP(IF(DN11&lt;65,"A+",IF(DN11&gt;72,"H",CHAR(DN11))),SKT,AI$10+3,FALSE)*IF(VT_EIDGED,IF($C11="Dru",1/3,0.5),1)*IF(VT_GUTGED,IF($C11="Dru",2/3,0.75),1),0)),0)
*IF(ISERR(FIND(";"&amp;AI$10&amp;":0;",$H11)),1,0)</f>
        <v>0</v>
      </c>
      <c r="AJ11" s="164">
        <f t="shared" ref="AJ11:AJ35" ca="1" si="23">IF(AND(NOT(EXACT($A11,"")),NOT(ISBLANK($F11)),IF(ISNUMBER($B11),VALUE($B11),0)&lt;AJ$10,SUM(IF(ISNUMBER($B11),VALUE($B11),0),$F11)&gt;=AJ$10,EXACT($K11,"")),
MAX(1,ROUND(HLOOKUP(IF(DO11&lt;65,"A+",IF(DO11&gt;72,"H",CHAR(DO11))),SKT,AJ$10+3,FALSE)*IF(VT_EIDGED,IF($C11="Dru",1/3,0.5),1)*IF(VT_GUTGED,IF($C11="Dru",2/3,0.75),1),0)),0)
*IF(ISERR(FIND(";"&amp;AJ$10&amp;":0;",$H11)),1,0)</f>
        <v>0</v>
      </c>
      <c r="AK11" s="164">
        <f t="shared" ref="AK11:AK35" ca="1" si="24">IF(AND(NOT(EXACT($A11,"")),NOT(ISBLANK($F11)),IF(ISNUMBER($B11),VALUE($B11),0)&lt;AK$10,SUM(IF(ISNUMBER($B11),VALUE($B11),0),$F11)&gt;=AK$10,EXACT($K11,"")),
MAX(1,ROUND(HLOOKUP(IF(DP11&lt;65,"A+",IF(DP11&gt;72,"H",CHAR(DP11))),SKT,AK$10+3,FALSE)*IF(VT_EIDGED,IF($C11="Dru",1/3,0.5),1)*IF(VT_GUTGED,IF($C11="Dru",2/3,0.75),1),0)),0)
*IF(ISERR(FIND(";"&amp;AK$10&amp;":0;",$H11)),1,0)</f>
        <v>0</v>
      </c>
      <c r="AL11" s="164">
        <f t="shared" ref="AL11:AL35" ca="1" si="25">IF(AND(NOT(EXACT($A11,"")),NOT(ISBLANK($F11)),IF(ISNUMBER($B11),VALUE($B11),0)&lt;AL$10,SUM(IF(ISNUMBER($B11),VALUE($B11),0),$F11)&gt;=AL$10,EXACT($K11,"")),
MAX(1,ROUND(HLOOKUP(IF(DQ11&lt;65,"A+",IF(DQ11&gt;72,"H",CHAR(DQ11))),SKT,AL$10+3,FALSE)*IF(VT_EIDGED,IF($C11="Dru",1/3,0.5),1)*IF(VT_GUTGED,IF($C11="Dru",2/3,0.75),1),0)),0)
*IF(ISERR(FIND(";"&amp;AL$10&amp;":0;",$H11)),1,0)</f>
        <v>0</v>
      </c>
      <c r="AM11" s="208"/>
      <c r="AN11" s="154"/>
      <c r="AO11" s="164">
        <f t="shared" ref="AO11:AO35" ca="1" si="26">IF(NOT($A11=""),IF(AND(NOT(ISBLANK($J11)),SUM(VALUE($B11),$F11)&lt;AO$10,SUM(VALUE($B11),$F11,$J11)&gt;=AO$10,EXACT($K11,"")),
MAX(1,ROUND(HLOOKUP(IF(DT11&lt;65,"A+",IF(DT11&gt;72,"H",CHAR(DT11))),SKT,AO$10+3,FALSE)*IF(VT_EIDGED,IF($C11="Dru",1/3,0.5),1)*IF(VT_GUTGED,IF($C11="Dru",2/3,0.75),1),0)),0),0)
*IF(ISERR(FIND(";"&amp;AO$10&amp;":0;",$H11)),1,0)</f>
        <v>0</v>
      </c>
      <c r="AP11" s="164">
        <f t="shared" ref="AP11:AP35" ca="1" si="27">IF(NOT($A11=""),IF(AND(NOT(ISBLANK($J11)),SUM(VALUE($B11),$F11)&lt;AP$10,SUM(VALUE($B11),$F11,$J11)&gt;=AP$10,EXACT($K11,"")),
MAX(1,ROUND(HLOOKUP(IF(DU11&lt;65,"A+",IF(DU11&gt;72,"H",CHAR(DU11))),SKT,AP$10+3,FALSE)*IF(VT_EIDGED,IF($C11="Dru",1/3,0.5),1)*IF(VT_GUTGED,IF($C11="Dru",2/3,0.75),1),0)),0),0)
*IF(ISERR(FIND(";"&amp;AP$10&amp;":0;",$H11)),1,0)</f>
        <v>0</v>
      </c>
      <c r="AQ11" s="164">
        <f t="shared" ref="AQ11:AQ35" ca="1" si="28">IF(NOT($A11=""),IF(AND(NOT(ISBLANK($J11)),SUM(VALUE($B11),$F11)&lt;AQ$10,SUM(VALUE($B11),$F11,$J11)&gt;=AQ$10,EXACT($K11,"")),
MAX(1,ROUND(HLOOKUP(IF(DV11&lt;65,"A+",IF(DV11&gt;72,"H",CHAR(DV11))),SKT,AQ$10+3,FALSE)*IF(VT_EIDGED,IF($C11="Dru",1/3,0.5),1)*IF(VT_GUTGED,IF($C11="Dru",2/3,0.75),1),0)),0),0)
*IF(ISERR(FIND(";"&amp;AQ$10&amp;":0;",$H11)),1,0)</f>
        <v>0</v>
      </c>
      <c r="AR11" s="164">
        <f t="shared" ref="AR11:AR35" ca="1" si="29">IF(NOT($A11=""),IF(AND(NOT(ISBLANK($J11)),SUM(VALUE($B11),$F11)&lt;AR$10,SUM(VALUE($B11),$F11,$J11)&gt;=AR$10,EXACT($K11,"")),
MAX(1,ROUND(HLOOKUP(IF(DW11&lt;65,"A+",IF(DW11&gt;72,"H",CHAR(DW11))),SKT,AR$10+3,FALSE)*IF(VT_EIDGED,IF($C11="Dru",1/3,0.5),1)*IF(VT_GUTGED,IF($C11="Dru",2/3,0.75),1),0)),0),0)
*IF(ISERR(FIND(";"&amp;AR$10&amp;":0;",$H11)),1,0)</f>
        <v>0</v>
      </c>
      <c r="AS11" s="164">
        <f t="shared" ref="AS11:AS35" ca="1" si="30">IF(NOT($A11=""),IF(AND(NOT(ISBLANK($J11)),SUM(VALUE($B11),$F11)&lt;AS$10,SUM(VALUE($B11),$F11,$J11)&gt;=AS$10,EXACT($K11,"")),
MAX(1,ROUND(HLOOKUP(IF(DX11&lt;65,"A+",IF(DX11&gt;72,"H",CHAR(DX11))),SKT,AS$10+3,FALSE)*IF(VT_EIDGED,IF($C11="Dru",1/3,0.5),1)*IF(VT_GUTGED,IF($C11="Dru",2/3,0.75),1),0)),0),0)
*IF(ISERR(FIND(";"&amp;AS$10&amp;":0;",$H11)),1,0)</f>
        <v>0</v>
      </c>
      <c r="AT11" s="164">
        <f t="shared" ref="AT11:AT35" ca="1" si="31">IF(NOT($A11=""),IF(AND(NOT(ISBLANK($J11)),SUM(VALUE($B11),$F11)&lt;AT$10,SUM(VALUE($B11),$F11,$J11)&gt;=AT$10,EXACT($K11,"")),
MAX(1,ROUND(HLOOKUP(IF(DY11&lt;65,"A+",IF(DY11&gt;72,"H",CHAR(DY11))),SKT,AT$10+3,FALSE)*IF(VT_EIDGED,IF($C11="Dru",1/3,0.5),1)*IF(VT_GUTGED,IF($C11="Dru",2/3,0.75),1),0)),0),0)
*IF(ISERR(FIND(";"&amp;AT$10&amp;":0;",$H11)),1,0)</f>
        <v>0</v>
      </c>
      <c r="AU11" s="164">
        <f t="shared" ref="AU11:AU35" ca="1" si="32">IF(NOT($A11=""),IF(AND(NOT(ISBLANK($J11)),SUM(VALUE($B11),$F11)&lt;AU$10,SUM(VALUE($B11),$F11,$J11)&gt;=AU$10,EXACT($K11,"")),
MAX(1,ROUND(HLOOKUP(IF(DZ11&lt;65,"A+",IF(DZ11&gt;72,"H",CHAR(DZ11))),SKT,AU$10+3,FALSE)*IF(VT_EIDGED,IF($C11="Dru",1/3,0.5),1)*IF(VT_GUTGED,IF($C11="Dru",2/3,0.75),1),0)),0),0)
*IF(ISERR(FIND(";"&amp;AU$10&amp;":0;",$H11)),1,0)</f>
        <v>0</v>
      </c>
      <c r="AV11" s="164">
        <f t="shared" ref="AV11:AV35" ca="1" si="33">IF(NOT($A11=""),IF(AND(NOT(ISBLANK($J11)),SUM(VALUE($B11),$F11)&lt;AV$10,SUM(VALUE($B11),$F11,$J11)&gt;=AV$10,EXACT($K11,"")),
MAX(1,ROUND(HLOOKUP(IF(EA11&lt;65,"A+",IF(EA11&gt;72,"H",CHAR(EA11))),SKT,AV$10+3,FALSE)*IF(VT_EIDGED,IF($C11="Dru",1/3,0.5),1)*IF(VT_GUTGED,IF($C11="Dru",2/3,0.75),1),0)),0),0)
*IF(ISERR(FIND(";"&amp;AV$10&amp;":0;",$H11)),1,0)</f>
        <v>0</v>
      </c>
      <c r="AW11" s="164">
        <f t="shared" ref="AW11:AW35" ca="1" si="34">IF(NOT($A11=""),IF(AND(NOT(ISBLANK($J11)),SUM(VALUE($B11),$F11)&lt;AW$10,SUM(VALUE($B11),$F11,$J11)&gt;=AW$10,EXACT($K11,"")),
MAX(1,ROUND(HLOOKUP(IF(EB11&lt;65,"A+",IF(EB11&gt;72,"H",CHAR(EB11))),SKT,AW$10+3,FALSE)*IF(VT_EIDGED,IF($C11="Dru",1/3,0.5),1)*IF(VT_GUTGED,IF($C11="Dru",2/3,0.75),1),0)),0),0)
*IF(ISERR(FIND(";"&amp;AW$10&amp;":0;",$H11)),1,0)</f>
        <v>0</v>
      </c>
      <c r="AX11" s="164">
        <f t="shared" ref="AX11:AX35" ca="1" si="35">IF(NOT($A11=""),IF(AND(NOT(ISBLANK($J11)),SUM(VALUE($B11),$F11)&lt;AX$10,SUM(VALUE($B11),$F11,$J11)&gt;=AX$10,EXACT($K11,"")),
MAX(1,ROUND(HLOOKUP(IF(EC11&lt;65,"A+",IF(EC11&gt;72,"H",CHAR(EC11))),SKT,AX$10+3,FALSE)*IF(VT_EIDGED,IF($C11="Dru",1/3,0.5),1)*IF(VT_GUTGED,IF($C11="Dru",2/3,0.75),1),0)),0),0)
*IF(ISERR(FIND(";"&amp;AX$10&amp;":0;",$H11)),1,0)</f>
        <v>0</v>
      </c>
      <c r="AY11" s="164">
        <f t="shared" ref="AY11:AY35" ca="1" si="36">IF(NOT($A11=""),IF(AND(NOT(ISBLANK($J11)),SUM(VALUE($B11),$F11)&lt;AY$10,SUM(VALUE($B11),$F11,$J11)&gt;=AY$10,EXACT($K11,"")),
MAX(1,ROUND(HLOOKUP(IF(ED11&lt;65,"A+",IF(ED11&gt;72,"H",CHAR(ED11))),SKT,AY$10+3,FALSE)*IF(VT_EIDGED,IF($C11="Dru",1/3,0.5),1)*IF(VT_GUTGED,IF($C11="Dru",2/3,0.75),1),0)),0),0)
*IF(ISERR(FIND(";"&amp;AY$10&amp;":0;",$H11)),1,0)</f>
        <v>0</v>
      </c>
      <c r="AZ11" s="164">
        <f t="shared" ref="AZ11:AZ35" ca="1" si="37">IF(NOT($A11=""),IF(AND(NOT(ISBLANK($J11)),SUM(VALUE($B11),$F11)&lt;AZ$10,SUM(VALUE($B11),$F11,$J11)&gt;=AZ$10,EXACT($K11,"")),
MAX(1,ROUND(HLOOKUP(IF(EE11&lt;65,"A+",IF(EE11&gt;72,"H",CHAR(EE11))),SKT,AZ$10+3,FALSE)*IF(VT_EIDGED,IF($C11="Dru",1/3,0.5),1)*IF(VT_GUTGED,IF($C11="Dru",2/3,0.75),1),0)),0),0)
*IF(ISERR(FIND(";"&amp;AZ$10&amp;":0;",$H11)),1,0)</f>
        <v>0</v>
      </c>
      <c r="BA11" s="164">
        <f t="shared" ref="BA11:BA35" ca="1" si="38">IF(NOT($A11=""),IF(AND(NOT(ISBLANK($J11)),SUM(VALUE($B11),$F11)&lt;BA$10,SUM(VALUE($B11),$F11,$J11)&gt;=BA$10,EXACT($K11,"")),
MAX(1,ROUND(HLOOKUP(IF(EF11&lt;65,"A+",IF(EF11&gt;72,"H",CHAR(EF11))),SKT,BA$10+3,FALSE)*IF(VT_EIDGED,IF($C11="Dru",1/3,0.5),1)*IF(VT_GUTGED,IF($C11="Dru",2/3,0.75),1),0)),0),0)
*IF(ISERR(FIND(";"&amp;BA$10&amp;":0;",$H11)),1,0)</f>
        <v>0</v>
      </c>
      <c r="BB11" s="164">
        <f t="shared" ref="BB11:BB35" ca="1" si="39">IF(NOT($A11=""),IF(AND(NOT(ISBLANK($J11)),SUM(VALUE($B11),$F11)&lt;BB$10,SUM(VALUE($B11),$F11,$J11)&gt;=BB$10,EXACT($K11,"")),
MAX(1,ROUND(HLOOKUP(IF(EG11&lt;65,"A+",IF(EG11&gt;72,"H",CHAR(EG11))),SKT,BB$10+3,FALSE)*IF(VT_EIDGED,IF($C11="Dru",1/3,0.5),1)*IF(VT_GUTGED,IF($C11="Dru",2/3,0.75),1),0)),0),0)
*IF(ISERR(FIND(";"&amp;BB$10&amp;":0;",$H11)),1,0)</f>
        <v>0</v>
      </c>
      <c r="BC11" s="164">
        <f t="shared" ref="BC11:BC35" ca="1" si="40">IF(NOT($A11=""),IF(AND(NOT(ISBLANK($J11)),SUM(VALUE($B11),$F11)&lt;BC$10,SUM(VALUE($B11),$F11,$J11)&gt;=BC$10,EXACT($K11,"")),
MAX(1,ROUND(HLOOKUP(IF(EH11&lt;65,"A+",IF(EH11&gt;72,"H",CHAR(EH11))),SKT,BC$10+3,FALSE)*IF(VT_EIDGED,IF($C11="Dru",1/3,0.5),1)*IF(VT_GUTGED,IF($C11="Dru",2/3,0.75),1),0)),0),0)
*IF(ISERR(FIND(";"&amp;BC$10&amp;":0;",$H11)),1,0)</f>
        <v>0</v>
      </c>
      <c r="BD11" s="164">
        <f t="shared" ref="BD11:BD35" ca="1" si="41">IF(NOT($A11=""),IF(AND(NOT(ISBLANK($J11)),SUM(VALUE($B11),$F11)&lt;BD$10,SUM(VALUE($B11),$F11,$J11)&gt;=BD$10,EXACT($K11,"")),
MAX(1,ROUND(HLOOKUP(IF(EI11&lt;65,"A+",IF(EI11&gt;72,"H",CHAR(EI11))),SKT,BD$10+3,FALSE)*IF(VT_EIDGED,IF($C11="Dru",1/3,0.5),1)*IF(VT_GUTGED,IF($C11="Dru",2/3,0.75),1),0)),0),0)
*IF(ISERR(FIND(";"&amp;BD$10&amp;":0;",$H11)),1,0)</f>
        <v>0</v>
      </c>
      <c r="BE11" s="164">
        <f t="shared" ref="BE11:BE35" ca="1" si="42">IF(NOT($A11=""),IF(AND(NOT(ISBLANK($J11)),SUM(VALUE($B11),$F11)&lt;BE$10,SUM(VALUE($B11),$F11,$J11)&gt;=BE$10,EXACT($K11,"")),
MAX(1,ROUND(HLOOKUP(IF(EJ11&lt;65,"A+",IF(EJ11&gt;72,"H",CHAR(EJ11))),SKT,BE$10+3,FALSE)*IF(VT_EIDGED,IF($C11="Dru",1/3,0.5),1)*IF(VT_GUTGED,IF($C11="Dru",2/3,0.75),1),0)),0),0)
*IF(ISERR(FIND(";"&amp;BE$10&amp;":0;",$H11)),1,0)</f>
        <v>0</v>
      </c>
      <c r="BF11" s="164">
        <f t="shared" ref="BF11:BF35" ca="1" si="43">IF(NOT($A11=""),IF(AND(NOT(ISBLANK($J11)),SUM(VALUE($B11),$F11)&lt;BF$10,SUM(VALUE($B11),$F11,$J11)&gt;=BF$10,EXACT($K11,"")),
MAX(1,ROUND(HLOOKUP(IF(EK11&lt;65,"A+",IF(EK11&gt;72,"H",CHAR(EK11))),SKT,BF$10+3,FALSE)*IF(VT_EIDGED,IF($C11="Dru",1/3,0.5),1)*IF(VT_GUTGED,IF($C11="Dru",2/3,0.75),1),0)),0),0)
*IF(ISERR(FIND(";"&amp;BF$10&amp;":0;",$H11)),1,0)</f>
        <v>0</v>
      </c>
      <c r="BG11" s="164">
        <f t="shared" ref="BG11:BG35" ca="1" si="44">IF(NOT($A11=""),IF(AND(NOT(ISBLANK($J11)),SUM(VALUE($B11),$F11)&lt;BG$10,SUM(VALUE($B11),$F11,$J11)&gt;=BG$10,EXACT($K11,"")),
MAX(1,ROUND(HLOOKUP(IF(EL11&lt;65,"A+",IF(EL11&gt;72,"H",CHAR(EL11))),SKT,BG$10+3,FALSE)*IF(VT_EIDGED,IF($C11="Dru",1/3,0.5),1)*IF(VT_GUTGED,IF($C11="Dru",2/3,0.75),1),0)),0),0)
*IF(ISERR(FIND(";"&amp;BG$10&amp;":0;",$H11)),1,0)</f>
        <v>0</v>
      </c>
      <c r="BH11" s="164">
        <f t="shared" ref="BH11:BH35" ca="1" si="45">IF(NOT($A11=""),IF(AND(NOT(ISBLANK($J11)),SUM(VALUE($B11),$F11)&lt;BH$10,SUM(VALUE($B11),$F11,$J11)&gt;=BH$10,EXACT($K11,"")),
MAX(1,ROUND(HLOOKUP(IF(EM11&lt;65,"A+",IF(EM11&gt;72,"H",CHAR(EM11))),SKT,BH$10+3,FALSE)*IF(VT_EIDGED,IF($C11="Dru",1/3,0.5),1)*IF(VT_GUTGED,IF($C11="Dru",2/3,0.75),1),0)),0),0)
*IF(ISERR(FIND(";"&amp;BH$10&amp;":0;",$H11)),1,0)</f>
        <v>0</v>
      </c>
      <c r="BI11" s="164">
        <f t="shared" ref="BI11:BI35" ca="1" si="46">IF(NOT($A11=""),IF(AND(NOT(ISBLANK($J11)),SUM(VALUE($B11),$F11)&lt;BI$10,SUM(VALUE($B11),$F11,$J11)&gt;=BI$10,EXACT($K11,"")),
MAX(1,ROUND(HLOOKUP(IF(EN11&lt;65,"A+",IF(EN11&gt;72,"H",CHAR(EN11))),SKT,BI$10+3,FALSE)*IF(VT_EIDGED,IF($C11="Dru",1/3,0.5),1)*IF(VT_GUTGED,IF($C11="Dru",2/3,0.75),1),0)),0),0)
*IF(ISERR(FIND(";"&amp;BI$10&amp;":0;",$H11)),1,0)</f>
        <v>0</v>
      </c>
      <c r="BJ11" s="164">
        <f t="shared" ref="BJ11:BJ35" ca="1" si="47">IF(NOT($A11=""),IF(AND(NOT(ISBLANK($J11)),SUM(VALUE($B11),$F11)&lt;BJ$10,SUM(VALUE($B11),$F11,$J11)&gt;=BJ$10,EXACT($K11,"")),
MAX(1,ROUND(HLOOKUP(IF(EO11&lt;65,"A+",IF(EO11&gt;72,"H",CHAR(EO11))),SKT,BJ$10+3,FALSE)*IF(VT_EIDGED,IF($C11="Dru",1/3,0.5),1)*IF(VT_GUTGED,IF($C11="Dru",2/3,0.75),1),0)),0),0)
*IF(ISERR(FIND(";"&amp;BJ$10&amp;":0;",$H11)),1,0)</f>
        <v>0</v>
      </c>
      <c r="BK11" s="164">
        <f t="shared" ref="BK11:BK35" ca="1" si="48">IF(NOT($A11=""),IF(AND(NOT(ISBLANK($J11)),SUM(VALUE($B11),$F11)&lt;BK$10,SUM(VALUE($B11),$F11,$J11)&gt;=BK$10,EXACT($K11,"")),
MAX(1,ROUND(HLOOKUP(IF(EP11&lt;65,"A+",IF(EP11&gt;72,"H",CHAR(EP11))),SKT,BK$10+3,FALSE)*IF(VT_EIDGED,IF($C11="Dru",1/3,0.5),1)*IF(VT_GUTGED,IF($C11="Dru",2/3,0.75),1),0)),0),0)
*IF(ISERR(FIND(";"&amp;BK$10&amp;":0;",$H11)),1,0)</f>
        <v>0</v>
      </c>
      <c r="BL11" s="164">
        <f t="shared" ref="BL11:BL35" ca="1" si="49">IF(NOT($A11=""),IF(AND(NOT(ISBLANK($J11)),SUM(VALUE($B11),$F11)&lt;BL$10,SUM(VALUE($B11),$F11,$J11)&gt;=BL$10,EXACT($K11,"")),
MAX(1,ROUND(HLOOKUP(IF(EQ11&lt;65,"A+",IF(EQ11&gt;72,"H",CHAR(EQ11))),SKT,BL$10+3,FALSE)*IF(VT_EIDGED,IF($C11="Dru",1/3,0.5),1)*IF(VT_GUTGED,IF($C11="Dru",2/3,0.75),1),0)),0),0)
*IF(ISERR(FIND(";"&amp;BL$10&amp;":0;",$H11)),1,0)</f>
        <v>0</v>
      </c>
      <c r="BM11" s="164">
        <f t="shared" ref="BM11:BM35" ca="1" si="50">IF(NOT($A11=""),IF(AND(NOT(ISBLANK($J11)),SUM(VALUE($B11),$F11)&lt;BM$10,SUM(VALUE($B11),$F11,$J11)&gt;=BM$10,EXACT($K11,"")),
MAX(1,ROUND(HLOOKUP(IF(ER11&lt;65,"A+",IF(ER11&gt;72,"H",CHAR(ER11))),SKT,BM$10+3,FALSE)*IF(VT_EIDGED,IF($C11="Dru",1/3,0.5),1)*IF(VT_GUTGED,IF($C11="Dru",2/3,0.75),1),0)),0),0)
*IF(ISERR(FIND(";"&amp;BM$10&amp;":0;",$H11)),1,0)</f>
        <v>0</v>
      </c>
      <c r="BN11" s="164">
        <f t="shared" ref="BN11:BN35" ca="1" si="51">IF(NOT($A11=""),IF(AND(NOT(ISBLANK($J11)),SUM(VALUE($B11),$F11)&lt;BN$10,SUM(VALUE($B11),$F11,$J11)&gt;=BN$10,EXACT($K11,"")),
MAX(1,ROUND(HLOOKUP(IF(ES11&lt;65,"A+",IF(ES11&gt;72,"H",CHAR(ES11))),SKT,BN$10+3,FALSE)*IF(VT_EIDGED,IF($C11="Dru",1/3,0.5),1)*IF(VT_GUTGED,IF($C11="Dru",2/3,0.75),1),0)),0),0)
*IF(ISERR(FIND(";"&amp;BN$10&amp;":0;",$H11)),1,0)</f>
        <v>0</v>
      </c>
      <c r="BO11" s="356" t="str">
        <f t="shared" ref="BO11:BO35" ca="1" si="52">IF($A11="","",CODE(VLOOKUP($A11,ZAUBERWERTE,10,FALSE))-
SUM($BR11:$CA11,
IF(NOT(EXACT($AF$241,"")),(LEN($BQ11)-LEN(SUBSTITUTE($BQ11,$AF$241,"")))/LEN($AF$241),0),
IF(NOT(EXACT($AF$242,"")),(LEN($BQ11)-LEN(SUBSTITUTE($BQ11,$AF$242,"")))/LEN($AF$242),0),
IF(NOT(EXACT($AF$243,"")),(LEN($BQ11)-LEN(SUBSTITUTE($BQ11,$AF$243,"")))/LEN($AF$243),0),
IF(NOT(EXACT($AF$244,"")),(LEN($BQ11)-LEN(SUBSTITUTE($BQ11,$AF$244,"")))/LEN($AF$244),0),
IF(NOT(EXACT($AF$245,"")),(LEN($BQ11)-LEN(SUBSTITUTE($BQ11,$AF$245,"")))/LEN($AF$245),0),
IF(NOT(EXACT($AF$246,"")),(LEN($BQ11)-LEN(SUBSTITUTE($BQ11,$AF$246,"")))/LEN($AF$246),0),
IF(NOT(EXACT($AF$247,"")),(LEN($BQ11)-LEN(SUBSTITUTE($BQ11,$AF$247,"")))/LEN($AF$247),0)))</f>
        <v/>
      </c>
      <c r="BP11" s="355" t="str">
        <f t="shared" ref="BP11:BP35" ca="1" si="53">IF(NOT(EXACT($A11,"")),VLOOKUP($A11,ZAUBERWERTE,11,FALSE),"")</f>
        <v/>
      </c>
      <c r="BQ11" s="355" t="str">
        <f t="shared" ref="BQ11:BQ35" ca="1" si="54">IF(NOT(EXACT($A11,"")),VLOOKUP($A11,ZAUBERWERTE,12,FALSE),"")</f>
        <v/>
      </c>
      <c r="BR11" s="348">
        <f ca="1">IF(EXACT($BP$2,""),0,IF($CV$3,IF(ISERROR(FIND($BP$2,$BQ11)),0,1),(LEN($BQ11)-LEN(SUBSTITUTE($BQ11,$BP$2,"")))/LEN($BP$2)))</f>
        <v>0</v>
      </c>
      <c r="BS11" s="348">
        <f ca="1">IF(EXACT($BP$3,""),0,IF($CV$3,IF(ISERROR(FIND($BP$3,$BQ11)),0,1),(LEN($BQ11)-LEN(SUBSTITUTE($BQ11,$BP$3,"")))/LEN($BP$3)))</f>
        <v>0</v>
      </c>
      <c r="BT11" s="610">
        <f t="shared" ref="BT11:BT35" ca="1" si="55">IF(ISERR(FIND($C11,CONCATENATE($BP$4,$BP$5,$A$237,$A$238))),
IF($BP$4="Sch",IF($C11="Srl",-2,-3),
IF($BP$4="Srl",IF($C11="Mag",-1,-2),
IF($C11="Sch",-3,-2))),
0)</f>
        <v>0</v>
      </c>
      <c r="BU11" s="357">
        <v>1</v>
      </c>
      <c r="BV11" s="357">
        <v>0</v>
      </c>
      <c r="BW11" s="357">
        <f t="shared" ref="BW11:BW35" si="56">SUM(IF(NT_ANIMALMAGIE,IF(NOT(ISNA(VLOOKUP(A11,ZAUBERWERTE,2,FALSE))),IF(SUM(IF(VLOOKUP(A11,ZAUBERWERTE,2,FALSE)="KL",1,0),IF(VLOOKUP(A11,ZAUBERWERTE,3,FALSE)="KL",1,0),IF(VLOOKUP(A11,ZAUBERWERTE,4,FALSE)="KL",1,0))&gt;1,-1,0),0),0),
IF(NT_FESTDENKEN,IF(NOT(ISNA(VLOOKUP(A11,ZAUBERWERTE,2,FALSE))),IF(SUM(IF(VLOOKUP(A11,ZAUBERWERTE,2,FALSE)="IN",1,0),IF(VLOOKUP(A11,ZAUBERWERTE,3,FALSE)="IN",1,0),IF(VLOOKUP(A11,ZAUBERWERTE,4,FALSE)="IN",1,0))&gt;1,-1,0),0),0),
IF(NT_SCHWACHAUS,IF(NOT(ISNA(VLOOKUP(A11,ZAUBERWERTE,2,FALSE))),IF(SUM(IF(VLOOKUP(A11,ZAUBERWERTE,2,FALSE)="CH",1,0),IF(VLOOKUP(A11,ZAUBERWERTE,3,FALSE)="CH",1,0),IF(VLOOKUP(A11,ZAUBERWERTE,4,FALSE)="CH",1,0))&gt;1,-1,0),0),0),
IF(NT_ZOEGZAUBERER,IF(NOT(ISNA(VLOOKUP(A11,ZAUBERWERTE,2,FALSE))),IF(SUM(IF(VLOOKUP(A11,ZAUBERWERTE,2,FALSE)="MU",1,0),IF(VLOOKUP(A11,ZAUBERWERTE,3,FALSE)="MU",1,0),IF(VLOOKUP(A11,ZAUBERWERTE,4,FALSE)="MU",1,0))&gt;1,-1,0),0),0))</f>
        <v>0</v>
      </c>
      <c r="BX11" s="357">
        <f t="shared" ref="BX11:BX35" ca="1" si="57">IF($BY11&gt;0,0,IF(OR(AND(NOT(EXACT($T$6,"")),EXACT($A11,$T$6)),AND(NOT(EXACT($T$7,"")),EXACT($A11,$T$7)),AND(NOT(EXACT($T$8,"")),EXACT($A11,$T$8))),1,0))</f>
        <v>0</v>
      </c>
      <c r="BY11" s="357">
        <f ca="1">SUM(
IF(NOT(EXACT($T$3,"")),(LEN($BQ11)-LEN(SUBSTITUTE($BQ11,$T$3,"")))/LEN($T$3),0),
IF(NOT(EXACT($T$4,"")),(LEN($BQ11)-LEN(SUBSTITUTE($BQ11,$T$4,"")))/LEN($T$4),0),
IF(NOT(EXACT($T$5,"")),(LEN($BQ11)-LEN(SUBSTITUTE($BQ11,$T$5,"")))/LEN($T$5),0))</f>
        <v>0</v>
      </c>
      <c r="BZ11" s="357"/>
      <c r="CA11" s="357">
        <f ca="1">SUM(IF(AND(NOT(ISERR(FIND($AC$6,BQ11))),NOT(EXACT($AC$6,""))),-1,0),IF(AND(NOT(ISERR(FIND($AC$7,BQ11))),NOT(EXACT($AC$7,""))),-1,0),IF(AND(NOT(ISERR(FIND($AC$8,BQ11))),NOT(EXACT($AC$8,""))),-1,0),IF(AND(NOT(ISERR(FIND($BP$6,BQ11))),NOT(EXACT($BP$6,""))),-1,0))</f>
        <v>0</v>
      </c>
      <c r="CB11" s="357" t="str">
        <f ca="1">IF(A11="","",IF(ISERROR(FIND(A11,ZAUBER_ELF_LEIT,1)),
IF(ISERROR(VLOOKUP(A11,ZAUBER_START_NEU,4,FALSE)="L"),"","L"),"L"))</f>
        <v/>
      </c>
      <c r="CC11" s="358" t="str">
        <f ca="1">IF(EXACT($BP$2,""),"",IF(NOT(ISERR(FIND($BP$2,$BQ11))),$BP$2,""))</f>
        <v/>
      </c>
      <c r="CD11" s="358" t="str">
        <f ca="1">IF(EXACT($BP$3,""),"",IF(NOT(ISERR(FIND($BP$3,$BQ11))),$BP$3,""))</f>
        <v/>
      </c>
      <c r="CE11" s="357" t="str">
        <f ca="1">CONCATENATE($A11,",")</f>
        <v>,</v>
      </c>
      <c r="CF11" s="154"/>
      <c r="CG11" s="154">
        <f ca="1">IF($BY11&gt;0,0,IF(OR(AND(NOT(EXACT($T$6,"")),EXACT($A11,$T$6)),AND(NOT(EXACT($T$7,"")),EXACT($A11,$T$7)),AND(NOT(EXACT($T$8,"")),EXACT($A11,$T$8))),1,0))</f>
        <v>0</v>
      </c>
      <c r="CH11" s="268" t="str">
        <f t="shared" ref="CH11:CH35" ca="1" si="58">IF(AND(MAGISCH,NOT(EXACT($A11,""))),HLOOKUP(KULTURGENE,KULTUR,VLOOKUP($A11,ZAUBERWERTE,14,FALSE),FALSE),"")</f>
        <v/>
      </c>
      <c r="CI11" s="268">
        <f ca="1">VALUE(IF(EXACT(RIGHT(CH11),"H"),LEFT(CH11),IF(EXACT(RIGHT(CH11),"B"),0,IF(EXACT(CH11,""),0,CH11))))</f>
        <v>0</v>
      </c>
      <c r="CJ11" s="268" t="str">
        <f t="shared" ref="CJ11:CJ35" ca="1" si="59">IF(VT_VRTLZBR,IF(VT_VRTLZBR_START,3,0),IF(AND(MAGISCH,NOT(EXACT($A11,""))),HLOOKUP(PROFGENE,INDIRECT(PROFGEBIET),VLOOKUP($A11,ZAUBERWERTE,14,FALSE),FALSE),""))</f>
        <v/>
      </c>
      <c r="CK11" s="268">
        <f t="shared" ref="CK11:CK35" ca="1" si="60">IF(PROFGEBGENE="Goetter",0,VALUE(IF(EXACT(RIGHT(CJ11),"H"),LEFT(CJ11),IF(EXACT(RIGHT(CJ11),"B"),0,IF(EXACT(CJ11,""),0,CJ11)))))</f>
        <v>0</v>
      </c>
      <c r="CL11" s="268">
        <f t="shared" ref="CL11:CL35" ca="1" si="61">IF(ISERROR(VLOOKUP(A11,ZAUBER_HAUS_NEU,1,FALSE)),0,VLOOKUP(A11,ZAUBER_HAUS_NEU,3,FALSE))</f>
        <v>0</v>
      </c>
      <c r="CM11" s="154">
        <f ca="1">CG11+CI11+CK11+CL11</f>
        <v>0</v>
      </c>
      <c r="CN11" s="154"/>
      <c r="CO11" s="169"/>
      <c r="CP11" s="169"/>
      <c r="CQ11" s="169"/>
      <c r="CR11" s="169"/>
      <c r="CS11" s="169"/>
      <c r="CT11" s="169"/>
      <c r="CU11" s="169"/>
      <c r="CV11" s="164" t="str">
        <f t="shared" ref="CV11:DE20" ca="1" si="62">IF($A11="","",IF(VT_VRTLZBR,CODE("F"),CODE(VLOOKUP($A11,ZAUBERWERTE,10,FALSE))-
SUM($BR11:$CA11,
IF(ISERR(FIND(";"&amp;CV$10&amp;";",$H11)),0,1),
IF(ISERR(FIND(";"&amp;CV$10&amp;":",$H11)),0,VALUE(MID($H11,FIND(";"&amp;CV$10&amp;":",$H11)+LEN(CV$10)+2,1))),
IF(AND(NOT(EXACT($AF$241,"")),OR(CV$10&gt;$CO11,ISBLANK($CO11))),IF($CV$3,IF(ISERROR(FIND($AF$241,$BQ11)),0,1),(LEN($BQ11)-LEN(SUBSTITUTE($BQ11,$AF$241,"")))/LEN($AF$241)),0),
IF(AND(NOT(EXACT($AF$242,"")),OR(CV$10&gt;$CP11,ISBLANK($CP11))),IF($CV$3,IF(ISERROR(FIND($AF$242,$BQ11)),0,1),(LEN($BQ11)-LEN(SUBSTITUTE($BQ11,$AF$242,"")))/LEN($AF$242)),0),
IF(AND(NOT(EXACT($AF$243,"")),OR(CV$10&gt;$CQ11,ISBLANK($CQ11))),IF($CV$3,IF(ISERROR(FIND($AF$243,$BQ11)),0,1),(LEN($BQ11)-LEN(SUBSTITUTE($BQ11,$AF$243,"")))/LEN($AF$243)),0),
IF(AND(NOT(EXACT($AF$244,"")),OR(CV$10&gt;$CR11,ISBLANK($CR11))),IF($CV$3,IF(ISERROR(FIND($AF$244,$BQ11)),0,1),(LEN($BQ11)-LEN(SUBSTITUTE($BQ11,$AF$244,"")))/LEN($AF$244)),0),
IF(AND(NOT(EXACT($AF$245,"")),OR(CV$10&gt;$CS11,ISBLANK($CS11))),IF($CV$3,IF(ISERROR(FIND($AF$245,$BQ11)),0,1),(LEN($BQ11)-LEN(SUBSTITUTE($BQ11,$AF$245,"")))/LEN($AF$245)),0),
IF(AND(NOT(EXACT($AF$246,"")),OR(CV$10&gt;$CT11,ISBLANK($CT11))),IF($CV$3,IF(ISERROR(FIND($AF$246,$BQ11)),0,1),(LEN($BQ11)-LEN(SUBSTITUTE($BQ11,$AF$246,"")))/LEN($AF$246)),0),
IF(AND(NOT(EXACT($AF$247,"")),OR(CV$10&gt;$CU11,ISBLANK($CU11))),IF($CV$3,IF(ISERROR(FIND($AF$247,$BQ11)),0,1),(LEN($BQ11)-LEN(SUBSTITUTE($BQ11,$AF$247,"")))/LEN($AF$247)),0)
)))</f>
        <v/>
      </c>
      <c r="CW11" s="164" t="str">
        <f t="shared" ca="1" si="62"/>
        <v/>
      </c>
      <c r="CX11" s="164" t="str">
        <f t="shared" ca="1" si="62"/>
        <v/>
      </c>
      <c r="CY11" s="164" t="str">
        <f t="shared" ca="1" si="62"/>
        <v/>
      </c>
      <c r="CZ11" s="164" t="str">
        <f t="shared" ca="1" si="62"/>
        <v/>
      </c>
      <c r="DA11" s="164" t="str">
        <f t="shared" ca="1" si="62"/>
        <v/>
      </c>
      <c r="DB11" s="164" t="str">
        <f t="shared" ca="1" si="62"/>
        <v/>
      </c>
      <c r="DC11" s="164" t="str">
        <f t="shared" ca="1" si="62"/>
        <v/>
      </c>
      <c r="DD11" s="164" t="str">
        <f t="shared" ca="1" si="62"/>
        <v/>
      </c>
      <c r="DE11" s="164" t="str">
        <f t="shared" ca="1" si="62"/>
        <v/>
      </c>
      <c r="DF11" s="164" t="str">
        <f t="shared" ref="DF11:DQ20" ca="1" si="63">IF($A11="","",IF(VT_VRTLZBR,CODE("F"),CODE(VLOOKUP($A11,ZAUBERWERTE,10,FALSE))-
SUM($BR11:$CA11,
IF(ISERR(FIND(";"&amp;DF$10&amp;";",$H11)),0,1),
IF(ISERR(FIND(";"&amp;DF$10&amp;":",$H11)),0,VALUE(MID($H11,FIND(";"&amp;DF$10&amp;":",$H11)+LEN(DF$10)+2,1))),
IF(AND(NOT(EXACT($AF$241,"")),OR(DF$10&gt;$CO11,ISBLANK($CO11))),IF($CV$3,IF(ISERROR(FIND($AF$241,$BQ11)),0,1),(LEN($BQ11)-LEN(SUBSTITUTE($BQ11,$AF$241,"")))/LEN($AF$241)),0),
IF(AND(NOT(EXACT($AF$242,"")),OR(DF$10&gt;$CP11,ISBLANK($CP11))),IF($CV$3,IF(ISERROR(FIND($AF$242,$BQ11)),0,1),(LEN($BQ11)-LEN(SUBSTITUTE($BQ11,$AF$242,"")))/LEN($AF$242)),0),
IF(AND(NOT(EXACT($AF$243,"")),OR(DF$10&gt;$CQ11,ISBLANK($CQ11))),IF($CV$3,IF(ISERROR(FIND($AF$243,$BQ11)),0,1),(LEN($BQ11)-LEN(SUBSTITUTE($BQ11,$AF$243,"")))/LEN($AF$243)),0),
IF(AND(NOT(EXACT($AF$244,"")),OR(DF$10&gt;$CR11,ISBLANK($CR11))),IF($CV$3,IF(ISERROR(FIND($AF$244,$BQ11)),0,1),(LEN($BQ11)-LEN(SUBSTITUTE($BQ11,$AF$244,"")))/LEN($AF$244)),0),
IF(AND(NOT(EXACT($AF$245,"")),OR(DF$10&gt;$CS11,ISBLANK($CS11))),IF($CV$3,IF(ISERROR(FIND($AF$245,$BQ11)),0,1),(LEN($BQ11)-LEN(SUBSTITUTE($BQ11,$AF$245,"")))/LEN($AF$245)),0),
IF(AND(NOT(EXACT($AF$246,"")),OR(DF$10&gt;$CT11,ISBLANK($CT11))),IF($CV$3,IF(ISERROR(FIND($AF$246,$BQ11)),0,1),(LEN($BQ11)-LEN(SUBSTITUTE($BQ11,$AF$246,"")))/LEN($AF$246)),0),
IF(AND(NOT(EXACT($AF$247,"")),OR(DF$10&gt;$CU11,ISBLANK($CU11))),IF($CV$3,IF(ISERROR(FIND($AF$247,$BQ11)),0,1),(LEN($BQ11)-LEN(SUBSTITUTE($BQ11,$AF$247,"")))/LEN($AF$247)),0)
)))</f>
        <v/>
      </c>
      <c r="DG11" s="164" t="str">
        <f t="shared" ca="1" si="63"/>
        <v/>
      </c>
      <c r="DH11" s="164" t="str">
        <f t="shared" ca="1" si="63"/>
        <v/>
      </c>
      <c r="DI11" s="164" t="str">
        <f t="shared" ca="1" si="63"/>
        <v/>
      </c>
      <c r="DJ11" s="164" t="str">
        <f t="shared" ca="1" si="63"/>
        <v/>
      </c>
      <c r="DK11" s="164" t="str">
        <f t="shared" ca="1" si="63"/>
        <v/>
      </c>
      <c r="DL11" s="164" t="str">
        <f t="shared" ca="1" si="63"/>
        <v/>
      </c>
      <c r="DM11" s="164" t="str">
        <f t="shared" ca="1" si="63"/>
        <v/>
      </c>
      <c r="DN11" s="164" t="str">
        <f t="shared" ca="1" si="63"/>
        <v/>
      </c>
      <c r="DO11" s="164" t="str">
        <f t="shared" ca="1" si="63"/>
        <v/>
      </c>
      <c r="DP11" s="164" t="str">
        <f t="shared" ca="1" si="63"/>
        <v/>
      </c>
      <c r="DQ11" s="164" t="str">
        <f t="shared" ca="1" si="63"/>
        <v/>
      </c>
      <c r="DR11" s="208"/>
      <c r="DS11" s="164" t="str">
        <f t="shared" ref="DS11:DS35" ca="1" si="64">IF($A11="","",IF(VT_VRTLZBR,CODE("F")+1,CODE(VLOOKUP($A11,ZAUBERWERTE,10,FALSE)))-
SUM($BR11:$CA11,
IF(ISERR(FIND(";"&amp;DS$10&amp;";",$H11)),0,1),
IF(ISERR(FIND(";"&amp;DS$10&amp;":",$H11)),0,VALUE(MID($H11,FIND(";"&amp;DS$10&amp;":",$H11)+LEN(DS$10)+2,1))),
IF(ISERR(FIND(";"&amp;DS$10&amp;"+",$H11)),0,-VALUE(MID($H11,FIND(";"&amp;DS$10&amp;"+",$H11)+LEN(DS$10)+2,1))),
IF(AND(NT_Unstet,VLOOKUP($A11,ZAUBERWERTE,10,FALSE)&gt;="C"),-1,0),
IF(AND(NOT(EXACT($AF$241,"")),OR(CV$10&gt;$CO11,ISBLANK($CO11))),IF($CV$3,IF(ISERROR(FIND($AF$241,$BQ11)),0,1),(LEN($BQ11)-LEN(SUBSTITUTE($BQ11,$AF$241,"")))/LEN($AF$241)),0),
IF(AND(NOT(EXACT($AF$242,"")),OR(CV$10&gt;$CP11,ISBLANK($CP11))),IF($CV$3,IF(ISERROR(FIND($AF$242,$BQ11)),0,1),(LEN($BQ11)-LEN(SUBSTITUTE($BQ11,$AF$242,"")))/LEN($AF$242)),0),
IF(AND(NOT(EXACT($AF$243,"")),OR(CV$10&gt;$CQ11,ISBLANK($CQ11))),IF($CV$3,IF(ISERROR(FIND($AF$243,$BQ11)),0,1),(LEN($BQ11)-LEN(SUBSTITUTE($BQ11,$AF$243,"")))/LEN($AF$243)),0),
IF(AND(NOT(EXACT($AF$244,"")),OR(CV$10&gt;$CR11,ISBLANK($CR11))),IF($CV$3,IF(ISERROR(FIND($AF$244,$BQ11)),0,1),(LEN($BQ11)-LEN(SUBSTITUTE($BQ11,$AF$244,"")))/LEN($AF$244)),0),
IF(AND(NOT(EXACT($AF$245,"")),OR(CV$10&gt;$CS11,ISBLANK($CS11))),IF($CV$3,IF(ISERROR(FIND($AF$245,$BQ11)),0,1),(LEN($BQ11)-LEN(SUBSTITUTE($BQ11,$AF$245,"")))/LEN($AF$245)),0),
IF(AND(NOT(EXACT($AF$246,"")),OR(CV$10&gt;$CT11,ISBLANK($CT11))),IF($CV$3,IF(ISERROR(FIND($AF$246,$BQ11)),0,1),(LEN($BQ11)-LEN(SUBSTITUTE($BQ11,$AF$246,"")))/LEN($AF$246)),0),
IF(AND(NOT(EXACT($AF$247,"")),OR(CV$10&gt;$CU11,ISBLANK($CU11))),IF($CV$3,IF(ISERROR(FIND($AF$247,$BQ11)),0,1),(LEN($BQ11)-LEN(SUBSTITUTE($BQ11,$AF$247,"")))/LEN($AF$247)),0)
))</f>
        <v/>
      </c>
      <c r="DT11" s="164" t="str">
        <f t="shared" ref="DT11:DT35" ca="1" si="65">IF($A11="","",IF(VT_VRTLZBR,CODE("F")+1,CODE(VLOOKUP($A11,ZAUBERWERTE,10,FALSE)))-
SUM($BR11:$CA11,
IF(ISERR(FIND(";"&amp;DT$10&amp;";",$H11)),0,1),
IF(ISERR(FIND(";"&amp;DT$10&amp;":",$H11)),0,VALUE(MID($H11,FIND(";"&amp;DT$10&amp;":",$H11)+LEN(DT$10)+2,1))),
IF(ISERR(FIND(";"&amp;DT$10&amp;"+",$H11)),0,-VALUE(MID($H11,FIND(";"&amp;DT$10&amp;"+",$H11)+LEN(DT$10)+2,1))),
IF(AND(NT_Unstet,VLOOKUP($A11,ZAUBERWERTE,10,FALSE)&gt;="C"),-1,0),
IF(AND(NOT(EXACT($AF$241,"")),OR(CW$10&gt;$CO11,ISBLANK($CO11))),IF($CV$3,IF(ISERROR(FIND($AF$241,$BQ11)),0,1),(LEN($BQ11)-LEN(SUBSTITUTE($BQ11,$AF$241,"")))/LEN($AF$241)),0),
IF(AND(NOT(EXACT($AF$242,"")),OR(CW$10&gt;$CP11,ISBLANK($CP11))),IF($CV$3,IF(ISERROR(FIND($AF$242,$BQ11)),0,1),(LEN($BQ11)-LEN(SUBSTITUTE($BQ11,$AF$242,"")))/LEN($AF$242)),0),
IF(AND(NOT(EXACT($AF$243,"")),OR(CW$10&gt;$CQ11,ISBLANK($CQ11))),IF($CV$3,IF(ISERROR(FIND($AF$243,$BQ11)),0,1),(LEN($BQ11)-LEN(SUBSTITUTE($BQ11,$AF$243,"")))/LEN($AF$243)),0),
IF(AND(NOT(EXACT($AF$244,"")),OR(CW$10&gt;$CR11,ISBLANK($CR11))),IF($CV$3,IF(ISERROR(FIND($AF$244,$BQ11)),0,1),(LEN($BQ11)-LEN(SUBSTITUTE($BQ11,$AF$244,"")))/LEN($AF$244)),0),
IF(AND(NOT(EXACT($AF$245,"")),OR(CW$10&gt;$CS11,ISBLANK($CS11))),IF($CV$3,IF(ISERROR(FIND($AF$245,$BQ11)),0,1),(LEN($BQ11)-LEN(SUBSTITUTE($BQ11,$AF$245,"")))/LEN($AF$245)),0),
IF(AND(NOT(EXACT($AF$246,"")),OR(CW$10&gt;$CT11,ISBLANK($CT11))),IF($CV$3,IF(ISERROR(FIND($AF$246,$BQ11)),0,1),(LEN($BQ11)-LEN(SUBSTITUTE($BQ11,$AF$246,"")))/LEN($AF$246)),0),
IF(AND(NOT(EXACT($AF$247,"")),OR(CW$10&gt;$CU11,ISBLANK($CU11))),IF($CV$3,IF(ISERROR(FIND($AF$247,$BQ11)),0,1),(LEN($BQ11)-LEN(SUBSTITUTE($BQ11,$AF$247,"")))/LEN($AF$247)),0)
))</f>
        <v/>
      </c>
      <c r="DU11" s="164" t="str">
        <f t="shared" ref="DU11:DU35" ca="1" si="66">IF($A11="","",IF(VT_VRTLZBR,CODE("F")+1,CODE(VLOOKUP($A11,ZAUBERWERTE,10,FALSE)))-
SUM($BR11:$CA11,
IF(ISERR(FIND(";"&amp;DU$10&amp;";",$H11)),0,1),
IF(ISERR(FIND(";"&amp;DU$10&amp;":",$H11)),0,VALUE(MID($H11,FIND(";"&amp;DU$10&amp;":",$H11)+LEN(DU$10)+2,1))),
IF(ISERR(FIND(";"&amp;DU$10&amp;"+",$H11)),0,-VALUE(MID($H11,FIND(";"&amp;DU$10&amp;"+",$H11)+LEN(DU$10)+2,1))),
IF(AND(NT_Unstet,VLOOKUP($A11,ZAUBERWERTE,10,FALSE)&gt;="C"),-1,0),
IF(AND(NOT(EXACT($AF$241,"")),OR(CX$10&gt;$CO11,ISBLANK($CO11))),IF($CV$3,IF(ISERROR(FIND($AF$241,$BQ11)),0,1),(LEN($BQ11)-LEN(SUBSTITUTE($BQ11,$AF$241,"")))/LEN($AF$241)),0),
IF(AND(NOT(EXACT($AF$242,"")),OR(CX$10&gt;$CP11,ISBLANK($CP11))),IF($CV$3,IF(ISERROR(FIND($AF$242,$BQ11)),0,1),(LEN($BQ11)-LEN(SUBSTITUTE($BQ11,$AF$242,"")))/LEN($AF$242)),0),
IF(AND(NOT(EXACT($AF$243,"")),OR(CX$10&gt;$CQ11,ISBLANK($CQ11))),IF($CV$3,IF(ISERROR(FIND($AF$243,$BQ11)),0,1),(LEN($BQ11)-LEN(SUBSTITUTE($BQ11,$AF$243,"")))/LEN($AF$243)),0),
IF(AND(NOT(EXACT($AF$244,"")),OR(CX$10&gt;$CR11,ISBLANK($CR11))),IF($CV$3,IF(ISERROR(FIND($AF$244,$BQ11)),0,1),(LEN($BQ11)-LEN(SUBSTITUTE($BQ11,$AF$244,"")))/LEN($AF$244)),0),
IF(AND(NOT(EXACT($AF$245,"")),OR(CX$10&gt;$CS11,ISBLANK($CS11))),IF($CV$3,IF(ISERROR(FIND($AF$245,$BQ11)),0,1),(LEN($BQ11)-LEN(SUBSTITUTE($BQ11,$AF$245,"")))/LEN($AF$245)),0),
IF(AND(NOT(EXACT($AF$246,"")),OR(CX$10&gt;$CT11,ISBLANK($CT11))),IF($CV$3,IF(ISERROR(FIND($AF$246,$BQ11)),0,1),(LEN($BQ11)-LEN(SUBSTITUTE($BQ11,$AF$246,"")))/LEN($AF$246)),0),
IF(AND(NOT(EXACT($AF$247,"")),OR(CX$10&gt;$CU11,ISBLANK($CU11))),IF($CV$3,IF(ISERROR(FIND($AF$247,$BQ11)),0,1),(LEN($BQ11)-LEN(SUBSTITUTE($BQ11,$AF$247,"")))/LEN($AF$247)),0)
))</f>
        <v/>
      </c>
      <c r="DV11" s="164" t="str">
        <f t="shared" ref="DV11:DV35" ca="1" si="67">IF($A11="","",IF(VT_VRTLZBR,CODE("F")+1,CODE(VLOOKUP($A11,ZAUBERWERTE,10,FALSE)))-
SUM($BR11:$CA11,
IF(ISERR(FIND(";"&amp;DV$10&amp;";",$H11)),0,1),
IF(ISERR(FIND(";"&amp;DV$10&amp;":",$H11)),0,VALUE(MID($H11,FIND(";"&amp;DV$10&amp;":",$H11)+LEN(DV$10)+2,1))),
IF(ISERR(FIND(";"&amp;DV$10&amp;"+",$H11)),0,-VALUE(MID($H11,FIND(";"&amp;DV$10&amp;"+",$H11)+LEN(DV$10)+2,1))),
IF(AND(NT_Unstet,VLOOKUP($A11,ZAUBERWERTE,10,FALSE)&gt;="C"),-1,0),
IF(AND(NOT(EXACT($AF$241,"")),OR(CY$10&gt;$CO11,ISBLANK($CO11))),IF($CV$3,IF(ISERROR(FIND($AF$241,$BQ11)),0,1),(LEN($BQ11)-LEN(SUBSTITUTE($BQ11,$AF$241,"")))/LEN($AF$241)),0),
IF(AND(NOT(EXACT($AF$242,"")),OR(CY$10&gt;$CP11,ISBLANK($CP11))),IF($CV$3,IF(ISERROR(FIND($AF$242,$BQ11)),0,1),(LEN($BQ11)-LEN(SUBSTITUTE($BQ11,$AF$242,"")))/LEN($AF$242)),0),
IF(AND(NOT(EXACT($AF$243,"")),OR(CY$10&gt;$CQ11,ISBLANK($CQ11))),IF($CV$3,IF(ISERROR(FIND($AF$243,$BQ11)),0,1),(LEN($BQ11)-LEN(SUBSTITUTE($BQ11,$AF$243,"")))/LEN($AF$243)),0),
IF(AND(NOT(EXACT($AF$244,"")),OR(CY$10&gt;$CR11,ISBLANK($CR11))),IF($CV$3,IF(ISERROR(FIND($AF$244,$BQ11)),0,1),(LEN($BQ11)-LEN(SUBSTITUTE($BQ11,$AF$244,"")))/LEN($AF$244)),0),
IF(AND(NOT(EXACT($AF$245,"")),OR(CY$10&gt;$CS11,ISBLANK($CS11))),IF($CV$3,IF(ISERROR(FIND($AF$245,$BQ11)),0,1),(LEN($BQ11)-LEN(SUBSTITUTE($BQ11,$AF$245,"")))/LEN($AF$245)),0),
IF(AND(NOT(EXACT($AF$246,"")),OR(CY$10&gt;$CT11,ISBLANK($CT11))),IF($CV$3,IF(ISERROR(FIND($AF$246,$BQ11)),0,1),(LEN($BQ11)-LEN(SUBSTITUTE($BQ11,$AF$246,"")))/LEN($AF$246)),0),
IF(AND(NOT(EXACT($AF$247,"")),OR(CY$10&gt;$CU11,ISBLANK($CU11))),IF($CV$3,IF(ISERROR(FIND($AF$247,$BQ11)),0,1),(LEN($BQ11)-LEN(SUBSTITUTE($BQ11,$AF$247,"")))/LEN($AF$247)),0)
))</f>
        <v/>
      </c>
      <c r="DW11" s="164" t="str">
        <f t="shared" ref="DW11:DW35" ca="1" si="68">IF($A11="","",IF(VT_VRTLZBR,CODE("F")+1,CODE(VLOOKUP($A11,ZAUBERWERTE,10,FALSE)))-
SUM($BR11:$CA11,
IF(ISERR(FIND(";"&amp;DW$10&amp;";",$H11)),0,1),
IF(ISERR(FIND(";"&amp;DW$10&amp;":",$H11)),0,VALUE(MID($H11,FIND(";"&amp;DW$10&amp;":",$H11)+LEN(DW$10)+2,1))),
IF(ISERR(FIND(";"&amp;DW$10&amp;"+",$H11)),0,-VALUE(MID($H11,FIND(";"&amp;DW$10&amp;"+",$H11)+LEN(DW$10)+2,1))),
IF(AND(NT_Unstet,VLOOKUP($A11,ZAUBERWERTE,10,FALSE)&gt;="C"),-1,0),
IF(AND(NOT(EXACT($AF$241,"")),OR(CZ$10&gt;$CO11,ISBLANK($CO11))),IF($CV$3,IF(ISERROR(FIND($AF$241,$BQ11)),0,1),(LEN($BQ11)-LEN(SUBSTITUTE($BQ11,$AF$241,"")))/LEN($AF$241)),0),
IF(AND(NOT(EXACT($AF$242,"")),OR(CZ$10&gt;$CP11,ISBLANK($CP11))),IF($CV$3,IF(ISERROR(FIND($AF$242,$BQ11)),0,1),(LEN($BQ11)-LEN(SUBSTITUTE($BQ11,$AF$242,"")))/LEN($AF$242)),0),
IF(AND(NOT(EXACT($AF$243,"")),OR(CZ$10&gt;$CQ11,ISBLANK($CQ11))),IF($CV$3,IF(ISERROR(FIND($AF$243,$BQ11)),0,1),(LEN($BQ11)-LEN(SUBSTITUTE($BQ11,$AF$243,"")))/LEN($AF$243)),0),
IF(AND(NOT(EXACT($AF$244,"")),OR(CZ$10&gt;$CR11,ISBLANK($CR11))),IF($CV$3,IF(ISERROR(FIND($AF$244,$BQ11)),0,1),(LEN($BQ11)-LEN(SUBSTITUTE($BQ11,$AF$244,"")))/LEN($AF$244)),0),
IF(AND(NOT(EXACT($AF$245,"")),OR(CZ$10&gt;$CS11,ISBLANK($CS11))),IF($CV$3,IF(ISERROR(FIND($AF$245,$BQ11)),0,1),(LEN($BQ11)-LEN(SUBSTITUTE($BQ11,$AF$245,"")))/LEN($AF$245)),0),
IF(AND(NOT(EXACT($AF$246,"")),OR(CZ$10&gt;$CT11,ISBLANK($CT11))),IF($CV$3,IF(ISERROR(FIND($AF$246,$BQ11)),0,1),(LEN($BQ11)-LEN(SUBSTITUTE($BQ11,$AF$246,"")))/LEN($AF$246)),0),
IF(AND(NOT(EXACT($AF$247,"")),OR(CZ$10&gt;$CU11,ISBLANK($CU11))),IF($CV$3,IF(ISERROR(FIND($AF$247,$BQ11)),0,1),(LEN($BQ11)-LEN(SUBSTITUTE($BQ11,$AF$247,"")))/LEN($AF$247)),0)
))</f>
        <v/>
      </c>
      <c r="DX11" s="164" t="str">
        <f t="shared" ref="DX11:DX35" ca="1" si="69">IF($A11="","",IF(VT_VRTLZBR,CODE("F")+1,CODE(VLOOKUP($A11,ZAUBERWERTE,10,FALSE)))-
SUM($BR11:$CA11,
IF(ISERR(FIND(";"&amp;DX$10&amp;";",$H11)),0,1),
IF(ISERR(FIND(";"&amp;DX$10&amp;":",$H11)),0,VALUE(MID($H11,FIND(";"&amp;DX$10&amp;":",$H11)+LEN(DX$10)+2,1))),
IF(ISERR(FIND(";"&amp;DX$10&amp;"+",$H11)),0,-VALUE(MID($H11,FIND(";"&amp;DX$10&amp;"+",$H11)+LEN(DX$10)+2,1))),
IF(AND(NT_Unstet,VLOOKUP($A11,ZAUBERWERTE,10,FALSE)&gt;="C"),-1,0),
IF(AND(NOT(EXACT($AF$241,"")),OR(DA$10&gt;$CO11,ISBLANK($CO11))),IF($CV$3,IF(ISERROR(FIND($AF$241,$BQ11)),0,1),(LEN($BQ11)-LEN(SUBSTITUTE($BQ11,$AF$241,"")))/LEN($AF$241)),0),
IF(AND(NOT(EXACT($AF$242,"")),OR(DA$10&gt;$CP11,ISBLANK($CP11))),IF($CV$3,IF(ISERROR(FIND($AF$242,$BQ11)),0,1),(LEN($BQ11)-LEN(SUBSTITUTE($BQ11,$AF$242,"")))/LEN($AF$242)),0),
IF(AND(NOT(EXACT($AF$243,"")),OR(DA$10&gt;$CQ11,ISBLANK($CQ11))),IF($CV$3,IF(ISERROR(FIND($AF$243,$BQ11)),0,1),(LEN($BQ11)-LEN(SUBSTITUTE($BQ11,$AF$243,"")))/LEN($AF$243)),0),
IF(AND(NOT(EXACT($AF$244,"")),OR(DA$10&gt;$CR11,ISBLANK($CR11))),IF($CV$3,IF(ISERROR(FIND($AF$244,$BQ11)),0,1),(LEN($BQ11)-LEN(SUBSTITUTE($BQ11,$AF$244,"")))/LEN($AF$244)),0),
IF(AND(NOT(EXACT($AF$245,"")),OR(DA$10&gt;$CS11,ISBLANK($CS11))),IF($CV$3,IF(ISERROR(FIND($AF$245,$BQ11)),0,1),(LEN($BQ11)-LEN(SUBSTITUTE($BQ11,$AF$245,"")))/LEN($AF$245)),0),
IF(AND(NOT(EXACT($AF$246,"")),OR(DA$10&gt;$CT11,ISBLANK($CT11))),IF($CV$3,IF(ISERROR(FIND($AF$246,$BQ11)),0,1),(LEN($BQ11)-LEN(SUBSTITUTE($BQ11,$AF$246,"")))/LEN($AF$246)),0),
IF(AND(NOT(EXACT($AF$247,"")),OR(DA$10&gt;$CU11,ISBLANK($CU11))),IF($CV$3,IF(ISERROR(FIND($AF$247,$BQ11)),0,1),(LEN($BQ11)-LEN(SUBSTITUTE($BQ11,$AF$247,"")))/LEN($AF$247)),0)
))</f>
        <v/>
      </c>
      <c r="DY11" s="164" t="str">
        <f t="shared" ref="DY11:DY35" ca="1" si="70">IF($A11="","",IF(VT_VRTLZBR,CODE("F")+1,CODE(VLOOKUP($A11,ZAUBERWERTE,10,FALSE)))-
SUM($BR11:$CA11,
IF(ISERR(FIND(";"&amp;DY$10&amp;";",$H11)),0,1),
IF(ISERR(FIND(";"&amp;DY$10&amp;":",$H11)),0,VALUE(MID($H11,FIND(";"&amp;DY$10&amp;":",$H11)+LEN(DY$10)+2,1))),
IF(ISERR(FIND(";"&amp;DY$10&amp;"+",$H11)),0,-VALUE(MID($H11,FIND(";"&amp;DY$10&amp;"+",$H11)+LEN(DY$10)+2,1))),
IF(AND(NT_Unstet,VLOOKUP($A11,ZAUBERWERTE,10,FALSE)&gt;="C"),-1,0),
IF(AND(NOT(EXACT($AF$241,"")),OR(DB$10&gt;$CO11,ISBLANK($CO11))),IF($CV$3,IF(ISERROR(FIND($AF$241,$BQ11)),0,1),(LEN($BQ11)-LEN(SUBSTITUTE($BQ11,$AF$241,"")))/LEN($AF$241)),0),
IF(AND(NOT(EXACT($AF$242,"")),OR(DB$10&gt;$CP11,ISBLANK($CP11))),IF($CV$3,IF(ISERROR(FIND($AF$242,$BQ11)),0,1),(LEN($BQ11)-LEN(SUBSTITUTE($BQ11,$AF$242,"")))/LEN($AF$242)),0),
IF(AND(NOT(EXACT($AF$243,"")),OR(DB$10&gt;$CQ11,ISBLANK($CQ11))),IF($CV$3,IF(ISERROR(FIND($AF$243,$BQ11)),0,1),(LEN($BQ11)-LEN(SUBSTITUTE($BQ11,$AF$243,"")))/LEN($AF$243)),0),
IF(AND(NOT(EXACT($AF$244,"")),OR(DB$10&gt;$CR11,ISBLANK($CR11))),IF($CV$3,IF(ISERROR(FIND($AF$244,$BQ11)),0,1),(LEN($BQ11)-LEN(SUBSTITUTE($BQ11,$AF$244,"")))/LEN($AF$244)),0),
IF(AND(NOT(EXACT($AF$245,"")),OR(DB$10&gt;$CS11,ISBLANK($CS11))),IF($CV$3,IF(ISERROR(FIND($AF$245,$BQ11)),0,1),(LEN($BQ11)-LEN(SUBSTITUTE($BQ11,$AF$245,"")))/LEN($AF$245)),0),
IF(AND(NOT(EXACT($AF$246,"")),OR(DB$10&gt;$CT11,ISBLANK($CT11))),IF($CV$3,IF(ISERROR(FIND($AF$246,$BQ11)),0,1),(LEN($BQ11)-LEN(SUBSTITUTE($BQ11,$AF$246,"")))/LEN($AF$246)),0),
IF(AND(NOT(EXACT($AF$247,"")),OR(DB$10&gt;$CU11,ISBLANK($CU11))),IF($CV$3,IF(ISERROR(FIND($AF$247,$BQ11)),0,1),(LEN($BQ11)-LEN(SUBSTITUTE($BQ11,$AF$247,"")))/LEN($AF$247)),0)
))</f>
        <v/>
      </c>
      <c r="DZ11" s="164" t="str">
        <f t="shared" ref="DZ11:DZ35" ca="1" si="71">IF($A11="","",IF(VT_VRTLZBR,CODE("F")+1,CODE(VLOOKUP($A11,ZAUBERWERTE,10,FALSE)))-
SUM($BR11:$CA11,
IF(ISERR(FIND(";"&amp;DZ$10&amp;";",$H11)),0,1),
IF(ISERR(FIND(";"&amp;DZ$10&amp;":",$H11)),0,VALUE(MID($H11,FIND(";"&amp;DZ$10&amp;":",$H11)+LEN(DZ$10)+2,1))),
IF(ISERR(FIND(";"&amp;DZ$10&amp;"+",$H11)),0,-VALUE(MID($H11,FIND(";"&amp;DZ$10&amp;"+",$H11)+LEN(DZ$10)+2,1))),
IF(AND(NT_Unstet,VLOOKUP($A11,ZAUBERWERTE,10,FALSE)&gt;="C"),-1,0),
IF(AND(NOT(EXACT($AF$241,"")),OR(DC$10&gt;$CO11,ISBLANK($CO11))),IF($CV$3,IF(ISERROR(FIND($AF$241,$BQ11)),0,1),(LEN($BQ11)-LEN(SUBSTITUTE($BQ11,$AF$241,"")))/LEN($AF$241)),0),
IF(AND(NOT(EXACT($AF$242,"")),OR(DC$10&gt;$CP11,ISBLANK($CP11))),IF($CV$3,IF(ISERROR(FIND($AF$242,$BQ11)),0,1),(LEN($BQ11)-LEN(SUBSTITUTE($BQ11,$AF$242,"")))/LEN($AF$242)),0),
IF(AND(NOT(EXACT($AF$243,"")),OR(DC$10&gt;$CQ11,ISBLANK($CQ11))),IF($CV$3,IF(ISERROR(FIND($AF$243,$BQ11)),0,1),(LEN($BQ11)-LEN(SUBSTITUTE($BQ11,$AF$243,"")))/LEN($AF$243)),0),
IF(AND(NOT(EXACT($AF$244,"")),OR(DC$10&gt;$CR11,ISBLANK($CR11))),IF($CV$3,IF(ISERROR(FIND($AF$244,$BQ11)),0,1),(LEN($BQ11)-LEN(SUBSTITUTE($BQ11,$AF$244,"")))/LEN($AF$244)),0),
IF(AND(NOT(EXACT($AF$245,"")),OR(DC$10&gt;$CS11,ISBLANK($CS11))),IF($CV$3,IF(ISERROR(FIND($AF$245,$BQ11)),0,1),(LEN($BQ11)-LEN(SUBSTITUTE($BQ11,$AF$245,"")))/LEN($AF$245)),0),
IF(AND(NOT(EXACT($AF$246,"")),OR(DC$10&gt;$CT11,ISBLANK($CT11))),IF($CV$3,IF(ISERROR(FIND($AF$246,$BQ11)),0,1),(LEN($BQ11)-LEN(SUBSTITUTE($BQ11,$AF$246,"")))/LEN($AF$246)),0),
IF(AND(NOT(EXACT($AF$247,"")),OR(DC$10&gt;$CU11,ISBLANK($CU11))),IF($CV$3,IF(ISERROR(FIND($AF$247,$BQ11)),0,1),(LEN($BQ11)-LEN(SUBSTITUTE($BQ11,$AF$247,"")))/LEN($AF$247)),0)
))</f>
        <v/>
      </c>
      <c r="EA11" s="164" t="str">
        <f t="shared" ref="EA11:EA35" ca="1" si="72">IF($A11="","",IF(VT_VRTLZBR,CODE("F")+1,CODE(VLOOKUP($A11,ZAUBERWERTE,10,FALSE)))-
SUM($BR11:$CA11,
IF(ISERR(FIND(";"&amp;EA$10&amp;";",$H11)),0,1),
IF(ISERR(FIND(";"&amp;EA$10&amp;":",$H11)),0,VALUE(MID($H11,FIND(";"&amp;EA$10&amp;":",$H11)+LEN(EA$10)+2,1))),
IF(ISERR(FIND(";"&amp;EA$10&amp;"+",$H11)),0,-VALUE(MID($H11,FIND(";"&amp;EA$10&amp;"+",$H11)+LEN(EA$10)+2,1))),
IF(AND(NT_Unstet,VLOOKUP($A11,ZAUBERWERTE,10,FALSE)&gt;="C"),-1,0),
IF(AND(NOT(EXACT($AF$241,"")),OR(DD$10&gt;$CO11,ISBLANK($CO11))),IF($CV$3,IF(ISERROR(FIND($AF$241,$BQ11)),0,1),(LEN($BQ11)-LEN(SUBSTITUTE($BQ11,$AF$241,"")))/LEN($AF$241)),0),
IF(AND(NOT(EXACT($AF$242,"")),OR(DD$10&gt;$CP11,ISBLANK($CP11))),IF($CV$3,IF(ISERROR(FIND($AF$242,$BQ11)),0,1),(LEN($BQ11)-LEN(SUBSTITUTE($BQ11,$AF$242,"")))/LEN($AF$242)),0),
IF(AND(NOT(EXACT($AF$243,"")),OR(DD$10&gt;$CQ11,ISBLANK($CQ11))),IF($CV$3,IF(ISERROR(FIND($AF$243,$BQ11)),0,1),(LEN($BQ11)-LEN(SUBSTITUTE($BQ11,$AF$243,"")))/LEN($AF$243)),0),
IF(AND(NOT(EXACT($AF$244,"")),OR(DD$10&gt;$CR11,ISBLANK($CR11))),IF($CV$3,IF(ISERROR(FIND($AF$244,$BQ11)),0,1),(LEN($BQ11)-LEN(SUBSTITUTE($BQ11,$AF$244,"")))/LEN($AF$244)),0),
IF(AND(NOT(EXACT($AF$245,"")),OR(DD$10&gt;$CS11,ISBLANK($CS11))),IF($CV$3,IF(ISERROR(FIND($AF$245,$BQ11)),0,1),(LEN($BQ11)-LEN(SUBSTITUTE($BQ11,$AF$245,"")))/LEN($AF$245)),0),
IF(AND(NOT(EXACT($AF$246,"")),OR(DD$10&gt;$CT11,ISBLANK($CT11))),IF($CV$3,IF(ISERROR(FIND($AF$246,$BQ11)),0,1),(LEN($BQ11)-LEN(SUBSTITUTE($BQ11,$AF$246,"")))/LEN($AF$246)),0),
IF(AND(NOT(EXACT($AF$247,"")),OR(DD$10&gt;$CU11,ISBLANK($CU11))),IF($CV$3,IF(ISERROR(FIND($AF$247,$BQ11)),0,1),(LEN($BQ11)-LEN(SUBSTITUTE($BQ11,$AF$247,"")))/LEN($AF$247)),0)
))</f>
        <v/>
      </c>
      <c r="EB11" s="164" t="str">
        <f t="shared" ref="EB11:EB35" ca="1" si="73">IF($A11="","",IF(VT_VRTLZBR,CODE("F")+1,CODE(VLOOKUP($A11,ZAUBERWERTE,10,FALSE)))-
SUM($BR11:$CA11,
IF(ISERR(FIND(";"&amp;EB$10&amp;";",$H11)),0,1),
IF(ISERR(FIND(";"&amp;EB$10&amp;":",$H11)),0,VALUE(MID($H11,FIND(";"&amp;EB$10&amp;":",$H11)+LEN(EB$10)+2,1))),
IF(ISERR(FIND(";"&amp;EB$10&amp;"+",$H11)),0,-VALUE(MID($H11,FIND(";"&amp;EB$10&amp;"+",$H11)+LEN(EB$10)+2,1))),
IF(AND(NT_Unstet,VLOOKUP($A11,ZAUBERWERTE,10,FALSE)&gt;="C"),-1,0),
IF(AND(NOT(EXACT($AF$241,"")),OR(DE$10&gt;$CO11,ISBLANK($CO11))),IF($CV$3,IF(ISERROR(FIND($AF$241,$BQ11)),0,1),(LEN($BQ11)-LEN(SUBSTITUTE($BQ11,$AF$241,"")))/LEN($AF$241)),0),
IF(AND(NOT(EXACT($AF$242,"")),OR(DE$10&gt;$CP11,ISBLANK($CP11))),IF($CV$3,IF(ISERROR(FIND($AF$242,$BQ11)),0,1),(LEN($BQ11)-LEN(SUBSTITUTE($BQ11,$AF$242,"")))/LEN($AF$242)),0),
IF(AND(NOT(EXACT($AF$243,"")),OR(DE$10&gt;$CQ11,ISBLANK($CQ11))),IF($CV$3,IF(ISERROR(FIND($AF$243,$BQ11)),0,1),(LEN($BQ11)-LEN(SUBSTITUTE($BQ11,$AF$243,"")))/LEN($AF$243)),0),
IF(AND(NOT(EXACT($AF$244,"")),OR(DE$10&gt;$CR11,ISBLANK($CR11))),IF($CV$3,IF(ISERROR(FIND($AF$244,$BQ11)),0,1),(LEN($BQ11)-LEN(SUBSTITUTE($BQ11,$AF$244,"")))/LEN($AF$244)),0),
IF(AND(NOT(EXACT($AF$245,"")),OR(DE$10&gt;$CS11,ISBLANK($CS11))),IF($CV$3,IF(ISERROR(FIND($AF$245,$BQ11)),0,1),(LEN($BQ11)-LEN(SUBSTITUTE($BQ11,$AF$245,"")))/LEN($AF$245)),0),
IF(AND(NOT(EXACT($AF$246,"")),OR(DE$10&gt;$CT11,ISBLANK($CT11))),IF($CV$3,IF(ISERROR(FIND($AF$246,$BQ11)),0,1),(LEN($BQ11)-LEN(SUBSTITUTE($BQ11,$AF$246,"")))/LEN($AF$246)),0),
IF(AND(NOT(EXACT($AF$247,"")),OR(DE$10&gt;$CU11,ISBLANK($CU11))),IF($CV$3,IF(ISERROR(FIND($AF$247,$BQ11)),0,1),(LEN($BQ11)-LEN(SUBSTITUTE($BQ11,$AF$247,"")))/LEN($AF$247)),0)
))</f>
        <v/>
      </c>
      <c r="EC11" s="164" t="str">
        <f t="shared" ref="EC11:EC35" ca="1" si="74">IF($A11="","",IF(VT_VRTLZBR,CODE("F")+1,CODE(VLOOKUP($A11,ZAUBERWERTE,10,FALSE)))-
SUM($BR11:$CA11,
IF(ISERR(FIND(";"&amp;EC$10&amp;";",$H11)),0,1),
IF(ISERR(FIND(";"&amp;EC$10&amp;":",$H11)),0,VALUE(MID($H11,FIND(";"&amp;EC$10&amp;":",$H11)+LEN(EC$10)+2,1))),
IF(ISERR(FIND(";"&amp;EC$10&amp;"+",$H11)),0,-VALUE(MID($H11,FIND(";"&amp;EC$10&amp;"+",$H11)+LEN(EC$10)+2,1))),
IF(AND(NT_Unstet,VLOOKUP($A11,ZAUBERWERTE,10,FALSE)&gt;="C"),-1,0),
IF(AND(NOT(EXACT($AF$241,"")),OR(DF$10&gt;$CO11,ISBLANK($CO11))),IF($CV$3,IF(ISERROR(FIND($AF$241,$BQ11)),0,1),(LEN($BQ11)-LEN(SUBSTITUTE($BQ11,$AF$241,"")))/LEN($AF$241)),0),
IF(AND(NOT(EXACT($AF$242,"")),OR(DF$10&gt;$CP11,ISBLANK($CP11))),IF($CV$3,IF(ISERROR(FIND($AF$242,$BQ11)),0,1),(LEN($BQ11)-LEN(SUBSTITUTE($BQ11,$AF$242,"")))/LEN($AF$242)),0),
IF(AND(NOT(EXACT($AF$243,"")),OR(DF$10&gt;$CQ11,ISBLANK($CQ11))),IF($CV$3,IF(ISERROR(FIND($AF$243,$BQ11)),0,1),(LEN($BQ11)-LEN(SUBSTITUTE($BQ11,$AF$243,"")))/LEN($AF$243)),0),
IF(AND(NOT(EXACT($AF$244,"")),OR(DF$10&gt;$CR11,ISBLANK($CR11))),IF($CV$3,IF(ISERROR(FIND($AF$244,$BQ11)),0,1),(LEN($BQ11)-LEN(SUBSTITUTE($BQ11,$AF$244,"")))/LEN($AF$244)),0),
IF(AND(NOT(EXACT($AF$245,"")),OR(DF$10&gt;$CS11,ISBLANK($CS11))),IF($CV$3,IF(ISERROR(FIND($AF$245,$BQ11)),0,1),(LEN($BQ11)-LEN(SUBSTITUTE($BQ11,$AF$245,"")))/LEN($AF$245)),0),
IF(AND(NOT(EXACT($AF$246,"")),OR(DF$10&gt;$CT11,ISBLANK($CT11))),IF($CV$3,IF(ISERROR(FIND($AF$246,$BQ11)),0,1),(LEN($BQ11)-LEN(SUBSTITUTE($BQ11,$AF$246,"")))/LEN($AF$246)),0),
IF(AND(NOT(EXACT($AF$247,"")),OR(DF$10&gt;$CU11,ISBLANK($CU11))),IF($CV$3,IF(ISERROR(FIND($AF$247,$BQ11)),0,1),(LEN($BQ11)-LEN(SUBSTITUTE($BQ11,$AF$247,"")))/LEN($AF$247)),0)
))</f>
        <v/>
      </c>
      <c r="ED11" s="164" t="str">
        <f t="shared" ref="ED11:ED35" ca="1" si="75">IF($A11="","",IF(VT_VRTLZBR,CODE("F")+1,CODE(VLOOKUP($A11,ZAUBERWERTE,10,FALSE)))-
SUM($BR11:$CA11,
IF(ISERR(FIND(";"&amp;ED$10&amp;";",$H11)),0,1),
IF(ISERR(FIND(";"&amp;ED$10&amp;":",$H11)),0,VALUE(MID($H11,FIND(";"&amp;ED$10&amp;":",$H11)+LEN(ED$10)+2,1))),
IF(ISERR(FIND(";"&amp;ED$10&amp;"+",$H11)),0,-VALUE(MID($H11,FIND(";"&amp;ED$10&amp;"+",$H11)+LEN(ED$10)+2,1))),
IF(AND(NT_Unstet,VLOOKUP($A11,ZAUBERWERTE,10,FALSE)&gt;="C"),-1,0),
IF(AND(NOT(EXACT($AF$241,"")),OR(DG$10&gt;$CO11,ISBLANK($CO11))),IF($CV$3,IF(ISERROR(FIND($AF$241,$BQ11)),0,1),(LEN($BQ11)-LEN(SUBSTITUTE($BQ11,$AF$241,"")))/LEN($AF$241)),0),
IF(AND(NOT(EXACT($AF$242,"")),OR(DG$10&gt;$CP11,ISBLANK($CP11))),IF($CV$3,IF(ISERROR(FIND($AF$242,$BQ11)),0,1),(LEN($BQ11)-LEN(SUBSTITUTE($BQ11,$AF$242,"")))/LEN($AF$242)),0),
IF(AND(NOT(EXACT($AF$243,"")),OR(DG$10&gt;$CQ11,ISBLANK($CQ11))),IF($CV$3,IF(ISERROR(FIND($AF$243,$BQ11)),0,1),(LEN($BQ11)-LEN(SUBSTITUTE($BQ11,$AF$243,"")))/LEN($AF$243)),0),
IF(AND(NOT(EXACT($AF$244,"")),OR(DG$10&gt;$CR11,ISBLANK($CR11))),IF($CV$3,IF(ISERROR(FIND($AF$244,$BQ11)),0,1),(LEN($BQ11)-LEN(SUBSTITUTE($BQ11,$AF$244,"")))/LEN($AF$244)),0),
IF(AND(NOT(EXACT($AF$245,"")),OR(DG$10&gt;$CS11,ISBLANK($CS11))),IF($CV$3,IF(ISERROR(FIND($AF$245,$BQ11)),0,1),(LEN($BQ11)-LEN(SUBSTITUTE($BQ11,$AF$245,"")))/LEN($AF$245)),0),
IF(AND(NOT(EXACT($AF$246,"")),OR(DG$10&gt;$CT11,ISBLANK($CT11))),IF($CV$3,IF(ISERROR(FIND($AF$246,$BQ11)),0,1),(LEN($BQ11)-LEN(SUBSTITUTE($BQ11,$AF$246,"")))/LEN($AF$246)),0),
IF(AND(NOT(EXACT($AF$247,"")),OR(DG$10&gt;$CU11,ISBLANK($CU11))),IF($CV$3,IF(ISERROR(FIND($AF$247,$BQ11)),0,1),(LEN($BQ11)-LEN(SUBSTITUTE($BQ11,$AF$247,"")))/LEN($AF$247)),0)
))</f>
        <v/>
      </c>
      <c r="EE11" s="164" t="str">
        <f t="shared" ref="EE11:EE35" ca="1" si="76">IF($A11="","",IF(VT_VRTLZBR,CODE("F")+1,CODE(VLOOKUP($A11,ZAUBERWERTE,10,FALSE)))-
SUM($BR11:$CA11,
IF(ISERR(FIND(";"&amp;EE$10&amp;";",$H11)),0,1),
IF(ISERR(FIND(";"&amp;EE$10&amp;":",$H11)),0,VALUE(MID($H11,FIND(";"&amp;EE$10&amp;":",$H11)+LEN(EE$10)+2,1))),
IF(ISERR(FIND(";"&amp;EE$10&amp;"+",$H11)),0,-VALUE(MID($H11,FIND(";"&amp;EE$10&amp;"+",$H11)+LEN(EE$10)+2,1))),
IF(AND(NT_Unstet,VLOOKUP($A11,ZAUBERWERTE,10,FALSE)&gt;="C"),-1,0),
IF(AND(NOT(EXACT($AF$241,"")),OR(DH$10&gt;$CO11,ISBLANK($CO11))),IF($CV$3,IF(ISERROR(FIND($AF$241,$BQ11)),0,1),(LEN($BQ11)-LEN(SUBSTITUTE($BQ11,$AF$241,"")))/LEN($AF$241)),0),
IF(AND(NOT(EXACT($AF$242,"")),OR(DH$10&gt;$CP11,ISBLANK($CP11))),IF($CV$3,IF(ISERROR(FIND($AF$242,$BQ11)),0,1),(LEN($BQ11)-LEN(SUBSTITUTE($BQ11,$AF$242,"")))/LEN($AF$242)),0),
IF(AND(NOT(EXACT($AF$243,"")),OR(DH$10&gt;$CQ11,ISBLANK($CQ11))),IF($CV$3,IF(ISERROR(FIND($AF$243,$BQ11)),0,1),(LEN($BQ11)-LEN(SUBSTITUTE($BQ11,$AF$243,"")))/LEN($AF$243)),0),
IF(AND(NOT(EXACT($AF$244,"")),OR(DH$10&gt;$CR11,ISBLANK($CR11))),IF($CV$3,IF(ISERROR(FIND($AF$244,$BQ11)),0,1),(LEN($BQ11)-LEN(SUBSTITUTE($BQ11,$AF$244,"")))/LEN($AF$244)),0),
IF(AND(NOT(EXACT($AF$245,"")),OR(DH$10&gt;$CS11,ISBLANK($CS11))),IF($CV$3,IF(ISERROR(FIND($AF$245,$BQ11)),0,1),(LEN($BQ11)-LEN(SUBSTITUTE($BQ11,$AF$245,"")))/LEN($AF$245)),0),
IF(AND(NOT(EXACT($AF$246,"")),OR(DH$10&gt;$CT11,ISBLANK($CT11))),IF($CV$3,IF(ISERROR(FIND($AF$246,$BQ11)),0,1),(LEN($BQ11)-LEN(SUBSTITUTE($BQ11,$AF$246,"")))/LEN($AF$246)),0),
IF(AND(NOT(EXACT($AF$247,"")),OR(DH$10&gt;$CU11,ISBLANK($CU11))),IF($CV$3,IF(ISERROR(FIND($AF$247,$BQ11)),0,1),(LEN($BQ11)-LEN(SUBSTITUTE($BQ11,$AF$247,"")))/LEN($AF$247)),0)
))</f>
        <v/>
      </c>
      <c r="EF11" s="164" t="str">
        <f t="shared" ref="EF11:EF35" ca="1" si="77">IF($A11="","",IF(VT_VRTLZBR,CODE("F")+1,CODE(VLOOKUP($A11,ZAUBERWERTE,10,FALSE)))-
SUM($BR11:$CA11,
IF(ISERR(FIND(";"&amp;EF$10&amp;";",$H11)),0,1),
IF(ISERR(FIND(";"&amp;EF$10&amp;":",$H11)),0,VALUE(MID($H11,FIND(";"&amp;EF$10&amp;":",$H11)+LEN(EF$10)+2,1))),
IF(ISERR(FIND(";"&amp;EF$10&amp;"+",$H11)),0,-VALUE(MID($H11,FIND(";"&amp;EF$10&amp;"+",$H11)+LEN(EF$10)+2,1))),
IF(AND(NT_Unstet,VLOOKUP($A11,ZAUBERWERTE,10,FALSE)&gt;="C"),-1,0),
IF(AND(NOT(EXACT($AF$241,"")),OR(DI$10&gt;$CO11,ISBLANK($CO11))),IF($CV$3,IF(ISERROR(FIND($AF$241,$BQ11)),0,1),(LEN($BQ11)-LEN(SUBSTITUTE($BQ11,$AF$241,"")))/LEN($AF$241)),0),
IF(AND(NOT(EXACT($AF$242,"")),OR(DI$10&gt;$CP11,ISBLANK($CP11))),IF($CV$3,IF(ISERROR(FIND($AF$242,$BQ11)),0,1),(LEN($BQ11)-LEN(SUBSTITUTE($BQ11,$AF$242,"")))/LEN($AF$242)),0),
IF(AND(NOT(EXACT($AF$243,"")),OR(DI$10&gt;$CQ11,ISBLANK($CQ11))),IF($CV$3,IF(ISERROR(FIND($AF$243,$BQ11)),0,1),(LEN($BQ11)-LEN(SUBSTITUTE($BQ11,$AF$243,"")))/LEN($AF$243)),0),
IF(AND(NOT(EXACT($AF$244,"")),OR(DI$10&gt;$CR11,ISBLANK($CR11))),IF($CV$3,IF(ISERROR(FIND($AF$244,$BQ11)),0,1),(LEN($BQ11)-LEN(SUBSTITUTE($BQ11,$AF$244,"")))/LEN($AF$244)),0),
IF(AND(NOT(EXACT($AF$245,"")),OR(DI$10&gt;$CS11,ISBLANK($CS11))),IF($CV$3,IF(ISERROR(FIND($AF$245,$BQ11)),0,1),(LEN($BQ11)-LEN(SUBSTITUTE($BQ11,$AF$245,"")))/LEN($AF$245)),0),
IF(AND(NOT(EXACT($AF$246,"")),OR(DI$10&gt;$CT11,ISBLANK($CT11))),IF($CV$3,IF(ISERROR(FIND($AF$246,$BQ11)),0,1),(LEN($BQ11)-LEN(SUBSTITUTE($BQ11,$AF$246,"")))/LEN($AF$246)),0),
IF(AND(NOT(EXACT($AF$247,"")),OR(DI$10&gt;$CU11,ISBLANK($CU11))),IF($CV$3,IF(ISERROR(FIND($AF$247,$BQ11)),0,1),(LEN($BQ11)-LEN(SUBSTITUTE($BQ11,$AF$247,"")))/LEN($AF$247)),0)
))</f>
        <v/>
      </c>
      <c r="EG11" s="164" t="str">
        <f t="shared" ref="EG11:EG35" ca="1" si="78">IF($A11="","",IF(VT_VRTLZBR,CODE("F")+1,CODE(VLOOKUP($A11,ZAUBERWERTE,10,FALSE)))-
SUM($BR11:$CA11,
IF(ISERR(FIND(";"&amp;EG$10&amp;";",$H11)),0,1),
IF(ISERR(FIND(";"&amp;EG$10&amp;":",$H11)),0,VALUE(MID($H11,FIND(";"&amp;EG$10&amp;":",$H11)+LEN(EG$10)+2,1))),
IF(ISERR(FIND(";"&amp;EG$10&amp;"+",$H11)),0,-VALUE(MID($H11,FIND(";"&amp;EG$10&amp;"+",$H11)+LEN(EG$10)+2,1))),
IF(AND(NT_Unstet,VLOOKUP($A11,ZAUBERWERTE,10,FALSE)&gt;="C"),-1,0),
IF(AND(NOT(EXACT($AF$241,"")),OR(DJ$10&gt;$CO11,ISBLANK($CO11))),IF($CV$3,IF(ISERROR(FIND($AF$241,$BQ11)),0,1),(LEN($BQ11)-LEN(SUBSTITUTE($BQ11,$AF$241,"")))/LEN($AF$241)),0),
IF(AND(NOT(EXACT($AF$242,"")),OR(DJ$10&gt;$CP11,ISBLANK($CP11))),IF($CV$3,IF(ISERROR(FIND($AF$242,$BQ11)),0,1),(LEN($BQ11)-LEN(SUBSTITUTE($BQ11,$AF$242,"")))/LEN($AF$242)),0),
IF(AND(NOT(EXACT($AF$243,"")),OR(DJ$10&gt;$CQ11,ISBLANK($CQ11))),IF($CV$3,IF(ISERROR(FIND($AF$243,$BQ11)),0,1),(LEN($BQ11)-LEN(SUBSTITUTE($BQ11,$AF$243,"")))/LEN($AF$243)),0),
IF(AND(NOT(EXACT($AF$244,"")),OR(DJ$10&gt;$CR11,ISBLANK($CR11))),IF($CV$3,IF(ISERROR(FIND($AF$244,$BQ11)),0,1),(LEN($BQ11)-LEN(SUBSTITUTE($BQ11,$AF$244,"")))/LEN($AF$244)),0),
IF(AND(NOT(EXACT($AF$245,"")),OR(DJ$10&gt;$CS11,ISBLANK($CS11))),IF($CV$3,IF(ISERROR(FIND($AF$245,$BQ11)),0,1),(LEN($BQ11)-LEN(SUBSTITUTE($BQ11,$AF$245,"")))/LEN($AF$245)),0),
IF(AND(NOT(EXACT($AF$246,"")),OR(DJ$10&gt;$CT11,ISBLANK($CT11))),IF($CV$3,IF(ISERROR(FIND($AF$246,$BQ11)),0,1),(LEN($BQ11)-LEN(SUBSTITUTE($BQ11,$AF$246,"")))/LEN($AF$246)),0),
IF(AND(NOT(EXACT($AF$247,"")),OR(DJ$10&gt;$CU11,ISBLANK($CU11))),IF($CV$3,IF(ISERROR(FIND($AF$247,$BQ11)),0,1),(LEN($BQ11)-LEN(SUBSTITUTE($BQ11,$AF$247,"")))/LEN($AF$247)),0)
))</f>
        <v/>
      </c>
      <c r="EH11" s="164" t="str">
        <f t="shared" ref="EH11:EH35" ca="1" si="79">IF($A11="","",IF(VT_VRTLZBR,CODE("F")+1,CODE(VLOOKUP($A11,ZAUBERWERTE,10,FALSE)))-
SUM($BR11:$CA11,
IF(ISERR(FIND(";"&amp;EH$10&amp;";",$H11)),0,1),
IF(ISERR(FIND(";"&amp;EH$10&amp;":",$H11)),0,VALUE(MID($H11,FIND(";"&amp;EH$10&amp;":",$H11)+LEN(EH$10)+2,1))),
IF(ISERR(FIND(";"&amp;EH$10&amp;"+",$H11)),0,-VALUE(MID($H11,FIND(";"&amp;EH$10&amp;"+",$H11)+LEN(EH$10)+2,1))),
IF(AND(NT_Unstet,VLOOKUP($A11,ZAUBERWERTE,10,FALSE)&gt;="C"),-1,0),
IF(AND(NOT(EXACT($AF$241,"")),OR(DK$10&gt;$CO11,ISBLANK($CO11))),IF($CV$3,IF(ISERROR(FIND($AF$241,$BQ11)),0,1),(LEN($BQ11)-LEN(SUBSTITUTE($BQ11,$AF$241,"")))/LEN($AF$241)),0),
IF(AND(NOT(EXACT($AF$242,"")),OR(DK$10&gt;$CP11,ISBLANK($CP11))),IF($CV$3,IF(ISERROR(FIND($AF$242,$BQ11)),0,1),(LEN($BQ11)-LEN(SUBSTITUTE($BQ11,$AF$242,"")))/LEN($AF$242)),0),
IF(AND(NOT(EXACT($AF$243,"")),OR(DK$10&gt;$CQ11,ISBLANK($CQ11))),IF($CV$3,IF(ISERROR(FIND($AF$243,$BQ11)),0,1),(LEN($BQ11)-LEN(SUBSTITUTE($BQ11,$AF$243,"")))/LEN($AF$243)),0),
IF(AND(NOT(EXACT($AF$244,"")),OR(DK$10&gt;$CR11,ISBLANK($CR11))),IF($CV$3,IF(ISERROR(FIND($AF$244,$BQ11)),0,1),(LEN($BQ11)-LEN(SUBSTITUTE($BQ11,$AF$244,"")))/LEN($AF$244)),0),
IF(AND(NOT(EXACT($AF$245,"")),OR(DK$10&gt;$CS11,ISBLANK($CS11))),IF($CV$3,IF(ISERROR(FIND($AF$245,$BQ11)),0,1),(LEN($BQ11)-LEN(SUBSTITUTE($BQ11,$AF$245,"")))/LEN($AF$245)),0),
IF(AND(NOT(EXACT($AF$246,"")),OR(DK$10&gt;$CT11,ISBLANK($CT11))),IF($CV$3,IF(ISERROR(FIND($AF$246,$BQ11)),0,1),(LEN($BQ11)-LEN(SUBSTITUTE($BQ11,$AF$246,"")))/LEN($AF$246)),0),
IF(AND(NOT(EXACT($AF$247,"")),OR(DK$10&gt;$CU11,ISBLANK($CU11))),IF($CV$3,IF(ISERROR(FIND($AF$247,$BQ11)),0,1),(LEN($BQ11)-LEN(SUBSTITUTE($BQ11,$AF$247,"")))/LEN($AF$247)),0)
))</f>
        <v/>
      </c>
      <c r="EI11" s="164" t="str">
        <f t="shared" ref="EI11:EI35" ca="1" si="80">IF($A11="","",IF(VT_VRTLZBR,CODE("F")+1,CODE(VLOOKUP($A11,ZAUBERWERTE,10,FALSE)))-
SUM($BR11:$CA11,
IF(ISERR(FIND(";"&amp;EI$10&amp;";",$H11)),0,1),
IF(ISERR(FIND(";"&amp;EI$10&amp;":",$H11)),0,VALUE(MID($H11,FIND(";"&amp;EI$10&amp;":",$H11)+LEN(EI$10)+2,1))),
IF(ISERR(FIND(";"&amp;EI$10&amp;"+",$H11)),0,-VALUE(MID($H11,FIND(";"&amp;EI$10&amp;"+",$H11)+LEN(EI$10)+2,1))),
IF(AND(NT_Unstet,VLOOKUP($A11,ZAUBERWERTE,10,FALSE)&gt;="C"),-1,0),
IF(AND(NOT(EXACT($AF$241,"")),OR(DL$10&gt;$CO11,ISBLANK($CO11))),IF($CV$3,IF(ISERROR(FIND($AF$241,$BQ11)),0,1),(LEN($BQ11)-LEN(SUBSTITUTE($BQ11,$AF$241,"")))/LEN($AF$241)),0),
IF(AND(NOT(EXACT($AF$242,"")),OR(DL$10&gt;$CP11,ISBLANK($CP11))),IF($CV$3,IF(ISERROR(FIND($AF$242,$BQ11)),0,1),(LEN($BQ11)-LEN(SUBSTITUTE($BQ11,$AF$242,"")))/LEN($AF$242)),0),
IF(AND(NOT(EXACT($AF$243,"")),OR(DL$10&gt;$CQ11,ISBLANK($CQ11))),IF($CV$3,IF(ISERROR(FIND($AF$243,$BQ11)),0,1),(LEN($BQ11)-LEN(SUBSTITUTE($BQ11,$AF$243,"")))/LEN($AF$243)),0),
IF(AND(NOT(EXACT($AF$244,"")),OR(DL$10&gt;$CR11,ISBLANK($CR11))),IF($CV$3,IF(ISERROR(FIND($AF$244,$BQ11)),0,1),(LEN($BQ11)-LEN(SUBSTITUTE($BQ11,$AF$244,"")))/LEN($AF$244)),0),
IF(AND(NOT(EXACT($AF$245,"")),OR(DL$10&gt;$CS11,ISBLANK($CS11))),IF($CV$3,IF(ISERROR(FIND($AF$245,$BQ11)),0,1),(LEN($BQ11)-LEN(SUBSTITUTE($BQ11,$AF$245,"")))/LEN($AF$245)),0),
IF(AND(NOT(EXACT($AF$246,"")),OR(DL$10&gt;$CT11,ISBLANK($CT11))),IF($CV$3,IF(ISERROR(FIND($AF$246,$BQ11)),0,1),(LEN($BQ11)-LEN(SUBSTITUTE($BQ11,$AF$246,"")))/LEN($AF$246)),0),
IF(AND(NOT(EXACT($AF$247,"")),OR(DL$10&gt;$CU11,ISBLANK($CU11))),IF($CV$3,IF(ISERROR(FIND($AF$247,$BQ11)),0,1),(LEN($BQ11)-LEN(SUBSTITUTE($BQ11,$AF$247,"")))/LEN($AF$247)),0)
))</f>
        <v/>
      </c>
      <c r="EJ11" s="164" t="str">
        <f t="shared" ref="EJ11:EJ35" ca="1" si="81">IF($A11="","",IF(VT_VRTLZBR,CODE("F")+1,CODE(VLOOKUP($A11,ZAUBERWERTE,10,FALSE)))-
SUM($BR11:$CA11,
IF(ISERR(FIND(";"&amp;EJ$10&amp;";",$H11)),0,1),
IF(ISERR(FIND(";"&amp;EJ$10&amp;":",$H11)),0,VALUE(MID($H11,FIND(";"&amp;EJ$10&amp;":",$H11)+LEN(EJ$10)+2,1))),
IF(ISERR(FIND(";"&amp;EJ$10&amp;"+",$H11)),0,-VALUE(MID($H11,FIND(";"&amp;EJ$10&amp;"+",$H11)+LEN(EJ$10)+2,1))),
IF(AND(NT_Unstet,VLOOKUP($A11,ZAUBERWERTE,10,FALSE)&gt;="C"),-1,0),
IF(AND(NOT(EXACT($AF$241,"")),OR(DM$10&gt;$CO11,ISBLANK($CO11))),IF($CV$3,IF(ISERROR(FIND($AF$241,$BQ11)),0,1),(LEN($BQ11)-LEN(SUBSTITUTE($BQ11,$AF$241,"")))/LEN($AF$241)),0),
IF(AND(NOT(EXACT($AF$242,"")),OR(DM$10&gt;$CP11,ISBLANK($CP11))),IF($CV$3,IF(ISERROR(FIND($AF$242,$BQ11)),0,1),(LEN($BQ11)-LEN(SUBSTITUTE($BQ11,$AF$242,"")))/LEN($AF$242)),0),
IF(AND(NOT(EXACT($AF$243,"")),OR(DM$10&gt;$CQ11,ISBLANK($CQ11))),IF($CV$3,IF(ISERROR(FIND($AF$243,$BQ11)),0,1),(LEN($BQ11)-LEN(SUBSTITUTE($BQ11,$AF$243,"")))/LEN($AF$243)),0),
IF(AND(NOT(EXACT($AF$244,"")),OR(DM$10&gt;$CR11,ISBLANK($CR11))),IF($CV$3,IF(ISERROR(FIND($AF$244,$BQ11)),0,1),(LEN($BQ11)-LEN(SUBSTITUTE($BQ11,$AF$244,"")))/LEN($AF$244)),0),
IF(AND(NOT(EXACT($AF$245,"")),OR(DM$10&gt;$CS11,ISBLANK($CS11))),IF($CV$3,IF(ISERROR(FIND($AF$245,$BQ11)),0,1),(LEN($BQ11)-LEN(SUBSTITUTE($BQ11,$AF$245,"")))/LEN($AF$245)),0),
IF(AND(NOT(EXACT($AF$246,"")),OR(DM$10&gt;$CT11,ISBLANK($CT11))),IF($CV$3,IF(ISERROR(FIND($AF$246,$BQ11)),0,1),(LEN($BQ11)-LEN(SUBSTITUTE($BQ11,$AF$246,"")))/LEN($AF$246)),0),
IF(AND(NOT(EXACT($AF$247,"")),OR(DM$10&gt;$CU11,ISBLANK($CU11))),IF($CV$3,IF(ISERROR(FIND($AF$247,$BQ11)),0,1),(LEN($BQ11)-LEN(SUBSTITUTE($BQ11,$AF$247,"")))/LEN($AF$247)),0)
))</f>
        <v/>
      </c>
      <c r="EK11" s="164" t="str">
        <f t="shared" ref="EK11:EK35" ca="1" si="82">IF($A11="","",IF(VT_VRTLZBR,CODE("F")+1,CODE(VLOOKUP($A11,ZAUBERWERTE,10,FALSE)))-
SUM($BR11:$CA11,
IF(ISERR(FIND(";"&amp;EK$10&amp;";",$H11)),0,1),
IF(ISERR(FIND(";"&amp;EK$10&amp;":",$H11)),0,VALUE(MID($H11,FIND(";"&amp;EK$10&amp;":",$H11)+LEN(EK$10)+2,1))),
IF(ISERR(FIND(";"&amp;EK$10&amp;"+",$H11)),0,-VALUE(MID($H11,FIND(";"&amp;EK$10&amp;"+",$H11)+LEN(EK$10)+2,1))),
IF(AND(NT_Unstet,VLOOKUP($A11,ZAUBERWERTE,10,FALSE)&gt;="C"),-1,0),
IF(AND(NOT(EXACT($AF$241,"")),OR(DN$10&gt;$CO11,ISBLANK($CO11))),IF($CV$3,IF(ISERROR(FIND($AF$241,$BQ11)),0,1),(LEN($BQ11)-LEN(SUBSTITUTE($BQ11,$AF$241,"")))/LEN($AF$241)),0),
IF(AND(NOT(EXACT($AF$242,"")),OR(DN$10&gt;$CP11,ISBLANK($CP11))),IF($CV$3,IF(ISERROR(FIND($AF$242,$BQ11)),0,1),(LEN($BQ11)-LEN(SUBSTITUTE($BQ11,$AF$242,"")))/LEN($AF$242)),0),
IF(AND(NOT(EXACT($AF$243,"")),OR(DN$10&gt;$CQ11,ISBLANK($CQ11))),IF($CV$3,IF(ISERROR(FIND($AF$243,$BQ11)),0,1),(LEN($BQ11)-LEN(SUBSTITUTE($BQ11,$AF$243,"")))/LEN($AF$243)),0),
IF(AND(NOT(EXACT($AF$244,"")),OR(DN$10&gt;$CR11,ISBLANK($CR11))),IF($CV$3,IF(ISERROR(FIND($AF$244,$BQ11)),0,1),(LEN($BQ11)-LEN(SUBSTITUTE($BQ11,$AF$244,"")))/LEN($AF$244)),0),
IF(AND(NOT(EXACT($AF$245,"")),OR(DN$10&gt;$CS11,ISBLANK($CS11))),IF($CV$3,IF(ISERROR(FIND($AF$245,$BQ11)),0,1),(LEN($BQ11)-LEN(SUBSTITUTE($BQ11,$AF$245,"")))/LEN($AF$245)),0),
IF(AND(NOT(EXACT($AF$246,"")),OR(DN$10&gt;$CT11,ISBLANK($CT11))),IF($CV$3,IF(ISERROR(FIND($AF$246,$BQ11)),0,1),(LEN($BQ11)-LEN(SUBSTITUTE($BQ11,$AF$246,"")))/LEN($AF$246)),0),
IF(AND(NOT(EXACT($AF$247,"")),OR(DN$10&gt;$CU11,ISBLANK($CU11))),IF($CV$3,IF(ISERROR(FIND($AF$247,$BQ11)),0,1),(LEN($BQ11)-LEN(SUBSTITUTE($BQ11,$AF$247,"")))/LEN($AF$247)),0)
))</f>
        <v/>
      </c>
      <c r="EL11" s="164" t="str">
        <f t="shared" ref="EL11:EL35" ca="1" si="83">IF($A11="","",IF(VT_VRTLZBR,CODE("F")+1,CODE(VLOOKUP($A11,ZAUBERWERTE,10,FALSE)))-
SUM($BR11:$CA11,
IF(ISERR(FIND(";"&amp;EL$10&amp;";",$H11)),0,1),
IF(ISERR(FIND(";"&amp;EL$10&amp;":",$H11)),0,VALUE(MID($H11,FIND(";"&amp;EL$10&amp;":",$H11)+LEN(EL$10)+2,1))),
IF(ISERR(FIND(";"&amp;EL$10&amp;"+",$H11)),0,-VALUE(MID($H11,FIND(";"&amp;EL$10&amp;"+",$H11)+LEN(EL$10)+2,1))),
IF(AND(NT_Unstet,VLOOKUP($A11,ZAUBERWERTE,10,FALSE)&gt;="C"),-1,0),
IF(AND(NOT(EXACT($AF$241,"")),OR(DO$10&gt;$CO11,ISBLANK($CO11))),IF($CV$3,IF(ISERROR(FIND($AF$241,$BQ11)),0,1),(LEN($BQ11)-LEN(SUBSTITUTE($BQ11,$AF$241,"")))/LEN($AF$241)),0),
IF(AND(NOT(EXACT($AF$242,"")),OR(DO$10&gt;$CP11,ISBLANK($CP11))),IF($CV$3,IF(ISERROR(FIND($AF$242,$BQ11)),0,1),(LEN($BQ11)-LEN(SUBSTITUTE($BQ11,$AF$242,"")))/LEN($AF$242)),0),
IF(AND(NOT(EXACT($AF$243,"")),OR(DO$10&gt;$CQ11,ISBLANK($CQ11))),IF($CV$3,IF(ISERROR(FIND($AF$243,$BQ11)),0,1),(LEN($BQ11)-LEN(SUBSTITUTE($BQ11,$AF$243,"")))/LEN($AF$243)),0),
IF(AND(NOT(EXACT($AF$244,"")),OR(DO$10&gt;$CR11,ISBLANK($CR11))),IF($CV$3,IF(ISERROR(FIND($AF$244,$BQ11)),0,1),(LEN($BQ11)-LEN(SUBSTITUTE($BQ11,$AF$244,"")))/LEN($AF$244)),0),
IF(AND(NOT(EXACT($AF$245,"")),OR(DO$10&gt;$CS11,ISBLANK($CS11))),IF($CV$3,IF(ISERROR(FIND($AF$245,$BQ11)),0,1),(LEN($BQ11)-LEN(SUBSTITUTE($BQ11,$AF$245,"")))/LEN($AF$245)),0),
IF(AND(NOT(EXACT($AF$246,"")),OR(DO$10&gt;$CT11,ISBLANK($CT11))),IF($CV$3,IF(ISERROR(FIND($AF$246,$BQ11)),0,1),(LEN($BQ11)-LEN(SUBSTITUTE($BQ11,$AF$246,"")))/LEN($AF$246)),0),
IF(AND(NOT(EXACT($AF$247,"")),OR(DO$10&gt;$CU11,ISBLANK($CU11))),IF($CV$3,IF(ISERROR(FIND($AF$247,$BQ11)),0,1),(LEN($BQ11)-LEN(SUBSTITUTE($BQ11,$AF$247,"")))/LEN($AF$247)),0)
))</f>
        <v/>
      </c>
      <c r="EM11" s="164" t="str">
        <f t="shared" ref="EM11:EM35" ca="1" si="84">IF($A11="","",IF(VT_VRTLZBR,CODE("F")+1,CODE(VLOOKUP($A11,ZAUBERWERTE,10,FALSE)))-
SUM($BR11:$CA11,
IF(ISERR(FIND(";"&amp;EM$10&amp;";",$H11)),0,1),
IF(ISERR(FIND(";"&amp;EM$10&amp;":",$H11)),0,VALUE(MID($H11,FIND(";"&amp;EM$10&amp;":",$H11)+LEN(EM$10)+2,1))),
IF(ISERR(FIND(";"&amp;EM$10&amp;"+",$H11)),0,-VALUE(MID($H11,FIND(";"&amp;EM$10&amp;"+",$H11)+LEN(EM$10)+2,1))),
IF(AND(NT_Unstet,VLOOKUP($A11,ZAUBERWERTE,10,FALSE)&gt;="C"),-1,0),
IF(AND(NOT(EXACT($AF$241,"")),OR(DP$10&gt;$CO11,ISBLANK($CO11))),IF($CV$3,IF(ISERROR(FIND($AF$241,$BQ11)),0,1),(LEN($BQ11)-LEN(SUBSTITUTE($BQ11,$AF$241,"")))/LEN($AF$241)),0),
IF(AND(NOT(EXACT($AF$242,"")),OR(DP$10&gt;$CP11,ISBLANK($CP11))),IF($CV$3,IF(ISERROR(FIND($AF$242,$BQ11)),0,1),(LEN($BQ11)-LEN(SUBSTITUTE($BQ11,$AF$242,"")))/LEN($AF$242)),0),
IF(AND(NOT(EXACT($AF$243,"")),OR(DP$10&gt;$CQ11,ISBLANK($CQ11))),IF($CV$3,IF(ISERROR(FIND($AF$243,$BQ11)),0,1),(LEN($BQ11)-LEN(SUBSTITUTE($BQ11,$AF$243,"")))/LEN($AF$243)),0),
IF(AND(NOT(EXACT($AF$244,"")),OR(DP$10&gt;$CR11,ISBLANK($CR11))),IF($CV$3,IF(ISERROR(FIND($AF$244,$BQ11)),0,1),(LEN($BQ11)-LEN(SUBSTITUTE($BQ11,$AF$244,"")))/LEN($AF$244)),0),
IF(AND(NOT(EXACT($AF$245,"")),OR(DP$10&gt;$CS11,ISBLANK($CS11))),IF($CV$3,IF(ISERROR(FIND($AF$245,$BQ11)),0,1),(LEN($BQ11)-LEN(SUBSTITUTE($BQ11,$AF$245,"")))/LEN($AF$245)),0),
IF(AND(NOT(EXACT($AF$246,"")),OR(DP$10&gt;$CT11,ISBLANK($CT11))),IF($CV$3,IF(ISERROR(FIND($AF$246,$BQ11)),0,1),(LEN($BQ11)-LEN(SUBSTITUTE($BQ11,$AF$246,"")))/LEN($AF$246)),0),
IF(AND(NOT(EXACT($AF$247,"")),OR(DP$10&gt;$CU11,ISBLANK($CU11))),IF($CV$3,IF(ISERROR(FIND($AF$247,$BQ11)),0,1),(LEN($BQ11)-LEN(SUBSTITUTE($BQ11,$AF$247,"")))/LEN($AF$247)),0)
))</f>
        <v/>
      </c>
      <c r="EN11" s="164" t="str">
        <f t="shared" ref="EN11:EN35" ca="1" si="85">IF($A11="","",IF(VT_VRTLZBR,CODE("F")+1,CODE(VLOOKUP($A11,ZAUBERWERTE,10,FALSE)))-
SUM($BR11:$CA11,
IF(ISERR(FIND(";"&amp;EN$10&amp;";",$H11)),0,1),
IF(ISERR(FIND(";"&amp;EN$10&amp;":",$H11)),0,VALUE(MID($H11,FIND(";"&amp;EN$10&amp;":",$H11)+LEN(EN$10)+2,1))),
IF(ISERR(FIND(";"&amp;EN$10&amp;"+",$H11)),0,-VALUE(MID($H11,FIND(";"&amp;EN$10&amp;"+",$H11)+LEN(EN$10)+2,1))),
IF(AND(NT_Unstet,VLOOKUP($A11,ZAUBERWERTE,10,FALSE)&gt;="C"),-1,0),
IF(AND(NOT(EXACT($AF$241,"")),OR(DQ$10&gt;$CO11,ISBLANK($CO11))),IF($CV$3,IF(ISERROR(FIND($AF$241,$BQ11)),0,1),(LEN($BQ11)-LEN(SUBSTITUTE($BQ11,$AF$241,"")))/LEN($AF$241)),0),
IF(AND(NOT(EXACT($AF$242,"")),OR(DQ$10&gt;$CP11,ISBLANK($CP11))),IF($CV$3,IF(ISERROR(FIND($AF$242,$BQ11)),0,1),(LEN($BQ11)-LEN(SUBSTITUTE($BQ11,$AF$242,"")))/LEN($AF$242)),0),
IF(AND(NOT(EXACT($AF$243,"")),OR(DQ$10&gt;$CQ11,ISBLANK($CQ11))),IF($CV$3,IF(ISERROR(FIND($AF$243,$BQ11)),0,1),(LEN($BQ11)-LEN(SUBSTITUTE($BQ11,$AF$243,"")))/LEN($AF$243)),0),
IF(AND(NOT(EXACT($AF$244,"")),OR(DQ$10&gt;$CR11,ISBLANK($CR11))),IF($CV$3,IF(ISERROR(FIND($AF$244,$BQ11)),0,1),(LEN($BQ11)-LEN(SUBSTITUTE($BQ11,$AF$244,"")))/LEN($AF$244)),0),
IF(AND(NOT(EXACT($AF$245,"")),OR(DQ$10&gt;$CS11,ISBLANK($CS11))),IF($CV$3,IF(ISERROR(FIND($AF$245,$BQ11)),0,1),(LEN($BQ11)-LEN(SUBSTITUTE($BQ11,$AF$245,"")))/LEN($AF$245)),0),
IF(AND(NOT(EXACT($AF$246,"")),OR(DQ$10&gt;$CT11,ISBLANK($CT11))),IF($CV$3,IF(ISERROR(FIND($AF$246,$BQ11)),0,1),(LEN($BQ11)-LEN(SUBSTITUTE($BQ11,$AF$246,"")))/LEN($AF$246)),0),
IF(AND(NOT(EXACT($AF$247,"")),OR(DQ$10&gt;$CU11,ISBLANK($CU11))),IF($CV$3,IF(ISERROR(FIND($AF$247,$BQ11)),0,1),(LEN($BQ11)-LEN(SUBSTITUTE($BQ11,$AF$247,"")))/LEN($AF$247)),0)
))</f>
        <v/>
      </c>
      <c r="EO11" s="164" t="str">
        <f t="shared" ref="EO11:EO35" ca="1" si="86">IF($A11="","",IF(VT_VRTLZBR,CODE("F")+1,CODE(VLOOKUP($A11,ZAUBERWERTE,10,FALSE)))-
SUM($BR11:$CA11,
IF(ISERR(FIND(";"&amp;EO$10&amp;";",$H11)),0,1),
IF(ISERR(FIND(";"&amp;EO$10&amp;":",$H11)),0,VALUE(MID($H11,FIND(";"&amp;EO$10&amp;":",$H11)+LEN(EO$10)+2,1))),
IF(ISERR(FIND(";"&amp;EO$10&amp;"+",$H11)),0,-VALUE(MID($H11,FIND(";"&amp;EO$10&amp;"+",$H11)+LEN(EO$10)+2,1))),
IF(AND(NT_Unstet,VLOOKUP($A11,ZAUBERWERTE,10,FALSE)&gt;="C"),-1,0),
IF(AND(NOT(EXACT($AF$241,"")),OR(DR$10&gt;$CO11,ISBLANK($CO11))),IF($CV$3,IF(ISERROR(FIND($AF$241,$BQ11)),0,1),(LEN($BQ11)-LEN(SUBSTITUTE($BQ11,$AF$241,"")))/LEN($AF$241)),0),
IF(AND(NOT(EXACT($AF$242,"")),OR(DR$10&gt;$CP11,ISBLANK($CP11))),IF($CV$3,IF(ISERROR(FIND($AF$242,$BQ11)),0,1),(LEN($BQ11)-LEN(SUBSTITUTE($BQ11,$AF$242,"")))/LEN($AF$242)),0),
IF(AND(NOT(EXACT($AF$243,"")),OR(DR$10&gt;$CQ11,ISBLANK($CQ11))),IF($CV$3,IF(ISERROR(FIND($AF$243,$BQ11)),0,1),(LEN($BQ11)-LEN(SUBSTITUTE($BQ11,$AF$243,"")))/LEN($AF$243)),0),
IF(AND(NOT(EXACT($AF$244,"")),OR(DR$10&gt;$CR11,ISBLANK($CR11))),IF($CV$3,IF(ISERROR(FIND($AF$244,$BQ11)),0,1),(LEN($BQ11)-LEN(SUBSTITUTE($BQ11,$AF$244,"")))/LEN($AF$244)),0),
IF(AND(NOT(EXACT($AF$245,"")),OR(DR$10&gt;$CS11,ISBLANK($CS11))),IF($CV$3,IF(ISERROR(FIND($AF$245,$BQ11)),0,1),(LEN($BQ11)-LEN(SUBSTITUTE($BQ11,$AF$245,"")))/LEN($AF$245)),0),
IF(AND(NOT(EXACT($AF$246,"")),OR(DR$10&gt;$CT11,ISBLANK($CT11))),IF($CV$3,IF(ISERROR(FIND($AF$246,$BQ11)),0,1),(LEN($BQ11)-LEN(SUBSTITUTE($BQ11,$AF$246,"")))/LEN($AF$246)),0),
IF(AND(NOT(EXACT($AF$247,"")),OR(DR$10&gt;$CU11,ISBLANK($CU11))),IF($CV$3,IF(ISERROR(FIND($AF$247,$BQ11)),0,1),(LEN($BQ11)-LEN(SUBSTITUTE($BQ11,$AF$247,"")))/LEN($AF$247)),0)
))</f>
        <v/>
      </c>
      <c r="EP11" s="164" t="str">
        <f t="shared" ref="EP11:EP35" ca="1" si="87">IF($A11="","",IF(VT_VRTLZBR,CODE("F")+1,CODE(VLOOKUP($A11,ZAUBERWERTE,10,FALSE)))-
SUM($BR11:$CA11,
IF(ISERR(FIND(";"&amp;EP$10&amp;";",$H11)),0,1),
IF(ISERR(FIND(";"&amp;EP$10&amp;":",$H11)),0,VALUE(MID($H11,FIND(";"&amp;EP$10&amp;":",$H11)+LEN(EP$10)+2,1))),
IF(ISERR(FIND(";"&amp;EP$10&amp;"+",$H11)),0,-VALUE(MID($H11,FIND(";"&amp;EP$10&amp;"+",$H11)+LEN(EP$10)+2,1))),
IF(AND(NT_Unstet,VLOOKUP($A11,ZAUBERWERTE,10,FALSE)&gt;="C"),-1,0),
IF(AND(NOT(EXACT($AF$241,"")),OR(DS$10&gt;$CO11,ISBLANK($CO11))),IF($CV$3,IF(ISERROR(FIND($AF$241,$BQ11)),0,1),(LEN($BQ11)-LEN(SUBSTITUTE($BQ11,$AF$241,"")))/LEN($AF$241)),0),
IF(AND(NOT(EXACT($AF$242,"")),OR(DS$10&gt;$CP11,ISBLANK($CP11))),IF($CV$3,IF(ISERROR(FIND($AF$242,$BQ11)),0,1),(LEN($BQ11)-LEN(SUBSTITUTE($BQ11,$AF$242,"")))/LEN($AF$242)),0),
IF(AND(NOT(EXACT($AF$243,"")),OR(DS$10&gt;$CQ11,ISBLANK($CQ11))),IF($CV$3,IF(ISERROR(FIND($AF$243,$BQ11)),0,1),(LEN($BQ11)-LEN(SUBSTITUTE($BQ11,$AF$243,"")))/LEN($AF$243)),0),
IF(AND(NOT(EXACT($AF$244,"")),OR(DS$10&gt;$CR11,ISBLANK($CR11))),IF($CV$3,IF(ISERROR(FIND($AF$244,$BQ11)),0,1),(LEN($BQ11)-LEN(SUBSTITUTE($BQ11,$AF$244,"")))/LEN($AF$244)),0),
IF(AND(NOT(EXACT($AF$245,"")),OR(DS$10&gt;$CS11,ISBLANK($CS11))),IF($CV$3,IF(ISERROR(FIND($AF$245,$BQ11)),0,1),(LEN($BQ11)-LEN(SUBSTITUTE($BQ11,$AF$245,"")))/LEN($AF$245)),0),
IF(AND(NOT(EXACT($AF$246,"")),OR(DS$10&gt;$CT11,ISBLANK($CT11))),IF($CV$3,IF(ISERROR(FIND($AF$246,$BQ11)),0,1),(LEN($BQ11)-LEN(SUBSTITUTE($BQ11,$AF$246,"")))/LEN($AF$246)),0),
IF(AND(NOT(EXACT($AF$247,"")),OR(DS$10&gt;$CU11,ISBLANK($CU11))),IF($CV$3,IF(ISERROR(FIND($AF$247,$BQ11)),0,1),(LEN($BQ11)-LEN(SUBSTITUTE($BQ11,$AF$247,"")))/LEN($AF$247)),0)
))</f>
        <v/>
      </c>
      <c r="EQ11" s="164" t="str">
        <f t="shared" ref="EQ11:EQ35" ca="1" si="88">IF($A11="","",IF(VT_VRTLZBR,CODE("F")+1,CODE(VLOOKUP($A11,ZAUBERWERTE,10,FALSE)))-
SUM($BR11:$CA11,
IF(ISERR(FIND(";"&amp;EQ$10&amp;";",$H11)),0,1),
IF(ISERR(FIND(";"&amp;EQ$10&amp;":",$H11)),0,VALUE(MID($H11,FIND(";"&amp;EQ$10&amp;":",$H11)+LEN(EQ$10)+2,1))),
IF(ISERR(FIND(";"&amp;EQ$10&amp;"+",$H11)),0,-VALUE(MID($H11,FIND(";"&amp;EQ$10&amp;"+",$H11)+LEN(EQ$10)+2,1))),
IF(AND(NT_Unstet,VLOOKUP($A11,ZAUBERWERTE,10,FALSE)&gt;="C"),-1,0),
IF(AND(NOT(EXACT($AF$241,"")),OR(DT$10&gt;$CO11,ISBLANK($CO11))),IF($CV$3,IF(ISERROR(FIND($AF$241,$BQ11)),0,1),(LEN($BQ11)-LEN(SUBSTITUTE($BQ11,$AF$241,"")))/LEN($AF$241)),0),
IF(AND(NOT(EXACT($AF$242,"")),OR(DT$10&gt;$CP11,ISBLANK($CP11))),IF($CV$3,IF(ISERROR(FIND($AF$242,$BQ11)),0,1),(LEN($BQ11)-LEN(SUBSTITUTE($BQ11,$AF$242,"")))/LEN($AF$242)),0),
IF(AND(NOT(EXACT($AF$243,"")),OR(DT$10&gt;$CQ11,ISBLANK($CQ11))),IF($CV$3,IF(ISERROR(FIND($AF$243,$BQ11)),0,1),(LEN($BQ11)-LEN(SUBSTITUTE($BQ11,$AF$243,"")))/LEN($AF$243)),0),
IF(AND(NOT(EXACT($AF$244,"")),OR(DT$10&gt;$CR11,ISBLANK($CR11))),IF($CV$3,IF(ISERROR(FIND($AF$244,$BQ11)),0,1),(LEN($BQ11)-LEN(SUBSTITUTE($BQ11,$AF$244,"")))/LEN($AF$244)),0),
IF(AND(NOT(EXACT($AF$245,"")),OR(DT$10&gt;$CS11,ISBLANK($CS11))),IF($CV$3,IF(ISERROR(FIND($AF$245,$BQ11)),0,1),(LEN($BQ11)-LEN(SUBSTITUTE($BQ11,$AF$245,"")))/LEN($AF$245)),0),
IF(AND(NOT(EXACT($AF$246,"")),OR(DT$10&gt;$CT11,ISBLANK($CT11))),IF($CV$3,IF(ISERROR(FIND($AF$246,$BQ11)),0,1),(LEN($BQ11)-LEN(SUBSTITUTE($BQ11,$AF$246,"")))/LEN($AF$246)),0),
IF(AND(NOT(EXACT($AF$247,"")),OR(DT$10&gt;$CU11,ISBLANK($CU11))),IF($CV$3,IF(ISERROR(FIND($AF$247,$BQ11)),0,1),(LEN($BQ11)-LEN(SUBSTITUTE($BQ11,$AF$247,"")))/LEN($AF$247)),0)
))</f>
        <v/>
      </c>
      <c r="ER11" s="164" t="str">
        <f t="shared" ref="ER11:ER35" ca="1" si="89">IF($A11="","",IF(VT_VRTLZBR,CODE("F")+1,CODE(VLOOKUP($A11,ZAUBERWERTE,10,FALSE)))-
SUM($BR11:$CA11,
IF(ISERR(FIND(";"&amp;ER$10&amp;";",$H11)),0,1),
IF(ISERR(FIND(";"&amp;ER$10&amp;":",$H11)),0,VALUE(MID($H11,FIND(";"&amp;ER$10&amp;":",$H11)+LEN(ER$10)+2,1))),
IF(ISERR(FIND(";"&amp;ER$10&amp;"+",$H11)),0,-VALUE(MID($H11,FIND(";"&amp;ER$10&amp;"+",$H11)+LEN(ER$10)+2,1))),
IF(AND(NT_Unstet,VLOOKUP($A11,ZAUBERWERTE,10,FALSE)&gt;="C"),-1,0),
IF(AND(NOT(EXACT($AF$241,"")),OR(DU$10&gt;$CO11,ISBLANK($CO11))),IF($CV$3,IF(ISERROR(FIND($AF$241,$BQ11)),0,1),(LEN($BQ11)-LEN(SUBSTITUTE($BQ11,$AF$241,"")))/LEN($AF$241)),0),
IF(AND(NOT(EXACT($AF$242,"")),OR(DU$10&gt;$CP11,ISBLANK($CP11))),IF($CV$3,IF(ISERROR(FIND($AF$242,$BQ11)),0,1),(LEN($BQ11)-LEN(SUBSTITUTE($BQ11,$AF$242,"")))/LEN($AF$242)),0),
IF(AND(NOT(EXACT($AF$243,"")),OR(DU$10&gt;$CQ11,ISBLANK($CQ11))),IF($CV$3,IF(ISERROR(FIND($AF$243,$BQ11)),0,1),(LEN($BQ11)-LEN(SUBSTITUTE($BQ11,$AF$243,"")))/LEN($AF$243)),0),
IF(AND(NOT(EXACT($AF$244,"")),OR(DU$10&gt;$CR11,ISBLANK($CR11))),IF($CV$3,IF(ISERROR(FIND($AF$244,$BQ11)),0,1),(LEN($BQ11)-LEN(SUBSTITUTE($BQ11,$AF$244,"")))/LEN($AF$244)),0),
IF(AND(NOT(EXACT($AF$245,"")),OR(DU$10&gt;$CS11,ISBLANK($CS11))),IF($CV$3,IF(ISERROR(FIND($AF$245,$BQ11)),0,1),(LEN($BQ11)-LEN(SUBSTITUTE($BQ11,$AF$245,"")))/LEN($AF$245)),0),
IF(AND(NOT(EXACT($AF$246,"")),OR(DU$10&gt;$CT11,ISBLANK($CT11))),IF($CV$3,IF(ISERROR(FIND($AF$246,$BQ11)),0,1),(LEN($BQ11)-LEN(SUBSTITUTE($BQ11,$AF$246,"")))/LEN($AF$246)),0),
IF(AND(NOT(EXACT($AF$247,"")),OR(DU$10&gt;$CU11,ISBLANK($CU11))),IF($CV$3,IF(ISERROR(FIND($AF$247,$BQ11)),0,1),(LEN($BQ11)-LEN(SUBSTITUTE($BQ11,$AF$247,"")))/LEN($AF$247)),0)
))</f>
        <v/>
      </c>
      <c r="ES11" s="164" t="str">
        <f t="shared" ref="ES11:ES35" ca="1" si="90">IF($A11="","",IF(VT_VRTLZBR,CODE("F")+1,CODE(VLOOKUP($A11,ZAUBERWERTE,10,FALSE)))-
SUM($BR11:$CA11,
IF(ISERR(FIND(";"&amp;ES$10&amp;";",$H11)),0,1),
IF(ISERR(FIND(";"&amp;ES$10&amp;":",$H11)),0,VALUE(MID($H11,FIND(";"&amp;ES$10&amp;":",$H11)+LEN(ES$10)+2,1))),
IF(ISERR(FIND(";"&amp;ES$10&amp;"+",$H11)),0,-VALUE(MID($H11,FIND(";"&amp;ES$10&amp;"+",$H11)+LEN(ES$10)+2,1))),
IF(AND(NT_Unstet,VLOOKUP($A11,ZAUBERWERTE,10,FALSE)&gt;="C"),-1,0),
IF(AND(NOT(EXACT($AF$241,"")),OR(DV$10&gt;$CO11,ISBLANK($CO11))),IF($CV$3,IF(ISERROR(FIND($AF$241,$BQ11)),0,1),(LEN($BQ11)-LEN(SUBSTITUTE($BQ11,$AF$241,"")))/LEN($AF$241)),0),
IF(AND(NOT(EXACT($AF$242,"")),OR(DV$10&gt;$CP11,ISBLANK($CP11))),IF($CV$3,IF(ISERROR(FIND($AF$242,$BQ11)),0,1),(LEN($BQ11)-LEN(SUBSTITUTE($BQ11,$AF$242,"")))/LEN($AF$242)),0),
IF(AND(NOT(EXACT($AF$243,"")),OR(DV$10&gt;$CQ11,ISBLANK($CQ11))),IF($CV$3,IF(ISERROR(FIND($AF$243,$BQ11)),0,1),(LEN($BQ11)-LEN(SUBSTITUTE($BQ11,$AF$243,"")))/LEN($AF$243)),0),
IF(AND(NOT(EXACT($AF$244,"")),OR(DV$10&gt;$CR11,ISBLANK($CR11))),IF($CV$3,IF(ISERROR(FIND($AF$244,$BQ11)),0,1),(LEN($BQ11)-LEN(SUBSTITUTE($BQ11,$AF$244,"")))/LEN($AF$244)),0),
IF(AND(NOT(EXACT($AF$245,"")),OR(DV$10&gt;$CS11,ISBLANK($CS11))),IF($CV$3,IF(ISERROR(FIND($AF$245,$BQ11)),0,1),(LEN($BQ11)-LEN(SUBSTITUTE($BQ11,$AF$245,"")))/LEN($AF$245)),0),
IF(AND(NOT(EXACT($AF$246,"")),OR(DV$10&gt;$CT11,ISBLANK($CT11))),IF($CV$3,IF(ISERROR(FIND($AF$246,$BQ11)),0,1),(LEN($BQ11)-LEN(SUBSTITUTE($BQ11,$AF$246,"")))/LEN($AF$246)),0),
IF(AND(NOT(EXACT($AF$247,"")),OR(DV$10&gt;$CU11,ISBLANK($CU11))),IF($CV$3,IF(ISERROR(FIND($AF$247,$BQ11)),0,1),(LEN($BQ11)-LEN(SUBSTITUTE($BQ11,$AF$247,"")))/LEN($AF$247)),0)
))</f>
        <v/>
      </c>
    </row>
    <row r="12" spans="1:149" x14ac:dyDescent="0.2">
      <c r="A12" s="89" t="str">
        <f ca="1">IF(MAGISCH,IF(NOT(EXACT(MID(HZALLE,SUM(LEN($CE11),1),2),"")),MID(HZALLE,SUM(LEN($CE11),1),SUM(FIND(",",HZALLE,SUM(LEN($CE11),1)),-LEN($CE11),-1)),""),"")</f>
        <v/>
      </c>
      <c r="B12" s="317" t="str">
        <f t="shared" ref="B12:B35" ca="1" si="91">IF(AND(MAGISCH,NOT(EXACT($A12,""))),CM12,"")</f>
        <v/>
      </c>
      <c r="C12" s="609" t="str">
        <f t="shared" ca="1" si="0"/>
        <v/>
      </c>
      <c r="D12" s="1956" t="str">
        <f t="shared" ca="1" si="1"/>
        <v/>
      </c>
      <c r="E12" s="1956"/>
      <c r="F12" s="960"/>
      <c r="G12" s="485" t="str">
        <f t="shared" ca="1" si="2"/>
        <v/>
      </c>
      <c r="H12" s="983"/>
      <c r="I12" s="486"/>
      <c r="J12" s="972"/>
      <c r="K12" s="1886" t="str">
        <f t="shared" ca="1" si="3"/>
        <v/>
      </c>
      <c r="L12" s="1888"/>
      <c r="M12" s="296" t="str">
        <f t="shared" ref="M12:M35" ca="1" si="92">IF(AND(EXACT($B12,""),ISBLANK($F12),ISBLANK($J12)),"",$B12+$F12+$J12)</f>
        <v/>
      </c>
      <c r="N12" s="1322"/>
      <c r="O12" s="1319"/>
      <c r="P12" s="957" t="str">
        <f t="shared" ca="1" si="4"/>
        <v/>
      </c>
      <c r="Q12" s="749"/>
      <c r="R12" s="164">
        <f t="shared" ca="1" si="5"/>
        <v>0</v>
      </c>
      <c r="S12" s="164">
        <f t="shared" ca="1" si="6"/>
        <v>0</v>
      </c>
      <c r="T12" s="164">
        <f t="shared" ca="1" si="7"/>
        <v>0</v>
      </c>
      <c r="U12" s="164">
        <f t="shared" ca="1" si="8"/>
        <v>0</v>
      </c>
      <c r="V12" s="164">
        <f t="shared" ca="1" si="9"/>
        <v>0</v>
      </c>
      <c r="W12" s="164">
        <f t="shared" ca="1" si="10"/>
        <v>0</v>
      </c>
      <c r="X12" s="164">
        <f t="shared" ca="1" si="11"/>
        <v>0</v>
      </c>
      <c r="Y12" s="164">
        <f t="shared" ca="1" si="12"/>
        <v>0</v>
      </c>
      <c r="Z12" s="164">
        <f t="shared" ca="1" si="13"/>
        <v>0</v>
      </c>
      <c r="AA12" s="164">
        <f t="shared" ca="1" si="14"/>
        <v>0</v>
      </c>
      <c r="AB12" s="164">
        <f t="shared" ca="1" si="15"/>
        <v>0</v>
      </c>
      <c r="AC12" s="164">
        <f t="shared" ca="1" si="16"/>
        <v>0</v>
      </c>
      <c r="AD12" s="164">
        <f t="shared" ca="1" si="17"/>
        <v>0</v>
      </c>
      <c r="AE12" s="164">
        <f t="shared" ca="1" si="18"/>
        <v>0</v>
      </c>
      <c r="AF12" s="164">
        <f t="shared" ca="1" si="19"/>
        <v>0</v>
      </c>
      <c r="AG12" s="164">
        <f t="shared" ca="1" si="20"/>
        <v>0</v>
      </c>
      <c r="AH12" s="164">
        <f t="shared" ca="1" si="21"/>
        <v>0</v>
      </c>
      <c r="AI12" s="164">
        <f t="shared" ca="1" si="22"/>
        <v>0</v>
      </c>
      <c r="AJ12" s="164">
        <f t="shared" ca="1" si="23"/>
        <v>0</v>
      </c>
      <c r="AK12" s="164">
        <f t="shared" ca="1" si="24"/>
        <v>0</v>
      </c>
      <c r="AL12" s="164">
        <f t="shared" ca="1" si="25"/>
        <v>0</v>
      </c>
      <c r="AM12" s="208"/>
      <c r="AN12" s="154"/>
      <c r="AO12" s="164">
        <f t="shared" ca="1" si="26"/>
        <v>0</v>
      </c>
      <c r="AP12" s="164">
        <f t="shared" ca="1" si="27"/>
        <v>0</v>
      </c>
      <c r="AQ12" s="164">
        <f t="shared" ca="1" si="28"/>
        <v>0</v>
      </c>
      <c r="AR12" s="164">
        <f t="shared" ca="1" si="29"/>
        <v>0</v>
      </c>
      <c r="AS12" s="164">
        <f t="shared" ca="1" si="30"/>
        <v>0</v>
      </c>
      <c r="AT12" s="164">
        <f t="shared" ca="1" si="31"/>
        <v>0</v>
      </c>
      <c r="AU12" s="164">
        <f t="shared" ca="1" si="32"/>
        <v>0</v>
      </c>
      <c r="AV12" s="164">
        <f t="shared" ca="1" si="33"/>
        <v>0</v>
      </c>
      <c r="AW12" s="164">
        <f t="shared" ca="1" si="34"/>
        <v>0</v>
      </c>
      <c r="AX12" s="164">
        <f t="shared" ca="1" si="35"/>
        <v>0</v>
      </c>
      <c r="AY12" s="164">
        <f t="shared" ca="1" si="36"/>
        <v>0</v>
      </c>
      <c r="AZ12" s="164">
        <f t="shared" ca="1" si="37"/>
        <v>0</v>
      </c>
      <c r="BA12" s="164">
        <f t="shared" ca="1" si="38"/>
        <v>0</v>
      </c>
      <c r="BB12" s="164">
        <f t="shared" ca="1" si="39"/>
        <v>0</v>
      </c>
      <c r="BC12" s="164">
        <f t="shared" ca="1" si="40"/>
        <v>0</v>
      </c>
      <c r="BD12" s="164">
        <f t="shared" ca="1" si="41"/>
        <v>0</v>
      </c>
      <c r="BE12" s="164">
        <f t="shared" ca="1" si="42"/>
        <v>0</v>
      </c>
      <c r="BF12" s="164">
        <f t="shared" ca="1" si="43"/>
        <v>0</v>
      </c>
      <c r="BG12" s="164">
        <f t="shared" ca="1" si="44"/>
        <v>0</v>
      </c>
      <c r="BH12" s="164">
        <f t="shared" ca="1" si="45"/>
        <v>0</v>
      </c>
      <c r="BI12" s="164">
        <f t="shared" ca="1" si="46"/>
        <v>0</v>
      </c>
      <c r="BJ12" s="164">
        <f t="shared" ca="1" si="47"/>
        <v>0</v>
      </c>
      <c r="BK12" s="164">
        <f t="shared" ca="1" si="48"/>
        <v>0</v>
      </c>
      <c r="BL12" s="164">
        <f t="shared" ca="1" si="49"/>
        <v>0</v>
      </c>
      <c r="BM12" s="164">
        <f t="shared" ca="1" si="50"/>
        <v>0</v>
      </c>
      <c r="BN12" s="164">
        <f t="shared" ca="1" si="51"/>
        <v>0</v>
      </c>
      <c r="BO12" s="356" t="str">
        <f t="shared" ca="1" si="52"/>
        <v/>
      </c>
      <c r="BP12" s="355" t="str">
        <f t="shared" ca="1" si="53"/>
        <v/>
      </c>
      <c r="BQ12" s="355" t="str">
        <f t="shared" ca="1" si="54"/>
        <v/>
      </c>
      <c r="BR12" s="348">
        <f t="shared" ref="BR12:BR75" ca="1" si="93">IF(EXACT($BP$2,""),0,IF($CV$3,IF(ISERROR(FIND($BP$2,$BQ12)),0,1),(LEN($BQ12)-LEN(SUBSTITUTE($BQ12,$BP$2,"")))/LEN($BP$2)))</f>
        <v>0</v>
      </c>
      <c r="BS12" s="348">
        <f t="shared" ref="BS12:BS75" ca="1" si="94">IF(EXACT($BP$3,""),0,IF($CV$3,IF(ISERROR(FIND($BP$3,$BQ12)),0,1),(LEN($BQ12)-LEN(SUBSTITUTE($BQ12,$BP$3,"")))/LEN($BP$3)))</f>
        <v>0</v>
      </c>
      <c r="BT12" s="610">
        <f t="shared" ca="1" si="55"/>
        <v>0</v>
      </c>
      <c r="BU12" s="357">
        <v>1</v>
      </c>
      <c r="BV12" s="357">
        <v>0</v>
      </c>
      <c r="BW12" s="357">
        <f t="shared" si="56"/>
        <v>0</v>
      </c>
      <c r="BX12" s="357">
        <f t="shared" ca="1" si="57"/>
        <v>0</v>
      </c>
      <c r="BY12" s="357">
        <f t="shared" ref="BY12:BY80" ca="1" si="95">SUM(
IF(NOT(EXACT($T$3,"")),(LEN($BQ12)-LEN(SUBSTITUTE($BQ12,$T$3,"")))/LEN($T$3),0),
IF(NOT(EXACT($T$4,"")),(LEN($BQ12)-LEN(SUBSTITUTE($BQ12,$T$4,"")))/LEN($T$4),0),
IF(NOT(EXACT($T$5,"")),(LEN($BQ12)-LEN(SUBSTITUTE($BQ12,$T$5,"")))/LEN($T$5),0))</f>
        <v>0</v>
      </c>
      <c r="BZ12" s="357"/>
      <c r="CA12" s="357">
        <f t="shared" ref="CA12:CA75" ca="1" si="96">SUM(IF(AND(NOT(ISERR(FIND($AC$6,BQ12))),NOT(EXACT($AC$6,""))),-1,0),IF(AND(NOT(ISERR(FIND($AC$7,BQ12))),NOT(EXACT($AC$7,""))),-1,0),IF(AND(NOT(ISERR(FIND($AC$8,BQ12))),NOT(EXACT($AC$8,""))),-1,0),IF(AND(NOT(ISERR(FIND($BP$6,BQ12))),NOT(EXACT($BP$6,""))),-1,0))</f>
        <v>0</v>
      </c>
      <c r="CB12" s="357"/>
      <c r="CC12" s="358" t="str">
        <f t="shared" ref="CC12:CC80" ca="1" si="97">IF(EXACT($BP$2,""),"",IF(NOT(ISERR(FIND($BP$2,$BQ12))),$BP$2,""))</f>
        <v/>
      </c>
      <c r="CD12" s="358" t="str">
        <f t="shared" ref="CD12:CD80" ca="1" si="98">IF(EXACT($BP$3,""),"",IF(NOT(ISERR(FIND($BP$3,$BQ12))),$BP$3,""))</f>
        <v/>
      </c>
      <c r="CE12" s="357" t="str">
        <f t="shared" ref="CE12:CE35" ca="1" si="99">CONCATENATE($CE11,$A12,",")</f>
        <v>,,</v>
      </c>
      <c r="CF12" s="154"/>
      <c r="CG12" s="154">
        <f t="shared" ref="CG12:CG80" ca="1" si="100">IF($BY12&gt;0,0,IF(OR(AND(NOT(EXACT($T$6,"")),EXACT($A12,$T$6)),AND(NOT(EXACT($T$7,"")),EXACT($A12,$T$7)),AND(NOT(EXACT($T$8,"")),EXACT($A12,$T$8))),1,0))</f>
        <v>0</v>
      </c>
      <c r="CH12" s="268" t="str">
        <f t="shared" ca="1" si="58"/>
        <v/>
      </c>
      <c r="CI12" s="268">
        <f t="shared" ref="CI12:CI35" ca="1" si="101">VALUE(IF(EXACT(RIGHT(CH12),"H"),LEFT(CH12),IF(EXACT(RIGHT(CH12),"B"),0,IF(EXACT(CH12,""),0,CH12))))</f>
        <v>0</v>
      </c>
      <c r="CJ12" s="268" t="str">
        <f t="shared" ca="1" si="59"/>
        <v/>
      </c>
      <c r="CK12" s="268">
        <f t="shared" ca="1" si="60"/>
        <v>0</v>
      </c>
      <c r="CL12" s="268">
        <f t="shared" ca="1" si="61"/>
        <v>0</v>
      </c>
      <c r="CM12" s="154">
        <f t="shared" ref="CM12:CM59" ca="1" si="102">CG12+CI12+CK12+CL12</f>
        <v>0</v>
      </c>
      <c r="CN12" s="154"/>
      <c r="CO12" s="169"/>
      <c r="CP12" s="169"/>
      <c r="CQ12" s="169"/>
      <c r="CR12" s="169"/>
      <c r="CS12" s="169"/>
      <c r="CT12" s="169"/>
      <c r="CU12" s="169"/>
      <c r="CV12" s="164" t="str">
        <f t="shared" ca="1" si="62"/>
        <v/>
      </c>
      <c r="CW12" s="164" t="str">
        <f t="shared" ca="1" si="62"/>
        <v/>
      </c>
      <c r="CX12" s="164" t="str">
        <f t="shared" ca="1" si="62"/>
        <v/>
      </c>
      <c r="CY12" s="164" t="str">
        <f t="shared" ca="1" si="62"/>
        <v/>
      </c>
      <c r="CZ12" s="164" t="str">
        <f t="shared" ca="1" si="62"/>
        <v/>
      </c>
      <c r="DA12" s="164" t="str">
        <f t="shared" ca="1" si="62"/>
        <v/>
      </c>
      <c r="DB12" s="164" t="str">
        <f t="shared" ca="1" si="62"/>
        <v/>
      </c>
      <c r="DC12" s="164" t="str">
        <f t="shared" ca="1" si="62"/>
        <v/>
      </c>
      <c r="DD12" s="164" t="str">
        <f t="shared" ca="1" si="62"/>
        <v/>
      </c>
      <c r="DE12" s="164" t="str">
        <f t="shared" ca="1" si="62"/>
        <v/>
      </c>
      <c r="DF12" s="164" t="str">
        <f t="shared" ca="1" si="63"/>
        <v/>
      </c>
      <c r="DG12" s="164" t="str">
        <f t="shared" ca="1" si="63"/>
        <v/>
      </c>
      <c r="DH12" s="164" t="str">
        <f t="shared" ca="1" si="63"/>
        <v/>
      </c>
      <c r="DI12" s="164" t="str">
        <f t="shared" ca="1" si="63"/>
        <v/>
      </c>
      <c r="DJ12" s="164" t="str">
        <f t="shared" ca="1" si="63"/>
        <v/>
      </c>
      <c r="DK12" s="164" t="str">
        <f t="shared" ca="1" si="63"/>
        <v/>
      </c>
      <c r="DL12" s="164" t="str">
        <f t="shared" ca="1" si="63"/>
        <v/>
      </c>
      <c r="DM12" s="164" t="str">
        <f t="shared" ca="1" si="63"/>
        <v/>
      </c>
      <c r="DN12" s="164" t="str">
        <f t="shared" ca="1" si="63"/>
        <v/>
      </c>
      <c r="DO12" s="164" t="str">
        <f t="shared" ca="1" si="63"/>
        <v/>
      </c>
      <c r="DP12" s="164" t="str">
        <f t="shared" ca="1" si="63"/>
        <v/>
      </c>
      <c r="DQ12" s="164" t="str">
        <f t="shared" ca="1" si="63"/>
        <v/>
      </c>
      <c r="DR12" s="208"/>
      <c r="DS12" s="164" t="str">
        <f t="shared" ca="1" si="64"/>
        <v/>
      </c>
      <c r="DT12" s="164" t="str">
        <f t="shared" ca="1" si="65"/>
        <v/>
      </c>
      <c r="DU12" s="164" t="str">
        <f t="shared" ca="1" si="66"/>
        <v/>
      </c>
      <c r="DV12" s="164" t="str">
        <f t="shared" ca="1" si="67"/>
        <v/>
      </c>
      <c r="DW12" s="164" t="str">
        <f t="shared" ca="1" si="68"/>
        <v/>
      </c>
      <c r="DX12" s="164" t="str">
        <f t="shared" ca="1" si="69"/>
        <v/>
      </c>
      <c r="DY12" s="164" t="str">
        <f t="shared" ca="1" si="70"/>
        <v/>
      </c>
      <c r="DZ12" s="164" t="str">
        <f t="shared" ca="1" si="71"/>
        <v/>
      </c>
      <c r="EA12" s="164" t="str">
        <f t="shared" ca="1" si="72"/>
        <v/>
      </c>
      <c r="EB12" s="164" t="str">
        <f t="shared" ca="1" si="73"/>
        <v/>
      </c>
      <c r="EC12" s="164" t="str">
        <f t="shared" ca="1" si="74"/>
        <v/>
      </c>
      <c r="ED12" s="164" t="str">
        <f t="shared" ca="1" si="75"/>
        <v/>
      </c>
      <c r="EE12" s="164" t="str">
        <f t="shared" ca="1" si="76"/>
        <v/>
      </c>
      <c r="EF12" s="164" t="str">
        <f t="shared" ca="1" si="77"/>
        <v/>
      </c>
      <c r="EG12" s="164" t="str">
        <f t="shared" ca="1" si="78"/>
        <v/>
      </c>
      <c r="EH12" s="164" t="str">
        <f t="shared" ca="1" si="79"/>
        <v/>
      </c>
      <c r="EI12" s="164" t="str">
        <f t="shared" ca="1" si="80"/>
        <v/>
      </c>
      <c r="EJ12" s="164" t="str">
        <f t="shared" ca="1" si="81"/>
        <v/>
      </c>
      <c r="EK12" s="164" t="str">
        <f t="shared" ca="1" si="82"/>
        <v/>
      </c>
      <c r="EL12" s="164" t="str">
        <f t="shared" ca="1" si="83"/>
        <v/>
      </c>
      <c r="EM12" s="164" t="str">
        <f t="shared" ca="1" si="84"/>
        <v/>
      </c>
      <c r="EN12" s="164" t="str">
        <f t="shared" ca="1" si="85"/>
        <v/>
      </c>
      <c r="EO12" s="164" t="str">
        <f t="shared" ca="1" si="86"/>
        <v/>
      </c>
      <c r="EP12" s="164" t="str">
        <f t="shared" ca="1" si="87"/>
        <v/>
      </c>
      <c r="EQ12" s="164" t="str">
        <f t="shared" ca="1" si="88"/>
        <v/>
      </c>
      <c r="ER12" s="164" t="str">
        <f t="shared" ca="1" si="89"/>
        <v/>
      </c>
      <c r="ES12" s="164" t="str">
        <f t="shared" ca="1" si="90"/>
        <v/>
      </c>
    </row>
    <row r="13" spans="1:149" x14ac:dyDescent="0.2">
      <c r="A13" s="89" t="str">
        <f t="shared" ref="A13:A35" ca="1" si="103">IF(MAGISCH,IF(NOT(EXACT(MID(HZALLE,SUM(LEN($CE12),1),2),"")),MID(HZALLE,SUM(LEN($CE12),1),SUM(FIND(",",HZALLE,SUM(LEN($CE12),1)),-LEN($CE12),-1)),""),"")</f>
        <v/>
      </c>
      <c r="B13" s="317" t="str">
        <f t="shared" ca="1" si="91"/>
        <v/>
      </c>
      <c r="C13" s="609" t="str">
        <f t="shared" ca="1" si="0"/>
        <v/>
      </c>
      <c r="D13" s="1956" t="str">
        <f t="shared" ca="1" si="1"/>
        <v/>
      </c>
      <c r="E13" s="1956"/>
      <c r="F13" s="960"/>
      <c r="G13" s="485" t="str">
        <f t="shared" ca="1" si="2"/>
        <v/>
      </c>
      <c r="H13" s="983"/>
      <c r="I13" s="486"/>
      <c r="J13" s="972"/>
      <c r="K13" s="1886" t="str">
        <f t="shared" ca="1" si="3"/>
        <v/>
      </c>
      <c r="L13" s="1888"/>
      <c r="M13" s="296" t="str">
        <f t="shared" ca="1" si="92"/>
        <v/>
      </c>
      <c r="N13" s="1322"/>
      <c r="O13" s="1319"/>
      <c r="P13" s="957" t="str">
        <f t="shared" ca="1" si="4"/>
        <v/>
      </c>
      <c r="Q13" s="749"/>
      <c r="R13" s="164">
        <f t="shared" ca="1" si="5"/>
        <v>0</v>
      </c>
      <c r="S13" s="164">
        <f t="shared" ca="1" si="6"/>
        <v>0</v>
      </c>
      <c r="T13" s="164">
        <f t="shared" ca="1" si="7"/>
        <v>0</v>
      </c>
      <c r="U13" s="164">
        <f t="shared" ca="1" si="8"/>
        <v>0</v>
      </c>
      <c r="V13" s="164">
        <f t="shared" ca="1" si="9"/>
        <v>0</v>
      </c>
      <c r="W13" s="164">
        <f t="shared" ca="1" si="10"/>
        <v>0</v>
      </c>
      <c r="X13" s="164">
        <f t="shared" ca="1" si="11"/>
        <v>0</v>
      </c>
      <c r="Y13" s="164">
        <f t="shared" ca="1" si="12"/>
        <v>0</v>
      </c>
      <c r="Z13" s="164">
        <f t="shared" ca="1" si="13"/>
        <v>0</v>
      </c>
      <c r="AA13" s="164">
        <f t="shared" ca="1" si="14"/>
        <v>0</v>
      </c>
      <c r="AB13" s="164">
        <f t="shared" ca="1" si="15"/>
        <v>0</v>
      </c>
      <c r="AC13" s="164">
        <f t="shared" ca="1" si="16"/>
        <v>0</v>
      </c>
      <c r="AD13" s="164">
        <f t="shared" ca="1" si="17"/>
        <v>0</v>
      </c>
      <c r="AE13" s="164">
        <f t="shared" ca="1" si="18"/>
        <v>0</v>
      </c>
      <c r="AF13" s="164">
        <f t="shared" ca="1" si="19"/>
        <v>0</v>
      </c>
      <c r="AG13" s="164">
        <f t="shared" ca="1" si="20"/>
        <v>0</v>
      </c>
      <c r="AH13" s="164">
        <f t="shared" ca="1" si="21"/>
        <v>0</v>
      </c>
      <c r="AI13" s="164">
        <f t="shared" ca="1" si="22"/>
        <v>0</v>
      </c>
      <c r="AJ13" s="164">
        <f t="shared" ca="1" si="23"/>
        <v>0</v>
      </c>
      <c r="AK13" s="164">
        <f t="shared" ca="1" si="24"/>
        <v>0</v>
      </c>
      <c r="AL13" s="164">
        <f t="shared" ca="1" si="25"/>
        <v>0</v>
      </c>
      <c r="AM13" s="208"/>
      <c r="AN13" s="154"/>
      <c r="AO13" s="164">
        <f t="shared" ca="1" si="26"/>
        <v>0</v>
      </c>
      <c r="AP13" s="164">
        <f t="shared" ca="1" si="27"/>
        <v>0</v>
      </c>
      <c r="AQ13" s="164">
        <f t="shared" ca="1" si="28"/>
        <v>0</v>
      </c>
      <c r="AR13" s="164">
        <f t="shared" ca="1" si="29"/>
        <v>0</v>
      </c>
      <c r="AS13" s="164">
        <f t="shared" ca="1" si="30"/>
        <v>0</v>
      </c>
      <c r="AT13" s="164">
        <f t="shared" ca="1" si="31"/>
        <v>0</v>
      </c>
      <c r="AU13" s="164">
        <f t="shared" ca="1" si="32"/>
        <v>0</v>
      </c>
      <c r="AV13" s="164">
        <f t="shared" ca="1" si="33"/>
        <v>0</v>
      </c>
      <c r="AW13" s="164">
        <f t="shared" ca="1" si="34"/>
        <v>0</v>
      </c>
      <c r="AX13" s="164">
        <f t="shared" ca="1" si="35"/>
        <v>0</v>
      </c>
      <c r="AY13" s="164">
        <f t="shared" ca="1" si="36"/>
        <v>0</v>
      </c>
      <c r="AZ13" s="164">
        <f t="shared" ca="1" si="37"/>
        <v>0</v>
      </c>
      <c r="BA13" s="164">
        <f t="shared" ca="1" si="38"/>
        <v>0</v>
      </c>
      <c r="BB13" s="164">
        <f t="shared" ca="1" si="39"/>
        <v>0</v>
      </c>
      <c r="BC13" s="164">
        <f t="shared" ca="1" si="40"/>
        <v>0</v>
      </c>
      <c r="BD13" s="164">
        <f t="shared" ca="1" si="41"/>
        <v>0</v>
      </c>
      <c r="BE13" s="164">
        <f t="shared" ca="1" si="42"/>
        <v>0</v>
      </c>
      <c r="BF13" s="164">
        <f t="shared" ca="1" si="43"/>
        <v>0</v>
      </c>
      <c r="BG13" s="164">
        <f t="shared" ca="1" si="44"/>
        <v>0</v>
      </c>
      <c r="BH13" s="164">
        <f t="shared" ca="1" si="45"/>
        <v>0</v>
      </c>
      <c r="BI13" s="164">
        <f t="shared" ca="1" si="46"/>
        <v>0</v>
      </c>
      <c r="BJ13" s="164">
        <f t="shared" ca="1" si="47"/>
        <v>0</v>
      </c>
      <c r="BK13" s="164">
        <f t="shared" ca="1" si="48"/>
        <v>0</v>
      </c>
      <c r="BL13" s="164">
        <f t="shared" ca="1" si="49"/>
        <v>0</v>
      </c>
      <c r="BM13" s="164">
        <f t="shared" ca="1" si="50"/>
        <v>0</v>
      </c>
      <c r="BN13" s="164">
        <f t="shared" ca="1" si="51"/>
        <v>0</v>
      </c>
      <c r="BO13" s="356" t="str">
        <f t="shared" ca="1" si="52"/>
        <v/>
      </c>
      <c r="BP13" s="355" t="str">
        <f t="shared" ca="1" si="53"/>
        <v/>
      </c>
      <c r="BQ13" s="355" t="str">
        <f t="shared" ca="1" si="54"/>
        <v/>
      </c>
      <c r="BR13" s="348">
        <f t="shared" ca="1" si="93"/>
        <v>0</v>
      </c>
      <c r="BS13" s="348">
        <f t="shared" ca="1" si="94"/>
        <v>0</v>
      </c>
      <c r="BT13" s="610">
        <f t="shared" ca="1" si="55"/>
        <v>0</v>
      </c>
      <c r="BU13" s="357">
        <v>1</v>
      </c>
      <c r="BV13" s="357">
        <v>0</v>
      </c>
      <c r="BW13" s="357">
        <f t="shared" si="56"/>
        <v>0</v>
      </c>
      <c r="BX13" s="357">
        <f t="shared" ca="1" si="57"/>
        <v>0</v>
      </c>
      <c r="BY13" s="357">
        <f t="shared" ca="1" si="95"/>
        <v>0</v>
      </c>
      <c r="BZ13" s="357"/>
      <c r="CA13" s="357">
        <f t="shared" ca="1" si="96"/>
        <v>0</v>
      </c>
      <c r="CB13" s="357"/>
      <c r="CC13" s="358" t="str">
        <f t="shared" ca="1" si="97"/>
        <v/>
      </c>
      <c r="CD13" s="358" t="str">
        <f t="shared" ca="1" si="98"/>
        <v/>
      </c>
      <c r="CE13" s="357" t="str">
        <f t="shared" ca="1" si="99"/>
        <v>,,,</v>
      </c>
      <c r="CF13" s="154"/>
      <c r="CG13" s="154">
        <f t="shared" ca="1" si="100"/>
        <v>0</v>
      </c>
      <c r="CH13" s="268" t="str">
        <f t="shared" ca="1" si="58"/>
        <v/>
      </c>
      <c r="CI13" s="268">
        <f t="shared" ca="1" si="101"/>
        <v>0</v>
      </c>
      <c r="CJ13" s="268" t="str">
        <f t="shared" ca="1" si="59"/>
        <v/>
      </c>
      <c r="CK13" s="268">
        <f t="shared" ca="1" si="60"/>
        <v>0</v>
      </c>
      <c r="CL13" s="268">
        <f t="shared" ca="1" si="61"/>
        <v>0</v>
      </c>
      <c r="CM13" s="154">
        <f t="shared" ca="1" si="102"/>
        <v>0</v>
      </c>
      <c r="CN13" s="154"/>
      <c r="CO13" s="169"/>
      <c r="CP13" s="169"/>
      <c r="CQ13" s="169"/>
      <c r="CR13" s="169"/>
      <c r="CS13" s="169"/>
      <c r="CT13" s="169"/>
      <c r="CU13" s="169"/>
      <c r="CV13" s="164" t="str">
        <f t="shared" ca="1" si="62"/>
        <v/>
      </c>
      <c r="CW13" s="164" t="str">
        <f t="shared" ca="1" si="62"/>
        <v/>
      </c>
      <c r="CX13" s="164" t="str">
        <f t="shared" ca="1" si="62"/>
        <v/>
      </c>
      <c r="CY13" s="164" t="str">
        <f t="shared" ca="1" si="62"/>
        <v/>
      </c>
      <c r="CZ13" s="164" t="str">
        <f t="shared" ca="1" si="62"/>
        <v/>
      </c>
      <c r="DA13" s="164" t="str">
        <f t="shared" ca="1" si="62"/>
        <v/>
      </c>
      <c r="DB13" s="164" t="str">
        <f t="shared" ca="1" si="62"/>
        <v/>
      </c>
      <c r="DC13" s="164" t="str">
        <f t="shared" ca="1" si="62"/>
        <v/>
      </c>
      <c r="DD13" s="164" t="str">
        <f t="shared" ca="1" si="62"/>
        <v/>
      </c>
      <c r="DE13" s="164" t="str">
        <f t="shared" ca="1" si="62"/>
        <v/>
      </c>
      <c r="DF13" s="164" t="str">
        <f t="shared" ca="1" si="63"/>
        <v/>
      </c>
      <c r="DG13" s="164" t="str">
        <f t="shared" ca="1" si="63"/>
        <v/>
      </c>
      <c r="DH13" s="164" t="str">
        <f t="shared" ca="1" si="63"/>
        <v/>
      </c>
      <c r="DI13" s="164" t="str">
        <f t="shared" ca="1" si="63"/>
        <v/>
      </c>
      <c r="DJ13" s="164" t="str">
        <f t="shared" ca="1" si="63"/>
        <v/>
      </c>
      <c r="DK13" s="164" t="str">
        <f t="shared" ca="1" si="63"/>
        <v/>
      </c>
      <c r="DL13" s="164" t="str">
        <f t="shared" ca="1" si="63"/>
        <v/>
      </c>
      <c r="DM13" s="164" t="str">
        <f t="shared" ca="1" si="63"/>
        <v/>
      </c>
      <c r="DN13" s="164" t="str">
        <f t="shared" ca="1" si="63"/>
        <v/>
      </c>
      <c r="DO13" s="164" t="str">
        <f t="shared" ca="1" si="63"/>
        <v/>
      </c>
      <c r="DP13" s="164" t="str">
        <f t="shared" ca="1" si="63"/>
        <v/>
      </c>
      <c r="DQ13" s="164" t="str">
        <f t="shared" ca="1" si="63"/>
        <v/>
      </c>
      <c r="DR13" s="208"/>
      <c r="DS13" s="164" t="str">
        <f t="shared" ca="1" si="64"/>
        <v/>
      </c>
      <c r="DT13" s="164" t="str">
        <f t="shared" ca="1" si="65"/>
        <v/>
      </c>
      <c r="DU13" s="164" t="str">
        <f t="shared" ca="1" si="66"/>
        <v/>
      </c>
      <c r="DV13" s="164" t="str">
        <f t="shared" ca="1" si="67"/>
        <v/>
      </c>
      <c r="DW13" s="164" t="str">
        <f t="shared" ca="1" si="68"/>
        <v/>
      </c>
      <c r="DX13" s="164" t="str">
        <f t="shared" ca="1" si="69"/>
        <v/>
      </c>
      <c r="DY13" s="164" t="str">
        <f t="shared" ca="1" si="70"/>
        <v/>
      </c>
      <c r="DZ13" s="164" t="str">
        <f t="shared" ca="1" si="71"/>
        <v/>
      </c>
      <c r="EA13" s="164" t="str">
        <f t="shared" ca="1" si="72"/>
        <v/>
      </c>
      <c r="EB13" s="164" t="str">
        <f t="shared" ca="1" si="73"/>
        <v/>
      </c>
      <c r="EC13" s="164" t="str">
        <f t="shared" ca="1" si="74"/>
        <v/>
      </c>
      <c r="ED13" s="164" t="str">
        <f t="shared" ca="1" si="75"/>
        <v/>
      </c>
      <c r="EE13" s="164" t="str">
        <f t="shared" ca="1" si="76"/>
        <v/>
      </c>
      <c r="EF13" s="164" t="str">
        <f t="shared" ca="1" si="77"/>
        <v/>
      </c>
      <c r="EG13" s="164" t="str">
        <f t="shared" ca="1" si="78"/>
        <v/>
      </c>
      <c r="EH13" s="164" t="str">
        <f t="shared" ca="1" si="79"/>
        <v/>
      </c>
      <c r="EI13" s="164" t="str">
        <f t="shared" ca="1" si="80"/>
        <v/>
      </c>
      <c r="EJ13" s="164" t="str">
        <f t="shared" ca="1" si="81"/>
        <v/>
      </c>
      <c r="EK13" s="164" t="str">
        <f t="shared" ca="1" si="82"/>
        <v/>
      </c>
      <c r="EL13" s="164" t="str">
        <f t="shared" ca="1" si="83"/>
        <v/>
      </c>
      <c r="EM13" s="164" t="str">
        <f t="shared" ca="1" si="84"/>
        <v/>
      </c>
      <c r="EN13" s="164" t="str">
        <f t="shared" ca="1" si="85"/>
        <v/>
      </c>
      <c r="EO13" s="164" t="str">
        <f t="shared" ca="1" si="86"/>
        <v/>
      </c>
      <c r="EP13" s="164" t="str">
        <f t="shared" ca="1" si="87"/>
        <v/>
      </c>
      <c r="EQ13" s="164" t="str">
        <f t="shared" ca="1" si="88"/>
        <v/>
      </c>
      <c r="ER13" s="164" t="str">
        <f t="shared" ca="1" si="89"/>
        <v/>
      </c>
      <c r="ES13" s="164" t="str">
        <f t="shared" ca="1" si="90"/>
        <v/>
      </c>
    </row>
    <row r="14" spans="1:149" x14ac:dyDescent="0.2">
      <c r="A14" s="89" t="str">
        <f t="shared" ca="1" si="103"/>
        <v/>
      </c>
      <c r="B14" s="317" t="str">
        <f t="shared" ca="1" si="91"/>
        <v/>
      </c>
      <c r="C14" s="609" t="str">
        <f t="shared" ca="1" si="0"/>
        <v/>
      </c>
      <c r="D14" s="1956" t="str">
        <f t="shared" ca="1" si="1"/>
        <v/>
      </c>
      <c r="E14" s="1956"/>
      <c r="F14" s="960"/>
      <c r="G14" s="485" t="str">
        <f t="shared" ca="1" si="2"/>
        <v/>
      </c>
      <c r="H14" s="983"/>
      <c r="I14" s="486"/>
      <c r="J14" s="972"/>
      <c r="K14" s="1886" t="str">
        <f t="shared" ca="1" si="3"/>
        <v/>
      </c>
      <c r="L14" s="1888"/>
      <c r="M14" s="296" t="str">
        <f t="shared" ca="1" si="92"/>
        <v/>
      </c>
      <c r="N14" s="1322"/>
      <c r="O14" s="1319"/>
      <c r="P14" s="957" t="str">
        <f t="shared" ca="1" si="4"/>
        <v/>
      </c>
      <c r="Q14" s="749"/>
      <c r="R14" s="164">
        <f t="shared" ca="1" si="5"/>
        <v>0</v>
      </c>
      <c r="S14" s="164">
        <f t="shared" ca="1" si="6"/>
        <v>0</v>
      </c>
      <c r="T14" s="164">
        <f t="shared" ca="1" si="7"/>
        <v>0</v>
      </c>
      <c r="U14" s="164">
        <f t="shared" ca="1" si="8"/>
        <v>0</v>
      </c>
      <c r="V14" s="164">
        <f t="shared" ca="1" si="9"/>
        <v>0</v>
      </c>
      <c r="W14" s="164">
        <f t="shared" ca="1" si="10"/>
        <v>0</v>
      </c>
      <c r="X14" s="164">
        <f t="shared" ca="1" si="11"/>
        <v>0</v>
      </c>
      <c r="Y14" s="164">
        <f t="shared" ca="1" si="12"/>
        <v>0</v>
      </c>
      <c r="Z14" s="164">
        <f t="shared" ca="1" si="13"/>
        <v>0</v>
      </c>
      <c r="AA14" s="164">
        <f t="shared" ca="1" si="14"/>
        <v>0</v>
      </c>
      <c r="AB14" s="164">
        <f t="shared" ca="1" si="15"/>
        <v>0</v>
      </c>
      <c r="AC14" s="164">
        <f t="shared" ca="1" si="16"/>
        <v>0</v>
      </c>
      <c r="AD14" s="164">
        <f t="shared" ca="1" si="17"/>
        <v>0</v>
      </c>
      <c r="AE14" s="164">
        <f t="shared" ca="1" si="18"/>
        <v>0</v>
      </c>
      <c r="AF14" s="164">
        <f t="shared" ca="1" si="19"/>
        <v>0</v>
      </c>
      <c r="AG14" s="164">
        <f t="shared" ca="1" si="20"/>
        <v>0</v>
      </c>
      <c r="AH14" s="164">
        <f t="shared" ca="1" si="21"/>
        <v>0</v>
      </c>
      <c r="AI14" s="164">
        <f t="shared" ca="1" si="22"/>
        <v>0</v>
      </c>
      <c r="AJ14" s="164">
        <f t="shared" ca="1" si="23"/>
        <v>0</v>
      </c>
      <c r="AK14" s="164">
        <f t="shared" ca="1" si="24"/>
        <v>0</v>
      </c>
      <c r="AL14" s="164">
        <f t="shared" ca="1" si="25"/>
        <v>0</v>
      </c>
      <c r="AM14" s="208"/>
      <c r="AN14" s="154"/>
      <c r="AO14" s="164">
        <f t="shared" ca="1" si="26"/>
        <v>0</v>
      </c>
      <c r="AP14" s="164">
        <f t="shared" ca="1" si="27"/>
        <v>0</v>
      </c>
      <c r="AQ14" s="164">
        <f t="shared" ca="1" si="28"/>
        <v>0</v>
      </c>
      <c r="AR14" s="164">
        <f t="shared" ca="1" si="29"/>
        <v>0</v>
      </c>
      <c r="AS14" s="164">
        <f t="shared" ca="1" si="30"/>
        <v>0</v>
      </c>
      <c r="AT14" s="164">
        <f t="shared" ca="1" si="31"/>
        <v>0</v>
      </c>
      <c r="AU14" s="164">
        <f t="shared" ca="1" si="32"/>
        <v>0</v>
      </c>
      <c r="AV14" s="164">
        <f t="shared" ca="1" si="33"/>
        <v>0</v>
      </c>
      <c r="AW14" s="164">
        <f t="shared" ca="1" si="34"/>
        <v>0</v>
      </c>
      <c r="AX14" s="164">
        <f t="shared" ca="1" si="35"/>
        <v>0</v>
      </c>
      <c r="AY14" s="164">
        <f t="shared" ca="1" si="36"/>
        <v>0</v>
      </c>
      <c r="AZ14" s="164">
        <f t="shared" ca="1" si="37"/>
        <v>0</v>
      </c>
      <c r="BA14" s="164">
        <f t="shared" ca="1" si="38"/>
        <v>0</v>
      </c>
      <c r="BB14" s="164">
        <f t="shared" ca="1" si="39"/>
        <v>0</v>
      </c>
      <c r="BC14" s="164">
        <f t="shared" ca="1" si="40"/>
        <v>0</v>
      </c>
      <c r="BD14" s="164">
        <f t="shared" ca="1" si="41"/>
        <v>0</v>
      </c>
      <c r="BE14" s="164">
        <f t="shared" ca="1" si="42"/>
        <v>0</v>
      </c>
      <c r="BF14" s="164">
        <f t="shared" ca="1" si="43"/>
        <v>0</v>
      </c>
      <c r="BG14" s="164">
        <f t="shared" ca="1" si="44"/>
        <v>0</v>
      </c>
      <c r="BH14" s="164">
        <f t="shared" ca="1" si="45"/>
        <v>0</v>
      </c>
      <c r="BI14" s="164">
        <f t="shared" ca="1" si="46"/>
        <v>0</v>
      </c>
      <c r="BJ14" s="164">
        <f t="shared" ca="1" si="47"/>
        <v>0</v>
      </c>
      <c r="BK14" s="164">
        <f t="shared" ca="1" si="48"/>
        <v>0</v>
      </c>
      <c r="BL14" s="164">
        <f t="shared" ca="1" si="49"/>
        <v>0</v>
      </c>
      <c r="BM14" s="164">
        <f t="shared" ca="1" si="50"/>
        <v>0</v>
      </c>
      <c r="BN14" s="164">
        <f t="shared" ca="1" si="51"/>
        <v>0</v>
      </c>
      <c r="BO14" s="356" t="str">
        <f t="shared" ca="1" si="52"/>
        <v/>
      </c>
      <c r="BP14" s="355" t="str">
        <f t="shared" ca="1" si="53"/>
        <v/>
      </c>
      <c r="BQ14" s="355" t="str">
        <f t="shared" ca="1" si="54"/>
        <v/>
      </c>
      <c r="BR14" s="348">
        <f t="shared" ca="1" si="93"/>
        <v>0</v>
      </c>
      <c r="BS14" s="348">
        <f t="shared" ca="1" si="94"/>
        <v>0</v>
      </c>
      <c r="BT14" s="610">
        <f t="shared" ca="1" si="55"/>
        <v>0</v>
      </c>
      <c r="BU14" s="357">
        <v>1</v>
      </c>
      <c r="BV14" s="357">
        <v>0</v>
      </c>
      <c r="BW14" s="357">
        <f t="shared" si="56"/>
        <v>0</v>
      </c>
      <c r="BX14" s="357">
        <f t="shared" ca="1" si="57"/>
        <v>0</v>
      </c>
      <c r="BY14" s="357">
        <f t="shared" ca="1" si="95"/>
        <v>0</v>
      </c>
      <c r="BZ14" s="357"/>
      <c r="CA14" s="357">
        <f t="shared" ca="1" si="96"/>
        <v>0</v>
      </c>
      <c r="CB14" s="357"/>
      <c r="CC14" s="358" t="str">
        <f t="shared" ca="1" si="97"/>
        <v/>
      </c>
      <c r="CD14" s="358" t="str">
        <f t="shared" ca="1" si="98"/>
        <v/>
      </c>
      <c r="CE14" s="357" t="str">
        <f t="shared" ca="1" si="99"/>
        <v>,,,,</v>
      </c>
      <c r="CF14" s="154"/>
      <c r="CG14" s="154">
        <f t="shared" ca="1" si="100"/>
        <v>0</v>
      </c>
      <c r="CH14" s="268" t="str">
        <f t="shared" ca="1" si="58"/>
        <v/>
      </c>
      <c r="CI14" s="268">
        <f t="shared" ca="1" si="101"/>
        <v>0</v>
      </c>
      <c r="CJ14" s="268" t="str">
        <f t="shared" ca="1" si="59"/>
        <v/>
      </c>
      <c r="CK14" s="268">
        <f t="shared" ca="1" si="60"/>
        <v>0</v>
      </c>
      <c r="CL14" s="268">
        <f t="shared" ca="1" si="61"/>
        <v>0</v>
      </c>
      <c r="CM14" s="154">
        <f t="shared" ca="1" si="102"/>
        <v>0</v>
      </c>
      <c r="CN14" s="154"/>
      <c r="CO14" s="169"/>
      <c r="CP14" s="169"/>
      <c r="CQ14" s="169"/>
      <c r="CR14" s="169"/>
      <c r="CS14" s="169"/>
      <c r="CT14" s="169"/>
      <c r="CU14" s="169"/>
      <c r="CV14" s="164" t="str">
        <f t="shared" ca="1" si="62"/>
        <v/>
      </c>
      <c r="CW14" s="164" t="str">
        <f t="shared" ca="1" si="62"/>
        <v/>
      </c>
      <c r="CX14" s="164" t="str">
        <f t="shared" ca="1" si="62"/>
        <v/>
      </c>
      <c r="CY14" s="164" t="str">
        <f t="shared" ca="1" si="62"/>
        <v/>
      </c>
      <c r="CZ14" s="164" t="str">
        <f t="shared" ca="1" si="62"/>
        <v/>
      </c>
      <c r="DA14" s="164" t="str">
        <f t="shared" ca="1" si="62"/>
        <v/>
      </c>
      <c r="DB14" s="164" t="str">
        <f t="shared" ca="1" si="62"/>
        <v/>
      </c>
      <c r="DC14" s="164" t="str">
        <f t="shared" ca="1" si="62"/>
        <v/>
      </c>
      <c r="DD14" s="164" t="str">
        <f t="shared" ca="1" si="62"/>
        <v/>
      </c>
      <c r="DE14" s="164" t="str">
        <f t="shared" ca="1" si="62"/>
        <v/>
      </c>
      <c r="DF14" s="164" t="str">
        <f t="shared" ca="1" si="63"/>
        <v/>
      </c>
      <c r="DG14" s="164" t="str">
        <f t="shared" ca="1" si="63"/>
        <v/>
      </c>
      <c r="DH14" s="164" t="str">
        <f t="shared" ca="1" si="63"/>
        <v/>
      </c>
      <c r="DI14" s="164" t="str">
        <f t="shared" ca="1" si="63"/>
        <v/>
      </c>
      <c r="DJ14" s="164" t="str">
        <f t="shared" ca="1" si="63"/>
        <v/>
      </c>
      <c r="DK14" s="164" t="str">
        <f t="shared" ca="1" si="63"/>
        <v/>
      </c>
      <c r="DL14" s="164" t="str">
        <f t="shared" ca="1" si="63"/>
        <v/>
      </c>
      <c r="DM14" s="164" t="str">
        <f t="shared" ca="1" si="63"/>
        <v/>
      </c>
      <c r="DN14" s="164" t="str">
        <f t="shared" ca="1" si="63"/>
        <v/>
      </c>
      <c r="DO14" s="164" t="str">
        <f t="shared" ca="1" si="63"/>
        <v/>
      </c>
      <c r="DP14" s="164" t="str">
        <f t="shared" ca="1" si="63"/>
        <v/>
      </c>
      <c r="DQ14" s="164" t="str">
        <f t="shared" ca="1" si="63"/>
        <v/>
      </c>
      <c r="DR14" s="208"/>
      <c r="DS14" s="164" t="str">
        <f t="shared" ca="1" si="64"/>
        <v/>
      </c>
      <c r="DT14" s="164" t="str">
        <f t="shared" ca="1" si="65"/>
        <v/>
      </c>
      <c r="DU14" s="164" t="str">
        <f t="shared" ca="1" si="66"/>
        <v/>
      </c>
      <c r="DV14" s="164" t="str">
        <f t="shared" ca="1" si="67"/>
        <v/>
      </c>
      <c r="DW14" s="164" t="str">
        <f t="shared" ca="1" si="68"/>
        <v/>
      </c>
      <c r="DX14" s="164" t="str">
        <f t="shared" ca="1" si="69"/>
        <v/>
      </c>
      <c r="DY14" s="164" t="str">
        <f t="shared" ca="1" si="70"/>
        <v/>
      </c>
      <c r="DZ14" s="164" t="str">
        <f t="shared" ca="1" si="71"/>
        <v/>
      </c>
      <c r="EA14" s="164" t="str">
        <f t="shared" ca="1" si="72"/>
        <v/>
      </c>
      <c r="EB14" s="164" t="str">
        <f t="shared" ca="1" si="73"/>
        <v/>
      </c>
      <c r="EC14" s="164" t="str">
        <f t="shared" ca="1" si="74"/>
        <v/>
      </c>
      <c r="ED14" s="164" t="str">
        <f t="shared" ca="1" si="75"/>
        <v/>
      </c>
      <c r="EE14" s="164" t="str">
        <f t="shared" ca="1" si="76"/>
        <v/>
      </c>
      <c r="EF14" s="164" t="str">
        <f t="shared" ca="1" si="77"/>
        <v/>
      </c>
      <c r="EG14" s="164" t="str">
        <f t="shared" ca="1" si="78"/>
        <v/>
      </c>
      <c r="EH14" s="164" t="str">
        <f t="shared" ca="1" si="79"/>
        <v/>
      </c>
      <c r="EI14" s="164" t="str">
        <f t="shared" ca="1" si="80"/>
        <v/>
      </c>
      <c r="EJ14" s="164" t="str">
        <f t="shared" ca="1" si="81"/>
        <v/>
      </c>
      <c r="EK14" s="164" t="str">
        <f t="shared" ca="1" si="82"/>
        <v/>
      </c>
      <c r="EL14" s="164" t="str">
        <f t="shared" ca="1" si="83"/>
        <v/>
      </c>
      <c r="EM14" s="164" t="str">
        <f t="shared" ca="1" si="84"/>
        <v/>
      </c>
      <c r="EN14" s="164" t="str">
        <f t="shared" ca="1" si="85"/>
        <v/>
      </c>
      <c r="EO14" s="164" t="str">
        <f t="shared" ca="1" si="86"/>
        <v/>
      </c>
      <c r="EP14" s="164" t="str">
        <f t="shared" ca="1" si="87"/>
        <v/>
      </c>
      <c r="EQ14" s="164" t="str">
        <f t="shared" ca="1" si="88"/>
        <v/>
      </c>
      <c r="ER14" s="164" t="str">
        <f t="shared" ca="1" si="89"/>
        <v/>
      </c>
      <c r="ES14" s="164" t="str">
        <f t="shared" ca="1" si="90"/>
        <v/>
      </c>
    </row>
    <row r="15" spans="1:149" x14ac:dyDescent="0.2">
      <c r="A15" s="89" t="str">
        <f t="shared" ca="1" si="103"/>
        <v/>
      </c>
      <c r="B15" s="317" t="str">
        <f t="shared" ca="1" si="91"/>
        <v/>
      </c>
      <c r="C15" s="609" t="str">
        <f t="shared" ca="1" si="0"/>
        <v/>
      </c>
      <c r="D15" s="1956" t="str">
        <f t="shared" ca="1" si="1"/>
        <v/>
      </c>
      <c r="E15" s="1956"/>
      <c r="F15" s="960"/>
      <c r="G15" s="485" t="str">
        <f t="shared" ca="1" si="2"/>
        <v/>
      </c>
      <c r="H15" s="983"/>
      <c r="I15" s="486"/>
      <c r="J15" s="972"/>
      <c r="K15" s="1886" t="str">
        <f t="shared" ca="1" si="3"/>
        <v/>
      </c>
      <c r="L15" s="1888"/>
      <c r="M15" s="296" t="str">
        <f t="shared" ca="1" si="92"/>
        <v/>
      </c>
      <c r="N15" s="1322"/>
      <c r="O15" s="1319"/>
      <c r="P15" s="957" t="str">
        <f t="shared" ca="1" si="4"/>
        <v/>
      </c>
      <c r="Q15" s="749"/>
      <c r="R15" s="164">
        <f t="shared" ca="1" si="5"/>
        <v>0</v>
      </c>
      <c r="S15" s="164">
        <f t="shared" ca="1" si="6"/>
        <v>0</v>
      </c>
      <c r="T15" s="164">
        <f t="shared" ca="1" si="7"/>
        <v>0</v>
      </c>
      <c r="U15" s="164">
        <f t="shared" ca="1" si="8"/>
        <v>0</v>
      </c>
      <c r="V15" s="164">
        <f t="shared" ca="1" si="9"/>
        <v>0</v>
      </c>
      <c r="W15" s="164">
        <f t="shared" ca="1" si="10"/>
        <v>0</v>
      </c>
      <c r="X15" s="164">
        <f t="shared" ca="1" si="11"/>
        <v>0</v>
      </c>
      <c r="Y15" s="164">
        <f t="shared" ca="1" si="12"/>
        <v>0</v>
      </c>
      <c r="Z15" s="164">
        <f t="shared" ca="1" si="13"/>
        <v>0</v>
      </c>
      <c r="AA15" s="164">
        <f t="shared" ca="1" si="14"/>
        <v>0</v>
      </c>
      <c r="AB15" s="164">
        <f t="shared" ca="1" si="15"/>
        <v>0</v>
      </c>
      <c r="AC15" s="164">
        <f t="shared" ca="1" si="16"/>
        <v>0</v>
      </c>
      <c r="AD15" s="164">
        <f t="shared" ca="1" si="17"/>
        <v>0</v>
      </c>
      <c r="AE15" s="164">
        <f t="shared" ca="1" si="18"/>
        <v>0</v>
      </c>
      <c r="AF15" s="164">
        <f t="shared" ca="1" si="19"/>
        <v>0</v>
      </c>
      <c r="AG15" s="164">
        <f t="shared" ca="1" si="20"/>
        <v>0</v>
      </c>
      <c r="AH15" s="164">
        <f t="shared" ca="1" si="21"/>
        <v>0</v>
      </c>
      <c r="AI15" s="164">
        <f t="shared" ca="1" si="22"/>
        <v>0</v>
      </c>
      <c r="AJ15" s="164">
        <f t="shared" ca="1" si="23"/>
        <v>0</v>
      </c>
      <c r="AK15" s="164">
        <f t="shared" ca="1" si="24"/>
        <v>0</v>
      </c>
      <c r="AL15" s="164">
        <f t="shared" ca="1" si="25"/>
        <v>0</v>
      </c>
      <c r="AM15" s="208"/>
      <c r="AN15" s="154"/>
      <c r="AO15" s="164">
        <f t="shared" ca="1" si="26"/>
        <v>0</v>
      </c>
      <c r="AP15" s="164">
        <f t="shared" ca="1" si="27"/>
        <v>0</v>
      </c>
      <c r="AQ15" s="164">
        <f t="shared" ca="1" si="28"/>
        <v>0</v>
      </c>
      <c r="AR15" s="164">
        <f t="shared" ca="1" si="29"/>
        <v>0</v>
      </c>
      <c r="AS15" s="164">
        <f t="shared" ca="1" si="30"/>
        <v>0</v>
      </c>
      <c r="AT15" s="164">
        <f t="shared" ca="1" si="31"/>
        <v>0</v>
      </c>
      <c r="AU15" s="164">
        <f t="shared" ca="1" si="32"/>
        <v>0</v>
      </c>
      <c r="AV15" s="164">
        <f t="shared" ca="1" si="33"/>
        <v>0</v>
      </c>
      <c r="AW15" s="164">
        <f t="shared" ca="1" si="34"/>
        <v>0</v>
      </c>
      <c r="AX15" s="164">
        <f t="shared" ca="1" si="35"/>
        <v>0</v>
      </c>
      <c r="AY15" s="164">
        <f t="shared" ca="1" si="36"/>
        <v>0</v>
      </c>
      <c r="AZ15" s="164">
        <f t="shared" ca="1" si="37"/>
        <v>0</v>
      </c>
      <c r="BA15" s="164">
        <f t="shared" ca="1" si="38"/>
        <v>0</v>
      </c>
      <c r="BB15" s="164">
        <f t="shared" ca="1" si="39"/>
        <v>0</v>
      </c>
      <c r="BC15" s="164">
        <f t="shared" ca="1" si="40"/>
        <v>0</v>
      </c>
      <c r="BD15" s="164">
        <f t="shared" ca="1" si="41"/>
        <v>0</v>
      </c>
      <c r="BE15" s="164">
        <f t="shared" ca="1" si="42"/>
        <v>0</v>
      </c>
      <c r="BF15" s="164">
        <f t="shared" ca="1" si="43"/>
        <v>0</v>
      </c>
      <c r="BG15" s="164">
        <f t="shared" ca="1" si="44"/>
        <v>0</v>
      </c>
      <c r="BH15" s="164">
        <f t="shared" ca="1" si="45"/>
        <v>0</v>
      </c>
      <c r="BI15" s="164">
        <f t="shared" ca="1" si="46"/>
        <v>0</v>
      </c>
      <c r="BJ15" s="164">
        <f t="shared" ca="1" si="47"/>
        <v>0</v>
      </c>
      <c r="BK15" s="164">
        <f t="shared" ca="1" si="48"/>
        <v>0</v>
      </c>
      <c r="BL15" s="164">
        <f t="shared" ca="1" si="49"/>
        <v>0</v>
      </c>
      <c r="BM15" s="164">
        <f t="shared" ca="1" si="50"/>
        <v>0</v>
      </c>
      <c r="BN15" s="164">
        <f t="shared" ca="1" si="51"/>
        <v>0</v>
      </c>
      <c r="BO15" s="356" t="str">
        <f t="shared" ca="1" si="52"/>
        <v/>
      </c>
      <c r="BP15" s="355" t="str">
        <f t="shared" ca="1" si="53"/>
        <v/>
      </c>
      <c r="BQ15" s="355" t="str">
        <f t="shared" ca="1" si="54"/>
        <v/>
      </c>
      <c r="BR15" s="348">
        <f t="shared" ca="1" si="93"/>
        <v>0</v>
      </c>
      <c r="BS15" s="348">
        <f t="shared" ca="1" si="94"/>
        <v>0</v>
      </c>
      <c r="BT15" s="610">
        <f t="shared" ca="1" si="55"/>
        <v>0</v>
      </c>
      <c r="BU15" s="357">
        <v>1</v>
      </c>
      <c r="BV15" s="357">
        <v>0</v>
      </c>
      <c r="BW15" s="357">
        <f t="shared" si="56"/>
        <v>0</v>
      </c>
      <c r="BX15" s="357">
        <f t="shared" ca="1" si="57"/>
        <v>0</v>
      </c>
      <c r="BY15" s="357">
        <f t="shared" ca="1" si="95"/>
        <v>0</v>
      </c>
      <c r="BZ15" s="357"/>
      <c r="CA15" s="357">
        <f t="shared" ca="1" si="96"/>
        <v>0</v>
      </c>
      <c r="CB15" s="357"/>
      <c r="CC15" s="358" t="str">
        <f t="shared" ca="1" si="97"/>
        <v/>
      </c>
      <c r="CD15" s="358" t="str">
        <f t="shared" ca="1" si="98"/>
        <v/>
      </c>
      <c r="CE15" s="357" t="str">
        <f t="shared" ca="1" si="99"/>
        <v>,,,,,</v>
      </c>
      <c r="CF15" s="154"/>
      <c r="CG15" s="154">
        <f t="shared" ca="1" si="100"/>
        <v>0</v>
      </c>
      <c r="CH15" s="268" t="str">
        <f t="shared" ca="1" si="58"/>
        <v/>
      </c>
      <c r="CI15" s="268">
        <f t="shared" ca="1" si="101"/>
        <v>0</v>
      </c>
      <c r="CJ15" s="268" t="str">
        <f t="shared" ca="1" si="59"/>
        <v/>
      </c>
      <c r="CK15" s="268">
        <f t="shared" ca="1" si="60"/>
        <v>0</v>
      </c>
      <c r="CL15" s="268">
        <f t="shared" ca="1" si="61"/>
        <v>0</v>
      </c>
      <c r="CM15" s="154">
        <f t="shared" ca="1" si="102"/>
        <v>0</v>
      </c>
      <c r="CN15" s="154"/>
      <c r="CO15" s="169"/>
      <c r="CP15" s="169"/>
      <c r="CQ15" s="169"/>
      <c r="CR15" s="169"/>
      <c r="CS15" s="169"/>
      <c r="CT15" s="169"/>
      <c r="CU15" s="169"/>
      <c r="CV15" s="164" t="str">
        <f t="shared" ca="1" si="62"/>
        <v/>
      </c>
      <c r="CW15" s="164" t="str">
        <f t="shared" ca="1" si="62"/>
        <v/>
      </c>
      <c r="CX15" s="164" t="str">
        <f t="shared" ca="1" si="62"/>
        <v/>
      </c>
      <c r="CY15" s="164" t="str">
        <f t="shared" ca="1" si="62"/>
        <v/>
      </c>
      <c r="CZ15" s="164" t="str">
        <f t="shared" ca="1" si="62"/>
        <v/>
      </c>
      <c r="DA15" s="164" t="str">
        <f t="shared" ca="1" si="62"/>
        <v/>
      </c>
      <c r="DB15" s="164" t="str">
        <f t="shared" ca="1" si="62"/>
        <v/>
      </c>
      <c r="DC15" s="164" t="str">
        <f t="shared" ca="1" si="62"/>
        <v/>
      </c>
      <c r="DD15" s="164" t="str">
        <f t="shared" ca="1" si="62"/>
        <v/>
      </c>
      <c r="DE15" s="164" t="str">
        <f t="shared" ca="1" si="62"/>
        <v/>
      </c>
      <c r="DF15" s="164" t="str">
        <f t="shared" ca="1" si="63"/>
        <v/>
      </c>
      <c r="DG15" s="164" t="str">
        <f t="shared" ca="1" si="63"/>
        <v/>
      </c>
      <c r="DH15" s="164" t="str">
        <f t="shared" ca="1" si="63"/>
        <v/>
      </c>
      <c r="DI15" s="164" t="str">
        <f t="shared" ca="1" si="63"/>
        <v/>
      </c>
      <c r="DJ15" s="164" t="str">
        <f t="shared" ca="1" si="63"/>
        <v/>
      </c>
      <c r="DK15" s="164" t="str">
        <f t="shared" ca="1" si="63"/>
        <v/>
      </c>
      <c r="DL15" s="164" t="str">
        <f t="shared" ca="1" si="63"/>
        <v/>
      </c>
      <c r="DM15" s="164" t="str">
        <f t="shared" ca="1" si="63"/>
        <v/>
      </c>
      <c r="DN15" s="164" t="str">
        <f t="shared" ca="1" si="63"/>
        <v/>
      </c>
      <c r="DO15" s="164" t="str">
        <f t="shared" ca="1" si="63"/>
        <v/>
      </c>
      <c r="DP15" s="164" t="str">
        <f t="shared" ca="1" si="63"/>
        <v/>
      </c>
      <c r="DQ15" s="164" t="str">
        <f t="shared" ca="1" si="63"/>
        <v/>
      </c>
      <c r="DR15" s="208"/>
      <c r="DS15" s="164" t="str">
        <f t="shared" ca="1" si="64"/>
        <v/>
      </c>
      <c r="DT15" s="164" t="str">
        <f t="shared" ca="1" si="65"/>
        <v/>
      </c>
      <c r="DU15" s="164" t="str">
        <f t="shared" ca="1" si="66"/>
        <v/>
      </c>
      <c r="DV15" s="164" t="str">
        <f t="shared" ca="1" si="67"/>
        <v/>
      </c>
      <c r="DW15" s="164" t="str">
        <f t="shared" ca="1" si="68"/>
        <v/>
      </c>
      <c r="DX15" s="164" t="str">
        <f t="shared" ca="1" si="69"/>
        <v/>
      </c>
      <c r="DY15" s="164" t="str">
        <f t="shared" ca="1" si="70"/>
        <v/>
      </c>
      <c r="DZ15" s="164" t="str">
        <f t="shared" ca="1" si="71"/>
        <v/>
      </c>
      <c r="EA15" s="164" t="str">
        <f t="shared" ca="1" si="72"/>
        <v/>
      </c>
      <c r="EB15" s="164" t="str">
        <f t="shared" ca="1" si="73"/>
        <v/>
      </c>
      <c r="EC15" s="164" t="str">
        <f t="shared" ca="1" si="74"/>
        <v/>
      </c>
      <c r="ED15" s="164" t="str">
        <f t="shared" ca="1" si="75"/>
        <v/>
      </c>
      <c r="EE15" s="164" t="str">
        <f t="shared" ca="1" si="76"/>
        <v/>
      </c>
      <c r="EF15" s="164" t="str">
        <f t="shared" ca="1" si="77"/>
        <v/>
      </c>
      <c r="EG15" s="164" t="str">
        <f t="shared" ca="1" si="78"/>
        <v/>
      </c>
      <c r="EH15" s="164" t="str">
        <f t="shared" ca="1" si="79"/>
        <v/>
      </c>
      <c r="EI15" s="164" t="str">
        <f t="shared" ca="1" si="80"/>
        <v/>
      </c>
      <c r="EJ15" s="164" t="str">
        <f t="shared" ca="1" si="81"/>
        <v/>
      </c>
      <c r="EK15" s="164" t="str">
        <f t="shared" ca="1" si="82"/>
        <v/>
      </c>
      <c r="EL15" s="164" t="str">
        <f t="shared" ca="1" si="83"/>
        <v/>
      </c>
      <c r="EM15" s="164" t="str">
        <f t="shared" ca="1" si="84"/>
        <v/>
      </c>
      <c r="EN15" s="164" t="str">
        <f t="shared" ca="1" si="85"/>
        <v/>
      </c>
      <c r="EO15" s="164" t="str">
        <f t="shared" ca="1" si="86"/>
        <v/>
      </c>
      <c r="EP15" s="164" t="str">
        <f t="shared" ca="1" si="87"/>
        <v/>
      </c>
      <c r="EQ15" s="164" t="str">
        <f t="shared" ca="1" si="88"/>
        <v/>
      </c>
      <c r="ER15" s="164" t="str">
        <f t="shared" ca="1" si="89"/>
        <v/>
      </c>
      <c r="ES15" s="164" t="str">
        <f t="shared" ca="1" si="90"/>
        <v/>
      </c>
    </row>
    <row r="16" spans="1:149" x14ac:dyDescent="0.2">
      <c r="A16" s="89" t="str">
        <f t="shared" ca="1" si="103"/>
        <v/>
      </c>
      <c r="B16" s="317" t="str">
        <f t="shared" ca="1" si="91"/>
        <v/>
      </c>
      <c r="C16" s="609" t="str">
        <f t="shared" ca="1" si="0"/>
        <v/>
      </c>
      <c r="D16" s="1956" t="str">
        <f t="shared" ca="1" si="1"/>
        <v/>
      </c>
      <c r="E16" s="1956"/>
      <c r="F16" s="960"/>
      <c r="G16" s="485" t="str">
        <f t="shared" ca="1" si="2"/>
        <v/>
      </c>
      <c r="H16" s="983"/>
      <c r="I16" s="486"/>
      <c r="J16" s="972"/>
      <c r="K16" s="1886" t="str">
        <f t="shared" ca="1" si="3"/>
        <v/>
      </c>
      <c r="L16" s="1888"/>
      <c r="M16" s="296" t="str">
        <f t="shared" ca="1" si="92"/>
        <v/>
      </c>
      <c r="N16" s="1322"/>
      <c r="O16" s="1319"/>
      <c r="P16" s="957" t="str">
        <f t="shared" ca="1" si="4"/>
        <v/>
      </c>
      <c r="Q16" s="749"/>
      <c r="R16" s="164">
        <f t="shared" ca="1" si="5"/>
        <v>0</v>
      </c>
      <c r="S16" s="164">
        <f t="shared" ca="1" si="6"/>
        <v>0</v>
      </c>
      <c r="T16" s="164">
        <f t="shared" ca="1" si="7"/>
        <v>0</v>
      </c>
      <c r="U16" s="164">
        <f t="shared" ca="1" si="8"/>
        <v>0</v>
      </c>
      <c r="V16" s="164">
        <f t="shared" ca="1" si="9"/>
        <v>0</v>
      </c>
      <c r="W16" s="164">
        <f t="shared" ca="1" si="10"/>
        <v>0</v>
      </c>
      <c r="X16" s="164">
        <f t="shared" ca="1" si="11"/>
        <v>0</v>
      </c>
      <c r="Y16" s="164">
        <f t="shared" ca="1" si="12"/>
        <v>0</v>
      </c>
      <c r="Z16" s="164">
        <f t="shared" ca="1" si="13"/>
        <v>0</v>
      </c>
      <c r="AA16" s="164">
        <f t="shared" ca="1" si="14"/>
        <v>0</v>
      </c>
      <c r="AB16" s="164">
        <f t="shared" ca="1" si="15"/>
        <v>0</v>
      </c>
      <c r="AC16" s="164">
        <f t="shared" ca="1" si="16"/>
        <v>0</v>
      </c>
      <c r="AD16" s="164">
        <f t="shared" ca="1" si="17"/>
        <v>0</v>
      </c>
      <c r="AE16" s="164">
        <f t="shared" ca="1" si="18"/>
        <v>0</v>
      </c>
      <c r="AF16" s="164">
        <f t="shared" ca="1" si="19"/>
        <v>0</v>
      </c>
      <c r="AG16" s="164">
        <f t="shared" ca="1" si="20"/>
        <v>0</v>
      </c>
      <c r="AH16" s="164">
        <f t="shared" ca="1" si="21"/>
        <v>0</v>
      </c>
      <c r="AI16" s="164">
        <f t="shared" ca="1" si="22"/>
        <v>0</v>
      </c>
      <c r="AJ16" s="164">
        <f t="shared" ca="1" si="23"/>
        <v>0</v>
      </c>
      <c r="AK16" s="164">
        <f t="shared" ca="1" si="24"/>
        <v>0</v>
      </c>
      <c r="AL16" s="164">
        <f t="shared" ca="1" si="25"/>
        <v>0</v>
      </c>
      <c r="AM16" s="208"/>
      <c r="AN16" s="154"/>
      <c r="AO16" s="164">
        <f t="shared" ca="1" si="26"/>
        <v>0</v>
      </c>
      <c r="AP16" s="164">
        <f t="shared" ca="1" si="27"/>
        <v>0</v>
      </c>
      <c r="AQ16" s="164">
        <f t="shared" ca="1" si="28"/>
        <v>0</v>
      </c>
      <c r="AR16" s="164">
        <f t="shared" ca="1" si="29"/>
        <v>0</v>
      </c>
      <c r="AS16" s="164">
        <f t="shared" ca="1" si="30"/>
        <v>0</v>
      </c>
      <c r="AT16" s="164">
        <f t="shared" ca="1" si="31"/>
        <v>0</v>
      </c>
      <c r="AU16" s="164">
        <f t="shared" ca="1" si="32"/>
        <v>0</v>
      </c>
      <c r="AV16" s="164">
        <f t="shared" ca="1" si="33"/>
        <v>0</v>
      </c>
      <c r="AW16" s="164">
        <f t="shared" ca="1" si="34"/>
        <v>0</v>
      </c>
      <c r="AX16" s="164">
        <f t="shared" ca="1" si="35"/>
        <v>0</v>
      </c>
      <c r="AY16" s="164">
        <f t="shared" ca="1" si="36"/>
        <v>0</v>
      </c>
      <c r="AZ16" s="164">
        <f t="shared" ca="1" si="37"/>
        <v>0</v>
      </c>
      <c r="BA16" s="164">
        <f t="shared" ca="1" si="38"/>
        <v>0</v>
      </c>
      <c r="BB16" s="164">
        <f t="shared" ca="1" si="39"/>
        <v>0</v>
      </c>
      <c r="BC16" s="164">
        <f t="shared" ca="1" si="40"/>
        <v>0</v>
      </c>
      <c r="BD16" s="164">
        <f t="shared" ca="1" si="41"/>
        <v>0</v>
      </c>
      <c r="BE16" s="164">
        <f t="shared" ca="1" si="42"/>
        <v>0</v>
      </c>
      <c r="BF16" s="164">
        <f t="shared" ca="1" si="43"/>
        <v>0</v>
      </c>
      <c r="BG16" s="164">
        <f t="shared" ca="1" si="44"/>
        <v>0</v>
      </c>
      <c r="BH16" s="164">
        <f t="shared" ca="1" si="45"/>
        <v>0</v>
      </c>
      <c r="BI16" s="164">
        <f t="shared" ca="1" si="46"/>
        <v>0</v>
      </c>
      <c r="BJ16" s="164">
        <f t="shared" ca="1" si="47"/>
        <v>0</v>
      </c>
      <c r="BK16" s="164">
        <f t="shared" ca="1" si="48"/>
        <v>0</v>
      </c>
      <c r="BL16" s="164">
        <f t="shared" ca="1" si="49"/>
        <v>0</v>
      </c>
      <c r="BM16" s="164">
        <f t="shared" ca="1" si="50"/>
        <v>0</v>
      </c>
      <c r="BN16" s="164">
        <f t="shared" ca="1" si="51"/>
        <v>0</v>
      </c>
      <c r="BO16" s="356" t="str">
        <f t="shared" ca="1" si="52"/>
        <v/>
      </c>
      <c r="BP16" s="355" t="str">
        <f t="shared" ca="1" si="53"/>
        <v/>
      </c>
      <c r="BQ16" s="355" t="str">
        <f t="shared" ca="1" si="54"/>
        <v/>
      </c>
      <c r="BR16" s="348">
        <f t="shared" ca="1" si="93"/>
        <v>0</v>
      </c>
      <c r="BS16" s="348">
        <f t="shared" ca="1" si="94"/>
        <v>0</v>
      </c>
      <c r="BT16" s="610">
        <f t="shared" ca="1" si="55"/>
        <v>0</v>
      </c>
      <c r="BU16" s="357">
        <v>1</v>
      </c>
      <c r="BV16" s="357">
        <v>0</v>
      </c>
      <c r="BW16" s="357">
        <f t="shared" si="56"/>
        <v>0</v>
      </c>
      <c r="BX16" s="357">
        <f t="shared" ca="1" si="57"/>
        <v>0</v>
      </c>
      <c r="BY16" s="357">
        <f t="shared" ca="1" si="95"/>
        <v>0</v>
      </c>
      <c r="BZ16" s="357"/>
      <c r="CA16" s="357">
        <f t="shared" ca="1" si="96"/>
        <v>0</v>
      </c>
      <c r="CB16" s="357"/>
      <c r="CC16" s="358" t="str">
        <f t="shared" ca="1" si="97"/>
        <v/>
      </c>
      <c r="CD16" s="358" t="str">
        <f t="shared" ca="1" si="98"/>
        <v/>
      </c>
      <c r="CE16" s="357" t="str">
        <f t="shared" ca="1" si="99"/>
        <v>,,,,,,</v>
      </c>
      <c r="CF16" s="154"/>
      <c r="CG16" s="154">
        <f t="shared" ca="1" si="100"/>
        <v>0</v>
      </c>
      <c r="CH16" s="268" t="str">
        <f t="shared" ca="1" si="58"/>
        <v/>
      </c>
      <c r="CI16" s="268">
        <f t="shared" ca="1" si="101"/>
        <v>0</v>
      </c>
      <c r="CJ16" s="268" t="str">
        <f t="shared" ca="1" si="59"/>
        <v/>
      </c>
      <c r="CK16" s="268">
        <f t="shared" ca="1" si="60"/>
        <v>0</v>
      </c>
      <c r="CL16" s="268">
        <f t="shared" ca="1" si="61"/>
        <v>0</v>
      </c>
      <c r="CM16" s="154">
        <f t="shared" ca="1" si="102"/>
        <v>0</v>
      </c>
      <c r="CN16" s="154"/>
      <c r="CO16" s="169"/>
      <c r="CP16" s="169"/>
      <c r="CQ16" s="169"/>
      <c r="CR16" s="169"/>
      <c r="CS16" s="169"/>
      <c r="CT16" s="169"/>
      <c r="CU16" s="169"/>
      <c r="CV16" s="164" t="str">
        <f t="shared" ca="1" si="62"/>
        <v/>
      </c>
      <c r="CW16" s="164" t="str">
        <f t="shared" ca="1" si="62"/>
        <v/>
      </c>
      <c r="CX16" s="164" t="str">
        <f t="shared" ca="1" si="62"/>
        <v/>
      </c>
      <c r="CY16" s="164" t="str">
        <f t="shared" ca="1" si="62"/>
        <v/>
      </c>
      <c r="CZ16" s="164" t="str">
        <f t="shared" ca="1" si="62"/>
        <v/>
      </c>
      <c r="DA16" s="164" t="str">
        <f t="shared" ca="1" si="62"/>
        <v/>
      </c>
      <c r="DB16" s="164" t="str">
        <f t="shared" ca="1" si="62"/>
        <v/>
      </c>
      <c r="DC16" s="164" t="str">
        <f t="shared" ca="1" si="62"/>
        <v/>
      </c>
      <c r="DD16" s="164" t="str">
        <f t="shared" ca="1" si="62"/>
        <v/>
      </c>
      <c r="DE16" s="164" t="str">
        <f t="shared" ca="1" si="62"/>
        <v/>
      </c>
      <c r="DF16" s="164" t="str">
        <f t="shared" ca="1" si="63"/>
        <v/>
      </c>
      <c r="DG16" s="164" t="str">
        <f t="shared" ca="1" si="63"/>
        <v/>
      </c>
      <c r="DH16" s="164" t="str">
        <f t="shared" ca="1" si="63"/>
        <v/>
      </c>
      <c r="DI16" s="164" t="str">
        <f t="shared" ca="1" si="63"/>
        <v/>
      </c>
      <c r="DJ16" s="164" t="str">
        <f t="shared" ca="1" si="63"/>
        <v/>
      </c>
      <c r="DK16" s="164" t="str">
        <f t="shared" ca="1" si="63"/>
        <v/>
      </c>
      <c r="DL16" s="164" t="str">
        <f t="shared" ca="1" si="63"/>
        <v/>
      </c>
      <c r="DM16" s="164" t="str">
        <f t="shared" ca="1" si="63"/>
        <v/>
      </c>
      <c r="DN16" s="164" t="str">
        <f t="shared" ca="1" si="63"/>
        <v/>
      </c>
      <c r="DO16" s="164" t="str">
        <f t="shared" ca="1" si="63"/>
        <v/>
      </c>
      <c r="DP16" s="164" t="str">
        <f t="shared" ca="1" si="63"/>
        <v/>
      </c>
      <c r="DQ16" s="164" t="str">
        <f t="shared" ca="1" si="63"/>
        <v/>
      </c>
      <c r="DR16" s="208"/>
      <c r="DS16" s="164" t="str">
        <f t="shared" ca="1" si="64"/>
        <v/>
      </c>
      <c r="DT16" s="164" t="str">
        <f t="shared" ca="1" si="65"/>
        <v/>
      </c>
      <c r="DU16" s="164" t="str">
        <f t="shared" ca="1" si="66"/>
        <v/>
      </c>
      <c r="DV16" s="164" t="str">
        <f t="shared" ca="1" si="67"/>
        <v/>
      </c>
      <c r="DW16" s="164" t="str">
        <f t="shared" ca="1" si="68"/>
        <v/>
      </c>
      <c r="DX16" s="164" t="str">
        <f t="shared" ca="1" si="69"/>
        <v/>
      </c>
      <c r="DY16" s="164" t="str">
        <f t="shared" ca="1" si="70"/>
        <v/>
      </c>
      <c r="DZ16" s="164" t="str">
        <f t="shared" ca="1" si="71"/>
        <v/>
      </c>
      <c r="EA16" s="164" t="str">
        <f t="shared" ca="1" si="72"/>
        <v/>
      </c>
      <c r="EB16" s="164" t="str">
        <f t="shared" ca="1" si="73"/>
        <v/>
      </c>
      <c r="EC16" s="164" t="str">
        <f t="shared" ca="1" si="74"/>
        <v/>
      </c>
      <c r="ED16" s="164" t="str">
        <f t="shared" ca="1" si="75"/>
        <v/>
      </c>
      <c r="EE16" s="164" t="str">
        <f t="shared" ca="1" si="76"/>
        <v/>
      </c>
      <c r="EF16" s="164" t="str">
        <f t="shared" ca="1" si="77"/>
        <v/>
      </c>
      <c r="EG16" s="164" t="str">
        <f t="shared" ca="1" si="78"/>
        <v/>
      </c>
      <c r="EH16" s="164" t="str">
        <f t="shared" ca="1" si="79"/>
        <v/>
      </c>
      <c r="EI16" s="164" t="str">
        <f t="shared" ca="1" si="80"/>
        <v/>
      </c>
      <c r="EJ16" s="164" t="str">
        <f t="shared" ca="1" si="81"/>
        <v/>
      </c>
      <c r="EK16" s="164" t="str">
        <f t="shared" ca="1" si="82"/>
        <v/>
      </c>
      <c r="EL16" s="164" t="str">
        <f t="shared" ca="1" si="83"/>
        <v/>
      </c>
      <c r="EM16" s="164" t="str">
        <f t="shared" ca="1" si="84"/>
        <v/>
      </c>
      <c r="EN16" s="164" t="str">
        <f t="shared" ca="1" si="85"/>
        <v/>
      </c>
      <c r="EO16" s="164" t="str">
        <f t="shared" ca="1" si="86"/>
        <v/>
      </c>
      <c r="EP16" s="164" t="str">
        <f t="shared" ca="1" si="87"/>
        <v/>
      </c>
      <c r="EQ16" s="164" t="str">
        <f t="shared" ca="1" si="88"/>
        <v/>
      </c>
      <c r="ER16" s="164" t="str">
        <f t="shared" ca="1" si="89"/>
        <v/>
      </c>
      <c r="ES16" s="164" t="str">
        <f t="shared" ca="1" si="90"/>
        <v/>
      </c>
    </row>
    <row r="17" spans="1:149" x14ac:dyDescent="0.2">
      <c r="A17" s="89" t="str">
        <f t="shared" ca="1" si="103"/>
        <v/>
      </c>
      <c r="B17" s="317" t="str">
        <f t="shared" ca="1" si="91"/>
        <v/>
      </c>
      <c r="C17" s="609" t="str">
        <f t="shared" ca="1" si="0"/>
        <v/>
      </c>
      <c r="D17" s="1956" t="str">
        <f t="shared" ca="1" si="1"/>
        <v/>
      </c>
      <c r="E17" s="1956"/>
      <c r="F17" s="960"/>
      <c r="G17" s="485" t="str">
        <f t="shared" ca="1" si="2"/>
        <v/>
      </c>
      <c r="H17" s="983"/>
      <c r="I17" s="486"/>
      <c r="J17" s="972"/>
      <c r="K17" s="1886" t="str">
        <f t="shared" ca="1" si="3"/>
        <v/>
      </c>
      <c r="L17" s="1888"/>
      <c r="M17" s="296" t="str">
        <f t="shared" ca="1" si="92"/>
        <v/>
      </c>
      <c r="N17" s="1322"/>
      <c r="O17" s="1319"/>
      <c r="P17" s="957" t="str">
        <f t="shared" ca="1" si="4"/>
        <v/>
      </c>
      <c r="Q17" s="749"/>
      <c r="R17" s="164">
        <f t="shared" ca="1" si="5"/>
        <v>0</v>
      </c>
      <c r="S17" s="164">
        <f t="shared" ca="1" si="6"/>
        <v>0</v>
      </c>
      <c r="T17" s="164">
        <f t="shared" ca="1" si="7"/>
        <v>0</v>
      </c>
      <c r="U17" s="164">
        <f t="shared" ca="1" si="8"/>
        <v>0</v>
      </c>
      <c r="V17" s="164">
        <f t="shared" ca="1" si="9"/>
        <v>0</v>
      </c>
      <c r="W17" s="164">
        <f t="shared" ca="1" si="10"/>
        <v>0</v>
      </c>
      <c r="X17" s="164">
        <f t="shared" ca="1" si="11"/>
        <v>0</v>
      </c>
      <c r="Y17" s="164">
        <f t="shared" ca="1" si="12"/>
        <v>0</v>
      </c>
      <c r="Z17" s="164">
        <f t="shared" ca="1" si="13"/>
        <v>0</v>
      </c>
      <c r="AA17" s="164">
        <f t="shared" ca="1" si="14"/>
        <v>0</v>
      </c>
      <c r="AB17" s="164">
        <f t="shared" ca="1" si="15"/>
        <v>0</v>
      </c>
      <c r="AC17" s="164">
        <f t="shared" ca="1" si="16"/>
        <v>0</v>
      </c>
      <c r="AD17" s="164">
        <f t="shared" ca="1" si="17"/>
        <v>0</v>
      </c>
      <c r="AE17" s="164">
        <f t="shared" ca="1" si="18"/>
        <v>0</v>
      </c>
      <c r="AF17" s="164">
        <f t="shared" ca="1" si="19"/>
        <v>0</v>
      </c>
      <c r="AG17" s="164">
        <f t="shared" ca="1" si="20"/>
        <v>0</v>
      </c>
      <c r="AH17" s="164">
        <f t="shared" ca="1" si="21"/>
        <v>0</v>
      </c>
      <c r="AI17" s="164">
        <f t="shared" ca="1" si="22"/>
        <v>0</v>
      </c>
      <c r="AJ17" s="164">
        <f t="shared" ca="1" si="23"/>
        <v>0</v>
      </c>
      <c r="AK17" s="164">
        <f t="shared" ca="1" si="24"/>
        <v>0</v>
      </c>
      <c r="AL17" s="164">
        <f t="shared" ca="1" si="25"/>
        <v>0</v>
      </c>
      <c r="AM17" s="208"/>
      <c r="AN17" s="154"/>
      <c r="AO17" s="164">
        <f t="shared" ca="1" si="26"/>
        <v>0</v>
      </c>
      <c r="AP17" s="164">
        <f t="shared" ca="1" si="27"/>
        <v>0</v>
      </c>
      <c r="AQ17" s="164">
        <f t="shared" ca="1" si="28"/>
        <v>0</v>
      </c>
      <c r="AR17" s="164">
        <f t="shared" ca="1" si="29"/>
        <v>0</v>
      </c>
      <c r="AS17" s="164">
        <f t="shared" ca="1" si="30"/>
        <v>0</v>
      </c>
      <c r="AT17" s="164">
        <f t="shared" ca="1" si="31"/>
        <v>0</v>
      </c>
      <c r="AU17" s="164">
        <f t="shared" ca="1" si="32"/>
        <v>0</v>
      </c>
      <c r="AV17" s="164">
        <f t="shared" ca="1" si="33"/>
        <v>0</v>
      </c>
      <c r="AW17" s="164">
        <f t="shared" ca="1" si="34"/>
        <v>0</v>
      </c>
      <c r="AX17" s="164">
        <f t="shared" ca="1" si="35"/>
        <v>0</v>
      </c>
      <c r="AY17" s="164">
        <f t="shared" ca="1" si="36"/>
        <v>0</v>
      </c>
      <c r="AZ17" s="164">
        <f t="shared" ca="1" si="37"/>
        <v>0</v>
      </c>
      <c r="BA17" s="164">
        <f t="shared" ca="1" si="38"/>
        <v>0</v>
      </c>
      <c r="BB17" s="164">
        <f t="shared" ca="1" si="39"/>
        <v>0</v>
      </c>
      <c r="BC17" s="164">
        <f t="shared" ca="1" si="40"/>
        <v>0</v>
      </c>
      <c r="BD17" s="164">
        <f t="shared" ca="1" si="41"/>
        <v>0</v>
      </c>
      <c r="BE17" s="164">
        <f t="shared" ca="1" si="42"/>
        <v>0</v>
      </c>
      <c r="BF17" s="164">
        <f t="shared" ca="1" si="43"/>
        <v>0</v>
      </c>
      <c r="BG17" s="164">
        <f t="shared" ca="1" si="44"/>
        <v>0</v>
      </c>
      <c r="BH17" s="164">
        <f t="shared" ca="1" si="45"/>
        <v>0</v>
      </c>
      <c r="BI17" s="164">
        <f t="shared" ca="1" si="46"/>
        <v>0</v>
      </c>
      <c r="BJ17" s="164">
        <f t="shared" ca="1" si="47"/>
        <v>0</v>
      </c>
      <c r="BK17" s="164">
        <f t="shared" ca="1" si="48"/>
        <v>0</v>
      </c>
      <c r="BL17" s="164">
        <f t="shared" ca="1" si="49"/>
        <v>0</v>
      </c>
      <c r="BM17" s="164">
        <f t="shared" ca="1" si="50"/>
        <v>0</v>
      </c>
      <c r="BN17" s="164">
        <f t="shared" ca="1" si="51"/>
        <v>0</v>
      </c>
      <c r="BO17" s="356" t="str">
        <f t="shared" ca="1" si="52"/>
        <v/>
      </c>
      <c r="BP17" s="355" t="str">
        <f t="shared" ca="1" si="53"/>
        <v/>
      </c>
      <c r="BQ17" s="355" t="str">
        <f t="shared" ca="1" si="54"/>
        <v/>
      </c>
      <c r="BR17" s="348">
        <f t="shared" ca="1" si="93"/>
        <v>0</v>
      </c>
      <c r="BS17" s="348">
        <f t="shared" ca="1" si="94"/>
        <v>0</v>
      </c>
      <c r="BT17" s="610">
        <f t="shared" ca="1" si="55"/>
        <v>0</v>
      </c>
      <c r="BU17" s="357">
        <v>1</v>
      </c>
      <c r="BV17" s="357">
        <v>0</v>
      </c>
      <c r="BW17" s="357">
        <f t="shared" si="56"/>
        <v>0</v>
      </c>
      <c r="BX17" s="357">
        <f t="shared" ca="1" si="57"/>
        <v>0</v>
      </c>
      <c r="BY17" s="357">
        <f t="shared" ca="1" si="95"/>
        <v>0</v>
      </c>
      <c r="BZ17" s="357"/>
      <c r="CA17" s="357">
        <f t="shared" ca="1" si="96"/>
        <v>0</v>
      </c>
      <c r="CB17" s="357"/>
      <c r="CC17" s="358" t="str">
        <f t="shared" ca="1" si="97"/>
        <v/>
      </c>
      <c r="CD17" s="358" t="str">
        <f t="shared" ca="1" si="98"/>
        <v/>
      </c>
      <c r="CE17" s="357" t="str">
        <f t="shared" ca="1" si="99"/>
        <v>,,,,,,,</v>
      </c>
      <c r="CF17" s="154"/>
      <c r="CG17" s="154">
        <f t="shared" ca="1" si="100"/>
        <v>0</v>
      </c>
      <c r="CH17" s="268" t="str">
        <f t="shared" ca="1" si="58"/>
        <v/>
      </c>
      <c r="CI17" s="268">
        <f t="shared" ca="1" si="101"/>
        <v>0</v>
      </c>
      <c r="CJ17" s="268" t="str">
        <f t="shared" ca="1" si="59"/>
        <v/>
      </c>
      <c r="CK17" s="268">
        <f t="shared" ca="1" si="60"/>
        <v>0</v>
      </c>
      <c r="CL17" s="268">
        <f t="shared" ca="1" si="61"/>
        <v>0</v>
      </c>
      <c r="CM17" s="154">
        <f t="shared" ca="1" si="102"/>
        <v>0</v>
      </c>
      <c r="CN17" s="154"/>
      <c r="CO17" s="169"/>
      <c r="CP17" s="169"/>
      <c r="CQ17" s="169"/>
      <c r="CR17" s="169"/>
      <c r="CS17" s="169"/>
      <c r="CT17" s="169"/>
      <c r="CU17" s="169"/>
      <c r="CV17" s="164" t="str">
        <f t="shared" ca="1" si="62"/>
        <v/>
      </c>
      <c r="CW17" s="164" t="str">
        <f t="shared" ca="1" si="62"/>
        <v/>
      </c>
      <c r="CX17" s="164" t="str">
        <f t="shared" ca="1" si="62"/>
        <v/>
      </c>
      <c r="CY17" s="164" t="str">
        <f t="shared" ca="1" si="62"/>
        <v/>
      </c>
      <c r="CZ17" s="164" t="str">
        <f t="shared" ca="1" si="62"/>
        <v/>
      </c>
      <c r="DA17" s="164" t="str">
        <f t="shared" ca="1" si="62"/>
        <v/>
      </c>
      <c r="DB17" s="164" t="str">
        <f t="shared" ca="1" si="62"/>
        <v/>
      </c>
      <c r="DC17" s="164" t="str">
        <f t="shared" ca="1" si="62"/>
        <v/>
      </c>
      <c r="DD17" s="164" t="str">
        <f t="shared" ca="1" si="62"/>
        <v/>
      </c>
      <c r="DE17" s="164" t="str">
        <f t="shared" ca="1" si="62"/>
        <v/>
      </c>
      <c r="DF17" s="164" t="str">
        <f t="shared" ca="1" si="63"/>
        <v/>
      </c>
      <c r="DG17" s="164" t="str">
        <f t="shared" ca="1" si="63"/>
        <v/>
      </c>
      <c r="DH17" s="164" t="str">
        <f t="shared" ca="1" si="63"/>
        <v/>
      </c>
      <c r="DI17" s="164" t="str">
        <f t="shared" ca="1" si="63"/>
        <v/>
      </c>
      <c r="DJ17" s="164" t="str">
        <f t="shared" ca="1" si="63"/>
        <v/>
      </c>
      <c r="DK17" s="164" t="str">
        <f t="shared" ca="1" si="63"/>
        <v/>
      </c>
      <c r="DL17" s="164" t="str">
        <f t="shared" ca="1" si="63"/>
        <v/>
      </c>
      <c r="DM17" s="164" t="str">
        <f t="shared" ca="1" si="63"/>
        <v/>
      </c>
      <c r="DN17" s="164" t="str">
        <f t="shared" ca="1" si="63"/>
        <v/>
      </c>
      <c r="DO17" s="164" t="str">
        <f t="shared" ca="1" si="63"/>
        <v/>
      </c>
      <c r="DP17" s="164" t="str">
        <f t="shared" ca="1" si="63"/>
        <v/>
      </c>
      <c r="DQ17" s="164" t="str">
        <f t="shared" ca="1" si="63"/>
        <v/>
      </c>
      <c r="DR17" s="208"/>
      <c r="DS17" s="164" t="str">
        <f t="shared" ca="1" si="64"/>
        <v/>
      </c>
      <c r="DT17" s="164" t="str">
        <f t="shared" ca="1" si="65"/>
        <v/>
      </c>
      <c r="DU17" s="164" t="str">
        <f t="shared" ca="1" si="66"/>
        <v/>
      </c>
      <c r="DV17" s="164" t="str">
        <f t="shared" ca="1" si="67"/>
        <v/>
      </c>
      <c r="DW17" s="164" t="str">
        <f t="shared" ca="1" si="68"/>
        <v/>
      </c>
      <c r="DX17" s="164" t="str">
        <f t="shared" ca="1" si="69"/>
        <v/>
      </c>
      <c r="DY17" s="164" t="str">
        <f t="shared" ca="1" si="70"/>
        <v/>
      </c>
      <c r="DZ17" s="164" t="str">
        <f t="shared" ca="1" si="71"/>
        <v/>
      </c>
      <c r="EA17" s="164" t="str">
        <f t="shared" ca="1" si="72"/>
        <v/>
      </c>
      <c r="EB17" s="164" t="str">
        <f t="shared" ca="1" si="73"/>
        <v/>
      </c>
      <c r="EC17" s="164" t="str">
        <f t="shared" ca="1" si="74"/>
        <v/>
      </c>
      <c r="ED17" s="164" t="str">
        <f t="shared" ca="1" si="75"/>
        <v/>
      </c>
      <c r="EE17" s="164" t="str">
        <f t="shared" ca="1" si="76"/>
        <v/>
      </c>
      <c r="EF17" s="164" t="str">
        <f t="shared" ca="1" si="77"/>
        <v/>
      </c>
      <c r="EG17" s="164" t="str">
        <f t="shared" ca="1" si="78"/>
        <v/>
      </c>
      <c r="EH17" s="164" t="str">
        <f t="shared" ca="1" si="79"/>
        <v/>
      </c>
      <c r="EI17" s="164" t="str">
        <f t="shared" ca="1" si="80"/>
        <v/>
      </c>
      <c r="EJ17" s="164" t="str">
        <f t="shared" ca="1" si="81"/>
        <v/>
      </c>
      <c r="EK17" s="164" t="str">
        <f t="shared" ca="1" si="82"/>
        <v/>
      </c>
      <c r="EL17" s="164" t="str">
        <f t="shared" ca="1" si="83"/>
        <v/>
      </c>
      <c r="EM17" s="164" t="str">
        <f t="shared" ca="1" si="84"/>
        <v/>
      </c>
      <c r="EN17" s="164" t="str">
        <f t="shared" ca="1" si="85"/>
        <v/>
      </c>
      <c r="EO17" s="164" t="str">
        <f t="shared" ca="1" si="86"/>
        <v/>
      </c>
      <c r="EP17" s="164" t="str">
        <f t="shared" ca="1" si="87"/>
        <v/>
      </c>
      <c r="EQ17" s="164" t="str">
        <f t="shared" ca="1" si="88"/>
        <v/>
      </c>
      <c r="ER17" s="164" t="str">
        <f t="shared" ca="1" si="89"/>
        <v/>
      </c>
      <c r="ES17" s="164" t="str">
        <f t="shared" ca="1" si="90"/>
        <v/>
      </c>
    </row>
    <row r="18" spans="1:149" x14ac:dyDescent="0.2">
      <c r="A18" s="89" t="str">
        <f t="shared" ca="1" si="103"/>
        <v/>
      </c>
      <c r="B18" s="317" t="str">
        <f t="shared" ca="1" si="91"/>
        <v/>
      </c>
      <c r="C18" s="609" t="str">
        <f t="shared" ca="1" si="0"/>
        <v/>
      </c>
      <c r="D18" s="1956" t="str">
        <f t="shared" ca="1" si="1"/>
        <v/>
      </c>
      <c r="E18" s="1956"/>
      <c r="F18" s="960"/>
      <c r="G18" s="485" t="str">
        <f t="shared" ca="1" si="2"/>
        <v/>
      </c>
      <c r="H18" s="983"/>
      <c r="I18" s="486"/>
      <c r="J18" s="972"/>
      <c r="K18" s="1886" t="str">
        <f t="shared" ca="1" si="3"/>
        <v/>
      </c>
      <c r="L18" s="1888"/>
      <c r="M18" s="296" t="str">
        <f t="shared" ca="1" si="92"/>
        <v/>
      </c>
      <c r="N18" s="1322"/>
      <c r="O18" s="1319"/>
      <c r="P18" s="957" t="str">
        <f t="shared" ca="1" si="4"/>
        <v/>
      </c>
      <c r="Q18" s="749"/>
      <c r="R18" s="164">
        <f t="shared" ca="1" si="5"/>
        <v>0</v>
      </c>
      <c r="S18" s="164">
        <f t="shared" ca="1" si="6"/>
        <v>0</v>
      </c>
      <c r="T18" s="164">
        <f t="shared" ca="1" si="7"/>
        <v>0</v>
      </c>
      <c r="U18" s="164">
        <f t="shared" ca="1" si="8"/>
        <v>0</v>
      </c>
      <c r="V18" s="164">
        <f t="shared" ca="1" si="9"/>
        <v>0</v>
      </c>
      <c r="W18" s="164">
        <f t="shared" ca="1" si="10"/>
        <v>0</v>
      </c>
      <c r="X18" s="164">
        <f t="shared" ca="1" si="11"/>
        <v>0</v>
      </c>
      <c r="Y18" s="164">
        <f t="shared" ca="1" si="12"/>
        <v>0</v>
      </c>
      <c r="Z18" s="164">
        <f t="shared" ca="1" si="13"/>
        <v>0</v>
      </c>
      <c r="AA18" s="164">
        <f t="shared" ca="1" si="14"/>
        <v>0</v>
      </c>
      <c r="AB18" s="164">
        <f t="shared" ca="1" si="15"/>
        <v>0</v>
      </c>
      <c r="AC18" s="164">
        <f t="shared" ca="1" si="16"/>
        <v>0</v>
      </c>
      <c r="AD18" s="164">
        <f t="shared" ca="1" si="17"/>
        <v>0</v>
      </c>
      <c r="AE18" s="164">
        <f t="shared" ca="1" si="18"/>
        <v>0</v>
      </c>
      <c r="AF18" s="164">
        <f t="shared" ca="1" si="19"/>
        <v>0</v>
      </c>
      <c r="AG18" s="164">
        <f t="shared" ca="1" si="20"/>
        <v>0</v>
      </c>
      <c r="AH18" s="164">
        <f t="shared" ca="1" si="21"/>
        <v>0</v>
      </c>
      <c r="AI18" s="164">
        <f t="shared" ca="1" si="22"/>
        <v>0</v>
      </c>
      <c r="AJ18" s="164">
        <f t="shared" ca="1" si="23"/>
        <v>0</v>
      </c>
      <c r="AK18" s="164">
        <f t="shared" ca="1" si="24"/>
        <v>0</v>
      </c>
      <c r="AL18" s="164">
        <f t="shared" ca="1" si="25"/>
        <v>0</v>
      </c>
      <c r="AM18" s="208"/>
      <c r="AN18" s="154"/>
      <c r="AO18" s="164">
        <f t="shared" ca="1" si="26"/>
        <v>0</v>
      </c>
      <c r="AP18" s="164">
        <f t="shared" ca="1" si="27"/>
        <v>0</v>
      </c>
      <c r="AQ18" s="164">
        <f t="shared" ca="1" si="28"/>
        <v>0</v>
      </c>
      <c r="AR18" s="164">
        <f t="shared" ca="1" si="29"/>
        <v>0</v>
      </c>
      <c r="AS18" s="164">
        <f t="shared" ca="1" si="30"/>
        <v>0</v>
      </c>
      <c r="AT18" s="164">
        <f t="shared" ca="1" si="31"/>
        <v>0</v>
      </c>
      <c r="AU18" s="164">
        <f t="shared" ca="1" si="32"/>
        <v>0</v>
      </c>
      <c r="AV18" s="164">
        <f t="shared" ca="1" si="33"/>
        <v>0</v>
      </c>
      <c r="AW18" s="164">
        <f t="shared" ca="1" si="34"/>
        <v>0</v>
      </c>
      <c r="AX18" s="164">
        <f t="shared" ca="1" si="35"/>
        <v>0</v>
      </c>
      <c r="AY18" s="164">
        <f t="shared" ca="1" si="36"/>
        <v>0</v>
      </c>
      <c r="AZ18" s="164">
        <f t="shared" ca="1" si="37"/>
        <v>0</v>
      </c>
      <c r="BA18" s="164">
        <f t="shared" ca="1" si="38"/>
        <v>0</v>
      </c>
      <c r="BB18" s="164">
        <f t="shared" ca="1" si="39"/>
        <v>0</v>
      </c>
      <c r="BC18" s="164">
        <f t="shared" ca="1" si="40"/>
        <v>0</v>
      </c>
      <c r="BD18" s="164">
        <f t="shared" ca="1" si="41"/>
        <v>0</v>
      </c>
      <c r="BE18" s="164">
        <f t="shared" ca="1" si="42"/>
        <v>0</v>
      </c>
      <c r="BF18" s="164">
        <f t="shared" ca="1" si="43"/>
        <v>0</v>
      </c>
      <c r="BG18" s="164">
        <f t="shared" ca="1" si="44"/>
        <v>0</v>
      </c>
      <c r="BH18" s="164">
        <f t="shared" ca="1" si="45"/>
        <v>0</v>
      </c>
      <c r="BI18" s="164">
        <f t="shared" ca="1" si="46"/>
        <v>0</v>
      </c>
      <c r="BJ18" s="164">
        <f t="shared" ca="1" si="47"/>
        <v>0</v>
      </c>
      <c r="BK18" s="164">
        <f t="shared" ca="1" si="48"/>
        <v>0</v>
      </c>
      <c r="BL18" s="164">
        <f t="shared" ca="1" si="49"/>
        <v>0</v>
      </c>
      <c r="BM18" s="164">
        <f t="shared" ca="1" si="50"/>
        <v>0</v>
      </c>
      <c r="BN18" s="164">
        <f t="shared" ca="1" si="51"/>
        <v>0</v>
      </c>
      <c r="BO18" s="356" t="str">
        <f t="shared" ca="1" si="52"/>
        <v/>
      </c>
      <c r="BP18" s="355" t="str">
        <f t="shared" ca="1" si="53"/>
        <v/>
      </c>
      <c r="BQ18" s="355" t="str">
        <f t="shared" ca="1" si="54"/>
        <v/>
      </c>
      <c r="BR18" s="348">
        <f t="shared" ca="1" si="93"/>
        <v>0</v>
      </c>
      <c r="BS18" s="348">
        <f t="shared" ca="1" si="94"/>
        <v>0</v>
      </c>
      <c r="BT18" s="610">
        <f t="shared" ca="1" si="55"/>
        <v>0</v>
      </c>
      <c r="BU18" s="357">
        <v>1</v>
      </c>
      <c r="BV18" s="357">
        <v>0</v>
      </c>
      <c r="BW18" s="357">
        <f t="shared" si="56"/>
        <v>0</v>
      </c>
      <c r="BX18" s="357">
        <f t="shared" ca="1" si="57"/>
        <v>0</v>
      </c>
      <c r="BY18" s="357">
        <f t="shared" ca="1" si="95"/>
        <v>0</v>
      </c>
      <c r="BZ18" s="357"/>
      <c r="CA18" s="357">
        <f t="shared" ca="1" si="96"/>
        <v>0</v>
      </c>
      <c r="CB18" s="357"/>
      <c r="CC18" s="358" t="str">
        <f t="shared" ca="1" si="97"/>
        <v/>
      </c>
      <c r="CD18" s="358" t="str">
        <f t="shared" ca="1" si="98"/>
        <v/>
      </c>
      <c r="CE18" s="357" t="str">
        <f t="shared" ca="1" si="99"/>
        <v>,,,,,,,,</v>
      </c>
      <c r="CF18" s="154"/>
      <c r="CG18" s="154">
        <f t="shared" ca="1" si="100"/>
        <v>0</v>
      </c>
      <c r="CH18" s="268" t="str">
        <f t="shared" ca="1" si="58"/>
        <v/>
      </c>
      <c r="CI18" s="268">
        <f t="shared" ca="1" si="101"/>
        <v>0</v>
      </c>
      <c r="CJ18" s="268" t="str">
        <f t="shared" ca="1" si="59"/>
        <v/>
      </c>
      <c r="CK18" s="268">
        <f t="shared" ca="1" si="60"/>
        <v>0</v>
      </c>
      <c r="CL18" s="268">
        <f t="shared" ca="1" si="61"/>
        <v>0</v>
      </c>
      <c r="CM18" s="154">
        <f t="shared" ca="1" si="102"/>
        <v>0</v>
      </c>
      <c r="CN18" s="154"/>
      <c r="CO18" s="169"/>
      <c r="CP18" s="169"/>
      <c r="CQ18" s="169"/>
      <c r="CR18" s="169"/>
      <c r="CS18" s="169"/>
      <c r="CT18" s="169"/>
      <c r="CU18" s="169"/>
      <c r="CV18" s="164" t="str">
        <f t="shared" ca="1" si="62"/>
        <v/>
      </c>
      <c r="CW18" s="164" t="str">
        <f t="shared" ca="1" si="62"/>
        <v/>
      </c>
      <c r="CX18" s="164" t="str">
        <f t="shared" ca="1" si="62"/>
        <v/>
      </c>
      <c r="CY18" s="164" t="str">
        <f t="shared" ca="1" si="62"/>
        <v/>
      </c>
      <c r="CZ18" s="164" t="str">
        <f t="shared" ca="1" si="62"/>
        <v/>
      </c>
      <c r="DA18" s="164" t="str">
        <f t="shared" ca="1" si="62"/>
        <v/>
      </c>
      <c r="DB18" s="164" t="str">
        <f t="shared" ca="1" si="62"/>
        <v/>
      </c>
      <c r="DC18" s="164" t="str">
        <f t="shared" ca="1" si="62"/>
        <v/>
      </c>
      <c r="DD18" s="164" t="str">
        <f t="shared" ca="1" si="62"/>
        <v/>
      </c>
      <c r="DE18" s="164" t="str">
        <f t="shared" ca="1" si="62"/>
        <v/>
      </c>
      <c r="DF18" s="164" t="str">
        <f t="shared" ca="1" si="63"/>
        <v/>
      </c>
      <c r="DG18" s="164" t="str">
        <f t="shared" ca="1" si="63"/>
        <v/>
      </c>
      <c r="DH18" s="164" t="str">
        <f t="shared" ca="1" si="63"/>
        <v/>
      </c>
      <c r="DI18" s="164" t="str">
        <f t="shared" ca="1" si="63"/>
        <v/>
      </c>
      <c r="DJ18" s="164" t="str">
        <f t="shared" ca="1" si="63"/>
        <v/>
      </c>
      <c r="DK18" s="164" t="str">
        <f t="shared" ca="1" si="63"/>
        <v/>
      </c>
      <c r="DL18" s="164" t="str">
        <f t="shared" ca="1" si="63"/>
        <v/>
      </c>
      <c r="DM18" s="164" t="str">
        <f t="shared" ca="1" si="63"/>
        <v/>
      </c>
      <c r="DN18" s="164" t="str">
        <f t="shared" ca="1" si="63"/>
        <v/>
      </c>
      <c r="DO18" s="164" t="str">
        <f t="shared" ca="1" si="63"/>
        <v/>
      </c>
      <c r="DP18" s="164" t="str">
        <f t="shared" ca="1" si="63"/>
        <v/>
      </c>
      <c r="DQ18" s="164" t="str">
        <f t="shared" ca="1" si="63"/>
        <v/>
      </c>
      <c r="DR18" s="208"/>
      <c r="DS18" s="164" t="str">
        <f t="shared" ca="1" si="64"/>
        <v/>
      </c>
      <c r="DT18" s="164" t="str">
        <f t="shared" ca="1" si="65"/>
        <v/>
      </c>
      <c r="DU18" s="164" t="str">
        <f t="shared" ca="1" si="66"/>
        <v/>
      </c>
      <c r="DV18" s="164" t="str">
        <f t="shared" ca="1" si="67"/>
        <v/>
      </c>
      <c r="DW18" s="164" t="str">
        <f t="shared" ca="1" si="68"/>
        <v/>
      </c>
      <c r="DX18" s="164" t="str">
        <f t="shared" ca="1" si="69"/>
        <v/>
      </c>
      <c r="DY18" s="164" t="str">
        <f t="shared" ca="1" si="70"/>
        <v/>
      </c>
      <c r="DZ18" s="164" t="str">
        <f t="shared" ca="1" si="71"/>
        <v/>
      </c>
      <c r="EA18" s="164" t="str">
        <f t="shared" ca="1" si="72"/>
        <v/>
      </c>
      <c r="EB18" s="164" t="str">
        <f t="shared" ca="1" si="73"/>
        <v/>
      </c>
      <c r="EC18" s="164" t="str">
        <f t="shared" ca="1" si="74"/>
        <v/>
      </c>
      <c r="ED18" s="164" t="str">
        <f t="shared" ca="1" si="75"/>
        <v/>
      </c>
      <c r="EE18" s="164" t="str">
        <f t="shared" ca="1" si="76"/>
        <v/>
      </c>
      <c r="EF18" s="164" t="str">
        <f t="shared" ca="1" si="77"/>
        <v/>
      </c>
      <c r="EG18" s="164" t="str">
        <f t="shared" ca="1" si="78"/>
        <v/>
      </c>
      <c r="EH18" s="164" t="str">
        <f t="shared" ca="1" si="79"/>
        <v/>
      </c>
      <c r="EI18" s="164" t="str">
        <f t="shared" ca="1" si="80"/>
        <v/>
      </c>
      <c r="EJ18" s="164" t="str">
        <f t="shared" ca="1" si="81"/>
        <v/>
      </c>
      <c r="EK18" s="164" t="str">
        <f t="shared" ca="1" si="82"/>
        <v/>
      </c>
      <c r="EL18" s="164" t="str">
        <f t="shared" ca="1" si="83"/>
        <v/>
      </c>
      <c r="EM18" s="164" t="str">
        <f t="shared" ca="1" si="84"/>
        <v/>
      </c>
      <c r="EN18" s="164" t="str">
        <f t="shared" ca="1" si="85"/>
        <v/>
      </c>
      <c r="EO18" s="164" t="str">
        <f t="shared" ca="1" si="86"/>
        <v/>
      </c>
      <c r="EP18" s="164" t="str">
        <f t="shared" ca="1" si="87"/>
        <v/>
      </c>
      <c r="EQ18" s="164" t="str">
        <f t="shared" ca="1" si="88"/>
        <v/>
      </c>
      <c r="ER18" s="164" t="str">
        <f t="shared" ca="1" si="89"/>
        <v/>
      </c>
      <c r="ES18" s="164" t="str">
        <f t="shared" ca="1" si="90"/>
        <v/>
      </c>
    </row>
    <row r="19" spans="1:149" x14ac:dyDescent="0.2">
      <c r="A19" s="89" t="str">
        <f t="shared" ca="1" si="103"/>
        <v/>
      </c>
      <c r="B19" s="317" t="str">
        <f t="shared" ca="1" si="91"/>
        <v/>
      </c>
      <c r="C19" s="609" t="str">
        <f t="shared" ca="1" si="0"/>
        <v/>
      </c>
      <c r="D19" s="1956" t="str">
        <f t="shared" ca="1" si="1"/>
        <v/>
      </c>
      <c r="E19" s="1956"/>
      <c r="F19" s="960"/>
      <c r="G19" s="485" t="str">
        <f t="shared" ca="1" si="2"/>
        <v/>
      </c>
      <c r="H19" s="983"/>
      <c r="I19" s="486"/>
      <c r="J19" s="972"/>
      <c r="K19" s="1886" t="str">
        <f t="shared" ca="1" si="3"/>
        <v/>
      </c>
      <c r="L19" s="1888"/>
      <c r="M19" s="296" t="str">
        <f t="shared" ca="1" si="92"/>
        <v/>
      </c>
      <c r="N19" s="1322"/>
      <c r="O19" s="1319"/>
      <c r="P19" s="957" t="str">
        <f t="shared" ca="1" si="4"/>
        <v/>
      </c>
      <c r="Q19" s="749"/>
      <c r="R19" s="164">
        <f t="shared" ca="1" si="5"/>
        <v>0</v>
      </c>
      <c r="S19" s="164">
        <f t="shared" ca="1" si="6"/>
        <v>0</v>
      </c>
      <c r="T19" s="164">
        <f t="shared" ca="1" si="7"/>
        <v>0</v>
      </c>
      <c r="U19" s="164">
        <f t="shared" ca="1" si="8"/>
        <v>0</v>
      </c>
      <c r="V19" s="164">
        <f t="shared" ca="1" si="9"/>
        <v>0</v>
      </c>
      <c r="W19" s="164">
        <f t="shared" ca="1" si="10"/>
        <v>0</v>
      </c>
      <c r="X19" s="164">
        <f t="shared" ca="1" si="11"/>
        <v>0</v>
      </c>
      <c r="Y19" s="164">
        <f t="shared" ca="1" si="12"/>
        <v>0</v>
      </c>
      <c r="Z19" s="164">
        <f t="shared" ca="1" si="13"/>
        <v>0</v>
      </c>
      <c r="AA19" s="164">
        <f t="shared" ca="1" si="14"/>
        <v>0</v>
      </c>
      <c r="AB19" s="164">
        <f t="shared" ca="1" si="15"/>
        <v>0</v>
      </c>
      <c r="AC19" s="164">
        <f t="shared" ca="1" si="16"/>
        <v>0</v>
      </c>
      <c r="AD19" s="164">
        <f t="shared" ca="1" si="17"/>
        <v>0</v>
      </c>
      <c r="AE19" s="164">
        <f t="shared" ca="1" si="18"/>
        <v>0</v>
      </c>
      <c r="AF19" s="164">
        <f t="shared" ca="1" si="19"/>
        <v>0</v>
      </c>
      <c r="AG19" s="164">
        <f t="shared" ca="1" si="20"/>
        <v>0</v>
      </c>
      <c r="AH19" s="164">
        <f t="shared" ca="1" si="21"/>
        <v>0</v>
      </c>
      <c r="AI19" s="164">
        <f t="shared" ca="1" si="22"/>
        <v>0</v>
      </c>
      <c r="AJ19" s="164">
        <f t="shared" ca="1" si="23"/>
        <v>0</v>
      </c>
      <c r="AK19" s="164">
        <f t="shared" ca="1" si="24"/>
        <v>0</v>
      </c>
      <c r="AL19" s="164">
        <f t="shared" ca="1" si="25"/>
        <v>0</v>
      </c>
      <c r="AM19" s="208"/>
      <c r="AN19" s="154"/>
      <c r="AO19" s="164">
        <f t="shared" ca="1" si="26"/>
        <v>0</v>
      </c>
      <c r="AP19" s="164">
        <f t="shared" ca="1" si="27"/>
        <v>0</v>
      </c>
      <c r="AQ19" s="164">
        <f t="shared" ca="1" si="28"/>
        <v>0</v>
      </c>
      <c r="AR19" s="164">
        <f t="shared" ca="1" si="29"/>
        <v>0</v>
      </c>
      <c r="AS19" s="164">
        <f t="shared" ca="1" si="30"/>
        <v>0</v>
      </c>
      <c r="AT19" s="164">
        <f t="shared" ca="1" si="31"/>
        <v>0</v>
      </c>
      <c r="AU19" s="164">
        <f t="shared" ca="1" si="32"/>
        <v>0</v>
      </c>
      <c r="AV19" s="164">
        <f t="shared" ca="1" si="33"/>
        <v>0</v>
      </c>
      <c r="AW19" s="164">
        <f t="shared" ca="1" si="34"/>
        <v>0</v>
      </c>
      <c r="AX19" s="164">
        <f t="shared" ca="1" si="35"/>
        <v>0</v>
      </c>
      <c r="AY19" s="164">
        <f t="shared" ca="1" si="36"/>
        <v>0</v>
      </c>
      <c r="AZ19" s="164">
        <f t="shared" ca="1" si="37"/>
        <v>0</v>
      </c>
      <c r="BA19" s="164">
        <f t="shared" ca="1" si="38"/>
        <v>0</v>
      </c>
      <c r="BB19" s="164">
        <f t="shared" ca="1" si="39"/>
        <v>0</v>
      </c>
      <c r="BC19" s="164">
        <f t="shared" ca="1" si="40"/>
        <v>0</v>
      </c>
      <c r="BD19" s="164">
        <f t="shared" ca="1" si="41"/>
        <v>0</v>
      </c>
      <c r="BE19" s="164">
        <f t="shared" ca="1" si="42"/>
        <v>0</v>
      </c>
      <c r="BF19" s="164">
        <f t="shared" ca="1" si="43"/>
        <v>0</v>
      </c>
      <c r="BG19" s="164">
        <f t="shared" ca="1" si="44"/>
        <v>0</v>
      </c>
      <c r="BH19" s="164">
        <f t="shared" ca="1" si="45"/>
        <v>0</v>
      </c>
      <c r="BI19" s="164">
        <f t="shared" ca="1" si="46"/>
        <v>0</v>
      </c>
      <c r="BJ19" s="164">
        <f t="shared" ca="1" si="47"/>
        <v>0</v>
      </c>
      <c r="BK19" s="164">
        <f t="shared" ca="1" si="48"/>
        <v>0</v>
      </c>
      <c r="BL19" s="164">
        <f t="shared" ca="1" si="49"/>
        <v>0</v>
      </c>
      <c r="BM19" s="164">
        <f t="shared" ca="1" si="50"/>
        <v>0</v>
      </c>
      <c r="BN19" s="164">
        <f t="shared" ca="1" si="51"/>
        <v>0</v>
      </c>
      <c r="BO19" s="356" t="str">
        <f t="shared" ca="1" si="52"/>
        <v/>
      </c>
      <c r="BP19" s="355" t="str">
        <f t="shared" ca="1" si="53"/>
        <v/>
      </c>
      <c r="BQ19" s="355" t="str">
        <f t="shared" ca="1" si="54"/>
        <v/>
      </c>
      <c r="BR19" s="348">
        <f t="shared" ca="1" si="93"/>
        <v>0</v>
      </c>
      <c r="BS19" s="348">
        <f t="shared" ca="1" si="94"/>
        <v>0</v>
      </c>
      <c r="BT19" s="610">
        <f t="shared" ca="1" si="55"/>
        <v>0</v>
      </c>
      <c r="BU19" s="357">
        <v>1</v>
      </c>
      <c r="BV19" s="357">
        <v>0</v>
      </c>
      <c r="BW19" s="357">
        <f t="shared" si="56"/>
        <v>0</v>
      </c>
      <c r="BX19" s="357">
        <f t="shared" ca="1" si="57"/>
        <v>0</v>
      </c>
      <c r="BY19" s="357">
        <f t="shared" ca="1" si="95"/>
        <v>0</v>
      </c>
      <c r="BZ19" s="357"/>
      <c r="CA19" s="357">
        <f t="shared" ca="1" si="96"/>
        <v>0</v>
      </c>
      <c r="CB19" s="357"/>
      <c r="CC19" s="358" t="str">
        <f t="shared" ca="1" si="97"/>
        <v/>
      </c>
      <c r="CD19" s="358" t="str">
        <f t="shared" ca="1" si="98"/>
        <v/>
      </c>
      <c r="CE19" s="357" t="str">
        <f t="shared" ca="1" si="99"/>
        <v>,,,,,,,,,</v>
      </c>
      <c r="CF19" s="154"/>
      <c r="CG19" s="154">
        <f t="shared" ca="1" si="100"/>
        <v>0</v>
      </c>
      <c r="CH19" s="268" t="str">
        <f t="shared" ca="1" si="58"/>
        <v/>
      </c>
      <c r="CI19" s="268">
        <f t="shared" ca="1" si="101"/>
        <v>0</v>
      </c>
      <c r="CJ19" s="268" t="str">
        <f t="shared" ca="1" si="59"/>
        <v/>
      </c>
      <c r="CK19" s="268">
        <f t="shared" ca="1" si="60"/>
        <v>0</v>
      </c>
      <c r="CL19" s="268">
        <f t="shared" ca="1" si="61"/>
        <v>0</v>
      </c>
      <c r="CM19" s="154">
        <f t="shared" ca="1" si="102"/>
        <v>0</v>
      </c>
      <c r="CN19" s="154"/>
      <c r="CO19" s="169"/>
      <c r="CP19" s="169"/>
      <c r="CQ19" s="169"/>
      <c r="CR19" s="169"/>
      <c r="CS19" s="169"/>
      <c r="CT19" s="169"/>
      <c r="CU19" s="169"/>
      <c r="CV19" s="164" t="str">
        <f t="shared" ca="1" si="62"/>
        <v/>
      </c>
      <c r="CW19" s="164" t="str">
        <f t="shared" ca="1" si="62"/>
        <v/>
      </c>
      <c r="CX19" s="164" t="str">
        <f t="shared" ca="1" si="62"/>
        <v/>
      </c>
      <c r="CY19" s="164" t="str">
        <f t="shared" ca="1" si="62"/>
        <v/>
      </c>
      <c r="CZ19" s="164" t="str">
        <f t="shared" ca="1" si="62"/>
        <v/>
      </c>
      <c r="DA19" s="164" t="str">
        <f t="shared" ca="1" si="62"/>
        <v/>
      </c>
      <c r="DB19" s="164" t="str">
        <f t="shared" ca="1" si="62"/>
        <v/>
      </c>
      <c r="DC19" s="164" t="str">
        <f t="shared" ca="1" si="62"/>
        <v/>
      </c>
      <c r="DD19" s="164" t="str">
        <f t="shared" ca="1" si="62"/>
        <v/>
      </c>
      <c r="DE19" s="164" t="str">
        <f t="shared" ca="1" si="62"/>
        <v/>
      </c>
      <c r="DF19" s="164" t="str">
        <f t="shared" ca="1" si="63"/>
        <v/>
      </c>
      <c r="DG19" s="164" t="str">
        <f t="shared" ca="1" si="63"/>
        <v/>
      </c>
      <c r="DH19" s="164" t="str">
        <f t="shared" ca="1" si="63"/>
        <v/>
      </c>
      <c r="DI19" s="164" t="str">
        <f t="shared" ca="1" si="63"/>
        <v/>
      </c>
      <c r="DJ19" s="164" t="str">
        <f t="shared" ca="1" si="63"/>
        <v/>
      </c>
      <c r="DK19" s="164" t="str">
        <f t="shared" ca="1" si="63"/>
        <v/>
      </c>
      <c r="DL19" s="164" t="str">
        <f t="shared" ca="1" si="63"/>
        <v/>
      </c>
      <c r="DM19" s="164" t="str">
        <f t="shared" ca="1" si="63"/>
        <v/>
      </c>
      <c r="DN19" s="164" t="str">
        <f t="shared" ca="1" si="63"/>
        <v/>
      </c>
      <c r="DO19" s="164" t="str">
        <f t="shared" ca="1" si="63"/>
        <v/>
      </c>
      <c r="DP19" s="164" t="str">
        <f t="shared" ca="1" si="63"/>
        <v/>
      </c>
      <c r="DQ19" s="164" t="str">
        <f t="shared" ca="1" si="63"/>
        <v/>
      </c>
      <c r="DR19" s="208"/>
      <c r="DS19" s="164" t="str">
        <f t="shared" ca="1" si="64"/>
        <v/>
      </c>
      <c r="DT19" s="164" t="str">
        <f t="shared" ca="1" si="65"/>
        <v/>
      </c>
      <c r="DU19" s="164" t="str">
        <f t="shared" ca="1" si="66"/>
        <v/>
      </c>
      <c r="DV19" s="164" t="str">
        <f t="shared" ca="1" si="67"/>
        <v/>
      </c>
      <c r="DW19" s="164" t="str">
        <f t="shared" ca="1" si="68"/>
        <v/>
      </c>
      <c r="DX19" s="164" t="str">
        <f t="shared" ca="1" si="69"/>
        <v/>
      </c>
      <c r="DY19" s="164" t="str">
        <f t="shared" ca="1" si="70"/>
        <v/>
      </c>
      <c r="DZ19" s="164" t="str">
        <f t="shared" ca="1" si="71"/>
        <v/>
      </c>
      <c r="EA19" s="164" t="str">
        <f t="shared" ca="1" si="72"/>
        <v/>
      </c>
      <c r="EB19" s="164" t="str">
        <f t="shared" ca="1" si="73"/>
        <v/>
      </c>
      <c r="EC19" s="164" t="str">
        <f t="shared" ca="1" si="74"/>
        <v/>
      </c>
      <c r="ED19" s="164" t="str">
        <f t="shared" ca="1" si="75"/>
        <v/>
      </c>
      <c r="EE19" s="164" t="str">
        <f t="shared" ca="1" si="76"/>
        <v/>
      </c>
      <c r="EF19" s="164" t="str">
        <f t="shared" ca="1" si="77"/>
        <v/>
      </c>
      <c r="EG19" s="164" t="str">
        <f t="shared" ca="1" si="78"/>
        <v/>
      </c>
      <c r="EH19" s="164" t="str">
        <f t="shared" ca="1" si="79"/>
        <v/>
      </c>
      <c r="EI19" s="164" t="str">
        <f t="shared" ca="1" si="80"/>
        <v/>
      </c>
      <c r="EJ19" s="164" t="str">
        <f t="shared" ca="1" si="81"/>
        <v/>
      </c>
      <c r="EK19" s="164" t="str">
        <f t="shared" ca="1" si="82"/>
        <v/>
      </c>
      <c r="EL19" s="164" t="str">
        <f t="shared" ca="1" si="83"/>
        <v/>
      </c>
      <c r="EM19" s="164" t="str">
        <f t="shared" ca="1" si="84"/>
        <v/>
      </c>
      <c r="EN19" s="164" t="str">
        <f t="shared" ca="1" si="85"/>
        <v/>
      </c>
      <c r="EO19" s="164" t="str">
        <f t="shared" ca="1" si="86"/>
        <v/>
      </c>
      <c r="EP19" s="164" t="str">
        <f t="shared" ca="1" si="87"/>
        <v/>
      </c>
      <c r="EQ19" s="164" t="str">
        <f t="shared" ca="1" si="88"/>
        <v/>
      </c>
      <c r="ER19" s="164" t="str">
        <f t="shared" ca="1" si="89"/>
        <v/>
      </c>
      <c r="ES19" s="164" t="str">
        <f t="shared" ca="1" si="90"/>
        <v/>
      </c>
    </row>
    <row r="20" spans="1:149" x14ac:dyDescent="0.2">
      <c r="A20" s="89" t="str">
        <f t="shared" ca="1" si="103"/>
        <v/>
      </c>
      <c r="B20" s="317" t="str">
        <f t="shared" ca="1" si="91"/>
        <v/>
      </c>
      <c r="C20" s="609" t="str">
        <f t="shared" ca="1" si="0"/>
        <v/>
      </c>
      <c r="D20" s="1956" t="str">
        <f t="shared" ca="1" si="1"/>
        <v/>
      </c>
      <c r="E20" s="1956"/>
      <c r="F20" s="960"/>
      <c r="G20" s="485" t="str">
        <f t="shared" ca="1" si="2"/>
        <v/>
      </c>
      <c r="H20" s="983"/>
      <c r="I20" s="486"/>
      <c r="J20" s="972"/>
      <c r="K20" s="1886" t="str">
        <f t="shared" ca="1" si="3"/>
        <v/>
      </c>
      <c r="L20" s="1888"/>
      <c r="M20" s="296" t="str">
        <f t="shared" ca="1" si="92"/>
        <v/>
      </c>
      <c r="N20" s="1322"/>
      <c r="O20" s="1319"/>
      <c r="P20" s="957" t="str">
        <f t="shared" ca="1" si="4"/>
        <v/>
      </c>
      <c r="Q20" s="749"/>
      <c r="R20" s="164">
        <f t="shared" ca="1" si="5"/>
        <v>0</v>
      </c>
      <c r="S20" s="164">
        <f t="shared" ca="1" si="6"/>
        <v>0</v>
      </c>
      <c r="T20" s="164">
        <f t="shared" ca="1" si="7"/>
        <v>0</v>
      </c>
      <c r="U20" s="164">
        <f t="shared" ca="1" si="8"/>
        <v>0</v>
      </c>
      <c r="V20" s="164">
        <f t="shared" ca="1" si="9"/>
        <v>0</v>
      </c>
      <c r="W20" s="164">
        <f t="shared" ca="1" si="10"/>
        <v>0</v>
      </c>
      <c r="X20" s="164">
        <f t="shared" ca="1" si="11"/>
        <v>0</v>
      </c>
      <c r="Y20" s="164">
        <f t="shared" ca="1" si="12"/>
        <v>0</v>
      </c>
      <c r="Z20" s="164">
        <f t="shared" ca="1" si="13"/>
        <v>0</v>
      </c>
      <c r="AA20" s="164">
        <f t="shared" ca="1" si="14"/>
        <v>0</v>
      </c>
      <c r="AB20" s="164">
        <f t="shared" ca="1" si="15"/>
        <v>0</v>
      </c>
      <c r="AC20" s="164">
        <f t="shared" ca="1" si="16"/>
        <v>0</v>
      </c>
      <c r="AD20" s="164">
        <f t="shared" ca="1" si="17"/>
        <v>0</v>
      </c>
      <c r="AE20" s="164">
        <f t="shared" ca="1" si="18"/>
        <v>0</v>
      </c>
      <c r="AF20" s="164">
        <f t="shared" ca="1" si="19"/>
        <v>0</v>
      </c>
      <c r="AG20" s="164">
        <f t="shared" ca="1" si="20"/>
        <v>0</v>
      </c>
      <c r="AH20" s="164">
        <f t="shared" ca="1" si="21"/>
        <v>0</v>
      </c>
      <c r="AI20" s="164">
        <f t="shared" ca="1" si="22"/>
        <v>0</v>
      </c>
      <c r="AJ20" s="164">
        <f t="shared" ca="1" si="23"/>
        <v>0</v>
      </c>
      <c r="AK20" s="164">
        <f t="shared" ca="1" si="24"/>
        <v>0</v>
      </c>
      <c r="AL20" s="164">
        <f t="shared" ca="1" si="25"/>
        <v>0</v>
      </c>
      <c r="AM20" s="208"/>
      <c r="AN20" s="154"/>
      <c r="AO20" s="164">
        <f t="shared" ca="1" si="26"/>
        <v>0</v>
      </c>
      <c r="AP20" s="164">
        <f t="shared" ca="1" si="27"/>
        <v>0</v>
      </c>
      <c r="AQ20" s="164">
        <f t="shared" ca="1" si="28"/>
        <v>0</v>
      </c>
      <c r="AR20" s="164">
        <f t="shared" ca="1" si="29"/>
        <v>0</v>
      </c>
      <c r="AS20" s="164">
        <f t="shared" ca="1" si="30"/>
        <v>0</v>
      </c>
      <c r="AT20" s="164">
        <f t="shared" ca="1" si="31"/>
        <v>0</v>
      </c>
      <c r="AU20" s="164">
        <f t="shared" ca="1" si="32"/>
        <v>0</v>
      </c>
      <c r="AV20" s="164">
        <f t="shared" ca="1" si="33"/>
        <v>0</v>
      </c>
      <c r="AW20" s="164">
        <f t="shared" ca="1" si="34"/>
        <v>0</v>
      </c>
      <c r="AX20" s="164">
        <f t="shared" ca="1" si="35"/>
        <v>0</v>
      </c>
      <c r="AY20" s="164">
        <f t="shared" ca="1" si="36"/>
        <v>0</v>
      </c>
      <c r="AZ20" s="164">
        <f t="shared" ca="1" si="37"/>
        <v>0</v>
      </c>
      <c r="BA20" s="164">
        <f t="shared" ca="1" si="38"/>
        <v>0</v>
      </c>
      <c r="BB20" s="164">
        <f t="shared" ca="1" si="39"/>
        <v>0</v>
      </c>
      <c r="BC20" s="164">
        <f t="shared" ca="1" si="40"/>
        <v>0</v>
      </c>
      <c r="BD20" s="164">
        <f t="shared" ca="1" si="41"/>
        <v>0</v>
      </c>
      <c r="BE20" s="164">
        <f t="shared" ca="1" si="42"/>
        <v>0</v>
      </c>
      <c r="BF20" s="164">
        <f t="shared" ca="1" si="43"/>
        <v>0</v>
      </c>
      <c r="BG20" s="164">
        <f t="shared" ca="1" si="44"/>
        <v>0</v>
      </c>
      <c r="BH20" s="164">
        <f t="shared" ca="1" si="45"/>
        <v>0</v>
      </c>
      <c r="BI20" s="164">
        <f t="shared" ca="1" si="46"/>
        <v>0</v>
      </c>
      <c r="BJ20" s="164">
        <f t="shared" ca="1" si="47"/>
        <v>0</v>
      </c>
      <c r="BK20" s="164">
        <f t="shared" ca="1" si="48"/>
        <v>0</v>
      </c>
      <c r="BL20" s="164">
        <f t="shared" ca="1" si="49"/>
        <v>0</v>
      </c>
      <c r="BM20" s="164">
        <f t="shared" ca="1" si="50"/>
        <v>0</v>
      </c>
      <c r="BN20" s="164">
        <f t="shared" ca="1" si="51"/>
        <v>0</v>
      </c>
      <c r="BO20" s="356" t="str">
        <f t="shared" ca="1" si="52"/>
        <v/>
      </c>
      <c r="BP20" s="355" t="str">
        <f t="shared" ca="1" si="53"/>
        <v/>
      </c>
      <c r="BQ20" s="355" t="str">
        <f t="shared" ca="1" si="54"/>
        <v/>
      </c>
      <c r="BR20" s="348">
        <f t="shared" ca="1" si="93"/>
        <v>0</v>
      </c>
      <c r="BS20" s="348">
        <f t="shared" ca="1" si="94"/>
        <v>0</v>
      </c>
      <c r="BT20" s="610">
        <f t="shared" ca="1" si="55"/>
        <v>0</v>
      </c>
      <c r="BU20" s="357">
        <v>1</v>
      </c>
      <c r="BV20" s="357">
        <v>0</v>
      </c>
      <c r="BW20" s="357">
        <f t="shared" si="56"/>
        <v>0</v>
      </c>
      <c r="BX20" s="357">
        <f t="shared" ca="1" si="57"/>
        <v>0</v>
      </c>
      <c r="BY20" s="357">
        <f t="shared" ca="1" si="95"/>
        <v>0</v>
      </c>
      <c r="BZ20" s="357"/>
      <c r="CA20" s="357">
        <f t="shared" ca="1" si="96"/>
        <v>0</v>
      </c>
      <c r="CB20" s="357"/>
      <c r="CC20" s="358" t="str">
        <f t="shared" ca="1" si="97"/>
        <v/>
      </c>
      <c r="CD20" s="358" t="str">
        <f t="shared" ca="1" si="98"/>
        <v/>
      </c>
      <c r="CE20" s="357" t="str">
        <f t="shared" ca="1" si="99"/>
        <v>,,,,,,,,,,</v>
      </c>
      <c r="CF20" s="154"/>
      <c r="CG20" s="154">
        <f t="shared" ca="1" si="100"/>
        <v>0</v>
      </c>
      <c r="CH20" s="268" t="str">
        <f t="shared" ca="1" si="58"/>
        <v/>
      </c>
      <c r="CI20" s="268">
        <f t="shared" ca="1" si="101"/>
        <v>0</v>
      </c>
      <c r="CJ20" s="268" t="str">
        <f t="shared" ca="1" si="59"/>
        <v/>
      </c>
      <c r="CK20" s="268">
        <f t="shared" ca="1" si="60"/>
        <v>0</v>
      </c>
      <c r="CL20" s="268">
        <f t="shared" ca="1" si="61"/>
        <v>0</v>
      </c>
      <c r="CM20" s="154">
        <f t="shared" ca="1" si="102"/>
        <v>0</v>
      </c>
      <c r="CN20" s="154"/>
      <c r="CO20" s="169"/>
      <c r="CP20" s="169"/>
      <c r="CQ20" s="169"/>
      <c r="CR20" s="169"/>
      <c r="CS20" s="169"/>
      <c r="CT20" s="169"/>
      <c r="CU20" s="169"/>
      <c r="CV20" s="164" t="str">
        <f t="shared" ca="1" si="62"/>
        <v/>
      </c>
      <c r="CW20" s="164" t="str">
        <f t="shared" ca="1" si="62"/>
        <v/>
      </c>
      <c r="CX20" s="164" t="str">
        <f t="shared" ca="1" si="62"/>
        <v/>
      </c>
      <c r="CY20" s="164" t="str">
        <f t="shared" ca="1" si="62"/>
        <v/>
      </c>
      <c r="CZ20" s="164" t="str">
        <f t="shared" ca="1" si="62"/>
        <v/>
      </c>
      <c r="DA20" s="164" t="str">
        <f t="shared" ca="1" si="62"/>
        <v/>
      </c>
      <c r="DB20" s="164" t="str">
        <f t="shared" ca="1" si="62"/>
        <v/>
      </c>
      <c r="DC20" s="164" t="str">
        <f t="shared" ca="1" si="62"/>
        <v/>
      </c>
      <c r="DD20" s="164" t="str">
        <f t="shared" ca="1" si="62"/>
        <v/>
      </c>
      <c r="DE20" s="164" t="str">
        <f t="shared" ca="1" si="62"/>
        <v/>
      </c>
      <c r="DF20" s="164" t="str">
        <f t="shared" ca="1" si="63"/>
        <v/>
      </c>
      <c r="DG20" s="164" t="str">
        <f t="shared" ca="1" si="63"/>
        <v/>
      </c>
      <c r="DH20" s="164" t="str">
        <f t="shared" ca="1" si="63"/>
        <v/>
      </c>
      <c r="DI20" s="164" t="str">
        <f t="shared" ca="1" si="63"/>
        <v/>
      </c>
      <c r="DJ20" s="164" t="str">
        <f t="shared" ca="1" si="63"/>
        <v/>
      </c>
      <c r="DK20" s="164" t="str">
        <f t="shared" ca="1" si="63"/>
        <v/>
      </c>
      <c r="DL20" s="164" t="str">
        <f t="shared" ca="1" si="63"/>
        <v/>
      </c>
      <c r="DM20" s="164" t="str">
        <f t="shared" ca="1" si="63"/>
        <v/>
      </c>
      <c r="DN20" s="164" t="str">
        <f t="shared" ca="1" si="63"/>
        <v/>
      </c>
      <c r="DO20" s="164" t="str">
        <f t="shared" ca="1" si="63"/>
        <v/>
      </c>
      <c r="DP20" s="164" t="str">
        <f t="shared" ca="1" si="63"/>
        <v/>
      </c>
      <c r="DQ20" s="164" t="str">
        <f t="shared" ca="1" si="63"/>
        <v/>
      </c>
      <c r="DR20" s="208"/>
      <c r="DS20" s="164" t="str">
        <f t="shared" ca="1" si="64"/>
        <v/>
      </c>
      <c r="DT20" s="164" t="str">
        <f t="shared" ca="1" si="65"/>
        <v/>
      </c>
      <c r="DU20" s="164" t="str">
        <f t="shared" ca="1" si="66"/>
        <v/>
      </c>
      <c r="DV20" s="164" t="str">
        <f t="shared" ca="1" si="67"/>
        <v/>
      </c>
      <c r="DW20" s="164" t="str">
        <f t="shared" ca="1" si="68"/>
        <v/>
      </c>
      <c r="DX20" s="164" t="str">
        <f t="shared" ca="1" si="69"/>
        <v/>
      </c>
      <c r="DY20" s="164" t="str">
        <f t="shared" ca="1" si="70"/>
        <v/>
      </c>
      <c r="DZ20" s="164" t="str">
        <f t="shared" ca="1" si="71"/>
        <v/>
      </c>
      <c r="EA20" s="164" t="str">
        <f t="shared" ca="1" si="72"/>
        <v/>
      </c>
      <c r="EB20" s="164" t="str">
        <f t="shared" ca="1" si="73"/>
        <v/>
      </c>
      <c r="EC20" s="164" t="str">
        <f t="shared" ca="1" si="74"/>
        <v/>
      </c>
      <c r="ED20" s="164" t="str">
        <f t="shared" ca="1" si="75"/>
        <v/>
      </c>
      <c r="EE20" s="164" t="str">
        <f t="shared" ca="1" si="76"/>
        <v/>
      </c>
      <c r="EF20" s="164" t="str">
        <f t="shared" ca="1" si="77"/>
        <v/>
      </c>
      <c r="EG20" s="164" t="str">
        <f t="shared" ca="1" si="78"/>
        <v/>
      </c>
      <c r="EH20" s="164" t="str">
        <f t="shared" ca="1" si="79"/>
        <v/>
      </c>
      <c r="EI20" s="164" t="str">
        <f t="shared" ca="1" si="80"/>
        <v/>
      </c>
      <c r="EJ20" s="164" t="str">
        <f t="shared" ca="1" si="81"/>
        <v/>
      </c>
      <c r="EK20" s="164" t="str">
        <f t="shared" ca="1" si="82"/>
        <v/>
      </c>
      <c r="EL20" s="164" t="str">
        <f t="shared" ca="1" si="83"/>
        <v/>
      </c>
      <c r="EM20" s="164" t="str">
        <f t="shared" ca="1" si="84"/>
        <v/>
      </c>
      <c r="EN20" s="164" t="str">
        <f t="shared" ca="1" si="85"/>
        <v/>
      </c>
      <c r="EO20" s="164" t="str">
        <f t="shared" ca="1" si="86"/>
        <v/>
      </c>
      <c r="EP20" s="164" t="str">
        <f t="shared" ca="1" si="87"/>
        <v/>
      </c>
      <c r="EQ20" s="164" t="str">
        <f t="shared" ca="1" si="88"/>
        <v/>
      </c>
      <c r="ER20" s="164" t="str">
        <f t="shared" ca="1" si="89"/>
        <v/>
      </c>
      <c r="ES20" s="164" t="str">
        <f t="shared" ca="1" si="90"/>
        <v/>
      </c>
    </row>
    <row r="21" spans="1:149" outlineLevel="1" x14ac:dyDescent="0.2">
      <c r="A21" s="89" t="str">
        <f t="shared" ca="1" si="103"/>
        <v/>
      </c>
      <c r="B21" s="317" t="str">
        <f t="shared" ca="1" si="91"/>
        <v/>
      </c>
      <c r="C21" s="609" t="str">
        <f t="shared" ca="1" si="0"/>
        <v/>
      </c>
      <c r="D21" s="1956" t="str">
        <f t="shared" ca="1" si="1"/>
        <v/>
      </c>
      <c r="E21" s="1956"/>
      <c r="F21" s="960"/>
      <c r="G21" s="485" t="str">
        <f t="shared" ca="1" si="2"/>
        <v/>
      </c>
      <c r="H21" s="983"/>
      <c r="I21" s="486"/>
      <c r="J21" s="972"/>
      <c r="K21" s="1886" t="str">
        <f t="shared" ca="1" si="3"/>
        <v/>
      </c>
      <c r="L21" s="1888"/>
      <c r="M21" s="296" t="str">
        <f t="shared" ca="1" si="92"/>
        <v/>
      </c>
      <c r="N21" s="1322"/>
      <c r="O21" s="1319"/>
      <c r="P21" s="957" t="str">
        <f t="shared" ca="1" si="4"/>
        <v/>
      </c>
      <c r="Q21" s="749"/>
      <c r="R21" s="164">
        <f t="shared" ca="1" si="5"/>
        <v>0</v>
      </c>
      <c r="S21" s="164">
        <f t="shared" ca="1" si="6"/>
        <v>0</v>
      </c>
      <c r="T21" s="164">
        <f t="shared" ca="1" si="7"/>
        <v>0</v>
      </c>
      <c r="U21" s="164">
        <f t="shared" ca="1" si="8"/>
        <v>0</v>
      </c>
      <c r="V21" s="164">
        <f t="shared" ca="1" si="9"/>
        <v>0</v>
      </c>
      <c r="W21" s="164">
        <f t="shared" ca="1" si="10"/>
        <v>0</v>
      </c>
      <c r="X21" s="164">
        <f t="shared" ca="1" si="11"/>
        <v>0</v>
      </c>
      <c r="Y21" s="164">
        <f t="shared" ca="1" si="12"/>
        <v>0</v>
      </c>
      <c r="Z21" s="164">
        <f t="shared" ca="1" si="13"/>
        <v>0</v>
      </c>
      <c r="AA21" s="164">
        <f t="shared" ca="1" si="14"/>
        <v>0</v>
      </c>
      <c r="AB21" s="164">
        <f t="shared" ca="1" si="15"/>
        <v>0</v>
      </c>
      <c r="AC21" s="164">
        <f t="shared" ca="1" si="16"/>
        <v>0</v>
      </c>
      <c r="AD21" s="164">
        <f t="shared" ca="1" si="17"/>
        <v>0</v>
      </c>
      <c r="AE21" s="164">
        <f t="shared" ca="1" si="18"/>
        <v>0</v>
      </c>
      <c r="AF21" s="164">
        <f t="shared" ca="1" si="19"/>
        <v>0</v>
      </c>
      <c r="AG21" s="164">
        <f t="shared" ca="1" si="20"/>
        <v>0</v>
      </c>
      <c r="AH21" s="164">
        <f t="shared" ca="1" si="21"/>
        <v>0</v>
      </c>
      <c r="AI21" s="164">
        <f t="shared" ca="1" si="22"/>
        <v>0</v>
      </c>
      <c r="AJ21" s="164">
        <f t="shared" ca="1" si="23"/>
        <v>0</v>
      </c>
      <c r="AK21" s="164">
        <f t="shared" ca="1" si="24"/>
        <v>0</v>
      </c>
      <c r="AL21" s="164">
        <f t="shared" ca="1" si="25"/>
        <v>0</v>
      </c>
      <c r="AM21" s="208"/>
      <c r="AN21" s="154"/>
      <c r="AO21" s="164">
        <f t="shared" ca="1" si="26"/>
        <v>0</v>
      </c>
      <c r="AP21" s="164">
        <f t="shared" ca="1" si="27"/>
        <v>0</v>
      </c>
      <c r="AQ21" s="164">
        <f t="shared" ca="1" si="28"/>
        <v>0</v>
      </c>
      <c r="AR21" s="164">
        <f t="shared" ca="1" si="29"/>
        <v>0</v>
      </c>
      <c r="AS21" s="164">
        <f t="shared" ca="1" si="30"/>
        <v>0</v>
      </c>
      <c r="AT21" s="164">
        <f t="shared" ca="1" si="31"/>
        <v>0</v>
      </c>
      <c r="AU21" s="164">
        <f t="shared" ca="1" si="32"/>
        <v>0</v>
      </c>
      <c r="AV21" s="164">
        <f t="shared" ca="1" si="33"/>
        <v>0</v>
      </c>
      <c r="AW21" s="164">
        <f t="shared" ca="1" si="34"/>
        <v>0</v>
      </c>
      <c r="AX21" s="164">
        <f t="shared" ca="1" si="35"/>
        <v>0</v>
      </c>
      <c r="AY21" s="164">
        <f t="shared" ca="1" si="36"/>
        <v>0</v>
      </c>
      <c r="AZ21" s="164">
        <f t="shared" ca="1" si="37"/>
        <v>0</v>
      </c>
      <c r="BA21" s="164">
        <f t="shared" ca="1" si="38"/>
        <v>0</v>
      </c>
      <c r="BB21" s="164">
        <f t="shared" ca="1" si="39"/>
        <v>0</v>
      </c>
      <c r="BC21" s="164">
        <f t="shared" ca="1" si="40"/>
        <v>0</v>
      </c>
      <c r="BD21" s="164">
        <f t="shared" ca="1" si="41"/>
        <v>0</v>
      </c>
      <c r="BE21" s="164">
        <f t="shared" ca="1" si="42"/>
        <v>0</v>
      </c>
      <c r="BF21" s="164">
        <f t="shared" ca="1" si="43"/>
        <v>0</v>
      </c>
      <c r="BG21" s="164">
        <f t="shared" ca="1" si="44"/>
        <v>0</v>
      </c>
      <c r="BH21" s="164">
        <f t="shared" ca="1" si="45"/>
        <v>0</v>
      </c>
      <c r="BI21" s="164">
        <f t="shared" ca="1" si="46"/>
        <v>0</v>
      </c>
      <c r="BJ21" s="164">
        <f t="shared" ca="1" si="47"/>
        <v>0</v>
      </c>
      <c r="BK21" s="164">
        <f t="shared" ca="1" si="48"/>
        <v>0</v>
      </c>
      <c r="BL21" s="164">
        <f t="shared" ca="1" si="49"/>
        <v>0</v>
      </c>
      <c r="BM21" s="164">
        <f t="shared" ca="1" si="50"/>
        <v>0</v>
      </c>
      <c r="BN21" s="164">
        <f t="shared" ca="1" si="51"/>
        <v>0</v>
      </c>
      <c r="BO21" s="356" t="str">
        <f t="shared" ca="1" si="52"/>
        <v/>
      </c>
      <c r="BP21" s="355" t="str">
        <f t="shared" ca="1" si="53"/>
        <v/>
      </c>
      <c r="BQ21" s="355" t="str">
        <f t="shared" ca="1" si="54"/>
        <v/>
      </c>
      <c r="BR21" s="348">
        <f t="shared" ca="1" si="93"/>
        <v>0</v>
      </c>
      <c r="BS21" s="348">
        <f t="shared" ca="1" si="94"/>
        <v>0</v>
      </c>
      <c r="BT21" s="610">
        <f t="shared" ca="1" si="55"/>
        <v>0</v>
      </c>
      <c r="BU21" s="357">
        <v>1</v>
      </c>
      <c r="BV21" s="357">
        <v>0</v>
      </c>
      <c r="BW21" s="357">
        <f t="shared" si="56"/>
        <v>0</v>
      </c>
      <c r="BX21" s="357">
        <f t="shared" ca="1" si="57"/>
        <v>0</v>
      </c>
      <c r="BY21" s="357">
        <f t="shared" ca="1" si="95"/>
        <v>0</v>
      </c>
      <c r="BZ21" s="357"/>
      <c r="CA21" s="357">
        <f t="shared" ca="1" si="96"/>
        <v>0</v>
      </c>
      <c r="CB21" s="357"/>
      <c r="CC21" s="358" t="str">
        <f t="shared" ca="1" si="97"/>
        <v/>
      </c>
      <c r="CD21" s="358" t="str">
        <f t="shared" ca="1" si="98"/>
        <v/>
      </c>
      <c r="CE21" s="357" t="str">
        <f t="shared" ca="1" si="99"/>
        <v>,,,,,,,,,,,</v>
      </c>
      <c r="CF21" s="154"/>
      <c r="CG21" s="154">
        <f t="shared" ca="1" si="100"/>
        <v>0</v>
      </c>
      <c r="CH21" s="268" t="str">
        <f t="shared" ca="1" si="58"/>
        <v/>
      </c>
      <c r="CI21" s="268">
        <f t="shared" ca="1" si="101"/>
        <v>0</v>
      </c>
      <c r="CJ21" s="268" t="str">
        <f t="shared" ca="1" si="59"/>
        <v/>
      </c>
      <c r="CK21" s="268">
        <f t="shared" ca="1" si="60"/>
        <v>0</v>
      </c>
      <c r="CL21" s="268">
        <f t="shared" ca="1" si="61"/>
        <v>0</v>
      </c>
      <c r="CM21" s="154">
        <f t="shared" ca="1" si="102"/>
        <v>0</v>
      </c>
      <c r="CN21" s="154"/>
      <c r="CO21" s="169"/>
      <c r="CP21" s="169"/>
      <c r="CQ21" s="169"/>
      <c r="CR21" s="169"/>
      <c r="CS21" s="169"/>
      <c r="CT21" s="169"/>
      <c r="CU21" s="169"/>
      <c r="CV21" s="164" t="str">
        <f t="shared" ref="CV21:DE35" ca="1" si="104">IF($A21="","",IF(VT_VRTLZBR,CODE("F"),CODE(VLOOKUP($A21,ZAUBERWERTE,10,FALSE))-
SUM($BR21:$CA21,
IF(ISERR(FIND(";"&amp;CV$10&amp;";",$H21)),0,1),
IF(ISERR(FIND(";"&amp;CV$10&amp;":",$H21)),0,VALUE(MID($H21,FIND(";"&amp;CV$10&amp;":",$H21)+LEN(CV$10)+2,1))),
IF(AND(NOT(EXACT($AF$241,"")),OR(CV$10&gt;$CO21,ISBLANK($CO21))),IF($CV$3,IF(ISERROR(FIND($AF$241,$BQ21)),0,1),(LEN($BQ21)-LEN(SUBSTITUTE($BQ21,$AF$241,"")))/LEN($AF$241)),0),
IF(AND(NOT(EXACT($AF$242,"")),OR(CV$10&gt;$CP21,ISBLANK($CP21))),IF($CV$3,IF(ISERROR(FIND($AF$242,$BQ21)),0,1),(LEN($BQ21)-LEN(SUBSTITUTE($BQ21,$AF$242,"")))/LEN($AF$242)),0),
IF(AND(NOT(EXACT($AF$243,"")),OR(CV$10&gt;$CQ21,ISBLANK($CQ21))),IF($CV$3,IF(ISERROR(FIND($AF$243,$BQ21)),0,1),(LEN($BQ21)-LEN(SUBSTITUTE($BQ21,$AF$243,"")))/LEN($AF$243)),0),
IF(AND(NOT(EXACT($AF$244,"")),OR(CV$10&gt;$CR21,ISBLANK($CR21))),IF($CV$3,IF(ISERROR(FIND($AF$244,$BQ21)),0,1),(LEN($BQ21)-LEN(SUBSTITUTE($BQ21,$AF$244,"")))/LEN($AF$244)),0),
IF(AND(NOT(EXACT($AF$245,"")),OR(CV$10&gt;$CS21,ISBLANK($CS21))),IF($CV$3,IF(ISERROR(FIND($AF$245,$BQ21)),0,1),(LEN($BQ21)-LEN(SUBSTITUTE($BQ21,$AF$245,"")))/LEN($AF$245)),0),
IF(AND(NOT(EXACT($AF$246,"")),OR(CV$10&gt;$CT21,ISBLANK($CT21))),IF($CV$3,IF(ISERROR(FIND($AF$246,$BQ21)),0,1),(LEN($BQ21)-LEN(SUBSTITUTE($BQ21,$AF$246,"")))/LEN($AF$246)),0),
IF(AND(NOT(EXACT($AF$247,"")),OR(CV$10&gt;$CU21,ISBLANK($CU21))),IF($CV$3,IF(ISERROR(FIND($AF$247,$BQ21)),0,1),(LEN($BQ21)-LEN(SUBSTITUTE($BQ21,$AF$247,"")))/LEN($AF$247)),0)
)))</f>
        <v/>
      </c>
      <c r="CW21" s="164" t="str">
        <f t="shared" ca="1" si="104"/>
        <v/>
      </c>
      <c r="CX21" s="164" t="str">
        <f t="shared" ca="1" si="104"/>
        <v/>
      </c>
      <c r="CY21" s="164" t="str">
        <f t="shared" ca="1" si="104"/>
        <v/>
      </c>
      <c r="CZ21" s="164" t="str">
        <f t="shared" ca="1" si="104"/>
        <v/>
      </c>
      <c r="DA21" s="164" t="str">
        <f t="shared" ca="1" si="104"/>
        <v/>
      </c>
      <c r="DB21" s="164" t="str">
        <f t="shared" ca="1" si="104"/>
        <v/>
      </c>
      <c r="DC21" s="164" t="str">
        <f t="shared" ca="1" si="104"/>
        <v/>
      </c>
      <c r="DD21" s="164" t="str">
        <f t="shared" ca="1" si="104"/>
        <v/>
      </c>
      <c r="DE21" s="164" t="str">
        <f t="shared" ca="1" si="104"/>
        <v/>
      </c>
      <c r="DF21" s="164" t="str">
        <f t="shared" ref="DF21:DQ35" ca="1" si="105">IF($A21="","",IF(VT_VRTLZBR,CODE("F"),CODE(VLOOKUP($A21,ZAUBERWERTE,10,FALSE))-
SUM($BR21:$CA21,
IF(ISERR(FIND(";"&amp;DF$10&amp;";",$H21)),0,1),
IF(ISERR(FIND(";"&amp;DF$10&amp;":",$H21)),0,VALUE(MID($H21,FIND(";"&amp;DF$10&amp;":",$H21)+LEN(DF$10)+2,1))),
IF(AND(NOT(EXACT($AF$241,"")),OR(DF$10&gt;$CO21,ISBLANK($CO21))),IF($CV$3,IF(ISERROR(FIND($AF$241,$BQ21)),0,1),(LEN($BQ21)-LEN(SUBSTITUTE($BQ21,$AF$241,"")))/LEN($AF$241)),0),
IF(AND(NOT(EXACT($AF$242,"")),OR(DF$10&gt;$CP21,ISBLANK($CP21))),IF($CV$3,IF(ISERROR(FIND($AF$242,$BQ21)),0,1),(LEN($BQ21)-LEN(SUBSTITUTE($BQ21,$AF$242,"")))/LEN($AF$242)),0),
IF(AND(NOT(EXACT($AF$243,"")),OR(DF$10&gt;$CQ21,ISBLANK($CQ21))),IF($CV$3,IF(ISERROR(FIND($AF$243,$BQ21)),0,1),(LEN($BQ21)-LEN(SUBSTITUTE($BQ21,$AF$243,"")))/LEN($AF$243)),0),
IF(AND(NOT(EXACT($AF$244,"")),OR(DF$10&gt;$CR21,ISBLANK($CR21))),IF($CV$3,IF(ISERROR(FIND($AF$244,$BQ21)),0,1),(LEN($BQ21)-LEN(SUBSTITUTE($BQ21,$AF$244,"")))/LEN($AF$244)),0),
IF(AND(NOT(EXACT($AF$245,"")),OR(DF$10&gt;$CS21,ISBLANK($CS21))),IF($CV$3,IF(ISERROR(FIND($AF$245,$BQ21)),0,1),(LEN($BQ21)-LEN(SUBSTITUTE($BQ21,$AF$245,"")))/LEN($AF$245)),0),
IF(AND(NOT(EXACT($AF$246,"")),OR(DF$10&gt;$CT21,ISBLANK($CT21))),IF($CV$3,IF(ISERROR(FIND($AF$246,$BQ21)),0,1),(LEN($BQ21)-LEN(SUBSTITUTE($BQ21,$AF$246,"")))/LEN($AF$246)),0),
IF(AND(NOT(EXACT($AF$247,"")),OR(DF$10&gt;$CU21,ISBLANK($CU21))),IF($CV$3,IF(ISERROR(FIND($AF$247,$BQ21)),0,1),(LEN($BQ21)-LEN(SUBSTITUTE($BQ21,$AF$247,"")))/LEN($AF$247)),0)
)))</f>
        <v/>
      </c>
      <c r="DG21" s="164" t="str">
        <f t="shared" ca="1" si="105"/>
        <v/>
      </c>
      <c r="DH21" s="164" t="str">
        <f t="shared" ca="1" si="105"/>
        <v/>
      </c>
      <c r="DI21" s="164" t="str">
        <f t="shared" ca="1" si="105"/>
        <v/>
      </c>
      <c r="DJ21" s="164" t="str">
        <f t="shared" ca="1" si="105"/>
        <v/>
      </c>
      <c r="DK21" s="164" t="str">
        <f t="shared" ca="1" si="105"/>
        <v/>
      </c>
      <c r="DL21" s="164" t="str">
        <f t="shared" ca="1" si="105"/>
        <v/>
      </c>
      <c r="DM21" s="164" t="str">
        <f t="shared" ca="1" si="105"/>
        <v/>
      </c>
      <c r="DN21" s="164" t="str">
        <f t="shared" ca="1" si="105"/>
        <v/>
      </c>
      <c r="DO21" s="164" t="str">
        <f t="shared" ca="1" si="105"/>
        <v/>
      </c>
      <c r="DP21" s="164" t="str">
        <f t="shared" ca="1" si="105"/>
        <v/>
      </c>
      <c r="DQ21" s="164" t="str">
        <f t="shared" ca="1" si="105"/>
        <v/>
      </c>
      <c r="DR21" s="208"/>
      <c r="DS21" s="164" t="str">
        <f t="shared" ca="1" si="64"/>
        <v/>
      </c>
      <c r="DT21" s="164" t="str">
        <f t="shared" ca="1" si="65"/>
        <v/>
      </c>
      <c r="DU21" s="164" t="str">
        <f t="shared" ca="1" si="66"/>
        <v/>
      </c>
      <c r="DV21" s="164" t="str">
        <f t="shared" ca="1" si="67"/>
        <v/>
      </c>
      <c r="DW21" s="164" t="str">
        <f t="shared" ca="1" si="68"/>
        <v/>
      </c>
      <c r="DX21" s="164" t="str">
        <f t="shared" ca="1" si="69"/>
        <v/>
      </c>
      <c r="DY21" s="164" t="str">
        <f t="shared" ca="1" si="70"/>
        <v/>
      </c>
      <c r="DZ21" s="164" t="str">
        <f t="shared" ca="1" si="71"/>
        <v/>
      </c>
      <c r="EA21" s="164" t="str">
        <f t="shared" ca="1" si="72"/>
        <v/>
      </c>
      <c r="EB21" s="164" t="str">
        <f t="shared" ca="1" si="73"/>
        <v/>
      </c>
      <c r="EC21" s="164" t="str">
        <f t="shared" ca="1" si="74"/>
        <v/>
      </c>
      <c r="ED21" s="164" t="str">
        <f t="shared" ca="1" si="75"/>
        <v/>
      </c>
      <c r="EE21" s="164" t="str">
        <f t="shared" ca="1" si="76"/>
        <v/>
      </c>
      <c r="EF21" s="164" t="str">
        <f t="shared" ca="1" si="77"/>
        <v/>
      </c>
      <c r="EG21" s="164" t="str">
        <f t="shared" ca="1" si="78"/>
        <v/>
      </c>
      <c r="EH21" s="164" t="str">
        <f t="shared" ca="1" si="79"/>
        <v/>
      </c>
      <c r="EI21" s="164" t="str">
        <f t="shared" ca="1" si="80"/>
        <v/>
      </c>
      <c r="EJ21" s="164" t="str">
        <f t="shared" ca="1" si="81"/>
        <v/>
      </c>
      <c r="EK21" s="164" t="str">
        <f t="shared" ca="1" si="82"/>
        <v/>
      </c>
      <c r="EL21" s="164" t="str">
        <f t="shared" ca="1" si="83"/>
        <v/>
      </c>
      <c r="EM21" s="164" t="str">
        <f t="shared" ca="1" si="84"/>
        <v/>
      </c>
      <c r="EN21" s="164" t="str">
        <f t="shared" ca="1" si="85"/>
        <v/>
      </c>
      <c r="EO21" s="164" t="str">
        <f t="shared" ca="1" si="86"/>
        <v/>
      </c>
      <c r="EP21" s="164" t="str">
        <f t="shared" ca="1" si="87"/>
        <v/>
      </c>
      <c r="EQ21" s="164" t="str">
        <f t="shared" ca="1" si="88"/>
        <v/>
      </c>
      <c r="ER21" s="164" t="str">
        <f t="shared" ca="1" si="89"/>
        <v/>
      </c>
      <c r="ES21" s="164" t="str">
        <f t="shared" ca="1" si="90"/>
        <v/>
      </c>
    </row>
    <row r="22" spans="1:149" outlineLevel="1" x14ac:dyDescent="0.2">
      <c r="A22" s="89" t="str">
        <f t="shared" ca="1" si="103"/>
        <v/>
      </c>
      <c r="B22" s="317" t="str">
        <f t="shared" ca="1" si="91"/>
        <v/>
      </c>
      <c r="C22" s="609" t="str">
        <f t="shared" ca="1" si="0"/>
        <v/>
      </c>
      <c r="D22" s="1956" t="str">
        <f t="shared" ca="1" si="1"/>
        <v/>
      </c>
      <c r="E22" s="1956"/>
      <c r="F22" s="960"/>
      <c r="G22" s="485" t="str">
        <f t="shared" ca="1" si="2"/>
        <v/>
      </c>
      <c r="H22" s="983"/>
      <c r="I22" s="486"/>
      <c r="J22" s="972"/>
      <c r="K22" s="1886" t="str">
        <f t="shared" ca="1" si="3"/>
        <v/>
      </c>
      <c r="L22" s="1888"/>
      <c r="M22" s="296" t="str">
        <f t="shared" ca="1" si="92"/>
        <v/>
      </c>
      <c r="N22" s="1322"/>
      <c r="O22" s="1319"/>
      <c r="P22" s="957" t="str">
        <f t="shared" ca="1" si="4"/>
        <v/>
      </c>
      <c r="Q22" s="749"/>
      <c r="R22" s="164">
        <f t="shared" ca="1" si="5"/>
        <v>0</v>
      </c>
      <c r="S22" s="164">
        <f t="shared" ca="1" si="6"/>
        <v>0</v>
      </c>
      <c r="T22" s="164">
        <f t="shared" ca="1" si="7"/>
        <v>0</v>
      </c>
      <c r="U22" s="164">
        <f t="shared" ca="1" si="8"/>
        <v>0</v>
      </c>
      <c r="V22" s="164">
        <f t="shared" ca="1" si="9"/>
        <v>0</v>
      </c>
      <c r="W22" s="164">
        <f t="shared" ca="1" si="10"/>
        <v>0</v>
      </c>
      <c r="X22" s="164">
        <f t="shared" ca="1" si="11"/>
        <v>0</v>
      </c>
      <c r="Y22" s="164">
        <f t="shared" ca="1" si="12"/>
        <v>0</v>
      </c>
      <c r="Z22" s="164">
        <f t="shared" ca="1" si="13"/>
        <v>0</v>
      </c>
      <c r="AA22" s="164">
        <f t="shared" ca="1" si="14"/>
        <v>0</v>
      </c>
      <c r="AB22" s="164">
        <f t="shared" ca="1" si="15"/>
        <v>0</v>
      </c>
      <c r="AC22" s="164">
        <f t="shared" ca="1" si="16"/>
        <v>0</v>
      </c>
      <c r="AD22" s="164">
        <f t="shared" ca="1" si="17"/>
        <v>0</v>
      </c>
      <c r="AE22" s="164">
        <f t="shared" ca="1" si="18"/>
        <v>0</v>
      </c>
      <c r="AF22" s="164">
        <f t="shared" ca="1" si="19"/>
        <v>0</v>
      </c>
      <c r="AG22" s="164">
        <f t="shared" ca="1" si="20"/>
        <v>0</v>
      </c>
      <c r="AH22" s="164">
        <f t="shared" ca="1" si="21"/>
        <v>0</v>
      </c>
      <c r="AI22" s="164">
        <f t="shared" ca="1" si="22"/>
        <v>0</v>
      </c>
      <c r="AJ22" s="164">
        <f t="shared" ca="1" si="23"/>
        <v>0</v>
      </c>
      <c r="AK22" s="164">
        <f t="shared" ca="1" si="24"/>
        <v>0</v>
      </c>
      <c r="AL22" s="164">
        <f t="shared" ca="1" si="25"/>
        <v>0</v>
      </c>
      <c r="AM22" s="208"/>
      <c r="AN22" s="154"/>
      <c r="AO22" s="164">
        <f t="shared" ca="1" si="26"/>
        <v>0</v>
      </c>
      <c r="AP22" s="164">
        <f t="shared" ca="1" si="27"/>
        <v>0</v>
      </c>
      <c r="AQ22" s="164">
        <f t="shared" ca="1" si="28"/>
        <v>0</v>
      </c>
      <c r="AR22" s="164">
        <f t="shared" ca="1" si="29"/>
        <v>0</v>
      </c>
      <c r="AS22" s="164">
        <f t="shared" ca="1" si="30"/>
        <v>0</v>
      </c>
      <c r="AT22" s="164">
        <f t="shared" ca="1" si="31"/>
        <v>0</v>
      </c>
      <c r="AU22" s="164">
        <f t="shared" ca="1" si="32"/>
        <v>0</v>
      </c>
      <c r="AV22" s="164">
        <f t="shared" ca="1" si="33"/>
        <v>0</v>
      </c>
      <c r="AW22" s="164">
        <f t="shared" ca="1" si="34"/>
        <v>0</v>
      </c>
      <c r="AX22" s="164">
        <f t="shared" ca="1" si="35"/>
        <v>0</v>
      </c>
      <c r="AY22" s="164">
        <f t="shared" ca="1" si="36"/>
        <v>0</v>
      </c>
      <c r="AZ22" s="164">
        <f t="shared" ca="1" si="37"/>
        <v>0</v>
      </c>
      <c r="BA22" s="164">
        <f t="shared" ca="1" si="38"/>
        <v>0</v>
      </c>
      <c r="BB22" s="164">
        <f t="shared" ca="1" si="39"/>
        <v>0</v>
      </c>
      <c r="BC22" s="164">
        <f t="shared" ca="1" si="40"/>
        <v>0</v>
      </c>
      <c r="BD22" s="164">
        <f t="shared" ca="1" si="41"/>
        <v>0</v>
      </c>
      <c r="BE22" s="164">
        <f t="shared" ca="1" si="42"/>
        <v>0</v>
      </c>
      <c r="BF22" s="164">
        <f t="shared" ca="1" si="43"/>
        <v>0</v>
      </c>
      <c r="BG22" s="164">
        <f t="shared" ca="1" si="44"/>
        <v>0</v>
      </c>
      <c r="BH22" s="164">
        <f t="shared" ca="1" si="45"/>
        <v>0</v>
      </c>
      <c r="BI22" s="164">
        <f t="shared" ca="1" si="46"/>
        <v>0</v>
      </c>
      <c r="BJ22" s="164">
        <f t="shared" ca="1" si="47"/>
        <v>0</v>
      </c>
      <c r="BK22" s="164">
        <f t="shared" ca="1" si="48"/>
        <v>0</v>
      </c>
      <c r="BL22" s="164">
        <f t="shared" ca="1" si="49"/>
        <v>0</v>
      </c>
      <c r="BM22" s="164">
        <f t="shared" ca="1" si="50"/>
        <v>0</v>
      </c>
      <c r="BN22" s="164">
        <f t="shared" ca="1" si="51"/>
        <v>0</v>
      </c>
      <c r="BO22" s="356" t="str">
        <f t="shared" ca="1" si="52"/>
        <v/>
      </c>
      <c r="BP22" s="355" t="str">
        <f t="shared" ca="1" si="53"/>
        <v/>
      </c>
      <c r="BQ22" s="355" t="str">
        <f t="shared" ca="1" si="54"/>
        <v/>
      </c>
      <c r="BR22" s="348">
        <f t="shared" ca="1" si="93"/>
        <v>0</v>
      </c>
      <c r="BS22" s="348">
        <f t="shared" ca="1" si="94"/>
        <v>0</v>
      </c>
      <c r="BT22" s="610">
        <f t="shared" ca="1" si="55"/>
        <v>0</v>
      </c>
      <c r="BU22" s="357">
        <v>1</v>
      </c>
      <c r="BV22" s="357">
        <v>0</v>
      </c>
      <c r="BW22" s="357">
        <f t="shared" si="56"/>
        <v>0</v>
      </c>
      <c r="BX22" s="357">
        <f t="shared" ca="1" si="57"/>
        <v>0</v>
      </c>
      <c r="BY22" s="357">
        <f t="shared" ca="1" si="95"/>
        <v>0</v>
      </c>
      <c r="BZ22" s="357"/>
      <c r="CA22" s="357">
        <f t="shared" ca="1" si="96"/>
        <v>0</v>
      </c>
      <c r="CB22" s="357"/>
      <c r="CC22" s="358" t="str">
        <f t="shared" ca="1" si="97"/>
        <v/>
      </c>
      <c r="CD22" s="358" t="str">
        <f t="shared" ca="1" si="98"/>
        <v/>
      </c>
      <c r="CE22" s="357" t="str">
        <f t="shared" ca="1" si="99"/>
        <v>,,,,,,,,,,,,</v>
      </c>
      <c r="CF22" s="154"/>
      <c r="CG22" s="154">
        <f t="shared" ca="1" si="100"/>
        <v>0</v>
      </c>
      <c r="CH22" s="268" t="str">
        <f t="shared" ca="1" si="58"/>
        <v/>
      </c>
      <c r="CI22" s="268">
        <f t="shared" ca="1" si="101"/>
        <v>0</v>
      </c>
      <c r="CJ22" s="268" t="str">
        <f t="shared" ca="1" si="59"/>
        <v/>
      </c>
      <c r="CK22" s="268">
        <f t="shared" ca="1" si="60"/>
        <v>0</v>
      </c>
      <c r="CL22" s="268">
        <f t="shared" ca="1" si="61"/>
        <v>0</v>
      </c>
      <c r="CM22" s="154">
        <f t="shared" ca="1" si="102"/>
        <v>0</v>
      </c>
      <c r="CN22" s="154"/>
      <c r="CO22" s="169"/>
      <c r="CP22" s="169"/>
      <c r="CQ22" s="169"/>
      <c r="CR22" s="169"/>
      <c r="CS22" s="169"/>
      <c r="CT22" s="169"/>
      <c r="CU22" s="169"/>
      <c r="CV22" s="164" t="str">
        <f t="shared" ca="1" si="104"/>
        <v/>
      </c>
      <c r="CW22" s="164" t="str">
        <f t="shared" ca="1" si="104"/>
        <v/>
      </c>
      <c r="CX22" s="164" t="str">
        <f t="shared" ca="1" si="104"/>
        <v/>
      </c>
      <c r="CY22" s="164" t="str">
        <f t="shared" ca="1" si="104"/>
        <v/>
      </c>
      <c r="CZ22" s="164" t="str">
        <f t="shared" ca="1" si="104"/>
        <v/>
      </c>
      <c r="DA22" s="164" t="str">
        <f t="shared" ca="1" si="104"/>
        <v/>
      </c>
      <c r="DB22" s="164" t="str">
        <f t="shared" ca="1" si="104"/>
        <v/>
      </c>
      <c r="DC22" s="164" t="str">
        <f t="shared" ca="1" si="104"/>
        <v/>
      </c>
      <c r="DD22" s="164" t="str">
        <f t="shared" ca="1" si="104"/>
        <v/>
      </c>
      <c r="DE22" s="164" t="str">
        <f t="shared" ca="1" si="104"/>
        <v/>
      </c>
      <c r="DF22" s="164" t="str">
        <f t="shared" ca="1" si="105"/>
        <v/>
      </c>
      <c r="DG22" s="164" t="str">
        <f t="shared" ca="1" si="105"/>
        <v/>
      </c>
      <c r="DH22" s="164" t="str">
        <f t="shared" ca="1" si="105"/>
        <v/>
      </c>
      <c r="DI22" s="164" t="str">
        <f t="shared" ca="1" si="105"/>
        <v/>
      </c>
      <c r="DJ22" s="164" t="str">
        <f t="shared" ca="1" si="105"/>
        <v/>
      </c>
      <c r="DK22" s="164" t="str">
        <f t="shared" ca="1" si="105"/>
        <v/>
      </c>
      <c r="DL22" s="164" t="str">
        <f t="shared" ca="1" si="105"/>
        <v/>
      </c>
      <c r="DM22" s="164" t="str">
        <f t="shared" ca="1" si="105"/>
        <v/>
      </c>
      <c r="DN22" s="164" t="str">
        <f t="shared" ca="1" si="105"/>
        <v/>
      </c>
      <c r="DO22" s="164" t="str">
        <f t="shared" ca="1" si="105"/>
        <v/>
      </c>
      <c r="DP22" s="164" t="str">
        <f t="shared" ca="1" si="105"/>
        <v/>
      </c>
      <c r="DQ22" s="164" t="str">
        <f t="shared" ca="1" si="105"/>
        <v/>
      </c>
      <c r="DR22" s="208"/>
      <c r="DS22" s="164" t="str">
        <f t="shared" ca="1" si="64"/>
        <v/>
      </c>
      <c r="DT22" s="164" t="str">
        <f t="shared" ca="1" si="65"/>
        <v/>
      </c>
      <c r="DU22" s="164" t="str">
        <f t="shared" ca="1" si="66"/>
        <v/>
      </c>
      <c r="DV22" s="164" t="str">
        <f t="shared" ca="1" si="67"/>
        <v/>
      </c>
      <c r="DW22" s="164" t="str">
        <f t="shared" ca="1" si="68"/>
        <v/>
      </c>
      <c r="DX22" s="164" t="str">
        <f t="shared" ca="1" si="69"/>
        <v/>
      </c>
      <c r="DY22" s="164" t="str">
        <f t="shared" ca="1" si="70"/>
        <v/>
      </c>
      <c r="DZ22" s="164" t="str">
        <f t="shared" ca="1" si="71"/>
        <v/>
      </c>
      <c r="EA22" s="164" t="str">
        <f t="shared" ca="1" si="72"/>
        <v/>
      </c>
      <c r="EB22" s="164" t="str">
        <f t="shared" ca="1" si="73"/>
        <v/>
      </c>
      <c r="EC22" s="164" t="str">
        <f t="shared" ca="1" si="74"/>
        <v/>
      </c>
      <c r="ED22" s="164" t="str">
        <f t="shared" ca="1" si="75"/>
        <v/>
      </c>
      <c r="EE22" s="164" t="str">
        <f t="shared" ca="1" si="76"/>
        <v/>
      </c>
      <c r="EF22" s="164" t="str">
        <f t="shared" ca="1" si="77"/>
        <v/>
      </c>
      <c r="EG22" s="164" t="str">
        <f t="shared" ca="1" si="78"/>
        <v/>
      </c>
      <c r="EH22" s="164" t="str">
        <f t="shared" ca="1" si="79"/>
        <v/>
      </c>
      <c r="EI22" s="164" t="str">
        <f t="shared" ca="1" si="80"/>
        <v/>
      </c>
      <c r="EJ22" s="164" t="str">
        <f t="shared" ca="1" si="81"/>
        <v/>
      </c>
      <c r="EK22" s="164" t="str">
        <f t="shared" ca="1" si="82"/>
        <v/>
      </c>
      <c r="EL22" s="164" t="str">
        <f t="shared" ca="1" si="83"/>
        <v/>
      </c>
      <c r="EM22" s="164" t="str">
        <f t="shared" ca="1" si="84"/>
        <v/>
      </c>
      <c r="EN22" s="164" t="str">
        <f t="shared" ca="1" si="85"/>
        <v/>
      </c>
      <c r="EO22" s="164" t="str">
        <f t="shared" ca="1" si="86"/>
        <v/>
      </c>
      <c r="EP22" s="164" t="str">
        <f t="shared" ca="1" si="87"/>
        <v/>
      </c>
      <c r="EQ22" s="164" t="str">
        <f t="shared" ca="1" si="88"/>
        <v/>
      </c>
      <c r="ER22" s="164" t="str">
        <f t="shared" ca="1" si="89"/>
        <v/>
      </c>
      <c r="ES22" s="164" t="str">
        <f t="shared" ca="1" si="90"/>
        <v/>
      </c>
    </row>
    <row r="23" spans="1:149" outlineLevel="1" x14ac:dyDescent="0.2">
      <c r="A23" s="89" t="str">
        <f t="shared" ca="1" si="103"/>
        <v/>
      </c>
      <c r="B23" s="317" t="str">
        <f t="shared" ca="1" si="91"/>
        <v/>
      </c>
      <c r="C23" s="609" t="str">
        <f t="shared" ca="1" si="0"/>
        <v/>
      </c>
      <c r="D23" s="1956" t="str">
        <f t="shared" ca="1" si="1"/>
        <v/>
      </c>
      <c r="E23" s="1956"/>
      <c r="F23" s="960"/>
      <c r="G23" s="485" t="str">
        <f t="shared" ca="1" si="2"/>
        <v/>
      </c>
      <c r="H23" s="983"/>
      <c r="I23" s="486"/>
      <c r="J23" s="972"/>
      <c r="K23" s="1886" t="str">
        <f t="shared" ca="1" si="3"/>
        <v/>
      </c>
      <c r="L23" s="1888"/>
      <c r="M23" s="296" t="str">
        <f t="shared" ca="1" si="92"/>
        <v/>
      </c>
      <c r="N23" s="1322"/>
      <c r="O23" s="1319"/>
      <c r="P23" s="957" t="str">
        <f t="shared" ca="1" si="4"/>
        <v/>
      </c>
      <c r="Q23" s="749"/>
      <c r="R23" s="164">
        <f t="shared" ca="1" si="5"/>
        <v>0</v>
      </c>
      <c r="S23" s="164">
        <f t="shared" ca="1" si="6"/>
        <v>0</v>
      </c>
      <c r="T23" s="164">
        <f t="shared" ca="1" si="7"/>
        <v>0</v>
      </c>
      <c r="U23" s="164">
        <f t="shared" ca="1" si="8"/>
        <v>0</v>
      </c>
      <c r="V23" s="164">
        <f t="shared" ca="1" si="9"/>
        <v>0</v>
      </c>
      <c r="W23" s="164">
        <f t="shared" ca="1" si="10"/>
        <v>0</v>
      </c>
      <c r="X23" s="164">
        <f t="shared" ca="1" si="11"/>
        <v>0</v>
      </c>
      <c r="Y23" s="164">
        <f t="shared" ca="1" si="12"/>
        <v>0</v>
      </c>
      <c r="Z23" s="164">
        <f t="shared" ca="1" si="13"/>
        <v>0</v>
      </c>
      <c r="AA23" s="164">
        <f t="shared" ca="1" si="14"/>
        <v>0</v>
      </c>
      <c r="AB23" s="164">
        <f t="shared" ca="1" si="15"/>
        <v>0</v>
      </c>
      <c r="AC23" s="164">
        <f t="shared" ca="1" si="16"/>
        <v>0</v>
      </c>
      <c r="AD23" s="164">
        <f t="shared" ca="1" si="17"/>
        <v>0</v>
      </c>
      <c r="AE23" s="164">
        <f ca="1">IF(AND(NOT(EXACT($A23,"")),NOT(ISBLANK($F23)),IF(ISNUMBER($B23),VALUE($B23),0)&lt;AE$10,SUM(IF(ISNUMBER($B23),VALUE($B23),0),$F23)&gt;=AE$10,EXACT($K23,"")),
MAX(1,ROUND(HLOOKUP(IF(DJ23&lt;65,"A+",IF(DJ23&gt;72,"H",CHAR(DJ23))),SKT,AE$10+3,FALSE)*IF(VT_EIDGED,IF($C23="Dru",1/3,0.5),1)*IF(VT_GUTGED,IF($C23="Dru",2/3,0.75),1),0)),0)
*IF(ISERR(FIND(";"&amp;AE$10&amp;":0;",$H23)),1,0)</f>
        <v>0</v>
      </c>
      <c r="AF23" s="164">
        <f t="shared" ca="1" si="19"/>
        <v>0</v>
      </c>
      <c r="AG23" s="164">
        <f t="shared" ca="1" si="20"/>
        <v>0</v>
      </c>
      <c r="AH23" s="164">
        <f t="shared" ca="1" si="21"/>
        <v>0</v>
      </c>
      <c r="AI23" s="164">
        <f t="shared" ca="1" si="22"/>
        <v>0</v>
      </c>
      <c r="AJ23" s="164">
        <f t="shared" ca="1" si="23"/>
        <v>0</v>
      </c>
      <c r="AK23" s="164">
        <f t="shared" ca="1" si="24"/>
        <v>0</v>
      </c>
      <c r="AL23" s="164">
        <f t="shared" ca="1" si="25"/>
        <v>0</v>
      </c>
      <c r="AM23" s="208"/>
      <c r="AN23" s="154"/>
      <c r="AO23" s="164">
        <f t="shared" ca="1" si="26"/>
        <v>0</v>
      </c>
      <c r="AP23" s="164">
        <f t="shared" ca="1" si="27"/>
        <v>0</v>
      </c>
      <c r="AQ23" s="164">
        <f t="shared" ca="1" si="28"/>
        <v>0</v>
      </c>
      <c r="AR23" s="164">
        <f t="shared" ca="1" si="29"/>
        <v>0</v>
      </c>
      <c r="AS23" s="164">
        <f t="shared" ca="1" si="30"/>
        <v>0</v>
      </c>
      <c r="AT23" s="164">
        <f t="shared" ca="1" si="31"/>
        <v>0</v>
      </c>
      <c r="AU23" s="164">
        <f t="shared" ca="1" si="32"/>
        <v>0</v>
      </c>
      <c r="AV23" s="164">
        <f t="shared" ca="1" si="33"/>
        <v>0</v>
      </c>
      <c r="AW23" s="164">
        <f t="shared" ca="1" si="34"/>
        <v>0</v>
      </c>
      <c r="AX23" s="164">
        <f t="shared" ca="1" si="35"/>
        <v>0</v>
      </c>
      <c r="AY23" s="164">
        <f t="shared" ca="1" si="36"/>
        <v>0</v>
      </c>
      <c r="AZ23" s="164">
        <f t="shared" ca="1" si="37"/>
        <v>0</v>
      </c>
      <c r="BA23" s="164">
        <f t="shared" ca="1" si="38"/>
        <v>0</v>
      </c>
      <c r="BB23" s="164">
        <f t="shared" ca="1" si="39"/>
        <v>0</v>
      </c>
      <c r="BC23" s="164">
        <f t="shared" ca="1" si="40"/>
        <v>0</v>
      </c>
      <c r="BD23" s="164">
        <f t="shared" ca="1" si="41"/>
        <v>0</v>
      </c>
      <c r="BE23" s="164">
        <f t="shared" ca="1" si="42"/>
        <v>0</v>
      </c>
      <c r="BF23" s="164">
        <f t="shared" ca="1" si="43"/>
        <v>0</v>
      </c>
      <c r="BG23" s="164">
        <f t="shared" ca="1" si="44"/>
        <v>0</v>
      </c>
      <c r="BH23" s="164">
        <f t="shared" ca="1" si="45"/>
        <v>0</v>
      </c>
      <c r="BI23" s="164">
        <f t="shared" ca="1" si="46"/>
        <v>0</v>
      </c>
      <c r="BJ23" s="164">
        <f t="shared" ca="1" si="47"/>
        <v>0</v>
      </c>
      <c r="BK23" s="164">
        <f t="shared" ca="1" si="48"/>
        <v>0</v>
      </c>
      <c r="BL23" s="164">
        <f t="shared" ca="1" si="49"/>
        <v>0</v>
      </c>
      <c r="BM23" s="164">
        <f t="shared" ca="1" si="50"/>
        <v>0</v>
      </c>
      <c r="BN23" s="164">
        <f t="shared" ca="1" si="51"/>
        <v>0</v>
      </c>
      <c r="BO23" s="356" t="str">
        <f t="shared" ca="1" si="52"/>
        <v/>
      </c>
      <c r="BP23" s="355" t="str">
        <f t="shared" ca="1" si="53"/>
        <v/>
      </c>
      <c r="BQ23" s="355" t="str">
        <f t="shared" ca="1" si="54"/>
        <v/>
      </c>
      <c r="BR23" s="348">
        <f t="shared" ca="1" si="93"/>
        <v>0</v>
      </c>
      <c r="BS23" s="348">
        <f t="shared" ca="1" si="94"/>
        <v>0</v>
      </c>
      <c r="BT23" s="610">
        <f t="shared" ca="1" si="55"/>
        <v>0</v>
      </c>
      <c r="BU23" s="357">
        <v>1</v>
      </c>
      <c r="BV23" s="357">
        <v>0</v>
      </c>
      <c r="BW23" s="357">
        <f t="shared" si="56"/>
        <v>0</v>
      </c>
      <c r="BX23" s="357">
        <f t="shared" ca="1" si="57"/>
        <v>0</v>
      </c>
      <c r="BY23" s="357">
        <f t="shared" ca="1" si="95"/>
        <v>0</v>
      </c>
      <c r="BZ23" s="357"/>
      <c r="CA23" s="357">
        <f t="shared" ca="1" si="96"/>
        <v>0</v>
      </c>
      <c r="CB23" s="357"/>
      <c r="CC23" s="358" t="str">
        <f t="shared" ca="1" si="97"/>
        <v/>
      </c>
      <c r="CD23" s="358" t="str">
        <f t="shared" ca="1" si="98"/>
        <v/>
      </c>
      <c r="CE23" s="357" t="str">
        <f t="shared" ca="1" si="99"/>
        <v>,,,,,,,,,,,,,</v>
      </c>
      <c r="CF23" s="154"/>
      <c r="CG23" s="154">
        <f t="shared" ca="1" si="100"/>
        <v>0</v>
      </c>
      <c r="CH23" s="268" t="str">
        <f t="shared" ca="1" si="58"/>
        <v/>
      </c>
      <c r="CI23" s="268">
        <f t="shared" ca="1" si="101"/>
        <v>0</v>
      </c>
      <c r="CJ23" s="268" t="str">
        <f t="shared" ca="1" si="59"/>
        <v/>
      </c>
      <c r="CK23" s="268">
        <f t="shared" ca="1" si="60"/>
        <v>0</v>
      </c>
      <c r="CL23" s="268">
        <f t="shared" ca="1" si="61"/>
        <v>0</v>
      </c>
      <c r="CM23" s="154">
        <f t="shared" ca="1" si="102"/>
        <v>0</v>
      </c>
      <c r="CN23" s="154"/>
      <c r="CO23" s="169"/>
      <c r="CP23" s="169"/>
      <c r="CQ23" s="169"/>
      <c r="CR23" s="169"/>
      <c r="CS23" s="169"/>
      <c r="CT23" s="169"/>
      <c r="CU23" s="169"/>
      <c r="CV23" s="164" t="str">
        <f t="shared" ca="1" si="104"/>
        <v/>
      </c>
      <c r="CW23" s="164" t="str">
        <f t="shared" ca="1" si="104"/>
        <v/>
      </c>
      <c r="CX23" s="164" t="str">
        <f t="shared" ca="1" si="104"/>
        <v/>
      </c>
      <c r="CY23" s="164" t="str">
        <f t="shared" ca="1" si="104"/>
        <v/>
      </c>
      <c r="CZ23" s="164" t="str">
        <f t="shared" ca="1" si="104"/>
        <v/>
      </c>
      <c r="DA23" s="164" t="str">
        <f t="shared" ca="1" si="104"/>
        <v/>
      </c>
      <c r="DB23" s="164" t="str">
        <f t="shared" ca="1" si="104"/>
        <v/>
      </c>
      <c r="DC23" s="164" t="str">
        <f t="shared" ca="1" si="104"/>
        <v/>
      </c>
      <c r="DD23" s="164" t="str">
        <f t="shared" ca="1" si="104"/>
        <v/>
      </c>
      <c r="DE23" s="164" t="str">
        <f t="shared" ca="1" si="104"/>
        <v/>
      </c>
      <c r="DF23" s="164" t="str">
        <f t="shared" ca="1" si="105"/>
        <v/>
      </c>
      <c r="DG23" s="164" t="str">
        <f t="shared" ca="1" si="105"/>
        <v/>
      </c>
      <c r="DH23" s="164" t="str">
        <f t="shared" ca="1" si="105"/>
        <v/>
      </c>
      <c r="DI23" s="164" t="str">
        <f t="shared" ca="1" si="105"/>
        <v/>
      </c>
      <c r="DJ23" s="164" t="str">
        <f t="shared" ca="1" si="105"/>
        <v/>
      </c>
      <c r="DK23" s="164" t="str">
        <f t="shared" ca="1" si="105"/>
        <v/>
      </c>
      <c r="DL23" s="164" t="str">
        <f t="shared" ca="1" si="105"/>
        <v/>
      </c>
      <c r="DM23" s="164" t="str">
        <f t="shared" ca="1" si="105"/>
        <v/>
      </c>
      <c r="DN23" s="164" t="str">
        <f t="shared" ca="1" si="105"/>
        <v/>
      </c>
      <c r="DO23" s="164" t="str">
        <f t="shared" ca="1" si="105"/>
        <v/>
      </c>
      <c r="DP23" s="164" t="str">
        <f t="shared" ca="1" si="105"/>
        <v/>
      </c>
      <c r="DQ23" s="164" t="str">
        <f t="shared" ca="1" si="105"/>
        <v/>
      </c>
      <c r="DR23" s="208"/>
      <c r="DS23" s="164" t="str">
        <f t="shared" ca="1" si="64"/>
        <v/>
      </c>
      <c r="DT23" s="164" t="str">
        <f t="shared" ca="1" si="65"/>
        <v/>
      </c>
      <c r="DU23" s="164" t="str">
        <f t="shared" ca="1" si="66"/>
        <v/>
      </c>
      <c r="DV23" s="164" t="str">
        <f t="shared" ca="1" si="67"/>
        <v/>
      </c>
      <c r="DW23" s="164" t="str">
        <f t="shared" ca="1" si="68"/>
        <v/>
      </c>
      <c r="DX23" s="164" t="str">
        <f t="shared" ca="1" si="69"/>
        <v/>
      </c>
      <c r="DY23" s="164" t="str">
        <f t="shared" ca="1" si="70"/>
        <v/>
      </c>
      <c r="DZ23" s="164" t="str">
        <f t="shared" ca="1" si="71"/>
        <v/>
      </c>
      <c r="EA23" s="164" t="str">
        <f t="shared" ca="1" si="72"/>
        <v/>
      </c>
      <c r="EB23" s="164" t="str">
        <f t="shared" ca="1" si="73"/>
        <v/>
      </c>
      <c r="EC23" s="164" t="str">
        <f t="shared" ca="1" si="74"/>
        <v/>
      </c>
      <c r="ED23" s="164" t="str">
        <f t="shared" ca="1" si="75"/>
        <v/>
      </c>
      <c r="EE23" s="164" t="str">
        <f t="shared" ca="1" si="76"/>
        <v/>
      </c>
      <c r="EF23" s="164" t="str">
        <f t="shared" ca="1" si="77"/>
        <v/>
      </c>
      <c r="EG23" s="164" t="str">
        <f t="shared" ca="1" si="78"/>
        <v/>
      </c>
      <c r="EH23" s="164" t="str">
        <f t="shared" ca="1" si="79"/>
        <v/>
      </c>
      <c r="EI23" s="164" t="str">
        <f t="shared" ca="1" si="80"/>
        <v/>
      </c>
      <c r="EJ23" s="164" t="str">
        <f t="shared" ca="1" si="81"/>
        <v/>
      </c>
      <c r="EK23" s="164" t="str">
        <f t="shared" ca="1" si="82"/>
        <v/>
      </c>
      <c r="EL23" s="164" t="str">
        <f t="shared" ca="1" si="83"/>
        <v/>
      </c>
      <c r="EM23" s="164" t="str">
        <f t="shared" ca="1" si="84"/>
        <v/>
      </c>
      <c r="EN23" s="164" t="str">
        <f t="shared" ca="1" si="85"/>
        <v/>
      </c>
      <c r="EO23" s="164" t="str">
        <f t="shared" ca="1" si="86"/>
        <v/>
      </c>
      <c r="EP23" s="164" t="str">
        <f t="shared" ca="1" si="87"/>
        <v/>
      </c>
      <c r="EQ23" s="164" t="str">
        <f t="shared" ca="1" si="88"/>
        <v/>
      </c>
      <c r="ER23" s="164" t="str">
        <f t="shared" ca="1" si="89"/>
        <v/>
      </c>
      <c r="ES23" s="164" t="str">
        <f t="shared" ca="1" si="90"/>
        <v/>
      </c>
    </row>
    <row r="24" spans="1:149" outlineLevel="1" x14ac:dyDescent="0.2">
      <c r="A24" s="89" t="str">
        <f t="shared" ca="1" si="103"/>
        <v/>
      </c>
      <c r="B24" s="317" t="str">
        <f ca="1">IF(AND(MAGISCH,NOT(EXACT($A24,""))),CM24,"")</f>
        <v/>
      </c>
      <c r="C24" s="609" t="str">
        <f t="shared" ca="1" si="0"/>
        <v/>
      </c>
      <c r="D24" s="1956" t="str">
        <f t="shared" ca="1" si="1"/>
        <v/>
      </c>
      <c r="E24" s="1956"/>
      <c r="F24" s="960"/>
      <c r="G24" s="485" t="str">
        <f ca="1">IF(EXACT($A24,""),"",IF(VT_VRTLZBR,"F",
IF(BO24&lt;65,"A+",IF(BO24&gt;72,"H",CHAR(BO24)))))</f>
        <v/>
      </c>
      <c r="H24" s="983"/>
      <c r="I24" s="486"/>
      <c r="J24" s="972"/>
      <c r="K24" s="1886" t="str">
        <f ca="1">IF(NOT(EXACT($A24,"")),IF(AND(NOT(ISBLANK($H24)),$H24&lt;VALUE($B24)),CONCATENATE("SE erst ab ZfW ",$B24," möglich"),IF(ISERR(FIND(C24,BP24,1)),"Zauber in dieser Repräsentation nicht bekannt",IF(AND(NOT(ISERR(FIND(A24,ZS_HZALLE,1))),ZS_SE_VIEW),"SE aus Zweitstudium",""))),"") &amp; IF(AND(NOT(EXACT($A24,"")),NOT(ISERR(FIND(A24,ZS_HZ_IAAK,1))),ZS_SE_VIEW),"  SE für IAAK-Studium","")
&amp;IF($M24="","",IF($M24&gt;MAX(INDIRECT(VLOOKUP($A24,ZAUBERWERTE,2,FALSE)),INDIRECT(VLOOKUP($A24,ZAUBERWERTE,3,FALSE)),INDIRECT(VLOOKUP($A24,ZAUBERWERTE,4,FALSE)))+3+BX24*2," TaW&gt; Max.EIGN.-Wert+"&amp;3+BX24*2,""))</f>
        <v/>
      </c>
      <c r="L24" s="1888"/>
      <c r="M24" s="296"/>
      <c r="N24" s="1322"/>
      <c r="O24" s="1319"/>
      <c r="P24" s="957"/>
      <c r="Q24" s="749"/>
      <c r="R24" s="164">
        <f t="shared" ref="R24:AA28" ca="1" si="106">IF(AND(NOT(EXACT($A24,"")),NOT(ISBLANK($F24)),IF(ISNUMBER($B24),VALUE($B24),0)&lt;R$10,SUM(IF(ISNUMBER($B24),VALUE($B24),0),$F24)&gt;=R$10,EXACT($K24,"")),
MAX(1,ROUND(HLOOKUP(IF(CW24&lt;65,"A+",IF(CW24&gt;72,"H",CHAR(CW24))),SKT,R$10+3,FALSE)*IF(VT_EIDGED,IF($C24="Dru",1/3,0.5),1)*IF(VT_GUTGED,IF($C24="Dru",2/3,0.75),1),0)),0)
*IF(ISERR(FIND(";"&amp;R$10&amp;":0;",$H24)),1,0)</f>
        <v>0</v>
      </c>
      <c r="S24" s="164">
        <f t="shared" ca="1" si="106"/>
        <v>0</v>
      </c>
      <c r="T24" s="164">
        <f t="shared" ca="1" si="106"/>
        <v>0</v>
      </c>
      <c r="U24" s="164">
        <f t="shared" ca="1" si="106"/>
        <v>0</v>
      </c>
      <c r="V24" s="164">
        <f t="shared" ca="1" si="106"/>
        <v>0</v>
      </c>
      <c r="W24" s="164">
        <f t="shared" ca="1" si="106"/>
        <v>0</v>
      </c>
      <c r="X24" s="164">
        <f t="shared" ca="1" si="106"/>
        <v>0</v>
      </c>
      <c r="Y24" s="164">
        <f t="shared" ca="1" si="106"/>
        <v>0</v>
      </c>
      <c r="Z24" s="164">
        <f t="shared" ca="1" si="106"/>
        <v>0</v>
      </c>
      <c r="AA24" s="164">
        <f t="shared" ca="1" si="106"/>
        <v>0</v>
      </c>
      <c r="AB24" s="164">
        <f t="shared" ca="1" si="15"/>
        <v>0</v>
      </c>
      <c r="AC24" s="164">
        <f t="shared" ca="1" si="16"/>
        <v>0</v>
      </c>
      <c r="AD24" s="164">
        <f t="shared" ca="1" si="17"/>
        <v>0</v>
      </c>
      <c r="AE24" s="164">
        <f t="shared" ca="1" si="18"/>
        <v>0</v>
      </c>
      <c r="AF24" s="164">
        <f t="shared" ca="1" si="19"/>
        <v>0</v>
      </c>
      <c r="AG24" s="164">
        <f t="shared" ca="1" si="20"/>
        <v>0</v>
      </c>
      <c r="AH24" s="164">
        <f t="shared" ca="1" si="21"/>
        <v>0</v>
      </c>
      <c r="AI24" s="164">
        <f t="shared" ca="1" si="22"/>
        <v>0</v>
      </c>
      <c r="AJ24" s="164">
        <f t="shared" ca="1" si="23"/>
        <v>0</v>
      </c>
      <c r="AK24" s="164">
        <f t="shared" ca="1" si="24"/>
        <v>0</v>
      </c>
      <c r="AL24" s="164">
        <f t="shared" ca="1" si="25"/>
        <v>0</v>
      </c>
      <c r="AM24" s="208"/>
      <c r="AN24" s="154"/>
      <c r="AO24" s="164">
        <f t="shared" ref="AO24:AX28" ca="1" si="107">IF(NOT($A24=""),IF(AND(NOT(ISBLANK($J24)),SUM(VALUE($B24),$F24)&lt;AO$10,SUM(VALUE($B24),$F24,$J24)&gt;=AO$10,EXACT($K24,"")),
MAX(1,ROUND(HLOOKUP(IF(DT24&lt;65,"A+",IF(DT24&gt;72,"H",CHAR(DT24))),SKT,AO$10+3,FALSE)*IF(VT_EIDGED,IF($C24="Dru",1/3,0.5),1)*IF(VT_GUTGED,IF($C24="Dru",2/3,0.75),1),0)),0),0)
*IF(ISERR(FIND(";"&amp;AO$10&amp;":0;",$H24)),1,0)</f>
        <v>0</v>
      </c>
      <c r="AP24" s="164">
        <f t="shared" ca="1" si="107"/>
        <v>0</v>
      </c>
      <c r="AQ24" s="164">
        <f t="shared" ca="1" si="107"/>
        <v>0</v>
      </c>
      <c r="AR24" s="164">
        <f t="shared" ca="1" si="107"/>
        <v>0</v>
      </c>
      <c r="AS24" s="164">
        <f t="shared" ca="1" si="107"/>
        <v>0</v>
      </c>
      <c r="AT24" s="164">
        <f t="shared" ca="1" si="107"/>
        <v>0</v>
      </c>
      <c r="AU24" s="164">
        <f t="shared" ca="1" si="107"/>
        <v>0</v>
      </c>
      <c r="AV24" s="164">
        <f t="shared" ca="1" si="107"/>
        <v>0</v>
      </c>
      <c r="AW24" s="164">
        <f t="shared" ca="1" si="107"/>
        <v>0</v>
      </c>
      <c r="AX24" s="164">
        <f t="shared" ca="1" si="107"/>
        <v>0</v>
      </c>
      <c r="AY24" s="164">
        <f t="shared" ca="1" si="36"/>
        <v>0</v>
      </c>
      <c r="AZ24" s="164">
        <f t="shared" ca="1" si="37"/>
        <v>0</v>
      </c>
      <c r="BA24" s="164">
        <f t="shared" ca="1" si="38"/>
        <v>0</v>
      </c>
      <c r="BB24" s="164">
        <f t="shared" ca="1" si="39"/>
        <v>0</v>
      </c>
      <c r="BC24" s="164">
        <f t="shared" ca="1" si="40"/>
        <v>0</v>
      </c>
      <c r="BD24" s="164">
        <f t="shared" ca="1" si="41"/>
        <v>0</v>
      </c>
      <c r="BE24" s="164">
        <f t="shared" ca="1" si="42"/>
        <v>0</v>
      </c>
      <c r="BF24" s="164">
        <f t="shared" ca="1" si="43"/>
        <v>0</v>
      </c>
      <c r="BG24" s="164">
        <f t="shared" ca="1" si="44"/>
        <v>0</v>
      </c>
      <c r="BH24" s="164">
        <f t="shared" ca="1" si="45"/>
        <v>0</v>
      </c>
      <c r="BI24" s="164">
        <f t="shared" ca="1" si="46"/>
        <v>0</v>
      </c>
      <c r="BJ24" s="164">
        <f t="shared" ca="1" si="47"/>
        <v>0</v>
      </c>
      <c r="BK24" s="164">
        <f t="shared" ca="1" si="48"/>
        <v>0</v>
      </c>
      <c r="BL24" s="164">
        <f t="shared" ca="1" si="49"/>
        <v>0</v>
      </c>
      <c r="BM24" s="164">
        <f t="shared" ca="1" si="50"/>
        <v>0</v>
      </c>
      <c r="BN24" s="164">
        <f t="shared" ca="1" si="51"/>
        <v>0</v>
      </c>
      <c r="BO24" s="356" t="str">
        <f t="shared" ca="1" si="52"/>
        <v/>
      </c>
      <c r="BP24" s="355" t="str">
        <f t="shared" ca="1" si="53"/>
        <v/>
      </c>
      <c r="BQ24" s="355" t="str">
        <f t="shared" ca="1" si="54"/>
        <v/>
      </c>
      <c r="BR24" s="348">
        <f t="shared" ca="1" si="93"/>
        <v>0</v>
      </c>
      <c r="BS24" s="348">
        <f t="shared" ca="1" si="94"/>
        <v>0</v>
      </c>
      <c r="BT24" s="610">
        <f t="shared" ca="1" si="55"/>
        <v>0</v>
      </c>
      <c r="BU24" s="357">
        <v>1</v>
      </c>
      <c r="BV24" s="357">
        <v>0</v>
      </c>
      <c r="BW24" s="357">
        <f t="shared" ref="BW24:BW29" si="108">SUM(IF(NT_ANIMALMAGIE,IF(NOT(ISNA(VLOOKUP(A24,ZAUBERWERTE,2,FALSE))),IF(SUM(IF(VLOOKUP(A24,ZAUBERWERTE,2,FALSE)="KL",1,0),IF(VLOOKUP(A24,ZAUBERWERTE,3,FALSE)="KL",1,0),IF(VLOOKUP(A24,ZAUBERWERTE,4,FALSE)="KL",1,0))&gt;1,-1,0),0),0),
IF(NT_FESTDENKEN,IF(NOT(ISNA(VLOOKUP(A24,ZAUBERWERTE,2,FALSE))),IF(SUM(IF(VLOOKUP(A24,ZAUBERWERTE,2,FALSE)="IN",1,0),IF(VLOOKUP(A24,ZAUBERWERTE,3,FALSE)="IN",1,0),IF(VLOOKUP(A24,ZAUBERWERTE,4,FALSE)="IN",1,0))&gt;1,-1,0),0),0),
IF(NT_SCHWACHAUS,IF(NOT(ISNA(VLOOKUP(A24,ZAUBERWERTE,2,FALSE))),IF(SUM(IF(VLOOKUP(A24,ZAUBERWERTE,2,FALSE)="CH",1,0),IF(VLOOKUP(A24,ZAUBERWERTE,3,FALSE)="CH",1,0),IF(VLOOKUP(A24,ZAUBERWERTE,4,FALSE)="CH",1,0))&gt;1,-1,0),0),0),
IF(NT_ZOEGZAUBERER,IF(NOT(ISNA(VLOOKUP(A24,ZAUBERWERTE,2,FALSE))),IF(SUM(IF(VLOOKUP(A24,ZAUBERWERTE,2,FALSE)="MU",1,0),IF(VLOOKUP(A24,ZAUBERWERTE,3,FALSE)="MU",1,0),IF(VLOOKUP(A24,ZAUBERWERTE,4,FALSE)="MU",1,0))&gt;1,-1,0),0),0))</f>
        <v>0</v>
      </c>
      <c r="BX24" s="357">
        <f t="shared" ca="1" si="57"/>
        <v>0</v>
      </c>
      <c r="BY24" s="357">
        <f t="shared" ca="1" si="95"/>
        <v>0</v>
      </c>
      <c r="BZ24" s="357"/>
      <c r="CA24" s="357">
        <f t="shared" ca="1" si="96"/>
        <v>0</v>
      </c>
      <c r="CB24" s="357"/>
      <c r="CC24" s="358" t="str">
        <f t="shared" ca="1" si="97"/>
        <v/>
      </c>
      <c r="CD24" s="358" t="str">
        <f t="shared" ca="1" si="98"/>
        <v/>
      </c>
      <c r="CE24" s="357" t="str">
        <f t="shared" ca="1" si="99"/>
        <v>,,,,,,,,,,,,,,</v>
      </c>
      <c r="CF24" s="154"/>
      <c r="CG24" s="154">
        <f t="shared" ca="1" si="100"/>
        <v>0</v>
      </c>
      <c r="CH24" s="268" t="str">
        <f t="shared" ca="1" si="58"/>
        <v/>
      </c>
      <c r="CI24" s="268">
        <f t="shared" ref="CI24:CI29" ca="1" si="109">VALUE(IF(EXACT(RIGHT(CH24),"H"),LEFT(CH24),IF(EXACT(RIGHT(CH24),"B"),0,IF(EXACT(CH24,""),0,CH24))))</f>
        <v>0</v>
      </c>
      <c r="CJ24" s="268" t="str">
        <f t="shared" ca="1" si="59"/>
        <v/>
      </c>
      <c r="CK24" s="268">
        <f t="shared" ca="1" si="60"/>
        <v>0</v>
      </c>
      <c r="CL24" s="268">
        <f t="shared" ref="CL24:CL29" ca="1" si="110">IF(ISERROR(VLOOKUP(A24,ZAUBER_HAUS_NEU,1,FALSE)),0,VLOOKUP(A24,ZAUBER_HAUS_NEU,3,FALSE))</f>
        <v>0</v>
      </c>
      <c r="CM24" s="154">
        <f t="shared" ref="CM24:CM29" ca="1" si="111">CG24+CI24+CK24+CL24</f>
        <v>0</v>
      </c>
      <c r="CN24" s="154"/>
      <c r="CO24" s="169"/>
      <c r="CP24" s="169"/>
      <c r="CQ24" s="169"/>
      <c r="CR24" s="169"/>
      <c r="CS24" s="169"/>
      <c r="CT24" s="169"/>
      <c r="CU24" s="169"/>
      <c r="CV24" s="164" t="str">
        <f t="shared" ca="1" si="104"/>
        <v/>
      </c>
      <c r="CW24" s="164" t="str">
        <f t="shared" ca="1" si="104"/>
        <v/>
      </c>
      <c r="CX24" s="164" t="str">
        <f t="shared" ca="1" si="104"/>
        <v/>
      </c>
      <c r="CY24" s="164" t="str">
        <f t="shared" ca="1" si="104"/>
        <v/>
      </c>
      <c r="CZ24" s="164" t="str">
        <f t="shared" ca="1" si="104"/>
        <v/>
      </c>
      <c r="DA24" s="164" t="str">
        <f t="shared" ca="1" si="104"/>
        <v/>
      </c>
      <c r="DB24" s="164" t="str">
        <f t="shared" ca="1" si="104"/>
        <v/>
      </c>
      <c r="DC24" s="164" t="str">
        <f t="shared" ca="1" si="104"/>
        <v/>
      </c>
      <c r="DD24" s="164" t="str">
        <f t="shared" ca="1" si="104"/>
        <v/>
      </c>
      <c r="DE24" s="164" t="str">
        <f t="shared" ca="1" si="104"/>
        <v/>
      </c>
      <c r="DF24" s="164" t="str">
        <f t="shared" ca="1" si="105"/>
        <v/>
      </c>
      <c r="DG24" s="164" t="str">
        <f t="shared" ca="1" si="105"/>
        <v/>
      </c>
      <c r="DH24" s="164" t="str">
        <f t="shared" ca="1" si="105"/>
        <v/>
      </c>
      <c r="DI24" s="164" t="str">
        <f t="shared" ca="1" si="105"/>
        <v/>
      </c>
      <c r="DJ24" s="164" t="str">
        <f t="shared" ca="1" si="105"/>
        <v/>
      </c>
      <c r="DK24" s="164" t="str">
        <f t="shared" ca="1" si="105"/>
        <v/>
      </c>
      <c r="DL24" s="164" t="str">
        <f t="shared" ca="1" si="105"/>
        <v/>
      </c>
      <c r="DM24" s="164" t="str">
        <f t="shared" ca="1" si="105"/>
        <v/>
      </c>
      <c r="DN24" s="164" t="str">
        <f t="shared" ca="1" si="105"/>
        <v/>
      </c>
      <c r="DO24" s="164" t="str">
        <f t="shared" ca="1" si="105"/>
        <v/>
      </c>
      <c r="DP24" s="164" t="str">
        <f t="shared" ca="1" si="105"/>
        <v/>
      </c>
      <c r="DQ24" s="164" t="str">
        <f t="shared" ca="1" si="105"/>
        <v/>
      </c>
      <c r="DR24" s="208"/>
      <c r="DS24" s="164" t="str">
        <f t="shared" ca="1" si="64"/>
        <v/>
      </c>
      <c r="DT24" s="164" t="str">
        <f t="shared" ca="1" si="65"/>
        <v/>
      </c>
      <c r="DU24" s="164" t="str">
        <f t="shared" ca="1" si="66"/>
        <v/>
      </c>
      <c r="DV24" s="164" t="str">
        <f t="shared" ca="1" si="67"/>
        <v/>
      </c>
      <c r="DW24" s="164" t="str">
        <f t="shared" ca="1" si="68"/>
        <v/>
      </c>
      <c r="DX24" s="164" t="str">
        <f t="shared" ca="1" si="69"/>
        <v/>
      </c>
      <c r="DY24" s="164" t="str">
        <f t="shared" ca="1" si="70"/>
        <v/>
      </c>
      <c r="DZ24" s="164" t="str">
        <f t="shared" ca="1" si="71"/>
        <v/>
      </c>
      <c r="EA24" s="164" t="str">
        <f t="shared" ca="1" si="72"/>
        <v/>
      </c>
      <c r="EB24" s="164" t="str">
        <f t="shared" ca="1" si="73"/>
        <v/>
      </c>
      <c r="EC24" s="164" t="str">
        <f t="shared" ca="1" si="74"/>
        <v/>
      </c>
      <c r="ED24" s="164" t="str">
        <f t="shared" ca="1" si="75"/>
        <v/>
      </c>
      <c r="EE24" s="164" t="str">
        <f t="shared" ca="1" si="76"/>
        <v/>
      </c>
      <c r="EF24" s="164" t="str">
        <f t="shared" ca="1" si="77"/>
        <v/>
      </c>
      <c r="EG24" s="164" t="str">
        <f t="shared" ca="1" si="78"/>
        <v/>
      </c>
      <c r="EH24" s="164" t="str">
        <f t="shared" ca="1" si="79"/>
        <v/>
      </c>
      <c r="EI24" s="164" t="str">
        <f t="shared" ca="1" si="80"/>
        <v/>
      </c>
      <c r="EJ24" s="164" t="str">
        <f t="shared" ca="1" si="81"/>
        <v/>
      </c>
      <c r="EK24" s="164" t="str">
        <f t="shared" ca="1" si="82"/>
        <v/>
      </c>
      <c r="EL24" s="164" t="str">
        <f t="shared" ca="1" si="83"/>
        <v/>
      </c>
      <c r="EM24" s="164" t="str">
        <f t="shared" ca="1" si="84"/>
        <v/>
      </c>
      <c r="EN24" s="164" t="str">
        <f t="shared" ca="1" si="85"/>
        <v/>
      </c>
      <c r="EO24" s="164" t="str">
        <f t="shared" ca="1" si="86"/>
        <v/>
      </c>
      <c r="EP24" s="164" t="str">
        <f t="shared" ca="1" si="87"/>
        <v/>
      </c>
      <c r="EQ24" s="164" t="str">
        <f t="shared" ca="1" si="88"/>
        <v/>
      </c>
      <c r="ER24" s="164" t="str">
        <f t="shared" ca="1" si="89"/>
        <v/>
      </c>
      <c r="ES24" s="164" t="str">
        <f t="shared" ca="1" si="90"/>
        <v/>
      </c>
    </row>
    <row r="25" spans="1:149" outlineLevel="1" x14ac:dyDescent="0.2">
      <c r="A25" s="89" t="str">
        <f t="shared" ca="1" si="103"/>
        <v/>
      </c>
      <c r="B25" s="317" t="str">
        <f ca="1">IF(AND(MAGISCH,NOT(EXACT($A25,""))),CM25,"")</f>
        <v/>
      </c>
      <c r="C25" s="609" t="str">
        <f t="shared" ca="1" si="0"/>
        <v/>
      </c>
      <c r="D25" s="1956" t="str">
        <f t="shared" ca="1" si="1"/>
        <v/>
      </c>
      <c r="E25" s="1956"/>
      <c r="F25" s="960"/>
      <c r="G25" s="485" t="str">
        <f ca="1">IF(EXACT($A25,""),"",IF(VT_VRTLZBR,"F",
IF(BO25&lt;65,"A+",IF(BO25&gt;72,"H",CHAR(BO25)))))</f>
        <v/>
      </c>
      <c r="H25" s="983"/>
      <c r="I25" s="486"/>
      <c r="J25" s="972"/>
      <c r="K25" s="1886" t="str">
        <f ca="1">IF(NOT(EXACT($A25,"")),IF(AND(NOT(ISBLANK($H25)),$H25&lt;VALUE($B25)),CONCATENATE("SE erst ab ZfW ",$B25," möglich"),IF(ISERR(FIND(C25,BP25,1)),"Zauber in dieser Repräsentation nicht bekannt",IF(AND(NOT(ISERR(FIND(A25,ZS_HZALLE,1))),ZS_SE_VIEW),"SE aus Zweitstudium",""))),"") &amp; IF(AND(NOT(EXACT($A25,"")),NOT(ISERR(FIND(A25,ZS_HZ_IAAK,1))),ZS_SE_VIEW),"  SE für IAAK-Studium","")
&amp;IF($M25="","",IF($M25&gt;MAX(INDIRECT(VLOOKUP($A25,ZAUBERWERTE,2,FALSE)),INDIRECT(VLOOKUP($A25,ZAUBERWERTE,3,FALSE)),INDIRECT(VLOOKUP($A25,ZAUBERWERTE,4,FALSE)))+3+BX25*2," TaW&gt; Max.EIGN.-Wert+"&amp;3+BX25*2,""))</f>
        <v/>
      </c>
      <c r="L25" s="1888"/>
      <c r="M25" s="296"/>
      <c r="N25" s="1322"/>
      <c r="O25" s="1319"/>
      <c r="P25" s="957"/>
      <c r="Q25" s="749"/>
      <c r="R25" s="164">
        <f t="shared" ca="1" si="106"/>
        <v>0</v>
      </c>
      <c r="S25" s="164">
        <f t="shared" ca="1" si="106"/>
        <v>0</v>
      </c>
      <c r="T25" s="164">
        <f t="shared" ca="1" si="106"/>
        <v>0</v>
      </c>
      <c r="U25" s="164">
        <f t="shared" ca="1" si="106"/>
        <v>0</v>
      </c>
      <c r="V25" s="164">
        <f t="shared" ca="1" si="106"/>
        <v>0</v>
      </c>
      <c r="W25" s="164">
        <f t="shared" ca="1" si="106"/>
        <v>0</v>
      </c>
      <c r="X25" s="164">
        <f t="shared" ca="1" si="106"/>
        <v>0</v>
      </c>
      <c r="Y25" s="164">
        <f t="shared" ca="1" si="106"/>
        <v>0</v>
      </c>
      <c r="Z25" s="164">
        <f t="shared" ca="1" si="106"/>
        <v>0</v>
      </c>
      <c r="AA25" s="164">
        <f t="shared" ca="1" si="106"/>
        <v>0</v>
      </c>
      <c r="AB25" s="164">
        <f t="shared" ca="1" si="15"/>
        <v>0</v>
      </c>
      <c r="AC25" s="164">
        <f t="shared" ca="1" si="16"/>
        <v>0</v>
      </c>
      <c r="AD25" s="164">
        <f t="shared" ca="1" si="17"/>
        <v>0</v>
      </c>
      <c r="AE25" s="164">
        <f t="shared" ca="1" si="18"/>
        <v>0</v>
      </c>
      <c r="AF25" s="164">
        <f t="shared" ca="1" si="19"/>
        <v>0</v>
      </c>
      <c r="AG25" s="164">
        <f t="shared" ca="1" si="20"/>
        <v>0</v>
      </c>
      <c r="AH25" s="164">
        <f t="shared" ca="1" si="21"/>
        <v>0</v>
      </c>
      <c r="AI25" s="164">
        <f t="shared" ca="1" si="22"/>
        <v>0</v>
      </c>
      <c r="AJ25" s="164">
        <f t="shared" ca="1" si="23"/>
        <v>0</v>
      </c>
      <c r="AK25" s="164">
        <f t="shared" ca="1" si="24"/>
        <v>0</v>
      </c>
      <c r="AL25" s="164">
        <f t="shared" ca="1" si="25"/>
        <v>0</v>
      </c>
      <c r="AM25" s="208"/>
      <c r="AN25" s="154"/>
      <c r="AO25" s="164">
        <f t="shared" ca="1" si="107"/>
        <v>0</v>
      </c>
      <c r="AP25" s="164">
        <f t="shared" ca="1" si="107"/>
        <v>0</v>
      </c>
      <c r="AQ25" s="164">
        <f t="shared" ca="1" si="107"/>
        <v>0</v>
      </c>
      <c r="AR25" s="164">
        <f t="shared" ca="1" si="107"/>
        <v>0</v>
      </c>
      <c r="AS25" s="164">
        <f t="shared" ca="1" si="107"/>
        <v>0</v>
      </c>
      <c r="AT25" s="164">
        <f t="shared" ca="1" si="107"/>
        <v>0</v>
      </c>
      <c r="AU25" s="164">
        <f t="shared" ca="1" si="107"/>
        <v>0</v>
      </c>
      <c r="AV25" s="164">
        <f t="shared" ca="1" si="107"/>
        <v>0</v>
      </c>
      <c r="AW25" s="164">
        <f t="shared" ca="1" si="107"/>
        <v>0</v>
      </c>
      <c r="AX25" s="164">
        <f t="shared" ca="1" si="107"/>
        <v>0</v>
      </c>
      <c r="AY25" s="164">
        <f t="shared" ca="1" si="36"/>
        <v>0</v>
      </c>
      <c r="AZ25" s="164">
        <f t="shared" ca="1" si="37"/>
        <v>0</v>
      </c>
      <c r="BA25" s="164">
        <f t="shared" ca="1" si="38"/>
        <v>0</v>
      </c>
      <c r="BB25" s="164">
        <f t="shared" ca="1" si="39"/>
        <v>0</v>
      </c>
      <c r="BC25" s="164">
        <f t="shared" ca="1" si="40"/>
        <v>0</v>
      </c>
      <c r="BD25" s="164">
        <f t="shared" ca="1" si="41"/>
        <v>0</v>
      </c>
      <c r="BE25" s="164">
        <f t="shared" ca="1" si="42"/>
        <v>0</v>
      </c>
      <c r="BF25" s="164">
        <f t="shared" ca="1" si="43"/>
        <v>0</v>
      </c>
      <c r="BG25" s="164">
        <f t="shared" ca="1" si="44"/>
        <v>0</v>
      </c>
      <c r="BH25" s="164">
        <f t="shared" ca="1" si="45"/>
        <v>0</v>
      </c>
      <c r="BI25" s="164">
        <f t="shared" ca="1" si="46"/>
        <v>0</v>
      </c>
      <c r="BJ25" s="164">
        <f t="shared" ca="1" si="47"/>
        <v>0</v>
      </c>
      <c r="BK25" s="164">
        <f t="shared" ca="1" si="48"/>
        <v>0</v>
      </c>
      <c r="BL25" s="164">
        <f t="shared" ca="1" si="49"/>
        <v>0</v>
      </c>
      <c r="BM25" s="164">
        <f t="shared" ca="1" si="50"/>
        <v>0</v>
      </c>
      <c r="BN25" s="164">
        <f t="shared" ca="1" si="51"/>
        <v>0</v>
      </c>
      <c r="BO25" s="356" t="str">
        <f t="shared" ca="1" si="52"/>
        <v/>
      </c>
      <c r="BP25" s="355" t="str">
        <f t="shared" ca="1" si="53"/>
        <v/>
      </c>
      <c r="BQ25" s="355" t="str">
        <f t="shared" ca="1" si="54"/>
        <v/>
      </c>
      <c r="BR25" s="348">
        <f t="shared" ca="1" si="93"/>
        <v>0</v>
      </c>
      <c r="BS25" s="348">
        <f t="shared" ca="1" si="94"/>
        <v>0</v>
      </c>
      <c r="BT25" s="610">
        <f t="shared" ca="1" si="55"/>
        <v>0</v>
      </c>
      <c r="BU25" s="357">
        <v>1</v>
      </c>
      <c r="BV25" s="357">
        <v>0</v>
      </c>
      <c r="BW25" s="357">
        <f t="shared" si="108"/>
        <v>0</v>
      </c>
      <c r="BX25" s="357">
        <f t="shared" ca="1" si="57"/>
        <v>0</v>
      </c>
      <c r="BY25" s="357">
        <f t="shared" ca="1" si="95"/>
        <v>0</v>
      </c>
      <c r="BZ25" s="357"/>
      <c r="CA25" s="357">
        <f t="shared" ca="1" si="96"/>
        <v>0</v>
      </c>
      <c r="CB25" s="357"/>
      <c r="CC25" s="358" t="str">
        <f t="shared" ca="1" si="97"/>
        <v/>
      </c>
      <c r="CD25" s="358" t="str">
        <f t="shared" ca="1" si="98"/>
        <v/>
      </c>
      <c r="CE25" s="357" t="str">
        <f t="shared" ca="1" si="99"/>
        <v>,,,,,,,,,,,,,,,</v>
      </c>
      <c r="CF25" s="154"/>
      <c r="CG25" s="154">
        <f t="shared" ca="1" si="100"/>
        <v>0</v>
      </c>
      <c r="CH25" s="268" t="str">
        <f t="shared" ca="1" si="58"/>
        <v/>
      </c>
      <c r="CI25" s="268">
        <f t="shared" ca="1" si="109"/>
        <v>0</v>
      </c>
      <c r="CJ25" s="268" t="str">
        <f t="shared" ca="1" si="59"/>
        <v/>
      </c>
      <c r="CK25" s="268">
        <f t="shared" ca="1" si="60"/>
        <v>0</v>
      </c>
      <c r="CL25" s="268">
        <f t="shared" ca="1" si="110"/>
        <v>0</v>
      </c>
      <c r="CM25" s="154">
        <f t="shared" ca="1" si="111"/>
        <v>0</v>
      </c>
      <c r="CN25" s="154"/>
      <c r="CO25" s="169"/>
      <c r="CP25" s="169"/>
      <c r="CQ25" s="169"/>
      <c r="CR25" s="169"/>
      <c r="CS25" s="169"/>
      <c r="CT25" s="169"/>
      <c r="CU25" s="169"/>
      <c r="CV25" s="164" t="str">
        <f t="shared" ca="1" si="104"/>
        <v/>
      </c>
      <c r="CW25" s="164" t="str">
        <f t="shared" ca="1" si="104"/>
        <v/>
      </c>
      <c r="CX25" s="164" t="str">
        <f t="shared" ca="1" si="104"/>
        <v/>
      </c>
      <c r="CY25" s="164" t="str">
        <f t="shared" ca="1" si="104"/>
        <v/>
      </c>
      <c r="CZ25" s="164" t="str">
        <f t="shared" ca="1" si="104"/>
        <v/>
      </c>
      <c r="DA25" s="164" t="str">
        <f t="shared" ca="1" si="104"/>
        <v/>
      </c>
      <c r="DB25" s="164" t="str">
        <f t="shared" ca="1" si="104"/>
        <v/>
      </c>
      <c r="DC25" s="164" t="str">
        <f t="shared" ca="1" si="104"/>
        <v/>
      </c>
      <c r="DD25" s="164" t="str">
        <f t="shared" ca="1" si="104"/>
        <v/>
      </c>
      <c r="DE25" s="164" t="str">
        <f t="shared" ca="1" si="104"/>
        <v/>
      </c>
      <c r="DF25" s="164" t="str">
        <f t="shared" ca="1" si="105"/>
        <v/>
      </c>
      <c r="DG25" s="164" t="str">
        <f t="shared" ca="1" si="105"/>
        <v/>
      </c>
      <c r="DH25" s="164" t="str">
        <f t="shared" ca="1" si="105"/>
        <v/>
      </c>
      <c r="DI25" s="164" t="str">
        <f t="shared" ca="1" si="105"/>
        <v/>
      </c>
      <c r="DJ25" s="164" t="str">
        <f t="shared" ca="1" si="105"/>
        <v/>
      </c>
      <c r="DK25" s="164" t="str">
        <f t="shared" ca="1" si="105"/>
        <v/>
      </c>
      <c r="DL25" s="164" t="str">
        <f t="shared" ca="1" si="105"/>
        <v/>
      </c>
      <c r="DM25" s="164" t="str">
        <f t="shared" ca="1" si="105"/>
        <v/>
      </c>
      <c r="DN25" s="164" t="str">
        <f t="shared" ca="1" si="105"/>
        <v/>
      </c>
      <c r="DO25" s="164" t="str">
        <f t="shared" ca="1" si="105"/>
        <v/>
      </c>
      <c r="DP25" s="164" t="str">
        <f t="shared" ca="1" si="105"/>
        <v/>
      </c>
      <c r="DQ25" s="164" t="str">
        <f t="shared" ca="1" si="105"/>
        <v/>
      </c>
      <c r="DR25" s="208"/>
      <c r="DS25" s="164" t="str">
        <f t="shared" ca="1" si="64"/>
        <v/>
      </c>
      <c r="DT25" s="164" t="str">
        <f t="shared" ca="1" si="65"/>
        <v/>
      </c>
      <c r="DU25" s="164" t="str">
        <f t="shared" ca="1" si="66"/>
        <v/>
      </c>
      <c r="DV25" s="164" t="str">
        <f t="shared" ca="1" si="67"/>
        <v/>
      </c>
      <c r="DW25" s="164" t="str">
        <f t="shared" ca="1" si="68"/>
        <v/>
      </c>
      <c r="DX25" s="164" t="str">
        <f t="shared" ca="1" si="69"/>
        <v/>
      </c>
      <c r="DY25" s="164" t="str">
        <f t="shared" ca="1" si="70"/>
        <v/>
      </c>
      <c r="DZ25" s="164" t="str">
        <f t="shared" ca="1" si="71"/>
        <v/>
      </c>
      <c r="EA25" s="164" t="str">
        <f t="shared" ca="1" si="72"/>
        <v/>
      </c>
      <c r="EB25" s="164" t="str">
        <f t="shared" ca="1" si="73"/>
        <v/>
      </c>
      <c r="EC25" s="164" t="str">
        <f t="shared" ca="1" si="74"/>
        <v/>
      </c>
      <c r="ED25" s="164" t="str">
        <f t="shared" ca="1" si="75"/>
        <v/>
      </c>
      <c r="EE25" s="164" t="str">
        <f t="shared" ca="1" si="76"/>
        <v/>
      </c>
      <c r="EF25" s="164" t="str">
        <f t="shared" ca="1" si="77"/>
        <v/>
      </c>
      <c r="EG25" s="164" t="str">
        <f t="shared" ca="1" si="78"/>
        <v/>
      </c>
      <c r="EH25" s="164" t="str">
        <f t="shared" ca="1" si="79"/>
        <v/>
      </c>
      <c r="EI25" s="164" t="str">
        <f t="shared" ca="1" si="80"/>
        <v/>
      </c>
      <c r="EJ25" s="164" t="str">
        <f t="shared" ca="1" si="81"/>
        <v/>
      </c>
      <c r="EK25" s="164" t="str">
        <f t="shared" ca="1" si="82"/>
        <v/>
      </c>
      <c r="EL25" s="164" t="str">
        <f t="shared" ca="1" si="83"/>
        <v/>
      </c>
      <c r="EM25" s="164" t="str">
        <f t="shared" ca="1" si="84"/>
        <v/>
      </c>
      <c r="EN25" s="164" t="str">
        <f t="shared" ca="1" si="85"/>
        <v/>
      </c>
      <c r="EO25" s="164" t="str">
        <f t="shared" ca="1" si="86"/>
        <v/>
      </c>
      <c r="EP25" s="164" t="str">
        <f t="shared" ca="1" si="87"/>
        <v/>
      </c>
      <c r="EQ25" s="164" t="str">
        <f t="shared" ca="1" si="88"/>
        <v/>
      </c>
      <c r="ER25" s="164" t="str">
        <f t="shared" ca="1" si="89"/>
        <v/>
      </c>
      <c r="ES25" s="164" t="str">
        <f t="shared" ca="1" si="90"/>
        <v/>
      </c>
    </row>
    <row r="26" spans="1:149" outlineLevel="1" x14ac:dyDescent="0.2">
      <c r="A26" s="89" t="str">
        <f t="shared" ca="1" si="103"/>
        <v/>
      </c>
      <c r="B26" s="317" t="str">
        <f ca="1">IF(AND(MAGISCH,NOT(EXACT($A26,""))),CM26,"")</f>
        <v/>
      </c>
      <c r="C26" s="609" t="str">
        <f t="shared" ca="1" si="0"/>
        <v/>
      </c>
      <c r="D26" s="1956" t="str">
        <f t="shared" ca="1" si="1"/>
        <v/>
      </c>
      <c r="E26" s="1956"/>
      <c r="F26" s="960"/>
      <c r="G26" s="485" t="str">
        <f ca="1">IF(EXACT($A26,""),"",IF(VT_VRTLZBR,"F",
IF(BO26&lt;65,"A+",IF(BO26&gt;72,"H",CHAR(BO26)))))</f>
        <v/>
      </c>
      <c r="H26" s="983"/>
      <c r="I26" s="486"/>
      <c r="J26" s="972"/>
      <c r="K26" s="1886" t="str">
        <f ca="1">IF(NOT(EXACT($A26,"")),IF(AND(NOT(ISBLANK($H26)),$H26&lt;VALUE($B26)),CONCATENATE("SE erst ab ZfW ",$B26," möglich"),IF(ISERR(FIND(C26,BP26,1)),"Zauber in dieser Repräsentation nicht bekannt",IF(AND(NOT(ISERR(FIND(A26,ZS_HZALLE,1))),ZS_SE_VIEW),"SE aus Zweitstudium",""))),"") &amp; IF(AND(NOT(EXACT($A26,"")),NOT(ISERR(FIND(A26,ZS_HZ_IAAK,1))),ZS_SE_VIEW),"  SE für IAAK-Studium","")
&amp;IF($M26="","",IF($M26&gt;MAX(INDIRECT(VLOOKUP($A26,ZAUBERWERTE,2,FALSE)),INDIRECT(VLOOKUP($A26,ZAUBERWERTE,3,FALSE)),INDIRECT(VLOOKUP($A26,ZAUBERWERTE,4,FALSE)))+3+BX26*2," TaW&gt; Max.EIGN.-Wert+"&amp;3+BX26*2,""))</f>
        <v/>
      </c>
      <c r="L26" s="1888"/>
      <c r="M26" s="296"/>
      <c r="N26" s="1322"/>
      <c r="O26" s="1319"/>
      <c r="P26" s="957"/>
      <c r="Q26" s="749"/>
      <c r="R26" s="164">
        <f t="shared" ca="1" si="106"/>
        <v>0</v>
      </c>
      <c r="S26" s="164">
        <f t="shared" ca="1" si="106"/>
        <v>0</v>
      </c>
      <c r="T26" s="164">
        <f t="shared" ca="1" si="106"/>
        <v>0</v>
      </c>
      <c r="U26" s="164">
        <f t="shared" ca="1" si="106"/>
        <v>0</v>
      </c>
      <c r="V26" s="164">
        <f t="shared" ca="1" si="106"/>
        <v>0</v>
      </c>
      <c r="W26" s="164">
        <f t="shared" ca="1" si="106"/>
        <v>0</v>
      </c>
      <c r="X26" s="164">
        <f t="shared" ca="1" si="106"/>
        <v>0</v>
      </c>
      <c r="Y26" s="164">
        <f t="shared" ca="1" si="106"/>
        <v>0</v>
      </c>
      <c r="Z26" s="164">
        <f t="shared" ca="1" si="106"/>
        <v>0</v>
      </c>
      <c r="AA26" s="164">
        <f t="shared" ca="1" si="106"/>
        <v>0</v>
      </c>
      <c r="AB26" s="164">
        <f t="shared" ca="1" si="15"/>
        <v>0</v>
      </c>
      <c r="AC26" s="164">
        <f t="shared" ca="1" si="16"/>
        <v>0</v>
      </c>
      <c r="AD26" s="164">
        <f t="shared" ca="1" si="17"/>
        <v>0</v>
      </c>
      <c r="AE26" s="164">
        <f t="shared" ca="1" si="18"/>
        <v>0</v>
      </c>
      <c r="AF26" s="164">
        <f t="shared" ca="1" si="19"/>
        <v>0</v>
      </c>
      <c r="AG26" s="164">
        <f t="shared" ca="1" si="20"/>
        <v>0</v>
      </c>
      <c r="AH26" s="164">
        <f t="shared" ca="1" si="21"/>
        <v>0</v>
      </c>
      <c r="AI26" s="164">
        <f t="shared" ca="1" si="22"/>
        <v>0</v>
      </c>
      <c r="AJ26" s="164">
        <f t="shared" ca="1" si="23"/>
        <v>0</v>
      </c>
      <c r="AK26" s="164">
        <f t="shared" ca="1" si="24"/>
        <v>0</v>
      </c>
      <c r="AL26" s="164">
        <f t="shared" ca="1" si="25"/>
        <v>0</v>
      </c>
      <c r="AM26" s="208"/>
      <c r="AN26" s="154"/>
      <c r="AO26" s="164">
        <f t="shared" ca="1" si="107"/>
        <v>0</v>
      </c>
      <c r="AP26" s="164">
        <f t="shared" ca="1" si="107"/>
        <v>0</v>
      </c>
      <c r="AQ26" s="164">
        <f t="shared" ca="1" si="107"/>
        <v>0</v>
      </c>
      <c r="AR26" s="164">
        <f t="shared" ca="1" si="107"/>
        <v>0</v>
      </c>
      <c r="AS26" s="164">
        <f t="shared" ca="1" si="107"/>
        <v>0</v>
      </c>
      <c r="AT26" s="164">
        <f t="shared" ca="1" si="107"/>
        <v>0</v>
      </c>
      <c r="AU26" s="164">
        <f t="shared" ca="1" si="107"/>
        <v>0</v>
      </c>
      <c r="AV26" s="164">
        <f t="shared" ca="1" si="107"/>
        <v>0</v>
      </c>
      <c r="AW26" s="164">
        <f t="shared" ca="1" si="107"/>
        <v>0</v>
      </c>
      <c r="AX26" s="164">
        <f t="shared" ca="1" si="107"/>
        <v>0</v>
      </c>
      <c r="AY26" s="164">
        <f t="shared" ca="1" si="36"/>
        <v>0</v>
      </c>
      <c r="AZ26" s="164">
        <f t="shared" ca="1" si="37"/>
        <v>0</v>
      </c>
      <c r="BA26" s="164">
        <f t="shared" ca="1" si="38"/>
        <v>0</v>
      </c>
      <c r="BB26" s="164">
        <f t="shared" ca="1" si="39"/>
        <v>0</v>
      </c>
      <c r="BC26" s="164">
        <f t="shared" ca="1" si="40"/>
        <v>0</v>
      </c>
      <c r="BD26" s="164">
        <f t="shared" ca="1" si="41"/>
        <v>0</v>
      </c>
      <c r="BE26" s="164">
        <f t="shared" ca="1" si="42"/>
        <v>0</v>
      </c>
      <c r="BF26" s="164">
        <f t="shared" ca="1" si="43"/>
        <v>0</v>
      </c>
      <c r="BG26" s="164">
        <f t="shared" ca="1" si="44"/>
        <v>0</v>
      </c>
      <c r="BH26" s="164">
        <f t="shared" ca="1" si="45"/>
        <v>0</v>
      </c>
      <c r="BI26" s="164">
        <f t="shared" ca="1" si="46"/>
        <v>0</v>
      </c>
      <c r="BJ26" s="164">
        <f t="shared" ca="1" si="47"/>
        <v>0</v>
      </c>
      <c r="BK26" s="164">
        <f t="shared" ca="1" si="48"/>
        <v>0</v>
      </c>
      <c r="BL26" s="164">
        <f t="shared" ca="1" si="49"/>
        <v>0</v>
      </c>
      <c r="BM26" s="164">
        <f t="shared" ca="1" si="50"/>
        <v>0</v>
      </c>
      <c r="BN26" s="164">
        <f t="shared" ca="1" si="51"/>
        <v>0</v>
      </c>
      <c r="BO26" s="356" t="str">
        <f t="shared" ca="1" si="52"/>
        <v/>
      </c>
      <c r="BP26" s="355" t="str">
        <f t="shared" ca="1" si="53"/>
        <v/>
      </c>
      <c r="BQ26" s="355" t="str">
        <f t="shared" ca="1" si="54"/>
        <v/>
      </c>
      <c r="BR26" s="348">
        <f t="shared" ca="1" si="93"/>
        <v>0</v>
      </c>
      <c r="BS26" s="348">
        <f t="shared" ca="1" si="94"/>
        <v>0</v>
      </c>
      <c r="BT26" s="610">
        <f t="shared" ca="1" si="55"/>
        <v>0</v>
      </c>
      <c r="BU26" s="357">
        <v>1</v>
      </c>
      <c r="BV26" s="357">
        <v>0</v>
      </c>
      <c r="BW26" s="357">
        <f t="shared" si="108"/>
        <v>0</v>
      </c>
      <c r="BX26" s="357">
        <f t="shared" ca="1" si="57"/>
        <v>0</v>
      </c>
      <c r="BY26" s="357">
        <f t="shared" ca="1" si="95"/>
        <v>0</v>
      </c>
      <c r="BZ26" s="357"/>
      <c r="CA26" s="357">
        <f t="shared" ca="1" si="96"/>
        <v>0</v>
      </c>
      <c r="CB26" s="357"/>
      <c r="CC26" s="358" t="str">
        <f t="shared" ca="1" si="97"/>
        <v/>
      </c>
      <c r="CD26" s="358" t="str">
        <f t="shared" ca="1" si="98"/>
        <v/>
      </c>
      <c r="CE26" s="357" t="str">
        <f t="shared" ca="1" si="99"/>
        <v>,,,,,,,,,,,,,,,,</v>
      </c>
      <c r="CF26" s="154"/>
      <c r="CG26" s="154">
        <f t="shared" ca="1" si="100"/>
        <v>0</v>
      </c>
      <c r="CH26" s="268" t="str">
        <f t="shared" ca="1" si="58"/>
        <v/>
      </c>
      <c r="CI26" s="268">
        <f t="shared" ca="1" si="109"/>
        <v>0</v>
      </c>
      <c r="CJ26" s="268" t="str">
        <f t="shared" ca="1" si="59"/>
        <v/>
      </c>
      <c r="CK26" s="268">
        <f t="shared" ca="1" si="60"/>
        <v>0</v>
      </c>
      <c r="CL26" s="268">
        <f t="shared" ca="1" si="110"/>
        <v>0</v>
      </c>
      <c r="CM26" s="154">
        <f t="shared" ca="1" si="111"/>
        <v>0</v>
      </c>
      <c r="CN26" s="154"/>
      <c r="CO26" s="169"/>
      <c r="CP26" s="169"/>
      <c r="CQ26" s="169"/>
      <c r="CR26" s="169"/>
      <c r="CS26" s="169"/>
      <c r="CT26" s="169"/>
      <c r="CU26" s="169"/>
      <c r="CV26" s="164" t="str">
        <f t="shared" ca="1" si="104"/>
        <v/>
      </c>
      <c r="CW26" s="164" t="str">
        <f t="shared" ca="1" si="104"/>
        <v/>
      </c>
      <c r="CX26" s="164" t="str">
        <f t="shared" ca="1" si="104"/>
        <v/>
      </c>
      <c r="CY26" s="164" t="str">
        <f t="shared" ca="1" si="104"/>
        <v/>
      </c>
      <c r="CZ26" s="164" t="str">
        <f t="shared" ca="1" si="104"/>
        <v/>
      </c>
      <c r="DA26" s="164" t="str">
        <f t="shared" ca="1" si="104"/>
        <v/>
      </c>
      <c r="DB26" s="164" t="str">
        <f t="shared" ca="1" si="104"/>
        <v/>
      </c>
      <c r="DC26" s="164" t="str">
        <f t="shared" ca="1" si="104"/>
        <v/>
      </c>
      <c r="DD26" s="164" t="str">
        <f t="shared" ca="1" si="104"/>
        <v/>
      </c>
      <c r="DE26" s="164" t="str">
        <f t="shared" ca="1" si="104"/>
        <v/>
      </c>
      <c r="DF26" s="164" t="str">
        <f t="shared" ca="1" si="105"/>
        <v/>
      </c>
      <c r="DG26" s="164" t="str">
        <f t="shared" ca="1" si="105"/>
        <v/>
      </c>
      <c r="DH26" s="164" t="str">
        <f t="shared" ca="1" si="105"/>
        <v/>
      </c>
      <c r="DI26" s="164" t="str">
        <f t="shared" ca="1" si="105"/>
        <v/>
      </c>
      <c r="DJ26" s="164" t="str">
        <f t="shared" ca="1" si="105"/>
        <v/>
      </c>
      <c r="DK26" s="164" t="str">
        <f t="shared" ca="1" si="105"/>
        <v/>
      </c>
      <c r="DL26" s="164" t="str">
        <f t="shared" ca="1" si="105"/>
        <v/>
      </c>
      <c r="DM26" s="164" t="str">
        <f t="shared" ca="1" si="105"/>
        <v/>
      </c>
      <c r="DN26" s="164" t="str">
        <f t="shared" ca="1" si="105"/>
        <v/>
      </c>
      <c r="DO26" s="164" t="str">
        <f t="shared" ca="1" si="105"/>
        <v/>
      </c>
      <c r="DP26" s="164" t="str">
        <f t="shared" ca="1" si="105"/>
        <v/>
      </c>
      <c r="DQ26" s="164" t="str">
        <f t="shared" ca="1" si="105"/>
        <v/>
      </c>
      <c r="DR26" s="208"/>
      <c r="DS26" s="164" t="str">
        <f t="shared" ca="1" si="64"/>
        <v/>
      </c>
      <c r="DT26" s="164" t="str">
        <f t="shared" ca="1" si="65"/>
        <v/>
      </c>
      <c r="DU26" s="164" t="str">
        <f t="shared" ca="1" si="66"/>
        <v/>
      </c>
      <c r="DV26" s="164" t="str">
        <f t="shared" ca="1" si="67"/>
        <v/>
      </c>
      <c r="DW26" s="164" t="str">
        <f t="shared" ca="1" si="68"/>
        <v/>
      </c>
      <c r="DX26" s="164" t="str">
        <f t="shared" ca="1" si="69"/>
        <v/>
      </c>
      <c r="DY26" s="164" t="str">
        <f t="shared" ca="1" si="70"/>
        <v/>
      </c>
      <c r="DZ26" s="164" t="str">
        <f t="shared" ca="1" si="71"/>
        <v/>
      </c>
      <c r="EA26" s="164" t="str">
        <f t="shared" ca="1" si="72"/>
        <v/>
      </c>
      <c r="EB26" s="164" t="str">
        <f t="shared" ca="1" si="73"/>
        <v/>
      </c>
      <c r="EC26" s="164" t="str">
        <f t="shared" ca="1" si="74"/>
        <v/>
      </c>
      <c r="ED26" s="164" t="str">
        <f t="shared" ca="1" si="75"/>
        <v/>
      </c>
      <c r="EE26" s="164" t="str">
        <f t="shared" ca="1" si="76"/>
        <v/>
      </c>
      <c r="EF26" s="164" t="str">
        <f t="shared" ca="1" si="77"/>
        <v/>
      </c>
      <c r="EG26" s="164" t="str">
        <f t="shared" ca="1" si="78"/>
        <v/>
      </c>
      <c r="EH26" s="164" t="str">
        <f t="shared" ca="1" si="79"/>
        <v/>
      </c>
      <c r="EI26" s="164" t="str">
        <f t="shared" ca="1" si="80"/>
        <v/>
      </c>
      <c r="EJ26" s="164" t="str">
        <f t="shared" ca="1" si="81"/>
        <v/>
      </c>
      <c r="EK26" s="164" t="str">
        <f t="shared" ca="1" si="82"/>
        <v/>
      </c>
      <c r="EL26" s="164" t="str">
        <f t="shared" ca="1" si="83"/>
        <v/>
      </c>
      <c r="EM26" s="164" t="str">
        <f t="shared" ca="1" si="84"/>
        <v/>
      </c>
      <c r="EN26" s="164" t="str">
        <f t="shared" ca="1" si="85"/>
        <v/>
      </c>
      <c r="EO26" s="164" t="str">
        <f t="shared" ca="1" si="86"/>
        <v/>
      </c>
      <c r="EP26" s="164" t="str">
        <f t="shared" ca="1" si="87"/>
        <v/>
      </c>
      <c r="EQ26" s="164" t="str">
        <f t="shared" ca="1" si="88"/>
        <v/>
      </c>
      <c r="ER26" s="164" t="str">
        <f t="shared" ca="1" si="89"/>
        <v/>
      </c>
      <c r="ES26" s="164" t="str">
        <f t="shared" ca="1" si="90"/>
        <v/>
      </c>
    </row>
    <row r="27" spans="1:149" outlineLevel="1" x14ac:dyDescent="0.2">
      <c r="A27" s="89" t="str">
        <f t="shared" ca="1" si="103"/>
        <v/>
      </c>
      <c r="B27" s="317" t="str">
        <f ca="1">IF(AND(MAGISCH,NOT(EXACT($A27,""))),CM27,"")</f>
        <v/>
      </c>
      <c r="C27" s="609" t="str">
        <f t="shared" ca="1" si="0"/>
        <v/>
      </c>
      <c r="D27" s="1956" t="str">
        <f t="shared" ca="1" si="1"/>
        <v/>
      </c>
      <c r="E27" s="1956"/>
      <c r="F27" s="960"/>
      <c r="G27" s="485" t="str">
        <f ca="1">IF(EXACT($A27,""),"",IF(VT_VRTLZBR,"F",
IF(BO27&lt;65,"A+",IF(BO27&gt;72,"H",CHAR(BO27)))))</f>
        <v/>
      </c>
      <c r="H27" s="983"/>
      <c r="I27" s="486"/>
      <c r="J27" s="972"/>
      <c r="K27" s="1886" t="str">
        <f ca="1">IF(NOT(EXACT($A27,"")),IF(AND(NOT(ISBLANK($H27)),$H27&lt;VALUE($B27)),CONCATENATE("SE erst ab ZfW ",$B27," möglich"),IF(ISERR(FIND(C27,BP27,1)),"Zauber in dieser Repräsentation nicht bekannt",IF(AND(NOT(ISERR(FIND(A27,ZS_HZALLE,1))),ZS_SE_VIEW),"SE aus Zweitstudium",""))),"") &amp; IF(AND(NOT(EXACT($A27,"")),NOT(ISERR(FIND(A27,ZS_HZ_IAAK,1))),ZS_SE_VIEW),"  SE für IAAK-Studium","")
&amp;IF($M27="","",IF($M27&gt;MAX(INDIRECT(VLOOKUP($A27,ZAUBERWERTE,2,FALSE)),INDIRECT(VLOOKUP($A27,ZAUBERWERTE,3,FALSE)),INDIRECT(VLOOKUP($A27,ZAUBERWERTE,4,FALSE)))+3+BX27*2," TaW&gt; Max.EIGN.-Wert+"&amp;3+BX27*2,""))</f>
        <v/>
      </c>
      <c r="L27" s="1888"/>
      <c r="M27" s="296"/>
      <c r="N27" s="1322"/>
      <c r="O27" s="1319"/>
      <c r="P27" s="957"/>
      <c r="Q27" s="749"/>
      <c r="R27" s="164">
        <f t="shared" ca="1" si="106"/>
        <v>0</v>
      </c>
      <c r="S27" s="164">
        <f t="shared" ca="1" si="106"/>
        <v>0</v>
      </c>
      <c r="T27" s="164">
        <f t="shared" ca="1" si="106"/>
        <v>0</v>
      </c>
      <c r="U27" s="164">
        <f t="shared" ca="1" si="106"/>
        <v>0</v>
      </c>
      <c r="V27" s="164">
        <f t="shared" ca="1" si="106"/>
        <v>0</v>
      </c>
      <c r="W27" s="164">
        <f t="shared" ca="1" si="106"/>
        <v>0</v>
      </c>
      <c r="X27" s="164">
        <f t="shared" ca="1" si="106"/>
        <v>0</v>
      </c>
      <c r="Y27" s="164">
        <f t="shared" ca="1" si="106"/>
        <v>0</v>
      </c>
      <c r="Z27" s="164">
        <f t="shared" ca="1" si="106"/>
        <v>0</v>
      </c>
      <c r="AA27" s="164">
        <f t="shared" ca="1" si="106"/>
        <v>0</v>
      </c>
      <c r="AB27" s="164">
        <f t="shared" ca="1" si="15"/>
        <v>0</v>
      </c>
      <c r="AC27" s="164">
        <f t="shared" ca="1" si="16"/>
        <v>0</v>
      </c>
      <c r="AD27" s="164">
        <f t="shared" ca="1" si="17"/>
        <v>0</v>
      </c>
      <c r="AE27" s="164">
        <f t="shared" ca="1" si="18"/>
        <v>0</v>
      </c>
      <c r="AF27" s="164">
        <f t="shared" ca="1" si="19"/>
        <v>0</v>
      </c>
      <c r="AG27" s="164">
        <f t="shared" ca="1" si="20"/>
        <v>0</v>
      </c>
      <c r="AH27" s="164">
        <f t="shared" ca="1" si="21"/>
        <v>0</v>
      </c>
      <c r="AI27" s="164">
        <f t="shared" ca="1" si="22"/>
        <v>0</v>
      </c>
      <c r="AJ27" s="164">
        <f t="shared" ca="1" si="23"/>
        <v>0</v>
      </c>
      <c r="AK27" s="164">
        <f t="shared" ca="1" si="24"/>
        <v>0</v>
      </c>
      <c r="AL27" s="164">
        <f t="shared" ca="1" si="25"/>
        <v>0</v>
      </c>
      <c r="AM27" s="208"/>
      <c r="AN27" s="154"/>
      <c r="AO27" s="164">
        <f t="shared" ca="1" si="107"/>
        <v>0</v>
      </c>
      <c r="AP27" s="164">
        <f t="shared" ca="1" si="107"/>
        <v>0</v>
      </c>
      <c r="AQ27" s="164">
        <f t="shared" ca="1" si="107"/>
        <v>0</v>
      </c>
      <c r="AR27" s="164">
        <f t="shared" ca="1" si="107"/>
        <v>0</v>
      </c>
      <c r="AS27" s="164">
        <f t="shared" ca="1" si="107"/>
        <v>0</v>
      </c>
      <c r="AT27" s="164">
        <f t="shared" ca="1" si="107"/>
        <v>0</v>
      </c>
      <c r="AU27" s="164">
        <f t="shared" ca="1" si="107"/>
        <v>0</v>
      </c>
      <c r="AV27" s="164">
        <f t="shared" ca="1" si="107"/>
        <v>0</v>
      </c>
      <c r="AW27" s="164">
        <f t="shared" ca="1" si="107"/>
        <v>0</v>
      </c>
      <c r="AX27" s="164">
        <f t="shared" ca="1" si="107"/>
        <v>0</v>
      </c>
      <c r="AY27" s="164">
        <f t="shared" ca="1" si="36"/>
        <v>0</v>
      </c>
      <c r="AZ27" s="164">
        <f t="shared" ca="1" si="37"/>
        <v>0</v>
      </c>
      <c r="BA27" s="164">
        <f t="shared" ca="1" si="38"/>
        <v>0</v>
      </c>
      <c r="BB27" s="164">
        <f t="shared" ca="1" si="39"/>
        <v>0</v>
      </c>
      <c r="BC27" s="164">
        <f t="shared" ca="1" si="40"/>
        <v>0</v>
      </c>
      <c r="BD27" s="164">
        <f t="shared" ca="1" si="41"/>
        <v>0</v>
      </c>
      <c r="BE27" s="164">
        <f t="shared" ca="1" si="42"/>
        <v>0</v>
      </c>
      <c r="BF27" s="164">
        <f t="shared" ca="1" si="43"/>
        <v>0</v>
      </c>
      <c r="BG27" s="164">
        <f t="shared" ca="1" si="44"/>
        <v>0</v>
      </c>
      <c r="BH27" s="164">
        <f t="shared" ca="1" si="45"/>
        <v>0</v>
      </c>
      <c r="BI27" s="164">
        <f t="shared" ca="1" si="46"/>
        <v>0</v>
      </c>
      <c r="BJ27" s="164">
        <f t="shared" ca="1" si="47"/>
        <v>0</v>
      </c>
      <c r="BK27" s="164">
        <f t="shared" ca="1" si="48"/>
        <v>0</v>
      </c>
      <c r="BL27" s="164">
        <f t="shared" ca="1" si="49"/>
        <v>0</v>
      </c>
      <c r="BM27" s="164">
        <f t="shared" ca="1" si="50"/>
        <v>0</v>
      </c>
      <c r="BN27" s="164">
        <f t="shared" ca="1" si="51"/>
        <v>0</v>
      </c>
      <c r="BO27" s="356" t="str">
        <f t="shared" ca="1" si="52"/>
        <v/>
      </c>
      <c r="BP27" s="355" t="str">
        <f t="shared" ca="1" si="53"/>
        <v/>
      </c>
      <c r="BQ27" s="355" t="str">
        <f t="shared" ca="1" si="54"/>
        <v/>
      </c>
      <c r="BR27" s="348">
        <f t="shared" ca="1" si="93"/>
        <v>0</v>
      </c>
      <c r="BS27" s="348">
        <f t="shared" ca="1" si="94"/>
        <v>0</v>
      </c>
      <c r="BT27" s="610">
        <f t="shared" ca="1" si="55"/>
        <v>0</v>
      </c>
      <c r="BU27" s="357">
        <v>1</v>
      </c>
      <c r="BV27" s="357">
        <v>0</v>
      </c>
      <c r="BW27" s="357">
        <f t="shared" si="108"/>
        <v>0</v>
      </c>
      <c r="BX27" s="357">
        <f t="shared" ca="1" si="57"/>
        <v>0</v>
      </c>
      <c r="BY27" s="357">
        <f t="shared" ca="1" si="95"/>
        <v>0</v>
      </c>
      <c r="BZ27" s="357"/>
      <c r="CA27" s="357">
        <f t="shared" ca="1" si="96"/>
        <v>0</v>
      </c>
      <c r="CB27" s="357"/>
      <c r="CC27" s="358" t="str">
        <f t="shared" ca="1" si="97"/>
        <v/>
      </c>
      <c r="CD27" s="358" t="str">
        <f t="shared" ca="1" si="98"/>
        <v/>
      </c>
      <c r="CE27" s="357" t="str">
        <f t="shared" ca="1" si="99"/>
        <v>,,,,,,,,,,,,,,,,,</v>
      </c>
      <c r="CF27" s="154"/>
      <c r="CG27" s="154">
        <f t="shared" ca="1" si="100"/>
        <v>0</v>
      </c>
      <c r="CH27" s="268" t="str">
        <f t="shared" ca="1" si="58"/>
        <v/>
      </c>
      <c r="CI27" s="268">
        <f t="shared" ca="1" si="109"/>
        <v>0</v>
      </c>
      <c r="CJ27" s="268" t="str">
        <f t="shared" ca="1" si="59"/>
        <v/>
      </c>
      <c r="CK27" s="268">
        <f t="shared" ca="1" si="60"/>
        <v>0</v>
      </c>
      <c r="CL27" s="268">
        <f t="shared" ca="1" si="110"/>
        <v>0</v>
      </c>
      <c r="CM27" s="154">
        <f t="shared" ca="1" si="111"/>
        <v>0</v>
      </c>
      <c r="CN27" s="154"/>
      <c r="CO27" s="169"/>
      <c r="CP27" s="169"/>
      <c r="CQ27" s="169"/>
      <c r="CR27" s="169"/>
      <c r="CS27" s="169"/>
      <c r="CT27" s="169"/>
      <c r="CU27" s="169"/>
      <c r="CV27" s="164" t="str">
        <f t="shared" ca="1" si="104"/>
        <v/>
      </c>
      <c r="CW27" s="164" t="str">
        <f t="shared" ca="1" si="104"/>
        <v/>
      </c>
      <c r="CX27" s="164" t="str">
        <f t="shared" ca="1" si="104"/>
        <v/>
      </c>
      <c r="CY27" s="164" t="str">
        <f t="shared" ca="1" si="104"/>
        <v/>
      </c>
      <c r="CZ27" s="164" t="str">
        <f t="shared" ca="1" si="104"/>
        <v/>
      </c>
      <c r="DA27" s="164" t="str">
        <f t="shared" ca="1" si="104"/>
        <v/>
      </c>
      <c r="DB27" s="164" t="str">
        <f t="shared" ca="1" si="104"/>
        <v/>
      </c>
      <c r="DC27" s="164" t="str">
        <f t="shared" ca="1" si="104"/>
        <v/>
      </c>
      <c r="DD27" s="164" t="str">
        <f t="shared" ca="1" si="104"/>
        <v/>
      </c>
      <c r="DE27" s="164" t="str">
        <f t="shared" ca="1" si="104"/>
        <v/>
      </c>
      <c r="DF27" s="164" t="str">
        <f t="shared" ca="1" si="105"/>
        <v/>
      </c>
      <c r="DG27" s="164" t="str">
        <f t="shared" ca="1" si="105"/>
        <v/>
      </c>
      <c r="DH27" s="164" t="str">
        <f t="shared" ca="1" si="105"/>
        <v/>
      </c>
      <c r="DI27" s="164" t="str">
        <f t="shared" ca="1" si="105"/>
        <v/>
      </c>
      <c r="DJ27" s="164" t="str">
        <f t="shared" ca="1" si="105"/>
        <v/>
      </c>
      <c r="DK27" s="164" t="str">
        <f t="shared" ca="1" si="105"/>
        <v/>
      </c>
      <c r="DL27" s="164" t="str">
        <f t="shared" ca="1" si="105"/>
        <v/>
      </c>
      <c r="DM27" s="164" t="str">
        <f t="shared" ca="1" si="105"/>
        <v/>
      </c>
      <c r="DN27" s="164" t="str">
        <f t="shared" ca="1" si="105"/>
        <v/>
      </c>
      <c r="DO27" s="164" t="str">
        <f t="shared" ca="1" si="105"/>
        <v/>
      </c>
      <c r="DP27" s="164" t="str">
        <f t="shared" ca="1" si="105"/>
        <v/>
      </c>
      <c r="DQ27" s="164" t="str">
        <f t="shared" ca="1" si="105"/>
        <v/>
      </c>
      <c r="DR27" s="208"/>
      <c r="DS27" s="164" t="str">
        <f t="shared" ca="1" si="64"/>
        <v/>
      </c>
      <c r="DT27" s="164" t="str">
        <f t="shared" ca="1" si="65"/>
        <v/>
      </c>
      <c r="DU27" s="164" t="str">
        <f t="shared" ca="1" si="66"/>
        <v/>
      </c>
      <c r="DV27" s="164" t="str">
        <f t="shared" ca="1" si="67"/>
        <v/>
      </c>
      <c r="DW27" s="164" t="str">
        <f t="shared" ca="1" si="68"/>
        <v/>
      </c>
      <c r="DX27" s="164" t="str">
        <f t="shared" ca="1" si="69"/>
        <v/>
      </c>
      <c r="DY27" s="164" t="str">
        <f t="shared" ca="1" si="70"/>
        <v/>
      </c>
      <c r="DZ27" s="164" t="str">
        <f t="shared" ca="1" si="71"/>
        <v/>
      </c>
      <c r="EA27" s="164" t="str">
        <f t="shared" ca="1" si="72"/>
        <v/>
      </c>
      <c r="EB27" s="164" t="str">
        <f t="shared" ca="1" si="73"/>
        <v/>
      </c>
      <c r="EC27" s="164" t="str">
        <f t="shared" ca="1" si="74"/>
        <v/>
      </c>
      <c r="ED27" s="164" t="str">
        <f t="shared" ca="1" si="75"/>
        <v/>
      </c>
      <c r="EE27" s="164" t="str">
        <f t="shared" ca="1" si="76"/>
        <v/>
      </c>
      <c r="EF27" s="164" t="str">
        <f t="shared" ca="1" si="77"/>
        <v/>
      </c>
      <c r="EG27" s="164" t="str">
        <f t="shared" ca="1" si="78"/>
        <v/>
      </c>
      <c r="EH27" s="164" t="str">
        <f t="shared" ca="1" si="79"/>
        <v/>
      </c>
      <c r="EI27" s="164" t="str">
        <f t="shared" ca="1" si="80"/>
        <v/>
      </c>
      <c r="EJ27" s="164" t="str">
        <f t="shared" ca="1" si="81"/>
        <v/>
      </c>
      <c r="EK27" s="164" t="str">
        <f t="shared" ca="1" si="82"/>
        <v/>
      </c>
      <c r="EL27" s="164" t="str">
        <f t="shared" ca="1" si="83"/>
        <v/>
      </c>
      <c r="EM27" s="164" t="str">
        <f t="shared" ca="1" si="84"/>
        <v/>
      </c>
      <c r="EN27" s="164" t="str">
        <f t="shared" ca="1" si="85"/>
        <v/>
      </c>
      <c r="EO27" s="164" t="str">
        <f t="shared" ca="1" si="86"/>
        <v/>
      </c>
      <c r="EP27" s="164" t="str">
        <f t="shared" ca="1" si="87"/>
        <v/>
      </c>
      <c r="EQ27" s="164" t="str">
        <f t="shared" ca="1" si="88"/>
        <v/>
      </c>
      <c r="ER27" s="164" t="str">
        <f t="shared" ca="1" si="89"/>
        <v/>
      </c>
      <c r="ES27" s="164" t="str">
        <f t="shared" ca="1" si="90"/>
        <v/>
      </c>
    </row>
    <row r="28" spans="1:149" outlineLevel="1" x14ac:dyDescent="0.2">
      <c r="A28" s="89" t="str">
        <f t="shared" ca="1" si="103"/>
        <v/>
      </c>
      <c r="B28" s="317" t="str">
        <f ca="1">IF(AND(MAGISCH,NOT(EXACT($A28,""))),CM28,"")</f>
        <v/>
      </c>
      <c r="C28" s="609" t="str">
        <f t="shared" ca="1" si="0"/>
        <v/>
      </c>
      <c r="D28" s="1956" t="str">
        <f t="shared" ca="1" si="1"/>
        <v/>
      </c>
      <c r="E28" s="1956"/>
      <c r="F28" s="960"/>
      <c r="G28" s="485" t="str">
        <f ca="1">IF(EXACT($A28,""),"",IF(VT_VRTLZBR,"F",
IF(BO28&lt;65,"A+",IF(BO28&gt;72,"H",CHAR(BO28)))))</f>
        <v/>
      </c>
      <c r="H28" s="983"/>
      <c r="I28" s="486"/>
      <c r="J28" s="972"/>
      <c r="K28" s="1886" t="str">
        <f ca="1">IF(NOT(EXACT($A28,"")),IF(AND(NOT(ISBLANK($H28)),$H28&lt;VALUE($B28)),CONCATENATE("SE erst ab ZfW ",$B28," möglich"),IF(ISERR(FIND(C28,BP28,1)),"Zauber in dieser Repräsentation nicht bekannt",IF(AND(NOT(ISERR(FIND(A28,ZS_HZALLE,1))),ZS_SE_VIEW),"SE aus Zweitstudium",""))),"") &amp; IF(AND(NOT(EXACT($A28,"")),NOT(ISERR(FIND(A28,ZS_HZ_IAAK,1))),ZS_SE_VIEW),"  SE für IAAK-Studium","")
&amp;IF($M28="","",IF($M28&gt;MAX(INDIRECT(VLOOKUP($A28,ZAUBERWERTE,2,FALSE)),INDIRECT(VLOOKUP($A28,ZAUBERWERTE,3,FALSE)),INDIRECT(VLOOKUP($A28,ZAUBERWERTE,4,FALSE)))+3+BX28*2," TaW&gt; Max.EIGN.-Wert+"&amp;3+BX28*2,""))</f>
        <v/>
      </c>
      <c r="L28" s="1888"/>
      <c r="M28" s="296"/>
      <c r="N28" s="1322"/>
      <c r="O28" s="1319"/>
      <c r="P28" s="957"/>
      <c r="Q28" s="749"/>
      <c r="R28" s="164">
        <f t="shared" ca="1" si="106"/>
        <v>0</v>
      </c>
      <c r="S28" s="164">
        <f t="shared" ca="1" si="106"/>
        <v>0</v>
      </c>
      <c r="T28" s="164">
        <f t="shared" ca="1" si="106"/>
        <v>0</v>
      </c>
      <c r="U28" s="164">
        <f t="shared" ca="1" si="106"/>
        <v>0</v>
      </c>
      <c r="V28" s="164">
        <f t="shared" ca="1" si="106"/>
        <v>0</v>
      </c>
      <c r="W28" s="164">
        <f t="shared" ca="1" si="106"/>
        <v>0</v>
      </c>
      <c r="X28" s="164">
        <f t="shared" ca="1" si="106"/>
        <v>0</v>
      </c>
      <c r="Y28" s="164">
        <f t="shared" ca="1" si="106"/>
        <v>0</v>
      </c>
      <c r="Z28" s="164">
        <f t="shared" ca="1" si="106"/>
        <v>0</v>
      </c>
      <c r="AA28" s="164">
        <f t="shared" ca="1" si="106"/>
        <v>0</v>
      </c>
      <c r="AB28" s="164">
        <f t="shared" ca="1" si="15"/>
        <v>0</v>
      </c>
      <c r="AC28" s="164">
        <f t="shared" ca="1" si="16"/>
        <v>0</v>
      </c>
      <c r="AD28" s="164">
        <f t="shared" ca="1" si="17"/>
        <v>0</v>
      </c>
      <c r="AE28" s="164">
        <f t="shared" ca="1" si="18"/>
        <v>0</v>
      </c>
      <c r="AF28" s="164">
        <f t="shared" ca="1" si="19"/>
        <v>0</v>
      </c>
      <c r="AG28" s="164">
        <f t="shared" ca="1" si="20"/>
        <v>0</v>
      </c>
      <c r="AH28" s="164">
        <f t="shared" ca="1" si="21"/>
        <v>0</v>
      </c>
      <c r="AI28" s="164">
        <f t="shared" ca="1" si="22"/>
        <v>0</v>
      </c>
      <c r="AJ28" s="164">
        <f t="shared" ca="1" si="23"/>
        <v>0</v>
      </c>
      <c r="AK28" s="164">
        <f t="shared" ca="1" si="24"/>
        <v>0</v>
      </c>
      <c r="AL28" s="164">
        <f t="shared" ca="1" si="25"/>
        <v>0</v>
      </c>
      <c r="AM28" s="208"/>
      <c r="AN28" s="154"/>
      <c r="AO28" s="164">
        <f t="shared" ca="1" si="107"/>
        <v>0</v>
      </c>
      <c r="AP28" s="164">
        <f t="shared" ca="1" si="107"/>
        <v>0</v>
      </c>
      <c r="AQ28" s="164">
        <f t="shared" ca="1" si="107"/>
        <v>0</v>
      </c>
      <c r="AR28" s="164">
        <f t="shared" ca="1" si="107"/>
        <v>0</v>
      </c>
      <c r="AS28" s="164">
        <f t="shared" ca="1" si="107"/>
        <v>0</v>
      </c>
      <c r="AT28" s="164">
        <f t="shared" ca="1" si="107"/>
        <v>0</v>
      </c>
      <c r="AU28" s="164">
        <f t="shared" ca="1" si="107"/>
        <v>0</v>
      </c>
      <c r="AV28" s="164">
        <f t="shared" ca="1" si="107"/>
        <v>0</v>
      </c>
      <c r="AW28" s="164">
        <f t="shared" ca="1" si="107"/>
        <v>0</v>
      </c>
      <c r="AX28" s="164">
        <f t="shared" ca="1" si="107"/>
        <v>0</v>
      </c>
      <c r="AY28" s="164">
        <f t="shared" ca="1" si="36"/>
        <v>0</v>
      </c>
      <c r="AZ28" s="164">
        <f t="shared" ca="1" si="37"/>
        <v>0</v>
      </c>
      <c r="BA28" s="164">
        <f t="shared" ca="1" si="38"/>
        <v>0</v>
      </c>
      <c r="BB28" s="164">
        <f t="shared" ca="1" si="39"/>
        <v>0</v>
      </c>
      <c r="BC28" s="164">
        <f t="shared" ca="1" si="40"/>
        <v>0</v>
      </c>
      <c r="BD28" s="164">
        <f t="shared" ca="1" si="41"/>
        <v>0</v>
      </c>
      <c r="BE28" s="164">
        <f t="shared" ca="1" si="42"/>
        <v>0</v>
      </c>
      <c r="BF28" s="164">
        <f t="shared" ca="1" si="43"/>
        <v>0</v>
      </c>
      <c r="BG28" s="164">
        <f t="shared" ca="1" si="44"/>
        <v>0</v>
      </c>
      <c r="BH28" s="164">
        <f t="shared" ca="1" si="45"/>
        <v>0</v>
      </c>
      <c r="BI28" s="164">
        <f t="shared" ca="1" si="46"/>
        <v>0</v>
      </c>
      <c r="BJ28" s="164">
        <f t="shared" ca="1" si="47"/>
        <v>0</v>
      </c>
      <c r="BK28" s="164">
        <f t="shared" ca="1" si="48"/>
        <v>0</v>
      </c>
      <c r="BL28" s="164">
        <f t="shared" ca="1" si="49"/>
        <v>0</v>
      </c>
      <c r="BM28" s="164">
        <f t="shared" ca="1" si="50"/>
        <v>0</v>
      </c>
      <c r="BN28" s="164">
        <f t="shared" ca="1" si="51"/>
        <v>0</v>
      </c>
      <c r="BO28" s="356" t="str">
        <f t="shared" ca="1" si="52"/>
        <v/>
      </c>
      <c r="BP28" s="355" t="str">
        <f t="shared" ca="1" si="53"/>
        <v/>
      </c>
      <c r="BQ28" s="355" t="str">
        <f t="shared" ca="1" si="54"/>
        <v/>
      </c>
      <c r="BR28" s="348">
        <f t="shared" ca="1" si="93"/>
        <v>0</v>
      </c>
      <c r="BS28" s="348">
        <f t="shared" ca="1" si="94"/>
        <v>0</v>
      </c>
      <c r="BT28" s="610">
        <f t="shared" ca="1" si="55"/>
        <v>0</v>
      </c>
      <c r="BU28" s="357">
        <v>1</v>
      </c>
      <c r="BV28" s="357">
        <v>0</v>
      </c>
      <c r="BW28" s="357">
        <f t="shared" si="108"/>
        <v>0</v>
      </c>
      <c r="BX28" s="357">
        <f t="shared" ca="1" si="57"/>
        <v>0</v>
      </c>
      <c r="BY28" s="357">
        <f t="shared" ca="1" si="95"/>
        <v>0</v>
      </c>
      <c r="BZ28" s="357"/>
      <c r="CA28" s="357">
        <f t="shared" ca="1" si="96"/>
        <v>0</v>
      </c>
      <c r="CB28" s="357"/>
      <c r="CC28" s="358" t="str">
        <f t="shared" ca="1" si="97"/>
        <v/>
      </c>
      <c r="CD28" s="358" t="str">
        <f t="shared" ca="1" si="98"/>
        <v/>
      </c>
      <c r="CE28" s="357" t="str">
        <f t="shared" ca="1" si="99"/>
        <v>,,,,,,,,,,,,,,,,,,</v>
      </c>
      <c r="CF28" s="154"/>
      <c r="CG28" s="154">
        <f t="shared" ca="1" si="100"/>
        <v>0</v>
      </c>
      <c r="CH28" s="268" t="str">
        <f t="shared" ca="1" si="58"/>
        <v/>
      </c>
      <c r="CI28" s="268">
        <f t="shared" ca="1" si="109"/>
        <v>0</v>
      </c>
      <c r="CJ28" s="268" t="str">
        <f t="shared" ca="1" si="59"/>
        <v/>
      </c>
      <c r="CK28" s="268">
        <f t="shared" ca="1" si="60"/>
        <v>0</v>
      </c>
      <c r="CL28" s="268">
        <f t="shared" ca="1" si="110"/>
        <v>0</v>
      </c>
      <c r="CM28" s="154">
        <f t="shared" ca="1" si="111"/>
        <v>0</v>
      </c>
      <c r="CN28" s="154"/>
      <c r="CO28" s="169"/>
      <c r="CP28" s="169"/>
      <c r="CQ28" s="169"/>
      <c r="CR28" s="169"/>
      <c r="CS28" s="169"/>
      <c r="CT28" s="169"/>
      <c r="CU28" s="169"/>
      <c r="CV28" s="164" t="str">
        <f t="shared" ca="1" si="104"/>
        <v/>
      </c>
      <c r="CW28" s="164" t="str">
        <f t="shared" ca="1" si="104"/>
        <v/>
      </c>
      <c r="CX28" s="164" t="str">
        <f t="shared" ca="1" si="104"/>
        <v/>
      </c>
      <c r="CY28" s="164" t="str">
        <f t="shared" ca="1" si="104"/>
        <v/>
      </c>
      <c r="CZ28" s="164" t="str">
        <f t="shared" ca="1" si="104"/>
        <v/>
      </c>
      <c r="DA28" s="164" t="str">
        <f t="shared" ca="1" si="104"/>
        <v/>
      </c>
      <c r="DB28" s="164" t="str">
        <f t="shared" ca="1" si="104"/>
        <v/>
      </c>
      <c r="DC28" s="164" t="str">
        <f t="shared" ca="1" si="104"/>
        <v/>
      </c>
      <c r="DD28" s="164" t="str">
        <f t="shared" ca="1" si="104"/>
        <v/>
      </c>
      <c r="DE28" s="164" t="str">
        <f t="shared" ca="1" si="104"/>
        <v/>
      </c>
      <c r="DF28" s="164" t="str">
        <f t="shared" ca="1" si="105"/>
        <v/>
      </c>
      <c r="DG28" s="164" t="str">
        <f t="shared" ca="1" si="105"/>
        <v/>
      </c>
      <c r="DH28" s="164" t="str">
        <f t="shared" ca="1" si="105"/>
        <v/>
      </c>
      <c r="DI28" s="164" t="str">
        <f t="shared" ca="1" si="105"/>
        <v/>
      </c>
      <c r="DJ28" s="164" t="str">
        <f t="shared" ca="1" si="105"/>
        <v/>
      </c>
      <c r="DK28" s="164" t="str">
        <f t="shared" ca="1" si="105"/>
        <v/>
      </c>
      <c r="DL28" s="164" t="str">
        <f t="shared" ca="1" si="105"/>
        <v/>
      </c>
      <c r="DM28" s="164" t="str">
        <f t="shared" ca="1" si="105"/>
        <v/>
      </c>
      <c r="DN28" s="164" t="str">
        <f t="shared" ca="1" si="105"/>
        <v/>
      </c>
      <c r="DO28" s="164" t="str">
        <f t="shared" ca="1" si="105"/>
        <v/>
      </c>
      <c r="DP28" s="164" t="str">
        <f t="shared" ca="1" si="105"/>
        <v/>
      </c>
      <c r="DQ28" s="164" t="str">
        <f t="shared" ca="1" si="105"/>
        <v/>
      </c>
      <c r="DR28" s="208"/>
      <c r="DS28" s="164" t="str">
        <f t="shared" ca="1" si="64"/>
        <v/>
      </c>
      <c r="DT28" s="164" t="str">
        <f t="shared" ca="1" si="65"/>
        <v/>
      </c>
      <c r="DU28" s="164" t="str">
        <f t="shared" ca="1" si="66"/>
        <v/>
      </c>
      <c r="DV28" s="164" t="str">
        <f t="shared" ca="1" si="67"/>
        <v/>
      </c>
      <c r="DW28" s="164" t="str">
        <f t="shared" ca="1" si="68"/>
        <v/>
      </c>
      <c r="DX28" s="164" t="str">
        <f t="shared" ca="1" si="69"/>
        <v/>
      </c>
      <c r="DY28" s="164" t="str">
        <f t="shared" ca="1" si="70"/>
        <v/>
      </c>
      <c r="DZ28" s="164" t="str">
        <f t="shared" ca="1" si="71"/>
        <v/>
      </c>
      <c r="EA28" s="164" t="str">
        <f t="shared" ca="1" si="72"/>
        <v/>
      </c>
      <c r="EB28" s="164" t="str">
        <f t="shared" ca="1" si="73"/>
        <v/>
      </c>
      <c r="EC28" s="164" t="str">
        <f t="shared" ca="1" si="74"/>
        <v/>
      </c>
      <c r="ED28" s="164" t="str">
        <f t="shared" ca="1" si="75"/>
        <v/>
      </c>
      <c r="EE28" s="164" t="str">
        <f t="shared" ca="1" si="76"/>
        <v/>
      </c>
      <c r="EF28" s="164" t="str">
        <f t="shared" ca="1" si="77"/>
        <v/>
      </c>
      <c r="EG28" s="164" t="str">
        <f t="shared" ca="1" si="78"/>
        <v/>
      </c>
      <c r="EH28" s="164" t="str">
        <f t="shared" ca="1" si="79"/>
        <v/>
      </c>
      <c r="EI28" s="164" t="str">
        <f t="shared" ca="1" si="80"/>
        <v/>
      </c>
      <c r="EJ28" s="164" t="str">
        <f t="shared" ca="1" si="81"/>
        <v/>
      </c>
      <c r="EK28" s="164" t="str">
        <f t="shared" ca="1" si="82"/>
        <v/>
      </c>
      <c r="EL28" s="164" t="str">
        <f t="shared" ca="1" si="83"/>
        <v/>
      </c>
      <c r="EM28" s="164" t="str">
        <f t="shared" ca="1" si="84"/>
        <v/>
      </c>
      <c r="EN28" s="164" t="str">
        <f t="shared" ca="1" si="85"/>
        <v/>
      </c>
      <c r="EO28" s="164" t="str">
        <f t="shared" ca="1" si="86"/>
        <v/>
      </c>
      <c r="EP28" s="164" t="str">
        <f t="shared" ca="1" si="87"/>
        <v/>
      </c>
      <c r="EQ28" s="164" t="str">
        <f t="shared" ca="1" si="88"/>
        <v/>
      </c>
      <c r="ER28" s="164" t="str">
        <f t="shared" ca="1" si="89"/>
        <v/>
      </c>
      <c r="ES28" s="164" t="str">
        <f t="shared" ca="1" si="90"/>
        <v/>
      </c>
    </row>
    <row r="29" spans="1:149" outlineLevel="1" x14ac:dyDescent="0.2">
      <c r="A29" s="89" t="str">
        <f t="shared" ca="1" si="103"/>
        <v/>
      </c>
      <c r="B29" s="317" t="str">
        <f t="shared" ca="1" si="91"/>
        <v/>
      </c>
      <c r="C29" s="609" t="str">
        <f t="shared" ca="1" si="0"/>
        <v/>
      </c>
      <c r="D29" s="1956" t="str">
        <f t="shared" ca="1" si="1"/>
        <v/>
      </c>
      <c r="E29" s="1956"/>
      <c r="F29" s="960"/>
      <c r="G29" s="485" t="str">
        <f t="shared" ca="1" si="2"/>
        <v/>
      </c>
      <c r="H29" s="983"/>
      <c r="I29" s="486"/>
      <c r="J29" s="972"/>
      <c r="K29" s="1886" t="str">
        <f t="shared" ca="1" si="3"/>
        <v/>
      </c>
      <c r="L29" s="1888"/>
      <c r="M29" s="296" t="str">
        <f t="shared" ca="1" si="92"/>
        <v/>
      </c>
      <c r="N29" s="1322"/>
      <c r="O29" s="1319"/>
      <c r="P29" s="957" t="str">
        <f t="shared" ca="1" si="4"/>
        <v/>
      </c>
      <c r="Q29" s="749"/>
      <c r="R29" s="164">
        <f t="shared" ca="1" si="5"/>
        <v>0</v>
      </c>
      <c r="S29" s="164">
        <f t="shared" ca="1" si="6"/>
        <v>0</v>
      </c>
      <c r="T29" s="164">
        <f t="shared" ca="1" si="7"/>
        <v>0</v>
      </c>
      <c r="U29" s="164">
        <f t="shared" ca="1" si="8"/>
        <v>0</v>
      </c>
      <c r="V29" s="164">
        <f t="shared" ca="1" si="9"/>
        <v>0</v>
      </c>
      <c r="W29" s="164">
        <f t="shared" ca="1" si="10"/>
        <v>0</v>
      </c>
      <c r="X29" s="164">
        <f t="shared" ca="1" si="11"/>
        <v>0</v>
      </c>
      <c r="Y29" s="164">
        <f t="shared" ca="1" si="12"/>
        <v>0</v>
      </c>
      <c r="Z29" s="164">
        <f t="shared" ca="1" si="13"/>
        <v>0</v>
      </c>
      <c r="AA29" s="164">
        <f t="shared" ca="1" si="14"/>
        <v>0</v>
      </c>
      <c r="AB29" s="164">
        <f t="shared" ca="1" si="15"/>
        <v>0</v>
      </c>
      <c r="AC29" s="164">
        <f t="shared" ca="1" si="16"/>
        <v>0</v>
      </c>
      <c r="AD29" s="164">
        <f t="shared" ca="1" si="17"/>
        <v>0</v>
      </c>
      <c r="AE29" s="164">
        <f t="shared" ca="1" si="18"/>
        <v>0</v>
      </c>
      <c r="AF29" s="164">
        <f t="shared" ca="1" si="19"/>
        <v>0</v>
      </c>
      <c r="AG29" s="164">
        <f t="shared" ca="1" si="20"/>
        <v>0</v>
      </c>
      <c r="AH29" s="164">
        <f t="shared" ca="1" si="21"/>
        <v>0</v>
      </c>
      <c r="AI29" s="164">
        <f t="shared" ca="1" si="22"/>
        <v>0</v>
      </c>
      <c r="AJ29" s="164">
        <f t="shared" ca="1" si="23"/>
        <v>0</v>
      </c>
      <c r="AK29" s="164">
        <f t="shared" ca="1" si="24"/>
        <v>0</v>
      </c>
      <c r="AL29" s="164">
        <f t="shared" ca="1" si="25"/>
        <v>0</v>
      </c>
      <c r="AM29" s="208"/>
      <c r="AN29" s="154"/>
      <c r="AO29" s="164">
        <f t="shared" ca="1" si="26"/>
        <v>0</v>
      </c>
      <c r="AP29" s="164">
        <f t="shared" ca="1" si="27"/>
        <v>0</v>
      </c>
      <c r="AQ29" s="164">
        <f t="shared" ca="1" si="28"/>
        <v>0</v>
      </c>
      <c r="AR29" s="164">
        <f t="shared" ca="1" si="29"/>
        <v>0</v>
      </c>
      <c r="AS29" s="164">
        <f t="shared" ca="1" si="30"/>
        <v>0</v>
      </c>
      <c r="AT29" s="164">
        <f t="shared" ca="1" si="31"/>
        <v>0</v>
      </c>
      <c r="AU29" s="164">
        <f t="shared" ca="1" si="32"/>
        <v>0</v>
      </c>
      <c r="AV29" s="164">
        <f t="shared" ca="1" si="33"/>
        <v>0</v>
      </c>
      <c r="AW29" s="164">
        <f t="shared" ca="1" si="34"/>
        <v>0</v>
      </c>
      <c r="AX29" s="164">
        <f t="shared" ca="1" si="35"/>
        <v>0</v>
      </c>
      <c r="AY29" s="164">
        <f t="shared" ca="1" si="36"/>
        <v>0</v>
      </c>
      <c r="AZ29" s="164">
        <f t="shared" ca="1" si="37"/>
        <v>0</v>
      </c>
      <c r="BA29" s="164">
        <f t="shared" ca="1" si="38"/>
        <v>0</v>
      </c>
      <c r="BB29" s="164">
        <f t="shared" ca="1" si="39"/>
        <v>0</v>
      </c>
      <c r="BC29" s="164">
        <f t="shared" ca="1" si="40"/>
        <v>0</v>
      </c>
      <c r="BD29" s="164">
        <f t="shared" ca="1" si="41"/>
        <v>0</v>
      </c>
      <c r="BE29" s="164">
        <f t="shared" ca="1" si="42"/>
        <v>0</v>
      </c>
      <c r="BF29" s="164">
        <f t="shared" ca="1" si="43"/>
        <v>0</v>
      </c>
      <c r="BG29" s="164">
        <f t="shared" ca="1" si="44"/>
        <v>0</v>
      </c>
      <c r="BH29" s="164">
        <f t="shared" ca="1" si="45"/>
        <v>0</v>
      </c>
      <c r="BI29" s="164">
        <f t="shared" ca="1" si="46"/>
        <v>0</v>
      </c>
      <c r="BJ29" s="164">
        <f t="shared" ca="1" si="47"/>
        <v>0</v>
      </c>
      <c r="BK29" s="164">
        <f t="shared" ca="1" si="48"/>
        <v>0</v>
      </c>
      <c r="BL29" s="164">
        <f t="shared" ca="1" si="49"/>
        <v>0</v>
      </c>
      <c r="BM29" s="164">
        <f t="shared" ca="1" si="50"/>
        <v>0</v>
      </c>
      <c r="BN29" s="164">
        <f t="shared" ca="1" si="51"/>
        <v>0</v>
      </c>
      <c r="BO29" s="356" t="str">
        <f t="shared" ca="1" si="52"/>
        <v/>
      </c>
      <c r="BP29" s="355" t="str">
        <f t="shared" ca="1" si="53"/>
        <v/>
      </c>
      <c r="BQ29" s="355" t="str">
        <f t="shared" ca="1" si="54"/>
        <v/>
      </c>
      <c r="BR29" s="348">
        <f t="shared" ca="1" si="93"/>
        <v>0</v>
      </c>
      <c r="BS29" s="348">
        <f t="shared" ca="1" si="94"/>
        <v>0</v>
      </c>
      <c r="BT29" s="610">
        <f t="shared" ca="1" si="55"/>
        <v>0</v>
      </c>
      <c r="BU29" s="357">
        <v>1</v>
      </c>
      <c r="BV29" s="357">
        <v>0</v>
      </c>
      <c r="BW29" s="357">
        <f t="shared" si="108"/>
        <v>0</v>
      </c>
      <c r="BX29" s="357">
        <f t="shared" ca="1" si="57"/>
        <v>0</v>
      </c>
      <c r="BY29" s="357">
        <f t="shared" ca="1" si="95"/>
        <v>0</v>
      </c>
      <c r="BZ29" s="357"/>
      <c r="CA29" s="357">
        <f t="shared" ca="1" si="96"/>
        <v>0</v>
      </c>
      <c r="CB29" s="357"/>
      <c r="CC29" s="358" t="str">
        <f t="shared" ca="1" si="97"/>
        <v/>
      </c>
      <c r="CD29" s="358" t="str">
        <f t="shared" ca="1" si="98"/>
        <v/>
      </c>
      <c r="CE29" s="357" t="str">
        <f t="shared" ca="1" si="99"/>
        <v>,,,,,,,,,,,,,,,,,,,</v>
      </c>
      <c r="CF29" s="154"/>
      <c r="CG29" s="154">
        <f t="shared" ca="1" si="100"/>
        <v>0</v>
      </c>
      <c r="CH29" s="268" t="str">
        <f t="shared" ca="1" si="58"/>
        <v/>
      </c>
      <c r="CI29" s="268">
        <f t="shared" ca="1" si="109"/>
        <v>0</v>
      </c>
      <c r="CJ29" s="268" t="str">
        <f t="shared" ca="1" si="59"/>
        <v/>
      </c>
      <c r="CK29" s="268">
        <f t="shared" ca="1" si="60"/>
        <v>0</v>
      </c>
      <c r="CL29" s="268">
        <f t="shared" ca="1" si="110"/>
        <v>0</v>
      </c>
      <c r="CM29" s="154">
        <f t="shared" ca="1" si="111"/>
        <v>0</v>
      </c>
      <c r="CN29" s="154"/>
      <c r="CO29" s="169"/>
      <c r="CP29" s="169"/>
      <c r="CQ29" s="169"/>
      <c r="CR29" s="169"/>
      <c r="CS29" s="169"/>
      <c r="CT29" s="169"/>
      <c r="CU29" s="169"/>
      <c r="CV29" s="164" t="str">
        <f t="shared" ca="1" si="104"/>
        <v/>
      </c>
      <c r="CW29" s="164" t="str">
        <f t="shared" ca="1" si="104"/>
        <v/>
      </c>
      <c r="CX29" s="164" t="str">
        <f t="shared" ca="1" si="104"/>
        <v/>
      </c>
      <c r="CY29" s="164" t="str">
        <f t="shared" ca="1" si="104"/>
        <v/>
      </c>
      <c r="CZ29" s="164" t="str">
        <f t="shared" ca="1" si="104"/>
        <v/>
      </c>
      <c r="DA29" s="164" t="str">
        <f t="shared" ca="1" si="104"/>
        <v/>
      </c>
      <c r="DB29" s="164" t="str">
        <f t="shared" ca="1" si="104"/>
        <v/>
      </c>
      <c r="DC29" s="164" t="str">
        <f t="shared" ca="1" si="104"/>
        <v/>
      </c>
      <c r="DD29" s="164" t="str">
        <f t="shared" ca="1" si="104"/>
        <v/>
      </c>
      <c r="DE29" s="164" t="str">
        <f t="shared" ca="1" si="104"/>
        <v/>
      </c>
      <c r="DF29" s="164" t="str">
        <f t="shared" ca="1" si="105"/>
        <v/>
      </c>
      <c r="DG29" s="164" t="str">
        <f t="shared" ca="1" si="105"/>
        <v/>
      </c>
      <c r="DH29" s="164" t="str">
        <f t="shared" ca="1" si="105"/>
        <v/>
      </c>
      <c r="DI29" s="164" t="str">
        <f t="shared" ca="1" si="105"/>
        <v/>
      </c>
      <c r="DJ29" s="164" t="str">
        <f t="shared" ca="1" si="105"/>
        <v/>
      </c>
      <c r="DK29" s="164" t="str">
        <f t="shared" ca="1" si="105"/>
        <v/>
      </c>
      <c r="DL29" s="164" t="str">
        <f t="shared" ca="1" si="105"/>
        <v/>
      </c>
      <c r="DM29" s="164" t="str">
        <f t="shared" ca="1" si="105"/>
        <v/>
      </c>
      <c r="DN29" s="164" t="str">
        <f t="shared" ca="1" si="105"/>
        <v/>
      </c>
      <c r="DO29" s="164" t="str">
        <f t="shared" ca="1" si="105"/>
        <v/>
      </c>
      <c r="DP29" s="164" t="str">
        <f t="shared" ca="1" si="105"/>
        <v/>
      </c>
      <c r="DQ29" s="164" t="str">
        <f t="shared" ca="1" si="105"/>
        <v/>
      </c>
      <c r="DR29" s="208"/>
      <c r="DS29" s="164" t="str">
        <f t="shared" ca="1" si="64"/>
        <v/>
      </c>
      <c r="DT29" s="164" t="str">
        <f t="shared" ca="1" si="65"/>
        <v/>
      </c>
      <c r="DU29" s="164" t="str">
        <f t="shared" ca="1" si="66"/>
        <v/>
      </c>
      <c r="DV29" s="164" t="str">
        <f t="shared" ca="1" si="67"/>
        <v/>
      </c>
      <c r="DW29" s="164" t="str">
        <f t="shared" ca="1" si="68"/>
        <v/>
      </c>
      <c r="DX29" s="164" t="str">
        <f t="shared" ca="1" si="69"/>
        <v/>
      </c>
      <c r="DY29" s="164" t="str">
        <f t="shared" ca="1" si="70"/>
        <v/>
      </c>
      <c r="DZ29" s="164" t="str">
        <f t="shared" ca="1" si="71"/>
        <v/>
      </c>
      <c r="EA29" s="164" t="str">
        <f t="shared" ca="1" si="72"/>
        <v/>
      </c>
      <c r="EB29" s="164" t="str">
        <f t="shared" ca="1" si="73"/>
        <v/>
      </c>
      <c r="EC29" s="164" t="str">
        <f t="shared" ca="1" si="74"/>
        <v/>
      </c>
      <c r="ED29" s="164" t="str">
        <f t="shared" ca="1" si="75"/>
        <v/>
      </c>
      <c r="EE29" s="164" t="str">
        <f t="shared" ca="1" si="76"/>
        <v/>
      </c>
      <c r="EF29" s="164" t="str">
        <f t="shared" ca="1" si="77"/>
        <v/>
      </c>
      <c r="EG29" s="164" t="str">
        <f t="shared" ca="1" si="78"/>
        <v/>
      </c>
      <c r="EH29" s="164" t="str">
        <f t="shared" ca="1" si="79"/>
        <v/>
      </c>
      <c r="EI29" s="164" t="str">
        <f t="shared" ca="1" si="80"/>
        <v/>
      </c>
      <c r="EJ29" s="164" t="str">
        <f t="shared" ca="1" si="81"/>
        <v/>
      </c>
      <c r="EK29" s="164" t="str">
        <f t="shared" ca="1" si="82"/>
        <v/>
      </c>
      <c r="EL29" s="164" t="str">
        <f t="shared" ca="1" si="83"/>
        <v/>
      </c>
      <c r="EM29" s="164" t="str">
        <f t="shared" ca="1" si="84"/>
        <v/>
      </c>
      <c r="EN29" s="164" t="str">
        <f t="shared" ca="1" si="85"/>
        <v/>
      </c>
      <c r="EO29" s="164" t="str">
        <f t="shared" ca="1" si="86"/>
        <v/>
      </c>
      <c r="EP29" s="164" t="str">
        <f t="shared" ca="1" si="87"/>
        <v/>
      </c>
      <c r="EQ29" s="164" t="str">
        <f t="shared" ca="1" si="88"/>
        <v/>
      </c>
      <c r="ER29" s="164" t="str">
        <f t="shared" ca="1" si="89"/>
        <v/>
      </c>
      <c r="ES29" s="164" t="str">
        <f t="shared" ca="1" si="90"/>
        <v/>
      </c>
    </row>
    <row r="30" spans="1:149" outlineLevel="1" x14ac:dyDescent="0.2">
      <c r="A30" s="89" t="str">
        <f t="shared" ca="1" si="103"/>
        <v/>
      </c>
      <c r="B30" s="317" t="str">
        <f t="shared" ca="1" si="91"/>
        <v/>
      </c>
      <c r="C30" s="609" t="str">
        <f t="shared" ca="1" si="0"/>
        <v/>
      </c>
      <c r="D30" s="1956" t="str">
        <f t="shared" ca="1" si="1"/>
        <v/>
      </c>
      <c r="E30" s="1956"/>
      <c r="F30" s="960"/>
      <c r="G30" s="485" t="str">
        <f t="shared" ca="1" si="2"/>
        <v/>
      </c>
      <c r="H30" s="983"/>
      <c r="I30" s="486"/>
      <c r="J30" s="972"/>
      <c r="K30" s="1886" t="str">
        <f t="shared" ca="1" si="3"/>
        <v/>
      </c>
      <c r="L30" s="1888"/>
      <c r="M30" s="296" t="str">
        <f t="shared" ca="1" si="92"/>
        <v/>
      </c>
      <c r="N30" s="1322"/>
      <c r="O30" s="1319"/>
      <c r="P30" s="957" t="str">
        <f t="shared" ca="1" si="4"/>
        <v/>
      </c>
      <c r="Q30" s="749"/>
      <c r="R30" s="164">
        <f t="shared" ca="1" si="5"/>
        <v>0</v>
      </c>
      <c r="S30" s="164">
        <f t="shared" ca="1" si="6"/>
        <v>0</v>
      </c>
      <c r="T30" s="164">
        <f t="shared" ca="1" si="7"/>
        <v>0</v>
      </c>
      <c r="U30" s="164">
        <f t="shared" ca="1" si="8"/>
        <v>0</v>
      </c>
      <c r="V30" s="164">
        <f t="shared" ca="1" si="9"/>
        <v>0</v>
      </c>
      <c r="W30" s="164">
        <f t="shared" ca="1" si="10"/>
        <v>0</v>
      </c>
      <c r="X30" s="164">
        <f t="shared" ca="1" si="11"/>
        <v>0</v>
      </c>
      <c r="Y30" s="164">
        <f t="shared" ca="1" si="12"/>
        <v>0</v>
      </c>
      <c r="Z30" s="164">
        <f t="shared" ca="1" si="13"/>
        <v>0</v>
      </c>
      <c r="AA30" s="164">
        <f t="shared" ca="1" si="14"/>
        <v>0</v>
      </c>
      <c r="AB30" s="164">
        <f t="shared" ca="1" si="15"/>
        <v>0</v>
      </c>
      <c r="AC30" s="164">
        <f t="shared" ca="1" si="16"/>
        <v>0</v>
      </c>
      <c r="AD30" s="164">
        <f t="shared" ca="1" si="17"/>
        <v>0</v>
      </c>
      <c r="AE30" s="164">
        <f t="shared" ca="1" si="18"/>
        <v>0</v>
      </c>
      <c r="AF30" s="164">
        <f t="shared" ca="1" si="19"/>
        <v>0</v>
      </c>
      <c r="AG30" s="164">
        <f t="shared" ca="1" si="20"/>
        <v>0</v>
      </c>
      <c r="AH30" s="164">
        <f t="shared" ca="1" si="21"/>
        <v>0</v>
      </c>
      <c r="AI30" s="164">
        <f t="shared" ca="1" si="22"/>
        <v>0</v>
      </c>
      <c r="AJ30" s="164">
        <f t="shared" ca="1" si="23"/>
        <v>0</v>
      </c>
      <c r="AK30" s="164">
        <f t="shared" ca="1" si="24"/>
        <v>0</v>
      </c>
      <c r="AL30" s="164">
        <f t="shared" ca="1" si="25"/>
        <v>0</v>
      </c>
      <c r="AM30" s="208"/>
      <c r="AN30" s="154"/>
      <c r="AO30" s="164">
        <f t="shared" ca="1" si="26"/>
        <v>0</v>
      </c>
      <c r="AP30" s="164">
        <f t="shared" ca="1" si="27"/>
        <v>0</v>
      </c>
      <c r="AQ30" s="164">
        <f t="shared" ca="1" si="28"/>
        <v>0</v>
      </c>
      <c r="AR30" s="164">
        <f t="shared" ca="1" si="29"/>
        <v>0</v>
      </c>
      <c r="AS30" s="164">
        <f t="shared" ca="1" si="30"/>
        <v>0</v>
      </c>
      <c r="AT30" s="164">
        <f t="shared" ca="1" si="31"/>
        <v>0</v>
      </c>
      <c r="AU30" s="164">
        <f t="shared" ca="1" si="32"/>
        <v>0</v>
      </c>
      <c r="AV30" s="164">
        <f t="shared" ca="1" si="33"/>
        <v>0</v>
      </c>
      <c r="AW30" s="164">
        <f t="shared" ca="1" si="34"/>
        <v>0</v>
      </c>
      <c r="AX30" s="164">
        <f t="shared" ca="1" si="35"/>
        <v>0</v>
      </c>
      <c r="AY30" s="164">
        <f t="shared" ca="1" si="36"/>
        <v>0</v>
      </c>
      <c r="AZ30" s="164">
        <f t="shared" ca="1" si="37"/>
        <v>0</v>
      </c>
      <c r="BA30" s="164">
        <f t="shared" ca="1" si="38"/>
        <v>0</v>
      </c>
      <c r="BB30" s="164">
        <f t="shared" ca="1" si="39"/>
        <v>0</v>
      </c>
      <c r="BC30" s="164">
        <f t="shared" ca="1" si="40"/>
        <v>0</v>
      </c>
      <c r="BD30" s="164">
        <f t="shared" ca="1" si="41"/>
        <v>0</v>
      </c>
      <c r="BE30" s="164">
        <f t="shared" ca="1" si="42"/>
        <v>0</v>
      </c>
      <c r="BF30" s="164">
        <f t="shared" ca="1" si="43"/>
        <v>0</v>
      </c>
      <c r="BG30" s="164">
        <f t="shared" ca="1" si="44"/>
        <v>0</v>
      </c>
      <c r="BH30" s="164">
        <f t="shared" ca="1" si="45"/>
        <v>0</v>
      </c>
      <c r="BI30" s="164">
        <f t="shared" ca="1" si="46"/>
        <v>0</v>
      </c>
      <c r="BJ30" s="164">
        <f t="shared" ca="1" si="47"/>
        <v>0</v>
      </c>
      <c r="BK30" s="164">
        <f t="shared" ca="1" si="48"/>
        <v>0</v>
      </c>
      <c r="BL30" s="164">
        <f t="shared" ca="1" si="49"/>
        <v>0</v>
      </c>
      <c r="BM30" s="164">
        <f t="shared" ca="1" si="50"/>
        <v>0</v>
      </c>
      <c r="BN30" s="164">
        <f t="shared" ca="1" si="51"/>
        <v>0</v>
      </c>
      <c r="BO30" s="356" t="str">
        <f t="shared" ca="1" si="52"/>
        <v/>
      </c>
      <c r="BP30" s="355" t="str">
        <f t="shared" ca="1" si="53"/>
        <v/>
      </c>
      <c r="BQ30" s="355" t="str">
        <f t="shared" ca="1" si="54"/>
        <v/>
      </c>
      <c r="BR30" s="348">
        <f t="shared" ca="1" si="93"/>
        <v>0</v>
      </c>
      <c r="BS30" s="348">
        <f t="shared" ca="1" si="94"/>
        <v>0</v>
      </c>
      <c r="BT30" s="610">
        <f t="shared" ca="1" si="55"/>
        <v>0</v>
      </c>
      <c r="BU30" s="357">
        <v>1</v>
      </c>
      <c r="BV30" s="357">
        <v>0</v>
      </c>
      <c r="BW30" s="357">
        <f t="shared" si="56"/>
        <v>0</v>
      </c>
      <c r="BX30" s="357">
        <f t="shared" ca="1" si="57"/>
        <v>0</v>
      </c>
      <c r="BY30" s="357">
        <f t="shared" ca="1" si="95"/>
        <v>0</v>
      </c>
      <c r="BZ30" s="357"/>
      <c r="CA30" s="357">
        <f t="shared" ca="1" si="96"/>
        <v>0</v>
      </c>
      <c r="CB30" s="357"/>
      <c r="CC30" s="358" t="str">
        <f t="shared" ca="1" si="97"/>
        <v/>
      </c>
      <c r="CD30" s="358" t="str">
        <f t="shared" ca="1" si="98"/>
        <v/>
      </c>
      <c r="CE30" s="357" t="str">
        <f t="shared" ca="1" si="99"/>
        <v>,,,,,,,,,,,,,,,,,,,,</v>
      </c>
      <c r="CF30" s="154"/>
      <c r="CG30" s="154">
        <f t="shared" ca="1" si="100"/>
        <v>0</v>
      </c>
      <c r="CH30" s="268" t="str">
        <f t="shared" ca="1" si="58"/>
        <v/>
      </c>
      <c r="CI30" s="268">
        <f t="shared" ca="1" si="101"/>
        <v>0</v>
      </c>
      <c r="CJ30" s="268" t="str">
        <f t="shared" ca="1" si="59"/>
        <v/>
      </c>
      <c r="CK30" s="268">
        <f t="shared" ca="1" si="60"/>
        <v>0</v>
      </c>
      <c r="CL30" s="268">
        <f t="shared" ca="1" si="61"/>
        <v>0</v>
      </c>
      <c r="CM30" s="154">
        <f t="shared" ca="1" si="102"/>
        <v>0</v>
      </c>
      <c r="CN30" s="154"/>
      <c r="CO30" s="169"/>
      <c r="CP30" s="169"/>
      <c r="CQ30" s="169"/>
      <c r="CR30" s="169"/>
      <c r="CS30" s="169"/>
      <c r="CT30" s="169"/>
      <c r="CU30" s="169"/>
      <c r="CV30" s="164" t="str">
        <f t="shared" ca="1" si="104"/>
        <v/>
      </c>
      <c r="CW30" s="164" t="str">
        <f t="shared" ca="1" si="104"/>
        <v/>
      </c>
      <c r="CX30" s="164" t="str">
        <f t="shared" ca="1" si="104"/>
        <v/>
      </c>
      <c r="CY30" s="164" t="str">
        <f t="shared" ca="1" si="104"/>
        <v/>
      </c>
      <c r="CZ30" s="164" t="str">
        <f t="shared" ca="1" si="104"/>
        <v/>
      </c>
      <c r="DA30" s="164" t="str">
        <f t="shared" ca="1" si="104"/>
        <v/>
      </c>
      <c r="DB30" s="164" t="str">
        <f t="shared" ca="1" si="104"/>
        <v/>
      </c>
      <c r="DC30" s="164" t="str">
        <f t="shared" ca="1" si="104"/>
        <v/>
      </c>
      <c r="DD30" s="164" t="str">
        <f t="shared" ca="1" si="104"/>
        <v/>
      </c>
      <c r="DE30" s="164" t="str">
        <f t="shared" ca="1" si="104"/>
        <v/>
      </c>
      <c r="DF30" s="164" t="str">
        <f t="shared" ca="1" si="105"/>
        <v/>
      </c>
      <c r="DG30" s="164" t="str">
        <f t="shared" ca="1" si="105"/>
        <v/>
      </c>
      <c r="DH30" s="164" t="str">
        <f t="shared" ca="1" si="105"/>
        <v/>
      </c>
      <c r="DI30" s="164" t="str">
        <f t="shared" ca="1" si="105"/>
        <v/>
      </c>
      <c r="DJ30" s="164" t="str">
        <f t="shared" ca="1" si="105"/>
        <v/>
      </c>
      <c r="DK30" s="164" t="str">
        <f t="shared" ca="1" si="105"/>
        <v/>
      </c>
      <c r="DL30" s="164" t="str">
        <f t="shared" ca="1" si="105"/>
        <v/>
      </c>
      <c r="DM30" s="164" t="str">
        <f t="shared" ca="1" si="105"/>
        <v/>
      </c>
      <c r="DN30" s="164" t="str">
        <f t="shared" ca="1" si="105"/>
        <v/>
      </c>
      <c r="DO30" s="164" t="str">
        <f t="shared" ca="1" si="105"/>
        <v/>
      </c>
      <c r="DP30" s="164" t="str">
        <f t="shared" ca="1" si="105"/>
        <v/>
      </c>
      <c r="DQ30" s="164" t="str">
        <f t="shared" ca="1" si="105"/>
        <v/>
      </c>
      <c r="DR30" s="208"/>
      <c r="DS30" s="164" t="str">
        <f t="shared" ca="1" si="64"/>
        <v/>
      </c>
      <c r="DT30" s="164" t="str">
        <f t="shared" ca="1" si="65"/>
        <v/>
      </c>
      <c r="DU30" s="164" t="str">
        <f t="shared" ca="1" si="66"/>
        <v/>
      </c>
      <c r="DV30" s="164" t="str">
        <f t="shared" ca="1" si="67"/>
        <v/>
      </c>
      <c r="DW30" s="164" t="str">
        <f t="shared" ca="1" si="68"/>
        <v/>
      </c>
      <c r="DX30" s="164" t="str">
        <f t="shared" ca="1" si="69"/>
        <v/>
      </c>
      <c r="DY30" s="164" t="str">
        <f t="shared" ca="1" si="70"/>
        <v/>
      </c>
      <c r="DZ30" s="164" t="str">
        <f t="shared" ca="1" si="71"/>
        <v/>
      </c>
      <c r="EA30" s="164" t="str">
        <f t="shared" ca="1" si="72"/>
        <v/>
      </c>
      <c r="EB30" s="164" t="str">
        <f t="shared" ca="1" si="73"/>
        <v/>
      </c>
      <c r="EC30" s="164" t="str">
        <f t="shared" ca="1" si="74"/>
        <v/>
      </c>
      <c r="ED30" s="164" t="str">
        <f t="shared" ca="1" si="75"/>
        <v/>
      </c>
      <c r="EE30" s="164" t="str">
        <f t="shared" ca="1" si="76"/>
        <v/>
      </c>
      <c r="EF30" s="164" t="str">
        <f t="shared" ca="1" si="77"/>
        <v/>
      </c>
      <c r="EG30" s="164" t="str">
        <f t="shared" ca="1" si="78"/>
        <v/>
      </c>
      <c r="EH30" s="164" t="str">
        <f t="shared" ca="1" si="79"/>
        <v/>
      </c>
      <c r="EI30" s="164" t="str">
        <f t="shared" ca="1" si="80"/>
        <v/>
      </c>
      <c r="EJ30" s="164" t="str">
        <f t="shared" ca="1" si="81"/>
        <v/>
      </c>
      <c r="EK30" s="164" t="str">
        <f t="shared" ca="1" si="82"/>
        <v/>
      </c>
      <c r="EL30" s="164" t="str">
        <f t="shared" ca="1" si="83"/>
        <v/>
      </c>
      <c r="EM30" s="164" t="str">
        <f t="shared" ca="1" si="84"/>
        <v/>
      </c>
      <c r="EN30" s="164" t="str">
        <f t="shared" ca="1" si="85"/>
        <v/>
      </c>
      <c r="EO30" s="164" t="str">
        <f t="shared" ca="1" si="86"/>
        <v/>
      </c>
      <c r="EP30" s="164" t="str">
        <f t="shared" ca="1" si="87"/>
        <v/>
      </c>
      <c r="EQ30" s="164" t="str">
        <f t="shared" ca="1" si="88"/>
        <v/>
      </c>
      <c r="ER30" s="164" t="str">
        <f t="shared" ca="1" si="89"/>
        <v/>
      </c>
      <c r="ES30" s="164" t="str">
        <f t="shared" ca="1" si="90"/>
        <v/>
      </c>
    </row>
    <row r="31" spans="1:149" outlineLevel="1" x14ac:dyDescent="0.2">
      <c r="A31" s="89" t="str">
        <f t="shared" ca="1" si="103"/>
        <v/>
      </c>
      <c r="B31" s="317" t="str">
        <f t="shared" ca="1" si="91"/>
        <v/>
      </c>
      <c r="C31" s="609" t="str">
        <f t="shared" ca="1" si="0"/>
        <v/>
      </c>
      <c r="D31" s="1956" t="str">
        <f t="shared" ca="1" si="1"/>
        <v/>
      </c>
      <c r="E31" s="1956"/>
      <c r="F31" s="960"/>
      <c r="G31" s="485" t="str">
        <f t="shared" ca="1" si="2"/>
        <v/>
      </c>
      <c r="H31" s="983"/>
      <c r="I31" s="486"/>
      <c r="J31" s="972"/>
      <c r="K31" s="1886" t="str">
        <f t="shared" ca="1" si="3"/>
        <v/>
      </c>
      <c r="L31" s="1888"/>
      <c r="M31" s="296" t="str">
        <f t="shared" ca="1" si="92"/>
        <v/>
      </c>
      <c r="N31" s="1322"/>
      <c r="O31" s="1319"/>
      <c r="P31" s="957" t="str">
        <f t="shared" ca="1" si="4"/>
        <v/>
      </c>
      <c r="Q31" s="749"/>
      <c r="R31" s="164">
        <f t="shared" ca="1" si="5"/>
        <v>0</v>
      </c>
      <c r="S31" s="164">
        <f t="shared" ca="1" si="6"/>
        <v>0</v>
      </c>
      <c r="T31" s="164">
        <f t="shared" ca="1" si="7"/>
        <v>0</v>
      </c>
      <c r="U31" s="164">
        <f t="shared" ca="1" si="8"/>
        <v>0</v>
      </c>
      <c r="V31" s="164">
        <f t="shared" ca="1" si="9"/>
        <v>0</v>
      </c>
      <c r="W31" s="164">
        <f t="shared" ca="1" si="10"/>
        <v>0</v>
      </c>
      <c r="X31" s="164">
        <f t="shared" ca="1" si="11"/>
        <v>0</v>
      </c>
      <c r="Y31" s="164">
        <f t="shared" ca="1" si="12"/>
        <v>0</v>
      </c>
      <c r="Z31" s="164">
        <f t="shared" ca="1" si="13"/>
        <v>0</v>
      </c>
      <c r="AA31" s="164">
        <f t="shared" ca="1" si="14"/>
        <v>0</v>
      </c>
      <c r="AB31" s="164">
        <f t="shared" ca="1" si="15"/>
        <v>0</v>
      </c>
      <c r="AC31" s="164">
        <f t="shared" ca="1" si="16"/>
        <v>0</v>
      </c>
      <c r="AD31" s="164">
        <f t="shared" ca="1" si="17"/>
        <v>0</v>
      </c>
      <c r="AE31" s="164">
        <f t="shared" ca="1" si="18"/>
        <v>0</v>
      </c>
      <c r="AF31" s="164">
        <f t="shared" ca="1" si="19"/>
        <v>0</v>
      </c>
      <c r="AG31" s="164">
        <f t="shared" ca="1" si="20"/>
        <v>0</v>
      </c>
      <c r="AH31" s="164">
        <f t="shared" ca="1" si="21"/>
        <v>0</v>
      </c>
      <c r="AI31" s="164">
        <f t="shared" ca="1" si="22"/>
        <v>0</v>
      </c>
      <c r="AJ31" s="164">
        <f t="shared" ca="1" si="23"/>
        <v>0</v>
      </c>
      <c r="AK31" s="164">
        <f t="shared" ca="1" si="24"/>
        <v>0</v>
      </c>
      <c r="AL31" s="164">
        <f t="shared" ca="1" si="25"/>
        <v>0</v>
      </c>
      <c r="AM31" s="208"/>
      <c r="AN31" s="154"/>
      <c r="AO31" s="164">
        <f t="shared" ca="1" si="26"/>
        <v>0</v>
      </c>
      <c r="AP31" s="164">
        <f t="shared" ca="1" si="27"/>
        <v>0</v>
      </c>
      <c r="AQ31" s="164">
        <f t="shared" ca="1" si="28"/>
        <v>0</v>
      </c>
      <c r="AR31" s="164">
        <f t="shared" ca="1" si="29"/>
        <v>0</v>
      </c>
      <c r="AS31" s="164">
        <f t="shared" ca="1" si="30"/>
        <v>0</v>
      </c>
      <c r="AT31" s="164">
        <f t="shared" ca="1" si="31"/>
        <v>0</v>
      </c>
      <c r="AU31" s="164">
        <f t="shared" ca="1" si="32"/>
        <v>0</v>
      </c>
      <c r="AV31" s="164">
        <f t="shared" ca="1" si="33"/>
        <v>0</v>
      </c>
      <c r="AW31" s="164">
        <f t="shared" ca="1" si="34"/>
        <v>0</v>
      </c>
      <c r="AX31" s="164">
        <f t="shared" ca="1" si="35"/>
        <v>0</v>
      </c>
      <c r="AY31" s="164">
        <f t="shared" ca="1" si="36"/>
        <v>0</v>
      </c>
      <c r="AZ31" s="164">
        <f t="shared" ca="1" si="37"/>
        <v>0</v>
      </c>
      <c r="BA31" s="164">
        <f t="shared" ca="1" si="38"/>
        <v>0</v>
      </c>
      <c r="BB31" s="164">
        <f t="shared" ca="1" si="39"/>
        <v>0</v>
      </c>
      <c r="BC31" s="164">
        <f t="shared" ca="1" si="40"/>
        <v>0</v>
      </c>
      <c r="BD31" s="164">
        <f t="shared" ca="1" si="41"/>
        <v>0</v>
      </c>
      <c r="BE31" s="164">
        <f t="shared" ca="1" si="42"/>
        <v>0</v>
      </c>
      <c r="BF31" s="164">
        <f t="shared" ca="1" si="43"/>
        <v>0</v>
      </c>
      <c r="BG31" s="164">
        <f t="shared" ca="1" si="44"/>
        <v>0</v>
      </c>
      <c r="BH31" s="164">
        <f t="shared" ca="1" si="45"/>
        <v>0</v>
      </c>
      <c r="BI31" s="164">
        <f t="shared" ca="1" si="46"/>
        <v>0</v>
      </c>
      <c r="BJ31" s="164">
        <f t="shared" ca="1" si="47"/>
        <v>0</v>
      </c>
      <c r="BK31" s="164">
        <f t="shared" ca="1" si="48"/>
        <v>0</v>
      </c>
      <c r="BL31" s="164">
        <f t="shared" ca="1" si="49"/>
        <v>0</v>
      </c>
      <c r="BM31" s="164">
        <f t="shared" ca="1" si="50"/>
        <v>0</v>
      </c>
      <c r="BN31" s="164">
        <f t="shared" ca="1" si="51"/>
        <v>0</v>
      </c>
      <c r="BO31" s="356" t="str">
        <f t="shared" ca="1" si="52"/>
        <v/>
      </c>
      <c r="BP31" s="355" t="str">
        <f t="shared" ca="1" si="53"/>
        <v/>
      </c>
      <c r="BQ31" s="355" t="str">
        <f t="shared" ca="1" si="54"/>
        <v/>
      </c>
      <c r="BR31" s="348">
        <f t="shared" ca="1" si="93"/>
        <v>0</v>
      </c>
      <c r="BS31" s="348">
        <f t="shared" ca="1" si="94"/>
        <v>0</v>
      </c>
      <c r="BT31" s="610">
        <f t="shared" ca="1" si="55"/>
        <v>0</v>
      </c>
      <c r="BU31" s="357">
        <v>1</v>
      </c>
      <c r="BV31" s="357">
        <v>0</v>
      </c>
      <c r="BW31" s="357">
        <f t="shared" si="56"/>
        <v>0</v>
      </c>
      <c r="BX31" s="357">
        <f t="shared" ca="1" si="57"/>
        <v>0</v>
      </c>
      <c r="BY31" s="357">
        <f t="shared" ca="1" si="95"/>
        <v>0</v>
      </c>
      <c r="BZ31" s="357"/>
      <c r="CA31" s="357">
        <f t="shared" ca="1" si="96"/>
        <v>0</v>
      </c>
      <c r="CB31" s="357"/>
      <c r="CC31" s="358" t="str">
        <f t="shared" ca="1" si="97"/>
        <v/>
      </c>
      <c r="CD31" s="358" t="str">
        <f t="shared" ca="1" si="98"/>
        <v/>
      </c>
      <c r="CE31" s="357" t="str">
        <f t="shared" ca="1" si="99"/>
        <v>,,,,,,,,,,,,,,,,,,,,,</v>
      </c>
      <c r="CF31" s="154"/>
      <c r="CG31" s="154">
        <f t="shared" ca="1" si="100"/>
        <v>0</v>
      </c>
      <c r="CH31" s="268" t="str">
        <f t="shared" ca="1" si="58"/>
        <v/>
      </c>
      <c r="CI31" s="268">
        <f t="shared" ca="1" si="101"/>
        <v>0</v>
      </c>
      <c r="CJ31" s="268" t="str">
        <f t="shared" ca="1" si="59"/>
        <v/>
      </c>
      <c r="CK31" s="268">
        <f t="shared" ca="1" si="60"/>
        <v>0</v>
      </c>
      <c r="CL31" s="268">
        <f t="shared" ca="1" si="61"/>
        <v>0</v>
      </c>
      <c r="CM31" s="154">
        <f t="shared" ca="1" si="102"/>
        <v>0</v>
      </c>
      <c r="CN31" s="154"/>
      <c r="CO31" s="169"/>
      <c r="CP31" s="169"/>
      <c r="CQ31" s="169"/>
      <c r="CR31" s="169"/>
      <c r="CS31" s="169"/>
      <c r="CT31" s="169"/>
      <c r="CU31" s="169"/>
      <c r="CV31" s="164" t="str">
        <f t="shared" ca="1" si="104"/>
        <v/>
      </c>
      <c r="CW31" s="164" t="str">
        <f t="shared" ca="1" si="104"/>
        <v/>
      </c>
      <c r="CX31" s="164" t="str">
        <f t="shared" ca="1" si="104"/>
        <v/>
      </c>
      <c r="CY31" s="164" t="str">
        <f t="shared" ca="1" si="104"/>
        <v/>
      </c>
      <c r="CZ31" s="164" t="str">
        <f t="shared" ca="1" si="104"/>
        <v/>
      </c>
      <c r="DA31" s="164" t="str">
        <f t="shared" ca="1" si="104"/>
        <v/>
      </c>
      <c r="DB31" s="164" t="str">
        <f t="shared" ca="1" si="104"/>
        <v/>
      </c>
      <c r="DC31" s="164" t="str">
        <f t="shared" ca="1" si="104"/>
        <v/>
      </c>
      <c r="DD31" s="164" t="str">
        <f t="shared" ca="1" si="104"/>
        <v/>
      </c>
      <c r="DE31" s="164" t="str">
        <f t="shared" ca="1" si="104"/>
        <v/>
      </c>
      <c r="DF31" s="164" t="str">
        <f t="shared" ca="1" si="105"/>
        <v/>
      </c>
      <c r="DG31" s="164" t="str">
        <f t="shared" ca="1" si="105"/>
        <v/>
      </c>
      <c r="DH31" s="164" t="str">
        <f t="shared" ca="1" si="105"/>
        <v/>
      </c>
      <c r="DI31" s="164" t="str">
        <f t="shared" ca="1" si="105"/>
        <v/>
      </c>
      <c r="DJ31" s="164" t="str">
        <f t="shared" ca="1" si="105"/>
        <v/>
      </c>
      <c r="DK31" s="164" t="str">
        <f t="shared" ca="1" si="105"/>
        <v/>
      </c>
      <c r="DL31" s="164" t="str">
        <f t="shared" ca="1" si="105"/>
        <v/>
      </c>
      <c r="DM31" s="164" t="str">
        <f t="shared" ca="1" si="105"/>
        <v/>
      </c>
      <c r="DN31" s="164" t="str">
        <f t="shared" ca="1" si="105"/>
        <v/>
      </c>
      <c r="DO31" s="164" t="str">
        <f t="shared" ca="1" si="105"/>
        <v/>
      </c>
      <c r="DP31" s="164" t="str">
        <f t="shared" ca="1" si="105"/>
        <v/>
      </c>
      <c r="DQ31" s="164" t="str">
        <f t="shared" ca="1" si="105"/>
        <v/>
      </c>
      <c r="DR31" s="208"/>
      <c r="DS31" s="164" t="str">
        <f t="shared" ca="1" si="64"/>
        <v/>
      </c>
      <c r="DT31" s="164" t="str">
        <f t="shared" ca="1" si="65"/>
        <v/>
      </c>
      <c r="DU31" s="164" t="str">
        <f t="shared" ca="1" si="66"/>
        <v/>
      </c>
      <c r="DV31" s="164" t="str">
        <f t="shared" ca="1" si="67"/>
        <v/>
      </c>
      <c r="DW31" s="164" t="str">
        <f t="shared" ca="1" si="68"/>
        <v/>
      </c>
      <c r="DX31" s="164" t="str">
        <f t="shared" ca="1" si="69"/>
        <v/>
      </c>
      <c r="DY31" s="164" t="str">
        <f t="shared" ca="1" si="70"/>
        <v/>
      </c>
      <c r="DZ31" s="164" t="str">
        <f t="shared" ca="1" si="71"/>
        <v/>
      </c>
      <c r="EA31" s="164" t="str">
        <f t="shared" ca="1" si="72"/>
        <v/>
      </c>
      <c r="EB31" s="164" t="str">
        <f t="shared" ca="1" si="73"/>
        <v/>
      </c>
      <c r="EC31" s="164" t="str">
        <f t="shared" ca="1" si="74"/>
        <v/>
      </c>
      <c r="ED31" s="164" t="str">
        <f t="shared" ca="1" si="75"/>
        <v/>
      </c>
      <c r="EE31" s="164" t="str">
        <f t="shared" ca="1" si="76"/>
        <v/>
      </c>
      <c r="EF31" s="164" t="str">
        <f t="shared" ca="1" si="77"/>
        <v/>
      </c>
      <c r="EG31" s="164" t="str">
        <f t="shared" ca="1" si="78"/>
        <v/>
      </c>
      <c r="EH31" s="164" t="str">
        <f t="shared" ca="1" si="79"/>
        <v/>
      </c>
      <c r="EI31" s="164" t="str">
        <f t="shared" ca="1" si="80"/>
        <v/>
      </c>
      <c r="EJ31" s="164" t="str">
        <f t="shared" ca="1" si="81"/>
        <v/>
      </c>
      <c r="EK31" s="164" t="str">
        <f t="shared" ca="1" si="82"/>
        <v/>
      </c>
      <c r="EL31" s="164" t="str">
        <f t="shared" ca="1" si="83"/>
        <v/>
      </c>
      <c r="EM31" s="164" t="str">
        <f t="shared" ca="1" si="84"/>
        <v/>
      </c>
      <c r="EN31" s="164" t="str">
        <f t="shared" ca="1" si="85"/>
        <v/>
      </c>
      <c r="EO31" s="164" t="str">
        <f t="shared" ca="1" si="86"/>
        <v/>
      </c>
      <c r="EP31" s="164" t="str">
        <f t="shared" ca="1" si="87"/>
        <v/>
      </c>
      <c r="EQ31" s="164" t="str">
        <f t="shared" ca="1" si="88"/>
        <v/>
      </c>
      <c r="ER31" s="164" t="str">
        <f t="shared" ca="1" si="89"/>
        <v/>
      </c>
      <c r="ES31" s="164" t="str">
        <f t="shared" ca="1" si="90"/>
        <v/>
      </c>
    </row>
    <row r="32" spans="1:149" outlineLevel="1" x14ac:dyDescent="0.2">
      <c r="A32" s="89" t="str">
        <f t="shared" ca="1" si="103"/>
        <v/>
      </c>
      <c r="B32" s="317" t="str">
        <f t="shared" ca="1" si="91"/>
        <v/>
      </c>
      <c r="C32" s="609" t="str">
        <f t="shared" ca="1" si="0"/>
        <v/>
      </c>
      <c r="D32" s="1956" t="str">
        <f t="shared" ca="1" si="1"/>
        <v/>
      </c>
      <c r="E32" s="1956"/>
      <c r="F32" s="960"/>
      <c r="G32" s="485" t="str">
        <f t="shared" ca="1" si="2"/>
        <v/>
      </c>
      <c r="H32" s="983"/>
      <c r="I32" s="486"/>
      <c r="J32" s="972"/>
      <c r="K32" s="1886" t="str">
        <f t="shared" ca="1" si="3"/>
        <v/>
      </c>
      <c r="L32" s="1888"/>
      <c r="M32" s="296" t="str">
        <f t="shared" ca="1" si="92"/>
        <v/>
      </c>
      <c r="N32" s="1322"/>
      <c r="O32" s="1319"/>
      <c r="P32" s="957" t="str">
        <f t="shared" ca="1" si="4"/>
        <v/>
      </c>
      <c r="Q32" s="749"/>
      <c r="R32" s="164">
        <f t="shared" ca="1" si="5"/>
        <v>0</v>
      </c>
      <c r="S32" s="164">
        <f t="shared" ca="1" si="6"/>
        <v>0</v>
      </c>
      <c r="T32" s="164">
        <f t="shared" ca="1" si="7"/>
        <v>0</v>
      </c>
      <c r="U32" s="164">
        <f t="shared" ca="1" si="8"/>
        <v>0</v>
      </c>
      <c r="V32" s="164">
        <f t="shared" ca="1" si="9"/>
        <v>0</v>
      </c>
      <c r="W32" s="164">
        <f t="shared" ca="1" si="10"/>
        <v>0</v>
      </c>
      <c r="X32" s="164">
        <f t="shared" ca="1" si="11"/>
        <v>0</v>
      </c>
      <c r="Y32" s="164">
        <f t="shared" ca="1" si="12"/>
        <v>0</v>
      </c>
      <c r="Z32" s="164">
        <f t="shared" ca="1" si="13"/>
        <v>0</v>
      </c>
      <c r="AA32" s="164">
        <f t="shared" ca="1" si="14"/>
        <v>0</v>
      </c>
      <c r="AB32" s="164">
        <f t="shared" ca="1" si="15"/>
        <v>0</v>
      </c>
      <c r="AC32" s="164">
        <f t="shared" ca="1" si="16"/>
        <v>0</v>
      </c>
      <c r="AD32" s="164">
        <f t="shared" ca="1" si="17"/>
        <v>0</v>
      </c>
      <c r="AE32" s="164">
        <f t="shared" ca="1" si="18"/>
        <v>0</v>
      </c>
      <c r="AF32" s="164">
        <f t="shared" ca="1" si="19"/>
        <v>0</v>
      </c>
      <c r="AG32" s="164">
        <f t="shared" ca="1" si="20"/>
        <v>0</v>
      </c>
      <c r="AH32" s="164">
        <f t="shared" ca="1" si="21"/>
        <v>0</v>
      </c>
      <c r="AI32" s="164">
        <f t="shared" ca="1" si="22"/>
        <v>0</v>
      </c>
      <c r="AJ32" s="164">
        <f t="shared" ca="1" si="23"/>
        <v>0</v>
      </c>
      <c r="AK32" s="164">
        <f t="shared" ca="1" si="24"/>
        <v>0</v>
      </c>
      <c r="AL32" s="164">
        <f t="shared" ca="1" si="25"/>
        <v>0</v>
      </c>
      <c r="AM32" s="208"/>
      <c r="AN32" s="154"/>
      <c r="AO32" s="164">
        <f t="shared" ca="1" si="26"/>
        <v>0</v>
      </c>
      <c r="AP32" s="164">
        <f t="shared" ca="1" si="27"/>
        <v>0</v>
      </c>
      <c r="AQ32" s="164">
        <f t="shared" ca="1" si="28"/>
        <v>0</v>
      </c>
      <c r="AR32" s="164">
        <f t="shared" ca="1" si="29"/>
        <v>0</v>
      </c>
      <c r="AS32" s="164">
        <f t="shared" ca="1" si="30"/>
        <v>0</v>
      </c>
      <c r="AT32" s="164">
        <f t="shared" ca="1" si="31"/>
        <v>0</v>
      </c>
      <c r="AU32" s="164">
        <f t="shared" ca="1" si="32"/>
        <v>0</v>
      </c>
      <c r="AV32" s="164">
        <f t="shared" ca="1" si="33"/>
        <v>0</v>
      </c>
      <c r="AW32" s="164">
        <f t="shared" ca="1" si="34"/>
        <v>0</v>
      </c>
      <c r="AX32" s="164">
        <f t="shared" ca="1" si="35"/>
        <v>0</v>
      </c>
      <c r="AY32" s="164">
        <f t="shared" ca="1" si="36"/>
        <v>0</v>
      </c>
      <c r="AZ32" s="164">
        <f t="shared" ca="1" si="37"/>
        <v>0</v>
      </c>
      <c r="BA32" s="164">
        <f t="shared" ca="1" si="38"/>
        <v>0</v>
      </c>
      <c r="BB32" s="164">
        <f t="shared" ca="1" si="39"/>
        <v>0</v>
      </c>
      <c r="BC32" s="164">
        <f t="shared" ca="1" si="40"/>
        <v>0</v>
      </c>
      <c r="BD32" s="164">
        <f t="shared" ca="1" si="41"/>
        <v>0</v>
      </c>
      <c r="BE32" s="164">
        <f t="shared" ca="1" si="42"/>
        <v>0</v>
      </c>
      <c r="BF32" s="164">
        <f t="shared" ca="1" si="43"/>
        <v>0</v>
      </c>
      <c r="BG32" s="164">
        <f t="shared" ca="1" si="44"/>
        <v>0</v>
      </c>
      <c r="BH32" s="164">
        <f t="shared" ca="1" si="45"/>
        <v>0</v>
      </c>
      <c r="BI32" s="164">
        <f t="shared" ca="1" si="46"/>
        <v>0</v>
      </c>
      <c r="BJ32" s="164">
        <f t="shared" ca="1" si="47"/>
        <v>0</v>
      </c>
      <c r="BK32" s="164">
        <f t="shared" ca="1" si="48"/>
        <v>0</v>
      </c>
      <c r="BL32" s="164">
        <f t="shared" ca="1" si="49"/>
        <v>0</v>
      </c>
      <c r="BM32" s="164">
        <f t="shared" ca="1" si="50"/>
        <v>0</v>
      </c>
      <c r="BN32" s="164">
        <f t="shared" ca="1" si="51"/>
        <v>0</v>
      </c>
      <c r="BO32" s="356" t="str">
        <f t="shared" ca="1" si="52"/>
        <v/>
      </c>
      <c r="BP32" s="355" t="str">
        <f t="shared" ca="1" si="53"/>
        <v/>
      </c>
      <c r="BQ32" s="355" t="str">
        <f t="shared" ca="1" si="54"/>
        <v/>
      </c>
      <c r="BR32" s="348">
        <f t="shared" ca="1" si="93"/>
        <v>0</v>
      </c>
      <c r="BS32" s="348">
        <f t="shared" ca="1" si="94"/>
        <v>0</v>
      </c>
      <c r="BT32" s="610">
        <f t="shared" ca="1" si="55"/>
        <v>0</v>
      </c>
      <c r="BU32" s="357">
        <v>1</v>
      </c>
      <c r="BV32" s="357">
        <v>0</v>
      </c>
      <c r="BW32" s="357">
        <f t="shared" si="56"/>
        <v>0</v>
      </c>
      <c r="BX32" s="357">
        <f t="shared" ca="1" si="57"/>
        <v>0</v>
      </c>
      <c r="BY32" s="357">
        <f t="shared" ca="1" si="95"/>
        <v>0</v>
      </c>
      <c r="BZ32" s="357"/>
      <c r="CA32" s="357">
        <f t="shared" ca="1" si="96"/>
        <v>0</v>
      </c>
      <c r="CB32" s="357"/>
      <c r="CC32" s="358" t="str">
        <f t="shared" ca="1" si="97"/>
        <v/>
      </c>
      <c r="CD32" s="358" t="str">
        <f t="shared" ca="1" si="98"/>
        <v/>
      </c>
      <c r="CE32" s="357" t="str">
        <f t="shared" ca="1" si="99"/>
        <v>,,,,,,,,,,,,,,,,,,,,,,</v>
      </c>
      <c r="CF32" s="154"/>
      <c r="CG32" s="154">
        <f t="shared" ca="1" si="100"/>
        <v>0</v>
      </c>
      <c r="CH32" s="268" t="str">
        <f t="shared" ca="1" si="58"/>
        <v/>
      </c>
      <c r="CI32" s="268">
        <f t="shared" ca="1" si="101"/>
        <v>0</v>
      </c>
      <c r="CJ32" s="268" t="str">
        <f t="shared" ca="1" si="59"/>
        <v/>
      </c>
      <c r="CK32" s="268">
        <f t="shared" ca="1" si="60"/>
        <v>0</v>
      </c>
      <c r="CL32" s="268">
        <f t="shared" ca="1" si="61"/>
        <v>0</v>
      </c>
      <c r="CM32" s="154">
        <f t="shared" ca="1" si="102"/>
        <v>0</v>
      </c>
      <c r="CN32" s="154"/>
      <c r="CO32" s="169"/>
      <c r="CP32" s="169"/>
      <c r="CQ32" s="169"/>
      <c r="CR32" s="169"/>
      <c r="CS32" s="169"/>
      <c r="CT32" s="169"/>
      <c r="CU32" s="169"/>
      <c r="CV32" s="164" t="str">
        <f t="shared" ca="1" si="104"/>
        <v/>
      </c>
      <c r="CW32" s="164" t="str">
        <f t="shared" ca="1" si="104"/>
        <v/>
      </c>
      <c r="CX32" s="164" t="str">
        <f t="shared" ca="1" si="104"/>
        <v/>
      </c>
      <c r="CY32" s="164" t="str">
        <f t="shared" ca="1" si="104"/>
        <v/>
      </c>
      <c r="CZ32" s="164" t="str">
        <f t="shared" ca="1" si="104"/>
        <v/>
      </c>
      <c r="DA32" s="164" t="str">
        <f t="shared" ca="1" si="104"/>
        <v/>
      </c>
      <c r="DB32" s="164" t="str">
        <f t="shared" ca="1" si="104"/>
        <v/>
      </c>
      <c r="DC32" s="164" t="str">
        <f t="shared" ca="1" si="104"/>
        <v/>
      </c>
      <c r="DD32" s="164" t="str">
        <f t="shared" ca="1" si="104"/>
        <v/>
      </c>
      <c r="DE32" s="164" t="str">
        <f t="shared" ca="1" si="104"/>
        <v/>
      </c>
      <c r="DF32" s="164" t="str">
        <f t="shared" ca="1" si="105"/>
        <v/>
      </c>
      <c r="DG32" s="164" t="str">
        <f t="shared" ca="1" si="105"/>
        <v/>
      </c>
      <c r="DH32" s="164" t="str">
        <f t="shared" ca="1" si="105"/>
        <v/>
      </c>
      <c r="DI32" s="164" t="str">
        <f t="shared" ca="1" si="105"/>
        <v/>
      </c>
      <c r="DJ32" s="164" t="str">
        <f t="shared" ca="1" si="105"/>
        <v/>
      </c>
      <c r="DK32" s="164" t="str">
        <f t="shared" ca="1" si="105"/>
        <v/>
      </c>
      <c r="DL32" s="164" t="str">
        <f t="shared" ca="1" si="105"/>
        <v/>
      </c>
      <c r="DM32" s="164" t="str">
        <f t="shared" ca="1" si="105"/>
        <v/>
      </c>
      <c r="DN32" s="164" t="str">
        <f t="shared" ca="1" si="105"/>
        <v/>
      </c>
      <c r="DO32" s="164" t="str">
        <f t="shared" ca="1" si="105"/>
        <v/>
      </c>
      <c r="DP32" s="164" t="str">
        <f t="shared" ca="1" si="105"/>
        <v/>
      </c>
      <c r="DQ32" s="164" t="str">
        <f t="shared" ca="1" si="105"/>
        <v/>
      </c>
      <c r="DR32" s="208"/>
      <c r="DS32" s="164" t="str">
        <f t="shared" ca="1" si="64"/>
        <v/>
      </c>
      <c r="DT32" s="164" t="str">
        <f t="shared" ca="1" si="65"/>
        <v/>
      </c>
      <c r="DU32" s="164" t="str">
        <f t="shared" ca="1" si="66"/>
        <v/>
      </c>
      <c r="DV32" s="164" t="str">
        <f t="shared" ca="1" si="67"/>
        <v/>
      </c>
      <c r="DW32" s="164" t="str">
        <f t="shared" ca="1" si="68"/>
        <v/>
      </c>
      <c r="DX32" s="164" t="str">
        <f t="shared" ca="1" si="69"/>
        <v/>
      </c>
      <c r="DY32" s="164" t="str">
        <f t="shared" ca="1" si="70"/>
        <v/>
      </c>
      <c r="DZ32" s="164" t="str">
        <f t="shared" ca="1" si="71"/>
        <v/>
      </c>
      <c r="EA32" s="164" t="str">
        <f t="shared" ca="1" si="72"/>
        <v/>
      </c>
      <c r="EB32" s="164" t="str">
        <f t="shared" ca="1" si="73"/>
        <v/>
      </c>
      <c r="EC32" s="164" t="str">
        <f t="shared" ca="1" si="74"/>
        <v/>
      </c>
      <c r="ED32" s="164" t="str">
        <f t="shared" ca="1" si="75"/>
        <v/>
      </c>
      <c r="EE32" s="164" t="str">
        <f t="shared" ca="1" si="76"/>
        <v/>
      </c>
      <c r="EF32" s="164" t="str">
        <f t="shared" ca="1" si="77"/>
        <v/>
      </c>
      <c r="EG32" s="164" t="str">
        <f t="shared" ca="1" si="78"/>
        <v/>
      </c>
      <c r="EH32" s="164" t="str">
        <f t="shared" ca="1" si="79"/>
        <v/>
      </c>
      <c r="EI32" s="164" t="str">
        <f t="shared" ca="1" si="80"/>
        <v/>
      </c>
      <c r="EJ32" s="164" t="str">
        <f t="shared" ca="1" si="81"/>
        <v/>
      </c>
      <c r="EK32" s="164" t="str">
        <f t="shared" ca="1" si="82"/>
        <v/>
      </c>
      <c r="EL32" s="164" t="str">
        <f t="shared" ca="1" si="83"/>
        <v/>
      </c>
      <c r="EM32" s="164" t="str">
        <f t="shared" ca="1" si="84"/>
        <v/>
      </c>
      <c r="EN32" s="164" t="str">
        <f t="shared" ca="1" si="85"/>
        <v/>
      </c>
      <c r="EO32" s="164" t="str">
        <f t="shared" ca="1" si="86"/>
        <v/>
      </c>
      <c r="EP32" s="164" t="str">
        <f t="shared" ca="1" si="87"/>
        <v/>
      </c>
      <c r="EQ32" s="164" t="str">
        <f t="shared" ca="1" si="88"/>
        <v/>
      </c>
      <c r="ER32" s="164" t="str">
        <f t="shared" ca="1" si="89"/>
        <v/>
      </c>
      <c r="ES32" s="164" t="str">
        <f t="shared" ca="1" si="90"/>
        <v/>
      </c>
    </row>
    <row r="33" spans="1:149" outlineLevel="1" x14ac:dyDescent="0.2">
      <c r="A33" s="89" t="str">
        <f t="shared" ca="1" si="103"/>
        <v/>
      </c>
      <c r="B33" s="317" t="str">
        <f t="shared" ca="1" si="91"/>
        <v/>
      </c>
      <c r="C33" s="609" t="str">
        <f t="shared" ca="1" si="0"/>
        <v/>
      </c>
      <c r="D33" s="1956" t="str">
        <f t="shared" ca="1" si="1"/>
        <v/>
      </c>
      <c r="E33" s="1956"/>
      <c r="F33" s="960"/>
      <c r="G33" s="485" t="str">
        <f t="shared" ca="1" si="2"/>
        <v/>
      </c>
      <c r="H33" s="983"/>
      <c r="I33" s="486"/>
      <c r="J33" s="972"/>
      <c r="K33" s="1886" t="str">
        <f t="shared" ca="1" si="3"/>
        <v/>
      </c>
      <c r="L33" s="1888"/>
      <c r="M33" s="296" t="str">
        <f t="shared" ca="1" si="92"/>
        <v/>
      </c>
      <c r="N33" s="1322"/>
      <c r="O33" s="1319"/>
      <c r="P33" s="957" t="str">
        <f t="shared" ca="1" si="4"/>
        <v/>
      </c>
      <c r="Q33" s="749"/>
      <c r="R33" s="164">
        <f t="shared" ca="1" si="5"/>
        <v>0</v>
      </c>
      <c r="S33" s="164">
        <f t="shared" ca="1" si="6"/>
        <v>0</v>
      </c>
      <c r="T33" s="164">
        <f t="shared" ca="1" si="7"/>
        <v>0</v>
      </c>
      <c r="U33" s="164">
        <f t="shared" ca="1" si="8"/>
        <v>0</v>
      </c>
      <c r="V33" s="164">
        <f t="shared" ca="1" si="9"/>
        <v>0</v>
      </c>
      <c r="W33" s="164">
        <f t="shared" ca="1" si="10"/>
        <v>0</v>
      </c>
      <c r="X33" s="164">
        <f t="shared" ca="1" si="11"/>
        <v>0</v>
      </c>
      <c r="Y33" s="164">
        <f t="shared" ca="1" si="12"/>
        <v>0</v>
      </c>
      <c r="Z33" s="164">
        <f t="shared" ca="1" si="13"/>
        <v>0</v>
      </c>
      <c r="AA33" s="164">
        <f t="shared" ca="1" si="14"/>
        <v>0</v>
      </c>
      <c r="AB33" s="164">
        <f t="shared" ca="1" si="15"/>
        <v>0</v>
      </c>
      <c r="AC33" s="164">
        <f t="shared" ca="1" si="16"/>
        <v>0</v>
      </c>
      <c r="AD33" s="164">
        <f t="shared" ca="1" si="17"/>
        <v>0</v>
      </c>
      <c r="AE33" s="164">
        <f t="shared" ca="1" si="18"/>
        <v>0</v>
      </c>
      <c r="AF33" s="164">
        <f t="shared" ca="1" si="19"/>
        <v>0</v>
      </c>
      <c r="AG33" s="164">
        <f t="shared" ca="1" si="20"/>
        <v>0</v>
      </c>
      <c r="AH33" s="164">
        <f t="shared" ca="1" si="21"/>
        <v>0</v>
      </c>
      <c r="AI33" s="164">
        <f t="shared" ca="1" si="22"/>
        <v>0</v>
      </c>
      <c r="AJ33" s="164">
        <f t="shared" ca="1" si="23"/>
        <v>0</v>
      </c>
      <c r="AK33" s="164">
        <f t="shared" ca="1" si="24"/>
        <v>0</v>
      </c>
      <c r="AL33" s="164">
        <f t="shared" ca="1" si="25"/>
        <v>0</v>
      </c>
      <c r="AM33" s="208"/>
      <c r="AN33" s="154"/>
      <c r="AO33" s="164">
        <f t="shared" ca="1" si="26"/>
        <v>0</v>
      </c>
      <c r="AP33" s="164">
        <f t="shared" ca="1" si="27"/>
        <v>0</v>
      </c>
      <c r="AQ33" s="164">
        <f t="shared" ca="1" si="28"/>
        <v>0</v>
      </c>
      <c r="AR33" s="164">
        <f t="shared" ca="1" si="29"/>
        <v>0</v>
      </c>
      <c r="AS33" s="164">
        <f t="shared" ca="1" si="30"/>
        <v>0</v>
      </c>
      <c r="AT33" s="164">
        <f t="shared" ca="1" si="31"/>
        <v>0</v>
      </c>
      <c r="AU33" s="164">
        <f t="shared" ca="1" si="32"/>
        <v>0</v>
      </c>
      <c r="AV33" s="164">
        <f t="shared" ca="1" si="33"/>
        <v>0</v>
      </c>
      <c r="AW33" s="164">
        <f t="shared" ca="1" si="34"/>
        <v>0</v>
      </c>
      <c r="AX33" s="164">
        <f t="shared" ca="1" si="35"/>
        <v>0</v>
      </c>
      <c r="AY33" s="164">
        <f t="shared" ca="1" si="36"/>
        <v>0</v>
      </c>
      <c r="AZ33" s="164">
        <f t="shared" ca="1" si="37"/>
        <v>0</v>
      </c>
      <c r="BA33" s="164">
        <f t="shared" ca="1" si="38"/>
        <v>0</v>
      </c>
      <c r="BB33" s="164">
        <f t="shared" ca="1" si="39"/>
        <v>0</v>
      </c>
      <c r="BC33" s="164">
        <f t="shared" ca="1" si="40"/>
        <v>0</v>
      </c>
      <c r="BD33" s="164">
        <f t="shared" ca="1" si="41"/>
        <v>0</v>
      </c>
      <c r="BE33" s="164">
        <f t="shared" ca="1" si="42"/>
        <v>0</v>
      </c>
      <c r="BF33" s="164">
        <f t="shared" ca="1" si="43"/>
        <v>0</v>
      </c>
      <c r="BG33" s="164">
        <f t="shared" ca="1" si="44"/>
        <v>0</v>
      </c>
      <c r="BH33" s="164">
        <f t="shared" ca="1" si="45"/>
        <v>0</v>
      </c>
      <c r="BI33" s="164">
        <f t="shared" ca="1" si="46"/>
        <v>0</v>
      </c>
      <c r="BJ33" s="164">
        <f t="shared" ca="1" si="47"/>
        <v>0</v>
      </c>
      <c r="BK33" s="164">
        <f t="shared" ca="1" si="48"/>
        <v>0</v>
      </c>
      <c r="BL33" s="164">
        <f t="shared" ca="1" si="49"/>
        <v>0</v>
      </c>
      <c r="BM33" s="164">
        <f t="shared" ca="1" si="50"/>
        <v>0</v>
      </c>
      <c r="BN33" s="164">
        <f t="shared" ca="1" si="51"/>
        <v>0</v>
      </c>
      <c r="BO33" s="356" t="str">
        <f t="shared" ca="1" si="52"/>
        <v/>
      </c>
      <c r="BP33" s="355" t="str">
        <f t="shared" ca="1" si="53"/>
        <v/>
      </c>
      <c r="BQ33" s="355" t="str">
        <f t="shared" ca="1" si="54"/>
        <v/>
      </c>
      <c r="BR33" s="348">
        <f t="shared" ca="1" si="93"/>
        <v>0</v>
      </c>
      <c r="BS33" s="348">
        <f t="shared" ca="1" si="94"/>
        <v>0</v>
      </c>
      <c r="BT33" s="610">
        <f t="shared" ca="1" si="55"/>
        <v>0</v>
      </c>
      <c r="BU33" s="357">
        <v>1</v>
      </c>
      <c r="BV33" s="357">
        <v>0</v>
      </c>
      <c r="BW33" s="357">
        <f t="shared" si="56"/>
        <v>0</v>
      </c>
      <c r="BX33" s="357">
        <f t="shared" ca="1" si="57"/>
        <v>0</v>
      </c>
      <c r="BY33" s="357">
        <f t="shared" ca="1" si="95"/>
        <v>0</v>
      </c>
      <c r="BZ33" s="357"/>
      <c r="CA33" s="357">
        <f t="shared" ca="1" si="96"/>
        <v>0</v>
      </c>
      <c r="CB33" s="357"/>
      <c r="CC33" s="358" t="str">
        <f t="shared" ca="1" si="97"/>
        <v/>
      </c>
      <c r="CD33" s="358" t="str">
        <f t="shared" ca="1" si="98"/>
        <v/>
      </c>
      <c r="CE33" s="357" t="str">
        <f t="shared" ca="1" si="99"/>
        <v>,,,,,,,,,,,,,,,,,,,,,,,</v>
      </c>
      <c r="CF33" s="154"/>
      <c r="CG33" s="154">
        <f t="shared" ca="1" si="100"/>
        <v>0</v>
      </c>
      <c r="CH33" s="268" t="str">
        <f t="shared" ca="1" si="58"/>
        <v/>
      </c>
      <c r="CI33" s="268">
        <f t="shared" ca="1" si="101"/>
        <v>0</v>
      </c>
      <c r="CJ33" s="268" t="str">
        <f t="shared" ca="1" si="59"/>
        <v/>
      </c>
      <c r="CK33" s="268">
        <f t="shared" ca="1" si="60"/>
        <v>0</v>
      </c>
      <c r="CL33" s="268">
        <f t="shared" ca="1" si="61"/>
        <v>0</v>
      </c>
      <c r="CM33" s="154">
        <f t="shared" ca="1" si="102"/>
        <v>0</v>
      </c>
      <c r="CN33" s="154"/>
      <c r="CO33" s="169"/>
      <c r="CP33" s="169"/>
      <c r="CQ33" s="169"/>
      <c r="CR33" s="169"/>
      <c r="CS33" s="169"/>
      <c r="CT33" s="169"/>
      <c r="CU33" s="169"/>
      <c r="CV33" s="164" t="str">
        <f t="shared" ca="1" si="104"/>
        <v/>
      </c>
      <c r="CW33" s="164" t="str">
        <f t="shared" ca="1" si="104"/>
        <v/>
      </c>
      <c r="CX33" s="164" t="str">
        <f t="shared" ca="1" si="104"/>
        <v/>
      </c>
      <c r="CY33" s="164" t="str">
        <f t="shared" ca="1" si="104"/>
        <v/>
      </c>
      <c r="CZ33" s="164" t="str">
        <f t="shared" ca="1" si="104"/>
        <v/>
      </c>
      <c r="DA33" s="164" t="str">
        <f t="shared" ca="1" si="104"/>
        <v/>
      </c>
      <c r="DB33" s="164" t="str">
        <f t="shared" ca="1" si="104"/>
        <v/>
      </c>
      <c r="DC33" s="164" t="str">
        <f t="shared" ca="1" si="104"/>
        <v/>
      </c>
      <c r="DD33" s="164" t="str">
        <f t="shared" ca="1" si="104"/>
        <v/>
      </c>
      <c r="DE33" s="164" t="str">
        <f t="shared" ca="1" si="104"/>
        <v/>
      </c>
      <c r="DF33" s="164" t="str">
        <f t="shared" ca="1" si="105"/>
        <v/>
      </c>
      <c r="DG33" s="164" t="str">
        <f t="shared" ca="1" si="105"/>
        <v/>
      </c>
      <c r="DH33" s="164" t="str">
        <f t="shared" ca="1" si="105"/>
        <v/>
      </c>
      <c r="DI33" s="164" t="str">
        <f t="shared" ca="1" si="105"/>
        <v/>
      </c>
      <c r="DJ33" s="164" t="str">
        <f t="shared" ca="1" si="105"/>
        <v/>
      </c>
      <c r="DK33" s="164" t="str">
        <f t="shared" ca="1" si="105"/>
        <v/>
      </c>
      <c r="DL33" s="164" t="str">
        <f t="shared" ca="1" si="105"/>
        <v/>
      </c>
      <c r="DM33" s="164" t="str">
        <f t="shared" ca="1" si="105"/>
        <v/>
      </c>
      <c r="DN33" s="164" t="str">
        <f t="shared" ca="1" si="105"/>
        <v/>
      </c>
      <c r="DO33" s="164" t="str">
        <f t="shared" ca="1" si="105"/>
        <v/>
      </c>
      <c r="DP33" s="164" t="str">
        <f t="shared" ca="1" si="105"/>
        <v/>
      </c>
      <c r="DQ33" s="164" t="str">
        <f t="shared" ca="1" si="105"/>
        <v/>
      </c>
      <c r="DR33" s="208"/>
      <c r="DS33" s="164" t="str">
        <f t="shared" ca="1" si="64"/>
        <v/>
      </c>
      <c r="DT33" s="164" t="str">
        <f t="shared" ca="1" si="65"/>
        <v/>
      </c>
      <c r="DU33" s="164" t="str">
        <f t="shared" ca="1" si="66"/>
        <v/>
      </c>
      <c r="DV33" s="164" t="str">
        <f t="shared" ca="1" si="67"/>
        <v/>
      </c>
      <c r="DW33" s="164" t="str">
        <f t="shared" ca="1" si="68"/>
        <v/>
      </c>
      <c r="DX33" s="164" t="str">
        <f t="shared" ca="1" si="69"/>
        <v/>
      </c>
      <c r="DY33" s="164" t="str">
        <f t="shared" ca="1" si="70"/>
        <v/>
      </c>
      <c r="DZ33" s="164" t="str">
        <f t="shared" ca="1" si="71"/>
        <v/>
      </c>
      <c r="EA33" s="164" t="str">
        <f t="shared" ca="1" si="72"/>
        <v/>
      </c>
      <c r="EB33" s="164" t="str">
        <f t="shared" ca="1" si="73"/>
        <v/>
      </c>
      <c r="EC33" s="164" t="str">
        <f t="shared" ca="1" si="74"/>
        <v/>
      </c>
      <c r="ED33" s="164" t="str">
        <f t="shared" ca="1" si="75"/>
        <v/>
      </c>
      <c r="EE33" s="164" t="str">
        <f t="shared" ca="1" si="76"/>
        <v/>
      </c>
      <c r="EF33" s="164" t="str">
        <f t="shared" ca="1" si="77"/>
        <v/>
      </c>
      <c r="EG33" s="164" t="str">
        <f t="shared" ca="1" si="78"/>
        <v/>
      </c>
      <c r="EH33" s="164" t="str">
        <f t="shared" ca="1" si="79"/>
        <v/>
      </c>
      <c r="EI33" s="164" t="str">
        <f t="shared" ca="1" si="80"/>
        <v/>
      </c>
      <c r="EJ33" s="164" t="str">
        <f t="shared" ca="1" si="81"/>
        <v/>
      </c>
      <c r="EK33" s="164" t="str">
        <f t="shared" ca="1" si="82"/>
        <v/>
      </c>
      <c r="EL33" s="164" t="str">
        <f t="shared" ca="1" si="83"/>
        <v/>
      </c>
      <c r="EM33" s="164" t="str">
        <f t="shared" ca="1" si="84"/>
        <v/>
      </c>
      <c r="EN33" s="164" t="str">
        <f t="shared" ca="1" si="85"/>
        <v/>
      </c>
      <c r="EO33" s="164" t="str">
        <f t="shared" ca="1" si="86"/>
        <v/>
      </c>
      <c r="EP33" s="164" t="str">
        <f t="shared" ca="1" si="87"/>
        <v/>
      </c>
      <c r="EQ33" s="164" t="str">
        <f t="shared" ca="1" si="88"/>
        <v/>
      </c>
      <c r="ER33" s="164" t="str">
        <f t="shared" ca="1" si="89"/>
        <v/>
      </c>
      <c r="ES33" s="164" t="str">
        <f t="shared" ca="1" si="90"/>
        <v/>
      </c>
    </row>
    <row r="34" spans="1:149" outlineLevel="1" x14ac:dyDescent="0.2">
      <c r="A34" s="89" t="str">
        <f t="shared" ca="1" si="103"/>
        <v/>
      </c>
      <c r="B34" s="317" t="str">
        <f t="shared" ca="1" si="91"/>
        <v/>
      </c>
      <c r="C34" s="609" t="str">
        <f t="shared" ca="1" si="0"/>
        <v/>
      </c>
      <c r="D34" s="1956" t="str">
        <f t="shared" ca="1" si="1"/>
        <v/>
      </c>
      <c r="E34" s="1956"/>
      <c r="F34" s="960"/>
      <c r="G34" s="485" t="str">
        <f t="shared" ca="1" si="2"/>
        <v/>
      </c>
      <c r="H34" s="983"/>
      <c r="I34" s="486"/>
      <c r="J34" s="972"/>
      <c r="K34" s="1886" t="str">
        <f t="shared" ca="1" si="3"/>
        <v/>
      </c>
      <c r="L34" s="1888"/>
      <c r="M34" s="296" t="str">
        <f t="shared" ca="1" si="92"/>
        <v/>
      </c>
      <c r="N34" s="1322"/>
      <c r="O34" s="1319"/>
      <c r="P34" s="957" t="str">
        <f t="shared" ca="1" si="4"/>
        <v/>
      </c>
      <c r="Q34" s="749"/>
      <c r="R34" s="164">
        <f t="shared" ca="1" si="5"/>
        <v>0</v>
      </c>
      <c r="S34" s="164">
        <f t="shared" ca="1" si="6"/>
        <v>0</v>
      </c>
      <c r="T34" s="164">
        <f t="shared" ca="1" si="7"/>
        <v>0</v>
      </c>
      <c r="U34" s="164">
        <f t="shared" ca="1" si="8"/>
        <v>0</v>
      </c>
      <c r="V34" s="164">
        <f t="shared" ca="1" si="9"/>
        <v>0</v>
      </c>
      <c r="W34" s="164">
        <f t="shared" ca="1" si="10"/>
        <v>0</v>
      </c>
      <c r="X34" s="164">
        <f t="shared" ca="1" si="11"/>
        <v>0</v>
      </c>
      <c r="Y34" s="164">
        <f t="shared" ca="1" si="12"/>
        <v>0</v>
      </c>
      <c r="Z34" s="164">
        <f t="shared" ca="1" si="13"/>
        <v>0</v>
      </c>
      <c r="AA34" s="164">
        <f t="shared" ca="1" si="14"/>
        <v>0</v>
      </c>
      <c r="AB34" s="164">
        <f t="shared" ca="1" si="15"/>
        <v>0</v>
      </c>
      <c r="AC34" s="164">
        <f t="shared" ca="1" si="16"/>
        <v>0</v>
      </c>
      <c r="AD34" s="164">
        <f t="shared" ca="1" si="17"/>
        <v>0</v>
      </c>
      <c r="AE34" s="164">
        <f t="shared" ca="1" si="18"/>
        <v>0</v>
      </c>
      <c r="AF34" s="164">
        <f t="shared" ca="1" si="19"/>
        <v>0</v>
      </c>
      <c r="AG34" s="164">
        <f t="shared" ca="1" si="20"/>
        <v>0</v>
      </c>
      <c r="AH34" s="164">
        <f t="shared" ca="1" si="21"/>
        <v>0</v>
      </c>
      <c r="AI34" s="164">
        <f t="shared" ca="1" si="22"/>
        <v>0</v>
      </c>
      <c r="AJ34" s="164">
        <f t="shared" ca="1" si="23"/>
        <v>0</v>
      </c>
      <c r="AK34" s="164">
        <f t="shared" ca="1" si="24"/>
        <v>0</v>
      </c>
      <c r="AL34" s="164">
        <f t="shared" ca="1" si="25"/>
        <v>0</v>
      </c>
      <c r="AM34" s="208"/>
      <c r="AN34" s="154"/>
      <c r="AO34" s="164">
        <f t="shared" ca="1" si="26"/>
        <v>0</v>
      </c>
      <c r="AP34" s="164">
        <f t="shared" ca="1" si="27"/>
        <v>0</v>
      </c>
      <c r="AQ34" s="164">
        <f t="shared" ca="1" si="28"/>
        <v>0</v>
      </c>
      <c r="AR34" s="164">
        <f t="shared" ca="1" si="29"/>
        <v>0</v>
      </c>
      <c r="AS34" s="164">
        <f t="shared" ca="1" si="30"/>
        <v>0</v>
      </c>
      <c r="AT34" s="164">
        <f t="shared" ca="1" si="31"/>
        <v>0</v>
      </c>
      <c r="AU34" s="164">
        <f t="shared" ca="1" si="32"/>
        <v>0</v>
      </c>
      <c r="AV34" s="164">
        <f t="shared" ca="1" si="33"/>
        <v>0</v>
      </c>
      <c r="AW34" s="164">
        <f t="shared" ca="1" si="34"/>
        <v>0</v>
      </c>
      <c r="AX34" s="164">
        <f t="shared" ca="1" si="35"/>
        <v>0</v>
      </c>
      <c r="AY34" s="164">
        <f t="shared" ca="1" si="36"/>
        <v>0</v>
      </c>
      <c r="AZ34" s="164">
        <f t="shared" ca="1" si="37"/>
        <v>0</v>
      </c>
      <c r="BA34" s="164">
        <f t="shared" ca="1" si="38"/>
        <v>0</v>
      </c>
      <c r="BB34" s="164">
        <f t="shared" ca="1" si="39"/>
        <v>0</v>
      </c>
      <c r="BC34" s="164">
        <f t="shared" ca="1" si="40"/>
        <v>0</v>
      </c>
      <c r="BD34" s="164">
        <f t="shared" ca="1" si="41"/>
        <v>0</v>
      </c>
      <c r="BE34" s="164">
        <f t="shared" ca="1" si="42"/>
        <v>0</v>
      </c>
      <c r="BF34" s="164">
        <f t="shared" ca="1" si="43"/>
        <v>0</v>
      </c>
      <c r="BG34" s="164">
        <f t="shared" ca="1" si="44"/>
        <v>0</v>
      </c>
      <c r="BH34" s="164">
        <f t="shared" ca="1" si="45"/>
        <v>0</v>
      </c>
      <c r="BI34" s="164">
        <f t="shared" ca="1" si="46"/>
        <v>0</v>
      </c>
      <c r="BJ34" s="164">
        <f t="shared" ca="1" si="47"/>
        <v>0</v>
      </c>
      <c r="BK34" s="164">
        <f t="shared" ca="1" si="48"/>
        <v>0</v>
      </c>
      <c r="BL34" s="164">
        <f t="shared" ca="1" si="49"/>
        <v>0</v>
      </c>
      <c r="BM34" s="164">
        <f t="shared" ca="1" si="50"/>
        <v>0</v>
      </c>
      <c r="BN34" s="164">
        <f t="shared" ca="1" si="51"/>
        <v>0</v>
      </c>
      <c r="BO34" s="356" t="str">
        <f t="shared" ca="1" si="52"/>
        <v/>
      </c>
      <c r="BP34" s="355" t="str">
        <f t="shared" ca="1" si="53"/>
        <v/>
      </c>
      <c r="BQ34" s="355" t="str">
        <f t="shared" ca="1" si="54"/>
        <v/>
      </c>
      <c r="BR34" s="348">
        <f t="shared" ca="1" si="93"/>
        <v>0</v>
      </c>
      <c r="BS34" s="348">
        <f t="shared" ca="1" si="94"/>
        <v>0</v>
      </c>
      <c r="BT34" s="610">
        <f t="shared" ca="1" si="55"/>
        <v>0</v>
      </c>
      <c r="BU34" s="357">
        <v>1</v>
      </c>
      <c r="BV34" s="357">
        <v>0</v>
      </c>
      <c r="BW34" s="357">
        <f t="shared" si="56"/>
        <v>0</v>
      </c>
      <c r="BX34" s="357">
        <f t="shared" ca="1" si="57"/>
        <v>0</v>
      </c>
      <c r="BY34" s="357">
        <f t="shared" ca="1" si="95"/>
        <v>0</v>
      </c>
      <c r="BZ34" s="357"/>
      <c r="CA34" s="357">
        <f t="shared" ca="1" si="96"/>
        <v>0</v>
      </c>
      <c r="CB34" s="357"/>
      <c r="CC34" s="358" t="str">
        <f t="shared" ca="1" si="97"/>
        <v/>
      </c>
      <c r="CD34" s="358" t="str">
        <f t="shared" ca="1" si="98"/>
        <v/>
      </c>
      <c r="CE34" s="357" t="str">
        <f t="shared" ca="1" si="99"/>
        <v>,,,,,,,,,,,,,,,,,,,,,,,,</v>
      </c>
      <c r="CF34" s="154"/>
      <c r="CG34" s="154">
        <f t="shared" ca="1" si="100"/>
        <v>0</v>
      </c>
      <c r="CH34" s="268" t="str">
        <f t="shared" ca="1" si="58"/>
        <v/>
      </c>
      <c r="CI34" s="268">
        <f t="shared" ca="1" si="101"/>
        <v>0</v>
      </c>
      <c r="CJ34" s="268" t="str">
        <f t="shared" ca="1" si="59"/>
        <v/>
      </c>
      <c r="CK34" s="268">
        <f t="shared" ca="1" si="60"/>
        <v>0</v>
      </c>
      <c r="CL34" s="268">
        <f t="shared" ca="1" si="61"/>
        <v>0</v>
      </c>
      <c r="CM34" s="154">
        <f t="shared" ca="1" si="102"/>
        <v>0</v>
      </c>
      <c r="CN34" s="154"/>
      <c r="CO34" s="169"/>
      <c r="CP34" s="169"/>
      <c r="CQ34" s="169"/>
      <c r="CR34" s="169"/>
      <c r="CS34" s="169"/>
      <c r="CT34" s="169"/>
      <c r="CU34" s="169"/>
      <c r="CV34" s="164" t="str">
        <f t="shared" ca="1" si="104"/>
        <v/>
      </c>
      <c r="CW34" s="164" t="str">
        <f t="shared" ca="1" si="104"/>
        <v/>
      </c>
      <c r="CX34" s="164" t="str">
        <f t="shared" ca="1" si="104"/>
        <v/>
      </c>
      <c r="CY34" s="164" t="str">
        <f t="shared" ca="1" si="104"/>
        <v/>
      </c>
      <c r="CZ34" s="164" t="str">
        <f t="shared" ca="1" si="104"/>
        <v/>
      </c>
      <c r="DA34" s="164" t="str">
        <f t="shared" ca="1" si="104"/>
        <v/>
      </c>
      <c r="DB34" s="164" t="str">
        <f t="shared" ca="1" si="104"/>
        <v/>
      </c>
      <c r="DC34" s="164" t="str">
        <f t="shared" ca="1" si="104"/>
        <v/>
      </c>
      <c r="DD34" s="164" t="str">
        <f t="shared" ca="1" si="104"/>
        <v/>
      </c>
      <c r="DE34" s="164" t="str">
        <f t="shared" ca="1" si="104"/>
        <v/>
      </c>
      <c r="DF34" s="164" t="str">
        <f t="shared" ca="1" si="105"/>
        <v/>
      </c>
      <c r="DG34" s="164" t="str">
        <f t="shared" ca="1" si="105"/>
        <v/>
      </c>
      <c r="DH34" s="164" t="str">
        <f t="shared" ca="1" si="105"/>
        <v/>
      </c>
      <c r="DI34" s="164" t="str">
        <f t="shared" ca="1" si="105"/>
        <v/>
      </c>
      <c r="DJ34" s="164" t="str">
        <f t="shared" ca="1" si="105"/>
        <v/>
      </c>
      <c r="DK34" s="164" t="str">
        <f t="shared" ca="1" si="105"/>
        <v/>
      </c>
      <c r="DL34" s="164" t="str">
        <f t="shared" ca="1" si="105"/>
        <v/>
      </c>
      <c r="DM34" s="164" t="str">
        <f t="shared" ca="1" si="105"/>
        <v/>
      </c>
      <c r="DN34" s="164" t="str">
        <f t="shared" ca="1" si="105"/>
        <v/>
      </c>
      <c r="DO34" s="164" t="str">
        <f t="shared" ca="1" si="105"/>
        <v/>
      </c>
      <c r="DP34" s="164" t="str">
        <f t="shared" ca="1" si="105"/>
        <v/>
      </c>
      <c r="DQ34" s="164" t="str">
        <f t="shared" ca="1" si="105"/>
        <v/>
      </c>
      <c r="DR34" s="208"/>
      <c r="DS34" s="164" t="str">
        <f t="shared" ca="1" si="64"/>
        <v/>
      </c>
      <c r="DT34" s="164" t="str">
        <f t="shared" ca="1" si="65"/>
        <v/>
      </c>
      <c r="DU34" s="164" t="str">
        <f t="shared" ca="1" si="66"/>
        <v/>
      </c>
      <c r="DV34" s="164" t="str">
        <f t="shared" ca="1" si="67"/>
        <v/>
      </c>
      <c r="DW34" s="164" t="str">
        <f t="shared" ca="1" si="68"/>
        <v/>
      </c>
      <c r="DX34" s="164" t="str">
        <f t="shared" ca="1" si="69"/>
        <v/>
      </c>
      <c r="DY34" s="164" t="str">
        <f t="shared" ca="1" si="70"/>
        <v/>
      </c>
      <c r="DZ34" s="164" t="str">
        <f t="shared" ca="1" si="71"/>
        <v/>
      </c>
      <c r="EA34" s="164" t="str">
        <f t="shared" ca="1" si="72"/>
        <v/>
      </c>
      <c r="EB34" s="164" t="str">
        <f t="shared" ca="1" si="73"/>
        <v/>
      </c>
      <c r="EC34" s="164" t="str">
        <f t="shared" ca="1" si="74"/>
        <v/>
      </c>
      <c r="ED34" s="164" t="str">
        <f t="shared" ca="1" si="75"/>
        <v/>
      </c>
      <c r="EE34" s="164" t="str">
        <f t="shared" ca="1" si="76"/>
        <v/>
      </c>
      <c r="EF34" s="164" t="str">
        <f t="shared" ca="1" si="77"/>
        <v/>
      </c>
      <c r="EG34" s="164" t="str">
        <f t="shared" ca="1" si="78"/>
        <v/>
      </c>
      <c r="EH34" s="164" t="str">
        <f t="shared" ca="1" si="79"/>
        <v/>
      </c>
      <c r="EI34" s="164" t="str">
        <f t="shared" ca="1" si="80"/>
        <v/>
      </c>
      <c r="EJ34" s="164" t="str">
        <f t="shared" ca="1" si="81"/>
        <v/>
      </c>
      <c r="EK34" s="164" t="str">
        <f t="shared" ca="1" si="82"/>
        <v/>
      </c>
      <c r="EL34" s="164" t="str">
        <f t="shared" ca="1" si="83"/>
        <v/>
      </c>
      <c r="EM34" s="164" t="str">
        <f t="shared" ca="1" si="84"/>
        <v/>
      </c>
      <c r="EN34" s="164" t="str">
        <f t="shared" ca="1" si="85"/>
        <v/>
      </c>
      <c r="EO34" s="164" t="str">
        <f t="shared" ca="1" si="86"/>
        <v/>
      </c>
      <c r="EP34" s="164" t="str">
        <f t="shared" ca="1" si="87"/>
        <v/>
      </c>
      <c r="EQ34" s="164" t="str">
        <f t="shared" ca="1" si="88"/>
        <v/>
      </c>
      <c r="ER34" s="164" t="str">
        <f t="shared" ca="1" si="89"/>
        <v/>
      </c>
      <c r="ES34" s="164" t="str">
        <f t="shared" ca="1" si="90"/>
        <v/>
      </c>
    </row>
    <row r="35" spans="1:149" outlineLevel="1" x14ac:dyDescent="0.2">
      <c r="A35" s="782" t="str">
        <f t="shared" ca="1" si="103"/>
        <v/>
      </c>
      <c r="B35" s="317" t="str">
        <f t="shared" ca="1" si="91"/>
        <v/>
      </c>
      <c r="C35" s="781" t="str">
        <f t="shared" ca="1" si="0"/>
        <v/>
      </c>
      <c r="D35" s="1956" t="str">
        <f t="shared" ca="1" si="1"/>
        <v/>
      </c>
      <c r="E35" s="1956"/>
      <c r="F35" s="970"/>
      <c r="G35" s="485" t="str">
        <f t="shared" ca="1" si="2"/>
        <v/>
      </c>
      <c r="H35" s="983"/>
      <c r="I35" s="486"/>
      <c r="J35" s="973"/>
      <c r="K35" s="1886" t="str">
        <f t="shared" ca="1" si="3"/>
        <v/>
      </c>
      <c r="L35" s="1888"/>
      <c r="M35" s="296" t="str">
        <f t="shared" ca="1" si="92"/>
        <v/>
      </c>
      <c r="N35" s="1322"/>
      <c r="O35" s="1319"/>
      <c r="P35" s="957" t="str">
        <f t="shared" ca="1" si="4"/>
        <v/>
      </c>
      <c r="Q35" s="749"/>
      <c r="R35" s="164">
        <f t="shared" ca="1" si="5"/>
        <v>0</v>
      </c>
      <c r="S35" s="164">
        <f t="shared" ca="1" si="6"/>
        <v>0</v>
      </c>
      <c r="T35" s="164">
        <f t="shared" ca="1" si="7"/>
        <v>0</v>
      </c>
      <c r="U35" s="164">
        <f t="shared" ca="1" si="8"/>
        <v>0</v>
      </c>
      <c r="V35" s="164">
        <f t="shared" ca="1" si="9"/>
        <v>0</v>
      </c>
      <c r="W35" s="164">
        <f t="shared" ca="1" si="10"/>
        <v>0</v>
      </c>
      <c r="X35" s="164">
        <f t="shared" ca="1" si="11"/>
        <v>0</v>
      </c>
      <c r="Y35" s="164">
        <f t="shared" ca="1" si="12"/>
        <v>0</v>
      </c>
      <c r="Z35" s="164">
        <f t="shared" ca="1" si="13"/>
        <v>0</v>
      </c>
      <c r="AA35" s="164">
        <f t="shared" ca="1" si="14"/>
        <v>0</v>
      </c>
      <c r="AB35" s="164">
        <f t="shared" ca="1" si="15"/>
        <v>0</v>
      </c>
      <c r="AC35" s="164">
        <f t="shared" ca="1" si="16"/>
        <v>0</v>
      </c>
      <c r="AD35" s="164">
        <f t="shared" ca="1" si="17"/>
        <v>0</v>
      </c>
      <c r="AE35" s="164">
        <f t="shared" ca="1" si="18"/>
        <v>0</v>
      </c>
      <c r="AF35" s="164">
        <f t="shared" ca="1" si="19"/>
        <v>0</v>
      </c>
      <c r="AG35" s="164">
        <f t="shared" ca="1" si="20"/>
        <v>0</v>
      </c>
      <c r="AH35" s="164">
        <f t="shared" ca="1" si="21"/>
        <v>0</v>
      </c>
      <c r="AI35" s="164">
        <f t="shared" ca="1" si="22"/>
        <v>0</v>
      </c>
      <c r="AJ35" s="164">
        <f t="shared" ca="1" si="23"/>
        <v>0</v>
      </c>
      <c r="AK35" s="164">
        <f t="shared" ca="1" si="24"/>
        <v>0</v>
      </c>
      <c r="AL35" s="164">
        <f t="shared" ca="1" si="25"/>
        <v>0</v>
      </c>
      <c r="AM35" s="208"/>
      <c r="AN35" s="154"/>
      <c r="AO35" s="164">
        <f t="shared" ca="1" si="26"/>
        <v>0</v>
      </c>
      <c r="AP35" s="164">
        <f t="shared" ca="1" si="27"/>
        <v>0</v>
      </c>
      <c r="AQ35" s="164">
        <f t="shared" ca="1" si="28"/>
        <v>0</v>
      </c>
      <c r="AR35" s="164">
        <f t="shared" ca="1" si="29"/>
        <v>0</v>
      </c>
      <c r="AS35" s="164">
        <f t="shared" ca="1" si="30"/>
        <v>0</v>
      </c>
      <c r="AT35" s="164">
        <f t="shared" ca="1" si="31"/>
        <v>0</v>
      </c>
      <c r="AU35" s="164">
        <f t="shared" ca="1" si="32"/>
        <v>0</v>
      </c>
      <c r="AV35" s="164">
        <f t="shared" ca="1" si="33"/>
        <v>0</v>
      </c>
      <c r="AW35" s="164">
        <f t="shared" ca="1" si="34"/>
        <v>0</v>
      </c>
      <c r="AX35" s="164">
        <f t="shared" ca="1" si="35"/>
        <v>0</v>
      </c>
      <c r="AY35" s="164">
        <f t="shared" ca="1" si="36"/>
        <v>0</v>
      </c>
      <c r="AZ35" s="164">
        <f t="shared" ca="1" si="37"/>
        <v>0</v>
      </c>
      <c r="BA35" s="164">
        <f t="shared" ca="1" si="38"/>
        <v>0</v>
      </c>
      <c r="BB35" s="164">
        <f t="shared" ca="1" si="39"/>
        <v>0</v>
      </c>
      <c r="BC35" s="164">
        <f t="shared" ca="1" si="40"/>
        <v>0</v>
      </c>
      <c r="BD35" s="164">
        <f t="shared" ca="1" si="41"/>
        <v>0</v>
      </c>
      <c r="BE35" s="164">
        <f t="shared" ca="1" si="42"/>
        <v>0</v>
      </c>
      <c r="BF35" s="164">
        <f t="shared" ca="1" si="43"/>
        <v>0</v>
      </c>
      <c r="BG35" s="164">
        <f t="shared" ca="1" si="44"/>
        <v>0</v>
      </c>
      <c r="BH35" s="164">
        <f t="shared" ca="1" si="45"/>
        <v>0</v>
      </c>
      <c r="BI35" s="164">
        <f t="shared" ca="1" si="46"/>
        <v>0</v>
      </c>
      <c r="BJ35" s="164">
        <f t="shared" ca="1" si="47"/>
        <v>0</v>
      </c>
      <c r="BK35" s="164">
        <f t="shared" ca="1" si="48"/>
        <v>0</v>
      </c>
      <c r="BL35" s="164">
        <f t="shared" ca="1" si="49"/>
        <v>0</v>
      </c>
      <c r="BM35" s="164">
        <f t="shared" ca="1" si="50"/>
        <v>0</v>
      </c>
      <c r="BN35" s="164">
        <f t="shared" ca="1" si="51"/>
        <v>0</v>
      </c>
      <c r="BO35" s="356" t="str">
        <f t="shared" ca="1" si="52"/>
        <v/>
      </c>
      <c r="BP35" s="355" t="str">
        <f t="shared" ca="1" si="53"/>
        <v/>
      </c>
      <c r="BQ35" s="355" t="str">
        <f t="shared" ca="1" si="54"/>
        <v/>
      </c>
      <c r="BR35" s="348">
        <f t="shared" ca="1" si="93"/>
        <v>0</v>
      </c>
      <c r="BS35" s="348">
        <f t="shared" ca="1" si="94"/>
        <v>0</v>
      </c>
      <c r="BT35" s="610">
        <f t="shared" ca="1" si="55"/>
        <v>0</v>
      </c>
      <c r="BU35" s="357">
        <v>1</v>
      </c>
      <c r="BV35" s="357">
        <v>0</v>
      </c>
      <c r="BW35" s="357">
        <f t="shared" si="56"/>
        <v>0</v>
      </c>
      <c r="BX35" s="357">
        <f t="shared" ca="1" si="57"/>
        <v>0</v>
      </c>
      <c r="BY35" s="357">
        <f t="shared" ca="1" si="95"/>
        <v>0</v>
      </c>
      <c r="BZ35" s="357"/>
      <c r="CA35" s="357">
        <f t="shared" ca="1" si="96"/>
        <v>0</v>
      </c>
      <c r="CB35" s="357"/>
      <c r="CC35" s="358" t="str">
        <f t="shared" ca="1" si="97"/>
        <v/>
      </c>
      <c r="CD35" s="358" t="str">
        <f t="shared" ca="1" si="98"/>
        <v/>
      </c>
      <c r="CE35" s="357" t="str">
        <f t="shared" ca="1" si="99"/>
        <v>,,,,,,,,,,,,,,,,,,,,,,,,,</v>
      </c>
      <c r="CF35" s="154"/>
      <c r="CG35" s="154">
        <f t="shared" ca="1" si="100"/>
        <v>0</v>
      </c>
      <c r="CH35" s="268" t="str">
        <f t="shared" ca="1" si="58"/>
        <v/>
      </c>
      <c r="CI35" s="268">
        <f t="shared" ca="1" si="101"/>
        <v>0</v>
      </c>
      <c r="CJ35" s="268" t="str">
        <f t="shared" ca="1" si="59"/>
        <v/>
      </c>
      <c r="CK35" s="268">
        <f t="shared" ca="1" si="60"/>
        <v>0</v>
      </c>
      <c r="CL35" s="268">
        <f t="shared" ca="1" si="61"/>
        <v>0</v>
      </c>
      <c r="CM35" s="154">
        <f t="shared" ca="1" si="102"/>
        <v>0</v>
      </c>
      <c r="CN35" s="154"/>
      <c r="CO35" s="606"/>
      <c r="CP35" s="606"/>
      <c r="CQ35" s="606"/>
      <c r="CR35" s="606"/>
      <c r="CS35" s="606"/>
      <c r="CT35" s="606"/>
      <c r="CU35" s="606"/>
      <c r="CV35" s="164" t="str">
        <f t="shared" ca="1" si="104"/>
        <v/>
      </c>
      <c r="CW35" s="164" t="str">
        <f t="shared" ca="1" si="104"/>
        <v/>
      </c>
      <c r="CX35" s="164" t="str">
        <f t="shared" ca="1" si="104"/>
        <v/>
      </c>
      <c r="CY35" s="164" t="str">
        <f t="shared" ca="1" si="104"/>
        <v/>
      </c>
      <c r="CZ35" s="164" t="str">
        <f t="shared" ca="1" si="104"/>
        <v/>
      </c>
      <c r="DA35" s="164" t="str">
        <f t="shared" ca="1" si="104"/>
        <v/>
      </c>
      <c r="DB35" s="164" t="str">
        <f t="shared" ca="1" si="104"/>
        <v/>
      </c>
      <c r="DC35" s="164" t="str">
        <f t="shared" ca="1" si="104"/>
        <v/>
      </c>
      <c r="DD35" s="164" t="str">
        <f t="shared" ca="1" si="104"/>
        <v/>
      </c>
      <c r="DE35" s="164" t="str">
        <f t="shared" ca="1" si="104"/>
        <v/>
      </c>
      <c r="DF35" s="164" t="str">
        <f t="shared" ca="1" si="105"/>
        <v/>
      </c>
      <c r="DG35" s="164" t="str">
        <f t="shared" ca="1" si="105"/>
        <v/>
      </c>
      <c r="DH35" s="164" t="str">
        <f t="shared" ca="1" si="105"/>
        <v/>
      </c>
      <c r="DI35" s="164" t="str">
        <f t="shared" ca="1" si="105"/>
        <v/>
      </c>
      <c r="DJ35" s="164" t="str">
        <f t="shared" ca="1" si="105"/>
        <v/>
      </c>
      <c r="DK35" s="164" t="str">
        <f t="shared" ca="1" si="105"/>
        <v/>
      </c>
      <c r="DL35" s="164" t="str">
        <f t="shared" ca="1" si="105"/>
        <v/>
      </c>
      <c r="DM35" s="164" t="str">
        <f t="shared" ca="1" si="105"/>
        <v/>
      </c>
      <c r="DN35" s="164" t="str">
        <f t="shared" ca="1" si="105"/>
        <v/>
      </c>
      <c r="DO35" s="164" t="str">
        <f t="shared" ca="1" si="105"/>
        <v/>
      </c>
      <c r="DP35" s="164" t="str">
        <f t="shared" ca="1" si="105"/>
        <v/>
      </c>
      <c r="DQ35" s="164" t="str">
        <f t="shared" ca="1" si="105"/>
        <v/>
      </c>
      <c r="DR35" s="208"/>
      <c r="DS35" s="164" t="str">
        <f t="shared" ca="1" si="64"/>
        <v/>
      </c>
      <c r="DT35" s="164" t="str">
        <f t="shared" ca="1" si="65"/>
        <v/>
      </c>
      <c r="DU35" s="164" t="str">
        <f t="shared" ca="1" si="66"/>
        <v/>
      </c>
      <c r="DV35" s="164" t="str">
        <f t="shared" ca="1" si="67"/>
        <v/>
      </c>
      <c r="DW35" s="164" t="str">
        <f t="shared" ca="1" si="68"/>
        <v/>
      </c>
      <c r="DX35" s="164" t="str">
        <f t="shared" ca="1" si="69"/>
        <v/>
      </c>
      <c r="DY35" s="164" t="str">
        <f t="shared" ca="1" si="70"/>
        <v/>
      </c>
      <c r="DZ35" s="164" t="str">
        <f t="shared" ca="1" si="71"/>
        <v/>
      </c>
      <c r="EA35" s="164" t="str">
        <f t="shared" ca="1" si="72"/>
        <v/>
      </c>
      <c r="EB35" s="164" t="str">
        <f t="shared" ca="1" si="73"/>
        <v/>
      </c>
      <c r="EC35" s="164" t="str">
        <f t="shared" ca="1" si="74"/>
        <v/>
      </c>
      <c r="ED35" s="164" t="str">
        <f t="shared" ca="1" si="75"/>
        <v/>
      </c>
      <c r="EE35" s="164" t="str">
        <f t="shared" ca="1" si="76"/>
        <v/>
      </c>
      <c r="EF35" s="164" t="str">
        <f t="shared" ca="1" si="77"/>
        <v/>
      </c>
      <c r="EG35" s="164" t="str">
        <f t="shared" ca="1" si="78"/>
        <v/>
      </c>
      <c r="EH35" s="164" t="str">
        <f t="shared" ca="1" si="79"/>
        <v/>
      </c>
      <c r="EI35" s="164" t="str">
        <f t="shared" ca="1" si="80"/>
        <v/>
      </c>
      <c r="EJ35" s="164" t="str">
        <f t="shared" ca="1" si="81"/>
        <v/>
      </c>
      <c r="EK35" s="164" t="str">
        <f t="shared" ca="1" si="82"/>
        <v/>
      </c>
      <c r="EL35" s="164" t="str">
        <f t="shared" ca="1" si="83"/>
        <v/>
      </c>
      <c r="EM35" s="164" t="str">
        <f t="shared" ca="1" si="84"/>
        <v/>
      </c>
      <c r="EN35" s="164" t="str">
        <f t="shared" ca="1" si="85"/>
        <v/>
      </c>
      <c r="EO35" s="164" t="str">
        <f t="shared" ca="1" si="86"/>
        <v/>
      </c>
      <c r="EP35" s="164" t="str">
        <f t="shared" ca="1" si="87"/>
        <v/>
      </c>
      <c r="EQ35" s="164" t="str">
        <f t="shared" ca="1" si="88"/>
        <v/>
      </c>
      <c r="ER35" s="164" t="str">
        <f t="shared" ca="1" si="89"/>
        <v/>
      </c>
      <c r="ES35" s="164" t="str">
        <f t="shared" ca="1" si="90"/>
        <v/>
      </c>
    </row>
    <row r="36" spans="1:149" ht="15.75" x14ac:dyDescent="0.25">
      <c r="A36" s="168" t="s">
        <v>3597</v>
      </c>
      <c r="B36" s="131"/>
      <c r="C36" s="304"/>
      <c r="D36" s="1977"/>
      <c r="E36" s="1977"/>
      <c r="F36" s="965"/>
      <c r="G36" s="6"/>
      <c r="H36" s="965"/>
      <c r="I36" s="974"/>
      <c r="J36" s="965"/>
      <c r="K36" s="1879" t="str">
        <f ca="1">IF(APGUT&lt;0,"Keine AP mehr übrig!",IF(TL_GP_UEBRIG&lt;0,"Keine Start-AP mehr übrig!","▼ Fehlermeldungen ▼  "&amp;"(AP: "&amp;APGUT&amp;")"))</f>
        <v>▼ Fehlermeldungen ▼  (AP: 0)</v>
      </c>
      <c r="L36" s="1879"/>
      <c r="M36" s="295" t="s">
        <v>1842</v>
      </c>
      <c r="N36" s="1320" t="s">
        <v>7064</v>
      </c>
      <c r="O36" s="1126" t="s">
        <v>3636</v>
      </c>
      <c r="P36" s="295"/>
      <c r="Q36" s="134"/>
      <c r="R36" s="6">
        <v>1</v>
      </c>
      <c r="S36" s="6">
        <v>2</v>
      </c>
      <c r="T36" s="6">
        <v>3</v>
      </c>
      <c r="U36" s="6">
        <v>4</v>
      </c>
      <c r="V36" s="6">
        <v>5</v>
      </c>
      <c r="W36" s="6">
        <v>6</v>
      </c>
      <c r="X36" s="6">
        <v>7</v>
      </c>
      <c r="Y36" s="6">
        <v>8</v>
      </c>
      <c r="Z36" s="6">
        <v>9</v>
      </c>
      <c r="AA36" s="6">
        <v>10</v>
      </c>
      <c r="AB36" s="6">
        <v>11</v>
      </c>
      <c r="AC36" s="6">
        <v>12</v>
      </c>
      <c r="AD36" s="6">
        <v>13</v>
      </c>
      <c r="AE36" s="6">
        <v>14</v>
      </c>
      <c r="AF36" s="6">
        <v>15</v>
      </c>
      <c r="AG36" s="6">
        <v>16</v>
      </c>
      <c r="AH36" s="6">
        <v>17</v>
      </c>
      <c r="AI36" s="6">
        <v>18</v>
      </c>
      <c r="AJ36" s="6">
        <v>19</v>
      </c>
      <c r="AK36" s="6">
        <v>20</v>
      </c>
      <c r="AL36" s="6">
        <v>21</v>
      </c>
      <c r="AM36" s="207"/>
      <c r="AN36" s="134"/>
      <c r="AO36" s="6">
        <v>1</v>
      </c>
      <c r="AP36" s="6">
        <v>2</v>
      </c>
      <c r="AQ36" s="6">
        <v>3</v>
      </c>
      <c r="AR36" s="6">
        <v>4</v>
      </c>
      <c r="AS36" s="6">
        <v>5</v>
      </c>
      <c r="AT36" s="6">
        <v>6</v>
      </c>
      <c r="AU36" s="6">
        <v>7</v>
      </c>
      <c r="AV36" s="6">
        <v>8</v>
      </c>
      <c r="AW36" s="6">
        <v>9</v>
      </c>
      <c r="AX36" s="6">
        <v>10</v>
      </c>
      <c r="AY36" s="6">
        <v>11</v>
      </c>
      <c r="AZ36" s="6">
        <v>12</v>
      </c>
      <c r="BA36" s="6">
        <v>13</v>
      </c>
      <c r="BB36" s="6">
        <v>14</v>
      </c>
      <c r="BC36" s="6">
        <v>15</v>
      </c>
      <c r="BD36" s="6">
        <v>16</v>
      </c>
      <c r="BE36" s="6">
        <v>17</v>
      </c>
      <c r="BF36" s="6">
        <v>18</v>
      </c>
      <c r="BG36" s="6">
        <v>19</v>
      </c>
      <c r="BH36" s="6">
        <v>20</v>
      </c>
      <c r="BI36" s="6">
        <v>21</v>
      </c>
      <c r="BJ36" s="6">
        <v>22</v>
      </c>
      <c r="BK36" s="6">
        <v>23</v>
      </c>
      <c r="BL36" s="6">
        <v>24</v>
      </c>
      <c r="BM36" s="6">
        <v>25</v>
      </c>
      <c r="BN36" s="6">
        <v>26</v>
      </c>
      <c r="BO36" s="356"/>
      <c r="BP36" s="355"/>
      <c r="BQ36" s="355"/>
      <c r="BR36" s="348"/>
      <c r="BS36" s="348"/>
      <c r="BT36" s="610"/>
      <c r="BU36" s="357"/>
      <c r="BV36" s="357"/>
      <c r="BW36" s="357"/>
      <c r="BX36" s="357"/>
      <c r="BY36" s="357"/>
      <c r="BZ36" s="357"/>
      <c r="CA36" s="357"/>
      <c r="CB36" s="357"/>
      <c r="CC36" s="358"/>
      <c r="CD36" s="358"/>
      <c r="CE36" s="357"/>
      <c r="CF36" s="154"/>
      <c r="CG36" s="154"/>
      <c r="CH36" s="268"/>
      <c r="CI36" s="268"/>
      <c r="CJ36" s="268"/>
      <c r="CK36" s="268"/>
      <c r="CL36" s="268"/>
      <c r="CM36" s="154"/>
      <c r="CN36" s="154"/>
      <c r="CO36" s="6"/>
      <c r="CP36" s="6"/>
      <c r="CQ36" s="6"/>
      <c r="CR36" s="6"/>
      <c r="CS36" s="6"/>
      <c r="CT36" s="6"/>
      <c r="CU36" s="6"/>
      <c r="CV36" s="6">
        <v>0</v>
      </c>
      <c r="CW36" s="6">
        <v>1</v>
      </c>
      <c r="CX36" s="6">
        <v>2</v>
      </c>
      <c r="CY36" s="6">
        <v>3</v>
      </c>
      <c r="CZ36" s="6">
        <v>4</v>
      </c>
      <c r="DA36" s="6">
        <v>5</v>
      </c>
      <c r="DB36" s="6">
        <v>6</v>
      </c>
      <c r="DC36" s="6">
        <v>7</v>
      </c>
      <c r="DD36" s="6">
        <v>8</v>
      </c>
      <c r="DE36" s="6">
        <v>9</v>
      </c>
      <c r="DF36" s="6">
        <v>10</v>
      </c>
      <c r="DG36" s="6">
        <v>11</v>
      </c>
      <c r="DH36" s="6">
        <v>12</v>
      </c>
      <c r="DI36" s="6">
        <v>13</v>
      </c>
      <c r="DJ36" s="6">
        <v>14</v>
      </c>
      <c r="DK36" s="6">
        <v>15</v>
      </c>
      <c r="DL36" s="6">
        <v>16</v>
      </c>
      <c r="DM36" s="6">
        <v>17</v>
      </c>
      <c r="DN36" s="6">
        <v>18</v>
      </c>
      <c r="DO36" s="6">
        <v>19</v>
      </c>
      <c r="DP36" s="6">
        <v>20</v>
      </c>
      <c r="DQ36" s="6">
        <v>21</v>
      </c>
      <c r="DR36" s="208"/>
      <c r="DS36" s="6">
        <v>0</v>
      </c>
      <c r="DT36" s="6">
        <v>1</v>
      </c>
      <c r="DU36" s="6">
        <v>2</v>
      </c>
      <c r="DV36" s="6">
        <v>3</v>
      </c>
      <c r="DW36" s="6">
        <v>4</v>
      </c>
      <c r="DX36" s="6">
        <v>5</v>
      </c>
      <c r="DY36" s="6">
        <v>6</v>
      </c>
      <c r="DZ36" s="6">
        <v>7</v>
      </c>
      <c r="EA36" s="6">
        <v>8</v>
      </c>
      <c r="EB36" s="6">
        <v>9</v>
      </c>
      <c r="EC36" s="6">
        <v>10</v>
      </c>
      <c r="ED36" s="6">
        <v>11</v>
      </c>
      <c r="EE36" s="6">
        <v>12</v>
      </c>
      <c r="EF36" s="6">
        <v>13</v>
      </c>
      <c r="EG36" s="6">
        <v>14</v>
      </c>
      <c r="EH36" s="6">
        <v>15</v>
      </c>
      <c r="EI36" s="6">
        <v>16</v>
      </c>
      <c r="EJ36" s="6">
        <v>17</v>
      </c>
      <c r="EK36" s="6">
        <v>18</v>
      </c>
      <c r="EL36" s="6">
        <v>19</v>
      </c>
      <c r="EM36" s="6">
        <v>20</v>
      </c>
      <c r="EN36" s="6">
        <v>21</v>
      </c>
      <c r="EO36" s="6">
        <v>22</v>
      </c>
      <c r="EP36" s="6">
        <v>23</v>
      </c>
      <c r="EQ36" s="6">
        <v>24</v>
      </c>
      <c r="ER36" s="6">
        <v>25</v>
      </c>
      <c r="ES36" s="6">
        <v>26</v>
      </c>
    </row>
    <row r="37" spans="1:149" x14ac:dyDescent="0.2">
      <c r="A37" s="780" t="str">
        <f ca="1">IF(MAGISCH,IF(NOT(EXACT(SZALLE,"")),HLOOKUP(Tabellen_Andere!$CX$3,ZAUBER,MATCH(LEFT(SZALLE,34),ZAUBER,1)),""),"")</f>
        <v/>
      </c>
      <c r="B37" s="317" t="str">
        <f t="shared" ref="B37:B59" ca="1" si="112">IF(AND(MAGISCH,NOT(EXACT($A37,""))),CM37,"")</f>
        <v/>
      </c>
      <c r="C37" s="779" t="str">
        <f t="shared" ref="C37:C59" ca="1" si="113">IF(AND(MAGISCH,NOT(EXACT($A37,""))),$BP$4,"")</f>
        <v/>
      </c>
      <c r="D37" s="1956" t="str">
        <f t="shared" ref="D37:D59" ca="1" si="114">IF(AND(MAGISCH,NOT(EXACT($A37,""))),
CONCATENATE(IF($BR37=1,$CC37&amp;", ",""),IF($BS37=1,$CD37&amp;", ",""),IF($AF$241="","",IF(ISERROR(FIND($AF$241,$BQ37)),"",$AF$241&amp;", ")),IF($AF$242="","",IF(ISERROR(FIND($AF$242,$BQ37)),"",$AF$242&amp;", ")),IF($AF$243="","",IF(ISERROR(FIND($AF$243,$BQ37)),"",$AF$243&amp;", ")),IF($AF$244="","",IF(ISERROR(FIND($AF$244,$BQ37)),"",$AF$244&amp;", ")),IF($AF$245="","",IF(ISERROR(FIND($AF$245,$BQ37)),"",$AF$245&amp;", ")),IF($AF$246="","",IF(ISERROR(FIND($AF$246,$BQ37)),"",$AF$246&amp;", ")),IF($AF$247="","",IF(ISERROR(FIND($AF$247,$BQ37)),"",$AF$247&amp;", "))
),"")</f>
        <v/>
      </c>
      <c r="E37" s="1956"/>
      <c r="F37" s="971"/>
      <c r="G37" s="485" t="str">
        <f t="shared" ref="G37:G59" ca="1" si="115">IF(EXACT($A37,""),"",IF(VT_VRTLZBR,"F",
IF(BO37&lt;65,"A+",IF(BO37&gt;72,"H",CHAR(BO37)))))</f>
        <v/>
      </c>
      <c r="H37" s="983"/>
      <c r="I37" s="975"/>
      <c r="J37" s="976"/>
      <c r="K37" s="1886" t="str">
        <f t="shared" ref="K37:K59" ca="1" si="116">IF(NOT(EXACT($A37,"")),IF(AND(NOT(ISBLANK($H37)),$H37&lt;VALUE($B37)),CONCATENATE("SE erst ab ZfW ",$B37," möglich"),IF(ISERR(FIND(C37,BP37,1)),"Zauber in dieser Repräsentation nicht bekannt",IF(AND(NOT(ISERR(FIND(A37,ZS_ZFALLE,1))),ZS_SE_VIEW),"SE aus Zweitstudium",""))),"")&amp; IF(AND(NOT(EXACT($A37,"")),NOT(ISERR(FIND(A37,ZS_ZF_IAAK,1))),ZS_SE_VIEW),"  SE für IAAK-Studium","")&amp;IF($M37="","",IF($M37&gt;MAX(INDIRECT(VLOOKUP($A37,ZAUBERWERTE,2,FALSE)),INDIRECT(VLOOKUP($A37,ZAUBERWERTE,3,FALSE)),INDIRECT(VLOOKUP($A37,ZAUBERWERTE,4,FALSE)))+3+BX37*2," TaW&gt; Max.EIGN.-Wert+"&amp;3+BX37*2,""))</f>
        <v/>
      </c>
      <c r="L37" s="1888"/>
      <c r="M37" s="296" t="str">
        <f ca="1">IF(AND(EXACT($B37,""),ISBLANK($F37),ISBLANK($J37)),"",$B37+$F37+$J37)</f>
        <v/>
      </c>
      <c r="N37" s="1321"/>
      <c r="O37" s="1319"/>
      <c r="P37" s="957" t="str">
        <f t="shared" ref="P37:P59" ca="1" si="117">IF(AND(NOT(EXACT($A37,"")),NOT(EXACT($O37,""))),ROUND(IF(O37=2,3,O37)*20*HLOOKUP($G37,SKT,3,FALSE)*IF(VT_EIDGED,0.5,IF(VT_GUTGED,0.75,1)),0),"")</f>
        <v/>
      </c>
      <c r="Q37" s="749"/>
      <c r="R37" s="164">
        <f t="shared" ref="R37:R59" ca="1" si="118">IF(AND(NOT(EXACT($A37,"")),NOT(ISBLANK($F37)),IF(ISNUMBER($B37),VALUE($B37),0)&lt;R$10,SUM(IF(ISNUMBER($B37),VALUE($B37),0),$F37)&gt;=R$10,EXACT($K37,"")),
MAX(1,ROUND(HLOOKUP(IF(CW37&lt;65,"A+",IF(CW37&gt;72,"H",CHAR(CW37))),SKT,R$10+3,FALSE)*IF(VT_EIDGED,IF($C37="Dru",1/3,0.5),1)*IF(VT_GUTGED,IF($C37="Dru",2/3,0.75),1),0)),0)
*IF(ISERR(FIND(";"&amp;R$10&amp;":0;",$H37)),1,0)</f>
        <v>0</v>
      </c>
      <c r="S37" s="164">
        <f t="shared" ref="S37:S59" ca="1" si="119">IF(AND(NOT(EXACT($A37,"")),NOT(ISBLANK($F37)),IF(ISNUMBER($B37),VALUE($B37),0)&lt;S$10,SUM(IF(ISNUMBER($B37),VALUE($B37),0),$F37)&gt;=S$10,EXACT($K37,"")),
MAX(1,ROUND(HLOOKUP(IF(CX37&lt;65,"A+",IF(CX37&gt;72,"H",CHAR(CX37))),SKT,S$10+3,FALSE)*IF(VT_EIDGED,IF($C37="Dru",1/3,0.5),1)*IF(VT_GUTGED,IF($C37="Dru",2/3,0.75),1),0)),0)
*IF(ISERR(FIND(";"&amp;S$10&amp;":0;",$H37)),1,0)</f>
        <v>0</v>
      </c>
      <c r="T37" s="164">
        <f t="shared" ref="T37:T59" ca="1" si="120">IF(AND(NOT(EXACT($A37,"")),NOT(ISBLANK($F37)),IF(ISNUMBER($B37),VALUE($B37),0)&lt;T$10,SUM(IF(ISNUMBER($B37),VALUE($B37),0),$F37)&gt;=T$10,EXACT($K37,"")),
MAX(1,ROUND(HLOOKUP(IF(CY37&lt;65,"A+",IF(CY37&gt;72,"H",CHAR(CY37))),SKT,T$10+3,FALSE)*IF(VT_EIDGED,IF($C37="Dru",1/3,0.5),1)*IF(VT_GUTGED,IF($C37="Dru",2/3,0.75),1),0)),0)
*IF(ISERR(FIND(";"&amp;T$10&amp;":0;",$H37)),1,0)</f>
        <v>0</v>
      </c>
      <c r="U37" s="164">
        <f t="shared" ref="U37:U59" ca="1" si="121">IF(AND(NOT(EXACT($A37,"")),NOT(ISBLANK($F37)),IF(ISNUMBER($B37),VALUE($B37),0)&lt;U$10,SUM(IF(ISNUMBER($B37),VALUE($B37),0),$F37)&gt;=U$10,EXACT($K37,"")),
MAX(1,ROUND(HLOOKUP(IF(CZ37&lt;65,"A+",IF(CZ37&gt;72,"H",CHAR(CZ37))),SKT,U$10+3,FALSE)*IF(VT_EIDGED,IF($C37="Dru",1/3,0.5),1)*IF(VT_GUTGED,IF($C37="Dru",2/3,0.75),1),0)),0)
*IF(ISERR(FIND(";"&amp;U$10&amp;":0;",$H37)),1,0)</f>
        <v>0</v>
      </c>
      <c r="V37" s="164">
        <f t="shared" ref="V37:V59" ca="1" si="122">IF(AND(NOT(EXACT($A37,"")),NOT(ISBLANK($F37)),IF(ISNUMBER($B37),VALUE($B37),0)&lt;V$10,SUM(IF(ISNUMBER($B37),VALUE($B37),0),$F37)&gt;=V$10,EXACT($K37,"")),
MAX(1,ROUND(HLOOKUP(IF(DA37&lt;65,"A+",IF(DA37&gt;72,"H",CHAR(DA37))),SKT,V$10+3,FALSE)*IF(VT_EIDGED,IF($C37="Dru",1/3,0.5),1)*IF(VT_GUTGED,IF($C37="Dru",2/3,0.75),1),0)),0)
*IF(ISERR(FIND(";"&amp;V$10&amp;":0;",$H37)),1,0)</f>
        <v>0</v>
      </c>
      <c r="W37" s="164">
        <f t="shared" ref="W37:W59" ca="1" si="123">IF(AND(NOT(EXACT($A37,"")),NOT(ISBLANK($F37)),IF(ISNUMBER($B37),VALUE($B37),0)&lt;W$10,SUM(IF(ISNUMBER($B37),VALUE($B37),0),$F37)&gt;=W$10,EXACT($K37,"")),
MAX(1,ROUND(HLOOKUP(IF(DB37&lt;65,"A+",IF(DB37&gt;72,"H",CHAR(DB37))),SKT,W$10+3,FALSE)*IF(VT_EIDGED,IF($C37="Dru",1/3,0.5),1)*IF(VT_GUTGED,IF($C37="Dru",2/3,0.75),1),0)),0)
*IF(ISERR(FIND(";"&amp;W$10&amp;":0;",$H37)),1,0)</f>
        <v>0</v>
      </c>
      <c r="X37" s="164">
        <f t="shared" ref="X37:X59" ca="1" si="124">IF(AND(NOT(EXACT($A37,"")),NOT(ISBLANK($F37)),IF(ISNUMBER($B37),VALUE($B37),0)&lt;X$10,SUM(IF(ISNUMBER($B37),VALUE($B37),0),$F37)&gt;=X$10,EXACT($K37,"")),
MAX(1,ROUND(HLOOKUP(IF(DC37&lt;65,"A+",IF(DC37&gt;72,"H",CHAR(DC37))),SKT,X$10+3,FALSE)*IF(VT_EIDGED,IF($C37="Dru",1/3,0.5),1)*IF(VT_GUTGED,IF($C37="Dru",2/3,0.75),1),0)),0)
*IF(ISERR(FIND(";"&amp;X$10&amp;":0;",$H37)),1,0)</f>
        <v>0</v>
      </c>
      <c r="Y37" s="164">
        <f t="shared" ref="Y37:Y59" ca="1" si="125">IF(AND(NOT(EXACT($A37,"")),NOT(ISBLANK($F37)),IF(ISNUMBER($B37),VALUE($B37),0)&lt;Y$10,SUM(IF(ISNUMBER($B37),VALUE($B37),0),$F37)&gt;=Y$10,EXACT($K37,"")),
MAX(1,ROUND(HLOOKUP(IF(DD37&lt;65,"A+",IF(DD37&gt;72,"H",CHAR(DD37))),SKT,Y$10+3,FALSE)*IF(VT_EIDGED,IF($C37="Dru",1/3,0.5),1)*IF(VT_GUTGED,IF($C37="Dru",2/3,0.75),1),0)),0)
*IF(ISERR(FIND(";"&amp;Y$10&amp;":0;",$H37)),1,0)</f>
        <v>0</v>
      </c>
      <c r="Z37" s="164">
        <f t="shared" ref="Z37:Z59" ca="1" si="126">IF(AND(NOT(EXACT($A37,"")),NOT(ISBLANK($F37)),IF(ISNUMBER($B37),VALUE($B37),0)&lt;Z$10,SUM(IF(ISNUMBER($B37),VALUE($B37),0),$F37)&gt;=Z$10,EXACT($K37,"")),
MAX(1,ROUND(HLOOKUP(IF(DE37&lt;65,"A+",IF(DE37&gt;72,"H",CHAR(DE37))),SKT,Z$10+3,FALSE)*IF(VT_EIDGED,IF($C37="Dru",1/3,0.5),1)*IF(VT_GUTGED,IF($C37="Dru",2/3,0.75),1),0)),0)
*IF(ISERR(FIND(";"&amp;Z$10&amp;":0;",$H37)),1,0)</f>
        <v>0</v>
      </c>
      <c r="AA37" s="164">
        <f t="shared" ref="AA37:AA59" ca="1" si="127">IF(AND(NOT(EXACT($A37,"")),NOT(ISBLANK($F37)),IF(ISNUMBER($B37),VALUE($B37),0)&lt;AA$10,SUM(IF(ISNUMBER($B37),VALUE($B37),0),$F37)&gt;=AA$10,EXACT($K37,"")),
MAX(1,ROUND(HLOOKUP(IF(DF37&lt;65,"A+",IF(DF37&gt;72,"H",CHAR(DF37))),SKT,AA$10+3,FALSE)*IF(VT_EIDGED,IF($C37="Dru",1/3,0.5),1)*IF(VT_GUTGED,IF($C37="Dru",2/3,0.75),1),0)),0)
*IF(ISERR(FIND(";"&amp;AA$10&amp;":0;",$H37)),1,0)</f>
        <v>0</v>
      </c>
      <c r="AB37" s="164">
        <f t="shared" ref="AB37:AB59" ca="1" si="128">IF(AND(NOT(EXACT($A37,"")),NOT(ISBLANK($F37)),IF(ISNUMBER($B37),VALUE($B37),0)&lt;AB$10,SUM(IF(ISNUMBER($B37),VALUE($B37),0),$F37)&gt;=AB$10,EXACT($K37,"")),
MAX(1,ROUND(HLOOKUP(IF(DG37&lt;65,"A+",IF(DG37&gt;72,"H",CHAR(DG37))),SKT,AB$10+3,FALSE)*IF(VT_EIDGED,IF($C37="Dru",1/3,0.5),1)*IF(VT_GUTGED,IF($C37="Dru",2/3,0.75),1),0)),0)
*IF(ISERR(FIND(";"&amp;AB$10&amp;":0;",$H37)),1,0)</f>
        <v>0</v>
      </c>
      <c r="AC37" s="164">
        <f t="shared" ref="AC37:AC59" ca="1" si="129">IF(AND(NOT(EXACT($A37,"")),NOT(ISBLANK($F37)),IF(ISNUMBER($B37),VALUE($B37),0)&lt;AC$10,SUM(IF(ISNUMBER($B37),VALUE($B37),0),$F37)&gt;=AC$10,EXACT($K37,"")),
MAX(1,ROUND(HLOOKUP(IF(DH37&lt;65,"A+",IF(DH37&gt;72,"H",CHAR(DH37))),SKT,AC$10+3,FALSE)*IF(VT_EIDGED,IF($C37="Dru",1/3,0.5),1)*IF(VT_GUTGED,IF($C37="Dru",2/3,0.75),1),0)),0)
*IF(ISERR(FIND(";"&amp;AC$10&amp;":0;",$H37)),1,0)</f>
        <v>0</v>
      </c>
      <c r="AD37" s="164">
        <f t="shared" ref="AD37:AD59" ca="1" si="130">IF(AND(NOT(EXACT($A37,"")),NOT(ISBLANK($F37)),IF(ISNUMBER($B37),VALUE($B37),0)&lt;AD$10,SUM(IF(ISNUMBER($B37),VALUE($B37),0),$F37)&gt;=AD$10,EXACT($K37,"")),
MAX(1,ROUND(HLOOKUP(IF(DI37&lt;65,"A+",IF(DI37&gt;72,"H",CHAR(DI37))),SKT,AD$10+3,FALSE)*IF(VT_EIDGED,IF($C37="Dru",1/3,0.5),1)*IF(VT_GUTGED,IF($C37="Dru",2/3,0.75),1),0)),0)
*IF(ISERR(FIND(";"&amp;AD$10&amp;":0;",$H37)),1,0)</f>
        <v>0</v>
      </c>
      <c r="AE37" s="164">
        <f t="shared" ref="AE37:AE59" ca="1" si="131">IF(AND(NOT(EXACT($A37,"")),NOT(ISBLANK($F37)),IF(ISNUMBER($B37),VALUE($B37),0)&lt;AE$10,SUM(IF(ISNUMBER($B37),VALUE($B37),0),$F37)&gt;=AE$10,EXACT($K37,"")),
MAX(1,ROUND(HLOOKUP(IF(DJ37&lt;65,"A+",IF(DJ37&gt;72,"H",CHAR(DJ37))),SKT,AE$10+3,FALSE)*IF(VT_EIDGED,IF($C37="Dru",1/3,0.5),1)*IF(VT_GUTGED,IF($C37="Dru",2/3,0.75),1),0)),0)
*IF(ISERR(FIND(";"&amp;AE$10&amp;":0;",$H37)),1,0)</f>
        <v>0</v>
      </c>
      <c r="AF37" s="164">
        <f t="shared" ref="AF37:AF59" ca="1" si="132">IF(AND(NOT(EXACT($A37,"")),NOT(ISBLANK($F37)),IF(ISNUMBER($B37),VALUE($B37),0)&lt;AF$10,SUM(IF(ISNUMBER($B37),VALUE($B37),0),$F37)&gt;=AF$10,EXACT($K37,"")),
MAX(1,ROUND(HLOOKUP(IF(DK37&lt;65,"A+",IF(DK37&gt;72,"H",CHAR(DK37))),SKT,AF$10+3,FALSE)*IF(VT_EIDGED,IF($C37="Dru",1/3,0.5),1)*IF(VT_GUTGED,IF($C37="Dru",2/3,0.75),1),0)),0)
*IF(ISERR(FIND(";"&amp;AF$10&amp;":0;",$H37)),1,0)</f>
        <v>0</v>
      </c>
      <c r="AG37" s="164">
        <f t="shared" ref="AG37:AG59" ca="1" si="133">IF(AND(NOT(EXACT($A37,"")),NOT(ISBLANK($F37)),IF(ISNUMBER($B37),VALUE($B37),0)&lt;AG$10,SUM(IF(ISNUMBER($B37),VALUE($B37),0),$F37)&gt;=AG$10,EXACT($K37,"")),
MAX(1,ROUND(HLOOKUP(IF(DL37&lt;65,"A+",IF(DL37&gt;72,"H",CHAR(DL37))),SKT,AG$10+3,FALSE)*IF(VT_EIDGED,IF($C37="Dru",1/3,0.5),1)*IF(VT_GUTGED,IF($C37="Dru",2/3,0.75),1),0)),0)
*IF(ISERR(FIND(";"&amp;AG$10&amp;":0;",$H37)),1,0)</f>
        <v>0</v>
      </c>
      <c r="AH37" s="164">
        <f t="shared" ref="AH37:AH59" ca="1" si="134">IF(AND(NOT(EXACT($A37,"")),NOT(ISBLANK($F37)),IF(ISNUMBER($B37),VALUE($B37),0)&lt;AH$10,SUM(IF(ISNUMBER($B37),VALUE($B37),0),$F37)&gt;=AH$10,EXACT($K37,"")),
MAX(1,ROUND(HLOOKUP(IF(DM37&lt;65,"A+",IF(DM37&gt;72,"H",CHAR(DM37))),SKT,AH$10+3,FALSE)*IF(VT_EIDGED,IF($C37="Dru",1/3,0.5),1)*IF(VT_GUTGED,IF($C37="Dru",2/3,0.75),1),0)),0)
*IF(ISERR(FIND(";"&amp;AH$10&amp;":0;",$H37)),1,0)</f>
        <v>0</v>
      </c>
      <c r="AI37" s="164">
        <f t="shared" ref="AI37:AI59" ca="1" si="135">IF(AND(NOT(EXACT($A37,"")),NOT(ISBLANK($F37)),IF(ISNUMBER($B37),VALUE($B37),0)&lt;AI$10,SUM(IF(ISNUMBER($B37),VALUE($B37),0),$F37)&gt;=AI$10,EXACT($K37,"")),
MAX(1,ROUND(HLOOKUP(IF(DN37&lt;65,"A+",IF(DN37&gt;72,"H",CHAR(DN37))),SKT,AI$10+3,FALSE)*IF(VT_EIDGED,IF($C37="Dru",1/3,0.5),1)*IF(VT_GUTGED,IF($C37="Dru",2/3,0.75),1),0)),0)
*IF(ISERR(FIND(";"&amp;AI$10&amp;":0;",$H37)),1,0)</f>
        <v>0</v>
      </c>
      <c r="AJ37" s="164">
        <f t="shared" ref="AJ37:AJ59" ca="1" si="136">IF(AND(NOT(EXACT($A37,"")),NOT(ISBLANK($F37)),IF(ISNUMBER($B37),VALUE($B37),0)&lt;AJ$10,SUM(IF(ISNUMBER($B37),VALUE($B37),0),$F37)&gt;=AJ$10,EXACT($K37,"")),
MAX(1,ROUND(HLOOKUP(IF(DO37&lt;65,"A+",IF(DO37&gt;72,"H",CHAR(DO37))),SKT,AJ$10+3,FALSE)*IF(VT_EIDGED,IF($C37="Dru",1/3,0.5),1)*IF(VT_GUTGED,IF($C37="Dru",2/3,0.75),1),0)),0)
*IF(ISERR(FIND(";"&amp;AJ$10&amp;":0;",$H37)),1,0)</f>
        <v>0</v>
      </c>
      <c r="AK37" s="164">
        <f t="shared" ref="AK37:AK59" ca="1" si="137">IF(AND(NOT(EXACT($A37,"")),NOT(ISBLANK($F37)),IF(ISNUMBER($B37),VALUE($B37),0)&lt;AK$10,SUM(IF(ISNUMBER($B37),VALUE($B37),0),$F37)&gt;=AK$10,EXACT($K37,"")),
MAX(1,ROUND(HLOOKUP(IF(DP37&lt;65,"A+",IF(DP37&gt;72,"H",CHAR(DP37))),SKT,AK$10+3,FALSE)*IF(VT_EIDGED,IF($C37="Dru",1/3,0.5),1)*IF(VT_GUTGED,IF($C37="Dru",2/3,0.75),1),0)),0)
*IF(ISERR(FIND(";"&amp;AK$10&amp;":0;",$H37)),1,0)</f>
        <v>0</v>
      </c>
      <c r="AL37" s="164">
        <f t="shared" ref="AL37:AL59" ca="1" si="138">IF(AND(NOT(EXACT($A37,"")),NOT(ISBLANK($F37)),IF(ISNUMBER($B37),VALUE($B37),0)&lt;AL$10,SUM(IF(ISNUMBER($B37),VALUE($B37),0),$F37)&gt;=AL$10,EXACT($K37,"")),
MAX(1,ROUND(HLOOKUP(IF(DQ37&lt;65,"A+",IF(DQ37&gt;72,"H",CHAR(DQ37))),SKT,AL$10+3,FALSE)*IF(VT_EIDGED,IF($C37="Dru",1/3,0.5),1)*IF(VT_GUTGED,IF($C37="Dru",2/3,0.75),1),0)),0)
*IF(ISERR(FIND(";"&amp;AL$10&amp;":0;",$H37)),1,0)</f>
        <v>0</v>
      </c>
      <c r="AM37" s="208"/>
      <c r="AO37" s="164">
        <f t="shared" ref="AO37:AO59" ca="1" si="139">IF(NOT($A37=""),IF(AND(NOT(ISBLANK($J37)),SUM(VALUE($B37),$F37)&lt;AO$10,SUM(VALUE($B37),$F37,$J37)&gt;=AO$10,EXACT($K37,"")),
MAX(1,ROUND(HLOOKUP(IF(DT37&lt;65,"A+",IF(DT37&gt;72,"H",CHAR(DT37))),SKT,AO$10+3,FALSE)*IF(VT_EIDGED,IF($C37="Dru",1/3,0.5),1)*IF(VT_GUTGED,IF($C37="Dru",2/3,0.75),1),0)),0),0)
*IF(ISERR(FIND(";"&amp;AO$10&amp;":0;",$H37)),1,0)</f>
        <v>0</v>
      </c>
      <c r="AP37" s="164">
        <f t="shared" ref="AP37:AP59" ca="1" si="140">IF(NOT($A37=""),IF(AND(NOT(ISBLANK($J37)),SUM(VALUE($B37),$F37)&lt;AP$10,SUM(VALUE($B37),$F37,$J37)&gt;=AP$10,EXACT($K37,"")),
MAX(1,ROUND(HLOOKUP(IF(DU37&lt;65,"A+",IF(DU37&gt;72,"H",CHAR(DU37))),SKT,AP$10+3,FALSE)*IF(VT_EIDGED,IF($C37="Dru",1/3,0.5),1)*IF(VT_GUTGED,IF($C37="Dru",2/3,0.75),1),0)),0),0)
*IF(ISERR(FIND(";"&amp;AP$10&amp;":0;",$H37)),1,0)</f>
        <v>0</v>
      </c>
      <c r="AQ37" s="164">
        <f t="shared" ref="AQ37:AQ59" ca="1" si="141">IF(NOT($A37=""),IF(AND(NOT(ISBLANK($J37)),SUM(VALUE($B37),$F37)&lt;AQ$10,SUM(VALUE($B37),$F37,$J37)&gt;=AQ$10,EXACT($K37,"")),
MAX(1,ROUND(HLOOKUP(IF(DV37&lt;65,"A+",IF(DV37&gt;72,"H",CHAR(DV37))),SKT,AQ$10+3,FALSE)*IF(VT_EIDGED,IF($C37="Dru",1/3,0.5),1)*IF(VT_GUTGED,IF($C37="Dru",2/3,0.75),1),0)),0),0)
*IF(ISERR(FIND(";"&amp;AQ$10&amp;":0;",$H37)),1,0)</f>
        <v>0</v>
      </c>
      <c r="AR37" s="164">
        <f t="shared" ref="AR37:AR59" ca="1" si="142">IF(NOT($A37=""),IF(AND(NOT(ISBLANK($J37)),SUM(VALUE($B37),$F37)&lt;AR$10,SUM(VALUE($B37),$F37,$J37)&gt;=AR$10,EXACT($K37,"")),
MAX(1,ROUND(HLOOKUP(IF(DW37&lt;65,"A+",IF(DW37&gt;72,"H",CHAR(DW37))),SKT,AR$10+3,FALSE)*IF(VT_EIDGED,IF($C37="Dru",1/3,0.5),1)*IF(VT_GUTGED,IF($C37="Dru",2/3,0.75),1),0)),0),0)
*IF(ISERR(FIND(";"&amp;AR$10&amp;":0;",$H37)),1,0)</f>
        <v>0</v>
      </c>
      <c r="AS37" s="164">
        <f t="shared" ref="AS37:AS59" ca="1" si="143">IF(NOT($A37=""),IF(AND(NOT(ISBLANK($J37)),SUM(VALUE($B37),$F37)&lt;AS$10,SUM(VALUE($B37),$F37,$J37)&gt;=AS$10,EXACT($K37,"")),
MAX(1,ROUND(HLOOKUP(IF(DX37&lt;65,"A+",IF(DX37&gt;72,"H",CHAR(DX37))),SKT,AS$10+3,FALSE)*IF(VT_EIDGED,IF($C37="Dru",1/3,0.5),1)*IF(VT_GUTGED,IF($C37="Dru",2/3,0.75),1),0)),0),0)
*IF(ISERR(FIND(";"&amp;AS$10&amp;":0;",$H37)),1,0)</f>
        <v>0</v>
      </c>
      <c r="AT37" s="164">
        <f t="shared" ref="AT37:AT59" ca="1" si="144">IF(NOT($A37=""),IF(AND(NOT(ISBLANK($J37)),SUM(VALUE($B37),$F37)&lt;AT$10,SUM(VALUE($B37),$F37,$J37)&gt;=AT$10,EXACT($K37,"")),
MAX(1,ROUND(HLOOKUP(IF(DY37&lt;65,"A+",IF(DY37&gt;72,"H",CHAR(DY37))),SKT,AT$10+3,FALSE)*IF(VT_EIDGED,IF($C37="Dru",1/3,0.5),1)*IF(VT_GUTGED,IF($C37="Dru",2/3,0.75),1),0)),0),0)
*IF(ISERR(FIND(";"&amp;AT$10&amp;":0;",$H37)),1,0)</f>
        <v>0</v>
      </c>
      <c r="AU37" s="164">
        <f t="shared" ref="AU37:AU59" ca="1" si="145">IF(NOT($A37=""),IF(AND(NOT(ISBLANK($J37)),SUM(VALUE($B37),$F37)&lt;AU$10,SUM(VALUE($B37),$F37,$J37)&gt;=AU$10,EXACT($K37,"")),
MAX(1,ROUND(HLOOKUP(IF(DZ37&lt;65,"A+",IF(DZ37&gt;72,"H",CHAR(DZ37))),SKT,AU$10+3,FALSE)*IF(VT_EIDGED,IF($C37="Dru",1/3,0.5),1)*IF(VT_GUTGED,IF($C37="Dru",2/3,0.75),1),0)),0),0)
*IF(ISERR(FIND(";"&amp;AU$10&amp;":0;",$H37)),1,0)</f>
        <v>0</v>
      </c>
      <c r="AV37" s="164">
        <f t="shared" ref="AV37:AV59" ca="1" si="146">IF(NOT($A37=""),IF(AND(NOT(ISBLANK($J37)),SUM(VALUE($B37),$F37)&lt;AV$10,SUM(VALUE($B37),$F37,$J37)&gt;=AV$10,EXACT($K37,"")),
MAX(1,ROUND(HLOOKUP(IF(EA37&lt;65,"A+",IF(EA37&gt;72,"H",CHAR(EA37))),SKT,AV$10+3,FALSE)*IF(VT_EIDGED,IF($C37="Dru",1/3,0.5),1)*IF(VT_GUTGED,IF($C37="Dru",2/3,0.75),1),0)),0),0)
*IF(ISERR(FIND(";"&amp;AV$10&amp;":0;",$H37)),1,0)</f>
        <v>0</v>
      </c>
      <c r="AW37" s="164">
        <f t="shared" ref="AW37:AW59" ca="1" si="147">IF(NOT($A37=""),IF(AND(NOT(ISBLANK($J37)),SUM(VALUE($B37),$F37)&lt;AW$10,SUM(VALUE($B37),$F37,$J37)&gt;=AW$10,EXACT($K37,"")),
MAX(1,ROUND(HLOOKUP(IF(EB37&lt;65,"A+",IF(EB37&gt;72,"H",CHAR(EB37))),SKT,AW$10+3,FALSE)*IF(VT_EIDGED,IF($C37="Dru",1/3,0.5),1)*IF(VT_GUTGED,IF($C37="Dru",2/3,0.75),1),0)),0),0)
*IF(ISERR(FIND(";"&amp;AW$10&amp;":0;",$H37)),1,0)</f>
        <v>0</v>
      </c>
      <c r="AX37" s="164">
        <f t="shared" ref="AX37:AX59" ca="1" si="148">IF(NOT($A37=""),IF(AND(NOT(ISBLANK($J37)),SUM(VALUE($B37),$F37)&lt;AX$10,SUM(VALUE($B37),$F37,$J37)&gt;=AX$10,EXACT($K37,"")),
MAX(1,ROUND(HLOOKUP(IF(EC37&lt;65,"A+",IF(EC37&gt;72,"H",CHAR(EC37))),SKT,AX$10+3,FALSE)*IF(VT_EIDGED,IF($C37="Dru",1/3,0.5),1)*IF(VT_GUTGED,IF($C37="Dru",2/3,0.75),1),0)),0),0)
*IF(ISERR(FIND(";"&amp;AX$10&amp;":0;",$H37)),1,0)</f>
        <v>0</v>
      </c>
      <c r="AY37" s="164">
        <f t="shared" ref="AY37:AY59" ca="1" si="149">IF(NOT($A37=""),IF(AND(NOT(ISBLANK($J37)),SUM(VALUE($B37),$F37)&lt;AY$10,SUM(VALUE($B37),$F37,$J37)&gt;=AY$10,EXACT($K37,"")),
MAX(1,ROUND(HLOOKUP(IF(ED37&lt;65,"A+",IF(ED37&gt;72,"H",CHAR(ED37))),SKT,AY$10+3,FALSE)*IF(VT_EIDGED,IF($C37="Dru",1/3,0.5),1)*IF(VT_GUTGED,IF($C37="Dru",2/3,0.75),1),0)),0),0)
*IF(ISERR(FIND(";"&amp;AY$10&amp;":0;",$H37)),1,0)</f>
        <v>0</v>
      </c>
      <c r="AZ37" s="164">
        <f t="shared" ref="AZ37:AZ59" ca="1" si="150">IF(NOT($A37=""),IF(AND(NOT(ISBLANK($J37)),SUM(VALUE($B37),$F37)&lt;AZ$10,SUM(VALUE($B37),$F37,$J37)&gt;=AZ$10,EXACT($K37,"")),
MAX(1,ROUND(HLOOKUP(IF(EE37&lt;65,"A+",IF(EE37&gt;72,"H",CHAR(EE37))),SKT,AZ$10+3,FALSE)*IF(VT_EIDGED,IF($C37="Dru",1/3,0.5),1)*IF(VT_GUTGED,IF($C37="Dru",2/3,0.75),1),0)),0),0)
*IF(ISERR(FIND(";"&amp;AZ$10&amp;":0;",$H37)),1,0)</f>
        <v>0</v>
      </c>
      <c r="BA37" s="164">
        <f t="shared" ref="BA37:BA59" ca="1" si="151">IF(NOT($A37=""),IF(AND(NOT(ISBLANK($J37)),SUM(VALUE($B37),$F37)&lt;BA$10,SUM(VALUE($B37),$F37,$J37)&gt;=BA$10,EXACT($K37,"")),
MAX(1,ROUND(HLOOKUP(IF(EF37&lt;65,"A+",IF(EF37&gt;72,"H",CHAR(EF37))),SKT,BA$10+3,FALSE)*IF(VT_EIDGED,IF($C37="Dru",1/3,0.5),1)*IF(VT_GUTGED,IF($C37="Dru",2/3,0.75),1),0)),0),0)
*IF(ISERR(FIND(";"&amp;BA$10&amp;":0;",$H37)),1,0)</f>
        <v>0</v>
      </c>
      <c r="BB37" s="164">
        <f t="shared" ref="BB37:BB59" ca="1" si="152">IF(NOT($A37=""),IF(AND(NOT(ISBLANK($J37)),SUM(VALUE($B37),$F37)&lt;BB$10,SUM(VALUE($B37),$F37,$J37)&gt;=BB$10,EXACT($K37,"")),
MAX(1,ROUND(HLOOKUP(IF(EG37&lt;65,"A+",IF(EG37&gt;72,"H",CHAR(EG37))),SKT,BB$10+3,FALSE)*IF(VT_EIDGED,IF($C37="Dru",1/3,0.5),1)*IF(VT_GUTGED,IF($C37="Dru",2/3,0.75),1),0)),0),0)
*IF(ISERR(FIND(";"&amp;BB$10&amp;":0;",$H37)),1,0)</f>
        <v>0</v>
      </c>
      <c r="BC37" s="164">
        <f t="shared" ref="BC37:BC59" ca="1" si="153">IF(NOT($A37=""),IF(AND(NOT(ISBLANK($J37)),SUM(VALUE($B37),$F37)&lt;BC$10,SUM(VALUE($B37),$F37,$J37)&gt;=BC$10,EXACT($K37,"")),
MAX(1,ROUND(HLOOKUP(IF(EH37&lt;65,"A+",IF(EH37&gt;72,"H",CHAR(EH37))),SKT,BC$10+3,FALSE)*IF(VT_EIDGED,IF($C37="Dru",1/3,0.5),1)*IF(VT_GUTGED,IF($C37="Dru",2/3,0.75),1),0)),0),0)
*IF(ISERR(FIND(";"&amp;BC$10&amp;":0;",$H37)),1,0)</f>
        <v>0</v>
      </c>
      <c r="BD37" s="164">
        <f t="shared" ref="BD37:BD59" ca="1" si="154">IF(NOT($A37=""),IF(AND(NOT(ISBLANK($J37)),SUM(VALUE($B37),$F37)&lt;BD$10,SUM(VALUE($B37),$F37,$J37)&gt;=BD$10,EXACT($K37,"")),
MAX(1,ROUND(HLOOKUP(IF(EI37&lt;65,"A+",IF(EI37&gt;72,"H",CHAR(EI37))),SKT,BD$10+3,FALSE)*IF(VT_EIDGED,IF($C37="Dru",1/3,0.5),1)*IF(VT_GUTGED,IF($C37="Dru",2/3,0.75),1),0)),0),0)
*IF(ISERR(FIND(";"&amp;BD$10&amp;":0;",$H37)),1,0)</f>
        <v>0</v>
      </c>
      <c r="BE37" s="164">
        <f t="shared" ref="BE37:BE59" ca="1" si="155">IF(NOT($A37=""),IF(AND(NOT(ISBLANK($J37)),SUM(VALUE($B37),$F37)&lt;BE$10,SUM(VALUE($B37),$F37,$J37)&gt;=BE$10,EXACT($K37,"")),
MAX(1,ROUND(HLOOKUP(IF(EJ37&lt;65,"A+",IF(EJ37&gt;72,"H",CHAR(EJ37))),SKT,BE$10+3,FALSE)*IF(VT_EIDGED,IF($C37="Dru",1/3,0.5),1)*IF(VT_GUTGED,IF($C37="Dru",2/3,0.75),1),0)),0),0)
*IF(ISERR(FIND(";"&amp;BE$10&amp;":0;",$H37)),1,0)</f>
        <v>0</v>
      </c>
      <c r="BF37" s="164">
        <f t="shared" ref="BF37:BF59" ca="1" si="156">IF(NOT($A37=""),IF(AND(NOT(ISBLANK($J37)),SUM(VALUE($B37),$F37)&lt;BF$10,SUM(VALUE($B37),$F37,$J37)&gt;=BF$10,EXACT($K37,"")),
MAX(1,ROUND(HLOOKUP(IF(EK37&lt;65,"A+",IF(EK37&gt;72,"H",CHAR(EK37))),SKT,BF$10+3,FALSE)*IF(VT_EIDGED,IF($C37="Dru",1/3,0.5),1)*IF(VT_GUTGED,IF($C37="Dru",2/3,0.75),1),0)),0),0)
*IF(ISERR(FIND(";"&amp;BF$10&amp;":0;",$H37)),1,0)</f>
        <v>0</v>
      </c>
      <c r="BG37" s="164">
        <f t="shared" ref="BG37:BG59" ca="1" si="157">IF(NOT($A37=""),IF(AND(NOT(ISBLANK($J37)),SUM(VALUE($B37),$F37)&lt;BG$10,SUM(VALUE($B37),$F37,$J37)&gt;=BG$10,EXACT($K37,"")),
MAX(1,ROUND(HLOOKUP(IF(EL37&lt;65,"A+",IF(EL37&gt;72,"H",CHAR(EL37))),SKT,BG$10+3,FALSE)*IF(VT_EIDGED,IF($C37="Dru",1/3,0.5),1)*IF(VT_GUTGED,IF($C37="Dru",2/3,0.75),1),0)),0),0)
*IF(ISERR(FIND(";"&amp;BG$10&amp;":0;",$H37)),1,0)</f>
        <v>0</v>
      </c>
      <c r="BH37" s="164">
        <f t="shared" ref="BH37:BH59" ca="1" si="158">IF(NOT($A37=""),IF(AND(NOT(ISBLANK($J37)),SUM(VALUE($B37),$F37)&lt;BH$10,SUM(VALUE($B37),$F37,$J37)&gt;=BH$10,EXACT($K37,"")),
MAX(1,ROUND(HLOOKUP(IF(EM37&lt;65,"A+",IF(EM37&gt;72,"H",CHAR(EM37))),SKT,BH$10+3,FALSE)*IF(VT_EIDGED,IF($C37="Dru",1/3,0.5),1)*IF(VT_GUTGED,IF($C37="Dru",2/3,0.75),1),0)),0),0)
*IF(ISERR(FIND(";"&amp;BH$10&amp;":0;",$H37)),1,0)</f>
        <v>0</v>
      </c>
      <c r="BI37" s="164">
        <f t="shared" ref="BI37:BI59" ca="1" si="159">IF(NOT($A37=""),IF(AND(NOT(ISBLANK($J37)),SUM(VALUE($B37),$F37)&lt;BI$10,SUM(VALUE($B37),$F37,$J37)&gt;=BI$10,EXACT($K37,"")),
MAX(1,ROUND(HLOOKUP(IF(EN37&lt;65,"A+",IF(EN37&gt;72,"H",CHAR(EN37))),SKT,BI$10+3,FALSE)*IF(VT_EIDGED,IF($C37="Dru",1/3,0.5),1)*IF(VT_GUTGED,IF($C37="Dru",2/3,0.75),1),0)),0),0)
*IF(ISERR(FIND(";"&amp;BI$10&amp;":0;",$H37)),1,0)</f>
        <v>0</v>
      </c>
      <c r="BJ37" s="164">
        <f t="shared" ref="BJ37:BJ59" ca="1" si="160">IF(NOT($A37=""),IF(AND(NOT(ISBLANK($J37)),SUM(VALUE($B37),$F37)&lt;BJ$10,SUM(VALUE($B37),$F37,$J37)&gt;=BJ$10,EXACT($K37,"")),
MAX(1,ROUND(HLOOKUP(IF(EO37&lt;65,"A+",IF(EO37&gt;72,"H",CHAR(EO37))),SKT,BJ$10+3,FALSE)*IF(VT_EIDGED,IF($C37="Dru",1/3,0.5),1)*IF(VT_GUTGED,IF($C37="Dru",2/3,0.75),1),0)),0),0)
*IF(ISERR(FIND(";"&amp;BJ$10&amp;":0;",$H37)),1,0)</f>
        <v>0</v>
      </c>
      <c r="BK37" s="164">
        <f t="shared" ref="BK37:BK59" ca="1" si="161">IF(NOT($A37=""),IF(AND(NOT(ISBLANK($J37)),SUM(VALUE($B37),$F37)&lt;BK$10,SUM(VALUE($B37),$F37,$J37)&gt;=BK$10,EXACT($K37,"")),
MAX(1,ROUND(HLOOKUP(IF(EP37&lt;65,"A+",IF(EP37&gt;72,"H",CHAR(EP37))),SKT,BK$10+3,FALSE)*IF(VT_EIDGED,IF($C37="Dru",1/3,0.5),1)*IF(VT_GUTGED,IF($C37="Dru",2/3,0.75),1),0)),0),0)
*IF(ISERR(FIND(";"&amp;BK$10&amp;":0;",$H37)),1,0)</f>
        <v>0</v>
      </c>
      <c r="BL37" s="164">
        <f t="shared" ref="BL37:BL59" ca="1" si="162">IF(NOT($A37=""),IF(AND(NOT(ISBLANK($J37)),SUM(VALUE($B37),$F37)&lt;BL$10,SUM(VALUE($B37),$F37,$J37)&gt;=BL$10,EXACT($K37,"")),
MAX(1,ROUND(HLOOKUP(IF(EQ37&lt;65,"A+",IF(EQ37&gt;72,"H",CHAR(EQ37))),SKT,BL$10+3,FALSE)*IF(VT_EIDGED,IF($C37="Dru",1/3,0.5),1)*IF(VT_GUTGED,IF($C37="Dru",2/3,0.75),1),0)),0),0)
*IF(ISERR(FIND(";"&amp;BL$10&amp;":0;",$H37)),1,0)</f>
        <v>0</v>
      </c>
      <c r="BM37" s="164">
        <f t="shared" ref="BM37:BM59" ca="1" si="163">IF(NOT($A37=""),IF(AND(NOT(ISBLANK($J37)),SUM(VALUE($B37),$F37)&lt;BM$10,SUM(VALUE($B37),$F37,$J37)&gt;=BM$10,EXACT($K37,"")),
MAX(1,ROUND(HLOOKUP(IF(ER37&lt;65,"A+",IF(ER37&gt;72,"H",CHAR(ER37))),SKT,BM$10+3,FALSE)*IF(VT_EIDGED,IF($C37="Dru",1/3,0.5),1)*IF(VT_GUTGED,IF($C37="Dru",2/3,0.75),1),0)),0),0)
*IF(ISERR(FIND(";"&amp;BM$10&amp;":0;",$H37)),1,0)</f>
        <v>0</v>
      </c>
      <c r="BN37" s="164">
        <f t="shared" ref="BN37:BN59" ca="1" si="164">IF(NOT($A37=""),IF(AND(NOT(ISBLANK($J37)),SUM(VALUE($B37),$F37)&lt;BN$10,SUM(VALUE($B37),$F37,$J37)&gt;=BN$10,EXACT($K37,"")),
MAX(1,ROUND(HLOOKUP(IF(ES37&lt;65,"A+",IF(ES37&gt;72,"H",CHAR(ES37))),SKT,BN$10+3,FALSE)*IF(VT_EIDGED,IF($C37="Dru",1/3,0.5),1)*IF(VT_GUTGED,IF($C37="Dru",2/3,0.75),1),0)),0),0)
*IF(ISERR(FIND(";"&amp;BN$10&amp;":0;",$H37)),1,0)</f>
        <v>0</v>
      </c>
      <c r="BO37" s="356" t="str">
        <f t="shared" ref="BO37:BO59" ca="1" si="165">IF($A37="","",CODE(VLOOKUP($A37,ZAUBERWERTE,10,FALSE))-
SUM($BR37:$CA37,
IF(NOT(EXACT($AF$241,"")),(LEN($BQ37)-LEN(SUBSTITUTE($BQ37,$AF$241,"")))/LEN($AF$241),0),
IF(NOT(EXACT($AF$242,"")),(LEN($BQ37)-LEN(SUBSTITUTE($BQ37,$AF$242,"")))/LEN($AF$242),0),
IF(NOT(EXACT($AF$243,"")),(LEN($BQ37)-LEN(SUBSTITUTE($BQ37,$AF$243,"")))/LEN($AF$243),0),
IF(NOT(EXACT($AF$244,"")),(LEN($BQ37)-LEN(SUBSTITUTE($BQ37,$AF$244,"")))/LEN($AF$244),0),
IF(NOT(EXACT($AF$245,"")),(LEN($BQ37)-LEN(SUBSTITUTE($BQ37,$AF$245,"")))/LEN($AF$245),0),
IF(NOT(EXACT($AF$246,"")),(LEN($BQ37)-LEN(SUBSTITUTE($BQ37,$AF$246,"")))/LEN($AF$246),0),
IF(NOT(EXACT($AF$247,"")),(LEN($BQ37)-LEN(SUBSTITUTE($BQ37,$AF$247,"")))/LEN($AF$247),0)))</f>
        <v/>
      </c>
      <c r="BP37" s="355" t="str">
        <f t="shared" ref="BP37:BP59" ca="1" si="166">IF(NOT(EXACT($A37,"")),VLOOKUP($A37,ZAUBERWERTE,11,FALSE),"")</f>
        <v/>
      </c>
      <c r="BQ37" s="355" t="str">
        <f t="shared" ref="BQ37:BQ59" ca="1" si="167">IF(NOT(EXACT($A37,"")),VLOOKUP($A37,ZAUBERWERTE,12,FALSE),"")</f>
        <v/>
      </c>
      <c r="BR37" s="348">
        <f t="shared" ca="1" si="93"/>
        <v>0</v>
      </c>
      <c r="BS37" s="348">
        <f t="shared" ca="1" si="94"/>
        <v>0</v>
      </c>
      <c r="BT37" s="610">
        <f t="shared" ref="BT37:BT59" ca="1" si="168">IF(ISERR(FIND($C37,CONCATENATE($BP$4,$BP$5,$A$237,$A$238))),
IF($BP$4="Sch",IF($C37="Srl",-2,-3),
IF($BP$4="Srl",IF($C37="Mag",-1,-2),
IF($C37="Sch",-3,-2))),
0)</f>
        <v>0</v>
      </c>
      <c r="BU37" s="357">
        <f t="shared" ref="BU37:BU59" ca="1" si="169">IF(EXACT($C37,"H"),1,0)</f>
        <v>0</v>
      </c>
      <c r="BV37" s="357">
        <f t="shared" ref="BV37:BV59" si="170">IF(NT_ELFWELT,IF(CB37="L",0,-1),0)</f>
        <v>0</v>
      </c>
      <c r="BW37" s="357">
        <f t="shared" ref="BW37:BW59" si="171">SUM(IF(NT_ANIMALMAGIE,IF(NOT(ISNA(VLOOKUP(A37,ZAUBERWERTE,2,FALSE))),IF(SUM(IF(VLOOKUP(A37,ZAUBERWERTE,2,FALSE)="KL",1,0),IF(VLOOKUP(A37,ZAUBERWERTE,3,FALSE)="KL",1,0),IF(VLOOKUP(A37,ZAUBERWERTE,4,FALSE)="KL",1,0))&gt;1,-1,0),0),0),
IF(NT_FESTDENKEN,IF(NOT(ISNA(VLOOKUP(A37,ZAUBERWERTE,2,FALSE))),IF(SUM(IF(VLOOKUP(A37,ZAUBERWERTE,2,FALSE)="IN",1,0),IF(VLOOKUP(A37,ZAUBERWERTE,3,FALSE)="IN",1,0),IF(VLOOKUP(A37,ZAUBERWERTE,4,FALSE)="IN",1,0))&gt;1,-1,0),0),0),
IF(NT_SCHWACHAUS,IF(NOT(ISNA(VLOOKUP(A37,ZAUBERWERTE,2,FALSE))),IF(SUM(IF(VLOOKUP(A37,ZAUBERWERTE,2,FALSE)="CH",1,0),IF(VLOOKUP(A37,ZAUBERWERTE,3,FALSE)="CH",1,0),IF(VLOOKUP(A37,ZAUBERWERTE,4,FALSE)="CH",1,0))&gt;1,-1,0),0),0),
IF(NT_ZOEGZAUBERER,IF(NOT(ISNA(VLOOKUP(A37,ZAUBERWERTE,2,FALSE))),IF(SUM(IF(VLOOKUP(A37,ZAUBERWERTE,2,FALSE)="MU",1,0),IF(VLOOKUP(A37,ZAUBERWERTE,3,FALSE)="MU",1,0),IF(VLOOKUP(A37,ZAUBERWERTE,4,FALSE)="MU",1,0))&gt;1,-1,0),0),0))</f>
        <v>0</v>
      </c>
      <c r="BX37" s="357">
        <f t="shared" ref="BX37:BX59" ca="1" si="172">IF($BY37&gt;0,0,IF(OR(AND(NOT(EXACT($T$6,"")),EXACT($A37,$T$6)),AND(NOT(EXACT($T$7,"")),EXACT($A37,$T$7)),AND(NOT(EXACT($T$8,"")),EXACT($A37,$T$8))),1,0))</f>
        <v>0</v>
      </c>
      <c r="BY37" s="357">
        <f t="shared" ca="1" si="95"/>
        <v>0</v>
      </c>
      <c r="BZ37" s="357"/>
      <c r="CA37" s="357">
        <f t="shared" ca="1" si="96"/>
        <v>0</v>
      </c>
      <c r="CB37" s="357" t="str">
        <f t="shared" ref="CB37:CB59" ca="1" si="173">IF(A37="","",IF(ISERROR(FIND(A37,ZAUBER_ELF_LEIT,1)),
IF(ISERROR(VLOOKUP(A37,ZAUBER_START_NEU,4,FALSE)="L"),"",IF(VLOOKUP(A37,ZAUBER_START_NEU,4,FALSE)="L","L","")),"L"))</f>
        <v/>
      </c>
      <c r="CC37" s="358" t="str">
        <f t="shared" ca="1" si="97"/>
        <v/>
      </c>
      <c r="CD37" s="358" t="str">
        <f t="shared" ca="1" si="98"/>
        <v/>
      </c>
      <c r="CE37" s="357" t="str">
        <f ca="1">CONCATENATE($A37,",")</f>
        <v>,</v>
      </c>
      <c r="CF37" s="154"/>
      <c r="CG37" s="154">
        <f t="shared" ca="1" si="100"/>
        <v>0</v>
      </c>
      <c r="CH37" s="268" t="str">
        <f t="shared" ref="CH37:CH59" ca="1" si="174">IF(AND(MAGISCH,NOT(EXACT($A37,""))),HLOOKUP(KULTURGENE,KULTUR,VLOOKUP($A37,ZAUBERWERTE,14,FALSE),FALSE),"")</f>
        <v/>
      </c>
      <c r="CI37" s="268">
        <f t="shared" ref="CI37:CI59" ca="1" si="175">IF(EXACT(RIGHT(CH37),"H"),LEFT(CH37),IF(EXACT(RIGHT(CH37),"B"),0,IF(EXACT(CH37,""),0,CH37)))</f>
        <v>0</v>
      </c>
      <c r="CJ37" s="268" t="str">
        <f t="shared" ref="CJ37:CJ59" ca="1" si="176">IF(AND(MAGISCH,NOT(EXACT($A37,""))),HLOOKUP(PROFGENE,INDIRECT(PROFGEBIET),VLOOKUP($A37,ZAUBERWERTE,14,FALSE),FALSE),"")</f>
        <v/>
      </c>
      <c r="CK37" s="268">
        <f t="shared" ref="CK37:CK59" ca="1" si="177">IF(PROFGEBGENE="Goetter",0,IF(EXACT(RIGHT(CJ37),"H"),LEFT(CJ37),IF(EXACT(RIGHT(CJ37),"B"),0,IF(EXACT(CJ37,""),0,CJ37))))</f>
        <v>0</v>
      </c>
      <c r="CL37" s="268">
        <f t="shared" ref="CL37:CL59" ca="1" si="178">IF(ISERROR(VLOOKUP(A37,ZAUBER_START_NEU,1,FALSE)),0,VLOOKUP(A37,ZAUBER_START_NEU,3,FALSE))</f>
        <v>0</v>
      </c>
      <c r="CM37" s="154">
        <f t="shared" ca="1" si="102"/>
        <v>0</v>
      </c>
      <c r="CN37" s="154"/>
      <c r="CO37" s="86"/>
      <c r="CP37" s="86"/>
      <c r="CQ37" s="86"/>
      <c r="CR37" s="86"/>
      <c r="CS37" s="86"/>
      <c r="CT37" s="86"/>
      <c r="CU37" s="86"/>
      <c r="CV37" s="164" t="str">
        <f t="shared" ref="CV37:DE46" ca="1" si="179">IF($A37="","",IF(VT_VRTLZBR,CODE("F"),CODE(VLOOKUP($A37,ZAUBERWERTE,10,FALSE))-
SUM($BR37:$CA37,
IF(ISERR(FIND(";"&amp;CV$10&amp;";",$H37)),0,1),
IF(ISERR(FIND(";"&amp;CV$10&amp;":",$H37)),0,VALUE(MID($H37,FIND(";"&amp;CV$10&amp;":",$H37)+LEN(CV$10)+2,1))),
IF(AND(NOT(EXACT($AF$241,"")),OR(CV$10&gt;$CO37,ISBLANK($CO37))),IF($CV$3,IF(ISERROR(FIND($AF$241,$BQ37)),0,1),(LEN($BQ37)-LEN(SUBSTITUTE($BQ37,$AF$241,"")))/LEN($AF$241)),0),
IF(AND(NOT(EXACT($AF$242,"")),OR(CV$10&gt;$CP37,ISBLANK($CP37))),IF($CV$3,IF(ISERROR(FIND($AF$242,$BQ37)),0,1),(LEN($BQ37)-LEN(SUBSTITUTE($BQ37,$AF$242,"")))/LEN($AF$242)),0),
IF(AND(NOT(EXACT($AF$243,"")),OR(CV$10&gt;$CQ37,ISBLANK($CQ37))),IF($CV$3,IF(ISERROR(FIND($AF$243,$BQ37)),0,1),(LEN($BQ37)-LEN(SUBSTITUTE($BQ37,$AF$243,"")))/LEN($AF$243)),0),
IF(AND(NOT(EXACT($AF$244,"")),OR(CV$10&gt;$CR37,ISBLANK($CR37))),IF($CV$3,IF(ISERROR(FIND($AF$244,$BQ37)),0,1),(LEN($BQ37)-LEN(SUBSTITUTE($BQ37,$AF$244,"")))/LEN($AF$244)),0),
IF(AND(NOT(EXACT($AF$245,"")),OR(CV$10&gt;$CS37,ISBLANK($CS37))),IF($CV$3,IF(ISERROR(FIND($AF$245,$BQ37)),0,1),(LEN($BQ37)-LEN(SUBSTITUTE($BQ37,$AF$245,"")))/LEN($AF$245)),0),
IF(AND(NOT(EXACT($AF$246,"")),OR(CV$10&gt;$CT37,ISBLANK($CT37))),IF($CV$3,IF(ISERROR(FIND($AF$246,$BQ37)),0,1),(LEN($BQ37)-LEN(SUBSTITUTE($BQ37,$AF$246,"")))/LEN($AF$246)),0),
IF(AND(NOT(EXACT($AF$247,"")),OR(CV$10&gt;$CU37,ISBLANK($CU37))),IF($CV$3,IF(ISERROR(FIND($AF$247,$BQ37)),0,1),(LEN($BQ37)-LEN(SUBSTITUTE($BQ37,$AF$247,"")))/LEN($AF$247)),0)
)))</f>
        <v/>
      </c>
      <c r="CW37" s="164" t="str">
        <f t="shared" ca="1" si="179"/>
        <v/>
      </c>
      <c r="CX37" s="164" t="str">
        <f t="shared" ca="1" si="179"/>
        <v/>
      </c>
      <c r="CY37" s="164" t="str">
        <f t="shared" ca="1" si="179"/>
        <v/>
      </c>
      <c r="CZ37" s="164" t="str">
        <f t="shared" ca="1" si="179"/>
        <v/>
      </c>
      <c r="DA37" s="164" t="str">
        <f t="shared" ca="1" si="179"/>
        <v/>
      </c>
      <c r="DB37" s="164" t="str">
        <f t="shared" ca="1" si="179"/>
        <v/>
      </c>
      <c r="DC37" s="164" t="str">
        <f t="shared" ca="1" si="179"/>
        <v/>
      </c>
      <c r="DD37" s="164" t="str">
        <f t="shared" ca="1" si="179"/>
        <v/>
      </c>
      <c r="DE37" s="164" t="str">
        <f t="shared" ca="1" si="179"/>
        <v/>
      </c>
      <c r="DF37" s="164" t="str">
        <f t="shared" ref="DF37:DQ46" ca="1" si="180">IF($A37="","",IF(VT_VRTLZBR,CODE("F"),CODE(VLOOKUP($A37,ZAUBERWERTE,10,FALSE))-
SUM($BR37:$CA37,
IF(ISERR(FIND(";"&amp;DF$10&amp;";",$H37)),0,1),
IF(ISERR(FIND(";"&amp;DF$10&amp;":",$H37)),0,VALUE(MID($H37,FIND(";"&amp;DF$10&amp;":",$H37)+LEN(DF$10)+2,1))),
IF(AND(NOT(EXACT($AF$241,"")),OR(DF$10&gt;$CO37,ISBLANK($CO37))),IF($CV$3,IF(ISERROR(FIND($AF$241,$BQ37)),0,1),(LEN($BQ37)-LEN(SUBSTITUTE($BQ37,$AF$241,"")))/LEN($AF$241)),0),
IF(AND(NOT(EXACT($AF$242,"")),OR(DF$10&gt;$CP37,ISBLANK($CP37))),IF($CV$3,IF(ISERROR(FIND($AF$242,$BQ37)),0,1),(LEN($BQ37)-LEN(SUBSTITUTE($BQ37,$AF$242,"")))/LEN($AF$242)),0),
IF(AND(NOT(EXACT($AF$243,"")),OR(DF$10&gt;$CQ37,ISBLANK($CQ37))),IF($CV$3,IF(ISERROR(FIND($AF$243,$BQ37)),0,1),(LEN($BQ37)-LEN(SUBSTITUTE($BQ37,$AF$243,"")))/LEN($AF$243)),0),
IF(AND(NOT(EXACT($AF$244,"")),OR(DF$10&gt;$CR37,ISBLANK($CR37))),IF($CV$3,IF(ISERROR(FIND($AF$244,$BQ37)),0,1),(LEN($BQ37)-LEN(SUBSTITUTE($BQ37,$AF$244,"")))/LEN($AF$244)),0),
IF(AND(NOT(EXACT($AF$245,"")),OR(DF$10&gt;$CS37,ISBLANK($CS37))),IF($CV$3,IF(ISERROR(FIND($AF$245,$BQ37)),0,1),(LEN($BQ37)-LEN(SUBSTITUTE($BQ37,$AF$245,"")))/LEN($AF$245)),0),
IF(AND(NOT(EXACT($AF$246,"")),OR(DF$10&gt;$CT37,ISBLANK($CT37))),IF($CV$3,IF(ISERROR(FIND($AF$246,$BQ37)),0,1),(LEN($BQ37)-LEN(SUBSTITUTE($BQ37,$AF$246,"")))/LEN($AF$246)),0),
IF(AND(NOT(EXACT($AF$247,"")),OR(DF$10&gt;$CU37,ISBLANK($CU37))),IF($CV$3,IF(ISERROR(FIND($AF$247,$BQ37)),0,1),(LEN($BQ37)-LEN(SUBSTITUTE($BQ37,$AF$247,"")))/LEN($AF$247)),0)
)))</f>
        <v/>
      </c>
      <c r="DG37" s="164" t="str">
        <f t="shared" ca="1" si="180"/>
        <v/>
      </c>
      <c r="DH37" s="164" t="str">
        <f t="shared" ca="1" si="180"/>
        <v/>
      </c>
      <c r="DI37" s="164" t="str">
        <f t="shared" ca="1" si="180"/>
        <v/>
      </c>
      <c r="DJ37" s="164" t="str">
        <f t="shared" ca="1" si="180"/>
        <v/>
      </c>
      <c r="DK37" s="164" t="str">
        <f t="shared" ca="1" si="180"/>
        <v/>
      </c>
      <c r="DL37" s="164" t="str">
        <f t="shared" ca="1" si="180"/>
        <v/>
      </c>
      <c r="DM37" s="164" t="str">
        <f t="shared" ca="1" si="180"/>
        <v/>
      </c>
      <c r="DN37" s="164" t="str">
        <f t="shared" ca="1" si="180"/>
        <v/>
      </c>
      <c r="DO37" s="164" t="str">
        <f t="shared" ca="1" si="180"/>
        <v/>
      </c>
      <c r="DP37" s="164" t="str">
        <f t="shared" ca="1" si="180"/>
        <v/>
      </c>
      <c r="DQ37" s="164" t="str">
        <f t="shared" ca="1" si="180"/>
        <v/>
      </c>
      <c r="DR37" s="208"/>
      <c r="DS37" s="164" t="str">
        <f t="shared" ref="DS37:DS59" ca="1" si="181">IF($A37="","",IF(VT_VRTLZBR,CODE("F")+1,CODE(VLOOKUP($A37,ZAUBERWERTE,10,FALSE)))-
SUM($BR37:$CA37,
IF(ISERR(FIND(";"&amp;DS$10&amp;";",$H37)),0,1),
IF(ISERR(FIND(";"&amp;DS$10&amp;":",$H37)),0,VALUE(MID($H37,FIND(";"&amp;DS$10&amp;":",$H37)+LEN(DS$10)+2,1))),
IF(ISERR(FIND(";"&amp;DS$10&amp;"+",$H37)),0,-VALUE(MID($H37,FIND(";"&amp;DS$10&amp;"+",$H37)+LEN(DS$10)+2,1))),
IF(AND(NT_Unstet,VLOOKUP($A37,ZAUBERWERTE,10,FALSE)&gt;="C"),-1,0),
IF(AND(NOT(EXACT($AF$241,"")),OR(CV$10&gt;$CO37,ISBLANK($CO37))),IF($CV$3,IF(ISERROR(FIND($AF$241,$BQ37)),0,1),(LEN($BQ37)-LEN(SUBSTITUTE($BQ37,$AF$241,"")))/LEN($AF$241)),0),
IF(AND(NOT(EXACT($AF$242,"")),OR(CV$10&gt;$CP37,ISBLANK($CP37))),IF($CV$3,IF(ISERROR(FIND($AF$242,$BQ37)),0,1),(LEN($BQ37)-LEN(SUBSTITUTE($BQ37,$AF$242,"")))/LEN($AF$242)),0),
IF(AND(NOT(EXACT($AF$243,"")),OR(CV$10&gt;$CQ37,ISBLANK($CQ37))),IF($CV$3,IF(ISERROR(FIND($AF$243,$BQ37)),0,1),(LEN($BQ37)-LEN(SUBSTITUTE($BQ37,$AF$243,"")))/LEN($AF$243)),0),
IF(AND(NOT(EXACT($AF$244,"")),OR(CV$10&gt;$CR37,ISBLANK($CR37))),IF($CV$3,IF(ISERROR(FIND($AF$244,$BQ37)),0,1),(LEN($BQ37)-LEN(SUBSTITUTE($BQ37,$AF$244,"")))/LEN($AF$244)),0),
IF(AND(NOT(EXACT($AF$245,"")),OR(CV$10&gt;$CS37,ISBLANK($CS37))),IF($CV$3,IF(ISERROR(FIND($AF$245,$BQ37)),0,1),(LEN($BQ37)-LEN(SUBSTITUTE($BQ37,$AF$245,"")))/LEN($AF$245)),0),
IF(AND(NOT(EXACT($AF$246,"")),OR(CV$10&gt;$CT37,ISBLANK($CT37))),IF($CV$3,IF(ISERROR(FIND($AF$246,$BQ37)),0,1),(LEN($BQ37)-LEN(SUBSTITUTE($BQ37,$AF$246,"")))/LEN($AF$246)),0),
IF(AND(NOT(EXACT($AF$247,"")),OR(CV$10&gt;$CU37,ISBLANK($CU37))),IF($CV$3,IF(ISERROR(FIND($AF$247,$BQ37)),0,1),(LEN($BQ37)-LEN(SUBSTITUTE($BQ37,$AF$247,"")))/LEN($AF$247)),0)
))</f>
        <v/>
      </c>
      <c r="DT37" s="164" t="str">
        <f t="shared" ref="DT37:DT59" ca="1" si="182">IF($A37="","",IF(VT_VRTLZBR,CODE("F")+1,CODE(VLOOKUP($A37,ZAUBERWERTE,10,FALSE)))-
SUM($BR37:$CA37,
IF(ISERR(FIND(";"&amp;DT$10&amp;";",$H37)),0,1),
IF(ISERR(FIND(";"&amp;DT$10&amp;":",$H37)),0,VALUE(MID($H37,FIND(";"&amp;DT$10&amp;":",$H37)+LEN(DT$10)+2,1))),
IF(ISERR(FIND(";"&amp;DT$10&amp;"+",$H37)),0,-VALUE(MID($H37,FIND(";"&amp;DT$10&amp;"+",$H37)+LEN(DT$10)+2,1))),
IF(AND(NT_Unstet,VLOOKUP($A37,ZAUBERWERTE,10,FALSE)&gt;="C"),-1,0),
IF(AND(NOT(EXACT($AF$241,"")),OR(CW$10&gt;$CO37,ISBLANK($CO37))),IF($CV$3,IF(ISERROR(FIND($AF$241,$BQ37)),0,1),(LEN($BQ37)-LEN(SUBSTITUTE($BQ37,$AF$241,"")))/LEN($AF$241)),0),
IF(AND(NOT(EXACT($AF$242,"")),OR(CW$10&gt;$CP37,ISBLANK($CP37))),IF($CV$3,IF(ISERROR(FIND($AF$242,$BQ37)),0,1),(LEN($BQ37)-LEN(SUBSTITUTE($BQ37,$AF$242,"")))/LEN($AF$242)),0),
IF(AND(NOT(EXACT($AF$243,"")),OR(CW$10&gt;$CQ37,ISBLANK($CQ37))),IF($CV$3,IF(ISERROR(FIND($AF$243,$BQ37)),0,1),(LEN($BQ37)-LEN(SUBSTITUTE($BQ37,$AF$243,"")))/LEN($AF$243)),0),
IF(AND(NOT(EXACT($AF$244,"")),OR(CW$10&gt;$CR37,ISBLANK($CR37))),IF($CV$3,IF(ISERROR(FIND($AF$244,$BQ37)),0,1),(LEN($BQ37)-LEN(SUBSTITUTE($BQ37,$AF$244,"")))/LEN($AF$244)),0),
IF(AND(NOT(EXACT($AF$245,"")),OR(CW$10&gt;$CS37,ISBLANK($CS37))),IF($CV$3,IF(ISERROR(FIND($AF$245,$BQ37)),0,1),(LEN($BQ37)-LEN(SUBSTITUTE($BQ37,$AF$245,"")))/LEN($AF$245)),0),
IF(AND(NOT(EXACT($AF$246,"")),OR(CW$10&gt;$CT37,ISBLANK($CT37))),IF($CV$3,IF(ISERROR(FIND($AF$246,$BQ37)),0,1),(LEN($BQ37)-LEN(SUBSTITUTE($BQ37,$AF$246,"")))/LEN($AF$246)),0),
IF(AND(NOT(EXACT($AF$247,"")),OR(CW$10&gt;$CU37,ISBLANK($CU37))),IF($CV$3,IF(ISERROR(FIND($AF$247,$BQ37)),0,1),(LEN($BQ37)-LEN(SUBSTITUTE($BQ37,$AF$247,"")))/LEN($AF$247)),0)
))</f>
        <v/>
      </c>
      <c r="DU37" s="164" t="str">
        <f t="shared" ref="DU37:DU59" ca="1" si="183">IF($A37="","",IF(VT_VRTLZBR,CODE("F")+1,CODE(VLOOKUP($A37,ZAUBERWERTE,10,FALSE)))-
SUM($BR37:$CA37,
IF(ISERR(FIND(";"&amp;DU$10&amp;";",$H37)),0,1),
IF(ISERR(FIND(";"&amp;DU$10&amp;":",$H37)),0,VALUE(MID($H37,FIND(";"&amp;DU$10&amp;":",$H37)+LEN(DU$10)+2,1))),
IF(ISERR(FIND(";"&amp;DU$10&amp;"+",$H37)),0,-VALUE(MID($H37,FIND(";"&amp;DU$10&amp;"+",$H37)+LEN(DU$10)+2,1))),
IF(AND(NT_Unstet,VLOOKUP($A37,ZAUBERWERTE,10,FALSE)&gt;="C"),-1,0),
IF(AND(NOT(EXACT($AF$241,"")),OR(CX$10&gt;$CO37,ISBLANK($CO37))),IF($CV$3,IF(ISERROR(FIND($AF$241,$BQ37)),0,1),(LEN($BQ37)-LEN(SUBSTITUTE($BQ37,$AF$241,"")))/LEN($AF$241)),0),
IF(AND(NOT(EXACT($AF$242,"")),OR(CX$10&gt;$CP37,ISBLANK($CP37))),IF($CV$3,IF(ISERROR(FIND($AF$242,$BQ37)),0,1),(LEN($BQ37)-LEN(SUBSTITUTE($BQ37,$AF$242,"")))/LEN($AF$242)),0),
IF(AND(NOT(EXACT($AF$243,"")),OR(CX$10&gt;$CQ37,ISBLANK($CQ37))),IF($CV$3,IF(ISERROR(FIND($AF$243,$BQ37)),0,1),(LEN($BQ37)-LEN(SUBSTITUTE($BQ37,$AF$243,"")))/LEN($AF$243)),0),
IF(AND(NOT(EXACT($AF$244,"")),OR(CX$10&gt;$CR37,ISBLANK($CR37))),IF($CV$3,IF(ISERROR(FIND($AF$244,$BQ37)),0,1),(LEN($BQ37)-LEN(SUBSTITUTE($BQ37,$AF$244,"")))/LEN($AF$244)),0),
IF(AND(NOT(EXACT($AF$245,"")),OR(CX$10&gt;$CS37,ISBLANK($CS37))),IF($CV$3,IF(ISERROR(FIND($AF$245,$BQ37)),0,1),(LEN($BQ37)-LEN(SUBSTITUTE($BQ37,$AF$245,"")))/LEN($AF$245)),0),
IF(AND(NOT(EXACT($AF$246,"")),OR(CX$10&gt;$CT37,ISBLANK($CT37))),IF($CV$3,IF(ISERROR(FIND($AF$246,$BQ37)),0,1),(LEN($BQ37)-LEN(SUBSTITUTE($BQ37,$AF$246,"")))/LEN($AF$246)),0),
IF(AND(NOT(EXACT($AF$247,"")),OR(CX$10&gt;$CU37,ISBLANK($CU37))),IF($CV$3,IF(ISERROR(FIND($AF$247,$BQ37)),0,1),(LEN($BQ37)-LEN(SUBSTITUTE($BQ37,$AF$247,"")))/LEN($AF$247)),0)
))</f>
        <v/>
      </c>
      <c r="DV37" s="164" t="str">
        <f t="shared" ref="DV37:DV59" ca="1" si="184">IF($A37="","",IF(VT_VRTLZBR,CODE("F")+1,CODE(VLOOKUP($A37,ZAUBERWERTE,10,FALSE)))-
SUM($BR37:$CA37,
IF(ISERR(FIND(";"&amp;DV$10&amp;";",$H37)),0,1),
IF(ISERR(FIND(";"&amp;DV$10&amp;":",$H37)),0,VALUE(MID($H37,FIND(";"&amp;DV$10&amp;":",$H37)+LEN(DV$10)+2,1))),
IF(ISERR(FIND(";"&amp;DV$10&amp;"+",$H37)),0,-VALUE(MID($H37,FIND(";"&amp;DV$10&amp;"+",$H37)+LEN(DV$10)+2,1))),
IF(AND(NT_Unstet,VLOOKUP($A37,ZAUBERWERTE,10,FALSE)&gt;="C"),-1,0),
IF(AND(NOT(EXACT($AF$241,"")),OR(CY$10&gt;$CO37,ISBLANK($CO37))),IF($CV$3,IF(ISERROR(FIND($AF$241,$BQ37)),0,1),(LEN($BQ37)-LEN(SUBSTITUTE($BQ37,$AF$241,"")))/LEN($AF$241)),0),
IF(AND(NOT(EXACT($AF$242,"")),OR(CY$10&gt;$CP37,ISBLANK($CP37))),IF($CV$3,IF(ISERROR(FIND($AF$242,$BQ37)),0,1),(LEN($BQ37)-LEN(SUBSTITUTE($BQ37,$AF$242,"")))/LEN($AF$242)),0),
IF(AND(NOT(EXACT($AF$243,"")),OR(CY$10&gt;$CQ37,ISBLANK($CQ37))),IF($CV$3,IF(ISERROR(FIND($AF$243,$BQ37)),0,1),(LEN($BQ37)-LEN(SUBSTITUTE($BQ37,$AF$243,"")))/LEN($AF$243)),0),
IF(AND(NOT(EXACT($AF$244,"")),OR(CY$10&gt;$CR37,ISBLANK($CR37))),IF($CV$3,IF(ISERROR(FIND($AF$244,$BQ37)),0,1),(LEN($BQ37)-LEN(SUBSTITUTE($BQ37,$AF$244,"")))/LEN($AF$244)),0),
IF(AND(NOT(EXACT($AF$245,"")),OR(CY$10&gt;$CS37,ISBLANK($CS37))),IF($CV$3,IF(ISERROR(FIND($AF$245,$BQ37)),0,1),(LEN($BQ37)-LEN(SUBSTITUTE($BQ37,$AF$245,"")))/LEN($AF$245)),0),
IF(AND(NOT(EXACT($AF$246,"")),OR(CY$10&gt;$CT37,ISBLANK($CT37))),IF($CV$3,IF(ISERROR(FIND($AF$246,$BQ37)),0,1),(LEN($BQ37)-LEN(SUBSTITUTE($BQ37,$AF$246,"")))/LEN($AF$246)),0),
IF(AND(NOT(EXACT($AF$247,"")),OR(CY$10&gt;$CU37,ISBLANK($CU37))),IF($CV$3,IF(ISERROR(FIND($AF$247,$BQ37)),0,1),(LEN($BQ37)-LEN(SUBSTITUTE($BQ37,$AF$247,"")))/LEN($AF$247)),0)
))</f>
        <v/>
      </c>
      <c r="DW37" s="164" t="str">
        <f t="shared" ref="DW37:DW59" ca="1" si="185">IF($A37="","",IF(VT_VRTLZBR,CODE("F")+1,CODE(VLOOKUP($A37,ZAUBERWERTE,10,FALSE)))-
SUM($BR37:$CA37,
IF(ISERR(FIND(";"&amp;DW$10&amp;";",$H37)),0,1),
IF(ISERR(FIND(";"&amp;DW$10&amp;":",$H37)),0,VALUE(MID($H37,FIND(";"&amp;DW$10&amp;":",$H37)+LEN(DW$10)+2,1))),
IF(ISERR(FIND(";"&amp;DW$10&amp;"+",$H37)),0,-VALUE(MID($H37,FIND(";"&amp;DW$10&amp;"+",$H37)+LEN(DW$10)+2,1))),
IF(AND(NT_Unstet,VLOOKUP($A37,ZAUBERWERTE,10,FALSE)&gt;="C"),-1,0),
IF(AND(NOT(EXACT($AF$241,"")),OR(CZ$10&gt;$CO37,ISBLANK($CO37))),IF($CV$3,IF(ISERROR(FIND($AF$241,$BQ37)),0,1),(LEN($BQ37)-LEN(SUBSTITUTE($BQ37,$AF$241,"")))/LEN($AF$241)),0),
IF(AND(NOT(EXACT($AF$242,"")),OR(CZ$10&gt;$CP37,ISBLANK($CP37))),IF($CV$3,IF(ISERROR(FIND($AF$242,$BQ37)),0,1),(LEN($BQ37)-LEN(SUBSTITUTE($BQ37,$AF$242,"")))/LEN($AF$242)),0),
IF(AND(NOT(EXACT($AF$243,"")),OR(CZ$10&gt;$CQ37,ISBLANK($CQ37))),IF($CV$3,IF(ISERROR(FIND($AF$243,$BQ37)),0,1),(LEN($BQ37)-LEN(SUBSTITUTE($BQ37,$AF$243,"")))/LEN($AF$243)),0),
IF(AND(NOT(EXACT($AF$244,"")),OR(CZ$10&gt;$CR37,ISBLANK($CR37))),IF($CV$3,IF(ISERROR(FIND($AF$244,$BQ37)),0,1),(LEN($BQ37)-LEN(SUBSTITUTE($BQ37,$AF$244,"")))/LEN($AF$244)),0),
IF(AND(NOT(EXACT($AF$245,"")),OR(CZ$10&gt;$CS37,ISBLANK($CS37))),IF($CV$3,IF(ISERROR(FIND($AF$245,$BQ37)),0,1),(LEN($BQ37)-LEN(SUBSTITUTE($BQ37,$AF$245,"")))/LEN($AF$245)),0),
IF(AND(NOT(EXACT($AF$246,"")),OR(CZ$10&gt;$CT37,ISBLANK($CT37))),IF($CV$3,IF(ISERROR(FIND($AF$246,$BQ37)),0,1),(LEN($BQ37)-LEN(SUBSTITUTE($BQ37,$AF$246,"")))/LEN($AF$246)),0),
IF(AND(NOT(EXACT($AF$247,"")),OR(CZ$10&gt;$CU37,ISBLANK($CU37))),IF($CV$3,IF(ISERROR(FIND($AF$247,$BQ37)),0,1),(LEN($BQ37)-LEN(SUBSTITUTE($BQ37,$AF$247,"")))/LEN($AF$247)),0)
))</f>
        <v/>
      </c>
      <c r="DX37" s="164" t="str">
        <f t="shared" ref="DX37:DX59" ca="1" si="186">IF($A37="","",IF(VT_VRTLZBR,CODE("F")+1,CODE(VLOOKUP($A37,ZAUBERWERTE,10,FALSE)))-
SUM($BR37:$CA37,
IF(ISERR(FIND(";"&amp;DX$10&amp;";",$H37)),0,1),
IF(ISERR(FIND(";"&amp;DX$10&amp;":",$H37)),0,VALUE(MID($H37,FIND(";"&amp;DX$10&amp;":",$H37)+LEN(DX$10)+2,1))),
IF(ISERR(FIND(";"&amp;DX$10&amp;"+",$H37)),0,-VALUE(MID($H37,FIND(";"&amp;DX$10&amp;"+",$H37)+LEN(DX$10)+2,1))),
IF(AND(NT_Unstet,VLOOKUP($A37,ZAUBERWERTE,10,FALSE)&gt;="C"),-1,0),
IF(AND(NOT(EXACT($AF$241,"")),OR(DA$10&gt;$CO37,ISBLANK($CO37))),IF($CV$3,IF(ISERROR(FIND($AF$241,$BQ37)),0,1),(LEN($BQ37)-LEN(SUBSTITUTE($BQ37,$AF$241,"")))/LEN($AF$241)),0),
IF(AND(NOT(EXACT($AF$242,"")),OR(DA$10&gt;$CP37,ISBLANK($CP37))),IF($CV$3,IF(ISERROR(FIND($AF$242,$BQ37)),0,1),(LEN($BQ37)-LEN(SUBSTITUTE($BQ37,$AF$242,"")))/LEN($AF$242)),0),
IF(AND(NOT(EXACT($AF$243,"")),OR(DA$10&gt;$CQ37,ISBLANK($CQ37))),IF($CV$3,IF(ISERROR(FIND($AF$243,$BQ37)),0,1),(LEN($BQ37)-LEN(SUBSTITUTE($BQ37,$AF$243,"")))/LEN($AF$243)),0),
IF(AND(NOT(EXACT($AF$244,"")),OR(DA$10&gt;$CR37,ISBLANK($CR37))),IF($CV$3,IF(ISERROR(FIND($AF$244,$BQ37)),0,1),(LEN($BQ37)-LEN(SUBSTITUTE($BQ37,$AF$244,"")))/LEN($AF$244)),0),
IF(AND(NOT(EXACT($AF$245,"")),OR(DA$10&gt;$CS37,ISBLANK($CS37))),IF($CV$3,IF(ISERROR(FIND($AF$245,$BQ37)),0,1),(LEN($BQ37)-LEN(SUBSTITUTE($BQ37,$AF$245,"")))/LEN($AF$245)),0),
IF(AND(NOT(EXACT($AF$246,"")),OR(DA$10&gt;$CT37,ISBLANK($CT37))),IF($CV$3,IF(ISERROR(FIND($AF$246,$BQ37)),0,1),(LEN($BQ37)-LEN(SUBSTITUTE($BQ37,$AF$246,"")))/LEN($AF$246)),0),
IF(AND(NOT(EXACT($AF$247,"")),OR(DA$10&gt;$CU37,ISBLANK($CU37))),IF($CV$3,IF(ISERROR(FIND($AF$247,$BQ37)),0,1),(LEN($BQ37)-LEN(SUBSTITUTE($BQ37,$AF$247,"")))/LEN($AF$247)),0)
))</f>
        <v/>
      </c>
      <c r="DY37" s="164" t="str">
        <f t="shared" ref="DY37:DY59" ca="1" si="187">IF($A37="","",IF(VT_VRTLZBR,CODE("F")+1,CODE(VLOOKUP($A37,ZAUBERWERTE,10,FALSE)))-
SUM($BR37:$CA37,
IF(ISERR(FIND(";"&amp;DY$10&amp;";",$H37)),0,1),
IF(ISERR(FIND(";"&amp;DY$10&amp;":",$H37)),0,VALUE(MID($H37,FIND(";"&amp;DY$10&amp;":",$H37)+LEN(DY$10)+2,1))),
IF(ISERR(FIND(";"&amp;DY$10&amp;"+",$H37)),0,-VALUE(MID($H37,FIND(";"&amp;DY$10&amp;"+",$H37)+LEN(DY$10)+2,1))),
IF(AND(NT_Unstet,VLOOKUP($A37,ZAUBERWERTE,10,FALSE)&gt;="C"),-1,0),
IF(AND(NOT(EXACT($AF$241,"")),OR(DB$10&gt;$CO37,ISBLANK($CO37))),IF($CV$3,IF(ISERROR(FIND($AF$241,$BQ37)),0,1),(LEN($BQ37)-LEN(SUBSTITUTE($BQ37,$AF$241,"")))/LEN($AF$241)),0),
IF(AND(NOT(EXACT($AF$242,"")),OR(DB$10&gt;$CP37,ISBLANK($CP37))),IF($CV$3,IF(ISERROR(FIND($AF$242,$BQ37)),0,1),(LEN($BQ37)-LEN(SUBSTITUTE($BQ37,$AF$242,"")))/LEN($AF$242)),0),
IF(AND(NOT(EXACT($AF$243,"")),OR(DB$10&gt;$CQ37,ISBLANK($CQ37))),IF($CV$3,IF(ISERROR(FIND($AF$243,$BQ37)),0,1),(LEN($BQ37)-LEN(SUBSTITUTE($BQ37,$AF$243,"")))/LEN($AF$243)),0),
IF(AND(NOT(EXACT($AF$244,"")),OR(DB$10&gt;$CR37,ISBLANK($CR37))),IF($CV$3,IF(ISERROR(FIND($AF$244,$BQ37)),0,1),(LEN($BQ37)-LEN(SUBSTITUTE($BQ37,$AF$244,"")))/LEN($AF$244)),0),
IF(AND(NOT(EXACT($AF$245,"")),OR(DB$10&gt;$CS37,ISBLANK($CS37))),IF($CV$3,IF(ISERROR(FIND($AF$245,$BQ37)),0,1),(LEN($BQ37)-LEN(SUBSTITUTE($BQ37,$AF$245,"")))/LEN($AF$245)),0),
IF(AND(NOT(EXACT($AF$246,"")),OR(DB$10&gt;$CT37,ISBLANK($CT37))),IF($CV$3,IF(ISERROR(FIND($AF$246,$BQ37)),0,1),(LEN($BQ37)-LEN(SUBSTITUTE($BQ37,$AF$246,"")))/LEN($AF$246)),0),
IF(AND(NOT(EXACT($AF$247,"")),OR(DB$10&gt;$CU37,ISBLANK($CU37))),IF($CV$3,IF(ISERROR(FIND($AF$247,$BQ37)),0,1),(LEN($BQ37)-LEN(SUBSTITUTE($BQ37,$AF$247,"")))/LEN($AF$247)),0)
))</f>
        <v/>
      </c>
      <c r="DZ37" s="164" t="str">
        <f t="shared" ref="DZ37:DZ59" ca="1" si="188">IF($A37="","",IF(VT_VRTLZBR,CODE("F")+1,CODE(VLOOKUP($A37,ZAUBERWERTE,10,FALSE)))-
SUM($BR37:$CA37,
IF(ISERR(FIND(";"&amp;DZ$10&amp;";",$H37)),0,1),
IF(ISERR(FIND(";"&amp;DZ$10&amp;":",$H37)),0,VALUE(MID($H37,FIND(";"&amp;DZ$10&amp;":",$H37)+LEN(DZ$10)+2,1))),
IF(ISERR(FIND(";"&amp;DZ$10&amp;"+",$H37)),0,-VALUE(MID($H37,FIND(";"&amp;DZ$10&amp;"+",$H37)+LEN(DZ$10)+2,1))),
IF(AND(NT_Unstet,VLOOKUP($A37,ZAUBERWERTE,10,FALSE)&gt;="C"),-1,0),
IF(AND(NOT(EXACT($AF$241,"")),OR(DC$10&gt;$CO37,ISBLANK($CO37))),IF($CV$3,IF(ISERROR(FIND($AF$241,$BQ37)),0,1),(LEN($BQ37)-LEN(SUBSTITUTE($BQ37,$AF$241,"")))/LEN($AF$241)),0),
IF(AND(NOT(EXACT($AF$242,"")),OR(DC$10&gt;$CP37,ISBLANK($CP37))),IF($CV$3,IF(ISERROR(FIND($AF$242,$BQ37)),0,1),(LEN($BQ37)-LEN(SUBSTITUTE($BQ37,$AF$242,"")))/LEN($AF$242)),0),
IF(AND(NOT(EXACT($AF$243,"")),OR(DC$10&gt;$CQ37,ISBLANK($CQ37))),IF($CV$3,IF(ISERROR(FIND($AF$243,$BQ37)),0,1),(LEN($BQ37)-LEN(SUBSTITUTE($BQ37,$AF$243,"")))/LEN($AF$243)),0),
IF(AND(NOT(EXACT($AF$244,"")),OR(DC$10&gt;$CR37,ISBLANK($CR37))),IF($CV$3,IF(ISERROR(FIND($AF$244,$BQ37)),0,1),(LEN($BQ37)-LEN(SUBSTITUTE($BQ37,$AF$244,"")))/LEN($AF$244)),0),
IF(AND(NOT(EXACT($AF$245,"")),OR(DC$10&gt;$CS37,ISBLANK($CS37))),IF($CV$3,IF(ISERROR(FIND($AF$245,$BQ37)),0,1),(LEN($BQ37)-LEN(SUBSTITUTE($BQ37,$AF$245,"")))/LEN($AF$245)),0),
IF(AND(NOT(EXACT($AF$246,"")),OR(DC$10&gt;$CT37,ISBLANK($CT37))),IF($CV$3,IF(ISERROR(FIND($AF$246,$BQ37)),0,1),(LEN($BQ37)-LEN(SUBSTITUTE($BQ37,$AF$246,"")))/LEN($AF$246)),0),
IF(AND(NOT(EXACT($AF$247,"")),OR(DC$10&gt;$CU37,ISBLANK($CU37))),IF($CV$3,IF(ISERROR(FIND($AF$247,$BQ37)),0,1),(LEN($BQ37)-LEN(SUBSTITUTE($BQ37,$AF$247,"")))/LEN($AF$247)),0)
))</f>
        <v/>
      </c>
      <c r="EA37" s="164" t="str">
        <f t="shared" ref="EA37:EA59" ca="1" si="189">IF($A37="","",IF(VT_VRTLZBR,CODE("F")+1,CODE(VLOOKUP($A37,ZAUBERWERTE,10,FALSE)))-
SUM($BR37:$CA37,
IF(ISERR(FIND(";"&amp;EA$10&amp;";",$H37)),0,1),
IF(ISERR(FIND(";"&amp;EA$10&amp;":",$H37)),0,VALUE(MID($H37,FIND(";"&amp;EA$10&amp;":",$H37)+LEN(EA$10)+2,1))),
IF(ISERR(FIND(";"&amp;EA$10&amp;"+",$H37)),0,-VALUE(MID($H37,FIND(";"&amp;EA$10&amp;"+",$H37)+LEN(EA$10)+2,1))),
IF(AND(NT_Unstet,VLOOKUP($A37,ZAUBERWERTE,10,FALSE)&gt;="C"),-1,0),
IF(AND(NOT(EXACT($AF$241,"")),OR(DD$10&gt;$CO37,ISBLANK($CO37))),IF($CV$3,IF(ISERROR(FIND($AF$241,$BQ37)),0,1),(LEN($BQ37)-LEN(SUBSTITUTE($BQ37,$AF$241,"")))/LEN($AF$241)),0),
IF(AND(NOT(EXACT($AF$242,"")),OR(DD$10&gt;$CP37,ISBLANK($CP37))),IF($CV$3,IF(ISERROR(FIND($AF$242,$BQ37)),0,1),(LEN($BQ37)-LEN(SUBSTITUTE($BQ37,$AF$242,"")))/LEN($AF$242)),0),
IF(AND(NOT(EXACT($AF$243,"")),OR(DD$10&gt;$CQ37,ISBLANK($CQ37))),IF($CV$3,IF(ISERROR(FIND($AF$243,$BQ37)),0,1),(LEN($BQ37)-LEN(SUBSTITUTE($BQ37,$AF$243,"")))/LEN($AF$243)),0),
IF(AND(NOT(EXACT($AF$244,"")),OR(DD$10&gt;$CR37,ISBLANK($CR37))),IF($CV$3,IF(ISERROR(FIND($AF$244,$BQ37)),0,1),(LEN($BQ37)-LEN(SUBSTITUTE($BQ37,$AF$244,"")))/LEN($AF$244)),0),
IF(AND(NOT(EXACT($AF$245,"")),OR(DD$10&gt;$CS37,ISBLANK($CS37))),IF($CV$3,IF(ISERROR(FIND($AF$245,$BQ37)),0,1),(LEN($BQ37)-LEN(SUBSTITUTE($BQ37,$AF$245,"")))/LEN($AF$245)),0),
IF(AND(NOT(EXACT($AF$246,"")),OR(DD$10&gt;$CT37,ISBLANK($CT37))),IF($CV$3,IF(ISERROR(FIND($AF$246,$BQ37)),0,1),(LEN($BQ37)-LEN(SUBSTITUTE($BQ37,$AF$246,"")))/LEN($AF$246)),0),
IF(AND(NOT(EXACT($AF$247,"")),OR(DD$10&gt;$CU37,ISBLANK($CU37))),IF($CV$3,IF(ISERROR(FIND($AF$247,$BQ37)),0,1),(LEN($BQ37)-LEN(SUBSTITUTE($BQ37,$AF$247,"")))/LEN($AF$247)),0)
))</f>
        <v/>
      </c>
      <c r="EB37" s="164" t="str">
        <f t="shared" ref="EB37:EB59" ca="1" si="190">IF($A37="","",IF(VT_VRTLZBR,CODE("F")+1,CODE(VLOOKUP($A37,ZAUBERWERTE,10,FALSE)))-
SUM($BR37:$CA37,
IF(ISERR(FIND(";"&amp;EB$10&amp;";",$H37)),0,1),
IF(ISERR(FIND(";"&amp;EB$10&amp;":",$H37)),0,VALUE(MID($H37,FIND(";"&amp;EB$10&amp;":",$H37)+LEN(EB$10)+2,1))),
IF(ISERR(FIND(";"&amp;EB$10&amp;"+",$H37)),0,-VALUE(MID($H37,FIND(";"&amp;EB$10&amp;"+",$H37)+LEN(EB$10)+2,1))),
IF(AND(NT_Unstet,VLOOKUP($A37,ZAUBERWERTE,10,FALSE)&gt;="C"),-1,0),
IF(AND(NOT(EXACT($AF$241,"")),OR(DE$10&gt;$CO37,ISBLANK($CO37))),IF($CV$3,IF(ISERROR(FIND($AF$241,$BQ37)),0,1),(LEN($BQ37)-LEN(SUBSTITUTE($BQ37,$AF$241,"")))/LEN($AF$241)),0),
IF(AND(NOT(EXACT($AF$242,"")),OR(DE$10&gt;$CP37,ISBLANK($CP37))),IF($CV$3,IF(ISERROR(FIND($AF$242,$BQ37)),0,1),(LEN($BQ37)-LEN(SUBSTITUTE($BQ37,$AF$242,"")))/LEN($AF$242)),0),
IF(AND(NOT(EXACT($AF$243,"")),OR(DE$10&gt;$CQ37,ISBLANK($CQ37))),IF($CV$3,IF(ISERROR(FIND($AF$243,$BQ37)),0,1),(LEN($BQ37)-LEN(SUBSTITUTE($BQ37,$AF$243,"")))/LEN($AF$243)),0),
IF(AND(NOT(EXACT($AF$244,"")),OR(DE$10&gt;$CR37,ISBLANK($CR37))),IF($CV$3,IF(ISERROR(FIND($AF$244,$BQ37)),0,1),(LEN($BQ37)-LEN(SUBSTITUTE($BQ37,$AF$244,"")))/LEN($AF$244)),0),
IF(AND(NOT(EXACT($AF$245,"")),OR(DE$10&gt;$CS37,ISBLANK($CS37))),IF($CV$3,IF(ISERROR(FIND($AF$245,$BQ37)),0,1),(LEN($BQ37)-LEN(SUBSTITUTE($BQ37,$AF$245,"")))/LEN($AF$245)),0),
IF(AND(NOT(EXACT($AF$246,"")),OR(DE$10&gt;$CT37,ISBLANK($CT37))),IF($CV$3,IF(ISERROR(FIND($AF$246,$BQ37)),0,1),(LEN($BQ37)-LEN(SUBSTITUTE($BQ37,$AF$246,"")))/LEN($AF$246)),0),
IF(AND(NOT(EXACT($AF$247,"")),OR(DE$10&gt;$CU37,ISBLANK($CU37))),IF($CV$3,IF(ISERROR(FIND($AF$247,$BQ37)),0,1),(LEN($BQ37)-LEN(SUBSTITUTE($BQ37,$AF$247,"")))/LEN($AF$247)),0)
))</f>
        <v/>
      </c>
      <c r="EC37" s="164" t="str">
        <f t="shared" ref="EC37:EC59" ca="1" si="191">IF($A37="","",IF(VT_VRTLZBR,CODE("F")+1,CODE(VLOOKUP($A37,ZAUBERWERTE,10,FALSE)))-
SUM($BR37:$CA37,
IF(ISERR(FIND(";"&amp;EC$10&amp;";",$H37)),0,1),
IF(ISERR(FIND(";"&amp;EC$10&amp;":",$H37)),0,VALUE(MID($H37,FIND(";"&amp;EC$10&amp;":",$H37)+LEN(EC$10)+2,1))),
IF(ISERR(FIND(";"&amp;EC$10&amp;"+",$H37)),0,-VALUE(MID($H37,FIND(";"&amp;EC$10&amp;"+",$H37)+LEN(EC$10)+2,1))),
IF(AND(NT_Unstet,VLOOKUP($A37,ZAUBERWERTE,10,FALSE)&gt;="C"),-1,0),
IF(AND(NOT(EXACT($AF$241,"")),OR(DF$10&gt;$CO37,ISBLANK($CO37))),IF($CV$3,IF(ISERROR(FIND($AF$241,$BQ37)),0,1),(LEN($BQ37)-LEN(SUBSTITUTE($BQ37,$AF$241,"")))/LEN($AF$241)),0),
IF(AND(NOT(EXACT($AF$242,"")),OR(DF$10&gt;$CP37,ISBLANK($CP37))),IF($CV$3,IF(ISERROR(FIND($AF$242,$BQ37)),0,1),(LEN($BQ37)-LEN(SUBSTITUTE($BQ37,$AF$242,"")))/LEN($AF$242)),0),
IF(AND(NOT(EXACT($AF$243,"")),OR(DF$10&gt;$CQ37,ISBLANK($CQ37))),IF($CV$3,IF(ISERROR(FIND($AF$243,$BQ37)),0,1),(LEN($BQ37)-LEN(SUBSTITUTE($BQ37,$AF$243,"")))/LEN($AF$243)),0),
IF(AND(NOT(EXACT($AF$244,"")),OR(DF$10&gt;$CR37,ISBLANK($CR37))),IF($CV$3,IF(ISERROR(FIND($AF$244,$BQ37)),0,1),(LEN($BQ37)-LEN(SUBSTITUTE($BQ37,$AF$244,"")))/LEN($AF$244)),0),
IF(AND(NOT(EXACT($AF$245,"")),OR(DF$10&gt;$CS37,ISBLANK($CS37))),IF($CV$3,IF(ISERROR(FIND($AF$245,$BQ37)),0,1),(LEN($BQ37)-LEN(SUBSTITUTE($BQ37,$AF$245,"")))/LEN($AF$245)),0),
IF(AND(NOT(EXACT($AF$246,"")),OR(DF$10&gt;$CT37,ISBLANK($CT37))),IF($CV$3,IF(ISERROR(FIND($AF$246,$BQ37)),0,1),(LEN($BQ37)-LEN(SUBSTITUTE($BQ37,$AF$246,"")))/LEN($AF$246)),0),
IF(AND(NOT(EXACT($AF$247,"")),OR(DF$10&gt;$CU37,ISBLANK($CU37))),IF($CV$3,IF(ISERROR(FIND($AF$247,$BQ37)),0,1),(LEN($BQ37)-LEN(SUBSTITUTE($BQ37,$AF$247,"")))/LEN($AF$247)),0)
))</f>
        <v/>
      </c>
      <c r="ED37" s="164" t="str">
        <f t="shared" ref="ED37:ED59" ca="1" si="192">IF($A37="","",IF(VT_VRTLZBR,CODE("F")+1,CODE(VLOOKUP($A37,ZAUBERWERTE,10,FALSE)))-
SUM($BR37:$CA37,
IF(ISERR(FIND(";"&amp;ED$10&amp;";",$H37)),0,1),
IF(ISERR(FIND(";"&amp;ED$10&amp;":",$H37)),0,VALUE(MID($H37,FIND(";"&amp;ED$10&amp;":",$H37)+LEN(ED$10)+2,1))),
IF(ISERR(FIND(";"&amp;ED$10&amp;"+",$H37)),0,-VALUE(MID($H37,FIND(";"&amp;ED$10&amp;"+",$H37)+LEN(ED$10)+2,1))),
IF(AND(NT_Unstet,VLOOKUP($A37,ZAUBERWERTE,10,FALSE)&gt;="C"),-1,0),
IF(AND(NOT(EXACT($AF$241,"")),OR(DG$10&gt;$CO37,ISBLANK($CO37))),IF($CV$3,IF(ISERROR(FIND($AF$241,$BQ37)),0,1),(LEN($BQ37)-LEN(SUBSTITUTE($BQ37,$AF$241,"")))/LEN($AF$241)),0),
IF(AND(NOT(EXACT($AF$242,"")),OR(DG$10&gt;$CP37,ISBLANK($CP37))),IF($CV$3,IF(ISERROR(FIND($AF$242,$BQ37)),0,1),(LEN($BQ37)-LEN(SUBSTITUTE($BQ37,$AF$242,"")))/LEN($AF$242)),0),
IF(AND(NOT(EXACT($AF$243,"")),OR(DG$10&gt;$CQ37,ISBLANK($CQ37))),IF($CV$3,IF(ISERROR(FIND($AF$243,$BQ37)),0,1),(LEN($BQ37)-LEN(SUBSTITUTE($BQ37,$AF$243,"")))/LEN($AF$243)),0),
IF(AND(NOT(EXACT($AF$244,"")),OR(DG$10&gt;$CR37,ISBLANK($CR37))),IF($CV$3,IF(ISERROR(FIND($AF$244,$BQ37)),0,1),(LEN($BQ37)-LEN(SUBSTITUTE($BQ37,$AF$244,"")))/LEN($AF$244)),0),
IF(AND(NOT(EXACT($AF$245,"")),OR(DG$10&gt;$CS37,ISBLANK($CS37))),IF($CV$3,IF(ISERROR(FIND($AF$245,$BQ37)),0,1),(LEN($BQ37)-LEN(SUBSTITUTE($BQ37,$AF$245,"")))/LEN($AF$245)),0),
IF(AND(NOT(EXACT($AF$246,"")),OR(DG$10&gt;$CT37,ISBLANK($CT37))),IF($CV$3,IF(ISERROR(FIND($AF$246,$BQ37)),0,1),(LEN($BQ37)-LEN(SUBSTITUTE($BQ37,$AF$246,"")))/LEN($AF$246)),0),
IF(AND(NOT(EXACT($AF$247,"")),OR(DG$10&gt;$CU37,ISBLANK($CU37))),IF($CV$3,IF(ISERROR(FIND($AF$247,$BQ37)),0,1),(LEN($BQ37)-LEN(SUBSTITUTE($BQ37,$AF$247,"")))/LEN($AF$247)),0)
))</f>
        <v/>
      </c>
      <c r="EE37" s="164" t="str">
        <f t="shared" ref="EE37:EE59" ca="1" si="193">IF($A37="","",IF(VT_VRTLZBR,CODE("F")+1,CODE(VLOOKUP($A37,ZAUBERWERTE,10,FALSE)))-
SUM($BR37:$CA37,
IF(ISERR(FIND(";"&amp;EE$10&amp;";",$H37)),0,1),
IF(ISERR(FIND(";"&amp;EE$10&amp;":",$H37)),0,VALUE(MID($H37,FIND(";"&amp;EE$10&amp;":",$H37)+LEN(EE$10)+2,1))),
IF(ISERR(FIND(";"&amp;EE$10&amp;"+",$H37)),0,-VALUE(MID($H37,FIND(";"&amp;EE$10&amp;"+",$H37)+LEN(EE$10)+2,1))),
IF(AND(NT_Unstet,VLOOKUP($A37,ZAUBERWERTE,10,FALSE)&gt;="C"),-1,0),
IF(AND(NOT(EXACT($AF$241,"")),OR(DH$10&gt;$CO37,ISBLANK($CO37))),IF($CV$3,IF(ISERROR(FIND($AF$241,$BQ37)),0,1),(LEN($BQ37)-LEN(SUBSTITUTE($BQ37,$AF$241,"")))/LEN($AF$241)),0),
IF(AND(NOT(EXACT($AF$242,"")),OR(DH$10&gt;$CP37,ISBLANK($CP37))),IF($CV$3,IF(ISERROR(FIND($AF$242,$BQ37)),0,1),(LEN($BQ37)-LEN(SUBSTITUTE($BQ37,$AF$242,"")))/LEN($AF$242)),0),
IF(AND(NOT(EXACT($AF$243,"")),OR(DH$10&gt;$CQ37,ISBLANK($CQ37))),IF($CV$3,IF(ISERROR(FIND($AF$243,$BQ37)),0,1),(LEN($BQ37)-LEN(SUBSTITUTE($BQ37,$AF$243,"")))/LEN($AF$243)),0),
IF(AND(NOT(EXACT($AF$244,"")),OR(DH$10&gt;$CR37,ISBLANK($CR37))),IF($CV$3,IF(ISERROR(FIND($AF$244,$BQ37)),0,1),(LEN($BQ37)-LEN(SUBSTITUTE($BQ37,$AF$244,"")))/LEN($AF$244)),0),
IF(AND(NOT(EXACT($AF$245,"")),OR(DH$10&gt;$CS37,ISBLANK($CS37))),IF($CV$3,IF(ISERROR(FIND($AF$245,$BQ37)),0,1),(LEN($BQ37)-LEN(SUBSTITUTE($BQ37,$AF$245,"")))/LEN($AF$245)),0),
IF(AND(NOT(EXACT($AF$246,"")),OR(DH$10&gt;$CT37,ISBLANK($CT37))),IF($CV$3,IF(ISERROR(FIND($AF$246,$BQ37)),0,1),(LEN($BQ37)-LEN(SUBSTITUTE($BQ37,$AF$246,"")))/LEN($AF$246)),0),
IF(AND(NOT(EXACT($AF$247,"")),OR(DH$10&gt;$CU37,ISBLANK($CU37))),IF($CV$3,IF(ISERROR(FIND($AF$247,$BQ37)),0,1),(LEN($BQ37)-LEN(SUBSTITUTE($BQ37,$AF$247,"")))/LEN($AF$247)),0)
))</f>
        <v/>
      </c>
      <c r="EF37" s="164" t="str">
        <f t="shared" ref="EF37:EF59" ca="1" si="194">IF($A37="","",IF(VT_VRTLZBR,CODE("F")+1,CODE(VLOOKUP($A37,ZAUBERWERTE,10,FALSE)))-
SUM($BR37:$CA37,
IF(ISERR(FIND(";"&amp;EF$10&amp;";",$H37)),0,1),
IF(ISERR(FIND(";"&amp;EF$10&amp;":",$H37)),0,VALUE(MID($H37,FIND(";"&amp;EF$10&amp;":",$H37)+LEN(EF$10)+2,1))),
IF(ISERR(FIND(";"&amp;EF$10&amp;"+",$H37)),0,-VALUE(MID($H37,FIND(";"&amp;EF$10&amp;"+",$H37)+LEN(EF$10)+2,1))),
IF(AND(NT_Unstet,VLOOKUP($A37,ZAUBERWERTE,10,FALSE)&gt;="C"),-1,0),
IF(AND(NOT(EXACT($AF$241,"")),OR(DI$10&gt;$CO37,ISBLANK($CO37))),IF($CV$3,IF(ISERROR(FIND($AF$241,$BQ37)),0,1),(LEN($BQ37)-LEN(SUBSTITUTE($BQ37,$AF$241,"")))/LEN($AF$241)),0),
IF(AND(NOT(EXACT($AF$242,"")),OR(DI$10&gt;$CP37,ISBLANK($CP37))),IF($CV$3,IF(ISERROR(FIND($AF$242,$BQ37)),0,1),(LEN($BQ37)-LEN(SUBSTITUTE($BQ37,$AF$242,"")))/LEN($AF$242)),0),
IF(AND(NOT(EXACT($AF$243,"")),OR(DI$10&gt;$CQ37,ISBLANK($CQ37))),IF($CV$3,IF(ISERROR(FIND($AF$243,$BQ37)),0,1),(LEN($BQ37)-LEN(SUBSTITUTE($BQ37,$AF$243,"")))/LEN($AF$243)),0),
IF(AND(NOT(EXACT($AF$244,"")),OR(DI$10&gt;$CR37,ISBLANK($CR37))),IF($CV$3,IF(ISERROR(FIND($AF$244,$BQ37)),0,1),(LEN($BQ37)-LEN(SUBSTITUTE($BQ37,$AF$244,"")))/LEN($AF$244)),0),
IF(AND(NOT(EXACT($AF$245,"")),OR(DI$10&gt;$CS37,ISBLANK($CS37))),IF($CV$3,IF(ISERROR(FIND($AF$245,$BQ37)),0,1),(LEN($BQ37)-LEN(SUBSTITUTE($BQ37,$AF$245,"")))/LEN($AF$245)),0),
IF(AND(NOT(EXACT($AF$246,"")),OR(DI$10&gt;$CT37,ISBLANK($CT37))),IF($CV$3,IF(ISERROR(FIND($AF$246,$BQ37)),0,1),(LEN($BQ37)-LEN(SUBSTITUTE($BQ37,$AF$246,"")))/LEN($AF$246)),0),
IF(AND(NOT(EXACT($AF$247,"")),OR(DI$10&gt;$CU37,ISBLANK($CU37))),IF($CV$3,IF(ISERROR(FIND($AF$247,$BQ37)),0,1),(LEN($BQ37)-LEN(SUBSTITUTE($BQ37,$AF$247,"")))/LEN($AF$247)),0)
))</f>
        <v/>
      </c>
      <c r="EG37" s="164" t="str">
        <f t="shared" ref="EG37:EG59" ca="1" si="195">IF($A37="","",IF(VT_VRTLZBR,CODE("F")+1,CODE(VLOOKUP($A37,ZAUBERWERTE,10,FALSE)))-
SUM($BR37:$CA37,
IF(ISERR(FIND(";"&amp;EG$10&amp;";",$H37)),0,1),
IF(ISERR(FIND(";"&amp;EG$10&amp;":",$H37)),0,VALUE(MID($H37,FIND(";"&amp;EG$10&amp;":",$H37)+LEN(EG$10)+2,1))),
IF(ISERR(FIND(";"&amp;EG$10&amp;"+",$H37)),0,-VALUE(MID($H37,FIND(";"&amp;EG$10&amp;"+",$H37)+LEN(EG$10)+2,1))),
IF(AND(NT_Unstet,VLOOKUP($A37,ZAUBERWERTE,10,FALSE)&gt;="C"),-1,0),
IF(AND(NOT(EXACT($AF$241,"")),OR(DJ$10&gt;$CO37,ISBLANK($CO37))),IF($CV$3,IF(ISERROR(FIND($AF$241,$BQ37)),0,1),(LEN($BQ37)-LEN(SUBSTITUTE($BQ37,$AF$241,"")))/LEN($AF$241)),0),
IF(AND(NOT(EXACT($AF$242,"")),OR(DJ$10&gt;$CP37,ISBLANK($CP37))),IF($CV$3,IF(ISERROR(FIND($AF$242,$BQ37)),0,1),(LEN($BQ37)-LEN(SUBSTITUTE($BQ37,$AF$242,"")))/LEN($AF$242)),0),
IF(AND(NOT(EXACT($AF$243,"")),OR(DJ$10&gt;$CQ37,ISBLANK($CQ37))),IF($CV$3,IF(ISERROR(FIND($AF$243,$BQ37)),0,1),(LEN($BQ37)-LEN(SUBSTITUTE($BQ37,$AF$243,"")))/LEN($AF$243)),0),
IF(AND(NOT(EXACT($AF$244,"")),OR(DJ$10&gt;$CR37,ISBLANK($CR37))),IF($CV$3,IF(ISERROR(FIND($AF$244,$BQ37)),0,1),(LEN($BQ37)-LEN(SUBSTITUTE($BQ37,$AF$244,"")))/LEN($AF$244)),0),
IF(AND(NOT(EXACT($AF$245,"")),OR(DJ$10&gt;$CS37,ISBLANK($CS37))),IF($CV$3,IF(ISERROR(FIND($AF$245,$BQ37)),0,1),(LEN($BQ37)-LEN(SUBSTITUTE($BQ37,$AF$245,"")))/LEN($AF$245)),0),
IF(AND(NOT(EXACT($AF$246,"")),OR(DJ$10&gt;$CT37,ISBLANK($CT37))),IF($CV$3,IF(ISERROR(FIND($AF$246,$BQ37)),0,1),(LEN($BQ37)-LEN(SUBSTITUTE($BQ37,$AF$246,"")))/LEN($AF$246)),0),
IF(AND(NOT(EXACT($AF$247,"")),OR(DJ$10&gt;$CU37,ISBLANK($CU37))),IF($CV$3,IF(ISERROR(FIND($AF$247,$BQ37)),0,1),(LEN($BQ37)-LEN(SUBSTITUTE($BQ37,$AF$247,"")))/LEN($AF$247)),0)
))</f>
        <v/>
      </c>
      <c r="EH37" s="164" t="str">
        <f t="shared" ref="EH37:EH59" ca="1" si="196">IF($A37="","",IF(VT_VRTLZBR,CODE("F")+1,CODE(VLOOKUP($A37,ZAUBERWERTE,10,FALSE)))-
SUM($BR37:$CA37,
IF(ISERR(FIND(";"&amp;EH$10&amp;";",$H37)),0,1),
IF(ISERR(FIND(";"&amp;EH$10&amp;":",$H37)),0,VALUE(MID($H37,FIND(";"&amp;EH$10&amp;":",$H37)+LEN(EH$10)+2,1))),
IF(ISERR(FIND(";"&amp;EH$10&amp;"+",$H37)),0,-VALUE(MID($H37,FIND(";"&amp;EH$10&amp;"+",$H37)+LEN(EH$10)+2,1))),
IF(AND(NT_Unstet,VLOOKUP($A37,ZAUBERWERTE,10,FALSE)&gt;="C"),-1,0),
IF(AND(NOT(EXACT($AF$241,"")),OR(DK$10&gt;$CO37,ISBLANK($CO37))),IF($CV$3,IF(ISERROR(FIND($AF$241,$BQ37)),0,1),(LEN($BQ37)-LEN(SUBSTITUTE($BQ37,$AF$241,"")))/LEN($AF$241)),0),
IF(AND(NOT(EXACT($AF$242,"")),OR(DK$10&gt;$CP37,ISBLANK($CP37))),IF($CV$3,IF(ISERROR(FIND($AF$242,$BQ37)),0,1),(LEN($BQ37)-LEN(SUBSTITUTE($BQ37,$AF$242,"")))/LEN($AF$242)),0),
IF(AND(NOT(EXACT($AF$243,"")),OR(DK$10&gt;$CQ37,ISBLANK($CQ37))),IF($CV$3,IF(ISERROR(FIND($AF$243,$BQ37)),0,1),(LEN($BQ37)-LEN(SUBSTITUTE($BQ37,$AF$243,"")))/LEN($AF$243)),0),
IF(AND(NOT(EXACT($AF$244,"")),OR(DK$10&gt;$CR37,ISBLANK($CR37))),IF($CV$3,IF(ISERROR(FIND($AF$244,$BQ37)),0,1),(LEN($BQ37)-LEN(SUBSTITUTE($BQ37,$AF$244,"")))/LEN($AF$244)),0),
IF(AND(NOT(EXACT($AF$245,"")),OR(DK$10&gt;$CS37,ISBLANK($CS37))),IF($CV$3,IF(ISERROR(FIND($AF$245,$BQ37)),0,1),(LEN($BQ37)-LEN(SUBSTITUTE($BQ37,$AF$245,"")))/LEN($AF$245)),0),
IF(AND(NOT(EXACT($AF$246,"")),OR(DK$10&gt;$CT37,ISBLANK($CT37))),IF($CV$3,IF(ISERROR(FIND($AF$246,$BQ37)),0,1),(LEN($BQ37)-LEN(SUBSTITUTE($BQ37,$AF$246,"")))/LEN($AF$246)),0),
IF(AND(NOT(EXACT($AF$247,"")),OR(DK$10&gt;$CU37,ISBLANK($CU37))),IF($CV$3,IF(ISERROR(FIND($AF$247,$BQ37)),0,1),(LEN($BQ37)-LEN(SUBSTITUTE($BQ37,$AF$247,"")))/LEN($AF$247)),0)
))</f>
        <v/>
      </c>
      <c r="EI37" s="164" t="str">
        <f t="shared" ref="EI37:EI59" ca="1" si="197">IF($A37="","",IF(VT_VRTLZBR,CODE("F")+1,CODE(VLOOKUP($A37,ZAUBERWERTE,10,FALSE)))-
SUM($BR37:$CA37,
IF(ISERR(FIND(";"&amp;EI$10&amp;";",$H37)),0,1),
IF(ISERR(FIND(";"&amp;EI$10&amp;":",$H37)),0,VALUE(MID($H37,FIND(";"&amp;EI$10&amp;":",$H37)+LEN(EI$10)+2,1))),
IF(ISERR(FIND(";"&amp;EI$10&amp;"+",$H37)),0,-VALUE(MID($H37,FIND(";"&amp;EI$10&amp;"+",$H37)+LEN(EI$10)+2,1))),
IF(AND(NT_Unstet,VLOOKUP($A37,ZAUBERWERTE,10,FALSE)&gt;="C"),-1,0),
IF(AND(NOT(EXACT($AF$241,"")),OR(DL$10&gt;$CO37,ISBLANK($CO37))),IF($CV$3,IF(ISERROR(FIND($AF$241,$BQ37)),0,1),(LEN($BQ37)-LEN(SUBSTITUTE($BQ37,$AF$241,"")))/LEN($AF$241)),0),
IF(AND(NOT(EXACT($AF$242,"")),OR(DL$10&gt;$CP37,ISBLANK($CP37))),IF($CV$3,IF(ISERROR(FIND($AF$242,$BQ37)),0,1),(LEN($BQ37)-LEN(SUBSTITUTE($BQ37,$AF$242,"")))/LEN($AF$242)),0),
IF(AND(NOT(EXACT($AF$243,"")),OR(DL$10&gt;$CQ37,ISBLANK($CQ37))),IF($CV$3,IF(ISERROR(FIND($AF$243,$BQ37)),0,1),(LEN($BQ37)-LEN(SUBSTITUTE($BQ37,$AF$243,"")))/LEN($AF$243)),0),
IF(AND(NOT(EXACT($AF$244,"")),OR(DL$10&gt;$CR37,ISBLANK($CR37))),IF($CV$3,IF(ISERROR(FIND($AF$244,$BQ37)),0,1),(LEN($BQ37)-LEN(SUBSTITUTE($BQ37,$AF$244,"")))/LEN($AF$244)),0),
IF(AND(NOT(EXACT($AF$245,"")),OR(DL$10&gt;$CS37,ISBLANK($CS37))),IF($CV$3,IF(ISERROR(FIND($AF$245,$BQ37)),0,1),(LEN($BQ37)-LEN(SUBSTITUTE($BQ37,$AF$245,"")))/LEN($AF$245)),0),
IF(AND(NOT(EXACT($AF$246,"")),OR(DL$10&gt;$CT37,ISBLANK($CT37))),IF($CV$3,IF(ISERROR(FIND($AF$246,$BQ37)),0,1),(LEN($BQ37)-LEN(SUBSTITUTE($BQ37,$AF$246,"")))/LEN($AF$246)),0),
IF(AND(NOT(EXACT($AF$247,"")),OR(DL$10&gt;$CU37,ISBLANK($CU37))),IF($CV$3,IF(ISERROR(FIND($AF$247,$BQ37)),0,1),(LEN($BQ37)-LEN(SUBSTITUTE($BQ37,$AF$247,"")))/LEN($AF$247)),0)
))</f>
        <v/>
      </c>
      <c r="EJ37" s="164" t="str">
        <f t="shared" ref="EJ37:EJ59" ca="1" si="198">IF($A37="","",IF(VT_VRTLZBR,CODE("F")+1,CODE(VLOOKUP($A37,ZAUBERWERTE,10,FALSE)))-
SUM($BR37:$CA37,
IF(ISERR(FIND(";"&amp;EJ$10&amp;";",$H37)),0,1),
IF(ISERR(FIND(";"&amp;EJ$10&amp;":",$H37)),0,VALUE(MID($H37,FIND(";"&amp;EJ$10&amp;":",$H37)+LEN(EJ$10)+2,1))),
IF(ISERR(FIND(";"&amp;EJ$10&amp;"+",$H37)),0,-VALUE(MID($H37,FIND(";"&amp;EJ$10&amp;"+",$H37)+LEN(EJ$10)+2,1))),
IF(AND(NT_Unstet,VLOOKUP($A37,ZAUBERWERTE,10,FALSE)&gt;="C"),-1,0),
IF(AND(NOT(EXACT($AF$241,"")),OR(DM$10&gt;$CO37,ISBLANK($CO37))),IF($CV$3,IF(ISERROR(FIND($AF$241,$BQ37)),0,1),(LEN($BQ37)-LEN(SUBSTITUTE($BQ37,$AF$241,"")))/LEN($AF$241)),0),
IF(AND(NOT(EXACT($AF$242,"")),OR(DM$10&gt;$CP37,ISBLANK($CP37))),IF($CV$3,IF(ISERROR(FIND($AF$242,$BQ37)),0,1),(LEN($BQ37)-LEN(SUBSTITUTE($BQ37,$AF$242,"")))/LEN($AF$242)),0),
IF(AND(NOT(EXACT($AF$243,"")),OR(DM$10&gt;$CQ37,ISBLANK($CQ37))),IF($CV$3,IF(ISERROR(FIND($AF$243,$BQ37)),0,1),(LEN($BQ37)-LEN(SUBSTITUTE($BQ37,$AF$243,"")))/LEN($AF$243)),0),
IF(AND(NOT(EXACT($AF$244,"")),OR(DM$10&gt;$CR37,ISBLANK($CR37))),IF($CV$3,IF(ISERROR(FIND($AF$244,$BQ37)),0,1),(LEN($BQ37)-LEN(SUBSTITUTE($BQ37,$AF$244,"")))/LEN($AF$244)),0),
IF(AND(NOT(EXACT($AF$245,"")),OR(DM$10&gt;$CS37,ISBLANK($CS37))),IF($CV$3,IF(ISERROR(FIND($AF$245,$BQ37)),0,1),(LEN($BQ37)-LEN(SUBSTITUTE($BQ37,$AF$245,"")))/LEN($AF$245)),0),
IF(AND(NOT(EXACT($AF$246,"")),OR(DM$10&gt;$CT37,ISBLANK($CT37))),IF($CV$3,IF(ISERROR(FIND($AF$246,$BQ37)),0,1),(LEN($BQ37)-LEN(SUBSTITUTE($BQ37,$AF$246,"")))/LEN($AF$246)),0),
IF(AND(NOT(EXACT($AF$247,"")),OR(DM$10&gt;$CU37,ISBLANK($CU37))),IF($CV$3,IF(ISERROR(FIND($AF$247,$BQ37)),0,1),(LEN($BQ37)-LEN(SUBSTITUTE($BQ37,$AF$247,"")))/LEN($AF$247)),0)
))</f>
        <v/>
      </c>
      <c r="EK37" s="164" t="str">
        <f t="shared" ref="EK37:EK59" ca="1" si="199">IF($A37="","",IF(VT_VRTLZBR,CODE("F")+1,CODE(VLOOKUP($A37,ZAUBERWERTE,10,FALSE)))-
SUM($BR37:$CA37,
IF(ISERR(FIND(";"&amp;EK$10&amp;";",$H37)),0,1),
IF(ISERR(FIND(";"&amp;EK$10&amp;":",$H37)),0,VALUE(MID($H37,FIND(";"&amp;EK$10&amp;":",$H37)+LEN(EK$10)+2,1))),
IF(ISERR(FIND(";"&amp;EK$10&amp;"+",$H37)),0,-VALUE(MID($H37,FIND(";"&amp;EK$10&amp;"+",$H37)+LEN(EK$10)+2,1))),
IF(AND(NT_Unstet,VLOOKUP($A37,ZAUBERWERTE,10,FALSE)&gt;="C"),-1,0),
IF(AND(NOT(EXACT($AF$241,"")),OR(DN$10&gt;$CO37,ISBLANK($CO37))),IF($CV$3,IF(ISERROR(FIND($AF$241,$BQ37)),0,1),(LEN($BQ37)-LEN(SUBSTITUTE($BQ37,$AF$241,"")))/LEN($AF$241)),0),
IF(AND(NOT(EXACT($AF$242,"")),OR(DN$10&gt;$CP37,ISBLANK($CP37))),IF($CV$3,IF(ISERROR(FIND($AF$242,$BQ37)),0,1),(LEN($BQ37)-LEN(SUBSTITUTE($BQ37,$AF$242,"")))/LEN($AF$242)),0),
IF(AND(NOT(EXACT($AF$243,"")),OR(DN$10&gt;$CQ37,ISBLANK($CQ37))),IF($CV$3,IF(ISERROR(FIND($AF$243,$BQ37)),0,1),(LEN($BQ37)-LEN(SUBSTITUTE($BQ37,$AF$243,"")))/LEN($AF$243)),0),
IF(AND(NOT(EXACT($AF$244,"")),OR(DN$10&gt;$CR37,ISBLANK($CR37))),IF($CV$3,IF(ISERROR(FIND($AF$244,$BQ37)),0,1),(LEN($BQ37)-LEN(SUBSTITUTE($BQ37,$AF$244,"")))/LEN($AF$244)),0),
IF(AND(NOT(EXACT($AF$245,"")),OR(DN$10&gt;$CS37,ISBLANK($CS37))),IF($CV$3,IF(ISERROR(FIND($AF$245,$BQ37)),0,1),(LEN($BQ37)-LEN(SUBSTITUTE($BQ37,$AF$245,"")))/LEN($AF$245)),0),
IF(AND(NOT(EXACT($AF$246,"")),OR(DN$10&gt;$CT37,ISBLANK($CT37))),IF($CV$3,IF(ISERROR(FIND($AF$246,$BQ37)),0,1),(LEN($BQ37)-LEN(SUBSTITUTE($BQ37,$AF$246,"")))/LEN($AF$246)),0),
IF(AND(NOT(EXACT($AF$247,"")),OR(DN$10&gt;$CU37,ISBLANK($CU37))),IF($CV$3,IF(ISERROR(FIND($AF$247,$BQ37)),0,1),(LEN($BQ37)-LEN(SUBSTITUTE($BQ37,$AF$247,"")))/LEN($AF$247)),0)
))</f>
        <v/>
      </c>
      <c r="EL37" s="164" t="str">
        <f t="shared" ref="EL37:EL59" ca="1" si="200">IF($A37="","",IF(VT_VRTLZBR,CODE("F")+1,CODE(VLOOKUP($A37,ZAUBERWERTE,10,FALSE)))-
SUM($BR37:$CA37,
IF(ISERR(FIND(";"&amp;EL$10&amp;";",$H37)),0,1),
IF(ISERR(FIND(";"&amp;EL$10&amp;":",$H37)),0,VALUE(MID($H37,FIND(";"&amp;EL$10&amp;":",$H37)+LEN(EL$10)+2,1))),
IF(ISERR(FIND(";"&amp;EL$10&amp;"+",$H37)),0,-VALUE(MID($H37,FIND(";"&amp;EL$10&amp;"+",$H37)+LEN(EL$10)+2,1))),
IF(AND(NT_Unstet,VLOOKUP($A37,ZAUBERWERTE,10,FALSE)&gt;="C"),-1,0),
IF(AND(NOT(EXACT($AF$241,"")),OR(DO$10&gt;$CO37,ISBLANK($CO37))),IF($CV$3,IF(ISERROR(FIND($AF$241,$BQ37)),0,1),(LEN($BQ37)-LEN(SUBSTITUTE($BQ37,$AF$241,"")))/LEN($AF$241)),0),
IF(AND(NOT(EXACT($AF$242,"")),OR(DO$10&gt;$CP37,ISBLANK($CP37))),IF($CV$3,IF(ISERROR(FIND($AF$242,$BQ37)),0,1),(LEN($BQ37)-LEN(SUBSTITUTE($BQ37,$AF$242,"")))/LEN($AF$242)),0),
IF(AND(NOT(EXACT($AF$243,"")),OR(DO$10&gt;$CQ37,ISBLANK($CQ37))),IF($CV$3,IF(ISERROR(FIND($AF$243,$BQ37)),0,1),(LEN($BQ37)-LEN(SUBSTITUTE($BQ37,$AF$243,"")))/LEN($AF$243)),0),
IF(AND(NOT(EXACT($AF$244,"")),OR(DO$10&gt;$CR37,ISBLANK($CR37))),IF($CV$3,IF(ISERROR(FIND($AF$244,$BQ37)),0,1),(LEN($BQ37)-LEN(SUBSTITUTE($BQ37,$AF$244,"")))/LEN($AF$244)),0),
IF(AND(NOT(EXACT($AF$245,"")),OR(DO$10&gt;$CS37,ISBLANK($CS37))),IF($CV$3,IF(ISERROR(FIND($AF$245,$BQ37)),0,1),(LEN($BQ37)-LEN(SUBSTITUTE($BQ37,$AF$245,"")))/LEN($AF$245)),0),
IF(AND(NOT(EXACT($AF$246,"")),OR(DO$10&gt;$CT37,ISBLANK($CT37))),IF($CV$3,IF(ISERROR(FIND($AF$246,$BQ37)),0,1),(LEN($BQ37)-LEN(SUBSTITUTE($BQ37,$AF$246,"")))/LEN($AF$246)),0),
IF(AND(NOT(EXACT($AF$247,"")),OR(DO$10&gt;$CU37,ISBLANK($CU37))),IF($CV$3,IF(ISERROR(FIND($AF$247,$BQ37)),0,1),(LEN($BQ37)-LEN(SUBSTITUTE($BQ37,$AF$247,"")))/LEN($AF$247)),0)
))</f>
        <v/>
      </c>
      <c r="EM37" s="164" t="str">
        <f t="shared" ref="EM37:EM59" ca="1" si="201">IF($A37="","",IF(VT_VRTLZBR,CODE("F")+1,CODE(VLOOKUP($A37,ZAUBERWERTE,10,FALSE)))-
SUM($BR37:$CA37,
IF(ISERR(FIND(";"&amp;EM$10&amp;";",$H37)),0,1),
IF(ISERR(FIND(";"&amp;EM$10&amp;":",$H37)),0,VALUE(MID($H37,FIND(";"&amp;EM$10&amp;":",$H37)+LEN(EM$10)+2,1))),
IF(ISERR(FIND(";"&amp;EM$10&amp;"+",$H37)),0,-VALUE(MID($H37,FIND(";"&amp;EM$10&amp;"+",$H37)+LEN(EM$10)+2,1))),
IF(AND(NT_Unstet,VLOOKUP($A37,ZAUBERWERTE,10,FALSE)&gt;="C"),-1,0),
IF(AND(NOT(EXACT($AF$241,"")),OR(DP$10&gt;$CO37,ISBLANK($CO37))),IF($CV$3,IF(ISERROR(FIND($AF$241,$BQ37)),0,1),(LEN($BQ37)-LEN(SUBSTITUTE($BQ37,$AF$241,"")))/LEN($AF$241)),0),
IF(AND(NOT(EXACT($AF$242,"")),OR(DP$10&gt;$CP37,ISBLANK($CP37))),IF($CV$3,IF(ISERROR(FIND($AF$242,$BQ37)),0,1),(LEN($BQ37)-LEN(SUBSTITUTE($BQ37,$AF$242,"")))/LEN($AF$242)),0),
IF(AND(NOT(EXACT($AF$243,"")),OR(DP$10&gt;$CQ37,ISBLANK($CQ37))),IF($CV$3,IF(ISERROR(FIND($AF$243,$BQ37)),0,1),(LEN($BQ37)-LEN(SUBSTITUTE($BQ37,$AF$243,"")))/LEN($AF$243)),0),
IF(AND(NOT(EXACT($AF$244,"")),OR(DP$10&gt;$CR37,ISBLANK($CR37))),IF($CV$3,IF(ISERROR(FIND($AF$244,$BQ37)),0,1),(LEN($BQ37)-LEN(SUBSTITUTE($BQ37,$AF$244,"")))/LEN($AF$244)),0),
IF(AND(NOT(EXACT($AF$245,"")),OR(DP$10&gt;$CS37,ISBLANK($CS37))),IF($CV$3,IF(ISERROR(FIND($AF$245,$BQ37)),0,1),(LEN($BQ37)-LEN(SUBSTITUTE($BQ37,$AF$245,"")))/LEN($AF$245)),0),
IF(AND(NOT(EXACT($AF$246,"")),OR(DP$10&gt;$CT37,ISBLANK($CT37))),IF($CV$3,IF(ISERROR(FIND($AF$246,$BQ37)),0,1),(LEN($BQ37)-LEN(SUBSTITUTE($BQ37,$AF$246,"")))/LEN($AF$246)),0),
IF(AND(NOT(EXACT($AF$247,"")),OR(DP$10&gt;$CU37,ISBLANK($CU37))),IF($CV$3,IF(ISERROR(FIND($AF$247,$BQ37)),0,1),(LEN($BQ37)-LEN(SUBSTITUTE($BQ37,$AF$247,"")))/LEN($AF$247)),0)
))</f>
        <v/>
      </c>
      <c r="EN37" s="164" t="str">
        <f t="shared" ref="EN37:EN59" ca="1" si="202">IF($A37="","",IF(VT_VRTLZBR,CODE("F")+1,CODE(VLOOKUP($A37,ZAUBERWERTE,10,FALSE)))-
SUM($BR37:$CA37,
IF(ISERR(FIND(";"&amp;EN$10&amp;";",$H37)),0,1),
IF(ISERR(FIND(";"&amp;EN$10&amp;":",$H37)),0,VALUE(MID($H37,FIND(";"&amp;EN$10&amp;":",$H37)+LEN(EN$10)+2,1))),
IF(ISERR(FIND(";"&amp;EN$10&amp;"+",$H37)),0,-VALUE(MID($H37,FIND(";"&amp;EN$10&amp;"+",$H37)+LEN(EN$10)+2,1))),
IF(AND(NT_Unstet,VLOOKUP($A37,ZAUBERWERTE,10,FALSE)&gt;="C"),-1,0),
IF(AND(NOT(EXACT($AF$241,"")),OR(DQ$10&gt;$CO37,ISBLANK($CO37))),IF($CV$3,IF(ISERROR(FIND($AF$241,$BQ37)),0,1),(LEN($BQ37)-LEN(SUBSTITUTE($BQ37,$AF$241,"")))/LEN($AF$241)),0),
IF(AND(NOT(EXACT($AF$242,"")),OR(DQ$10&gt;$CP37,ISBLANK($CP37))),IF($CV$3,IF(ISERROR(FIND($AF$242,$BQ37)),0,1),(LEN($BQ37)-LEN(SUBSTITUTE($BQ37,$AF$242,"")))/LEN($AF$242)),0),
IF(AND(NOT(EXACT($AF$243,"")),OR(DQ$10&gt;$CQ37,ISBLANK($CQ37))),IF($CV$3,IF(ISERROR(FIND($AF$243,$BQ37)),0,1),(LEN($BQ37)-LEN(SUBSTITUTE($BQ37,$AF$243,"")))/LEN($AF$243)),0),
IF(AND(NOT(EXACT($AF$244,"")),OR(DQ$10&gt;$CR37,ISBLANK($CR37))),IF($CV$3,IF(ISERROR(FIND($AF$244,$BQ37)),0,1),(LEN($BQ37)-LEN(SUBSTITUTE($BQ37,$AF$244,"")))/LEN($AF$244)),0),
IF(AND(NOT(EXACT($AF$245,"")),OR(DQ$10&gt;$CS37,ISBLANK($CS37))),IF($CV$3,IF(ISERROR(FIND($AF$245,$BQ37)),0,1),(LEN($BQ37)-LEN(SUBSTITUTE($BQ37,$AF$245,"")))/LEN($AF$245)),0),
IF(AND(NOT(EXACT($AF$246,"")),OR(DQ$10&gt;$CT37,ISBLANK($CT37))),IF($CV$3,IF(ISERROR(FIND($AF$246,$BQ37)),0,1),(LEN($BQ37)-LEN(SUBSTITUTE($BQ37,$AF$246,"")))/LEN($AF$246)),0),
IF(AND(NOT(EXACT($AF$247,"")),OR(DQ$10&gt;$CU37,ISBLANK($CU37))),IF($CV$3,IF(ISERROR(FIND($AF$247,$BQ37)),0,1),(LEN($BQ37)-LEN(SUBSTITUTE($BQ37,$AF$247,"")))/LEN($AF$247)),0)
))</f>
        <v/>
      </c>
      <c r="EO37" s="164" t="str">
        <f t="shared" ref="EO37:EO59" ca="1" si="203">IF($A37="","",IF(VT_VRTLZBR,CODE("F")+1,CODE(VLOOKUP($A37,ZAUBERWERTE,10,FALSE)))-
SUM($BR37:$CA37,
IF(ISERR(FIND(";"&amp;EO$10&amp;";",$H37)),0,1),
IF(ISERR(FIND(";"&amp;EO$10&amp;":",$H37)),0,VALUE(MID($H37,FIND(";"&amp;EO$10&amp;":",$H37)+LEN(EO$10)+2,1))),
IF(ISERR(FIND(";"&amp;EO$10&amp;"+",$H37)),0,-VALUE(MID($H37,FIND(";"&amp;EO$10&amp;"+",$H37)+LEN(EO$10)+2,1))),
IF(AND(NT_Unstet,VLOOKUP($A37,ZAUBERWERTE,10,FALSE)&gt;="C"),-1,0),
IF(AND(NOT(EXACT($AF$241,"")),OR(DR$10&gt;$CO37,ISBLANK($CO37))),IF($CV$3,IF(ISERROR(FIND($AF$241,$BQ37)),0,1),(LEN($BQ37)-LEN(SUBSTITUTE($BQ37,$AF$241,"")))/LEN($AF$241)),0),
IF(AND(NOT(EXACT($AF$242,"")),OR(DR$10&gt;$CP37,ISBLANK($CP37))),IF($CV$3,IF(ISERROR(FIND($AF$242,$BQ37)),0,1),(LEN($BQ37)-LEN(SUBSTITUTE($BQ37,$AF$242,"")))/LEN($AF$242)),0),
IF(AND(NOT(EXACT($AF$243,"")),OR(DR$10&gt;$CQ37,ISBLANK($CQ37))),IF($CV$3,IF(ISERROR(FIND($AF$243,$BQ37)),0,1),(LEN($BQ37)-LEN(SUBSTITUTE($BQ37,$AF$243,"")))/LEN($AF$243)),0),
IF(AND(NOT(EXACT($AF$244,"")),OR(DR$10&gt;$CR37,ISBLANK($CR37))),IF($CV$3,IF(ISERROR(FIND($AF$244,$BQ37)),0,1),(LEN($BQ37)-LEN(SUBSTITUTE($BQ37,$AF$244,"")))/LEN($AF$244)),0),
IF(AND(NOT(EXACT($AF$245,"")),OR(DR$10&gt;$CS37,ISBLANK($CS37))),IF($CV$3,IF(ISERROR(FIND($AF$245,$BQ37)),0,1),(LEN($BQ37)-LEN(SUBSTITUTE($BQ37,$AF$245,"")))/LEN($AF$245)),0),
IF(AND(NOT(EXACT($AF$246,"")),OR(DR$10&gt;$CT37,ISBLANK($CT37))),IF($CV$3,IF(ISERROR(FIND($AF$246,$BQ37)),0,1),(LEN($BQ37)-LEN(SUBSTITUTE($BQ37,$AF$246,"")))/LEN($AF$246)),0),
IF(AND(NOT(EXACT($AF$247,"")),OR(DR$10&gt;$CU37,ISBLANK($CU37))),IF($CV$3,IF(ISERROR(FIND($AF$247,$BQ37)),0,1),(LEN($BQ37)-LEN(SUBSTITUTE($BQ37,$AF$247,"")))/LEN($AF$247)),0)
))</f>
        <v/>
      </c>
      <c r="EP37" s="164" t="str">
        <f t="shared" ref="EP37:EP59" ca="1" si="204">IF($A37="","",IF(VT_VRTLZBR,CODE("F")+1,CODE(VLOOKUP($A37,ZAUBERWERTE,10,FALSE)))-
SUM($BR37:$CA37,
IF(ISERR(FIND(";"&amp;EP$10&amp;";",$H37)),0,1),
IF(ISERR(FIND(";"&amp;EP$10&amp;":",$H37)),0,VALUE(MID($H37,FIND(";"&amp;EP$10&amp;":",$H37)+LEN(EP$10)+2,1))),
IF(ISERR(FIND(";"&amp;EP$10&amp;"+",$H37)),0,-VALUE(MID($H37,FIND(";"&amp;EP$10&amp;"+",$H37)+LEN(EP$10)+2,1))),
IF(AND(NT_Unstet,VLOOKUP($A37,ZAUBERWERTE,10,FALSE)&gt;="C"),-1,0),
IF(AND(NOT(EXACT($AF$241,"")),OR(DS$10&gt;$CO37,ISBLANK($CO37))),IF($CV$3,IF(ISERROR(FIND($AF$241,$BQ37)),0,1),(LEN($BQ37)-LEN(SUBSTITUTE($BQ37,$AF$241,"")))/LEN($AF$241)),0),
IF(AND(NOT(EXACT($AF$242,"")),OR(DS$10&gt;$CP37,ISBLANK($CP37))),IF($CV$3,IF(ISERROR(FIND($AF$242,$BQ37)),0,1),(LEN($BQ37)-LEN(SUBSTITUTE($BQ37,$AF$242,"")))/LEN($AF$242)),0),
IF(AND(NOT(EXACT($AF$243,"")),OR(DS$10&gt;$CQ37,ISBLANK($CQ37))),IF($CV$3,IF(ISERROR(FIND($AF$243,$BQ37)),0,1),(LEN($BQ37)-LEN(SUBSTITUTE($BQ37,$AF$243,"")))/LEN($AF$243)),0),
IF(AND(NOT(EXACT($AF$244,"")),OR(DS$10&gt;$CR37,ISBLANK($CR37))),IF($CV$3,IF(ISERROR(FIND($AF$244,$BQ37)),0,1),(LEN($BQ37)-LEN(SUBSTITUTE($BQ37,$AF$244,"")))/LEN($AF$244)),0),
IF(AND(NOT(EXACT($AF$245,"")),OR(DS$10&gt;$CS37,ISBLANK($CS37))),IF($CV$3,IF(ISERROR(FIND($AF$245,$BQ37)),0,1),(LEN($BQ37)-LEN(SUBSTITUTE($BQ37,$AF$245,"")))/LEN($AF$245)),0),
IF(AND(NOT(EXACT($AF$246,"")),OR(DS$10&gt;$CT37,ISBLANK($CT37))),IF($CV$3,IF(ISERROR(FIND($AF$246,$BQ37)),0,1),(LEN($BQ37)-LEN(SUBSTITUTE($BQ37,$AF$246,"")))/LEN($AF$246)),0),
IF(AND(NOT(EXACT($AF$247,"")),OR(DS$10&gt;$CU37,ISBLANK($CU37))),IF($CV$3,IF(ISERROR(FIND($AF$247,$BQ37)),0,1),(LEN($BQ37)-LEN(SUBSTITUTE($BQ37,$AF$247,"")))/LEN($AF$247)),0)
))</f>
        <v/>
      </c>
      <c r="EQ37" s="164" t="str">
        <f t="shared" ref="EQ37:EQ59" ca="1" si="205">IF($A37="","",IF(VT_VRTLZBR,CODE("F")+1,CODE(VLOOKUP($A37,ZAUBERWERTE,10,FALSE)))-
SUM($BR37:$CA37,
IF(ISERR(FIND(";"&amp;EQ$10&amp;";",$H37)),0,1),
IF(ISERR(FIND(";"&amp;EQ$10&amp;":",$H37)),0,VALUE(MID($H37,FIND(";"&amp;EQ$10&amp;":",$H37)+LEN(EQ$10)+2,1))),
IF(ISERR(FIND(";"&amp;EQ$10&amp;"+",$H37)),0,-VALUE(MID($H37,FIND(";"&amp;EQ$10&amp;"+",$H37)+LEN(EQ$10)+2,1))),
IF(AND(NT_Unstet,VLOOKUP($A37,ZAUBERWERTE,10,FALSE)&gt;="C"),-1,0),
IF(AND(NOT(EXACT($AF$241,"")),OR(DT$10&gt;$CO37,ISBLANK($CO37))),IF($CV$3,IF(ISERROR(FIND($AF$241,$BQ37)),0,1),(LEN($BQ37)-LEN(SUBSTITUTE($BQ37,$AF$241,"")))/LEN($AF$241)),0),
IF(AND(NOT(EXACT($AF$242,"")),OR(DT$10&gt;$CP37,ISBLANK($CP37))),IF($CV$3,IF(ISERROR(FIND($AF$242,$BQ37)),0,1),(LEN($BQ37)-LEN(SUBSTITUTE($BQ37,$AF$242,"")))/LEN($AF$242)),0),
IF(AND(NOT(EXACT($AF$243,"")),OR(DT$10&gt;$CQ37,ISBLANK($CQ37))),IF($CV$3,IF(ISERROR(FIND($AF$243,$BQ37)),0,1),(LEN($BQ37)-LEN(SUBSTITUTE($BQ37,$AF$243,"")))/LEN($AF$243)),0),
IF(AND(NOT(EXACT($AF$244,"")),OR(DT$10&gt;$CR37,ISBLANK($CR37))),IF($CV$3,IF(ISERROR(FIND($AF$244,$BQ37)),0,1),(LEN($BQ37)-LEN(SUBSTITUTE($BQ37,$AF$244,"")))/LEN($AF$244)),0),
IF(AND(NOT(EXACT($AF$245,"")),OR(DT$10&gt;$CS37,ISBLANK($CS37))),IF($CV$3,IF(ISERROR(FIND($AF$245,$BQ37)),0,1),(LEN($BQ37)-LEN(SUBSTITUTE($BQ37,$AF$245,"")))/LEN($AF$245)),0),
IF(AND(NOT(EXACT($AF$246,"")),OR(DT$10&gt;$CT37,ISBLANK($CT37))),IF($CV$3,IF(ISERROR(FIND($AF$246,$BQ37)),0,1),(LEN($BQ37)-LEN(SUBSTITUTE($BQ37,$AF$246,"")))/LEN($AF$246)),0),
IF(AND(NOT(EXACT($AF$247,"")),OR(DT$10&gt;$CU37,ISBLANK($CU37))),IF($CV$3,IF(ISERROR(FIND($AF$247,$BQ37)),0,1),(LEN($BQ37)-LEN(SUBSTITUTE($BQ37,$AF$247,"")))/LEN($AF$247)),0)
))</f>
        <v/>
      </c>
      <c r="ER37" s="164" t="str">
        <f t="shared" ref="ER37:ER59" ca="1" si="206">IF($A37="","",IF(VT_VRTLZBR,CODE("F")+1,CODE(VLOOKUP($A37,ZAUBERWERTE,10,FALSE)))-
SUM($BR37:$CA37,
IF(ISERR(FIND(";"&amp;ER$10&amp;";",$H37)),0,1),
IF(ISERR(FIND(";"&amp;ER$10&amp;":",$H37)),0,VALUE(MID($H37,FIND(";"&amp;ER$10&amp;":",$H37)+LEN(ER$10)+2,1))),
IF(ISERR(FIND(";"&amp;ER$10&amp;"+",$H37)),0,-VALUE(MID($H37,FIND(";"&amp;ER$10&amp;"+",$H37)+LEN(ER$10)+2,1))),
IF(AND(NT_Unstet,VLOOKUP($A37,ZAUBERWERTE,10,FALSE)&gt;="C"),-1,0),
IF(AND(NOT(EXACT($AF$241,"")),OR(DU$10&gt;$CO37,ISBLANK($CO37))),IF($CV$3,IF(ISERROR(FIND($AF$241,$BQ37)),0,1),(LEN($BQ37)-LEN(SUBSTITUTE($BQ37,$AF$241,"")))/LEN($AF$241)),0),
IF(AND(NOT(EXACT($AF$242,"")),OR(DU$10&gt;$CP37,ISBLANK($CP37))),IF($CV$3,IF(ISERROR(FIND($AF$242,$BQ37)),0,1),(LEN($BQ37)-LEN(SUBSTITUTE($BQ37,$AF$242,"")))/LEN($AF$242)),0),
IF(AND(NOT(EXACT($AF$243,"")),OR(DU$10&gt;$CQ37,ISBLANK($CQ37))),IF($CV$3,IF(ISERROR(FIND($AF$243,$BQ37)),0,1),(LEN($BQ37)-LEN(SUBSTITUTE($BQ37,$AF$243,"")))/LEN($AF$243)),0),
IF(AND(NOT(EXACT($AF$244,"")),OR(DU$10&gt;$CR37,ISBLANK($CR37))),IF($CV$3,IF(ISERROR(FIND($AF$244,$BQ37)),0,1),(LEN($BQ37)-LEN(SUBSTITUTE($BQ37,$AF$244,"")))/LEN($AF$244)),0),
IF(AND(NOT(EXACT($AF$245,"")),OR(DU$10&gt;$CS37,ISBLANK($CS37))),IF($CV$3,IF(ISERROR(FIND($AF$245,$BQ37)),0,1),(LEN($BQ37)-LEN(SUBSTITUTE($BQ37,$AF$245,"")))/LEN($AF$245)),0),
IF(AND(NOT(EXACT($AF$246,"")),OR(DU$10&gt;$CT37,ISBLANK($CT37))),IF($CV$3,IF(ISERROR(FIND($AF$246,$BQ37)),0,1),(LEN($BQ37)-LEN(SUBSTITUTE($BQ37,$AF$246,"")))/LEN($AF$246)),0),
IF(AND(NOT(EXACT($AF$247,"")),OR(DU$10&gt;$CU37,ISBLANK($CU37))),IF($CV$3,IF(ISERROR(FIND($AF$247,$BQ37)),0,1),(LEN($BQ37)-LEN(SUBSTITUTE($BQ37,$AF$247,"")))/LEN($AF$247)),0)
))</f>
        <v/>
      </c>
      <c r="ES37" s="164" t="str">
        <f t="shared" ref="ES37:ES59" ca="1" si="207">IF($A37="","",IF(VT_VRTLZBR,CODE("F")+1,CODE(VLOOKUP($A37,ZAUBERWERTE,10,FALSE)))-
SUM($BR37:$CA37,
IF(ISERR(FIND(";"&amp;ES$10&amp;";",$H37)),0,1),
IF(ISERR(FIND(";"&amp;ES$10&amp;":",$H37)),0,VALUE(MID($H37,FIND(";"&amp;ES$10&amp;":",$H37)+LEN(ES$10)+2,1))),
IF(ISERR(FIND(";"&amp;ES$10&amp;"+",$H37)),0,-VALUE(MID($H37,FIND(";"&amp;ES$10&amp;"+",$H37)+LEN(ES$10)+2,1))),
IF(AND(NT_Unstet,VLOOKUP($A37,ZAUBERWERTE,10,FALSE)&gt;="C"),-1,0),
IF(AND(NOT(EXACT($AF$241,"")),OR(DV$10&gt;$CO37,ISBLANK($CO37))),IF($CV$3,IF(ISERROR(FIND($AF$241,$BQ37)),0,1),(LEN($BQ37)-LEN(SUBSTITUTE($BQ37,$AF$241,"")))/LEN($AF$241)),0),
IF(AND(NOT(EXACT($AF$242,"")),OR(DV$10&gt;$CP37,ISBLANK($CP37))),IF($CV$3,IF(ISERROR(FIND($AF$242,$BQ37)),0,1),(LEN($BQ37)-LEN(SUBSTITUTE($BQ37,$AF$242,"")))/LEN($AF$242)),0),
IF(AND(NOT(EXACT($AF$243,"")),OR(DV$10&gt;$CQ37,ISBLANK($CQ37))),IF($CV$3,IF(ISERROR(FIND($AF$243,$BQ37)),0,1),(LEN($BQ37)-LEN(SUBSTITUTE($BQ37,$AF$243,"")))/LEN($AF$243)),0),
IF(AND(NOT(EXACT($AF$244,"")),OR(DV$10&gt;$CR37,ISBLANK($CR37))),IF($CV$3,IF(ISERROR(FIND($AF$244,$BQ37)),0,1),(LEN($BQ37)-LEN(SUBSTITUTE($BQ37,$AF$244,"")))/LEN($AF$244)),0),
IF(AND(NOT(EXACT($AF$245,"")),OR(DV$10&gt;$CS37,ISBLANK($CS37))),IF($CV$3,IF(ISERROR(FIND($AF$245,$BQ37)),0,1),(LEN($BQ37)-LEN(SUBSTITUTE($BQ37,$AF$245,"")))/LEN($AF$245)),0),
IF(AND(NOT(EXACT($AF$246,"")),OR(DV$10&gt;$CT37,ISBLANK($CT37))),IF($CV$3,IF(ISERROR(FIND($AF$246,$BQ37)),0,1),(LEN($BQ37)-LEN(SUBSTITUTE($BQ37,$AF$246,"")))/LEN($AF$246)),0),
IF(AND(NOT(EXACT($AF$247,"")),OR(DV$10&gt;$CU37,ISBLANK($CU37))),IF($CV$3,IF(ISERROR(FIND($AF$247,$BQ37)),0,1),(LEN($BQ37)-LEN(SUBSTITUTE($BQ37,$AF$247,"")))/LEN($AF$247)),0)
))</f>
        <v/>
      </c>
    </row>
    <row r="38" spans="1:149" x14ac:dyDescent="0.2">
      <c r="A38" s="89" t="str">
        <f ca="1">IF(MAGISCH,IF(NOT(EXACT(MID(SZALLE,SUM(LEN($CE37),1),2),"")),MID(SZALLE,SUM(LEN($CE37),1),SUM(FIND(",",SZALLE,SUM(LEN($CE37),1)),-LEN($CE37),-1)),""),"")</f>
        <v/>
      </c>
      <c r="B38" s="317" t="str">
        <f t="shared" ca="1" si="112"/>
        <v/>
      </c>
      <c r="C38" s="609" t="str">
        <f t="shared" ca="1" si="113"/>
        <v/>
      </c>
      <c r="D38" s="1956" t="str">
        <f t="shared" ca="1" si="114"/>
        <v/>
      </c>
      <c r="E38" s="1956"/>
      <c r="F38" s="960"/>
      <c r="G38" s="485" t="str">
        <f t="shared" ca="1" si="115"/>
        <v/>
      </c>
      <c r="H38" s="983"/>
      <c r="I38" s="975"/>
      <c r="J38" s="972"/>
      <c r="K38" s="1886" t="str">
        <f t="shared" ca="1" si="116"/>
        <v/>
      </c>
      <c r="L38" s="1888"/>
      <c r="M38" s="296" t="str">
        <f t="shared" ref="M38:M59" ca="1" si="208">IF(AND(EXACT($B38,""),ISBLANK($F38),ISBLANK($J38)),"",$B38+$F38+$J38)</f>
        <v/>
      </c>
      <c r="N38" s="1322"/>
      <c r="O38" s="1319"/>
      <c r="P38" s="957" t="str">
        <f t="shared" ca="1" si="117"/>
        <v/>
      </c>
      <c r="Q38" s="749"/>
      <c r="R38" s="164">
        <f t="shared" ca="1" si="118"/>
        <v>0</v>
      </c>
      <c r="S38" s="164">
        <f t="shared" ca="1" si="119"/>
        <v>0</v>
      </c>
      <c r="T38" s="164">
        <f t="shared" ca="1" si="120"/>
        <v>0</v>
      </c>
      <c r="U38" s="164">
        <f t="shared" ca="1" si="121"/>
        <v>0</v>
      </c>
      <c r="V38" s="164">
        <f t="shared" ca="1" si="122"/>
        <v>0</v>
      </c>
      <c r="W38" s="164">
        <f t="shared" ca="1" si="123"/>
        <v>0</v>
      </c>
      <c r="X38" s="164">
        <f t="shared" ca="1" si="124"/>
        <v>0</v>
      </c>
      <c r="Y38" s="164">
        <f t="shared" ca="1" si="125"/>
        <v>0</v>
      </c>
      <c r="Z38" s="164">
        <f t="shared" ca="1" si="126"/>
        <v>0</v>
      </c>
      <c r="AA38" s="164">
        <f t="shared" ca="1" si="127"/>
        <v>0</v>
      </c>
      <c r="AB38" s="164">
        <f t="shared" ca="1" si="128"/>
        <v>0</v>
      </c>
      <c r="AC38" s="164">
        <f t="shared" ca="1" si="129"/>
        <v>0</v>
      </c>
      <c r="AD38" s="164">
        <f t="shared" ca="1" si="130"/>
        <v>0</v>
      </c>
      <c r="AE38" s="164">
        <f t="shared" ca="1" si="131"/>
        <v>0</v>
      </c>
      <c r="AF38" s="164">
        <f t="shared" ca="1" si="132"/>
        <v>0</v>
      </c>
      <c r="AG38" s="164">
        <f t="shared" ca="1" si="133"/>
        <v>0</v>
      </c>
      <c r="AH38" s="164">
        <f t="shared" ca="1" si="134"/>
        <v>0</v>
      </c>
      <c r="AI38" s="164">
        <f t="shared" ca="1" si="135"/>
        <v>0</v>
      </c>
      <c r="AJ38" s="164">
        <f t="shared" ca="1" si="136"/>
        <v>0</v>
      </c>
      <c r="AK38" s="164">
        <f t="shared" ca="1" si="137"/>
        <v>0</v>
      </c>
      <c r="AL38" s="164">
        <f t="shared" ca="1" si="138"/>
        <v>0</v>
      </c>
      <c r="AM38" s="208"/>
      <c r="AO38" s="164">
        <f t="shared" ca="1" si="139"/>
        <v>0</v>
      </c>
      <c r="AP38" s="164">
        <f t="shared" ca="1" si="140"/>
        <v>0</v>
      </c>
      <c r="AQ38" s="164">
        <f t="shared" ca="1" si="141"/>
        <v>0</v>
      </c>
      <c r="AR38" s="164">
        <f t="shared" ca="1" si="142"/>
        <v>0</v>
      </c>
      <c r="AS38" s="164">
        <f t="shared" ca="1" si="143"/>
        <v>0</v>
      </c>
      <c r="AT38" s="164">
        <f t="shared" ca="1" si="144"/>
        <v>0</v>
      </c>
      <c r="AU38" s="164">
        <f t="shared" ca="1" si="145"/>
        <v>0</v>
      </c>
      <c r="AV38" s="164">
        <f t="shared" ca="1" si="146"/>
        <v>0</v>
      </c>
      <c r="AW38" s="164">
        <f t="shared" ca="1" si="147"/>
        <v>0</v>
      </c>
      <c r="AX38" s="164">
        <f t="shared" ca="1" si="148"/>
        <v>0</v>
      </c>
      <c r="AY38" s="164">
        <f t="shared" ca="1" si="149"/>
        <v>0</v>
      </c>
      <c r="AZ38" s="164">
        <f t="shared" ca="1" si="150"/>
        <v>0</v>
      </c>
      <c r="BA38" s="164">
        <f t="shared" ca="1" si="151"/>
        <v>0</v>
      </c>
      <c r="BB38" s="164">
        <f t="shared" ca="1" si="152"/>
        <v>0</v>
      </c>
      <c r="BC38" s="164">
        <f t="shared" ca="1" si="153"/>
        <v>0</v>
      </c>
      <c r="BD38" s="164">
        <f t="shared" ca="1" si="154"/>
        <v>0</v>
      </c>
      <c r="BE38" s="164">
        <f t="shared" ca="1" si="155"/>
        <v>0</v>
      </c>
      <c r="BF38" s="164">
        <f t="shared" ca="1" si="156"/>
        <v>0</v>
      </c>
      <c r="BG38" s="164">
        <f t="shared" ca="1" si="157"/>
        <v>0</v>
      </c>
      <c r="BH38" s="164">
        <f t="shared" ca="1" si="158"/>
        <v>0</v>
      </c>
      <c r="BI38" s="164">
        <f t="shared" ca="1" si="159"/>
        <v>0</v>
      </c>
      <c r="BJ38" s="164">
        <f t="shared" ca="1" si="160"/>
        <v>0</v>
      </c>
      <c r="BK38" s="164">
        <f t="shared" ca="1" si="161"/>
        <v>0</v>
      </c>
      <c r="BL38" s="164">
        <f t="shared" ca="1" si="162"/>
        <v>0</v>
      </c>
      <c r="BM38" s="164">
        <f t="shared" ca="1" si="163"/>
        <v>0</v>
      </c>
      <c r="BN38" s="164">
        <f t="shared" ca="1" si="164"/>
        <v>0</v>
      </c>
      <c r="BO38" s="356" t="str">
        <f t="shared" ca="1" si="165"/>
        <v/>
      </c>
      <c r="BP38" s="355" t="str">
        <f t="shared" ca="1" si="166"/>
        <v/>
      </c>
      <c r="BQ38" s="355" t="str">
        <f t="shared" ca="1" si="167"/>
        <v/>
      </c>
      <c r="BR38" s="348">
        <f t="shared" ca="1" si="93"/>
        <v>0</v>
      </c>
      <c r="BS38" s="348">
        <f t="shared" ca="1" si="94"/>
        <v>0</v>
      </c>
      <c r="BT38" s="610">
        <f t="shared" ca="1" si="168"/>
        <v>0</v>
      </c>
      <c r="BU38" s="357">
        <f t="shared" ca="1" si="169"/>
        <v>0</v>
      </c>
      <c r="BV38" s="357">
        <f t="shared" si="170"/>
        <v>0</v>
      </c>
      <c r="BW38" s="357">
        <f t="shared" si="171"/>
        <v>0</v>
      </c>
      <c r="BX38" s="357">
        <f t="shared" ca="1" si="172"/>
        <v>0</v>
      </c>
      <c r="BY38" s="357">
        <f t="shared" ca="1" si="95"/>
        <v>0</v>
      </c>
      <c r="BZ38" s="357"/>
      <c r="CA38" s="357">
        <f t="shared" ca="1" si="96"/>
        <v>0</v>
      </c>
      <c r="CB38" s="357" t="str">
        <f t="shared" ca="1" si="173"/>
        <v/>
      </c>
      <c r="CC38" s="358" t="str">
        <f t="shared" ca="1" si="97"/>
        <v/>
      </c>
      <c r="CD38" s="358" t="str">
        <f t="shared" ca="1" si="98"/>
        <v/>
      </c>
      <c r="CE38" s="357" t="str">
        <f t="shared" ref="CE38:CE59" ca="1" si="209">CONCATENATE($CE37,$A38,",")</f>
        <v>,,</v>
      </c>
      <c r="CF38" s="154"/>
      <c r="CG38" s="154">
        <f t="shared" ca="1" si="100"/>
        <v>0</v>
      </c>
      <c r="CH38" s="268" t="str">
        <f t="shared" ca="1" si="174"/>
        <v/>
      </c>
      <c r="CI38" s="268">
        <f t="shared" ca="1" si="175"/>
        <v>0</v>
      </c>
      <c r="CJ38" s="268" t="str">
        <f t="shared" ca="1" si="176"/>
        <v/>
      </c>
      <c r="CK38" s="268">
        <f t="shared" ca="1" si="177"/>
        <v>0</v>
      </c>
      <c r="CL38" s="268">
        <f t="shared" ca="1" si="178"/>
        <v>0</v>
      </c>
      <c r="CM38" s="154">
        <f t="shared" ca="1" si="102"/>
        <v>0</v>
      </c>
      <c r="CN38" s="154"/>
      <c r="CO38" s="169"/>
      <c r="CP38" s="169"/>
      <c r="CQ38" s="169"/>
      <c r="CR38" s="169"/>
      <c r="CS38" s="169"/>
      <c r="CT38" s="169"/>
      <c r="CU38" s="169"/>
      <c r="CV38" s="164" t="str">
        <f t="shared" ca="1" si="179"/>
        <v/>
      </c>
      <c r="CW38" s="164" t="str">
        <f t="shared" ca="1" si="179"/>
        <v/>
      </c>
      <c r="CX38" s="164" t="str">
        <f t="shared" ca="1" si="179"/>
        <v/>
      </c>
      <c r="CY38" s="164" t="str">
        <f t="shared" ca="1" si="179"/>
        <v/>
      </c>
      <c r="CZ38" s="164" t="str">
        <f t="shared" ca="1" si="179"/>
        <v/>
      </c>
      <c r="DA38" s="164" t="str">
        <f t="shared" ca="1" si="179"/>
        <v/>
      </c>
      <c r="DB38" s="164" t="str">
        <f t="shared" ca="1" si="179"/>
        <v/>
      </c>
      <c r="DC38" s="164" t="str">
        <f t="shared" ca="1" si="179"/>
        <v/>
      </c>
      <c r="DD38" s="164" t="str">
        <f t="shared" ca="1" si="179"/>
        <v/>
      </c>
      <c r="DE38" s="164" t="str">
        <f t="shared" ca="1" si="179"/>
        <v/>
      </c>
      <c r="DF38" s="164" t="str">
        <f t="shared" ca="1" si="180"/>
        <v/>
      </c>
      <c r="DG38" s="164" t="str">
        <f t="shared" ca="1" si="180"/>
        <v/>
      </c>
      <c r="DH38" s="164" t="str">
        <f t="shared" ca="1" si="180"/>
        <v/>
      </c>
      <c r="DI38" s="164" t="str">
        <f t="shared" ca="1" si="180"/>
        <v/>
      </c>
      <c r="DJ38" s="164" t="str">
        <f t="shared" ca="1" si="180"/>
        <v/>
      </c>
      <c r="DK38" s="164" t="str">
        <f t="shared" ca="1" si="180"/>
        <v/>
      </c>
      <c r="DL38" s="164" t="str">
        <f t="shared" ca="1" si="180"/>
        <v/>
      </c>
      <c r="DM38" s="164" t="str">
        <f t="shared" ca="1" si="180"/>
        <v/>
      </c>
      <c r="DN38" s="164" t="str">
        <f t="shared" ca="1" si="180"/>
        <v/>
      </c>
      <c r="DO38" s="164" t="str">
        <f t="shared" ca="1" si="180"/>
        <v/>
      </c>
      <c r="DP38" s="164" t="str">
        <f t="shared" ca="1" si="180"/>
        <v/>
      </c>
      <c r="DQ38" s="164" t="str">
        <f t="shared" ca="1" si="180"/>
        <v/>
      </c>
      <c r="DR38" s="208"/>
      <c r="DS38" s="164" t="str">
        <f t="shared" ca="1" si="181"/>
        <v/>
      </c>
      <c r="DT38" s="164" t="str">
        <f t="shared" ca="1" si="182"/>
        <v/>
      </c>
      <c r="DU38" s="164" t="str">
        <f t="shared" ca="1" si="183"/>
        <v/>
      </c>
      <c r="DV38" s="164" t="str">
        <f t="shared" ca="1" si="184"/>
        <v/>
      </c>
      <c r="DW38" s="164" t="str">
        <f t="shared" ca="1" si="185"/>
        <v/>
      </c>
      <c r="DX38" s="164" t="str">
        <f t="shared" ca="1" si="186"/>
        <v/>
      </c>
      <c r="DY38" s="164" t="str">
        <f t="shared" ca="1" si="187"/>
        <v/>
      </c>
      <c r="DZ38" s="164" t="str">
        <f t="shared" ca="1" si="188"/>
        <v/>
      </c>
      <c r="EA38" s="164" t="str">
        <f t="shared" ca="1" si="189"/>
        <v/>
      </c>
      <c r="EB38" s="164" t="str">
        <f t="shared" ca="1" si="190"/>
        <v/>
      </c>
      <c r="EC38" s="164" t="str">
        <f t="shared" ca="1" si="191"/>
        <v/>
      </c>
      <c r="ED38" s="164" t="str">
        <f t="shared" ca="1" si="192"/>
        <v/>
      </c>
      <c r="EE38" s="164" t="str">
        <f t="shared" ca="1" si="193"/>
        <v/>
      </c>
      <c r="EF38" s="164" t="str">
        <f t="shared" ca="1" si="194"/>
        <v/>
      </c>
      <c r="EG38" s="164" t="str">
        <f t="shared" ca="1" si="195"/>
        <v/>
      </c>
      <c r="EH38" s="164" t="str">
        <f t="shared" ca="1" si="196"/>
        <v/>
      </c>
      <c r="EI38" s="164" t="str">
        <f t="shared" ca="1" si="197"/>
        <v/>
      </c>
      <c r="EJ38" s="164" t="str">
        <f t="shared" ca="1" si="198"/>
        <v/>
      </c>
      <c r="EK38" s="164" t="str">
        <f t="shared" ca="1" si="199"/>
        <v/>
      </c>
      <c r="EL38" s="164" t="str">
        <f t="shared" ca="1" si="200"/>
        <v/>
      </c>
      <c r="EM38" s="164" t="str">
        <f t="shared" ca="1" si="201"/>
        <v/>
      </c>
      <c r="EN38" s="164" t="str">
        <f t="shared" ca="1" si="202"/>
        <v/>
      </c>
      <c r="EO38" s="164" t="str">
        <f t="shared" ca="1" si="203"/>
        <v/>
      </c>
      <c r="EP38" s="164" t="str">
        <f t="shared" ca="1" si="204"/>
        <v/>
      </c>
      <c r="EQ38" s="164" t="str">
        <f t="shared" ca="1" si="205"/>
        <v/>
      </c>
      <c r="ER38" s="164" t="str">
        <f t="shared" ca="1" si="206"/>
        <v/>
      </c>
      <c r="ES38" s="164" t="str">
        <f t="shared" ca="1" si="207"/>
        <v/>
      </c>
    </row>
    <row r="39" spans="1:149" x14ac:dyDescent="0.2">
      <c r="A39" s="89" t="str">
        <f t="shared" ref="A39:A59" ca="1" si="210">IF(MAGISCH,IF(NOT(EXACT(MID(SZALLE,SUM(LEN($CE38),1),2),"")),MID(SZALLE,SUM(LEN($CE38),1),SUM(FIND(",",SZALLE,SUM(LEN($CE38),1)),-LEN($CE38),-1)),""),"")</f>
        <v/>
      </c>
      <c r="B39" s="317" t="str">
        <f t="shared" ca="1" si="112"/>
        <v/>
      </c>
      <c r="C39" s="609" t="str">
        <f t="shared" ca="1" si="113"/>
        <v/>
      </c>
      <c r="D39" s="1956" t="str">
        <f t="shared" ca="1" si="114"/>
        <v/>
      </c>
      <c r="E39" s="1956"/>
      <c r="F39" s="960"/>
      <c r="G39" s="485" t="str">
        <f t="shared" ca="1" si="115"/>
        <v/>
      </c>
      <c r="H39" s="983"/>
      <c r="I39" s="975"/>
      <c r="J39" s="972"/>
      <c r="K39" s="1886" t="str">
        <f t="shared" ca="1" si="116"/>
        <v/>
      </c>
      <c r="L39" s="1888"/>
      <c r="M39" s="296" t="str">
        <f t="shared" ca="1" si="208"/>
        <v/>
      </c>
      <c r="N39" s="1322"/>
      <c r="O39" s="1319"/>
      <c r="P39" s="957" t="str">
        <f t="shared" ca="1" si="117"/>
        <v/>
      </c>
      <c r="Q39" s="749"/>
      <c r="R39" s="164">
        <f t="shared" ca="1" si="118"/>
        <v>0</v>
      </c>
      <c r="S39" s="164">
        <f t="shared" ca="1" si="119"/>
        <v>0</v>
      </c>
      <c r="T39" s="164">
        <f t="shared" ca="1" si="120"/>
        <v>0</v>
      </c>
      <c r="U39" s="164">
        <f t="shared" ca="1" si="121"/>
        <v>0</v>
      </c>
      <c r="V39" s="164">
        <f t="shared" ca="1" si="122"/>
        <v>0</v>
      </c>
      <c r="W39" s="164">
        <f t="shared" ca="1" si="123"/>
        <v>0</v>
      </c>
      <c r="X39" s="164">
        <f t="shared" ca="1" si="124"/>
        <v>0</v>
      </c>
      <c r="Y39" s="164">
        <f t="shared" ca="1" si="125"/>
        <v>0</v>
      </c>
      <c r="Z39" s="164">
        <f t="shared" ca="1" si="126"/>
        <v>0</v>
      </c>
      <c r="AA39" s="164">
        <f t="shared" ca="1" si="127"/>
        <v>0</v>
      </c>
      <c r="AB39" s="164">
        <f t="shared" ca="1" si="128"/>
        <v>0</v>
      </c>
      <c r="AC39" s="164">
        <f t="shared" ca="1" si="129"/>
        <v>0</v>
      </c>
      <c r="AD39" s="164">
        <f t="shared" ca="1" si="130"/>
        <v>0</v>
      </c>
      <c r="AE39" s="164">
        <f t="shared" ca="1" si="131"/>
        <v>0</v>
      </c>
      <c r="AF39" s="164">
        <f t="shared" ca="1" si="132"/>
        <v>0</v>
      </c>
      <c r="AG39" s="164">
        <f t="shared" ca="1" si="133"/>
        <v>0</v>
      </c>
      <c r="AH39" s="164">
        <f t="shared" ca="1" si="134"/>
        <v>0</v>
      </c>
      <c r="AI39" s="164">
        <f t="shared" ca="1" si="135"/>
        <v>0</v>
      </c>
      <c r="AJ39" s="164">
        <f t="shared" ca="1" si="136"/>
        <v>0</v>
      </c>
      <c r="AK39" s="164">
        <f t="shared" ca="1" si="137"/>
        <v>0</v>
      </c>
      <c r="AL39" s="164">
        <f t="shared" ca="1" si="138"/>
        <v>0</v>
      </c>
      <c r="AM39" s="208"/>
      <c r="AO39" s="164">
        <f t="shared" ca="1" si="139"/>
        <v>0</v>
      </c>
      <c r="AP39" s="164">
        <f t="shared" ca="1" si="140"/>
        <v>0</v>
      </c>
      <c r="AQ39" s="164">
        <f t="shared" ca="1" si="141"/>
        <v>0</v>
      </c>
      <c r="AR39" s="164">
        <f t="shared" ca="1" si="142"/>
        <v>0</v>
      </c>
      <c r="AS39" s="164">
        <f t="shared" ca="1" si="143"/>
        <v>0</v>
      </c>
      <c r="AT39" s="164">
        <f t="shared" ca="1" si="144"/>
        <v>0</v>
      </c>
      <c r="AU39" s="164">
        <f t="shared" ca="1" si="145"/>
        <v>0</v>
      </c>
      <c r="AV39" s="164">
        <f t="shared" ca="1" si="146"/>
        <v>0</v>
      </c>
      <c r="AW39" s="164">
        <f t="shared" ca="1" si="147"/>
        <v>0</v>
      </c>
      <c r="AX39" s="164">
        <f t="shared" ca="1" si="148"/>
        <v>0</v>
      </c>
      <c r="AY39" s="164">
        <f t="shared" ca="1" si="149"/>
        <v>0</v>
      </c>
      <c r="AZ39" s="164">
        <f t="shared" ca="1" si="150"/>
        <v>0</v>
      </c>
      <c r="BA39" s="164">
        <f t="shared" ca="1" si="151"/>
        <v>0</v>
      </c>
      <c r="BB39" s="164">
        <f t="shared" ca="1" si="152"/>
        <v>0</v>
      </c>
      <c r="BC39" s="164">
        <f t="shared" ca="1" si="153"/>
        <v>0</v>
      </c>
      <c r="BD39" s="164">
        <f t="shared" ca="1" si="154"/>
        <v>0</v>
      </c>
      <c r="BE39" s="164">
        <f t="shared" ca="1" si="155"/>
        <v>0</v>
      </c>
      <c r="BF39" s="164">
        <f t="shared" ca="1" si="156"/>
        <v>0</v>
      </c>
      <c r="BG39" s="164">
        <f t="shared" ca="1" si="157"/>
        <v>0</v>
      </c>
      <c r="BH39" s="164">
        <f t="shared" ca="1" si="158"/>
        <v>0</v>
      </c>
      <c r="BI39" s="164">
        <f t="shared" ca="1" si="159"/>
        <v>0</v>
      </c>
      <c r="BJ39" s="164">
        <f t="shared" ca="1" si="160"/>
        <v>0</v>
      </c>
      <c r="BK39" s="164">
        <f t="shared" ca="1" si="161"/>
        <v>0</v>
      </c>
      <c r="BL39" s="164">
        <f t="shared" ca="1" si="162"/>
        <v>0</v>
      </c>
      <c r="BM39" s="164">
        <f t="shared" ca="1" si="163"/>
        <v>0</v>
      </c>
      <c r="BN39" s="164">
        <f t="shared" ca="1" si="164"/>
        <v>0</v>
      </c>
      <c r="BO39" s="356" t="str">
        <f t="shared" ca="1" si="165"/>
        <v/>
      </c>
      <c r="BP39" s="355" t="str">
        <f t="shared" ca="1" si="166"/>
        <v/>
      </c>
      <c r="BQ39" s="355" t="str">
        <f t="shared" ca="1" si="167"/>
        <v/>
      </c>
      <c r="BR39" s="348">
        <f t="shared" ca="1" si="93"/>
        <v>0</v>
      </c>
      <c r="BS39" s="348">
        <f t="shared" ca="1" si="94"/>
        <v>0</v>
      </c>
      <c r="BT39" s="610">
        <f t="shared" ca="1" si="168"/>
        <v>0</v>
      </c>
      <c r="BU39" s="357">
        <f t="shared" ca="1" si="169"/>
        <v>0</v>
      </c>
      <c r="BV39" s="357">
        <f t="shared" si="170"/>
        <v>0</v>
      </c>
      <c r="BW39" s="357">
        <f t="shared" si="171"/>
        <v>0</v>
      </c>
      <c r="BX39" s="357">
        <f t="shared" ca="1" si="172"/>
        <v>0</v>
      </c>
      <c r="BY39" s="357">
        <f t="shared" ca="1" si="95"/>
        <v>0</v>
      </c>
      <c r="BZ39" s="357"/>
      <c r="CA39" s="357">
        <f t="shared" ca="1" si="96"/>
        <v>0</v>
      </c>
      <c r="CB39" s="357" t="str">
        <f t="shared" ca="1" si="173"/>
        <v/>
      </c>
      <c r="CC39" s="358" t="str">
        <f t="shared" ca="1" si="97"/>
        <v/>
      </c>
      <c r="CD39" s="358" t="str">
        <f t="shared" ca="1" si="98"/>
        <v/>
      </c>
      <c r="CE39" s="357" t="str">
        <f t="shared" ca="1" si="209"/>
        <v>,,,</v>
      </c>
      <c r="CF39" s="154"/>
      <c r="CG39" s="154">
        <f t="shared" ca="1" si="100"/>
        <v>0</v>
      </c>
      <c r="CH39" s="268" t="str">
        <f t="shared" ca="1" si="174"/>
        <v/>
      </c>
      <c r="CI39" s="268">
        <f t="shared" ca="1" si="175"/>
        <v>0</v>
      </c>
      <c r="CJ39" s="268" t="str">
        <f t="shared" ca="1" si="176"/>
        <v/>
      </c>
      <c r="CK39" s="268">
        <f t="shared" ca="1" si="177"/>
        <v>0</v>
      </c>
      <c r="CL39" s="268">
        <f t="shared" ca="1" si="178"/>
        <v>0</v>
      </c>
      <c r="CM39" s="154">
        <f t="shared" ca="1" si="102"/>
        <v>0</v>
      </c>
      <c r="CN39" s="154"/>
      <c r="CO39" s="169"/>
      <c r="CP39" s="169"/>
      <c r="CQ39" s="169"/>
      <c r="CR39" s="169"/>
      <c r="CS39" s="169"/>
      <c r="CT39" s="169"/>
      <c r="CU39" s="169"/>
      <c r="CV39" s="164" t="str">
        <f t="shared" ca="1" si="179"/>
        <v/>
      </c>
      <c r="CW39" s="164" t="str">
        <f t="shared" ca="1" si="179"/>
        <v/>
      </c>
      <c r="CX39" s="164" t="str">
        <f t="shared" ca="1" si="179"/>
        <v/>
      </c>
      <c r="CY39" s="164" t="str">
        <f t="shared" ca="1" si="179"/>
        <v/>
      </c>
      <c r="CZ39" s="164" t="str">
        <f t="shared" ca="1" si="179"/>
        <v/>
      </c>
      <c r="DA39" s="164" t="str">
        <f t="shared" ca="1" si="179"/>
        <v/>
      </c>
      <c r="DB39" s="164" t="str">
        <f t="shared" ca="1" si="179"/>
        <v/>
      </c>
      <c r="DC39" s="164" t="str">
        <f t="shared" ca="1" si="179"/>
        <v/>
      </c>
      <c r="DD39" s="164" t="str">
        <f t="shared" ca="1" si="179"/>
        <v/>
      </c>
      <c r="DE39" s="164" t="str">
        <f t="shared" ca="1" si="179"/>
        <v/>
      </c>
      <c r="DF39" s="164" t="str">
        <f t="shared" ca="1" si="180"/>
        <v/>
      </c>
      <c r="DG39" s="164" t="str">
        <f t="shared" ca="1" si="180"/>
        <v/>
      </c>
      <c r="DH39" s="164" t="str">
        <f t="shared" ca="1" si="180"/>
        <v/>
      </c>
      <c r="DI39" s="164" t="str">
        <f t="shared" ca="1" si="180"/>
        <v/>
      </c>
      <c r="DJ39" s="164" t="str">
        <f t="shared" ca="1" si="180"/>
        <v/>
      </c>
      <c r="DK39" s="164" t="str">
        <f t="shared" ca="1" si="180"/>
        <v/>
      </c>
      <c r="DL39" s="164" t="str">
        <f t="shared" ca="1" si="180"/>
        <v/>
      </c>
      <c r="DM39" s="164" t="str">
        <f t="shared" ca="1" si="180"/>
        <v/>
      </c>
      <c r="DN39" s="164" t="str">
        <f t="shared" ca="1" si="180"/>
        <v/>
      </c>
      <c r="DO39" s="164" t="str">
        <f t="shared" ca="1" si="180"/>
        <v/>
      </c>
      <c r="DP39" s="164" t="str">
        <f t="shared" ca="1" si="180"/>
        <v/>
      </c>
      <c r="DQ39" s="164" t="str">
        <f t="shared" ca="1" si="180"/>
        <v/>
      </c>
      <c r="DR39" s="208"/>
      <c r="DS39" s="164" t="str">
        <f t="shared" ca="1" si="181"/>
        <v/>
      </c>
      <c r="DT39" s="164" t="str">
        <f t="shared" ca="1" si="182"/>
        <v/>
      </c>
      <c r="DU39" s="164" t="str">
        <f t="shared" ca="1" si="183"/>
        <v/>
      </c>
      <c r="DV39" s="164" t="str">
        <f t="shared" ca="1" si="184"/>
        <v/>
      </c>
      <c r="DW39" s="164" t="str">
        <f t="shared" ca="1" si="185"/>
        <v/>
      </c>
      <c r="DX39" s="164" t="str">
        <f t="shared" ca="1" si="186"/>
        <v/>
      </c>
      <c r="DY39" s="164" t="str">
        <f t="shared" ca="1" si="187"/>
        <v/>
      </c>
      <c r="DZ39" s="164" t="str">
        <f t="shared" ca="1" si="188"/>
        <v/>
      </c>
      <c r="EA39" s="164" t="str">
        <f t="shared" ca="1" si="189"/>
        <v/>
      </c>
      <c r="EB39" s="164" t="str">
        <f t="shared" ca="1" si="190"/>
        <v/>
      </c>
      <c r="EC39" s="164" t="str">
        <f t="shared" ca="1" si="191"/>
        <v/>
      </c>
      <c r="ED39" s="164" t="str">
        <f t="shared" ca="1" si="192"/>
        <v/>
      </c>
      <c r="EE39" s="164" t="str">
        <f t="shared" ca="1" si="193"/>
        <v/>
      </c>
      <c r="EF39" s="164" t="str">
        <f t="shared" ca="1" si="194"/>
        <v/>
      </c>
      <c r="EG39" s="164" t="str">
        <f t="shared" ca="1" si="195"/>
        <v/>
      </c>
      <c r="EH39" s="164" t="str">
        <f t="shared" ca="1" si="196"/>
        <v/>
      </c>
      <c r="EI39" s="164" t="str">
        <f t="shared" ca="1" si="197"/>
        <v/>
      </c>
      <c r="EJ39" s="164" t="str">
        <f t="shared" ca="1" si="198"/>
        <v/>
      </c>
      <c r="EK39" s="164" t="str">
        <f t="shared" ca="1" si="199"/>
        <v/>
      </c>
      <c r="EL39" s="164" t="str">
        <f t="shared" ca="1" si="200"/>
        <v/>
      </c>
      <c r="EM39" s="164" t="str">
        <f t="shared" ca="1" si="201"/>
        <v/>
      </c>
      <c r="EN39" s="164" t="str">
        <f t="shared" ca="1" si="202"/>
        <v/>
      </c>
      <c r="EO39" s="164" t="str">
        <f t="shared" ca="1" si="203"/>
        <v/>
      </c>
      <c r="EP39" s="164" t="str">
        <f t="shared" ca="1" si="204"/>
        <v/>
      </c>
      <c r="EQ39" s="164" t="str">
        <f t="shared" ca="1" si="205"/>
        <v/>
      </c>
      <c r="ER39" s="164" t="str">
        <f t="shared" ca="1" si="206"/>
        <v/>
      </c>
      <c r="ES39" s="164" t="str">
        <f t="shared" ca="1" si="207"/>
        <v/>
      </c>
    </row>
    <row r="40" spans="1:149" x14ac:dyDescent="0.2">
      <c r="A40" s="89" t="str">
        <f t="shared" ca="1" si="210"/>
        <v/>
      </c>
      <c r="B40" s="317" t="str">
        <f t="shared" ca="1" si="112"/>
        <v/>
      </c>
      <c r="C40" s="609" t="str">
        <f t="shared" ca="1" si="113"/>
        <v/>
      </c>
      <c r="D40" s="1956" t="str">
        <f t="shared" ca="1" si="114"/>
        <v/>
      </c>
      <c r="E40" s="1956"/>
      <c r="F40" s="960"/>
      <c r="G40" s="485" t="str">
        <f t="shared" ca="1" si="115"/>
        <v/>
      </c>
      <c r="H40" s="983"/>
      <c r="I40" s="975"/>
      <c r="J40" s="972"/>
      <c r="K40" s="1886" t="str">
        <f t="shared" ca="1" si="116"/>
        <v/>
      </c>
      <c r="L40" s="1888"/>
      <c r="M40" s="296" t="str">
        <f t="shared" ca="1" si="208"/>
        <v/>
      </c>
      <c r="N40" s="1322"/>
      <c r="O40" s="1319"/>
      <c r="P40" s="957" t="str">
        <f t="shared" ca="1" si="117"/>
        <v/>
      </c>
      <c r="Q40" s="749"/>
      <c r="R40" s="164">
        <f t="shared" ca="1" si="118"/>
        <v>0</v>
      </c>
      <c r="S40" s="164">
        <f t="shared" ca="1" si="119"/>
        <v>0</v>
      </c>
      <c r="T40" s="164">
        <f t="shared" ca="1" si="120"/>
        <v>0</v>
      </c>
      <c r="U40" s="164">
        <f t="shared" ca="1" si="121"/>
        <v>0</v>
      </c>
      <c r="V40" s="164">
        <f t="shared" ca="1" si="122"/>
        <v>0</v>
      </c>
      <c r="W40" s="164">
        <f t="shared" ca="1" si="123"/>
        <v>0</v>
      </c>
      <c r="X40" s="164">
        <f t="shared" ca="1" si="124"/>
        <v>0</v>
      </c>
      <c r="Y40" s="164">
        <f t="shared" ca="1" si="125"/>
        <v>0</v>
      </c>
      <c r="Z40" s="164">
        <f t="shared" ca="1" si="126"/>
        <v>0</v>
      </c>
      <c r="AA40" s="164">
        <f t="shared" ca="1" si="127"/>
        <v>0</v>
      </c>
      <c r="AB40" s="164">
        <f t="shared" ca="1" si="128"/>
        <v>0</v>
      </c>
      <c r="AC40" s="164">
        <f t="shared" ca="1" si="129"/>
        <v>0</v>
      </c>
      <c r="AD40" s="164">
        <f t="shared" ca="1" si="130"/>
        <v>0</v>
      </c>
      <c r="AE40" s="164">
        <f t="shared" ca="1" si="131"/>
        <v>0</v>
      </c>
      <c r="AF40" s="164">
        <f t="shared" ca="1" si="132"/>
        <v>0</v>
      </c>
      <c r="AG40" s="164">
        <f t="shared" ca="1" si="133"/>
        <v>0</v>
      </c>
      <c r="AH40" s="164">
        <f t="shared" ca="1" si="134"/>
        <v>0</v>
      </c>
      <c r="AI40" s="164">
        <f t="shared" ca="1" si="135"/>
        <v>0</v>
      </c>
      <c r="AJ40" s="164">
        <f t="shared" ca="1" si="136"/>
        <v>0</v>
      </c>
      <c r="AK40" s="164">
        <f t="shared" ca="1" si="137"/>
        <v>0</v>
      </c>
      <c r="AL40" s="164">
        <f t="shared" ca="1" si="138"/>
        <v>0</v>
      </c>
      <c r="AM40" s="208"/>
      <c r="AO40" s="164">
        <f t="shared" ca="1" si="139"/>
        <v>0</v>
      </c>
      <c r="AP40" s="164">
        <f t="shared" ca="1" si="140"/>
        <v>0</v>
      </c>
      <c r="AQ40" s="164">
        <f t="shared" ca="1" si="141"/>
        <v>0</v>
      </c>
      <c r="AR40" s="164">
        <f t="shared" ca="1" si="142"/>
        <v>0</v>
      </c>
      <c r="AS40" s="164">
        <f t="shared" ca="1" si="143"/>
        <v>0</v>
      </c>
      <c r="AT40" s="164">
        <f t="shared" ca="1" si="144"/>
        <v>0</v>
      </c>
      <c r="AU40" s="164">
        <f t="shared" ca="1" si="145"/>
        <v>0</v>
      </c>
      <c r="AV40" s="164">
        <f t="shared" ca="1" si="146"/>
        <v>0</v>
      </c>
      <c r="AW40" s="164">
        <f t="shared" ca="1" si="147"/>
        <v>0</v>
      </c>
      <c r="AX40" s="164">
        <f t="shared" ca="1" si="148"/>
        <v>0</v>
      </c>
      <c r="AY40" s="164">
        <f t="shared" ca="1" si="149"/>
        <v>0</v>
      </c>
      <c r="AZ40" s="164">
        <f t="shared" ca="1" si="150"/>
        <v>0</v>
      </c>
      <c r="BA40" s="164">
        <f t="shared" ca="1" si="151"/>
        <v>0</v>
      </c>
      <c r="BB40" s="164">
        <f t="shared" ca="1" si="152"/>
        <v>0</v>
      </c>
      <c r="BC40" s="164">
        <f t="shared" ca="1" si="153"/>
        <v>0</v>
      </c>
      <c r="BD40" s="164">
        <f t="shared" ca="1" si="154"/>
        <v>0</v>
      </c>
      <c r="BE40" s="164">
        <f t="shared" ca="1" si="155"/>
        <v>0</v>
      </c>
      <c r="BF40" s="164">
        <f t="shared" ca="1" si="156"/>
        <v>0</v>
      </c>
      <c r="BG40" s="164">
        <f t="shared" ca="1" si="157"/>
        <v>0</v>
      </c>
      <c r="BH40" s="164">
        <f t="shared" ca="1" si="158"/>
        <v>0</v>
      </c>
      <c r="BI40" s="164">
        <f t="shared" ca="1" si="159"/>
        <v>0</v>
      </c>
      <c r="BJ40" s="164">
        <f t="shared" ca="1" si="160"/>
        <v>0</v>
      </c>
      <c r="BK40" s="164">
        <f t="shared" ca="1" si="161"/>
        <v>0</v>
      </c>
      <c r="BL40" s="164">
        <f t="shared" ca="1" si="162"/>
        <v>0</v>
      </c>
      <c r="BM40" s="164">
        <f t="shared" ca="1" si="163"/>
        <v>0</v>
      </c>
      <c r="BN40" s="164">
        <f t="shared" ca="1" si="164"/>
        <v>0</v>
      </c>
      <c r="BO40" s="356" t="str">
        <f t="shared" ca="1" si="165"/>
        <v/>
      </c>
      <c r="BP40" s="355" t="str">
        <f t="shared" ca="1" si="166"/>
        <v/>
      </c>
      <c r="BQ40" s="355" t="str">
        <f t="shared" ca="1" si="167"/>
        <v/>
      </c>
      <c r="BR40" s="348">
        <f t="shared" ca="1" si="93"/>
        <v>0</v>
      </c>
      <c r="BS40" s="348">
        <f t="shared" ca="1" si="94"/>
        <v>0</v>
      </c>
      <c r="BT40" s="610">
        <f t="shared" ca="1" si="168"/>
        <v>0</v>
      </c>
      <c r="BU40" s="357">
        <f t="shared" ca="1" si="169"/>
        <v>0</v>
      </c>
      <c r="BV40" s="357">
        <f t="shared" si="170"/>
        <v>0</v>
      </c>
      <c r="BW40" s="357">
        <f t="shared" si="171"/>
        <v>0</v>
      </c>
      <c r="BX40" s="357">
        <f t="shared" ca="1" si="172"/>
        <v>0</v>
      </c>
      <c r="BY40" s="357">
        <f t="shared" ca="1" si="95"/>
        <v>0</v>
      </c>
      <c r="BZ40" s="357"/>
      <c r="CA40" s="357">
        <f t="shared" ca="1" si="96"/>
        <v>0</v>
      </c>
      <c r="CB40" s="357" t="str">
        <f t="shared" ca="1" si="173"/>
        <v/>
      </c>
      <c r="CC40" s="358" t="str">
        <f t="shared" ca="1" si="97"/>
        <v/>
      </c>
      <c r="CD40" s="358" t="str">
        <f t="shared" ca="1" si="98"/>
        <v/>
      </c>
      <c r="CE40" s="357" t="str">
        <f t="shared" ca="1" si="209"/>
        <v>,,,,</v>
      </c>
      <c r="CF40" s="154"/>
      <c r="CG40" s="154">
        <f t="shared" ca="1" si="100"/>
        <v>0</v>
      </c>
      <c r="CH40" s="268" t="str">
        <f t="shared" ca="1" si="174"/>
        <v/>
      </c>
      <c r="CI40" s="268">
        <f t="shared" ca="1" si="175"/>
        <v>0</v>
      </c>
      <c r="CJ40" s="268" t="str">
        <f t="shared" ca="1" si="176"/>
        <v/>
      </c>
      <c r="CK40" s="268">
        <f t="shared" ca="1" si="177"/>
        <v>0</v>
      </c>
      <c r="CL40" s="268">
        <f t="shared" ca="1" si="178"/>
        <v>0</v>
      </c>
      <c r="CM40" s="154">
        <f t="shared" ca="1" si="102"/>
        <v>0</v>
      </c>
      <c r="CN40" s="154"/>
      <c r="CO40" s="169"/>
      <c r="CP40" s="169"/>
      <c r="CQ40" s="169"/>
      <c r="CR40" s="169"/>
      <c r="CS40" s="169"/>
      <c r="CT40" s="169"/>
      <c r="CU40" s="169"/>
      <c r="CV40" s="164" t="str">
        <f t="shared" ca="1" si="179"/>
        <v/>
      </c>
      <c r="CW40" s="164" t="str">
        <f t="shared" ca="1" si="179"/>
        <v/>
      </c>
      <c r="CX40" s="164" t="str">
        <f t="shared" ca="1" si="179"/>
        <v/>
      </c>
      <c r="CY40" s="164" t="str">
        <f t="shared" ca="1" si="179"/>
        <v/>
      </c>
      <c r="CZ40" s="164" t="str">
        <f t="shared" ca="1" si="179"/>
        <v/>
      </c>
      <c r="DA40" s="164" t="str">
        <f t="shared" ca="1" si="179"/>
        <v/>
      </c>
      <c r="DB40" s="164" t="str">
        <f t="shared" ca="1" si="179"/>
        <v/>
      </c>
      <c r="DC40" s="164" t="str">
        <f t="shared" ca="1" si="179"/>
        <v/>
      </c>
      <c r="DD40" s="164" t="str">
        <f t="shared" ca="1" si="179"/>
        <v/>
      </c>
      <c r="DE40" s="164" t="str">
        <f t="shared" ca="1" si="179"/>
        <v/>
      </c>
      <c r="DF40" s="164" t="str">
        <f t="shared" ca="1" si="180"/>
        <v/>
      </c>
      <c r="DG40" s="164" t="str">
        <f t="shared" ca="1" si="180"/>
        <v/>
      </c>
      <c r="DH40" s="164" t="str">
        <f t="shared" ca="1" si="180"/>
        <v/>
      </c>
      <c r="DI40" s="164" t="str">
        <f t="shared" ca="1" si="180"/>
        <v/>
      </c>
      <c r="DJ40" s="164" t="str">
        <f t="shared" ca="1" si="180"/>
        <v/>
      </c>
      <c r="DK40" s="164" t="str">
        <f t="shared" ca="1" si="180"/>
        <v/>
      </c>
      <c r="DL40" s="164" t="str">
        <f t="shared" ca="1" si="180"/>
        <v/>
      </c>
      <c r="DM40" s="164" t="str">
        <f t="shared" ca="1" si="180"/>
        <v/>
      </c>
      <c r="DN40" s="164" t="str">
        <f t="shared" ca="1" si="180"/>
        <v/>
      </c>
      <c r="DO40" s="164" t="str">
        <f t="shared" ca="1" si="180"/>
        <v/>
      </c>
      <c r="DP40" s="164" t="str">
        <f t="shared" ca="1" si="180"/>
        <v/>
      </c>
      <c r="DQ40" s="164" t="str">
        <f t="shared" ca="1" si="180"/>
        <v/>
      </c>
      <c r="DR40" s="208"/>
      <c r="DS40" s="164" t="str">
        <f t="shared" ca="1" si="181"/>
        <v/>
      </c>
      <c r="DT40" s="164" t="str">
        <f t="shared" ca="1" si="182"/>
        <v/>
      </c>
      <c r="DU40" s="164" t="str">
        <f t="shared" ca="1" si="183"/>
        <v/>
      </c>
      <c r="DV40" s="164" t="str">
        <f t="shared" ca="1" si="184"/>
        <v/>
      </c>
      <c r="DW40" s="164" t="str">
        <f t="shared" ca="1" si="185"/>
        <v/>
      </c>
      <c r="DX40" s="164" t="str">
        <f t="shared" ca="1" si="186"/>
        <v/>
      </c>
      <c r="DY40" s="164" t="str">
        <f t="shared" ca="1" si="187"/>
        <v/>
      </c>
      <c r="DZ40" s="164" t="str">
        <f t="shared" ca="1" si="188"/>
        <v/>
      </c>
      <c r="EA40" s="164" t="str">
        <f t="shared" ca="1" si="189"/>
        <v/>
      </c>
      <c r="EB40" s="164" t="str">
        <f t="shared" ca="1" si="190"/>
        <v/>
      </c>
      <c r="EC40" s="164" t="str">
        <f t="shared" ca="1" si="191"/>
        <v/>
      </c>
      <c r="ED40" s="164" t="str">
        <f t="shared" ca="1" si="192"/>
        <v/>
      </c>
      <c r="EE40" s="164" t="str">
        <f t="shared" ca="1" si="193"/>
        <v/>
      </c>
      <c r="EF40" s="164" t="str">
        <f t="shared" ca="1" si="194"/>
        <v/>
      </c>
      <c r="EG40" s="164" t="str">
        <f t="shared" ca="1" si="195"/>
        <v/>
      </c>
      <c r="EH40" s="164" t="str">
        <f t="shared" ca="1" si="196"/>
        <v/>
      </c>
      <c r="EI40" s="164" t="str">
        <f t="shared" ca="1" si="197"/>
        <v/>
      </c>
      <c r="EJ40" s="164" t="str">
        <f t="shared" ca="1" si="198"/>
        <v/>
      </c>
      <c r="EK40" s="164" t="str">
        <f t="shared" ca="1" si="199"/>
        <v/>
      </c>
      <c r="EL40" s="164" t="str">
        <f t="shared" ca="1" si="200"/>
        <v/>
      </c>
      <c r="EM40" s="164" t="str">
        <f t="shared" ca="1" si="201"/>
        <v/>
      </c>
      <c r="EN40" s="164" t="str">
        <f t="shared" ca="1" si="202"/>
        <v/>
      </c>
      <c r="EO40" s="164" t="str">
        <f t="shared" ca="1" si="203"/>
        <v/>
      </c>
      <c r="EP40" s="164" t="str">
        <f t="shared" ca="1" si="204"/>
        <v/>
      </c>
      <c r="EQ40" s="164" t="str">
        <f t="shared" ca="1" si="205"/>
        <v/>
      </c>
      <c r="ER40" s="164" t="str">
        <f t="shared" ca="1" si="206"/>
        <v/>
      </c>
      <c r="ES40" s="164" t="str">
        <f t="shared" ca="1" si="207"/>
        <v/>
      </c>
    </row>
    <row r="41" spans="1:149" x14ac:dyDescent="0.2">
      <c r="A41" s="89" t="str">
        <f t="shared" ca="1" si="210"/>
        <v/>
      </c>
      <c r="B41" s="317" t="str">
        <f t="shared" ca="1" si="112"/>
        <v/>
      </c>
      <c r="C41" s="609" t="str">
        <f t="shared" ca="1" si="113"/>
        <v/>
      </c>
      <c r="D41" s="1956" t="str">
        <f t="shared" ca="1" si="114"/>
        <v/>
      </c>
      <c r="E41" s="1956"/>
      <c r="F41" s="960"/>
      <c r="G41" s="485" t="str">
        <f t="shared" ca="1" si="115"/>
        <v/>
      </c>
      <c r="H41" s="983"/>
      <c r="I41" s="975"/>
      <c r="J41" s="972"/>
      <c r="K41" s="1886" t="str">
        <f t="shared" ca="1" si="116"/>
        <v/>
      </c>
      <c r="L41" s="1888"/>
      <c r="M41" s="296" t="str">
        <f t="shared" ca="1" si="208"/>
        <v/>
      </c>
      <c r="N41" s="1322"/>
      <c r="O41" s="1319"/>
      <c r="P41" s="957" t="str">
        <f t="shared" ca="1" si="117"/>
        <v/>
      </c>
      <c r="Q41" s="749"/>
      <c r="R41" s="164">
        <f t="shared" ca="1" si="118"/>
        <v>0</v>
      </c>
      <c r="S41" s="164">
        <f t="shared" ca="1" si="119"/>
        <v>0</v>
      </c>
      <c r="T41" s="164">
        <f t="shared" ca="1" si="120"/>
        <v>0</v>
      </c>
      <c r="U41" s="164">
        <f t="shared" ca="1" si="121"/>
        <v>0</v>
      </c>
      <c r="V41" s="164">
        <f t="shared" ca="1" si="122"/>
        <v>0</v>
      </c>
      <c r="W41" s="164">
        <f t="shared" ca="1" si="123"/>
        <v>0</v>
      </c>
      <c r="X41" s="164">
        <f t="shared" ca="1" si="124"/>
        <v>0</v>
      </c>
      <c r="Y41" s="164">
        <f t="shared" ca="1" si="125"/>
        <v>0</v>
      </c>
      <c r="Z41" s="164">
        <f t="shared" ca="1" si="126"/>
        <v>0</v>
      </c>
      <c r="AA41" s="164">
        <f t="shared" ca="1" si="127"/>
        <v>0</v>
      </c>
      <c r="AB41" s="164">
        <f t="shared" ca="1" si="128"/>
        <v>0</v>
      </c>
      <c r="AC41" s="164">
        <f t="shared" ca="1" si="129"/>
        <v>0</v>
      </c>
      <c r="AD41" s="164">
        <f t="shared" ca="1" si="130"/>
        <v>0</v>
      </c>
      <c r="AE41" s="164">
        <f t="shared" ca="1" si="131"/>
        <v>0</v>
      </c>
      <c r="AF41" s="164">
        <f t="shared" ca="1" si="132"/>
        <v>0</v>
      </c>
      <c r="AG41" s="164">
        <f t="shared" ca="1" si="133"/>
        <v>0</v>
      </c>
      <c r="AH41" s="164">
        <f t="shared" ca="1" si="134"/>
        <v>0</v>
      </c>
      <c r="AI41" s="164">
        <f t="shared" ca="1" si="135"/>
        <v>0</v>
      </c>
      <c r="AJ41" s="164">
        <f t="shared" ca="1" si="136"/>
        <v>0</v>
      </c>
      <c r="AK41" s="164">
        <f t="shared" ca="1" si="137"/>
        <v>0</v>
      </c>
      <c r="AL41" s="164">
        <f t="shared" ca="1" si="138"/>
        <v>0</v>
      </c>
      <c r="AM41" s="208"/>
      <c r="AO41" s="164">
        <f t="shared" ca="1" si="139"/>
        <v>0</v>
      </c>
      <c r="AP41" s="164">
        <f t="shared" ca="1" si="140"/>
        <v>0</v>
      </c>
      <c r="AQ41" s="164">
        <f t="shared" ca="1" si="141"/>
        <v>0</v>
      </c>
      <c r="AR41" s="164">
        <f t="shared" ca="1" si="142"/>
        <v>0</v>
      </c>
      <c r="AS41" s="164">
        <f t="shared" ca="1" si="143"/>
        <v>0</v>
      </c>
      <c r="AT41" s="164">
        <f t="shared" ca="1" si="144"/>
        <v>0</v>
      </c>
      <c r="AU41" s="164">
        <f t="shared" ca="1" si="145"/>
        <v>0</v>
      </c>
      <c r="AV41" s="164">
        <f t="shared" ca="1" si="146"/>
        <v>0</v>
      </c>
      <c r="AW41" s="164">
        <f t="shared" ca="1" si="147"/>
        <v>0</v>
      </c>
      <c r="AX41" s="164">
        <f t="shared" ca="1" si="148"/>
        <v>0</v>
      </c>
      <c r="AY41" s="164">
        <f t="shared" ca="1" si="149"/>
        <v>0</v>
      </c>
      <c r="AZ41" s="164">
        <f t="shared" ca="1" si="150"/>
        <v>0</v>
      </c>
      <c r="BA41" s="164">
        <f t="shared" ca="1" si="151"/>
        <v>0</v>
      </c>
      <c r="BB41" s="164">
        <f t="shared" ca="1" si="152"/>
        <v>0</v>
      </c>
      <c r="BC41" s="164">
        <f t="shared" ca="1" si="153"/>
        <v>0</v>
      </c>
      <c r="BD41" s="164">
        <f t="shared" ca="1" si="154"/>
        <v>0</v>
      </c>
      <c r="BE41" s="164">
        <f t="shared" ca="1" si="155"/>
        <v>0</v>
      </c>
      <c r="BF41" s="164">
        <f t="shared" ca="1" si="156"/>
        <v>0</v>
      </c>
      <c r="BG41" s="164">
        <f t="shared" ca="1" si="157"/>
        <v>0</v>
      </c>
      <c r="BH41" s="164">
        <f t="shared" ca="1" si="158"/>
        <v>0</v>
      </c>
      <c r="BI41" s="164">
        <f t="shared" ca="1" si="159"/>
        <v>0</v>
      </c>
      <c r="BJ41" s="164">
        <f t="shared" ca="1" si="160"/>
        <v>0</v>
      </c>
      <c r="BK41" s="164">
        <f t="shared" ca="1" si="161"/>
        <v>0</v>
      </c>
      <c r="BL41" s="164">
        <f t="shared" ca="1" si="162"/>
        <v>0</v>
      </c>
      <c r="BM41" s="164">
        <f t="shared" ca="1" si="163"/>
        <v>0</v>
      </c>
      <c r="BN41" s="164">
        <f t="shared" ca="1" si="164"/>
        <v>0</v>
      </c>
      <c r="BO41" s="356" t="str">
        <f t="shared" ca="1" si="165"/>
        <v/>
      </c>
      <c r="BP41" s="355" t="str">
        <f t="shared" ca="1" si="166"/>
        <v/>
      </c>
      <c r="BQ41" s="355" t="str">
        <f t="shared" ca="1" si="167"/>
        <v/>
      </c>
      <c r="BR41" s="348">
        <f t="shared" ca="1" si="93"/>
        <v>0</v>
      </c>
      <c r="BS41" s="348">
        <f t="shared" ca="1" si="94"/>
        <v>0</v>
      </c>
      <c r="BT41" s="610">
        <f t="shared" ca="1" si="168"/>
        <v>0</v>
      </c>
      <c r="BU41" s="357">
        <f t="shared" ca="1" si="169"/>
        <v>0</v>
      </c>
      <c r="BV41" s="357">
        <f t="shared" si="170"/>
        <v>0</v>
      </c>
      <c r="BW41" s="357">
        <f t="shared" si="171"/>
        <v>0</v>
      </c>
      <c r="BX41" s="357">
        <f t="shared" ca="1" si="172"/>
        <v>0</v>
      </c>
      <c r="BY41" s="357">
        <f t="shared" ca="1" si="95"/>
        <v>0</v>
      </c>
      <c r="BZ41" s="357"/>
      <c r="CA41" s="357">
        <f t="shared" ca="1" si="96"/>
        <v>0</v>
      </c>
      <c r="CB41" s="357" t="str">
        <f t="shared" ca="1" si="173"/>
        <v/>
      </c>
      <c r="CC41" s="358" t="str">
        <f t="shared" ca="1" si="97"/>
        <v/>
      </c>
      <c r="CD41" s="358" t="str">
        <f t="shared" ca="1" si="98"/>
        <v/>
      </c>
      <c r="CE41" s="357" t="str">
        <f t="shared" ca="1" si="209"/>
        <v>,,,,,</v>
      </c>
      <c r="CF41" s="154"/>
      <c r="CG41" s="154">
        <f t="shared" ca="1" si="100"/>
        <v>0</v>
      </c>
      <c r="CH41" s="268" t="str">
        <f t="shared" ca="1" si="174"/>
        <v/>
      </c>
      <c r="CI41" s="268">
        <f t="shared" ca="1" si="175"/>
        <v>0</v>
      </c>
      <c r="CJ41" s="268" t="str">
        <f t="shared" ca="1" si="176"/>
        <v/>
      </c>
      <c r="CK41" s="268">
        <f t="shared" ca="1" si="177"/>
        <v>0</v>
      </c>
      <c r="CL41" s="268">
        <f t="shared" ca="1" si="178"/>
        <v>0</v>
      </c>
      <c r="CM41" s="154">
        <f t="shared" ca="1" si="102"/>
        <v>0</v>
      </c>
      <c r="CN41" s="154"/>
      <c r="CO41" s="169"/>
      <c r="CP41" s="169"/>
      <c r="CQ41" s="169"/>
      <c r="CR41" s="169"/>
      <c r="CS41" s="169"/>
      <c r="CT41" s="169"/>
      <c r="CU41" s="169"/>
      <c r="CV41" s="164" t="str">
        <f t="shared" ca="1" si="179"/>
        <v/>
      </c>
      <c r="CW41" s="164" t="str">
        <f t="shared" ca="1" si="179"/>
        <v/>
      </c>
      <c r="CX41" s="164" t="str">
        <f t="shared" ca="1" si="179"/>
        <v/>
      </c>
      <c r="CY41" s="164" t="str">
        <f t="shared" ca="1" si="179"/>
        <v/>
      </c>
      <c r="CZ41" s="164" t="str">
        <f t="shared" ca="1" si="179"/>
        <v/>
      </c>
      <c r="DA41" s="164" t="str">
        <f t="shared" ca="1" si="179"/>
        <v/>
      </c>
      <c r="DB41" s="164" t="str">
        <f t="shared" ca="1" si="179"/>
        <v/>
      </c>
      <c r="DC41" s="164" t="str">
        <f t="shared" ca="1" si="179"/>
        <v/>
      </c>
      <c r="DD41" s="164" t="str">
        <f t="shared" ca="1" si="179"/>
        <v/>
      </c>
      <c r="DE41" s="164" t="str">
        <f t="shared" ca="1" si="179"/>
        <v/>
      </c>
      <c r="DF41" s="164" t="str">
        <f t="shared" ca="1" si="180"/>
        <v/>
      </c>
      <c r="DG41" s="164" t="str">
        <f t="shared" ca="1" si="180"/>
        <v/>
      </c>
      <c r="DH41" s="164" t="str">
        <f t="shared" ca="1" si="180"/>
        <v/>
      </c>
      <c r="DI41" s="164" t="str">
        <f t="shared" ca="1" si="180"/>
        <v/>
      </c>
      <c r="DJ41" s="164" t="str">
        <f t="shared" ca="1" si="180"/>
        <v/>
      </c>
      <c r="DK41" s="164" t="str">
        <f t="shared" ca="1" si="180"/>
        <v/>
      </c>
      <c r="DL41" s="164" t="str">
        <f t="shared" ca="1" si="180"/>
        <v/>
      </c>
      <c r="DM41" s="164" t="str">
        <f t="shared" ca="1" si="180"/>
        <v/>
      </c>
      <c r="DN41" s="164" t="str">
        <f t="shared" ca="1" si="180"/>
        <v/>
      </c>
      <c r="DO41" s="164" t="str">
        <f t="shared" ca="1" si="180"/>
        <v/>
      </c>
      <c r="DP41" s="164" t="str">
        <f t="shared" ca="1" si="180"/>
        <v/>
      </c>
      <c r="DQ41" s="164" t="str">
        <f t="shared" ca="1" si="180"/>
        <v/>
      </c>
      <c r="DR41" s="208"/>
      <c r="DS41" s="164" t="str">
        <f t="shared" ca="1" si="181"/>
        <v/>
      </c>
      <c r="DT41" s="164" t="str">
        <f t="shared" ca="1" si="182"/>
        <v/>
      </c>
      <c r="DU41" s="164" t="str">
        <f t="shared" ca="1" si="183"/>
        <v/>
      </c>
      <c r="DV41" s="164" t="str">
        <f t="shared" ca="1" si="184"/>
        <v/>
      </c>
      <c r="DW41" s="164" t="str">
        <f t="shared" ca="1" si="185"/>
        <v/>
      </c>
      <c r="DX41" s="164" t="str">
        <f t="shared" ca="1" si="186"/>
        <v/>
      </c>
      <c r="DY41" s="164" t="str">
        <f t="shared" ca="1" si="187"/>
        <v/>
      </c>
      <c r="DZ41" s="164" t="str">
        <f t="shared" ca="1" si="188"/>
        <v/>
      </c>
      <c r="EA41" s="164" t="str">
        <f t="shared" ca="1" si="189"/>
        <v/>
      </c>
      <c r="EB41" s="164" t="str">
        <f t="shared" ca="1" si="190"/>
        <v/>
      </c>
      <c r="EC41" s="164" t="str">
        <f t="shared" ca="1" si="191"/>
        <v/>
      </c>
      <c r="ED41" s="164" t="str">
        <f t="shared" ca="1" si="192"/>
        <v/>
      </c>
      <c r="EE41" s="164" t="str">
        <f t="shared" ca="1" si="193"/>
        <v/>
      </c>
      <c r="EF41" s="164" t="str">
        <f t="shared" ca="1" si="194"/>
        <v/>
      </c>
      <c r="EG41" s="164" t="str">
        <f t="shared" ca="1" si="195"/>
        <v/>
      </c>
      <c r="EH41" s="164" t="str">
        <f t="shared" ca="1" si="196"/>
        <v/>
      </c>
      <c r="EI41" s="164" t="str">
        <f t="shared" ca="1" si="197"/>
        <v/>
      </c>
      <c r="EJ41" s="164" t="str">
        <f t="shared" ca="1" si="198"/>
        <v/>
      </c>
      <c r="EK41" s="164" t="str">
        <f t="shared" ca="1" si="199"/>
        <v/>
      </c>
      <c r="EL41" s="164" t="str">
        <f t="shared" ca="1" si="200"/>
        <v/>
      </c>
      <c r="EM41" s="164" t="str">
        <f t="shared" ca="1" si="201"/>
        <v/>
      </c>
      <c r="EN41" s="164" t="str">
        <f t="shared" ca="1" si="202"/>
        <v/>
      </c>
      <c r="EO41" s="164" t="str">
        <f t="shared" ca="1" si="203"/>
        <v/>
      </c>
      <c r="EP41" s="164" t="str">
        <f t="shared" ca="1" si="204"/>
        <v/>
      </c>
      <c r="EQ41" s="164" t="str">
        <f t="shared" ca="1" si="205"/>
        <v/>
      </c>
      <c r="ER41" s="164" t="str">
        <f t="shared" ca="1" si="206"/>
        <v/>
      </c>
      <c r="ES41" s="164" t="str">
        <f t="shared" ca="1" si="207"/>
        <v/>
      </c>
    </row>
    <row r="42" spans="1:149" x14ac:dyDescent="0.2">
      <c r="A42" s="89" t="str">
        <f t="shared" ca="1" si="210"/>
        <v/>
      </c>
      <c r="B42" s="317" t="str">
        <f t="shared" ca="1" si="112"/>
        <v/>
      </c>
      <c r="C42" s="609" t="str">
        <f t="shared" ca="1" si="113"/>
        <v/>
      </c>
      <c r="D42" s="1956" t="str">
        <f t="shared" ca="1" si="114"/>
        <v/>
      </c>
      <c r="E42" s="1956"/>
      <c r="F42" s="960"/>
      <c r="G42" s="485" t="str">
        <f t="shared" ca="1" si="115"/>
        <v/>
      </c>
      <c r="H42" s="983"/>
      <c r="I42" s="975"/>
      <c r="J42" s="972"/>
      <c r="K42" s="1886" t="str">
        <f t="shared" ca="1" si="116"/>
        <v/>
      </c>
      <c r="L42" s="1888"/>
      <c r="M42" s="296" t="str">
        <f t="shared" ca="1" si="208"/>
        <v/>
      </c>
      <c r="N42" s="1322"/>
      <c r="O42" s="1319"/>
      <c r="P42" s="957" t="str">
        <f t="shared" ca="1" si="117"/>
        <v/>
      </c>
      <c r="Q42" s="749"/>
      <c r="R42" s="164">
        <f t="shared" ca="1" si="118"/>
        <v>0</v>
      </c>
      <c r="S42" s="164">
        <f t="shared" ca="1" si="119"/>
        <v>0</v>
      </c>
      <c r="T42" s="164">
        <f t="shared" ca="1" si="120"/>
        <v>0</v>
      </c>
      <c r="U42" s="164">
        <f t="shared" ca="1" si="121"/>
        <v>0</v>
      </c>
      <c r="V42" s="164">
        <f t="shared" ca="1" si="122"/>
        <v>0</v>
      </c>
      <c r="W42" s="164">
        <f t="shared" ca="1" si="123"/>
        <v>0</v>
      </c>
      <c r="X42" s="164">
        <f t="shared" ca="1" si="124"/>
        <v>0</v>
      </c>
      <c r="Y42" s="164">
        <f t="shared" ca="1" si="125"/>
        <v>0</v>
      </c>
      <c r="Z42" s="164">
        <f t="shared" ca="1" si="126"/>
        <v>0</v>
      </c>
      <c r="AA42" s="164">
        <f t="shared" ca="1" si="127"/>
        <v>0</v>
      </c>
      <c r="AB42" s="164">
        <f t="shared" ca="1" si="128"/>
        <v>0</v>
      </c>
      <c r="AC42" s="164">
        <f t="shared" ca="1" si="129"/>
        <v>0</v>
      </c>
      <c r="AD42" s="164">
        <f t="shared" ca="1" si="130"/>
        <v>0</v>
      </c>
      <c r="AE42" s="164">
        <f t="shared" ca="1" si="131"/>
        <v>0</v>
      </c>
      <c r="AF42" s="164">
        <f t="shared" ca="1" si="132"/>
        <v>0</v>
      </c>
      <c r="AG42" s="164">
        <f t="shared" ca="1" si="133"/>
        <v>0</v>
      </c>
      <c r="AH42" s="164">
        <f t="shared" ca="1" si="134"/>
        <v>0</v>
      </c>
      <c r="AI42" s="164">
        <f t="shared" ca="1" si="135"/>
        <v>0</v>
      </c>
      <c r="AJ42" s="164">
        <f t="shared" ca="1" si="136"/>
        <v>0</v>
      </c>
      <c r="AK42" s="164">
        <f t="shared" ca="1" si="137"/>
        <v>0</v>
      </c>
      <c r="AL42" s="164">
        <f t="shared" ca="1" si="138"/>
        <v>0</v>
      </c>
      <c r="AM42" s="208"/>
      <c r="AN42" s="74"/>
      <c r="AO42" s="164">
        <f t="shared" ca="1" si="139"/>
        <v>0</v>
      </c>
      <c r="AP42" s="164">
        <f t="shared" ca="1" si="140"/>
        <v>0</v>
      </c>
      <c r="AQ42" s="164">
        <f t="shared" ca="1" si="141"/>
        <v>0</v>
      </c>
      <c r="AR42" s="164">
        <f t="shared" ca="1" si="142"/>
        <v>0</v>
      </c>
      <c r="AS42" s="164">
        <f t="shared" ca="1" si="143"/>
        <v>0</v>
      </c>
      <c r="AT42" s="164">
        <f t="shared" ca="1" si="144"/>
        <v>0</v>
      </c>
      <c r="AU42" s="164">
        <f t="shared" ca="1" si="145"/>
        <v>0</v>
      </c>
      <c r="AV42" s="164">
        <f t="shared" ca="1" si="146"/>
        <v>0</v>
      </c>
      <c r="AW42" s="164">
        <f t="shared" ca="1" si="147"/>
        <v>0</v>
      </c>
      <c r="AX42" s="164">
        <f t="shared" ca="1" si="148"/>
        <v>0</v>
      </c>
      <c r="AY42" s="164">
        <f t="shared" ca="1" si="149"/>
        <v>0</v>
      </c>
      <c r="AZ42" s="164">
        <f t="shared" ca="1" si="150"/>
        <v>0</v>
      </c>
      <c r="BA42" s="164">
        <f t="shared" ca="1" si="151"/>
        <v>0</v>
      </c>
      <c r="BB42" s="164">
        <f t="shared" ca="1" si="152"/>
        <v>0</v>
      </c>
      <c r="BC42" s="164">
        <f t="shared" ca="1" si="153"/>
        <v>0</v>
      </c>
      <c r="BD42" s="164">
        <f t="shared" ca="1" si="154"/>
        <v>0</v>
      </c>
      <c r="BE42" s="164">
        <f t="shared" ca="1" si="155"/>
        <v>0</v>
      </c>
      <c r="BF42" s="164">
        <f t="shared" ca="1" si="156"/>
        <v>0</v>
      </c>
      <c r="BG42" s="164">
        <f t="shared" ca="1" si="157"/>
        <v>0</v>
      </c>
      <c r="BH42" s="164">
        <f t="shared" ca="1" si="158"/>
        <v>0</v>
      </c>
      <c r="BI42" s="164">
        <f t="shared" ca="1" si="159"/>
        <v>0</v>
      </c>
      <c r="BJ42" s="164">
        <f t="shared" ca="1" si="160"/>
        <v>0</v>
      </c>
      <c r="BK42" s="164">
        <f t="shared" ca="1" si="161"/>
        <v>0</v>
      </c>
      <c r="BL42" s="164">
        <f t="shared" ca="1" si="162"/>
        <v>0</v>
      </c>
      <c r="BM42" s="164">
        <f t="shared" ca="1" si="163"/>
        <v>0</v>
      </c>
      <c r="BN42" s="164">
        <f t="shared" ca="1" si="164"/>
        <v>0</v>
      </c>
      <c r="BO42" s="356" t="str">
        <f t="shared" ca="1" si="165"/>
        <v/>
      </c>
      <c r="BP42" s="355" t="str">
        <f t="shared" ca="1" si="166"/>
        <v/>
      </c>
      <c r="BQ42" s="355" t="str">
        <f t="shared" ca="1" si="167"/>
        <v/>
      </c>
      <c r="BR42" s="348">
        <f t="shared" ca="1" si="93"/>
        <v>0</v>
      </c>
      <c r="BS42" s="348">
        <f t="shared" ca="1" si="94"/>
        <v>0</v>
      </c>
      <c r="BT42" s="610">
        <f t="shared" ca="1" si="168"/>
        <v>0</v>
      </c>
      <c r="BU42" s="357">
        <f t="shared" ca="1" si="169"/>
        <v>0</v>
      </c>
      <c r="BV42" s="357">
        <f t="shared" si="170"/>
        <v>0</v>
      </c>
      <c r="BW42" s="357">
        <f t="shared" si="171"/>
        <v>0</v>
      </c>
      <c r="BX42" s="357">
        <f t="shared" ca="1" si="172"/>
        <v>0</v>
      </c>
      <c r="BY42" s="357">
        <f t="shared" ca="1" si="95"/>
        <v>0</v>
      </c>
      <c r="BZ42" s="357"/>
      <c r="CA42" s="357">
        <f t="shared" ca="1" si="96"/>
        <v>0</v>
      </c>
      <c r="CB42" s="357" t="str">
        <f t="shared" ca="1" si="173"/>
        <v/>
      </c>
      <c r="CC42" s="358" t="str">
        <f t="shared" ca="1" si="97"/>
        <v/>
      </c>
      <c r="CD42" s="358" t="str">
        <f t="shared" ca="1" si="98"/>
        <v/>
      </c>
      <c r="CE42" s="357" t="str">
        <f t="shared" ca="1" si="209"/>
        <v>,,,,,,</v>
      </c>
      <c r="CF42" s="154"/>
      <c r="CG42" s="154">
        <f t="shared" ca="1" si="100"/>
        <v>0</v>
      </c>
      <c r="CH42" s="268" t="str">
        <f t="shared" ca="1" si="174"/>
        <v/>
      </c>
      <c r="CI42" s="268">
        <f t="shared" ca="1" si="175"/>
        <v>0</v>
      </c>
      <c r="CJ42" s="268" t="str">
        <f t="shared" ca="1" si="176"/>
        <v/>
      </c>
      <c r="CK42" s="268">
        <f t="shared" ca="1" si="177"/>
        <v>0</v>
      </c>
      <c r="CL42" s="268">
        <f t="shared" ca="1" si="178"/>
        <v>0</v>
      </c>
      <c r="CM42" s="154">
        <f t="shared" ca="1" si="102"/>
        <v>0</v>
      </c>
      <c r="CN42" s="154"/>
      <c r="CO42" s="169"/>
      <c r="CP42" s="169"/>
      <c r="CQ42" s="169"/>
      <c r="CR42" s="169"/>
      <c r="CS42" s="169"/>
      <c r="CT42" s="169"/>
      <c r="CU42" s="169"/>
      <c r="CV42" s="164" t="str">
        <f t="shared" ca="1" si="179"/>
        <v/>
      </c>
      <c r="CW42" s="164" t="str">
        <f t="shared" ca="1" si="179"/>
        <v/>
      </c>
      <c r="CX42" s="164" t="str">
        <f t="shared" ca="1" si="179"/>
        <v/>
      </c>
      <c r="CY42" s="164" t="str">
        <f t="shared" ca="1" si="179"/>
        <v/>
      </c>
      <c r="CZ42" s="164" t="str">
        <f t="shared" ca="1" si="179"/>
        <v/>
      </c>
      <c r="DA42" s="164" t="str">
        <f t="shared" ca="1" si="179"/>
        <v/>
      </c>
      <c r="DB42" s="164" t="str">
        <f t="shared" ca="1" si="179"/>
        <v/>
      </c>
      <c r="DC42" s="164" t="str">
        <f t="shared" ca="1" si="179"/>
        <v/>
      </c>
      <c r="DD42" s="164" t="str">
        <f t="shared" ca="1" si="179"/>
        <v/>
      </c>
      <c r="DE42" s="164" t="str">
        <f t="shared" ca="1" si="179"/>
        <v/>
      </c>
      <c r="DF42" s="164" t="str">
        <f t="shared" ca="1" si="180"/>
        <v/>
      </c>
      <c r="DG42" s="164" t="str">
        <f t="shared" ca="1" si="180"/>
        <v/>
      </c>
      <c r="DH42" s="164" t="str">
        <f t="shared" ca="1" si="180"/>
        <v/>
      </c>
      <c r="DI42" s="164" t="str">
        <f t="shared" ca="1" si="180"/>
        <v/>
      </c>
      <c r="DJ42" s="164" t="str">
        <f t="shared" ca="1" si="180"/>
        <v/>
      </c>
      <c r="DK42" s="164" t="str">
        <f t="shared" ca="1" si="180"/>
        <v/>
      </c>
      <c r="DL42" s="164" t="str">
        <f t="shared" ca="1" si="180"/>
        <v/>
      </c>
      <c r="DM42" s="164" t="str">
        <f t="shared" ca="1" si="180"/>
        <v/>
      </c>
      <c r="DN42" s="164" t="str">
        <f t="shared" ca="1" si="180"/>
        <v/>
      </c>
      <c r="DO42" s="164" t="str">
        <f t="shared" ca="1" si="180"/>
        <v/>
      </c>
      <c r="DP42" s="164" t="str">
        <f t="shared" ca="1" si="180"/>
        <v/>
      </c>
      <c r="DQ42" s="164" t="str">
        <f t="shared" ca="1" si="180"/>
        <v/>
      </c>
      <c r="DR42" s="208"/>
      <c r="DS42" s="164" t="str">
        <f t="shared" ca="1" si="181"/>
        <v/>
      </c>
      <c r="DT42" s="164" t="str">
        <f t="shared" ca="1" si="182"/>
        <v/>
      </c>
      <c r="DU42" s="164" t="str">
        <f t="shared" ca="1" si="183"/>
        <v/>
      </c>
      <c r="DV42" s="164" t="str">
        <f t="shared" ca="1" si="184"/>
        <v/>
      </c>
      <c r="DW42" s="164" t="str">
        <f t="shared" ca="1" si="185"/>
        <v/>
      </c>
      <c r="DX42" s="164" t="str">
        <f t="shared" ca="1" si="186"/>
        <v/>
      </c>
      <c r="DY42" s="164" t="str">
        <f t="shared" ca="1" si="187"/>
        <v/>
      </c>
      <c r="DZ42" s="164" t="str">
        <f t="shared" ca="1" si="188"/>
        <v/>
      </c>
      <c r="EA42" s="164" t="str">
        <f t="shared" ca="1" si="189"/>
        <v/>
      </c>
      <c r="EB42" s="164" t="str">
        <f t="shared" ca="1" si="190"/>
        <v/>
      </c>
      <c r="EC42" s="164" t="str">
        <f t="shared" ca="1" si="191"/>
        <v/>
      </c>
      <c r="ED42" s="164" t="str">
        <f t="shared" ca="1" si="192"/>
        <v/>
      </c>
      <c r="EE42" s="164" t="str">
        <f t="shared" ca="1" si="193"/>
        <v/>
      </c>
      <c r="EF42" s="164" t="str">
        <f t="shared" ca="1" si="194"/>
        <v/>
      </c>
      <c r="EG42" s="164" t="str">
        <f t="shared" ca="1" si="195"/>
        <v/>
      </c>
      <c r="EH42" s="164" t="str">
        <f t="shared" ca="1" si="196"/>
        <v/>
      </c>
      <c r="EI42" s="164" t="str">
        <f t="shared" ca="1" si="197"/>
        <v/>
      </c>
      <c r="EJ42" s="164" t="str">
        <f t="shared" ca="1" si="198"/>
        <v/>
      </c>
      <c r="EK42" s="164" t="str">
        <f t="shared" ca="1" si="199"/>
        <v/>
      </c>
      <c r="EL42" s="164" t="str">
        <f t="shared" ca="1" si="200"/>
        <v/>
      </c>
      <c r="EM42" s="164" t="str">
        <f t="shared" ca="1" si="201"/>
        <v/>
      </c>
      <c r="EN42" s="164" t="str">
        <f t="shared" ca="1" si="202"/>
        <v/>
      </c>
      <c r="EO42" s="164" t="str">
        <f t="shared" ca="1" si="203"/>
        <v/>
      </c>
      <c r="EP42" s="164" t="str">
        <f t="shared" ca="1" si="204"/>
        <v/>
      </c>
      <c r="EQ42" s="164" t="str">
        <f t="shared" ca="1" si="205"/>
        <v/>
      </c>
      <c r="ER42" s="164" t="str">
        <f t="shared" ca="1" si="206"/>
        <v/>
      </c>
      <c r="ES42" s="164" t="str">
        <f t="shared" ca="1" si="207"/>
        <v/>
      </c>
    </row>
    <row r="43" spans="1:149" x14ac:dyDescent="0.2">
      <c r="A43" s="89" t="str">
        <f t="shared" ca="1" si="210"/>
        <v/>
      </c>
      <c r="B43" s="317" t="str">
        <f t="shared" ca="1" si="112"/>
        <v/>
      </c>
      <c r="C43" s="609" t="str">
        <f t="shared" ca="1" si="113"/>
        <v/>
      </c>
      <c r="D43" s="1956" t="str">
        <f t="shared" ca="1" si="114"/>
        <v/>
      </c>
      <c r="E43" s="1956"/>
      <c r="F43" s="960"/>
      <c r="G43" s="485" t="str">
        <f t="shared" ca="1" si="115"/>
        <v/>
      </c>
      <c r="H43" s="983"/>
      <c r="I43" s="975"/>
      <c r="J43" s="972"/>
      <c r="K43" s="1886" t="str">
        <f t="shared" ca="1" si="116"/>
        <v/>
      </c>
      <c r="L43" s="1888"/>
      <c r="M43" s="296" t="str">
        <f t="shared" ca="1" si="208"/>
        <v/>
      </c>
      <c r="N43" s="1322"/>
      <c r="O43" s="1319"/>
      <c r="P43" s="957" t="str">
        <f t="shared" ca="1" si="117"/>
        <v/>
      </c>
      <c r="Q43" s="749"/>
      <c r="R43" s="164">
        <f t="shared" ca="1" si="118"/>
        <v>0</v>
      </c>
      <c r="S43" s="164">
        <f t="shared" ca="1" si="119"/>
        <v>0</v>
      </c>
      <c r="T43" s="164">
        <f t="shared" ca="1" si="120"/>
        <v>0</v>
      </c>
      <c r="U43" s="164">
        <f t="shared" ca="1" si="121"/>
        <v>0</v>
      </c>
      <c r="V43" s="164">
        <f t="shared" ca="1" si="122"/>
        <v>0</v>
      </c>
      <c r="W43" s="164">
        <f t="shared" ca="1" si="123"/>
        <v>0</v>
      </c>
      <c r="X43" s="164">
        <f t="shared" ca="1" si="124"/>
        <v>0</v>
      </c>
      <c r="Y43" s="164">
        <f t="shared" ca="1" si="125"/>
        <v>0</v>
      </c>
      <c r="Z43" s="164">
        <f t="shared" ca="1" si="126"/>
        <v>0</v>
      </c>
      <c r="AA43" s="164">
        <f t="shared" ca="1" si="127"/>
        <v>0</v>
      </c>
      <c r="AB43" s="164">
        <f t="shared" ca="1" si="128"/>
        <v>0</v>
      </c>
      <c r="AC43" s="164">
        <f t="shared" ca="1" si="129"/>
        <v>0</v>
      </c>
      <c r="AD43" s="164">
        <f t="shared" ca="1" si="130"/>
        <v>0</v>
      </c>
      <c r="AE43" s="164">
        <f t="shared" ca="1" si="131"/>
        <v>0</v>
      </c>
      <c r="AF43" s="164">
        <f t="shared" ca="1" si="132"/>
        <v>0</v>
      </c>
      <c r="AG43" s="164">
        <f t="shared" ca="1" si="133"/>
        <v>0</v>
      </c>
      <c r="AH43" s="164">
        <f t="shared" ca="1" si="134"/>
        <v>0</v>
      </c>
      <c r="AI43" s="164">
        <f t="shared" ca="1" si="135"/>
        <v>0</v>
      </c>
      <c r="AJ43" s="164">
        <f t="shared" ca="1" si="136"/>
        <v>0</v>
      </c>
      <c r="AK43" s="164">
        <f t="shared" ca="1" si="137"/>
        <v>0</v>
      </c>
      <c r="AL43" s="164">
        <f t="shared" ca="1" si="138"/>
        <v>0</v>
      </c>
      <c r="AM43" s="208"/>
      <c r="AN43" s="74"/>
      <c r="AO43" s="164">
        <f t="shared" ca="1" si="139"/>
        <v>0</v>
      </c>
      <c r="AP43" s="164">
        <f t="shared" ca="1" si="140"/>
        <v>0</v>
      </c>
      <c r="AQ43" s="164">
        <f t="shared" ca="1" si="141"/>
        <v>0</v>
      </c>
      <c r="AR43" s="164">
        <f t="shared" ca="1" si="142"/>
        <v>0</v>
      </c>
      <c r="AS43" s="164">
        <f t="shared" ca="1" si="143"/>
        <v>0</v>
      </c>
      <c r="AT43" s="164">
        <f t="shared" ca="1" si="144"/>
        <v>0</v>
      </c>
      <c r="AU43" s="164">
        <f t="shared" ca="1" si="145"/>
        <v>0</v>
      </c>
      <c r="AV43" s="164">
        <f t="shared" ca="1" si="146"/>
        <v>0</v>
      </c>
      <c r="AW43" s="164">
        <f t="shared" ca="1" si="147"/>
        <v>0</v>
      </c>
      <c r="AX43" s="164">
        <f t="shared" ca="1" si="148"/>
        <v>0</v>
      </c>
      <c r="AY43" s="164">
        <f t="shared" ca="1" si="149"/>
        <v>0</v>
      </c>
      <c r="AZ43" s="164">
        <f t="shared" ca="1" si="150"/>
        <v>0</v>
      </c>
      <c r="BA43" s="164">
        <f t="shared" ca="1" si="151"/>
        <v>0</v>
      </c>
      <c r="BB43" s="164">
        <f t="shared" ca="1" si="152"/>
        <v>0</v>
      </c>
      <c r="BC43" s="164">
        <f t="shared" ca="1" si="153"/>
        <v>0</v>
      </c>
      <c r="BD43" s="164">
        <f t="shared" ca="1" si="154"/>
        <v>0</v>
      </c>
      <c r="BE43" s="164">
        <f t="shared" ca="1" si="155"/>
        <v>0</v>
      </c>
      <c r="BF43" s="164">
        <f t="shared" ca="1" si="156"/>
        <v>0</v>
      </c>
      <c r="BG43" s="164">
        <f t="shared" ca="1" si="157"/>
        <v>0</v>
      </c>
      <c r="BH43" s="164">
        <f t="shared" ca="1" si="158"/>
        <v>0</v>
      </c>
      <c r="BI43" s="164">
        <f t="shared" ca="1" si="159"/>
        <v>0</v>
      </c>
      <c r="BJ43" s="164">
        <f t="shared" ca="1" si="160"/>
        <v>0</v>
      </c>
      <c r="BK43" s="164">
        <f t="shared" ca="1" si="161"/>
        <v>0</v>
      </c>
      <c r="BL43" s="164">
        <f t="shared" ca="1" si="162"/>
        <v>0</v>
      </c>
      <c r="BM43" s="164">
        <f t="shared" ca="1" si="163"/>
        <v>0</v>
      </c>
      <c r="BN43" s="164">
        <f t="shared" ca="1" si="164"/>
        <v>0</v>
      </c>
      <c r="BO43" s="356" t="str">
        <f t="shared" ca="1" si="165"/>
        <v/>
      </c>
      <c r="BP43" s="355" t="str">
        <f t="shared" ca="1" si="166"/>
        <v/>
      </c>
      <c r="BQ43" s="355" t="str">
        <f t="shared" ca="1" si="167"/>
        <v/>
      </c>
      <c r="BR43" s="348">
        <f t="shared" ca="1" si="93"/>
        <v>0</v>
      </c>
      <c r="BS43" s="348">
        <f t="shared" ca="1" si="94"/>
        <v>0</v>
      </c>
      <c r="BT43" s="610">
        <f t="shared" ca="1" si="168"/>
        <v>0</v>
      </c>
      <c r="BU43" s="357">
        <f t="shared" ca="1" si="169"/>
        <v>0</v>
      </c>
      <c r="BV43" s="357">
        <f t="shared" si="170"/>
        <v>0</v>
      </c>
      <c r="BW43" s="357">
        <f t="shared" si="171"/>
        <v>0</v>
      </c>
      <c r="BX43" s="357">
        <f t="shared" ca="1" si="172"/>
        <v>0</v>
      </c>
      <c r="BY43" s="357">
        <f t="shared" ca="1" si="95"/>
        <v>0</v>
      </c>
      <c r="BZ43" s="357"/>
      <c r="CA43" s="357">
        <f t="shared" ca="1" si="96"/>
        <v>0</v>
      </c>
      <c r="CB43" s="357" t="str">
        <f t="shared" ca="1" si="173"/>
        <v/>
      </c>
      <c r="CC43" s="358" t="str">
        <f t="shared" ca="1" si="97"/>
        <v/>
      </c>
      <c r="CD43" s="358" t="str">
        <f t="shared" ca="1" si="98"/>
        <v/>
      </c>
      <c r="CE43" s="357" t="str">
        <f t="shared" ca="1" si="209"/>
        <v>,,,,,,,</v>
      </c>
      <c r="CF43" s="154"/>
      <c r="CG43" s="154">
        <f t="shared" ca="1" si="100"/>
        <v>0</v>
      </c>
      <c r="CH43" s="268" t="str">
        <f t="shared" ca="1" si="174"/>
        <v/>
      </c>
      <c r="CI43" s="268">
        <f t="shared" ca="1" si="175"/>
        <v>0</v>
      </c>
      <c r="CJ43" s="268" t="str">
        <f t="shared" ca="1" si="176"/>
        <v/>
      </c>
      <c r="CK43" s="268">
        <f t="shared" ca="1" si="177"/>
        <v>0</v>
      </c>
      <c r="CL43" s="268">
        <f t="shared" ca="1" si="178"/>
        <v>0</v>
      </c>
      <c r="CM43" s="154">
        <f t="shared" ca="1" si="102"/>
        <v>0</v>
      </c>
      <c r="CN43" s="154"/>
      <c r="CO43" s="169"/>
      <c r="CP43" s="169"/>
      <c r="CQ43" s="169"/>
      <c r="CR43" s="169"/>
      <c r="CS43" s="169"/>
      <c r="CT43" s="169"/>
      <c r="CU43" s="169"/>
      <c r="CV43" s="164" t="str">
        <f t="shared" ca="1" si="179"/>
        <v/>
      </c>
      <c r="CW43" s="164" t="str">
        <f t="shared" ca="1" si="179"/>
        <v/>
      </c>
      <c r="CX43" s="164" t="str">
        <f t="shared" ca="1" si="179"/>
        <v/>
      </c>
      <c r="CY43" s="164" t="str">
        <f t="shared" ca="1" si="179"/>
        <v/>
      </c>
      <c r="CZ43" s="164" t="str">
        <f t="shared" ca="1" si="179"/>
        <v/>
      </c>
      <c r="DA43" s="164" t="str">
        <f t="shared" ca="1" si="179"/>
        <v/>
      </c>
      <c r="DB43" s="164" t="str">
        <f t="shared" ca="1" si="179"/>
        <v/>
      </c>
      <c r="DC43" s="164" t="str">
        <f t="shared" ca="1" si="179"/>
        <v/>
      </c>
      <c r="DD43" s="164" t="str">
        <f t="shared" ca="1" si="179"/>
        <v/>
      </c>
      <c r="DE43" s="164" t="str">
        <f t="shared" ca="1" si="179"/>
        <v/>
      </c>
      <c r="DF43" s="164" t="str">
        <f t="shared" ca="1" si="180"/>
        <v/>
      </c>
      <c r="DG43" s="164" t="str">
        <f t="shared" ca="1" si="180"/>
        <v/>
      </c>
      <c r="DH43" s="164" t="str">
        <f t="shared" ca="1" si="180"/>
        <v/>
      </c>
      <c r="DI43" s="164" t="str">
        <f t="shared" ca="1" si="180"/>
        <v/>
      </c>
      <c r="DJ43" s="164" t="str">
        <f t="shared" ca="1" si="180"/>
        <v/>
      </c>
      <c r="DK43" s="164" t="str">
        <f t="shared" ca="1" si="180"/>
        <v/>
      </c>
      <c r="DL43" s="164" t="str">
        <f t="shared" ca="1" si="180"/>
        <v/>
      </c>
      <c r="DM43" s="164" t="str">
        <f t="shared" ca="1" si="180"/>
        <v/>
      </c>
      <c r="DN43" s="164" t="str">
        <f t="shared" ca="1" si="180"/>
        <v/>
      </c>
      <c r="DO43" s="164" t="str">
        <f t="shared" ca="1" si="180"/>
        <v/>
      </c>
      <c r="DP43" s="164" t="str">
        <f t="shared" ca="1" si="180"/>
        <v/>
      </c>
      <c r="DQ43" s="164" t="str">
        <f t="shared" ca="1" si="180"/>
        <v/>
      </c>
      <c r="DR43" s="208"/>
      <c r="DS43" s="164" t="str">
        <f t="shared" ca="1" si="181"/>
        <v/>
      </c>
      <c r="DT43" s="164" t="str">
        <f t="shared" ca="1" si="182"/>
        <v/>
      </c>
      <c r="DU43" s="164" t="str">
        <f t="shared" ca="1" si="183"/>
        <v/>
      </c>
      <c r="DV43" s="164" t="str">
        <f t="shared" ca="1" si="184"/>
        <v/>
      </c>
      <c r="DW43" s="164" t="str">
        <f t="shared" ca="1" si="185"/>
        <v/>
      </c>
      <c r="DX43" s="164" t="str">
        <f t="shared" ca="1" si="186"/>
        <v/>
      </c>
      <c r="DY43" s="164" t="str">
        <f t="shared" ca="1" si="187"/>
        <v/>
      </c>
      <c r="DZ43" s="164" t="str">
        <f t="shared" ca="1" si="188"/>
        <v/>
      </c>
      <c r="EA43" s="164" t="str">
        <f t="shared" ca="1" si="189"/>
        <v/>
      </c>
      <c r="EB43" s="164" t="str">
        <f t="shared" ca="1" si="190"/>
        <v/>
      </c>
      <c r="EC43" s="164" t="str">
        <f t="shared" ca="1" si="191"/>
        <v/>
      </c>
      <c r="ED43" s="164" t="str">
        <f t="shared" ca="1" si="192"/>
        <v/>
      </c>
      <c r="EE43" s="164" t="str">
        <f t="shared" ca="1" si="193"/>
        <v/>
      </c>
      <c r="EF43" s="164" t="str">
        <f t="shared" ca="1" si="194"/>
        <v/>
      </c>
      <c r="EG43" s="164" t="str">
        <f t="shared" ca="1" si="195"/>
        <v/>
      </c>
      <c r="EH43" s="164" t="str">
        <f t="shared" ca="1" si="196"/>
        <v/>
      </c>
      <c r="EI43" s="164" t="str">
        <f t="shared" ca="1" si="197"/>
        <v/>
      </c>
      <c r="EJ43" s="164" t="str">
        <f t="shared" ca="1" si="198"/>
        <v/>
      </c>
      <c r="EK43" s="164" t="str">
        <f t="shared" ca="1" si="199"/>
        <v/>
      </c>
      <c r="EL43" s="164" t="str">
        <f t="shared" ca="1" si="200"/>
        <v/>
      </c>
      <c r="EM43" s="164" t="str">
        <f t="shared" ca="1" si="201"/>
        <v/>
      </c>
      <c r="EN43" s="164" t="str">
        <f t="shared" ca="1" si="202"/>
        <v/>
      </c>
      <c r="EO43" s="164" t="str">
        <f t="shared" ca="1" si="203"/>
        <v/>
      </c>
      <c r="EP43" s="164" t="str">
        <f t="shared" ca="1" si="204"/>
        <v/>
      </c>
      <c r="EQ43" s="164" t="str">
        <f t="shared" ca="1" si="205"/>
        <v/>
      </c>
      <c r="ER43" s="164" t="str">
        <f t="shared" ca="1" si="206"/>
        <v/>
      </c>
      <c r="ES43" s="164" t="str">
        <f t="shared" ca="1" si="207"/>
        <v/>
      </c>
    </row>
    <row r="44" spans="1:149" x14ac:dyDescent="0.2">
      <c r="A44" s="89" t="str">
        <f t="shared" ca="1" si="210"/>
        <v/>
      </c>
      <c r="B44" s="317" t="str">
        <f t="shared" ca="1" si="112"/>
        <v/>
      </c>
      <c r="C44" s="609" t="str">
        <f t="shared" ca="1" si="113"/>
        <v/>
      </c>
      <c r="D44" s="1956" t="str">
        <f t="shared" ca="1" si="114"/>
        <v/>
      </c>
      <c r="E44" s="1956"/>
      <c r="F44" s="960"/>
      <c r="G44" s="485" t="str">
        <f t="shared" ca="1" si="115"/>
        <v/>
      </c>
      <c r="H44" s="983"/>
      <c r="I44" s="975"/>
      <c r="J44" s="972"/>
      <c r="K44" s="1886" t="str">
        <f t="shared" ca="1" si="116"/>
        <v/>
      </c>
      <c r="L44" s="1888"/>
      <c r="M44" s="296" t="str">
        <f t="shared" ca="1" si="208"/>
        <v/>
      </c>
      <c r="N44" s="1322"/>
      <c r="O44" s="1319"/>
      <c r="P44" s="957" t="str">
        <f t="shared" ca="1" si="117"/>
        <v/>
      </c>
      <c r="Q44" s="749"/>
      <c r="R44" s="164">
        <f t="shared" ca="1" si="118"/>
        <v>0</v>
      </c>
      <c r="S44" s="164">
        <f t="shared" ca="1" si="119"/>
        <v>0</v>
      </c>
      <c r="T44" s="164">
        <f t="shared" ca="1" si="120"/>
        <v>0</v>
      </c>
      <c r="U44" s="164">
        <f t="shared" ca="1" si="121"/>
        <v>0</v>
      </c>
      <c r="V44" s="164">
        <f t="shared" ca="1" si="122"/>
        <v>0</v>
      </c>
      <c r="W44" s="164">
        <f t="shared" ca="1" si="123"/>
        <v>0</v>
      </c>
      <c r="X44" s="164">
        <f t="shared" ca="1" si="124"/>
        <v>0</v>
      </c>
      <c r="Y44" s="164">
        <f t="shared" ca="1" si="125"/>
        <v>0</v>
      </c>
      <c r="Z44" s="164">
        <f t="shared" ca="1" si="126"/>
        <v>0</v>
      </c>
      <c r="AA44" s="164">
        <f t="shared" ca="1" si="127"/>
        <v>0</v>
      </c>
      <c r="AB44" s="164">
        <f t="shared" ca="1" si="128"/>
        <v>0</v>
      </c>
      <c r="AC44" s="164">
        <f t="shared" ca="1" si="129"/>
        <v>0</v>
      </c>
      <c r="AD44" s="164">
        <f t="shared" ca="1" si="130"/>
        <v>0</v>
      </c>
      <c r="AE44" s="164">
        <f t="shared" ca="1" si="131"/>
        <v>0</v>
      </c>
      <c r="AF44" s="164">
        <f t="shared" ca="1" si="132"/>
        <v>0</v>
      </c>
      <c r="AG44" s="164">
        <f t="shared" ca="1" si="133"/>
        <v>0</v>
      </c>
      <c r="AH44" s="164">
        <f t="shared" ca="1" si="134"/>
        <v>0</v>
      </c>
      <c r="AI44" s="164">
        <f t="shared" ca="1" si="135"/>
        <v>0</v>
      </c>
      <c r="AJ44" s="164">
        <f t="shared" ca="1" si="136"/>
        <v>0</v>
      </c>
      <c r="AK44" s="164">
        <f t="shared" ca="1" si="137"/>
        <v>0</v>
      </c>
      <c r="AL44" s="164">
        <f t="shared" ca="1" si="138"/>
        <v>0</v>
      </c>
      <c r="AM44" s="208"/>
      <c r="AO44" s="164">
        <f t="shared" ca="1" si="139"/>
        <v>0</v>
      </c>
      <c r="AP44" s="164">
        <f t="shared" ca="1" si="140"/>
        <v>0</v>
      </c>
      <c r="AQ44" s="164">
        <f t="shared" ca="1" si="141"/>
        <v>0</v>
      </c>
      <c r="AR44" s="164">
        <f t="shared" ca="1" si="142"/>
        <v>0</v>
      </c>
      <c r="AS44" s="164">
        <f t="shared" ca="1" si="143"/>
        <v>0</v>
      </c>
      <c r="AT44" s="164">
        <f t="shared" ca="1" si="144"/>
        <v>0</v>
      </c>
      <c r="AU44" s="164">
        <f t="shared" ca="1" si="145"/>
        <v>0</v>
      </c>
      <c r="AV44" s="164">
        <f t="shared" ca="1" si="146"/>
        <v>0</v>
      </c>
      <c r="AW44" s="164">
        <f t="shared" ca="1" si="147"/>
        <v>0</v>
      </c>
      <c r="AX44" s="164">
        <f t="shared" ca="1" si="148"/>
        <v>0</v>
      </c>
      <c r="AY44" s="164">
        <f t="shared" ca="1" si="149"/>
        <v>0</v>
      </c>
      <c r="AZ44" s="164">
        <f t="shared" ca="1" si="150"/>
        <v>0</v>
      </c>
      <c r="BA44" s="164">
        <f t="shared" ca="1" si="151"/>
        <v>0</v>
      </c>
      <c r="BB44" s="164">
        <f t="shared" ca="1" si="152"/>
        <v>0</v>
      </c>
      <c r="BC44" s="164">
        <f t="shared" ca="1" si="153"/>
        <v>0</v>
      </c>
      <c r="BD44" s="164">
        <f t="shared" ca="1" si="154"/>
        <v>0</v>
      </c>
      <c r="BE44" s="164">
        <f t="shared" ca="1" si="155"/>
        <v>0</v>
      </c>
      <c r="BF44" s="164">
        <f t="shared" ca="1" si="156"/>
        <v>0</v>
      </c>
      <c r="BG44" s="164">
        <f t="shared" ca="1" si="157"/>
        <v>0</v>
      </c>
      <c r="BH44" s="164">
        <f t="shared" ca="1" si="158"/>
        <v>0</v>
      </c>
      <c r="BI44" s="164">
        <f t="shared" ca="1" si="159"/>
        <v>0</v>
      </c>
      <c r="BJ44" s="164">
        <f t="shared" ca="1" si="160"/>
        <v>0</v>
      </c>
      <c r="BK44" s="164">
        <f t="shared" ca="1" si="161"/>
        <v>0</v>
      </c>
      <c r="BL44" s="164">
        <f t="shared" ca="1" si="162"/>
        <v>0</v>
      </c>
      <c r="BM44" s="164">
        <f t="shared" ca="1" si="163"/>
        <v>0</v>
      </c>
      <c r="BN44" s="164">
        <f t="shared" ca="1" si="164"/>
        <v>0</v>
      </c>
      <c r="BO44" s="356" t="str">
        <f t="shared" ca="1" si="165"/>
        <v/>
      </c>
      <c r="BP44" s="355" t="str">
        <f t="shared" ca="1" si="166"/>
        <v/>
      </c>
      <c r="BQ44" s="355" t="str">
        <f t="shared" ca="1" si="167"/>
        <v/>
      </c>
      <c r="BR44" s="348">
        <f t="shared" ca="1" si="93"/>
        <v>0</v>
      </c>
      <c r="BS44" s="348">
        <f t="shared" ca="1" si="94"/>
        <v>0</v>
      </c>
      <c r="BT44" s="610">
        <f t="shared" ca="1" si="168"/>
        <v>0</v>
      </c>
      <c r="BU44" s="357">
        <f t="shared" ca="1" si="169"/>
        <v>0</v>
      </c>
      <c r="BV44" s="357">
        <f t="shared" si="170"/>
        <v>0</v>
      </c>
      <c r="BW44" s="357">
        <f t="shared" si="171"/>
        <v>0</v>
      </c>
      <c r="BX44" s="357">
        <f t="shared" ca="1" si="172"/>
        <v>0</v>
      </c>
      <c r="BY44" s="357">
        <f t="shared" ca="1" si="95"/>
        <v>0</v>
      </c>
      <c r="BZ44" s="357"/>
      <c r="CA44" s="357">
        <f t="shared" ca="1" si="96"/>
        <v>0</v>
      </c>
      <c r="CB44" s="357" t="str">
        <f t="shared" ca="1" si="173"/>
        <v/>
      </c>
      <c r="CC44" s="358" t="str">
        <f t="shared" ca="1" si="97"/>
        <v/>
      </c>
      <c r="CD44" s="358" t="str">
        <f t="shared" ca="1" si="98"/>
        <v/>
      </c>
      <c r="CE44" s="357" t="str">
        <f t="shared" ca="1" si="209"/>
        <v>,,,,,,,,</v>
      </c>
      <c r="CF44" s="154"/>
      <c r="CG44" s="154">
        <f t="shared" ca="1" si="100"/>
        <v>0</v>
      </c>
      <c r="CH44" s="268" t="str">
        <f t="shared" ca="1" si="174"/>
        <v/>
      </c>
      <c r="CI44" s="268">
        <f t="shared" ca="1" si="175"/>
        <v>0</v>
      </c>
      <c r="CJ44" s="268" t="str">
        <f t="shared" ca="1" si="176"/>
        <v/>
      </c>
      <c r="CK44" s="268">
        <f t="shared" ca="1" si="177"/>
        <v>0</v>
      </c>
      <c r="CL44" s="268">
        <f t="shared" ca="1" si="178"/>
        <v>0</v>
      </c>
      <c r="CM44" s="154">
        <f t="shared" ca="1" si="102"/>
        <v>0</v>
      </c>
      <c r="CN44" s="154"/>
      <c r="CO44" s="169"/>
      <c r="CP44" s="169"/>
      <c r="CQ44" s="169"/>
      <c r="CR44" s="169"/>
      <c r="CS44" s="169"/>
      <c r="CT44" s="169"/>
      <c r="CU44" s="169"/>
      <c r="CV44" s="164" t="str">
        <f t="shared" ca="1" si="179"/>
        <v/>
      </c>
      <c r="CW44" s="164" t="str">
        <f t="shared" ca="1" si="179"/>
        <v/>
      </c>
      <c r="CX44" s="164" t="str">
        <f t="shared" ca="1" si="179"/>
        <v/>
      </c>
      <c r="CY44" s="164" t="str">
        <f t="shared" ca="1" si="179"/>
        <v/>
      </c>
      <c r="CZ44" s="164" t="str">
        <f t="shared" ca="1" si="179"/>
        <v/>
      </c>
      <c r="DA44" s="164" t="str">
        <f t="shared" ca="1" si="179"/>
        <v/>
      </c>
      <c r="DB44" s="164" t="str">
        <f t="shared" ca="1" si="179"/>
        <v/>
      </c>
      <c r="DC44" s="164" t="str">
        <f t="shared" ca="1" si="179"/>
        <v/>
      </c>
      <c r="DD44" s="164" t="str">
        <f t="shared" ca="1" si="179"/>
        <v/>
      </c>
      <c r="DE44" s="164" t="str">
        <f t="shared" ca="1" si="179"/>
        <v/>
      </c>
      <c r="DF44" s="164" t="str">
        <f t="shared" ca="1" si="180"/>
        <v/>
      </c>
      <c r="DG44" s="164" t="str">
        <f t="shared" ca="1" si="180"/>
        <v/>
      </c>
      <c r="DH44" s="164" t="str">
        <f t="shared" ca="1" si="180"/>
        <v/>
      </c>
      <c r="DI44" s="164" t="str">
        <f t="shared" ca="1" si="180"/>
        <v/>
      </c>
      <c r="DJ44" s="164" t="str">
        <f t="shared" ca="1" si="180"/>
        <v/>
      </c>
      <c r="DK44" s="164" t="str">
        <f t="shared" ca="1" si="180"/>
        <v/>
      </c>
      <c r="DL44" s="164" t="str">
        <f t="shared" ca="1" si="180"/>
        <v/>
      </c>
      <c r="DM44" s="164" t="str">
        <f t="shared" ca="1" si="180"/>
        <v/>
      </c>
      <c r="DN44" s="164" t="str">
        <f t="shared" ca="1" si="180"/>
        <v/>
      </c>
      <c r="DO44" s="164" t="str">
        <f t="shared" ca="1" si="180"/>
        <v/>
      </c>
      <c r="DP44" s="164" t="str">
        <f t="shared" ca="1" si="180"/>
        <v/>
      </c>
      <c r="DQ44" s="164" t="str">
        <f t="shared" ca="1" si="180"/>
        <v/>
      </c>
      <c r="DR44" s="208"/>
      <c r="DS44" s="164" t="str">
        <f t="shared" ca="1" si="181"/>
        <v/>
      </c>
      <c r="DT44" s="164" t="str">
        <f t="shared" ca="1" si="182"/>
        <v/>
      </c>
      <c r="DU44" s="164" t="str">
        <f t="shared" ca="1" si="183"/>
        <v/>
      </c>
      <c r="DV44" s="164" t="str">
        <f t="shared" ca="1" si="184"/>
        <v/>
      </c>
      <c r="DW44" s="164" t="str">
        <f t="shared" ca="1" si="185"/>
        <v/>
      </c>
      <c r="DX44" s="164" t="str">
        <f t="shared" ca="1" si="186"/>
        <v/>
      </c>
      <c r="DY44" s="164" t="str">
        <f t="shared" ca="1" si="187"/>
        <v/>
      </c>
      <c r="DZ44" s="164" t="str">
        <f t="shared" ca="1" si="188"/>
        <v/>
      </c>
      <c r="EA44" s="164" t="str">
        <f t="shared" ca="1" si="189"/>
        <v/>
      </c>
      <c r="EB44" s="164" t="str">
        <f t="shared" ca="1" si="190"/>
        <v/>
      </c>
      <c r="EC44" s="164" t="str">
        <f t="shared" ca="1" si="191"/>
        <v/>
      </c>
      <c r="ED44" s="164" t="str">
        <f t="shared" ca="1" si="192"/>
        <v/>
      </c>
      <c r="EE44" s="164" t="str">
        <f t="shared" ca="1" si="193"/>
        <v/>
      </c>
      <c r="EF44" s="164" t="str">
        <f t="shared" ca="1" si="194"/>
        <v/>
      </c>
      <c r="EG44" s="164" t="str">
        <f t="shared" ca="1" si="195"/>
        <v/>
      </c>
      <c r="EH44" s="164" t="str">
        <f t="shared" ca="1" si="196"/>
        <v/>
      </c>
      <c r="EI44" s="164" t="str">
        <f t="shared" ca="1" si="197"/>
        <v/>
      </c>
      <c r="EJ44" s="164" t="str">
        <f t="shared" ca="1" si="198"/>
        <v/>
      </c>
      <c r="EK44" s="164" t="str">
        <f t="shared" ca="1" si="199"/>
        <v/>
      </c>
      <c r="EL44" s="164" t="str">
        <f t="shared" ca="1" si="200"/>
        <v/>
      </c>
      <c r="EM44" s="164" t="str">
        <f t="shared" ca="1" si="201"/>
        <v/>
      </c>
      <c r="EN44" s="164" t="str">
        <f t="shared" ca="1" si="202"/>
        <v/>
      </c>
      <c r="EO44" s="164" t="str">
        <f t="shared" ca="1" si="203"/>
        <v/>
      </c>
      <c r="EP44" s="164" t="str">
        <f t="shared" ca="1" si="204"/>
        <v/>
      </c>
      <c r="EQ44" s="164" t="str">
        <f t="shared" ca="1" si="205"/>
        <v/>
      </c>
      <c r="ER44" s="164" t="str">
        <f t="shared" ca="1" si="206"/>
        <v/>
      </c>
      <c r="ES44" s="164" t="str">
        <f t="shared" ca="1" si="207"/>
        <v/>
      </c>
    </row>
    <row r="45" spans="1:149" x14ac:dyDescent="0.2">
      <c r="A45" s="89" t="str">
        <f t="shared" ca="1" si="210"/>
        <v/>
      </c>
      <c r="B45" s="317" t="str">
        <f t="shared" ca="1" si="112"/>
        <v/>
      </c>
      <c r="C45" s="609" t="str">
        <f t="shared" ca="1" si="113"/>
        <v/>
      </c>
      <c r="D45" s="1956" t="str">
        <f t="shared" ca="1" si="114"/>
        <v/>
      </c>
      <c r="E45" s="1956"/>
      <c r="F45" s="960"/>
      <c r="G45" s="485" t="str">
        <f t="shared" ca="1" si="115"/>
        <v/>
      </c>
      <c r="H45" s="983"/>
      <c r="I45" s="975"/>
      <c r="J45" s="972"/>
      <c r="K45" s="1886" t="str">
        <f t="shared" ca="1" si="116"/>
        <v/>
      </c>
      <c r="L45" s="1888"/>
      <c r="M45" s="296" t="str">
        <f t="shared" ca="1" si="208"/>
        <v/>
      </c>
      <c r="N45" s="1322"/>
      <c r="O45" s="1319"/>
      <c r="P45" s="957" t="str">
        <f t="shared" ca="1" si="117"/>
        <v/>
      </c>
      <c r="Q45" s="749"/>
      <c r="R45" s="164">
        <f t="shared" ca="1" si="118"/>
        <v>0</v>
      </c>
      <c r="S45" s="164">
        <f t="shared" ca="1" si="119"/>
        <v>0</v>
      </c>
      <c r="T45" s="164">
        <f t="shared" ca="1" si="120"/>
        <v>0</v>
      </c>
      <c r="U45" s="164">
        <f t="shared" ca="1" si="121"/>
        <v>0</v>
      </c>
      <c r="V45" s="164">
        <f t="shared" ca="1" si="122"/>
        <v>0</v>
      </c>
      <c r="W45" s="164">
        <f t="shared" ca="1" si="123"/>
        <v>0</v>
      </c>
      <c r="X45" s="164">
        <f t="shared" ca="1" si="124"/>
        <v>0</v>
      </c>
      <c r="Y45" s="164">
        <f t="shared" ca="1" si="125"/>
        <v>0</v>
      </c>
      <c r="Z45" s="164">
        <f t="shared" ca="1" si="126"/>
        <v>0</v>
      </c>
      <c r="AA45" s="164">
        <f t="shared" ca="1" si="127"/>
        <v>0</v>
      </c>
      <c r="AB45" s="164">
        <f t="shared" ca="1" si="128"/>
        <v>0</v>
      </c>
      <c r="AC45" s="164">
        <f t="shared" ca="1" si="129"/>
        <v>0</v>
      </c>
      <c r="AD45" s="164">
        <f t="shared" ca="1" si="130"/>
        <v>0</v>
      </c>
      <c r="AE45" s="164">
        <f t="shared" ca="1" si="131"/>
        <v>0</v>
      </c>
      <c r="AF45" s="164">
        <f t="shared" ca="1" si="132"/>
        <v>0</v>
      </c>
      <c r="AG45" s="164">
        <f t="shared" ca="1" si="133"/>
        <v>0</v>
      </c>
      <c r="AH45" s="164">
        <f t="shared" ca="1" si="134"/>
        <v>0</v>
      </c>
      <c r="AI45" s="164">
        <f t="shared" ca="1" si="135"/>
        <v>0</v>
      </c>
      <c r="AJ45" s="164">
        <f t="shared" ca="1" si="136"/>
        <v>0</v>
      </c>
      <c r="AK45" s="164">
        <f t="shared" ca="1" si="137"/>
        <v>0</v>
      </c>
      <c r="AL45" s="164">
        <f t="shared" ca="1" si="138"/>
        <v>0</v>
      </c>
      <c r="AM45" s="208"/>
      <c r="AN45" s="74"/>
      <c r="AO45" s="164">
        <f t="shared" ca="1" si="139"/>
        <v>0</v>
      </c>
      <c r="AP45" s="164">
        <f t="shared" ca="1" si="140"/>
        <v>0</v>
      </c>
      <c r="AQ45" s="164">
        <f t="shared" ca="1" si="141"/>
        <v>0</v>
      </c>
      <c r="AR45" s="164">
        <f t="shared" ca="1" si="142"/>
        <v>0</v>
      </c>
      <c r="AS45" s="164">
        <f t="shared" ca="1" si="143"/>
        <v>0</v>
      </c>
      <c r="AT45" s="164">
        <f t="shared" ca="1" si="144"/>
        <v>0</v>
      </c>
      <c r="AU45" s="164">
        <f t="shared" ca="1" si="145"/>
        <v>0</v>
      </c>
      <c r="AV45" s="164">
        <f t="shared" ca="1" si="146"/>
        <v>0</v>
      </c>
      <c r="AW45" s="164">
        <f t="shared" ca="1" si="147"/>
        <v>0</v>
      </c>
      <c r="AX45" s="164">
        <f t="shared" ca="1" si="148"/>
        <v>0</v>
      </c>
      <c r="AY45" s="164">
        <f t="shared" ca="1" si="149"/>
        <v>0</v>
      </c>
      <c r="AZ45" s="164">
        <f t="shared" ca="1" si="150"/>
        <v>0</v>
      </c>
      <c r="BA45" s="164">
        <f t="shared" ca="1" si="151"/>
        <v>0</v>
      </c>
      <c r="BB45" s="164">
        <f t="shared" ca="1" si="152"/>
        <v>0</v>
      </c>
      <c r="BC45" s="164">
        <f t="shared" ca="1" si="153"/>
        <v>0</v>
      </c>
      <c r="BD45" s="164">
        <f t="shared" ca="1" si="154"/>
        <v>0</v>
      </c>
      <c r="BE45" s="164">
        <f t="shared" ca="1" si="155"/>
        <v>0</v>
      </c>
      <c r="BF45" s="164">
        <f t="shared" ca="1" si="156"/>
        <v>0</v>
      </c>
      <c r="BG45" s="164">
        <f t="shared" ca="1" si="157"/>
        <v>0</v>
      </c>
      <c r="BH45" s="164">
        <f t="shared" ca="1" si="158"/>
        <v>0</v>
      </c>
      <c r="BI45" s="164">
        <f t="shared" ca="1" si="159"/>
        <v>0</v>
      </c>
      <c r="BJ45" s="164">
        <f t="shared" ca="1" si="160"/>
        <v>0</v>
      </c>
      <c r="BK45" s="164">
        <f t="shared" ca="1" si="161"/>
        <v>0</v>
      </c>
      <c r="BL45" s="164">
        <f t="shared" ca="1" si="162"/>
        <v>0</v>
      </c>
      <c r="BM45" s="164">
        <f t="shared" ca="1" si="163"/>
        <v>0</v>
      </c>
      <c r="BN45" s="164">
        <f t="shared" ca="1" si="164"/>
        <v>0</v>
      </c>
      <c r="BO45" s="356" t="str">
        <f t="shared" ca="1" si="165"/>
        <v/>
      </c>
      <c r="BP45" s="355" t="str">
        <f t="shared" ca="1" si="166"/>
        <v/>
      </c>
      <c r="BQ45" s="355" t="str">
        <f t="shared" ca="1" si="167"/>
        <v/>
      </c>
      <c r="BR45" s="348">
        <f t="shared" ca="1" si="93"/>
        <v>0</v>
      </c>
      <c r="BS45" s="348">
        <f t="shared" ca="1" si="94"/>
        <v>0</v>
      </c>
      <c r="BT45" s="610">
        <f t="shared" ca="1" si="168"/>
        <v>0</v>
      </c>
      <c r="BU45" s="357">
        <f t="shared" ca="1" si="169"/>
        <v>0</v>
      </c>
      <c r="BV45" s="357">
        <f t="shared" si="170"/>
        <v>0</v>
      </c>
      <c r="BW45" s="357">
        <f t="shared" si="171"/>
        <v>0</v>
      </c>
      <c r="BX45" s="357">
        <f t="shared" ca="1" si="172"/>
        <v>0</v>
      </c>
      <c r="BY45" s="357">
        <f t="shared" ca="1" si="95"/>
        <v>0</v>
      </c>
      <c r="BZ45" s="357"/>
      <c r="CA45" s="357">
        <f t="shared" ca="1" si="96"/>
        <v>0</v>
      </c>
      <c r="CB45" s="357" t="str">
        <f t="shared" ca="1" si="173"/>
        <v/>
      </c>
      <c r="CC45" s="358" t="str">
        <f t="shared" ca="1" si="97"/>
        <v/>
      </c>
      <c r="CD45" s="358" t="str">
        <f t="shared" ca="1" si="98"/>
        <v/>
      </c>
      <c r="CE45" s="357" t="str">
        <f t="shared" ca="1" si="209"/>
        <v>,,,,,,,,,</v>
      </c>
      <c r="CF45" s="154"/>
      <c r="CG45" s="154">
        <f t="shared" ca="1" si="100"/>
        <v>0</v>
      </c>
      <c r="CH45" s="268" t="str">
        <f t="shared" ca="1" si="174"/>
        <v/>
      </c>
      <c r="CI45" s="268">
        <f t="shared" ca="1" si="175"/>
        <v>0</v>
      </c>
      <c r="CJ45" s="268" t="str">
        <f t="shared" ca="1" si="176"/>
        <v/>
      </c>
      <c r="CK45" s="268">
        <f t="shared" ca="1" si="177"/>
        <v>0</v>
      </c>
      <c r="CL45" s="268">
        <f t="shared" ca="1" si="178"/>
        <v>0</v>
      </c>
      <c r="CM45" s="154">
        <f t="shared" ca="1" si="102"/>
        <v>0</v>
      </c>
      <c r="CN45" s="154"/>
      <c r="CO45" s="169"/>
      <c r="CP45" s="169"/>
      <c r="CQ45" s="169"/>
      <c r="CR45" s="169"/>
      <c r="CS45" s="169"/>
      <c r="CT45" s="169"/>
      <c r="CU45" s="169"/>
      <c r="CV45" s="164" t="str">
        <f t="shared" ca="1" si="179"/>
        <v/>
      </c>
      <c r="CW45" s="164" t="str">
        <f t="shared" ca="1" si="179"/>
        <v/>
      </c>
      <c r="CX45" s="164" t="str">
        <f t="shared" ca="1" si="179"/>
        <v/>
      </c>
      <c r="CY45" s="164" t="str">
        <f t="shared" ca="1" si="179"/>
        <v/>
      </c>
      <c r="CZ45" s="164" t="str">
        <f t="shared" ca="1" si="179"/>
        <v/>
      </c>
      <c r="DA45" s="164" t="str">
        <f t="shared" ca="1" si="179"/>
        <v/>
      </c>
      <c r="DB45" s="164" t="str">
        <f t="shared" ca="1" si="179"/>
        <v/>
      </c>
      <c r="DC45" s="164" t="str">
        <f t="shared" ca="1" si="179"/>
        <v/>
      </c>
      <c r="DD45" s="164" t="str">
        <f t="shared" ca="1" si="179"/>
        <v/>
      </c>
      <c r="DE45" s="164" t="str">
        <f t="shared" ca="1" si="179"/>
        <v/>
      </c>
      <c r="DF45" s="164" t="str">
        <f t="shared" ca="1" si="180"/>
        <v/>
      </c>
      <c r="DG45" s="164" t="str">
        <f t="shared" ca="1" si="180"/>
        <v/>
      </c>
      <c r="DH45" s="164" t="str">
        <f t="shared" ca="1" si="180"/>
        <v/>
      </c>
      <c r="DI45" s="164" t="str">
        <f t="shared" ca="1" si="180"/>
        <v/>
      </c>
      <c r="DJ45" s="164" t="str">
        <f t="shared" ca="1" si="180"/>
        <v/>
      </c>
      <c r="DK45" s="164" t="str">
        <f t="shared" ca="1" si="180"/>
        <v/>
      </c>
      <c r="DL45" s="164" t="str">
        <f t="shared" ca="1" si="180"/>
        <v/>
      </c>
      <c r="DM45" s="164" t="str">
        <f t="shared" ca="1" si="180"/>
        <v/>
      </c>
      <c r="DN45" s="164" t="str">
        <f t="shared" ca="1" si="180"/>
        <v/>
      </c>
      <c r="DO45" s="164" t="str">
        <f t="shared" ca="1" si="180"/>
        <v/>
      </c>
      <c r="DP45" s="164" t="str">
        <f t="shared" ca="1" si="180"/>
        <v/>
      </c>
      <c r="DQ45" s="164" t="str">
        <f t="shared" ca="1" si="180"/>
        <v/>
      </c>
      <c r="DR45" s="208"/>
      <c r="DS45" s="164" t="str">
        <f t="shared" ca="1" si="181"/>
        <v/>
      </c>
      <c r="DT45" s="164" t="str">
        <f t="shared" ca="1" si="182"/>
        <v/>
      </c>
      <c r="DU45" s="164" t="str">
        <f t="shared" ca="1" si="183"/>
        <v/>
      </c>
      <c r="DV45" s="164" t="str">
        <f t="shared" ca="1" si="184"/>
        <v/>
      </c>
      <c r="DW45" s="164" t="str">
        <f t="shared" ca="1" si="185"/>
        <v/>
      </c>
      <c r="DX45" s="164" t="str">
        <f t="shared" ca="1" si="186"/>
        <v/>
      </c>
      <c r="DY45" s="164" t="str">
        <f t="shared" ca="1" si="187"/>
        <v/>
      </c>
      <c r="DZ45" s="164" t="str">
        <f t="shared" ca="1" si="188"/>
        <v/>
      </c>
      <c r="EA45" s="164" t="str">
        <f t="shared" ca="1" si="189"/>
        <v/>
      </c>
      <c r="EB45" s="164" t="str">
        <f t="shared" ca="1" si="190"/>
        <v/>
      </c>
      <c r="EC45" s="164" t="str">
        <f t="shared" ca="1" si="191"/>
        <v/>
      </c>
      <c r="ED45" s="164" t="str">
        <f t="shared" ca="1" si="192"/>
        <v/>
      </c>
      <c r="EE45" s="164" t="str">
        <f t="shared" ca="1" si="193"/>
        <v/>
      </c>
      <c r="EF45" s="164" t="str">
        <f t="shared" ca="1" si="194"/>
        <v/>
      </c>
      <c r="EG45" s="164" t="str">
        <f t="shared" ca="1" si="195"/>
        <v/>
      </c>
      <c r="EH45" s="164" t="str">
        <f t="shared" ca="1" si="196"/>
        <v/>
      </c>
      <c r="EI45" s="164" t="str">
        <f t="shared" ca="1" si="197"/>
        <v/>
      </c>
      <c r="EJ45" s="164" t="str">
        <f t="shared" ca="1" si="198"/>
        <v/>
      </c>
      <c r="EK45" s="164" t="str">
        <f t="shared" ca="1" si="199"/>
        <v/>
      </c>
      <c r="EL45" s="164" t="str">
        <f t="shared" ca="1" si="200"/>
        <v/>
      </c>
      <c r="EM45" s="164" t="str">
        <f t="shared" ca="1" si="201"/>
        <v/>
      </c>
      <c r="EN45" s="164" t="str">
        <f t="shared" ca="1" si="202"/>
        <v/>
      </c>
      <c r="EO45" s="164" t="str">
        <f t="shared" ca="1" si="203"/>
        <v/>
      </c>
      <c r="EP45" s="164" t="str">
        <f t="shared" ca="1" si="204"/>
        <v/>
      </c>
      <c r="EQ45" s="164" t="str">
        <f t="shared" ca="1" si="205"/>
        <v/>
      </c>
      <c r="ER45" s="164" t="str">
        <f t="shared" ca="1" si="206"/>
        <v/>
      </c>
      <c r="ES45" s="164" t="str">
        <f t="shared" ca="1" si="207"/>
        <v/>
      </c>
    </row>
    <row r="46" spans="1:149" x14ac:dyDescent="0.2">
      <c r="A46" s="89" t="str">
        <f t="shared" ca="1" si="210"/>
        <v/>
      </c>
      <c r="B46" s="317" t="str">
        <f t="shared" ca="1" si="112"/>
        <v/>
      </c>
      <c r="C46" s="609" t="str">
        <f t="shared" ca="1" si="113"/>
        <v/>
      </c>
      <c r="D46" s="1956" t="str">
        <f t="shared" ca="1" si="114"/>
        <v/>
      </c>
      <c r="E46" s="1956"/>
      <c r="F46" s="960"/>
      <c r="G46" s="485" t="str">
        <f t="shared" ca="1" si="115"/>
        <v/>
      </c>
      <c r="H46" s="983"/>
      <c r="I46" s="975"/>
      <c r="J46" s="972"/>
      <c r="K46" s="1886" t="str">
        <f t="shared" ca="1" si="116"/>
        <v/>
      </c>
      <c r="L46" s="1888"/>
      <c r="M46" s="296" t="str">
        <f t="shared" ca="1" si="208"/>
        <v/>
      </c>
      <c r="N46" s="1322"/>
      <c r="O46" s="1319"/>
      <c r="P46" s="957" t="str">
        <f t="shared" ca="1" si="117"/>
        <v/>
      </c>
      <c r="Q46" s="749"/>
      <c r="R46" s="164">
        <f t="shared" ca="1" si="118"/>
        <v>0</v>
      </c>
      <c r="S46" s="164">
        <f t="shared" ca="1" si="119"/>
        <v>0</v>
      </c>
      <c r="T46" s="164">
        <f t="shared" ca="1" si="120"/>
        <v>0</v>
      </c>
      <c r="U46" s="164">
        <f t="shared" ca="1" si="121"/>
        <v>0</v>
      </c>
      <c r="V46" s="164">
        <f t="shared" ca="1" si="122"/>
        <v>0</v>
      </c>
      <c r="W46" s="164">
        <f t="shared" ca="1" si="123"/>
        <v>0</v>
      </c>
      <c r="X46" s="164">
        <f t="shared" ca="1" si="124"/>
        <v>0</v>
      </c>
      <c r="Y46" s="164">
        <f t="shared" ca="1" si="125"/>
        <v>0</v>
      </c>
      <c r="Z46" s="164">
        <f t="shared" ca="1" si="126"/>
        <v>0</v>
      </c>
      <c r="AA46" s="164">
        <f t="shared" ca="1" si="127"/>
        <v>0</v>
      </c>
      <c r="AB46" s="164">
        <f t="shared" ca="1" si="128"/>
        <v>0</v>
      </c>
      <c r="AC46" s="164">
        <f t="shared" ca="1" si="129"/>
        <v>0</v>
      </c>
      <c r="AD46" s="164">
        <f t="shared" ca="1" si="130"/>
        <v>0</v>
      </c>
      <c r="AE46" s="164">
        <f t="shared" ca="1" si="131"/>
        <v>0</v>
      </c>
      <c r="AF46" s="164">
        <f t="shared" ca="1" si="132"/>
        <v>0</v>
      </c>
      <c r="AG46" s="164">
        <f t="shared" ca="1" si="133"/>
        <v>0</v>
      </c>
      <c r="AH46" s="164">
        <f t="shared" ca="1" si="134"/>
        <v>0</v>
      </c>
      <c r="AI46" s="164">
        <f t="shared" ca="1" si="135"/>
        <v>0</v>
      </c>
      <c r="AJ46" s="164">
        <f t="shared" ca="1" si="136"/>
        <v>0</v>
      </c>
      <c r="AK46" s="164">
        <f t="shared" ca="1" si="137"/>
        <v>0</v>
      </c>
      <c r="AL46" s="164">
        <f t="shared" ca="1" si="138"/>
        <v>0</v>
      </c>
      <c r="AM46" s="208"/>
      <c r="AN46" s="74"/>
      <c r="AO46" s="164">
        <f t="shared" ca="1" si="139"/>
        <v>0</v>
      </c>
      <c r="AP46" s="164">
        <f t="shared" ca="1" si="140"/>
        <v>0</v>
      </c>
      <c r="AQ46" s="164">
        <f t="shared" ca="1" si="141"/>
        <v>0</v>
      </c>
      <c r="AR46" s="164">
        <f t="shared" ca="1" si="142"/>
        <v>0</v>
      </c>
      <c r="AS46" s="164">
        <f t="shared" ca="1" si="143"/>
        <v>0</v>
      </c>
      <c r="AT46" s="164">
        <f t="shared" ca="1" si="144"/>
        <v>0</v>
      </c>
      <c r="AU46" s="164">
        <f t="shared" ca="1" si="145"/>
        <v>0</v>
      </c>
      <c r="AV46" s="164">
        <f t="shared" ca="1" si="146"/>
        <v>0</v>
      </c>
      <c r="AW46" s="164">
        <f t="shared" ca="1" si="147"/>
        <v>0</v>
      </c>
      <c r="AX46" s="164">
        <f t="shared" ca="1" si="148"/>
        <v>0</v>
      </c>
      <c r="AY46" s="164">
        <f t="shared" ca="1" si="149"/>
        <v>0</v>
      </c>
      <c r="AZ46" s="164">
        <f t="shared" ca="1" si="150"/>
        <v>0</v>
      </c>
      <c r="BA46" s="164">
        <f t="shared" ca="1" si="151"/>
        <v>0</v>
      </c>
      <c r="BB46" s="164">
        <f t="shared" ca="1" si="152"/>
        <v>0</v>
      </c>
      <c r="BC46" s="164">
        <f t="shared" ca="1" si="153"/>
        <v>0</v>
      </c>
      <c r="BD46" s="164">
        <f t="shared" ca="1" si="154"/>
        <v>0</v>
      </c>
      <c r="BE46" s="164">
        <f t="shared" ca="1" si="155"/>
        <v>0</v>
      </c>
      <c r="BF46" s="164">
        <f t="shared" ca="1" si="156"/>
        <v>0</v>
      </c>
      <c r="BG46" s="164">
        <f t="shared" ca="1" si="157"/>
        <v>0</v>
      </c>
      <c r="BH46" s="164">
        <f t="shared" ca="1" si="158"/>
        <v>0</v>
      </c>
      <c r="BI46" s="164">
        <f t="shared" ca="1" si="159"/>
        <v>0</v>
      </c>
      <c r="BJ46" s="164">
        <f t="shared" ca="1" si="160"/>
        <v>0</v>
      </c>
      <c r="BK46" s="164">
        <f t="shared" ca="1" si="161"/>
        <v>0</v>
      </c>
      <c r="BL46" s="164">
        <f t="shared" ca="1" si="162"/>
        <v>0</v>
      </c>
      <c r="BM46" s="164">
        <f t="shared" ca="1" si="163"/>
        <v>0</v>
      </c>
      <c r="BN46" s="164">
        <f t="shared" ca="1" si="164"/>
        <v>0</v>
      </c>
      <c r="BO46" s="356" t="str">
        <f t="shared" ca="1" si="165"/>
        <v/>
      </c>
      <c r="BP46" s="355" t="str">
        <f t="shared" ca="1" si="166"/>
        <v/>
      </c>
      <c r="BQ46" s="355" t="str">
        <f t="shared" ca="1" si="167"/>
        <v/>
      </c>
      <c r="BR46" s="348">
        <f t="shared" ca="1" si="93"/>
        <v>0</v>
      </c>
      <c r="BS46" s="348">
        <f t="shared" ca="1" si="94"/>
        <v>0</v>
      </c>
      <c r="BT46" s="610">
        <f t="shared" ca="1" si="168"/>
        <v>0</v>
      </c>
      <c r="BU46" s="357">
        <f t="shared" ca="1" si="169"/>
        <v>0</v>
      </c>
      <c r="BV46" s="357">
        <f t="shared" si="170"/>
        <v>0</v>
      </c>
      <c r="BW46" s="357">
        <f t="shared" si="171"/>
        <v>0</v>
      </c>
      <c r="BX46" s="357">
        <f t="shared" ca="1" si="172"/>
        <v>0</v>
      </c>
      <c r="BY46" s="357">
        <f t="shared" ca="1" si="95"/>
        <v>0</v>
      </c>
      <c r="BZ46" s="357"/>
      <c r="CA46" s="357">
        <f t="shared" ca="1" si="96"/>
        <v>0</v>
      </c>
      <c r="CB46" s="357" t="str">
        <f t="shared" ca="1" si="173"/>
        <v/>
      </c>
      <c r="CC46" s="358" t="str">
        <f t="shared" ca="1" si="97"/>
        <v/>
      </c>
      <c r="CD46" s="358" t="str">
        <f t="shared" ca="1" si="98"/>
        <v/>
      </c>
      <c r="CE46" s="357" t="str">
        <f t="shared" ca="1" si="209"/>
        <v>,,,,,,,,,,</v>
      </c>
      <c r="CF46" s="154"/>
      <c r="CG46" s="154">
        <f t="shared" ca="1" si="100"/>
        <v>0</v>
      </c>
      <c r="CH46" s="268" t="str">
        <f t="shared" ca="1" si="174"/>
        <v/>
      </c>
      <c r="CI46" s="268">
        <f t="shared" ca="1" si="175"/>
        <v>0</v>
      </c>
      <c r="CJ46" s="268" t="str">
        <f t="shared" ca="1" si="176"/>
        <v/>
      </c>
      <c r="CK46" s="268">
        <f t="shared" ca="1" si="177"/>
        <v>0</v>
      </c>
      <c r="CL46" s="268">
        <f t="shared" ca="1" si="178"/>
        <v>0</v>
      </c>
      <c r="CM46" s="154">
        <f t="shared" ca="1" si="102"/>
        <v>0</v>
      </c>
      <c r="CN46" s="154"/>
      <c r="CO46" s="169"/>
      <c r="CP46" s="169"/>
      <c r="CQ46" s="169"/>
      <c r="CR46" s="169"/>
      <c r="CS46" s="169"/>
      <c r="CT46" s="169"/>
      <c r="CU46" s="169"/>
      <c r="CV46" s="164" t="str">
        <f t="shared" ca="1" si="179"/>
        <v/>
      </c>
      <c r="CW46" s="164" t="str">
        <f t="shared" ca="1" si="179"/>
        <v/>
      </c>
      <c r="CX46" s="164" t="str">
        <f t="shared" ca="1" si="179"/>
        <v/>
      </c>
      <c r="CY46" s="164" t="str">
        <f t="shared" ca="1" si="179"/>
        <v/>
      </c>
      <c r="CZ46" s="164" t="str">
        <f t="shared" ca="1" si="179"/>
        <v/>
      </c>
      <c r="DA46" s="164" t="str">
        <f t="shared" ca="1" si="179"/>
        <v/>
      </c>
      <c r="DB46" s="164" t="str">
        <f t="shared" ca="1" si="179"/>
        <v/>
      </c>
      <c r="DC46" s="164" t="str">
        <f t="shared" ca="1" si="179"/>
        <v/>
      </c>
      <c r="DD46" s="164" t="str">
        <f t="shared" ca="1" si="179"/>
        <v/>
      </c>
      <c r="DE46" s="164" t="str">
        <f t="shared" ca="1" si="179"/>
        <v/>
      </c>
      <c r="DF46" s="164" t="str">
        <f t="shared" ca="1" si="180"/>
        <v/>
      </c>
      <c r="DG46" s="164" t="str">
        <f t="shared" ca="1" si="180"/>
        <v/>
      </c>
      <c r="DH46" s="164" t="str">
        <f t="shared" ca="1" si="180"/>
        <v/>
      </c>
      <c r="DI46" s="164" t="str">
        <f t="shared" ca="1" si="180"/>
        <v/>
      </c>
      <c r="DJ46" s="164" t="str">
        <f t="shared" ca="1" si="180"/>
        <v/>
      </c>
      <c r="DK46" s="164" t="str">
        <f t="shared" ca="1" si="180"/>
        <v/>
      </c>
      <c r="DL46" s="164" t="str">
        <f t="shared" ca="1" si="180"/>
        <v/>
      </c>
      <c r="DM46" s="164" t="str">
        <f t="shared" ca="1" si="180"/>
        <v/>
      </c>
      <c r="DN46" s="164" t="str">
        <f t="shared" ca="1" si="180"/>
        <v/>
      </c>
      <c r="DO46" s="164" t="str">
        <f t="shared" ca="1" si="180"/>
        <v/>
      </c>
      <c r="DP46" s="164" t="str">
        <f t="shared" ca="1" si="180"/>
        <v/>
      </c>
      <c r="DQ46" s="164" t="str">
        <f t="shared" ca="1" si="180"/>
        <v/>
      </c>
      <c r="DR46" s="208"/>
      <c r="DS46" s="164" t="str">
        <f t="shared" ca="1" si="181"/>
        <v/>
      </c>
      <c r="DT46" s="164" t="str">
        <f t="shared" ca="1" si="182"/>
        <v/>
      </c>
      <c r="DU46" s="164" t="str">
        <f t="shared" ca="1" si="183"/>
        <v/>
      </c>
      <c r="DV46" s="164" t="str">
        <f t="shared" ca="1" si="184"/>
        <v/>
      </c>
      <c r="DW46" s="164" t="str">
        <f t="shared" ca="1" si="185"/>
        <v/>
      </c>
      <c r="DX46" s="164" t="str">
        <f t="shared" ca="1" si="186"/>
        <v/>
      </c>
      <c r="DY46" s="164" t="str">
        <f t="shared" ca="1" si="187"/>
        <v/>
      </c>
      <c r="DZ46" s="164" t="str">
        <f t="shared" ca="1" si="188"/>
        <v/>
      </c>
      <c r="EA46" s="164" t="str">
        <f t="shared" ca="1" si="189"/>
        <v/>
      </c>
      <c r="EB46" s="164" t="str">
        <f t="shared" ca="1" si="190"/>
        <v/>
      </c>
      <c r="EC46" s="164" t="str">
        <f t="shared" ca="1" si="191"/>
        <v/>
      </c>
      <c r="ED46" s="164" t="str">
        <f t="shared" ca="1" si="192"/>
        <v/>
      </c>
      <c r="EE46" s="164" t="str">
        <f t="shared" ca="1" si="193"/>
        <v/>
      </c>
      <c r="EF46" s="164" t="str">
        <f t="shared" ca="1" si="194"/>
        <v/>
      </c>
      <c r="EG46" s="164" t="str">
        <f t="shared" ca="1" si="195"/>
        <v/>
      </c>
      <c r="EH46" s="164" t="str">
        <f t="shared" ca="1" si="196"/>
        <v/>
      </c>
      <c r="EI46" s="164" t="str">
        <f t="shared" ca="1" si="197"/>
        <v/>
      </c>
      <c r="EJ46" s="164" t="str">
        <f t="shared" ca="1" si="198"/>
        <v/>
      </c>
      <c r="EK46" s="164" t="str">
        <f t="shared" ca="1" si="199"/>
        <v/>
      </c>
      <c r="EL46" s="164" t="str">
        <f t="shared" ca="1" si="200"/>
        <v/>
      </c>
      <c r="EM46" s="164" t="str">
        <f t="shared" ca="1" si="201"/>
        <v/>
      </c>
      <c r="EN46" s="164" t="str">
        <f t="shared" ca="1" si="202"/>
        <v/>
      </c>
      <c r="EO46" s="164" t="str">
        <f t="shared" ca="1" si="203"/>
        <v/>
      </c>
      <c r="EP46" s="164" t="str">
        <f t="shared" ca="1" si="204"/>
        <v/>
      </c>
      <c r="EQ46" s="164" t="str">
        <f t="shared" ca="1" si="205"/>
        <v/>
      </c>
      <c r="ER46" s="164" t="str">
        <f t="shared" ca="1" si="206"/>
        <v/>
      </c>
      <c r="ES46" s="164" t="str">
        <f t="shared" ca="1" si="207"/>
        <v/>
      </c>
    </row>
    <row r="47" spans="1:149" ht="12.75" customHeight="1" x14ac:dyDescent="0.2">
      <c r="A47" s="89" t="str">
        <f t="shared" ca="1" si="210"/>
        <v/>
      </c>
      <c r="B47" s="317" t="str">
        <f t="shared" ca="1" si="112"/>
        <v/>
      </c>
      <c r="C47" s="609" t="str">
        <f t="shared" ca="1" si="113"/>
        <v/>
      </c>
      <c r="D47" s="1956" t="str">
        <f t="shared" ca="1" si="114"/>
        <v/>
      </c>
      <c r="E47" s="1956"/>
      <c r="F47" s="960"/>
      <c r="G47" s="485" t="str">
        <f t="shared" ca="1" si="115"/>
        <v/>
      </c>
      <c r="H47" s="983"/>
      <c r="I47" s="975"/>
      <c r="J47" s="972"/>
      <c r="K47" s="1886" t="str">
        <f t="shared" ca="1" si="116"/>
        <v/>
      </c>
      <c r="L47" s="1888"/>
      <c r="M47" s="296" t="str">
        <f t="shared" ca="1" si="208"/>
        <v/>
      </c>
      <c r="N47" s="1322"/>
      <c r="O47" s="1319"/>
      <c r="P47" s="957" t="str">
        <f t="shared" ca="1" si="117"/>
        <v/>
      </c>
      <c r="Q47" s="749"/>
      <c r="R47" s="164">
        <f t="shared" ca="1" si="118"/>
        <v>0</v>
      </c>
      <c r="S47" s="164">
        <f t="shared" ca="1" si="119"/>
        <v>0</v>
      </c>
      <c r="T47" s="164">
        <f t="shared" ca="1" si="120"/>
        <v>0</v>
      </c>
      <c r="U47" s="164">
        <f t="shared" ca="1" si="121"/>
        <v>0</v>
      </c>
      <c r="V47" s="164">
        <f t="shared" ca="1" si="122"/>
        <v>0</v>
      </c>
      <c r="W47" s="164">
        <f t="shared" ca="1" si="123"/>
        <v>0</v>
      </c>
      <c r="X47" s="164">
        <f t="shared" ca="1" si="124"/>
        <v>0</v>
      </c>
      <c r="Y47" s="164">
        <f t="shared" ca="1" si="125"/>
        <v>0</v>
      </c>
      <c r="Z47" s="164">
        <f t="shared" ca="1" si="126"/>
        <v>0</v>
      </c>
      <c r="AA47" s="164">
        <f t="shared" ca="1" si="127"/>
        <v>0</v>
      </c>
      <c r="AB47" s="164">
        <f t="shared" ca="1" si="128"/>
        <v>0</v>
      </c>
      <c r="AC47" s="164">
        <f t="shared" ca="1" si="129"/>
        <v>0</v>
      </c>
      <c r="AD47" s="164">
        <f t="shared" ca="1" si="130"/>
        <v>0</v>
      </c>
      <c r="AE47" s="164">
        <f t="shared" ca="1" si="131"/>
        <v>0</v>
      </c>
      <c r="AF47" s="164">
        <f t="shared" ca="1" si="132"/>
        <v>0</v>
      </c>
      <c r="AG47" s="164">
        <f t="shared" ca="1" si="133"/>
        <v>0</v>
      </c>
      <c r="AH47" s="164">
        <f t="shared" ca="1" si="134"/>
        <v>0</v>
      </c>
      <c r="AI47" s="164">
        <f t="shared" ca="1" si="135"/>
        <v>0</v>
      </c>
      <c r="AJ47" s="164">
        <f t="shared" ca="1" si="136"/>
        <v>0</v>
      </c>
      <c r="AK47" s="164">
        <f t="shared" ca="1" si="137"/>
        <v>0</v>
      </c>
      <c r="AL47" s="164">
        <f t="shared" ca="1" si="138"/>
        <v>0</v>
      </c>
      <c r="AM47" s="208"/>
      <c r="AN47" s="74"/>
      <c r="AO47" s="164">
        <f t="shared" ca="1" si="139"/>
        <v>0</v>
      </c>
      <c r="AP47" s="164">
        <f t="shared" ca="1" si="140"/>
        <v>0</v>
      </c>
      <c r="AQ47" s="164">
        <f t="shared" ca="1" si="141"/>
        <v>0</v>
      </c>
      <c r="AR47" s="164">
        <f t="shared" ca="1" si="142"/>
        <v>0</v>
      </c>
      <c r="AS47" s="164">
        <f t="shared" ca="1" si="143"/>
        <v>0</v>
      </c>
      <c r="AT47" s="164">
        <f t="shared" ca="1" si="144"/>
        <v>0</v>
      </c>
      <c r="AU47" s="164">
        <f t="shared" ca="1" si="145"/>
        <v>0</v>
      </c>
      <c r="AV47" s="164">
        <f t="shared" ca="1" si="146"/>
        <v>0</v>
      </c>
      <c r="AW47" s="164">
        <f t="shared" ca="1" si="147"/>
        <v>0</v>
      </c>
      <c r="AX47" s="164">
        <f t="shared" ca="1" si="148"/>
        <v>0</v>
      </c>
      <c r="AY47" s="164">
        <f t="shared" ca="1" si="149"/>
        <v>0</v>
      </c>
      <c r="AZ47" s="164">
        <f t="shared" ca="1" si="150"/>
        <v>0</v>
      </c>
      <c r="BA47" s="164">
        <f t="shared" ca="1" si="151"/>
        <v>0</v>
      </c>
      <c r="BB47" s="164">
        <f t="shared" ca="1" si="152"/>
        <v>0</v>
      </c>
      <c r="BC47" s="164">
        <f t="shared" ca="1" si="153"/>
        <v>0</v>
      </c>
      <c r="BD47" s="164">
        <f t="shared" ca="1" si="154"/>
        <v>0</v>
      </c>
      <c r="BE47" s="164">
        <f t="shared" ca="1" si="155"/>
        <v>0</v>
      </c>
      <c r="BF47" s="164">
        <f t="shared" ca="1" si="156"/>
        <v>0</v>
      </c>
      <c r="BG47" s="164">
        <f t="shared" ca="1" si="157"/>
        <v>0</v>
      </c>
      <c r="BH47" s="164">
        <f t="shared" ca="1" si="158"/>
        <v>0</v>
      </c>
      <c r="BI47" s="164">
        <f t="shared" ca="1" si="159"/>
        <v>0</v>
      </c>
      <c r="BJ47" s="164">
        <f t="shared" ca="1" si="160"/>
        <v>0</v>
      </c>
      <c r="BK47" s="164">
        <f t="shared" ca="1" si="161"/>
        <v>0</v>
      </c>
      <c r="BL47" s="164">
        <f t="shared" ca="1" si="162"/>
        <v>0</v>
      </c>
      <c r="BM47" s="164">
        <f t="shared" ca="1" si="163"/>
        <v>0</v>
      </c>
      <c r="BN47" s="164">
        <f t="shared" ca="1" si="164"/>
        <v>0</v>
      </c>
      <c r="BO47" s="356" t="str">
        <f t="shared" ca="1" si="165"/>
        <v/>
      </c>
      <c r="BP47" s="355" t="str">
        <f t="shared" ca="1" si="166"/>
        <v/>
      </c>
      <c r="BQ47" s="355" t="str">
        <f t="shared" ca="1" si="167"/>
        <v/>
      </c>
      <c r="BR47" s="348">
        <f t="shared" ca="1" si="93"/>
        <v>0</v>
      </c>
      <c r="BS47" s="348">
        <f t="shared" ca="1" si="94"/>
        <v>0</v>
      </c>
      <c r="BT47" s="610">
        <f t="shared" ca="1" si="168"/>
        <v>0</v>
      </c>
      <c r="BU47" s="357">
        <f t="shared" ca="1" si="169"/>
        <v>0</v>
      </c>
      <c r="BV47" s="357">
        <f t="shared" si="170"/>
        <v>0</v>
      </c>
      <c r="BW47" s="357">
        <f t="shared" si="171"/>
        <v>0</v>
      </c>
      <c r="BX47" s="357">
        <f t="shared" ca="1" si="172"/>
        <v>0</v>
      </c>
      <c r="BY47" s="357">
        <f t="shared" ca="1" si="95"/>
        <v>0</v>
      </c>
      <c r="BZ47" s="357"/>
      <c r="CA47" s="357">
        <f t="shared" ca="1" si="96"/>
        <v>0</v>
      </c>
      <c r="CB47" s="357" t="str">
        <f t="shared" ca="1" si="173"/>
        <v/>
      </c>
      <c r="CC47" s="358" t="str">
        <f t="shared" ca="1" si="97"/>
        <v/>
      </c>
      <c r="CD47" s="358" t="str">
        <f t="shared" ca="1" si="98"/>
        <v/>
      </c>
      <c r="CE47" s="357" t="str">
        <f t="shared" ca="1" si="209"/>
        <v>,,,,,,,,,,,</v>
      </c>
      <c r="CF47" s="154"/>
      <c r="CG47" s="154">
        <f t="shared" ca="1" si="100"/>
        <v>0</v>
      </c>
      <c r="CH47" s="268" t="str">
        <f t="shared" ca="1" si="174"/>
        <v/>
      </c>
      <c r="CI47" s="268">
        <f t="shared" ca="1" si="175"/>
        <v>0</v>
      </c>
      <c r="CJ47" s="268" t="str">
        <f t="shared" ca="1" si="176"/>
        <v/>
      </c>
      <c r="CK47" s="268">
        <f t="shared" ca="1" si="177"/>
        <v>0</v>
      </c>
      <c r="CL47" s="268">
        <f t="shared" ca="1" si="178"/>
        <v>0</v>
      </c>
      <c r="CM47" s="154">
        <f t="shared" ca="1" si="102"/>
        <v>0</v>
      </c>
      <c r="CN47" s="154"/>
      <c r="CO47" s="169"/>
      <c r="CP47" s="169"/>
      <c r="CQ47" s="169"/>
      <c r="CR47" s="169"/>
      <c r="CS47" s="169"/>
      <c r="CT47" s="169"/>
      <c r="CU47" s="169"/>
      <c r="CV47" s="164" t="str">
        <f t="shared" ref="CV47:DE59" ca="1" si="211">IF($A47="","",IF(VT_VRTLZBR,CODE("F"),CODE(VLOOKUP($A47,ZAUBERWERTE,10,FALSE))-
SUM($BR47:$CA47,
IF(ISERR(FIND(";"&amp;CV$10&amp;";",$H47)),0,1),
IF(ISERR(FIND(";"&amp;CV$10&amp;":",$H47)),0,VALUE(MID($H47,FIND(";"&amp;CV$10&amp;":",$H47)+LEN(CV$10)+2,1))),
IF(AND(NOT(EXACT($AF$241,"")),OR(CV$10&gt;$CO47,ISBLANK($CO47))),IF($CV$3,IF(ISERROR(FIND($AF$241,$BQ47)),0,1),(LEN($BQ47)-LEN(SUBSTITUTE($BQ47,$AF$241,"")))/LEN($AF$241)),0),
IF(AND(NOT(EXACT($AF$242,"")),OR(CV$10&gt;$CP47,ISBLANK($CP47))),IF($CV$3,IF(ISERROR(FIND($AF$242,$BQ47)),0,1),(LEN($BQ47)-LEN(SUBSTITUTE($BQ47,$AF$242,"")))/LEN($AF$242)),0),
IF(AND(NOT(EXACT($AF$243,"")),OR(CV$10&gt;$CQ47,ISBLANK($CQ47))),IF($CV$3,IF(ISERROR(FIND($AF$243,$BQ47)),0,1),(LEN($BQ47)-LEN(SUBSTITUTE($BQ47,$AF$243,"")))/LEN($AF$243)),0),
IF(AND(NOT(EXACT($AF$244,"")),OR(CV$10&gt;$CR47,ISBLANK($CR47))),IF($CV$3,IF(ISERROR(FIND($AF$244,$BQ47)),0,1),(LEN($BQ47)-LEN(SUBSTITUTE($BQ47,$AF$244,"")))/LEN($AF$244)),0),
IF(AND(NOT(EXACT($AF$245,"")),OR(CV$10&gt;$CS47,ISBLANK($CS47))),IF($CV$3,IF(ISERROR(FIND($AF$245,$BQ47)),0,1),(LEN($BQ47)-LEN(SUBSTITUTE($BQ47,$AF$245,"")))/LEN($AF$245)),0),
IF(AND(NOT(EXACT($AF$246,"")),OR(CV$10&gt;$CT47,ISBLANK($CT47))),IF($CV$3,IF(ISERROR(FIND($AF$246,$BQ47)),0,1),(LEN($BQ47)-LEN(SUBSTITUTE($BQ47,$AF$246,"")))/LEN($AF$246)),0),
IF(AND(NOT(EXACT($AF$247,"")),OR(CV$10&gt;$CU47,ISBLANK($CU47))),IF($CV$3,IF(ISERROR(FIND($AF$247,$BQ47)),0,1),(LEN($BQ47)-LEN(SUBSTITUTE($BQ47,$AF$247,"")))/LEN($AF$247)),0)
)))</f>
        <v/>
      </c>
      <c r="CW47" s="164" t="str">
        <f t="shared" ca="1" si="211"/>
        <v/>
      </c>
      <c r="CX47" s="164" t="str">
        <f t="shared" ca="1" si="211"/>
        <v/>
      </c>
      <c r="CY47" s="164" t="str">
        <f t="shared" ca="1" si="211"/>
        <v/>
      </c>
      <c r="CZ47" s="164" t="str">
        <f t="shared" ca="1" si="211"/>
        <v/>
      </c>
      <c r="DA47" s="164" t="str">
        <f t="shared" ca="1" si="211"/>
        <v/>
      </c>
      <c r="DB47" s="164" t="str">
        <f t="shared" ca="1" si="211"/>
        <v/>
      </c>
      <c r="DC47" s="164" t="str">
        <f t="shared" ca="1" si="211"/>
        <v/>
      </c>
      <c r="DD47" s="164" t="str">
        <f t="shared" ca="1" si="211"/>
        <v/>
      </c>
      <c r="DE47" s="164" t="str">
        <f t="shared" ca="1" si="211"/>
        <v/>
      </c>
      <c r="DF47" s="164" t="str">
        <f t="shared" ref="DF47:DQ59" ca="1" si="212">IF($A47="","",IF(VT_VRTLZBR,CODE("F"),CODE(VLOOKUP($A47,ZAUBERWERTE,10,FALSE))-
SUM($BR47:$CA47,
IF(ISERR(FIND(";"&amp;DF$10&amp;";",$H47)),0,1),
IF(ISERR(FIND(";"&amp;DF$10&amp;":",$H47)),0,VALUE(MID($H47,FIND(";"&amp;DF$10&amp;":",$H47)+LEN(DF$10)+2,1))),
IF(AND(NOT(EXACT($AF$241,"")),OR(DF$10&gt;$CO47,ISBLANK($CO47))),IF($CV$3,IF(ISERROR(FIND($AF$241,$BQ47)),0,1),(LEN($BQ47)-LEN(SUBSTITUTE($BQ47,$AF$241,"")))/LEN($AF$241)),0),
IF(AND(NOT(EXACT($AF$242,"")),OR(DF$10&gt;$CP47,ISBLANK($CP47))),IF($CV$3,IF(ISERROR(FIND($AF$242,$BQ47)),0,1),(LEN($BQ47)-LEN(SUBSTITUTE($BQ47,$AF$242,"")))/LEN($AF$242)),0),
IF(AND(NOT(EXACT($AF$243,"")),OR(DF$10&gt;$CQ47,ISBLANK($CQ47))),IF($CV$3,IF(ISERROR(FIND($AF$243,$BQ47)),0,1),(LEN($BQ47)-LEN(SUBSTITUTE($BQ47,$AF$243,"")))/LEN($AF$243)),0),
IF(AND(NOT(EXACT($AF$244,"")),OR(DF$10&gt;$CR47,ISBLANK($CR47))),IF($CV$3,IF(ISERROR(FIND($AF$244,$BQ47)),0,1),(LEN($BQ47)-LEN(SUBSTITUTE($BQ47,$AF$244,"")))/LEN($AF$244)),0),
IF(AND(NOT(EXACT($AF$245,"")),OR(DF$10&gt;$CS47,ISBLANK($CS47))),IF($CV$3,IF(ISERROR(FIND($AF$245,$BQ47)),0,1),(LEN($BQ47)-LEN(SUBSTITUTE($BQ47,$AF$245,"")))/LEN($AF$245)),0),
IF(AND(NOT(EXACT($AF$246,"")),OR(DF$10&gt;$CT47,ISBLANK($CT47))),IF($CV$3,IF(ISERROR(FIND($AF$246,$BQ47)),0,1),(LEN($BQ47)-LEN(SUBSTITUTE($BQ47,$AF$246,"")))/LEN($AF$246)),0),
IF(AND(NOT(EXACT($AF$247,"")),OR(DF$10&gt;$CU47,ISBLANK($CU47))),IF($CV$3,IF(ISERROR(FIND($AF$247,$BQ47)),0,1),(LEN($BQ47)-LEN(SUBSTITUTE($BQ47,$AF$247,"")))/LEN($AF$247)),0)
)))</f>
        <v/>
      </c>
      <c r="DG47" s="164" t="str">
        <f t="shared" ca="1" si="212"/>
        <v/>
      </c>
      <c r="DH47" s="164" t="str">
        <f t="shared" ca="1" si="212"/>
        <v/>
      </c>
      <c r="DI47" s="164" t="str">
        <f t="shared" ca="1" si="212"/>
        <v/>
      </c>
      <c r="DJ47" s="164" t="str">
        <f t="shared" ca="1" si="212"/>
        <v/>
      </c>
      <c r="DK47" s="164" t="str">
        <f t="shared" ca="1" si="212"/>
        <v/>
      </c>
      <c r="DL47" s="164" t="str">
        <f t="shared" ca="1" si="212"/>
        <v/>
      </c>
      <c r="DM47" s="164" t="str">
        <f t="shared" ca="1" si="212"/>
        <v/>
      </c>
      <c r="DN47" s="164" t="str">
        <f t="shared" ca="1" si="212"/>
        <v/>
      </c>
      <c r="DO47" s="164" t="str">
        <f t="shared" ca="1" si="212"/>
        <v/>
      </c>
      <c r="DP47" s="164" t="str">
        <f t="shared" ca="1" si="212"/>
        <v/>
      </c>
      <c r="DQ47" s="164" t="str">
        <f t="shared" ca="1" si="212"/>
        <v/>
      </c>
      <c r="DR47" s="208"/>
      <c r="DS47" s="164" t="str">
        <f t="shared" ca="1" si="181"/>
        <v/>
      </c>
      <c r="DT47" s="164" t="str">
        <f t="shared" ca="1" si="182"/>
        <v/>
      </c>
      <c r="DU47" s="164" t="str">
        <f t="shared" ca="1" si="183"/>
        <v/>
      </c>
      <c r="DV47" s="164" t="str">
        <f t="shared" ca="1" si="184"/>
        <v/>
      </c>
      <c r="DW47" s="164" t="str">
        <f t="shared" ca="1" si="185"/>
        <v/>
      </c>
      <c r="DX47" s="164" t="str">
        <f t="shared" ca="1" si="186"/>
        <v/>
      </c>
      <c r="DY47" s="164" t="str">
        <f t="shared" ca="1" si="187"/>
        <v/>
      </c>
      <c r="DZ47" s="164" t="str">
        <f t="shared" ca="1" si="188"/>
        <v/>
      </c>
      <c r="EA47" s="164" t="str">
        <f t="shared" ca="1" si="189"/>
        <v/>
      </c>
      <c r="EB47" s="164" t="str">
        <f t="shared" ca="1" si="190"/>
        <v/>
      </c>
      <c r="EC47" s="164" t="str">
        <f t="shared" ca="1" si="191"/>
        <v/>
      </c>
      <c r="ED47" s="164" t="str">
        <f t="shared" ca="1" si="192"/>
        <v/>
      </c>
      <c r="EE47" s="164" t="str">
        <f t="shared" ca="1" si="193"/>
        <v/>
      </c>
      <c r="EF47" s="164" t="str">
        <f t="shared" ca="1" si="194"/>
        <v/>
      </c>
      <c r="EG47" s="164" t="str">
        <f t="shared" ca="1" si="195"/>
        <v/>
      </c>
      <c r="EH47" s="164" t="str">
        <f t="shared" ca="1" si="196"/>
        <v/>
      </c>
      <c r="EI47" s="164" t="str">
        <f t="shared" ca="1" si="197"/>
        <v/>
      </c>
      <c r="EJ47" s="164" t="str">
        <f t="shared" ca="1" si="198"/>
        <v/>
      </c>
      <c r="EK47" s="164" t="str">
        <f t="shared" ca="1" si="199"/>
        <v/>
      </c>
      <c r="EL47" s="164" t="str">
        <f t="shared" ca="1" si="200"/>
        <v/>
      </c>
      <c r="EM47" s="164" t="str">
        <f t="shared" ca="1" si="201"/>
        <v/>
      </c>
      <c r="EN47" s="164" t="str">
        <f t="shared" ca="1" si="202"/>
        <v/>
      </c>
      <c r="EO47" s="164" t="str">
        <f t="shared" ca="1" si="203"/>
        <v/>
      </c>
      <c r="EP47" s="164" t="str">
        <f t="shared" ca="1" si="204"/>
        <v/>
      </c>
      <c r="EQ47" s="164" t="str">
        <f t="shared" ca="1" si="205"/>
        <v/>
      </c>
      <c r="ER47" s="164" t="str">
        <f t="shared" ca="1" si="206"/>
        <v/>
      </c>
      <c r="ES47" s="164" t="str">
        <f t="shared" ca="1" si="207"/>
        <v/>
      </c>
    </row>
    <row r="48" spans="1:149" x14ac:dyDescent="0.2">
      <c r="A48" s="89" t="str">
        <f t="shared" ca="1" si="210"/>
        <v/>
      </c>
      <c r="B48" s="317" t="str">
        <f t="shared" ca="1" si="112"/>
        <v/>
      </c>
      <c r="C48" s="609" t="str">
        <f t="shared" ca="1" si="113"/>
        <v/>
      </c>
      <c r="D48" s="1956" t="str">
        <f t="shared" ca="1" si="114"/>
        <v/>
      </c>
      <c r="E48" s="1956"/>
      <c r="F48" s="960"/>
      <c r="G48" s="485" t="str">
        <f t="shared" ca="1" si="115"/>
        <v/>
      </c>
      <c r="H48" s="983"/>
      <c r="I48" s="975"/>
      <c r="J48" s="972"/>
      <c r="K48" s="1886" t="str">
        <f t="shared" ca="1" si="116"/>
        <v/>
      </c>
      <c r="L48" s="1888"/>
      <c r="M48" s="296" t="str">
        <f t="shared" ca="1" si="208"/>
        <v/>
      </c>
      <c r="N48" s="1322"/>
      <c r="O48" s="1319"/>
      <c r="P48" s="957" t="str">
        <f t="shared" ca="1" si="117"/>
        <v/>
      </c>
      <c r="Q48" s="749"/>
      <c r="R48" s="164">
        <f t="shared" ca="1" si="118"/>
        <v>0</v>
      </c>
      <c r="S48" s="164">
        <f t="shared" ca="1" si="119"/>
        <v>0</v>
      </c>
      <c r="T48" s="164">
        <f t="shared" ca="1" si="120"/>
        <v>0</v>
      </c>
      <c r="U48" s="164">
        <f t="shared" ca="1" si="121"/>
        <v>0</v>
      </c>
      <c r="V48" s="164">
        <f t="shared" ca="1" si="122"/>
        <v>0</v>
      </c>
      <c r="W48" s="164">
        <f t="shared" ca="1" si="123"/>
        <v>0</v>
      </c>
      <c r="X48" s="164">
        <f t="shared" ca="1" si="124"/>
        <v>0</v>
      </c>
      <c r="Y48" s="164">
        <f t="shared" ca="1" si="125"/>
        <v>0</v>
      </c>
      <c r="Z48" s="164">
        <f t="shared" ca="1" si="126"/>
        <v>0</v>
      </c>
      <c r="AA48" s="164">
        <f t="shared" ca="1" si="127"/>
        <v>0</v>
      </c>
      <c r="AB48" s="164">
        <f t="shared" ca="1" si="128"/>
        <v>0</v>
      </c>
      <c r="AC48" s="164">
        <f t="shared" ca="1" si="129"/>
        <v>0</v>
      </c>
      <c r="AD48" s="164">
        <f t="shared" ca="1" si="130"/>
        <v>0</v>
      </c>
      <c r="AE48" s="164">
        <f t="shared" ca="1" si="131"/>
        <v>0</v>
      </c>
      <c r="AF48" s="164">
        <f t="shared" ca="1" si="132"/>
        <v>0</v>
      </c>
      <c r="AG48" s="164">
        <f t="shared" ca="1" si="133"/>
        <v>0</v>
      </c>
      <c r="AH48" s="164">
        <f t="shared" ca="1" si="134"/>
        <v>0</v>
      </c>
      <c r="AI48" s="164">
        <f t="shared" ca="1" si="135"/>
        <v>0</v>
      </c>
      <c r="AJ48" s="164">
        <f t="shared" ca="1" si="136"/>
        <v>0</v>
      </c>
      <c r="AK48" s="164">
        <f t="shared" ca="1" si="137"/>
        <v>0</v>
      </c>
      <c r="AL48" s="164">
        <f t="shared" ca="1" si="138"/>
        <v>0</v>
      </c>
      <c r="AM48" s="208"/>
      <c r="AN48" s="74"/>
      <c r="AO48" s="164">
        <f t="shared" ca="1" si="139"/>
        <v>0</v>
      </c>
      <c r="AP48" s="164">
        <f t="shared" ca="1" si="140"/>
        <v>0</v>
      </c>
      <c r="AQ48" s="164">
        <f t="shared" ca="1" si="141"/>
        <v>0</v>
      </c>
      <c r="AR48" s="164">
        <f t="shared" ca="1" si="142"/>
        <v>0</v>
      </c>
      <c r="AS48" s="164">
        <f t="shared" ca="1" si="143"/>
        <v>0</v>
      </c>
      <c r="AT48" s="164">
        <f t="shared" ca="1" si="144"/>
        <v>0</v>
      </c>
      <c r="AU48" s="164">
        <f t="shared" ca="1" si="145"/>
        <v>0</v>
      </c>
      <c r="AV48" s="164">
        <f t="shared" ca="1" si="146"/>
        <v>0</v>
      </c>
      <c r="AW48" s="164">
        <f t="shared" ca="1" si="147"/>
        <v>0</v>
      </c>
      <c r="AX48" s="164">
        <f t="shared" ca="1" si="148"/>
        <v>0</v>
      </c>
      <c r="AY48" s="164">
        <f t="shared" ca="1" si="149"/>
        <v>0</v>
      </c>
      <c r="AZ48" s="164">
        <f t="shared" ca="1" si="150"/>
        <v>0</v>
      </c>
      <c r="BA48" s="164">
        <f t="shared" ca="1" si="151"/>
        <v>0</v>
      </c>
      <c r="BB48" s="164">
        <f t="shared" ca="1" si="152"/>
        <v>0</v>
      </c>
      <c r="BC48" s="164">
        <f t="shared" ca="1" si="153"/>
        <v>0</v>
      </c>
      <c r="BD48" s="164">
        <f t="shared" ca="1" si="154"/>
        <v>0</v>
      </c>
      <c r="BE48" s="164">
        <f t="shared" ca="1" si="155"/>
        <v>0</v>
      </c>
      <c r="BF48" s="164">
        <f t="shared" ca="1" si="156"/>
        <v>0</v>
      </c>
      <c r="BG48" s="164">
        <f t="shared" ca="1" si="157"/>
        <v>0</v>
      </c>
      <c r="BH48" s="164">
        <f t="shared" ca="1" si="158"/>
        <v>0</v>
      </c>
      <c r="BI48" s="164">
        <f t="shared" ca="1" si="159"/>
        <v>0</v>
      </c>
      <c r="BJ48" s="164">
        <f t="shared" ca="1" si="160"/>
        <v>0</v>
      </c>
      <c r="BK48" s="164">
        <f t="shared" ca="1" si="161"/>
        <v>0</v>
      </c>
      <c r="BL48" s="164">
        <f t="shared" ca="1" si="162"/>
        <v>0</v>
      </c>
      <c r="BM48" s="164">
        <f t="shared" ca="1" si="163"/>
        <v>0</v>
      </c>
      <c r="BN48" s="164">
        <f t="shared" ca="1" si="164"/>
        <v>0</v>
      </c>
      <c r="BO48" s="356" t="str">
        <f t="shared" ca="1" si="165"/>
        <v/>
      </c>
      <c r="BP48" s="355" t="str">
        <f t="shared" ca="1" si="166"/>
        <v/>
      </c>
      <c r="BQ48" s="355" t="str">
        <f t="shared" ca="1" si="167"/>
        <v/>
      </c>
      <c r="BR48" s="348">
        <f t="shared" ca="1" si="93"/>
        <v>0</v>
      </c>
      <c r="BS48" s="348">
        <f t="shared" ca="1" si="94"/>
        <v>0</v>
      </c>
      <c r="BT48" s="610">
        <f t="shared" ca="1" si="168"/>
        <v>0</v>
      </c>
      <c r="BU48" s="357">
        <f t="shared" ca="1" si="169"/>
        <v>0</v>
      </c>
      <c r="BV48" s="357">
        <f t="shared" si="170"/>
        <v>0</v>
      </c>
      <c r="BW48" s="357">
        <f t="shared" si="171"/>
        <v>0</v>
      </c>
      <c r="BX48" s="357">
        <f t="shared" ca="1" si="172"/>
        <v>0</v>
      </c>
      <c r="BY48" s="357">
        <f t="shared" ca="1" si="95"/>
        <v>0</v>
      </c>
      <c r="BZ48" s="357"/>
      <c r="CA48" s="357">
        <f t="shared" ca="1" si="96"/>
        <v>0</v>
      </c>
      <c r="CB48" s="357" t="str">
        <f t="shared" ca="1" si="173"/>
        <v/>
      </c>
      <c r="CC48" s="358" t="str">
        <f t="shared" ca="1" si="97"/>
        <v/>
      </c>
      <c r="CD48" s="358" t="str">
        <f t="shared" ca="1" si="98"/>
        <v/>
      </c>
      <c r="CE48" s="357" t="str">
        <f t="shared" ca="1" si="209"/>
        <v>,,,,,,,,,,,,</v>
      </c>
      <c r="CF48" s="154"/>
      <c r="CG48" s="154">
        <f t="shared" ca="1" si="100"/>
        <v>0</v>
      </c>
      <c r="CH48" s="268" t="str">
        <f t="shared" ca="1" si="174"/>
        <v/>
      </c>
      <c r="CI48" s="268">
        <f t="shared" ca="1" si="175"/>
        <v>0</v>
      </c>
      <c r="CJ48" s="268" t="str">
        <f t="shared" ca="1" si="176"/>
        <v/>
      </c>
      <c r="CK48" s="268">
        <f t="shared" ca="1" si="177"/>
        <v>0</v>
      </c>
      <c r="CL48" s="268">
        <f t="shared" ca="1" si="178"/>
        <v>0</v>
      </c>
      <c r="CM48" s="154">
        <f t="shared" ca="1" si="102"/>
        <v>0</v>
      </c>
      <c r="CN48" s="154"/>
      <c r="CO48" s="169"/>
      <c r="CP48" s="169"/>
      <c r="CQ48" s="169"/>
      <c r="CR48" s="169"/>
      <c r="CS48" s="169"/>
      <c r="CT48" s="169"/>
      <c r="CU48" s="169"/>
      <c r="CV48" s="164" t="str">
        <f t="shared" ca="1" si="211"/>
        <v/>
      </c>
      <c r="CW48" s="164" t="str">
        <f t="shared" ca="1" si="211"/>
        <v/>
      </c>
      <c r="CX48" s="164" t="str">
        <f t="shared" ca="1" si="211"/>
        <v/>
      </c>
      <c r="CY48" s="164" t="str">
        <f t="shared" ca="1" si="211"/>
        <v/>
      </c>
      <c r="CZ48" s="164" t="str">
        <f t="shared" ca="1" si="211"/>
        <v/>
      </c>
      <c r="DA48" s="164" t="str">
        <f t="shared" ca="1" si="211"/>
        <v/>
      </c>
      <c r="DB48" s="164" t="str">
        <f t="shared" ca="1" si="211"/>
        <v/>
      </c>
      <c r="DC48" s="164" t="str">
        <f t="shared" ca="1" si="211"/>
        <v/>
      </c>
      <c r="DD48" s="164" t="str">
        <f t="shared" ca="1" si="211"/>
        <v/>
      </c>
      <c r="DE48" s="164" t="str">
        <f t="shared" ca="1" si="211"/>
        <v/>
      </c>
      <c r="DF48" s="164" t="str">
        <f t="shared" ca="1" si="212"/>
        <v/>
      </c>
      <c r="DG48" s="164" t="str">
        <f t="shared" ca="1" si="212"/>
        <v/>
      </c>
      <c r="DH48" s="164" t="str">
        <f t="shared" ca="1" si="212"/>
        <v/>
      </c>
      <c r="DI48" s="164" t="str">
        <f t="shared" ca="1" si="212"/>
        <v/>
      </c>
      <c r="DJ48" s="164" t="str">
        <f t="shared" ca="1" si="212"/>
        <v/>
      </c>
      <c r="DK48" s="164" t="str">
        <f t="shared" ca="1" si="212"/>
        <v/>
      </c>
      <c r="DL48" s="164" t="str">
        <f t="shared" ca="1" si="212"/>
        <v/>
      </c>
      <c r="DM48" s="164" t="str">
        <f t="shared" ca="1" si="212"/>
        <v/>
      </c>
      <c r="DN48" s="164" t="str">
        <f t="shared" ca="1" si="212"/>
        <v/>
      </c>
      <c r="DO48" s="164" t="str">
        <f t="shared" ca="1" si="212"/>
        <v/>
      </c>
      <c r="DP48" s="164" t="str">
        <f t="shared" ca="1" si="212"/>
        <v/>
      </c>
      <c r="DQ48" s="164" t="str">
        <f t="shared" ca="1" si="212"/>
        <v/>
      </c>
      <c r="DR48" s="208"/>
      <c r="DS48" s="164" t="str">
        <f t="shared" ca="1" si="181"/>
        <v/>
      </c>
      <c r="DT48" s="164" t="str">
        <f t="shared" ca="1" si="182"/>
        <v/>
      </c>
      <c r="DU48" s="164" t="str">
        <f t="shared" ca="1" si="183"/>
        <v/>
      </c>
      <c r="DV48" s="164" t="str">
        <f t="shared" ca="1" si="184"/>
        <v/>
      </c>
      <c r="DW48" s="164" t="str">
        <f t="shared" ca="1" si="185"/>
        <v/>
      </c>
      <c r="DX48" s="164" t="str">
        <f t="shared" ca="1" si="186"/>
        <v/>
      </c>
      <c r="DY48" s="164" t="str">
        <f t="shared" ca="1" si="187"/>
        <v/>
      </c>
      <c r="DZ48" s="164" t="str">
        <f t="shared" ca="1" si="188"/>
        <v/>
      </c>
      <c r="EA48" s="164" t="str">
        <f t="shared" ca="1" si="189"/>
        <v/>
      </c>
      <c r="EB48" s="164" t="str">
        <f t="shared" ca="1" si="190"/>
        <v/>
      </c>
      <c r="EC48" s="164" t="str">
        <f t="shared" ca="1" si="191"/>
        <v/>
      </c>
      <c r="ED48" s="164" t="str">
        <f t="shared" ca="1" si="192"/>
        <v/>
      </c>
      <c r="EE48" s="164" t="str">
        <f t="shared" ca="1" si="193"/>
        <v/>
      </c>
      <c r="EF48" s="164" t="str">
        <f t="shared" ca="1" si="194"/>
        <v/>
      </c>
      <c r="EG48" s="164" t="str">
        <f t="shared" ca="1" si="195"/>
        <v/>
      </c>
      <c r="EH48" s="164" t="str">
        <f t="shared" ca="1" si="196"/>
        <v/>
      </c>
      <c r="EI48" s="164" t="str">
        <f t="shared" ca="1" si="197"/>
        <v/>
      </c>
      <c r="EJ48" s="164" t="str">
        <f t="shared" ca="1" si="198"/>
        <v/>
      </c>
      <c r="EK48" s="164" t="str">
        <f t="shared" ca="1" si="199"/>
        <v/>
      </c>
      <c r="EL48" s="164" t="str">
        <f t="shared" ca="1" si="200"/>
        <v/>
      </c>
      <c r="EM48" s="164" t="str">
        <f t="shared" ca="1" si="201"/>
        <v/>
      </c>
      <c r="EN48" s="164" t="str">
        <f t="shared" ca="1" si="202"/>
        <v/>
      </c>
      <c r="EO48" s="164" t="str">
        <f t="shared" ca="1" si="203"/>
        <v/>
      </c>
      <c r="EP48" s="164" t="str">
        <f t="shared" ca="1" si="204"/>
        <v/>
      </c>
      <c r="EQ48" s="164" t="str">
        <f t="shared" ca="1" si="205"/>
        <v/>
      </c>
      <c r="ER48" s="164" t="str">
        <f t="shared" ca="1" si="206"/>
        <v/>
      </c>
      <c r="ES48" s="164" t="str">
        <f t="shared" ca="1" si="207"/>
        <v/>
      </c>
    </row>
    <row r="49" spans="1:149" x14ac:dyDescent="0.2">
      <c r="A49" s="89" t="str">
        <f t="shared" ca="1" si="210"/>
        <v/>
      </c>
      <c r="B49" s="317" t="str">
        <f t="shared" ca="1" si="112"/>
        <v/>
      </c>
      <c r="C49" s="609" t="str">
        <f t="shared" ca="1" si="113"/>
        <v/>
      </c>
      <c r="D49" s="1956" t="str">
        <f t="shared" ca="1" si="114"/>
        <v/>
      </c>
      <c r="E49" s="1956"/>
      <c r="F49" s="960"/>
      <c r="G49" s="485" t="str">
        <f t="shared" ca="1" si="115"/>
        <v/>
      </c>
      <c r="H49" s="983"/>
      <c r="I49" s="486"/>
      <c r="J49" s="972"/>
      <c r="K49" s="1886" t="str">
        <f t="shared" ca="1" si="116"/>
        <v/>
      </c>
      <c r="L49" s="1888"/>
      <c r="M49" s="296" t="str">
        <f t="shared" ca="1" si="208"/>
        <v/>
      </c>
      <c r="N49" s="1322"/>
      <c r="O49" s="1319"/>
      <c r="P49" s="957" t="str">
        <f t="shared" ca="1" si="117"/>
        <v/>
      </c>
      <c r="Q49" s="749"/>
      <c r="R49" s="164">
        <f t="shared" ca="1" si="118"/>
        <v>0</v>
      </c>
      <c r="S49" s="164">
        <f t="shared" ca="1" si="119"/>
        <v>0</v>
      </c>
      <c r="T49" s="164">
        <f t="shared" ca="1" si="120"/>
        <v>0</v>
      </c>
      <c r="U49" s="164">
        <f t="shared" ca="1" si="121"/>
        <v>0</v>
      </c>
      <c r="V49" s="164">
        <f t="shared" ca="1" si="122"/>
        <v>0</v>
      </c>
      <c r="W49" s="164">
        <f t="shared" ca="1" si="123"/>
        <v>0</v>
      </c>
      <c r="X49" s="164">
        <f t="shared" ca="1" si="124"/>
        <v>0</v>
      </c>
      <c r="Y49" s="164">
        <f t="shared" ca="1" si="125"/>
        <v>0</v>
      </c>
      <c r="Z49" s="164">
        <f t="shared" ca="1" si="126"/>
        <v>0</v>
      </c>
      <c r="AA49" s="164">
        <f t="shared" ca="1" si="127"/>
        <v>0</v>
      </c>
      <c r="AB49" s="164">
        <f t="shared" ca="1" si="128"/>
        <v>0</v>
      </c>
      <c r="AC49" s="164">
        <f t="shared" ca="1" si="129"/>
        <v>0</v>
      </c>
      <c r="AD49" s="164">
        <f t="shared" ca="1" si="130"/>
        <v>0</v>
      </c>
      <c r="AE49" s="164">
        <f t="shared" ca="1" si="131"/>
        <v>0</v>
      </c>
      <c r="AF49" s="164">
        <f t="shared" ca="1" si="132"/>
        <v>0</v>
      </c>
      <c r="AG49" s="164">
        <f t="shared" ca="1" si="133"/>
        <v>0</v>
      </c>
      <c r="AH49" s="164">
        <f t="shared" ca="1" si="134"/>
        <v>0</v>
      </c>
      <c r="AI49" s="164">
        <f t="shared" ca="1" si="135"/>
        <v>0</v>
      </c>
      <c r="AJ49" s="164">
        <f t="shared" ca="1" si="136"/>
        <v>0</v>
      </c>
      <c r="AK49" s="164">
        <f t="shared" ca="1" si="137"/>
        <v>0</v>
      </c>
      <c r="AL49" s="164">
        <f t="shared" ca="1" si="138"/>
        <v>0</v>
      </c>
      <c r="AM49" s="208"/>
      <c r="AN49" s="74"/>
      <c r="AO49" s="164">
        <f t="shared" ca="1" si="139"/>
        <v>0</v>
      </c>
      <c r="AP49" s="164">
        <f t="shared" ca="1" si="140"/>
        <v>0</v>
      </c>
      <c r="AQ49" s="164">
        <f t="shared" ca="1" si="141"/>
        <v>0</v>
      </c>
      <c r="AR49" s="164">
        <f t="shared" ca="1" si="142"/>
        <v>0</v>
      </c>
      <c r="AS49" s="164">
        <f t="shared" ca="1" si="143"/>
        <v>0</v>
      </c>
      <c r="AT49" s="164">
        <f t="shared" ca="1" si="144"/>
        <v>0</v>
      </c>
      <c r="AU49" s="164">
        <f t="shared" ca="1" si="145"/>
        <v>0</v>
      </c>
      <c r="AV49" s="164">
        <f t="shared" ca="1" si="146"/>
        <v>0</v>
      </c>
      <c r="AW49" s="164">
        <f t="shared" ca="1" si="147"/>
        <v>0</v>
      </c>
      <c r="AX49" s="164">
        <f t="shared" ca="1" si="148"/>
        <v>0</v>
      </c>
      <c r="AY49" s="164">
        <f t="shared" ca="1" si="149"/>
        <v>0</v>
      </c>
      <c r="AZ49" s="164">
        <f t="shared" ca="1" si="150"/>
        <v>0</v>
      </c>
      <c r="BA49" s="164">
        <f t="shared" ca="1" si="151"/>
        <v>0</v>
      </c>
      <c r="BB49" s="164">
        <f t="shared" ca="1" si="152"/>
        <v>0</v>
      </c>
      <c r="BC49" s="164">
        <f t="shared" ca="1" si="153"/>
        <v>0</v>
      </c>
      <c r="BD49" s="164">
        <f t="shared" ca="1" si="154"/>
        <v>0</v>
      </c>
      <c r="BE49" s="164">
        <f t="shared" ca="1" si="155"/>
        <v>0</v>
      </c>
      <c r="BF49" s="164">
        <f t="shared" ca="1" si="156"/>
        <v>0</v>
      </c>
      <c r="BG49" s="164">
        <f t="shared" ca="1" si="157"/>
        <v>0</v>
      </c>
      <c r="BH49" s="164">
        <f t="shared" ca="1" si="158"/>
        <v>0</v>
      </c>
      <c r="BI49" s="164">
        <f t="shared" ca="1" si="159"/>
        <v>0</v>
      </c>
      <c r="BJ49" s="164">
        <f t="shared" ca="1" si="160"/>
        <v>0</v>
      </c>
      <c r="BK49" s="164">
        <f t="shared" ca="1" si="161"/>
        <v>0</v>
      </c>
      <c r="BL49" s="164">
        <f t="shared" ca="1" si="162"/>
        <v>0</v>
      </c>
      <c r="BM49" s="164">
        <f t="shared" ca="1" si="163"/>
        <v>0</v>
      </c>
      <c r="BN49" s="164">
        <f t="shared" ca="1" si="164"/>
        <v>0</v>
      </c>
      <c r="BO49" s="356" t="str">
        <f t="shared" ca="1" si="165"/>
        <v/>
      </c>
      <c r="BP49" s="355" t="str">
        <f t="shared" ca="1" si="166"/>
        <v/>
      </c>
      <c r="BQ49" s="355" t="str">
        <f t="shared" ca="1" si="167"/>
        <v/>
      </c>
      <c r="BR49" s="348">
        <f t="shared" ca="1" si="93"/>
        <v>0</v>
      </c>
      <c r="BS49" s="348">
        <f t="shared" ca="1" si="94"/>
        <v>0</v>
      </c>
      <c r="BT49" s="610">
        <f t="shared" ca="1" si="168"/>
        <v>0</v>
      </c>
      <c r="BU49" s="357">
        <f t="shared" ca="1" si="169"/>
        <v>0</v>
      </c>
      <c r="BV49" s="357">
        <f t="shared" si="170"/>
        <v>0</v>
      </c>
      <c r="BW49" s="357">
        <f t="shared" si="171"/>
        <v>0</v>
      </c>
      <c r="BX49" s="357">
        <f t="shared" ca="1" si="172"/>
        <v>0</v>
      </c>
      <c r="BY49" s="357">
        <f t="shared" ca="1" si="95"/>
        <v>0</v>
      </c>
      <c r="BZ49" s="357"/>
      <c r="CA49" s="357">
        <f t="shared" ca="1" si="96"/>
        <v>0</v>
      </c>
      <c r="CB49" s="357" t="str">
        <f t="shared" ca="1" si="173"/>
        <v/>
      </c>
      <c r="CC49" s="358" t="str">
        <f t="shared" ca="1" si="97"/>
        <v/>
      </c>
      <c r="CD49" s="358" t="str">
        <f t="shared" ca="1" si="98"/>
        <v/>
      </c>
      <c r="CE49" s="357" t="str">
        <f t="shared" ca="1" si="209"/>
        <v>,,,,,,,,,,,,,</v>
      </c>
      <c r="CF49" s="154"/>
      <c r="CG49" s="154">
        <f t="shared" ca="1" si="100"/>
        <v>0</v>
      </c>
      <c r="CH49" s="268" t="str">
        <f t="shared" ca="1" si="174"/>
        <v/>
      </c>
      <c r="CI49" s="268">
        <f t="shared" ca="1" si="175"/>
        <v>0</v>
      </c>
      <c r="CJ49" s="268" t="str">
        <f t="shared" ca="1" si="176"/>
        <v/>
      </c>
      <c r="CK49" s="268">
        <f t="shared" ca="1" si="177"/>
        <v>0</v>
      </c>
      <c r="CL49" s="268">
        <f t="shared" ca="1" si="178"/>
        <v>0</v>
      </c>
      <c r="CM49" s="154">
        <f t="shared" ca="1" si="102"/>
        <v>0</v>
      </c>
      <c r="CN49" s="154"/>
      <c r="CO49" s="169"/>
      <c r="CP49" s="169"/>
      <c r="CQ49" s="169"/>
      <c r="CR49" s="169"/>
      <c r="CS49" s="169"/>
      <c r="CT49" s="169"/>
      <c r="CU49" s="169"/>
      <c r="CV49" s="164" t="str">
        <f t="shared" ca="1" si="211"/>
        <v/>
      </c>
      <c r="CW49" s="164" t="str">
        <f t="shared" ca="1" si="211"/>
        <v/>
      </c>
      <c r="CX49" s="164" t="str">
        <f t="shared" ca="1" si="211"/>
        <v/>
      </c>
      <c r="CY49" s="164" t="str">
        <f t="shared" ca="1" si="211"/>
        <v/>
      </c>
      <c r="CZ49" s="164" t="str">
        <f t="shared" ca="1" si="211"/>
        <v/>
      </c>
      <c r="DA49" s="164" t="str">
        <f t="shared" ca="1" si="211"/>
        <v/>
      </c>
      <c r="DB49" s="164" t="str">
        <f t="shared" ca="1" si="211"/>
        <v/>
      </c>
      <c r="DC49" s="164" t="str">
        <f t="shared" ca="1" si="211"/>
        <v/>
      </c>
      <c r="DD49" s="164" t="str">
        <f t="shared" ca="1" si="211"/>
        <v/>
      </c>
      <c r="DE49" s="164" t="str">
        <f t="shared" ca="1" si="211"/>
        <v/>
      </c>
      <c r="DF49" s="164" t="str">
        <f t="shared" ca="1" si="212"/>
        <v/>
      </c>
      <c r="DG49" s="164" t="str">
        <f t="shared" ca="1" si="212"/>
        <v/>
      </c>
      <c r="DH49" s="164" t="str">
        <f t="shared" ca="1" si="212"/>
        <v/>
      </c>
      <c r="DI49" s="164" t="str">
        <f t="shared" ca="1" si="212"/>
        <v/>
      </c>
      <c r="DJ49" s="164" t="str">
        <f t="shared" ca="1" si="212"/>
        <v/>
      </c>
      <c r="DK49" s="164" t="str">
        <f t="shared" ca="1" si="212"/>
        <v/>
      </c>
      <c r="DL49" s="164" t="str">
        <f t="shared" ca="1" si="212"/>
        <v/>
      </c>
      <c r="DM49" s="164" t="str">
        <f t="shared" ca="1" si="212"/>
        <v/>
      </c>
      <c r="DN49" s="164" t="str">
        <f t="shared" ca="1" si="212"/>
        <v/>
      </c>
      <c r="DO49" s="164" t="str">
        <f t="shared" ca="1" si="212"/>
        <v/>
      </c>
      <c r="DP49" s="164" t="str">
        <f t="shared" ca="1" si="212"/>
        <v/>
      </c>
      <c r="DQ49" s="164" t="str">
        <f t="shared" ca="1" si="212"/>
        <v/>
      </c>
      <c r="DR49" s="208"/>
      <c r="DS49" s="164" t="str">
        <f t="shared" ca="1" si="181"/>
        <v/>
      </c>
      <c r="DT49" s="164" t="str">
        <f t="shared" ca="1" si="182"/>
        <v/>
      </c>
      <c r="DU49" s="164" t="str">
        <f t="shared" ca="1" si="183"/>
        <v/>
      </c>
      <c r="DV49" s="164" t="str">
        <f t="shared" ca="1" si="184"/>
        <v/>
      </c>
      <c r="DW49" s="164" t="str">
        <f t="shared" ca="1" si="185"/>
        <v/>
      </c>
      <c r="DX49" s="164" t="str">
        <f t="shared" ca="1" si="186"/>
        <v/>
      </c>
      <c r="DY49" s="164" t="str">
        <f t="shared" ca="1" si="187"/>
        <v/>
      </c>
      <c r="DZ49" s="164" t="str">
        <f t="shared" ca="1" si="188"/>
        <v/>
      </c>
      <c r="EA49" s="164" t="str">
        <f t="shared" ca="1" si="189"/>
        <v/>
      </c>
      <c r="EB49" s="164" t="str">
        <f t="shared" ca="1" si="190"/>
        <v/>
      </c>
      <c r="EC49" s="164" t="str">
        <f t="shared" ca="1" si="191"/>
        <v/>
      </c>
      <c r="ED49" s="164" t="str">
        <f t="shared" ca="1" si="192"/>
        <v/>
      </c>
      <c r="EE49" s="164" t="str">
        <f t="shared" ca="1" si="193"/>
        <v/>
      </c>
      <c r="EF49" s="164" t="str">
        <f t="shared" ca="1" si="194"/>
        <v/>
      </c>
      <c r="EG49" s="164" t="str">
        <f t="shared" ca="1" si="195"/>
        <v/>
      </c>
      <c r="EH49" s="164" t="str">
        <f t="shared" ca="1" si="196"/>
        <v/>
      </c>
      <c r="EI49" s="164" t="str">
        <f t="shared" ca="1" si="197"/>
        <v/>
      </c>
      <c r="EJ49" s="164" t="str">
        <f t="shared" ca="1" si="198"/>
        <v/>
      </c>
      <c r="EK49" s="164" t="str">
        <f t="shared" ca="1" si="199"/>
        <v/>
      </c>
      <c r="EL49" s="164" t="str">
        <f t="shared" ca="1" si="200"/>
        <v/>
      </c>
      <c r="EM49" s="164" t="str">
        <f t="shared" ca="1" si="201"/>
        <v/>
      </c>
      <c r="EN49" s="164" t="str">
        <f t="shared" ca="1" si="202"/>
        <v/>
      </c>
      <c r="EO49" s="164" t="str">
        <f t="shared" ca="1" si="203"/>
        <v/>
      </c>
      <c r="EP49" s="164" t="str">
        <f t="shared" ca="1" si="204"/>
        <v/>
      </c>
      <c r="EQ49" s="164" t="str">
        <f t="shared" ca="1" si="205"/>
        <v/>
      </c>
      <c r="ER49" s="164" t="str">
        <f t="shared" ca="1" si="206"/>
        <v/>
      </c>
      <c r="ES49" s="164" t="str">
        <f t="shared" ca="1" si="207"/>
        <v/>
      </c>
    </row>
    <row r="50" spans="1:149" x14ac:dyDescent="0.2">
      <c r="A50" s="89" t="str">
        <f t="shared" ca="1" si="210"/>
        <v/>
      </c>
      <c r="B50" s="317" t="str">
        <f t="shared" ca="1" si="112"/>
        <v/>
      </c>
      <c r="C50" s="609" t="str">
        <f t="shared" ca="1" si="113"/>
        <v/>
      </c>
      <c r="D50" s="1956" t="str">
        <f t="shared" ca="1" si="114"/>
        <v/>
      </c>
      <c r="E50" s="1956"/>
      <c r="F50" s="960"/>
      <c r="G50" s="485" t="str">
        <f t="shared" ca="1" si="115"/>
        <v/>
      </c>
      <c r="H50" s="983"/>
      <c r="I50" s="486"/>
      <c r="J50" s="972"/>
      <c r="K50" s="1886" t="str">
        <f t="shared" ca="1" si="116"/>
        <v/>
      </c>
      <c r="L50" s="1888"/>
      <c r="M50" s="296" t="str">
        <f t="shared" ca="1" si="208"/>
        <v/>
      </c>
      <c r="N50" s="1322"/>
      <c r="O50" s="1319"/>
      <c r="P50" s="957" t="str">
        <f t="shared" ca="1" si="117"/>
        <v/>
      </c>
      <c r="Q50" s="749"/>
      <c r="R50" s="164">
        <f t="shared" ca="1" si="118"/>
        <v>0</v>
      </c>
      <c r="S50" s="164">
        <f t="shared" ca="1" si="119"/>
        <v>0</v>
      </c>
      <c r="T50" s="164">
        <f t="shared" ca="1" si="120"/>
        <v>0</v>
      </c>
      <c r="U50" s="164">
        <f t="shared" ca="1" si="121"/>
        <v>0</v>
      </c>
      <c r="V50" s="164">
        <f t="shared" ca="1" si="122"/>
        <v>0</v>
      </c>
      <c r="W50" s="164">
        <f t="shared" ca="1" si="123"/>
        <v>0</v>
      </c>
      <c r="X50" s="164">
        <f t="shared" ca="1" si="124"/>
        <v>0</v>
      </c>
      <c r="Y50" s="164">
        <f t="shared" ca="1" si="125"/>
        <v>0</v>
      </c>
      <c r="Z50" s="164">
        <f t="shared" ca="1" si="126"/>
        <v>0</v>
      </c>
      <c r="AA50" s="164">
        <f t="shared" ca="1" si="127"/>
        <v>0</v>
      </c>
      <c r="AB50" s="164">
        <f t="shared" ca="1" si="128"/>
        <v>0</v>
      </c>
      <c r="AC50" s="164">
        <f t="shared" ca="1" si="129"/>
        <v>0</v>
      </c>
      <c r="AD50" s="164">
        <f t="shared" ca="1" si="130"/>
        <v>0</v>
      </c>
      <c r="AE50" s="164">
        <f t="shared" ca="1" si="131"/>
        <v>0</v>
      </c>
      <c r="AF50" s="164">
        <f t="shared" ca="1" si="132"/>
        <v>0</v>
      </c>
      <c r="AG50" s="164">
        <f t="shared" ca="1" si="133"/>
        <v>0</v>
      </c>
      <c r="AH50" s="164">
        <f t="shared" ca="1" si="134"/>
        <v>0</v>
      </c>
      <c r="AI50" s="164">
        <f t="shared" ca="1" si="135"/>
        <v>0</v>
      </c>
      <c r="AJ50" s="164">
        <f t="shared" ca="1" si="136"/>
        <v>0</v>
      </c>
      <c r="AK50" s="164">
        <f t="shared" ca="1" si="137"/>
        <v>0</v>
      </c>
      <c r="AL50" s="164">
        <f t="shared" ca="1" si="138"/>
        <v>0</v>
      </c>
      <c r="AM50" s="208"/>
      <c r="AN50" s="74"/>
      <c r="AO50" s="164">
        <f t="shared" ca="1" si="139"/>
        <v>0</v>
      </c>
      <c r="AP50" s="164">
        <f t="shared" ca="1" si="140"/>
        <v>0</v>
      </c>
      <c r="AQ50" s="164">
        <f t="shared" ca="1" si="141"/>
        <v>0</v>
      </c>
      <c r="AR50" s="164">
        <f t="shared" ca="1" si="142"/>
        <v>0</v>
      </c>
      <c r="AS50" s="164">
        <f t="shared" ca="1" si="143"/>
        <v>0</v>
      </c>
      <c r="AT50" s="164">
        <f t="shared" ca="1" si="144"/>
        <v>0</v>
      </c>
      <c r="AU50" s="164">
        <f t="shared" ca="1" si="145"/>
        <v>0</v>
      </c>
      <c r="AV50" s="164">
        <f t="shared" ca="1" si="146"/>
        <v>0</v>
      </c>
      <c r="AW50" s="164">
        <f t="shared" ca="1" si="147"/>
        <v>0</v>
      </c>
      <c r="AX50" s="164">
        <f t="shared" ca="1" si="148"/>
        <v>0</v>
      </c>
      <c r="AY50" s="164">
        <f t="shared" ca="1" si="149"/>
        <v>0</v>
      </c>
      <c r="AZ50" s="164">
        <f t="shared" ca="1" si="150"/>
        <v>0</v>
      </c>
      <c r="BA50" s="164">
        <f t="shared" ca="1" si="151"/>
        <v>0</v>
      </c>
      <c r="BB50" s="164">
        <f t="shared" ca="1" si="152"/>
        <v>0</v>
      </c>
      <c r="BC50" s="164">
        <f t="shared" ca="1" si="153"/>
        <v>0</v>
      </c>
      <c r="BD50" s="164">
        <f t="shared" ca="1" si="154"/>
        <v>0</v>
      </c>
      <c r="BE50" s="164">
        <f t="shared" ca="1" si="155"/>
        <v>0</v>
      </c>
      <c r="BF50" s="164">
        <f t="shared" ca="1" si="156"/>
        <v>0</v>
      </c>
      <c r="BG50" s="164">
        <f t="shared" ca="1" si="157"/>
        <v>0</v>
      </c>
      <c r="BH50" s="164">
        <f t="shared" ca="1" si="158"/>
        <v>0</v>
      </c>
      <c r="BI50" s="164">
        <f t="shared" ca="1" si="159"/>
        <v>0</v>
      </c>
      <c r="BJ50" s="164">
        <f t="shared" ca="1" si="160"/>
        <v>0</v>
      </c>
      <c r="BK50" s="164">
        <f t="shared" ca="1" si="161"/>
        <v>0</v>
      </c>
      <c r="BL50" s="164">
        <f t="shared" ca="1" si="162"/>
        <v>0</v>
      </c>
      <c r="BM50" s="164">
        <f t="shared" ca="1" si="163"/>
        <v>0</v>
      </c>
      <c r="BN50" s="164">
        <f t="shared" ca="1" si="164"/>
        <v>0</v>
      </c>
      <c r="BO50" s="356" t="str">
        <f t="shared" ca="1" si="165"/>
        <v/>
      </c>
      <c r="BP50" s="355" t="str">
        <f t="shared" ca="1" si="166"/>
        <v/>
      </c>
      <c r="BQ50" s="355" t="str">
        <f t="shared" ca="1" si="167"/>
        <v/>
      </c>
      <c r="BR50" s="348">
        <f t="shared" ca="1" si="93"/>
        <v>0</v>
      </c>
      <c r="BS50" s="348">
        <f t="shared" ca="1" si="94"/>
        <v>0</v>
      </c>
      <c r="BT50" s="610">
        <f t="shared" ca="1" si="168"/>
        <v>0</v>
      </c>
      <c r="BU50" s="357">
        <f t="shared" ca="1" si="169"/>
        <v>0</v>
      </c>
      <c r="BV50" s="357">
        <f t="shared" si="170"/>
        <v>0</v>
      </c>
      <c r="BW50" s="357">
        <f t="shared" si="171"/>
        <v>0</v>
      </c>
      <c r="BX50" s="357">
        <f t="shared" ca="1" si="172"/>
        <v>0</v>
      </c>
      <c r="BY50" s="357">
        <f t="shared" ca="1" si="95"/>
        <v>0</v>
      </c>
      <c r="BZ50" s="357"/>
      <c r="CA50" s="357">
        <f t="shared" ca="1" si="96"/>
        <v>0</v>
      </c>
      <c r="CB50" s="357" t="str">
        <f t="shared" ca="1" si="173"/>
        <v/>
      </c>
      <c r="CC50" s="358" t="str">
        <f t="shared" ca="1" si="97"/>
        <v/>
      </c>
      <c r="CD50" s="358" t="str">
        <f t="shared" ca="1" si="98"/>
        <v/>
      </c>
      <c r="CE50" s="357" t="str">
        <f t="shared" ca="1" si="209"/>
        <v>,,,,,,,,,,,,,,</v>
      </c>
      <c r="CF50" s="154"/>
      <c r="CG50" s="154">
        <f t="shared" ca="1" si="100"/>
        <v>0</v>
      </c>
      <c r="CH50" s="268" t="str">
        <f t="shared" ca="1" si="174"/>
        <v/>
      </c>
      <c r="CI50" s="268">
        <f t="shared" ca="1" si="175"/>
        <v>0</v>
      </c>
      <c r="CJ50" s="268" t="str">
        <f t="shared" ca="1" si="176"/>
        <v/>
      </c>
      <c r="CK50" s="268">
        <f t="shared" ca="1" si="177"/>
        <v>0</v>
      </c>
      <c r="CL50" s="268">
        <f t="shared" ca="1" si="178"/>
        <v>0</v>
      </c>
      <c r="CM50" s="154">
        <f t="shared" ca="1" si="102"/>
        <v>0</v>
      </c>
      <c r="CN50" s="154"/>
      <c r="CO50" s="169"/>
      <c r="CP50" s="169"/>
      <c r="CQ50" s="169"/>
      <c r="CR50" s="169"/>
      <c r="CS50" s="169"/>
      <c r="CT50" s="169"/>
      <c r="CU50" s="169"/>
      <c r="CV50" s="164" t="str">
        <f t="shared" ca="1" si="211"/>
        <v/>
      </c>
      <c r="CW50" s="164" t="str">
        <f t="shared" ca="1" si="211"/>
        <v/>
      </c>
      <c r="CX50" s="164" t="str">
        <f t="shared" ca="1" si="211"/>
        <v/>
      </c>
      <c r="CY50" s="164" t="str">
        <f t="shared" ca="1" si="211"/>
        <v/>
      </c>
      <c r="CZ50" s="164" t="str">
        <f t="shared" ca="1" si="211"/>
        <v/>
      </c>
      <c r="DA50" s="164" t="str">
        <f t="shared" ca="1" si="211"/>
        <v/>
      </c>
      <c r="DB50" s="164" t="str">
        <f t="shared" ca="1" si="211"/>
        <v/>
      </c>
      <c r="DC50" s="164" t="str">
        <f t="shared" ca="1" si="211"/>
        <v/>
      </c>
      <c r="DD50" s="164" t="str">
        <f t="shared" ca="1" si="211"/>
        <v/>
      </c>
      <c r="DE50" s="164" t="str">
        <f t="shared" ca="1" si="211"/>
        <v/>
      </c>
      <c r="DF50" s="164" t="str">
        <f t="shared" ca="1" si="212"/>
        <v/>
      </c>
      <c r="DG50" s="164" t="str">
        <f t="shared" ca="1" si="212"/>
        <v/>
      </c>
      <c r="DH50" s="164" t="str">
        <f t="shared" ca="1" si="212"/>
        <v/>
      </c>
      <c r="DI50" s="164" t="str">
        <f t="shared" ca="1" si="212"/>
        <v/>
      </c>
      <c r="DJ50" s="164" t="str">
        <f t="shared" ca="1" si="212"/>
        <v/>
      </c>
      <c r="DK50" s="164" t="str">
        <f t="shared" ca="1" si="212"/>
        <v/>
      </c>
      <c r="DL50" s="164" t="str">
        <f t="shared" ca="1" si="212"/>
        <v/>
      </c>
      <c r="DM50" s="164" t="str">
        <f t="shared" ca="1" si="212"/>
        <v/>
      </c>
      <c r="DN50" s="164" t="str">
        <f t="shared" ca="1" si="212"/>
        <v/>
      </c>
      <c r="DO50" s="164" t="str">
        <f t="shared" ca="1" si="212"/>
        <v/>
      </c>
      <c r="DP50" s="164" t="str">
        <f t="shared" ca="1" si="212"/>
        <v/>
      </c>
      <c r="DQ50" s="164" t="str">
        <f t="shared" ca="1" si="212"/>
        <v/>
      </c>
      <c r="DR50" s="208"/>
      <c r="DS50" s="164" t="str">
        <f t="shared" ca="1" si="181"/>
        <v/>
      </c>
      <c r="DT50" s="164" t="str">
        <f t="shared" ca="1" si="182"/>
        <v/>
      </c>
      <c r="DU50" s="164" t="str">
        <f t="shared" ca="1" si="183"/>
        <v/>
      </c>
      <c r="DV50" s="164" t="str">
        <f t="shared" ca="1" si="184"/>
        <v/>
      </c>
      <c r="DW50" s="164" t="str">
        <f t="shared" ca="1" si="185"/>
        <v/>
      </c>
      <c r="DX50" s="164" t="str">
        <f t="shared" ca="1" si="186"/>
        <v/>
      </c>
      <c r="DY50" s="164" t="str">
        <f t="shared" ca="1" si="187"/>
        <v/>
      </c>
      <c r="DZ50" s="164" t="str">
        <f t="shared" ca="1" si="188"/>
        <v/>
      </c>
      <c r="EA50" s="164" t="str">
        <f t="shared" ca="1" si="189"/>
        <v/>
      </c>
      <c r="EB50" s="164" t="str">
        <f t="shared" ca="1" si="190"/>
        <v/>
      </c>
      <c r="EC50" s="164" t="str">
        <f t="shared" ca="1" si="191"/>
        <v/>
      </c>
      <c r="ED50" s="164" t="str">
        <f t="shared" ca="1" si="192"/>
        <v/>
      </c>
      <c r="EE50" s="164" t="str">
        <f t="shared" ca="1" si="193"/>
        <v/>
      </c>
      <c r="EF50" s="164" t="str">
        <f t="shared" ca="1" si="194"/>
        <v/>
      </c>
      <c r="EG50" s="164" t="str">
        <f t="shared" ca="1" si="195"/>
        <v/>
      </c>
      <c r="EH50" s="164" t="str">
        <f t="shared" ca="1" si="196"/>
        <v/>
      </c>
      <c r="EI50" s="164" t="str">
        <f t="shared" ca="1" si="197"/>
        <v/>
      </c>
      <c r="EJ50" s="164" t="str">
        <f t="shared" ca="1" si="198"/>
        <v/>
      </c>
      <c r="EK50" s="164" t="str">
        <f t="shared" ca="1" si="199"/>
        <v/>
      </c>
      <c r="EL50" s="164" t="str">
        <f t="shared" ca="1" si="200"/>
        <v/>
      </c>
      <c r="EM50" s="164" t="str">
        <f t="shared" ca="1" si="201"/>
        <v/>
      </c>
      <c r="EN50" s="164" t="str">
        <f t="shared" ca="1" si="202"/>
        <v/>
      </c>
      <c r="EO50" s="164" t="str">
        <f t="shared" ca="1" si="203"/>
        <v/>
      </c>
      <c r="EP50" s="164" t="str">
        <f t="shared" ca="1" si="204"/>
        <v/>
      </c>
      <c r="EQ50" s="164" t="str">
        <f t="shared" ca="1" si="205"/>
        <v/>
      </c>
      <c r="ER50" s="164" t="str">
        <f t="shared" ca="1" si="206"/>
        <v/>
      </c>
      <c r="ES50" s="164" t="str">
        <f t="shared" ca="1" si="207"/>
        <v/>
      </c>
    </row>
    <row r="51" spans="1:149" x14ac:dyDescent="0.2">
      <c r="A51" s="89" t="str">
        <f t="shared" ca="1" si="210"/>
        <v/>
      </c>
      <c r="B51" s="317" t="str">
        <f t="shared" ca="1" si="112"/>
        <v/>
      </c>
      <c r="C51" s="609" t="str">
        <f t="shared" ca="1" si="113"/>
        <v/>
      </c>
      <c r="D51" s="1956" t="str">
        <f t="shared" ca="1" si="114"/>
        <v/>
      </c>
      <c r="E51" s="1956"/>
      <c r="F51" s="960"/>
      <c r="G51" s="485" t="str">
        <f t="shared" ca="1" si="115"/>
        <v/>
      </c>
      <c r="H51" s="983"/>
      <c r="I51" s="486"/>
      <c r="J51" s="972"/>
      <c r="K51" s="1886" t="str">
        <f t="shared" ca="1" si="116"/>
        <v/>
      </c>
      <c r="L51" s="1888"/>
      <c r="M51" s="296" t="str">
        <f t="shared" ca="1" si="208"/>
        <v/>
      </c>
      <c r="N51" s="1322"/>
      <c r="O51" s="1319"/>
      <c r="P51" s="957" t="str">
        <f t="shared" ca="1" si="117"/>
        <v/>
      </c>
      <c r="Q51" s="749"/>
      <c r="R51" s="164">
        <f t="shared" ca="1" si="118"/>
        <v>0</v>
      </c>
      <c r="S51" s="164">
        <f t="shared" ca="1" si="119"/>
        <v>0</v>
      </c>
      <c r="T51" s="164">
        <f t="shared" ca="1" si="120"/>
        <v>0</v>
      </c>
      <c r="U51" s="164">
        <f t="shared" ca="1" si="121"/>
        <v>0</v>
      </c>
      <c r="V51" s="164">
        <f t="shared" ca="1" si="122"/>
        <v>0</v>
      </c>
      <c r="W51" s="164">
        <f t="shared" ca="1" si="123"/>
        <v>0</v>
      </c>
      <c r="X51" s="164">
        <f t="shared" ca="1" si="124"/>
        <v>0</v>
      </c>
      <c r="Y51" s="164">
        <f t="shared" ca="1" si="125"/>
        <v>0</v>
      </c>
      <c r="Z51" s="164">
        <f t="shared" ca="1" si="126"/>
        <v>0</v>
      </c>
      <c r="AA51" s="164">
        <f t="shared" ca="1" si="127"/>
        <v>0</v>
      </c>
      <c r="AB51" s="164">
        <f t="shared" ca="1" si="128"/>
        <v>0</v>
      </c>
      <c r="AC51" s="164">
        <f t="shared" ca="1" si="129"/>
        <v>0</v>
      </c>
      <c r="AD51" s="164">
        <f t="shared" ca="1" si="130"/>
        <v>0</v>
      </c>
      <c r="AE51" s="164">
        <f t="shared" ca="1" si="131"/>
        <v>0</v>
      </c>
      <c r="AF51" s="164">
        <f t="shared" ca="1" si="132"/>
        <v>0</v>
      </c>
      <c r="AG51" s="164">
        <f t="shared" ca="1" si="133"/>
        <v>0</v>
      </c>
      <c r="AH51" s="164">
        <f t="shared" ca="1" si="134"/>
        <v>0</v>
      </c>
      <c r="AI51" s="164">
        <f t="shared" ca="1" si="135"/>
        <v>0</v>
      </c>
      <c r="AJ51" s="164">
        <f t="shared" ca="1" si="136"/>
        <v>0</v>
      </c>
      <c r="AK51" s="164">
        <f t="shared" ca="1" si="137"/>
        <v>0</v>
      </c>
      <c r="AL51" s="164">
        <f t="shared" ca="1" si="138"/>
        <v>0</v>
      </c>
      <c r="AM51" s="208"/>
      <c r="AO51" s="164">
        <f t="shared" ca="1" si="139"/>
        <v>0</v>
      </c>
      <c r="AP51" s="164">
        <f t="shared" ca="1" si="140"/>
        <v>0</v>
      </c>
      <c r="AQ51" s="164">
        <f t="shared" ca="1" si="141"/>
        <v>0</v>
      </c>
      <c r="AR51" s="164">
        <f t="shared" ca="1" si="142"/>
        <v>0</v>
      </c>
      <c r="AS51" s="164">
        <f t="shared" ca="1" si="143"/>
        <v>0</v>
      </c>
      <c r="AT51" s="164">
        <f t="shared" ca="1" si="144"/>
        <v>0</v>
      </c>
      <c r="AU51" s="164">
        <f t="shared" ca="1" si="145"/>
        <v>0</v>
      </c>
      <c r="AV51" s="164">
        <f t="shared" ca="1" si="146"/>
        <v>0</v>
      </c>
      <c r="AW51" s="164">
        <f t="shared" ca="1" si="147"/>
        <v>0</v>
      </c>
      <c r="AX51" s="164">
        <f t="shared" ca="1" si="148"/>
        <v>0</v>
      </c>
      <c r="AY51" s="164">
        <f t="shared" ca="1" si="149"/>
        <v>0</v>
      </c>
      <c r="AZ51" s="164">
        <f t="shared" ca="1" si="150"/>
        <v>0</v>
      </c>
      <c r="BA51" s="164">
        <f t="shared" ca="1" si="151"/>
        <v>0</v>
      </c>
      <c r="BB51" s="164">
        <f t="shared" ca="1" si="152"/>
        <v>0</v>
      </c>
      <c r="BC51" s="164">
        <f t="shared" ca="1" si="153"/>
        <v>0</v>
      </c>
      <c r="BD51" s="164">
        <f t="shared" ca="1" si="154"/>
        <v>0</v>
      </c>
      <c r="BE51" s="164">
        <f t="shared" ca="1" si="155"/>
        <v>0</v>
      </c>
      <c r="BF51" s="164">
        <f t="shared" ca="1" si="156"/>
        <v>0</v>
      </c>
      <c r="BG51" s="164">
        <f t="shared" ca="1" si="157"/>
        <v>0</v>
      </c>
      <c r="BH51" s="164">
        <f t="shared" ca="1" si="158"/>
        <v>0</v>
      </c>
      <c r="BI51" s="164">
        <f t="shared" ca="1" si="159"/>
        <v>0</v>
      </c>
      <c r="BJ51" s="164">
        <f t="shared" ca="1" si="160"/>
        <v>0</v>
      </c>
      <c r="BK51" s="164">
        <f t="shared" ca="1" si="161"/>
        <v>0</v>
      </c>
      <c r="BL51" s="164">
        <f t="shared" ca="1" si="162"/>
        <v>0</v>
      </c>
      <c r="BM51" s="164">
        <f t="shared" ca="1" si="163"/>
        <v>0</v>
      </c>
      <c r="BN51" s="164">
        <f t="shared" ca="1" si="164"/>
        <v>0</v>
      </c>
      <c r="BO51" s="356" t="str">
        <f t="shared" ca="1" si="165"/>
        <v/>
      </c>
      <c r="BP51" s="355" t="str">
        <f t="shared" ca="1" si="166"/>
        <v/>
      </c>
      <c r="BQ51" s="355" t="str">
        <f t="shared" ca="1" si="167"/>
        <v/>
      </c>
      <c r="BR51" s="348">
        <f t="shared" ca="1" si="93"/>
        <v>0</v>
      </c>
      <c r="BS51" s="348">
        <f t="shared" ca="1" si="94"/>
        <v>0</v>
      </c>
      <c r="BT51" s="610">
        <f t="shared" ca="1" si="168"/>
        <v>0</v>
      </c>
      <c r="BU51" s="357">
        <f t="shared" ca="1" si="169"/>
        <v>0</v>
      </c>
      <c r="BV51" s="357">
        <f t="shared" si="170"/>
        <v>0</v>
      </c>
      <c r="BW51" s="357">
        <f t="shared" si="171"/>
        <v>0</v>
      </c>
      <c r="BX51" s="357">
        <f t="shared" ca="1" si="172"/>
        <v>0</v>
      </c>
      <c r="BY51" s="357">
        <f t="shared" ca="1" si="95"/>
        <v>0</v>
      </c>
      <c r="BZ51" s="357"/>
      <c r="CA51" s="357">
        <f t="shared" ca="1" si="96"/>
        <v>0</v>
      </c>
      <c r="CB51" s="357" t="str">
        <f t="shared" ca="1" si="173"/>
        <v/>
      </c>
      <c r="CC51" s="358" t="str">
        <f t="shared" ca="1" si="97"/>
        <v/>
      </c>
      <c r="CD51" s="358" t="str">
        <f t="shared" ca="1" si="98"/>
        <v/>
      </c>
      <c r="CE51" s="357" t="str">
        <f t="shared" ca="1" si="209"/>
        <v>,,,,,,,,,,,,,,,</v>
      </c>
      <c r="CF51" s="154"/>
      <c r="CG51" s="154">
        <f t="shared" ca="1" si="100"/>
        <v>0</v>
      </c>
      <c r="CH51" s="268" t="str">
        <f t="shared" ca="1" si="174"/>
        <v/>
      </c>
      <c r="CI51" s="268">
        <f t="shared" ca="1" si="175"/>
        <v>0</v>
      </c>
      <c r="CJ51" s="268" t="str">
        <f t="shared" ca="1" si="176"/>
        <v/>
      </c>
      <c r="CK51" s="268">
        <f t="shared" ca="1" si="177"/>
        <v>0</v>
      </c>
      <c r="CL51" s="268">
        <f t="shared" ca="1" si="178"/>
        <v>0</v>
      </c>
      <c r="CM51" s="154">
        <f t="shared" ca="1" si="102"/>
        <v>0</v>
      </c>
      <c r="CN51" s="154"/>
      <c r="CO51" s="169"/>
      <c r="CP51" s="169"/>
      <c r="CQ51" s="169"/>
      <c r="CR51" s="169"/>
      <c r="CS51" s="169"/>
      <c r="CT51" s="169"/>
      <c r="CU51" s="169"/>
      <c r="CV51" s="164" t="str">
        <f t="shared" ca="1" si="211"/>
        <v/>
      </c>
      <c r="CW51" s="164" t="str">
        <f t="shared" ca="1" si="211"/>
        <v/>
      </c>
      <c r="CX51" s="164" t="str">
        <f t="shared" ca="1" si="211"/>
        <v/>
      </c>
      <c r="CY51" s="164" t="str">
        <f t="shared" ca="1" si="211"/>
        <v/>
      </c>
      <c r="CZ51" s="164" t="str">
        <f t="shared" ca="1" si="211"/>
        <v/>
      </c>
      <c r="DA51" s="164" t="str">
        <f t="shared" ca="1" si="211"/>
        <v/>
      </c>
      <c r="DB51" s="164" t="str">
        <f t="shared" ca="1" si="211"/>
        <v/>
      </c>
      <c r="DC51" s="164" t="str">
        <f t="shared" ca="1" si="211"/>
        <v/>
      </c>
      <c r="DD51" s="164" t="str">
        <f t="shared" ca="1" si="211"/>
        <v/>
      </c>
      <c r="DE51" s="164" t="str">
        <f t="shared" ca="1" si="211"/>
        <v/>
      </c>
      <c r="DF51" s="164" t="str">
        <f t="shared" ca="1" si="212"/>
        <v/>
      </c>
      <c r="DG51" s="164" t="str">
        <f t="shared" ca="1" si="212"/>
        <v/>
      </c>
      <c r="DH51" s="164" t="str">
        <f t="shared" ca="1" si="212"/>
        <v/>
      </c>
      <c r="DI51" s="164" t="str">
        <f t="shared" ca="1" si="212"/>
        <v/>
      </c>
      <c r="DJ51" s="164" t="str">
        <f t="shared" ca="1" si="212"/>
        <v/>
      </c>
      <c r="DK51" s="164" t="str">
        <f t="shared" ca="1" si="212"/>
        <v/>
      </c>
      <c r="DL51" s="164" t="str">
        <f t="shared" ca="1" si="212"/>
        <v/>
      </c>
      <c r="DM51" s="164" t="str">
        <f t="shared" ca="1" si="212"/>
        <v/>
      </c>
      <c r="DN51" s="164" t="str">
        <f t="shared" ca="1" si="212"/>
        <v/>
      </c>
      <c r="DO51" s="164" t="str">
        <f t="shared" ca="1" si="212"/>
        <v/>
      </c>
      <c r="DP51" s="164" t="str">
        <f t="shared" ca="1" si="212"/>
        <v/>
      </c>
      <c r="DQ51" s="164" t="str">
        <f t="shared" ca="1" si="212"/>
        <v/>
      </c>
      <c r="DR51" s="208"/>
      <c r="DS51" s="164" t="str">
        <f t="shared" ca="1" si="181"/>
        <v/>
      </c>
      <c r="DT51" s="164" t="str">
        <f t="shared" ca="1" si="182"/>
        <v/>
      </c>
      <c r="DU51" s="164" t="str">
        <f t="shared" ca="1" si="183"/>
        <v/>
      </c>
      <c r="DV51" s="164" t="str">
        <f t="shared" ca="1" si="184"/>
        <v/>
      </c>
      <c r="DW51" s="164" t="str">
        <f t="shared" ca="1" si="185"/>
        <v/>
      </c>
      <c r="DX51" s="164" t="str">
        <f t="shared" ca="1" si="186"/>
        <v/>
      </c>
      <c r="DY51" s="164" t="str">
        <f t="shared" ca="1" si="187"/>
        <v/>
      </c>
      <c r="DZ51" s="164" t="str">
        <f t="shared" ca="1" si="188"/>
        <v/>
      </c>
      <c r="EA51" s="164" t="str">
        <f t="shared" ca="1" si="189"/>
        <v/>
      </c>
      <c r="EB51" s="164" t="str">
        <f t="shared" ca="1" si="190"/>
        <v/>
      </c>
      <c r="EC51" s="164" t="str">
        <f t="shared" ca="1" si="191"/>
        <v/>
      </c>
      <c r="ED51" s="164" t="str">
        <f t="shared" ca="1" si="192"/>
        <v/>
      </c>
      <c r="EE51" s="164" t="str">
        <f t="shared" ca="1" si="193"/>
        <v/>
      </c>
      <c r="EF51" s="164" t="str">
        <f t="shared" ca="1" si="194"/>
        <v/>
      </c>
      <c r="EG51" s="164" t="str">
        <f t="shared" ca="1" si="195"/>
        <v/>
      </c>
      <c r="EH51" s="164" t="str">
        <f t="shared" ca="1" si="196"/>
        <v/>
      </c>
      <c r="EI51" s="164" t="str">
        <f t="shared" ca="1" si="197"/>
        <v/>
      </c>
      <c r="EJ51" s="164" t="str">
        <f t="shared" ca="1" si="198"/>
        <v/>
      </c>
      <c r="EK51" s="164" t="str">
        <f t="shared" ca="1" si="199"/>
        <v/>
      </c>
      <c r="EL51" s="164" t="str">
        <f t="shared" ca="1" si="200"/>
        <v/>
      </c>
      <c r="EM51" s="164" t="str">
        <f t="shared" ca="1" si="201"/>
        <v/>
      </c>
      <c r="EN51" s="164" t="str">
        <f t="shared" ca="1" si="202"/>
        <v/>
      </c>
      <c r="EO51" s="164" t="str">
        <f t="shared" ca="1" si="203"/>
        <v/>
      </c>
      <c r="EP51" s="164" t="str">
        <f t="shared" ca="1" si="204"/>
        <v/>
      </c>
      <c r="EQ51" s="164" t="str">
        <f t="shared" ca="1" si="205"/>
        <v/>
      </c>
      <c r="ER51" s="164" t="str">
        <f t="shared" ca="1" si="206"/>
        <v/>
      </c>
      <c r="ES51" s="164" t="str">
        <f t="shared" ca="1" si="207"/>
        <v/>
      </c>
    </row>
    <row r="52" spans="1:149" ht="12.75" customHeight="1" x14ac:dyDescent="0.2">
      <c r="A52" s="89" t="str">
        <f t="shared" ca="1" si="210"/>
        <v/>
      </c>
      <c r="B52" s="317" t="str">
        <f t="shared" ca="1" si="112"/>
        <v/>
      </c>
      <c r="C52" s="609" t="str">
        <f t="shared" ca="1" si="113"/>
        <v/>
      </c>
      <c r="D52" s="1956" t="str">
        <f t="shared" ca="1" si="114"/>
        <v/>
      </c>
      <c r="E52" s="1956"/>
      <c r="F52" s="960"/>
      <c r="G52" s="485" t="str">
        <f t="shared" ca="1" si="115"/>
        <v/>
      </c>
      <c r="H52" s="983"/>
      <c r="I52" s="486"/>
      <c r="J52" s="972"/>
      <c r="K52" s="1886" t="str">
        <f t="shared" ca="1" si="116"/>
        <v/>
      </c>
      <c r="L52" s="1888"/>
      <c r="M52" s="296" t="str">
        <f t="shared" ca="1" si="208"/>
        <v/>
      </c>
      <c r="N52" s="1322"/>
      <c r="O52" s="1319"/>
      <c r="P52" s="957" t="str">
        <f t="shared" ca="1" si="117"/>
        <v/>
      </c>
      <c r="Q52" s="749"/>
      <c r="R52" s="164">
        <f t="shared" ca="1" si="118"/>
        <v>0</v>
      </c>
      <c r="S52" s="164">
        <f t="shared" ca="1" si="119"/>
        <v>0</v>
      </c>
      <c r="T52" s="164">
        <f t="shared" ca="1" si="120"/>
        <v>0</v>
      </c>
      <c r="U52" s="164">
        <f t="shared" ca="1" si="121"/>
        <v>0</v>
      </c>
      <c r="V52" s="164">
        <f t="shared" ca="1" si="122"/>
        <v>0</v>
      </c>
      <c r="W52" s="164">
        <f t="shared" ca="1" si="123"/>
        <v>0</v>
      </c>
      <c r="X52" s="164">
        <f t="shared" ca="1" si="124"/>
        <v>0</v>
      </c>
      <c r="Y52" s="164">
        <f t="shared" ca="1" si="125"/>
        <v>0</v>
      </c>
      <c r="Z52" s="164">
        <f t="shared" ca="1" si="126"/>
        <v>0</v>
      </c>
      <c r="AA52" s="164">
        <f t="shared" ca="1" si="127"/>
        <v>0</v>
      </c>
      <c r="AB52" s="164">
        <f t="shared" ca="1" si="128"/>
        <v>0</v>
      </c>
      <c r="AC52" s="164">
        <f t="shared" ca="1" si="129"/>
        <v>0</v>
      </c>
      <c r="AD52" s="164">
        <f t="shared" ca="1" si="130"/>
        <v>0</v>
      </c>
      <c r="AE52" s="164">
        <f t="shared" ca="1" si="131"/>
        <v>0</v>
      </c>
      <c r="AF52" s="164">
        <f t="shared" ca="1" si="132"/>
        <v>0</v>
      </c>
      <c r="AG52" s="164">
        <f t="shared" ca="1" si="133"/>
        <v>0</v>
      </c>
      <c r="AH52" s="164">
        <f t="shared" ca="1" si="134"/>
        <v>0</v>
      </c>
      <c r="AI52" s="164">
        <f t="shared" ca="1" si="135"/>
        <v>0</v>
      </c>
      <c r="AJ52" s="164">
        <f t="shared" ca="1" si="136"/>
        <v>0</v>
      </c>
      <c r="AK52" s="164">
        <f t="shared" ca="1" si="137"/>
        <v>0</v>
      </c>
      <c r="AL52" s="164">
        <f t="shared" ca="1" si="138"/>
        <v>0</v>
      </c>
      <c r="AM52" s="208"/>
      <c r="AO52" s="164">
        <f t="shared" ca="1" si="139"/>
        <v>0</v>
      </c>
      <c r="AP52" s="164">
        <f t="shared" ca="1" si="140"/>
        <v>0</v>
      </c>
      <c r="AQ52" s="164">
        <f t="shared" ca="1" si="141"/>
        <v>0</v>
      </c>
      <c r="AR52" s="164">
        <f t="shared" ca="1" si="142"/>
        <v>0</v>
      </c>
      <c r="AS52" s="164">
        <f t="shared" ca="1" si="143"/>
        <v>0</v>
      </c>
      <c r="AT52" s="164">
        <f t="shared" ca="1" si="144"/>
        <v>0</v>
      </c>
      <c r="AU52" s="164">
        <f t="shared" ca="1" si="145"/>
        <v>0</v>
      </c>
      <c r="AV52" s="164">
        <f t="shared" ca="1" si="146"/>
        <v>0</v>
      </c>
      <c r="AW52" s="164">
        <f t="shared" ca="1" si="147"/>
        <v>0</v>
      </c>
      <c r="AX52" s="164">
        <f t="shared" ca="1" si="148"/>
        <v>0</v>
      </c>
      <c r="AY52" s="164">
        <f t="shared" ca="1" si="149"/>
        <v>0</v>
      </c>
      <c r="AZ52" s="164">
        <f t="shared" ca="1" si="150"/>
        <v>0</v>
      </c>
      <c r="BA52" s="164">
        <f t="shared" ca="1" si="151"/>
        <v>0</v>
      </c>
      <c r="BB52" s="164">
        <f t="shared" ca="1" si="152"/>
        <v>0</v>
      </c>
      <c r="BC52" s="164">
        <f t="shared" ca="1" si="153"/>
        <v>0</v>
      </c>
      <c r="BD52" s="164">
        <f t="shared" ca="1" si="154"/>
        <v>0</v>
      </c>
      <c r="BE52" s="164">
        <f t="shared" ca="1" si="155"/>
        <v>0</v>
      </c>
      <c r="BF52" s="164">
        <f t="shared" ca="1" si="156"/>
        <v>0</v>
      </c>
      <c r="BG52" s="164">
        <f t="shared" ca="1" si="157"/>
        <v>0</v>
      </c>
      <c r="BH52" s="164">
        <f t="shared" ca="1" si="158"/>
        <v>0</v>
      </c>
      <c r="BI52" s="164">
        <f t="shared" ca="1" si="159"/>
        <v>0</v>
      </c>
      <c r="BJ52" s="164">
        <f t="shared" ca="1" si="160"/>
        <v>0</v>
      </c>
      <c r="BK52" s="164">
        <f t="shared" ca="1" si="161"/>
        <v>0</v>
      </c>
      <c r="BL52" s="164">
        <f t="shared" ca="1" si="162"/>
        <v>0</v>
      </c>
      <c r="BM52" s="164">
        <f t="shared" ca="1" si="163"/>
        <v>0</v>
      </c>
      <c r="BN52" s="164">
        <f t="shared" ca="1" si="164"/>
        <v>0</v>
      </c>
      <c r="BO52" s="356" t="str">
        <f t="shared" ca="1" si="165"/>
        <v/>
      </c>
      <c r="BP52" s="355" t="str">
        <f t="shared" ca="1" si="166"/>
        <v/>
      </c>
      <c r="BQ52" s="355" t="str">
        <f t="shared" ca="1" si="167"/>
        <v/>
      </c>
      <c r="BR52" s="348">
        <f t="shared" ca="1" si="93"/>
        <v>0</v>
      </c>
      <c r="BS52" s="348">
        <f t="shared" ca="1" si="94"/>
        <v>0</v>
      </c>
      <c r="BT52" s="610">
        <f t="shared" ca="1" si="168"/>
        <v>0</v>
      </c>
      <c r="BU52" s="357">
        <f t="shared" ca="1" si="169"/>
        <v>0</v>
      </c>
      <c r="BV52" s="357">
        <f t="shared" si="170"/>
        <v>0</v>
      </c>
      <c r="BW52" s="357">
        <f t="shared" si="171"/>
        <v>0</v>
      </c>
      <c r="BX52" s="357">
        <f t="shared" ca="1" si="172"/>
        <v>0</v>
      </c>
      <c r="BY52" s="357">
        <f t="shared" ca="1" si="95"/>
        <v>0</v>
      </c>
      <c r="BZ52" s="357"/>
      <c r="CA52" s="357">
        <f t="shared" ca="1" si="96"/>
        <v>0</v>
      </c>
      <c r="CB52" s="357" t="str">
        <f t="shared" ca="1" si="173"/>
        <v/>
      </c>
      <c r="CC52" s="358" t="str">
        <f t="shared" ca="1" si="97"/>
        <v/>
      </c>
      <c r="CD52" s="358" t="str">
        <f t="shared" ca="1" si="98"/>
        <v/>
      </c>
      <c r="CE52" s="357" t="str">
        <f t="shared" ca="1" si="209"/>
        <v>,,,,,,,,,,,,,,,,</v>
      </c>
      <c r="CF52" s="154"/>
      <c r="CG52" s="154">
        <f t="shared" ca="1" si="100"/>
        <v>0</v>
      </c>
      <c r="CH52" s="268" t="str">
        <f t="shared" ca="1" si="174"/>
        <v/>
      </c>
      <c r="CI52" s="268">
        <f t="shared" ca="1" si="175"/>
        <v>0</v>
      </c>
      <c r="CJ52" s="268" t="str">
        <f t="shared" ca="1" si="176"/>
        <v/>
      </c>
      <c r="CK52" s="268">
        <f t="shared" ca="1" si="177"/>
        <v>0</v>
      </c>
      <c r="CL52" s="268">
        <f t="shared" ca="1" si="178"/>
        <v>0</v>
      </c>
      <c r="CM52" s="154">
        <f t="shared" ca="1" si="102"/>
        <v>0</v>
      </c>
      <c r="CN52" s="154"/>
      <c r="CO52" s="169"/>
      <c r="CP52" s="169"/>
      <c r="CQ52" s="169"/>
      <c r="CR52" s="169"/>
      <c r="CS52" s="169"/>
      <c r="CT52" s="169"/>
      <c r="CU52" s="169"/>
      <c r="CV52" s="164" t="str">
        <f t="shared" ca="1" si="211"/>
        <v/>
      </c>
      <c r="CW52" s="164" t="str">
        <f t="shared" ca="1" si="211"/>
        <v/>
      </c>
      <c r="CX52" s="164" t="str">
        <f t="shared" ca="1" si="211"/>
        <v/>
      </c>
      <c r="CY52" s="164" t="str">
        <f t="shared" ca="1" si="211"/>
        <v/>
      </c>
      <c r="CZ52" s="164" t="str">
        <f t="shared" ca="1" si="211"/>
        <v/>
      </c>
      <c r="DA52" s="164" t="str">
        <f t="shared" ca="1" si="211"/>
        <v/>
      </c>
      <c r="DB52" s="164" t="str">
        <f t="shared" ca="1" si="211"/>
        <v/>
      </c>
      <c r="DC52" s="164" t="str">
        <f t="shared" ca="1" si="211"/>
        <v/>
      </c>
      <c r="DD52" s="164" t="str">
        <f t="shared" ca="1" si="211"/>
        <v/>
      </c>
      <c r="DE52" s="164" t="str">
        <f t="shared" ca="1" si="211"/>
        <v/>
      </c>
      <c r="DF52" s="164" t="str">
        <f t="shared" ca="1" si="212"/>
        <v/>
      </c>
      <c r="DG52" s="164" t="str">
        <f t="shared" ca="1" si="212"/>
        <v/>
      </c>
      <c r="DH52" s="164" t="str">
        <f t="shared" ca="1" si="212"/>
        <v/>
      </c>
      <c r="DI52" s="164" t="str">
        <f t="shared" ca="1" si="212"/>
        <v/>
      </c>
      <c r="DJ52" s="164" t="str">
        <f t="shared" ca="1" si="212"/>
        <v/>
      </c>
      <c r="DK52" s="164" t="str">
        <f t="shared" ca="1" si="212"/>
        <v/>
      </c>
      <c r="DL52" s="164" t="str">
        <f t="shared" ca="1" si="212"/>
        <v/>
      </c>
      <c r="DM52" s="164" t="str">
        <f t="shared" ca="1" si="212"/>
        <v/>
      </c>
      <c r="DN52" s="164" t="str">
        <f t="shared" ca="1" si="212"/>
        <v/>
      </c>
      <c r="DO52" s="164" t="str">
        <f t="shared" ca="1" si="212"/>
        <v/>
      </c>
      <c r="DP52" s="164" t="str">
        <f t="shared" ca="1" si="212"/>
        <v/>
      </c>
      <c r="DQ52" s="164" t="str">
        <f t="shared" ca="1" si="212"/>
        <v/>
      </c>
      <c r="DR52" s="208"/>
      <c r="DS52" s="164" t="str">
        <f t="shared" ca="1" si="181"/>
        <v/>
      </c>
      <c r="DT52" s="164" t="str">
        <f t="shared" ca="1" si="182"/>
        <v/>
      </c>
      <c r="DU52" s="164" t="str">
        <f t="shared" ca="1" si="183"/>
        <v/>
      </c>
      <c r="DV52" s="164" t="str">
        <f t="shared" ca="1" si="184"/>
        <v/>
      </c>
      <c r="DW52" s="164" t="str">
        <f t="shared" ca="1" si="185"/>
        <v/>
      </c>
      <c r="DX52" s="164" t="str">
        <f t="shared" ca="1" si="186"/>
        <v/>
      </c>
      <c r="DY52" s="164" t="str">
        <f t="shared" ca="1" si="187"/>
        <v/>
      </c>
      <c r="DZ52" s="164" t="str">
        <f t="shared" ca="1" si="188"/>
        <v/>
      </c>
      <c r="EA52" s="164" t="str">
        <f t="shared" ca="1" si="189"/>
        <v/>
      </c>
      <c r="EB52" s="164" t="str">
        <f t="shared" ca="1" si="190"/>
        <v/>
      </c>
      <c r="EC52" s="164" t="str">
        <f t="shared" ca="1" si="191"/>
        <v/>
      </c>
      <c r="ED52" s="164" t="str">
        <f t="shared" ca="1" si="192"/>
        <v/>
      </c>
      <c r="EE52" s="164" t="str">
        <f t="shared" ca="1" si="193"/>
        <v/>
      </c>
      <c r="EF52" s="164" t="str">
        <f t="shared" ca="1" si="194"/>
        <v/>
      </c>
      <c r="EG52" s="164" t="str">
        <f t="shared" ca="1" si="195"/>
        <v/>
      </c>
      <c r="EH52" s="164" t="str">
        <f t="shared" ca="1" si="196"/>
        <v/>
      </c>
      <c r="EI52" s="164" t="str">
        <f t="shared" ca="1" si="197"/>
        <v/>
      </c>
      <c r="EJ52" s="164" t="str">
        <f t="shared" ca="1" si="198"/>
        <v/>
      </c>
      <c r="EK52" s="164" t="str">
        <f t="shared" ca="1" si="199"/>
        <v/>
      </c>
      <c r="EL52" s="164" t="str">
        <f t="shared" ca="1" si="200"/>
        <v/>
      </c>
      <c r="EM52" s="164" t="str">
        <f t="shared" ca="1" si="201"/>
        <v/>
      </c>
      <c r="EN52" s="164" t="str">
        <f t="shared" ca="1" si="202"/>
        <v/>
      </c>
      <c r="EO52" s="164" t="str">
        <f t="shared" ca="1" si="203"/>
        <v/>
      </c>
      <c r="EP52" s="164" t="str">
        <f t="shared" ca="1" si="204"/>
        <v/>
      </c>
      <c r="EQ52" s="164" t="str">
        <f t="shared" ca="1" si="205"/>
        <v/>
      </c>
      <c r="ER52" s="164" t="str">
        <f t="shared" ca="1" si="206"/>
        <v/>
      </c>
      <c r="ES52" s="164" t="str">
        <f t="shared" ca="1" si="207"/>
        <v/>
      </c>
    </row>
    <row r="53" spans="1:149" x14ac:dyDescent="0.2">
      <c r="A53" s="89" t="str">
        <f t="shared" ca="1" si="210"/>
        <v/>
      </c>
      <c r="B53" s="317" t="str">
        <f t="shared" ca="1" si="112"/>
        <v/>
      </c>
      <c r="C53" s="609" t="str">
        <f t="shared" ca="1" si="113"/>
        <v/>
      </c>
      <c r="D53" s="1956" t="str">
        <f t="shared" ca="1" si="114"/>
        <v/>
      </c>
      <c r="E53" s="1956"/>
      <c r="F53" s="960"/>
      <c r="G53" s="485" t="str">
        <f t="shared" ca="1" si="115"/>
        <v/>
      </c>
      <c r="H53" s="983"/>
      <c r="I53" s="486"/>
      <c r="J53" s="972"/>
      <c r="K53" s="1886" t="str">
        <f t="shared" ca="1" si="116"/>
        <v/>
      </c>
      <c r="L53" s="1888"/>
      <c r="M53" s="296" t="str">
        <f t="shared" ca="1" si="208"/>
        <v/>
      </c>
      <c r="N53" s="1322"/>
      <c r="O53" s="1319"/>
      <c r="P53" s="957" t="str">
        <f t="shared" ca="1" si="117"/>
        <v/>
      </c>
      <c r="Q53" s="749"/>
      <c r="R53" s="164">
        <f t="shared" ca="1" si="118"/>
        <v>0</v>
      </c>
      <c r="S53" s="164">
        <f t="shared" ca="1" si="119"/>
        <v>0</v>
      </c>
      <c r="T53" s="164">
        <f t="shared" ca="1" si="120"/>
        <v>0</v>
      </c>
      <c r="U53" s="164">
        <f t="shared" ca="1" si="121"/>
        <v>0</v>
      </c>
      <c r="V53" s="164">
        <f t="shared" ca="1" si="122"/>
        <v>0</v>
      </c>
      <c r="W53" s="164">
        <f t="shared" ca="1" si="123"/>
        <v>0</v>
      </c>
      <c r="X53" s="164">
        <f t="shared" ca="1" si="124"/>
        <v>0</v>
      </c>
      <c r="Y53" s="164">
        <f t="shared" ca="1" si="125"/>
        <v>0</v>
      </c>
      <c r="Z53" s="164">
        <f t="shared" ca="1" si="126"/>
        <v>0</v>
      </c>
      <c r="AA53" s="164">
        <f t="shared" ca="1" si="127"/>
        <v>0</v>
      </c>
      <c r="AB53" s="164">
        <f t="shared" ca="1" si="128"/>
        <v>0</v>
      </c>
      <c r="AC53" s="164">
        <f t="shared" ca="1" si="129"/>
        <v>0</v>
      </c>
      <c r="AD53" s="164">
        <f t="shared" ca="1" si="130"/>
        <v>0</v>
      </c>
      <c r="AE53" s="164">
        <f t="shared" ca="1" si="131"/>
        <v>0</v>
      </c>
      <c r="AF53" s="164">
        <f t="shared" ca="1" si="132"/>
        <v>0</v>
      </c>
      <c r="AG53" s="164">
        <f t="shared" ca="1" si="133"/>
        <v>0</v>
      </c>
      <c r="AH53" s="164">
        <f t="shared" ca="1" si="134"/>
        <v>0</v>
      </c>
      <c r="AI53" s="164">
        <f t="shared" ca="1" si="135"/>
        <v>0</v>
      </c>
      <c r="AJ53" s="164">
        <f t="shared" ca="1" si="136"/>
        <v>0</v>
      </c>
      <c r="AK53" s="164">
        <f t="shared" ca="1" si="137"/>
        <v>0</v>
      </c>
      <c r="AL53" s="164">
        <f t="shared" ca="1" si="138"/>
        <v>0</v>
      </c>
      <c r="AM53" s="208"/>
      <c r="AO53" s="164">
        <f t="shared" ca="1" si="139"/>
        <v>0</v>
      </c>
      <c r="AP53" s="164">
        <f t="shared" ca="1" si="140"/>
        <v>0</v>
      </c>
      <c r="AQ53" s="164">
        <f t="shared" ca="1" si="141"/>
        <v>0</v>
      </c>
      <c r="AR53" s="164">
        <f t="shared" ca="1" si="142"/>
        <v>0</v>
      </c>
      <c r="AS53" s="164">
        <f t="shared" ca="1" si="143"/>
        <v>0</v>
      </c>
      <c r="AT53" s="164">
        <f t="shared" ca="1" si="144"/>
        <v>0</v>
      </c>
      <c r="AU53" s="164">
        <f t="shared" ca="1" si="145"/>
        <v>0</v>
      </c>
      <c r="AV53" s="164">
        <f t="shared" ca="1" si="146"/>
        <v>0</v>
      </c>
      <c r="AW53" s="164">
        <f t="shared" ca="1" si="147"/>
        <v>0</v>
      </c>
      <c r="AX53" s="164">
        <f t="shared" ca="1" si="148"/>
        <v>0</v>
      </c>
      <c r="AY53" s="164">
        <f t="shared" ca="1" si="149"/>
        <v>0</v>
      </c>
      <c r="AZ53" s="164">
        <f t="shared" ca="1" si="150"/>
        <v>0</v>
      </c>
      <c r="BA53" s="164">
        <f t="shared" ca="1" si="151"/>
        <v>0</v>
      </c>
      <c r="BB53" s="164">
        <f t="shared" ca="1" si="152"/>
        <v>0</v>
      </c>
      <c r="BC53" s="164">
        <f t="shared" ca="1" si="153"/>
        <v>0</v>
      </c>
      <c r="BD53" s="164">
        <f t="shared" ca="1" si="154"/>
        <v>0</v>
      </c>
      <c r="BE53" s="164">
        <f t="shared" ca="1" si="155"/>
        <v>0</v>
      </c>
      <c r="BF53" s="164">
        <f t="shared" ca="1" si="156"/>
        <v>0</v>
      </c>
      <c r="BG53" s="164">
        <f t="shared" ca="1" si="157"/>
        <v>0</v>
      </c>
      <c r="BH53" s="164">
        <f t="shared" ca="1" si="158"/>
        <v>0</v>
      </c>
      <c r="BI53" s="164">
        <f t="shared" ca="1" si="159"/>
        <v>0</v>
      </c>
      <c r="BJ53" s="164">
        <f t="shared" ca="1" si="160"/>
        <v>0</v>
      </c>
      <c r="BK53" s="164">
        <f t="shared" ca="1" si="161"/>
        <v>0</v>
      </c>
      <c r="BL53" s="164">
        <f t="shared" ca="1" si="162"/>
        <v>0</v>
      </c>
      <c r="BM53" s="164">
        <f t="shared" ca="1" si="163"/>
        <v>0</v>
      </c>
      <c r="BN53" s="164">
        <f t="shared" ca="1" si="164"/>
        <v>0</v>
      </c>
      <c r="BO53" s="356" t="str">
        <f t="shared" ca="1" si="165"/>
        <v/>
      </c>
      <c r="BP53" s="355" t="str">
        <f t="shared" ca="1" si="166"/>
        <v/>
      </c>
      <c r="BQ53" s="355" t="str">
        <f t="shared" ca="1" si="167"/>
        <v/>
      </c>
      <c r="BR53" s="348">
        <f t="shared" ca="1" si="93"/>
        <v>0</v>
      </c>
      <c r="BS53" s="348">
        <f t="shared" ca="1" si="94"/>
        <v>0</v>
      </c>
      <c r="BT53" s="610">
        <f t="shared" ca="1" si="168"/>
        <v>0</v>
      </c>
      <c r="BU53" s="357">
        <f t="shared" ca="1" si="169"/>
        <v>0</v>
      </c>
      <c r="BV53" s="357">
        <f t="shared" si="170"/>
        <v>0</v>
      </c>
      <c r="BW53" s="357">
        <f t="shared" si="171"/>
        <v>0</v>
      </c>
      <c r="BX53" s="357">
        <f t="shared" ca="1" si="172"/>
        <v>0</v>
      </c>
      <c r="BY53" s="357">
        <f t="shared" ca="1" si="95"/>
        <v>0</v>
      </c>
      <c r="BZ53" s="357"/>
      <c r="CA53" s="357">
        <f t="shared" ca="1" si="96"/>
        <v>0</v>
      </c>
      <c r="CB53" s="357" t="str">
        <f t="shared" ca="1" si="173"/>
        <v/>
      </c>
      <c r="CC53" s="358" t="str">
        <f t="shared" ca="1" si="97"/>
        <v/>
      </c>
      <c r="CD53" s="358" t="str">
        <f t="shared" ca="1" si="98"/>
        <v/>
      </c>
      <c r="CE53" s="357" t="str">
        <f t="shared" ca="1" si="209"/>
        <v>,,,,,,,,,,,,,,,,,</v>
      </c>
      <c r="CF53" s="154"/>
      <c r="CG53" s="154">
        <f t="shared" ca="1" si="100"/>
        <v>0</v>
      </c>
      <c r="CH53" s="268" t="str">
        <f t="shared" ca="1" si="174"/>
        <v/>
      </c>
      <c r="CI53" s="268">
        <f t="shared" ca="1" si="175"/>
        <v>0</v>
      </c>
      <c r="CJ53" s="268" t="str">
        <f t="shared" ca="1" si="176"/>
        <v/>
      </c>
      <c r="CK53" s="268">
        <f t="shared" ca="1" si="177"/>
        <v>0</v>
      </c>
      <c r="CL53" s="268">
        <f t="shared" ca="1" si="178"/>
        <v>0</v>
      </c>
      <c r="CM53" s="154">
        <f t="shared" ca="1" si="102"/>
        <v>0</v>
      </c>
      <c r="CN53" s="154"/>
      <c r="CO53" s="169"/>
      <c r="CP53" s="169"/>
      <c r="CQ53" s="169"/>
      <c r="CR53" s="169"/>
      <c r="CS53" s="169"/>
      <c r="CT53" s="169"/>
      <c r="CU53" s="169"/>
      <c r="CV53" s="164" t="str">
        <f t="shared" ca="1" si="211"/>
        <v/>
      </c>
      <c r="CW53" s="164" t="str">
        <f t="shared" ca="1" si="211"/>
        <v/>
      </c>
      <c r="CX53" s="164" t="str">
        <f t="shared" ca="1" si="211"/>
        <v/>
      </c>
      <c r="CY53" s="164" t="str">
        <f t="shared" ca="1" si="211"/>
        <v/>
      </c>
      <c r="CZ53" s="164" t="str">
        <f t="shared" ca="1" si="211"/>
        <v/>
      </c>
      <c r="DA53" s="164" t="str">
        <f t="shared" ca="1" si="211"/>
        <v/>
      </c>
      <c r="DB53" s="164" t="str">
        <f t="shared" ca="1" si="211"/>
        <v/>
      </c>
      <c r="DC53" s="164" t="str">
        <f t="shared" ca="1" si="211"/>
        <v/>
      </c>
      <c r="DD53" s="164" t="str">
        <f t="shared" ca="1" si="211"/>
        <v/>
      </c>
      <c r="DE53" s="164" t="str">
        <f t="shared" ca="1" si="211"/>
        <v/>
      </c>
      <c r="DF53" s="164" t="str">
        <f t="shared" ca="1" si="212"/>
        <v/>
      </c>
      <c r="DG53" s="164" t="str">
        <f t="shared" ca="1" si="212"/>
        <v/>
      </c>
      <c r="DH53" s="164" t="str">
        <f t="shared" ca="1" si="212"/>
        <v/>
      </c>
      <c r="DI53" s="164" t="str">
        <f t="shared" ca="1" si="212"/>
        <v/>
      </c>
      <c r="DJ53" s="164" t="str">
        <f t="shared" ca="1" si="212"/>
        <v/>
      </c>
      <c r="DK53" s="164" t="str">
        <f t="shared" ca="1" si="212"/>
        <v/>
      </c>
      <c r="DL53" s="164" t="str">
        <f t="shared" ca="1" si="212"/>
        <v/>
      </c>
      <c r="DM53" s="164" t="str">
        <f t="shared" ca="1" si="212"/>
        <v/>
      </c>
      <c r="DN53" s="164" t="str">
        <f t="shared" ca="1" si="212"/>
        <v/>
      </c>
      <c r="DO53" s="164" t="str">
        <f t="shared" ca="1" si="212"/>
        <v/>
      </c>
      <c r="DP53" s="164" t="str">
        <f t="shared" ca="1" si="212"/>
        <v/>
      </c>
      <c r="DQ53" s="164" t="str">
        <f t="shared" ca="1" si="212"/>
        <v/>
      </c>
      <c r="DR53" s="208"/>
      <c r="DS53" s="164" t="str">
        <f t="shared" ca="1" si="181"/>
        <v/>
      </c>
      <c r="DT53" s="164" t="str">
        <f t="shared" ca="1" si="182"/>
        <v/>
      </c>
      <c r="DU53" s="164" t="str">
        <f t="shared" ca="1" si="183"/>
        <v/>
      </c>
      <c r="DV53" s="164" t="str">
        <f t="shared" ca="1" si="184"/>
        <v/>
      </c>
      <c r="DW53" s="164" t="str">
        <f t="shared" ca="1" si="185"/>
        <v/>
      </c>
      <c r="DX53" s="164" t="str">
        <f t="shared" ca="1" si="186"/>
        <v/>
      </c>
      <c r="DY53" s="164" t="str">
        <f t="shared" ca="1" si="187"/>
        <v/>
      </c>
      <c r="DZ53" s="164" t="str">
        <f t="shared" ca="1" si="188"/>
        <v/>
      </c>
      <c r="EA53" s="164" t="str">
        <f t="shared" ca="1" si="189"/>
        <v/>
      </c>
      <c r="EB53" s="164" t="str">
        <f t="shared" ca="1" si="190"/>
        <v/>
      </c>
      <c r="EC53" s="164" t="str">
        <f t="shared" ca="1" si="191"/>
        <v/>
      </c>
      <c r="ED53" s="164" t="str">
        <f t="shared" ca="1" si="192"/>
        <v/>
      </c>
      <c r="EE53" s="164" t="str">
        <f t="shared" ca="1" si="193"/>
        <v/>
      </c>
      <c r="EF53" s="164" t="str">
        <f t="shared" ca="1" si="194"/>
        <v/>
      </c>
      <c r="EG53" s="164" t="str">
        <f t="shared" ca="1" si="195"/>
        <v/>
      </c>
      <c r="EH53" s="164" t="str">
        <f t="shared" ca="1" si="196"/>
        <v/>
      </c>
      <c r="EI53" s="164" t="str">
        <f t="shared" ca="1" si="197"/>
        <v/>
      </c>
      <c r="EJ53" s="164" t="str">
        <f t="shared" ca="1" si="198"/>
        <v/>
      </c>
      <c r="EK53" s="164" t="str">
        <f t="shared" ca="1" si="199"/>
        <v/>
      </c>
      <c r="EL53" s="164" t="str">
        <f t="shared" ca="1" si="200"/>
        <v/>
      </c>
      <c r="EM53" s="164" t="str">
        <f t="shared" ca="1" si="201"/>
        <v/>
      </c>
      <c r="EN53" s="164" t="str">
        <f t="shared" ca="1" si="202"/>
        <v/>
      </c>
      <c r="EO53" s="164" t="str">
        <f t="shared" ca="1" si="203"/>
        <v/>
      </c>
      <c r="EP53" s="164" t="str">
        <f t="shared" ca="1" si="204"/>
        <v/>
      </c>
      <c r="EQ53" s="164" t="str">
        <f t="shared" ca="1" si="205"/>
        <v/>
      </c>
      <c r="ER53" s="164" t="str">
        <f t="shared" ca="1" si="206"/>
        <v/>
      </c>
      <c r="ES53" s="164" t="str">
        <f t="shared" ca="1" si="207"/>
        <v/>
      </c>
    </row>
    <row r="54" spans="1:149" x14ac:dyDescent="0.2">
      <c r="A54" s="89" t="str">
        <f t="shared" ca="1" si="210"/>
        <v/>
      </c>
      <c r="B54" s="317" t="str">
        <f t="shared" ca="1" si="112"/>
        <v/>
      </c>
      <c r="C54" s="609" t="str">
        <f t="shared" ca="1" si="113"/>
        <v/>
      </c>
      <c r="D54" s="1956" t="str">
        <f t="shared" ca="1" si="114"/>
        <v/>
      </c>
      <c r="E54" s="1956"/>
      <c r="F54" s="960"/>
      <c r="G54" s="485" t="str">
        <f t="shared" ca="1" si="115"/>
        <v/>
      </c>
      <c r="H54" s="983"/>
      <c r="I54" s="486"/>
      <c r="J54" s="972"/>
      <c r="K54" s="1886" t="str">
        <f t="shared" ca="1" si="116"/>
        <v/>
      </c>
      <c r="L54" s="1888"/>
      <c r="M54" s="296" t="str">
        <f t="shared" ca="1" si="208"/>
        <v/>
      </c>
      <c r="N54" s="1322"/>
      <c r="O54" s="1319"/>
      <c r="P54" s="957" t="str">
        <f t="shared" ca="1" si="117"/>
        <v/>
      </c>
      <c r="Q54" s="749"/>
      <c r="R54" s="164">
        <f t="shared" ca="1" si="118"/>
        <v>0</v>
      </c>
      <c r="S54" s="164">
        <f t="shared" ca="1" si="119"/>
        <v>0</v>
      </c>
      <c r="T54" s="164">
        <f t="shared" ca="1" si="120"/>
        <v>0</v>
      </c>
      <c r="U54" s="164">
        <f t="shared" ca="1" si="121"/>
        <v>0</v>
      </c>
      <c r="V54" s="164">
        <f t="shared" ca="1" si="122"/>
        <v>0</v>
      </c>
      <c r="W54" s="164">
        <f t="shared" ca="1" si="123"/>
        <v>0</v>
      </c>
      <c r="X54" s="164">
        <f t="shared" ca="1" si="124"/>
        <v>0</v>
      </c>
      <c r="Y54" s="164">
        <f t="shared" ca="1" si="125"/>
        <v>0</v>
      </c>
      <c r="Z54" s="164">
        <f t="shared" ca="1" si="126"/>
        <v>0</v>
      </c>
      <c r="AA54" s="164">
        <f t="shared" ca="1" si="127"/>
        <v>0</v>
      </c>
      <c r="AB54" s="164">
        <f t="shared" ca="1" si="128"/>
        <v>0</v>
      </c>
      <c r="AC54" s="164">
        <f t="shared" ca="1" si="129"/>
        <v>0</v>
      </c>
      <c r="AD54" s="164">
        <f t="shared" ca="1" si="130"/>
        <v>0</v>
      </c>
      <c r="AE54" s="164">
        <f t="shared" ca="1" si="131"/>
        <v>0</v>
      </c>
      <c r="AF54" s="164">
        <f t="shared" ca="1" si="132"/>
        <v>0</v>
      </c>
      <c r="AG54" s="164">
        <f t="shared" ca="1" si="133"/>
        <v>0</v>
      </c>
      <c r="AH54" s="164">
        <f t="shared" ca="1" si="134"/>
        <v>0</v>
      </c>
      <c r="AI54" s="164">
        <f t="shared" ca="1" si="135"/>
        <v>0</v>
      </c>
      <c r="AJ54" s="164">
        <f t="shared" ca="1" si="136"/>
        <v>0</v>
      </c>
      <c r="AK54" s="164">
        <f t="shared" ca="1" si="137"/>
        <v>0</v>
      </c>
      <c r="AL54" s="164">
        <f t="shared" ca="1" si="138"/>
        <v>0</v>
      </c>
      <c r="AM54" s="208"/>
      <c r="AO54" s="164">
        <f t="shared" ca="1" si="139"/>
        <v>0</v>
      </c>
      <c r="AP54" s="164">
        <f t="shared" ca="1" si="140"/>
        <v>0</v>
      </c>
      <c r="AQ54" s="164">
        <f t="shared" ca="1" si="141"/>
        <v>0</v>
      </c>
      <c r="AR54" s="164">
        <f t="shared" ca="1" si="142"/>
        <v>0</v>
      </c>
      <c r="AS54" s="164">
        <f t="shared" ca="1" si="143"/>
        <v>0</v>
      </c>
      <c r="AT54" s="164">
        <f t="shared" ca="1" si="144"/>
        <v>0</v>
      </c>
      <c r="AU54" s="164">
        <f t="shared" ca="1" si="145"/>
        <v>0</v>
      </c>
      <c r="AV54" s="164">
        <f t="shared" ca="1" si="146"/>
        <v>0</v>
      </c>
      <c r="AW54" s="164">
        <f t="shared" ca="1" si="147"/>
        <v>0</v>
      </c>
      <c r="AX54" s="164">
        <f t="shared" ca="1" si="148"/>
        <v>0</v>
      </c>
      <c r="AY54" s="164">
        <f t="shared" ca="1" si="149"/>
        <v>0</v>
      </c>
      <c r="AZ54" s="164">
        <f t="shared" ca="1" si="150"/>
        <v>0</v>
      </c>
      <c r="BA54" s="164">
        <f t="shared" ca="1" si="151"/>
        <v>0</v>
      </c>
      <c r="BB54" s="164">
        <f t="shared" ca="1" si="152"/>
        <v>0</v>
      </c>
      <c r="BC54" s="164">
        <f t="shared" ca="1" si="153"/>
        <v>0</v>
      </c>
      <c r="BD54" s="164">
        <f t="shared" ca="1" si="154"/>
        <v>0</v>
      </c>
      <c r="BE54" s="164">
        <f t="shared" ca="1" si="155"/>
        <v>0</v>
      </c>
      <c r="BF54" s="164">
        <f t="shared" ca="1" si="156"/>
        <v>0</v>
      </c>
      <c r="BG54" s="164">
        <f t="shared" ca="1" si="157"/>
        <v>0</v>
      </c>
      <c r="BH54" s="164">
        <f t="shared" ca="1" si="158"/>
        <v>0</v>
      </c>
      <c r="BI54" s="164">
        <f t="shared" ca="1" si="159"/>
        <v>0</v>
      </c>
      <c r="BJ54" s="164">
        <f t="shared" ca="1" si="160"/>
        <v>0</v>
      </c>
      <c r="BK54" s="164">
        <f t="shared" ca="1" si="161"/>
        <v>0</v>
      </c>
      <c r="BL54" s="164">
        <f t="shared" ca="1" si="162"/>
        <v>0</v>
      </c>
      <c r="BM54" s="164">
        <f t="shared" ca="1" si="163"/>
        <v>0</v>
      </c>
      <c r="BN54" s="164">
        <f t="shared" ca="1" si="164"/>
        <v>0</v>
      </c>
      <c r="BO54" s="356" t="str">
        <f t="shared" ca="1" si="165"/>
        <v/>
      </c>
      <c r="BP54" s="355" t="str">
        <f t="shared" ca="1" si="166"/>
        <v/>
      </c>
      <c r="BQ54" s="355" t="str">
        <f t="shared" ca="1" si="167"/>
        <v/>
      </c>
      <c r="BR54" s="348">
        <f t="shared" ca="1" si="93"/>
        <v>0</v>
      </c>
      <c r="BS54" s="348">
        <f t="shared" ca="1" si="94"/>
        <v>0</v>
      </c>
      <c r="BT54" s="610">
        <f t="shared" ca="1" si="168"/>
        <v>0</v>
      </c>
      <c r="BU54" s="357">
        <f t="shared" ca="1" si="169"/>
        <v>0</v>
      </c>
      <c r="BV54" s="357">
        <f t="shared" si="170"/>
        <v>0</v>
      </c>
      <c r="BW54" s="357">
        <f t="shared" si="171"/>
        <v>0</v>
      </c>
      <c r="BX54" s="357">
        <f t="shared" ca="1" si="172"/>
        <v>0</v>
      </c>
      <c r="BY54" s="357">
        <f t="shared" ca="1" si="95"/>
        <v>0</v>
      </c>
      <c r="BZ54" s="357"/>
      <c r="CA54" s="357">
        <f t="shared" ca="1" si="96"/>
        <v>0</v>
      </c>
      <c r="CB54" s="357" t="str">
        <f t="shared" ca="1" si="173"/>
        <v/>
      </c>
      <c r="CC54" s="358" t="str">
        <f t="shared" ca="1" si="97"/>
        <v/>
      </c>
      <c r="CD54" s="358" t="str">
        <f t="shared" ca="1" si="98"/>
        <v/>
      </c>
      <c r="CE54" s="357" t="str">
        <f t="shared" ca="1" si="209"/>
        <v>,,,,,,,,,,,,,,,,,,</v>
      </c>
      <c r="CF54" s="154"/>
      <c r="CG54" s="154">
        <f t="shared" ca="1" si="100"/>
        <v>0</v>
      </c>
      <c r="CH54" s="268" t="str">
        <f t="shared" ca="1" si="174"/>
        <v/>
      </c>
      <c r="CI54" s="268">
        <f t="shared" ca="1" si="175"/>
        <v>0</v>
      </c>
      <c r="CJ54" s="268" t="str">
        <f t="shared" ca="1" si="176"/>
        <v/>
      </c>
      <c r="CK54" s="268">
        <f t="shared" ca="1" si="177"/>
        <v>0</v>
      </c>
      <c r="CL54" s="268">
        <f t="shared" ca="1" si="178"/>
        <v>0</v>
      </c>
      <c r="CM54" s="154">
        <f t="shared" ca="1" si="102"/>
        <v>0</v>
      </c>
      <c r="CN54" s="154"/>
      <c r="CO54" s="169"/>
      <c r="CP54" s="169"/>
      <c r="CQ54" s="169"/>
      <c r="CR54" s="169"/>
      <c r="CS54" s="169"/>
      <c r="CT54" s="169"/>
      <c r="CU54" s="169"/>
      <c r="CV54" s="164" t="str">
        <f t="shared" ca="1" si="211"/>
        <v/>
      </c>
      <c r="CW54" s="164" t="str">
        <f t="shared" ca="1" si="211"/>
        <v/>
      </c>
      <c r="CX54" s="164" t="str">
        <f t="shared" ca="1" si="211"/>
        <v/>
      </c>
      <c r="CY54" s="164" t="str">
        <f t="shared" ca="1" si="211"/>
        <v/>
      </c>
      <c r="CZ54" s="164" t="str">
        <f t="shared" ca="1" si="211"/>
        <v/>
      </c>
      <c r="DA54" s="164" t="str">
        <f t="shared" ca="1" si="211"/>
        <v/>
      </c>
      <c r="DB54" s="164" t="str">
        <f t="shared" ca="1" si="211"/>
        <v/>
      </c>
      <c r="DC54" s="164" t="str">
        <f t="shared" ca="1" si="211"/>
        <v/>
      </c>
      <c r="DD54" s="164" t="str">
        <f t="shared" ca="1" si="211"/>
        <v/>
      </c>
      <c r="DE54" s="164" t="str">
        <f t="shared" ca="1" si="211"/>
        <v/>
      </c>
      <c r="DF54" s="164" t="str">
        <f t="shared" ca="1" si="212"/>
        <v/>
      </c>
      <c r="DG54" s="164" t="str">
        <f t="shared" ca="1" si="212"/>
        <v/>
      </c>
      <c r="DH54" s="164" t="str">
        <f t="shared" ca="1" si="212"/>
        <v/>
      </c>
      <c r="DI54" s="164" t="str">
        <f t="shared" ca="1" si="212"/>
        <v/>
      </c>
      <c r="DJ54" s="164" t="str">
        <f t="shared" ca="1" si="212"/>
        <v/>
      </c>
      <c r="DK54" s="164" t="str">
        <f t="shared" ca="1" si="212"/>
        <v/>
      </c>
      <c r="DL54" s="164" t="str">
        <f t="shared" ca="1" si="212"/>
        <v/>
      </c>
      <c r="DM54" s="164" t="str">
        <f t="shared" ca="1" si="212"/>
        <v/>
      </c>
      <c r="DN54" s="164" t="str">
        <f t="shared" ca="1" si="212"/>
        <v/>
      </c>
      <c r="DO54" s="164" t="str">
        <f t="shared" ca="1" si="212"/>
        <v/>
      </c>
      <c r="DP54" s="164" t="str">
        <f t="shared" ca="1" si="212"/>
        <v/>
      </c>
      <c r="DQ54" s="164" t="str">
        <f t="shared" ca="1" si="212"/>
        <v/>
      </c>
      <c r="DR54" s="208"/>
      <c r="DS54" s="164" t="str">
        <f t="shared" ca="1" si="181"/>
        <v/>
      </c>
      <c r="DT54" s="164" t="str">
        <f t="shared" ca="1" si="182"/>
        <v/>
      </c>
      <c r="DU54" s="164" t="str">
        <f t="shared" ca="1" si="183"/>
        <v/>
      </c>
      <c r="DV54" s="164" t="str">
        <f t="shared" ca="1" si="184"/>
        <v/>
      </c>
      <c r="DW54" s="164" t="str">
        <f t="shared" ca="1" si="185"/>
        <v/>
      </c>
      <c r="DX54" s="164" t="str">
        <f t="shared" ca="1" si="186"/>
        <v/>
      </c>
      <c r="DY54" s="164" t="str">
        <f t="shared" ca="1" si="187"/>
        <v/>
      </c>
      <c r="DZ54" s="164" t="str">
        <f t="shared" ca="1" si="188"/>
        <v/>
      </c>
      <c r="EA54" s="164" t="str">
        <f t="shared" ca="1" si="189"/>
        <v/>
      </c>
      <c r="EB54" s="164" t="str">
        <f t="shared" ca="1" si="190"/>
        <v/>
      </c>
      <c r="EC54" s="164" t="str">
        <f t="shared" ca="1" si="191"/>
        <v/>
      </c>
      <c r="ED54" s="164" t="str">
        <f t="shared" ca="1" si="192"/>
        <v/>
      </c>
      <c r="EE54" s="164" t="str">
        <f t="shared" ca="1" si="193"/>
        <v/>
      </c>
      <c r="EF54" s="164" t="str">
        <f t="shared" ca="1" si="194"/>
        <v/>
      </c>
      <c r="EG54" s="164" t="str">
        <f t="shared" ca="1" si="195"/>
        <v/>
      </c>
      <c r="EH54" s="164" t="str">
        <f t="shared" ca="1" si="196"/>
        <v/>
      </c>
      <c r="EI54" s="164" t="str">
        <f t="shared" ca="1" si="197"/>
        <v/>
      </c>
      <c r="EJ54" s="164" t="str">
        <f t="shared" ca="1" si="198"/>
        <v/>
      </c>
      <c r="EK54" s="164" t="str">
        <f t="shared" ca="1" si="199"/>
        <v/>
      </c>
      <c r="EL54" s="164" t="str">
        <f t="shared" ca="1" si="200"/>
        <v/>
      </c>
      <c r="EM54" s="164" t="str">
        <f t="shared" ca="1" si="201"/>
        <v/>
      </c>
      <c r="EN54" s="164" t="str">
        <f t="shared" ca="1" si="202"/>
        <v/>
      </c>
      <c r="EO54" s="164" t="str">
        <f t="shared" ca="1" si="203"/>
        <v/>
      </c>
      <c r="EP54" s="164" t="str">
        <f t="shared" ca="1" si="204"/>
        <v/>
      </c>
      <c r="EQ54" s="164" t="str">
        <f t="shared" ca="1" si="205"/>
        <v/>
      </c>
      <c r="ER54" s="164" t="str">
        <f t="shared" ca="1" si="206"/>
        <v/>
      </c>
      <c r="ES54" s="164" t="str">
        <f t="shared" ca="1" si="207"/>
        <v/>
      </c>
    </row>
    <row r="55" spans="1:149" x14ac:dyDescent="0.2">
      <c r="A55" s="89" t="str">
        <f t="shared" ca="1" si="210"/>
        <v/>
      </c>
      <c r="B55" s="317" t="str">
        <f t="shared" ca="1" si="112"/>
        <v/>
      </c>
      <c r="C55" s="609" t="str">
        <f t="shared" ca="1" si="113"/>
        <v/>
      </c>
      <c r="D55" s="1956" t="str">
        <f t="shared" ca="1" si="114"/>
        <v/>
      </c>
      <c r="E55" s="1956"/>
      <c r="F55" s="960"/>
      <c r="G55" s="485" t="str">
        <f t="shared" ca="1" si="115"/>
        <v/>
      </c>
      <c r="H55" s="983"/>
      <c r="I55" s="486"/>
      <c r="J55" s="972"/>
      <c r="K55" s="1886" t="str">
        <f t="shared" ca="1" si="116"/>
        <v/>
      </c>
      <c r="L55" s="1888"/>
      <c r="M55" s="296" t="str">
        <f t="shared" ca="1" si="208"/>
        <v/>
      </c>
      <c r="N55" s="1322"/>
      <c r="O55" s="1319"/>
      <c r="P55" s="957" t="str">
        <f t="shared" ca="1" si="117"/>
        <v/>
      </c>
      <c r="Q55" s="749"/>
      <c r="R55" s="164">
        <f t="shared" ca="1" si="118"/>
        <v>0</v>
      </c>
      <c r="S55" s="164">
        <f t="shared" ca="1" si="119"/>
        <v>0</v>
      </c>
      <c r="T55" s="164">
        <f t="shared" ca="1" si="120"/>
        <v>0</v>
      </c>
      <c r="U55" s="164">
        <f t="shared" ca="1" si="121"/>
        <v>0</v>
      </c>
      <c r="V55" s="164">
        <f t="shared" ca="1" si="122"/>
        <v>0</v>
      </c>
      <c r="W55" s="164">
        <f t="shared" ca="1" si="123"/>
        <v>0</v>
      </c>
      <c r="X55" s="164">
        <f t="shared" ca="1" si="124"/>
        <v>0</v>
      </c>
      <c r="Y55" s="164">
        <f t="shared" ca="1" si="125"/>
        <v>0</v>
      </c>
      <c r="Z55" s="164">
        <f t="shared" ca="1" si="126"/>
        <v>0</v>
      </c>
      <c r="AA55" s="164">
        <f t="shared" ca="1" si="127"/>
        <v>0</v>
      </c>
      <c r="AB55" s="164">
        <f t="shared" ca="1" si="128"/>
        <v>0</v>
      </c>
      <c r="AC55" s="164">
        <f t="shared" ca="1" si="129"/>
        <v>0</v>
      </c>
      <c r="AD55" s="164">
        <f t="shared" ca="1" si="130"/>
        <v>0</v>
      </c>
      <c r="AE55" s="164">
        <f t="shared" ca="1" si="131"/>
        <v>0</v>
      </c>
      <c r="AF55" s="164">
        <f t="shared" ca="1" si="132"/>
        <v>0</v>
      </c>
      <c r="AG55" s="164">
        <f t="shared" ca="1" si="133"/>
        <v>0</v>
      </c>
      <c r="AH55" s="164">
        <f t="shared" ca="1" si="134"/>
        <v>0</v>
      </c>
      <c r="AI55" s="164">
        <f t="shared" ca="1" si="135"/>
        <v>0</v>
      </c>
      <c r="AJ55" s="164">
        <f t="shared" ca="1" si="136"/>
        <v>0</v>
      </c>
      <c r="AK55" s="164">
        <f t="shared" ca="1" si="137"/>
        <v>0</v>
      </c>
      <c r="AL55" s="164">
        <f t="shared" ca="1" si="138"/>
        <v>0</v>
      </c>
      <c r="AM55" s="208"/>
      <c r="AO55" s="164">
        <f t="shared" ca="1" si="139"/>
        <v>0</v>
      </c>
      <c r="AP55" s="164">
        <f t="shared" ca="1" si="140"/>
        <v>0</v>
      </c>
      <c r="AQ55" s="164">
        <f t="shared" ca="1" si="141"/>
        <v>0</v>
      </c>
      <c r="AR55" s="164">
        <f t="shared" ca="1" si="142"/>
        <v>0</v>
      </c>
      <c r="AS55" s="164">
        <f t="shared" ca="1" si="143"/>
        <v>0</v>
      </c>
      <c r="AT55" s="164">
        <f t="shared" ca="1" si="144"/>
        <v>0</v>
      </c>
      <c r="AU55" s="164">
        <f t="shared" ca="1" si="145"/>
        <v>0</v>
      </c>
      <c r="AV55" s="164">
        <f t="shared" ca="1" si="146"/>
        <v>0</v>
      </c>
      <c r="AW55" s="164">
        <f t="shared" ca="1" si="147"/>
        <v>0</v>
      </c>
      <c r="AX55" s="164">
        <f t="shared" ca="1" si="148"/>
        <v>0</v>
      </c>
      <c r="AY55" s="164">
        <f t="shared" ca="1" si="149"/>
        <v>0</v>
      </c>
      <c r="AZ55" s="164">
        <f t="shared" ca="1" si="150"/>
        <v>0</v>
      </c>
      <c r="BA55" s="164">
        <f t="shared" ca="1" si="151"/>
        <v>0</v>
      </c>
      <c r="BB55" s="164">
        <f t="shared" ca="1" si="152"/>
        <v>0</v>
      </c>
      <c r="BC55" s="164">
        <f t="shared" ca="1" si="153"/>
        <v>0</v>
      </c>
      <c r="BD55" s="164">
        <f t="shared" ca="1" si="154"/>
        <v>0</v>
      </c>
      <c r="BE55" s="164">
        <f t="shared" ca="1" si="155"/>
        <v>0</v>
      </c>
      <c r="BF55" s="164">
        <f t="shared" ca="1" si="156"/>
        <v>0</v>
      </c>
      <c r="BG55" s="164">
        <f t="shared" ca="1" si="157"/>
        <v>0</v>
      </c>
      <c r="BH55" s="164">
        <f t="shared" ca="1" si="158"/>
        <v>0</v>
      </c>
      <c r="BI55" s="164">
        <f t="shared" ca="1" si="159"/>
        <v>0</v>
      </c>
      <c r="BJ55" s="164">
        <f t="shared" ca="1" si="160"/>
        <v>0</v>
      </c>
      <c r="BK55" s="164">
        <f t="shared" ca="1" si="161"/>
        <v>0</v>
      </c>
      <c r="BL55" s="164">
        <f t="shared" ca="1" si="162"/>
        <v>0</v>
      </c>
      <c r="BM55" s="164">
        <f t="shared" ca="1" si="163"/>
        <v>0</v>
      </c>
      <c r="BN55" s="164">
        <f t="shared" ca="1" si="164"/>
        <v>0</v>
      </c>
      <c r="BO55" s="356" t="str">
        <f t="shared" ca="1" si="165"/>
        <v/>
      </c>
      <c r="BP55" s="355" t="str">
        <f t="shared" ca="1" si="166"/>
        <v/>
      </c>
      <c r="BQ55" s="355" t="str">
        <f t="shared" ca="1" si="167"/>
        <v/>
      </c>
      <c r="BR55" s="348">
        <f t="shared" ca="1" si="93"/>
        <v>0</v>
      </c>
      <c r="BS55" s="348">
        <f t="shared" ca="1" si="94"/>
        <v>0</v>
      </c>
      <c r="BT55" s="610">
        <f t="shared" ca="1" si="168"/>
        <v>0</v>
      </c>
      <c r="BU55" s="357">
        <f t="shared" ca="1" si="169"/>
        <v>0</v>
      </c>
      <c r="BV55" s="357">
        <f t="shared" si="170"/>
        <v>0</v>
      </c>
      <c r="BW55" s="357">
        <f t="shared" si="171"/>
        <v>0</v>
      </c>
      <c r="BX55" s="357">
        <f t="shared" ca="1" si="172"/>
        <v>0</v>
      </c>
      <c r="BY55" s="357">
        <f t="shared" ca="1" si="95"/>
        <v>0</v>
      </c>
      <c r="BZ55" s="357"/>
      <c r="CA55" s="357">
        <f t="shared" ca="1" si="96"/>
        <v>0</v>
      </c>
      <c r="CB55" s="357" t="str">
        <f t="shared" ca="1" si="173"/>
        <v/>
      </c>
      <c r="CC55" s="358" t="str">
        <f t="shared" ca="1" si="97"/>
        <v/>
      </c>
      <c r="CD55" s="358" t="str">
        <f t="shared" ca="1" si="98"/>
        <v/>
      </c>
      <c r="CE55" s="357" t="str">
        <f t="shared" ca="1" si="209"/>
        <v>,,,,,,,,,,,,,,,,,,,</v>
      </c>
      <c r="CF55" s="154"/>
      <c r="CG55" s="154">
        <f t="shared" ca="1" si="100"/>
        <v>0</v>
      </c>
      <c r="CH55" s="268" t="str">
        <f t="shared" ca="1" si="174"/>
        <v/>
      </c>
      <c r="CI55" s="268">
        <f t="shared" ca="1" si="175"/>
        <v>0</v>
      </c>
      <c r="CJ55" s="268" t="str">
        <f t="shared" ca="1" si="176"/>
        <v/>
      </c>
      <c r="CK55" s="268">
        <f t="shared" ca="1" si="177"/>
        <v>0</v>
      </c>
      <c r="CL55" s="268">
        <f t="shared" ca="1" si="178"/>
        <v>0</v>
      </c>
      <c r="CM55" s="154">
        <f t="shared" ca="1" si="102"/>
        <v>0</v>
      </c>
      <c r="CN55" s="154"/>
      <c r="CO55" s="169"/>
      <c r="CP55" s="169"/>
      <c r="CQ55" s="169"/>
      <c r="CR55" s="169"/>
      <c r="CS55" s="169"/>
      <c r="CT55" s="169"/>
      <c r="CU55" s="169"/>
      <c r="CV55" s="164" t="str">
        <f t="shared" ca="1" si="211"/>
        <v/>
      </c>
      <c r="CW55" s="164" t="str">
        <f t="shared" ca="1" si="211"/>
        <v/>
      </c>
      <c r="CX55" s="164" t="str">
        <f t="shared" ca="1" si="211"/>
        <v/>
      </c>
      <c r="CY55" s="164" t="str">
        <f t="shared" ca="1" si="211"/>
        <v/>
      </c>
      <c r="CZ55" s="164" t="str">
        <f t="shared" ca="1" si="211"/>
        <v/>
      </c>
      <c r="DA55" s="164" t="str">
        <f t="shared" ca="1" si="211"/>
        <v/>
      </c>
      <c r="DB55" s="164" t="str">
        <f t="shared" ca="1" si="211"/>
        <v/>
      </c>
      <c r="DC55" s="164" t="str">
        <f t="shared" ca="1" si="211"/>
        <v/>
      </c>
      <c r="DD55" s="164" t="str">
        <f t="shared" ca="1" si="211"/>
        <v/>
      </c>
      <c r="DE55" s="164" t="str">
        <f t="shared" ca="1" si="211"/>
        <v/>
      </c>
      <c r="DF55" s="164" t="str">
        <f t="shared" ca="1" si="212"/>
        <v/>
      </c>
      <c r="DG55" s="164" t="str">
        <f t="shared" ca="1" si="212"/>
        <v/>
      </c>
      <c r="DH55" s="164" t="str">
        <f t="shared" ca="1" si="212"/>
        <v/>
      </c>
      <c r="DI55" s="164" t="str">
        <f t="shared" ca="1" si="212"/>
        <v/>
      </c>
      <c r="DJ55" s="164" t="str">
        <f t="shared" ca="1" si="212"/>
        <v/>
      </c>
      <c r="DK55" s="164" t="str">
        <f t="shared" ca="1" si="212"/>
        <v/>
      </c>
      <c r="DL55" s="164" t="str">
        <f t="shared" ca="1" si="212"/>
        <v/>
      </c>
      <c r="DM55" s="164" t="str">
        <f t="shared" ca="1" si="212"/>
        <v/>
      </c>
      <c r="DN55" s="164" t="str">
        <f t="shared" ca="1" si="212"/>
        <v/>
      </c>
      <c r="DO55" s="164" t="str">
        <f t="shared" ca="1" si="212"/>
        <v/>
      </c>
      <c r="DP55" s="164" t="str">
        <f t="shared" ca="1" si="212"/>
        <v/>
      </c>
      <c r="DQ55" s="164" t="str">
        <f t="shared" ca="1" si="212"/>
        <v/>
      </c>
      <c r="DR55" s="208"/>
      <c r="DS55" s="164" t="str">
        <f t="shared" ca="1" si="181"/>
        <v/>
      </c>
      <c r="DT55" s="164" t="str">
        <f t="shared" ca="1" si="182"/>
        <v/>
      </c>
      <c r="DU55" s="164" t="str">
        <f t="shared" ca="1" si="183"/>
        <v/>
      </c>
      <c r="DV55" s="164" t="str">
        <f t="shared" ca="1" si="184"/>
        <v/>
      </c>
      <c r="DW55" s="164" t="str">
        <f t="shared" ca="1" si="185"/>
        <v/>
      </c>
      <c r="DX55" s="164" t="str">
        <f t="shared" ca="1" si="186"/>
        <v/>
      </c>
      <c r="DY55" s="164" t="str">
        <f t="shared" ca="1" si="187"/>
        <v/>
      </c>
      <c r="DZ55" s="164" t="str">
        <f t="shared" ca="1" si="188"/>
        <v/>
      </c>
      <c r="EA55" s="164" t="str">
        <f t="shared" ca="1" si="189"/>
        <v/>
      </c>
      <c r="EB55" s="164" t="str">
        <f t="shared" ca="1" si="190"/>
        <v/>
      </c>
      <c r="EC55" s="164" t="str">
        <f t="shared" ca="1" si="191"/>
        <v/>
      </c>
      <c r="ED55" s="164" t="str">
        <f t="shared" ca="1" si="192"/>
        <v/>
      </c>
      <c r="EE55" s="164" t="str">
        <f t="shared" ca="1" si="193"/>
        <v/>
      </c>
      <c r="EF55" s="164" t="str">
        <f t="shared" ca="1" si="194"/>
        <v/>
      </c>
      <c r="EG55" s="164" t="str">
        <f t="shared" ca="1" si="195"/>
        <v/>
      </c>
      <c r="EH55" s="164" t="str">
        <f t="shared" ca="1" si="196"/>
        <v/>
      </c>
      <c r="EI55" s="164" t="str">
        <f t="shared" ca="1" si="197"/>
        <v/>
      </c>
      <c r="EJ55" s="164" t="str">
        <f t="shared" ca="1" si="198"/>
        <v/>
      </c>
      <c r="EK55" s="164" t="str">
        <f t="shared" ca="1" si="199"/>
        <v/>
      </c>
      <c r="EL55" s="164" t="str">
        <f t="shared" ca="1" si="200"/>
        <v/>
      </c>
      <c r="EM55" s="164" t="str">
        <f t="shared" ca="1" si="201"/>
        <v/>
      </c>
      <c r="EN55" s="164" t="str">
        <f t="shared" ca="1" si="202"/>
        <v/>
      </c>
      <c r="EO55" s="164" t="str">
        <f t="shared" ca="1" si="203"/>
        <v/>
      </c>
      <c r="EP55" s="164" t="str">
        <f t="shared" ca="1" si="204"/>
        <v/>
      </c>
      <c r="EQ55" s="164" t="str">
        <f t="shared" ca="1" si="205"/>
        <v/>
      </c>
      <c r="ER55" s="164" t="str">
        <f t="shared" ca="1" si="206"/>
        <v/>
      </c>
      <c r="ES55" s="164" t="str">
        <f t="shared" ca="1" si="207"/>
        <v/>
      </c>
    </row>
    <row r="56" spans="1:149" x14ac:dyDescent="0.2">
      <c r="A56" s="89" t="str">
        <f t="shared" ca="1" si="210"/>
        <v/>
      </c>
      <c r="B56" s="317" t="str">
        <f t="shared" ca="1" si="112"/>
        <v/>
      </c>
      <c r="C56" s="609" t="str">
        <f t="shared" ca="1" si="113"/>
        <v/>
      </c>
      <c r="D56" s="1956" t="str">
        <f t="shared" ca="1" si="114"/>
        <v/>
      </c>
      <c r="E56" s="1956"/>
      <c r="F56" s="960"/>
      <c r="G56" s="485" t="str">
        <f t="shared" ca="1" si="115"/>
        <v/>
      </c>
      <c r="H56" s="983"/>
      <c r="I56" s="486"/>
      <c r="J56" s="972"/>
      <c r="K56" s="1886" t="str">
        <f t="shared" ca="1" si="116"/>
        <v/>
      </c>
      <c r="L56" s="1888"/>
      <c r="M56" s="296" t="str">
        <f t="shared" ca="1" si="208"/>
        <v/>
      </c>
      <c r="N56" s="1322"/>
      <c r="O56" s="1319"/>
      <c r="P56" s="957" t="str">
        <f t="shared" ca="1" si="117"/>
        <v/>
      </c>
      <c r="Q56" s="749"/>
      <c r="R56" s="164">
        <f t="shared" ca="1" si="118"/>
        <v>0</v>
      </c>
      <c r="S56" s="164">
        <f t="shared" ca="1" si="119"/>
        <v>0</v>
      </c>
      <c r="T56" s="164">
        <f t="shared" ca="1" si="120"/>
        <v>0</v>
      </c>
      <c r="U56" s="164">
        <f t="shared" ca="1" si="121"/>
        <v>0</v>
      </c>
      <c r="V56" s="164">
        <f t="shared" ca="1" si="122"/>
        <v>0</v>
      </c>
      <c r="W56" s="164">
        <f t="shared" ca="1" si="123"/>
        <v>0</v>
      </c>
      <c r="X56" s="164">
        <f t="shared" ca="1" si="124"/>
        <v>0</v>
      </c>
      <c r="Y56" s="164">
        <f t="shared" ca="1" si="125"/>
        <v>0</v>
      </c>
      <c r="Z56" s="164">
        <f t="shared" ca="1" si="126"/>
        <v>0</v>
      </c>
      <c r="AA56" s="164">
        <f t="shared" ca="1" si="127"/>
        <v>0</v>
      </c>
      <c r="AB56" s="164">
        <f t="shared" ca="1" si="128"/>
        <v>0</v>
      </c>
      <c r="AC56" s="164">
        <f t="shared" ca="1" si="129"/>
        <v>0</v>
      </c>
      <c r="AD56" s="164">
        <f t="shared" ca="1" si="130"/>
        <v>0</v>
      </c>
      <c r="AE56" s="164">
        <f t="shared" ca="1" si="131"/>
        <v>0</v>
      </c>
      <c r="AF56" s="164">
        <f t="shared" ca="1" si="132"/>
        <v>0</v>
      </c>
      <c r="AG56" s="164">
        <f t="shared" ca="1" si="133"/>
        <v>0</v>
      </c>
      <c r="AH56" s="164">
        <f t="shared" ca="1" si="134"/>
        <v>0</v>
      </c>
      <c r="AI56" s="164">
        <f t="shared" ca="1" si="135"/>
        <v>0</v>
      </c>
      <c r="AJ56" s="164">
        <f t="shared" ca="1" si="136"/>
        <v>0</v>
      </c>
      <c r="AK56" s="164">
        <f t="shared" ca="1" si="137"/>
        <v>0</v>
      </c>
      <c r="AL56" s="164">
        <f t="shared" ca="1" si="138"/>
        <v>0</v>
      </c>
      <c r="AM56" s="208"/>
      <c r="AO56" s="164">
        <f t="shared" ca="1" si="139"/>
        <v>0</v>
      </c>
      <c r="AP56" s="164">
        <f t="shared" ca="1" si="140"/>
        <v>0</v>
      </c>
      <c r="AQ56" s="164">
        <f t="shared" ca="1" si="141"/>
        <v>0</v>
      </c>
      <c r="AR56" s="164">
        <f t="shared" ca="1" si="142"/>
        <v>0</v>
      </c>
      <c r="AS56" s="164">
        <f t="shared" ca="1" si="143"/>
        <v>0</v>
      </c>
      <c r="AT56" s="164">
        <f t="shared" ca="1" si="144"/>
        <v>0</v>
      </c>
      <c r="AU56" s="164">
        <f t="shared" ca="1" si="145"/>
        <v>0</v>
      </c>
      <c r="AV56" s="164">
        <f t="shared" ca="1" si="146"/>
        <v>0</v>
      </c>
      <c r="AW56" s="164">
        <f t="shared" ca="1" si="147"/>
        <v>0</v>
      </c>
      <c r="AX56" s="164">
        <f t="shared" ca="1" si="148"/>
        <v>0</v>
      </c>
      <c r="AY56" s="164">
        <f t="shared" ca="1" si="149"/>
        <v>0</v>
      </c>
      <c r="AZ56" s="164">
        <f t="shared" ca="1" si="150"/>
        <v>0</v>
      </c>
      <c r="BA56" s="164">
        <f t="shared" ca="1" si="151"/>
        <v>0</v>
      </c>
      <c r="BB56" s="164">
        <f t="shared" ca="1" si="152"/>
        <v>0</v>
      </c>
      <c r="BC56" s="164">
        <f t="shared" ca="1" si="153"/>
        <v>0</v>
      </c>
      <c r="BD56" s="164">
        <f t="shared" ca="1" si="154"/>
        <v>0</v>
      </c>
      <c r="BE56" s="164">
        <f t="shared" ca="1" si="155"/>
        <v>0</v>
      </c>
      <c r="BF56" s="164">
        <f t="shared" ca="1" si="156"/>
        <v>0</v>
      </c>
      <c r="BG56" s="164">
        <f t="shared" ca="1" si="157"/>
        <v>0</v>
      </c>
      <c r="BH56" s="164">
        <f t="shared" ca="1" si="158"/>
        <v>0</v>
      </c>
      <c r="BI56" s="164">
        <f t="shared" ca="1" si="159"/>
        <v>0</v>
      </c>
      <c r="BJ56" s="164">
        <f t="shared" ca="1" si="160"/>
        <v>0</v>
      </c>
      <c r="BK56" s="164">
        <f t="shared" ca="1" si="161"/>
        <v>0</v>
      </c>
      <c r="BL56" s="164">
        <f t="shared" ca="1" si="162"/>
        <v>0</v>
      </c>
      <c r="BM56" s="164">
        <f t="shared" ca="1" si="163"/>
        <v>0</v>
      </c>
      <c r="BN56" s="164">
        <f t="shared" ca="1" si="164"/>
        <v>0</v>
      </c>
      <c r="BO56" s="356" t="str">
        <f t="shared" ca="1" si="165"/>
        <v/>
      </c>
      <c r="BP56" s="355" t="str">
        <f t="shared" ca="1" si="166"/>
        <v/>
      </c>
      <c r="BQ56" s="355" t="str">
        <f t="shared" ca="1" si="167"/>
        <v/>
      </c>
      <c r="BR56" s="348">
        <f t="shared" ca="1" si="93"/>
        <v>0</v>
      </c>
      <c r="BS56" s="348">
        <f t="shared" ca="1" si="94"/>
        <v>0</v>
      </c>
      <c r="BT56" s="610">
        <f t="shared" ca="1" si="168"/>
        <v>0</v>
      </c>
      <c r="BU56" s="357">
        <f t="shared" ca="1" si="169"/>
        <v>0</v>
      </c>
      <c r="BV56" s="357">
        <f t="shared" si="170"/>
        <v>0</v>
      </c>
      <c r="BW56" s="357">
        <f t="shared" si="171"/>
        <v>0</v>
      </c>
      <c r="BX56" s="357">
        <f t="shared" ca="1" si="172"/>
        <v>0</v>
      </c>
      <c r="BY56" s="357">
        <f t="shared" ca="1" si="95"/>
        <v>0</v>
      </c>
      <c r="BZ56" s="357"/>
      <c r="CA56" s="357">
        <f t="shared" ca="1" si="96"/>
        <v>0</v>
      </c>
      <c r="CB56" s="357" t="str">
        <f t="shared" ca="1" si="173"/>
        <v/>
      </c>
      <c r="CC56" s="358" t="str">
        <f t="shared" ca="1" si="97"/>
        <v/>
      </c>
      <c r="CD56" s="358" t="str">
        <f t="shared" ca="1" si="98"/>
        <v/>
      </c>
      <c r="CE56" s="357" t="str">
        <f t="shared" ca="1" si="209"/>
        <v>,,,,,,,,,,,,,,,,,,,,</v>
      </c>
      <c r="CF56" s="154"/>
      <c r="CG56" s="154">
        <f t="shared" ca="1" si="100"/>
        <v>0</v>
      </c>
      <c r="CH56" s="268" t="str">
        <f t="shared" ca="1" si="174"/>
        <v/>
      </c>
      <c r="CI56" s="268">
        <f t="shared" ca="1" si="175"/>
        <v>0</v>
      </c>
      <c r="CJ56" s="268" t="str">
        <f t="shared" ca="1" si="176"/>
        <v/>
      </c>
      <c r="CK56" s="268">
        <f t="shared" ca="1" si="177"/>
        <v>0</v>
      </c>
      <c r="CL56" s="268">
        <f t="shared" ca="1" si="178"/>
        <v>0</v>
      </c>
      <c r="CM56" s="154">
        <f t="shared" ca="1" si="102"/>
        <v>0</v>
      </c>
      <c r="CN56" s="154"/>
      <c r="CO56" s="169"/>
      <c r="CP56" s="169"/>
      <c r="CQ56" s="169"/>
      <c r="CR56" s="169"/>
      <c r="CS56" s="169"/>
      <c r="CT56" s="169"/>
      <c r="CU56" s="169"/>
      <c r="CV56" s="164" t="str">
        <f t="shared" ca="1" si="211"/>
        <v/>
      </c>
      <c r="CW56" s="164" t="str">
        <f t="shared" ca="1" si="211"/>
        <v/>
      </c>
      <c r="CX56" s="164" t="str">
        <f t="shared" ca="1" si="211"/>
        <v/>
      </c>
      <c r="CY56" s="164" t="str">
        <f t="shared" ca="1" si="211"/>
        <v/>
      </c>
      <c r="CZ56" s="164" t="str">
        <f t="shared" ca="1" si="211"/>
        <v/>
      </c>
      <c r="DA56" s="164" t="str">
        <f t="shared" ca="1" si="211"/>
        <v/>
      </c>
      <c r="DB56" s="164" t="str">
        <f t="shared" ca="1" si="211"/>
        <v/>
      </c>
      <c r="DC56" s="164" t="str">
        <f t="shared" ca="1" si="211"/>
        <v/>
      </c>
      <c r="DD56" s="164" t="str">
        <f t="shared" ca="1" si="211"/>
        <v/>
      </c>
      <c r="DE56" s="164" t="str">
        <f t="shared" ca="1" si="211"/>
        <v/>
      </c>
      <c r="DF56" s="164" t="str">
        <f t="shared" ca="1" si="212"/>
        <v/>
      </c>
      <c r="DG56" s="164" t="str">
        <f t="shared" ca="1" si="212"/>
        <v/>
      </c>
      <c r="DH56" s="164" t="str">
        <f t="shared" ca="1" si="212"/>
        <v/>
      </c>
      <c r="DI56" s="164" t="str">
        <f t="shared" ca="1" si="212"/>
        <v/>
      </c>
      <c r="DJ56" s="164" t="str">
        <f t="shared" ca="1" si="212"/>
        <v/>
      </c>
      <c r="DK56" s="164" t="str">
        <f t="shared" ca="1" si="212"/>
        <v/>
      </c>
      <c r="DL56" s="164" t="str">
        <f t="shared" ca="1" si="212"/>
        <v/>
      </c>
      <c r="DM56" s="164" t="str">
        <f t="shared" ca="1" si="212"/>
        <v/>
      </c>
      <c r="DN56" s="164" t="str">
        <f t="shared" ca="1" si="212"/>
        <v/>
      </c>
      <c r="DO56" s="164" t="str">
        <f t="shared" ca="1" si="212"/>
        <v/>
      </c>
      <c r="DP56" s="164" t="str">
        <f t="shared" ca="1" si="212"/>
        <v/>
      </c>
      <c r="DQ56" s="164" t="str">
        <f t="shared" ca="1" si="212"/>
        <v/>
      </c>
      <c r="DR56" s="208"/>
      <c r="DS56" s="164" t="str">
        <f t="shared" ca="1" si="181"/>
        <v/>
      </c>
      <c r="DT56" s="164" t="str">
        <f t="shared" ca="1" si="182"/>
        <v/>
      </c>
      <c r="DU56" s="164" t="str">
        <f t="shared" ca="1" si="183"/>
        <v/>
      </c>
      <c r="DV56" s="164" t="str">
        <f t="shared" ca="1" si="184"/>
        <v/>
      </c>
      <c r="DW56" s="164" t="str">
        <f t="shared" ca="1" si="185"/>
        <v/>
      </c>
      <c r="DX56" s="164" t="str">
        <f t="shared" ca="1" si="186"/>
        <v/>
      </c>
      <c r="DY56" s="164" t="str">
        <f t="shared" ca="1" si="187"/>
        <v/>
      </c>
      <c r="DZ56" s="164" t="str">
        <f t="shared" ca="1" si="188"/>
        <v/>
      </c>
      <c r="EA56" s="164" t="str">
        <f t="shared" ca="1" si="189"/>
        <v/>
      </c>
      <c r="EB56" s="164" t="str">
        <f t="shared" ca="1" si="190"/>
        <v/>
      </c>
      <c r="EC56" s="164" t="str">
        <f t="shared" ca="1" si="191"/>
        <v/>
      </c>
      <c r="ED56" s="164" t="str">
        <f t="shared" ca="1" si="192"/>
        <v/>
      </c>
      <c r="EE56" s="164" t="str">
        <f t="shared" ca="1" si="193"/>
        <v/>
      </c>
      <c r="EF56" s="164" t="str">
        <f t="shared" ca="1" si="194"/>
        <v/>
      </c>
      <c r="EG56" s="164" t="str">
        <f t="shared" ca="1" si="195"/>
        <v/>
      </c>
      <c r="EH56" s="164" t="str">
        <f t="shared" ca="1" si="196"/>
        <v/>
      </c>
      <c r="EI56" s="164" t="str">
        <f t="shared" ca="1" si="197"/>
        <v/>
      </c>
      <c r="EJ56" s="164" t="str">
        <f t="shared" ca="1" si="198"/>
        <v/>
      </c>
      <c r="EK56" s="164" t="str">
        <f t="shared" ca="1" si="199"/>
        <v/>
      </c>
      <c r="EL56" s="164" t="str">
        <f t="shared" ca="1" si="200"/>
        <v/>
      </c>
      <c r="EM56" s="164" t="str">
        <f t="shared" ca="1" si="201"/>
        <v/>
      </c>
      <c r="EN56" s="164" t="str">
        <f t="shared" ca="1" si="202"/>
        <v/>
      </c>
      <c r="EO56" s="164" t="str">
        <f t="shared" ca="1" si="203"/>
        <v/>
      </c>
      <c r="EP56" s="164" t="str">
        <f t="shared" ca="1" si="204"/>
        <v/>
      </c>
      <c r="EQ56" s="164" t="str">
        <f t="shared" ca="1" si="205"/>
        <v/>
      </c>
      <c r="ER56" s="164" t="str">
        <f t="shared" ca="1" si="206"/>
        <v/>
      </c>
      <c r="ES56" s="164" t="str">
        <f t="shared" ca="1" si="207"/>
        <v/>
      </c>
    </row>
    <row r="57" spans="1:149" x14ac:dyDescent="0.2">
      <c r="A57" s="89" t="str">
        <f t="shared" ca="1" si="210"/>
        <v/>
      </c>
      <c r="B57" s="317" t="str">
        <f t="shared" ca="1" si="112"/>
        <v/>
      </c>
      <c r="C57" s="609" t="str">
        <f t="shared" ca="1" si="113"/>
        <v/>
      </c>
      <c r="D57" s="1956" t="str">
        <f t="shared" ca="1" si="114"/>
        <v/>
      </c>
      <c r="E57" s="1956"/>
      <c r="F57" s="960"/>
      <c r="G57" s="485" t="str">
        <f t="shared" ca="1" si="115"/>
        <v/>
      </c>
      <c r="H57" s="983"/>
      <c r="I57" s="486"/>
      <c r="J57" s="972"/>
      <c r="K57" s="1886" t="str">
        <f t="shared" ca="1" si="116"/>
        <v/>
      </c>
      <c r="L57" s="1888"/>
      <c r="M57" s="296" t="str">
        <f t="shared" ca="1" si="208"/>
        <v/>
      </c>
      <c r="N57" s="1322"/>
      <c r="O57" s="1319"/>
      <c r="P57" s="957" t="str">
        <f t="shared" ca="1" si="117"/>
        <v/>
      </c>
      <c r="Q57" s="749"/>
      <c r="R57" s="164">
        <f t="shared" ca="1" si="118"/>
        <v>0</v>
      </c>
      <c r="S57" s="164">
        <f t="shared" ca="1" si="119"/>
        <v>0</v>
      </c>
      <c r="T57" s="164">
        <f t="shared" ca="1" si="120"/>
        <v>0</v>
      </c>
      <c r="U57" s="164">
        <f t="shared" ca="1" si="121"/>
        <v>0</v>
      </c>
      <c r="V57" s="164">
        <f t="shared" ca="1" si="122"/>
        <v>0</v>
      </c>
      <c r="W57" s="164">
        <f t="shared" ca="1" si="123"/>
        <v>0</v>
      </c>
      <c r="X57" s="164">
        <f t="shared" ca="1" si="124"/>
        <v>0</v>
      </c>
      <c r="Y57" s="164">
        <f t="shared" ca="1" si="125"/>
        <v>0</v>
      </c>
      <c r="Z57" s="164">
        <f t="shared" ca="1" si="126"/>
        <v>0</v>
      </c>
      <c r="AA57" s="164">
        <f t="shared" ca="1" si="127"/>
        <v>0</v>
      </c>
      <c r="AB57" s="164">
        <f t="shared" ca="1" si="128"/>
        <v>0</v>
      </c>
      <c r="AC57" s="164">
        <f t="shared" ca="1" si="129"/>
        <v>0</v>
      </c>
      <c r="AD57" s="164">
        <f t="shared" ca="1" si="130"/>
        <v>0</v>
      </c>
      <c r="AE57" s="164">
        <f t="shared" ca="1" si="131"/>
        <v>0</v>
      </c>
      <c r="AF57" s="164">
        <f t="shared" ca="1" si="132"/>
        <v>0</v>
      </c>
      <c r="AG57" s="164">
        <f t="shared" ca="1" si="133"/>
        <v>0</v>
      </c>
      <c r="AH57" s="164">
        <f t="shared" ca="1" si="134"/>
        <v>0</v>
      </c>
      <c r="AI57" s="164">
        <f t="shared" ca="1" si="135"/>
        <v>0</v>
      </c>
      <c r="AJ57" s="164">
        <f t="shared" ca="1" si="136"/>
        <v>0</v>
      </c>
      <c r="AK57" s="164">
        <f t="shared" ca="1" si="137"/>
        <v>0</v>
      </c>
      <c r="AL57" s="164">
        <f t="shared" ca="1" si="138"/>
        <v>0</v>
      </c>
      <c r="AM57" s="208"/>
      <c r="AN57" s="74"/>
      <c r="AO57" s="164">
        <f t="shared" ca="1" si="139"/>
        <v>0</v>
      </c>
      <c r="AP57" s="164">
        <f t="shared" ca="1" si="140"/>
        <v>0</v>
      </c>
      <c r="AQ57" s="164">
        <f t="shared" ca="1" si="141"/>
        <v>0</v>
      </c>
      <c r="AR57" s="164">
        <f t="shared" ca="1" si="142"/>
        <v>0</v>
      </c>
      <c r="AS57" s="164">
        <f t="shared" ca="1" si="143"/>
        <v>0</v>
      </c>
      <c r="AT57" s="164">
        <f t="shared" ca="1" si="144"/>
        <v>0</v>
      </c>
      <c r="AU57" s="164">
        <f t="shared" ca="1" si="145"/>
        <v>0</v>
      </c>
      <c r="AV57" s="164">
        <f t="shared" ca="1" si="146"/>
        <v>0</v>
      </c>
      <c r="AW57" s="164">
        <f t="shared" ca="1" si="147"/>
        <v>0</v>
      </c>
      <c r="AX57" s="164">
        <f t="shared" ca="1" si="148"/>
        <v>0</v>
      </c>
      <c r="AY57" s="164">
        <f t="shared" ca="1" si="149"/>
        <v>0</v>
      </c>
      <c r="AZ57" s="164">
        <f t="shared" ca="1" si="150"/>
        <v>0</v>
      </c>
      <c r="BA57" s="164">
        <f t="shared" ca="1" si="151"/>
        <v>0</v>
      </c>
      <c r="BB57" s="164">
        <f t="shared" ca="1" si="152"/>
        <v>0</v>
      </c>
      <c r="BC57" s="164">
        <f t="shared" ca="1" si="153"/>
        <v>0</v>
      </c>
      <c r="BD57" s="164">
        <f t="shared" ca="1" si="154"/>
        <v>0</v>
      </c>
      <c r="BE57" s="164">
        <f t="shared" ca="1" si="155"/>
        <v>0</v>
      </c>
      <c r="BF57" s="164">
        <f t="shared" ca="1" si="156"/>
        <v>0</v>
      </c>
      <c r="BG57" s="164">
        <f t="shared" ca="1" si="157"/>
        <v>0</v>
      </c>
      <c r="BH57" s="164">
        <f t="shared" ca="1" si="158"/>
        <v>0</v>
      </c>
      <c r="BI57" s="164">
        <f t="shared" ca="1" si="159"/>
        <v>0</v>
      </c>
      <c r="BJ57" s="164">
        <f t="shared" ca="1" si="160"/>
        <v>0</v>
      </c>
      <c r="BK57" s="164">
        <f t="shared" ca="1" si="161"/>
        <v>0</v>
      </c>
      <c r="BL57" s="164">
        <f t="shared" ca="1" si="162"/>
        <v>0</v>
      </c>
      <c r="BM57" s="164">
        <f t="shared" ca="1" si="163"/>
        <v>0</v>
      </c>
      <c r="BN57" s="164">
        <f t="shared" ca="1" si="164"/>
        <v>0</v>
      </c>
      <c r="BO57" s="356" t="str">
        <f t="shared" ca="1" si="165"/>
        <v/>
      </c>
      <c r="BP57" s="355" t="str">
        <f t="shared" ca="1" si="166"/>
        <v/>
      </c>
      <c r="BQ57" s="355" t="str">
        <f t="shared" ca="1" si="167"/>
        <v/>
      </c>
      <c r="BR57" s="348">
        <f t="shared" ca="1" si="93"/>
        <v>0</v>
      </c>
      <c r="BS57" s="348">
        <f t="shared" ca="1" si="94"/>
        <v>0</v>
      </c>
      <c r="BT57" s="610">
        <f t="shared" ca="1" si="168"/>
        <v>0</v>
      </c>
      <c r="BU57" s="357">
        <f t="shared" ca="1" si="169"/>
        <v>0</v>
      </c>
      <c r="BV57" s="357">
        <f t="shared" si="170"/>
        <v>0</v>
      </c>
      <c r="BW57" s="357">
        <f t="shared" si="171"/>
        <v>0</v>
      </c>
      <c r="BX57" s="357">
        <f t="shared" ca="1" si="172"/>
        <v>0</v>
      </c>
      <c r="BY57" s="357">
        <f t="shared" ca="1" si="95"/>
        <v>0</v>
      </c>
      <c r="BZ57" s="357"/>
      <c r="CA57" s="357">
        <f t="shared" ca="1" si="96"/>
        <v>0</v>
      </c>
      <c r="CB57" s="357" t="str">
        <f t="shared" ca="1" si="173"/>
        <v/>
      </c>
      <c r="CC57" s="358" t="str">
        <f t="shared" ca="1" si="97"/>
        <v/>
      </c>
      <c r="CD57" s="358" t="str">
        <f t="shared" ca="1" si="98"/>
        <v/>
      </c>
      <c r="CE57" s="357" t="str">
        <f t="shared" ca="1" si="209"/>
        <v>,,,,,,,,,,,,,,,,,,,,,</v>
      </c>
      <c r="CF57" s="154"/>
      <c r="CG57" s="154">
        <f t="shared" ca="1" si="100"/>
        <v>0</v>
      </c>
      <c r="CH57" s="268" t="str">
        <f t="shared" ca="1" si="174"/>
        <v/>
      </c>
      <c r="CI57" s="268">
        <f t="shared" ca="1" si="175"/>
        <v>0</v>
      </c>
      <c r="CJ57" s="268" t="str">
        <f t="shared" ca="1" si="176"/>
        <v/>
      </c>
      <c r="CK57" s="268">
        <f t="shared" ca="1" si="177"/>
        <v>0</v>
      </c>
      <c r="CL57" s="268">
        <f t="shared" ca="1" si="178"/>
        <v>0</v>
      </c>
      <c r="CM57" s="154">
        <f t="shared" ca="1" si="102"/>
        <v>0</v>
      </c>
      <c r="CN57" s="154"/>
      <c r="CO57" s="169"/>
      <c r="CP57" s="169"/>
      <c r="CQ57" s="169"/>
      <c r="CR57" s="169"/>
      <c r="CS57" s="169"/>
      <c r="CT57" s="169"/>
      <c r="CU57" s="169"/>
      <c r="CV57" s="164" t="str">
        <f t="shared" ca="1" si="211"/>
        <v/>
      </c>
      <c r="CW57" s="164" t="str">
        <f t="shared" ca="1" si="211"/>
        <v/>
      </c>
      <c r="CX57" s="164" t="str">
        <f t="shared" ca="1" si="211"/>
        <v/>
      </c>
      <c r="CY57" s="164" t="str">
        <f t="shared" ca="1" si="211"/>
        <v/>
      </c>
      <c r="CZ57" s="164" t="str">
        <f t="shared" ca="1" si="211"/>
        <v/>
      </c>
      <c r="DA57" s="164" t="str">
        <f t="shared" ca="1" si="211"/>
        <v/>
      </c>
      <c r="DB57" s="164" t="str">
        <f t="shared" ca="1" si="211"/>
        <v/>
      </c>
      <c r="DC57" s="164" t="str">
        <f t="shared" ca="1" si="211"/>
        <v/>
      </c>
      <c r="DD57" s="164" t="str">
        <f t="shared" ca="1" si="211"/>
        <v/>
      </c>
      <c r="DE57" s="164" t="str">
        <f t="shared" ca="1" si="211"/>
        <v/>
      </c>
      <c r="DF57" s="164" t="str">
        <f t="shared" ca="1" si="212"/>
        <v/>
      </c>
      <c r="DG57" s="164" t="str">
        <f t="shared" ca="1" si="212"/>
        <v/>
      </c>
      <c r="DH57" s="164" t="str">
        <f t="shared" ca="1" si="212"/>
        <v/>
      </c>
      <c r="DI57" s="164" t="str">
        <f t="shared" ca="1" si="212"/>
        <v/>
      </c>
      <c r="DJ57" s="164" t="str">
        <f t="shared" ca="1" si="212"/>
        <v/>
      </c>
      <c r="DK57" s="164" t="str">
        <f t="shared" ca="1" si="212"/>
        <v/>
      </c>
      <c r="DL57" s="164" t="str">
        <f t="shared" ca="1" si="212"/>
        <v/>
      </c>
      <c r="DM57" s="164" t="str">
        <f t="shared" ca="1" si="212"/>
        <v/>
      </c>
      <c r="DN57" s="164" t="str">
        <f t="shared" ca="1" si="212"/>
        <v/>
      </c>
      <c r="DO57" s="164" t="str">
        <f t="shared" ca="1" si="212"/>
        <v/>
      </c>
      <c r="DP57" s="164" t="str">
        <f t="shared" ca="1" si="212"/>
        <v/>
      </c>
      <c r="DQ57" s="164" t="str">
        <f t="shared" ca="1" si="212"/>
        <v/>
      </c>
      <c r="DR57" s="208"/>
      <c r="DS57" s="164" t="str">
        <f t="shared" ca="1" si="181"/>
        <v/>
      </c>
      <c r="DT57" s="164" t="str">
        <f t="shared" ca="1" si="182"/>
        <v/>
      </c>
      <c r="DU57" s="164" t="str">
        <f t="shared" ca="1" si="183"/>
        <v/>
      </c>
      <c r="DV57" s="164" t="str">
        <f t="shared" ca="1" si="184"/>
        <v/>
      </c>
      <c r="DW57" s="164" t="str">
        <f t="shared" ca="1" si="185"/>
        <v/>
      </c>
      <c r="DX57" s="164" t="str">
        <f t="shared" ca="1" si="186"/>
        <v/>
      </c>
      <c r="DY57" s="164" t="str">
        <f t="shared" ca="1" si="187"/>
        <v/>
      </c>
      <c r="DZ57" s="164" t="str">
        <f t="shared" ca="1" si="188"/>
        <v/>
      </c>
      <c r="EA57" s="164" t="str">
        <f t="shared" ca="1" si="189"/>
        <v/>
      </c>
      <c r="EB57" s="164" t="str">
        <f t="shared" ca="1" si="190"/>
        <v/>
      </c>
      <c r="EC57" s="164" t="str">
        <f t="shared" ca="1" si="191"/>
        <v/>
      </c>
      <c r="ED57" s="164" t="str">
        <f t="shared" ca="1" si="192"/>
        <v/>
      </c>
      <c r="EE57" s="164" t="str">
        <f t="shared" ca="1" si="193"/>
        <v/>
      </c>
      <c r="EF57" s="164" t="str">
        <f t="shared" ca="1" si="194"/>
        <v/>
      </c>
      <c r="EG57" s="164" t="str">
        <f t="shared" ca="1" si="195"/>
        <v/>
      </c>
      <c r="EH57" s="164" t="str">
        <f t="shared" ca="1" si="196"/>
        <v/>
      </c>
      <c r="EI57" s="164" t="str">
        <f t="shared" ca="1" si="197"/>
        <v/>
      </c>
      <c r="EJ57" s="164" t="str">
        <f t="shared" ca="1" si="198"/>
        <v/>
      </c>
      <c r="EK57" s="164" t="str">
        <f t="shared" ca="1" si="199"/>
        <v/>
      </c>
      <c r="EL57" s="164" t="str">
        <f t="shared" ca="1" si="200"/>
        <v/>
      </c>
      <c r="EM57" s="164" t="str">
        <f t="shared" ca="1" si="201"/>
        <v/>
      </c>
      <c r="EN57" s="164" t="str">
        <f t="shared" ca="1" si="202"/>
        <v/>
      </c>
      <c r="EO57" s="164" t="str">
        <f t="shared" ca="1" si="203"/>
        <v/>
      </c>
      <c r="EP57" s="164" t="str">
        <f t="shared" ca="1" si="204"/>
        <v/>
      </c>
      <c r="EQ57" s="164" t="str">
        <f t="shared" ca="1" si="205"/>
        <v/>
      </c>
      <c r="ER57" s="164" t="str">
        <f t="shared" ca="1" si="206"/>
        <v/>
      </c>
      <c r="ES57" s="164" t="str">
        <f t="shared" ca="1" si="207"/>
        <v/>
      </c>
    </row>
    <row r="58" spans="1:149" x14ac:dyDescent="0.2">
      <c r="A58" s="89" t="str">
        <f t="shared" ca="1" si="210"/>
        <v/>
      </c>
      <c r="B58" s="317" t="str">
        <f t="shared" ca="1" si="112"/>
        <v/>
      </c>
      <c r="C58" s="609" t="str">
        <f t="shared" ca="1" si="113"/>
        <v/>
      </c>
      <c r="D58" s="1956" t="str">
        <f t="shared" ca="1" si="114"/>
        <v/>
      </c>
      <c r="E58" s="1956"/>
      <c r="F58" s="960"/>
      <c r="G58" s="485" t="str">
        <f t="shared" ca="1" si="115"/>
        <v/>
      </c>
      <c r="H58" s="983"/>
      <c r="I58" s="486"/>
      <c r="J58" s="972"/>
      <c r="K58" s="1886" t="str">
        <f t="shared" ca="1" si="116"/>
        <v/>
      </c>
      <c r="L58" s="1888"/>
      <c r="M58" s="296" t="str">
        <f t="shared" ca="1" si="208"/>
        <v/>
      </c>
      <c r="N58" s="1322"/>
      <c r="O58" s="1319"/>
      <c r="P58" s="957" t="str">
        <f t="shared" ca="1" si="117"/>
        <v/>
      </c>
      <c r="Q58" s="749"/>
      <c r="R58" s="164">
        <f t="shared" ca="1" si="118"/>
        <v>0</v>
      </c>
      <c r="S58" s="164">
        <f t="shared" ca="1" si="119"/>
        <v>0</v>
      </c>
      <c r="T58" s="164">
        <f t="shared" ca="1" si="120"/>
        <v>0</v>
      </c>
      <c r="U58" s="164">
        <f t="shared" ca="1" si="121"/>
        <v>0</v>
      </c>
      <c r="V58" s="164">
        <f t="shared" ca="1" si="122"/>
        <v>0</v>
      </c>
      <c r="W58" s="164">
        <f t="shared" ca="1" si="123"/>
        <v>0</v>
      </c>
      <c r="X58" s="164">
        <f t="shared" ca="1" si="124"/>
        <v>0</v>
      </c>
      <c r="Y58" s="164">
        <f t="shared" ca="1" si="125"/>
        <v>0</v>
      </c>
      <c r="Z58" s="164">
        <f t="shared" ca="1" si="126"/>
        <v>0</v>
      </c>
      <c r="AA58" s="164">
        <f t="shared" ca="1" si="127"/>
        <v>0</v>
      </c>
      <c r="AB58" s="164">
        <f t="shared" ca="1" si="128"/>
        <v>0</v>
      </c>
      <c r="AC58" s="164">
        <f t="shared" ca="1" si="129"/>
        <v>0</v>
      </c>
      <c r="AD58" s="164">
        <f t="shared" ca="1" si="130"/>
        <v>0</v>
      </c>
      <c r="AE58" s="164">
        <f t="shared" ca="1" si="131"/>
        <v>0</v>
      </c>
      <c r="AF58" s="164">
        <f t="shared" ca="1" si="132"/>
        <v>0</v>
      </c>
      <c r="AG58" s="164">
        <f t="shared" ca="1" si="133"/>
        <v>0</v>
      </c>
      <c r="AH58" s="164">
        <f t="shared" ca="1" si="134"/>
        <v>0</v>
      </c>
      <c r="AI58" s="164">
        <f t="shared" ca="1" si="135"/>
        <v>0</v>
      </c>
      <c r="AJ58" s="164">
        <f t="shared" ca="1" si="136"/>
        <v>0</v>
      </c>
      <c r="AK58" s="164">
        <f t="shared" ca="1" si="137"/>
        <v>0</v>
      </c>
      <c r="AL58" s="164">
        <f t="shared" ca="1" si="138"/>
        <v>0</v>
      </c>
      <c r="AM58" s="208"/>
      <c r="AN58" s="74"/>
      <c r="AO58" s="164">
        <f t="shared" ca="1" si="139"/>
        <v>0</v>
      </c>
      <c r="AP58" s="164">
        <f t="shared" ca="1" si="140"/>
        <v>0</v>
      </c>
      <c r="AQ58" s="164">
        <f t="shared" ca="1" si="141"/>
        <v>0</v>
      </c>
      <c r="AR58" s="164">
        <f t="shared" ca="1" si="142"/>
        <v>0</v>
      </c>
      <c r="AS58" s="164">
        <f t="shared" ca="1" si="143"/>
        <v>0</v>
      </c>
      <c r="AT58" s="164">
        <f t="shared" ca="1" si="144"/>
        <v>0</v>
      </c>
      <c r="AU58" s="164">
        <f t="shared" ca="1" si="145"/>
        <v>0</v>
      </c>
      <c r="AV58" s="164">
        <f t="shared" ca="1" si="146"/>
        <v>0</v>
      </c>
      <c r="AW58" s="164">
        <f t="shared" ca="1" si="147"/>
        <v>0</v>
      </c>
      <c r="AX58" s="164">
        <f t="shared" ca="1" si="148"/>
        <v>0</v>
      </c>
      <c r="AY58" s="164">
        <f t="shared" ca="1" si="149"/>
        <v>0</v>
      </c>
      <c r="AZ58" s="164">
        <f t="shared" ca="1" si="150"/>
        <v>0</v>
      </c>
      <c r="BA58" s="164">
        <f t="shared" ca="1" si="151"/>
        <v>0</v>
      </c>
      <c r="BB58" s="164">
        <f t="shared" ca="1" si="152"/>
        <v>0</v>
      </c>
      <c r="BC58" s="164">
        <f t="shared" ca="1" si="153"/>
        <v>0</v>
      </c>
      <c r="BD58" s="164">
        <f t="shared" ca="1" si="154"/>
        <v>0</v>
      </c>
      <c r="BE58" s="164">
        <f t="shared" ca="1" si="155"/>
        <v>0</v>
      </c>
      <c r="BF58" s="164">
        <f t="shared" ca="1" si="156"/>
        <v>0</v>
      </c>
      <c r="BG58" s="164">
        <f t="shared" ca="1" si="157"/>
        <v>0</v>
      </c>
      <c r="BH58" s="164">
        <f t="shared" ca="1" si="158"/>
        <v>0</v>
      </c>
      <c r="BI58" s="164">
        <f t="shared" ca="1" si="159"/>
        <v>0</v>
      </c>
      <c r="BJ58" s="164">
        <f t="shared" ca="1" si="160"/>
        <v>0</v>
      </c>
      <c r="BK58" s="164">
        <f t="shared" ca="1" si="161"/>
        <v>0</v>
      </c>
      <c r="BL58" s="164">
        <f t="shared" ca="1" si="162"/>
        <v>0</v>
      </c>
      <c r="BM58" s="164">
        <f t="shared" ca="1" si="163"/>
        <v>0</v>
      </c>
      <c r="BN58" s="164">
        <f t="shared" ca="1" si="164"/>
        <v>0</v>
      </c>
      <c r="BO58" s="356" t="str">
        <f t="shared" ca="1" si="165"/>
        <v/>
      </c>
      <c r="BP58" s="355" t="str">
        <f t="shared" ca="1" si="166"/>
        <v/>
      </c>
      <c r="BQ58" s="355" t="str">
        <f t="shared" ca="1" si="167"/>
        <v/>
      </c>
      <c r="BR58" s="348">
        <f t="shared" ca="1" si="93"/>
        <v>0</v>
      </c>
      <c r="BS58" s="348">
        <f t="shared" ca="1" si="94"/>
        <v>0</v>
      </c>
      <c r="BT58" s="610">
        <f t="shared" ca="1" si="168"/>
        <v>0</v>
      </c>
      <c r="BU58" s="357">
        <f t="shared" ca="1" si="169"/>
        <v>0</v>
      </c>
      <c r="BV58" s="357">
        <f t="shared" si="170"/>
        <v>0</v>
      </c>
      <c r="BW58" s="357">
        <f t="shared" si="171"/>
        <v>0</v>
      </c>
      <c r="BX58" s="357">
        <f t="shared" ca="1" si="172"/>
        <v>0</v>
      </c>
      <c r="BY58" s="357">
        <f t="shared" ca="1" si="95"/>
        <v>0</v>
      </c>
      <c r="BZ58" s="357"/>
      <c r="CA58" s="357">
        <f t="shared" ca="1" si="96"/>
        <v>0</v>
      </c>
      <c r="CB58" s="357" t="str">
        <f t="shared" ca="1" si="173"/>
        <v/>
      </c>
      <c r="CC58" s="358" t="str">
        <f t="shared" ca="1" si="97"/>
        <v/>
      </c>
      <c r="CD58" s="358" t="str">
        <f t="shared" ca="1" si="98"/>
        <v/>
      </c>
      <c r="CE58" s="357" t="str">
        <f t="shared" ca="1" si="209"/>
        <v>,,,,,,,,,,,,,,,,,,,,,,</v>
      </c>
      <c r="CF58" s="154"/>
      <c r="CG58" s="154">
        <f t="shared" ca="1" si="100"/>
        <v>0</v>
      </c>
      <c r="CH58" s="268" t="str">
        <f t="shared" ca="1" si="174"/>
        <v/>
      </c>
      <c r="CI58" s="268">
        <f t="shared" ca="1" si="175"/>
        <v>0</v>
      </c>
      <c r="CJ58" s="268" t="str">
        <f t="shared" ca="1" si="176"/>
        <v/>
      </c>
      <c r="CK58" s="268">
        <f t="shared" ca="1" si="177"/>
        <v>0</v>
      </c>
      <c r="CL58" s="268">
        <f t="shared" ca="1" si="178"/>
        <v>0</v>
      </c>
      <c r="CM58" s="154">
        <f t="shared" ca="1" si="102"/>
        <v>0</v>
      </c>
      <c r="CN58" s="154"/>
      <c r="CO58" s="169"/>
      <c r="CP58" s="169"/>
      <c r="CQ58" s="169"/>
      <c r="CR58" s="169"/>
      <c r="CS58" s="169"/>
      <c r="CT58" s="169"/>
      <c r="CU58" s="169"/>
      <c r="CV58" s="164" t="str">
        <f t="shared" ca="1" si="211"/>
        <v/>
      </c>
      <c r="CW58" s="164" t="str">
        <f t="shared" ca="1" si="211"/>
        <v/>
      </c>
      <c r="CX58" s="164" t="str">
        <f t="shared" ca="1" si="211"/>
        <v/>
      </c>
      <c r="CY58" s="164" t="str">
        <f t="shared" ca="1" si="211"/>
        <v/>
      </c>
      <c r="CZ58" s="164" t="str">
        <f t="shared" ca="1" si="211"/>
        <v/>
      </c>
      <c r="DA58" s="164" t="str">
        <f t="shared" ca="1" si="211"/>
        <v/>
      </c>
      <c r="DB58" s="164" t="str">
        <f t="shared" ca="1" si="211"/>
        <v/>
      </c>
      <c r="DC58" s="164" t="str">
        <f t="shared" ca="1" si="211"/>
        <v/>
      </c>
      <c r="DD58" s="164" t="str">
        <f t="shared" ca="1" si="211"/>
        <v/>
      </c>
      <c r="DE58" s="164" t="str">
        <f t="shared" ca="1" si="211"/>
        <v/>
      </c>
      <c r="DF58" s="164" t="str">
        <f t="shared" ca="1" si="212"/>
        <v/>
      </c>
      <c r="DG58" s="164" t="str">
        <f t="shared" ca="1" si="212"/>
        <v/>
      </c>
      <c r="DH58" s="164" t="str">
        <f t="shared" ca="1" si="212"/>
        <v/>
      </c>
      <c r="DI58" s="164" t="str">
        <f t="shared" ca="1" si="212"/>
        <v/>
      </c>
      <c r="DJ58" s="164" t="str">
        <f t="shared" ca="1" si="212"/>
        <v/>
      </c>
      <c r="DK58" s="164" t="str">
        <f t="shared" ca="1" si="212"/>
        <v/>
      </c>
      <c r="DL58" s="164" t="str">
        <f t="shared" ca="1" si="212"/>
        <v/>
      </c>
      <c r="DM58" s="164" t="str">
        <f t="shared" ca="1" si="212"/>
        <v/>
      </c>
      <c r="DN58" s="164" t="str">
        <f t="shared" ca="1" si="212"/>
        <v/>
      </c>
      <c r="DO58" s="164" t="str">
        <f t="shared" ca="1" si="212"/>
        <v/>
      </c>
      <c r="DP58" s="164" t="str">
        <f t="shared" ca="1" si="212"/>
        <v/>
      </c>
      <c r="DQ58" s="164" t="str">
        <f t="shared" ca="1" si="212"/>
        <v/>
      </c>
      <c r="DR58" s="208"/>
      <c r="DS58" s="164" t="str">
        <f t="shared" ca="1" si="181"/>
        <v/>
      </c>
      <c r="DT58" s="164" t="str">
        <f t="shared" ca="1" si="182"/>
        <v/>
      </c>
      <c r="DU58" s="164" t="str">
        <f t="shared" ca="1" si="183"/>
        <v/>
      </c>
      <c r="DV58" s="164" t="str">
        <f t="shared" ca="1" si="184"/>
        <v/>
      </c>
      <c r="DW58" s="164" t="str">
        <f t="shared" ca="1" si="185"/>
        <v/>
      </c>
      <c r="DX58" s="164" t="str">
        <f t="shared" ca="1" si="186"/>
        <v/>
      </c>
      <c r="DY58" s="164" t="str">
        <f t="shared" ca="1" si="187"/>
        <v/>
      </c>
      <c r="DZ58" s="164" t="str">
        <f t="shared" ca="1" si="188"/>
        <v/>
      </c>
      <c r="EA58" s="164" t="str">
        <f t="shared" ca="1" si="189"/>
        <v/>
      </c>
      <c r="EB58" s="164" t="str">
        <f t="shared" ca="1" si="190"/>
        <v/>
      </c>
      <c r="EC58" s="164" t="str">
        <f t="shared" ca="1" si="191"/>
        <v/>
      </c>
      <c r="ED58" s="164" t="str">
        <f t="shared" ca="1" si="192"/>
        <v/>
      </c>
      <c r="EE58" s="164" t="str">
        <f t="shared" ca="1" si="193"/>
        <v/>
      </c>
      <c r="EF58" s="164" t="str">
        <f t="shared" ca="1" si="194"/>
        <v/>
      </c>
      <c r="EG58" s="164" t="str">
        <f t="shared" ca="1" si="195"/>
        <v/>
      </c>
      <c r="EH58" s="164" t="str">
        <f t="shared" ca="1" si="196"/>
        <v/>
      </c>
      <c r="EI58" s="164" t="str">
        <f t="shared" ca="1" si="197"/>
        <v/>
      </c>
      <c r="EJ58" s="164" t="str">
        <f t="shared" ca="1" si="198"/>
        <v/>
      </c>
      <c r="EK58" s="164" t="str">
        <f t="shared" ca="1" si="199"/>
        <v/>
      </c>
      <c r="EL58" s="164" t="str">
        <f t="shared" ca="1" si="200"/>
        <v/>
      </c>
      <c r="EM58" s="164" t="str">
        <f t="shared" ca="1" si="201"/>
        <v/>
      </c>
      <c r="EN58" s="164" t="str">
        <f t="shared" ca="1" si="202"/>
        <v/>
      </c>
      <c r="EO58" s="164" t="str">
        <f t="shared" ca="1" si="203"/>
        <v/>
      </c>
      <c r="EP58" s="164" t="str">
        <f t="shared" ca="1" si="204"/>
        <v/>
      </c>
      <c r="EQ58" s="164" t="str">
        <f t="shared" ca="1" si="205"/>
        <v/>
      </c>
      <c r="ER58" s="164" t="str">
        <f t="shared" ca="1" si="206"/>
        <v/>
      </c>
      <c r="ES58" s="164" t="str">
        <f t="shared" ca="1" si="207"/>
        <v/>
      </c>
    </row>
    <row r="59" spans="1:149" x14ac:dyDescent="0.2">
      <c r="A59" s="89" t="str">
        <f t="shared" ca="1" si="210"/>
        <v/>
      </c>
      <c r="B59" s="317" t="str">
        <f t="shared" ca="1" si="112"/>
        <v/>
      </c>
      <c r="C59" s="609" t="str">
        <f t="shared" ca="1" si="113"/>
        <v/>
      </c>
      <c r="D59" s="1956" t="str">
        <f t="shared" ca="1" si="114"/>
        <v/>
      </c>
      <c r="E59" s="1956"/>
      <c r="F59" s="960"/>
      <c r="G59" s="485" t="str">
        <f t="shared" ca="1" si="115"/>
        <v/>
      </c>
      <c r="H59" s="983"/>
      <c r="I59" s="486"/>
      <c r="J59" s="972"/>
      <c r="K59" s="1886" t="str">
        <f t="shared" ca="1" si="116"/>
        <v/>
      </c>
      <c r="L59" s="1888"/>
      <c r="M59" s="296" t="str">
        <f t="shared" ca="1" si="208"/>
        <v/>
      </c>
      <c r="N59" s="1322"/>
      <c r="O59" s="1319"/>
      <c r="P59" s="957" t="str">
        <f t="shared" ca="1" si="117"/>
        <v/>
      </c>
      <c r="Q59" s="749"/>
      <c r="R59" s="164">
        <f t="shared" ca="1" si="118"/>
        <v>0</v>
      </c>
      <c r="S59" s="164">
        <f t="shared" ca="1" si="119"/>
        <v>0</v>
      </c>
      <c r="T59" s="164">
        <f t="shared" ca="1" si="120"/>
        <v>0</v>
      </c>
      <c r="U59" s="164">
        <f t="shared" ca="1" si="121"/>
        <v>0</v>
      </c>
      <c r="V59" s="164">
        <f t="shared" ca="1" si="122"/>
        <v>0</v>
      </c>
      <c r="W59" s="164">
        <f t="shared" ca="1" si="123"/>
        <v>0</v>
      </c>
      <c r="X59" s="164">
        <f t="shared" ca="1" si="124"/>
        <v>0</v>
      </c>
      <c r="Y59" s="164">
        <f t="shared" ca="1" si="125"/>
        <v>0</v>
      </c>
      <c r="Z59" s="164">
        <f t="shared" ca="1" si="126"/>
        <v>0</v>
      </c>
      <c r="AA59" s="164">
        <f t="shared" ca="1" si="127"/>
        <v>0</v>
      </c>
      <c r="AB59" s="164">
        <f t="shared" ca="1" si="128"/>
        <v>0</v>
      </c>
      <c r="AC59" s="164">
        <f t="shared" ca="1" si="129"/>
        <v>0</v>
      </c>
      <c r="AD59" s="164">
        <f t="shared" ca="1" si="130"/>
        <v>0</v>
      </c>
      <c r="AE59" s="164">
        <f t="shared" ca="1" si="131"/>
        <v>0</v>
      </c>
      <c r="AF59" s="164">
        <f t="shared" ca="1" si="132"/>
        <v>0</v>
      </c>
      <c r="AG59" s="164">
        <f t="shared" ca="1" si="133"/>
        <v>0</v>
      </c>
      <c r="AH59" s="164">
        <f t="shared" ca="1" si="134"/>
        <v>0</v>
      </c>
      <c r="AI59" s="164">
        <f t="shared" ca="1" si="135"/>
        <v>0</v>
      </c>
      <c r="AJ59" s="164">
        <f t="shared" ca="1" si="136"/>
        <v>0</v>
      </c>
      <c r="AK59" s="164">
        <f t="shared" ca="1" si="137"/>
        <v>0</v>
      </c>
      <c r="AL59" s="164">
        <f t="shared" ca="1" si="138"/>
        <v>0</v>
      </c>
      <c r="AM59" s="208"/>
      <c r="AN59" s="74"/>
      <c r="AO59" s="164">
        <f t="shared" ca="1" si="139"/>
        <v>0</v>
      </c>
      <c r="AP59" s="164">
        <f t="shared" ca="1" si="140"/>
        <v>0</v>
      </c>
      <c r="AQ59" s="164">
        <f t="shared" ca="1" si="141"/>
        <v>0</v>
      </c>
      <c r="AR59" s="164">
        <f t="shared" ca="1" si="142"/>
        <v>0</v>
      </c>
      <c r="AS59" s="164">
        <f t="shared" ca="1" si="143"/>
        <v>0</v>
      </c>
      <c r="AT59" s="164">
        <f t="shared" ca="1" si="144"/>
        <v>0</v>
      </c>
      <c r="AU59" s="164">
        <f t="shared" ca="1" si="145"/>
        <v>0</v>
      </c>
      <c r="AV59" s="164">
        <f t="shared" ca="1" si="146"/>
        <v>0</v>
      </c>
      <c r="AW59" s="164">
        <f t="shared" ca="1" si="147"/>
        <v>0</v>
      </c>
      <c r="AX59" s="164">
        <f t="shared" ca="1" si="148"/>
        <v>0</v>
      </c>
      <c r="AY59" s="164">
        <f t="shared" ca="1" si="149"/>
        <v>0</v>
      </c>
      <c r="AZ59" s="164">
        <f t="shared" ca="1" si="150"/>
        <v>0</v>
      </c>
      <c r="BA59" s="164">
        <f t="shared" ca="1" si="151"/>
        <v>0</v>
      </c>
      <c r="BB59" s="164">
        <f t="shared" ca="1" si="152"/>
        <v>0</v>
      </c>
      <c r="BC59" s="164">
        <f t="shared" ca="1" si="153"/>
        <v>0</v>
      </c>
      <c r="BD59" s="164">
        <f t="shared" ca="1" si="154"/>
        <v>0</v>
      </c>
      <c r="BE59" s="164">
        <f t="shared" ca="1" si="155"/>
        <v>0</v>
      </c>
      <c r="BF59" s="164">
        <f t="shared" ca="1" si="156"/>
        <v>0</v>
      </c>
      <c r="BG59" s="164">
        <f t="shared" ca="1" si="157"/>
        <v>0</v>
      </c>
      <c r="BH59" s="164">
        <f t="shared" ca="1" si="158"/>
        <v>0</v>
      </c>
      <c r="BI59" s="164">
        <f t="shared" ca="1" si="159"/>
        <v>0</v>
      </c>
      <c r="BJ59" s="164">
        <f t="shared" ca="1" si="160"/>
        <v>0</v>
      </c>
      <c r="BK59" s="164">
        <f t="shared" ca="1" si="161"/>
        <v>0</v>
      </c>
      <c r="BL59" s="164">
        <f t="shared" ca="1" si="162"/>
        <v>0</v>
      </c>
      <c r="BM59" s="164">
        <f t="shared" ca="1" si="163"/>
        <v>0</v>
      </c>
      <c r="BN59" s="164">
        <f t="shared" ca="1" si="164"/>
        <v>0</v>
      </c>
      <c r="BO59" s="356" t="str">
        <f t="shared" ca="1" si="165"/>
        <v/>
      </c>
      <c r="BP59" s="355" t="str">
        <f t="shared" ca="1" si="166"/>
        <v/>
      </c>
      <c r="BQ59" s="355" t="str">
        <f t="shared" ca="1" si="167"/>
        <v/>
      </c>
      <c r="BR59" s="348">
        <f t="shared" ca="1" si="93"/>
        <v>0</v>
      </c>
      <c r="BS59" s="348">
        <f t="shared" ca="1" si="94"/>
        <v>0</v>
      </c>
      <c r="BT59" s="610">
        <f t="shared" ca="1" si="168"/>
        <v>0</v>
      </c>
      <c r="BU59" s="357">
        <f t="shared" ca="1" si="169"/>
        <v>0</v>
      </c>
      <c r="BV59" s="357">
        <f t="shared" si="170"/>
        <v>0</v>
      </c>
      <c r="BW59" s="357">
        <f t="shared" si="171"/>
        <v>0</v>
      </c>
      <c r="BX59" s="357">
        <f t="shared" ca="1" si="172"/>
        <v>0</v>
      </c>
      <c r="BY59" s="357">
        <f t="shared" ca="1" si="95"/>
        <v>0</v>
      </c>
      <c r="BZ59" s="357"/>
      <c r="CA59" s="357">
        <f t="shared" ca="1" si="96"/>
        <v>0</v>
      </c>
      <c r="CB59" s="357" t="str">
        <f t="shared" ca="1" si="173"/>
        <v/>
      </c>
      <c r="CC59" s="358" t="str">
        <f t="shared" ca="1" si="97"/>
        <v/>
      </c>
      <c r="CD59" s="358" t="str">
        <f t="shared" ca="1" si="98"/>
        <v/>
      </c>
      <c r="CE59" s="357" t="str">
        <f t="shared" ca="1" si="209"/>
        <v>,,,,,,,,,,,,,,,,,,,,,,,</v>
      </c>
      <c r="CF59" s="154"/>
      <c r="CG59" s="154">
        <f t="shared" ca="1" si="100"/>
        <v>0</v>
      </c>
      <c r="CH59" s="268" t="str">
        <f t="shared" ca="1" si="174"/>
        <v/>
      </c>
      <c r="CI59" s="268">
        <f t="shared" ca="1" si="175"/>
        <v>0</v>
      </c>
      <c r="CJ59" s="268" t="str">
        <f t="shared" ca="1" si="176"/>
        <v/>
      </c>
      <c r="CK59" s="268">
        <f t="shared" ca="1" si="177"/>
        <v>0</v>
      </c>
      <c r="CL59" s="268">
        <f t="shared" ca="1" si="178"/>
        <v>0</v>
      </c>
      <c r="CM59" s="154">
        <f t="shared" ca="1" si="102"/>
        <v>0</v>
      </c>
      <c r="CN59" s="154"/>
      <c r="CO59" s="169"/>
      <c r="CP59" s="169"/>
      <c r="CQ59" s="169"/>
      <c r="CR59" s="169"/>
      <c r="CS59" s="169"/>
      <c r="CT59" s="169"/>
      <c r="CU59" s="169"/>
      <c r="CV59" s="164" t="str">
        <f t="shared" ca="1" si="211"/>
        <v/>
      </c>
      <c r="CW59" s="164" t="str">
        <f t="shared" ca="1" si="211"/>
        <v/>
      </c>
      <c r="CX59" s="164" t="str">
        <f t="shared" ca="1" si="211"/>
        <v/>
      </c>
      <c r="CY59" s="164" t="str">
        <f t="shared" ca="1" si="211"/>
        <v/>
      </c>
      <c r="CZ59" s="164" t="str">
        <f t="shared" ca="1" si="211"/>
        <v/>
      </c>
      <c r="DA59" s="164" t="str">
        <f t="shared" ca="1" si="211"/>
        <v/>
      </c>
      <c r="DB59" s="164" t="str">
        <f t="shared" ca="1" si="211"/>
        <v/>
      </c>
      <c r="DC59" s="164" t="str">
        <f t="shared" ca="1" si="211"/>
        <v/>
      </c>
      <c r="DD59" s="164" t="str">
        <f t="shared" ca="1" si="211"/>
        <v/>
      </c>
      <c r="DE59" s="164" t="str">
        <f t="shared" ca="1" si="211"/>
        <v/>
      </c>
      <c r="DF59" s="164" t="str">
        <f t="shared" ca="1" si="212"/>
        <v/>
      </c>
      <c r="DG59" s="164" t="str">
        <f t="shared" ca="1" si="212"/>
        <v/>
      </c>
      <c r="DH59" s="164" t="str">
        <f t="shared" ca="1" si="212"/>
        <v/>
      </c>
      <c r="DI59" s="164" t="str">
        <f t="shared" ca="1" si="212"/>
        <v/>
      </c>
      <c r="DJ59" s="164" t="str">
        <f t="shared" ca="1" si="212"/>
        <v/>
      </c>
      <c r="DK59" s="164" t="str">
        <f t="shared" ca="1" si="212"/>
        <v/>
      </c>
      <c r="DL59" s="164" t="str">
        <f t="shared" ca="1" si="212"/>
        <v/>
      </c>
      <c r="DM59" s="164" t="str">
        <f t="shared" ca="1" si="212"/>
        <v/>
      </c>
      <c r="DN59" s="164" t="str">
        <f t="shared" ca="1" si="212"/>
        <v/>
      </c>
      <c r="DO59" s="164" t="str">
        <f t="shared" ca="1" si="212"/>
        <v/>
      </c>
      <c r="DP59" s="164" t="str">
        <f t="shared" ca="1" si="212"/>
        <v/>
      </c>
      <c r="DQ59" s="164" t="str">
        <f t="shared" ca="1" si="212"/>
        <v/>
      </c>
      <c r="DR59" s="208"/>
      <c r="DS59" s="164" t="str">
        <f t="shared" ca="1" si="181"/>
        <v/>
      </c>
      <c r="DT59" s="164" t="str">
        <f t="shared" ca="1" si="182"/>
        <v/>
      </c>
      <c r="DU59" s="164" t="str">
        <f t="shared" ca="1" si="183"/>
        <v/>
      </c>
      <c r="DV59" s="164" t="str">
        <f t="shared" ca="1" si="184"/>
        <v/>
      </c>
      <c r="DW59" s="164" t="str">
        <f t="shared" ca="1" si="185"/>
        <v/>
      </c>
      <c r="DX59" s="164" t="str">
        <f t="shared" ca="1" si="186"/>
        <v/>
      </c>
      <c r="DY59" s="164" t="str">
        <f t="shared" ca="1" si="187"/>
        <v/>
      </c>
      <c r="DZ59" s="164" t="str">
        <f t="shared" ca="1" si="188"/>
        <v/>
      </c>
      <c r="EA59" s="164" t="str">
        <f t="shared" ca="1" si="189"/>
        <v/>
      </c>
      <c r="EB59" s="164" t="str">
        <f t="shared" ca="1" si="190"/>
        <v/>
      </c>
      <c r="EC59" s="164" t="str">
        <f t="shared" ca="1" si="191"/>
        <v/>
      </c>
      <c r="ED59" s="164" t="str">
        <f t="shared" ca="1" si="192"/>
        <v/>
      </c>
      <c r="EE59" s="164" t="str">
        <f t="shared" ca="1" si="193"/>
        <v/>
      </c>
      <c r="EF59" s="164" t="str">
        <f t="shared" ca="1" si="194"/>
        <v/>
      </c>
      <c r="EG59" s="164" t="str">
        <f t="shared" ca="1" si="195"/>
        <v/>
      </c>
      <c r="EH59" s="164" t="str">
        <f t="shared" ca="1" si="196"/>
        <v/>
      </c>
      <c r="EI59" s="164" t="str">
        <f t="shared" ca="1" si="197"/>
        <v/>
      </c>
      <c r="EJ59" s="164" t="str">
        <f t="shared" ca="1" si="198"/>
        <v/>
      </c>
      <c r="EK59" s="164" t="str">
        <f t="shared" ca="1" si="199"/>
        <v/>
      </c>
      <c r="EL59" s="164" t="str">
        <f t="shared" ca="1" si="200"/>
        <v/>
      </c>
      <c r="EM59" s="164" t="str">
        <f t="shared" ca="1" si="201"/>
        <v/>
      </c>
      <c r="EN59" s="164" t="str">
        <f t="shared" ca="1" si="202"/>
        <v/>
      </c>
      <c r="EO59" s="164" t="str">
        <f t="shared" ca="1" si="203"/>
        <v/>
      </c>
      <c r="EP59" s="164" t="str">
        <f t="shared" ca="1" si="204"/>
        <v/>
      </c>
      <c r="EQ59" s="164" t="str">
        <f t="shared" ca="1" si="205"/>
        <v/>
      </c>
      <c r="ER59" s="164" t="str">
        <f t="shared" ca="1" si="206"/>
        <v/>
      </c>
      <c r="ES59" s="164" t="str">
        <f t="shared" ca="1" si="207"/>
        <v/>
      </c>
    </row>
    <row r="60" spans="1:149" ht="15.75" x14ac:dyDescent="0.25">
      <c r="A60" s="168" t="s">
        <v>1164</v>
      </c>
      <c r="B60" s="131"/>
      <c r="C60" s="304"/>
      <c r="D60" s="1977"/>
      <c r="E60" s="1977"/>
      <c r="F60" s="1454" t="str">
        <f>IF(AND(VT_VOLLZBR,100-COUNTBLANK(HBC_Z_ERLERNT_TL)&gt;10),"Mehr als 10 Zauber akt.","") &amp;
IF(AND(VT_HALBZBR,100-COUNTBLANK(HBC_Z_ERLERNT_TL)&gt;5),"Mehr als 5 Zauber akt.","")</f>
        <v/>
      </c>
      <c r="G60" s="778"/>
      <c r="H60" s="1453"/>
      <c r="I60" s="965"/>
      <c r="J60" s="965"/>
      <c r="K60" s="1879" t="str">
        <f ca="1">IF(APGUT&lt;0,"Keine AP mehr übrig!",IF(TL_GP_UEBRIG&lt;0,"Keine Start-AP mehr übrig!","▼ Fehlermeldungen ▼  "&amp;"(AP: "&amp;APGUT&amp;")"))</f>
        <v>▼ Fehlermeldungen ▼  (AP: 0)</v>
      </c>
      <c r="L60" s="1879"/>
      <c r="M60" s="295" t="s">
        <v>1842</v>
      </c>
      <c r="N60" s="1320" t="s">
        <v>7064</v>
      </c>
      <c r="O60" s="1126" t="s">
        <v>3636</v>
      </c>
      <c r="P60" s="295"/>
      <c r="Q60" s="134" t="s">
        <v>2843</v>
      </c>
      <c r="R60" s="6">
        <v>1</v>
      </c>
      <c r="S60" s="6">
        <v>2</v>
      </c>
      <c r="T60" s="6">
        <v>3</v>
      </c>
      <c r="U60" s="6">
        <v>4</v>
      </c>
      <c r="V60" s="6">
        <v>5</v>
      </c>
      <c r="W60" s="6">
        <v>6</v>
      </c>
      <c r="X60" s="6">
        <v>7</v>
      </c>
      <c r="Y60" s="6">
        <v>8</v>
      </c>
      <c r="Z60" s="6">
        <v>9</v>
      </c>
      <c r="AA60" s="6">
        <v>10</v>
      </c>
      <c r="AB60" s="6">
        <v>11</v>
      </c>
      <c r="AC60" s="6">
        <v>12</v>
      </c>
      <c r="AD60" s="6">
        <v>13</v>
      </c>
      <c r="AE60" s="6">
        <v>14</v>
      </c>
      <c r="AF60" s="6">
        <v>15</v>
      </c>
      <c r="AG60" s="6">
        <v>16</v>
      </c>
      <c r="AH60" s="6">
        <v>17</v>
      </c>
      <c r="AI60" s="6">
        <v>18</v>
      </c>
      <c r="AJ60" s="6">
        <v>19</v>
      </c>
      <c r="AK60" s="6">
        <v>20</v>
      </c>
      <c r="AL60" s="6">
        <v>21</v>
      </c>
      <c r="AM60" s="207"/>
      <c r="AN60" s="134">
        <v>0</v>
      </c>
      <c r="AO60" s="6">
        <v>1</v>
      </c>
      <c r="AP60" s="6">
        <v>2</v>
      </c>
      <c r="AQ60" s="6">
        <v>3</v>
      </c>
      <c r="AR60" s="6">
        <v>4</v>
      </c>
      <c r="AS60" s="6">
        <v>5</v>
      </c>
      <c r="AT60" s="6">
        <v>6</v>
      </c>
      <c r="AU60" s="6">
        <v>7</v>
      </c>
      <c r="AV60" s="6">
        <v>8</v>
      </c>
      <c r="AW60" s="6">
        <v>9</v>
      </c>
      <c r="AX60" s="6">
        <v>10</v>
      </c>
      <c r="AY60" s="6">
        <v>11</v>
      </c>
      <c r="AZ60" s="6">
        <v>12</v>
      </c>
      <c r="BA60" s="6">
        <v>13</v>
      </c>
      <c r="BB60" s="6">
        <v>14</v>
      </c>
      <c r="BC60" s="6">
        <v>15</v>
      </c>
      <c r="BD60" s="6">
        <v>16</v>
      </c>
      <c r="BE60" s="6">
        <v>17</v>
      </c>
      <c r="BF60" s="6">
        <v>18</v>
      </c>
      <c r="BG60" s="6">
        <v>19</v>
      </c>
      <c r="BH60" s="6">
        <v>20</v>
      </c>
      <c r="BI60" s="6">
        <v>21</v>
      </c>
      <c r="BJ60" s="6">
        <v>22</v>
      </c>
      <c r="BK60" s="6">
        <v>23</v>
      </c>
      <c r="BL60" s="6">
        <v>24</v>
      </c>
      <c r="BM60" s="6">
        <v>25</v>
      </c>
      <c r="BN60" s="6">
        <v>26</v>
      </c>
      <c r="BO60" s="356"/>
      <c r="BP60" s="355"/>
      <c r="BQ60" s="355"/>
      <c r="BR60" s="348"/>
      <c r="BS60" s="348"/>
      <c r="BT60" s="610"/>
      <c r="BU60" s="357"/>
      <c r="BV60" s="357"/>
      <c r="BW60" s="357"/>
      <c r="BX60" s="357"/>
      <c r="BY60" s="357"/>
      <c r="BZ60" s="357"/>
      <c r="CA60" s="357"/>
      <c r="CB60" s="357"/>
      <c r="CC60" s="358"/>
      <c r="CD60" s="358"/>
      <c r="CE60" s="357"/>
      <c r="CF60" s="154"/>
      <c r="CG60" s="154"/>
      <c r="CH60" s="154"/>
      <c r="CI60" s="154"/>
      <c r="CJ60" s="154"/>
      <c r="CK60" s="154"/>
      <c r="CL60" s="154"/>
      <c r="CM60" s="154"/>
      <c r="CN60" s="154"/>
      <c r="CO60" s="6"/>
      <c r="CP60" s="6"/>
      <c r="CQ60" s="6"/>
      <c r="CR60" s="6"/>
      <c r="CS60" s="6"/>
      <c r="CT60" s="6"/>
      <c r="CU60" s="6"/>
      <c r="CV60" s="6">
        <v>0</v>
      </c>
      <c r="CW60" s="6">
        <v>1</v>
      </c>
      <c r="CX60" s="6">
        <v>2</v>
      </c>
      <c r="CY60" s="6">
        <v>3</v>
      </c>
      <c r="CZ60" s="6">
        <v>4</v>
      </c>
      <c r="DA60" s="6">
        <v>5</v>
      </c>
      <c r="DB60" s="6">
        <v>6</v>
      </c>
      <c r="DC60" s="6">
        <v>7</v>
      </c>
      <c r="DD60" s="6">
        <v>8</v>
      </c>
      <c r="DE60" s="6">
        <v>9</v>
      </c>
      <c r="DF60" s="6">
        <v>10</v>
      </c>
      <c r="DG60" s="6">
        <v>11</v>
      </c>
      <c r="DH60" s="6">
        <v>12</v>
      </c>
      <c r="DI60" s="6">
        <v>13</v>
      </c>
      <c r="DJ60" s="6">
        <v>14</v>
      </c>
      <c r="DK60" s="6">
        <v>15</v>
      </c>
      <c r="DL60" s="6">
        <v>16</v>
      </c>
      <c r="DM60" s="6">
        <v>17</v>
      </c>
      <c r="DN60" s="6">
        <v>18</v>
      </c>
      <c r="DO60" s="6">
        <v>19</v>
      </c>
      <c r="DP60" s="6">
        <v>20</v>
      </c>
      <c r="DQ60" s="6">
        <v>21</v>
      </c>
      <c r="DR60" s="208"/>
      <c r="DS60" s="6">
        <v>0</v>
      </c>
      <c r="DT60" s="6">
        <v>1</v>
      </c>
      <c r="DU60" s="6">
        <v>2</v>
      </c>
      <c r="DV60" s="6">
        <v>3</v>
      </c>
      <c r="DW60" s="6">
        <v>4</v>
      </c>
      <c r="DX60" s="6">
        <v>5</v>
      </c>
      <c r="DY60" s="6">
        <v>6</v>
      </c>
      <c r="DZ60" s="6">
        <v>7</v>
      </c>
      <c r="EA60" s="6">
        <v>8</v>
      </c>
      <c r="EB60" s="6">
        <v>9</v>
      </c>
      <c r="EC60" s="6">
        <v>10</v>
      </c>
      <c r="ED60" s="6">
        <v>11</v>
      </c>
      <c r="EE60" s="6">
        <v>12</v>
      </c>
      <c r="EF60" s="6">
        <v>13</v>
      </c>
      <c r="EG60" s="6">
        <v>14</v>
      </c>
      <c r="EH60" s="6">
        <v>15</v>
      </c>
      <c r="EI60" s="6">
        <v>16</v>
      </c>
      <c r="EJ60" s="6">
        <v>17</v>
      </c>
      <c r="EK60" s="6">
        <v>18</v>
      </c>
      <c r="EL60" s="6">
        <v>19</v>
      </c>
      <c r="EM60" s="6">
        <v>20</v>
      </c>
      <c r="EN60" s="6">
        <v>21</v>
      </c>
      <c r="EO60" s="6">
        <v>22</v>
      </c>
      <c r="EP60" s="6">
        <v>23</v>
      </c>
      <c r="EQ60" s="6">
        <v>24</v>
      </c>
      <c r="ER60" s="6">
        <v>25</v>
      </c>
      <c r="ES60" s="6">
        <v>26</v>
      </c>
    </row>
    <row r="61" spans="1:149" x14ac:dyDescent="0.2">
      <c r="A61" s="89" t="str">
        <f ca="1">IF(MAGISCH,IF(NOT(EXACT(BZALLE,"")),HLOOKUP(Tabellen_Andere!$CX$3,ZAUBER,MATCH(LEFT(BZALLE,34),ZAUBER,1)),""),"")</f>
        <v/>
      </c>
      <c r="B61" s="317" t="str">
        <f t="shared" ref="B61:B92" ca="1" si="213">IF(AND(MAGISCH,NOT(EXACT($A61,""))),0,"")</f>
        <v/>
      </c>
      <c r="C61" s="609" t="str">
        <f t="shared" ref="C61:C92" ca="1" si="214">IF(AND(MAGISCH,NOT(EXACT($A61,""))),$BP$4,"")</f>
        <v/>
      </c>
      <c r="D61" s="1956" t="str">
        <f t="shared" ref="D61:D92" ca="1" si="215">IF(AND(MAGISCH,NOT(EXACT($A61,""))),
CONCATENATE(IF($BR61=1,$CC61&amp;", ",""),IF($BS61=1,$CD61&amp;", ",""),IF($AF$241="","",IF(ISERROR(FIND($AF$241,$BQ61)),"",$AF$241&amp;", ")),IF($AF$242="","",IF(ISERROR(FIND($AF$242,$BQ61)),"",$AF$242&amp;", ")),IF($AF$243="","",IF(ISERROR(FIND($AF$243,$BQ61)),"",$AF$243&amp;", ")),IF($AF$244="","",IF(ISERROR(FIND($AF$244,$BQ61)),"",$AF$244&amp;", ")),IF($AF$245="","",IF(ISERROR(FIND($AF$245,$BQ61)),"",$AF$245&amp;", ")),IF($AF$246="","",IF(ISERROR(FIND($AF$246,$BQ61)),"",$AF$246&amp;", ")),IF($AF$247="","",IF(ISERROR(FIND($AF$247,$BQ61)),"",$AF$247&amp;", "))
),"")</f>
        <v/>
      </c>
      <c r="E61" s="1956"/>
      <c r="F61" s="960"/>
      <c r="G61" s="485" t="str">
        <f t="shared" ref="G61:G92" ca="1" si="216">IF(EXACT($A61,""),"",IF(VT_VRTLZBR,"F",
IF(BO61&lt;65,"A+",IF(BO61&gt;72,"H",CHAR(BO61)))))</f>
        <v/>
      </c>
      <c r="H61" s="983"/>
      <c r="I61" s="486"/>
      <c r="J61" s="326"/>
      <c r="K61" s="1886" t="str">
        <f t="shared" ref="K61:K92" ca="1" si="217">IF(AND(NOT(ISERR(FIND(A61,ZS_ZFALLE,1))),ZS_SE_VIEW,NOT(EXACT($A61,""))),"SE aus Zweitstudium",IF(ISERR(FIND($C61,$BP61)),"Falsche Repräsentation","")) &amp; IF(AND(NOT(EXACT($A61,"")),NOT(ISERR(FIND(A61,ZS_ZF_IAAK,1))),ZS_SE_VIEW),"  SE für IAAK-Studium","")
&amp;IF($M61="","",IF($M61&gt;MAX(INDIRECT(VLOOKUP($A61,ZAUBERWERTE,2,FALSE)),INDIRECT(VLOOKUP($A61,ZAUBERWERTE,3,FALSE)),INDIRECT(VLOOKUP($A61,ZAUBERWERTE,4,FALSE)))+3+BX61*2," TaW&gt; Max.EIGN.-Wert+"&amp;3+BX61*2,""))</f>
        <v/>
      </c>
      <c r="L61" s="1888"/>
      <c r="M61" s="296" t="str">
        <f ca="1">IF(AND(OR(EXACT($B61,""),$B61=0),ISBLANK($F61),ISBLANK($J61)),"",SUM($B61,$F61,$J61))</f>
        <v/>
      </c>
      <c r="N61" s="1321"/>
      <c r="O61" s="1319"/>
      <c r="P61" s="957" t="str">
        <f t="shared" ref="P61:P92" ca="1" si="218">IF(AND(NOT(EXACT($A61,"")),NOT(EXACT($O61,""))),ROUND(IF(O61=2,3,O61)*20*HLOOKUP($G61,SKT,3,FALSE)*IF(VT_EIDGED,0.5,IF(VT_GUTGED,0.75,1)),0),"")</f>
        <v/>
      </c>
      <c r="Q61" s="164">
        <f t="shared" ref="Q61:Q92" si="219">IF(NOT(ISBLANK($F61)),
MAX(1,ROUND(IF($B61&lt;0,ABS($B61),IF($B61=0,1,0))*HLOOKUP(IF(CV61&lt;65,"A+",IF(CV61&gt;72,"H",CHAR(CV61))),SKT,3,FALSE)*IF(VT_EIDGED,IF($C61="Dru",1/3,0.5),1)*IF(VT_GUTGED,IF($C61="Dru",2/3,0.75),1),0)),0)
*IF(ISERR(FIND(";"&amp;Q$10&amp;":0;",$H61)),1,0)</f>
        <v>0</v>
      </c>
      <c r="R61" s="164">
        <f t="shared" ref="R61:R92" ca="1" si="220">IF(AND(NOT(EXACT($A61,"")),NOT(ISBLANK($F61)),IF(ISNUMBER($B61),VALUE($B61),0)&lt;R$10,SUM(IF(ISNUMBER($B61),VALUE($B61),0),$F61)&gt;=R$10,EXACT($K61,"")),
MAX(1,ROUND(HLOOKUP(IF(CW61&lt;65,"A+",IF(CW61&gt;72,"H",CHAR(CW61))),SKT,R$10+3,FALSE)*IF(VT_EIDGED,IF($C61="Dru",1/3,0.5),1)*IF(VT_GUTGED,IF($C61="Dru",2/3,0.75),1),0)),0)
*IF(ISERR(FIND(";"&amp;R$10&amp;":0;",$H61)),1,0)</f>
        <v>0</v>
      </c>
      <c r="S61" s="164">
        <f t="shared" ref="S61:S92" ca="1" si="221">IF(AND(NOT(EXACT($A61,"")),NOT(ISBLANK($F61)),IF(ISNUMBER($B61),VALUE($B61),0)&lt;S$10,SUM(IF(ISNUMBER($B61),VALUE($B61),0),$F61)&gt;=S$10,EXACT($K61,"")),
MAX(1,ROUND(HLOOKUP(IF(CX61&lt;65,"A+",IF(CX61&gt;72,"H",CHAR(CX61))),SKT,S$10+3,FALSE)*IF(VT_EIDGED,IF($C61="Dru",1/3,0.5),1)*IF(VT_GUTGED,IF($C61="Dru",2/3,0.75),1),0)),0)
*IF(ISERR(FIND(";"&amp;S$10&amp;":0;",$H61)),1,0)</f>
        <v>0</v>
      </c>
      <c r="T61" s="164">
        <f t="shared" ref="T61:T92" ca="1" si="222">IF(AND(NOT(EXACT($A61,"")),NOT(ISBLANK($F61)),IF(ISNUMBER($B61),VALUE($B61),0)&lt;T$10,SUM(IF(ISNUMBER($B61),VALUE($B61),0),$F61)&gt;=T$10,EXACT($K61,"")),
MAX(1,ROUND(HLOOKUP(IF(CY61&lt;65,"A+",IF(CY61&gt;72,"H",CHAR(CY61))),SKT,T$10+3,FALSE)*IF(VT_EIDGED,IF($C61="Dru",1/3,0.5),1)*IF(VT_GUTGED,IF($C61="Dru",2/3,0.75),1),0)),0)
*IF(ISERR(FIND(";"&amp;T$10&amp;":0;",$H61)),1,0)</f>
        <v>0</v>
      </c>
      <c r="U61" s="164">
        <f t="shared" ref="U61:U92" ca="1" si="223">IF(AND(NOT(EXACT($A61,"")),NOT(ISBLANK($F61)),IF(ISNUMBER($B61),VALUE($B61),0)&lt;U$10,SUM(IF(ISNUMBER($B61),VALUE($B61),0),$F61)&gt;=U$10,EXACT($K61,"")),
MAX(1,ROUND(HLOOKUP(IF(CZ61&lt;65,"A+",IF(CZ61&gt;72,"H",CHAR(CZ61))),SKT,U$10+3,FALSE)*IF(VT_EIDGED,IF($C61="Dru",1/3,0.5),1)*IF(VT_GUTGED,IF($C61="Dru",2/3,0.75),1),0)),0)
*IF(ISERR(FIND(";"&amp;U$10&amp;":0;",$H61)),1,0)</f>
        <v>0</v>
      </c>
      <c r="V61" s="164">
        <f t="shared" ref="V61:V92" ca="1" si="224">IF(AND(NOT(EXACT($A61,"")),NOT(ISBLANK($F61)),IF(ISNUMBER($B61),VALUE($B61),0)&lt;V$10,SUM(IF(ISNUMBER($B61),VALUE($B61),0),$F61)&gt;=V$10,EXACT($K61,"")),
MAX(1,ROUND(HLOOKUP(IF(DA61&lt;65,"A+",IF(DA61&gt;72,"H",CHAR(DA61))),SKT,V$10+3,FALSE)*IF(VT_EIDGED,IF($C61="Dru",1/3,0.5),1)*IF(VT_GUTGED,IF($C61="Dru",2/3,0.75),1),0)),0)
*IF(ISERR(FIND(";"&amp;V$10&amp;":0;",$H61)),1,0)</f>
        <v>0</v>
      </c>
      <c r="W61" s="164">
        <f t="shared" ref="W61:W92" ca="1" si="225">IF(AND(NOT(EXACT($A61,"")),NOT(ISBLANK($F61)),IF(ISNUMBER($B61),VALUE($B61),0)&lt;W$10,SUM(IF(ISNUMBER($B61),VALUE($B61),0),$F61)&gt;=W$10,EXACT($K61,"")),
MAX(1,ROUND(HLOOKUP(IF(DB61&lt;65,"A+",IF(DB61&gt;72,"H",CHAR(DB61))),SKT,W$10+3,FALSE)*IF(VT_EIDGED,IF($C61="Dru",1/3,0.5),1)*IF(VT_GUTGED,IF($C61="Dru",2/3,0.75),1),0)),0)
*IF(ISERR(FIND(";"&amp;W$10&amp;":0;",$H61)),1,0)</f>
        <v>0</v>
      </c>
      <c r="X61" s="164">
        <f t="shared" ref="X61:X92" ca="1" si="226">IF(AND(NOT(EXACT($A61,"")),NOT(ISBLANK($F61)),IF(ISNUMBER($B61),VALUE($B61),0)&lt;X$10,SUM(IF(ISNUMBER($B61),VALUE($B61),0),$F61)&gt;=X$10,EXACT($K61,"")),
MAX(1,ROUND(HLOOKUP(IF(DC61&lt;65,"A+",IF(DC61&gt;72,"H",CHAR(DC61))),SKT,X$10+3,FALSE)*IF(VT_EIDGED,IF($C61="Dru",1/3,0.5),1)*IF(VT_GUTGED,IF($C61="Dru",2/3,0.75),1),0)),0)
*IF(ISERR(FIND(";"&amp;X$10&amp;":0;",$H61)),1,0)</f>
        <v>0</v>
      </c>
      <c r="Y61" s="164">
        <f t="shared" ref="Y61:Y92" ca="1" si="227">IF(AND(NOT(EXACT($A61,"")),NOT(ISBLANK($F61)),IF(ISNUMBER($B61),VALUE($B61),0)&lt;Y$10,SUM(IF(ISNUMBER($B61),VALUE($B61),0),$F61)&gt;=Y$10,EXACT($K61,"")),
MAX(1,ROUND(HLOOKUP(IF(DD61&lt;65,"A+",IF(DD61&gt;72,"H",CHAR(DD61))),SKT,Y$10+3,FALSE)*IF(VT_EIDGED,IF($C61="Dru",1/3,0.5),1)*IF(VT_GUTGED,IF($C61="Dru",2/3,0.75),1),0)),0)
*IF(ISERR(FIND(";"&amp;Y$10&amp;":0;",$H61)),1,0)</f>
        <v>0</v>
      </c>
      <c r="Z61" s="164">
        <f t="shared" ref="Z61:Z92" ca="1" si="228">IF(AND(NOT(EXACT($A61,"")),NOT(ISBLANK($F61)),IF(ISNUMBER($B61),VALUE($B61),0)&lt;Z$10,SUM(IF(ISNUMBER($B61),VALUE($B61),0),$F61)&gt;=Z$10,EXACT($K61,"")),
MAX(1,ROUND(HLOOKUP(IF(DE61&lt;65,"A+",IF(DE61&gt;72,"H",CHAR(DE61))),SKT,Z$10+3,FALSE)*IF(VT_EIDGED,IF($C61="Dru",1/3,0.5),1)*IF(VT_GUTGED,IF($C61="Dru",2/3,0.75),1),0)),0)
*IF(ISERR(FIND(";"&amp;Z$10&amp;":0;",$H61)),1,0)</f>
        <v>0</v>
      </c>
      <c r="AA61" s="164">
        <f t="shared" ref="AA61:AA92" ca="1" si="229">IF(AND(NOT(EXACT($A61,"")),NOT(ISBLANK($F61)),IF(ISNUMBER($B61),VALUE($B61),0)&lt;AA$10,SUM(IF(ISNUMBER($B61),VALUE($B61),0),$F61)&gt;=AA$10,EXACT($K61,"")),
MAX(1,ROUND(HLOOKUP(IF(DF61&lt;65,"A+",IF(DF61&gt;72,"H",CHAR(DF61))),SKT,AA$10+3,FALSE)*IF(VT_EIDGED,IF($C61="Dru",1/3,0.5),1)*IF(VT_GUTGED,IF($C61="Dru",2/3,0.75),1),0)),0)
*IF(ISERR(FIND(";"&amp;AA$10&amp;":0;",$H61)),1,0)</f>
        <v>0</v>
      </c>
      <c r="AB61" s="164">
        <f t="shared" ref="AB61:AB92" ca="1" si="230">IF(AND(NOT(EXACT($A61,"")),NOT(ISBLANK($F61)),IF(ISNUMBER($B61),VALUE($B61),0)&lt;AB$10,SUM(IF(ISNUMBER($B61),VALUE($B61),0),$F61)&gt;=AB$10,EXACT($K61,"")),
MAX(1,ROUND(HLOOKUP(IF(DG61&lt;65,"A+",IF(DG61&gt;72,"H",CHAR(DG61))),SKT,AB$10+3,FALSE)*IF(VT_EIDGED,IF($C61="Dru",1/3,0.5),1)*IF(VT_GUTGED,IF($C61="Dru",2/3,0.75),1),0)),0)
*IF(ISERR(FIND(";"&amp;AB$10&amp;":0;",$H61)),1,0)</f>
        <v>0</v>
      </c>
      <c r="AC61" s="164">
        <f t="shared" ref="AC61:AC92" ca="1" si="231">IF(AND(NOT(EXACT($A61,"")),NOT(ISBLANK($F61)),IF(ISNUMBER($B61),VALUE($B61),0)&lt;AC$10,SUM(IF(ISNUMBER($B61),VALUE($B61),0),$F61)&gt;=AC$10,EXACT($K61,"")),
MAX(1,ROUND(HLOOKUP(IF(DH61&lt;65,"A+",IF(DH61&gt;72,"H",CHAR(DH61))),SKT,AC$10+3,FALSE)*IF(VT_EIDGED,IF($C61="Dru",1/3,0.5),1)*IF(VT_GUTGED,IF($C61="Dru",2/3,0.75),1),0)),0)
*IF(ISERR(FIND(";"&amp;AC$10&amp;":0;",$H61)),1,0)</f>
        <v>0</v>
      </c>
      <c r="AD61" s="164">
        <f t="shared" ref="AD61:AD92" ca="1" si="232">IF(AND(NOT(EXACT($A61,"")),NOT(ISBLANK($F61)),IF(ISNUMBER($B61),VALUE($B61),0)&lt;AD$10,SUM(IF(ISNUMBER($B61),VALUE($B61),0),$F61)&gt;=AD$10,EXACT($K61,"")),
MAX(1,ROUND(HLOOKUP(IF(DI61&lt;65,"A+",IF(DI61&gt;72,"H",CHAR(DI61))),SKT,AD$10+3,FALSE)*IF(VT_EIDGED,IF($C61="Dru",1/3,0.5),1)*IF(VT_GUTGED,IF($C61="Dru",2/3,0.75),1),0)),0)
*IF(ISERR(FIND(";"&amp;AD$10&amp;":0;",$H61)),1,0)</f>
        <v>0</v>
      </c>
      <c r="AE61" s="164">
        <f t="shared" ref="AE61:AE92" ca="1" si="233">IF(AND(NOT(EXACT($A61,"")),NOT(ISBLANK($F61)),IF(ISNUMBER($B61),VALUE($B61),0)&lt;AE$10,SUM(IF(ISNUMBER($B61),VALUE($B61),0),$F61)&gt;=AE$10,EXACT($K61,"")),
MAX(1,ROUND(HLOOKUP(IF(DJ61&lt;65,"A+",IF(DJ61&gt;72,"H",CHAR(DJ61))),SKT,AE$10+3,FALSE)*IF(VT_EIDGED,IF($C61="Dru",1/3,0.5),1)*IF(VT_GUTGED,IF($C61="Dru",2/3,0.75),1),0)),0)
*IF(ISERR(FIND(";"&amp;AE$10&amp;":0;",$H61)),1,0)</f>
        <v>0</v>
      </c>
      <c r="AF61" s="164">
        <f t="shared" ref="AF61:AF92" ca="1" si="234">IF(AND(NOT(EXACT($A61,"")),NOT(ISBLANK($F61)),IF(ISNUMBER($B61),VALUE($B61),0)&lt;AF$10,SUM(IF(ISNUMBER($B61),VALUE($B61),0),$F61)&gt;=AF$10,EXACT($K61,"")),
MAX(1,ROUND(HLOOKUP(IF(DK61&lt;65,"A+",IF(DK61&gt;72,"H",CHAR(DK61))),SKT,AF$10+3,FALSE)*IF(VT_EIDGED,IF($C61="Dru",1/3,0.5),1)*IF(VT_GUTGED,IF($C61="Dru",2/3,0.75),1),0)),0)
*IF(ISERR(FIND(";"&amp;AF$10&amp;":0;",$H61)),1,0)</f>
        <v>0</v>
      </c>
      <c r="AG61" s="164">
        <f t="shared" ref="AG61:AG92" ca="1" si="235">IF(AND(NOT(EXACT($A61,"")),NOT(ISBLANK($F61)),IF(ISNUMBER($B61),VALUE($B61),0)&lt;AG$10,SUM(IF(ISNUMBER($B61),VALUE($B61),0),$F61)&gt;=AG$10,EXACT($K61,"")),
MAX(1,ROUND(HLOOKUP(IF(DL61&lt;65,"A+",IF(DL61&gt;72,"H",CHAR(DL61))),SKT,AG$10+3,FALSE)*IF(VT_EIDGED,IF($C61="Dru",1/3,0.5),1)*IF(VT_GUTGED,IF($C61="Dru",2/3,0.75),1),0)),0)
*IF(ISERR(FIND(";"&amp;AG$10&amp;":0;",$H61)),1,0)</f>
        <v>0</v>
      </c>
      <c r="AH61" s="164">
        <f t="shared" ref="AH61:AH92" ca="1" si="236">IF(AND(NOT(EXACT($A61,"")),NOT(ISBLANK($F61)),IF(ISNUMBER($B61),VALUE($B61),0)&lt;AH$10,SUM(IF(ISNUMBER($B61),VALUE($B61),0),$F61)&gt;=AH$10,EXACT($K61,"")),
MAX(1,ROUND(HLOOKUP(IF(DM61&lt;65,"A+",IF(DM61&gt;72,"H",CHAR(DM61))),SKT,AH$10+3,FALSE)*IF(VT_EIDGED,IF($C61="Dru",1/3,0.5),1)*IF(VT_GUTGED,IF($C61="Dru",2/3,0.75),1),0)),0)
*IF(ISERR(FIND(";"&amp;AH$10&amp;":0;",$H61)),1,0)</f>
        <v>0</v>
      </c>
      <c r="AI61" s="164">
        <f t="shared" ref="AI61:AI92" ca="1" si="237">IF(AND(NOT(EXACT($A61,"")),NOT(ISBLANK($F61)),IF(ISNUMBER($B61),VALUE($B61),0)&lt;AI$10,SUM(IF(ISNUMBER($B61),VALUE($B61),0),$F61)&gt;=AI$10,EXACT($K61,"")),
MAX(1,ROUND(HLOOKUP(IF(DN61&lt;65,"A+",IF(DN61&gt;72,"H",CHAR(DN61))),SKT,AI$10+3,FALSE)*IF(VT_EIDGED,IF($C61="Dru",1/3,0.5),1)*IF(VT_GUTGED,IF($C61="Dru",2/3,0.75),1),0)),0)
*IF(ISERR(FIND(";"&amp;AI$10&amp;":0;",$H61)),1,0)</f>
        <v>0</v>
      </c>
      <c r="AJ61" s="164">
        <f t="shared" ref="AJ61:AJ92" ca="1" si="238">IF(AND(NOT(EXACT($A61,"")),NOT(ISBLANK($F61)),IF(ISNUMBER($B61),VALUE($B61),0)&lt;AJ$10,SUM(IF(ISNUMBER($B61),VALUE($B61),0),$F61)&gt;=AJ$10,EXACT($K61,"")),
MAX(1,ROUND(HLOOKUP(IF(DO61&lt;65,"A+",IF(DO61&gt;72,"H",CHAR(DO61))),SKT,AJ$10+3,FALSE)*IF(VT_EIDGED,IF($C61="Dru",1/3,0.5),1)*IF(VT_GUTGED,IF($C61="Dru",2/3,0.75),1),0)),0)
*IF(ISERR(FIND(";"&amp;AJ$10&amp;":0;",$H61)),1,0)</f>
        <v>0</v>
      </c>
      <c r="AK61" s="164">
        <f t="shared" ref="AK61:AK92" ca="1" si="239">IF(AND(NOT(EXACT($A61,"")),NOT(ISBLANK($F61)),IF(ISNUMBER($B61),VALUE($B61),0)&lt;AK$10,SUM(IF(ISNUMBER($B61),VALUE($B61),0),$F61)&gt;=AK$10,EXACT($K61,"")),
MAX(1,ROUND(HLOOKUP(IF(DP61&lt;65,"A+",IF(DP61&gt;72,"H",CHAR(DP61))),SKT,AK$10+3,FALSE)*IF(VT_EIDGED,IF($C61="Dru",1/3,0.5),1)*IF(VT_GUTGED,IF($C61="Dru",2/3,0.75),1),0)),0)
*IF(ISERR(FIND(";"&amp;AK$10&amp;":0;",$H61)),1,0)</f>
        <v>0</v>
      </c>
      <c r="AL61" s="164">
        <f t="shared" ref="AL61:AL92" ca="1" si="240">IF(AND(NOT(EXACT($A61,"")),NOT(ISBLANK($F61)),IF(ISNUMBER($B61),VALUE($B61),0)&lt;AL$10,SUM(IF(ISNUMBER($B61),VALUE($B61),0),$F61)&gt;=AL$10,EXACT($K61,"")),
MAX(1,ROUND(HLOOKUP(IF(DQ61&lt;65,"A+",IF(DQ61&gt;72,"H",CHAR(DQ61))),SKT,AL$10+3,FALSE)*IF(VT_EIDGED,IF($C61="Dru",1/3,0.5),1)*IF(VT_GUTGED,IF($C61="Dru",2/3,0.75),1),0)),0)
*IF(ISERR(FIND(";"&amp;AL$10&amp;":0;",$H61)),1,0)</f>
        <v>0</v>
      </c>
      <c r="AM61" s="208"/>
      <c r="AN61" s="164">
        <f t="shared" ref="AN61:AN92" si="241">IF(NOT(ISBLANK($J61)),
ROUND(
IF(SUM($B61,$F61)&lt;0,IF($J61&lt;ABS(SUM($B61,$F61)),$J61,ABS(SUM($B61,$F61))),IF($F61="",1,0))
*HLOOKUP(IF(DS61&lt;65,"A+",IF(DS61&gt;72,"H",CHAR(DS61))),SKT,3,FALSE)*5*IF(VT_EIDGED,IF($C61="Dru",1/3,0.5),1)*IF(VT_GUTGED,IF($C61="Dru",2/3,0.75),1),0),0)
*IF(ISERR(FIND(";"&amp;AN$10&amp;":0;",$H61)),1,0)</f>
        <v>0</v>
      </c>
      <c r="AO61" s="164">
        <f t="shared" ref="AO61:AO92" ca="1" si="242">IF(NOT($A61=""),IF(AND(NOT(ISBLANK($J61)),SUM(VALUE($B61),$F61)&lt;AO$10,SUM(VALUE($B61),$F61,$J61)&gt;=AO$10,EXACT($K61,"")),
MAX(1,ROUND(HLOOKUP(IF(DT61&lt;65,"A+",IF(DT61&gt;72,"H",CHAR(DT61))),SKT,AO$10+3,FALSE)*IF(VT_EIDGED,IF($C61="Dru",1/3,0.5),1)*IF(VT_GUTGED,IF($C61="Dru",2/3,0.75),1),0)),0),0)
*IF(ISERR(FIND(";"&amp;AO$10&amp;":0;",$H61)),1,0)</f>
        <v>0</v>
      </c>
      <c r="AP61" s="164">
        <f t="shared" ref="AP61:AP92" ca="1" si="243">IF(NOT($A61=""),IF(AND(NOT(ISBLANK($J61)),SUM(VALUE($B61),$F61)&lt;AP$10,SUM(VALUE($B61),$F61,$J61)&gt;=AP$10,EXACT($K61,"")),
MAX(1,ROUND(HLOOKUP(IF(DU61&lt;65,"A+",IF(DU61&gt;72,"H",CHAR(DU61))),SKT,AP$10+3,FALSE)*IF(VT_EIDGED,IF($C61="Dru",1/3,0.5),1)*IF(VT_GUTGED,IF($C61="Dru",2/3,0.75),1),0)),0),0)
*IF(ISERR(FIND(";"&amp;AP$10&amp;":0;",$H61)),1,0)</f>
        <v>0</v>
      </c>
      <c r="AQ61" s="164">
        <f t="shared" ref="AQ61:AQ92" ca="1" si="244">IF(NOT($A61=""),IF(AND(NOT(ISBLANK($J61)),SUM(VALUE($B61),$F61)&lt;AQ$10,SUM(VALUE($B61),$F61,$J61)&gt;=AQ$10,EXACT($K61,"")),
MAX(1,ROUND(HLOOKUP(IF(DV61&lt;65,"A+",IF(DV61&gt;72,"H",CHAR(DV61))),SKT,AQ$10+3,FALSE)*IF(VT_EIDGED,IF($C61="Dru",1/3,0.5),1)*IF(VT_GUTGED,IF($C61="Dru",2/3,0.75),1),0)),0),0)
*IF(ISERR(FIND(";"&amp;AQ$10&amp;":0;",$H61)),1,0)</f>
        <v>0</v>
      </c>
      <c r="AR61" s="164">
        <f t="shared" ref="AR61:AR92" ca="1" si="245">IF(NOT($A61=""),IF(AND(NOT(ISBLANK($J61)),SUM(VALUE($B61),$F61)&lt;AR$10,SUM(VALUE($B61),$F61,$J61)&gt;=AR$10,EXACT($K61,"")),
MAX(1,ROUND(HLOOKUP(IF(DW61&lt;65,"A+",IF(DW61&gt;72,"H",CHAR(DW61))),SKT,AR$10+3,FALSE)*IF(VT_EIDGED,IF($C61="Dru",1/3,0.5),1)*IF(VT_GUTGED,IF($C61="Dru",2/3,0.75),1),0)),0),0)
*IF(ISERR(FIND(";"&amp;AR$10&amp;":0;",$H61)),1,0)</f>
        <v>0</v>
      </c>
      <c r="AS61" s="164">
        <f t="shared" ref="AS61:AS92" ca="1" si="246">IF(NOT($A61=""),IF(AND(NOT(ISBLANK($J61)),SUM(VALUE($B61),$F61)&lt;AS$10,SUM(VALUE($B61),$F61,$J61)&gt;=AS$10,EXACT($K61,"")),
MAX(1,ROUND(HLOOKUP(IF(DX61&lt;65,"A+",IF(DX61&gt;72,"H",CHAR(DX61))),SKT,AS$10+3,FALSE)*IF(VT_EIDGED,IF($C61="Dru",1/3,0.5),1)*IF(VT_GUTGED,IF($C61="Dru",2/3,0.75),1),0)),0),0)
*IF(ISERR(FIND(";"&amp;AS$10&amp;":0;",$H61)),1,0)</f>
        <v>0</v>
      </c>
      <c r="AT61" s="164">
        <f t="shared" ref="AT61:AT92" ca="1" si="247">IF(NOT($A61=""),IF(AND(NOT(ISBLANK($J61)),SUM(VALUE($B61),$F61)&lt;AT$10,SUM(VALUE($B61),$F61,$J61)&gt;=AT$10,EXACT($K61,"")),
MAX(1,ROUND(HLOOKUP(IF(DY61&lt;65,"A+",IF(DY61&gt;72,"H",CHAR(DY61))),SKT,AT$10+3,FALSE)*IF(VT_EIDGED,IF($C61="Dru",1/3,0.5),1)*IF(VT_GUTGED,IF($C61="Dru",2/3,0.75),1),0)),0),0)
*IF(ISERR(FIND(";"&amp;AT$10&amp;":0;",$H61)),1,0)</f>
        <v>0</v>
      </c>
      <c r="AU61" s="164">
        <f t="shared" ref="AU61:AU92" ca="1" si="248">IF(NOT($A61=""),IF(AND(NOT(ISBLANK($J61)),SUM(VALUE($B61),$F61)&lt;AU$10,SUM(VALUE($B61),$F61,$J61)&gt;=AU$10,EXACT($K61,"")),
MAX(1,ROUND(HLOOKUP(IF(DZ61&lt;65,"A+",IF(DZ61&gt;72,"H",CHAR(DZ61))),SKT,AU$10+3,FALSE)*IF(VT_EIDGED,IF($C61="Dru",1/3,0.5),1)*IF(VT_GUTGED,IF($C61="Dru",2/3,0.75),1),0)),0),0)
*IF(ISERR(FIND(";"&amp;AU$10&amp;":0;",$H61)),1,0)</f>
        <v>0</v>
      </c>
      <c r="AV61" s="164">
        <f t="shared" ref="AV61:AV92" ca="1" si="249">IF(NOT($A61=""),IF(AND(NOT(ISBLANK($J61)),SUM(VALUE($B61),$F61)&lt;AV$10,SUM(VALUE($B61),$F61,$J61)&gt;=AV$10,EXACT($K61,"")),
MAX(1,ROUND(HLOOKUP(IF(EA61&lt;65,"A+",IF(EA61&gt;72,"H",CHAR(EA61))),SKT,AV$10+3,FALSE)*IF(VT_EIDGED,IF($C61="Dru",1/3,0.5),1)*IF(VT_GUTGED,IF($C61="Dru",2/3,0.75),1),0)),0),0)
*IF(ISERR(FIND(";"&amp;AV$10&amp;":0;",$H61)),1,0)</f>
        <v>0</v>
      </c>
      <c r="AW61" s="164">
        <f t="shared" ref="AW61:AW92" ca="1" si="250">IF(NOT($A61=""),IF(AND(NOT(ISBLANK($J61)),SUM(VALUE($B61),$F61)&lt;AW$10,SUM(VALUE($B61),$F61,$J61)&gt;=AW$10,EXACT($K61,"")),
MAX(1,ROUND(HLOOKUP(IF(EB61&lt;65,"A+",IF(EB61&gt;72,"H",CHAR(EB61))),SKT,AW$10+3,FALSE)*IF(VT_EIDGED,IF($C61="Dru",1/3,0.5),1)*IF(VT_GUTGED,IF($C61="Dru",2/3,0.75),1),0)),0),0)
*IF(ISERR(FIND(";"&amp;AW$10&amp;":0;",$H61)),1,0)</f>
        <v>0</v>
      </c>
      <c r="AX61" s="164">
        <f t="shared" ref="AX61:AX92" ca="1" si="251">IF(NOT($A61=""),IF(AND(NOT(ISBLANK($J61)),SUM(VALUE($B61),$F61)&lt;AX$10,SUM(VALUE($B61),$F61,$J61)&gt;=AX$10,EXACT($K61,"")),
MAX(1,ROUND(HLOOKUP(IF(EC61&lt;65,"A+",IF(EC61&gt;72,"H",CHAR(EC61))),SKT,AX$10+3,FALSE)*IF(VT_EIDGED,IF($C61="Dru",1/3,0.5),1)*IF(VT_GUTGED,IF($C61="Dru",2/3,0.75),1),0)),0),0)
*IF(ISERR(FIND(";"&amp;AX$10&amp;":0;",$H61)),1,0)</f>
        <v>0</v>
      </c>
      <c r="AY61" s="164">
        <f t="shared" ref="AY61:AY92" ca="1" si="252">IF(NOT($A61=""),IF(AND(NOT(ISBLANK($J61)),SUM(VALUE($B61),$F61)&lt;AY$10,SUM(VALUE($B61),$F61,$J61)&gt;=AY$10,EXACT($K61,"")),
MAX(1,ROUND(HLOOKUP(IF(ED61&lt;65,"A+",IF(ED61&gt;72,"H",CHAR(ED61))),SKT,AY$10+3,FALSE)*IF(VT_EIDGED,IF($C61="Dru",1/3,0.5),1)*IF(VT_GUTGED,IF($C61="Dru",2/3,0.75),1),0)),0),0)
*IF(ISERR(FIND(";"&amp;AY$10&amp;":0;",$H61)),1,0)</f>
        <v>0</v>
      </c>
      <c r="AZ61" s="164">
        <f t="shared" ref="AZ61:AZ92" ca="1" si="253">IF(NOT($A61=""),IF(AND(NOT(ISBLANK($J61)),SUM(VALUE($B61),$F61)&lt;AZ$10,SUM(VALUE($B61),$F61,$J61)&gt;=AZ$10,EXACT($K61,"")),
MAX(1,ROUND(HLOOKUP(IF(EE61&lt;65,"A+",IF(EE61&gt;72,"H",CHAR(EE61))),SKT,AZ$10+3,FALSE)*IF(VT_EIDGED,IF($C61="Dru",1/3,0.5),1)*IF(VT_GUTGED,IF($C61="Dru",2/3,0.75),1),0)),0),0)
*IF(ISERR(FIND(";"&amp;AZ$10&amp;":0;",$H61)),1,0)</f>
        <v>0</v>
      </c>
      <c r="BA61" s="164">
        <f t="shared" ref="BA61:BA92" ca="1" si="254">IF(NOT($A61=""),IF(AND(NOT(ISBLANK($J61)),SUM(VALUE($B61),$F61)&lt;BA$10,SUM(VALUE($B61),$F61,$J61)&gt;=BA$10,EXACT($K61,"")),
MAX(1,ROUND(HLOOKUP(IF(EF61&lt;65,"A+",IF(EF61&gt;72,"H",CHAR(EF61))),SKT,BA$10+3,FALSE)*IF(VT_EIDGED,IF($C61="Dru",1/3,0.5),1)*IF(VT_GUTGED,IF($C61="Dru",2/3,0.75),1),0)),0),0)
*IF(ISERR(FIND(";"&amp;BA$10&amp;":0;",$H61)),1,0)</f>
        <v>0</v>
      </c>
      <c r="BB61" s="164">
        <f t="shared" ref="BB61:BB92" ca="1" si="255">IF(NOT($A61=""),IF(AND(NOT(ISBLANK($J61)),SUM(VALUE($B61),$F61)&lt;BB$10,SUM(VALUE($B61),$F61,$J61)&gt;=BB$10,EXACT($K61,"")),
MAX(1,ROUND(HLOOKUP(IF(EG61&lt;65,"A+",IF(EG61&gt;72,"H",CHAR(EG61))),SKT,BB$10+3,FALSE)*IF(VT_EIDGED,IF($C61="Dru",1/3,0.5),1)*IF(VT_GUTGED,IF($C61="Dru",2/3,0.75),1),0)),0),0)
*IF(ISERR(FIND(";"&amp;BB$10&amp;":0;",$H61)),1,0)</f>
        <v>0</v>
      </c>
      <c r="BC61" s="164">
        <f t="shared" ref="BC61:BC92" ca="1" si="256">IF(NOT($A61=""),IF(AND(NOT(ISBLANK($J61)),SUM(VALUE($B61),$F61)&lt;BC$10,SUM(VALUE($B61),$F61,$J61)&gt;=BC$10,EXACT($K61,"")),
MAX(1,ROUND(HLOOKUP(IF(EH61&lt;65,"A+",IF(EH61&gt;72,"H",CHAR(EH61))),SKT,BC$10+3,FALSE)*IF(VT_EIDGED,IF($C61="Dru",1/3,0.5),1)*IF(VT_GUTGED,IF($C61="Dru",2/3,0.75),1),0)),0),0)
*IF(ISERR(FIND(";"&amp;BC$10&amp;":0;",$H61)),1,0)</f>
        <v>0</v>
      </c>
      <c r="BD61" s="164">
        <f t="shared" ref="BD61:BD92" ca="1" si="257">IF(NOT($A61=""),IF(AND(NOT(ISBLANK($J61)),SUM(VALUE($B61),$F61)&lt;BD$10,SUM(VALUE($B61),$F61,$J61)&gt;=BD$10,EXACT($K61,"")),
MAX(1,ROUND(HLOOKUP(IF(EI61&lt;65,"A+",IF(EI61&gt;72,"H",CHAR(EI61))),SKT,BD$10+3,FALSE)*IF(VT_EIDGED,IF($C61="Dru",1/3,0.5),1)*IF(VT_GUTGED,IF($C61="Dru",2/3,0.75),1),0)),0),0)
*IF(ISERR(FIND(";"&amp;BD$10&amp;":0;",$H61)),1,0)</f>
        <v>0</v>
      </c>
      <c r="BE61" s="164">
        <f t="shared" ref="BE61:BE92" ca="1" si="258">IF(NOT($A61=""),IF(AND(NOT(ISBLANK($J61)),SUM(VALUE($B61),$F61)&lt;BE$10,SUM(VALUE($B61),$F61,$J61)&gt;=BE$10,EXACT($K61,"")),
MAX(1,ROUND(HLOOKUP(IF(EJ61&lt;65,"A+",IF(EJ61&gt;72,"H",CHAR(EJ61))),SKT,BE$10+3,FALSE)*IF(VT_EIDGED,IF($C61="Dru",1/3,0.5),1)*IF(VT_GUTGED,IF($C61="Dru",2/3,0.75),1),0)),0),0)
*IF(ISERR(FIND(";"&amp;BE$10&amp;":0;",$H61)),1,0)</f>
        <v>0</v>
      </c>
      <c r="BF61" s="164">
        <f t="shared" ref="BF61:BF92" ca="1" si="259">IF(NOT($A61=""),IF(AND(NOT(ISBLANK($J61)),SUM(VALUE($B61),$F61)&lt;BF$10,SUM(VALUE($B61),$F61,$J61)&gt;=BF$10,EXACT($K61,"")),
MAX(1,ROUND(HLOOKUP(IF(EK61&lt;65,"A+",IF(EK61&gt;72,"H",CHAR(EK61))),SKT,BF$10+3,FALSE)*IF(VT_EIDGED,IF($C61="Dru",1/3,0.5),1)*IF(VT_GUTGED,IF($C61="Dru",2/3,0.75),1),0)),0),0)
*IF(ISERR(FIND(";"&amp;BF$10&amp;":0;",$H61)),1,0)</f>
        <v>0</v>
      </c>
      <c r="BG61" s="164">
        <f t="shared" ref="BG61:BG92" ca="1" si="260">IF(NOT($A61=""),IF(AND(NOT(ISBLANK($J61)),SUM(VALUE($B61),$F61)&lt;BG$10,SUM(VALUE($B61),$F61,$J61)&gt;=BG$10,EXACT($K61,"")),
MAX(1,ROUND(HLOOKUP(IF(EL61&lt;65,"A+",IF(EL61&gt;72,"H",CHAR(EL61))),SKT,BG$10+3,FALSE)*IF(VT_EIDGED,IF($C61="Dru",1/3,0.5),1)*IF(VT_GUTGED,IF($C61="Dru",2/3,0.75),1),0)),0),0)
*IF(ISERR(FIND(";"&amp;BG$10&amp;":0;",$H61)),1,0)</f>
        <v>0</v>
      </c>
      <c r="BH61" s="164">
        <f t="shared" ref="BH61:BH92" ca="1" si="261">IF(NOT($A61=""),IF(AND(NOT(ISBLANK($J61)),SUM(VALUE($B61),$F61)&lt;BH$10,SUM(VALUE($B61),$F61,$J61)&gt;=BH$10,EXACT($K61,"")),
MAX(1,ROUND(HLOOKUP(IF(EM61&lt;65,"A+",IF(EM61&gt;72,"H",CHAR(EM61))),SKT,BH$10+3,FALSE)*IF(VT_EIDGED,IF($C61="Dru",1/3,0.5),1)*IF(VT_GUTGED,IF($C61="Dru",2/3,0.75),1),0)),0),0)
*IF(ISERR(FIND(";"&amp;BH$10&amp;":0;",$H61)),1,0)</f>
        <v>0</v>
      </c>
      <c r="BI61" s="164">
        <f t="shared" ref="BI61:BI92" ca="1" si="262">IF(NOT($A61=""),IF(AND(NOT(ISBLANK($J61)),SUM(VALUE($B61),$F61)&lt;BI$10,SUM(VALUE($B61),$F61,$J61)&gt;=BI$10,EXACT($K61,"")),
MAX(1,ROUND(HLOOKUP(IF(EN61&lt;65,"A+",IF(EN61&gt;72,"H",CHAR(EN61))),SKT,BI$10+3,FALSE)*IF(VT_EIDGED,IF($C61="Dru",1/3,0.5),1)*IF(VT_GUTGED,IF($C61="Dru",2/3,0.75),1),0)),0),0)
*IF(ISERR(FIND(";"&amp;BI$10&amp;":0;",$H61)),1,0)</f>
        <v>0</v>
      </c>
      <c r="BJ61" s="164">
        <f t="shared" ref="BJ61:BJ92" ca="1" si="263">IF(NOT($A61=""),IF(AND(NOT(ISBLANK($J61)),SUM(VALUE($B61),$F61)&lt;BJ$10,SUM(VALUE($B61),$F61,$J61)&gt;=BJ$10,EXACT($K61,"")),
MAX(1,ROUND(HLOOKUP(IF(EO61&lt;65,"A+",IF(EO61&gt;72,"H",CHAR(EO61))),SKT,BJ$10+3,FALSE)*IF(VT_EIDGED,IF($C61="Dru",1/3,0.5),1)*IF(VT_GUTGED,IF($C61="Dru",2/3,0.75),1),0)),0),0)
*IF(ISERR(FIND(";"&amp;BJ$10&amp;":0;",$H61)),1,0)</f>
        <v>0</v>
      </c>
      <c r="BK61" s="164">
        <f t="shared" ref="BK61:BK92" ca="1" si="264">IF(NOT($A61=""),IF(AND(NOT(ISBLANK($J61)),SUM(VALUE($B61),$F61)&lt;BK$10,SUM(VALUE($B61),$F61,$J61)&gt;=BK$10,EXACT($K61,"")),
MAX(1,ROUND(HLOOKUP(IF(EP61&lt;65,"A+",IF(EP61&gt;72,"H",CHAR(EP61))),SKT,BK$10+3,FALSE)*IF(VT_EIDGED,IF($C61="Dru",1/3,0.5),1)*IF(VT_GUTGED,IF($C61="Dru",2/3,0.75),1),0)),0),0)
*IF(ISERR(FIND(";"&amp;BK$10&amp;":0;",$H61)),1,0)</f>
        <v>0</v>
      </c>
      <c r="BL61" s="164">
        <f t="shared" ref="BL61:BL92" ca="1" si="265">IF(NOT($A61=""),IF(AND(NOT(ISBLANK($J61)),SUM(VALUE($B61),$F61)&lt;BL$10,SUM(VALUE($B61),$F61,$J61)&gt;=BL$10,EXACT($K61,"")),
MAX(1,ROUND(HLOOKUP(IF(EQ61&lt;65,"A+",IF(EQ61&gt;72,"H",CHAR(EQ61))),SKT,BL$10+3,FALSE)*IF(VT_EIDGED,IF($C61="Dru",1/3,0.5),1)*IF(VT_GUTGED,IF($C61="Dru",2/3,0.75),1),0)),0),0)
*IF(ISERR(FIND(";"&amp;BL$10&amp;":0;",$H61)),1,0)</f>
        <v>0</v>
      </c>
      <c r="BM61" s="164">
        <f t="shared" ref="BM61:BM92" ca="1" si="266">IF(NOT($A61=""),IF(AND(NOT(ISBLANK($J61)),SUM(VALUE($B61),$F61)&lt;BM$10,SUM(VALUE($B61),$F61,$J61)&gt;=BM$10,EXACT($K61,"")),
MAX(1,ROUND(HLOOKUP(IF(ER61&lt;65,"A+",IF(ER61&gt;72,"H",CHAR(ER61))),SKT,BM$10+3,FALSE)*IF(VT_EIDGED,IF($C61="Dru",1/3,0.5),1)*IF(VT_GUTGED,IF($C61="Dru",2/3,0.75),1),0)),0),0)
*IF(ISERR(FIND(";"&amp;BM$10&amp;":0;",$H61)),1,0)</f>
        <v>0</v>
      </c>
      <c r="BN61" s="164">
        <f t="shared" ref="BN61:BN92" ca="1" si="267">IF(NOT($A61=""),IF(AND(NOT(ISBLANK($J61)),SUM(VALUE($B61),$F61)&lt;BN$10,SUM(VALUE($B61),$F61,$J61)&gt;=BN$10,EXACT($K61,"")),
MAX(1,ROUND(HLOOKUP(IF(ES61&lt;65,"A+",IF(ES61&gt;72,"H",CHAR(ES61))),SKT,BN$10+3,FALSE)*IF(VT_EIDGED,IF($C61="Dru",1/3,0.5),1)*IF(VT_GUTGED,IF($C61="Dru",2/3,0.75),1),0)),0),0)
*IF(ISERR(FIND(";"&amp;BN$10&amp;":0;",$H61)),1,0)</f>
        <v>0</v>
      </c>
      <c r="BO61" s="356" t="str">
        <f t="shared" ref="BO61:BO92" ca="1" si="268">IF($A61="","",CODE(VLOOKUP($A61,ZAUBERWERTE,10,FALSE))-
SUM($BR61:$CA61,
IF(NOT(EXACT($AF$241,"")),(LEN($BQ61)-LEN(SUBSTITUTE($BQ61,$AF$241,"")))/LEN($AF$241),0),
IF(NOT(EXACT($AF$242,"")),(LEN($BQ61)-LEN(SUBSTITUTE($BQ61,$AF$242,"")))/LEN($AF$242),0),
IF(NOT(EXACT($AF$243,"")),(LEN($BQ61)-LEN(SUBSTITUTE($BQ61,$AF$243,"")))/LEN($AF$243),0),
IF(NOT(EXACT($AF$244,"")),(LEN($BQ61)-LEN(SUBSTITUTE($BQ61,$AF$244,"")))/LEN($AF$244),0),
IF(NOT(EXACT($AF$245,"")),(LEN($BQ61)-LEN(SUBSTITUTE($BQ61,$AF$245,"")))/LEN($AF$245),0),
IF(NOT(EXACT($AF$246,"")),(LEN($BQ61)-LEN(SUBSTITUTE($BQ61,$AF$246,"")))/LEN($AF$246),0),
IF(NOT(EXACT($AF$247,"")),(LEN($BQ61)-LEN(SUBSTITUTE($BQ61,$AF$247,"")))/LEN($AF$247),0)))</f>
        <v/>
      </c>
      <c r="BP61" s="355" t="str">
        <f t="shared" ref="BP61:BP92" ca="1" si="269">IF(NOT(EXACT($A61,"")),VLOOKUP($A61,ZAUBERWERTE,11,FALSE),"")</f>
        <v/>
      </c>
      <c r="BQ61" s="355" t="str">
        <f t="shared" ref="BQ61:BQ92" ca="1" si="270">IF(NOT(EXACT($A61,"")),VLOOKUP($A61,ZAUBERWERTE,12,FALSE),"")</f>
        <v/>
      </c>
      <c r="BR61" s="348">
        <f t="shared" ca="1" si="93"/>
        <v>0</v>
      </c>
      <c r="BS61" s="348">
        <f t="shared" ca="1" si="94"/>
        <v>0</v>
      </c>
      <c r="BT61" s="610">
        <f t="shared" ref="BT61:BT92" ca="1" si="271">IF(ISERR(FIND($C61,CONCATENATE($BP$4,$BP$5,$A$237,$A$238))),
IF($BP$4="Sch",IF($C61="Srl",-2,-3),
IF($BP$4="Srl",IF($C61="Mag",-1,-2),
IF($C61="Sch",-3,-2))),
0)</f>
        <v>0</v>
      </c>
      <c r="BU61" s="357">
        <f t="shared" ref="BU61:BU92" ca="1" si="272">IF(EXACT($C61,"H"),1,0)</f>
        <v>0</v>
      </c>
      <c r="BV61" s="357">
        <f t="shared" ref="BV61:BV92" si="273">IF(NT_ELFWELT,IF(CB61="L",0,-1),0)</f>
        <v>0</v>
      </c>
      <c r="BW61" s="357">
        <f t="shared" ref="BW61:BW92" si="274">SUM(IF(NT_ANIMALMAGIE,IF(NOT(ISNA(VLOOKUP(A61,ZAUBERWERTE,2,FALSE))),IF(SUM(IF(VLOOKUP(A61,ZAUBERWERTE,2,FALSE)="KL",1,0),IF(VLOOKUP(A61,ZAUBERWERTE,3,FALSE)="KL",1,0),IF(VLOOKUP(A61,ZAUBERWERTE,4,FALSE)="KL",1,0))&gt;1,-1,0),0),0),
IF(NT_FESTDENKEN,IF(NOT(ISNA(VLOOKUP(A61,ZAUBERWERTE,2,FALSE))),IF(SUM(IF(VLOOKUP(A61,ZAUBERWERTE,2,FALSE)="IN",1,0),IF(VLOOKUP(A61,ZAUBERWERTE,3,FALSE)="IN",1,0),IF(VLOOKUP(A61,ZAUBERWERTE,4,FALSE)="IN",1,0))&gt;1,-1,0),0),0),
IF(NT_SCHWACHAUS,IF(NOT(ISNA(VLOOKUP(A61,ZAUBERWERTE,2,FALSE))),IF(SUM(IF(VLOOKUP(A61,ZAUBERWERTE,2,FALSE)="CH",1,0),IF(VLOOKUP(A61,ZAUBERWERTE,3,FALSE)="CH",1,0),IF(VLOOKUP(A61,ZAUBERWERTE,4,FALSE)="CH",1,0))&gt;1,-1,0),0),0),
IF(NT_ZOEGZAUBERER,IF(NOT(ISNA(VLOOKUP(A61,ZAUBERWERTE,2,FALSE))),IF(SUM(IF(VLOOKUP(A61,ZAUBERWERTE,2,FALSE)="MU",1,0),IF(VLOOKUP(A61,ZAUBERWERTE,3,FALSE)="MU",1,0),IF(VLOOKUP(A61,ZAUBERWERTE,4,FALSE)="MU",1,0))&gt;1,-1,0),0),0))</f>
        <v>0</v>
      </c>
      <c r="BX61" s="357">
        <f t="shared" ref="BX61:BX92" ca="1" si="275">IF($BY61&gt;0,0,IF(OR(AND(NOT(EXACT($T$6,"")),EXACT($A61,$T$6)),AND(NOT(EXACT($T$7,"")),EXACT($A61,$T$7)),AND(NOT(EXACT($T$8,"")),EXACT($A61,$T$8))),1,0))</f>
        <v>0</v>
      </c>
      <c r="BY61" s="357">
        <f t="shared" ca="1" si="95"/>
        <v>0</v>
      </c>
      <c r="BZ61" s="357"/>
      <c r="CA61" s="357">
        <f t="shared" ca="1" si="96"/>
        <v>0</v>
      </c>
      <c r="CB61" s="357" t="str">
        <f t="shared" ref="CB61:CB92" ca="1" si="276">IF(A61="","",IF(ISERROR(FIND(A61,ZAUBER_ELF_LEIT,1)),
IF(ISERROR(VLOOKUP(A61,ZAUBER_START_NEU,4,FALSE)="L"),"",IF(VLOOKUP(A61,ZAUBER_START_NEU,4,FALSE)="L","L","")),"L"))</f>
        <v/>
      </c>
      <c r="CC61" s="358" t="str">
        <f t="shared" ca="1" si="97"/>
        <v/>
      </c>
      <c r="CD61" s="358" t="str">
        <f t="shared" ca="1" si="98"/>
        <v/>
      </c>
      <c r="CE61" s="357" t="str">
        <f ca="1">CONCATENATE($A61,",")</f>
        <v>,</v>
      </c>
      <c r="CF61" s="154" t="str">
        <f>IF(OR(NOT(EXACT($F61,"")),NOT(EXACT($J61,""))),CONCATENATE(A61,","),"")</f>
        <v/>
      </c>
      <c r="CG61" s="154">
        <f t="shared" ca="1" si="100"/>
        <v>0</v>
      </c>
      <c r="CH61" s="154"/>
      <c r="CI61" s="154"/>
      <c r="CJ61" s="154"/>
      <c r="CK61" s="154"/>
      <c r="CL61" s="353"/>
      <c r="CM61" s="154"/>
      <c r="CN61" t="s">
        <v>784</v>
      </c>
      <c r="CO61" s="169"/>
      <c r="CP61" s="169"/>
      <c r="CQ61" s="169"/>
      <c r="CR61" s="169"/>
      <c r="CS61" s="169"/>
      <c r="CT61" s="169"/>
      <c r="CU61" s="169"/>
      <c r="CV61" s="164" t="str">
        <f t="shared" ref="CV61:DE70" ca="1" si="277">IF($A61="","",IF(VT_VRTLZBR,CODE("F"),CODE(VLOOKUP($A61,ZAUBERWERTE,10,FALSE))-
SUM($BR61:$CA61,
IF(ISERR(FIND(";"&amp;CV$10&amp;";",$H61)),0,1),
IF(ISERR(FIND(";"&amp;CV$10&amp;":",$H61)),0,VALUE(MID($H61,FIND(";"&amp;CV$10&amp;":",$H61)+LEN(CV$10)+2,1))),
IF(AND(NOT(EXACT($AF$241,"")),OR(CV$10&gt;$CO61,ISBLANK($CO61))),IF($CV$3,IF(ISERROR(FIND($AF$241,$BQ61)),0,1),(LEN($BQ61)-LEN(SUBSTITUTE($BQ61,$AF$241,"")))/LEN($AF$241)),0),
IF(AND(NOT(EXACT($AF$242,"")),OR(CV$10&gt;$CP61,ISBLANK($CP61))),IF($CV$3,IF(ISERROR(FIND($AF$242,$BQ61)),0,1),(LEN($BQ61)-LEN(SUBSTITUTE($BQ61,$AF$242,"")))/LEN($AF$242)),0),
IF(AND(NOT(EXACT($AF$243,"")),OR(CV$10&gt;$CQ61,ISBLANK($CQ61))),IF($CV$3,IF(ISERROR(FIND($AF$243,$BQ61)),0,1),(LEN($BQ61)-LEN(SUBSTITUTE($BQ61,$AF$243,"")))/LEN($AF$243)),0),
IF(AND(NOT(EXACT($AF$244,"")),OR(CV$10&gt;$CR61,ISBLANK($CR61))),IF($CV$3,IF(ISERROR(FIND($AF$244,$BQ61)),0,1),(LEN($BQ61)-LEN(SUBSTITUTE($BQ61,$AF$244,"")))/LEN($AF$244)),0),
IF(AND(NOT(EXACT($AF$245,"")),OR(CV$10&gt;$CS61,ISBLANK($CS61))),IF($CV$3,IF(ISERROR(FIND($AF$245,$BQ61)),0,1),(LEN($BQ61)-LEN(SUBSTITUTE($BQ61,$AF$245,"")))/LEN($AF$245)),0),
IF(AND(NOT(EXACT($AF$246,"")),OR(CV$10&gt;$CT61,ISBLANK($CT61))),IF($CV$3,IF(ISERROR(FIND($AF$246,$BQ61)),0,1),(LEN($BQ61)-LEN(SUBSTITUTE($BQ61,$AF$246,"")))/LEN($AF$246)),0),
IF(AND(NOT(EXACT($AF$247,"")),OR(CV$10&gt;$CU61,ISBLANK($CU61))),IF($CV$3,IF(ISERROR(FIND($AF$247,$BQ61)),0,1),(LEN($BQ61)-LEN(SUBSTITUTE($BQ61,$AF$247,"")))/LEN($AF$247)),0)
)))</f>
        <v/>
      </c>
      <c r="CW61" s="164" t="str">
        <f t="shared" ca="1" si="277"/>
        <v/>
      </c>
      <c r="CX61" s="164" t="str">
        <f t="shared" ca="1" si="277"/>
        <v/>
      </c>
      <c r="CY61" s="164" t="str">
        <f t="shared" ca="1" si="277"/>
        <v/>
      </c>
      <c r="CZ61" s="164" t="str">
        <f t="shared" ca="1" si="277"/>
        <v/>
      </c>
      <c r="DA61" s="164" t="str">
        <f t="shared" ca="1" si="277"/>
        <v/>
      </c>
      <c r="DB61" s="164" t="str">
        <f t="shared" ca="1" si="277"/>
        <v/>
      </c>
      <c r="DC61" s="164" t="str">
        <f t="shared" ca="1" si="277"/>
        <v/>
      </c>
      <c r="DD61" s="164" t="str">
        <f t="shared" ca="1" si="277"/>
        <v/>
      </c>
      <c r="DE61" s="164" t="str">
        <f t="shared" ca="1" si="277"/>
        <v/>
      </c>
      <c r="DF61" s="164" t="str">
        <f t="shared" ref="DF61:DQ70" ca="1" si="278">IF($A61="","",IF(VT_VRTLZBR,CODE("F"),CODE(VLOOKUP($A61,ZAUBERWERTE,10,FALSE))-
SUM($BR61:$CA61,
IF(ISERR(FIND(";"&amp;DF$10&amp;";",$H61)),0,1),
IF(ISERR(FIND(";"&amp;DF$10&amp;":",$H61)),0,VALUE(MID($H61,FIND(";"&amp;DF$10&amp;":",$H61)+LEN(DF$10)+2,1))),
IF(AND(NOT(EXACT($AF$241,"")),OR(DF$10&gt;$CO61,ISBLANK($CO61))),IF($CV$3,IF(ISERROR(FIND($AF$241,$BQ61)),0,1),(LEN($BQ61)-LEN(SUBSTITUTE($BQ61,$AF$241,"")))/LEN($AF$241)),0),
IF(AND(NOT(EXACT($AF$242,"")),OR(DF$10&gt;$CP61,ISBLANK($CP61))),IF($CV$3,IF(ISERROR(FIND($AF$242,$BQ61)),0,1),(LEN($BQ61)-LEN(SUBSTITUTE($BQ61,$AF$242,"")))/LEN($AF$242)),0),
IF(AND(NOT(EXACT($AF$243,"")),OR(DF$10&gt;$CQ61,ISBLANK($CQ61))),IF($CV$3,IF(ISERROR(FIND($AF$243,$BQ61)),0,1),(LEN($BQ61)-LEN(SUBSTITUTE($BQ61,$AF$243,"")))/LEN($AF$243)),0),
IF(AND(NOT(EXACT($AF$244,"")),OR(DF$10&gt;$CR61,ISBLANK($CR61))),IF($CV$3,IF(ISERROR(FIND($AF$244,$BQ61)),0,1),(LEN($BQ61)-LEN(SUBSTITUTE($BQ61,$AF$244,"")))/LEN($AF$244)),0),
IF(AND(NOT(EXACT($AF$245,"")),OR(DF$10&gt;$CS61,ISBLANK($CS61))),IF($CV$3,IF(ISERROR(FIND($AF$245,$BQ61)),0,1),(LEN($BQ61)-LEN(SUBSTITUTE($BQ61,$AF$245,"")))/LEN($AF$245)),0),
IF(AND(NOT(EXACT($AF$246,"")),OR(DF$10&gt;$CT61,ISBLANK($CT61))),IF($CV$3,IF(ISERROR(FIND($AF$246,$BQ61)),0,1),(LEN($BQ61)-LEN(SUBSTITUTE($BQ61,$AF$246,"")))/LEN($AF$246)),0),
IF(AND(NOT(EXACT($AF$247,"")),OR(DF$10&gt;$CU61,ISBLANK($CU61))),IF($CV$3,IF(ISERROR(FIND($AF$247,$BQ61)),0,1),(LEN($BQ61)-LEN(SUBSTITUTE($BQ61,$AF$247,"")))/LEN($AF$247)),0)
)))</f>
        <v/>
      </c>
      <c r="DG61" s="164" t="str">
        <f t="shared" ca="1" si="278"/>
        <v/>
      </c>
      <c r="DH61" s="164" t="str">
        <f t="shared" ca="1" si="278"/>
        <v/>
      </c>
      <c r="DI61" s="164" t="str">
        <f t="shared" ca="1" si="278"/>
        <v/>
      </c>
      <c r="DJ61" s="164" t="str">
        <f t="shared" ca="1" si="278"/>
        <v/>
      </c>
      <c r="DK61" s="164" t="str">
        <f t="shared" ca="1" si="278"/>
        <v/>
      </c>
      <c r="DL61" s="164" t="str">
        <f t="shared" ca="1" si="278"/>
        <v/>
      </c>
      <c r="DM61" s="164" t="str">
        <f t="shared" ca="1" si="278"/>
        <v/>
      </c>
      <c r="DN61" s="164" t="str">
        <f t="shared" ca="1" si="278"/>
        <v/>
      </c>
      <c r="DO61" s="164" t="str">
        <f t="shared" ca="1" si="278"/>
        <v/>
      </c>
      <c r="DP61" s="164" t="str">
        <f t="shared" ca="1" si="278"/>
        <v/>
      </c>
      <c r="DQ61" s="164" t="str">
        <f t="shared" ca="1" si="278"/>
        <v/>
      </c>
      <c r="DR61" s="208"/>
      <c r="DS61" s="164" t="str">
        <f t="shared" ref="DS61:DS92" ca="1" si="279">IF($A61="","",IF(VT_VRTLZBR,CODE("F")+1,CODE(VLOOKUP($A61,ZAUBERWERTE,10,FALSE)))-
SUM($BR61:$CA61,
IF(ISERR(FIND(";"&amp;DS$10&amp;";",$H61)),0,1),
IF(ISERR(FIND(";"&amp;DS$10&amp;":",$H61)),0,VALUE(MID($H61,FIND(";"&amp;DS$10&amp;":",$H61)+LEN(DS$10)+2,1))),
IF(ISERR(FIND(";"&amp;DS$10&amp;"+",$H61)),0,-VALUE(MID($H61,FIND(";"&amp;DS$10&amp;"+",$H61)+LEN(DS$10)+2,1))),
IF(AND(NT_Unstet,VLOOKUP($A61,ZAUBERWERTE,10,FALSE)&gt;="C"),-1,0),
IF(AND(NOT(EXACT($AF$241,"")),OR(CV$10&gt;$CO61,ISBLANK($CO61))),IF($CV$3,IF(ISERROR(FIND($AF$241,$BQ61)),0,1),(LEN($BQ61)-LEN(SUBSTITUTE($BQ61,$AF$241,"")))/LEN($AF$241)),0),
IF(AND(NOT(EXACT($AF$242,"")),OR(CV$10&gt;$CP61,ISBLANK($CP61))),IF($CV$3,IF(ISERROR(FIND($AF$242,$BQ61)),0,1),(LEN($BQ61)-LEN(SUBSTITUTE($BQ61,$AF$242,"")))/LEN($AF$242)),0),
IF(AND(NOT(EXACT($AF$243,"")),OR(CV$10&gt;$CQ61,ISBLANK($CQ61))),IF($CV$3,IF(ISERROR(FIND($AF$243,$BQ61)),0,1),(LEN($BQ61)-LEN(SUBSTITUTE($BQ61,$AF$243,"")))/LEN($AF$243)),0),
IF(AND(NOT(EXACT($AF$244,"")),OR(CV$10&gt;$CR61,ISBLANK($CR61))),IF($CV$3,IF(ISERROR(FIND($AF$244,$BQ61)),0,1),(LEN($BQ61)-LEN(SUBSTITUTE($BQ61,$AF$244,"")))/LEN($AF$244)),0),
IF(AND(NOT(EXACT($AF$245,"")),OR(CV$10&gt;$CS61,ISBLANK($CS61))),IF($CV$3,IF(ISERROR(FIND($AF$245,$BQ61)),0,1),(LEN($BQ61)-LEN(SUBSTITUTE($BQ61,$AF$245,"")))/LEN($AF$245)),0),
IF(AND(NOT(EXACT($AF$246,"")),OR(CV$10&gt;$CT61,ISBLANK($CT61))),IF($CV$3,IF(ISERROR(FIND($AF$246,$BQ61)),0,1),(LEN($BQ61)-LEN(SUBSTITUTE($BQ61,$AF$246,"")))/LEN($AF$246)),0),
IF(AND(NOT(EXACT($AF$247,"")),OR(CV$10&gt;$CU61,ISBLANK($CU61))),IF($CV$3,IF(ISERROR(FIND($AF$247,$BQ61)),0,1),(LEN($BQ61)-LEN(SUBSTITUTE($BQ61,$AF$247,"")))/LEN($AF$247)),0)
))</f>
        <v/>
      </c>
      <c r="DT61" s="164" t="str">
        <f t="shared" ref="DT61:DT92" ca="1" si="280">IF($A61="","",IF(VT_VRTLZBR,CODE("F")+1,CODE(VLOOKUP($A61,ZAUBERWERTE,10,FALSE)))-
SUM($BR61:$CA61,
IF(ISERR(FIND(";"&amp;DT$10&amp;";",$H61)),0,1),
IF(ISERR(FIND(";"&amp;DT$10&amp;":",$H61)),0,VALUE(MID($H61,FIND(";"&amp;DT$10&amp;":",$H61)+LEN(DT$10)+2,1))),
IF(ISERR(FIND(";"&amp;DT$10&amp;"+",$H61)),0,-VALUE(MID($H61,FIND(";"&amp;DT$10&amp;"+",$H61)+LEN(DT$10)+2,1))),
IF(AND(NT_Unstet,VLOOKUP($A61,ZAUBERWERTE,10,FALSE)&gt;="C"),-1,0),
IF(AND(NOT(EXACT($AF$241,"")),OR(CW$10&gt;$CO61,ISBLANK($CO61))),IF($CV$3,IF(ISERROR(FIND($AF$241,$BQ61)),0,1),(LEN($BQ61)-LEN(SUBSTITUTE($BQ61,$AF$241,"")))/LEN($AF$241)),0),
IF(AND(NOT(EXACT($AF$242,"")),OR(CW$10&gt;$CP61,ISBLANK($CP61))),IF($CV$3,IF(ISERROR(FIND($AF$242,$BQ61)),0,1),(LEN($BQ61)-LEN(SUBSTITUTE($BQ61,$AF$242,"")))/LEN($AF$242)),0),
IF(AND(NOT(EXACT($AF$243,"")),OR(CW$10&gt;$CQ61,ISBLANK($CQ61))),IF($CV$3,IF(ISERROR(FIND($AF$243,$BQ61)),0,1),(LEN($BQ61)-LEN(SUBSTITUTE($BQ61,$AF$243,"")))/LEN($AF$243)),0),
IF(AND(NOT(EXACT($AF$244,"")),OR(CW$10&gt;$CR61,ISBLANK($CR61))),IF($CV$3,IF(ISERROR(FIND($AF$244,$BQ61)),0,1),(LEN($BQ61)-LEN(SUBSTITUTE($BQ61,$AF$244,"")))/LEN($AF$244)),0),
IF(AND(NOT(EXACT($AF$245,"")),OR(CW$10&gt;$CS61,ISBLANK($CS61))),IF($CV$3,IF(ISERROR(FIND($AF$245,$BQ61)),0,1),(LEN($BQ61)-LEN(SUBSTITUTE($BQ61,$AF$245,"")))/LEN($AF$245)),0),
IF(AND(NOT(EXACT($AF$246,"")),OR(CW$10&gt;$CT61,ISBLANK($CT61))),IF($CV$3,IF(ISERROR(FIND($AF$246,$BQ61)),0,1),(LEN($BQ61)-LEN(SUBSTITUTE($BQ61,$AF$246,"")))/LEN($AF$246)),0),
IF(AND(NOT(EXACT($AF$247,"")),OR(CW$10&gt;$CU61,ISBLANK($CU61))),IF($CV$3,IF(ISERROR(FIND($AF$247,$BQ61)),0,1),(LEN($BQ61)-LEN(SUBSTITUTE($BQ61,$AF$247,"")))/LEN($AF$247)),0)
))</f>
        <v/>
      </c>
      <c r="DU61" s="164" t="str">
        <f t="shared" ref="DU61:DU92" ca="1" si="281">IF($A61="","",IF(VT_VRTLZBR,CODE("F")+1,CODE(VLOOKUP($A61,ZAUBERWERTE,10,FALSE)))-
SUM($BR61:$CA61,
IF(ISERR(FIND(";"&amp;DU$10&amp;";",$H61)),0,1),
IF(ISERR(FIND(";"&amp;DU$10&amp;":",$H61)),0,VALUE(MID($H61,FIND(";"&amp;DU$10&amp;":",$H61)+LEN(DU$10)+2,1))),
IF(ISERR(FIND(";"&amp;DU$10&amp;"+",$H61)),0,-VALUE(MID($H61,FIND(";"&amp;DU$10&amp;"+",$H61)+LEN(DU$10)+2,1))),
IF(AND(NT_Unstet,VLOOKUP($A61,ZAUBERWERTE,10,FALSE)&gt;="C"),-1,0),
IF(AND(NOT(EXACT($AF$241,"")),OR(CX$10&gt;$CO61,ISBLANK($CO61))),IF($CV$3,IF(ISERROR(FIND($AF$241,$BQ61)),0,1),(LEN($BQ61)-LEN(SUBSTITUTE($BQ61,$AF$241,"")))/LEN($AF$241)),0),
IF(AND(NOT(EXACT($AF$242,"")),OR(CX$10&gt;$CP61,ISBLANK($CP61))),IF($CV$3,IF(ISERROR(FIND($AF$242,$BQ61)),0,1),(LEN($BQ61)-LEN(SUBSTITUTE($BQ61,$AF$242,"")))/LEN($AF$242)),0),
IF(AND(NOT(EXACT($AF$243,"")),OR(CX$10&gt;$CQ61,ISBLANK($CQ61))),IF($CV$3,IF(ISERROR(FIND($AF$243,$BQ61)),0,1),(LEN($BQ61)-LEN(SUBSTITUTE($BQ61,$AF$243,"")))/LEN($AF$243)),0),
IF(AND(NOT(EXACT($AF$244,"")),OR(CX$10&gt;$CR61,ISBLANK($CR61))),IF($CV$3,IF(ISERROR(FIND($AF$244,$BQ61)),0,1),(LEN($BQ61)-LEN(SUBSTITUTE($BQ61,$AF$244,"")))/LEN($AF$244)),0),
IF(AND(NOT(EXACT($AF$245,"")),OR(CX$10&gt;$CS61,ISBLANK($CS61))),IF($CV$3,IF(ISERROR(FIND($AF$245,$BQ61)),0,1),(LEN($BQ61)-LEN(SUBSTITUTE($BQ61,$AF$245,"")))/LEN($AF$245)),0),
IF(AND(NOT(EXACT($AF$246,"")),OR(CX$10&gt;$CT61,ISBLANK($CT61))),IF($CV$3,IF(ISERROR(FIND($AF$246,$BQ61)),0,1),(LEN($BQ61)-LEN(SUBSTITUTE($BQ61,$AF$246,"")))/LEN($AF$246)),0),
IF(AND(NOT(EXACT($AF$247,"")),OR(CX$10&gt;$CU61,ISBLANK($CU61))),IF($CV$3,IF(ISERROR(FIND($AF$247,$BQ61)),0,1),(LEN($BQ61)-LEN(SUBSTITUTE($BQ61,$AF$247,"")))/LEN($AF$247)),0)
))</f>
        <v/>
      </c>
      <c r="DV61" s="164" t="str">
        <f t="shared" ref="DV61:DV92" ca="1" si="282">IF($A61="","",IF(VT_VRTLZBR,CODE("F")+1,CODE(VLOOKUP($A61,ZAUBERWERTE,10,FALSE)))-
SUM($BR61:$CA61,
IF(ISERR(FIND(";"&amp;DV$10&amp;";",$H61)),0,1),
IF(ISERR(FIND(";"&amp;DV$10&amp;":",$H61)),0,VALUE(MID($H61,FIND(";"&amp;DV$10&amp;":",$H61)+LEN(DV$10)+2,1))),
IF(ISERR(FIND(";"&amp;DV$10&amp;"+",$H61)),0,-VALUE(MID($H61,FIND(";"&amp;DV$10&amp;"+",$H61)+LEN(DV$10)+2,1))),
IF(AND(NT_Unstet,VLOOKUP($A61,ZAUBERWERTE,10,FALSE)&gt;="C"),-1,0),
IF(AND(NOT(EXACT($AF$241,"")),OR(CY$10&gt;$CO61,ISBLANK($CO61))),IF($CV$3,IF(ISERROR(FIND($AF$241,$BQ61)),0,1),(LEN($BQ61)-LEN(SUBSTITUTE($BQ61,$AF$241,"")))/LEN($AF$241)),0),
IF(AND(NOT(EXACT($AF$242,"")),OR(CY$10&gt;$CP61,ISBLANK($CP61))),IF($CV$3,IF(ISERROR(FIND($AF$242,$BQ61)),0,1),(LEN($BQ61)-LEN(SUBSTITUTE($BQ61,$AF$242,"")))/LEN($AF$242)),0),
IF(AND(NOT(EXACT($AF$243,"")),OR(CY$10&gt;$CQ61,ISBLANK($CQ61))),IF($CV$3,IF(ISERROR(FIND($AF$243,$BQ61)),0,1),(LEN($BQ61)-LEN(SUBSTITUTE($BQ61,$AF$243,"")))/LEN($AF$243)),0),
IF(AND(NOT(EXACT($AF$244,"")),OR(CY$10&gt;$CR61,ISBLANK($CR61))),IF($CV$3,IF(ISERROR(FIND($AF$244,$BQ61)),0,1),(LEN($BQ61)-LEN(SUBSTITUTE($BQ61,$AF$244,"")))/LEN($AF$244)),0),
IF(AND(NOT(EXACT($AF$245,"")),OR(CY$10&gt;$CS61,ISBLANK($CS61))),IF($CV$3,IF(ISERROR(FIND($AF$245,$BQ61)),0,1),(LEN($BQ61)-LEN(SUBSTITUTE($BQ61,$AF$245,"")))/LEN($AF$245)),0),
IF(AND(NOT(EXACT($AF$246,"")),OR(CY$10&gt;$CT61,ISBLANK($CT61))),IF($CV$3,IF(ISERROR(FIND($AF$246,$BQ61)),0,1),(LEN($BQ61)-LEN(SUBSTITUTE($BQ61,$AF$246,"")))/LEN($AF$246)),0),
IF(AND(NOT(EXACT($AF$247,"")),OR(CY$10&gt;$CU61,ISBLANK($CU61))),IF($CV$3,IF(ISERROR(FIND($AF$247,$BQ61)),0,1),(LEN($BQ61)-LEN(SUBSTITUTE($BQ61,$AF$247,"")))/LEN($AF$247)),0)
))</f>
        <v/>
      </c>
      <c r="DW61" s="164" t="str">
        <f t="shared" ref="DW61:DW92" ca="1" si="283">IF($A61="","",IF(VT_VRTLZBR,CODE("F")+1,CODE(VLOOKUP($A61,ZAUBERWERTE,10,FALSE)))-
SUM($BR61:$CA61,
IF(ISERR(FIND(";"&amp;DW$10&amp;";",$H61)),0,1),
IF(ISERR(FIND(";"&amp;DW$10&amp;":",$H61)),0,VALUE(MID($H61,FIND(";"&amp;DW$10&amp;":",$H61)+LEN(DW$10)+2,1))),
IF(ISERR(FIND(";"&amp;DW$10&amp;"+",$H61)),0,-VALUE(MID($H61,FIND(";"&amp;DW$10&amp;"+",$H61)+LEN(DW$10)+2,1))),
IF(AND(NT_Unstet,VLOOKUP($A61,ZAUBERWERTE,10,FALSE)&gt;="C"),-1,0),
IF(AND(NOT(EXACT($AF$241,"")),OR(CZ$10&gt;$CO61,ISBLANK($CO61))),IF($CV$3,IF(ISERROR(FIND($AF$241,$BQ61)),0,1),(LEN($BQ61)-LEN(SUBSTITUTE($BQ61,$AF$241,"")))/LEN($AF$241)),0),
IF(AND(NOT(EXACT($AF$242,"")),OR(CZ$10&gt;$CP61,ISBLANK($CP61))),IF($CV$3,IF(ISERROR(FIND($AF$242,$BQ61)),0,1),(LEN($BQ61)-LEN(SUBSTITUTE($BQ61,$AF$242,"")))/LEN($AF$242)),0),
IF(AND(NOT(EXACT($AF$243,"")),OR(CZ$10&gt;$CQ61,ISBLANK($CQ61))),IF($CV$3,IF(ISERROR(FIND($AF$243,$BQ61)),0,1),(LEN($BQ61)-LEN(SUBSTITUTE($BQ61,$AF$243,"")))/LEN($AF$243)),0),
IF(AND(NOT(EXACT($AF$244,"")),OR(CZ$10&gt;$CR61,ISBLANK($CR61))),IF($CV$3,IF(ISERROR(FIND($AF$244,$BQ61)),0,1),(LEN($BQ61)-LEN(SUBSTITUTE($BQ61,$AF$244,"")))/LEN($AF$244)),0),
IF(AND(NOT(EXACT($AF$245,"")),OR(CZ$10&gt;$CS61,ISBLANK($CS61))),IF($CV$3,IF(ISERROR(FIND($AF$245,$BQ61)),0,1),(LEN($BQ61)-LEN(SUBSTITUTE($BQ61,$AF$245,"")))/LEN($AF$245)),0),
IF(AND(NOT(EXACT($AF$246,"")),OR(CZ$10&gt;$CT61,ISBLANK($CT61))),IF($CV$3,IF(ISERROR(FIND($AF$246,$BQ61)),0,1),(LEN($BQ61)-LEN(SUBSTITUTE($BQ61,$AF$246,"")))/LEN($AF$246)),0),
IF(AND(NOT(EXACT($AF$247,"")),OR(CZ$10&gt;$CU61,ISBLANK($CU61))),IF($CV$3,IF(ISERROR(FIND($AF$247,$BQ61)),0,1),(LEN($BQ61)-LEN(SUBSTITUTE($BQ61,$AF$247,"")))/LEN($AF$247)),0)
))</f>
        <v/>
      </c>
      <c r="DX61" s="164" t="str">
        <f t="shared" ref="DX61:DX92" ca="1" si="284">IF($A61="","",IF(VT_VRTLZBR,CODE("F")+1,CODE(VLOOKUP($A61,ZAUBERWERTE,10,FALSE)))-
SUM($BR61:$CA61,
IF(ISERR(FIND(";"&amp;DX$10&amp;";",$H61)),0,1),
IF(ISERR(FIND(";"&amp;DX$10&amp;":",$H61)),0,VALUE(MID($H61,FIND(";"&amp;DX$10&amp;":",$H61)+LEN(DX$10)+2,1))),
IF(ISERR(FIND(";"&amp;DX$10&amp;"+",$H61)),0,-VALUE(MID($H61,FIND(";"&amp;DX$10&amp;"+",$H61)+LEN(DX$10)+2,1))),
IF(AND(NT_Unstet,VLOOKUP($A61,ZAUBERWERTE,10,FALSE)&gt;="C"),-1,0),
IF(AND(NOT(EXACT($AF$241,"")),OR(DA$10&gt;$CO61,ISBLANK($CO61))),IF($CV$3,IF(ISERROR(FIND($AF$241,$BQ61)),0,1),(LEN($BQ61)-LEN(SUBSTITUTE($BQ61,$AF$241,"")))/LEN($AF$241)),0),
IF(AND(NOT(EXACT($AF$242,"")),OR(DA$10&gt;$CP61,ISBLANK($CP61))),IF($CV$3,IF(ISERROR(FIND($AF$242,$BQ61)),0,1),(LEN($BQ61)-LEN(SUBSTITUTE($BQ61,$AF$242,"")))/LEN($AF$242)),0),
IF(AND(NOT(EXACT($AF$243,"")),OR(DA$10&gt;$CQ61,ISBLANK($CQ61))),IF($CV$3,IF(ISERROR(FIND($AF$243,$BQ61)),0,1),(LEN($BQ61)-LEN(SUBSTITUTE($BQ61,$AF$243,"")))/LEN($AF$243)),0),
IF(AND(NOT(EXACT($AF$244,"")),OR(DA$10&gt;$CR61,ISBLANK($CR61))),IF($CV$3,IF(ISERROR(FIND($AF$244,$BQ61)),0,1),(LEN($BQ61)-LEN(SUBSTITUTE($BQ61,$AF$244,"")))/LEN($AF$244)),0),
IF(AND(NOT(EXACT($AF$245,"")),OR(DA$10&gt;$CS61,ISBLANK($CS61))),IF($CV$3,IF(ISERROR(FIND($AF$245,$BQ61)),0,1),(LEN($BQ61)-LEN(SUBSTITUTE($BQ61,$AF$245,"")))/LEN($AF$245)),0),
IF(AND(NOT(EXACT($AF$246,"")),OR(DA$10&gt;$CT61,ISBLANK($CT61))),IF($CV$3,IF(ISERROR(FIND($AF$246,$BQ61)),0,1),(LEN($BQ61)-LEN(SUBSTITUTE($BQ61,$AF$246,"")))/LEN($AF$246)),0),
IF(AND(NOT(EXACT($AF$247,"")),OR(DA$10&gt;$CU61,ISBLANK($CU61))),IF($CV$3,IF(ISERROR(FIND($AF$247,$BQ61)),0,1),(LEN($BQ61)-LEN(SUBSTITUTE($BQ61,$AF$247,"")))/LEN($AF$247)),0)
))</f>
        <v/>
      </c>
      <c r="DY61" s="164" t="str">
        <f t="shared" ref="DY61:DY92" ca="1" si="285">IF($A61="","",IF(VT_VRTLZBR,CODE("F")+1,CODE(VLOOKUP($A61,ZAUBERWERTE,10,FALSE)))-
SUM($BR61:$CA61,
IF(ISERR(FIND(";"&amp;DY$10&amp;";",$H61)),0,1),
IF(ISERR(FIND(";"&amp;DY$10&amp;":",$H61)),0,VALUE(MID($H61,FIND(";"&amp;DY$10&amp;":",$H61)+LEN(DY$10)+2,1))),
IF(ISERR(FIND(";"&amp;DY$10&amp;"+",$H61)),0,-VALUE(MID($H61,FIND(";"&amp;DY$10&amp;"+",$H61)+LEN(DY$10)+2,1))),
IF(AND(NT_Unstet,VLOOKUP($A61,ZAUBERWERTE,10,FALSE)&gt;="C"),-1,0),
IF(AND(NOT(EXACT($AF$241,"")),OR(DB$10&gt;$CO61,ISBLANK($CO61))),IF($CV$3,IF(ISERROR(FIND($AF$241,$BQ61)),0,1),(LEN($BQ61)-LEN(SUBSTITUTE($BQ61,$AF$241,"")))/LEN($AF$241)),0),
IF(AND(NOT(EXACT($AF$242,"")),OR(DB$10&gt;$CP61,ISBLANK($CP61))),IF($CV$3,IF(ISERROR(FIND($AF$242,$BQ61)),0,1),(LEN($BQ61)-LEN(SUBSTITUTE($BQ61,$AF$242,"")))/LEN($AF$242)),0),
IF(AND(NOT(EXACT($AF$243,"")),OR(DB$10&gt;$CQ61,ISBLANK($CQ61))),IF($CV$3,IF(ISERROR(FIND($AF$243,$BQ61)),0,1),(LEN($BQ61)-LEN(SUBSTITUTE($BQ61,$AF$243,"")))/LEN($AF$243)),0),
IF(AND(NOT(EXACT($AF$244,"")),OR(DB$10&gt;$CR61,ISBLANK($CR61))),IF($CV$3,IF(ISERROR(FIND($AF$244,$BQ61)),0,1),(LEN($BQ61)-LEN(SUBSTITUTE($BQ61,$AF$244,"")))/LEN($AF$244)),0),
IF(AND(NOT(EXACT($AF$245,"")),OR(DB$10&gt;$CS61,ISBLANK($CS61))),IF($CV$3,IF(ISERROR(FIND($AF$245,$BQ61)),0,1),(LEN($BQ61)-LEN(SUBSTITUTE($BQ61,$AF$245,"")))/LEN($AF$245)),0),
IF(AND(NOT(EXACT($AF$246,"")),OR(DB$10&gt;$CT61,ISBLANK($CT61))),IF($CV$3,IF(ISERROR(FIND($AF$246,$BQ61)),0,1),(LEN($BQ61)-LEN(SUBSTITUTE($BQ61,$AF$246,"")))/LEN($AF$246)),0),
IF(AND(NOT(EXACT($AF$247,"")),OR(DB$10&gt;$CU61,ISBLANK($CU61))),IF($CV$3,IF(ISERROR(FIND($AF$247,$BQ61)),0,1),(LEN($BQ61)-LEN(SUBSTITUTE($BQ61,$AF$247,"")))/LEN($AF$247)),0)
))</f>
        <v/>
      </c>
      <c r="DZ61" s="164" t="str">
        <f t="shared" ref="DZ61:DZ92" ca="1" si="286">IF($A61="","",IF(VT_VRTLZBR,CODE("F")+1,CODE(VLOOKUP($A61,ZAUBERWERTE,10,FALSE)))-
SUM($BR61:$CA61,
IF(ISERR(FIND(";"&amp;DZ$10&amp;";",$H61)),0,1),
IF(ISERR(FIND(";"&amp;DZ$10&amp;":",$H61)),0,VALUE(MID($H61,FIND(";"&amp;DZ$10&amp;":",$H61)+LEN(DZ$10)+2,1))),
IF(ISERR(FIND(";"&amp;DZ$10&amp;"+",$H61)),0,-VALUE(MID($H61,FIND(";"&amp;DZ$10&amp;"+",$H61)+LEN(DZ$10)+2,1))),
IF(AND(NT_Unstet,VLOOKUP($A61,ZAUBERWERTE,10,FALSE)&gt;="C"),-1,0),
IF(AND(NOT(EXACT($AF$241,"")),OR(DC$10&gt;$CO61,ISBLANK($CO61))),IF($CV$3,IF(ISERROR(FIND($AF$241,$BQ61)),0,1),(LEN($BQ61)-LEN(SUBSTITUTE($BQ61,$AF$241,"")))/LEN($AF$241)),0),
IF(AND(NOT(EXACT($AF$242,"")),OR(DC$10&gt;$CP61,ISBLANK($CP61))),IF($CV$3,IF(ISERROR(FIND($AF$242,$BQ61)),0,1),(LEN($BQ61)-LEN(SUBSTITUTE($BQ61,$AF$242,"")))/LEN($AF$242)),0),
IF(AND(NOT(EXACT($AF$243,"")),OR(DC$10&gt;$CQ61,ISBLANK($CQ61))),IF($CV$3,IF(ISERROR(FIND($AF$243,$BQ61)),0,1),(LEN($BQ61)-LEN(SUBSTITUTE($BQ61,$AF$243,"")))/LEN($AF$243)),0),
IF(AND(NOT(EXACT($AF$244,"")),OR(DC$10&gt;$CR61,ISBLANK($CR61))),IF($CV$3,IF(ISERROR(FIND($AF$244,$BQ61)),0,1),(LEN($BQ61)-LEN(SUBSTITUTE($BQ61,$AF$244,"")))/LEN($AF$244)),0),
IF(AND(NOT(EXACT($AF$245,"")),OR(DC$10&gt;$CS61,ISBLANK($CS61))),IF($CV$3,IF(ISERROR(FIND($AF$245,$BQ61)),0,1),(LEN($BQ61)-LEN(SUBSTITUTE($BQ61,$AF$245,"")))/LEN($AF$245)),0),
IF(AND(NOT(EXACT($AF$246,"")),OR(DC$10&gt;$CT61,ISBLANK($CT61))),IF($CV$3,IF(ISERROR(FIND($AF$246,$BQ61)),0,1),(LEN($BQ61)-LEN(SUBSTITUTE($BQ61,$AF$246,"")))/LEN($AF$246)),0),
IF(AND(NOT(EXACT($AF$247,"")),OR(DC$10&gt;$CU61,ISBLANK($CU61))),IF($CV$3,IF(ISERROR(FIND($AF$247,$BQ61)),0,1),(LEN($BQ61)-LEN(SUBSTITUTE($BQ61,$AF$247,"")))/LEN($AF$247)),0)
))</f>
        <v/>
      </c>
      <c r="EA61" s="164" t="str">
        <f t="shared" ref="EA61:EA92" ca="1" si="287">IF($A61="","",IF(VT_VRTLZBR,CODE("F")+1,CODE(VLOOKUP($A61,ZAUBERWERTE,10,FALSE)))-
SUM($BR61:$CA61,
IF(ISERR(FIND(";"&amp;EA$10&amp;";",$H61)),0,1),
IF(ISERR(FIND(";"&amp;EA$10&amp;":",$H61)),0,VALUE(MID($H61,FIND(";"&amp;EA$10&amp;":",$H61)+LEN(EA$10)+2,1))),
IF(ISERR(FIND(";"&amp;EA$10&amp;"+",$H61)),0,-VALUE(MID($H61,FIND(";"&amp;EA$10&amp;"+",$H61)+LEN(EA$10)+2,1))),
IF(AND(NT_Unstet,VLOOKUP($A61,ZAUBERWERTE,10,FALSE)&gt;="C"),-1,0),
IF(AND(NOT(EXACT($AF$241,"")),OR(DD$10&gt;$CO61,ISBLANK($CO61))),IF($CV$3,IF(ISERROR(FIND($AF$241,$BQ61)),0,1),(LEN($BQ61)-LEN(SUBSTITUTE($BQ61,$AF$241,"")))/LEN($AF$241)),0),
IF(AND(NOT(EXACT($AF$242,"")),OR(DD$10&gt;$CP61,ISBLANK($CP61))),IF($CV$3,IF(ISERROR(FIND($AF$242,$BQ61)),0,1),(LEN($BQ61)-LEN(SUBSTITUTE($BQ61,$AF$242,"")))/LEN($AF$242)),0),
IF(AND(NOT(EXACT($AF$243,"")),OR(DD$10&gt;$CQ61,ISBLANK($CQ61))),IF($CV$3,IF(ISERROR(FIND($AF$243,$BQ61)),0,1),(LEN($BQ61)-LEN(SUBSTITUTE($BQ61,$AF$243,"")))/LEN($AF$243)),0),
IF(AND(NOT(EXACT($AF$244,"")),OR(DD$10&gt;$CR61,ISBLANK($CR61))),IF($CV$3,IF(ISERROR(FIND($AF$244,$BQ61)),0,1),(LEN($BQ61)-LEN(SUBSTITUTE($BQ61,$AF$244,"")))/LEN($AF$244)),0),
IF(AND(NOT(EXACT($AF$245,"")),OR(DD$10&gt;$CS61,ISBLANK($CS61))),IF($CV$3,IF(ISERROR(FIND($AF$245,$BQ61)),0,1),(LEN($BQ61)-LEN(SUBSTITUTE($BQ61,$AF$245,"")))/LEN($AF$245)),0),
IF(AND(NOT(EXACT($AF$246,"")),OR(DD$10&gt;$CT61,ISBLANK($CT61))),IF($CV$3,IF(ISERROR(FIND($AF$246,$BQ61)),0,1),(LEN($BQ61)-LEN(SUBSTITUTE($BQ61,$AF$246,"")))/LEN($AF$246)),0),
IF(AND(NOT(EXACT($AF$247,"")),OR(DD$10&gt;$CU61,ISBLANK($CU61))),IF($CV$3,IF(ISERROR(FIND($AF$247,$BQ61)),0,1),(LEN($BQ61)-LEN(SUBSTITUTE($BQ61,$AF$247,"")))/LEN($AF$247)),0)
))</f>
        <v/>
      </c>
      <c r="EB61" s="164" t="str">
        <f t="shared" ref="EB61:EB92" ca="1" si="288">IF($A61="","",IF(VT_VRTLZBR,CODE("F")+1,CODE(VLOOKUP($A61,ZAUBERWERTE,10,FALSE)))-
SUM($BR61:$CA61,
IF(ISERR(FIND(";"&amp;EB$10&amp;";",$H61)),0,1),
IF(ISERR(FIND(";"&amp;EB$10&amp;":",$H61)),0,VALUE(MID($H61,FIND(";"&amp;EB$10&amp;":",$H61)+LEN(EB$10)+2,1))),
IF(ISERR(FIND(";"&amp;EB$10&amp;"+",$H61)),0,-VALUE(MID($H61,FIND(";"&amp;EB$10&amp;"+",$H61)+LEN(EB$10)+2,1))),
IF(AND(NT_Unstet,VLOOKUP($A61,ZAUBERWERTE,10,FALSE)&gt;="C"),-1,0),
IF(AND(NOT(EXACT($AF$241,"")),OR(DE$10&gt;$CO61,ISBLANK($CO61))),IF($CV$3,IF(ISERROR(FIND($AF$241,$BQ61)),0,1),(LEN($BQ61)-LEN(SUBSTITUTE($BQ61,$AF$241,"")))/LEN($AF$241)),0),
IF(AND(NOT(EXACT($AF$242,"")),OR(DE$10&gt;$CP61,ISBLANK($CP61))),IF($CV$3,IF(ISERROR(FIND($AF$242,$BQ61)),0,1),(LEN($BQ61)-LEN(SUBSTITUTE($BQ61,$AF$242,"")))/LEN($AF$242)),0),
IF(AND(NOT(EXACT($AF$243,"")),OR(DE$10&gt;$CQ61,ISBLANK($CQ61))),IF($CV$3,IF(ISERROR(FIND($AF$243,$BQ61)),0,1),(LEN($BQ61)-LEN(SUBSTITUTE($BQ61,$AF$243,"")))/LEN($AF$243)),0),
IF(AND(NOT(EXACT($AF$244,"")),OR(DE$10&gt;$CR61,ISBLANK($CR61))),IF($CV$3,IF(ISERROR(FIND($AF$244,$BQ61)),0,1),(LEN($BQ61)-LEN(SUBSTITUTE($BQ61,$AF$244,"")))/LEN($AF$244)),0),
IF(AND(NOT(EXACT($AF$245,"")),OR(DE$10&gt;$CS61,ISBLANK($CS61))),IF($CV$3,IF(ISERROR(FIND($AF$245,$BQ61)),0,1),(LEN($BQ61)-LEN(SUBSTITUTE($BQ61,$AF$245,"")))/LEN($AF$245)),0),
IF(AND(NOT(EXACT($AF$246,"")),OR(DE$10&gt;$CT61,ISBLANK($CT61))),IF($CV$3,IF(ISERROR(FIND($AF$246,$BQ61)),0,1),(LEN($BQ61)-LEN(SUBSTITUTE($BQ61,$AF$246,"")))/LEN($AF$246)),0),
IF(AND(NOT(EXACT($AF$247,"")),OR(DE$10&gt;$CU61,ISBLANK($CU61))),IF($CV$3,IF(ISERROR(FIND($AF$247,$BQ61)),0,1),(LEN($BQ61)-LEN(SUBSTITUTE($BQ61,$AF$247,"")))/LEN($AF$247)),0)
))</f>
        <v/>
      </c>
      <c r="EC61" s="164" t="str">
        <f t="shared" ref="EC61:EC92" ca="1" si="289">IF($A61="","",IF(VT_VRTLZBR,CODE("F")+1,CODE(VLOOKUP($A61,ZAUBERWERTE,10,FALSE)))-
SUM($BR61:$CA61,
IF(ISERR(FIND(";"&amp;EC$10&amp;";",$H61)),0,1),
IF(ISERR(FIND(";"&amp;EC$10&amp;":",$H61)),0,VALUE(MID($H61,FIND(";"&amp;EC$10&amp;":",$H61)+LEN(EC$10)+2,1))),
IF(ISERR(FIND(";"&amp;EC$10&amp;"+",$H61)),0,-VALUE(MID($H61,FIND(";"&amp;EC$10&amp;"+",$H61)+LEN(EC$10)+2,1))),
IF(AND(NT_Unstet,VLOOKUP($A61,ZAUBERWERTE,10,FALSE)&gt;="C"),-1,0),
IF(AND(NOT(EXACT($AF$241,"")),OR(DF$10&gt;$CO61,ISBLANK($CO61))),IF($CV$3,IF(ISERROR(FIND($AF$241,$BQ61)),0,1),(LEN($BQ61)-LEN(SUBSTITUTE($BQ61,$AF$241,"")))/LEN($AF$241)),0),
IF(AND(NOT(EXACT($AF$242,"")),OR(DF$10&gt;$CP61,ISBLANK($CP61))),IF($CV$3,IF(ISERROR(FIND($AF$242,$BQ61)),0,1),(LEN($BQ61)-LEN(SUBSTITUTE($BQ61,$AF$242,"")))/LEN($AF$242)),0),
IF(AND(NOT(EXACT($AF$243,"")),OR(DF$10&gt;$CQ61,ISBLANK($CQ61))),IF($CV$3,IF(ISERROR(FIND($AF$243,$BQ61)),0,1),(LEN($BQ61)-LEN(SUBSTITUTE($BQ61,$AF$243,"")))/LEN($AF$243)),0),
IF(AND(NOT(EXACT($AF$244,"")),OR(DF$10&gt;$CR61,ISBLANK($CR61))),IF($CV$3,IF(ISERROR(FIND($AF$244,$BQ61)),0,1),(LEN($BQ61)-LEN(SUBSTITUTE($BQ61,$AF$244,"")))/LEN($AF$244)),0),
IF(AND(NOT(EXACT($AF$245,"")),OR(DF$10&gt;$CS61,ISBLANK($CS61))),IF($CV$3,IF(ISERROR(FIND($AF$245,$BQ61)),0,1),(LEN($BQ61)-LEN(SUBSTITUTE($BQ61,$AF$245,"")))/LEN($AF$245)),0),
IF(AND(NOT(EXACT($AF$246,"")),OR(DF$10&gt;$CT61,ISBLANK($CT61))),IF($CV$3,IF(ISERROR(FIND($AF$246,$BQ61)),0,1),(LEN($BQ61)-LEN(SUBSTITUTE($BQ61,$AF$246,"")))/LEN($AF$246)),0),
IF(AND(NOT(EXACT($AF$247,"")),OR(DF$10&gt;$CU61,ISBLANK($CU61))),IF($CV$3,IF(ISERROR(FIND($AF$247,$BQ61)),0,1),(LEN($BQ61)-LEN(SUBSTITUTE($BQ61,$AF$247,"")))/LEN($AF$247)),0)
))</f>
        <v/>
      </c>
      <c r="ED61" s="164" t="str">
        <f t="shared" ref="ED61:ED92" ca="1" si="290">IF($A61="","",IF(VT_VRTLZBR,CODE("F")+1,CODE(VLOOKUP($A61,ZAUBERWERTE,10,FALSE)))-
SUM($BR61:$CA61,
IF(ISERR(FIND(";"&amp;ED$10&amp;";",$H61)),0,1),
IF(ISERR(FIND(";"&amp;ED$10&amp;":",$H61)),0,VALUE(MID($H61,FIND(";"&amp;ED$10&amp;":",$H61)+LEN(ED$10)+2,1))),
IF(ISERR(FIND(";"&amp;ED$10&amp;"+",$H61)),0,-VALUE(MID($H61,FIND(";"&amp;ED$10&amp;"+",$H61)+LEN(ED$10)+2,1))),
IF(AND(NT_Unstet,VLOOKUP($A61,ZAUBERWERTE,10,FALSE)&gt;="C"),-1,0),
IF(AND(NOT(EXACT($AF$241,"")),OR(DG$10&gt;$CO61,ISBLANK($CO61))),IF($CV$3,IF(ISERROR(FIND($AF$241,$BQ61)),0,1),(LEN($BQ61)-LEN(SUBSTITUTE($BQ61,$AF$241,"")))/LEN($AF$241)),0),
IF(AND(NOT(EXACT($AF$242,"")),OR(DG$10&gt;$CP61,ISBLANK($CP61))),IF($CV$3,IF(ISERROR(FIND($AF$242,$BQ61)),0,1),(LEN($BQ61)-LEN(SUBSTITUTE($BQ61,$AF$242,"")))/LEN($AF$242)),0),
IF(AND(NOT(EXACT($AF$243,"")),OR(DG$10&gt;$CQ61,ISBLANK($CQ61))),IF($CV$3,IF(ISERROR(FIND($AF$243,$BQ61)),0,1),(LEN($BQ61)-LEN(SUBSTITUTE($BQ61,$AF$243,"")))/LEN($AF$243)),0),
IF(AND(NOT(EXACT($AF$244,"")),OR(DG$10&gt;$CR61,ISBLANK($CR61))),IF($CV$3,IF(ISERROR(FIND($AF$244,$BQ61)),0,1),(LEN($BQ61)-LEN(SUBSTITUTE($BQ61,$AF$244,"")))/LEN($AF$244)),0),
IF(AND(NOT(EXACT($AF$245,"")),OR(DG$10&gt;$CS61,ISBLANK($CS61))),IF($CV$3,IF(ISERROR(FIND($AF$245,$BQ61)),0,1),(LEN($BQ61)-LEN(SUBSTITUTE($BQ61,$AF$245,"")))/LEN($AF$245)),0),
IF(AND(NOT(EXACT($AF$246,"")),OR(DG$10&gt;$CT61,ISBLANK($CT61))),IF($CV$3,IF(ISERROR(FIND($AF$246,$BQ61)),0,1),(LEN($BQ61)-LEN(SUBSTITUTE($BQ61,$AF$246,"")))/LEN($AF$246)),0),
IF(AND(NOT(EXACT($AF$247,"")),OR(DG$10&gt;$CU61,ISBLANK($CU61))),IF($CV$3,IF(ISERROR(FIND($AF$247,$BQ61)),0,1),(LEN($BQ61)-LEN(SUBSTITUTE($BQ61,$AF$247,"")))/LEN($AF$247)),0)
))</f>
        <v/>
      </c>
      <c r="EE61" s="164" t="str">
        <f t="shared" ref="EE61:EE92" ca="1" si="291">IF($A61="","",IF(VT_VRTLZBR,CODE("F")+1,CODE(VLOOKUP($A61,ZAUBERWERTE,10,FALSE)))-
SUM($BR61:$CA61,
IF(ISERR(FIND(";"&amp;EE$10&amp;";",$H61)),0,1),
IF(ISERR(FIND(";"&amp;EE$10&amp;":",$H61)),0,VALUE(MID($H61,FIND(";"&amp;EE$10&amp;":",$H61)+LEN(EE$10)+2,1))),
IF(ISERR(FIND(";"&amp;EE$10&amp;"+",$H61)),0,-VALUE(MID($H61,FIND(";"&amp;EE$10&amp;"+",$H61)+LEN(EE$10)+2,1))),
IF(AND(NT_Unstet,VLOOKUP($A61,ZAUBERWERTE,10,FALSE)&gt;="C"),-1,0),
IF(AND(NOT(EXACT($AF$241,"")),OR(DH$10&gt;$CO61,ISBLANK($CO61))),IF($CV$3,IF(ISERROR(FIND($AF$241,$BQ61)),0,1),(LEN($BQ61)-LEN(SUBSTITUTE($BQ61,$AF$241,"")))/LEN($AF$241)),0),
IF(AND(NOT(EXACT($AF$242,"")),OR(DH$10&gt;$CP61,ISBLANK($CP61))),IF($CV$3,IF(ISERROR(FIND($AF$242,$BQ61)),0,1),(LEN($BQ61)-LEN(SUBSTITUTE($BQ61,$AF$242,"")))/LEN($AF$242)),0),
IF(AND(NOT(EXACT($AF$243,"")),OR(DH$10&gt;$CQ61,ISBLANK($CQ61))),IF($CV$3,IF(ISERROR(FIND($AF$243,$BQ61)),0,1),(LEN($BQ61)-LEN(SUBSTITUTE($BQ61,$AF$243,"")))/LEN($AF$243)),0),
IF(AND(NOT(EXACT($AF$244,"")),OR(DH$10&gt;$CR61,ISBLANK($CR61))),IF($CV$3,IF(ISERROR(FIND($AF$244,$BQ61)),0,1),(LEN($BQ61)-LEN(SUBSTITUTE($BQ61,$AF$244,"")))/LEN($AF$244)),0),
IF(AND(NOT(EXACT($AF$245,"")),OR(DH$10&gt;$CS61,ISBLANK($CS61))),IF($CV$3,IF(ISERROR(FIND($AF$245,$BQ61)),0,1),(LEN($BQ61)-LEN(SUBSTITUTE($BQ61,$AF$245,"")))/LEN($AF$245)),0),
IF(AND(NOT(EXACT($AF$246,"")),OR(DH$10&gt;$CT61,ISBLANK($CT61))),IF($CV$3,IF(ISERROR(FIND($AF$246,$BQ61)),0,1),(LEN($BQ61)-LEN(SUBSTITUTE($BQ61,$AF$246,"")))/LEN($AF$246)),0),
IF(AND(NOT(EXACT($AF$247,"")),OR(DH$10&gt;$CU61,ISBLANK($CU61))),IF($CV$3,IF(ISERROR(FIND($AF$247,$BQ61)),0,1),(LEN($BQ61)-LEN(SUBSTITUTE($BQ61,$AF$247,"")))/LEN($AF$247)),0)
))</f>
        <v/>
      </c>
      <c r="EF61" s="164" t="str">
        <f t="shared" ref="EF61:EF92" ca="1" si="292">IF($A61="","",IF(VT_VRTLZBR,CODE("F")+1,CODE(VLOOKUP($A61,ZAUBERWERTE,10,FALSE)))-
SUM($BR61:$CA61,
IF(ISERR(FIND(";"&amp;EF$10&amp;";",$H61)),0,1),
IF(ISERR(FIND(";"&amp;EF$10&amp;":",$H61)),0,VALUE(MID($H61,FIND(";"&amp;EF$10&amp;":",$H61)+LEN(EF$10)+2,1))),
IF(ISERR(FIND(";"&amp;EF$10&amp;"+",$H61)),0,-VALUE(MID($H61,FIND(";"&amp;EF$10&amp;"+",$H61)+LEN(EF$10)+2,1))),
IF(AND(NT_Unstet,VLOOKUP($A61,ZAUBERWERTE,10,FALSE)&gt;="C"),-1,0),
IF(AND(NOT(EXACT($AF$241,"")),OR(DI$10&gt;$CO61,ISBLANK($CO61))),IF($CV$3,IF(ISERROR(FIND($AF$241,$BQ61)),0,1),(LEN($BQ61)-LEN(SUBSTITUTE($BQ61,$AF$241,"")))/LEN($AF$241)),0),
IF(AND(NOT(EXACT($AF$242,"")),OR(DI$10&gt;$CP61,ISBLANK($CP61))),IF($CV$3,IF(ISERROR(FIND($AF$242,$BQ61)),0,1),(LEN($BQ61)-LEN(SUBSTITUTE($BQ61,$AF$242,"")))/LEN($AF$242)),0),
IF(AND(NOT(EXACT($AF$243,"")),OR(DI$10&gt;$CQ61,ISBLANK($CQ61))),IF($CV$3,IF(ISERROR(FIND($AF$243,$BQ61)),0,1),(LEN($BQ61)-LEN(SUBSTITUTE($BQ61,$AF$243,"")))/LEN($AF$243)),0),
IF(AND(NOT(EXACT($AF$244,"")),OR(DI$10&gt;$CR61,ISBLANK($CR61))),IF($CV$3,IF(ISERROR(FIND($AF$244,$BQ61)),0,1),(LEN($BQ61)-LEN(SUBSTITUTE($BQ61,$AF$244,"")))/LEN($AF$244)),0),
IF(AND(NOT(EXACT($AF$245,"")),OR(DI$10&gt;$CS61,ISBLANK($CS61))),IF($CV$3,IF(ISERROR(FIND($AF$245,$BQ61)),0,1),(LEN($BQ61)-LEN(SUBSTITUTE($BQ61,$AF$245,"")))/LEN($AF$245)),0),
IF(AND(NOT(EXACT($AF$246,"")),OR(DI$10&gt;$CT61,ISBLANK($CT61))),IF($CV$3,IF(ISERROR(FIND($AF$246,$BQ61)),0,1),(LEN($BQ61)-LEN(SUBSTITUTE($BQ61,$AF$246,"")))/LEN($AF$246)),0),
IF(AND(NOT(EXACT($AF$247,"")),OR(DI$10&gt;$CU61,ISBLANK($CU61))),IF($CV$3,IF(ISERROR(FIND($AF$247,$BQ61)),0,1),(LEN($BQ61)-LEN(SUBSTITUTE($BQ61,$AF$247,"")))/LEN($AF$247)),0)
))</f>
        <v/>
      </c>
      <c r="EG61" s="164" t="str">
        <f t="shared" ref="EG61:EG92" ca="1" si="293">IF($A61="","",IF(VT_VRTLZBR,CODE("F")+1,CODE(VLOOKUP($A61,ZAUBERWERTE,10,FALSE)))-
SUM($BR61:$CA61,
IF(ISERR(FIND(";"&amp;EG$10&amp;";",$H61)),0,1),
IF(ISERR(FIND(";"&amp;EG$10&amp;":",$H61)),0,VALUE(MID($H61,FIND(";"&amp;EG$10&amp;":",$H61)+LEN(EG$10)+2,1))),
IF(ISERR(FIND(";"&amp;EG$10&amp;"+",$H61)),0,-VALUE(MID($H61,FIND(";"&amp;EG$10&amp;"+",$H61)+LEN(EG$10)+2,1))),
IF(AND(NT_Unstet,VLOOKUP($A61,ZAUBERWERTE,10,FALSE)&gt;="C"),-1,0),
IF(AND(NOT(EXACT($AF$241,"")),OR(DJ$10&gt;$CO61,ISBLANK($CO61))),IF($CV$3,IF(ISERROR(FIND($AF$241,$BQ61)),0,1),(LEN($BQ61)-LEN(SUBSTITUTE($BQ61,$AF$241,"")))/LEN($AF$241)),0),
IF(AND(NOT(EXACT($AF$242,"")),OR(DJ$10&gt;$CP61,ISBLANK($CP61))),IF($CV$3,IF(ISERROR(FIND($AF$242,$BQ61)),0,1),(LEN($BQ61)-LEN(SUBSTITUTE($BQ61,$AF$242,"")))/LEN($AF$242)),0),
IF(AND(NOT(EXACT($AF$243,"")),OR(DJ$10&gt;$CQ61,ISBLANK($CQ61))),IF($CV$3,IF(ISERROR(FIND($AF$243,$BQ61)),0,1),(LEN($BQ61)-LEN(SUBSTITUTE($BQ61,$AF$243,"")))/LEN($AF$243)),0),
IF(AND(NOT(EXACT($AF$244,"")),OR(DJ$10&gt;$CR61,ISBLANK($CR61))),IF($CV$3,IF(ISERROR(FIND($AF$244,$BQ61)),0,1),(LEN($BQ61)-LEN(SUBSTITUTE($BQ61,$AF$244,"")))/LEN($AF$244)),0),
IF(AND(NOT(EXACT($AF$245,"")),OR(DJ$10&gt;$CS61,ISBLANK($CS61))),IF($CV$3,IF(ISERROR(FIND($AF$245,$BQ61)),0,1),(LEN($BQ61)-LEN(SUBSTITUTE($BQ61,$AF$245,"")))/LEN($AF$245)),0),
IF(AND(NOT(EXACT($AF$246,"")),OR(DJ$10&gt;$CT61,ISBLANK($CT61))),IF($CV$3,IF(ISERROR(FIND($AF$246,$BQ61)),0,1),(LEN($BQ61)-LEN(SUBSTITUTE($BQ61,$AF$246,"")))/LEN($AF$246)),0),
IF(AND(NOT(EXACT($AF$247,"")),OR(DJ$10&gt;$CU61,ISBLANK($CU61))),IF($CV$3,IF(ISERROR(FIND($AF$247,$BQ61)),0,1),(LEN($BQ61)-LEN(SUBSTITUTE($BQ61,$AF$247,"")))/LEN($AF$247)),0)
))</f>
        <v/>
      </c>
      <c r="EH61" s="164" t="str">
        <f t="shared" ref="EH61:EH92" ca="1" si="294">IF($A61="","",IF(VT_VRTLZBR,CODE("F")+1,CODE(VLOOKUP($A61,ZAUBERWERTE,10,FALSE)))-
SUM($BR61:$CA61,
IF(ISERR(FIND(";"&amp;EH$10&amp;";",$H61)),0,1),
IF(ISERR(FIND(";"&amp;EH$10&amp;":",$H61)),0,VALUE(MID($H61,FIND(";"&amp;EH$10&amp;":",$H61)+LEN(EH$10)+2,1))),
IF(ISERR(FIND(";"&amp;EH$10&amp;"+",$H61)),0,-VALUE(MID($H61,FIND(";"&amp;EH$10&amp;"+",$H61)+LEN(EH$10)+2,1))),
IF(AND(NT_Unstet,VLOOKUP($A61,ZAUBERWERTE,10,FALSE)&gt;="C"),-1,0),
IF(AND(NOT(EXACT($AF$241,"")),OR(DK$10&gt;$CO61,ISBLANK($CO61))),IF($CV$3,IF(ISERROR(FIND($AF$241,$BQ61)),0,1),(LEN($BQ61)-LEN(SUBSTITUTE($BQ61,$AF$241,"")))/LEN($AF$241)),0),
IF(AND(NOT(EXACT($AF$242,"")),OR(DK$10&gt;$CP61,ISBLANK($CP61))),IF($CV$3,IF(ISERROR(FIND($AF$242,$BQ61)),0,1),(LEN($BQ61)-LEN(SUBSTITUTE($BQ61,$AF$242,"")))/LEN($AF$242)),0),
IF(AND(NOT(EXACT($AF$243,"")),OR(DK$10&gt;$CQ61,ISBLANK($CQ61))),IF($CV$3,IF(ISERROR(FIND($AF$243,$BQ61)),0,1),(LEN($BQ61)-LEN(SUBSTITUTE($BQ61,$AF$243,"")))/LEN($AF$243)),0),
IF(AND(NOT(EXACT($AF$244,"")),OR(DK$10&gt;$CR61,ISBLANK($CR61))),IF($CV$3,IF(ISERROR(FIND($AF$244,$BQ61)),0,1),(LEN($BQ61)-LEN(SUBSTITUTE($BQ61,$AF$244,"")))/LEN($AF$244)),0),
IF(AND(NOT(EXACT($AF$245,"")),OR(DK$10&gt;$CS61,ISBLANK($CS61))),IF($CV$3,IF(ISERROR(FIND($AF$245,$BQ61)),0,1),(LEN($BQ61)-LEN(SUBSTITUTE($BQ61,$AF$245,"")))/LEN($AF$245)),0),
IF(AND(NOT(EXACT($AF$246,"")),OR(DK$10&gt;$CT61,ISBLANK($CT61))),IF($CV$3,IF(ISERROR(FIND($AF$246,$BQ61)),0,1),(LEN($BQ61)-LEN(SUBSTITUTE($BQ61,$AF$246,"")))/LEN($AF$246)),0),
IF(AND(NOT(EXACT($AF$247,"")),OR(DK$10&gt;$CU61,ISBLANK($CU61))),IF($CV$3,IF(ISERROR(FIND($AF$247,$BQ61)),0,1),(LEN($BQ61)-LEN(SUBSTITUTE($BQ61,$AF$247,"")))/LEN($AF$247)),0)
))</f>
        <v/>
      </c>
      <c r="EI61" s="164" t="str">
        <f t="shared" ref="EI61:EI92" ca="1" si="295">IF($A61="","",IF(VT_VRTLZBR,CODE("F")+1,CODE(VLOOKUP($A61,ZAUBERWERTE,10,FALSE)))-
SUM($BR61:$CA61,
IF(ISERR(FIND(";"&amp;EI$10&amp;";",$H61)),0,1),
IF(ISERR(FIND(";"&amp;EI$10&amp;":",$H61)),0,VALUE(MID($H61,FIND(";"&amp;EI$10&amp;":",$H61)+LEN(EI$10)+2,1))),
IF(ISERR(FIND(";"&amp;EI$10&amp;"+",$H61)),0,-VALUE(MID($H61,FIND(";"&amp;EI$10&amp;"+",$H61)+LEN(EI$10)+2,1))),
IF(AND(NT_Unstet,VLOOKUP($A61,ZAUBERWERTE,10,FALSE)&gt;="C"),-1,0),
IF(AND(NOT(EXACT($AF$241,"")),OR(DL$10&gt;$CO61,ISBLANK($CO61))),IF($CV$3,IF(ISERROR(FIND($AF$241,$BQ61)),0,1),(LEN($BQ61)-LEN(SUBSTITUTE($BQ61,$AF$241,"")))/LEN($AF$241)),0),
IF(AND(NOT(EXACT($AF$242,"")),OR(DL$10&gt;$CP61,ISBLANK($CP61))),IF($CV$3,IF(ISERROR(FIND($AF$242,$BQ61)),0,1),(LEN($BQ61)-LEN(SUBSTITUTE($BQ61,$AF$242,"")))/LEN($AF$242)),0),
IF(AND(NOT(EXACT($AF$243,"")),OR(DL$10&gt;$CQ61,ISBLANK($CQ61))),IF($CV$3,IF(ISERROR(FIND($AF$243,$BQ61)),0,1),(LEN($BQ61)-LEN(SUBSTITUTE($BQ61,$AF$243,"")))/LEN($AF$243)),0),
IF(AND(NOT(EXACT($AF$244,"")),OR(DL$10&gt;$CR61,ISBLANK($CR61))),IF($CV$3,IF(ISERROR(FIND($AF$244,$BQ61)),0,1),(LEN($BQ61)-LEN(SUBSTITUTE($BQ61,$AF$244,"")))/LEN($AF$244)),0),
IF(AND(NOT(EXACT($AF$245,"")),OR(DL$10&gt;$CS61,ISBLANK($CS61))),IF($CV$3,IF(ISERROR(FIND($AF$245,$BQ61)),0,1),(LEN($BQ61)-LEN(SUBSTITUTE($BQ61,$AF$245,"")))/LEN($AF$245)),0),
IF(AND(NOT(EXACT($AF$246,"")),OR(DL$10&gt;$CT61,ISBLANK($CT61))),IF($CV$3,IF(ISERROR(FIND($AF$246,$BQ61)),0,1),(LEN($BQ61)-LEN(SUBSTITUTE($BQ61,$AF$246,"")))/LEN($AF$246)),0),
IF(AND(NOT(EXACT($AF$247,"")),OR(DL$10&gt;$CU61,ISBLANK($CU61))),IF($CV$3,IF(ISERROR(FIND($AF$247,$BQ61)),0,1),(LEN($BQ61)-LEN(SUBSTITUTE($BQ61,$AF$247,"")))/LEN($AF$247)),0)
))</f>
        <v/>
      </c>
      <c r="EJ61" s="164" t="str">
        <f t="shared" ref="EJ61:EJ92" ca="1" si="296">IF($A61="","",IF(VT_VRTLZBR,CODE("F")+1,CODE(VLOOKUP($A61,ZAUBERWERTE,10,FALSE)))-
SUM($BR61:$CA61,
IF(ISERR(FIND(";"&amp;EJ$10&amp;";",$H61)),0,1),
IF(ISERR(FIND(";"&amp;EJ$10&amp;":",$H61)),0,VALUE(MID($H61,FIND(";"&amp;EJ$10&amp;":",$H61)+LEN(EJ$10)+2,1))),
IF(ISERR(FIND(";"&amp;EJ$10&amp;"+",$H61)),0,-VALUE(MID($H61,FIND(";"&amp;EJ$10&amp;"+",$H61)+LEN(EJ$10)+2,1))),
IF(AND(NT_Unstet,VLOOKUP($A61,ZAUBERWERTE,10,FALSE)&gt;="C"),-1,0),
IF(AND(NOT(EXACT($AF$241,"")),OR(DM$10&gt;$CO61,ISBLANK($CO61))),IF($CV$3,IF(ISERROR(FIND($AF$241,$BQ61)),0,1),(LEN($BQ61)-LEN(SUBSTITUTE($BQ61,$AF$241,"")))/LEN($AF$241)),0),
IF(AND(NOT(EXACT($AF$242,"")),OR(DM$10&gt;$CP61,ISBLANK($CP61))),IF($CV$3,IF(ISERROR(FIND($AF$242,$BQ61)),0,1),(LEN($BQ61)-LEN(SUBSTITUTE($BQ61,$AF$242,"")))/LEN($AF$242)),0),
IF(AND(NOT(EXACT($AF$243,"")),OR(DM$10&gt;$CQ61,ISBLANK($CQ61))),IF($CV$3,IF(ISERROR(FIND($AF$243,$BQ61)),0,1),(LEN($BQ61)-LEN(SUBSTITUTE($BQ61,$AF$243,"")))/LEN($AF$243)),0),
IF(AND(NOT(EXACT($AF$244,"")),OR(DM$10&gt;$CR61,ISBLANK($CR61))),IF($CV$3,IF(ISERROR(FIND($AF$244,$BQ61)),0,1),(LEN($BQ61)-LEN(SUBSTITUTE($BQ61,$AF$244,"")))/LEN($AF$244)),0),
IF(AND(NOT(EXACT($AF$245,"")),OR(DM$10&gt;$CS61,ISBLANK($CS61))),IF($CV$3,IF(ISERROR(FIND($AF$245,$BQ61)),0,1),(LEN($BQ61)-LEN(SUBSTITUTE($BQ61,$AF$245,"")))/LEN($AF$245)),0),
IF(AND(NOT(EXACT($AF$246,"")),OR(DM$10&gt;$CT61,ISBLANK($CT61))),IF($CV$3,IF(ISERROR(FIND($AF$246,$BQ61)),0,1),(LEN($BQ61)-LEN(SUBSTITUTE($BQ61,$AF$246,"")))/LEN($AF$246)),0),
IF(AND(NOT(EXACT($AF$247,"")),OR(DM$10&gt;$CU61,ISBLANK($CU61))),IF($CV$3,IF(ISERROR(FIND($AF$247,$BQ61)),0,1),(LEN($BQ61)-LEN(SUBSTITUTE($BQ61,$AF$247,"")))/LEN($AF$247)),0)
))</f>
        <v/>
      </c>
      <c r="EK61" s="164" t="str">
        <f t="shared" ref="EK61:EK92" ca="1" si="297">IF($A61="","",IF(VT_VRTLZBR,CODE("F")+1,CODE(VLOOKUP($A61,ZAUBERWERTE,10,FALSE)))-
SUM($BR61:$CA61,
IF(ISERR(FIND(";"&amp;EK$10&amp;";",$H61)),0,1),
IF(ISERR(FIND(";"&amp;EK$10&amp;":",$H61)),0,VALUE(MID($H61,FIND(";"&amp;EK$10&amp;":",$H61)+LEN(EK$10)+2,1))),
IF(ISERR(FIND(";"&amp;EK$10&amp;"+",$H61)),0,-VALUE(MID($H61,FIND(";"&amp;EK$10&amp;"+",$H61)+LEN(EK$10)+2,1))),
IF(AND(NT_Unstet,VLOOKUP($A61,ZAUBERWERTE,10,FALSE)&gt;="C"),-1,0),
IF(AND(NOT(EXACT($AF$241,"")),OR(DN$10&gt;$CO61,ISBLANK($CO61))),IF($CV$3,IF(ISERROR(FIND($AF$241,$BQ61)),0,1),(LEN($BQ61)-LEN(SUBSTITUTE($BQ61,$AF$241,"")))/LEN($AF$241)),0),
IF(AND(NOT(EXACT($AF$242,"")),OR(DN$10&gt;$CP61,ISBLANK($CP61))),IF($CV$3,IF(ISERROR(FIND($AF$242,$BQ61)),0,1),(LEN($BQ61)-LEN(SUBSTITUTE($BQ61,$AF$242,"")))/LEN($AF$242)),0),
IF(AND(NOT(EXACT($AF$243,"")),OR(DN$10&gt;$CQ61,ISBLANK($CQ61))),IF($CV$3,IF(ISERROR(FIND($AF$243,$BQ61)),0,1),(LEN($BQ61)-LEN(SUBSTITUTE($BQ61,$AF$243,"")))/LEN($AF$243)),0),
IF(AND(NOT(EXACT($AF$244,"")),OR(DN$10&gt;$CR61,ISBLANK($CR61))),IF($CV$3,IF(ISERROR(FIND($AF$244,$BQ61)),0,1),(LEN($BQ61)-LEN(SUBSTITUTE($BQ61,$AF$244,"")))/LEN($AF$244)),0),
IF(AND(NOT(EXACT($AF$245,"")),OR(DN$10&gt;$CS61,ISBLANK($CS61))),IF($CV$3,IF(ISERROR(FIND($AF$245,$BQ61)),0,1),(LEN($BQ61)-LEN(SUBSTITUTE($BQ61,$AF$245,"")))/LEN($AF$245)),0),
IF(AND(NOT(EXACT($AF$246,"")),OR(DN$10&gt;$CT61,ISBLANK($CT61))),IF($CV$3,IF(ISERROR(FIND($AF$246,$BQ61)),0,1),(LEN($BQ61)-LEN(SUBSTITUTE($BQ61,$AF$246,"")))/LEN($AF$246)),0),
IF(AND(NOT(EXACT($AF$247,"")),OR(DN$10&gt;$CU61,ISBLANK($CU61))),IF($CV$3,IF(ISERROR(FIND($AF$247,$BQ61)),0,1),(LEN($BQ61)-LEN(SUBSTITUTE($BQ61,$AF$247,"")))/LEN($AF$247)),0)
))</f>
        <v/>
      </c>
      <c r="EL61" s="164" t="str">
        <f t="shared" ref="EL61:EL92" ca="1" si="298">IF($A61="","",IF(VT_VRTLZBR,CODE("F")+1,CODE(VLOOKUP($A61,ZAUBERWERTE,10,FALSE)))-
SUM($BR61:$CA61,
IF(ISERR(FIND(";"&amp;EL$10&amp;";",$H61)),0,1),
IF(ISERR(FIND(";"&amp;EL$10&amp;":",$H61)),0,VALUE(MID($H61,FIND(";"&amp;EL$10&amp;":",$H61)+LEN(EL$10)+2,1))),
IF(ISERR(FIND(";"&amp;EL$10&amp;"+",$H61)),0,-VALUE(MID($H61,FIND(";"&amp;EL$10&amp;"+",$H61)+LEN(EL$10)+2,1))),
IF(AND(NT_Unstet,VLOOKUP($A61,ZAUBERWERTE,10,FALSE)&gt;="C"),-1,0),
IF(AND(NOT(EXACT($AF$241,"")),OR(DO$10&gt;$CO61,ISBLANK($CO61))),IF($CV$3,IF(ISERROR(FIND($AF$241,$BQ61)),0,1),(LEN($BQ61)-LEN(SUBSTITUTE($BQ61,$AF$241,"")))/LEN($AF$241)),0),
IF(AND(NOT(EXACT($AF$242,"")),OR(DO$10&gt;$CP61,ISBLANK($CP61))),IF($CV$3,IF(ISERROR(FIND($AF$242,$BQ61)),0,1),(LEN($BQ61)-LEN(SUBSTITUTE($BQ61,$AF$242,"")))/LEN($AF$242)),0),
IF(AND(NOT(EXACT($AF$243,"")),OR(DO$10&gt;$CQ61,ISBLANK($CQ61))),IF($CV$3,IF(ISERROR(FIND($AF$243,$BQ61)),0,1),(LEN($BQ61)-LEN(SUBSTITUTE($BQ61,$AF$243,"")))/LEN($AF$243)),0),
IF(AND(NOT(EXACT($AF$244,"")),OR(DO$10&gt;$CR61,ISBLANK($CR61))),IF($CV$3,IF(ISERROR(FIND($AF$244,$BQ61)),0,1),(LEN($BQ61)-LEN(SUBSTITUTE($BQ61,$AF$244,"")))/LEN($AF$244)),0),
IF(AND(NOT(EXACT($AF$245,"")),OR(DO$10&gt;$CS61,ISBLANK($CS61))),IF($CV$3,IF(ISERROR(FIND($AF$245,$BQ61)),0,1),(LEN($BQ61)-LEN(SUBSTITUTE($BQ61,$AF$245,"")))/LEN($AF$245)),0),
IF(AND(NOT(EXACT($AF$246,"")),OR(DO$10&gt;$CT61,ISBLANK($CT61))),IF($CV$3,IF(ISERROR(FIND($AF$246,$BQ61)),0,1),(LEN($BQ61)-LEN(SUBSTITUTE($BQ61,$AF$246,"")))/LEN($AF$246)),0),
IF(AND(NOT(EXACT($AF$247,"")),OR(DO$10&gt;$CU61,ISBLANK($CU61))),IF($CV$3,IF(ISERROR(FIND($AF$247,$BQ61)),0,1),(LEN($BQ61)-LEN(SUBSTITUTE($BQ61,$AF$247,"")))/LEN($AF$247)),0)
))</f>
        <v/>
      </c>
      <c r="EM61" s="164" t="str">
        <f t="shared" ref="EM61:EM92" ca="1" si="299">IF($A61="","",IF(VT_VRTLZBR,CODE("F")+1,CODE(VLOOKUP($A61,ZAUBERWERTE,10,FALSE)))-
SUM($BR61:$CA61,
IF(ISERR(FIND(";"&amp;EM$10&amp;";",$H61)),0,1),
IF(ISERR(FIND(";"&amp;EM$10&amp;":",$H61)),0,VALUE(MID($H61,FIND(";"&amp;EM$10&amp;":",$H61)+LEN(EM$10)+2,1))),
IF(ISERR(FIND(";"&amp;EM$10&amp;"+",$H61)),0,-VALUE(MID($H61,FIND(";"&amp;EM$10&amp;"+",$H61)+LEN(EM$10)+2,1))),
IF(AND(NT_Unstet,VLOOKUP($A61,ZAUBERWERTE,10,FALSE)&gt;="C"),-1,0),
IF(AND(NOT(EXACT($AF$241,"")),OR(DP$10&gt;$CO61,ISBLANK($CO61))),IF($CV$3,IF(ISERROR(FIND($AF$241,$BQ61)),0,1),(LEN($BQ61)-LEN(SUBSTITUTE($BQ61,$AF$241,"")))/LEN($AF$241)),0),
IF(AND(NOT(EXACT($AF$242,"")),OR(DP$10&gt;$CP61,ISBLANK($CP61))),IF($CV$3,IF(ISERROR(FIND($AF$242,$BQ61)),0,1),(LEN($BQ61)-LEN(SUBSTITUTE($BQ61,$AF$242,"")))/LEN($AF$242)),0),
IF(AND(NOT(EXACT($AF$243,"")),OR(DP$10&gt;$CQ61,ISBLANK($CQ61))),IF($CV$3,IF(ISERROR(FIND($AF$243,$BQ61)),0,1),(LEN($BQ61)-LEN(SUBSTITUTE($BQ61,$AF$243,"")))/LEN($AF$243)),0),
IF(AND(NOT(EXACT($AF$244,"")),OR(DP$10&gt;$CR61,ISBLANK($CR61))),IF($CV$3,IF(ISERROR(FIND($AF$244,$BQ61)),0,1),(LEN($BQ61)-LEN(SUBSTITUTE($BQ61,$AF$244,"")))/LEN($AF$244)),0),
IF(AND(NOT(EXACT($AF$245,"")),OR(DP$10&gt;$CS61,ISBLANK($CS61))),IF($CV$3,IF(ISERROR(FIND($AF$245,$BQ61)),0,1),(LEN($BQ61)-LEN(SUBSTITUTE($BQ61,$AF$245,"")))/LEN($AF$245)),0),
IF(AND(NOT(EXACT($AF$246,"")),OR(DP$10&gt;$CT61,ISBLANK($CT61))),IF($CV$3,IF(ISERROR(FIND($AF$246,$BQ61)),0,1),(LEN($BQ61)-LEN(SUBSTITUTE($BQ61,$AF$246,"")))/LEN($AF$246)),0),
IF(AND(NOT(EXACT($AF$247,"")),OR(DP$10&gt;$CU61,ISBLANK($CU61))),IF($CV$3,IF(ISERROR(FIND($AF$247,$BQ61)),0,1),(LEN($BQ61)-LEN(SUBSTITUTE($BQ61,$AF$247,"")))/LEN($AF$247)),0)
))</f>
        <v/>
      </c>
      <c r="EN61" s="164" t="str">
        <f t="shared" ref="EN61:EN92" ca="1" si="300">IF($A61="","",IF(VT_VRTLZBR,CODE("F")+1,CODE(VLOOKUP($A61,ZAUBERWERTE,10,FALSE)))-
SUM($BR61:$CA61,
IF(ISERR(FIND(";"&amp;EN$10&amp;";",$H61)),0,1),
IF(ISERR(FIND(";"&amp;EN$10&amp;":",$H61)),0,VALUE(MID($H61,FIND(";"&amp;EN$10&amp;":",$H61)+LEN(EN$10)+2,1))),
IF(ISERR(FIND(";"&amp;EN$10&amp;"+",$H61)),0,-VALUE(MID($H61,FIND(";"&amp;EN$10&amp;"+",$H61)+LEN(EN$10)+2,1))),
IF(AND(NT_Unstet,VLOOKUP($A61,ZAUBERWERTE,10,FALSE)&gt;="C"),-1,0),
IF(AND(NOT(EXACT($AF$241,"")),OR(DQ$10&gt;$CO61,ISBLANK($CO61))),IF($CV$3,IF(ISERROR(FIND($AF$241,$BQ61)),0,1),(LEN($BQ61)-LEN(SUBSTITUTE($BQ61,$AF$241,"")))/LEN($AF$241)),0),
IF(AND(NOT(EXACT($AF$242,"")),OR(DQ$10&gt;$CP61,ISBLANK($CP61))),IF($CV$3,IF(ISERROR(FIND($AF$242,$BQ61)),0,1),(LEN($BQ61)-LEN(SUBSTITUTE($BQ61,$AF$242,"")))/LEN($AF$242)),0),
IF(AND(NOT(EXACT($AF$243,"")),OR(DQ$10&gt;$CQ61,ISBLANK($CQ61))),IF($CV$3,IF(ISERROR(FIND($AF$243,$BQ61)),0,1),(LEN($BQ61)-LEN(SUBSTITUTE($BQ61,$AF$243,"")))/LEN($AF$243)),0),
IF(AND(NOT(EXACT($AF$244,"")),OR(DQ$10&gt;$CR61,ISBLANK($CR61))),IF($CV$3,IF(ISERROR(FIND($AF$244,$BQ61)),0,1),(LEN($BQ61)-LEN(SUBSTITUTE($BQ61,$AF$244,"")))/LEN($AF$244)),0),
IF(AND(NOT(EXACT($AF$245,"")),OR(DQ$10&gt;$CS61,ISBLANK($CS61))),IF($CV$3,IF(ISERROR(FIND($AF$245,$BQ61)),0,1),(LEN($BQ61)-LEN(SUBSTITUTE($BQ61,$AF$245,"")))/LEN($AF$245)),0),
IF(AND(NOT(EXACT($AF$246,"")),OR(DQ$10&gt;$CT61,ISBLANK($CT61))),IF($CV$3,IF(ISERROR(FIND($AF$246,$BQ61)),0,1),(LEN($BQ61)-LEN(SUBSTITUTE($BQ61,$AF$246,"")))/LEN($AF$246)),0),
IF(AND(NOT(EXACT($AF$247,"")),OR(DQ$10&gt;$CU61,ISBLANK($CU61))),IF($CV$3,IF(ISERROR(FIND($AF$247,$BQ61)),0,1),(LEN($BQ61)-LEN(SUBSTITUTE($BQ61,$AF$247,"")))/LEN($AF$247)),0)
))</f>
        <v/>
      </c>
      <c r="EO61" s="164" t="str">
        <f t="shared" ref="EO61:EO92" ca="1" si="301">IF($A61="","",IF(VT_VRTLZBR,CODE("F")+1,CODE(VLOOKUP($A61,ZAUBERWERTE,10,FALSE)))-
SUM($BR61:$CA61,
IF(ISERR(FIND(";"&amp;EO$10&amp;";",$H61)),0,1),
IF(ISERR(FIND(";"&amp;EO$10&amp;":",$H61)),0,VALUE(MID($H61,FIND(";"&amp;EO$10&amp;":",$H61)+LEN(EO$10)+2,1))),
IF(ISERR(FIND(";"&amp;EO$10&amp;"+",$H61)),0,-VALUE(MID($H61,FIND(";"&amp;EO$10&amp;"+",$H61)+LEN(EO$10)+2,1))),
IF(AND(NT_Unstet,VLOOKUP($A61,ZAUBERWERTE,10,FALSE)&gt;="C"),-1,0),
IF(AND(NOT(EXACT($AF$241,"")),OR(DR$10&gt;$CO61,ISBLANK($CO61))),IF($CV$3,IF(ISERROR(FIND($AF$241,$BQ61)),0,1),(LEN($BQ61)-LEN(SUBSTITUTE($BQ61,$AF$241,"")))/LEN($AF$241)),0),
IF(AND(NOT(EXACT($AF$242,"")),OR(DR$10&gt;$CP61,ISBLANK($CP61))),IF($CV$3,IF(ISERROR(FIND($AF$242,$BQ61)),0,1),(LEN($BQ61)-LEN(SUBSTITUTE($BQ61,$AF$242,"")))/LEN($AF$242)),0),
IF(AND(NOT(EXACT($AF$243,"")),OR(DR$10&gt;$CQ61,ISBLANK($CQ61))),IF($CV$3,IF(ISERROR(FIND($AF$243,$BQ61)),0,1),(LEN($BQ61)-LEN(SUBSTITUTE($BQ61,$AF$243,"")))/LEN($AF$243)),0),
IF(AND(NOT(EXACT($AF$244,"")),OR(DR$10&gt;$CR61,ISBLANK($CR61))),IF($CV$3,IF(ISERROR(FIND($AF$244,$BQ61)),0,1),(LEN($BQ61)-LEN(SUBSTITUTE($BQ61,$AF$244,"")))/LEN($AF$244)),0),
IF(AND(NOT(EXACT($AF$245,"")),OR(DR$10&gt;$CS61,ISBLANK($CS61))),IF($CV$3,IF(ISERROR(FIND($AF$245,$BQ61)),0,1),(LEN($BQ61)-LEN(SUBSTITUTE($BQ61,$AF$245,"")))/LEN($AF$245)),0),
IF(AND(NOT(EXACT($AF$246,"")),OR(DR$10&gt;$CT61,ISBLANK($CT61))),IF($CV$3,IF(ISERROR(FIND($AF$246,$BQ61)),0,1),(LEN($BQ61)-LEN(SUBSTITUTE($BQ61,$AF$246,"")))/LEN($AF$246)),0),
IF(AND(NOT(EXACT($AF$247,"")),OR(DR$10&gt;$CU61,ISBLANK($CU61))),IF($CV$3,IF(ISERROR(FIND($AF$247,$BQ61)),0,1),(LEN($BQ61)-LEN(SUBSTITUTE($BQ61,$AF$247,"")))/LEN($AF$247)),0)
))</f>
        <v/>
      </c>
      <c r="EP61" s="164" t="str">
        <f t="shared" ref="EP61:EP92" ca="1" si="302">IF($A61="","",IF(VT_VRTLZBR,CODE("F")+1,CODE(VLOOKUP($A61,ZAUBERWERTE,10,FALSE)))-
SUM($BR61:$CA61,
IF(ISERR(FIND(";"&amp;EP$10&amp;";",$H61)),0,1),
IF(ISERR(FIND(";"&amp;EP$10&amp;":",$H61)),0,VALUE(MID($H61,FIND(";"&amp;EP$10&amp;":",$H61)+LEN(EP$10)+2,1))),
IF(ISERR(FIND(";"&amp;EP$10&amp;"+",$H61)),0,-VALUE(MID($H61,FIND(";"&amp;EP$10&amp;"+",$H61)+LEN(EP$10)+2,1))),
IF(AND(NT_Unstet,VLOOKUP($A61,ZAUBERWERTE,10,FALSE)&gt;="C"),-1,0),
IF(AND(NOT(EXACT($AF$241,"")),OR(DS$10&gt;$CO61,ISBLANK($CO61))),IF($CV$3,IF(ISERROR(FIND($AF$241,$BQ61)),0,1),(LEN($BQ61)-LEN(SUBSTITUTE($BQ61,$AF$241,"")))/LEN($AF$241)),0),
IF(AND(NOT(EXACT($AF$242,"")),OR(DS$10&gt;$CP61,ISBLANK($CP61))),IF($CV$3,IF(ISERROR(FIND($AF$242,$BQ61)),0,1),(LEN($BQ61)-LEN(SUBSTITUTE($BQ61,$AF$242,"")))/LEN($AF$242)),0),
IF(AND(NOT(EXACT($AF$243,"")),OR(DS$10&gt;$CQ61,ISBLANK($CQ61))),IF($CV$3,IF(ISERROR(FIND($AF$243,$BQ61)),0,1),(LEN($BQ61)-LEN(SUBSTITUTE($BQ61,$AF$243,"")))/LEN($AF$243)),0),
IF(AND(NOT(EXACT($AF$244,"")),OR(DS$10&gt;$CR61,ISBLANK($CR61))),IF($CV$3,IF(ISERROR(FIND($AF$244,$BQ61)),0,1),(LEN($BQ61)-LEN(SUBSTITUTE($BQ61,$AF$244,"")))/LEN($AF$244)),0),
IF(AND(NOT(EXACT($AF$245,"")),OR(DS$10&gt;$CS61,ISBLANK($CS61))),IF($CV$3,IF(ISERROR(FIND($AF$245,$BQ61)),0,1),(LEN($BQ61)-LEN(SUBSTITUTE($BQ61,$AF$245,"")))/LEN($AF$245)),0),
IF(AND(NOT(EXACT($AF$246,"")),OR(DS$10&gt;$CT61,ISBLANK($CT61))),IF($CV$3,IF(ISERROR(FIND($AF$246,$BQ61)),0,1),(LEN($BQ61)-LEN(SUBSTITUTE($BQ61,$AF$246,"")))/LEN($AF$246)),0),
IF(AND(NOT(EXACT($AF$247,"")),OR(DS$10&gt;$CU61,ISBLANK($CU61))),IF($CV$3,IF(ISERROR(FIND($AF$247,$BQ61)),0,1),(LEN($BQ61)-LEN(SUBSTITUTE($BQ61,$AF$247,"")))/LEN($AF$247)),0)
))</f>
        <v/>
      </c>
      <c r="EQ61" s="164" t="str">
        <f t="shared" ref="EQ61:EQ92" ca="1" si="303">IF($A61="","",IF(VT_VRTLZBR,CODE("F")+1,CODE(VLOOKUP($A61,ZAUBERWERTE,10,FALSE)))-
SUM($BR61:$CA61,
IF(ISERR(FIND(";"&amp;EQ$10&amp;";",$H61)),0,1),
IF(ISERR(FIND(";"&amp;EQ$10&amp;":",$H61)),0,VALUE(MID($H61,FIND(";"&amp;EQ$10&amp;":",$H61)+LEN(EQ$10)+2,1))),
IF(ISERR(FIND(";"&amp;EQ$10&amp;"+",$H61)),0,-VALUE(MID($H61,FIND(";"&amp;EQ$10&amp;"+",$H61)+LEN(EQ$10)+2,1))),
IF(AND(NT_Unstet,VLOOKUP($A61,ZAUBERWERTE,10,FALSE)&gt;="C"),-1,0),
IF(AND(NOT(EXACT($AF$241,"")),OR(DT$10&gt;$CO61,ISBLANK($CO61))),IF($CV$3,IF(ISERROR(FIND($AF$241,$BQ61)),0,1),(LEN($BQ61)-LEN(SUBSTITUTE($BQ61,$AF$241,"")))/LEN($AF$241)),0),
IF(AND(NOT(EXACT($AF$242,"")),OR(DT$10&gt;$CP61,ISBLANK($CP61))),IF($CV$3,IF(ISERROR(FIND($AF$242,$BQ61)),0,1),(LEN($BQ61)-LEN(SUBSTITUTE($BQ61,$AF$242,"")))/LEN($AF$242)),0),
IF(AND(NOT(EXACT($AF$243,"")),OR(DT$10&gt;$CQ61,ISBLANK($CQ61))),IF($CV$3,IF(ISERROR(FIND($AF$243,$BQ61)),0,1),(LEN($BQ61)-LEN(SUBSTITUTE($BQ61,$AF$243,"")))/LEN($AF$243)),0),
IF(AND(NOT(EXACT($AF$244,"")),OR(DT$10&gt;$CR61,ISBLANK($CR61))),IF($CV$3,IF(ISERROR(FIND($AF$244,$BQ61)),0,1),(LEN($BQ61)-LEN(SUBSTITUTE($BQ61,$AF$244,"")))/LEN($AF$244)),0),
IF(AND(NOT(EXACT($AF$245,"")),OR(DT$10&gt;$CS61,ISBLANK($CS61))),IF($CV$3,IF(ISERROR(FIND($AF$245,$BQ61)),0,1),(LEN($BQ61)-LEN(SUBSTITUTE($BQ61,$AF$245,"")))/LEN($AF$245)),0),
IF(AND(NOT(EXACT($AF$246,"")),OR(DT$10&gt;$CT61,ISBLANK($CT61))),IF($CV$3,IF(ISERROR(FIND($AF$246,$BQ61)),0,1),(LEN($BQ61)-LEN(SUBSTITUTE($BQ61,$AF$246,"")))/LEN($AF$246)),0),
IF(AND(NOT(EXACT($AF$247,"")),OR(DT$10&gt;$CU61,ISBLANK($CU61))),IF($CV$3,IF(ISERROR(FIND($AF$247,$BQ61)),0,1),(LEN($BQ61)-LEN(SUBSTITUTE($BQ61,$AF$247,"")))/LEN($AF$247)),0)
))</f>
        <v/>
      </c>
      <c r="ER61" s="164" t="str">
        <f t="shared" ref="ER61:ER92" ca="1" si="304">IF($A61="","",IF(VT_VRTLZBR,CODE("F")+1,CODE(VLOOKUP($A61,ZAUBERWERTE,10,FALSE)))-
SUM($BR61:$CA61,
IF(ISERR(FIND(";"&amp;ER$10&amp;";",$H61)),0,1),
IF(ISERR(FIND(";"&amp;ER$10&amp;":",$H61)),0,VALUE(MID($H61,FIND(";"&amp;ER$10&amp;":",$H61)+LEN(ER$10)+2,1))),
IF(ISERR(FIND(";"&amp;ER$10&amp;"+",$H61)),0,-VALUE(MID($H61,FIND(";"&amp;ER$10&amp;"+",$H61)+LEN(ER$10)+2,1))),
IF(AND(NT_Unstet,VLOOKUP($A61,ZAUBERWERTE,10,FALSE)&gt;="C"),-1,0),
IF(AND(NOT(EXACT($AF$241,"")),OR(DU$10&gt;$CO61,ISBLANK($CO61))),IF($CV$3,IF(ISERROR(FIND($AF$241,$BQ61)),0,1),(LEN($BQ61)-LEN(SUBSTITUTE($BQ61,$AF$241,"")))/LEN($AF$241)),0),
IF(AND(NOT(EXACT($AF$242,"")),OR(DU$10&gt;$CP61,ISBLANK($CP61))),IF($CV$3,IF(ISERROR(FIND($AF$242,$BQ61)),0,1),(LEN($BQ61)-LEN(SUBSTITUTE($BQ61,$AF$242,"")))/LEN($AF$242)),0),
IF(AND(NOT(EXACT($AF$243,"")),OR(DU$10&gt;$CQ61,ISBLANK($CQ61))),IF($CV$3,IF(ISERROR(FIND($AF$243,$BQ61)),0,1),(LEN($BQ61)-LEN(SUBSTITUTE($BQ61,$AF$243,"")))/LEN($AF$243)),0),
IF(AND(NOT(EXACT($AF$244,"")),OR(DU$10&gt;$CR61,ISBLANK($CR61))),IF($CV$3,IF(ISERROR(FIND($AF$244,$BQ61)),0,1),(LEN($BQ61)-LEN(SUBSTITUTE($BQ61,$AF$244,"")))/LEN($AF$244)),0),
IF(AND(NOT(EXACT($AF$245,"")),OR(DU$10&gt;$CS61,ISBLANK($CS61))),IF($CV$3,IF(ISERROR(FIND($AF$245,$BQ61)),0,1),(LEN($BQ61)-LEN(SUBSTITUTE($BQ61,$AF$245,"")))/LEN($AF$245)),0),
IF(AND(NOT(EXACT($AF$246,"")),OR(DU$10&gt;$CT61,ISBLANK($CT61))),IF($CV$3,IF(ISERROR(FIND($AF$246,$BQ61)),0,1),(LEN($BQ61)-LEN(SUBSTITUTE($BQ61,$AF$246,"")))/LEN($AF$246)),0),
IF(AND(NOT(EXACT($AF$247,"")),OR(DU$10&gt;$CU61,ISBLANK($CU61))),IF($CV$3,IF(ISERROR(FIND($AF$247,$BQ61)),0,1),(LEN($BQ61)-LEN(SUBSTITUTE($BQ61,$AF$247,"")))/LEN($AF$247)),0)
))</f>
        <v/>
      </c>
      <c r="ES61" s="164" t="str">
        <f t="shared" ref="ES61:ES92" ca="1" si="305">IF($A61="","",IF(VT_VRTLZBR,CODE("F")+1,CODE(VLOOKUP($A61,ZAUBERWERTE,10,FALSE)))-
SUM($BR61:$CA61,
IF(ISERR(FIND(";"&amp;ES$10&amp;";",$H61)),0,1),
IF(ISERR(FIND(";"&amp;ES$10&amp;":",$H61)),0,VALUE(MID($H61,FIND(";"&amp;ES$10&amp;":",$H61)+LEN(ES$10)+2,1))),
IF(ISERR(FIND(";"&amp;ES$10&amp;"+",$H61)),0,-VALUE(MID($H61,FIND(";"&amp;ES$10&amp;"+",$H61)+LEN(ES$10)+2,1))),
IF(AND(NT_Unstet,VLOOKUP($A61,ZAUBERWERTE,10,FALSE)&gt;="C"),-1,0),
IF(AND(NOT(EXACT($AF$241,"")),OR(DV$10&gt;$CO61,ISBLANK($CO61))),IF($CV$3,IF(ISERROR(FIND($AF$241,$BQ61)),0,1),(LEN($BQ61)-LEN(SUBSTITUTE($BQ61,$AF$241,"")))/LEN($AF$241)),0),
IF(AND(NOT(EXACT($AF$242,"")),OR(DV$10&gt;$CP61,ISBLANK($CP61))),IF($CV$3,IF(ISERROR(FIND($AF$242,$BQ61)),0,1),(LEN($BQ61)-LEN(SUBSTITUTE($BQ61,$AF$242,"")))/LEN($AF$242)),0),
IF(AND(NOT(EXACT($AF$243,"")),OR(DV$10&gt;$CQ61,ISBLANK($CQ61))),IF($CV$3,IF(ISERROR(FIND($AF$243,$BQ61)),0,1),(LEN($BQ61)-LEN(SUBSTITUTE($BQ61,$AF$243,"")))/LEN($AF$243)),0),
IF(AND(NOT(EXACT($AF$244,"")),OR(DV$10&gt;$CR61,ISBLANK($CR61))),IF($CV$3,IF(ISERROR(FIND($AF$244,$BQ61)),0,1),(LEN($BQ61)-LEN(SUBSTITUTE($BQ61,$AF$244,"")))/LEN($AF$244)),0),
IF(AND(NOT(EXACT($AF$245,"")),OR(DV$10&gt;$CS61,ISBLANK($CS61))),IF($CV$3,IF(ISERROR(FIND($AF$245,$BQ61)),0,1),(LEN($BQ61)-LEN(SUBSTITUTE($BQ61,$AF$245,"")))/LEN($AF$245)),0),
IF(AND(NOT(EXACT($AF$246,"")),OR(DV$10&gt;$CT61,ISBLANK($CT61))),IF($CV$3,IF(ISERROR(FIND($AF$246,$BQ61)),0,1),(LEN($BQ61)-LEN(SUBSTITUTE($BQ61,$AF$246,"")))/LEN($AF$246)),0),
IF(AND(NOT(EXACT($AF$247,"")),OR(DV$10&gt;$CU61,ISBLANK($CU61))),IF($CV$3,IF(ISERROR(FIND($AF$247,$BQ61)),0,1),(LEN($BQ61)-LEN(SUBSTITUTE($BQ61,$AF$247,"")))/LEN($AF$247)),0)
))</f>
        <v/>
      </c>
    </row>
    <row r="62" spans="1:149" x14ac:dyDescent="0.2">
      <c r="A62" s="89" t="str">
        <f t="shared" ref="A62:A93" ca="1" si="306">IF(MAGISCH,IF(NOT(EXACT(MID(BZALLE,SUM(LEN($CE61),1),2),"")),MID(BZALLE,SUM(LEN($CE61),1),SUM(FIND(",",BZALLE,SUM(LEN($CE61),1)),-LEN($CE61),-1)),""),"")</f>
        <v/>
      </c>
      <c r="B62" s="317" t="str">
        <f t="shared" ca="1" si="213"/>
        <v/>
      </c>
      <c r="C62" s="609" t="str">
        <f t="shared" ca="1" si="214"/>
        <v/>
      </c>
      <c r="D62" s="1956" t="str">
        <f t="shared" ca="1" si="215"/>
        <v/>
      </c>
      <c r="E62" s="1956"/>
      <c r="F62" s="960"/>
      <c r="G62" s="485" t="str">
        <f t="shared" ca="1" si="216"/>
        <v/>
      </c>
      <c r="H62" s="983"/>
      <c r="I62" s="486"/>
      <c r="J62" s="326"/>
      <c r="K62" s="1886" t="str">
        <f t="shared" ca="1" si="217"/>
        <v/>
      </c>
      <c r="L62" s="1888"/>
      <c r="M62" s="296" t="str">
        <f t="shared" ref="M62:M125" ca="1" si="307">IF(AND(OR(EXACT($B62,""),$B62=0),ISBLANK($F62),ISBLANK($J62)),"",SUM($B62,$F62,$J62))</f>
        <v/>
      </c>
      <c r="N62" s="1322"/>
      <c r="O62" s="1319"/>
      <c r="P62" s="957" t="str">
        <f t="shared" ca="1" si="218"/>
        <v/>
      </c>
      <c r="Q62" s="164">
        <f t="shared" si="219"/>
        <v>0</v>
      </c>
      <c r="R62" s="164">
        <f t="shared" ca="1" si="220"/>
        <v>0</v>
      </c>
      <c r="S62" s="164">
        <f t="shared" ca="1" si="221"/>
        <v>0</v>
      </c>
      <c r="T62" s="164">
        <f t="shared" ca="1" si="222"/>
        <v>0</v>
      </c>
      <c r="U62" s="164">
        <f t="shared" ca="1" si="223"/>
        <v>0</v>
      </c>
      <c r="V62" s="164">
        <f t="shared" ca="1" si="224"/>
        <v>0</v>
      </c>
      <c r="W62" s="164">
        <f t="shared" ca="1" si="225"/>
        <v>0</v>
      </c>
      <c r="X62" s="164">
        <f t="shared" ca="1" si="226"/>
        <v>0</v>
      </c>
      <c r="Y62" s="164">
        <f t="shared" ca="1" si="227"/>
        <v>0</v>
      </c>
      <c r="Z62" s="164">
        <f t="shared" ca="1" si="228"/>
        <v>0</v>
      </c>
      <c r="AA62" s="164">
        <f t="shared" ca="1" si="229"/>
        <v>0</v>
      </c>
      <c r="AB62" s="164">
        <f t="shared" ca="1" si="230"/>
        <v>0</v>
      </c>
      <c r="AC62" s="164">
        <f t="shared" ca="1" si="231"/>
        <v>0</v>
      </c>
      <c r="AD62" s="164">
        <f t="shared" ca="1" si="232"/>
        <v>0</v>
      </c>
      <c r="AE62" s="164">
        <f t="shared" ca="1" si="233"/>
        <v>0</v>
      </c>
      <c r="AF62" s="164">
        <f t="shared" ca="1" si="234"/>
        <v>0</v>
      </c>
      <c r="AG62" s="164">
        <f t="shared" ca="1" si="235"/>
        <v>0</v>
      </c>
      <c r="AH62" s="164">
        <f t="shared" ca="1" si="236"/>
        <v>0</v>
      </c>
      <c r="AI62" s="164">
        <f t="shared" ca="1" si="237"/>
        <v>0</v>
      </c>
      <c r="AJ62" s="164">
        <f t="shared" ca="1" si="238"/>
        <v>0</v>
      </c>
      <c r="AK62" s="164">
        <f t="shared" ca="1" si="239"/>
        <v>0</v>
      </c>
      <c r="AL62" s="164">
        <f t="shared" ca="1" si="240"/>
        <v>0</v>
      </c>
      <c r="AM62" s="208"/>
      <c r="AN62" s="164">
        <f t="shared" si="241"/>
        <v>0</v>
      </c>
      <c r="AO62" s="164">
        <f t="shared" ca="1" si="242"/>
        <v>0</v>
      </c>
      <c r="AP62" s="164">
        <f t="shared" ca="1" si="243"/>
        <v>0</v>
      </c>
      <c r="AQ62" s="164">
        <f t="shared" ca="1" si="244"/>
        <v>0</v>
      </c>
      <c r="AR62" s="164">
        <f t="shared" ca="1" si="245"/>
        <v>0</v>
      </c>
      <c r="AS62" s="164">
        <f t="shared" ca="1" si="246"/>
        <v>0</v>
      </c>
      <c r="AT62" s="164">
        <f t="shared" ca="1" si="247"/>
        <v>0</v>
      </c>
      <c r="AU62" s="164">
        <f t="shared" ca="1" si="248"/>
        <v>0</v>
      </c>
      <c r="AV62" s="164">
        <f t="shared" ca="1" si="249"/>
        <v>0</v>
      </c>
      <c r="AW62" s="164">
        <f t="shared" ca="1" si="250"/>
        <v>0</v>
      </c>
      <c r="AX62" s="164">
        <f t="shared" ca="1" si="251"/>
        <v>0</v>
      </c>
      <c r="AY62" s="164">
        <f t="shared" ca="1" si="252"/>
        <v>0</v>
      </c>
      <c r="AZ62" s="164">
        <f t="shared" ca="1" si="253"/>
        <v>0</v>
      </c>
      <c r="BA62" s="164">
        <f t="shared" ca="1" si="254"/>
        <v>0</v>
      </c>
      <c r="BB62" s="164">
        <f t="shared" ca="1" si="255"/>
        <v>0</v>
      </c>
      <c r="BC62" s="164">
        <f t="shared" ca="1" si="256"/>
        <v>0</v>
      </c>
      <c r="BD62" s="164">
        <f t="shared" ca="1" si="257"/>
        <v>0</v>
      </c>
      <c r="BE62" s="164">
        <f t="shared" ca="1" si="258"/>
        <v>0</v>
      </c>
      <c r="BF62" s="164">
        <f t="shared" ca="1" si="259"/>
        <v>0</v>
      </c>
      <c r="BG62" s="164">
        <f t="shared" ca="1" si="260"/>
        <v>0</v>
      </c>
      <c r="BH62" s="164">
        <f t="shared" ca="1" si="261"/>
        <v>0</v>
      </c>
      <c r="BI62" s="164">
        <f t="shared" ca="1" si="262"/>
        <v>0</v>
      </c>
      <c r="BJ62" s="164">
        <f t="shared" ca="1" si="263"/>
        <v>0</v>
      </c>
      <c r="BK62" s="164">
        <f t="shared" ca="1" si="264"/>
        <v>0</v>
      </c>
      <c r="BL62" s="164">
        <f t="shared" ca="1" si="265"/>
        <v>0</v>
      </c>
      <c r="BM62" s="164">
        <f t="shared" ca="1" si="266"/>
        <v>0</v>
      </c>
      <c r="BN62" s="164">
        <f t="shared" ca="1" si="267"/>
        <v>0</v>
      </c>
      <c r="BO62" s="356" t="str">
        <f t="shared" ca="1" si="268"/>
        <v/>
      </c>
      <c r="BP62" s="355" t="str">
        <f t="shared" ca="1" si="269"/>
        <v/>
      </c>
      <c r="BQ62" s="355" t="str">
        <f t="shared" ca="1" si="270"/>
        <v/>
      </c>
      <c r="BR62" s="348">
        <f t="shared" ca="1" si="93"/>
        <v>0</v>
      </c>
      <c r="BS62" s="348">
        <f t="shared" ca="1" si="94"/>
        <v>0</v>
      </c>
      <c r="BT62" s="610">
        <f t="shared" ca="1" si="271"/>
        <v>0</v>
      </c>
      <c r="BU62" s="357">
        <f t="shared" ca="1" si="272"/>
        <v>0</v>
      </c>
      <c r="BV62" s="357">
        <f t="shared" si="273"/>
        <v>0</v>
      </c>
      <c r="BW62" s="357">
        <f t="shared" si="274"/>
        <v>0</v>
      </c>
      <c r="BX62" s="357">
        <f t="shared" ca="1" si="275"/>
        <v>0</v>
      </c>
      <c r="BY62" s="357">
        <f t="shared" ca="1" si="95"/>
        <v>0</v>
      </c>
      <c r="BZ62" s="357"/>
      <c r="CA62" s="357">
        <f t="shared" ca="1" si="96"/>
        <v>0</v>
      </c>
      <c r="CB62" s="357" t="str">
        <f t="shared" ca="1" si="276"/>
        <v/>
      </c>
      <c r="CC62" s="358" t="str">
        <f t="shared" ca="1" si="97"/>
        <v/>
      </c>
      <c r="CD62" s="358" t="str">
        <f t="shared" ca="1" si="98"/>
        <v/>
      </c>
      <c r="CE62" s="357" t="str">
        <f t="shared" ref="CE62:CE93" ca="1" si="308">CONCATENATE($CE61,$A62,",")</f>
        <v>,,</v>
      </c>
      <c r="CF62" s="154" t="str">
        <f t="shared" ref="CF62:CF76" si="309">IF(OR(NOT(EXACT($F62,"")),NOT(EXACT($J62,""))),CONCATENATE(CF61,A62,","),CF61)</f>
        <v/>
      </c>
      <c r="CG62" s="154">
        <f t="shared" ca="1" si="100"/>
        <v>0</v>
      </c>
      <c r="CH62" s="154"/>
      <c r="CI62" s="154"/>
      <c r="CJ62" s="154"/>
      <c r="CK62" s="154"/>
      <c r="CL62" s="154"/>
      <c r="CM62" s="154"/>
      <c r="CN62" t="s">
        <v>784</v>
      </c>
      <c r="CO62" s="169"/>
      <c r="CP62" s="169"/>
      <c r="CQ62" s="169"/>
      <c r="CR62" s="169"/>
      <c r="CS62" s="169"/>
      <c r="CT62" s="169"/>
      <c r="CU62" s="169"/>
      <c r="CV62" s="164" t="str">
        <f t="shared" ca="1" si="277"/>
        <v/>
      </c>
      <c r="CW62" s="164" t="str">
        <f t="shared" ca="1" si="277"/>
        <v/>
      </c>
      <c r="CX62" s="164" t="str">
        <f t="shared" ca="1" si="277"/>
        <v/>
      </c>
      <c r="CY62" s="164" t="str">
        <f t="shared" ca="1" si="277"/>
        <v/>
      </c>
      <c r="CZ62" s="164" t="str">
        <f t="shared" ca="1" si="277"/>
        <v/>
      </c>
      <c r="DA62" s="164" t="str">
        <f t="shared" ca="1" si="277"/>
        <v/>
      </c>
      <c r="DB62" s="164" t="str">
        <f t="shared" ca="1" si="277"/>
        <v/>
      </c>
      <c r="DC62" s="164" t="str">
        <f t="shared" ca="1" si="277"/>
        <v/>
      </c>
      <c r="DD62" s="164" t="str">
        <f t="shared" ca="1" si="277"/>
        <v/>
      </c>
      <c r="DE62" s="164" t="str">
        <f t="shared" ca="1" si="277"/>
        <v/>
      </c>
      <c r="DF62" s="164" t="str">
        <f t="shared" ca="1" si="278"/>
        <v/>
      </c>
      <c r="DG62" s="164" t="str">
        <f t="shared" ca="1" si="278"/>
        <v/>
      </c>
      <c r="DH62" s="164" t="str">
        <f t="shared" ca="1" si="278"/>
        <v/>
      </c>
      <c r="DI62" s="164" t="str">
        <f t="shared" ca="1" si="278"/>
        <v/>
      </c>
      <c r="DJ62" s="164" t="str">
        <f t="shared" ca="1" si="278"/>
        <v/>
      </c>
      <c r="DK62" s="164" t="str">
        <f t="shared" ca="1" si="278"/>
        <v/>
      </c>
      <c r="DL62" s="164" t="str">
        <f t="shared" ca="1" si="278"/>
        <v/>
      </c>
      <c r="DM62" s="164" t="str">
        <f t="shared" ca="1" si="278"/>
        <v/>
      </c>
      <c r="DN62" s="164" t="str">
        <f t="shared" ca="1" si="278"/>
        <v/>
      </c>
      <c r="DO62" s="164" t="str">
        <f t="shared" ca="1" si="278"/>
        <v/>
      </c>
      <c r="DP62" s="164" t="str">
        <f t="shared" ca="1" si="278"/>
        <v/>
      </c>
      <c r="DQ62" s="164" t="str">
        <f t="shared" ca="1" si="278"/>
        <v/>
      </c>
      <c r="DR62" s="208"/>
      <c r="DS62" s="164" t="str">
        <f t="shared" ca="1" si="279"/>
        <v/>
      </c>
      <c r="DT62" s="164" t="str">
        <f t="shared" ca="1" si="280"/>
        <v/>
      </c>
      <c r="DU62" s="164" t="str">
        <f t="shared" ca="1" si="281"/>
        <v/>
      </c>
      <c r="DV62" s="164" t="str">
        <f t="shared" ca="1" si="282"/>
        <v/>
      </c>
      <c r="DW62" s="164" t="str">
        <f t="shared" ca="1" si="283"/>
        <v/>
      </c>
      <c r="DX62" s="164" t="str">
        <f t="shared" ca="1" si="284"/>
        <v/>
      </c>
      <c r="DY62" s="164" t="str">
        <f t="shared" ca="1" si="285"/>
        <v/>
      </c>
      <c r="DZ62" s="164" t="str">
        <f t="shared" ca="1" si="286"/>
        <v/>
      </c>
      <c r="EA62" s="164" t="str">
        <f t="shared" ca="1" si="287"/>
        <v/>
      </c>
      <c r="EB62" s="164" t="str">
        <f t="shared" ca="1" si="288"/>
        <v/>
      </c>
      <c r="EC62" s="164" t="str">
        <f t="shared" ca="1" si="289"/>
        <v/>
      </c>
      <c r="ED62" s="164" t="str">
        <f t="shared" ca="1" si="290"/>
        <v/>
      </c>
      <c r="EE62" s="164" t="str">
        <f t="shared" ca="1" si="291"/>
        <v/>
      </c>
      <c r="EF62" s="164" t="str">
        <f t="shared" ca="1" si="292"/>
        <v/>
      </c>
      <c r="EG62" s="164" t="str">
        <f t="shared" ca="1" si="293"/>
        <v/>
      </c>
      <c r="EH62" s="164" t="str">
        <f t="shared" ca="1" si="294"/>
        <v/>
      </c>
      <c r="EI62" s="164" t="str">
        <f t="shared" ca="1" si="295"/>
        <v/>
      </c>
      <c r="EJ62" s="164" t="str">
        <f t="shared" ca="1" si="296"/>
        <v/>
      </c>
      <c r="EK62" s="164" t="str">
        <f t="shared" ca="1" si="297"/>
        <v/>
      </c>
      <c r="EL62" s="164" t="str">
        <f t="shared" ca="1" si="298"/>
        <v/>
      </c>
      <c r="EM62" s="164" t="str">
        <f t="shared" ca="1" si="299"/>
        <v/>
      </c>
      <c r="EN62" s="164" t="str">
        <f t="shared" ca="1" si="300"/>
        <v/>
      </c>
      <c r="EO62" s="164" t="str">
        <f t="shared" ca="1" si="301"/>
        <v/>
      </c>
      <c r="EP62" s="164" t="str">
        <f t="shared" ca="1" si="302"/>
        <v/>
      </c>
      <c r="EQ62" s="164" t="str">
        <f t="shared" ca="1" si="303"/>
        <v/>
      </c>
      <c r="ER62" s="164" t="str">
        <f t="shared" ca="1" si="304"/>
        <v/>
      </c>
      <c r="ES62" s="164" t="str">
        <f t="shared" ca="1" si="305"/>
        <v/>
      </c>
    </row>
    <row r="63" spans="1:149" x14ac:dyDescent="0.2">
      <c r="A63" s="89" t="str">
        <f t="shared" ca="1" si="306"/>
        <v/>
      </c>
      <c r="B63" s="317" t="str">
        <f t="shared" ca="1" si="213"/>
        <v/>
      </c>
      <c r="C63" s="609" t="str">
        <f t="shared" ca="1" si="214"/>
        <v/>
      </c>
      <c r="D63" s="1956" t="str">
        <f t="shared" ca="1" si="215"/>
        <v/>
      </c>
      <c r="E63" s="1956"/>
      <c r="F63" s="960"/>
      <c r="G63" s="485" t="str">
        <f t="shared" ca="1" si="216"/>
        <v/>
      </c>
      <c r="H63" s="983"/>
      <c r="I63" s="486"/>
      <c r="J63" s="326"/>
      <c r="K63" s="1886" t="str">
        <f t="shared" ca="1" si="217"/>
        <v/>
      </c>
      <c r="L63" s="1888"/>
      <c r="M63" s="296" t="str">
        <f t="shared" ca="1" si="307"/>
        <v/>
      </c>
      <c r="N63" s="1322"/>
      <c r="O63" s="1319"/>
      <c r="P63" s="957" t="str">
        <f t="shared" ca="1" si="218"/>
        <v/>
      </c>
      <c r="Q63" s="164">
        <f t="shared" si="219"/>
        <v>0</v>
      </c>
      <c r="R63" s="164">
        <f t="shared" ca="1" si="220"/>
        <v>0</v>
      </c>
      <c r="S63" s="164">
        <f t="shared" ca="1" si="221"/>
        <v>0</v>
      </c>
      <c r="T63" s="164">
        <f t="shared" ca="1" si="222"/>
        <v>0</v>
      </c>
      <c r="U63" s="164">
        <f t="shared" ca="1" si="223"/>
        <v>0</v>
      </c>
      <c r="V63" s="164">
        <f t="shared" ca="1" si="224"/>
        <v>0</v>
      </c>
      <c r="W63" s="164">
        <f t="shared" ca="1" si="225"/>
        <v>0</v>
      </c>
      <c r="X63" s="164">
        <f t="shared" ca="1" si="226"/>
        <v>0</v>
      </c>
      <c r="Y63" s="164">
        <f t="shared" ca="1" si="227"/>
        <v>0</v>
      </c>
      <c r="Z63" s="164">
        <f t="shared" ca="1" si="228"/>
        <v>0</v>
      </c>
      <c r="AA63" s="164">
        <f t="shared" ca="1" si="229"/>
        <v>0</v>
      </c>
      <c r="AB63" s="164">
        <f t="shared" ca="1" si="230"/>
        <v>0</v>
      </c>
      <c r="AC63" s="164">
        <f t="shared" ca="1" si="231"/>
        <v>0</v>
      </c>
      <c r="AD63" s="164">
        <f t="shared" ca="1" si="232"/>
        <v>0</v>
      </c>
      <c r="AE63" s="164">
        <f t="shared" ca="1" si="233"/>
        <v>0</v>
      </c>
      <c r="AF63" s="164">
        <f t="shared" ca="1" si="234"/>
        <v>0</v>
      </c>
      <c r="AG63" s="164">
        <f t="shared" ca="1" si="235"/>
        <v>0</v>
      </c>
      <c r="AH63" s="164">
        <f t="shared" ca="1" si="236"/>
        <v>0</v>
      </c>
      <c r="AI63" s="164">
        <f t="shared" ca="1" si="237"/>
        <v>0</v>
      </c>
      <c r="AJ63" s="164">
        <f t="shared" ca="1" si="238"/>
        <v>0</v>
      </c>
      <c r="AK63" s="164">
        <f t="shared" ca="1" si="239"/>
        <v>0</v>
      </c>
      <c r="AL63" s="164">
        <f t="shared" ca="1" si="240"/>
        <v>0</v>
      </c>
      <c r="AM63" s="208"/>
      <c r="AN63" s="164">
        <f t="shared" si="241"/>
        <v>0</v>
      </c>
      <c r="AO63" s="164">
        <f t="shared" ca="1" si="242"/>
        <v>0</v>
      </c>
      <c r="AP63" s="164">
        <f t="shared" ca="1" si="243"/>
        <v>0</v>
      </c>
      <c r="AQ63" s="164">
        <f t="shared" ca="1" si="244"/>
        <v>0</v>
      </c>
      <c r="AR63" s="164">
        <f t="shared" ca="1" si="245"/>
        <v>0</v>
      </c>
      <c r="AS63" s="164">
        <f t="shared" ca="1" si="246"/>
        <v>0</v>
      </c>
      <c r="AT63" s="164">
        <f t="shared" ca="1" si="247"/>
        <v>0</v>
      </c>
      <c r="AU63" s="164">
        <f t="shared" ca="1" si="248"/>
        <v>0</v>
      </c>
      <c r="AV63" s="164">
        <f t="shared" ca="1" si="249"/>
        <v>0</v>
      </c>
      <c r="AW63" s="164">
        <f t="shared" ca="1" si="250"/>
        <v>0</v>
      </c>
      <c r="AX63" s="164">
        <f t="shared" ca="1" si="251"/>
        <v>0</v>
      </c>
      <c r="AY63" s="164">
        <f t="shared" ca="1" si="252"/>
        <v>0</v>
      </c>
      <c r="AZ63" s="164">
        <f t="shared" ca="1" si="253"/>
        <v>0</v>
      </c>
      <c r="BA63" s="164">
        <f t="shared" ca="1" si="254"/>
        <v>0</v>
      </c>
      <c r="BB63" s="164">
        <f t="shared" ca="1" si="255"/>
        <v>0</v>
      </c>
      <c r="BC63" s="164">
        <f t="shared" ca="1" si="256"/>
        <v>0</v>
      </c>
      <c r="BD63" s="164">
        <f t="shared" ca="1" si="257"/>
        <v>0</v>
      </c>
      <c r="BE63" s="164">
        <f t="shared" ca="1" si="258"/>
        <v>0</v>
      </c>
      <c r="BF63" s="164">
        <f t="shared" ca="1" si="259"/>
        <v>0</v>
      </c>
      <c r="BG63" s="164">
        <f t="shared" ca="1" si="260"/>
        <v>0</v>
      </c>
      <c r="BH63" s="164">
        <f t="shared" ca="1" si="261"/>
        <v>0</v>
      </c>
      <c r="BI63" s="164">
        <f t="shared" ca="1" si="262"/>
        <v>0</v>
      </c>
      <c r="BJ63" s="164">
        <f t="shared" ca="1" si="263"/>
        <v>0</v>
      </c>
      <c r="BK63" s="164">
        <f t="shared" ca="1" si="264"/>
        <v>0</v>
      </c>
      <c r="BL63" s="164">
        <f t="shared" ca="1" si="265"/>
        <v>0</v>
      </c>
      <c r="BM63" s="164">
        <f t="shared" ca="1" si="266"/>
        <v>0</v>
      </c>
      <c r="BN63" s="164">
        <f t="shared" ca="1" si="267"/>
        <v>0</v>
      </c>
      <c r="BO63" s="356" t="str">
        <f t="shared" ca="1" si="268"/>
        <v/>
      </c>
      <c r="BP63" s="355" t="str">
        <f t="shared" ca="1" si="269"/>
        <v/>
      </c>
      <c r="BQ63" s="355" t="str">
        <f t="shared" ca="1" si="270"/>
        <v/>
      </c>
      <c r="BR63" s="348">
        <f t="shared" ca="1" si="93"/>
        <v>0</v>
      </c>
      <c r="BS63" s="348">
        <f t="shared" ca="1" si="94"/>
        <v>0</v>
      </c>
      <c r="BT63" s="610">
        <f t="shared" ca="1" si="271"/>
        <v>0</v>
      </c>
      <c r="BU63" s="357">
        <f t="shared" ca="1" si="272"/>
        <v>0</v>
      </c>
      <c r="BV63" s="357">
        <f t="shared" si="273"/>
        <v>0</v>
      </c>
      <c r="BW63" s="357">
        <f t="shared" si="274"/>
        <v>0</v>
      </c>
      <c r="BX63" s="357">
        <f t="shared" ca="1" si="275"/>
        <v>0</v>
      </c>
      <c r="BY63" s="357">
        <f t="shared" ca="1" si="95"/>
        <v>0</v>
      </c>
      <c r="BZ63" s="357"/>
      <c r="CA63" s="357">
        <f t="shared" ca="1" si="96"/>
        <v>0</v>
      </c>
      <c r="CB63" s="357" t="str">
        <f t="shared" ca="1" si="276"/>
        <v/>
      </c>
      <c r="CC63" s="358" t="str">
        <f t="shared" ca="1" si="97"/>
        <v/>
      </c>
      <c r="CD63" s="358" t="str">
        <f t="shared" ca="1" si="98"/>
        <v/>
      </c>
      <c r="CE63" s="357" t="str">
        <f t="shared" ca="1" si="308"/>
        <v>,,,</v>
      </c>
      <c r="CF63" s="154" t="str">
        <f t="shared" si="309"/>
        <v/>
      </c>
      <c r="CG63" s="154">
        <f t="shared" ca="1" si="100"/>
        <v>0</v>
      </c>
      <c r="CH63" s="154"/>
      <c r="CI63" s="154"/>
      <c r="CJ63" s="154"/>
      <c r="CK63" s="154"/>
      <c r="CL63" s="154"/>
      <c r="CM63" s="154"/>
      <c r="CN63" t="s">
        <v>784</v>
      </c>
      <c r="CO63" s="169"/>
      <c r="CP63" s="169"/>
      <c r="CQ63" s="169"/>
      <c r="CR63" s="169"/>
      <c r="CS63" s="169"/>
      <c r="CT63" s="169"/>
      <c r="CU63" s="169"/>
      <c r="CV63" s="164" t="str">
        <f t="shared" ca="1" si="277"/>
        <v/>
      </c>
      <c r="CW63" s="164" t="str">
        <f t="shared" ca="1" si="277"/>
        <v/>
      </c>
      <c r="CX63" s="164" t="str">
        <f t="shared" ca="1" si="277"/>
        <v/>
      </c>
      <c r="CY63" s="164" t="str">
        <f t="shared" ca="1" si="277"/>
        <v/>
      </c>
      <c r="CZ63" s="164" t="str">
        <f t="shared" ca="1" si="277"/>
        <v/>
      </c>
      <c r="DA63" s="164" t="str">
        <f t="shared" ca="1" si="277"/>
        <v/>
      </c>
      <c r="DB63" s="164" t="str">
        <f t="shared" ca="1" si="277"/>
        <v/>
      </c>
      <c r="DC63" s="164" t="str">
        <f t="shared" ca="1" si="277"/>
        <v/>
      </c>
      <c r="DD63" s="164" t="str">
        <f t="shared" ca="1" si="277"/>
        <v/>
      </c>
      <c r="DE63" s="164" t="str">
        <f t="shared" ca="1" si="277"/>
        <v/>
      </c>
      <c r="DF63" s="164" t="str">
        <f t="shared" ca="1" si="278"/>
        <v/>
      </c>
      <c r="DG63" s="164" t="str">
        <f t="shared" ca="1" si="278"/>
        <v/>
      </c>
      <c r="DH63" s="164" t="str">
        <f t="shared" ca="1" si="278"/>
        <v/>
      </c>
      <c r="DI63" s="164" t="str">
        <f t="shared" ca="1" si="278"/>
        <v/>
      </c>
      <c r="DJ63" s="164" t="str">
        <f t="shared" ca="1" si="278"/>
        <v/>
      </c>
      <c r="DK63" s="164" t="str">
        <f t="shared" ca="1" si="278"/>
        <v/>
      </c>
      <c r="DL63" s="164" t="str">
        <f t="shared" ca="1" si="278"/>
        <v/>
      </c>
      <c r="DM63" s="164" t="str">
        <f t="shared" ca="1" si="278"/>
        <v/>
      </c>
      <c r="DN63" s="164" t="str">
        <f t="shared" ca="1" si="278"/>
        <v/>
      </c>
      <c r="DO63" s="164" t="str">
        <f t="shared" ca="1" si="278"/>
        <v/>
      </c>
      <c r="DP63" s="164" t="str">
        <f t="shared" ca="1" si="278"/>
        <v/>
      </c>
      <c r="DQ63" s="164" t="str">
        <f t="shared" ca="1" si="278"/>
        <v/>
      </c>
      <c r="DR63" s="208"/>
      <c r="DS63" s="164" t="str">
        <f t="shared" ca="1" si="279"/>
        <v/>
      </c>
      <c r="DT63" s="164" t="str">
        <f t="shared" ca="1" si="280"/>
        <v/>
      </c>
      <c r="DU63" s="164" t="str">
        <f t="shared" ca="1" si="281"/>
        <v/>
      </c>
      <c r="DV63" s="164" t="str">
        <f t="shared" ca="1" si="282"/>
        <v/>
      </c>
      <c r="DW63" s="164" t="str">
        <f t="shared" ca="1" si="283"/>
        <v/>
      </c>
      <c r="DX63" s="164" t="str">
        <f t="shared" ca="1" si="284"/>
        <v/>
      </c>
      <c r="DY63" s="164" t="str">
        <f t="shared" ca="1" si="285"/>
        <v/>
      </c>
      <c r="DZ63" s="164" t="str">
        <f t="shared" ca="1" si="286"/>
        <v/>
      </c>
      <c r="EA63" s="164" t="str">
        <f t="shared" ca="1" si="287"/>
        <v/>
      </c>
      <c r="EB63" s="164" t="str">
        <f t="shared" ca="1" si="288"/>
        <v/>
      </c>
      <c r="EC63" s="164" t="str">
        <f t="shared" ca="1" si="289"/>
        <v/>
      </c>
      <c r="ED63" s="164" t="str">
        <f t="shared" ca="1" si="290"/>
        <v/>
      </c>
      <c r="EE63" s="164" t="str">
        <f t="shared" ca="1" si="291"/>
        <v/>
      </c>
      <c r="EF63" s="164" t="str">
        <f t="shared" ca="1" si="292"/>
        <v/>
      </c>
      <c r="EG63" s="164" t="str">
        <f t="shared" ca="1" si="293"/>
        <v/>
      </c>
      <c r="EH63" s="164" t="str">
        <f t="shared" ca="1" si="294"/>
        <v/>
      </c>
      <c r="EI63" s="164" t="str">
        <f t="shared" ca="1" si="295"/>
        <v/>
      </c>
      <c r="EJ63" s="164" t="str">
        <f t="shared" ca="1" si="296"/>
        <v/>
      </c>
      <c r="EK63" s="164" t="str">
        <f t="shared" ca="1" si="297"/>
        <v/>
      </c>
      <c r="EL63" s="164" t="str">
        <f t="shared" ca="1" si="298"/>
        <v/>
      </c>
      <c r="EM63" s="164" t="str">
        <f t="shared" ca="1" si="299"/>
        <v/>
      </c>
      <c r="EN63" s="164" t="str">
        <f t="shared" ca="1" si="300"/>
        <v/>
      </c>
      <c r="EO63" s="164" t="str">
        <f t="shared" ca="1" si="301"/>
        <v/>
      </c>
      <c r="EP63" s="164" t="str">
        <f t="shared" ca="1" si="302"/>
        <v/>
      </c>
      <c r="EQ63" s="164" t="str">
        <f t="shared" ca="1" si="303"/>
        <v/>
      </c>
      <c r="ER63" s="164" t="str">
        <f t="shared" ca="1" si="304"/>
        <v/>
      </c>
      <c r="ES63" s="164" t="str">
        <f t="shared" ca="1" si="305"/>
        <v/>
      </c>
    </row>
    <row r="64" spans="1:149" x14ac:dyDescent="0.2">
      <c r="A64" s="89" t="str">
        <f t="shared" ca="1" si="306"/>
        <v/>
      </c>
      <c r="B64" s="317" t="str">
        <f t="shared" ca="1" si="213"/>
        <v/>
      </c>
      <c r="C64" s="609" t="str">
        <f t="shared" ca="1" si="214"/>
        <v/>
      </c>
      <c r="D64" s="1956" t="str">
        <f t="shared" ca="1" si="215"/>
        <v/>
      </c>
      <c r="E64" s="1956"/>
      <c r="F64" s="960"/>
      <c r="G64" s="485" t="str">
        <f t="shared" ca="1" si="216"/>
        <v/>
      </c>
      <c r="H64" s="983"/>
      <c r="I64" s="486"/>
      <c r="J64" s="326"/>
      <c r="K64" s="1886" t="str">
        <f t="shared" ca="1" si="217"/>
        <v/>
      </c>
      <c r="L64" s="1888"/>
      <c r="M64" s="296" t="str">
        <f t="shared" ca="1" si="307"/>
        <v/>
      </c>
      <c r="N64" s="1321"/>
      <c r="O64" s="1319"/>
      <c r="P64" s="957" t="str">
        <f t="shared" ca="1" si="218"/>
        <v/>
      </c>
      <c r="Q64" s="164">
        <f t="shared" si="219"/>
        <v>0</v>
      </c>
      <c r="R64" s="164">
        <f t="shared" ca="1" si="220"/>
        <v>0</v>
      </c>
      <c r="S64" s="164">
        <f t="shared" ca="1" si="221"/>
        <v>0</v>
      </c>
      <c r="T64" s="164">
        <f t="shared" ca="1" si="222"/>
        <v>0</v>
      </c>
      <c r="U64" s="164">
        <f t="shared" ca="1" si="223"/>
        <v>0</v>
      </c>
      <c r="V64" s="164">
        <f t="shared" ca="1" si="224"/>
        <v>0</v>
      </c>
      <c r="W64" s="164">
        <f t="shared" ca="1" si="225"/>
        <v>0</v>
      </c>
      <c r="X64" s="164">
        <f t="shared" ca="1" si="226"/>
        <v>0</v>
      </c>
      <c r="Y64" s="164">
        <f t="shared" ca="1" si="227"/>
        <v>0</v>
      </c>
      <c r="Z64" s="164">
        <f t="shared" ca="1" si="228"/>
        <v>0</v>
      </c>
      <c r="AA64" s="164">
        <f t="shared" ca="1" si="229"/>
        <v>0</v>
      </c>
      <c r="AB64" s="164">
        <f t="shared" ca="1" si="230"/>
        <v>0</v>
      </c>
      <c r="AC64" s="164">
        <f t="shared" ca="1" si="231"/>
        <v>0</v>
      </c>
      <c r="AD64" s="164">
        <f t="shared" ca="1" si="232"/>
        <v>0</v>
      </c>
      <c r="AE64" s="164">
        <f t="shared" ca="1" si="233"/>
        <v>0</v>
      </c>
      <c r="AF64" s="164">
        <f t="shared" ca="1" si="234"/>
        <v>0</v>
      </c>
      <c r="AG64" s="164">
        <f t="shared" ca="1" si="235"/>
        <v>0</v>
      </c>
      <c r="AH64" s="164">
        <f t="shared" ca="1" si="236"/>
        <v>0</v>
      </c>
      <c r="AI64" s="164">
        <f t="shared" ca="1" si="237"/>
        <v>0</v>
      </c>
      <c r="AJ64" s="164">
        <f t="shared" ca="1" si="238"/>
        <v>0</v>
      </c>
      <c r="AK64" s="164">
        <f t="shared" ca="1" si="239"/>
        <v>0</v>
      </c>
      <c r="AL64" s="164">
        <f t="shared" ca="1" si="240"/>
        <v>0</v>
      </c>
      <c r="AM64" s="208"/>
      <c r="AN64" s="164">
        <f t="shared" si="241"/>
        <v>0</v>
      </c>
      <c r="AO64" s="164">
        <f t="shared" ca="1" si="242"/>
        <v>0</v>
      </c>
      <c r="AP64" s="164">
        <f t="shared" ca="1" si="243"/>
        <v>0</v>
      </c>
      <c r="AQ64" s="164">
        <f t="shared" ca="1" si="244"/>
        <v>0</v>
      </c>
      <c r="AR64" s="164">
        <f t="shared" ca="1" si="245"/>
        <v>0</v>
      </c>
      <c r="AS64" s="164">
        <f t="shared" ca="1" si="246"/>
        <v>0</v>
      </c>
      <c r="AT64" s="164">
        <f t="shared" ca="1" si="247"/>
        <v>0</v>
      </c>
      <c r="AU64" s="164">
        <f t="shared" ca="1" si="248"/>
        <v>0</v>
      </c>
      <c r="AV64" s="164">
        <f t="shared" ca="1" si="249"/>
        <v>0</v>
      </c>
      <c r="AW64" s="164">
        <f t="shared" ca="1" si="250"/>
        <v>0</v>
      </c>
      <c r="AX64" s="164">
        <f t="shared" ca="1" si="251"/>
        <v>0</v>
      </c>
      <c r="AY64" s="164">
        <f t="shared" ca="1" si="252"/>
        <v>0</v>
      </c>
      <c r="AZ64" s="164">
        <f t="shared" ca="1" si="253"/>
        <v>0</v>
      </c>
      <c r="BA64" s="164">
        <f t="shared" ca="1" si="254"/>
        <v>0</v>
      </c>
      <c r="BB64" s="164">
        <f t="shared" ca="1" si="255"/>
        <v>0</v>
      </c>
      <c r="BC64" s="164">
        <f t="shared" ca="1" si="256"/>
        <v>0</v>
      </c>
      <c r="BD64" s="164">
        <f t="shared" ca="1" si="257"/>
        <v>0</v>
      </c>
      <c r="BE64" s="164">
        <f t="shared" ca="1" si="258"/>
        <v>0</v>
      </c>
      <c r="BF64" s="164">
        <f t="shared" ca="1" si="259"/>
        <v>0</v>
      </c>
      <c r="BG64" s="164">
        <f t="shared" ca="1" si="260"/>
        <v>0</v>
      </c>
      <c r="BH64" s="164">
        <f t="shared" ca="1" si="261"/>
        <v>0</v>
      </c>
      <c r="BI64" s="164">
        <f t="shared" ca="1" si="262"/>
        <v>0</v>
      </c>
      <c r="BJ64" s="164">
        <f t="shared" ca="1" si="263"/>
        <v>0</v>
      </c>
      <c r="BK64" s="164">
        <f t="shared" ca="1" si="264"/>
        <v>0</v>
      </c>
      <c r="BL64" s="164">
        <f t="shared" ca="1" si="265"/>
        <v>0</v>
      </c>
      <c r="BM64" s="164">
        <f t="shared" ca="1" si="266"/>
        <v>0</v>
      </c>
      <c r="BN64" s="164">
        <f t="shared" ca="1" si="267"/>
        <v>0</v>
      </c>
      <c r="BO64" s="356" t="str">
        <f t="shared" ca="1" si="268"/>
        <v/>
      </c>
      <c r="BP64" s="355" t="str">
        <f t="shared" ca="1" si="269"/>
        <v/>
      </c>
      <c r="BQ64" s="355" t="str">
        <f t="shared" ca="1" si="270"/>
        <v/>
      </c>
      <c r="BR64" s="348">
        <f t="shared" ca="1" si="93"/>
        <v>0</v>
      </c>
      <c r="BS64" s="348">
        <f t="shared" ca="1" si="94"/>
        <v>0</v>
      </c>
      <c r="BT64" s="610">
        <f t="shared" ca="1" si="271"/>
        <v>0</v>
      </c>
      <c r="BU64" s="357">
        <f t="shared" ca="1" si="272"/>
        <v>0</v>
      </c>
      <c r="BV64" s="357">
        <f t="shared" si="273"/>
        <v>0</v>
      </c>
      <c r="BW64" s="357">
        <f t="shared" si="274"/>
        <v>0</v>
      </c>
      <c r="BX64" s="357">
        <f t="shared" ca="1" si="275"/>
        <v>0</v>
      </c>
      <c r="BY64" s="357">
        <f t="shared" ca="1" si="95"/>
        <v>0</v>
      </c>
      <c r="BZ64" s="357"/>
      <c r="CA64" s="357">
        <f t="shared" ca="1" si="96"/>
        <v>0</v>
      </c>
      <c r="CB64" s="357" t="str">
        <f t="shared" ca="1" si="276"/>
        <v/>
      </c>
      <c r="CC64" s="358" t="str">
        <f t="shared" ca="1" si="97"/>
        <v/>
      </c>
      <c r="CD64" s="358" t="str">
        <f t="shared" ca="1" si="98"/>
        <v/>
      </c>
      <c r="CE64" s="357" t="str">
        <f t="shared" ca="1" si="308"/>
        <v>,,,,</v>
      </c>
      <c r="CF64" s="154" t="str">
        <f t="shared" si="309"/>
        <v/>
      </c>
      <c r="CG64" s="154">
        <f t="shared" ca="1" si="100"/>
        <v>0</v>
      </c>
      <c r="CH64" s="154"/>
      <c r="CI64" s="154"/>
      <c r="CJ64" s="154"/>
      <c r="CK64" s="154"/>
      <c r="CL64" s="154"/>
      <c r="CM64" s="154"/>
      <c r="CN64" t="s">
        <v>784</v>
      </c>
      <c r="CO64" s="169"/>
      <c r="CP64" s="169"/>
      <c r="CQ64" s="169"/>
      <c r="CR64" s="169"/>
      <c r="CS64" s="169"/>
      <c r="CT64" s="169"/>
      <c r="CU64" s="169"/>
      <c r="CV64" s="164" t="str">
        <f t="shared" ca="1" si="277"/>
        <v/>
      </c>
      <c r="CW64" s="164" t="str">
        <f t="shared" ca="1" si="277"/>
        <v/>
      </c>
      <c r="CX64" s="164" t="str">
        <f t="shared" ca="1" si="277"/>
        <v/>
      </c>
      <c r="CY64" s="164" t="str">
        <f t="shared" ca="1" si="277"/>
        <v/>
      </c>
      <c r="CZ64" s="164" t="str">
        <f t="shared" ca="1" si="277"/>
        <v/>
      </c>
      <c r="DA64" s="164" t="str">
        <f t="shared" ca="1" si="277"/>
        <v/>
      </c>
      <c r="DB64" s="164" t="str">
        <f t="shared" ca="1" si="277"/>
        <v/>
      </c>
      <c r="DC64" s="164" t="str">
        <f t="shared" ca="1" si="277"/>
        <v/>
      </c>
      <c r="DD64" s="164" t="str">
        <f t="shared" ca="1" si="277"/>
        <v/>
      </c>
      <c r="DE64" s="164" t="str">
        <f t="shared" ca="1" si="277"/>
        <v/>
      </c>
      <c r="DF64" s="164" t="str">
        <f t="shared" ca="1" si="278"/>
        <v/>
      </c>
      <c r="DG64" s="164" t="str">
        <f t="shared" ca="1" si="278"/>
        <v/>
      </c>
      <c r="DH64" s="164" t="str">
        <f t="shared" ca="1" si="278"/>
        <v/>
      </c>
      <c r="DI64" s="164" t="str">
        <f t="shared" ca="1" si="278"/>
        <v/>
      </c>
      <c r="DJ64" s="164" t="str">
        <f t="shared" ca="1" si="278"/>
        <v/>
      </c>
      <c r="DK64" s="164" t="str">
        <f t="shared" ca="1" si="278"/>
        <v/>
      </c>
      <c r="DL64" s="164" t="str">
        <f t="shared" ca="1" si="278"/>
        <v/>
      </c>
      <c r="DM64" s="164" t="str">
        <f t="shared" ca="1" si="278"/>
        <v/>
      </c>
      <c r="DN64" s="164" t="str">
        <f t="shared" ca="1" si="278"/>
        <v/>
      </c>
      <c r="DO64" s="164" t="str">
        <f t="shared" ca="1" si="278"/>
        <v/>
      </c>
      <c r="DP64" s="164" t="str">
        <f t="shared" ca="1" si="278"/>
        <v/>
      </c>
      <c r="DQ64" s="164" t="str">
        <f t="shared" ca="1" si="278"/>
        <v/>
      </c>
      <c r="DR64" s="208"/>
      <c r="DS64" s="164" t="str">
        <f t="shared" ca="1" si="279"/>
        <v/>
      </c>
      <c r="DT64" s="164" t="str">
        <f t="shared" ca="1" si="280"/>
        <v/>
      </c>
      <c r="DU64" s="164" t="str">
        <f t="shared" ca="1" si="281"/>
        <v/>
      </c>
      <c r="DV64" s="164" t="str">
        <f t="shared" ca="1" si="282"/>
        <v/>
      </c>
      <c r="DW64" s="164" t="str">
        <f t="shared" ca="1" si="283"/>
        <v/>
      </c>
      <c r="DX64" s="164" t="str">
        <f t="shared" ca="1" si="284"/>
        <v/>
      </c>
      <c r="DY64" s="164" t="str">
        <f t="shared" ca="1" si="285"/>
        <v/>
      </c>
      <c r="DZ64" s="164" t="str">
        <f t="shared" ca="1" si="286"/>
        <v/>
      </c>
      <c r="EA64" s="164" t="str">
        <f t="shared" ca="1" si="287"/>
        <v/>
      </c>
      <c r="EB64" s="164" t="str">
        <f t="shared" ca="1" si="288"/>
        <v/>
      </c>
      <c r="EC64" s="164" t="str">
        <f t="shared" ca="1" si="289"/>
        <v/>
      </c>
      <c r="ED64" s="164" t="str">
        <f t="shared" ca="1" si="290"/>
        <v/>
      </c>
      <c r="EE64" s="164" t="str">
        <f t="shared" ca="1" si="291"/>
        <v/>
      </c>
      <c r="EF64" s="164" t="str">
        <f t="shared" ca="1" si="292"/>
        <v/>
      </c>
      <c r="EG64" s="164" t="str">
        <f t="shared" ca="1" si="293"/>
        <v/>
      </c>
      <c r="EH64" s="164" t="str">
        <f t="shared" ca="1" si="294"/>
        <v/>
      </c>
      <c r="EI64" s="164" t="str">
        <f t="shared" ca="1" si="295"/>
        <v/>
      </c>
      <c r="EJ64" s="164" t="str">
        <f t="shared" ca="1" si="296"/>
        <v/>
      </c>
      <c r="EK64" s="164" t="str">
        <f t="shared" ca="1" si="297"/>
        <v/>
      </c>
      <c r="EL64" s="164" t="str">
        <f t="shared" ca="1" si="298"/>
        <v/>
      </c>
      <c r="EM64" s="164" t="str">
        <f t="shared" ca="1" si="299"/>
        <v/>
      </c>
      <c r="EN64" s="164" t="str">
        <f t="shared" ca="1" si="300"/>
        <v/>
      </c>
      <c r="EO64" s="164" t="str">
        <f t="shared" ca="1" si="301"/>
        <v/>
      </c>
      <c r="EP64" s="164" t="str">
        <f t="shared" ca="1" si="302"/>
        <v/>
      </c>
      <c r="EQ64" s="164" t="str">
        <f t="shared" ca="1" si="303"/>
        <v/>
      </c>
      <c r="ER64" s="164" t="str">
        <f t="shared" ca="1" si="304"/>
        <v/>
      </c>
      <c r="ES64" s="164" t="str">
        <f t="shared" ca="1" si="305"/>
        <v/>
      </c>
    </row>
    <row r="65" spans="1:149" x14ac:dyDescent="0.2">
      <c r="A65" s="89" t="str">
        <f t="shared" ca="1" si="306"/>
        <v/>
      </c>
      <c r="B65" s="317" t="str">
        <f t="shared" ca="1" si="213"/>
        <v/>
      </c>
      <c r="C65" s="609" t="str">
        <f t="shared" ca="1" si="214"/>
        <v/>
      </c>
      <c r="D65" s="1956" t="str">
        <f t="shared" ca="1" si="215"/>
        <v/>
      </c>
      <c r="E65" s="1956"/>
      <c r="F65" s="960"/>
      <c r="G65" s="485" t="str">
        <f t="shared" ca="1" si="216"/>
        <v/>
      </c>
      <c r="H65" s="983"/>
      <c r="I65" s="486"/>
      <c r="J65" s="326"/>
      <c r="K65" s="1886" t="str">
        <f t="shared" ca="1" si="217"/>
        <v/>
      </c>
      <c r="L65" s="1888"/>
      <c r="M65" s="296" t="str">
        <f t="shared" ca="1" si="307"/>
        <v/>
      </c>
      <c r="N65" s="1322"/>
      <c r="O65" s="1319"/>
      <c r="P65" s="957" t="str">
        <f t="shared" ca="1" si="218"/>
        <v/>
      </c>
      <c r="Q65" s="164">
        <f t="shared" si="219"/>
        <v>0</v>
      </c>
      <c r="R65" s="164">
        <f t="shared" ca="1" si="220"/>
        <v>0</v>
      </c>
      <c r="S65" s="164">
        <f t="shared" ca="1" si="221"/>
        <v>0</v>
      </c>
      <c r="T65" s="164">
        <f t="shared" ca="1" si="222"/>
        <v>0</v>
      </c>
      <c r="U65" s="164">
        <f t="shared" ca="1" si="223"/>
        <v>0</v>
      </c>
      <c r="V65" s="164">
        <f t="shared" ca="1" si="224"/>
        <v>0</v>
      </c>
      <c r="W65" s="164">
        <f t="shared" ca="1" si="225"/>
        <v>0</v>
      </c>
      <c r="X65" s="164">
        <f t="shared" ca="1" si="226"/>
        <v>0</v>
      </c>
      <c r="Y65" s="164">
        <f t="shared" ca="1" si="227"/>
        <v>0</v>
      </c>
      <c r="Z65" s="164">
        <f t="shared" ca="1" si="228"/>
        <v>0</v>
      </c>
      <c r="AA65" s="164">
        <f t="shared" ca="1" si="229"/>
        <v>0</v>
      </c>
      <c r="AB65" s="164">
        <f t="shared" ca="1" si="230"/>
        <v>0</v>
      </c>
      <c r="AC65" s="164">
        <f t="shared" ca="1" si="231"/>
        <v>0</v>
      </c>
      <c r="AD65" s="164">
        <f t="shared" ca="1" si="232"/>
        <v>0</v>
      </c>
      <c r="AE65" s="164">
        <f t="shared" ca="1" si="233"/>
        <v>0</v>
      </c>
      <c r="AF65" s="164">
        <f t="shared" ca="1" si="234"/>
        <v>0</v>
      </c>
      <c r="AG65" s="164">
        <f t="shared" ca="1" si="235"/>
        <v>0</v>
      </c>
      <c r="AH65" s="164">
        <f t="shared" ca="1" si="236"/>
        <v>0</v>
      </c>
      <c r="AI65" s="164">
        <f t="shared" ca="1" si="237"/>
        <v>0</v>
      </c>
      <c r="AJ65" s="164">
        <f t="shared" ca="1" si="238"/>
        <v>0</v>
      </c>
      <c r="AK65" s="164">
        <f t="shared" ca="1" si="239"/>
        <v>0</v>
      </c>
      <c r="AL65" s="164">
        <f t="shared" ca="1" si="240"/>
        <v>0</v>
      </c>
      <c r="AM65" s="208"/>
      <c r="AN65" s="164">
        <f t="shared" si="241"/>
        <v>0</v>
      </c>
      <c r="AO65" s="164">
        <f t="shared" ca="1" si="242"/>
        <v>0</v>
      </c>
      <c r="AP65" s="164">
        <f t="shared" ca="1" si="243"/>
        <v>0</v>
      </c>
      <c r="AQ65" s="164">
        <f t="shared" ca="1" si="244"/>
        <v>0</v>
      </c>
      <c r="AR65" s="164">
        <f t="shared" ca="1" si="245"/>
        <v>0</v>
      </c>
      <c r="AS65" s="164">
        <f t="shared" ca="1" si="246"/>
        <v>0</v>
      </c>
      <c r="AT65" s="164">
        <f t="shared" ca="1" si="247"/>
        <v>0</v>
      </c>
      <c r="AU65" s="164">
        <f t="shared" ca="1" si="248"/>
        <v>0</v>
      </c>
      <c r="AV65" s="164">
        <f t="shared" ca="1" si="249"/>
        <v>0</v>
      </c>
      <c r="AW65" s="164">
        <f t="shared" ca="1" si="250"/>
        <v>0</v>
      </c>
      <c r="AX65" s="164">
        <f t="shared" ca="1" si="251"/>
        <v>0</v>
      </c>
      <c r="AY65" s="164">
        <f t="shared" ca="1" si="252"/>
        <v>0</v>
      </c>
      <c r="AZ65" s="164">
        <f t="shared" ca="1" si="253"/>
        <v>0</v>
      </c>
      <c r="BA65" s="164">
        <f t="shared" ca="1" si="254"/>
        <v>0</v>
      </c>
      <c r="BB65" s="164">
        <f t="shared" ca="1" si="255"/>
        <v>0</v>
      </c>
      <c r="BC65" s="164">
        <f t="shared" ca="1" si="256"/>
        <v>0</v>
      </c>
      <c r="BD65" s="164">
        <f t="shared" ca="1" si="257"/>
        <v>0</v>
      </c>
      <c r="BE65" s="164">
        <f t="shared" ca="1" si="258"/>
        <v>0</v>
      </c>
      <c r="BF65" s="164">
        <f t="shared" ca="1" si="259"/>
        <v>0</v>
      </c>
      <c r="BG65" s="164">
        <f t="shared" ca="1" si="260"/>
        <v>0</v>
      </c>
      <c r="BH65" s="164">
        <f t="shared" ca="1" si="261"/>
        <v>0</v>
      </c>
      <c r="BI65" s="164">
        <f t="shared" ca="1" si="262"/>
        <v>0</v>
      </c>
      <c r="BJ65" s="164">
        <f t="shared" ca="1" si="263"/>
        <v>0</v>
      </c>
      <c r="BK65" s="164">
        <f t="shared" ca="1" si="264"/>
        <v>0</v>
      </c>
      <c r="BL65" s="164">
        <f t="shared" ca="1" si="265"/>
        <v>0</v>
      </c>
      <c r="BM65" s="164">
        <f t="shared" ca="1" si="266"/>
        <v>0</v>
      </c>
      <c r="BN65" s="164">
        <f t="shared" ca="1" si="267"/>
        <v>0</v>
      </c>
      <c r="BO65" s="356" t="str">
        <f t="shared" ca="1" si="268"/>
        <v/>
      </c>
      <c r="BP65" s="355" t="str">
        <f t="shared" ca="1" si="269"/>
        <v/>
      </c>
      <c r="BQ65" s="355" t="str">
        <f t="shared" ca="1" si="270"/>
        <v/>
      </c>
      <c r="BR65" s="348">
        <f t="shared" ca="1" si="93"/>
        <v>0</v>
      </c>
      <c r="BS65" s="348">
        <f t="shared" ca="1" si="94"/>
        <v>0</v>
      </c>
      <c r="BT65" s="610">
        <f t="shared" ca="1" si="271"/>
        <v>0</v>
      </c>
      <c r="BU65" s="357">
        <f t="shared" ca="1" si="272"/>
        <v>0</v>
      </c>
      <c r="BV65" s="357">
        <f t="shared" si="273"/>
        <v>0</v>
      </c>
      <c r="BW65" s="357">
        <f t="shared" si="274"/>
        <v>0</v>
      </c>
      <c r="BX65" s="357">
        <f t="shared" ca="1" si="275"/>
        <v>0</v>
      </c>
      <c r="BY65" s="357">
        <f t="shared" ca="1" si="95"/>
        <v>0</v>
      </c>
      <c r="BZ65" s="357"/>
      <c r="CA65" s="357">
        <f t="shared" ca="1" si="96"/>
        <v>0</v>
      </c>
      <c r="CB65" s="357" t="str">
        <f t="shared" ca="1" si="276"/>
        <v/>
      </c>
      <c r="CC65" s="358" t="str">
        <f t="shared" ca="1" si="97"/>
        <v/>
      </c>
      <c r="CD65" s="358" t="str">
        <f t="shared" ca="1" si="98"/>
        <v/>
      </c>
      <c r="CE65" s="357" t="str">
        <f t="shared" ca="1" si="308"/>
        <v>,,,,,</v>
      </c>
      <c r="CF65" s="154" t="str">
        <f t="shared" si="309"/>
        <v/>
      </c>
      <c r="CG65" s="154">
        <f t="shared" ca="1" si="100"/>
        <v>0</v>
      </c>
      <c r="CH65" s="154"/>
      <c r="CI65" s="154"/>
      <c r="CJ65" s="154"/>
      <c r="CK65" s="154"/>
      <c r="CL65" s="154"/>
      <c r="CM65" s="154"/>
      <c r="CN65" t="s">
        <v>784</v>
      </c>
      <c r="CO65" s="169"/>
      <c r="CP65" s="169"/>
      <c r="CQ65" s="169"/>
      <c r="CR65" s="169"/>
      <c r="CS65" s="169"/>
      <c r="CT65" s="169"/>
      <c r="CU65" s="169"/>
      <c r="CV65" s="164" t="str">
        <f t="shared" ca="1" si="277"/>
        <v/>
      </c>
      <c r="CW65" s="164" t="str">
        <f t="shared" ca="1" si="277"/>
        <v/>
      </c>
      <c r="CX65" s="164" t="str">
        <f t="shared" ca="1" si="277"/>
        <v/>
      </c>
      <c r="CY65" s="164" t="str">
        <f t="shared" ca="1" si="277"/>
        <v/>
      </c>
      <c r="CZ65" s="164" t="str">
        <f t="shared" ca="1" si="277"/>
        <v/>
      </c>
      <c r="DA65" s="164" t="str">
        <f t="shared" ca="1" si="277"/>
        <v/>
      </c>
      <c r="DB65" s="164" t="str">
        <f t="shared" ca="1" si="277"/>
        <v/>
      </c>
      <c r="DC65" s="164" t="str">
        <f t="shared" ca="1" si="277"/>
        <v/>
      </c>
      <c r="DD65" s="164" t="str">
        <f t="shared" ca="1" si="277"/>
        <v/>
      </c>
      <c r="DE65" s="164" t="str">
        <f t="shared" ca="1" si="277"/>
        <v/>
      </c>
      <c r="DF65" s="164" t="str">
        <f t="shared" ca="1" si="278"/>
        <v/>
      </c>
      <c r="DG65" s="164" t="str">
        <f t="shared" ca="1" si="278"/>
        <v/>
      </c>
      <c r="DH65" s="164" t="str">
        <f t="shared" ca="1" si="278"/>
        <v/>
      </c>
      <c r="DI65" s="164" t="str">
        <f t="shared" ca="1" si="278"/>
        <v/>
      </c>
      <c r="DJ65" s="164" t="str">
        <f t="shared" ca="1" si="278"/>
        <v/>
      </c>
      <c r="DK65" s="164" t="str">
        <f t="shared" ca="1" si="278"/>
        <v/>
      </c>
      <c r="DL65" s="164" t="str">
        <f t="shared" ca="1" si="278"/>
        <v/>
      </c>
      <c r="DM65" s="164" t="str">
        <f t="shared" ca="1" si="278"/>
        <v/>
      </c>
      <c r="DN65" s="164" t="str">
        <f t="shared" ca="1" si="278"/>
        <v/>
      </c>
      <c r="DO65" s="164" t="str">
        <f t="shared" ca="1" si="278"/>
        <v/>
      </c>
      <c r="DP65" s="164" t="str">
        <f t="shared" ca="1" si="278"/>
        <v/>
      </c>
      <c r="DQ65" s="164" t="str">
        <f t="shared" ca="1" si="278"/>
        <v/>
      </c>
      <c r="DR65" s="208"/>
      <c r="DS65" s="164" t="str">
        <f t="shared" ca="1" si="279"/>
        <v/>
      </c>
      <c r="DT65" s="164" t="str">
        <f t="shared" ca="1" si="280"/>
        <v/>
      </c>
      <c r="DU65" s="164" t="str">
        <f t="shared" ca="1" si="281"/>
        <v/>
      </c>
      <c r="DV65" s="164" t="str">
        <f t="shared" ca="1" si="282"/>
        <v/>
      </c>
      <c r="DW65" s="164" t="str">
        <f t="shared" ca="1" si="283"/>
        <v/>
      </c>
      <c r="DX65" s="164" t="str">
        <f t="shared" ca="1" si="284"/>
        <v/>
      </c>
      <c r="DY65" s="164" t="str">
        <f t="shared" ca="1" si="285"/>
        <v/>
      </c>
      <c r="DZ65" s="164" t="str">
        <f t="shared" ca="1" si="286"/>
        <v/>
      </c>
      <c r="EA65" s="164" t="str">
        <f t="shared" ca="1" si="287"/>
        <v/>
      </c>
      <c r="EB65" s="164" t="str">
        <f t="shared" ca="1" si="288"/>
        <v/>
      </c>
      <c r="EC65" s="164" t="str">
        <f t="shared" ca="1" si="289"/>
        <v/>
      </c>
      <c r="ED65" s="164" t="str">
        <f t="shared" ca="1" si="290"/>
        <v/>
      </c>
      <c r="EE65" s="164" t="str">
        <f t="shared" ca="1" si="291"/>
        <v/>
      </c>
      <c r="EF65" s="164" t="str">
        <f t="shared" ca="1" si="292"/>
        <v/>
      </c>
      <c r="EG65" s="164" t="str">
        <f t="shared" ca="1" si="293"/>
        <v/>
      </c>
      <c r="EH65" s="164" t="str">
        <f t="shared" ca="1" si="294"/>
        <v/>
      </c>
      <c r="EI65" s="164" t="str">
        <f t="shared" ca="1" si="295"/>
        <v/>
      </c>
      <c r="EJ65" s="164" t="str">
        <f t="shared" ca="1" si="296"/>
        <v/>
      </c>
      <c r="EK65" s="164" t="str">
        <f t="shared" ca="1" si="297"/>
        <v/>
      </c>
      <c r="EL65" s="164" t="str">
        <f t="shared" ca="1" si="298"/>
        <v/>
      </c>
      <c r="EM65" s="164" t="str">
        <f t="shared" ca="1" si="299"/>
        <v/>
      </c>
      <c r="EN65" s="164" t="str">
        <f t="shared" ca="1" si="300"/>
        <v/>
      </c>
      <c r="EO65" s="164" t="str">
        <f t="shared" ca="1" si="301"/>
        <v/>
      </c>
      <c r="EP65" s="164" t="str">
        <f t="shared" ca="1" si="302"/>
        <v/>
      </c>
      <c r="EQ65" s="164" t="str">
        <f t="shared" ca="1" si="303"/>
        <v/>
      </c>
      <c r="ER65" s="164" t="str">
        <f t="shared" ca="1" si="304"/>
        <v/>
      </c>
      <c r="ES65" s="164" t="str">
        <f t="shared" ca="1" si="305"/>
        <v/>
      </c>
    </row>
    <row r="66" spans="1:149" x14ac:dyDescent="0.2">
      <c r="A66" s="89" t="str">
        <f t="shared" ca="1" si="306"/>
        <v/>
      </c>
      <c r="B66" s="317" t="str">
        <f t="shared" ca="1" si="213"/>
        <v/>
      </c>
      <c r="C66" s="609" t="str">
        <f t="shared" ca="1" si="214"/>
        <v/>
      </c>
      <c r="D66" s="1956" t="str">
        <f t="shared" ca="1" si="215"/>
        <v/>
      </c>
      <c r="E66" s="1956"/>
      <c r="F66" s="960"/>
      <c r="G66" s="485" t="str">
        <f t="shared" ca="1" si="216"/>
        <v/>
      </c>
      <c r="H66" s="983"/>
      <c r="I66" s="486"/>
      <c r="J66" s="326"/>
      <c r="K66" s="1886" t="str">
        <f t="shared" ca="1" si="217"/>
        <v/>
      </c>
      <c r="L66" s="1888"/>
      <c r="M66" s="296" t="str">
        <f t="shared" ca="1" si="307"/>
        <v/>
      </c>
      <c r="N66" s="1322"/>
      <c r="O66" s="1319"/>
      <c r="P66" s="957" t="str">
        <f t="shared" ca="1" si="218"/>
        <v/>
      </c>
      <c r="Q66" s="164">
        <f t="shared" si="219"/>
        <v>0</v>
      </c>
      <c r="R66" s="164">
        <f t="shared" ca="1" si="220"/>
        <v>0</v>
      </c>
      <c r="S66" s="164">
        <f t="shared" ca="1" si="221"/>
        <v>0</v>
      </c>
      <c r="T66" s="164">
        <f t="shared" ca="1" si="222"/>
        <v>0</v>
      </c>
      <c r="U66" s="164">
        <f t="shared" ca="1" si="223"/>
        <v>0</v>
      </c>
      <c r="V66" s="164">
        <f t="shared" ca="1" si="224"/>
        <v>0</v>
      </c>
      <c r="W66" s="164">
        <f t="shared" ca="1" si="225"/>
        <v>0</v>
      </c>
      <c r="X66" s="164">
        <f t="shared" ca="1" si="226"/>
        <v>0</v>
      </c>
      <c r="Y66" s="164">
        <f t="shared" ca="1" si="227"/>
        <v>0</v>
      </c>
      <c r="Z66" s="164">
        <f t="shared" ca="1" si="228"/>
        <v>0</v>
      </c>
      <c r="AA66" s="164">
        <f t="shared" ca="1" si="229"/>
        <v>0</v>
      </c>
      <c r="AB66" s="164">
        <f t="shared" ca="1" si="230"/>
        <v>0</v>
      </c>
      <c r="AC66" s="164">
        <f t="shared" ca="1" si="231"/>
        <v>0</v>
      </c>
      <c r="AD66" s="164">
        <f t="shared" ca="1" si="232"/>
        <v>0</v>
      </c>
      <c r="AE66" s="164">
        <f t="shared" ca="1" si="233"/>
        <v>0</v>
      </c>
      <c r="AF66" s="164">
        <f t="shared" ca="1" si="234"/>
        <v>0</v>
      </c>
      <c r="AG66" s="164">
        <f t="shared" ca="1" si="235"/>
        <v>0</v>
      </c>
      <c r="AH66" s="164">
        <f t="shared" ca="1" si="236"/>
        <v>0</v>
      </c>
      <c r="AI66" s="164">
        <f t="shared" ca="1" si="237"/>
        <v>0</v>
      </c>
      <c r="AJ66" s="164">
        <f t="shared" ca="1" si="238"/>
        <v>0</v>
      </c>
      <c r="AK66" s="164">
        <f t="shared" ca="1" si="239"/>
        <v>0</v>
      </c>
      <c r="AL66" s="164">
        <f t="shared" ca="1" si="240"/>
        <v>0</v>
      </c>
      <c r="AM66" s="208"/>
      <c r="AN66" s="164">
        <f t="shared" si="241"/>
        <v>0</v>
      </c>
      <c r="AO66" s="164">
        <f t="shared" ca="1" si="242"/>
        <v>0</v>
      </c>
      <c r="AP66" s="164">
        <f t="shared" ca="1" si="243"/>
        <v>0</v>
      </c>
      <c r="AQ66" s="164">
        <f t="shared" ca="1" si="244"/>
        <v>0</v>
      </c>
      <c r="AR66" s="164">
        <f t="shared" ca="1" si="245"/>
        <v>0</v>
      </c>
      <c r="AS66" s="164">
        <f t="shared" ca="1" si="246"/>
        <v>0</v>
      </c>
      <c r="AT66" s="164">
        <f t="shared" ca="1" si="247"/>
        <v>0</v>
      </c>
      <c r="AU66" s="164">
        <f t="shared" ca="1" si="248"/>
        <v>0</v>
      </c>
      <c r="AV66" s="164">
        <f t="shared" ca="1" si="249"/>
        <v>0</v>
      </c>
      <c r="AW66" s="164">
        <f t="shared" ca="1" si="250"/>
        <v>0</v>
      </c>
      <c r="AX66" s="164">
        <f t="shared" ca="1" si="251"/>
        <v>0</v>
      </c>
      <c r="AY66" s="164">
        <f t="shared" ca="1" si="252"/>
        <v>0</v>
      </c>
      <c r="AZ66" s="164">
        <f t="shared" ca="1" si="253"/>
        <v>0</v>
      </c>
      <c r="BA66" s="164">
        <f t="shared" ca="1" si="254"/>
        <v>0</v>
      </c>
      <c r="BB66" s="164">
        <f t="shared" ca="1" si="255"/>
        <v>0</v>
      </c>
      <c r="BC66" s="164">
        <f t="shared" ca="1" si="256"/>
        <v>0</v>
      </c>
      <c r="BD66" s="164">
        <f t="shared" ca="1" si="257"/>
        <v>0</v>
      </c>
      <c r="BE66" s="164">
        <f t="shared" ca="1" si="258"/>
        <v>0</v>
      </c>
      <c r="BF66" s="164">
        <f t="shared" ca="1" si="259"/>
        <v>0</v>
      </c>
      <c r="BG66" s="164">
        <f t="shared" ca="1" si="260"/>
        <v>0</v>
      </c>
      <c r="BH66" s="164">
        <f t="shared" ca="1" si="261"/>
        <v>0</v>
      </c>
      <c r="BI66" s="164">
        <f t="shared" ca="1" si="262"/>
        <v>0</v>
      </c>
      <c r="BJ66" s="164">
        <f t="shared" ca="1" si="263"/>
        <v>0</v>
      </c>
      <c r="BK66" s="164">
        <f t="shared" ca="1" si="264"/>
        <v>0</v>
      </c>
      <c r="BL66" s="164">
        <f t="shared" ca="1" si="265"/>
        <v>0</v>
      </c>
      <c r="BM66" s="164">
        <f t="shared" ca="1" si="266"/>
        <v>0</v>
      </c>
      <c r="BN66" s="164">
        <f t="shared" ca="1" si="267"/>
        <v>0</v>
      </c>
      <c r="BO66" s="356" t="str">
        <f t="shared" ca="1" si="268"/>
        <v/>
      </c>
      <c r="BP66" s="355" t="str">
        <f t="shared" ca="1" si="269"/>
        <v/>
      </c>
      <c r="BQ66" s="355" t="str">
        <f t="shared" ca="1" si="270"/>
        <v/>
      </c>
      <c r="BR66" s="348">
        <f t="shared" ca="1" si="93"/>
        <v>0</v>
      </c>
      <c r="BS66" s="348">
        <f t="shared" ca="1" si="94"/>
        <v>0</v>
      </c>
      <c r="BT66" s="610">
        <f t="shared" ca="1" si="271"/>
        <v>0</v>
      </c>
      <c r="BU66" s="357">
        <f t="shared" ca="1" si="272"/>
        <v>0</v>
      </c>
      <c r="BV66" s="357">
        <f t="shared" si="273"/>
        <v>0</v>
      </c>
      <c r="BW66" s="357">
        <f t="shared" si="274"/>
        <v>0</v>
      </c>
      <c r="BX66" s="357">
        <f t="shared" ca="1" si="275"/>
        <v>0</v>
      </c>
      <c r="BY66" s="357">
        <f t="shared" ca="1" si="95"/>
        <v>0</v>
      </c>
      <c r="BZ66" s="357"/>
      <c r="CA66" s="357">
        <f t="shared" ca="1" si="96"/>
        <v>0</v>
      </c>
      <c r="CB66" s="357" t="str">
        <f t="shared" ca="1" si="276"/>
        <v/>
      </c>
      <c r="CC66" s="358" t="str">
        <f t="shared" ca="1" si="97"/>
        <v/>
      </c>
      <c r="CD66" s="358" t="str">
        <f t="shared" ca="1" si="98"/>
        <v/>
      </c>
      <c r="CE66" s="357" t="str">
        <f t="shared" ca="1" si="308"/>
        <v>,,,,,,</v>
      </c>
      <c r="CF66" s="154" t="str">
        <f t="shared" si="309"/>
        <v/>
      </c>
      <c r="CG66" s="154">
        <f t="shared" ca="1" si="100"/>
        <v>0</v>
      </c>
      <c r="CH66" s="154"/>
      <c r="CI66" s="154"/>
      <c r="CJ66" s="154"/>
      <c r="CK66" s="154"/>
      <c r="CL66" s="154"/>
      <c r="CM66" s="154"/>
      <c r="CN66" t="s">
        <v>784</v>
      </c>
      <c r="CO66" s="169"/>
      <c r="CP66" s="169"/>
      <c r="CQ66" s="169"/>
      <c r="CR66" s="169"/>
      <c r="CS66" s="169"/>
      <c r="CT66" s="169"/>
      <c r="CU66" s="169"/>
      <c r="CV66" s="164" t="str">
        <f t="shared" ca="1" si="277"/>
        <v/>
      </c>
      <c r="CW66" s="164" t="str">
        <f t="shared" ca="1" si="277"/>
        <v/>
      </c>
      <c r="CX66" s="164" t="str">
        <f t="shared" ca="1" si="277"/>
        <v/>
      </c>
      <c r="CY66" s="164" t="str">
        <f t="shared" ca="1" si="277"/>
        <v/>
      </c>
      <c r="CZ66" s="164" t="str">
        <f t="shared" ca="1" si="277"/>
        <v/>
      </c>
      <c r="DA66" s="164" t="str">
        <f t="shared" ca="1" si="277"/>
        <v/>
      </c>
      <c r="DB66" s="164" t="str">
        <f t="shared" ca="1" si="277"/>
        <v/>
      </c>
      <c r="DC66" s="164" t="str">
        <f t="shared" ca="1" si="277"/>
        <v/>
      </c>
      <c r="DD66" s="164" t="str">
        <f t="shared" ca="1" si="277"/>
        <v/>
      </c>
      <c r="DE66" s="164" t="str">
        <f t="shared" ca="1" si="277"/>
        <v/>
      </c>
      <c r="DF66" s="164" t="str">
        <f t="shared" ca="1" si="278"/>
        <v/>
      </c>
      <c r="DG66" s="164" t="str">
        <f t="shared" ca="1" si="278"/>
        <v/>
      </c>
      <c r="DH66" s="164" t="str">
        <f t="shared" ca="1" si="278"/>
        <v/>
      </c>
      <c r="DI66" s="164" t="str">
        <f t="shared" ca="1" si="278"/>
        <v/>
      </c>
      <c r="DJ66" s="164" t="str">
        <f t="shared" ca="1" si="278"/>
        <v/>
      </c>
      <c r="DK66" s="164" t="str">
        <f t="shared" ca="1" si="278"/>
        <v/>
      </c>
      <c r="DL66" s="164" t="str">
        <f t="shared" ca="1" si="278"/>
        <v/>
      </c>
      <c r="DM66" s="164" t="str">
        <f t="shared" ca="1" si="278"/>
        <v/>
      </c>
      <c r="DN66" s="164" t="str">
        <f t="shared" ca="1" si="278"/>
        <v/>
      </c>
      <c r="DO66" s="164" t="str">
        <f t="shared" ca="1" si="278"/>
        <v/>
      </c>
      <c r="DP66" s="164" t="str">
        <f t="shared" ca="1" si="278"/>
        <v/>
      </c>
      <c r="DQ66" s="164" t="str">
        <f t="shared" ca="1" si="278"/>
        <v/>
      </c>
      <c r="DR66" s="208"/>
      <c r="DS66" s="164" t="str">
        <f t="shared" ca="1" si="279"/>
        <v/>
      </c>
      <c r="DT66" s="164" t="str">
        <f t="shared" ca="1" si="280"/>
        <v/>
      </c>
      <c r="DU66" s="164" t="str">
        <f t="shared" ca="1" si="281"/>
        <v/>
      </c>
      <c r="DV66" s="164" t="str">
        <f t="shared" ca="1" si="282"/>
        <v/>
      </c>
      <c r="DW66" s="164" t="str">
        <f t="shared" ca="1" si="283"/>
        <v/>
      </c>
      <c r="DX66" s="164" t="str">
        <f t="shared" ca="1" si="284"/>
        <v/>
      </c>
      <c r="DY66" s="164" t="str">
        <f t="shared" ca="1" si="285"/>
        <v/>
      </c>
      <c r="DZ66" s="164" t="str">
        <f t="shared" ca="1" si="286"/>
        <v/>
      </c>
      <c r="EA66" s="164" t="str">
        <f t="shared" ca="1" si="287"/>
        <v/>
      </c>
      <c r="EB66" s="164" t="str">
        <f t="shared" ca="1" si="288"/>
        <v/>
      </c>
      <c r="EC66" s="164" t="str">
        <f t="shared" ca="1" si="289"/>
        <v/>
      </c>
      <c r="ED66" s="164" t="str">
        <f t="shared" ca="1" si="290"/>
        <v/>
      </c>
      <c r="EE66" s="164" t="str">
        <f t="shared" ca="1" si="291"/>
        <v/>
      </c>
      <c r="EF66" s="164" t="str">
        <f t="shared" ca="1" si="292"/>
        <v/>
      </c>
      <c r="EG66" s="164" t="str">
        <f t="shared" ca="1" si="293"/>
        <v/>
      </c>
      <c r="EH66" s="164" t="str">
        <f t="shared" ca="1" si="294"/>
        <v/>
      </c>
      <c r="EI66" s="164" t="str">
        <f t="shared" ca="1" si="295"/>
        <v/>
      </c>
      <c r="EJ66" s="164" t="str">
        <f t="shared" ca="1" si="296"/>
        <v/>
      </c>
      <c r="EK66" s="164" t="str">
        <f t="shared" ca="1" si="297"/>
        <v/>
      </c>
      <c r="EL66" s="164" t="str">
        <f t="shared" ca="1" si="298"/>
        <v/>
      </c>
      <c r="EM66" s="164" t="str">
        <f t="shared" ca="1" si="299"/>
        <v/>
      </c>
      <c r="EN66" s="164" t="str">
        <f t="shared" ca="1" si="300"/>
        <v/>
      </c>
      <c r="EO66" s="164" t="str">
        <f t="shared" ca="1" si="301"/>
        <v/>
      </c>
      <c r="EP66" s="164" t="str">
        <f t="shared" ca="1" si="302"/>
        <v/>
      </c>
      <c r="EQ66" s="164" t="str">
        <f t="shared" ca="1" si="303"/>
        <v/>
      </c>
      <c r="ER66" s="164" t="str">
        <f t="shared" ca="1" si="304"/>
        <v/>
      </c>
      <c r="ES66" s="164" t="str">
        <f t="shared" ca="1" si="305"/>
        <v/>
      </c>
    </row>
    <row r="67" spans="1:149" x14ac:dyDescent="0.2">
      <c r="A67" s="89" t="str">
        <f t="shared" ca="1" si="306"/>
        <v/>
      </c>
      <c r="B67" s="317" t="str">
        <f t="shared" ca="1" si="213"/>
        <v/>
      </c>
      <c r="C67" s="609" t="str">
        <f t="shared" ca="1" si="214"/>
        <v/>
      </c>
      <c r="D67" s="1956" t="str">
        <f t="shared" ca="1" si="215"/>
        <v/>
      </c>
      <c r="E67" s="1956"/>
      <c r="F67" s="960"/>
      <c r="G67" s="485" t="str">
        <f t="shared" ca="1" si="216"/>
        <v/>
      </c>
      <c r="H67" s="983"/>
      <c r="I67" s="486"/>
      <c r="J67" s="326"/>
      <c r="K67" s="1886" t="str">
        <f t="shared" ca="1" si="217"/>
        <v/>
      </c>
      <c r="L67" s="1888"/>
      <c r="M67" s="296" t="str">
        <f t="shared" ca="1" si="307"/>
        <v/>
      </c>
      <c r="N67" s="1322"/>
      <c r="O67" s="1319"/>
      <c r="P67" s="957" t="str">
        <f t="shared" ca="1" si="218"/>
        <v/>
      </c>
      <c r="Q67" s="164">
        <f t="shared" si="219"/>
        <v>0</v>
      </c>
      <c r="R67" s="164">
        <f t="shared" ca="1" si="220"/>
        <v>0</v>
      </c>
      <c r="S67" s="164">
        <f t="shared" ca="1" si="221"/>
        <v>0</v>
      </c>
      <c r="T67" s="164">
        <f t="shared" ca="1" si="222"/>
        <v>0</v>
      </c>
      <c r="U67" s="164">
        <f t="shared" ca="1" si="223"/>
        <v>0</v>
      </c>
      <c r="V67" s="164">
        <f t="shared" ca="1" si="224"/>
        <v>0</v>
      </c>
      <c r="W67" s="164">
        <f t="shared" ca="1" si="225"/>
        <v>0</v>
      </c>
      <c r="X67" s="164">
        <f t="shared" ca="1" si="226"/>
        <v>0</v>
      </c>
      <c r="Y67" s="164">
        <f t="shared" ca="1" si="227"/>
        <v>0</v>
      </c>
      <c r="Z67" s="164">
        <f t="shared" ca="1" si="228"/>
        <v>0</v>
      </c>
      <c r="AA67" s="164">
        <f t="shared" ca="1" si="229"/>
        <v>0</v>
      </c>
      <c r="AB67" s="164">
        <f t="shared" ca="1" si="230"/>
        <v>0</v>
      </c>
      <c r="AC67" s="164">
        <f t="shared" ca="1" si="231"/>
        <v>0</v>
      </c>
      <c r="AD67" s="164">
        <f t="shared" ca="1" si="232"/>
        <v>0</v>
      </c>
      <c r="AE67" s="164">
        <f t="shared" ca="1" si="233"/>
        <v>0</v>
      </c>
      <c r="AF67" s="164">
        <f t="shared" ca="1" si="234"/>
        <v>0</v>
      </c>
      <c r="AG67" s="164">
        <f t="shared" ca="1" si="235"/>
        <v>0</v>
      </c>
      <c r="AH67" s="164">
        <f t="shared" ca="1" si="236"/>
        <v>0</v>
      </c>
      <c r="AI67" s="164">
        <f t="shared" ca="1" si="237"/>
        <v>0</v>
      </c>
      <c r="AJ67" s="164">
        <f t="shared" ca="1" si="238"/>
        <v>0</v>
      </c>
      <c r="AK67" s="164">
        <f t="shared" ca="1" si="239"/>
        <v>0</v>
      </c>
      <c r="AL67" s="164">
        <f t="shared" ca="1" si="240"/>
        <v>0</v>
      </c>
      <c r="AM67" s="208"/>
      <c r="AN67" s="164">
        <f t="shared" si="241"/>
        <v>0</v>
      </c>
      <c r="AO67" s="164">
        <f t="shared" ca="1" si="242"/>
        <v>0</v>
      </c>
      <c r="AP67" s="164">
        <f t="shared" ca="1" si="243"/>
        <v>0</v>
      </c>
      <c r="AQ67" s="164">
        <f t="shared" ca="1" si="244"/>
        <v>0</v>
      </c>
      <c r="AR67" s="164">
        <f t="shared" ca="1" si="245"/>
        <v>0</v>
      </c>
      <c r="AS67" s="164">
        <f t="shared" ca="1" si="246"/>
        <v>0</v>
      </c>
      <c r="AT67" s="164">
        <f t="shared" ca="1" si="247"/>
        <v>0</v>
      </c>
      <c r="AU67" s="164">
        <f t="shared" ca="1" si="248"/>
        <v>0</v>
      </c>
      <c r="AV67" s="164">
        <f t="shared" ca="1" si="249"/>
        <v>0</v>
      </c>
      <c r="AW67" s="164">
        <f t="shared" ca="1" si="250"/>
        <v>0</v>
      </c>
      <c r="AX67" s="164">
        <f t="shared" ca="1" si="251"/>
        <v>0</v>
      </c>
      <c r="AY67" s="164">
        <f t="shared" ca="1" si="252"/>
        <v>0</v>
      </c>
      <c r="AZ67" s="164">
        <f t="shared" ca="1" si="253"/>
        <v>0</v>
      </c>
      <c r="BA67" s="164">
        <f t="shared" ca="1" si="254"/>
        <v>0</v>
      </c>
      <c r="BB67" s="164">
        <f t="shared" ca="1" si="255"/>
        <v>0</v>
      </c>
      <c r="BC67" s="164">
        <f t="shared" ca="1" si="256"/>
        <v>0</v>
      </c>
      <c r="BD67" s="164">
        <f t="shared" ca="1" si="257"/>
        <v>0</v>
      </c>
      <c r="BE67" s="164">
        <f t="shared" ca="1" si="258"/>
        <v>0</v>
      </c>
      <c r="BF67" s="164">
        <f t="shared" ca="1" si="259"/>
        <v>0</v>
      </c>
      <c r="BG67" s="164">
        <f t="shared" ca="1" si="260"/>
        <v>0</v>
      </c>
      <c r="BH67" s="164">
        <f t="shared" ca="1" si="261"/>
        <v>0</v>
      </c>
      <c r="BI67" s="164">
        <f t="shared" ca="1" si="262"/>
        <v>0</v>
      </c>
      <c r="BJ67" s="164">
        <f t="shared" ca="1" si="263"/>
        <v>0</v>
      </c>
      <c r="BK67" s="164">
        <f t="shared" ca="1" si="264"/>
        <v>0</v>
      </c>
      <c r="BL67" s="164">
        <f t="shared" ca="1" si="265"/>
        <v>0</v>
      </c>
      <c r="BM67" s="164">
        <f t="shared" ca="1" si="266"/>
        <v>0</v>
      </c>
      <c r="BN67" s="164">
        <f t="shared" ca="1" si="267"/>
        <v>0</v>
      </c>
      <c r="BO67" s="356" t="str">
        <f t="shared" ca="1" si="268"/>
        <v/>
      </c>
      <c r="BP67" s="355" t="str">
        <f t="shared" ca="1" si="269"/>
        <v/>
      </c>
      <c r="BQ67" s="355" t="str">
        <f t="shared" ca="1" si="270"/>
        <v/>
      </c>
      <c r="BR67" s="348">
        <f t="shared" ca="1" si="93"/>
        <v>0</v>
      </c>
      <c r="BS67" s="348">
        <f t="shared" ca="1" si="94"/>
        <v>0</v>
      </c>
      <c r="BT67" s="610">
        <f t="shared" ca="1" si="271"/>
        <v>0</v>
      </c>
      <c r="BU67" s="357">
        <f t="shared" ca="1" si="272"/>
        <v>0</v>
      </c>
      <c r="BV67" s="357">
        <f t="shared" si="273"/>
        <v>0</v>
      </c>
      <c r="BW67" s="357">
        <f t="shared" si="274"/>
        <v>0</v>
      </c>
      <c r="BX67" s="357">
        <f t="shared" ca="1" si="275"/>
        <v>0</v>
      </c>
      <c r="BY67" s="357">
        <f t="shared" ca="1" si="95"/>
        <v>0</v>
      </c>
      <c r="BZ67" s="357"/>
      <c r="CA67" s="357">
        <f t="shared" ca="1" si="96"/>
        <v>0</v>
      </c>
      <c r="CB67" s="357" t="str">
        <f t="shared" ca="1" si="276"/>
        <v/>
      </c>
      <c r="CC67" s="358" t="str">
        <f t="shared" ca="1" si="97"/>
        <v/>
      </c>
      <c r="CD67" s="358" t="str">
        <f t="shared" ca="1" si="98"/>
        <v/>
      </c>
      <c r="CE67" s="357" t="str">
        <f t="shared" ca="1" si="308"/>
        <v>,,,,,,,</v>
      </c>
      <c r="CF67" s="154" t="str">
        <f t="shared" si="309"/>
        <v/>
      </c>
      <c r="CG67" s="154">
        <f t="shared" ca="1" si="100"/>
        <v>0</v>
      </c>
      <c r="CH67" s="154"/>
      <c r="CI67" s="154"/>
      <c r="CJ67" s="154"/>
      <c r="CK67" s="154"/>
      <c r="CL67" s="154"/>
      <c r="CM67" s="154"/>
      <c r="CN67" t="s">
        <v>784</v>
      </c>
      <c r="CO67" s="169"/>
      <c r="CP67" s="169"/>
      <c r="CQ67" s="169"/>
      <c r="CR67" s="169"/>
      <c r="CS67" s="169"/>
      <c r="CT67" s="169"/>
      <c r="CU67" s="169"/>
      <c r="CV67" s="164" t="str">
        <f t="shared" ca="1" si="277"/>
        <v/>
      </c>
      <c r="CW67" s="164" t="str">
        <f t="shared" ca="1" si="277"/>
        <v/>
      </c>
      <c r="CX67" s="164" t="str">
        <f t="shared" ca="1" si="277"/>
        <v/>
      </c>
      <c r="CY67" s="164" t="str">
        <f t="shared" ca="1" si="277"/>
        <v/>
      </c>
      <c r="CZ67" s="164" t="str">
        <f t="shared" ca="1" si="277"/>
        <v/>
      </c>
      <c r="DA67" s="164" t="str">
        <f t="shared" ca="1" si="277"/>
        <v/>
      </c>
      <c r="DB67" s="164" t="str">
        <f t="shared" ca="1" si="277"/>
        <v/>
      </c>
      <c r="DC67" s="164" t="str">
        <f t="shared" ca="1" si="277"/>
        <v/>
      </c>
      <c r="DD67" s="164" t="str">
        <f t="shared" ca="1" si="277"/>
        <v/>
      </c>
      <c r="DE67" s="164" t="str">
        <f t="shared" ca="1" si="277"/>
        <v/>
      </c>
      <c r="DF67" s="164" t="str">
        <f t="shared" ca="1" si="278"/>
        <v/>
      </c>
      <c r="DG67" s="164" t="str">
        <f t="shared" ca="1" si="278"/>
        <v/>
      </c>
      <c r="DH67" s="164" t="str">
        <f t="shared" ca="1" si="278"/>
        <v/>
      </c>
      <c r="DI67" s="164" t="str">
        <f t="shared" ca="1" si="278"/>
        <v/>
      </c>
      <c r="DJ67" s="164" t="str">
        <f t="shared" ca="1" si="278"/>
        <v/>
      </c>
      <c r="DK67" s="164" t="str">
        <f t="shared" ca="1" si="278"/>
        <v/>
      </c>
      <c r="DL67" s="164" t="str">
        <f t="shared" ca="1" si="278"/>
        <v/>
      </c>
      <c r="DM67" s="164" t="str">
        <f t="shared" ca="1" si="278"/>
        <v/>
      </c>
      <c r="DN67" s="164" t="str">
        <f t="shared" ca="1" si="278"/>
        <v/>
      </c>
      <c r="DO67" s="164" t="str">
        <f t="shared" ca="1" si="278"/>
        <v/>
      </c>
      <c r="DP67" s="164" t="str">
        <f t="shared" ca="1" si="278"/>
        <v/>
      </c>
      <c r="DQ67" s="164" t="str">
        <f t="shared" ca="1" si="278"/>
        <v/>
      </c>
      <c r="DR67" s="208"/>
      <c r="DS67" s="164" t="str">
        <f t="shared" ca="1" si="279"/>
        <v/>
      </c>
      <c r="DT67" s="164" t="str">
        <f t="shared" ca="1" si="280"/>
        <v/>
      </c>
      <c r="DU67" s="164" t="str">
        <f t="shared" ca="1" si="281"/>
        <v/>
      </c>
      <c r="DV67" s="164" t="str">
        <f t="shared" ca="1" si="282"/>
        <v/>
      </c>
      <c r="DW67" s="164" t="str">
        <f t="shared" ca="1" si="283"/>
        <v/>
      </c>
      <c r="DX67" s="164" t="str">
        <f t="shared" ca="1" si="284"/>
        <v/>
      </c>
      <c r="DY67" s="164" t="str">
        <f t="shared" ca="1" si="285"/>
        <v/>
      </c>
      <c r="DZ67" s="164" t="str">
        <f t="shared" ca="1" si="286"/>
        <v/>
      </c>
      <c r="EA67" s="164" t="str">
        <f t="shared" ca="1" si="287"/>
        <v/>
      </c>
      <c r="EB67" s="164" t="str">
        <f t="shared" ca="1" si="288"/>
        <v/>
      </c>
      <c r="EC67" s="164" t="str">
        <f t="shared" ca="1" si="289"/>
        <v/>
      </c>
      <c r="ED67" s="164" t="str">
        <f t="shared" ca="1" si="290"/>
        <v/>
      </c>
      <c r="EE67" s="164" t="str">
        <f t="shared" ca="1" si="291"/>
        <v/>
      </c>
      <c r="EF67" s="164" t="str">
        <f t="shared" ca="1" si="292"/>
        <v/>
      </c>
      <c r="EG67" s="164" t="str">
        <f t="shared" ca="1" si="293"/>
        <v/>
      </c>
      <c r="EH67" s="164" t="str">
        <f t="shared" ca="1" si="294"/>
        <v/>
      </c>
      <c r="EI67" s="164" t="str">
        <f t="shared" ca="1" si="295"/>
        <v/>
      </c>
      <c r="EJ67" s="164" t="str">
        <f t="shared" ca="1" si="296"/>
        <v/>
      </c>
      <c r="EK67" s="164" t="str">
        <f t="shared" ca="1" si="297"/>
        <v/>
      </c>
      <c r="EL67" s="164" t="str">
        <f t="shared" ca="1" si="298"/>
        <v/>
      </c>
      <c r="EM67" s="164" t="str">
        <f t="shared" ca="1" si="299"/>
        <v/>
      </c>
      <c r="EN67" s="164" t="str">
        <f t="shared" ca="1" si="300"/>
        <v/>
      </c>
      <c r="EO67" s="164" t="str">
        <f t="shared" ca="1" si="301"/>
        <v/>
      </c>
      <c r="EP67" s="164" t="str">
        <f t="shared" ca="1" si="302"/>
        <v/>
      </c>
      <c r="EQ67" s="164" t="str">
        <f t="shared" ca="1" si="303"/>
        <v/>
      </c>
      <c r="ER67" s="164" t="str">
        <f t="shared" ca="1" si="304"/>
        <v/>
      </c>
      <c r="ES67" s="164" t="str">
        <f t="shared" ca="1" si="305"/>
        <v/>
      </c>
    </row>
    <row r="68" spans="1:149" x14ac:dyDescent="0.2">
      <c r="A68" s="89" t="str">
        <f t="shared" ca="1" si="306"/>
        <v/>
      </c>
      <c r="B68" s="317" t="str">
        <f t="shared" ca="1" si="213"/>
        <v/>
      </c>
      <c r="C68" s="609" t="str">
        <f t="shared" ca="1" si="214"/>
        <v/>
      </c>
      <c r="D68" s="1956" t="str">
        <f t="shared" ca="1" si="215"/>
        <v/>
      </c>
      <c r="E68" s="1956"/>
      <c r="F68" s="960"/>
      <c r="G68" s="485" t="str">
        <f t="shared" ca="1" si="216"/>
        <v/>
      </c>
      <c r="H68" s="983"/>
      <c r="I68" s="486"/>
      <c r="J68" s="326"/>
      <c r="K68" s="1886" t="str">
        <f t="shared" ca="1" si="217"/>
        <v/>
      </c>
      <c r="L68" s="1888"/>
      <c r="M68" s="296" t="str">
        <f t="shared" ca="1" si="307"/>
        <v/>
      </c>
      <c r="N68" s="1322"/>
      <c r="O68" s="1319"/>
      <c r="P68" s="957" t="str">
        <f t="shared" ca="1" si="218"/>
        <v/>
      </c>
      <c r="Q68" s="164">
        <f t="shared" si="219"/>
        <v>0</v>
      </c>
      <c r="R68" s="164">
        <f t="shared" ca="1" si="220"/>
        <v>0</v>
      </c>
      <c r="S68" s="164">
        <f t="shared" ca="1" si="221"/>
        <v>0</v>
      </c>
      <c r="T68" s="164">
        <f t="shared" ca="1" si="222"/>
        <v>0</v>
      </c>
      <c r="U68" s="164">
        <f t="shared" ca="1" si="223"/>
        <v>0</v>
      </c>
      <c r="V68" s="164">
        <f t="shared" ca="1" si="224"/>
        <v>0</v>
      </c>
      <c r="W68" s="164">
        <f t="shared" ca="1" si="225"/>
        <v>0</v>
      </c>
      <c r="X68" s="164">
        <f t="shared" ca="1" si="226"/>
        <v>0</v>
      </c>
      <c r="Y68" s="164">
        <f t="shared" ca="1" si="227"/>
        <v>0</v>
      </c>
      <c r="Z68" s="164">
        <f t="shared" ca="1" si="228"/>
        <v>0</v>
      </c>
      <c r="AA68" s="164">
        <f t="shared" ca="1" si="229"/>
        <v>0</v>
      </c>
      <c r="AB68" s="164">
        <f t="shared" ca="1" si="230"/>
        <v>0</v>
      </c>
      <c r="AC68" s="164">
        <f t="shared" ca="1" si="231"/>
        <v>0</v>
      </c>
      <c r="AD68" s="164">
        <f t="shared" ca="1" si="232"/>
        <v>0</v>
      </c>
      <c r="AE68" s="164">
        <f t="shared" ca="1" si="233"/>
        <v>0</v>
      </c>
      <c r="AF68" s="164">
        <f t="shared" ca="1" si="234"/>
        <v>0</v>
      </c>
      <c r="AG68" s="164">
        <f t="shared" ca="1" si="235"/>
        <v>0</v>
      </c>
      <c r="AH68" s="164">
        <f t="shared" ca="1" si="236"/>
        <v>0</v>
      </c>
      <c r="AI68" s="164">
        <f t="shared" ca="1" si="237"/>
        <v>0</v>
      </c>
      <c r="AJ68" s="164">
        <f t="shared" ca="1" si="238"/>
        <v>0</v>
      </c>
      <c r="AK68" s="164">
        <f t="shared" ca="1" si="239"/>
        <v>0</v>
      </c>
      <c r="AL68" s="164">
        <f t="shared" ca="1" si="240"/>
        <v>0</v>
      </c>
      <c r="AM68" s="208"/>
      <c r="AN68" s="164">
        <f t="shared" si="241"/>
        <v>0</v>
      </c>
      <c r="AO68" s="164">
        <f t="shared" ca="1" si="242"/>
        <v>0</v>
      </c>
      <c r="AP68" s="164">
        <f t="shared" ca="1" si="243"/>
        <v>0</v>
      </c>
      <c r="AQ68" s="164">
        <f t="shared" ca="1" si="244"/>
        <v>0</v>
      </c>
      <c r="AR68" s="164">
        <f t="shared" ca="1" si="245"/>
        <v>0</v>
      </c>
      <c r="AS68" s="164">
        <f t="shared" ca="1" si="246"/>
        <v>0</v>
      </c>
      <c r="AT68" s="164">
        <f t="shared" ca="1" si="247"/>
        <v>0</v>
      </c>
      <c r="AU68" s="164">
        <f t="shared" ca="1" si="248"/>
        <v>0</v>
      </c>
      <c r="AV68" s="164">
        <f t="shared" ca="1" si="249"/>
        <v>0</v>
      </c>
      <c r="AW68" s="164">
        <f t="shared" ca="1" si="250"/>
        <v>0</v>
      </c>
      <c r="AX68" s="164">
        <f t="shared" ca="1" si="251"/>
        <v>0</v>
      </c>
      <c r="AY68" s="164">
        <f t="shared" ca="1" si="252"/>
        <v>0</v>
      </c>
      <c r="AZ68" s="164">
        <f t="shared" ca="1" si="253"/>
        <v>0</v>
      </c>
      <c r="BA68" s="164">
        <f t="shared" ca="1" si="254"/>
        <v>0</v>
      </c>
      <c r="BB68" s="164">
        <f t="shared" ca="1" si="255"/>
        <v>0</v>
      </c>
      <c r="BC68" s="164">
        <f t="shared" ca="1" si="256"/>
        <v>0</v>
      </c>
      <c r="BD68" s="164">
        <f t="shared" ca="1" si="257"/>
        <v>0</v>
      </c>
      <c r="BE68" s="164">
        <f t="shared" ca="1" si="258"/>
        <v>0</v>
      </c>
      <c r="BF68" s="164">
        <f t="shared" ca="1" si="259"/>
        <v>0</v>
      </c>
      <c r="BG68" s="164">
        <f t="shared" ca="1" si="260"/>
        <v>0</v>
      </c>
      <c r="BH68" s="164">
        <f t="shared" ca="1" si="261"/>
        <v>0</v>
      </c>
      <c r="BI68" s="164">
        <f t="shared" ca="1" si="262"/>
        <v>0</v>
      </c>
      <c r="BJ68" s="164">
        <f t="shared" ca="1" si="263"/>
        <v>0</v>
      </c>
      <c r="BK68" s="164">
        <f t="shared" ca="1" si="264"/>
        <v>0</v>
      </c>
      <c r="BL68" s="164">
        <f t="shared" ca="1" si="265"/>
        <v>0</v>
      </c>
      <c r="BM68" s="164">
        <f t="shared" ca="1" si="266"/>
        <v>0</v>
      </c>
      <c r="BN68" s="164">
        <f t="shared" ca="1" si="267"/>
        <v>0</v>
      </c>
      <c r="BO68" s="356" t="str">
        <f t="shared" ca="1" si="268"/>
        <v/>
      </c>
      <c r="BP68" s="355" t="str">
        <f t="shared" ca="1" si="269"/>
        <v/>
      </c>
      <c r="BQ68" s="355" t="str">
        <f t="shared" ca="1" si="270"/>
        <v/>
      </c>
      <c r="BR68" s="348">
        <f t="shared" ca="1" si="93"/>
        <v>0</v>
      </c>
      <c r="BS68" s="348">
        <f t="shared" ca="1" si="94"/>
        <v>0</v>
      </c>
      <c r="BT68" s="610">
        <f t="shared" ca="1" si="271"/>
        <v>0</v>
      </c>
      <c r="BU68" s="357">
        <f t="shared" ca="1" si="272"/>
        <v>0</v>
      </c>
      <c r="BV68" s="357">
        <f t="shared" si="273"/>
        <v>0</v>
      </c>
      <c r="BW68" s="357">
        <f t="shared" si="274"/>
        <v>0</v>
      </c>
      <c r="BX68" s="357">
        <f t="shared" ca="1" si="275"/>
        <v>0</v>
      </c>
      <c r="BY68" s="357">
        <f t="shared" ca="1" si="95"/>
        <v>0</v>
      </c>
      <c r="BZ68" s="357"/>
      <c r="CA68" s="357">
        <f t="shared" ca="1" si="96"/>
        <v>0</v>
      </c>
      <c r="CB68" s="357" t="str">
        <f t="shared" ca="1" si="276"/>
        <v/>
      </c>
      <c r="CC68" s="358" t="str">
        <f t="shared" ca="1" si="97"/>
        <v/>
      </c>
      <c r="CD68" s="358" t="str">
        <f t="shared" ca="1" si="98"/>
        <v/>
      </c>
      <c r="CE68" s="357" t="str">
        <f t="shared" ca="1" si="308"/>
        <v>,,,,,,,,</v>
      </c>
      <c r="CF68" s="154" t="str">
        <f t="shared" si="309"/>
        <v/>
      </c>
      <c r="CG68" s="154">
        <f t="shared" ca="1" si="100"/>
        <v>0</v>
      </c>
      <c r="CH68" s="154"/>
      <c r="CI68" s="154"/>
      <c r="CJ68" s="154"/>
      <c r="CK68" s="154"/>
      <c r="CL68" s="154"/>
      <c r="CM68" s="154"/>
      <c r="CN68" t="s">
        <v>784</v>
      </c>
      <c r="CO68" s="169"/>
      <c r="CP68" s="169"/>
      <c r="CQ68" s="169"/>
      <c r="CR68" s="169"/>
      <c r="CS68" s="169"/>
      <c r="CT68" s="169"/>
      <c r="CU68" s="169"/>
      <c r="CV68" s="164" t="str">
        <f t="shared" ca="1" si="277"/>
        <v/>
      </c>
      <c r="CW68" s="164" t="str">
        <f t="shared" ca="1" si="277"/>
        <v/>
      </c>
      <c r="CX68" s="164" t="str">
        <f t="shared" ca="1" si="277"/>
        <v/>
      </c>
      <c r="CY68" s="164" t="str">
        <f t="shared" ca="1" si="277"/>
        <v/>
      </c>
      <c r="CZ68" s="164" t="str">
        <f t="shared" ca="1" si="277"/>
        <v/>
      </c>
      <c r="DA68" s="164" t="str">
        <f t="shared" ca="1" si="277"/>
        <v/>
      </c>
      <c r="DB68" s="164" t="str">
        <f t="shared" ca="1" si="277"/>
        <v/>
      </c>
      <c r="DC68" s="164" t="str">
        <f t="shared" ca="1" si="277"/>
        <v/>
      </c>
      <c r="DD68" s="164" t="str">
        <f t="shared" ca="1" si="277"/>
        <v/>
      </c>
      <c r="DE68" s="164" t="str">
        <f t="shared" ca="1" si="277"/>
        <v/>
      </c>
      <c r="DF68" s="164" t="str">
        <f t="shared" ca="1" si="278"/>
        <v/>
      </c>
      <c r="DG68" s="164" t="str">
        <f t="shared" ca="1" si="278"/>
        <v/>
      </c>
      <c r="DH68" s="164" t="str">
        <f t="shared" ca="1" si="278"/>
        <v/>
      </c>
      <c r="DI68" s="164" t="str">
        <f t="shared" ca="1" si="278"/>
        <v/>
      </c>
      <c r="DJ68" s="164" t="str">
        <f t="shared" ca="1" si="278"/>
        <v/>
      </c>
      <c r="DK68" s="164" t="str">
        <f t="shared" ca="1" si="278"/>
        <v/>
      </c>
      <c r="DL68" s="164" t="str">
        <f t="shared" ca="1" si="278"/>
        <v/>
      </c>
      <c r="DM68" s="164" t="str">
        <f t="shared" ca="1" si="278"/>
        <v/>
      </c>
      <c r="DN68" s="164" t="str">
        <f t="shared" ca="1" si="278"/>
        <v/>
      </c>
      <c r="DO68" s="164" t="str">
        <f t="shared" ca="1" si="278"/>
        <v/>
      </c>
      <c r="DP68" s="164" t="str">
        <f t="shared" ca="1" si="278"/>
        <v/>
      </c>
      <c r="DQ68" s="164" t="str">
        <f t="shared" ca="1" si="278"/>
        <v/>
      </c>
      <c r="DR68" s="208"/>
      <c r="DS68" s="164" t="str">
        <f t="shared" ca="1" si="279"/>
        <v/>
      </c>
      <c r="DT68" s="164" t="str">
        <f t="shared" ca="1" si="280"/>
        <v/>
      </c>
      <c r="DU68" s="164" t="str">
        <f t="shared" ca="1" si="281"/>
        <v/>
      </c>
      <c r="DV68" s="164" t="str">
        <f t="shared" ca="1" si="282"/>
        <v/>
      </c>
      <c r="DW68" s="164" t="str">
        <f t="shared" ca="1" si="283"/>
        <v/>
      </c>
      <c r="DX68" s="164" t="str">
        <f t="shared" ca="1" si="284"/>
        <v/>
      </c>
      <c r="DY68" s="164" t="str">
        <f t="shared" ca="1" si="285"/>
        <v/>
      </c>
      <c r="DZ68" s="164" t="str">
        <f t="shared" ca="1" si="286"/>
        <v/>
      </c>
      <c r="EA68" s="164" t="str">
        <f t="shared" ca="1" si="287"/>
        <v/>
      </c>
      <c r="EB68" s="164" t="str">
        <f t="shared" ca="1" si="288"/>
        <v/>
      </c>
      <c r="EC68" s="164" t="str">
        <f t="shared" ca="1" si="289"/>
        <v/>
      </c>
      <c r="ED68" s="164" t="str">
        <f t="shared" ca="1" si="290"/>
        <v/>
      </c>
      <c r="EE68" s="164" t="str">
        <f t="shared" ca="1" si="291"/>
        <v/>
      </c>
      <c r="EF68" s="164" t="str">
        <f t="shared" ca="1" si="292"/>
        <v/>
      </c>
      <c r="EG68" s="164" t="str">
        <f t="shared" ca="1" si="293"/>
        <v/>
      </c>
      <c r="EH68" s="164" t="str">
        <f t="shared" ca="1" si="294"/>
        <v/>
      </c>
      <c r="EI68" s="164" t="str">
        <f t="shared" ca="1" si="295"/>
        <v/>
      </c>
      <c r="EJ68" s="164" t="str">
        <f t="shared" ca="1" si="296"/>
        <v/>
      </c>
      <c r="EK68" s="164" t="str">
        <f t="shared" ca="1" si="297"/>
        <v/>
      </c>
      <c r="EL68" s="164" t="str">
        <f t="shared" ca="1" si="298"/>
        <v/>
      </c>
      <c r="EM68" s="164" t="str">
        <f t="shared" ca="1" si="299"/>
        <v/>
      </c>
      <c r="EN68" s="164" t="str">
        <f t="shared" ca="1" si="300"/>
        <v/>
      </c>
      <c r="EO68" s="164" t="str">
        <f t="shared" ca="1" si="301"/>
        <v/>
      </c>
      <c r="EP68" s="164" t="str">
        <f t="shared" ca="1" si="302"/>
        <v/>
      </c>
      <c r="EQ68" s="164" t="str">
        <f t="shared" ca="1" si="303"/>
        <v/>
      </c>
      <c r="ER68" s="164" t="str">
        <f t="shared" ca="1" si="304"/>
        <v/>
      </c>
      <c r="ES68" s="164" t="str">
        <f t="shared" ca="1" si="305"/>
        <v/>
      </c>
    </row>
    <row r="69" spans="1:149" x14ac:dyDescent="0.2">
      <c r="A69" s="89" t="str">
        <f t="shared" ca="1" si="306"/>
        <v/>
      </c>
      <c r="B69" s="317" t="str">
        <f t="shared" ca="1" si="213"/>
        <v/>
      </c>
      <c r="C69" s="609" t="str">
        <f t="shared" ca="1" si="214"/>
        <v/>
      </c>
      <c r="D69" s="1956" t="str">
        <f t="shared" ca="1" si="215"/>
        <v/>
      </c>
      <c r="E69" s="1956"/>
      <c r="F69" s="960"/>
      <c r="G69" s="485" t="str">
        <f t="shared" ca="1" si="216"/>
        <v/>
      </c>
      <c r="H69" s="983"/>
      <c r="I69" s="486"/>
      <c r="J69" s="326"/>
      <c r="K69" s="1886" t="str">
        <f t="shared" ca="1" si="217"/>
        <v/>
      </c>
      <c r="L69" s="1888"/>
      <c r="M69" s="296" t="str">
        <f t="shared" ca="1" si="307"/>
        <v/>
      </c>
      <c r="N69" s="1322"/>
      <c r="O69" s="1319"/>
      <c r="P69" s="957" t="str">
        <f t="shared" ca="1" si="218"/>
        <v/>
      </c>
      <c r="Q69" s="164">
        <f t="shared" si="219"/>
        <v>0</v>
      </c>
      <c r="R69" s="164">
        <f t="shared" ca="1" si="220"/>
        <v>0</v>
      </c>
      <c r="S69" s="164">
        <f t="shared" ca="1" si="221"/>
        <v>0</v>
      </c>
      <c r="T69" s="164">
        <f t="shared" ca="1" si="222"/>
        <v>0</v>
      </c>
      <c r="U69" s="164">
        <f t="shared" ca="1" si="223"/>
        <v>0</v>
      </c>
      <c r="V69" s="164">
        <f t="shared" ca="1" si="224"/>
        <v>0</v>
      </c>
      <c r="W69" s="164">
        <f t="shared" ca="1" si="225"/>
        <v>0</v>
      </c>
      <c r="X69" s="164">
        <f t="shared" ca="1" si="226"/>
        <v>0</v>
      </c>
      <c r="Y69" s="164">
        <f t="shared" ca="1" si="227"/>
        <v>0</v>
      </c>
      <c r="Z69" s="164">
        <f t="shared" ca="1" si="228"/>
        <v>0</v>
      </c>
      <c r="AA69" s="164">
        <f t="shared" ca="1" si="229"/>
        <v>0</v>
      </c>
      <c r="AB69" s="164">
        <f t="shared" ca="1" si="230"/>
        <v>0</v>
      </c>
      <c r="AC69" s="164">
        <f t="shared" ca="1" si="231"/>
        <v>0</v>
      </c>
      <c r="AD69" s="164">
        <f t="shared" ca="1" si="232"/>
        <v>0</v>
      </c>
      <c r="AE69" s="164">
        <f t="shared" ca="1" si="233"/>
        <v>0</v>
      </c>
      <c r="AF69" s="164">
        <f t="shared" ca="1" si="234"/>
        <v>0</v>
      </c>
      <c r="AG69" s="164">
        <f t="shared" ca="1" si="235"/>
        <v>0</v>
      </c>
      <c r="AH69" s="164">
        <f t="shared" ca="1" si="236"/>
        <v>0</v>
      </c>
      <c r="AI69" s="164">
        <f t="shared" ca="1" si="237"/>
        <v>0</v>
      </c>
      <c r="AJ69" s="164">
        <f t="shared" ca="1" si="238"/>
        <v>0</v>
      </c>
      <c r="AK69" s="164">
        <f t="shared" ca="1" si="239"/>
        <v>0</v>
      </c>
      <c r="AL69" s="164">
        <f t="shared" ca="1" si="240"/>
        <v>0</v>
      </c>
      <c r="AM69" s="208"/>
      <c r="AN69" s="164">
        <f t="shared" si="241"/>
        <v>0</v>
      </c>
      <c r="AO69" s="164">
        <f t="shared" ca="1" si="242"/>
        <v>0</v>
      </c>
      <c r="AP69" s="164">
        <f t="shared" ca="1" si="243"/>
        <v>0</v>
      </c>
      <c r="AQ69" s="164">
        <f t="shared" ca="1" si="244"/>
        <v>0</v>
      </c>
      <c r="AR69" s="164">
        <f t="shared" ca="1" si="245"/>
        <v>0</v>
      </c>
      <c r="AS69" s="164">
        <f t="shared" ca="1" si="246"/>
        <v>0</v>
      </c>
      <c r="AT69" s="164">
        <f t="shared" ca="1" si="247"/>
        <v>0</v>
      </c>
      <c r="AU69" s="164">
        <f t="shared" ca="1" si="248"/>
        <v>0</v>
      </c>
      <c r="AV69" s="164">
        <f t="shared" ca="1" si="249"/>
        <v>0</v>
      </c>
      <c r="AW69" s="164">
        <f t="shared" ca="1" si="250"/>
        <v>0</v>
      </c>
      <c r="AX69" s="164">
        <f t="shared" ca="1" si="251"/>
        <v>0</v>
      </c>
      <c r="AY69" s="164">
        <f t="shared" ca="1" si="252"/>
        <v>0</v>
      </c>
      <c r="AZ69" s="164">
        <f t="shared" ca="1" si="253"/>
        <v>0</v>
      </c>
      <c r="BA69" s="164">
        <f t="shared" ca="1" si="254"/>
        <v>0</v>
      </c>
      <c r="BB69" s="164">
        <f t="shared" ca="1" si="255"/>
        <v>0</v>
      </c>
      <c r="BC69" s="164">
        <f t="shared" ca="1" si="256"/>
        <v>0</v>
      </c>
      <c r="BD69" s="164">
        <f t="shared" ca="1" si="257"/>
        <v>0</v>
      </c>
      <c r="BE69" s="164">
        <f t="shared" ca="1" si="258"/>
        <v>0</v>
      </c>
      <c r="BF69" s="164">
        <f t="shared" ca="1" si="259"/>
        <v>0</v>
      </c>
      <c r="BG69" s="164">
        <f t="shared" ca="1" si="260"/>
        <v>0</v>
      </c>
      <c r="BH69" s="164">
        <f t="shared" ca="1" si="261"/>
        <v>0</v>
      </c>
      <c r="BI69" s="164">
        <f t="shared" ca="1" si="262"/>
        <v>0</v>
      </c>
      <c r="BJ69" s="164">
        <f t="shared" ca="1" si="263"/>
        <v>0</v>
      </c>
      <c r="BK69" s="164">
        <f t="shared" ca="1" si="264"/>
        <v>0</v>
      </c>
      <c r="BL69" s="164">
        <f t="shared" ca="1" si="265"/>
        <v>0</v>
      </c>
      <c r="BM69" s="164">
        <f t="shared" ca="1" si="266"/>
        <v>0</v>
      </c>
      <c r="BN69" s="164">
        <f t="shared" ca="1" si="267"/>
        <v>0</v>
      </c>
      <c r="BO69" s="356" t="str">
        <f t="shared" ca="1" si="268"/>
        <v/>
      </c>
      <c r="BP69" s="355" t="str">
        <f t="shared" ca="1" si="269"/>
        <v/>
      </c>
      <c r="BQ69" s="355" t="str">
        <f t="shared" ca="1" si="270"/>
        <v/>
      </c>
      <c r="BR69" s="348">
        <f t="shared" ca="1" si="93"/>
        <v>0</v>
      </c>
      <c r="BS69" s="348">
        <f t="shared" ca="1" si="94"/>
        <v>0</v>
      </c>
      <c r="BT69" s="610">
        <f t="shared" ca="1" si="271"/>
        <v>0</v>
      </c>
      <c r="BU69" s="357">
        <f t="shared" ca="1" si="272"/>
        <v>0</v>
      </c>
      <c r="BV69" s="357">
        <f t="shared" si="273"/>
        <v>0</v>
      </c>
      <c r="BW69" s="357">
        <f t="shared" si="274"/>
        <v>0</v>
      </c>
      <c r="BX69" s="357">
        <f t="shared" ca="1" si="275"/>
        <v>0</v>
      </c>
      <c r="BY69" s="357">
        <f t="shared" ca="1" si="95"/>
        <v>0</v>
      </c>
      <c r="BZ69" s="357"/>
      <c r="CA69" s="357">
        <f t="shared" ca="1" si="96"/>
        <v>0</v>
      </c>
      <c r="CB69" s="357" t="str">
        <f t="shared" ca="1" si="276"/>
        <v/>
      </c>
      <c r="CC69" s="358" t="str">
        <f t="shared" ca="1" si="97"/>
        <v/>
      </c>
      <c r="CD69" s="358" t="str">
        <f t="shared" ca="1" si="98"/>
        <v/>
      </c>
      <c r="CE69" s="357" t="str">
        <f t="shared" ca="1" si="308"/>
        <v>,,,,,,,,,</v>
      </c>
      <c r="CF69" s="154" t="str">
        <f t="shared" si="309"/>
        <v/>
      </c>
      <c r="CG69" s="154">
        <f t="shared" ca="1" si="100"/>
        <v>0</v>
      </c>
      <c r="CH69" s="154"/>
      <c r="CI69" s="154"/>
      <c r="CJ69" s="154"/>
      <c r="CK69" s="154"/>
      <c r="CL69" s="154"/>
      <c r="CM69" s="154"/>
      <c r="CN69" t="s">
        <v>784</v>
      </c>
      <c r="CO69" s="169"/>
      <c r="CP69" s="169"/>
      <c r="CQ69" s="169"/>
      <c r="CR69" s="169"/>
      <c r="CS69" s="169"/>
      <c r="CT69" s="169"/>
      <c r="CU69" s="169"/>
      <c r="CV69" s="164" t="str">
        <f t="shared" ca="1" si="277"/>
        <v/>
      </c>
      <c r="CW69" s="164" t="str">
        <f t="shared" ca="1" si="277"/>
        <v/>
      </c>
      <c r="CX69" s="164" t="str">
        <f t="shared" ca="1" si="277"/>
        <v/>
      </c>
      <c r="CY69" s="164" t="str">
        <f t="shared" ca="1" si="277"/>
        <v/>
      </c>
      <c r="CZ69" s="164" t="str">
        <f t="shared" ca="1" si="277"/>
        <v/>
      </c>
      <c r="DA69" s="164" t="str">
        <f t="shared" ca="1" si="277"/>
        <v/>
      </c>
      <c r="DB69" s="164" t="str">
        <f t="shared" ca="1" si="277"/>
        <v/>
      </c>
      <c r="DC69" s="164" t="str">
        <f t="shared" ca="1" si="277"/>
        <v/>
      </c>
      <c r="DD69" s="164" t="str">
        <f t="shared" ca="1" si="277"/>
        <v/>
      </c>
      <c r="DE69" s="164" t="str">
        <f t="shared" ca="1" si="277"/>
        <v/>
      </c>
      <c r="DF69" s="164" t="str">
        <f t="shared" ca="1" si="278"/>
        <v/>
      </c>
      <c r="DG69" s="164" t="str">
        <f t="shared" ca="1" si="278"/>
        <v/>
      </c>
      <c r="DH69" s="164" t="str">
        <f t="shared" ca="1" si="278"/>
        <v/>
      </c>
      <c r="DI69" s="164" t="str">
        <f t="shared" ca="1" si="278"/>
        <v/>
      </c>
      <c r="DJ69" s="164" t="str">
        <f t="shared" ca="1" si="278"/>
        <v/>
      </c>
      <c r="DK69" s="164" t="str">
        <f t="shared" ca="1" si="278"/>
        <v/>
      </c>
      <c r="DL69" s="164" t="str">
        <f t="shared" ca="1" si="278"/>
        <v/>
      </c>
      <c r="DM69" s="164" t="str">
        <f t="shared" ca="1" si="278"/>
        <v/>
      </c>
      <c r="DN69" s="164" t="str">
        <f t="shared" ca="1" si="278"/>
        <v/>
      </c>
      <c r="DO69" s="164" t="str">
        <f t="shared" ca="1" si="278"/>
        <v/>
      </c>
      <c r="DP69" s="164" t="str">
        <f t="shared" ca="1" si="278"/>
        <v/>
      </c>
      <c r="DQ69" s="164" t="str">
        <f t="shared" ca="1" si="278"/>
        <v/>
      </c>
      <c r="DR69" s="208"/>
      <c r="DS69" s="164" t="str">
        <f t="shared" ca="1" si="279"/>
        <v/>
      </c>
      <c r="DT69" s="164" t="str">
        <f t="shared" ca="1" si="280"/>
        <v/>
      </c>
      <c r="DU69" s="164" t="str">
        <f t="shared" ca="1" si="281"/>
        <v/>
      </c>
      <c r="DV69" s="164" t="str">
        <f t="shared" ca="1" si="282"/>
        <v/>
      </c>
      <c r="DW69" s="164" t="str">
        <f t="shared" ca="1" si="283"/>
        <v/>
      </c>
      <c r="DX69" s="164" t="str">
        <f t="shared" ca="1" si="284"/>
        <v/>
      </c>
      <c r="DY69" s="164" t="str">
        <f t="shared" ca="1" si="285"/>
        <v/>
      </c>
      <c r="DZ69" s="164" t="str">
        <f t="shared" ca="1" si="286"/>
        <v/>
      </c>
      <c r="EA69" s="164" t="str">
        <f t="shared" ca="1" si="287"/>
        <v/>
      </c>
      <c r="EB69" s="164" t="str">
        <f t="shared" ca="1" si="288"/>
        <v/>
      </c>
      <c r="EC69" s="164" t="str">
        <f t="shared" ca="1" si="289"/>
        <v/>
      </c>
      <c r="ED69" s="164" t="str">
        <f t="shared" ca="1" si="290"/>
        <v/>
      </c>
      <c r="EE69" s="164" t="str">
        <f t="shared" ca="1" si="291"/>
        <v/>
      </c>
      <c r="EF69" s="164" t="str">
        <f t="shared" ca="1" si="292"/>
        <v/>
      </c>
      <c r="EG69" s="164" t="str">
        <f t="shared" ca="1" si="293"/>
        <v/>
      </c>
      <c r="EH69" s="164" t="str">
        <f t="shared" ca="1" si="294"/>
        <v/>
      </c>
      <c r="EI69" s="164" t="str">
        <f t="shared" ca="1" si="295"/>
        <v/>
      </c>
      <c r="EJ69" s="164" t="str">
        <f t="shared" ca="1" si="296"/>
        <v/>
      </c>
      <c r="EK69" s="164" t="str">
        <f t="shared" ca="1" si="297"/>
        <v/>
      </c>
      <c r="EL69" s="164" t="str">
        <f t="shared" ca="1" si="298"/>
        <v/>
      </c>
      <c r="EM69" s="164" t="str">
        <f t="shared" ca="1" si="299"/>
        <v/>
      </c>
      <c r="EN69" s="164" t="str">
        <f t="shared" ca="1" si="300"/>
        <v/>
      </c>
      <c r="EO69" s="164" t="str">
        <f t="shared" ca="1" si="301"/>
        <v/>
      </c>
      <c r="EP69" s="164" t="str">
        <f t="shared" ca="1" si="302"/>
        <v/>
      </c>
      <c r="EQ69" s="164" t="str">
        <f t="shared" ca="1" si="303"/>
        <v/>
      </c>
      <c r="ER69" s="164" t="str">
        <f t="shared" ca="1" si="304"/>
        <v/>
      </c>
      <c r="ES69" s="164" t="str">
        <f t="shared" ca="1" si="305"/>
        <v/>
      </c>
    </row>
    <row r="70" spans="1:149" x14ac:dyDescent="0.2">
      <c r="A70" s="89" t="str">
        <f t="shared" ca="1" si="306"/>
        <v/>
      </c>
      <c r="B70" s="317" t="str">
        <f t="shared" ca="1" si="213"/>
        <v/>
      </c>
      <c r="C70" s="609" t="str">
        <f t="shared" ca="1" si="214"/>
        <v/>
      </c>
      <c r="D70" s="1956" t="str">
        <f t="shared" ca="1" si="215"/>
        <v/>
      </c>
      <c r="E70" s="1956"/>
      <c r="F70" s="960"/>
      <c r="G70" s="485" t="str">
        <f t="shared" ca="1" si="216"/>
        <v/>
      </c>
      <c r="H70" s="983"/>
      <c r="I70" s="486"/>
      <c r="J70" s="326"/>
      <c r="K70" s="1886" t="str">
        <f t="shared" ca="1" si="217"/>
        <v/>
      </c>
      <c r="L70" s="1888"/>
      <c r="M70" s="296" t="str">
        <f t="shared" ca="1" si="307"/>
        <v/>
      </c>
      <c r="N70" s="1322"/>
      <c r="O70" s="1319"/>
      <c r="P70" s="957" t="str">
        <f t="shared" ca="1" si="218"/>
        <v/>
      </c>
      <c r="Q70" s="164">
        <f t="shared" si="219"/>
        <v>0</v>
      </c>
      <c r="R70" s="164">
        <f t="shared" ca="1" si="220"/>
        <v>0</v>
      </c>
      <c r="S70" s="164">
        <f t="shared" ca="1" si="221"/>
        <v>0</v>
      </c>
      <c r="T70" s="164">
        <f t="shared" ca="1" si="222"/>
        <v>0</v>
      </c>
      <c r="U70" s="164">
        <f t="shared" ca="1" si="223"/>
        <v>0</v>
      </c>
      <c r="V70" s="164">
        <f t="shared" ca="1" si="224"/>
        <v>0</v>
      </c>
      <c r="W70" s="164">
        <f t="shared" ca="1" si="225"/>
        <v>0</v>
      </c>
      <c r="X70" s="164">
        <f t="shared" ca="1" si="226"/>
        <v>0</v>
      </c>
      <c r="Y70" s="164">
        <f t="shared" ca="1" si="227"/>
        <v>0</v>
      </c>
      <c r="Z70" s="164">
        <f t="shared" ca="1" si="228"/>
        <v>0</v>
      </c>
      <c r="AA70" s="164">
        <f t="shared" ca="1" si="229"/>
        <v>0</v>
      </c>
      <c r="AB70" s="164">
        <f t="shared" ca="1" si="230"/>
        <v>0</v>
      </c>
      <c r="AC70" s="164">
        <f t="shared" ca="1" si="231"/>
        <v>0</v>
      </c>
      <c r="AD70" s="164">
        <f t="shared" ca="1" si="232"/>
        <v>0</v>
      </c>
      <c r="AE70" s="164">
        <f t="shared" ca="1" si="233"/>
        <v>0</v>
      </c>
      <c r="AF70" s="164">
        <f t="shared" ca="1" si="234"/>
        <v>0</v>
      </c>
      <c r="AG70" s="164">
        <f t="shared" ca="1" si="235"/>
        <v>0</v>
      </c>
      <c r="AH70" s="164">
        <f t="shared" ca="1" si="236"/>
        <v>0</v>
      </c>
      <c r="AI70" s="164">
        <f t="shared" ca="1" si="237"/>
        <v>0</v>
      </c>
      <c r="AJ70" s="164">
        <f t="shared" ca="1" si="238"/>
        <v>0</v>
      </c>
      <c r="AK70" s="164">
        <f t="shared" ca="1" si="239"/>
        <v>0</v>
      </c>
      <c r="AL70" s="164">
        <f t="shared" ca="1" si="240"/>
        <v>0</v>
      </c>
      <c r="AM70" s="208"/>
      <c r="AN70" s="164">
        <f t="shared" si="241"/>
        <v>0</v>
      </c>
      <c r="AO70" s="164">
        <f t="shared" ca="1" si="242"/>
        <v>0</v>
      </c>
      <c r="AP70" s="164">
        <f t="shared" ca="1" si="243"/>
        <v>0</v>
      </c>
      <c r="AQ70" s="164">
        <f t="shared" ca="1" si="244"/>
        <v>0</v>
      </c>
      <c r="AR70" s="164">
        <f t="shared" ca="1" si="245"/>
        <v>0</v>
      </c>
      <c r="AS70" s="164">
        <f t="shared" ca="1" si="246"/>
        <v>0</v>
      </c>
      <c r="AT70" s="164">
        <f t="shared" ca="1" si="247"/>
        <v>0</v>
      </c>
      <c r="AU70" s="164">
        <f t="shared" ca="1" si="248"/>
        <v>0</v>
      </c>
      <c r="AV70" s="164">
        <f t="shared" ca="1" si="249"/>
        <v>0</v>
      </c>
      <c r="AW70" s="164">
        <f t="shared" ca="1" si="250"/>
        <v>0</v>
      </c>
      <c r="AX70" s="164">
        <f t="shared" ca="1" si="251"/>
        <v>0</v>
      </c>
      <c r="AY70" s="164">
        <f t="shared" ca="1" si="252"/>
        <v>0</v>
      </c>
      <c r="AZ70" s="164">
        <f t="shared" ca="1" si="253"/>
        <v>0</v>
      </c>
      <c r="BA70" s="164">
        <f t="shared" ca="1" si="254"/>
        <v>0</v>
      </c>
      <c r="BB70" s="164">
        <f t="shared" ca="1" si="255"/>
        <v>0</v>
      </c>
      <c r="BC70" s="164">
        <f t="shared" ca="1" si="256"/>
        <v>0</v>
      </c>
      <c r="BD70" s="164">
        <f t="shared" ca="1" si="257"/>
        <v>0</v>
      </c>
      <c r="BE70" s="164">
        <f t="shared" ca="1" si="258"/>
        <v>0</v>
      </c>
      <c r="BF70" s="164">
        <f t="shared" ca="1" si="259"/>
        <v>0</v>
      </c>
      <c r="BG70" s="164">
        <f t="shared" ca="1" si="260"/>
        <v>0</v>
      </c>
      <c r="BH70" s="164">
        <f t="shared" ca="1" si="261"/>
        <v>0</v>
      </c>
      <c r="BI70" s="164">
        <f t="shared" ca="1" si="262"/>
        <v>0</v>
      </c>
      <c r="BJ70" s="164">
        <f t="shared" ca="1" si="263"/>
        <v>0</v>
      </c>
      <c r="BK70" s="164">
        <f t="shared" ca="1" si="264"/>
        <v>0</v>
      </c>
      <c r="BL70" s="164">
        <f t="shared" ca="1" si="265"/>
        <v>0</v>
      </c>
      <c r="BM70" s="164">
        <f t="shared" ca="1" si="266"/>
        <v>0</v>
      </c>
      <c r="BN70" s="164">
        <f t="shared" ca="1" si="267"/>
        <v>0</v>
      </c>
      <c r="BO70" s="356" t="str">
        <f t="shared" ca="1" si="268"/>
        <v/>
      </c>
      <c r="BP70" s="355" t="str">
        <f t="shared" ca="1" si="269"/>
        <v/>
      </c>
      <c r="BQ70" s="355" t="str">
        <f t="shared" ca="1" si="270"/>
        <v/>
      </c>
      <c r="BR70" s="348">
        <f t="shared" ca="1" si="93"/>
        <v>0</v>
      </c>
      <c r="BS70" s="348">
        <f t="shared" ca="1" si="94"/>
        <v>0</v>
      </c>
      <c r="BT70" s="610">
        <f t="shared" ca="1" si="271"/>
        <v>0</v>
      </c>
      <c r="BU70" s="357">
        <f t="shared" ca="1" si="272"/>
        <v>0</v>
      </c>
      <c r="BV70" s="357">
        <f t="shared" si="273"/>
        <v>0</v>
      </c>
      <c r="BW70" s="357">
        <f t="shared" si="274"/>
        <v>0</v>
      </c>
      <c r="BX70" s="357">
        <f t="shared" ca="1" si="275"/>
        <v>0</v>
      </c>
      <c r="BY70" s="357">
        <f t="shared" ca="1" si="95"/>
        <v>0</v>
      </c>
      <c r="BZ70" s="357"/>
      <c r="CA70" s="357">
        <f t="shared" ca="1" si="96"/>
        <v>0</v>
      </c>
      <c r="CB70" s="357" t="str">
        <f t="shared" ca="1" si="276"/>
        <v/>
      </c>
      <c r="CC70" s="358" t="str">
        <f t="shared" ca="1" si="97"/>
        <v/>
      </c>
      <c r="CD70" s="358" t="str">
        <f t="shared" ca="1" si="98"/>
        <v/>
      </c>
      <c r="CE70" s="357" t="str">
        <f t="shared" ca="1" si="308"/>
        <v>,,,,,,,,,,</v>
      </c>
      <c r="CF70" s="154" t="str">
        <f t="shared" si="309"/>
        <v/>
      </c>
      <c r="CG70" s="154">
        <f t="shared" ca="1" si="100"/>
        <v>0</v>
      </c>
      <c r="CH70" s="154"/>
      <c r="CI70" s="154"/>
      <c r="CJ70" s="154"/>
      <c r="CK70" s="154"/>
      <c r="CL70" s="154"/>
      <c r="CM70" s="154"/>
      <c r="CN70" t="s">
        <v>784</v>
      </c>
      <c r="CO70" s="169"/>
      <c r="CP70" s="169"/>
      <c r="CQ70" s="169"/>
      <c r="CR70" s="169"/>
      <c r="CS70" s="169"/>
      <c r="CT70" s="169"/>
      <c r="CU70" s="169"/>
      <c r="CV70" s="164" t="str">
        <f t="shared" ca="1" si="277"/>
        <v/>
      </c>
      <c r="CW70" s="164" t="str">
        <f t="shared" ca="1" si="277"/>
        <v/>
      </c>
      <c r="CX70" s="164" t="str">
        <f t="shared" ca="1" si="277"/>
        <v/>
      </c>
      <c r="CY70" s="164" t="str">
        <f t="shared" ca="1" si="277"/>
        <v/>
      </c>
      <c r="CZ70" s="164" t="str">
        <f t="shared" ca="1" si="277"/>
        <v/>
      </c>
      <c r="DA70" s="164" t="str">
        <f t="shared" ca="1" si="277"/>
        <v/>
      </c>
      <c r="DB70" s="164" t="str">
        <f t="shared" ca="1" si="277"/>
        <v/>
      </c>
      <c r="DC70" s="164" t="str">
        <f t="shared" ca="1" si="277"/>
        <v/>
      </c>
      <c r="DD70" s="164" t="str">
        <f t="shared" ca="1" si="277"/>
        <v/>
      </c>
      <c r="DE70" s="164" t="str">
        <f t="shared" ca="1" si="277"/>
        <v/>
      </c>
      <c r="DF70" s="164" t="str">
        <f t="shared" ca="1" si="278"/>
        <v/>
      </c>
      <c r="DG70" s="164" t="str">
        <f t="shared" ca="1" si="278"/>
        <v/>
      </c>
      <c r="DH70" s="164" t="str">
        <f t="shared" ca="1" si="278"/>
        <v/>
      </c>
      <c r="DI70" s="164" t="str">
        <f t="shared" ca="1" si="278"/>
        <v/>
      </c>
      <c r="DJ70" s="164" t="str">
        <f t="shared" ca="1" si="278"/>
        <v/>
      </c>
      <c r="DK70" s="164" t="str">
        <f t="shared" ca="1" si="278"/>
        <v/>
      </c>
      <c r="DL70" s="164" t="str">
        <f t="shared" ca="1" si="278"/>
        <v/>
      </c>
      <c r="DM70" s="164" t="str">
        <f t="shared" ca="1" si="278"/>
        <v/>
      </c>
      <c r="DN70" s="164" t="str">
        <f t="shared" ca="1" si="278"/>
        <v/>
      </c>
      <c r="DO70" s="164" t="str">
        <f t="shared" ca="1" si="278"/>
        <v/>
      </c>
      <c r="DP70" s="164" t="str">
        <f t="shared" ca="1" si="278"/>
        <v/>
      </c>
      <c r="DQ70" s="164" t="str">
        <f t="shared" ca="1" si="278"/>
        <v/>
      </c>
      <c r="DR70" s="208"/>
      <c r="DS70" s="164" t="str">
        <f t="shared" ca="1" si="279"/>
        <v/>
      </c>
      <c r="DT70" s="164" t="str">
        <f t="shared" ca="1" si="280"/>
        <v/>
      </c>
      <c r="DU70" s="164" t="str">
        <f t="shared" ca="1" si="281"/>
        <v/>
      </c>
      <c r="DV70" s="164" t="str">
        <f t="shared" ca="1" si="282"/>
        <v/>
      </c>
      <c r="DW70" s="164" t="str">
        <f t="shared" ca="1" si="283"/>
        <v/>
      </c>
      <c r="DX70" s="164" t="str">
        <f t="shared" ca="1" si="284"/>
        <v/>
      </c>
      <c r="DY70" s="164" t="str">
        <f t="shared" ca="1" si="285"/>
        <v/>
      </c>
      <c r="DZ70" s="164" t="str">
        <f t="shared" ca="1" si="286"/>
        <v/>
      </c>
      <c r="EA70" s="164" t="str">
        <f t="shared" ca="1" si="287"/>
        <v/>
      </c>
      <c r="EB70" s="164" t="str">
        <f t="shared" ca="1" si="288"/>
        <v/>
      </c>
      <c r="EC70" s="164" t="str">
        <f t="shared" ca="1" si="289"/>
        <v/>
      </c>
      <c r="ED70" s="164" t="str">
        <f t="shared" ca="1" si="290"/>
        <v/>
      </c>
      <c r="EE70" s="164" t="str">
        <f t="shared" ca="1" si="291"/>
        <v/>
      </c>
      <c r="EF70" s="164" t="str">
        <f t="shared" ca="1" si="292"/>
        <v/>
      </c>
      <c r="EG70" s="164" t="str">
        <f t="shared" ca="1" si="293"/>
        <v/>
      </c>
      <c r="EH70" s="164" t="str">
        <f t="shared" ca="1" si="294"/>
        <v/>
      </c>
      <c r="EI70" s="164" t="str">
        <f t="shared" ca="1" si="295"/>
        <v/>
      </c>
      <c r="EJ70" s="164" t="str">
        <f t="shared" ca="1" si="296"/>
        <v/>
      </c>
      <c r="EK70" s="164" t="str">
        <f t="shared" ca="1" si="297"/>
        <v/>
      </c>
      <c r="EL70" s="164" t="str">
        <f t="shared" ca="1" si="298"/>
        <v/>
      </c>
      <c r="EM70" s="164" t="str">
        <f t="shared" ca="1" si="299"/>
        <v/>
      </c>
      <c r="EN70" s="164" t="str">
        <f t="shared" ca="1" si="300"/>
        <v/>
      </c>
      <c r="EO70" s="164" t="str">
        <f t="shared" ca="1" si="301"/>
        <v/>
      </c>
      <c r="EP70" s="164" t="str">
        <f t="shared" ca="1" si="302"/>
        <v/>
      </c>
      <c r="EQ70" s="164" t="str">
        <f t="shared" ca="1" si="303"/>
        <v/>
      </c>
      <c r="ER70" s="164" t="str">
        <f t="shared" ca="1" si="304"/>
        <v/>
      </c>
      <c r="ES70" s="164" t="str">
        <f t="shared" ca="1" si="305"/>
        <v/>
      </c>
    </row>
    <row r="71" spans="1:149" x14ac:dyDescent="0.2">
      <c r="A71" s="89" t="str">
        <f t="shared" ca="1" si="306"/>
        <v/>
      </c>
      <c r="B71" s="317" t="str">
        <f t="shared" ca="1" si="213"/>
        <v/>
      </c>
      <c r="C71" s="609" t="str">
        <f t="shared" ca="1" si="214"/>
        <v/>
      </c>
      <c r="D71" s="1956" t="str">
        <f t="shared" ca="1" si="215"/>
        <v/>
      </c>
      <c r="E71" s="1956"/>
      <c r="F71" s="960"/>
      <c r="G71" s="485" t="str">
        <f t="shared" ca="1" si="216"/>
        <v/>
      </c>
      <c r="H71" s="983"/>
      <c r="I71" s="486"/>
      <c r="J71" s="326"/>
      <c r="K71" s="1886" t="str">
        <f t="shared" ca="1" si="217"/>
        <v/>
      </c>
      <c r="L71" s="1888"/>
      <c r="M71" s="296" t="str">
        <f t="shared" ca="1" si="307"/>
        <v/>
      </c>
      <c r="N71" s="1322"/>
      <c r="O71" s="1319"/>
      <c r="P71" s="957" t="str">
        <f t="shared" ca="1" si="218"/>
        <v/>
      </c>
      <c r="Q71" s="164">
        <f t="shared" si="219"/>
        <v>0</v>
      </c>
      <c r="R71" s="164">
        <f t="shared" ca="1" si="220"/>
        <v>0</v>
      </c>
      <c r="S71" s="164">
        <f t="shared" ca="1" si="221"/>
        <v>0</v>
      </c>
      <c r="T71" s="164">
        <f t="shared" ca="1" si="222"/>
        <v>0</v>
      </c>
      <c r="U71" s="164">
        <f t="shared" ca="1" si="223"/>
        <v>0</v>
      </c>
      <c r="V71" s="164">
        <f t="shared" ca="1" si="224"/>
        <v>0</v>
      </c>
      <c r="W71" s="164">
        <f t="shared" ca="1" si="225"/>
        <v>0</v>
      </c>
      <c r="X71" s="164">
        <f t="shared" ca="1" si="226"/>
        <v>0</v>
      </c>
      <c r="Y71" s="164">
        <f t="shared" ca="1" si="227"/>
        <v>0</v>
      </c>
      <c r="Z71" s="164">
        <f t="shared" ca="1" si="228"/>
        <v>0</v>
      </c>
      <c r="AA71" s="164">
        <f t="shared" ca="1" si="229"/>
        <v>0</v>
      </c>
      <c r="AB71" s="164">
        <f t="shared" ca="1" si="230"/>
        <v>0</v>
      </c>
      <c r="AC71" s="164">
        <f t="shared" ca="1" si="231"/>
        <v>0</v>
      </c>
      <c r="AD71" s="164">
        <f t="shared" ca="1" si="232"/>
        <v>0</v>
      </c>
      <c r="AE71" s="164">
        <f t="shared" ca="1" si="233"/>
        <v>0</v>
      </c>
      <c r="AF71" s="164">
        <f t="shared" ca="1" si="234"/>
        <v>0</v>
      </c>
      <c r="AG71" s="164">
        <f t="shared" ca="1" si="235"/>
        <v>0</v>
      </c>
      <c r="AH71" s="164">
        <f t="shared" ca="1" si="236"/>
        <v>0</v>
      </c>
      <c r="AI71" s="164">
        <f t="shared" ca="1" si="237"/>
        <v>0</v>
      </c>
      <c r="AJ71" s="164">
        <f t="shared" ca="1" si="238"/>
        <v>0</v>
      </c>
      <c r="AK71" s="164">
        <f t="shared" ca="1" si="239"/>
        <v>0</v>
      </c>
      <c r="AL71" s="164">
        <f t="shared" ca="1" si="240"/>
        <v>0</v>
      </c>
      <c r="AM71" s="208"/>
      <c r="AN71" s="164">
        <f t="shared" si="241"/>
        <v>0</v>
      </c>
      <c r="AO71" s="164">
        <f t="shared" ca="1" si="242"/>
        <v>0</v>
      </c>
      <c r="AP71" s="164">
        <f t="shared" ca="1" si="243"/>
        <v>0</v>
      </c>
      <c r="AQ71" s="164">
        <f t="shared" ca="1" si="244"/>
        <v>0</v>
      </c>
      <c r="AR71" s="164">
        <f t="shared" ca="1" si="245"/>
        <v>0</v>
      </c>
      <c r="AS71" s="164">
        <f t="shared" ca="1" si="246"/>
        <v>0</v>
      </c>
      <c r="AT71" s="164">
        <f t="shared" ca="1" si="247"/>
        <v>0</v>
      </c>
      <c r="AU71" s="164">
        <f t="shared" ca="1" si="248"/>
        <v>0</v>
      </c>
      <c r="AV71" s="164">
        <f t="shared" ca="1" si="249"/>
        <v>0</v>
      </c>
      <c r="AW71" s="164">
        <f t="shared" ca="1" si="250"/>
        <v>0</v>
      </c>
      <c r="AX71" s="164">
        <f t="shared" ca="1" si="251"/>
        <v>0</v>
      </c>
      <c r="AY71" s="164">
        <f t="shared" ca="1" si="252"/>
        <v>0</v>
      </c>
      <c r="AZ71" s="164">
        <f t="shared" ca="1" si="253"/>
        <v>0</v>
      </c>
      <c r="BA71" s="164">
        <f t="shared" ca="1" si="254"/>
        <v>0</v>
      </c>
      <c r="BB71" s="164">
        <f t="shared" ca="1" si="255"/>
        <v>0</v>
      </c>
      <c r="BC71" s="164">
        <f t="shared" ca="1" si="256"/>
        <v>0</v>
      </c>
      <c r="BD71" s="164">
        <f t="shared" ca="1" si="257"/>
        <v>0</v>
      </c>
      <c r="BE71" s="164">
        <f t="shared" ca="1" si="258"/>
        <v>0</v>
      </c>
      <c r="BF71" s="164">
        <f t="shared" ca="1" si="259"/>
        <v>0</v>
      </c>
      <c r="BG71" s="164">
        <f t="shared" ca="1" si="260"/>
        <v>0</v>
      </c>
      <c r="BH71" s="164">
        <f t="shared" ca="1" si="261"/>
        <v>0</v>
      </c>
      <c r="BI71" s="164">
        <f t="shared" ca="1" si="262"/>
        <v>0</v>
      </c>
      <c r="BJ71" s="164">
        <f t="shared" ca="1" si="263"/>
        <v>0</v>
      </c>
      <c r="BK71" s="164">
        <f t="shared" ca="1" si="264"/>
        <v>0</v>
      </c>
      <c r="BL71" s="164">
        <f t="shared" ca="1" si="265"/>
        <v>0</v>
      </c>
      <c r="BM71" s="164">
        <f t="shared" ca="1" si="266"/>
        <v>0</v>
      </c>
      <c r="BN71" s="164">
        <f t="shared" ca="1" si="267"/>
        <v>0</v>
      </c>
      <c r="BO71" s="356" t="str">
        <f t="shared" ca="1" si="268"/>
        <v/>
      </c>
      <c r="BP71" s="355" t="str">
        <f t="shared" ca="1" si="269"/>
        <v/>
      </c>
      <c r="BQ71" s="355" t="str">
        <f t="shared" ca="1" si="270"/>
        <v/>
      </c>
      <c r="BR71" s="348">
        <f t="shared" ca="1" si="93"/>
        <v>0</v>
      </c>
      <c r="BS71" s="348">
        <f t="shared" ca="1" si="94"/>
        <v>0</v>
      </c>
      <c r="BT71" s="610">
        <f t="shared" ca="1" si="271"/>
        <v>0</v>
      </c>
      <c r="BU71" s="357">
        <f t="shared" ca="1" si="272"/>
        <v>0</v>
      </c>
      <c r="BV71" s="357">
        <f t="shared" si="273"/>
        <v>0</v>
      </c>
      <c r="BW71" s="357">
        <f t="shared" si="274"/>
        <v>0</v>
      </c>
      <c r="BX71" s="357">
        <f t="shared" ca="1" si="275"/>
        <v>0</v>
      </c>
      <c r="BY71" s="357">
        <f t="shared" ca="1" si="95"/>
        <v>0</v>
      </c>
      <c r="BZ71" s="357"/>
      <c r="CA71" s="357">
        <f t="shared" ca="1" si="96"/>
        <v>0</v>
      </c>
      <c r="CB71" s="357" t="str">
        <f t="shared" ca="1" si="276"/>
        <v/>
      </c>
      <c r="CC71" s="358" t="str">
        <f t="shared" ca="1" si="97"/>
        <v/>
      </c>
      <c r="CD71" s="358" t="str">
        <f t="shared" ca="1" si="98"/>
        <v/>
      </c>
      <c r="CE71" s="357" t="str">
        <f t="shared" ca="1" si="308"/>
        <v>,,,,,,,,,,,</v>
      </c>
      <c r="CF71" s="154" t="str">
        <f t="shared" si="309"/>
        <v/>
      </c>
      <c r="CG71" s="154">
        <f t="shared" ca="1" si="100"/>
        <v>0</v>
      </c>
      <c r="CH71" s="154"/>
      <c r="CI71" s="154"/>
      <c r="CJ71" s="154"/>
      <c r="CK71" s="154"/>
      <c r="CL71" s="154"/>
      <c r="CM71" s="154"/>
      <c r="CN71" t="s">
        <v>784</v>
      </c>
      <c r="CO71" s="169"/>
      <c r="CP71" s="169"/>
      <c r="CQ71" s="169"/>
      <c r="CR71" s="169"/>
      <c r="CS71" s="169"/>
      <c r="CT71" s="169"/>
      <c r="CU71" s="169"/>
      <c r="CV71" s="164" t="str">
        <f t="shared" ref="CV71:DE80" ca="1" si="310">IF($A71="","",IF(VT_VRTLZBR,CODE("F"),CODE(VLOOKUP($A71,ZAUBERWERTE,10,FALSE))-
SUM($BR71:$CA71,
IF(ISERR(FIND(";"&amp;CV$10&amp;";",$H71)),0,1),
IF(ISERR(FIND(";"&amp;CV$10&amp;":",$H71)),0,VALUE(MID($H71,FIND(";"&amp;CV$10&amp;":",$H71)+LEN(CV$10)+2,1))),
IF(AND(NOT(EXACT($AF$241,"")),OR(CV$10&gt;$CO71,ISBLANK($CO71))),IF($CV$3,IF(ISERROR(FIND($AF$241,$BQ71)),0,1),(LEN($BQ71)-LEN(SUBSTITUTE($BQ71,$AF$241,"")))/LEN($AF$241)),0),
IF(AND(NOT(EXACT($AF$242,"")),OR(CV$10&gt;$CP71,ISBLANK($CP71))),IF($CV$3,IF(ISERROR(FIND($AF$242,$BQ71)),0,1),(LEN($BQ71)-LEN(SUBSTITUTE($BQ71,$AF$242,"")))/LEN($AF$242)),0),
IF(AND(NOT(EXACT($AF$243,"")),OR(CV$10&gt;$CQ71,ISBLANK($CQ71))),IF($CV$3,IF(ISERROR(FIND($AF$243,$BQ71)),0,1),(LEN($BQ71)-LEN(SUBSTITUTE($BQ71,$AF$243,"")))/LEN($AF$243)),0),
IF(AND(NOT(EXACT($AF$244,"")),OR(CV$10&gt;$CR71,ISBLANK($CR71))),IF($CV$3,IF(ISERROR(FIND($AF$244,$BQ71)),0,1),(LEN($BQ71)-LEN(SUBSTITUTE($BQ71,$AF$244,"")))/LEN($AF$244)),0),
IF(AND(NOT(EXACT($AF$245,"")),OR(CV$10&gt;$CS71,ISBLANK($CS71))),IF($CV$3,IF(ISERROR(FIND($AF$245,$BQ71)),0,1),(LEN($BQ71)-LEN(SUBSTITUTE($BQ71,$AF$245,"")))/LEN($AF$245)),0),
IF(AND(NOT(EXACT($AF$246,"")),OR(CV$10&gt;$CT71,ISBLANK($CT71))),IF($CV$3,IF(ISERROR(FIND($AF$246,$BQ71)),0,1),(LEN($BQ71)-LEN(SUBSTITUTE($BQ71,$AF$246,"")))/LEN($AF$246)),0),
IF(AND(NOT(EXACT($AF$247,"")),OR(CV$10&gt;$CU71,ISBLANK($CU71))),IF($CV$3,IF(ISERROR(FIND($AF$247,$BQ71)),0,1),(LEN($BQ71)-LEN(SUBSTITUTE($BQ71,$AF$247,"")))/LEN($AF$247)),0)
)))</f>
        <v/>
      </c>
      <c r="CW71" s="164" t="str">
        <f t="shared" ca="1" si="310"/>
        <v/>
      </c>
      <c r="CX71" s="164" t="str">
        <f t="shared" ca="1" si="310"/>
        <v/>
      </c>
      <c r="CY71" s="164" t="str">
        <f t="shared" ca="1" si="310"/>
        <v/>
      </c>
      <c r="CZ71" s="164" t="str">
        <f t="shared" ca="1" si="310"/>
        <v/>
      </c>
      <c r="DA71" s="164" t="str">
        <f t="shared" ca="1" si="310"/>
        <v/>
      </c>
      <c r="DB71" s="164" t="str">
        <f t="shared" ca="1" si="310"/>
        <v/>
      </c>
      <c r="DC71" s="164" t="str">
        <f t="shared" ca="1" si="310"/>
        <v/>
      </c>
      <c r="DD71" s="164" t="str">
        <f t="shared" ca="1" si="310"/>
        <v/>
      </c>
      <c r="DE71" s="164" t="str">
        <f t="shared" ca="1" si="310"/>
        <v/>
      </c>
      <c r="DF71" s="164" t="str">
        <f t="shared" ref="DF71:DQ80" ca="1" si="311">IF($A71="","",IF(VT_VRTLZBR,CODE("F"),CODE(VLOOKUP($A71,ZAUBERWERTE,10,FALSE))-
SUM($BR71:$CA71,
IF(ISERR(FIND(";"&amp;DF$10&amp;";",$H71)),0,1),
IF(ISERR(FIND(";"&amp;DF$10&amp;":",$H71)),0,VALUE(MID($H71,FIND(";"&amp;DF$10&amp;":",$H71)+LEN(DF$10)+2,1))),
IF(AND(NOT(EXACT($AF$241,"")),OR(DF$10&gt;$CO71,ISBLANK($CO71))),IF($CV$3,IF(ISERROR(FIND($AF$241,$BQ71)),0,1),(LEN($BQ71)-LEN(SUBSTITUTE($BQ71,$AF$241,"")))/LEN($AF$241)),0),
IF(AND(NOT(EXACT($AF$242,"")),OR(DF$10&gt;$CP71,ISBLANK($CP71))),IF($CV$3,IF(ISERROR(FIND($AF$242,$BQ71)),0,1),(LEN($BQ71)-LEN(SUBSTITUTE($BQ71,$AF$242,"")))/LEN($AF$242)),0),
IF(AND(NOT(EXACT($AF$243,"")),OR(DF$10&gt;$CQ71,ISBLANK($CQ71))),IF($CV$3,IF(ISERROR(FIND($AF$243,$BQ71)),0,1),(LEN($BQ71)-LEN(SUBSTITUTE($BQ71,$AF$243,"")))/LEN($AF$243)),0),
IF(AND(NOT(EXACT($AF$244,"")),OR(DF$10&gt;$CR71,ISBLANK($CR71))),IF($CV$3,IF(ISERROR(FIND($AF$244,$BQ71)),0,1),(LEN($BQ71)-LEN(SUBSTITUTE($BQ71,$AF$244,"")))/LEN($AF$244)),0),
IF(AND(NOT(EXACT($AF$245,"")),OR(DF$10&gt;$CS71,ISBLANK($CS71))),IF($CV$3,IF(ISERROR(FIND($AF$245,$BQ71)),0,1),(LEN($BQ71)-LEN(SUBSTITUTE($BQ71,$AF$245,"")))/LEN($AF$245)),0),
IF(AND(NOT(EXACT($AF$246,"")),OR(DF$10&gt;$CT71,ISBLANK($CT71))),IF($CV$3,IF(ISERROR(FIND($AF$246,$BQ71)),0,1),(LEN($BQ71)-LEN(SUBSTITUTE($BQ71,$AF$246,"")))/LEN($AF$246)),0),
IF(AND(NOT(EXACT($AF$247,"")),OR(DF$10&gt;$CU71,ISBLANK($CU71))),IF($CV$3,IF(ISERROR(FIND($AF$247,$BQ71)),0,1),(LEN($BQ71)-LEN(SUBSTITUTE($BQ71,$AF$247,"")))/LEN($AF$247)),0)
)))</f>
        <v/>
      </c>
      <c r="DG71" s="164" t="str">
        <f t="shared" ca="1" si="311"/>
        <v/>
      </c>
      <c r="DH71" s="164" t="str">
        <f t="shared" ca="1" si="311"/>
        <v/>
      </c>
      <c r="DI71" s="164" t="str">
        <f t="shared" ca="1" si="311"/>
        <v/>
      </c>
      <c r="DJ71" s="164" t="str">
        <f t="shared" ca="1" si="311"/>
        <v/>
      </c>
      <c r="DK71" s="164" t="str">
        <f t="shared" ca="1" si="311"/>
        <v/>
      </c>
      <c r="DL71" s="164" t="str">
        <f t="shared" ca="1" si="311"/>
        <v/>
      </c>
      <c r="DM71" s="164" t="str">
        <f t="shared" ca="1" si="311"/>
        <v/>
      </c>
      <c r="DN71" s="164" t="str">
        <f t="shared" ca="1" si="311"/>
        <v/>
      </c>
      <c r="DO71" s="164" t="str">
        <f t="shared" ca="1" si="311"/>
        <v/>
      </c>
      <c r="DP71" s="164" t="str">
        <f t="shared" ca="1" si="311"/>
        <v/>
      </c>
      <c r="DQ71" s="164" t="str">
        <f t="shared" ca="1" si="311"/>
        <v/>
      </c>
      <c r="DR71" s="208"/>
      <c r="DS71" s="164" t="str">
        <f t="shared" ca="1" si="279"/>
        <v/>
      </c>
      <c r="DT71" s="164" t="str">
        <f t="shared" ca="1" si="280"/>
        <v/>
      </c>
      <c r="DU71" s="164" t="str">
        <f t="shared" ca="1" si="281"/>
        <v/>
      </c>
      <c r="DV71" s="164" t="str">
        <f t="shared" ca="1" si="282"/>
        <v/>
      </c>
      <c r="DW71" s="164" t="str">
        <f t="shared" ca="1" si="283"/>
        <v/>
      </c>
      <c r="DX71" s="164" t="str">
        <f t="shared" ca="1" si="284"/>
        <v/>
      </c>
      <c r="DY71" s="164" t="str">
        <f t="shared" ca="1" si="285"/>
        <v/>
      </c>
      <c r="DZ71" s="164" t="str">
        <f t="shared" ca="1" si="286"/>
        <v/>
      </c>
      <c r="EA71" s="164" t="str">
        <f t="shared" ca="1" si="287"/>
        <v/>
      </c>
      <c r="EB71" s="164" t="str">
        <f t="shared" ca="1" si="288"/>
        <v/>
      </c>
      <c r="EC71" s="164" t="str">
        <f t="shared" ca="1" si="289"/>
        <v/>
      </c>
      <c r="ED71" s="164" t="str">
        <f t="shared" ca="1" si="290"/>
        <v/>
      </c>
      <c r="EE71" s="164" t="str">
        <f t="shared" ca="1" si="291"/>
        <v/>
      </c>
      <c r="EF71" s="164" t="str">
        <f t="shared" ca="1" si="292"/>
        <v/>
      </c>
      <c r="EG71" s="164" t="str">
        <f t="shared" ca="1" si="293"/>
        <v/>
      </c>
      <c r="EH71" s="164" t="str">
        <f t="shared" ca="1" si="294"/>
        <v/>
      </c>
      <c r="EI71" s="164" t="str">
        <f t="shared" ca="1" si="295"/>
        <v/>
      </c>
      <c r="EJ71" s="164" t="str">
        <f t="shared" ca="1" si="296"/>
        <v/>
      </c>
      <c r="EK71" s="164" t="str">
        <f t="shared" ca="1" si="297"/>
        <v/>
      </c>
      <c r="EL71" s="164" t="str">
        <f t="shared" ca="1" si="298"/>
        <v/>
      </c>
      <c r="EM71" s="164" t="str">
        <f t="shared" ca="1" si="299"/>
        <v/>
      </c>
      <c r="EN71" s="164" t="str">
        <f t="shared" ca="1" si="300"/>
        <v/>
      </c>
      <c r="EO71" s="164" t="str">
        <f t="shared" ca="1" si="301"/>
        <v/>
      </c>
      <c r="EP71" s="164" t="str">
        <f t="shared" ca="1" si="302"/>
        <v/>
      </c>
      <c r="EQ71" s="164" t="str">
        <f t="shared" ca="1" si="303"/>
        <v/>
      </c>
      <c r="ER71" s="164" t="str">
        <f t="shared" ca="1" si="304"/>
        <v/>
      </c>
      <c r="ES71" s="164" t="str">
        <f t="shared" ca="1" si="305"/>
        <v/>
      </c>
    </row>
    <row r="72" spans="1:149" x14ac:dyDescent="0.2">
      <c r="A72" s="89" t="str">
        <f t="shared" ca="1" si="306"/>
        <v/>
      </c>
      <c r="B72" s="317" t="str">
        <f t="shared" ca="1" si="213"/>
        <v/>
      </c>
      <c r="C72" s="609" t="str">
        <f t="shared" ca="1" si="214"/>
        <v/>
      </c>
      <c r="D72" s="1956" t="str">
        <f t="shared" ca="1" si="215"/>
        <v/>
      </c>
      <c r="E72" s="1956"/>
      <c r="F72" s="960"/>
      <c r="G72" s="485" t="str">
        <f t="shared" ca="1" si="216"/>
        <v/>
      </c>
      <c r="H72" s="983"/>
      <c r="I72" s="486"/>
      <c r="J72" s="326"/>
      <c r="K72" s="1886" t="str">
        <f t="shared" ca="1" si="217"/>
        <v/>
      </c>
      <c r="L72" s="1888"/>
      <c r="M72" s="296" t="str">
        <f t="shared" ca="1" si="307"/>
        <v/>
      </c>
      <c r="N72" s="1322"/>
      <c r="O72" s="1319"/>
      <c r="P72" s="957" t="str">
        <f t="shared" ca="1" si="218"/>
        <v/>
      </c>
      <c r="Q72" s="164">
        <f t="shared" si="219"/>
        <v>0</v>
      </c>
      <c r="R72" s="164">
        <f t="shared" ca="1" si="220"/>
        <v>0</v>
      </c>
      <c r="S72" s="164">
        <f t="shared" ca="1" si="221"/>
        <v>0</v>
      </c>
      <c r="T72" s="164">
        <f t="shared" ca="1" si="222"/>
        <v>0</v>
      </c>
      <c r="U72" s="164">
        <f t="shared" ca="1" si="223"/>
        <v>0</v>
      </c>
      <c r="V72" s="164">
        <f t="shared" ca="1" si="224"/>
        <v>0</v>
      </c>
      <c r="W72" s="164">
        <f t="shared" ca="1" si="225"/>
        <v>0</v>
      </c>
      <c r="X72" s="164">
        <f t="shared" ca="1" si="226"/>
        <v>0</v>
      </c>
      <c r="Y72" s="164">
        <f t="shared" ca="1" si="227"/>
        <v>0</v>
      </c>
      <c r="Z72" s="164">
        <f t="shared" ca="1" si="228"/>
        <v>0</v>
      </c>
      <c r="AA72" s="164">
        <f t="shared" ca="1" si="229"/>
        <v>0</v>
      </c>
      <c r="AB72" s="164">
        <f t="shared" ca="1" si="230"/>
        <v>0</v>
      </c>
      <c r="AC72" s="164">
        <f t="shared" ca="1" si="231"/>
        <v>0</v>
      </c>
      <c r="AD72" s="164">
        <f t="shared" ca="1" si="232"/>
        <v>0</v>
      </c>
      <c r="AE72" s="164">
        <f t="shared" ca="1" si="233"/>
        <v>0</v>
      </c>
      <c r="AF72" s="164">
        <f t="shared" ca="1" si="234"/>
        <v>0</v>
      </c>
      <c r="AG72" s="164">
        <f t="shared" ca="1" si="235"/>
        <v>0</v>
      </c>
      <c r="AH72" s="164">
        <f t="shared" ca="1" si="236"/>
        <v>0</v>
      </c>
      <c r="AI72" s="164">
        <f t="shared" ca="1" si="237"/>
        <v>0</v>
      </c>
      <c r="AJ72" s="164">
        <f t="shared" ca="1" si="238"/>
        <v>0</v>
      </c>
      <c r="AK72" s="164">
        <f t="shared" ca="1" si="239"/>
        <v>0</v>
      </c>
      <c r="AL72" s="164">
        <f t="shared" ca="1" si="240"/>
        <v>0</v>
      </c>
      <c r="AM72" s="208"/>
      <c r="AN72" s="164">
        <f t="shared" si="241"/>
        <v>0</v>
      </c>
      <c r="AO72" s="164">
        <f t="shared" ca="1" si="242"/>
        <v>0</v>
      </c>
      <c r="AP72" s="164">
        <f t="shared" ca="1" si="243"/>
        <v>0</v>
      </c>
      <c r="AQ72" s="164">
        <f t="shared" ca="1" si="244"/>
        <v>0</v>
      </c>
      <c r="AR72" s="164">
        <f t="shared" ca="1" si="245"/>
        <v>0</v>
      </c>
      <c r="AS72" s="164">
        <f t="shared" ca="1" si="246"/>
        <v>0</v>
      </c>
      <c r="AT72" s="164">
        <f t="shared" ca="1" si="247"/>
        <v>0</v>
      </c>
      <c r="AU72" s="164">
        <f t="shared" ca="1" si="248"/>
        <v>0</v>
      </c>
      <c r="AV72" s="164">
        <f t="shared" ca="1" si="249"/>
        <v>0</v>
      </c>
      <c r="AW72" s="164">
        <f t="shared" ca="1" si="250"/>
        <v>0</v>
      </c>
      <c r="AX72" s="164">
        <f t="shared" ca="1" si="251"/>
        <v>0</v>
      </c>
      <c r="AY72" s="164">
        <f t="shared" ca="1" si="252"/>
        <v>0</v>
      </c>
      <c r="AZ72" s="164">
        <f t="shared" ca="1" si="253"/>
        <v>0</v>
      </c>
      <c r="BA72" s="164">
        <f t="shared" ca="1" si="254"/>
        <v>0</v>
      </c>
      <c r="BB72" s="164">
        <f t="shared" ca="1" si="255"/>
        <v>0</v>
      </c>
      <c r="BC72" s="164">
        <f t="shared" ca="1" si="256"/>
        <v>0</v>
      </c>
      <c r="BD72" s="164">
        <f t="shared" ca="1" si="257"/>
        <v>0</v>
      </c>
      <c r="BE72" s="164">
        <f t="shared" ca="1" si="258"/>
        <v>0</v>
      </c>
      <c r="BF72" s="164">
        <f t="shared" ca="1" si="259"/>
        <v>0</v>
      </c>
      <c r="BG72" s="164">
        <f t="shared" ca="1" si="260"/>
        <v>0</v>
      </c>
      <c r="BH72" s="164">
        <f t="shared" ca="1" si="261"/>
        <v>0</v>
      </c>
      <c r="BI72" s="164">
        <f t="shared" ca="1" si="262"/>
        <v>0</v>
      </c>
      <c r="BJ72" s="164">
        <f t="shared" ca="1" si="263"/>
        <v>0</v>
      </c>
      <c r="BK72" s="164">
        <f t="shared" ca="1" si="264"/>
        <v>0</v>
      </c>
      <c r="BL72" s="164">
        <f t="shared" ca="1" si="265"/>
        <v>0</v>
      </c>
      <c r="BM72" s="164">
        <f t="shared" ca="1" si="266"/>
        <v>0</v>
      </c>
      <c r="BN72" s="164">
        <f t="shared" ca="1" si="267"/>
        <v>0</v>
      </c>
      <c r="BO72" s="356" t="str">
        <f t="shared" ca="1" si="268"/>
        <v/>
      </c>
      <c r="BP72" s="355" t="str">
        <f t="shared" ca="1" si="269"/>
        <v/>
      </c>
      <c r="BQ72" s="355" t="str">
        <f t="shared" ca="1" si="270"/>
        <v/>
      </c>
      <c r="BR72" s="348">
        <f t="shared" ca="1" si="93"/>
        <v>0</v>
      </c>
      <c r="BS72" s="348">
        <f t="shared" ca="1" si="94"/>
        <v>0</v>
      </c>
      <c r="BT72" s="610">
        <f t="shared" ca="1" si="271"/>
        <v>0</v>
      </c>
      <c r="BU72" s="357">
        <f t="shared" ca="1" si="272"/>
        <v>0</v>
      </c>
      <c r="BV72" s="357">
        <f t="shared" si="273"/>
        <v>0</v>
      </c>
      <c r="BW72" s="357">
        <f t="shared" si="274"/>
        <v>0</v>
      </c>
      <c r="BX72" s="357">
        <f t="shared" ca="1" si="275"/>
        <v>0</v>
      </c>
      <c r="BY72" s="357">
        <f t="shared" ca="1" si="95"/>
        <v>0</v>
      </c>
      <c r="BZ72" s="357"/>
      <c r="CA72" s="357">
        <f t="shared" ca="1" si="96"/>
        <v>0</v>
      </c>
      <c r="CB72" s="357" t="str">
        <f t="shared" ca="1" si="276"/>
        <v/>
      </c>
      <c r="CC72" s="358" t="str">
        <f t="shared" ca="1" si="97"/>
        <v/>
      </c>
      <c r="CD72" s="358" t="str">
        <f t="shared" ca="1" si="98"/>
        <v/>
      </c>
      <c r="CE72" s="357" t="str">
        <f t="shared" ca="1" si="308"/>
        <v>,,,,,,,,,,,,</v>
      </c>
      <c r="CF72" s="154" t="str">
        <f t="shared" si="309"/>
        <v/>
      </c>
      <c r="CG72" s="154">
        <f t="shared" ca="1" si="100"/>
        <v>0</v>
      </c>
      <c r="CH72" s="154"/>
      <c r="CI72" s="154"/>
      <c r="CJ72" s="154"/>
      <c r="CK72" s="154"/>
      <c r="CL72" s="154"/>
      <c r="CM72" s="154"/>
      <c r="CN72" t="s">
        <v>784</v>
      </c>
      <c r="CO72" s="169"/>
      <c r="CP72" s="169"/>
      <c r="CQ72" s="169"/>
      <c r="CR72" s="169"/>
      <c r="CS72" s="169"/>
      <c r="CT72" s="169"/>
      <c r="CU72" s="169"/>
      <c r="CV72" s="164" t="str">
        <f t="shared" ca="1" si="310"/>
        <v/>
      </c>
      <c r="CW72" s="164" t="str">
        <f t="shared" ca="1" si="310"/>
        <v/>
      </c>
      <c r="CX72" s="164" t="str">
        <f t="shared" ca="1" si="310"/>
        <v/>
      </c>
      <c r="CY72" s="164" t="str">
        <f t="shared" ca="1" si="310"/>
        <v/>
      </c>
      <c r="CZ72" s="164" t="str">
        <f t="shared" ca="1" si="310"/>
        <v/>
      </c>
      <c r="DA72" s="164" t="str">
        <f t="shared" ca="1" si="310"/>
        <v/>
      </c>
      <c r="DB72" s="164" t="str">
        <f t="shared" ca="1" si="310"/>
        <v/>
      </c>
      <c r="DC72" s="164" t="str">
        <f t="shared" ca="1" si="310"/>
        <v/>
      </c>
      <c r="DD72" s="164" t="str">
        <f t="shared" ca="1" si="310"/>
        <v/>
      </c>
      <c r="DE72" s="164" t="str">
        <f t="shared" ca="1" si="310"/>
        <v/>
      </c>
      <c r="DF72" s="164" t="str">
        <f t="shared" ca="1" si="311"/>
        <v/>
      </c>
      <c r="DG72" s="164" t="str">
        <f t="shared" ca="1" si="311"/>
        <v/>
      </c>
      <c r="DH72" s="164" t="str">
        <f t="shared" ca="1" si="311"/>
        <v/>
      </c>
      <c r="DI72" s="164" t="str">
        <f t="shared" ca="1" si="311"/>
        <v/>
      </c>
      <c r="DJ72" s="164" t="str">
        <f t="shared" ca="1" si="311"/>
        <v/>
      </c>
      <c r="DK72" s="164" t="str">
        <f t="shared" ca="1" si="311"/>
        <v/>
      </c>
      <c r="DL72" s="164" t="str">
        <f t="shared" ca="1" si="311"/>
        <v/>
      </c>
      <c r="DM72" s="164" t="str">
        <f t="shared" ca="1" si="311"/>
        <v/>
      </c>
      <c r="DN72" s="164" t="str">
        <f t="shared" ca="1" si="311"/>
        <v/>
      </c>
      <c r="DO72" s="164" t="str">
        <f t="shared" ca="1" si="311"/>
        <v/>
      </c>
      <c r="DP72" s="164" t="str">
        <f t="shared" ca="1" si="311"/>
        <v/>
      </c>
      <c r="DQ72" s="164" t="str">
        <f t="shared" ca="1" si="311"/>
        <v/>
      </c>
      <c r="DR72" s="208"/>
      <c r="DS72" s="164" t="str">
        <f t="shared" ca="1" si="279"/>
        <v/>
      </c>
      <c r="DT72" s="164" t="str">
        <f t="shared" ca="1" si="280"/>
        <v/>
      </c>
      <c r="DU72" s="164" t="str">
        <f t="shared" ca="1" si="281"/>
        <v/>
      </c>
      <c r="DV72" s="164" t="str">
        <f t="shared" ca="1" si="282"/>
        <v/>
      </c>
      <c r="DW72" s="164" t="str">
        <f t="shared" ca="1" si="283"/>
        <v/>
      </c>
      <c r="DX72" s="164" t="str">
        <f t="shared" ca="1" si="284"/>
        <v/>
      </c>
      <c r="DY72" s="164" t="str">
        <f t="shared" ca="1" si="285"/>
        <v/>
      </c>
      <c r="DZ72" s="164" t="str">
        <f t="shared" ca="1" si="286"/>
        <v/>
      </c>
      <c r="EA72" s="164" t="str">
        <f t="shared" ca="1" si="287"/>
        <v/>
      </c>
      <c r="EB72" s="164" t="str">
        <f t="shared" ca="1" si="288"/>
        <v/>
      </c>
      <c r="EC72" s="164" t="str">
        <f t="shared" ca="1" si="289"/>
        <v/>
      </c>
      <c r="ED72" s="164" t="str">
        <f t="shared" ca="1" si="290"/>
        <v/>
      </c>
      <c r="EE72" s="164" t="str">
        <f t="shared" ca="1" si="291"/>
        <v/>
      </c>
      <c r="EF72" s="164" t="str">
        <f t="shared" ca="1" si="292"/>
        <v/>
      </c>
      <c r="EG72" s="164" t="str">
        <f t="shared" ca="1" si="293"/>
        <v/>
      </c>
      <c r="EH72" s="164" t="str">
        <f t="shared" ca="1" si="294"/>
        <v/>
      </c>
      <c r="EI72" s="164" t="str">
        <f t="shared" ca="1" si="295"/>
        <v/>
      </c>
      <c r="EJ72" s="164" t="str">
        <f t="shared" ca="1" si="296"/>
        <v/>
      </c>
      <c r="EK72" s="164" t="str">
        <f t="shared" ca="1" si="297"/>
        <v/>
      </c>
      <c r="EL72" s="164" t="str">
        <f t="shared" ca="1" si="298"/>
        <v/>
      </c>
      <c r="EM72" s="164" t="str">
        <f t="shared" ca="1" si="299"/>
        <v/>
      </c>
      <c r="EN72" s="164" t="str">
        <f t="shared" ca="1" si="300"/>
        <v/>
      </c>
      <c r="EO72" s="164" t="str">
        <f t="shared" ca="1" si="301"/>
        <v/>
      </c>
      <c r="EP72" s="164" t="str">
        <f t="shared" ca="1" si="302"/>
        <v/>
      </c>
      <c r="EQ72" s="164" t="str">
        <f t="shared" ca="1" si="303"/>
        <v/>
      </c>
      <c r="ER72" s="164" t="str">
        <f t="shared" ca="1" si="304"/>
        <v/>
      </c>
      <c r="ES72" s="164" t="str">
        <f t="shared" ca="1" si="305"/>
        <v/>
      </c>
    </row>
    <row r="73" spans="1:149" x14ac:dyDescent="0.2">
      <c r="A73" s="89" t="str">
        <f t="shared" ca="1" si="306"/>
        <v/>
      </c>
      <c r="B73" s="317" t="str">
        <f t="shared" ca="1" si="213"/>
        <v/>
      </c>
      <c r="C73" s="609" t="str">
        <f t="shared" ca="1" si="214"/>
        <v/>
      </c>
      <c r="D73" s="1956" t="str">
        <f t="shared" ca="1" si="215"/>
        <v/>
      </c>
      <c r="E73" s="1956"/>
      <c r="F73" s="960"/>
      <c r="G73" s="485" t="str">
        <f t="shared" ca="1" si="216"/>
        <v/>
      </c>
      <c r="H73" s="983"/>
      <c r="I73" s="486"/>
      <c r="J73" s="326"/>
      <c r="K73" s="1886" t="str">
        <f t="shared" ca="1" si="217"/>
        <v/>
      </c>
      <c r="L73" s="1888"/>
      <c r="M73" s="296" t="str">
        <f t="shared" ca="1" si="307"/>
        <v/>
      </c>
      <c r="N73" s="1322"/>
      <c r="O73" s="1319"/>
      <c r="P73" s="957" t="str">
        <f t="shared" ca="1" si="218"/>
        <v/>
      </c>
      <c r="Q73" s="164">
        <f t="shared" si="219"/>
        <v>0</v>
      </c>
      <c r="R73" s="164">
        <f t="shared" ca="1" si="220"/>
        <v>0</v>
      </c>
      <c r="S73" s="164">
        <f t="shared" ca="1" si="221"/>
        <v>0</v>
      </c>
      <c r="T73" s="164">
        <f t="shared" ca="1" si="222"/>
        <v>0</v>
      </c>
      <c r="U73" s="164">
        <f t="shared" ca="1" si="223"/>
        <v>0</v>
      </c>
      <c r="V73" s="164">
        <f t="shared" ca="1" si="224"/>
        <v>0</v>
      </c>
      <c r="W73" s="164">
        <f t="shared" ca="1" si="225"/>
        <v>0</v>
      </c>
      <c r="X73" s="164">
        <f t="shared" ca="1" si="226"/>
        <v>0</v>
      </c>
      <c r="Y73" s="164">
        <f t="shared" ca="1" si="227"/>
        <v>0</v>
      </c>
      <c r="Z73" s="164">
        <f t="shared" ca="1" si="228"/>
        <v>0</v>
      </c>
      <c r="AA73" s="164">
        <f t="shared" ca="1" si="229"/>
        <v>0</v>
      </c>
      <c r="AB73" s="164">
        <f t="shared" ca="1" si="230"/>
        <v>0</v>
      </c>
      <c r="AC73" s="164">
        <f t="shared" ca="1" si="231"/>
        <v>0</v>
      </c>
      <c r="AD73" s="164">
        <f t="shared" ca="1" si="232"/>
        <v>0</v>
      </c>
      <c r="AE73" s="164">
        <f t="shared" ca="1" si="233"/>
        <v>0</v>
      </c>
      <c r="AF73" s="164">
        <f t="shared" ca="1" si="234"/>
        <v>0</v>
      </c>
      <c r="AG73" s="164">
        <f t="shared" ca="1" si="235"/>
        <v>0</v>
      </c>
      <c r="AH73" s="164">
        <f t="shared" ca="1" si="236"/>
        <v>0</v>
      </c>
      <c r="AI73" s="164">
        <f t="shared" ca="1" si="237"/>
        <v>0</v>
      </c>
      <c r="AJ73" s="164">
        <f t="shared" ca="1" si="238"/>
        <v>0</v>
      </c>
      <c r="AK73" s="164">
        <f t="shared" ca="1" si="239"/>
        <v>0</v>
      </c>
      <c r="AL73" s="164">
        <f t="shared" ca="1" si="240"/>
        <v>0</v>
      </c>
      <c r="AM73" s="208"/>
      <c r="AN73" s="164">
        <f t="shared" si="241"/>
        <v>0</v>
      </c>
      <c r="AO73" s="164">
        <f t="shared" ca="1" si="242"/>
        <v>0</v>
      </c>
      <c r="AP73" s="164">
        <f t="shared" ca="1" si="243"/>
        <v>0</v>
      </c>
      <c r="AQ73" s="164">
        <f t="shared" ca="1" si="244"/>
        <v>0</v>
      </c>
      <c r="AR73" s="164">
        <f t="shared" ca="1" si="245"/>
        <v>0</v>
      </c>
      <c r="AS73" s="164">
        <f t="shared" ca="1" si="246"/>
        <v>0</v>
      </c>
      <c r="AT73" s="164">
        <f t="shared" ca="1" si="247"/>
        <v>0</v>
      </c>
      <c r="AU73" s="164">
        <f t="shared" ca="1" si="248"/>
        <v>0</v>
      </c>
      <c r="AV73" s="164">
        <f t="shared" ca="1" si="249"/>
        <v>0</v>
      </c>
      <c r="AW73" s="164">
        <f t="shared" ca="1" si="250"/>
        <v>0</v>
      </c>
      <c r="AX73" s="164">
        <f t="shared" ca="1" si="251"/>
        <v>0</v>
      </c>
      <c r="AY73" s="164">
        <f t="shared" ca="1" si="252"/>
        <v>0</v>
      </c>
      <c r="AZ73" s="164">
        <f t="shared" ca="1" si="253"/>
        <v>0</v>
      </c>
      <c r="BA73" s="164">
        <f t="shared" ca="1" si="254"/>
        <v>0</v>
      </c>
      <c r="BB73" s="164">
        <f t="shared" ca="1" si="255"/>
        <v>0</v>
      </c>
      <c r="BC73" s="164">
        <f t="shared" ca="1" si="256"/>
        <v>0</v>
      </c>
      <c r="BD73" s="164">
        <f t="shared" ca="1" si="257"/>
        <v>0</v>
      </c>
      <c r="BE73" s="164">
        <f t="shared" ca="1" si="258"/>
        <v>0</v>
      </c>
      <c r="BF73" s="164">
        <f t="shared" ca="1" si="259"/>
        <v>0</v>
      </c>
      <c r="BG73" s="164">
        <f t="shared" ca="1" si="260"/>
        <v>0</v>
      </c>
      <c r="BH73" s="164">
        <f t="shared" ca="1" si="261"/>
        <v>0</v>
      </c>
      <c r="BI73" s="164">
        <f t="shared" ca="1" si="262"/>
        <v>0</v>
      </c>
      <c r="BJ73" s="164">
        <f t="shared" ca="1" si="263"/>
        <v>0</v>
      </c>
      <c r="BK73" s="164">
        <f t="shared" ca="1" si="264"/>
        <v>0</v>
      </c>
      <c r="BL73" s="164">
        <f t="shared" ca="1" si="265"/>
        <v>0</v>
      </c>
      <c r="BM73" s="164">
        <f t="shared" ca="1" si="266"/>
        <v>0</v>
      </c>
      <c r="BN73" s="164">
        <f t="shared" ca="1" si="267"/>
        <v>0</v>
      </c>
      <c r="BO73" s="356" t="str">
        <f t="shared" ca="1" si="268"/>
        <v/>
      </c>
      <c r="BP73" s="355" t="str">
        <f t="shared" ca="1" si="269"/>
        <v/>
      </c>
      <c r="BQ73" s="355" t="str">
        <f t="shared" ca="1" si="270"/>
        <v/>
      </c>
      <c r="BR73" s="348">
        <f t="shared" ca="1" si="93"/>
        <v>0</v>
      </c>
      <c r="BS73" s="348">
        <f t="shared" ca="1" si="94"/>
        <v>0</v>
      </c>
      <c r="BT73" s="610">
        <f t="shared" ca="1" si="271"/>
        <v>0</v>
      </c>
      <c r="BU73" s="357">
        <f t="shared" ca="1" si="272"/>
        <v>0</v>
      </c>
      <c r="BV73" s="357">
        <f t="shared" si="273"/>
        <v>0</v>
      </c>
      <c r="BW73" s="357">
        <f t="shared" si="274"/>
        <v>0</v>
      </c>
      <c r="BX73" s="357">
        <f t="shared" ca="1" si="275"/>
        <v>0</v>
      </c>
      <c r="BY73" s="357">
        <f t="shared" ca="1" si="95"/>
        <v>0</v>
      </c>
      <c r="BZ73" s="357"/>
      <c r="CA73" s="357">
        <f t="shared" ca="1" si="96"/>
        <v>0</v>
      </c>
      <c r="CB73" s="357" t="str">
        <f t="shared" ca="1" si="276"/>
        <v/>
      </c>
      <c r="CC73" s="358" t="str">
        <f t="shared" ca="1" si="97"/>
        <v/>
      </c>
      <c r="CD73" s="358" t="str">
        <f t="shared" ca="1" si="98"/>
        <v/>
      </c>
      <c r="CE73" s="357" t="str">
        <f t="shared" ca="1" si="308"/>
        <v>,,,,,,,,,,,,,</v>
      </c>
      <c r="CF73" s="154" t="str">
        <f t="shared" si="309"/>
        <v/>
      </c>
      <c r="CG73" s="154">
        <f t="shared" ca="1" si="100"/>
        <v>0</v>
      </c>
      <c r="CH73" s="154"/>
      <c r="CI73" s="154"/>
      <c r="CJ73" s="154"/>
      <c r="CK73" s="154"/>
      <c r="CL73" s="154"/>
      <c r="CM73" s="154"/>
      <c r="CN73" t="s">
        <v>784</v>
      </c>
      <c r="CO73" s="169"/>
      <c r="CP73" s="169"/>
      <c r="CQ73" s="169"/>
      <c r="CR73" s="169"/>
      <c r="CS73" s="169"/>
      <c r="CT73" s="169"/>
      <c r="CU73" s="169"/>
      <c r="CV73" s="164" t="str">
        <f t="shared" ca="1" si="310"/>
        <v/>
      </c>
      <c r="CW73" s="164" t="str">
        <f t="shared" ca="1" si="310"/>
        <v/>
      </c>
      <c r="CX73" s="164" t="str">
        <f t="shared" ca="1" si="310"/>
        <v/>
      </c>
      <c r="CY73" s="164" t="str">
        <f t="shared" ca="1" si="310"/>
        <v/>
      </c>
      <c r="CZ73" s="164" t="str">
        <f t="shared" ca="1" si="310"/>
        <v/>
      </c>
      <c r="DA73" s="164" t="str">
        <f t="shared" ca="1" si="310"/>
        <v/>
      </c>
      <c r="DB73" s="164" t="str">
        <f t="shared" ca="1" si="310"/>
        <v/>
      </c>
      <c r="DC73" s="164" t="str">
        <f t="shared" ca="1" si="310"/>
        <v/>
      </c>
      <c r="DD73" s="164" t="str">
        <f t="shared" ca="1" si="310"/>
        <v/>
      </c>
      <c r="DE73" s="164" t="str">
        <f t="shared" ca="1" si="310"/>
        <v/>
      </c>
      <c r="DF73" s="164" t="str">
        <f t="shared" ca="1" si="311"/>
        <v/>
      </c>
      <c r="DG73" s="164" t="str">
        <f t="shared" ca="1" si="311"/>
        <v/>
      </c>
      <c r="DH73" s="164" t="str">
        <f t="shared" ca="1" si="311"/>
        <v/>
      </c>
      <c r="DI73" s="164" t="str">
        <f t="shared" ca="1" si="311"/>
        <v/>
      </c>
      <c r="DJ73" s="164" t="str">
        <f t="shared" ca="1" si="311"/>
        <v/>
      </c>
      <c r="DK73" s="164" t="str">
        <f t="shared" ca="1" si="311"/>
        <v/>
      </c>
      <c r="DL73" s="164" t="str">
        <f t="shared" ca="1" si="311"/>
        <v/>
      </c>
      <c r="DM73" s="164" t="str">
        <f t="shared" ca="1" si="311"/>
        <v/>
      </c>
      <c r="DN73" s="164" t="str">
        <f t="shared" ca="1" si="311"/>
        <v/>
      </c>
      <c r="DO73" s="164" t="str">
        <f t="shared" ca="1" si="311"/>
        <v/>
      </c>
      <c r="DP73" s="164" t="str">
        <f t="shared" ca="1" si="311"/>
        <v/>
      </c>
      <c r="DQ73" s="164" t="str">
        <f t="shared" ca="1" si="311"/>
        <v/>
      </c>
      <c r="DR73" s="208"/>
      <c r="DS73" s="164" t="str">
        <f t="shared" ca="1" si="279"/>
        <v/>
      </c>
      <c r="DT73" s="164" t="str">
        <f t="shared" ca="1" si="280"/>
        <v/>
      </c>
      <c r="DU73" s="164" t="str">
        <f t="shared" ca="1" si="281"/>
        <v/>
      </c>
      <c r="DV73" s="164" t="str">
        <f t="shared" ca="1" si="282"/>
        <v/>
      </c>
      <c r="DW73" s="164" t="str">
        <f t="shared" ca="1" si="283"/>
        <v/>
      </c>
      <c r="DX73" s="164" t="str">
        <f t="shared" ca="1" si="284"/>
        <v/>
      </c>
      <c r="DY73" s="164" t="str">
        <f t="shared" ca="1" si="285"/>
        <v/>
      </c>
      <c r="DZ73" s="164" t="str">
        <f t="shared" ca="1" si="286"/>
        <v/>
      </c>
      <c r="EA73" s="164" t="str">
        <f t="shared" ca="1" si="287"/>
        <v/>
      </c>
      <c r="EB73" s="164" t="str">
        <f t="shared" ca="1" si="288"/>
        <v/>
      </c>
      <c r="EC73" s="164" t="str">
        <f t="shared" ca="1" si="289"/>
        <v/>
      </c>
      <c r="ED73" s="164" t="str">
        <f t="shared" ca="1" si="290"/>
        <v/>
      </c>
      <c r="EE73" s="164" t="str">
        <f t="shared" ca="1" si="291"/>
        <v/>
      </c>
      <c r="EF73" s="164" t="str">
        <f t="shared" ca="1" si="292"/>
        <v/>
      </c>
      <c r="EG73" s="164" t="str">
        <f t="shared" ca="1" si="293"/>
        <v/>
      </c>
      <c r="EH73" s="164" t="str">
        <f t="shared" ca="1" si="294"/>
        <v/>
      </c>
      <c r="EI73" s="164" t="str">
        <f t="shared" ca="1" si="295"/>
        <v/>
      </c>
      <c r="EJ73" s="164" t="str">
        <f t="shared" ca="1" si="296"/>
        <v/>
      </c>
      <c r="EK73" s="164" t="str">
        <f t="shared" ca="1" si="297"/>
        <v/>
      </c>
      <c r="EL73" s="164" t="str">
        <f t="shared" ca="1" si="298"/>
        <v/>
      </c>
      <c r="EM73" s="164" t="str">
        <f t="shared" ca="1" si="299"/>
        <v/>
      </c>
      <c r="EN73" s="164" t="str">
        <f t="shared" ca="1" si="300"/>
        <v/>
      </c>
      <c r="EO73" s="164" t="str">
        <f t="shared" ca="1" si="301"/>
        <v/>
      </c>
      <c r="EP73" s="164" t="str">
        <f t="shared" ca="1" si="302"/>
        <v/>
      </c>
      <c r="EQ73" s="164" t="str">
        <f t="shared" ca="1" si="303"/>
        <v/>
      </c>
      <c r="ER73" s="164" t="str">
        <f t="shared" ca="1" si="304"/>
        <v/>
      </c>
      <c r="ES73" s="164" t="str">
        <f t="shared" ca="1" si="305"/>
        <v/>
      </c>
    </row>
    <row r="74" spans="1:149" x14ac:dyDescent="0.2">
      <c r="A74" s="89" t="str">
        <f t="shared" ca="1" si="306"/>
        <v/>
      </c>
      <c r="B74" s="317" t="str">
        <f t="shared" ca="1" si="213"/>
        <v/>
      </c>
      <c r="C74" s="609" t="str">
        <f t="shared" ca="1" si="214"/>
        <v/>
      </c>
      <c r="D74" s="1956" t="str">
        <f t="shared" ca="1" si="215"/>
        <v/>
      </c>
      <c r="E74" s="1956"/>
      <c r="F74" s="960"/>
      <c r="G74" s="485" t="str">
        <f t="shared" ca="1" si="216"/>
        <v/>
      </c>
      <c r="H74" s="983"/>
      <c r="I74" s="486"/>
      <c r="J74" s="326"/>
      <c r="K74" s="1886" t="str">
        <f t="shared" ca="1" si="217"/>
        <v/>
      </c>
      <c r="L74" s="1888"/>
      <c r="M74" s="296" t="str">
        <f t="shared" ca="1" si="307"/>
        <v/>
      </c>
      <c r="N74" s="1322"/>
      <c r="O74" s="1319"/>
      <c r="P74" s="957" t="str">
        <f t="shared" ca="1" si="218"/>
        <v/>
      </c>
      <c r="Q74" s="164">
        <f t="shared" si="219"/>
        <v>0</v>
      </c>
      <c r="R74" s="164">
        <f t="shared" ca="1" si="220"/>
        <v>0</v>
      </c>
      <c r="S74" s="164">
        <f t="shared" ca="1" si="221"/>
        <v>0</v>
      </c>
      <c r="T74" s="164">
        <f t="shared" ca="1" si="222"/>
        <v>0</v>
      </c>
      <c r="U74" s="164">
        <f t="shared" ca="1" si="223"/>
        <v>0</v>
      </c>
      <c r="V74" s="164">
        <f t="shared" ca="1" si="224"/>
        <v>0</v>
      </c>
      <c r="W74" s="164">
        <f t="shared" ca="1" si="225"/>
        <v>0</v>
      </c>
      <c r="X74" s="164">
        <f t="shared" ca="1" si="226"/>
        <v>0</v>
      </c>
      <c r="Y74" s="164">
        <f t="shared" ca="1" si="227"/>
        <v>0</v>
      </c>
      <c r="Z74" s="164">
        <f t="shared" ca="1" si="228"/>
        <v>0</v>
      </c>
      <c r="AA74" s="164">
        <f t="shared" ca="1" si="229"/>
        <v>0</v>
      </c>
      <c r="AB74" s="164">
        <f t="shared" ca="1" si="230"/>
        <v>0</v>
      </c>
      <c r="AC74" s="164">
        <f t="shared" ca="1" si="231"/>
        <v>0</v>
      </c>
      <c r="AD74" s="164">
        <f t="shared" ca="1" si="232"/>
        <v>0</v>
      </c>
      <c r="AE74" s="164">
        <f t="shared" ca="1" si="233"/>
        <v>0</v>
      </c>
      <c r="AF74" s="164">
        <f t="shared" ca="1" si="234"/>
        <v>0</v>
      </c>
      <c r="AG74" s="164">
        <f t="shared" ca="1" si="235"/>
        <v>0</v>
      </c>
      <c r="AH74" s="164">
        <f t="shared" ca="1" si="236"/>
        <v>0</v>
      </c>
      <c r="AI74" s="164">
        <f t="shared" ca="1" si="237"/>
        <v>0</v>
      </c>
      <c r="AJ74" s="164">
        <f t="shared" ca="1" si="238"/>
        <v>0</v>
      </c>
      <c r="AK74" s="164">
        <f t="shared" ca="1" si="239"/>
        <v>0</v>
      </c>
      <c r="AL74" s="164">
        <f t="shared" ca="1" si="240"/>
        <v>0</v>
      </c>
      <c r="AM74" s="208"/>
      <c r="AN74" s="164">
        <f t="shared" si="241"/>
        <v>0</v>
      </c>
      <c r="AO74" s="164">
        <f t="shared" ca="1" si="242"/>
        <v>0</v>
      </c>
      <c r="AP74" s="164">
        <f t="shared" ca="1" si="243"/>
        <v>0</v>
      </c>
      <c r="AQ74" s="164">
        <f t="shared" ca="1" si="244"/>
        <v>0</v>
      </c>
      <c r="AR74" s="164">
        <f t="shared" ca="1" si="245"/>
        <v>0</v>
      </c>
      <c r="AS74" s="164">
        <f t="shared" ca="1" si="246"/>
        <v>0</v>
      </c>
      <c r="AT74" s="164">
        <f t="shared" ca="1" si="247"/>
        <v>0</v>
      </c>
      <c r="AU74" s="164">
        <f t="shared" ca="1" si="248"/>
        <v>0</v>
      </c>
      <c r="AV74" s="164">
        <f t="shared" ca="1" si="249"/>
        <v>0</v>
      </c>
      <c r="AW74" s="164">
        <f t="shared" ca="1" si="250"/>
        <v>0</v>
      </c>
      <c r="AX74" s="164">
        <f t="shared" ca="1" si="251"/>
        <v>0</v>
      </c>
      <c r="AY74" s="164">
        <f t="shared" ca="1" si="252"/>
        <v>0</v>
      </c>
      <c r="AZ74" s="164">
        <f t="shared" ca="1" si="253"/>
        <v>0</v>
      </c>
      <c r="BA74" s="164">
        <f t="shared" ca="1" si="254"/>
        <v>0</v>
      </c>
      <c r="BB74" s="164">
        <f t="shared" ca="1" si="255"/>
        <v>0</v>
      </c>
      <c r="BC74" s="164">
        <f t="shared" ca="1" si="256"/>
        <v>0</v>
      </c>
      <c r="BD74" s="164">
        <f t="shared" ca="1" si="257"/>
        <v>0</v>
      </c>
      <c r="BE74" s="164">
        <f t="shared" ca="1" si="258"/>
        <v>0</v>
      </c>
      <c r="BF74" s="164">
        <f t="shared" ca="1" si="259"/>
        <v>0</v>
      </c>
      <c r="BG74" s="164">
        <f t="shared" ca="1" si="260"/>
        <v>0</v>
      </c>
      <c r="BH74" s="164">
        <f t="shared" ca="1" si="261"/>
        <v>0</v>
      </c>
      <c r="BI74" s="164">
        <f t="shared" ca="1" si="262"/>
        <v>0</v>
      </c>
      <c r="BJ74" s="164">
        <f t="shared" ca="1" si="263"/>
        <v>0</v>
      </c>
      <c r="BK74" s="164">
        <f t="shared" ca="1" si="264"/>
        <v>0</v>
      </c>
      <c r="BL74" s="164">
        <f t="shared" ca="1" si="265"/>
        <v>0</v>
      </c>
      <c r="BM74" s="164">
        <f t="shared" ca="1" si="266"/>
        <v>0</v>
      </c>
      <c r="BN74" s="164">
        <f t="shared" ca="1" si="267"/>
        <v>0</v>
      </c>
      <c r="BO74" s="356" t="str">
        <f t="shared" ca="1" si="268"/>
        <v/>
      </c>
      <c r="BP74" s="355" t="str">
        <f t="shared" ca="1" si="269"/>
        <v/>
      </c>
      <c r="BQ74" s="355" t="str">
        <f t="shared" ca="1" si="270"/>
        <v/>
      </c>
      <c r="BR74" s="348">
        <f t="shared" ca="1" si="93"/>
        <v>0</v>
      </c>
      <c r="BS74" s="348">
        <f t="shared" ca="1" si="94"/>
        <v>0</v>
      </c>
      <c r="BT74" s="610">
        <f t="shared" ca="1" si="271"/>
        <v>0</v>
      </c>
      <c r="BU74" s="357">
        <f t="shared" ca="1" si="272"/>
        <v>0</v>
      </c>
      <c r="BV74" s="357">
        <f t="shared" si="273"/>
        <v>0</v>
      </c>
      <c r="BW74" s="357">
        <f t="shared" si="274"/>
        <v>0</v>
      </c>
      <c r="BX74" s="357">
        <f t="shared" ca="1" si="275"/>
        <v>0</v>
      </c>
      <c r="BY74" s="357">
        <f t="shared" ca="1" si="95"/>
        <v>0</v>
      </c>
      <c r="BZ74" s="357"/>
      <c r="CA74" s="357">
        <f t="shared" ca="1" si="96"/>
        <v>0</v>
      </c>
      <c r="CB74" s="357" t="str">
        <f t="shared" ca="1" si="276"/>
        <v/>
      </c>
      <c r="CC74" s="358" t="str">
        <f t="shared" ca="1" si="97"/>
        <v/>
      </c>
      <c r="CD74" s="358" t="str">
        <f t="shared" ca="1" si="98"/>
        <v/>
      </c>
      <c r="CE74" s="357" t="str">
        <f t="shared" ca="1" si="308"/>
        <v>,,,,,,,,,,,,,,</v>
      </c>
      <c r="CF74" s="154" t="str">
        <f t="shared" si="309"/>
        <v/>
      </c>
      <c r="CG74" s="154">
        <f t="shared" ca="1" si="100"/>
        <v>0</v>
      </c>
      <c r="CH74" s="154"/>
      <c r="CI74" s="154"/>
      <c r="CJ74" s="154"/>
      <c r="CK74" s="154"/>
      <c r="CL74" s="154"/>
      <c r="CM74" s="154"/>
      <c r="CN74" t="s">
        <v>784</v>
      </c>
      <c r="CO74" s="169"/>
      <c r="CP74" s="169"/>
      <c r="CQ74" s="169"/>
      <c r="CR74" s="169"/>
      <c r="CS74" s="169"/>
      <c r="CT74" s="169"/>
      <c r="CU74" s="169"/>
      <c r="CV74" s="164" t="str">
        <f t="shared" ca="1" si="310"/>
        <v/>
      </c>
      <c r="CW74" s="164" t="str">
        <f t="shared" ca="1" si="310"/>
        <v/>
      </c>
      <c r="CX74" s="164" t="str">
        <f t="shared" ca="1" si="310"/>
        <v/>
      </c>
      <c r="CY74" s="164" t="str">
        <f t="shared" ca="1" si="310"/>
        <v/>
      </c>
      <c r="CZ74" s="164" t="str">
        <f t="shared" ca="1" si="310"/>
        <v/>
      </c>
      <c r="DA74" s="164" t="str">
        <f t="shared" ca="1" si="310"/>
        <v/>
      </c>
      <c r="DB74" s="164" t="str">
        <f t="shared" ca="1" si="310"/>
        <v/>
      </c>
      <c r="DC74" s="164" t="str">
        <f t="shared" ca="1" si="310"/>
        <v/>
      </c>
      <c r="DD74" s="164" t="str">
        <f t="shared" ca="1" si="310"/>
        <v/>
      </c>
      <c r="DE74" s="164" t="str">
        <f t="shared" ca="1" si="310"/>
        <v/>
      </c>
      <c r="DF74" s="164" t="str">
        <f t="shared" ca="1" si="311"/>
        <v/>
      </c>
      <c r="DG74" s="164" t="str">
        <f t="shared" ca="1" si="311"/>
        <v/>
      </c>
      <c r="DH74" s="164" t="str">
        <f t="shared" ca="1" si="311"/>
        <v/>
      </c>
      <c r="DI74" s="164" t="str">
        <f t="shared" ca="1" si="311"/>
        <v/>
      </c>
      <c r="DJ74" s="164" t="str">
        <f t="shared" ca="1" si="311"/>
        <v/>
      </c>
      <c r="DK74" s="164" t="str">
        <f t="shared" ca="1" si="311"/>
        <v/>
      </c>
      <c r="DL74" s="164" t="str">
        <f t="shared" ca="1" si="311"/>
        <v/>
      </c>
      <c r="DM74" s="164" t="str">
        <f t="shared" ca="1" si="311"/>
        <v/>
      </c>
      <c r="DN74" s="164" t="str">
        <f t="shared" ca="1" si="311"/>
        <v/>
      </c>
      <c r="DO74" s="164" t="str">
        <f t="shared" ca="1" si="311"/>
        <v/>
      </c>
      <c r="DP74" s="164" t="str">
        <f t="shared" ca="1" si="311"/>
        <v/>
      </c>
      <c r="DQ74" s="164" t="str">
        <f t="shared" ca="1" si="311"/>
        <v/>
      </c>
      <c r="DR74" s="208"/>
      <c r="DS74" s="164" t="str">
        <f t="shared" ca="1" si="279"/>
        <v/>
      </c>
      <c r="DT74" s="164" t="str">
        <f t="shared" ca="1" si="280"/>
        <v/>
      </c>
      <c r="DU74" s="164" t="str">
        <f t="shared" ca="1" si="281"/>
        <v/>
      </c>
      <c r="DV74" s="164" t="str">
        <f t="shared" ca="1" si="282"/>
        <v/>
      </c>
      <c r="DW74" s="164" t="str">
        <f t="shared" ca="1" si="283"/>
        <v/>
      </c>
      <c r="DX74" s="164" t="str">
        <f t="shared" ca="1" si="284"/>
        <v/>
      </c>
      <c r="DY74" s="164" t="str">
        <f t="shared" ca="1" si="285"/>
        <v/>
      </c>
      <c r="DZ74" s="164" t="str">
        <f t="shared" ca="1" si="286"/>
        <v/>
      </c>
      <c r="EA74" s="164" t="str">
        <f t="shared" ca="1" si="287"/>
        <v/>
      </c>
      <c r="EB74" s="164" t="str">
        <f t="shared" ca="1" si="288"/>
        <v/>
      </c>
      <c r="EC74" s="164" t="str">
        <f t="shared" ca="1" si="289"/>
        <v/>
      </c>
      <c r="ED74" s="164" t="str">
        <f t="shared" ca="1" si="290"/>
        <v/>
      </c>
      <c r="EE74" s="164" t="str">
        <f t="shared" ca="1" si="291"/>
        <v/>
      </c>
      <c r="EF74" s="164" t="str">
        <f t="shared" ca="1" si="292"/>
        <v/>
      </c>
      <c r="EG74" s="164" t="str">
        <f t="shared" ca="1" si="293"/>
        <v/>
      </c>
      <c r="EH74" s="164" t="str">
        <f t="shared" ca="1" si="294"/>
        <v/>
      </c>
      <c r="EI74" s="164" t="str">
        <f t="shared" ca="1" si="295"/>
        <v/>
      </c>
      <c r="EJ74" s="164" t="str">
        <f t="shared" ca="1" si="296"/>
        <v/>
      </c>
      <c r="EK74" s="164" t="str">
        <f t="shared" ca="1" si="297"/>
        <v/>
      </c>
      <c r="EL74" s="164" t="str">
        <f t="shared" ca="1" si="298"/>
        <v/>
      </c>
      <c r="EM74" s="164" t="str">
        <f t="shared" ca="1" si="299"/>
        <v/>
      </c>
      <c r="EN74" s="164" t="str">
        <f t="shared" ca="1" si="300"/>
        <v/>
      </c>
      <c r="EO74" s="164" t="str">
        <f t="shared" ca="1" si="301"/>
        <v/>
      </c>
      <c r="EP74" s="164" t="str">
        <f t="shared" ca="1" si="302"/>
        <v/>
      </c>
      <c r="EQ74" s="164" t="str">
        <f t="shared" ca="1" si="303"/>
        <v/>
      </c>
      <c r="ER74" s="164" t="str">
        <f t="shared" ca="1" si="304"/>
        <v/>
      </c>
      <c r="ES74" s="164" t="str">
        <f t="shared" ca="1" si="305"/>
        <v/>
      </c>
    </row>
    <row r="75" spans="1:149" x14ac:dyDescent="0.2">
      <c r="A75" s="89" t="str">
        <f t="shared" ca="1" si="306"/>
        <v/>
      </c>
      <c r="B75" s="317" t="str">
        <f t="shared" ca="1" si="213"/>
        <v/>
      </c>
      <c r="C75" s="609" t="str">
        <f t="shared" ca="1" si="214"/>
        <v/>
      </c>
      <c r="D75" s="1956" t="str">
        <f t="shared" ca="1" si="215"/>
        <v/>
      </c>
      <c r="E75" s="1956"/>
      <c r="F75" s="960"/>
      <c r="G75" s="485" t="str">
        <f t="shared" ca="1" si="216"/>
        <v/>
      </c>
      <c r="H75" s="983"/>
      <c r="I75" s="486"/>
      <c r="J75" s="326"/>
      <c r="K75" s="1886" t="str">
        <f t="shared" ca="1" si="217"/>
        <v/>
      </c>
      <c r="L75" s="1888"/>
      <c r="M75" s="296" t="str">
        <f t="shared" ca="1" si="307"/>
        <v/>
      </c>
      <c r="N75" s="1321"/>
      <c r="O75" s="1319"/>
      <c r="P75" s="957" t="str">
        <f t="shared" ca="1" si="218"/>
        <v/>
      </c>
      <c r="Q75" s="164">
        <f t="shared" si="219"/>
        <v>0</v>
      </c>
      <c r="R75" s="164">
        <f t="shared" ca="1" si="220"/>
        <v>0</v>
      </c>
      <c r="S75" s="164">
        <f t="shared" ca="1" si="221"/>
        <v>0</v>
      </c>
      <c r="T75" s="164">
        <f t="shared" ca="1" si="222"/>
        <v>0</v>
      </c>
      <c r="U75" s="164">
        <f t="shared" ca="1" si="223"/>
        <v>0</v>
      </c>
      <c r="V75" s="164">
        <f t="shared" ca="1" si="224"/>
        <v>0</v>
      </c>
      <c r="W75" s="164">
        <f t="shared" ca="1" si="225"/>
        <v>0</v>
      </c>
      <c r="X75" s="164">
        <f t="shared" ca="1" si="226"/>
        <v>0</v>
      </c>
      <c r="Y75" s="164">
        <f t="shared" ca="1" si="227"/>
        <v>0</v>
      </c>
      <c r="Z75" s="164">
        <f t="shared" ca="1" si="228"/>
        <v>0</v>
      </c>
      <c r="AA75" s="164">
        <f t="shared" ca="1" si="229"/>
        <v>0</v>
      </c>
      <c r="AB75" s="164">
        <f t="shared" ca="1" si="230"/>
        <v>0</v>
      </c>
      <c r="AC75" s="164">
        <f t="shared" ca="1" si="231"/>
        <v>0</v>
      </c>
      <c r="AD75" s="164">
        <f t="shared" ca="1" si="232"/>
        <v>0</v>
      </c>
      <c r="AE75" s="164">
        <f t="shared" ca="1" si="233"/>
        <v>0</v>
      </c>
      <c r="AF75" s="164">
        <f t="shared" ca="1" si="234"/>
        <v>0</v>
      </c>
      <c r="AG75" s="164">
        <f t="shared" ca="1" si="235"/>
        <v>0</v>
      </c>
      <c r="AH75" s="164">
        <f t="shared" ca="1" si="236"/>
        <v>0</v>
      </c>
      <c r="AI75" s="164">
        <f t="shared" ca="1" si="237"/>
        <v>0</v>
      </c>
      <c r="AJ75" s="164">
        <f t="shared" ca="1" si="238"/>
        <v>0</v>
      </c>
      <c r="AK75" s="164">
        <f t="shared" ca="1" si="239"/>
        <v>0</v>
      </c>
      <c r="AL75" s="164">
        <f t="shared" ca="1" si="240"/>
        <v>0</v>
      </c>
      <c r="AM75" s="208"/>
      <c r="AN75" s="164">
        <f t="shared" si="241"/>
        <v>0</v>
      </c>
      <c r="AO75" s="164">
        <f t="shared" ca="1" si="242"/>
        <v>0</v>
      </c>
      <c r="AP75" s="164">
        <f t="shared" ca="1" si="243"/>
        <v>0</v>
      </c>
      <c r="AQ75" s="164">
        <f t="shared" ca="1" si="244"/>
        <v>0</v>
      </c>
      <c r="AR75" s="164">
        <f t="shared" ca="1" si="245"/>
        <v>0</v>
      </c>
      <c r="AS75" s="164">
        <f t="shared" ca="1" si="246"/>
        <v>0</v>
      </c>
      <c r="AT75" s="164">
        <f t="shared" ca="1" si="247"/>
        <v>0</v>
      </c>
      <c r="AU75" s="164">
        <f t="shared" ca="1" si="248"/>
        <v>0</v>
      </c>
      <c r="AV75" s="164">
        <f t="shared" ca="1" si="249"/>
        <v>0</v>
      </c>
      <c r="AW75" s="164">
        <f t="shared" ca="1" si="250"/>
        <v>0</v>
      </c>
      <c r="AX75" s="164">
        <f t="shared" ca="1" si="251"/>
        <v>0</v>
      </c>
      <c r="AY75" s="164">
        <f t="shared" ca="1" si="252"/>
        <v>0</v>
      </c>
      <c r="AZ75" s="164">
        <f t="shared" ca="1" si="253"/>
        <v>0</v>
      </c>
      <c r="BA75" s="164">
        <f t="shared" ca="1" si="254"/>
        <v>0</v>
      </c>
      <c r="BB75" s="164">
        <f t="shared" ca="1" si="255"/>
        <v>0</v>
      </c>
      <c r="BC75" s="164">
        <f t="shared" ca="1" si="256"/>
        <v>0</v>
      </c>
      <c r="BD75" s="164">
        <f t="shared" ca="1" si="257"/>
        <v>0</v>
      </c>
      <c r="BE75" s="164">
        <f t="shared" ca="1" si="258"/>
        <v>0</v>
      </c>
      <c r="BF75" s="164">
        <f t="shared" ca="1" si="259"/>
        <v>0</v>
      </c>
      <c r="BG75" s="164">
        <f t="shared" ca="1" si="260"/>
        <v>0</v>
      </c>
      <c r="BH75" s="164">
        <f t="shared" ca="1" si="261"/>
        <v>0</v>
      </c>
      <c r="BI75" s="164">
        <f t="shared" ca="1" si="262"/>
        <v>0</v>
      </c>
      <c r="BJ75" s="164">
        <f t="shared" ca="1" si="263"/>
        <v>0</v>
      </c>
      <c r="BK75" s="164">
        <f t="shared" ca="1" si="264"/>
        <v>0</v>
      </c>
      <c r="BL75" s="164">
        <f t="shared" ca="1" si="265"/>
        <v>0</v>
      </c>
      <c r="BM75" s="164">
        <f t="shared" ca="1" si="266"/>
        <v>0</v>
      </c>
      <c r="BN75" s="164">
        <f t="shared" ca="1" si="267"/>
        <v>0</v>
      </c>
      <c r="BO75" s="356" t="str">
        <f t="shared" ca="1" si="268"/>
        <v/>
      </c>
      <c r="BP75" s="355" t="str">
        <f t="shared" ca="1" si="269"/>
        <v/>
      </c>
      <c r="BQ75" s="355" t="str">
        <f t="shared" ca="1" si="270"/>
        <v/>
      </c>
      <c r="BR75" s="348">
        <f t="shared" ca="1" si="93"/>
        <v>0</v>
      </c>
      <c r="BS75" s="348">
        <f t="shared" ca="1" si="94"/>
        <v>0</v>
      </c>
      <c r="BT75" s="610">
        <f t="shared" ca="1" si="271"/>
        <v>0</v>
      </c>
      <c r="BU75" s="357">
        <f t="shared" ca="1" si="272"/>
        <v>0</v>
      </c>
      <c r="BV75" s="357">
        <f t="shared" si="273"/>
        <v>0</v>
      </c>
      <c r="BW75" s="357">
        <f t="shared" si="274"/>
        <v>0</v>
      </c>
      <c r="BX75" s="357">
        <f t="shared" ca="1" si="275"/>
        <v>0</v>
      </c>
      <c r="BY75" s="357">
        <f t="shared" ca="1" si="95"/>
        <v>0</v>
      </c>
      <c r="BZ75" s="357"/>
      <c r="CA75" s="357">
        <f t="shared" ca="1" si="96"/>
        <v>0</v>
      </c>
      <c r="CB75" s="357" t="str">
        <f t="shared" ca="1" si="276"/>
        <v/>
      </c>
      <c r="CC75" s="358" t="str">
        <f t="shared" ca="1" si="97"/>
        <v/>
      </c>
      <c r="CD75" s="358" t="str">
        <f t="shared" ca="1" si="98"/>
        <v/>
      </c>
      <c r="CE75" s="357" t="str">
        <f t="shared" ca="1" si="308"/>
        <v>,,,,,,,,,,,,,,,</v>
      </c>
      <c r="CF75" s="154" t="str">
        <f t="shared" si="309"/>
        <v/>
      </c>
      <c r="CG75" s="154">
        <f t="shared" ca="1" si="100"/>
        <v>0</v>
      </c>
      <c r="CH75" s="154"/>
      <c r="CI75" s="154"/>
      <c r="CJ75" s="154"/>
      <c r="CK75" s="154"/>
      <c r="CL75" s="154"/>
      <c r="CM75" s="154"/>
      <c r="CN75" t="s">
        <v>784</v>
      </c>
      <c r="CO75" s="169"/>
      <c r="CP75" s="169"/>
      <c r="CQ75" s="169"/>
      <c r="CR75" s="169"/>
      <c r="CS75" s="169"/>
      <c r="CT75" s="169"/>
      <c r="CU75" s="169"/>
      <c r="CV75" s="164" t="str">
        <f t="shared" ca="1" si="310"/>
        <v/>
      </c>
      <c r="CW75" s="164" t="str">
        <f t="shared" ca="1" si="310"/>
        <v/>
      </c>
      <c r="CX75" s="164" t="str">
        <f t="shared" ca="1" si="310"/>
        <v/>
      </c>
      <c r="CY75" s="164" t="str">
        <f t="shared" ca="1" si="310"/>
        <v/>
      </c>
      <c r="CZ75" s="164" t="str">
        <f t="shared" ca="1" si="310"/>
        <v/>
      </c>
      <c r="DA75" s="164" t="str">
        <f t="shared" ca="1" si="310"/>
        <v/>
      </c>
      <c r="DB75" s="164" t="str">
        <f t="shared" ca="1" si="310"/>
        <v/>
      </c>
      <c r="DC75" s="164" t="str">
        <f t="shared" ca="1" si="310"/>
        <v/>
      </c>
      <c r="DD75" s="164" t="str">
        <f t="shared" ca="1" si="310"/>
        <v/>
      </c>
      <c r="DE75" s="164" t="str">
        <f t="shared" ca="1" si="310"/>
        <v/>
      </c>
      <c r="DF75" s="164" t="str">
        <f t="shared" ca="1" si="311"/>
        <v/>
      </c>
      <c r="DG75" s="164" t="str">
        <f t="shared" ca="1" si="311"/>
        <v/>
      </c>
      <c r="DH75" s="164" t="str">
        <f t="shared" ca="1" si="311"/>
        <v/>
      </c>
      <c r="DI75" s="164" t="str">
        <f t="shared" ca="1" si="311"/>
        <v/>
      </c>
      <c r="DJ75" s="164" t="str">
        <f t="shared" ca="1" si="311"/>
        <v/>
      </c>
      <c r="DK75" s="164" t="str">
        <f t="shared" ca="1" si="311"/>
        <v/>
      </c>
      <c r="DL75" s="164" t="str">
        <f t="shared" ca="1" si="311"/>
        <v/>
      </c>
      <c r="DM75" s="164" t="str">
        <f t="shared" ca="1" si="311"/>
        <v/>
      </c>
      <c r="DN75" s="164" t="str">
        <f t="shared" ca="1" si="311"/>
        <v/>
      </c>
      <c r="DO75" s="164" t="str">
        <f t="shared" ca="1" si="311"/>
        <v/>
      </c>
      <c r="DP75" s="164" t="str">
        <f t="shared" ca="1" si="311"/>
        <v/>
      </c>
      <c r="DQ75" s="164" t="str">
        <f t="shared" ca="1" si="311"/>
        <v/>
      </c>
      <c r="DR75" s="208"/>
      <c r="DS75" s="164" t="str">
        <f t="shared" ca="1" si="279"/>
        <v/>
      </c>
      <c r="DT75" s="164" t="str">
        <f t="shared" ca="1" si="280"/>
        <v/>
      </c>
      <c r="DU75" s="164" t="str">
        <f t="shared" ca="1" si="281"/>
        <v/>
      </c>
      <c r="DV75" s="164" t="str">
        <f t="shared" ca="1" si="282"/>
        <v/>
      </c>
      <c r="DW75" s="164" t="str">
        <f t="shared" ca="1" si="283"/>
        <v/>
      </c>
      <c r="DX75" s="164" t="str">
        <f t="shared" ca="1" si="284"/>
        <v/>
      </c>
      <c r="DY75" s="164" t="str">
        <f t="shared" ca="1" si="285"/>
        <v/>
      </c>
      <c r="DZ75" s="164" t="str">
        <f t="shared" ca="1" si="286"/>
        <v/>
      </c>
      <c r="EA75" s="164" t="str">
        <f t="shared" ca="1" si="287"/>
        <v/>
      </c>
      <c r="EB75" s="164" t="str">
        <f t="shared" ca="1" si="288"/>
        <v/>
      </c>
      <c r="EC75" s="164" t="str">
        <f t="shared" ca="1" si="289"/>
        <v/>
      </c>
      <c r="ED75" s="164" t="str">
        <f t="shared" ca="1" si="290"/>
        <v/>
      </c>
      <c r="EE75" s="164" t="str">
        <f t="shared" ca="1" si="291"/>
        <v/>
      </c>
      <c r="EF75" s="164" t="str">
        <f t="shared" ca="1" si="292"/>
        <v/>
      </c>
      <c r="EG75" s="164" t="str">
        <f t="shared" ca="1" si="293"/>
        <v/>
      </c>
      <c r="EH75" s="164" t="str">
        <f t="shared" ca="1" si="294"/>
        <v/>
      </c>
      <c r="EI75" s="164" t="str">
        <f t="shared" ca="1" si="295"/>
        <v/>
      </c>
      <c r="EJ75" s="164" t="str">
        <f t="shared" ca="1" si="296"/>
        <v/>
      </c>
      <c r="EK75" s="164" t="str">
        <f t="shared" ca="1" si="297"/>
        <v/>
      </c>
      <c r="EL75" s="164" t="str">
        <f t="shared" ca="1" si="298"/>
        <v/>
      </c>
      <c r="EM75" s="164" t="str">
        <f t="shared" ca="1" si="299"/>
        <v/>
      </c>
      <c r="EN75" s="164" t="str">
        <f t="shared" ca="1" si="300"/>
        <v/>
      </c>
      <c r="EO75" s="164" t="str">
        <f t="shared" ca="1" si="301"/>
        <v/>
      </c>
      <c r="EP75" s="164" t="str">
        <f t="shared" ca="1" si="302"/>
        <v/>
      </c>
      <c r="EQ75" s="164" t="str">
        <f t="shared" ca="1" si="303"/>
        <v/>
      </c>
      <c r="ER75" s="164" t="str">
        <f t="shared" ca="1" si="304"/>
        <v/>
      </c>
      <c r="ES75" s="164" t="str">
        <f t="shared" ca="1" si="305"/>
        <v/>
      </c>
    </row>
    <row r="76" spans="1:149" x14ac:dyDescent="0.2">
      <c r="A76" s="89" t="str">
        <f t="shared" ca="1" si="306"/>
        <v/>
      </c>
      <c r="B76" s="317" t="str">
        <f t="shared" ca="1" si="213"/>
        <v/>
      </c>
      <c r="C76" s="609" t="str">
        <f t="shared" ca="1" si="214"/>
        <v/>
      </c>
      <c r="D76" s="1956" t="str">
        <f t="shared" ca="1" si="215"/>
        <v/>
      </c>
      <c r="E76" s="1956"/>
      <c r="F76" s="960"/>
      <c r="G76" s="485" t="str">
        <f t="shared" ca="1" si="216"/>
        <v/>
      </c>
      <c r="H76" s="983"/>
      <c r="I76" s="486"/>
      <c r="J76" s="326"/>
      <c r="K76" s="1886" t="str">
        <f t="shared" ca="1" si="217"/>
        <v/>
      </c>
      <c r="L76" s="1888"/>
      <c r="M76" s="296" t="str">
        <f t="shared" ca="1" si="307"/>
        <v/>
      </c>
      <c r="N76" s="1322"/>
      <c r="O76" s="1319"/>
      <c r="P76" s="957" t="str">
        <f t="shared" ca="1" si="218"/>
        <v/>
      </c>
      <c r="Q76" s="164">
        <f t="shared" si="219"/>
        <v>0</v>
      </c>
      <c r="R76" s="164">
        <f t="shared" ca="1" si="220"/>
        <v>0</v>
      </c>
      <c r="S76" s="164">
        <f t="shared" ca="1" si="221"/>
        <v>0</v>
      </c>
      <c r="T76" s="164">
        <f t="shared" ca="1" si="222"/>
        <v>0</v>
      </c>
      <c r="U76" s="164">
        <f t="shared" ca="1" si="223"/>
        <v>0</v>
      </c>
      <c r="V76" s="164">
        <f t="shared" ca="1" si="224"/>
        <v>0</v>
      </c>
      <c r="W76" s="164">
        <f t="shared" ca="1" si="225"/>
        <v>0</v>
      </c>
      <c r="X76" s="164">
        <f t="shared" ca="1" si="226"/>
        <v>0</v>
      </c>
      <c r="Y76" s="164">
        <f t="shared" ca="1" si="227"/>
        <v>0</v>
      </c>
      <c r="Z76" s="164">
        <f t="shared" ca="1" si="228"/>
        <v>0</v>
      </c>
      <c r="AA76" s="164">
        <f t="shared" ca="1" si="229"/>
        <v>0</v>
      </c>
      <c r="AB76" s="164">
        <f t="shared" ca="1" si="230"/>
        <v>0</v>
      </c>
      <c r="AC76" s="164">
        <f t="shared" ca="1" si="231"/>
        <v>0</v>
      </c>
      <c r="AD76" s="164">
        <f t="shared" ca="1" si="232"/>
        <v>0</v>
      </c>
      <c r="AE76" s="164">
        <f t="shared" ca="1" si="233"/>
        <v>0</v>
      </c>
      <c r="AF76" s="164">
        <f t="shared" ca="1" si="234"/>
        <v>0</v>
      </c>
      <c r="AG76" s="164">
        <f t="shared" ca="1" si="235"/>
        <v>0</v>
      </c>
      <c r="AH76" s="164">
        <f t="shared" ca="1" si="236"/>
        <v>0</v>
      </c>
      <c r="AI76" s="164">
        <f t="shared" ca="1" si="237"/>
        <v>0</v>
      </c>
      <c r="AJ76" s="164">
        <f t="shared" ca="1" si="238"/>
        <v>0</v>
      </c>
      <c r="AK76" s="164">
        <f t="shared" ca="1" si="239"/>
        <v>0</v>
      </c>
      <c r="AL76" s="164">
        <f t="shared" ca="1" si="240"/>
        <v>0</v>
      </c>
      <c r="AM76" s="208"/>
      <c r="AN76" s="164">
        <f t="shared" si="241"/>
        <v>0</v>
      </c>
      <c r="AO76" s="164">
        <f t="shared" ca="1" si="242"/>
        <v>0</v>
      </c>
      <c r="AP76" s="164">
        <f t="shared" ca="1" si="243"/>
        <v>0</v>
      </c>
      <c r="AQ76" s="164">
        <f t="shared" ca="1" si="244"/>
        <v>0</v>
      </c>
      <c r="AR76" s="164">
        <f t="shared" ca="1" si="245"/>
        <v>0</v>
      </c>
      <c r="AS76" s="164">
        <f t="shared" ca="1" si="246"/>
        <v>0</v>
      </c>
      <c r="AT76" s="164">
        <f t="shared" ca="1" si="247"/>
        <v>0</v>
      </c>
      <c r="AU76" s="164">
        <f t="shared" ca="1" si="248"/>
        <v>0</v>
      </c>
      <c r="AV76" s="164">
        <f t="shared" ca="1" si="249"/>
        <v>0</v>
      </c>
      <c r="AW76" s="164">
        <f t="shared" ca="1" si="250"/>
        <v>0</v>
      </c>
      <c r="AX76" s="164">
        <f t="shared" ca="1" si="251"/>
        <v>0</v>
      </c>
      <c r="AY76" s="164">
        <f t="shared" ca="1" si="252"/>
        <v>0</v>
      </c>
      <c r="AZ76" s="164">
        <f t="shared" ca="1" si="253"/>
        <v>0</v>
      </c>
      <c r="BA76" s="164">
        <f t="shared" ca="1" si="254"/>
        <v>0</v>
      </c>
      <c r="BB76" s="164">
        <f t="shared" ca="1" si="255"/>
        <v>0</v>
      </c>
      <c r="BC76" s="164">
        <f t="shared" ca="1" si="256"/>
        <v>0</v>
      </c>
      <c r="BD76" s="164">
        <f t="shared" ca="1" si="257"/>
        <v>0</v>
      </c>
      <c r="BE76" s="164">
        <f t="shared" ca="1" si="258"/>
        <v>0</v>
      </c>
      <c r="BF76" s="164">
        <f t="shared" ca="1" si="259"/>
        <v>0</v>
      </c>
      <c r="BG76" s="164">
        <f t="shared" ca="1" si="260"/>
        <v>0</v>
      </c>
      <c r="BH76" s="164">
        <f t="shared" ca="1" si="261"/>
        <v>0</v>
      </c>
      <c r="BI76" s="164">
        <f t="shared" ca="1" si="262"/>
        <v>0</v>
      </c>
      <c r="BJ76" s="164">
        <f t="shared" ca="1" si="263"/>
        <v>0</v>
      </c>
      <c r="BK76" s="164">
        <f t="shared" ca="1" si="264"/>
        <v>0</v>
      </c>
      <c r="BL76" s="164">
        <f t="shared" ca="1" si="265"/>
        <v>0</v>
      </c>
      <c r="BM76" s="164">
        <f t="shared" ca="1" si="266"/>
        <v>0</v>
      </c>
      <c r="BN76" s="164">
        <f t="shared" ca="1" si="267"/>
        <v>0</v>
      </c>
      <c r="BO76" s="356" t="str">
        <f t="shared" ca="1" si="268"/>
        <v/>
      </c>
      <c r="BP76" s="355" t="str">
        <f t="shared" ca="1" si="269"/>
        <v/>
      </c>
      <c r="BQ76" s="355" t="str">
        <f t="shared" ca="1" si="270"/>
        <v/>
      </c>
      <c r="BR76" s="348">
        <f t="shared" ref="BR76:BR139" ca="1" si="312">IF(EXACT($BP$2,""),0,IF($CV$3,IF(ISERROR(FIND($BP$2,$BQ76)),0,1),(LEN($BQ76)-LEN(SUBSTITUTE($BQ76,$BP$2,"")))/LEN($BP$2)))</f>
        <v>0</v>
      </c>
      <c r="BS76" s="348">
        <f t="shared" ref="BS76:BS139" ca="1" si="313">IF(EXACT($BP$3,""),0,IF($CV$3,IF(ISERROR(FIND($BP$3,$BQ76)),0,1),(LEN($BQ76)-LEN(SUBSTITUTE($BQ76,$BP$3,"")))/LEN($BP$3)))</f>
        <v>0</v>
      </c>
      <c r="BT76" s="610">
        <f t="shared" ca="1" si="271"/>
        <v>0</v>
      </c>
      <c r="BU76" s="357">
        <f t="shared" ca="1" si="272"/>
        <v>0</v>
      </c>
      <c r="BV76" s="357">
        <f t="shared" si="273"/>
        <v>0</v>
      </c>
      <c r="BW76" s="357">
        <f t="shared" si="274"/>
        <v>0</v>
      </c>
      <c r="BX76" s="357">
        <f t="shared" ca="1" si="275"/>
        <v>0</v>
      </c>
      <c r="BY76" s="357">
        <f t="shared" ca="1" si="95"/>
        <v>0</v>
      </c>
      <c r="BZ76" s="357"/>
      <c r="CA76" s="357">
        <f t="shared" ref="CA76:CA139" ca="1" si="314">SUM(IF(AND(NOT(ISERR(FIND($AC$6,BQ76))),NOT(EXACT($AC$6,""))),-1,0),IF(AND(NOT(ISERR(FIND($AC$7,BQ76))),NOT(EXACT($AC$7,""))),-1,0),IF(AND(NOT(ISERR(FIND($AC$8,BQ76))),NOT(EXACT($AC$8,""))),-1,0),IF(AND(NOT(ISERR(FIND($BP$6,BQ76))),NOT(EXACT($BP$6,""))),-1,0))</f>
        <v>0</v>
      </c>
      <c r="CB76" s="357" t="str">
        <f t="shared" ca="1" si="276"/>
        <v/>
      </c>
      <c r="CC76" s="358" t="str">
        <f t="shared" ca="1" si="97"/>
        <v/>
      </c>
      <c r="CD76" s="358" t="str">
        <f t="shared" ca="1" si="98"/>
        <v/>
      </c>
      <c r="CE76" s="357" t="str">
        <f t="shared" ca="1" si="308"/>
        <v>,,,,,,,,,,,,,,,,</v>
      </c>
      <c r="CF76" s="154" t="str">
        <f t="shared" si="309"/>
        <v/>
      </c>
      <c r="CG76" s="154">
        <f t="shared" ca="1" si="100"/>
        <v>0</v>
      </c>
      <c r="CH76" s="154"/>
      <c r="CI76" s="154"/>
      <c r="CJ76" s="154"/>
      <c r="CK76" s="154"/>
      <c r="CL76" s="154"/>
      <c r="CM76" s="154"/>
      <c r="CN76" t="s">
        <v>784</v>
      </c>
      <c r="CO76" s="169"/>
      <c r="CP76" s="169"/>
      <c r="CQ76" s="169"/>
      <c r="CR76" s="169"/>
      <c r="CS76" s="169"/>
      <c r="CT76" s="169"/>
      <c r="CU76" s="169"/>
      <c r="CV76" s="164" t="str">
        <f t="shared" ca="1" si="310"/>
        <v/>
      </c>
      <c r="CW76" s="164" t="str">
        <f t="shared" ca="1" si="310"/>
        <v/>
      </c>
      <c r="CX76" s="164" t="str">
        <f t="shared" ca="1" si="310"/>
        <v/>
      </c>
      <c r="CY76" s="164" t="str">
        <f t="shared" ca="1" si="310"/>
        <v/>
      </c>
      <c r="CZ76" s="164" t="str">
        <f t="shared" ca="1" si="310"/>
        <v/>
      </c>
      <c r="DA76" s="164" t="str">
        <f t="shared" ca="1" si="310"/>
        <v/>
      </c>
      <c r="DB76" s="164" t="str">
        <f t="shared" ca="1" si="310"/>
        <v/>
      </c>
      <c r="DC76" s="164" t="str">
        <f t="shared" ca="1" si="310"/>
        <v/>
      </c>
      <c r="DD76" s="164" t="str">
        <f t="shared" ca="1" si="310"/>
        <v/>
      </c>
      <c r="DE76" s="164" t="str">
        <f t="shared" ca="1" si="310"/>
        <v/>
      </c>
      <c r="DF76" s="164" t="str">
        <f t="shared" ca="1" si="311"/>
        <v/>
      </c>
      <c r="DG76" s="164" t="str">
        <f t="shared" ca="1" si="311"/>
        <v/>
      </c>
      <c r="DH76" s="164" t="str">
        <f t="shared" ca="1" si="311"/>
        <v/>
      </c>
      <c r="DI76" s="164" t="str">
        <f t="shared" ca="1" si="311"/>
        <v/>
      </c>
      <c r="DJ76" s="164" t="str">
        <f t="shared" ca="1" si="311"/>
        <v/>
      </c>
      <c r="DK76" s="164" t="str">
        <f t="shared" ca="1" si="311"/>
        <v/>
      </c>
      <c r="DL76" s="164" t="str">
        <f t="shared" ca="1" si="311"/>
        <v/>
      </c>
      <c r="DM76" s="164" t="str">
        <f t="shared" ca="1" si="311"/>
        <v/>
      </c>
      <c r="DN76" s="164" t="str">
        <f t="shared" ca="1" si="311"/>
        <v/>
      </c>
      <c r="DO76" s="164" t="str">
        <f t="shared" ca="1" si="311"/>
        <v/>
      </c>
      <c r="DP76" s="164" t="str">
        <f t="shared" ca="1" si="311"/>
        <v/>
      </c>
      <c r="DQ76" s="164" t="str">
        <f t="shared" ca="1" si="311"/>
        <v/>
      </c>
      <c r="DR76" s="208"/>
      <c r="DS76" s="164" t="str">
        <f t="shared" ca="1" si="279"/>
        <v/>
      </c>
      <c r="DT76" s="164" t="str">
        <f t="shared" ca="1" si="280"/>
        <v/>
      </c>
      <c r="DU76" s="164" t="str">
        <f t="shared" ca="1" si="281"/>
        <v/>
      </c>
      <c r="DV76" s="164" t="str">
        <f t="shared" ca="1" si="282"/>
        <v/>
      </c>
      <c r="DW76" s="164" t="str">
        <f t="shared" ca="1" si="283"/>
        <v/>
      </c>
      <c r="DX76" s="164" t="str">
        <f t="shared" ca="1" si="284"/>
        <v/>
      </c>
      <c r="DY76" s="164" t="str">
        <f t="shared" ca="1" si="285"/>
        <v/>
      </c>
      <c r="DZ76" s="164" t="str">
        <f t="shared" ca="1" si="286"/>
        <v/>
      </c>
      <c r="EA76" s="164" t="str">
        <f t="shared" ca="1" si="287"/>
        <v/>
      </c>
      <c r="EB76" s="164" t="str">
        <f t="shared" ca="1" si="288"/>
        <v/>
      </c>
      <c r="EC76" s="164" t="str">
        <f t="shared" ca="1" si="289"/>
        <v/>
      </c>
      <c r="ED76" s="164" t="str">
        <f t="shared" ca="1" si="290"/>
        <v/>
      </c>
      <c r="EE76" s="164" t="str">
        <f t="shared" ca="1" si="291"/>
        <v/>
      </c>
      <c r="EF76" s="164" t="str">
        <f t="shared" ca="1" si="292"/>
        <v/>
      </c>
      <c r="EG76" s="164" t="str">
        <f t="shared" ca="1" si="293"/>
        <v/>
      </c>
      <c r="EH76" s="164" t="str">
        <f t="shared" ca="1" si="294"/>
        <v/>
      </c>
      <c r="EI76" s="164" t="str">
        <f t="shared" ca="1" si="295"/>
        <v/>
      </c>
      <c r="EJ76" s="164" t="str">
        <f t="shared" ca="1" si="296"/>
        <v/>
      </c>
      <c r="EK76" s="164" t="str">
        <f t="shared" ca="1" si="297"/>
        <v/>
      </c>
      <c r="EL76" s="164" t="str">
        <f t="shared" ca="1" si="298"/>
        <v/>
      </c>
      <c r="EM76" s="164" t="str">
        <f t="shared" ca="1" si="299"/>
        <v/>
      </c>
      <c r="EN76" s="164" t="str">
        <f t="shared" ca="1" si="300"/>
        <v/>
      </c>
      <c r="EO76" s="164" t="str">
        <f t="shared" ca="1" si="301"/>
        <v/>
      </c>
      <c r="EP76" s="164" t="str">
        <f t="shared" ca="1" si="302"/>
        <v/>
      </c>
      <c r="EQ76" s="164" t="str">
        <f t="shared" ca="1" si="303"/>
        <v/>
      </c>
      <c r="ER76" s="164" t="str">
        <f t="shared" ca="1" si="304"/>
        <v/>
      </c>
      <c r="ES76" s="164" t="str">
        <f t="shared" ca="1" si="305"/>
        <v/>
      </c>
    </row>
    <row r="77" spans="1:149" x14ac:dyDescent="0.2">
      <c r="A77" s="89" t="str">
        <f t="shared" ca="1" si="306"/>
        <v/>
      </c>
      <c r="B77" s="317" t="str">
        <f t="shared" ca="1" si="213"/>
        <v/>
      </c>
      <c r="C77" s="609" t="str">
        <f t="shared" ca="1" si="214"/>
        <v/>
      </c>
      <c r="D77" s="1956" t="str">
        <f t="shared" ca="1" si="215"/>
        <v/>
      </c>
      <c r="E77" s="1956"/>
      <c r="F77" s="960"/>
      <c r="G77" s="485" t="str">
        <f t="shared" ca="1" si="216"/>
        <v/>
      </c>
      <c r="H77" s="983"/>
      <c r="I77" s="486"/>
      <c r="J77" s="326"/>
      <c r="K77" s="1886" t="str">
        <f t="shared" ca="1" si="217"/>
        <v/>
      </c>
      <c r="L77" s="1888"/>
      <c r="M77" s="296" t="str">
        <f t="shared" ca="1" si="307"/>
        <v/>
      </c>
      <c r="N77" s="1322"/>
      <c r="O77" s="1319"/>
      <c r="P77" s="957" t="str">
        <f t="shared" ca="1" si="218"/>
        <v/>
      </c>
      <c r="Q77" s="164">
        <f t="shared" si="219"/>
        <v>0</v>
      </c>
      <c r="R77" s="164">
        <f t="shared" ca="1" si="220"/>
        <v>0</v>
      </c>
      <c r="S77" s="164">
        <f t="shared" ca="1" si="221"/>
        <v>0</v>
      </c>
      <c r="T77" s="164">
        <f t="shared" ca="1" si="222"/>
        <v>0</v>
      </c>
      <c r="U77" s="164">
        <f t="shared" ca="1" si="223"/>
        <v>0</v>
      </c>
      <c r="V77" s="164">
        <f t="shared" ca="1" si="224"/>
        <v>0</v>
      </c>
      <c r="W77" s="164">
        <f t="shared" ca="1" si="225"/>
        <v>0</v>
      </c>
      <c r="X77" s="164">
        <f t="shared" ca="1" si="226"/>
        <v>0</v>
      </c>
      <c r="Y77" s="164">
        <f t="shared" ca="1" si="227"/>
        <v>0</v>
      </c>
      <c r="Z77" s="164">
        <f t="shared" ca="1" si="228"/>
        <v>0</v>
      </c>
      <c r="AA77" s="164">
        <f t="shared" ca="1" si="229"/>
        <v>0</v>
      </c>
      <c r="AB77" s="164">
        <f t="shared" ca="1" si="230"/>
        <v>0</v>
      </c>
      <c r="AC77" s="164">
        <f t="shared" ca="1" si="231"/>
        <v>0</v>
      </c>
      <c r="AD77" s="164">
        <f t="shared" ca="1" si="232"/>
        <v>0</v>
      </c>
      <c r="AE77" s="164">
        <f t="shared" ca="1" si="233"/>
        <v>0</v>
      </c>
      <c r="AF77" s="164">
        <f t="shared" ca="1" si="234"/>
        <v>0</v>
      </c>
      <c r="AG77" s="164">
        <f t="shared" ca="1" si="235"/>
        <v>0</v>
      </c>
      <c r="AH77" s="164">
        <f t="shared" ca="1" si="236"/>
        <v>0</v>
      </c>
      <c r="AI77" s="164">
        <f t="shared" ca="1" si="237"/>
        <v>0</v>
      </c>
      <c r="AJ77" s="164">
        <f t="shared" ca="1" si="238"/>
        <v>0</v>
      </c>
      <c r="AK77" s="164">
        <f t="shared" ca="1" si="239"/>
        <v>0</v>
      </c>
      <c r="AL77" s="164">
        <f t="shared" ca="1" si="240"/>
        <v>0</v>
      </c>
      <c r="AM77" s="208"/>
      <c r="AN77" s="164">
        <f t="shared" si="241"/>
        <v>0</v>
      </c>
      <c r="AO77" s="164">
        <f t="shared" ca="1" si="242"/>
        <v>0</v>
      </c>
      <c r="AP77" s="164">
        <f t="shared" ca="1" si="243"/>
        <v>0</v>
      </c>
      <c r="AQ77" s="164">
        <f t="shared" ca="1" si="244"/>
        <v>0</v>
      </c>
      <c r="AR77" s="164">
        <f t="shared" ca="1" si="245"/>
        <v>0</v>
      </c>
      <c r="AS77" s="164">
        <f t="shared" ca="1" si="246"/>
        <v>0</v>
      </c>
      <c r="AT77" s="164">
        <f t="shared" ca="1" si="247"/>
        <v>0</v>
      </c>
      <c r="AU77" s="164">
        <f t="shared" ca="1" si="248"/>
        <v>0</v>
      </c>
      <c r="AV77" s="164">
        <f t="shared" ca="1" si="249"/>
        <v>0</v>
      </c>
      <c r="AW77" s="164">
        <f t="shared" ca="1" si="250"/>
        <v>0</v>
      </c>
      <c r="AX77" s="164">
        <f t="shared" ca="1" si="251"/>
        <v>0</v>
      </c>
      <c r="AY77" s="164">
        <f t="shared" ca="1" si="252"/>
        <v>0</v>
      </c>
      <c r="AZ77" s="164">
        <f t="shared" ca="1" si="253"/>
        <v>0</v>
      </c>
      <c r="BA77" s="164">
        <f t="shared" ca="1" si="254"/>
        <v>0</v>
      </c>
      <c r="BB77" s="164">
        <f t="shared" ca="1" si="255"/>
        <v>0</v>
      </c>
      <c r="BC77" s="164">
        <f t="shared" ca="1" si="256"/>
        <v>0</v>
      </c>
      <c r="BD77" s="164">
        <f t="shared" ca="1" si="257"/>
        <v>0</v>
      </c>
      <c r="BE77" s="164">
        <f t="shared" ca="1" si="258"/>
        <v>0</v>
      </c>
      <c r="BF77" s="164">
        <f t="shared" ca="1" si="259"/>
        <v>0</v>
      </c>
      <c r="BG77" s="164">
        <f t="shared" ca="1" si="260"/>
        <v>0</v>
      </c>
      <c r="BH77" s="164">
        <f t="shared" ca="1" si="261"/>
        <v>0</v>
      </c>
      <c r="BI77" s="164">
        <f t="shared" ca="1" si="262"/>
        <v>0</v>
      </c>
      <c r="BJ77" s="164">
        <f t="shared" ca="1" si="263"/>
        <v>0</v>
      </c>
      <c r="BK77" s="164">
        <f t="shared" ca="1" si="264"/>
        <v>0</v>
      </c>
      <c r="BL77" s="164">
        <f t="shared" ca="1" si="265"/>
        <v>0</v>
      </c>
      <c r="BM77" s="164">
        <f t="shared" ca="1" si="266"/>
        <v>0</v>
      </c>
      <c r="BN77" s="164">
        <f t="shared" ca="1" si="267"/>
        <v>0</v>
      </c>
      <c r="BO77" s="356" t="str">
        <f t="shared" ca="1" si="268"/>
        <v/>
      </c>
      <c r="BP77" s="355" t="str">
        <f t="shared" ca="1" si="269"/>
        <v/>
      </c>
      <c r="BQ77" s="355" t="str">
        <f t="shared" ca="1" si="270"/>
        <v/>
      </c>
      <c r="BR77" s="348">
        <f t="shared" ca="1" si="312"/>
        <v>0</v>
      </c>
      <c r="BS77" s="348">
        <f t="shared" ca="1" si="313"/>
        <v>0</v>
      </c>
      <c r="BT77" s="610">
        <f t="shared" ca="1" si="271"/>
        <v>0</v>
      </c>
      <c r="BU77" s="357">
        <f t="shared" ca="1" si="272"/>
        <v>0</v>
      </c>
      <c r="BV77" s="357">
        <f t="shared" si="273"/>
        <v>0</v>
      </c>
      <c r="BW77" s="357">
        <f t="shared" si="274"/>
        <v>0</v>
      </c>
      <c r="BX77" s="357">
        <f t="shared" ca="1" si="275"/>
        <v>0</v>
      </c>
      <c r="BY77" s="357">
        <f t="shared" ca="1" si="95"/>
        <v>0</v>
      </c>
      <c r="BZ77" s="357"/>
      <c r="CA77" s="357">
        <f t="shared" ca="1" si="314"/>
        <v>0</v>
      </c>
      <c r="CB77" s="357" t="str">
        <f t="shared" ca="1" si="276"/>
        <v/>
      </c>
      <c r="CC77" s="358" t="str">
        <f t="shared" ca="1" si="97"/>
        <v/>
      </c>
      <c r="CD77" s="358" t="str">
        <f t="shared" ca="1" si="98"/>
        <v/>
      </c>
      <c r="CE77" s="357" t="str">
        <f t="shared" ca="1" si="308"/>
        <v>,,,,,,,,,,,,,,,,,</v>
      </c>
      <c r="CF77" s="154" t="str">
        <f>IF(OR(NOT(EXACT($F77,"")),NOT(EXACT($J77,""))),CONCATENATE(CF76,A77,","),CF76)</f>
        <v/>
      </c>
      <c r="CG77" s="154">
        <f t="shared" ca="1" si="100"/>
        <v>0</v>
      </c>
      <c r="CH77" s="154"/>
      <c r="CI77" s="154"/>
      <c r="CJ77" s="154"/>
      <c r="CK77" s="154"/>
      <c r="CL77" s="154"/>
      <c r="CM77" s="154"/>
      <c r="CN77" t="s">
        <v>784</v>
      </c>
      <c r="CO77" s="169"/>
      <c r="CP77" s="169"/>
      <c r="CQ77" s="169"/>
      <c r="CR77" s="169"/>
      <c r="CS77" s="169"/>
      <c r="CT77" s="169"/>
      <c r="CU77" s="169"/>
      <c r="CV77" s="164" t="str">
        <f t="shared" ca="1" si="310"/>
        <v/>
      </c>
      <c r="CW77" s="164" t="str">
        <f t="shared" ca="1" si="310"/>
        <v/>
      </c>
      <c r="CX77" s="164" t="str">
        <f t="shared" ca="1" si="310"/>
        <v/>
      </c>
      <c r="CY77" s="164" t="str">
        <f t="shared" ca="1" si="310"/>
        <v/>
      </c>
      <c r="CZ77" s="164" t="str">
        <f t="shared" ca="1" si="310"/>
        <v/>
      </c>
      <c r="DA77" s="164" t="str">
        <f t="shared" ca="1" si="310"/>
        <v/>
      </c>
      <c r="DB77" s="164" t="str">
        <f t="shared" ca="1" si="310"/>
        <v/>
      </c>
      <c r="DC77" s="164" t="str">
        <f t="shared" ca="1" si="310"/>
        <v/>
      </c>
      <c r="DD77" s="164" t="str">
        <f t="shared" ca="1" si="310"/>
        <v/>
      </c>
      <c r="DE77" s="164" t="str">
        <f t="shared" ca="1" si="310"/>
        <v/>
      </c>
      <c r="DF77" s="164" t="str">
        <f t="shared" ca="1" si="311"/>
        <v/>
      </c>
      <c r="DG77" s="164" t="str">
        <f t="shared" ca="1" si="311"/>
        <v/>
      </c>
      <c r="DH77" s="164" t="str">
        <f t="shared" ca="1" si="311"/>
        <v/>
      </c>
      <c r="DI77" s="164" t="str">
        <f t="shared" ca="1" si="311"/>
        <v/>
      </c>
      <c r="DJ77" s="164" t="str">
        <f t="shared" ca="1" si="311"/>
        <v/>
      </c>
      <c r="DK77" s="164" t="str">
        <f t="shared" ca="1" si="311"/>
        <v/>
      </c>
      <c r="DL77" s="164" t="str">
        <f t="shared" ca="1" si="311"/>
        <v/>
      </c>
      <c r="DM77" s="164" t="str">
        <f t="shared" ca="1" si="311"/>
        <v/>
      </c>
      <c r="DN77" s="164" t="str">
        <f t="shared" ca="1" si="311"/>
        <v/>
      </c>
      <c r="DO77" s="164" t="str">
        <f t="shared" ca="1" si="311"/>
        <v/>
      </c>
      <c r="DP77" s="164" t="str">
        <f t="shared" ca="1" si="311"/>
        <v/>
      </c>
      <c r="DQ77" s="164" t="str">
        <f t="shared" ca="1" si="311"/>
        <v/>
      </c>
      <c r="DR77" s="208"/>
      <c r="DS77" s="164" t="str">
        <f t="shared" ca="1" si="279"/>
        <v/>
      </c>
      <c r="DT77" s="164" t="str">
        <f t="shared" ca="1" si="280"/>
        <v/>
      </c>
      <c r="DU77" s="164" t="str">
        <f t="shared" ca="1" si="281"/>
        <v/>
      </c>
      <c r="DV77" s="164" t="str">
        <f t="shared" ca="1" si="282"/>
        <v/>
      </c>
      <c r="DW77" s="164" t="str">
        <f t="shared" ca="1" si="283"/>
        <v/>
      </c>
      <c r="DX77" s="164" t="str">
        <f t="shared" ca="1" si="284"/>
        <v/>
      </c>
      <c r="DY77" s="164" t="str">
        <f t="shared" ca="1" si="285"/>
        <v/>
      </c>
      <c r="DZ77" s="164" t="str">
        <f t="shared" ca="1" si="286"/>
        <v/>
      </c>
      <c r="EA77" s="164" t="str">
        <f t="shared" ca="1" si="287"/>
        <v/>
      </c>
      <c r="EB77" s="164" t="str">
        <f t="shared" ca="1" si="288"/>
        <v/>
      </c>
      <c r="EC77" s="164" t="str">
        <f t="shared" ca="1" si="289"/>
        <v/>
      </c>
      <c r="ED77" s="164" t="str">
        <f t="shared" ca="1" si="290"/>
        <v/>
      </c>
      <c r="EE77" s="164" t="str">
        <f t="shared" ca="1" si="291"/>
        <v/>
      </c>
      <c r="EF77" s="164" t="str">
        <f t="shared" ca="1" si="292"/>
        <v/>
      </c>
      <c r="EG77" s="164" t="str">
        <f t="shared" ca="1" si="293"/>
        <v/>
      </c>
      <c r="EH77" s="164" t="str">
        <f t="shared" ca="1" si="294"/>
        <v/>
      </c>
      <c r="EI77" s="164" t="str">
        <f t="shared" ca="1" si="295"/>
        <v/>
      </c>
      <c r="EJ77" s="164" t="str">
        <f t="shared" ca="1" si="296"/>
        <v/>
      </c>
      <c r="EK77" s="164" t="str">
        <f t="shared" ca="1" si="297"/>
        <v/>
      </c>
      <c r="EL77" s="164" t="str">
        <f t="shared" ca="1" si="298"/>
        <v/>
      </c>
      <c r="EM77" s="164" t="str">
        <f t="shared" ca="1" si="299"/>
        <v/>
      </c>
      <c r="EN77" s="164" t="str">
        <f t="shared" ca="1" si="300"/>
        <v/>
      </c>
      <c r="EO77" s="164" t="str">
        <f t="shared" ca="1" si="301"/>
        <v/>
      </c>
      <c r="EP77" s="164" t="str">
        <f t="shared" ca="1" si="302"/>
        <v/>
      </c>
      <c r="EQ77" s="164" t="str">
        <f t="shared" ca="1" si="303"/>
        <v/>
      </c>
      <c r="ER77" s="164" t="str">
        <f t="shared" ca="1" si="304"/>
        <v/>
      </c>
      <c r="ES77" s="164" t="str">
        <f t="shared" ca="1" si="305"/>
        <v/>
      </c>
    </row>
    <row r="78" spans="1:149" x14ac:dyDescent="0.2">
      <c r="A78" s="89" t="str">
        <f t="shared" ca="1" si="306"/>
        <v/>
      </c>
      <c r="B78" s="317" t="str">
        <f t="shared" ca="1" si="213"/>
        <v/>
      </c>
      <c r="C78" s="609" t="str">
        <f t="shared" ca="1" si="214"/>
        <v/>
      </c>
      <c r="D78" s="1956" t="str">
        <f t="shared" ca="1" si="215"/>
        <v/>
      </c>
      <c r="E78" s="1956"/>
      <c r="F78" s="960"/>
      <c r="G78" s="485" t="str">
        <f t="shared" ca="1" si="216"/>
        <v/>
      </c>
      <c r="H78" s="983"/>
      <c r="I78" s="486"/>
      <c r="J78" s="326"/>
      <c r="K78" s="1886" t="str">
        <f t="shared" ca="1" si="217"/>
        <v/>
      </c>
      <c r="L78" s="1888"/>
      <c r="M78" s="296" t="str">
        <f t="shared" ca="1" si="307"/>
        <v/>
      </c>
      <c r="N78" s="1322"/>
      <c r="O78" s="1319"/>
      <c r="P78" s="957" t="str">
        <f t="shared" ca="1" si="218"/>
        <v/>
      </c>
      <c r="Q78" s="164">
        <f t="shared" si="219"/>
        <v>0</v>
      </c>
      <c r="R78" s="164">
        <f t="shared" ca="1" si="220"/>
        <v>0</v>
      </c>
      <c r="S78" s="164">
        <f t="shared" ca="1" si="221"/>
        <v>0</v>
      </c>
      <c r="T78" s="164">
        <f t="shared" ca="1" si="222"/>
        <v>0</v>
      </c>
      <c r="U78" s="164">
        <f t="shared" ca="1" si="223"/>
        <v>0</v>
      </c>
      <c r="V78" s="164">
        <f t="shared" ca="1" si="224"/>
        <v>0</v>
      </c>
      <c r="W78" s="164">
        <f t="shared" ca="1" si="225"/>
        <v>0</v>
      </c>
      <c r="X78" s="164">
        <f t="shared" ca="1" si="226"/>
        <v>0</v>
      </c>
      <c r="Y78" s="164">
        <f t="shared" ca="1" si="227"/>
        <v>0</v>
      </c>
      <c r="Z78" s="164">
        <f t="shared" ca="1" si="228"/>
        <v>0</v>
      </c>
      <c r="AA78" s="164">
        <f t="shared" ca="1" si="229"/>
        <v>0</v>
      </c>
      <c r="AB78" s="164">
        <f t="shared" ca="1" si="230"/>
        <v>0</v>
      </c>
      <c r="AC78" s="164">
        <f t="shared" ca="1" si="231"/>
        <v>0</v>
      </c>
      <c r="AD78" s="164">
        <f t="shared" ca="1" si="232"/>
        <v>0</v>
      </c>
      <c r="AE78" s="164">
        <f t="shared" ca="1" si="233"/>
        <v>0</v>
      </c>
      <c r="AF78" s="164">
        <f t="shared" ca="1" si="234"/>
        <v>0</v>
      </c>
      <c r="AG78" s="164">
        <f t="shared" ca="1" si="235"/>
        <v>0</v>
      </c>
      <c r="AH78" s="164">
        <f t="shared" ca="1" si="236"/>
        <v>0</v>
      </c>
      <c r="AI78" s="164">
        <f t="shared" ca="1" si="237"/>
        <v>0</v>
      </c>
      <c r="AJ78" s="164">
        <f t="shared" ca="1" si="238"/>
        <v>0</v>
      </c>
      <c r="AK78" s="164">
        <f t="shared" ca="1" si="239"/>
        <v>0</v>
      </c>
      <c r="AL78" s="164">
        <f t="shared" ca="1" si="240"/>
        <v>0</v>
      </c>
      <c r="AM78" s="208"/>
      <c r="AN78" s="164">
        <f t="shared" si="241"/>
        <v>0</v>
      </c>
      <c r="AO78" s="164">
        <f t="shared" ca="1" si="242"/>
        <v>0</v>
      </c>
      <c r="AP78" s="164">
        <f t="shared" ca="1" si="243"/>
        <v>0</v>
      </c>
      <c r="AQ78" s="164">
        <f t="shared" ca="1" si="244"/>
        <v>0</v>
      </c>
      <c r="AR78" s="164">
        <f t="shared" ca="1" si="245"/>
        <v>0</v>
      </c>
      <c r="AS78" s="164">
        <f t="shared" ca="1" si="246"/>
        <v>0</v>
      </c>
      <c r="AT78" s="164">
        <f t="shared" ca="1" si="247"/>
        <v>0</v>
      </c>
      <c r="AU78" s="164">
        <f t="shared" ca="1" si="248"/>
        <v>0</v>
      </c>
      <c r="AV78" s="164">
        <f t="shared" ca="1" si="249"/>
        <v>0</v>
      </c>
      <c r="AW78" s="164">
        <f t="shared" ca="1" si="250"/>
        <v>0</v>
      </c>
      <c r="AX78" s="164">
        <f t="shared" ca="1" si="251"/>
        <v>0</v>
      </c>
      <c r="AY78" s="164">
        <f t="shared" ca="1" si="252"/>
        <v>0</v>
      </c>
      <c r="AZ78" s="164">
        <f t="shared" ca="1" si="253"/>
        <v>0</v>
      </c>
      <c r="BA78" s="164">
        <f t="shared" ca="1" si="254"/>
        <v>0</v>
      </c>
      <c r="BB78" s="164">
        <f t="shared" ca="1" si="255"/>
        <v>0</v>
      </c>
      <c r="BC78" s="164">
        <f t="shared" ca="1" si="256"/>
        <v>0</v>
      </c>
      <c r="BD78" s="164">
        <f t="shared" ca="1" si="257"/>
        <v>0</v>
      </c>
      <c r="BE78" s="164">
        <f t="shared" ca="1" si="258"/>
        <v>0</v>
      </c>
      <c r="BF78" s="164">
        <f t="shared" ca="1" si="259"/>
        <v>0</v>
      </c>
      <c r="BG78" s="164">
        <f t="shared" ca="1" si="260"/>
        <v>0</v>
      </c>
      <c r="BH78" s="164">
        <f t="shared" ca="1" si="261"/>
        <v>0</v>
      </c>
      <c r="BI78" s="164">
        <f t="shared" ca="1" si="262"/>
        <v>0</v>
      </c>
      <c r="BJ78" s="164">
        <f t="shared" ca="1" si="263"/>
        <v>0</v>
      </c>
      <c r="BK78" s="164">
        <f t="shared" ca="1" si="264"/>
        <v>0</v>
      </c>
      <c r="BL78" s="164">
        <f t="shared" ca="1" si="265"/>
        <v>0</v>
      </c>
      <c r="BM78" s="164">
        <f t="shared" ca="1" si="266"/>
        <v>0</v>
      </c>
      <c r="BN78" s="164">
        <f t="shared" ca="1" si="267"/>
        <v>0</v>
      </c>
      <c r="BO78" s="356" t="str">
        <f t="shared" ca="1" si="268"/>
        <v/>
      </c>
      <c r="BP78" s="355" t="str">
        <f t="shared" ca="1" si="269"/>
        <v/>
      </c>
      <c r="BQ78" s="355" t="str">
        <f t="shared" ca="1" si="270"/>
        <v/>
      </c>
      <c r="BR78" s="348">
        <f t="shared" ca="1" si="312"/>
        <v>0</v>
      </c>
      <c r="BS78" s="348">
        <f t="shared" ca="1" si="313"/>
        <v>0</v>
      </c>
      <c r="BT78" s="610">
        <f t="shared" ca="1" si="271"/>
        <v>0</v>
      </c>
      <c r="BU78" s="357">
        <f t="shared" ca="1" si="272"/>
        <v>0</v>
      </c>
      <c r="BV78" s="357">
        <f t="shared" si="273"/>
        <v>0</v>
      </c>
      <c r="BW78" s="357">
        <f t="shared" si="274"/>
        <v>0</v>
      </c>
      <c r="BX78" s="357">
        <f t="shared" ca="1" si="275"/>
        <v>0</v>
      </c>
      <c r="BY78" s="357">
        <f t="shared" ca="1" si="95"/>
        <v>0</v>
      </c>
      <c r="BZ78" s="357"/>
      <c r="CA78" s="357">
        <f t="shared" ca="1" si="314"/>
        <v>0</v>
      </c>
      <c r="CB78" s="357" t="str">
        <f t="shared" ca="1" si="276"/>
        <v/>
      </c>
      <c r="CC78" s="358" t="str">
        <f t="shared" ca="1" si="97"/>
        <v/>
      </c>
      <c r="CD78" s="358" t="str">
        <f t="shared" ca="1" si="98"/>
        <v/>
      </c>
      <c r="CE78" s="357" t="str">
        <f t="shared" ca="1" si="308"/>
        <v>,,,,,,,,,,,,,,,,,,</v>
      </c>
      <c r="CF78" s="154" t="str">
        <f t="shared" ref="CF78:CF141" si="315">IF(OR(NOT(EXACT($F78,"")),NOT(EXACT($J78,""))),CONCATENATE(CF77,A78,","),CF77)</f>
        <v/>
      </c>
      <c r="CG78" s="154">
        <f t="shared" ca="1" si="100"/>
        <v>0</v>
      </c>
      <c r="CH78" s="154"/>
      <c r="CI78" s="154"/>
      <c r="CJ78" s="154"/>
      <c r="CK78" s="154"/>
      <c r="CL78" s="154"/>
      <c r="CM78" s="154"/>
      <c r="CN78" t="s">
        <v>784</v>
      </c>
      <c r="CO78" s="169"/>
      <c r="CP78" s="169"/>
      <c r="CQ78" s="169"/>
      <c r="CR78" s="169"/>
      <c r="CS78" s="169"/>
      <c r="CT78" s="169"/>
      <c r="CU78" s="169"/>
      <c r="CV78" s="164" t="str">
        <f t="shared" ca="1" si="310"/>
        <v/>
      </c>
      <c r="CW78" s="164" t="str">
        <f t="shared" ca="1" si="310"/>
        <v/>
      </c>
      <c r="CX78" s="164" t="str">
        <f t="shared" ca="1" si="310"/>
        <v/>
      </c>
      <c r="CY78" s="164" t="str">
        <f t="shared" ca="1" si="310"/>
        <v/>
      </c>
      <c r="CZ78" s="164" t="str">
        <f t="shared" ca="1" si="310"/>
        <v/>
      </c>
      <c r="DA78" s="164" t="str">
        <f t="shared" ca="1" si="310"/>
        <v/>
      </c>
      <c r="DB78" s="164" t="str">
        <f t="shared" ca="1" si="310"/>
        <v/>
      </c>
      <c r="DC78" s="164" t="str">
        <f t="shared" ca="1" si="310"/>
        <v/>
      </c>
      <c r="DD78" s="164" t="str">
        <f t="shared" ca="1" si="310"/>
        <v/>
      </c>
      <c r="DE78" s="164" t="str">
        <f t="shared" ca="1" si="310"/>
        <v/>
      </c>
      <c r="DF78" s="164" t="str">
        <f t="shared" ca="1" si="311"/>
        <v/>
      </c>
      <c r="DG78" s="164" t="str">
        <f t="shared" ca="1" si="311"/>
        <v/>
      </c>
      <c r="DH78" s="164" t="str">
        <f t="shared" ca="1" si="311"/>
        <v/>
      </c>
      <c r="DI78" s="164" t="str">
        <f t="shared" ca="1" si="311"/>
        <v/>
      </c>
      <c r="DJ78" s="164" t="str">
        <f t="shared" ca="1" si="311"/>
        <v/>
      </c>
      <c r="DK78" s="164" t="str">
        <f t="shared" ca="1" si="311"/>
        <v/>
      </c>
      <c r="DL78" s="164" t="str">
        <f t="shared" ca="1" si="311"/>
        <v/>
      </c>
      <c r="DM78" s="164" t="str">
        <f t="shared" ca="1" si="311"/>
        <v/>
      </c>
      <c r="DN78" s="164" t="str">
        <f t="shared" ca="1" si="311"/>
        <v/>
      </c>
      <c r="DO78" s="164" t="str">
        <f t="shared" ca="1" si="311"/>
        <v/>
      </c>
      <c r="DP78" s="164" t="str">
        <f t="shared" ca="1" si="311"/>
        <v/>
      </c>
      <c r="DQ78" s="164" t="str">
        <f t="shared" ca="1" si="311"/>
        <v/>
      </c>
      <c r="DR78" s="208"/>
      <c r="DS78" s="164" t="str">
        <f t="shared" ca="1" si="279"/>
        <v/>
      </c>
      <c r="DT78" s="164" t="str">
        <f t="shared" ca="1" si="280"/>
        <v/>
      </c>
      <c r="DU78" s="164" t="str">
        <f t="shared" ca="1" si="281"/>
        <v/>
      </c>
      <c r="DV78" s="164" t="str">
        <f t="shared" ca="1" si="282"/>
        <v/>
      </c>
      <c r="DW78" s="164" t="str">
        <f t="shared" ca="1" si="283"/>
        <v/>
      </c>
      <c r="DX78" s="164" t="str">
        <f t="shared" ca="1" si="284"/>
        <v/>
      </c>
      <c r="DY78" s="164" t="str">
        <f t="shared" ca="1" si="285"/>
        <v/>
      </c>
      <c r="DZ78" s="164" t="str">
        <f t="shared" ca="1" si="286"/>
        <v/>
      </c>
      <c r="EA78" s="164" t="str">
        <f t="shared" ca="1" si="287"/>
        <v/>
      </c>
      <c r="EB78" s="164" t="str">
        <f t="shared" ca="1" si="288"/>
        <v/>
      </c>
      <c r="EC78" s="164" t="str">
        <f t="shared" ca="1" si="289"/>
        <v/>
      </c>
      <c r="ED78" s="164" t="str">
        <f t="shared" ca="1" si="290"/>
        <v/>
      </c>
      <c r="EE78" s="164" t="str">
        <f t="shared" ca="1" si="291"/>
        <v/>
      </c>
      <c r="EF78" s="164" t="str">
        <f t="shared" ca="1" si="292"/>
        <v/>
      </c>
      <c r="EG78" s="164" t="str">
        <f t="shared" ca="1" si="293"/>
        <v/>
      </c>
      <c r="EH78" s="164" t="str">
        <f t="shared" ca="1" si="294"/>
        <v/>
      </c>
      <c r="EI78" s="164" t="str">
        <f t="shared" ca="1" si="295"/>
        <v/>
      </c>
      <c r="EJ78" s="164" t="str">
        <f t="shared" ca="1" si="296"/>
        <v/>
      </c>
      <c r="EK78" s="164" t="str">
        <f t="shared" ca="1" si="297"/>
        <v/>
      </c>
      <c r="EL78" s="164" t="str">
        <f t="shared" ca="1" si="298"/>
        <v/>
      </c>
      <c r="EM78" s="164" t="str">
        <f t="shared" ca="1" si="299"/>
        <v/>
      </c>
      <c r="EN78" s="164" t="str">
        <f t="shared" ca="1" si="300"/>
        <v/>
      </c>
      <c r="EO78" s="164" t="str">
        <f t="shared" ca="1" si="301"/>
        <v/>
      </c>
      <c r="EP78" s="164" t="str">
        <f t="shared" ca="1" si="302"/>
        <v/>
      </c>
      <c r="EQ78" s="164" t="str">
        <f t="shared" ca="1" si="303"/>
        <v/>
      </c>
      <c r="ER78" s="164" t="str">
        <f t="shared" ca="1" si="304"/>
        <v/>
      </c>
      <c r="ES78" s="164" t="str">
        <f t="shared" ca="1" si="305"/>
        <v/>
      </c>
    </row>
    <row r="79" spans="1:149" x14ac:dyDescent="0.2">
      <c r="A79" s="89" t="str">
        <f t="shared" ca="1" si="306"/>
        <v/>
      </c>
      <c r="B79" s="317" t="str">
        <f t="shared" ca="1" si="213"/>
        <v/>
      </c>
      <c r="C79" s="609" t="str">
        <f t="shared" ca="1" si="214"/>
        <v/>
      </c>
      <c r="D79" s="1956" t="str">
        <f t="shared" ca="1" si="215"/>
        <v/>
      </c>
      <c r="E79" s="1956"/>
      <c r="F79" s="960"/>
      <c r="G79" s="485" t="str">
        <f t="shared" ca="1" si="216"/>
        <v/>
      </c>
      <c r="H79" s="983"/>
      <c r="I79" s="486"/>
      <c r="J79" s="326"/>
      <c r="K79" s="1886" t="str">
        <f t="shared" ca="1" si="217"/>
        <v/>
      </c>
      <c r="L79" s="1888"/>
      <c r="M79" s="296" t="str">
        <f t="shared" ca="1" si="307"/>
        <v/>
      </c>
      <c r="N79" s="1322"/>
      <c r="O79" s="1319"/>
      <c r="P79" s="957" t="str">
        <f t="shared" ca="1" si="218"/>
        <v/>
      </c>
      <c r="Q79" s="164">
        <f t="shared" si="219"/>
        <v>0</v>
      </c>
      <c r="R79" s="164">
        <f t="shared" ca="1" si="220"/>
        <v>0</v>
      </c>
      <c r="S79" s="164">
        <f t="shared" ca="1" si="221"/>
        <v>0</v>
      </c>
      <c r="T79" s="164">
        <f t="shared" ca="1" si="222"/>
        <v>0</v>
      </c>
      <c r="U79" s="164">
        <f t="shared" ca="1" si="223"/>
        <v>0</v>
      </c>
      <c r="V79" s="164">
        <f t="shared" ca="1" si="224"/>
        <v>0</v>
      </c>
      <c r="W79" s="164">
        <f t="shared" ca="1" si="225"/>
        <v>0</v>
      </c>
      <c r="X79" s="164">
        <f t="shared" ca="1" si="226"/>
        <v>0</v>
      </c>
      <c r="Y79" s="164">
        <f t="shared" ca="1" si="227"/>
        <v>0</v>
      </c>
      <c r="Z79" s="164">
        <f t="shared" ca="1" si="228"/>
        <v>0</v>
      </c>
      <c r="AA79" s="164">
        <f t="shared" ca="1" si="229"/>
        <v>0</v>
      </c>
      <c r="AB79" s="164">
        <f t="shared" ca="1" si="230"/>
        <v>0</v>
      </c>
      <c r="AC79" s="164">
        <f t="shared" ca="1" si="231"/>
        <v>0</v>
      </c>
      <c r="AD79" s="164">
        <f t="shared" ca="1" si="232"/>
        <v>0</v>
      </c>
      <c r="AE79" s="164">
        <f t="shared" ca="1" si="233"/>
        <v>0</v>
      </c>
      <c r="AF79" s="164">
        <f t="shared" ca="1" si="234"/>
        <v>0</v>
      </c>
      <c r="AG79" s="164">
        <f t="shared" ca="1" si="235"/>
        <v>0</v>
      </c>
      <c r="AH79" s="164">
        <f t="shared" ca="1" si="236"/>
        <v>0</v>
      </c>
      <c r="AI79" s="164">
        <f t="shared" ca="1" si="237"/>
        <v>0</v>
      </c>
      <c r="AJ79" s="164">
        <f t="shared" ca="1" si="238"/>
        <v>0</v>
      </c>
      <c r="AK79" s="164">
        <f t="shared" ca="1" si="239"/>
        <v>0</v>
      </c>
      <c r="AL79" s="164">
        <f t="shared" ca="1" si="240"/>
        <v>0</v>
      </c>
      <c r="AM79" s="208"/>
      <c r="AN79" s="164">
        <f t="shared" si="241"/>
        <v>0</v>
      </c>
      <c r="AO79" s="164">
        <f t="shared" ca="1" si="242"/>
        <v>0</v>
      </c>
      <c r="AP79" s="164">
        <f t="shared" ca="1" si="243"/>
        <v>0</v>
      </c>
      <c r="AQ79" s="164">
        <f t="shared" ca="1" si="244"/>
        <v>0</v>
      </c>
      <c r="AR79" s="164">
        <f t="shared" ca="1" si="245"/>
        <v>0</v>
      </c>
      <c r="AS79" s="164">
        <f t="shared" ca="1" si="246"/>
        <v>0</v>
      </c>
      <c r="AT79" s="164">
        <f t="shared" ca="1" si="247"/>
        <v>0</v>
      </c>
      <c r="AU79" s="164">
        <f t="shared" ca="1" si="248"/>
        <v>0</v>
      </c>
      <c r="AV79" s="164">
        <f t="shared" ca="1" si="249"/>
        <v>0</v>
      </c>
      <c r="AW79" s="164">
        <f t="shared" ca="1" si="250"/>
        <v>0</v>
      </c>
      <c r="AX79" s="164">
        <f t="shared" ca="1" si="251"/>
        <v>0</v>
      </c>
      <c r="AY79" s="164">
        <f t="shared" ca="1" si="252"/>
        <v>0</v>
      </c>
      <c r="AZ79" s="164">
        <f t="shared" ca="1" si="253"/>
        <v>0</v>
      </c>
      <c r="BA79" s="164">
        <f t="shared" ca="1" si="254"/>
        <v>0</v>
      </c>
      <c r="BB79" s="164">
        <f t="shared" ca="1" si="255"/>
        <v>0</v>
      </c>
      <c r="BC79" s="164">
        <f t="shared" ca="1" si="256"/>
        <v>0</v>
      </c>
      <c r="BD79" s="164">
        <f t="shared" ca="1" si="257"/>
        <v>0</v>
      </c>
      <c r="BE79" s="164">
        <f t="shared" ca="1" si="258"/>
        <v>0</v>
      </c>
      <c r="BF79" s="164">
        <f t="shared" ca="1" si="259"/>
        <v>0</v>
      </c>
      <c r="BG79" s="164">
        <f t="shared" ca="1" si="260"/>
        <v>0</v>
      </c>
      <c r="BH79" s="164">
        <f t="shared" ca="1" si="261"/>
        <v>0</v>
      </c>
      <c r="BI79" s="164">
        <f t="shared" ca="1" si="262"/>
        <v>0</v>
      </c>
      <c r="BJ79" s="164">
        <f t="shared" ca="1" si="263"/>
        <v>0</v>
      </c>
      <c r="BK79" s="164">
        <f t="shared" ca="1" si="264"/>
        <v>0</v>
      </c>
      <c r="BL79" s="164">
        <f t="shared" ca="1" si="265"/>
        <v>0</v>
      </c>
      <c r="BM79" s="164">
        <f t="shared" ca="1" si="266"/>
        <v>0</v>
      </c>
      <c r="BN79" s="164">
        <f t="shared" ca="1" si="267"/>
        <v>0</v>
      </c>
      <c r="BO79" s="356" t="str">
        <f t="shared" ca="1" si="268"/>
        <v/>
      </c>
      <c r="BP79" s="355" t="str">
        <f t="shared" ca="1" si="269"/>
        <v/>
      </c>
      <c r="BQ79" s="355" t="str">
        <f t="shared" ca="1" si="270"/>
        <v/>
      </c>
      <c r="BR79" s="348">
        <f t="shared" ca="1" si="312"/>
        <v>0</v>
      </c>
      <c r="BS79" s="348">
        <f t="shared" ca="1" si="313"/>
        <v>0</v>
      </c>
      <c r="BT79" s="610">
        <f t="shared" ca="1" si="271"/>
        <v>0</v>
      </c>
      <c r="BU79" s="357">
        <f t="shared" ca="1" si="272"/>
        <v>0</v>
      </c>
      <c r="BV79" s="357">
        <f t="shared" si="273"/>
        <v>0</v>
      </c>
      <c r="BW79" s="357">
        <f t="shared" si="274"/>
        <v>0</v>
      </c>
      <c r="BX79" s="357">
        <f t="shared" ca="1" si="275"/>
        <v>0</v>
      </c>
      <c r="BY79" s="357">
        <f t="shared" ca="1" si="95"/>
        <v>0</v>
      </c>
      <c r="BZ79" s="357"/>
      <c r="CA79" s="357">
        <f t="shared" ca="1" si="314"/>
        <v>0</v>
      </c>
      <c r="CB79" s="357" t="str">
        <f t="shared" ca="1" si="276"/>
        <v/>
      </c>
      <c r="CC79" s="358" t="str">
        <f t="shared" ca="1" si="97"/>
        <v/>
      </c>
      <c r="CD79" s="358" t="str">
        <f t="shared" ca="1" si="98"/>
        <v/>
      </c>
      <c r="CE79" s="357" t="str">
        <f t="shared" ca="1" si="308"/>
        <v>,,,,,,,,,,,,,,,,,,,</v>
      </c>
      <c r="CF79" s="154" t="str">
        <f t="shared" si="315"/>
        <v/>
      </c>
      <c r="CG79" s="154">
        <f t="shared" ca="1" si="100"/>
        <v>0</v>
      </c>
      <c r="CH79" s="154"/>
      <c r="CI79" s="154"/>
      <c r="CJ79" s="154"/>
      <c r="CK79" s="154"/>
      <c r="CL79" s="154"/>
      <c r="CM79" s="154"/>
      <c r="CN79" t="s">
        <v>784</v>
      </c>
      <c r="CO79" s="169"/>
      <c r="CP79" s="169"/>
      <c r="CQ79" s="169"/>
      <c r="CR79" s="169"/>
      <c r="CS79" s="169"/>
      <c r="CT79" s="169"/>
      <c r="CU79" s="169"/>
      <c r="CV79" s="164" t="str">
        <f t="shared" ca="1" si="310"/>
        <v/>
      </c>
      <c r="CW79" s="164" t="str">
        <f t="shared" ca="1" si="310"/>
        <v/>
      </c>
      <c r="CX79" s="164" t="str">
        <f t="shared" ca="1" si="310"/>
        <v/>
      </c>
      <c r="CY79" s="164" t="str">
        <f t="shared" ca="1" si="310"/>
        <v/>
      </c>
      <c r="CZ79" s="164" t="str">
        <f t="shared" ca="1" si="310"/>
        <v/>
      </c>
      <c r="DA79" s="164" t="str">
        <f t="shared" ca="1" si="310"/>
        <v/>
      </c>
      <c r="DB79" s="164" t="str">
        <f t="shared" ca="1" si="310"/>
        <v/>
      </c>
      <c r="DC79" s="164" t="str">
        <f t="shared" ca="1" si="310"/>
        <v/>
      </c>
      <c r="DD79" s="164" t="str">
        <f t="shared" ca="1" si="310"/>
        <v/>
      </c>
      <c r="DE79" s="164" t="str">
        <f t="shared" ca="1" si="310"/>
        <v/>
      </c>
      <c r="DF79" s="164" t="str">
        <f t="shared" ca="1" si="311"/>
        <v/>
      </c>
      <c r="DG79" s="164" t="str">
        <f t="shared" ca="1" si="311"/>
        <v/>
      </c>
      <c r="DH79" s="164" t="str">
        <f t="shared" ca="1" si="311"/>
        <v/>
      </c>
      <c r="DI79" s="164" t="str">
        <f t="shared" ca="1" si="311"/>
        <v/>
      </c>
      <c r="DJ79" s="164" t="str">
        <f t="shared" ca="1" si="311"/>
        <v/>
      </c>
      <c r="DK79" s="164" t="str">
        <f t="shared" ca="1" si="311"/>
        <v/>
      </c>
      <c r="DL79" s="164" t="str">
        <f t="shared" ca="1" si="311"/>
        <v/>
      </c>
      <c r="DM79" s="164" t="str">
        <f t="shared" ca="1" si="311"/>
        <v/>
      </c>
      <c r="DN79" s="164" t="str">
        <f t="shared" ca="1" si="311"/>
        <v/>
      </c>
      <c r="DO79" s="164" t="str">
        <f t="shared" ca="1" si="311"/>
        <v/>
      </c>
      <c r="DP79" s="164" t="str">
        <f t="shared" ca="1" si="311"/>
        <v/>
      </c>
      <c r="DQ79" s="164" t="str">
        <f t="shared" ca="1" si="311"/>
        <v/>
      </c>
      <c r="DR79" s="208"/>
      <c r="DS79" s="164" t="str">
        <f t="shared" ca="1" si="279"/>
        <v/>
      </c>
      <c r="DT79" s="164" t="str">
        <f t="shared" ca="1" si="280"/>
        <v/>
      </c>
      <c r="DU79" s="164" t="str">
        <f t="shared" ca="1" si="281"/>
        <v/>
      </c>
      <c r="DV79" s="164" t="str">
        <f t="shared" ca="1" si="282"/>
        <v/>
      </c>
      <c r="DW79" s="164" t="str">
        <f t="shared" ca="1" si="283"/>
        <v/>
      </c>
      <c r="DX79" s="164" t="str">
        <f t="shared" ca="1" si="284"/>
        <v/>
      </c>
      <c r="DY79" s="164" t="str">
        <f t="shared" ca="1" si="285"/>
        <v/>
      </c>
      <c r="DZ79" s="164" t="str">
        <f t="shared" ca="1" si="286"/>
        <v/>
      </c>
      <c r="EA79" s="164" t="str">
        <f t="shared" ca="1" si="287"/>
        <v/>
      </c>
      <c r="EB79" s="164" t="str">
        <f t="shared" ca="1" si="288"/>
        <v/>
      </c>
      <c r="EC79" s="164" t="str">
        <f t="shared" ca="1" si="289"/>
        <v/>
      </c>
      <c r="ED79" s="164" t="str">
        <f t="shared" ca="1" si="290"/>
        <v/>
      </c>
      <c r="EE79" s="164" t="str">
        <f t="shared" ca="1" si="291"/>
        <v/>
      </c>
      <c r="EF79" s="164" t="str">
        <f t="shared" ca="1" si="292"/>
        <v/>
      </c>
      <c r="EG79" s="164" t="str">
        <f t="shared" ca="1" si="293"/>
        <v/>
      </c>
      <c r="EH79" s="164" t="str">
        <f t="shared" ca="1" si="294"/>
        <v/>
      </c>
      <c r="EI79" s="164" t="str">
        <f t="shared" ca="1" si="295"/>
        <v/>
      </c>
      <c r="EJ79" s="164" t="str">
        <f t="shared" ca="1" si="296"/>
        <v/>
      </c>
      <c r="EK79" s="164" t="str">
        <f t="shared" ca="1" si="297"/>
        <v/>
      </c>
      <c r="EL79" s="164" t="str">
        <f t="shared" ca="1" si="298"/>
        <v/>
      </c>
      <c r="EM79" s="164" t="str">
        <f t="shared" ca="1" si="299"/>
        <v/>
      </c>
      <c r="EN79" s="164" t="str">
        <f t="shared" ca="1" si="300"/>
        <v/>
      </c>
      <c r="EO79" s="164" t="str">
        <f t="shared" ca="1" si="301"/>
        <v/>
      </c>
      <c r="EP79" s="164" t="str">
        <f t="shared" ca="1" si="302"/>
        <v/>
      </c>
      <c r="EQ79" s="164" t="str">
        <f t="shared" ca="1" si="303"/>
        <v/>
      </c>
      <c r="ER79" s="164" t="str">
        <f t="shared" ca="1" si="304"/>
        <v/>
      </c>
      <c r="ES79" s="164" t="str">
        <f t="shared" ca="1" si="305"/>
        <v/>
      </c>
    </row>
    <row r="80" spans="1:149" x14ac:dyDescent="0.2">
      <c r="A80" s="89" t="str">
        <f t="shared" ca="1" si="306"/>
        <v/>
      </c>
      <c r="B80" s="317" t="str">
        <f t="shared" ca="1" si="213"/>
        <v/>
      </c>
      <c r="C80" s="609" t="str">
        <f t="shared" ca="1" si="214"/>
        <v/>
      </c>
      <c r="D80" s="1956" t="str">
        <f t="shared" ca="1" si="215"/>
        <v/>
      </c>
      <c r="E80" s="1956"/>
      <c r="F80" s="960"/>
      <c r="G80" s="485" t="str">
        <f t="shared" ca="1" si="216"/>
        <v/>
      </c>
      <c r="H80" s="983"/>
      <c r="I80" s="486"/>
      <c r="J80" s="326"/>
      <c r="K80" s="1886" t="str">
        <f t="shared" ca="1" si="217"/>
        <v/>
      </c>
      <c r="L80" s="1888"/>
      <c r="M80" s="296" t="str">
        <f t="shared" ca="1" si="307"/>
        <v/>
      </c>
      <c r="N80" s="1322"/>
      <c r="O80" s="1319"/>
      <c r="P80" s="957" t="str">
        <f t="shared" ca="1" si="218"/>
        <v/>
      </c>
      <c r="Q80" s="164">
        <f t="shared" si="219"/>
        <v>0</v>
      </c>
      <c r="R80" s="164">
        <f t="shared" ca="1" si="220"/>
        <v>0</v>
      </c>
      <c r="S80" s="164">
        <f t="shared" ca="1" si="221"/>
        <v>0</v>
      </c>
      <c r="T80" s="164">
        <f t="shared" ca="1" si="222"/>
        <v>0</v>
      </c>
      <c r="U80" s="164">
        <f t="shared" ca="1" si="223"/>
        <v>0</v>
      </c>
      <c r="V80" s="164">
        <f t="shared" ca="1" si="224"/>
        <v>0</v>
      </c>
      <c r="W80" s="164">
        <f t="shared" ca="1" si="225"/>
        <v>0</v>
      </c>
      <c r="X80" s="164">
        <f t="shared" ca="1" si="226"/>
        <v>0</v>
      </c>
      <c r="Y80" s="164">
        <f t="shared" ca="1" si="227"/>
        <v>0</v>
      </c>
      <c r="Z80" s="164">
        <f t="shared" ca="1" si="228"/>
        <v>0</v>
      </c>
      <c r="AA80" s="164">
        <f t="shared" ca="1" si="229"/>
        <v>0</v>
      </c>
      <c r="AB80" s="164">
        <f t="shared" ca="1" si="230"/>
        <v>0</v>
      </c>
      <c r="AC80" s="164">
        <f t="shared" ca="1" si="231"/>
        <v>0</v>
      </c>
      <c r="AD80" s="164">
        <f t="shared" ca="1" si="232"/>
        <v>0</v>
      </c>
      <c r="AE80" s="164">
        <f t="shared" ca="1" si="233"/>
        <v>0</v>
      </c>
      <c r="AF80" s="164">
        <f t="shared" ca="1" si="234"/>
        <v>0</v>
      </c>
      <c r="AG80" s="164">
        <f t="shared" ca="1" si="235"/>
        <v>0</v>
      </c>
      <c r="AH80" s="164">
        <f t="shared" ca="1" si="236"/>
        <v>0</v>
      </c>
      <c r="AI80" s="164">
        <f t="shared" ca="1" si="237"/>
        <v>0</v>
      </c>
      <c r="AJ80" s="164">
        <f t="shared" ca="1" si="238"/>
        <v>0</v>
      </c>
      <c r="AK80" s="164">
        <f t="shared" ca="1" si="239"/>
        <v>0</v>
      </c>
      <c r="AL80" s="164">
        <f t="shared" ca="1" si="240"/>
        <v>0</v>
      </c>
      <c r="AM80" s="208"/>
      <c r="AN80" s="164">
        <f t="shared" si="241"/>
        <v>0</v>
      </c>
      <c r="AO80" s="164">
        <f t="shared" ca="1" si="242"/>
        <v>0</v>
      </c>
      <c r="AP80" s="164">
        <f t="shared" ca="1" si="243"/>
        <v>0</v>
      </c>
      <c r="AQ80" s="164">
        <f t="shared" ca="1" si="244"/>
        <v>0</v>
      </c>
      <c r="AR80" s="164">
        <f t="shared" ca="1" si="245"/>
        <v>0</v>
      </c>
      <c r="AS80" s="164">
        <f t="shared" ca="1" si="246"/>
        <v>0</v>
      </c>
      <c r="AT80" s="164">
        <f t="shared" ca="1" si="247"/>
        <v>0</v>
      </c>
      <c r="AU80" s="164">
        <f t="shared" ca="1" si="248"/>
        <v>0</v>
      </c>
      <c r="AV80" s="164">
        <f t="shared" ca="1" si="249"/>
        <v>0</v>
      </c>
      <c r="AW80" s="164">
        <f t="shared" ca="1" si="250"/>
        <v>0</v>
      </c>
      <c r="AX80" s="164">
        <f t="shared" ca="1" si="251"/>
        <v>0</v>
      </c>
      <c r="AY80" s="164">
        <f t="shared" ca="1" si="252"/>
        <v>0</v>
      </c>
      <c r="AZ80" s="164">
        <f t="shared" ca="1" si="253"/>
        <v>0</v>
      </c>
      <c r="BA80" s="164">
        <f t="shared" ca="1" si="254"/>
        <v>0</v>
      </c>
      <c r="BB80" s="164">
        <f t="shared" ca="1" si="255"/>
        <v>0</v>
      </c>
      <c r="BC80" s="164">
        <f t="shared" ca="1" si="256"/>
        <v>0</v>
      </c>
      <c r="BD80" s="164">
        <f t="shared" ca="1" si="257"/>
        <v>0</v>
      </c>
      <c r="BE80" s="164">
        <f t="shared" ca="1" si="258"/>
        <v>0</v>
      </c>
      <c r="BF80" s="164">
        <f t="shared" ca="1" si="259"/>
        <v>0</v>
      </c>
      <c r="BG80" s="164">
        <f t="shared" ca="1" si="260"/>
        <v>0</v>
      </c>
      <c r="BH80" s="164">
        <f t="shared" ca="1" si="261"/>
        <v>0</v>
      </c>
      <c r="BI80" s="164">
        <f t="shared" ca="1" si="262"/>
        <v>0</v>
      </c>
      <c r="BJ80" s="164">
        <f t="shared" ca="1" si="263"/>
        <v>0</v>
      </c>
      <c r="BK80" s="164">
        <f t="shared" ca="1" si="264"/>
        <v>0</v>
      </c>
      <c r="BL80" s="164">
        <f t="shared" ca="1" si="265"/>
        <v>0</v>
      </c>
      <c r="BM80" s="164">
        <f t="shared" ca="1" si="266"/>
        <v>0</v>
      </c>
      <c r="BN80" s="164">
        <f t="shared" ca="1" si="267"/>
        <v>0</v>
      </c>
      <c r="BO80" s="356" t="str">
        <f t="shared" ca="1" si="268"/>
        <v/>
      </c>
      <c r="BP80" s="355" t="str">
        <f t="shared" ca="1" si="269"/>
        <v/>
      </c>
      <c r="BQ80" s="355" t="str">
        <f t="shared" ca="1" si="270"/>
        <v/>
      </c>
      <c r="BR80" s="348">
        <f t="shared" ca="1" si="312"/>
        <v>0</v>
      </c>
      <c r="BS80" s="348">
        <f t="shared" ca="1" si="313"/>
        <v>0</v>
      </c>
      <c r="BT80" s="610">
        <f t="shared" ca="1" si="271"/>
        <v>0</v>
      </c>
      <c r="BU80" s="357">
        <f t="shared" ca="1" si="272"/>
        <v>0</v>
      </c>
      <c r="BV80" s="357">
        <f t="shared" si="273"/>
        <v>0</v>
      </c>
      <c r="BW80" s="357">
        <f t="shared" si="274"/>
        <v>0</v>
      </c>
      <c r="BX80" s="357">
        <f t="shared" ca="1" si="275"/>
        <v>0</v>
      </c>
      <c r="BY80" s="357">
        <f t="shared" ca="1" si="95"/>
        <v>0</v>
      </c>
      <c r="BZ80" s="357"/>
      <c r="CA80" s="357">
        <f t="shared" ca="1" si="314"/>
        <v>0</v>
      </c>
      <c r="CB80" s="357" t="str">
        <f t="shared" ca="1" si="276"/>
        <v/>
      </c>
      <c r="CC80" s="358" t="str">
        <f t="shared" ca="1" si="97"/>
        <v/>
      </c>
      <c r="CD80" s="358" t="str">
        <f t="shared" ca="1" si="98"/>
        <v/>
      </c>
      <c r="CE80" s="357" t="str">
        <f t="shared" ca="1" si="308"/>
        <v>,,,,,,,,,,,,,,,,,,,,</v>
      </c>
      <c r="CF80" s="154" t="str">
        <f t="shared" si="315"/>
        <v/>
      </c>
      <c r="CG80" s="154">
        <f t="shared" ca="1" si="100"/>
        <v>0</v>
      </c>
      <c r="CH80" s="154"/>
      <c r="CI80" s="154"/>
      <c r="CJ80" s="154"/>
      <c r="CK80" s="154"/>
      <c r="CL80" s="154"/>
      <c r="CM80" s="154"/>
      <c r="CN80" t="s">
        <v>784</v>
      </c>
      <c r="CO80" s="169"/>
      <c r="CP80" s="169"/>
      <c r="CQ80" s="169"/>
      <c r="CR80" s="169"/>
      <c r="CS80" s="169"/>
      <c r="CT80" s="169"/>
      <c r="CU80" s="169"/>
      <c r="CV80" s="164" t="str">
        <f t="shared" ca="1" si="310"/>
        <v/>
      </c>
      <c r="CW80" s="164" t="str">
        <f t="shared" ca="1" si="310"/>
        <v/>
      </c>
      <c r="CX80" s="164" t="str">
        <f t="shared" ca="1" si="310"/>
        <v/>
      </c>
      <c r="CY80" s="164" t="str">
        <f t="shared" ca="1" si="310"/>
        <v/>
      </c>
      <c r="CZ80" s="164" t="str">
        <f t="shared" ca="1" si="310"/>
        <v/>
      </c>
      <c r="DA80" s="164" t="str">
        <f t="shared" ca="1" si="310"/>
        <v/>
      </c>
      <c r="DB80" s="164" t="str">
        <f t="shared" ca="1" si="310"/>
        <v/>
      </c>
      <c r="DC80" s="164" t="str">
        <f t="shared" ca="1" si="310"/>
        <v/>
      </c>
      <c r="DD80" s="164" t="str">
        <f t="shared" ca="1" si="310"/>
        <v/>
      </c>
      <c r="DE80" s="164" t="str">
        <f t="shared" ca="1" si="310"/>
        <v/>
      </c>
      <c r="DF80" s="164" t="str">
        <f t="shared" ca="1" si="311"/>
        <v/>
      </c>
      <c r="DG80" s="164" t="str">
        <f t="shared" ca="1" si="311"/>
        <v/>
      </c>
      <c r="DH80" s="164" t="str">
        <f t="shared" ca="1" si="311"/>
        <v/>
      </c>
      <c r="DI80" s="164" t="str">
        <f t="shared" ca="1" si="311"/>
        <v/>
      </c>
      <c r="DJ80" s="164" t="str">
        <f t="shared" ca="1" si="311"/>
        <v/>
      </c>
      <c r="DK80" s="164" t="str">
        <f t="shared" ca="1" si="311"/>
        <v/>
      </c>
      <c r="DL80" s="164" t="str">
        <f t="shared" ca="1" si="311"/>
        <v/>
      </c>
      <c r="DM80" s="164" t="str">
        <f t="shared" ca="1" si="311"/>
        <v/>
      </c>
      <c r="DN80" s="164" t="str">
        <f t="shared" ca="1" si="311"/>
        <v/>
      </c>
      <c r="DO80" s="164" t="str">
        <f t="shared" ca="1" si="311"/>
        <v/>
      </c>
      <c r="DP80" s="164" t="str">
        <f t="shared" ca="1" si="311"/>
        <v/>
      </c>
      <c r="DQ80" s="164" t="str">
        <f t="shared" ca="1" si="311"/>
        <v/>
      </c>
      <c r="DR80" s="208"/>
      <c r="DS80" s="164" t="str">
        <f t="shared" ca="1" si="279"/>
        <v/>
      </c>
      <c r="DT80" s="164" t="str">
        <f t="shared" ca="1" si="280"/>
        <v/>
      </c>
      <c r="DU80" s="164" t="str">
        <f t="shared" ca="1" si="281"/>
        <v/>
      </c>
      <c r="DV80" s="164" t="str">
        <f t="shared" ca="1" si="282"/>
        <v/>
      </c>
      <c r="DW80" s="164" t="str">
        <f t="shared" ca="1" si="283"/>
        <v/>
      </c>
      <c r="DX80" s="164" t="str">
        <f t="shared" ca="1" si="284"/>
        <v/>
      </c>
      <c r="DY80" s="164" t="str">
        <f t="shared" ca="1" si="285"/>
        <v/>
      </c>
      <c r="DZ80" s="164" t="str">
        <f t="shared" ca="1" si="286"/>
        <v/>
      </c>
      <c r="EA80" s="164" t="str">
        <f t="shared" ca="1" si="287"/>
        <v/>
      </c>
      <c r="EB80" s="164" t="str">
        <f t="shared" ca="1" si="288"/>
        <v/>
      </c>
      <c r="EC80" s="164" t="str">
        <f t="shared" ca="1" si="289"/>
        <v/>
      </c>
      <c r="ED80" s="164" t="str">
        <f t="shared" ca="1" si="290"/>
        <v/>
      </c>
      <c r="EE80" s="164" t="str">
        <f t="shared" ca="1" si="291"/>
        <v/>
      </c>
      <c r="EF80" s="164" t="str">
        <f t="shared" ca="1" si="292"/>
        <v/>
      </c>
      <c r="EG80" s="164" t="str">
        <f t="shared" ca="1" si="293"/>
        <v/>
      </c>
      <c r="EH80" s="164" t="str">
        <f t="shared" ca="1" si="294"/>
        <v/>
      </c>
      <c r="EI80" s="164" t="str">
        <f t="shared" ca="1" si="295"/>
        <v/>
      </c>
      <c r="EJ80" s="164" t="str">
        <f t="shared" ca="1" si="296"/>
        <v/>
      </c>
      <c r="EK80" s="164" t="str">
        <f t="shared" ca="1" si="297"/>
        <v/>
      </c>
      <c r="EL80" s="164" t="str">
        <f t="shared" ca="1" si="298"/>
        <v/>
      </c>
      <c r="EM80" s="164" t="str">
        <f t="shared" ca="1" si="299"/>
        <v/>
      </c>
      <c r="EN80" s="164" t="str">
        <f t="shared" ca="1" si="300"/>
        <v/>
      </c>
      <c r="EO80" s="164" t="str">
        <f t="shared" ca="1" si="301"/>
        <v/>
      </c>
      <c r="EP80" s="164" t="str">
        <f t="shared" ca="1" si="302"/>
        <v/>
      </c>
      <c r="EQ80" s="164" t="str">
        <f t="shared" ca="1" si="303"/>
        <v/>
      </c>
      <c r="ER80" s="164" t="str">
        <f t="shared" ca="1" si="304"/>
        <v/>
      </c>
      <c r="ES80" s="164" t="str">
        <f t="shared" ca="1" si="305"/>
        <v/>
      </c>
    </row>
    <row r="81" spans="1:149" x14ac:dyDescent="0.2">
      <c r="A81" s="89" t="str">
        <f t="shared" ca="1" si="306"/>
        <v/>
      </c>
      <c r="B81" s="317" t="str">
        <f t="shared" ca="1" si="213"/>
        <v/>
      </c>
      <c r="C81" s="609" t="str">
        <f t="shared" ca="1" si="214"/>
        <v/>
      </c>
      <c r="D81" s="1956" t="str">
        <f t="shared" ca="1" si="215"/>
        <v/>
      </c>
      <c r="E81" s="1956"/>
      <c r="F81" s="960"/>
      <c r="G81" s="485" t="str">
        <f t="shared" ca="1" si="216"/>
        <v/>
      </c>
      <c r="H81" s="983"/>
      <c r="I81" s="486"/>
      <c r="J81" s="326"/>
      <c r="K81" s="1886" t="str">
        <f t="shared" ca="1" si="217"/>
        <v/>
      </c>
      <c r="L81" s="1888"/>
      <c r="M81" s="296" t="str">
        <f t="shared" ca="1" si="307"/>
        <v/>
      </c>
      <c r="N81" s="1322"/>
      <c r="O81" s="1319"/>
      <c r="P81" s="957" t="str">
        <f t="shared" ca="1" si="218"/>
        <v/>
      </c>
      <c r="Q81" s="164">
        <f t="shared" si="219"/>
        <v>0</v>
      </c>
      <c r="R81" s="164">
        <f t="shared" ca="1" si="220"/>
        <v>0</v>
      </c>
      <c r="S81" s="164">
        <f t="shared" ca="1" si="221"/>
        <v>0</v>
      </c>
      <c r="T81" s="164">
        <f t="shared" ca="1" si="222"/>
        <v>0</v>
      </c>
      <c r="U81" s="164">
        <f t="shared" ca="1" si="223"/>
        <v>0</v>
      </c>
      <c r="V81" s="164">
        <f t="shared" ca="1" si="224"/>
        <v>0</v>
      </c>
      <c r="W81" s="164">
        <f t="shared" ca="1" si="225"/>
        <v>0</v>
      </c>
      <c r="X81" s="164">
        <f t="shared" ca="1" si="226"/>
        <v>0</v>
      </c>
      <c r="Y81" s="164">
        <f t="shared" ca="1" si="227"/>
        <v>0</v>
      </c>
      <c r="Z81" s="164">
        <f t="shared" ca="1" si="228"/>
        <v>0</v>
      </c>
      <c r="AA81" s="164">
        <f t="shared" ca="1" si="229"/>
        <v>0</v>
      </c>
      <c r="AB81" s="164">
        <f t="shared" ca="1" si="230"/>
        <v>0</v>
      </c>
      <c r="AC81" s="164">
        <f t="shared" ca="1" si="231"/>
        <v>0</v>
      </c>
      <c r="AD81" s="164">
        <f t="shared" ca="1" si="232"/>
        <v>0</v>
      </c>
      <c r="AE81" s="164">
        <f t="shared" ca="1" si="233"/>
        <v>0</v>
      </c>
      <c r="AF81" s="164">
        <f t="shared" ca="1" si="234"/>
        <v>0</v>
      </c>
      <c r="AG81" s="164">
        <f t="shared" ca="1" si="235"/>
        <v>0</v>
      </c>
      <c r="AH81" s="164">
        <f t="shared" ca="1" si="236"/>
        <v>0</v>
      </c>
      <c r="AI81" s="164">
        <f t="shared" ca="1" si="237"/>
        <v>0</v>
      </c>
      <c r="AJ81" s="164">
        <f t="shared" ca="1" si="238"/>
        <v>0</v>
      </c>
      <c r="AK81" s="164">
        <f t="shared" ca="1" si="239"/>
        <v>0</v>
      </c>
      <c r="AL81" s="164">
        <f t="shared" ca="1" si="240"/>
        <v>0</v>
      </c>
      <c r="AM81" s="208"/>
      <c r="AN81" s="164">
        <f t="shared" si="241"/>
        <v>0</v>
      </c>
      <c r="AO81" s="164">
        <f t="shared" ca="1" si="242"/>
        <v>0</v>
      </c>
      <c r="AP81" s="164">
        <f t="shared" ca="1" si="243"/>
        <v>0</v>
      </c>
      <c r="AQ81" s="164">
        <f t="shared" ca="1" si="244"/>
        <v>0</v>
      </c>
      <c r="AR81" s="164">
        <f t="shared" ca="1" si="245"/>
        <v>0</v>
      </c>
      <c r="AS81" s="164">
        <f t="shared" ca="1" si="246"/>
        <v>0</v>
      </c>
      <c r="AT81" s="164">
        <f t="shared" ca="1" si="247"/>
        <v>0</v>
      </c>
      <c r="AU81" s="164">
        <f t="shared" ca="1" si="248"/>
        <v>0</v>
      </c>
      <c r="AV81" s="164">
        <f t="shared" ca="1" si="249"/>
        <v>0</v>
      </c>
      <c r="AW81" s="164">
        <f t="shared" ca="1" si="250"/>
        <v>0</v>
      </c>
      <c r="AX81" s="164">
        <f t="shared" ca="1" si="251"/>
        <v>0</v>
      </c>
      <c r="AY81" s="164">
        <f t="shared" ca="1" si="252"/>
        <v>0</v>
      </c>
      <c r="AZ81" s="164">
        <f t="shared" ca="1" si="253"/>
        <v>0</v>
      </c>
      <c r="BA81" s="164">
        <f t="shared" ca="1" si="254"/>
        <v>0</v>
      </c>
      <c r="BB81" s="164">
        <f t="shared" ca="1" si="255"/>
        <v>0</v>
      </c>
      <c r="BC81" s="164">
        <f t="shared" ca="1" si="256"/>
        <v>0</v>
      </c>
      <c r="BD81" s="164">
        <f t="shared" ca="1" si="257"/>
        <v>0</v>
      </c>
      <c r="BE81" s="164">
        <f t="shared" ca="1" si="258"/>
        <v>0</v>
      </c>
      <c r="BF81" s="164">
        <f t="shared" ca="1" si="259"/>
        <v>0</v>
      </c>
      <c r="BG81" s="164">
        <f t="shared" ca="1" si="260"/>
        <v>0</v>
      </c>
      <c r="BH81" s="164">
        <f t="shared" ca="1" si="261"/>
        <v>0</v>
      </c>
      <c r="BI81" s="164">
        <f t="shared" ca="1" si="262"/>
        <v>0</v>
      </c>
      <c r="BJ81" s="164">
        <f t="shared" ca="1" si="263"/>
        <v>0</v>
      </c>
      <c r="BK81" s="164">
        <f t="shared" ca="1" si="264"/>
        <v>0</v>
      </c>
      <c r="BL81" s="164">
        <f t="shared" ca="1" si="265"/>
        <v>0</v>
      </c>
      <c r="BM81" s="164">
        <f t="shared" ca="1" si="266"/>
        <v>0</v>
      </c>
      <c r="BN81" s="164">
        <f t="shared" ca="1" si="267"/>
        <v>0</v>
      </c>
      <c r="BO81" s="356" t="str">
        <f t="shared" ca="1" si="268"/>
        <v/>
      </c>
      <c r="BP81" s="355" t="str">
        <f t="shared" ca="1" si="269"/>
        <v/>
      </c>
      <c r="BQ81" s="355" t="str">
        <f t="shared" ca="1" si="270"/>
        <v/>
      </c>
      <c r="BR81" s="348">
        <f t="shared" ca="1" si="312"/>
        <v>0</v>
      </c>
      <c r="BS81" s="348">
        <f t="shared" ca="1" si="313"/>
        <v>0</v>
      </c>
      <c r="BT81" s="610">
        <f t="shared" ca="1" si="271"/>
        <v>0</v>
      </c>
      <c r="BU81" s="357">
        <f t="shared" ca="1" si="272"/>
        <v>0</v>
      </c>
      <c r="BV81" s="357">
        <f t="shared" si="273"/>
        <v>0</v>
      </c>
      <c r="BW81" s="357">
        <f t="shared" si="274"/>
        <v>0</v>
      </c>
      <c r="BX81" s="357">
        <f t="shared" ca="1" si="275"/>
        <v>0</v>
      </c>
      <c r="BY81" s="357">
        <f t="shared" ref="BY81:BY144" ca="1" si="316">SUM(
IF(NOT(EXACT($T$3,"")),(LEN($BQ81)-LEN(SUBSTITUTE($BQ81,$T$3,"")))/LEN($T$3),0),
IF(NOT(EXACT($T$4,"")),(LEN($BQ81)-LEN(SUBSTITUTE($BQ81,$T$4,"")))/LEN($T$4),0),
IF(NOT(EXACT($T$5,"")),(LEN($BQ81)-LEN(SUBSTITUTE($BQ81,$T$5,"")))/LEN($T$5),0))</f>
        <v>0</v>
      </c>
      <c r="BZ81" s="357"/>
      <c r="CA81" s="357">
        <f t="shared" ca="1" si="314"/>
        <v>0</v>
      </c>
      <c r="CB81" s="357" t="str">
        <f t="shared" ca="1" si="276"/>
        <v/>
      </c>
      <c r="CC81" s="358" t="str">
        <f t="shared" ref="CC81:CC144" ca="1" si="317">IF(EXACT($BP$2,""),"",IF(NOT(ISERR(FIND($BP$2,$BQ81))),$BP$2,""))</f>
        <v/>
      </c>
      <c r="CD81" s="358" t="str">
        <f t="shared" ref="CD81:CD144" ca="1" si="318">IF(EXACT($BP$3,""),"",IF(NOT(ISERR(FIND($BP$3,$BQ81))),$BP$3,""))</f>
        <v/>
      </c>
      <c r="CE81" s="357" t="str">
        <f t="shared" ca="1" si="308"/>
        <v>,,,,,,,,,,,,,,,,,,,,,</v>
      </c>
      <c r="CF81" s="154" t="str">
        <f t="shared" si="315"/>
        <v/>
      </c>
      <c r="CG81" s="154">
        <f t="shared" ref="CG81:CG144" ca="1" si="319">IF($BY81&gt;0,0,IF(OR(AND(NOT(EXACT($T$6,"")),EXACT($A81,$T$6)),AND(NOT(EXACT($T$7,"")),EXACT($A81,$T$7)),AND(NOT(EXACT($T$8,"")),EXACT($A81,$T$8))),1,0))</f>
        <v>0</v>
      </c>
      <c r="CH81" s="154"/>
      <c r="CI81" s="154"/>
      <c r="CJ81" s="154"/>
      <c r="CK81" s="154"/>
      <c r="CL81" s="154"/>
      <c r="CM81" s="154"/>
      <c r="CN81" t="s">
        <v>784</v>
      </c>
      <c r="CO81" s="169"/>
      <c r="CP81" s="169"/>
      <c r="CQ81" s="169"/>
      <c r="CR81" s="169"/>
      <c r="CS81" s="169"/>
      <c r="CT81" s="169"/>
      <c r="CU81" s="169"/>
      <c r="CV81" s="164" t="str">
        <f t="shared" ref="CV81:DE90" ca="1" si="320">IF($A81="","",IF(VT_VRTLZBR,CODE("F"),CODE(VLOOKUP($A81,ZAUBERWERTE,10,FALSE))-
SUM($BR81:$CA81,
IF(ISERR(FIND(";"&amp;CV$10&amp;";",$H81)),0,1),
IF(ISERR(FIND(";"&amp;CV$10&amp;":",$H81)),0,VALUE(MID($H81,FIND(";"&amp;CV$10&amp;":",$H81)+LEN(CV$10)+2,1))),
IF(AND(NOT(EXACT($AF$241,"")),OR(CV$10&gt;$CO81,ISBLANK($CO81))),IF($CV$3,IF(ISERROR(FIND($AF$241,$BQ81)),0,1),(LEN($BQ81)-LEN(SUBSTITUTE($BQ81,$AF$241,"")))/LEN($AF$241)),0),
IF(AND(NOT(EXACT($AF$242,"")),OR(CV$10&gt;$CP81,ISBLANK($CP81))),IF($CV$3,IF(ISERROR(FIND($AF$242,$BQ81)),0,1),(LEN($BQ81)-LEN(SUBSTITUTE($BQ81,$AF$242,"")))/LEN($AF$242)),0),
IF(AND(NOT(EXACT($AF$243,"")),OR(CV$10&gt;$CQ81,ISBLANK($CQ81))),IF($CV$3,IF(ISERROR(FIND($AF$243,$BQ81)),0,1),(LEN($BQ81)-LEN(SUBSTITUTE($BQ81,$AF$243,"")))/LEN($AF$243)),0),
IF(AND(NOT(EXACT($AF$244,"")),OR(CV$10&gt;$CR81,ISBLANK($CR81))),IF($CV$3,IF(ISERROR(FIND($AF$244,$BQ81)),0,1),(LEN($BQ81)-LEN(SUBSTITUTE($BQ81,$AF$244,"")))/LEN($AF$244)),0),
IF(AND(NOT(EXACT($AF$245,"")),OR(CV$10&gt;$CS81,ISBLANK($CS81))),IF($CV$3,IF(ISERROR(FIND($AF$245,$BQ81)),0,1),(LEN($BQ81)-LEN(SUBSTITUTE($BQ81,$AF$245,"")))/LEN($AF$245)),0),
IF(AND(NOT(EXACT($AF$246,"")),OR(CV$10&gt;$CT81,ISBLANK($CT81))),IF($CV$3,IF(ISERROR(FIND($AF$246,$BQ81)),0,1),(LEN($BQ81)-LEN(SUBSTITUTE($BQ81,$AF$246,"")))/LEN($AF$246)),0),
IF(AND(NOT(EXACT($AF$247,"")),OR(CV$10&gt;$CU81,ISBLANK($CU81))),IF($CV$3,IF(ISERROR(FIND($AF$247,$BQ81)),0,1),(LEN($BQ81)-LEN(SUBSTITUTE($BQ81,$AF$247,"")))/LEN($AF$247)),0)
)))</f>
        <v/>
      </c>
      <c r="CW81" s="164" t="str">
        <f t="shared" ca="1" si="320"/>
        <v/>
      </c>
      <c r="CX81" s="164" t="str">
        <f t="shared" ca="1" si="320"/>
        <v/>
      </c>
      <c r="CY81" s="164" t="str">
        <f t="shared" ca="1" si="320"/>
        <v/>
      </c>
      <c r="CZ81" s="164" t="str">
        <f t="shared" ca="1" si="320"/>
        <v/>
      </c>
      <c r="DA81" s="164" t="str">
        <f t="shared" ca="1" si="320"/>
        <v/>
      </c>
      <c r="DB81" s="164" t="str">
        <f t="shared" ca="1" si="320"/>
        <v/>
      </c>
      <c r="DC81" s="164" t="str">
        <f t="shared" ca="1" si="320"/>
        <v/>
      </c>
      <c r="DD81" s="164" t="str">
        <f t="shared" ca="1" si="320"/>
        <v/>
      </c>
      <c r="DE81" s="164" t="str">
        <f t="shared" ca="1" si="320"/>
        <v/>
      </c>
      <c r="DF81" s="164" t="str">
        <f t="shared" ref="DF81:DQ90" ca="1" si="321">IF($A81="","",IF(VT_VRTLZBR,CODE("F"),CODE(VLOOKUP($A81,ZAUBERWERTE,10,FALSE))-
SUM($BR81:$CA81,
IF(ISERR(FIND(";"&amp;DF$10&amp;";",$H81)),0,1),
IF(ISERR(FIND(";"&amp;DF$10&amp;":",$H81)),0,VALUE(MID($H81,FIND(";"&amp;DF$10&amp;":",$H81)+LEN(DF$10)+2,1))),
IF(AND(NOT(EXACT($AF$241,"")),OR(DF$10&gt;$CO81,ISBLANK($CO81))),IF($CV$3,IF(ISERROR(FIND($AF$241,$BQ81)),0,1),(LEN($BQ81)-LEN(SUBSTITUTE($BQ81,$AF$241,"")))/LEN($AF$241)),0),
IF(AND(NOT(EXACT($AF$242,"")),OR(DF$10&gt;$CP81,ISBLANK($CP81))),IF($CV$3,IF(ISERROR(FIND($AF$242,$BQ81)),0,1),(LEN($BQ81)-LEN(SUBSTITUTE($BQ81,$AF$242,"")))/LEN($AF$242)),0),
IF(AND(NOT(EXACT($AF$243,"")),OR(DF$10&gt;$CQ81,ISBLANK($CQ81))),IF($CV$3,IF(ISERROR(FIND($AF$243,$BQ81)),0,1),(LEN($BQ81)-LEN(SUBSTITUTE($BQ81,$AF$243,"")))/LEN($AF$243)),0),
IF(AND(NOT(EXACT($AF$244,"")),OR(DF$10&gt;$CR81,ISBLANK($CR81))),IF($CV$3,IF(ISERROR(FIND($AF$244,$BQ81)),0,1),(LEN($BQ81)-LEN(SUBSTITUTE($BQ81,$AF$244,"")))/LEN($AF$244)),0),
IF(AND(NOT(EXACT($AF$245,"")),OR(DF$10&gt;$CS81,ISBLANK($CS81))),IF($CV$3,IF(ISERROR(FIND($AF$245,$BQ81)),0,1),(LEN($BQ81)-LEN(SUBSTITUTE($BQ81,$AF$245,"")))/LEN($AF$245)),0),
IF(AND(NOT(EXACT($AF$246,"")),OR(DF$10&gt;$CT81,ISBLANK($CT81))),IF($CV$3,IF(ISERROR(FIND($AF$246,$BQ81)),0,1),(LEN($BQ81)-LEN(SUBSTITUTE($BQ81,$AF$246,"")))/LEN($AF$246)),0),
IF(AND(NOT(EXACT($AF$247,"")),OR(DF$10&gt;$CU81,ISBLANK($CU81))),IF($CV$3,IF(ISERROR(FIND($AF$247,$BQ81)),0,1),(LEN($BQ81)-LEN(SUBSTITUTE($BQ81,$AF$247,"")))/LEN($AF$247)),0)
)))</f>
        <v/>
      </c>
      <c r="DG81" s="164" t="str">
        <f t="shared" ca="1" si="321"/>
        <v/>
      </c>
      <c r="DH81" s="164" t="str">
        <f t="shared" ca="1" si="321"/>
        <v/>
      </c>
      <c r="DI81" s="164" t="str">
        <f t="shared" ca="1" si="321"/>
        <v/>
      </c>
      <c r="DJ81" s="164" t="str">
        <f t="shared" ca="1" si="321"/>
        <v/>
      </c>
      <c r="DK81" s="164" t="str">
        <f t="shared" ca="1" si="321"/>
        <v/>
      </c>
      <c r="DL81" s="164" t="str">
        <f t="shared" ca="1" si="321"/>
        <v/>
      </c>
      <c r="DM81" s="164" t="str">
        <f t="shared" ca="1" si="321"/>
        <v/>
      </c>
      <c r="DN81" s="164" t="str">
        <f t="shared" ca="1" si="321"/>
        <v/>
      </c>
      <c r="DO81" s="164" t="str">
        <f t="shared" ca="1" si="321"/>
        <v/>
      </c>
      <c r="DP81" s="164" t="str">
        <f t="shared" ca="1" si="321"/>
        <v/>
      </c>
      <c r="DQ81" s="164" t="str">
        <f t="shared" ca="1" si="321"/>
        <v/>
      </c>
      <c r="DR81" s="208"/>
      <c r="DS81" s="164" t="str">
        <f t="shared" ca="1" si="279"/>
        <v/>
      </c>
      <c r="DT81" s="164" t="str">
        <f t="shared" ca="1" si="280"/>
        <v/>
      </c>
      <c r="DU81" s="164" t="str">
        <f t="shared" ca="1" si="281"/>
        <v/>
      </c>
      <c r="DV81" s="164" t="str">
        <f t="shared" ca="1" si="282"/>
        <v/>
      </c>
      <c r="DW81" s="164" t="str">
        <f t="shared" ca="1" si="283"/>
        <v/>
      </c>
      <c r="DX81" s="164" t="str">
        <f t="shared" ca="1" si="284"/>
        <v/>
      </c>
      <c r="DY81" s="164" t="str">
        <f t="shared" ca="1" si="285"/>
        <v/>
      </c>
      <c r="DZ81" s="164" t="str">
        <f t="shared" ca="1" si="286"/>
        <v/>
      </c>
      <c r="EA81" s="164" t="str">
        <f t="shared" ca="1" si="287"/>
        <v/>
      </c>
      <c r="EB81" s="164" t="str">
        <f t="shared" ca="1" si="288"/>
        <v/>
      </c>
      <c r="EC81" s="164" t="str">
        <f t="shared" ca="1" si="289"/>
        <v/>
      </c>
      <c r="ED81" s="164" t="str">
        <f t="shared" ca="1" si="290"/>
        <v/>
      </c>
      <c r="EE81" s="164" t="str">
        <f t="shared" ca="1" si="291"/>
        <v/>
      </c>
      <c r="EF81" s="164" t="str">
        <f t="shared" ca="1" si="292"/>
        <v/>
      </c>
      <c r="EG81" s="164" t="str">
        <f t="shared" ca="1" si="293"/>
        <v/>
      </c>
      <c r="EH81" s="164" t="str">
        <f t="shared" ca="1" si="294"/>
        <v/>
      </c>
      <c r="EI81" s="164" t="str">
        <f t="shared" ca="1" si="295"/>
        <v/>
      </c>
      <c r="EJ81" s="164" t="str">
        <f t="shared" ca="1" si="296"/>
        <v/>
      </c>
      <c r="EK81" s="164" t="str">
        <f t="shared" ca="1" si="297"/>
        <v/>
      </c>
      <c r="EL81" s="164" t="str">
        <f t="shared" ca="1" si="298"/>
        <v/>
      </c>
      <c r="EM81" s="164" t="str">
        <f t="shared" ca="1" si="299"/>
        <v/>
      </c>
      <c r="EN81" s="164" t="str">
        <f t="shared" ca="1" si="300"/>
        <v/>
      </c>
      <c r="EO81" s="164" t="str">
        <f t="shared" ca="1" si="301"/>
        <v/>
      </c>
      <c r="EP81" s="164" t="str">
        <f t="shared" ca="1" si="302"/>
        <v/>
      </c>
      <c r="EQ81" s="164" t="str">
        <f t="shared" ca="1" si="303"/>
        <v/>
      </c>
      <c r="ER81" s="164" t="str">
        <f t="shared" ca="1" si="304"/>
        <v/>
      </c>
      <c r="ES81" s="164" t="str">
        <f t="shared" ca="1" si="305"/>
        <v/>
      </c>
    </row>
    <row r="82" spans="1:149" x14ac:dyDescent="0.2">
      <c r="A82" s="89" t="str">
        <f t="shared" ca="1" si="306"/>
        <v/>
      </c>
      <c r="B82" s="317" t="str">
        <f t="shared" ca="1" si="213"/>
        <v/>
      </c>
      <c r="C82" s="609" t="str">
        <f t="shared" ca="1" si="214"/>
        <v/>
      </c>
      <c r="D82" s="1956" t="str">
        <f t="shared" ca="1" si="215"/>
        <v/>
      </c>
      <c r="E82" s="1956"/>
      <c r="F82" s="960"/>
      <c r="G82" s="485" t="str">
        <f t="shared" ca="1" si="216"/>
        <v/>
      </c>
      <c r="H82" s="983"/>
      <c r="I82" s="486"/>
      <c r="J82" s="326"/>
      <c r="K82" s="1886" t="str">
        <f t="shared" ca="1" si="217"/>
        <v/>
      </c>
      <c r="L82" s="1888"/>
      <c r="M82" s="296" t="str">
        <f t="shared" ca="1" si="307"/>
        <v/>
      </c>
      <c r="N82" s="1322"/>
      <c r="O82" s="1319"/>
      <c r="P82" s="957" t="str">
        <f t="shared" ca="1" si="218"/>
        <v/>
      </c>
      <c r="Q82" s="164">
        <f t="shared" si="219"/>
        <v>0</v>
      </c>
      <c r="R82" s="164">
        <f t="shared" ca="1" si="220"/>
        <v>0</v>
      </c>
      <c r="S82" s="164">
        <f t="shared" ca="1" si="221"/>
        <v>0</v>
      </c>
      <c r="T82" s="164">
        <f t="shared" ca="1" si="222"/>
        <v>0</v>
      </c>
      <c r="U82" s="164">
        <f t="shared" ca="1" si="223"/>
        <v>0</v>
      </c>
      <c r="V82" s="164">
        <f t="shared" ca="1" si="224"/>
        <v>0</v>
      </c>
      <c r="W82" s="164">
        <f t="shared" ca="1" si="225"/>
        <v>0</v>
      </c>
      <c r="X82" s="164">
        <f t="shared" ca="1" si="226"/>
        <v>0</v>
      </c>
      <c r="Y82" s="164">
        <f t="shared" ca="1" si="227"/>
        <v>0</v>
      </c>
      <c r="Z82" s="164">
        <f t="shared" ca="1" si="228"/>
        <v>0</v>
      </c>
      <c r="AA82" s="164">
        <f t="shared" ca="1" si="229"/>
        <v>0</v>
      </c>
      <c r="AB82" s="164">
        <f t="shared" ca="1" si="230"/>
        <v>0</v>
      </c>
      <c r="AC82" s="164">
        <f t="shared" ca="1" si="231"/>
        <v>0</v>
      </c>
      <c r="AD82" s="164">
        <f t="shared" ca="1" si="232"/>
        <v>0</v>
      </c>
      <c r="AE82" s="164">
        <f t="shared" ca="1" si="233"/>
        <v>0</v>
      </c>
      <c r="AF82" s="164">
        <f t="shared" ca="1" si="234"/>
        <v>0</v>
      </c>
      <c r="AG82" s="164">
        <f t="shared" ca="1" si="235"/>
        <v>0</v>
      </c>
      <c r="AH82" s="164">
        <f t="shared" ca="1" si="236"/>
        <v>0</v>
      </c>
      <c r="AI82" s="164">
        <f t="shared" ca="1" si="237"/>
        <v>0</v>
      </c>
      <c r="AJ82" s="164">
        <f t="shared" ca="1" si="238"/>
        <v>0</v>
      </c>
      <c r="AK82" s="164">
        <f t="shared" ca="1" si="239"/>
        <v>0</v>
      </c>
      <c r="AL82" s="164">
        <f t="shared" ca="1" si="240"/>
        <v>0</v>
      </c>
      <c r="AM82" s="208"/>
      <c r="AN82" s="164">
        <f t="shared" si="241"/>
        <v>0</v>
      </c>
      <c r="AO82" s="164">
        <f t="shared" ca="1" si="242"/>
        <v>0</v>
      </c>
      <c r="AP82" s="164">
        <f t="shared" ca="1" si="243"/>
        <v>0</v>
      </c>
      <c r="AQ82" s="164">
        <f t="shared" ca="1" si="244"/>
        <v>0</v>
      </c>
      <c r="AR82" s="164">
        <f t="shared" ca="1" si="245"/>
        <v>0</v>
      </c>
      <c r="AS82" s="164">
        <f t="shared" ca="1" si="246"/>
        <v>0</v>
      </c>
      <c r="AT82" s="164">
        <f t="shared" ca="1" si="247"/>
        <v>0</v>
      </c>
      <c r="AU82" s="164">
        <f t="shared" ca="1" si="248"/>
        <v>0</v>
      </c>
      <c r="AV82" s="164">
        <f t="shared" ca="1" si="249"/>
        <v>0</v>
      </c>
      <c r="AW82" s="164">
        <f t="shared" ca="1" si="250"/>
        <v>0</v>
      </c>
      <c r="AX82" s="164">
        <f t="shared" ca="1" si="251"/>
        <v>0</v>
      </c>
      <c r="AY82" s="164">
        <f t="shared" ca="1" si="252"/>
        <v>0</v>
      </c>
      <c r="AZ82" s="164">
        <f t="shared" ca="1" si="253"/>
        <v>0</v>
      </c>
      <c r="BA82" s="164">
        <f t="shared" ca="1" si="254"/>
        <v>0</v>
      </c>
      <c r="BB82" s="164">
        <f t="shared" ca="1" si="255"/>
        <v>0</v>
      </c>
      <c r="BC82" s="164">
        <f t="shared" ca="1" si="256"/>
        <v>0</v>
      </c>
      <c r="BD82" s="164">
        <f t="shared" ca="1" si="257"/>
        <v>0</v>
      </c>
      <c r="BE82" s="164">
        <f t="shared" ca="1" si="258"/>
        <v>0</v>
      </c>
      <c r="BF82" s="164">
        <f t="shared" ca="1" si="259"/>
        <v>0</v>
      </c>
      <c r="BG82" s="164">
        <f t="shared" ca="1" si="260"/>
        <v>0</v>
      </c>
      <c r="BH82" s="164">
        <f t="shared" ca="1" si="261"/>
        <v>0</v>
      </c>
      <c r="BI82" s="164">
        <f t="shared" ca="1" si="262"/>
        <v>0</v>
      </c>
      <c r="BJ82" s="164">
        <f t="shared" ca="1" si="263"/>
        <v>0</v>
      </c>
      <c r="BK82" s="164">
        <f t="shared" ca="1" si="264"/>
        <v>0</v>
      </c>
      <c r="BL82" s="164">
        <f t="shared" ca="1" si="265"/>
        <v>0</v>
      </c>
      <c r="BM82" s="164">
        <f t="shared" ca="1" si="266"/>
        <v>0</v>
      </c>
      <c r="BN82" s="164">
        <f t="shared" ca="1" si="267"/>
        <v>0</v>
      </c>
      <c r="BO82" s="356" t="str">
        <f t="shared" ca="1" si="268"/>
        <v/>
      </c>
      <c r="BP82" s="355" t="str">
        <f t="shared" ca="1" si="269"/>
        <v/>
      </c>
      <c r="BQ82" s="355" t="str">
        <f t="shared" ca="1" si="270"/>
        <v/>
      </c>
      <c r="BR82" s="348">
        <f t="shared" ca="1" si="312"/>
        <v>0</v>
      </c>
      <c r="BS82" s="348">
        <f t="shared" ca="1" si="313"/>
        <v>0</v>
      </c>
      <c r="BT82" s="610">
        <f t="shared" ca="1" si="271"/>
        <v>0</v>
      </c>
      <c r="BU82" s="357">
        <f t="shared" ca="1" si="272"/>
        <v>0</v>
      </c>
      <c r="BV82" s="357">
        <f t="shared" si="273"/>
        <v>0</v>
      </c>
      <c r="BW82" s="357">
        <f t="shared" si="274"/>
        <v>0</v>
      </c>
      <c r="BX82" s="357">
        <f t="shared" ca="1" si="275"/>
        <v>0</v>
      </c>
      <c r="BY82" s="357">
        <f t="shared" ca="1" si="316"/>
        <v>0</v>
      </c>
      <c r="BZ82" s="357"/>
      <c r="CA82" s="357">
        <f t="shared" ca="1" si="314"/>
        <v>0</v>
      </c>
      <c r="CB82" s="357" t="str">
        <f t="shared" ca="1" si="276"/>
        <v/>
      </c>
      <c r="CC82" s="358" t="str">
        <f t="shared" ca="1" si="317"/>
        <v/>
      </c>
      <c r="CD82" s="358" t="str">
        <f t="shared" ca="1" si="318"/>
        <v/>
      </c>
      <c r="CE82" s="357" t="str">
        <f t="shared" ca="1" si="308"/>
        <v>,,,,,,,,,,,,,,,,,,,,,,</v>
      </c>
      <c r="CF82" s="154" t="str">
        <f t="shared" si="315"/>
        <v/>
      </c>
      <c r="CG82" s="154">
        <f t="shared" ca="1" si="319"/>
        <v>0</v>
      </c>
      <c r="CH82" s="154"/>
      <c r="CI82" s="154"/>
      <c r="CJ82" s="154"/>
      <c r="CK82" s="154"/>
      <c r="CL82" s="154"/>
      <c r="CM82" s="154"/>
      <c r="CN82" t="s">
        <v>784</v>
      </c>
      <c r="CO82" s="169"/>
      <c r="CP82" s="169"/>
      <c r="CQ82" s="169"/>
      <c r="CR82" s="169"/>
      <c r="CS82" s="169"/>
      <c r="CT82" s="169"/>
      <c r="CU82" s="169"/>
      <c r="CV82" s="164" t="str">
        <f t="shared" ca="1" si="320"/>
        <v/>
      </c>
      <c r="CW82" s="164" t="str">
        <f t="shared" ca="1" si="320"/>
        <v/>
      </c>
      <c r="CX82" s="164" t="str">
        <f t="shared" ca="1" si="320"/>
        <v/>
      </c>
      <c r="CY82" s="164" t="str">
        <f t="shared" ca="1" si="320"/>
        <v/>
      </c>
      <c r="CZ82" s="164" t="str">
        <f t="shared" ca="1" si="320"/>
        <v/>
      </c>
      <c r="DA82" s="164" t="str">
        <f t="shared" ca="1" si="320"/>
        <v/>
      </c>
      <c r="DB82" s="164" t="str">
        <f t="shared" ca="1" si="320"/>
        <v/>
      </c>
      <c r="DC82" s="164" t="str">
        <f t="shared" ca="1" si="320"/>
        <v/>
      </c>
      <c r="DD82" s="164" t="str">
        <f t="shared" ca="1" si="320"/>
        <v/>
      </c>
      <c r="DE82" s="164" t="str">
        <f t="shared" ca="1" si="320"/>
        <v/>
      </c>
      <c r="DF82" s="164" t="str">
        <f t="shared" ca="1" si="321"/>
        <v/>
      </c>
      <c r="DG82" s="164" t="str">
        <f t="shared" ca="1" si="321"/>
        <v/>
      </c>
      <c r="DH82" s="164" t="str">
        <f t="shared" ca="1" si="321"/>
        <v/>
      </c>
      <c r="DI82" s="164" t="str">
        <f t="shared" ca="1" si="321"/>
        <v/>
      </c>
      <c r="DJ82" s="164" t="str">
        <f t="shared" ca="1" si="321"/>
        <v/>
      </c>
      <c r="DK82" s="164" t="str">
        <f t="shared" ca="1" si="321"/>
        <v/>
      </c>
      <c r="DL82" s="164" t="str">
        <f t="shared" ca="1" si="321"/>
        <v/>
      </c>
      <c r="DM82" s="164" t="str">
        <f t="shared" ca="1" si="321"/>
        <v/>
      </c>
      <c r="DN82" s="164" t="str">
        <f t="shared" ca="1" si="321"/>
        <v/>
      </c>
      <c r="DO82" s="164" t="str">
        <f t="shared" ca="1" si="321"/>
        <v/>
      </c>
      <c r="DP82" s="164" t="str">
        <f t="shared" ca="1" si="321"/>
        <v/>
      </c>
      <c r="DQ82" s="164" t="str">
        <f t="shared" ca="1" si="321"/>
        <v/>
      </c>
      <c r="DR82" s="208"/>
      <c r="DS82" s="164" t="str">
        <f t="shared" ca="1" si="279"/>
        <v/>
      </c>
      <c r="DT82" s="164" t="str">
        <f t="shared" ca="1" si="280"/>
        <v/>
      </c>
      <c r="DU82" s="164" t="str">
        <f t="shared" ca="1" si="281"/>
        <v/>
      </c>
      <c r="DV82" s="164" t="str">
        <f t="shared" ca="1" si="282"/>
        <v/>
      </c>
      <c r="DW82" s="164" t="str">
        <f t="shared" ca="1" si="283"/>
        <v/>
      </c>
      <c r="DX82" s="164" t="str">
        <f t="shared" ca="1" si="284"/>
        <v/>
      </c>
      <c r="DY82" s="164" t="str">
        <f t="shared" ca="1" si="285"/>
        <v/>
      </c>
      <c r="DZ82" s="164" t="str">
        <f t="shared" ca="1" si="286"/>
        <v/>
      </c>
      <c r="EA82" s="164" t="str">
        <f t="shared" ca="1" si="287"/>
        <v/>
      </c>
      <c r="EB82" s="164" t="str">
        <f t="shared" ca="1" si="288"/>
        <v/>
      </c>
      <c r="EC82" s="164" t="str">
        <f t="shared" ca="1" si="289"/>
        <v/>
      </c>
      <c r="ED82" s="164" t="str">
        <f t="shared" ca="1" si="290"/>
        <v/>
      </c>
      <c r="EE82" s="164" t="str">
        <f t="shared" ca="1" si="291"/>
        <v/>
      </c>
      <c r="EF82" s="164" t="str">
        <f t="shared" ca="1" si="292"/>
        <v/>
      </c>
      <c r="EG82" s="164" t="str">
        <f t="shared" ca="1" si="293"/>
        <v/>
      </c>
      <c r="EH82" s="164" t="str">
        <f t="shared" ca="1" si="294"/>
        <v/>
      </c>
      <c r="EI82" s="164" t="str">
        <f t="shared" ca="1" si="295"/>
        <v/>
      </c>
      <c r="EJ82" s="164" t="str">
        <f t="shared" ca="1" si="296"/>
        <v/>
      </c>
      <c r="EK82" s="164" t="str">
        <f t="shared" ca="1" si="297"/>
        <v/>
      </c>
      <c r="EL82" s="164" t="str">
        <f t="shared" ca="1" si="298"/>
        <v/>
      </c>
      <c r="EM82" s="164" t="str">
        <f t="shared" ca="1" si="299"/>
        <v/>
      </c>
      <c r="EN82" s="164" t="str">
        <f t="shared" ca="1" si="300"/>
        <v/>
      </c>
      <c r="EO82" s="164" t="str">
        <f t="shared" ca="1" si="301"/>
        <v/>
      </c>
      <c r="EP82" s="164" t="str">
        <f t="shared" ca="1" si="302"/>
        <v/>
      </c>
      <c r="EQ82" s="164" t="str">
        <f t="shared" ca="1" si="303"/>
        <v/>
      </c>
      <c r="ER82" s="164" t="str">
        <f t="shared" ca="1" si="304"/>
        <v/>
      </c>
      <c r="ES82" s="164" t="str">
        <f t="shared" ca="1" si="305"/>
        <v/>
      </c>
    </row>
    <row r="83" spans="1:149" x14ac:dyDescent="0.2">
      <c r="A83" s="89" t="str">
        <f t="shared" ca="1" si="306"/>
        <v/>
      </c>
      <c r="B83" s="317" t="str">
        <f t="shared" ca="1" si="213"/>
        <v/>
      </c>
      <c r="C83" s="609" t="str">
        <f t="shared" ca="1" si="214"/>
        <v/>
      </c>
      <c r="D83" s="1956" t="str">
        <f t="shared" ca="1" si="215"/>
        <v/>
      </c>
      <c r="E83" s="1956"/>
      <c r="F83" s="960"/>
      <c r="G83" s="485" t="str">
        <f t="shared" ca="1" si="216"/>
        <v/>
      </c>
      <c r="H83" s="983"/>
      <c r="I83" s="486"/>
      <c r="J83" s="326"/>
      <c r="K83" s="1886" t="str">
        <f t="shared" ca="1" si="217"/>
        <v/>
      </c>
      <c r="L83" s="1888"/>
      <c r="M83" s="296" t="str">
        <f t="shared" ca="1" si="307"/>
        <v/>
      </c>
      <c r="N83" s="1322"/>
      <c r="O83" s="1319"/>
      <c r="P83" s="957" t="str">
        <f t="shared" ca="1" si="218"/>
        <v/>
      </c>
      <c r="Q83" s="164">
        <f t="shared" si="219"/>
        <v>0</v>
      </c>
      <c r="R83" s="164">
        <f t="shared" ca="1" si="220"/>
        <v>0</v>
      </c>
      <c r="S83" s="164">
        <f t="shared" ca="1" si="221"/>
        <v>0</v>
      </c>
      <c r="T83" s="164">
        <f t="shared" ca="1" si="222"/>
        <v>0</v>
      </c>
      <c r="U83" s="164">
        <f t="shared" ca="1" si="223"/>
        <v>0</v>
      </c>
      <c r="V83" s="164">
        <f t="shared" ca="1" si="224"/>
        <v>0</v>
      </c>
      <c r="W83" s="164">
        <f t="shared" ca="1" si="225"/>
        <v>0</v>
      </c>
      <c r="X83" s="164">
        <f t="shared" ca="1" si="226"/>
        <v>0</v>
      </c>
      <c r="Y83" s="164">
        <f t="shared" ca="1" si="227"/>
        <v>0</v>
      </c>
      <c r="Z83" s="164">
        <f t="shared" ca="1" si="228"/>
        <v>0</v>
      </c>
      <c r="AA83" s="164">
        <f t="shared" ca="1" si="229"/>
        <v>0</v>
      </c>
      <c r="AB83" s="164">
        <f t="shared" ca="1" si="230"/>
        <v>0</v>
      </c>
      <c r="AC83" s="164">
        <f t="shared" ca="1" si="231"/>
        <v>0</v>
      </c>
      <c r="AD83" s="164">
        <f t="shared" ca="1" si="232"/>
        <v>0</v>
      </c>
      <c r="AE83" s="164">
        <f t="shared" ca="1" si="233"/>
        <v>0</v>
      </c>
      <c r="AF83" s="164">
        <f t="shared" ca="1" si="234"/>
        <v>0</v>
      </c>
      <c r="AG83" s="164">
        <f t="shared" ca="1" si="235"/>
        <v>0</v>
      </c>
      <c r="AH83" s="164">
        <f t="shared" ca="1" si="236"/>
        <v>0</v>
      </c>
      <c r="AI83" s="164">
        <f t="shared" ca="1" si="237"/>
        <v>0</v>
      </c>
      <c r="AJ83" s="164">
        <f t="shared" ca="1" si="238"/>
        <v>0</v>
      </c>
      <c r="AK83" s="164">
        <f t="shared" ca="1" si="239"/>
        <v>0</v>
      </c>
      <c r="AL83" s="164">
        <f t="shared" ca="1" si="240"/>
        <v>0</v>
      </c>
      <c r="AM83" s="208"/>
      <c r="AN83" s="164">
        <f t="shared" si="241"/>
        <v>0</v>
      </c>
      <c r="AO83" s="164">
        <f t="shared" ca="1" si="242"/>
        <v>0</v>
      </c>
      <c r="AP83" s="164">
        <f t="shared" ca="1" si="243"/>
        <v>0</v>
      </c>
      <c r="AQ83" s="164">
        <f t="shared" ca="1" si="244"/>
        <v>0</v>
      </c>
      <c r="AR83" s="164">
        <f t="shared" ca="1" si="245"/>
        <v>0</v>
      </c>
      <c r="AS83" s="164">
        <f t="shared" ca="1" si="246"/>
        <v>0</v>
      </c>
      <c r="AT83" s="164">
        <f t="shared" ca="1" si="247"/>
        <v>0</v>
      </c>
      <c r="AU83" s="164">
        <f t="shared" ca="1" si="248"/>
        <v>0</v>
      </c>
      <c r="AV83" s="164">
        <f t="shared" ca="1" si="249"/>
        <v>0</v>
      </c>
      <c r="AW83" s="164">
        <f t="shared" ca="1" si="250"/>
        <v>0</v>
      </c>
      <c r="AX83" s="164">
        <f t="shared" ca="1" si="251"/>
        <v>0</v>
      </c>
      <c r="AY83" s="164">
        <f t="shared" ca="1" si="252"/>
        <v>0</v>
      </c>
      <c r="AZ83" s="164">
        <f t="shared" ca="1" si="253"/>
        <v>0</v>
      </c>
      <c r="BA83" s="164">
        <f t="shared" ca="1" si="254"/>
        <v>0</v>
      </c>
      <c r="BB83" s="164">
        <f t="shared" ca="1" si="255"/>
        <v>0</v>
      </c>
      <c r="BC83" s="164">
        <f t="shared" ca="1" si="256"/>
        <v>0</v>
      </c>
      <c r="BD83" s="164">
        <f t="shared" ca="1" si="257"/>
        <v>0</v>
      </c>
      <c r="BE83" s="164">
        <f t="shared" ca="1" si="258"/>
        <v>0</v>
      </c>
      <c r="BF83" s="164">
        <f t="shared" ca="1" si="259"/>
        <v>0</v>
      </c>
      <c r="BG83" s="164">
        <f t="shared" ca="1" si="260"/>
        <v>0</v>
      </c>
      <c r="BH83" s="164">
        <f t="shared" ca="1" si="261"/>
        <v>0</v>
      </c>
      <c r="BI83" s="164">
        <f t="shared" ca="1" si="262"/>
        <v>0</v>
      </c>
      <c r="BJ83" s="164">
        <f t="shared" ca="1" si="263"/>
        <v>0</v>
      </c>
      <c r="BK83" s="164">
        <f t="shared" ca="1" si="264"/>
        <v>0</v>
      </c>
      <c r="BL83" s="164">
        <f t="shared" ca="1" si="265"/>
        <v>0</v>
      </c>
      <c r="BM83" s="164">
        <f t="shared" ca="1" si="266"/>
        <v>0</v>
      </c>
      <c r="BN83" s="164">
        <f t="shared" ca="1" si="267"/>
        <v>0</v>
      </c>
      <c r="BO83" s="356" t="str">
        <f t="shared" ca="1" si="268"/>
        <v/>
      </c>
      <c r="BP83" s="355" t="str">
        <f t="shared" ca="1" si="269"/>
        <v/>
      </c>
      <c r="BQ83" s="355" t="str">
        <f t="shared" ca="1" si="270"/>
        <v/>
      </c>
      <c r="BR83" s="348">
        <f t="shared" ca="1" si="312"/>
        <v>0</v>
      </c>
      <c r="BS83" s="348">
        <f t="shared" ca="1" si="313"/>
        <v>0</v>
      </c>
      <c r="BT83" s="610">
        <f t="shared" ca="1" si="271"/>
        <v>0</v>
      </c>
      <c r="BU83" s="357">
        <f t="shared" ca="1" si="272"/>
        <v>0</v>
      </c>
      <c r="BV83" s="357">
        <f t="shared" si="273"/>
        <v>0</v>
      </c>
      <c r="BW83" s="357">
        <f t="shared" si="274"/>
        <v>0</v>
      </c>
      <c r="BX83" s="357">
        <f t="shared" ca="1" si="275"/>
        <v>0</v>
      </c>
      <c r="BY83" s="357">
        <f t="shared" ca="1" si="316"/>
        <v>0</v>
      </c>
      <c r="BZ83" s="357"/>
      <c r="CA83" s="357">
        <f t="shared" ca="1" si="314"/>
        <v>0</v>
      </c>
      <c r="CB83" s="357" t="str">
        <f t="shared" ca="1" si="276"/>
        <v/>
      </c>
      <c r="CC83" s="358" t="str">
        <f t="shared" ca="1" si="317"/>
        <v/>
      </c>
      <c r="CD83" s="358" t="str">
        <f t="shared" ca="1" si="318"/>
        <v/>
      </c>
      <c r="CE83" s="357" t="str">
        <f t="shared" ca="1" si="308"/>
        <v>,,,,,,,,,,,,,,,,,,,,,,,</v>
      </c>
      <c r="CF83" s="154" t="str">
        <f t="shared" si="315"/>
        <v/>
      </c>
      <c r="CG83" s="154">
        <f t="shared" ca="1" si="319"/>
        <v>0</v>
      </c>
      <c r="CH83" s="154"/>
      <c r="CI83" s="154"/>
      <c r="CJ83" s="154"/>
      <c r="CK83" s="154"/>
      <c r="CL83" s="154"/>
      <c r="CM83" s="154"/>
      <c r="CN83" t="s">
        <v>784</v>
      </c>
      <c r="CO83" s="169"/>
      <c r="CP83" s="169"/>
      <c r="CQ83" s="169"/>
      <c r="CR83" s="169"/>
      <c r="CS83" s="169"/>
      <c r="CT83" s="169"/>
      <c r="CU83" s="169"/>
      <c r="CV83" s="164" t="str">
        <f t="shared" ca="1" si="320"/>
        <v/>
      </c>
      <c r="CW83" s="164" t="str">
        <f t="shared" ca="1" si="320"/>
        <v/>
      </c>
      <c r="CX83" s="164" t="str">
        <f t="shared" ca="1" si="320"/>
        <v/>
      </c>
      <c r="CY83" s="164" t="str">
        <f t="shared" ca="1" si="320"/>
        <v/>
      </c>
      <c r="CZ83" s="164" t="str">
        <f t="shared" ca="1" si="320"/>
        <v/>
      </c>
      <c r="DA83" s="164" t="str">
        <f t="shared" ca="1" si="320"/>
        <v/>
      </c>
      <c r="DB83" s="164" t="str">
        <f t="shared" ca="1" si="320"/>
        <v/>
      </c>
      <c r="DC83" s="164" t="str">
        <f t="shared" ca="1" si="320"/>
        <v/>
      </c>
      <c r="DD83" s="164" t="str">
        <f t="shared" ca="1" si="320"/>
        <v/>
      </c>
      <c r="DE83" s="164" t="str">
        <f t="shared" ca="1" si="320"/>
        <v/>
      </c>
      <c r="DF83" s="164" t="str">
        <f t="shared" ca="1" si="321"/>
        <v/>
      </c>
      <c r="DG83" s="164" t="str">
        <f t="shared" ca="1" si="321"/>
        <v/>
      </c>
      <c r="DH83" s="164" t="str">
        <f t="shared" ca="1" si="321"/>
        <v/>
      </c>
      <c r="DI83" s="164" t="str">
        <f t="shared" ca="1" si="321"/>
        <v/>
      </c>
      <c r="DJ83" s="164" t="str">
        <f t="shared" ca="1" si="321"/>
        <v/>
      </c>
      <c r="DK83" s="164" t="str">
        <f t="shared" ca="1" si="321"/>
        <v/>
      </c>
      <c r="DL83" s="164" t="str">
        <f t="shared" ca="1" si="321"/>
        <v/>
      </c>
      <c r="DM83" s="164" t="str">
        <f t="shared" ca="1" si="321"/>
        <v/>
      </c>
      <c r="DN83" s="164" t="str">
        <f t="shared" ca="1" si="321"/>
        <v/>
      </c>
      <c r="DO83" s="164" t="str">
        <f t="shared" ca="1" si="321"/>
        <v/>
      </c>
      <c r="DP83" s="164" t="str">
        <f t="shared" ca="1" si="321"/>
        <v/>
      </c>
      <c r="DQ83" s="164" t="str">
        <f t="shared" ca="1" si="321"/>
        <v/>
      </c>
      <c r="DR83" s="208"/>
      <c r="DS83" s="164" t="str">
        <f t="shared" ca="1" si="279"/>
        <v/>
      </c>
      <c r="DT83" s="164" t="str">
        <f t="shared" ca="1" si="280"/>
        <v/>
      </c>
      <c r="DU83" s="164" t="str">
        <f t="shared" ca="1" si="281"/>
        <v/>
      </c>
      <c r="DV83" s="164" t="str">
        <f t="shared" ca="1" si="282"/>
        <v/>
      </c>
      <c r="DW83" s="164" t="str">
        <f t="shared" ca="1" si="283"/>
        <v/>
      </c>
      <c r="DX83" s="164" t="str">
        <f t="shared" ca="1" si="284"/>
        <v/>
      </c>
      <c r="DY83" s="164" t="str">
        <f t="shared" ca="1" si="285"/>
        <v/>
      </c>
      <c r="DZ83" s="164" t="str">
        <f t="shared" ca="1" si="286"/>
        <v/>
      </c>
      <c r="EA83" s="164" t="str">
        <f t="shared" ca="1" si="287"/>
        <v/>
      </c>
      <c r="EB83" s="164" t="str">
        <f t="shared" ca="1" si="288"/>
        <v/>
      </c>
      <c r="EC83" s="164" t="str">
        <f t="shared" ca="1" si="289"/>
        <v/>
      </c>
      <c r="ED83" s="164" t="str">
        <f t="shared" ca="1" si="290"/>
        <v/>
      </c>
      <c r="EE83" s="164" t="str">
        <f t="shared" ca="1" si="291"/>
        <v/>
      </c>
      <c r="EF83" s="164" t="str">
        <f t="shared" ca="1" si="292"/>
        <v/>
      </c>
      <c r="EG83" s="164" t="str">
        <f t="shared" ca="1" si="293"/>
        <v/>
      </c>
      <c r="EH83" s="164" t="str">
        <f t="shared" ca="1" si="294"/>
        <v/>
      </c>
      <c r="EI83" s="164" t="str">
        <f t="shared" ca="1" si="295"/>
        <v/>
      </c>
      <c r="EJ83" s="164" t="str">
        <f t="shared" ca="1" si="296"/>
        <v/>
      </c>
      <c r="EK83" s="164" t="str">
        <f t="shared" ca="1" si="297"/>
        <v/>
      </c>
      <c r="EL83" s="164" t="str">
        <f t="shared" ca="1" si="298"/>
        <v/>
      </c>
      <c r="EM83" s="164" t="str">
        <f t="shared" ca="1" si="299"/>
        <v/>
      </c>
      <c r="EN83" s="164" t="str">
        <f t="shared" ca="1" si="300"/>
        <v/>
      </c>
      <c r="EO83" s="164" t="str">
        <f t="shared" ca="1" si="301"/>
        <v/>
      </c>
      <c r="EP83" s="164" t="str">
        <f t="shared" ca="1" si="302"/>
        <v/>
      </c>
      <c r="EQ83" s="164" t="str">
        <f t="shared" ca="1" si="303"/>
        <v/>
      </c>
      <c r="ER83" s="164" t="str">
        <f t="shared" ca="1" si="304"/>
        <v/>
      </c>
      <c r="ES83" s="164" t="str">
        <f t="shared" ca="1" si="305"/>
        <v/>
      </c>
    </row>
    <row r="84" spans="1:149" x14ac:dyDescent="0.2">
      <c r="A84" s="89" t="str">
        <f t="shared" ca="1" si="306"/>
        <v/>
      </c>
      <c r="B84" s="317" t="str">
        <f t="shared" ca="1" si="213"/>
        <v/>
      </c>
      <c r="C84" s="609" t="str">
        <f t="shared" ca="1" si="214"/>
        <v/>
      </c>
      <c r="D84" s="1956" t="str">
        <f t="shared" ca="1" si="215"/>
        <v/>
      </c>
      <c r="E84" s="1956"/>
      <c r="F84" s="960"/>
      <c r="G84" s="485" t="str">
        <f t="shared" ca="1" si="216"/>
        <v/>
      </c>
      <c r="H84" s="983"/>
      <c r="I84" s="486"/>
      <c r="J84" s="326"/>
      <c r="K84" s="1886" t="str">
        <f t="shared" ca="1" si="217"/>
        <v/>
      </c>
      <c r="L84" s="1888"/>
      <c r="M84" s="296" t="str">
        <f t="shared" ca="1" si="307"/>
        <v/>
      </c>
      <c r="N84" s="1322"/>
      <c r="O84" s="1319"/>
      <c r="P84" s="957" t="str">
        <f t="shared" ca="1" si="218"/>
        <v/>
      </c>
      <c r="Q84" s="164">
        <f t="shared" si="219"/>
        <v>0</v>
      </c>
      <c r="R84" s="164">
        <f t="shared" ca="1" si="220"/>
        <v>0</v>
      </c>
      <c r="S84" s="164">
        <f t="shared" ca="1" si="221"/>
        <v>0</v>
      </c>
      <c r="T84" s="164">
        <f t="shared" ca="1" si="222"/>
        <v>0</v>
      </c>
      <c r="U84" s="164">
        <f t="shared" ca="1" si="223"/>
        <v>0</v>
      </c>
      <c r="V84" s="164">
        <f t="shared" ca="1" si="224"/>
        <v>0</v>
      </c>
      <c r="W84" s="164">
        <f t="shared" ca="1" si="225"/>
        <v>0</v>
      </c>
      <c r="X84" s="164">
        <f t="shared" ca="1" si="226"/>
        <v>0</v>
      </c>
      <c r="Y84" s="164">
        <f t="shared" ca="1" si="227"/>
        <v>0</v>
      </c>
      <c r="Z84" s="164">
        <f t="shared" ca="1" si="228"/>
        <v>0</v>
      </c>
      <c r="AA84" s="164">
        <f t="shared" ca="1" si="229"/>
        <v>0</v>
      </c>
      <c r="AB84" s="164">
        <f t="shared" ca="1" si="230"/>
        <v>0</v>
      </c>
      <c r="AC84" s="164">
        <f t="shared" ca="1" si="231"/>
        <v>0</v>
      </c>
      <c r="AD84" s="164">
        <f t="shared" ca="1" si="232"/>
        <v>0</v>
      </c>
      <c r="AE84" s="164">
        <f t="shared" ca="1" si="233"/>
        <v>0</v>
      </c>
      <c r="AF84" s="164">
        <f t="shared" ca="1" si="234"/>
        <v>0</v>
      </c>
      <c r="AG84" s="164">
        <f t="shared" ca="1" si="235"/>
        <v>0</v>
      </c>
      <c r="AH84" s="164">
        <f t="shared" ca="1" si="236"/>
        <v>0</v>
      </c>
      <c r="AI84" s="164">
        <f t="shared" ca="1" si="237"/>
        <v>0</v>
      </c>
      <c r="AJ84" s="164">
        <f t="shared" ca="1" si="238"/>
        <v>0</v>
      </c>
      <c r="AK84" s="164">
        <f t="shared" ca="1" si="239"/>
        <v>0</v>
      </c>
      <c r="AL84" s="164">
        <f t="shared" ca="1" si="240"/>
        <v>0</v>
      </c>
      <c r="AM84" s="208"/>
      <c r="AN84" s="164">
        <f t="shared" si="241"/>
        <v>0</v>
      </c>
      <c r="AO84" s="164">
        <f t="shared" ca="1" si="242"/>
        <v>0</v>
      </c>
      <c r="AP84" s="164">
        <f t="shared" ca="1" si="243"/>
        <v>0</v>
      </c>
      <c r="AQ84" s="164">
        <f t="shared" ca="1" si="244"/>
        <v>0</v>
      </c>
      <c r="AR84" s="164">
        <f t="shared" ca="1" si="245"/>
        <v>0</v>
      </c>
      <c r="AS84" s="164">
        <f t="shared" ca="1" si="246"/>
        <v>0</v>
      </c>
      <c r="AT84" s="164">
        <f t="shared" ca="1" si="247"/>
        <v>0</v>
      </c>
      <c r="AU84" s="164">
        <f t="shared" ca="1" si="248"/>
        <v>0</v>
      </c>
      <c r="AV84" s="164">
        <f t="shared" ca="1" si="249"/>
        <v>0</v>
      </c>
      <c r="AW84" s="164">
        <f t="shared" ca="1" si="250"/>
        <v>0</v>
      </c>
      <c r="AX84" s="164">
        <f t="shared" ca="1" si="251"/>
        <v>0</v>
      </c>
      <c r="AY84" s="164">
        <f t="shared" ca="1" si="252"/>
        <v>0</v>
      </c>
      <c r="AZ84" s="164">
        <f t="shared" ca="1" si="253"/>
        <v>0</v>
      </c>
      <c r="BA84" s="164">
        <f t="shared" ca="1" si="254"/>
        <v>0</v>
      </c>
      <c r="BB84" s="164">
        <f t="shared" ca="1" si="255"/>
        <v>0</v>
      </c>
      <c r="BC84" s="164">
        <f t="shared" ca="1" si="256"/>
        <v>0</v>
      </c>
      <c r="BD84" s="164">
        <f t="shared" ca="1" si="257"/>
        <v>0</v>
      </c>
      <c r="BE84" s="164">
        <f t="shared" ca="1" si="258"/>
        <v>0</v>
      </c>
      <c r="BF84" s="164">
        <f t="shared" ca="1" si="259"/>
        <v>0</v>
      </c>
      <c r="BG84" s="164">
        <f t="shared" ca="1" si="260"/>
        <v>0</v>
      </c>
      <c r="BH84" s="164">
        <f t="shared" ca="1" si="261"/>
        <v>0</v>
      </c>
      <c r="BI84" s="164">
        <f t="shared" ca="1" si="262"/>
        <v>0</v>
      </c>
      <c r="BJ84" s="164">
        <f t="shared" ca="1" si="263"/>
        <v>0</v>
      </c>
      <c r="BK84" s="164">
        <f t="shared" ca="1" si="264"/>
        <v>0</v>
      </c>
      <c r="BL84" s="164">
        <f t="shared" ca="1" si="265"/>
        <v>0</v>
      </c>
      <c r="BM84" s="164">
        <f t="shared" ca="1" si="266"/>
        <v>0</v>
      </c>
      <c r="BN84" s="164">
        <f t="shared" ca="1" si="267"/>
        <v>0</v>
      </c>
      <c r="BO84" s="356" t="str">
        <f t="shared" ca="1" si="268"/>
        <v/>
      </c>
      <c r="BP84" s="355" t="str">
        <f t="shared" ca="1" si="269"/>
        <v/>
      </c>
      <c r="BQ84" s="355" t="str">
        <f t="shared" ca="1" si="270"/>
        <v/>
      </c>
      <c r="BR84" s="348">
        <f t="shared" ca="1" si="312"/>
        <v>0</v>
      </c>
      <c r="BS84" s="348">
        <f t="shared" ca="1" si="313"/>
        <v>0</v>
      </c>
      <c r="BT84" s="610">
        <f t="shared" ca="1" si="271"/>
        <v>0</v>
      </c>
      <c r="BU84" s="357">
        <f t="shared" ca="1" si="272"/>
        <v>0</v>
      </c>
      <c r="BV84" s="357">
        <f t="shared" si="273"/>
        <v>0</v>
      </c>
      <c r="BW84" s="357">
        <f t="shared" si="274"/>
        <v>0</v>
      </c>
      <c r="BX84" s="357">
        <f t="shared" ca="1" si="275"/>
        <v>0</v>
      </c>
      <c r="BY84" s="357">
        <f t="shared" ca="1" si="316"/>
        <v>0</v>
      </c>
      <c r="BZ84" s="357"/>
      <c r="CA84" s="357">
        <f t="shared" ca="1" si="314"/>
        <v>0</v>
      </c>
      <c r="CB84" s="357" t="str">
        <f t="shared" ca="1" si="276"/>
        <v/>
      </c>
      <c r="CC84" s="358" t="str">
        <f t="shared" ca="1" si="317"/>
        <v/>
      </c>
      <c r="CD84" s="358" t="str">
        <f t="shared" ca="1" si="318"/>
        <v/>
      </c>
      <c r="CE84" s="357" t="str">
        <f t="shared" ca="1" si="308"/>
        <v>,,,,,,,,,,,,,,,,,,,,,,,,</v>
      </c>
      <c r="CF84" s="154" t="str">
        <f t="shared" si="315"/>
        <v/>
      </c>
      <c r="CG84" s="154">
        <f t="shared" ca="1" si="319"/>
        <v>0</v>
      </c>
      <c r="CH84" s="154"/>
      <c r="CI84" s="154"/>
      <c r="CJ84" s="154"/>
      <c r="CK84" s="154"/>
      <c r="CL84" s="154"/>
      <c r="CM84" s="154"/>
      <c r="CN84" t="s">
        <v>784</v>
      </c>
      <c r="CO84" s="169"/>
      <c r="CP84" s="169"/>
      <c r="CQ84" s="169"/>
      <c r="CR84" s="169"/>
      <c r="CS84" s="169"/>
      <c r="CT84" s="169"/>
      <c r="CU84" s="169"/>
      <c r="CV84" s="164" t="str">
        <f t="shared" ca="1" si="320"/>
        <v/>
      </c>
      <c r="CW84" s="164" t="str">
        <f t="shared" ca="1" si="320"/>
        <v/>
      </c>
      <c r="CX84" s="164" t="str">
        <f t="shared" ca="1" si="320"/>
        <v/>
      </c>
      <c r="CY84" s="164" t="str">
        <f t="shared" ca="1" si="320"/>
        <v/>
      </c>
      <c r="CZ84" s="164" t="str">
        <f t="shared" ca="1" si="320"/>
        <v/>
      </c>
      <c r="DA84" s="164" t="str">
        <f t="shared" ca="1" si="320"/>
        <v/>
      </c>
      <c r="DB84" s="164" t="str">
        <f t="shared" ca="1" si="320"/>
        <v/>
      </c>
      <c r="DC84" s="164" t="str">
        <f t="shared" ca="1" si="320"/>
        <v/>
      </c>
      <c r="DD84" s="164" t="str">
        <f t="shared" ca="1" si="320"/>
        <v/>
      </c>
      <c r="DE84" s="164" t="str">
        <f t="shared" ca="1" si="320"/>
        <v/>
      </c>
      <c r="DF84" s="164" t="str">
        <f t="shared" ca="1" si="321"/>
        <v/>
      </c>
      <c r="DG84" s="164" t="str">
        <f t="shared" ca="1" si="321"/>
        <v/>
      </c>
      <c r="DH84" s="164" t="str">
        <f t="shared" ca="1" si="321"/>
        <v/>
      </c>
      <c r="DI84" s="164" t="str">
        <f t="shared" ca="1" si="321"/>
        <v/>
      </c>
      <c r="DJ84" s="164" t="str">
        <f t="shared" ca="1" si="321"/>
        <v/>
      </c>
      <c r="DK84" s="164" t="str">
        <f t="shared" ca="1" si="321"/>
        <v/>
      </c>
      <c r="DL84" s="164" t="str">
        <f t="shared" ca="1" si="321"/>
        <v/>
      </c>
      <c r="DM84" s="164" t="str">
        <f t="shared" ca="1" si="321"/>
        <v/>
      </c>
      <c r="DN84" s="164" t="str">
        <f t="shared" ca="1" si="321"/>
        <v/>
      </c>
      <c r="DO84" s="164" t="str">
        <f t="shared" ca="1" si="321"/>
        <v/>
      </c>
      <c r="DP84" s="164" t="str">
        <f t="shared" ca="1" si="321"/>
        <v/>
      </c>
      <c r="DQ84" s="164" t="str">
        <f t="shared" ca="1" si="321"/>
        <v/>
      </c>
      <c r="DR84" s="208"/>
      <c r="DS84" s="164" t="str">
        <f t="shared" ca="1" si="279"/>
        <v/>
      </c>
      <c r="DT84" s="164" t="str">
        <f t="shared" ca="1" si="280"/>
        <v/>
      </c>
      <c r="DU84" s="164" t="str">
        <f t="shared" ca="1" si="281"/>
        <v/>
      </c>
      <c r="DV84" s="164" t="str">
        <f t="shared" ca="1" si="282"/>
        <v/>
      </c>
      <c r="DW84" s="164" t="str">
        <f t="shared" ca="1" si="283"/>
        <v/>
      </c>
      <c r="DX84" s="164" t="str">
        <f t="shared" ca="1" si="284"/>
        <v/>
      </c>
      <c r="DY84" s="164" t="str">
        <f t="shared" ca="1" si="285"/>
        <v/>
      </c>
      <c r="DZ84" s="164" t="str">
        <f t="shared" ca="1" si="286"/>
        <v/>
      </c>
      <c r="EA84" s="164" t="str">
        <f t="shared" ca="1" si="287"/>
        <v/>
      </c>
      <c r="EB84" s="164" t="str">
        <f t="shared" ca="1" si="288"/>
        <v/>
      </c>
      <c r="EC84" s="164" t="str">
        <f t="shared" ca="1" si="289"/>
        <v/>
      </c>
      <c r="ED84" s="164" t="str">
        <f t="shared" ca="1" si="290"/>
        <v/>
      </c>
      <c r="EE84" s="164" t="str">
        <f t="shared" ca="1" si="291"/>
        <v/>
      </c>
      <c r="EF84" s="164" t="str">
        <f t="shared" ca="1" si="292"/>
        <v/>
      </c>
      <c r="EG84" s="164" t="str">
        <f t="shared" ca="1" si="293"/>
        <v/>
      </c>
      <c r="EH84" s="164" t="str">
        <f t="shared" ca="1" si="294"/>
        <v/>
      </c>
      <c r="EI84" s="164" t="str">
        <f t="shared" ca="1" si="295"/>
        <v/>
      </c>
      <c r="EJ84" s="164" t="str">
        <f t="shared" ca="1" si="296"/>
        <v/>
      </c>
      <c r="EK84" s="164" t="str">
        <f t="shared" ca="1" si="297"/>
        <v/>
      </c>
      <c r="EL84" s="164" t="str">
        <f t="shared" ca="1" si="298"/>
        <v/>
      </c>
      <c r="EM84" s="164" t="str">
        <f t="shared" ca="1" si="299"/>
        <v/>
      </c>
      <c r="EN84" s="164" t="str">
        <f t="shared" ca="1" si="300"/>
        <v/>
      </c>
      <c r="EO84" s="164" t="str">
        <f t="shared" ca="1" si="301"/>
        <v/>
      </c>
      <c r="EP84" s="164" t="str">
        <f t="shared" ca="1" si="302"/>
        <v/>
      </c>
      <c r="EQ84" s="164" t="str">
        <f t="shared" ca="1" si="303"/>
        <v/>
      </c>
      <c r="ER84" s="164" t="str">
        <f t="shared" ca="1" si="304"/>
        <v/>
      </c>
      <c r="ES84" s="164" t="str">
        <f t="shared" ca="1" si="305"/>
        <v/>
      </c>
    </row>
    <row r="85" spans="1:149" x14ac:dyDescent="0.2">
      <c r="A85" s="89" t="str">
        <f t="shared" ca="1" si="306"/>
        <v/>
      </c>
      <c r="B85" s="317" t="str">
        <f t="shared" ca="1" si="213"/>
        <v/>
      </c>
      <c r="C85" s="609" t="str">
        <f t="shared" ca="1" si="214"/>
        <v/>
      </c>
      <c r="D85" s="1956" t="str">
        <f t="shared" ca="1" si="215"/>
        <v/>
      </c>
      <c r="E85" s="1956"/>
      <c r="F85" s="960"/>
      <c r="G85" s="485" t="str">
        <f t="shared" ca="1" si="216"/>
        <v/>
      </c>
      <c r="H85" s="983"/>
      <c r="I85" s="486"/>
      <c r="J85" s="326"/>
      <c r="K85" s="1886" t="str">
        <f t="shared" ca="1" si="217"/>
        <v/>
      </c>
      <c r="L85" s="1888"/>
      <c r="M85" s="296" t="str">
        <f t="shared" ca="1" si="307"/>
        <v/>
      </c>
      <c r="N85" s="1322"/>
      <c r="O85" s="1319"/>
      <c r="P85" s="957" t="str">
        <f t="shared" ca="1" si="218"/>
        <v/>
      </c>
      <c r="Q85" s="164">
        <f t="shared" si="219"/>
        <v>0</v>
      </c>
      <c r="R85" s="164">
        <f t="shared" ca="1" si="220"/>
        <v>0</v>
      </c>
      <c r="S85" s="164">
        <f t="shared" ca="1" si="221"/>
        <v>0</v>
      </c>
      <c r="T85" s="164">
        <f t="shared" ca="1" si="222"/>
        <v>0</v>
      </c>
      <c r="U85" s="164">
        <f t="shared" ca="1" si="223"/>
        <v>0</v>
      </c>
      <c r="V85" s="164">
        <f t="shared" ca="1" si="224"/>
        <v>0</v>
      </c>
      <c r="W85" s="164">
        <f t="shared" ca="1" si="225"/>
        <v>0</v>
      </c>
      <c r="X85" s="164">
        <f t="shared" ca="1" si="226"/>
        <v>0</v>
      </c>
      <c r="Y85" s="164">
        <f t="shared" ca="1" si="227"/>
        <v>0</v>
      </c>
      <c r="Z85" s="164">
        <f t="shared" ca="1" si="228"/>
        <v>0</v>
      </c>
      <c r="AA85" s="164">
        <f t="shared" ca="1" si="229"/>
        <v>0</v>
      </c>
      <c r="AB85" s="164">
        <f t="shared" ca="1" si="230"/>
        <v>0</v>
      </c>
      <c r="AC85" s="164">
        <f t="shared" ca="1" si="231"/>
        <v>0</v>
      </c>
      <c r="AD85" s="164">
        <f t="shared" ca="1" si="232"/>
        <v>0</v>
      </c>
      <c r="AE85" s="164">
        <f t="shared" ca="1" si="233"/>
        <v>0</v>
      </c>
      <c r="AF85" s="164">
        <f t="shared" ca="1" si="234"/>
        <v>0</v>
      </c>
      <c r="AG85" s="164">
        <f t="shared" ca="1" si="235"/>
        <v>0</v>
      </c>
      <c r="AH85" s="164">
        <f t="shared" ca="1" si="236"/>
        <v>0</v>
      </c>
      <c r="AI85" s="164">
        <f t="shared" ca="1" si="237"/>
        <v>0</v>
      </c>
      <c r="AJ85" s="164">
        <f t="shared" ca="1" si="238"/>
        <v>0</v>
      </c>
      <c r="AK85" s="164">
        <f t="shared" ca="1" si="239"/>
        <v>0</v>
      </c>
      <c r="AL85" s="164">
        <f t="shared" ca="1" si="240"/>
        <v>0</v>
      </c>
      <c r="AM85" s="208"/>
      <c r="AN85" s="164">
        <f t="shared" si="241"/>
        <v>0</v>
      </c>
      <c r="AO85" s="164">
        <f t="shared" ca="1" si="242"/>
        <v>0</v>
      </c>
      <c r="AP85" s="164">
        <f t="shared" ca="1" si="243"/>
        <v>0</v>
      </c>
      <c r="AQ85" s="164">
        <f t="shared" ca="1" si="244"/>
        <v>0</v>
      </c>
      <c r="AR85" s="164">
        <f t="shared" ca="1" si="245"/>
        <v>0</v>
      </c>
      <c r="AS85" s="164">
        <f t="shared" ca="1" si="246"/>
        <v>0</v>
      </c>
      <c r="AT85" s="164">
        <f t="shared" ca="1" si="247"/>
        <v>0</v>
      </c>
      <c r="AU85" s="164">
        <f t="shared" ca="1" si="248"/>
        <v>0</v>
      </c>
      <c r="AV85" s="164">
        <f t="shared" ca="1" si="249"/>
        <v>0</v>
      </c>
      <c r="AW85" s="164">
        <f t="shared" ca="1" si="250"/>
        <v>0</v>
      </c>
      <c r="AX85" s="164">
        <f t="shared" ca="1" si="251"/>
        <v>0</v>
      </c>
      <c r="AY85" s="164">
        <f t="shared" ca="1" si="252"/>
        <v>0</v>
      </c>
      <c r="AZ85" s="164">
        <f t="shared" ca="1" si="253"/>
        <v>0</v>
      </c>
      <c r="BA85" s="164">
        <f t="shared" ca="1" si="254"/>
        <v>0</v>
      </c>
      <c r="BB85" s="164">
        <f t="shared" ca="1" si="255"/>
        <v>0</v>
      </c>
      <c r="BC85" s="164">
        <f t="shared" ca="1" si="256"/>
        <v>0</v>
      </c>
      <c r="BD85" s="164">
        <f t="shared" ca="1" si="257"/>
        <v>0</v>
      </c>
      <c r="BE85" s="164">
        <f t="shared" ca="1" si="258"/>
        <v>0</v>
      </c>
      <c r="BF85" s="164">
        <f t="shared" ca="1" si="259"/>
        <v>0</v>
      </c>
      <c r="BG85" s="164">
        <f t="shared" ca="1" si="260"/>
        <v>0</v>
      </c>
      <c r="BH85" s="164">
        <f t="shared" ca="1" si="261"/>
        <v>0</v>
      </c>
      <c r="BI85" s="164">
        <f t="shared" ca="1" si="262"/>
        <v>0</v>
      </c>
      <c r="BJ85" s="164">
        <f t="shared" ca="1" si="263"/>
        <v>0</v>
      </c>
      <c r="BK85" s="164">
        <f t="shared" ca="1" si="264"/>
        <v>0</v>
      </c>
      <c r="BL85" s="164">
        <f t="shared" ca="1" si="265"/>
        <v>0</v>
      </c>
      <c r="BM85" s="164">
        <f t="shared" ca="1" si="266"/>
        <v>0</v>
      </c>
      <c r="BN85" s="164">
        <f t="shared" ca="1" si="267"/>
        <v>0</v>
      </c>
      <c r="BO85" s="356" t="str">
        <f t="shared" ca="1" si="268"/>
        <v/>
      </c>
      <c r="BP85" s="355" t="str">
        <f t="shared" ca="1" si="269"/>
        <v/>
      </c>
      <c r="BQ85" s="355" t="str">
        <f t="shared" ca="1" si="270"/>
        <v/>
      </c>
      <c r="BR85" s="348">
        <f t="shared" ca="1" si="312"/>
        <v>0</v>
      </c>
      <c r="BS85" s="348">
        <f t="shared" ca="1" si="313"/>
        <v>0</v>
      </c>
      <c r="BT85" s="610">
        <f t="shared" ca="1" si="271"/>
        <v>0</v>
      </c>
      <c r="BU85" s="357">
        <f t="shared" ca="1" si="272"/>
        <v>0</v>
      </c>
      <c r="BV85" s="357">
        <f t="shared" si="273"/>
        <v>0</v>
      </c>
      <c r="BW85" s="357">
        <f t="shared" si="274"/>
        <v>0</v>
      </c>
      <c r="BX85" s="357">
        <f t="shared" ca="1" si="275"/>
        <v>0</v>
      </c>
      <c r="BY85" s="357">
        <f t="shared" ca="1" si="316"/>
        <v>0</v>
      </c>
      <c r="BZ85" s="357"/>
      <c r="CA85" s="357">
        <f t="shared" ca="1" si="314"/>
        <v>0</v>
      </c>
      <c r="CB85" s="357" t="str">
        <f t="shared" ca="1" si="276"/>
        <v/>
      </c>
      <c r="CC85" s="358" t="str">
        <f t="shared" ca="1" si="317"/>
        <v/>
      </c>
      <c r="CD85" s="358" t="str">
        <f t="shared" ca="1" si="318"/>
        <v/>
      </c>
      <c r="CE85" s="357" t="str">
        <f t="shared" ca="1" si="308"/>
        <v>,,,,,,,,,,,,,,,,,,,,,,,,,</v>
      </c>
      <c r="CF85" s="154" t="str">
        <f t="shared" si="315"/>
        <v/>
      </c>
      <c r="CG85" s="154">
        <f t="shared" ca="1" si="319"/>
        <v>0</v>
      </c>
      <c r="CH85" s="154"/>
      <c r="CI85" s="154"/>
      <c r="CJ85" s="154"/>
      <c r="CK85" s="154"/>
      <c r="CL85" s="154"/>
      <c r="CM85" s="154"/>
      <c r="CN85" t="s">
        <v>784</v>
      </c>
      <c r="CO85" s="169"/>
      <c r="CP85" s="169"/>
      <c r="CQ85" s="169"/>
      <c r="CR85" s="169"/>
      <c r="CS85" s="169"/>
      <c r="CT85" s="169"/>
      <c r="CU85" s="169"/>
      <c r="CV85" s="164" t="str">
        <f t="shared" ca="1" si="320"/>
        <v/>
      </c>
      <c r="CW85" s="164" t="str">
        <f t="shared" ca="1" si="320"/>
        <v/>
      </c>
      <c r="CX85" s="164" t="str">
        <f t="shared" ca="1" si="320"/>
        <v/>
      </c>
      <c r="CY85" s="164" t="str">
        <f t="shared" ca="1" si="320"/>
        <v/>
      </c>
      <c r="CZ85" s="164" t="str">
        <f t="shared" ca="1" si="320"/>
        <v/>
      </c>
      <c r="DA85" s="164" t="str">
        <f t="shared" ca="1" si="320"/>
        <v/>
      </c>
      <c r="DB85" s="164" t="str">
        <f t="shared" ca="1" si="320"/>
        <v/>
      </c>
      <c r="DC85" s="164" t="str">
        <f t="shared" ca="1" si="320"/>
        <v/>
      </c>
      <c r="DD85" s="164" t="str">
        <f t="shared" ca="1" si="320"/>
        <v/>
      </c>
      <c r="DE85" s="164" t="str">
        <f t="shared" ca="1" si="320"/>
        <v/>
      </c>
      <c r="DF85" s="164" t="str">
        <f t="shared" ca="1" si="321"/>
        <v/>
      </c>
      <c r="DG85" s="164" t="str">
        <f t="shared" ca="1" si="321"/>
        <v/>
      </c>
      <c r="DH85" s="164" t="str">
        <f t="shared" ca="1" si="321"/>
        <v/>
      </c>
      <c r="DI85" s="164" t="str">
        <f t="shared" ca="1" si="321"/>
        <v/>
      </c>
      <c r="DJ85" s="164" t="str">
        <f t="shared" ca="1" si="321"/>
        <v/>
      </c>
      <c r="DK85" s="164" t="str">
        <f t="shared" ca="1" si="321"/>
        <v/>
      </c>
      <c r="DL85" s="164" t="str">
        <f t="shared" ca="1" si="321"/>
        <v/>
      </c>
      <c r="DM85" s="164" t="str">
        <f t="shared" ca="1" si="321"/>
        <v/>
      </c>
      <c r="DN85" s="164" t="str">
        <f t="shared" ca="1" si="321"/>
        <v/>
      </c>
      <c r="DO85" s="164" t="str">
        <f t="shared" ca="1" si="321"/>
        <v/>
      </c>
      <c r="DP85" s="164" t="str">
        <f t="shared" ca="1" si="321"/>
        <v/>
      </c>
      <c r="DQ85" s="164" t="str">
        <f t="shared" ca="1" si="321"/>
        <v/>
      </c>
      <c r="DR85" s="208"/>
      <c r="DS85" s="164" t="str">
        <f t="shared" ca="1" si="279"/>
        <v/>
      </c>
      <c r="DT85" s="164" t="str">
        <f t="shared" ca="1" si="280"/>
        <v/>
      </c>
      <c r="DU85" s="164" t="str">
        <f t="shared" ca="1" si="281"/>
        <v/>
      </c>
      <c r="DV85" s="164" t="str">
        <f t="shared" ca="1" si="282"/>
        <v/>
      </c>
      <c r="DW85" s="164" t="str">
        <f t="shared" ca="1" si="283"/>
        <v/>
      </c>
      <c r="DX85" s="164" t="str">
        <f t="shared" ca="1" si="284"/>
        <v/>
      </c>
      <c r="DY85" s="164" t="str">
        <f t="shared" ca="1" si="285"/>
        <v/>
      </c>
      <c r="DZ85" s="164" t="str">
        <f t="shared" ca="1" si="286"/>
        <v/>
      </c>
      <c r="EA85" s="164" t="str">
        <f t="shared" ca="1" si="287"/>
        <v/>
      </c>
      <c r="EB85" s="164" t="str">
        <f t="shared" ca="1" si="288"/>
        <v/>
      </c>
      <c r="EC85" s="164" t="str">
        <f t="shared" ca="1" si="289"/>
        <v/>
      </c>
      <c r="ED85" s="164" t="str">
        <f t="shared" ca="1" si="290"/>
        <v/>
      </c>
      <c r="EE85" s="164" t="str">
        <f t="shared" ca="1" si="291"/>
        <v/>
      </c>
      <c r="EF85" s="164" t="str">
        <f t="shared" ca="1" si="292"/>
        <v/>
      </c>
      <c r="EG85" s="164" t="str">
        <f t="shared" ca="1" si="293"/>
        <v/>
      </c>
      <c r="EH85" s="164" t="str">
        <f t="shared" ca="1" si="294"/>
        <v/>
      </c>
      <c r="EI85" s="164" t="str">
        <f t="shared" ca="1" si="295"/>
        <v/>
      </c>
      <c r="EJ85" s="164" t="str">
        <f t="shared" ca="1" si="296"/>
        <v/>
      </c>
      <c r="EK85" s="164" t="str">
        <f t="shared" ca="1" si="297"/>
        <v/>
      </c>
      <c r="EL85" s="164" t="str">
        <f t="shared" ca="1" si="298"/>
        <v/>
      </c>
      <c r="EM85" s="164" t="str">
        <f t="shared" ca="1" si="299"/>
        <v/>
      </c>
      <c r="EN85" s="164" t="str">
        <f t="shared" ca="1" si="300"/>
        <v/>
      </c>
      <c r="EO85" s="164" t="str">
        <f t="shared" ca="1" si="301"/>
        <v/>
      </c>
      <c r="EP85" s="164" t="str">
        <f t="shared" ca="1" si="302"/>
        <v/>
      </c>
      <c r="EQ85" s="164" t="str">
        <f t="shared" ca="1" si="303"/>
        <v/>
      </c>
      <c r="ER85" s="164" t="str">
        <f t="shared" ca="1" si="304"/>
        <v/>
      </c>
      <c r="ES85" s="164" t="str">
        <f t="shared" ca="1" si="305"/>
        <v/>
      </c>
    </row>
    <row r="86" spans="1:149" x14ac:dyDescent="0.2">
      <c r="A86" s="89" t="str">
        <f t="shared" ca="1" si="306"/>
        <v/>
      </c>
      <c r="B86" s="317" t="str">
        <f t="shared" ca="1" si="213"/>
        <v/>
      </c>
      <c r="C86" s="609" t="str">
        <f t="shared" ca="1" si="214"/>
        <v/>
      </c>
      <c r="D86" s="1956" t="str">
        <f t="shared" ca="1" si="215"/>
        <v/>
      </c>
      <c r="E86" s="1956"/>
      <c r="F86" s="960"/>
      <c r="G86" s="485" t="str">
        <f t="shared" ca="1" si="216"/>
        <v/>
      </c>
      <c r="H86" s="983"/>
      <c r="I86" s="486"/>
      <c r="J86" s="326"/>
      <c r="K86" s="1886" t="str">
        <f t="shared" ca="1" si="217"/>
        <v/>
      </c>
      <c r="L86" s="1888"/>
      <c r="M86" s="296" t="str">
        <f t="shared" ca="1" si="307"/>
        <v/>
      </c>
      <c r="N86" s="1322"/>
      <c r="O86" s="1319"/>
      <c r="P86" s="957" t="str">
        <f t="shared" ca="1" si="218"/>
        <v/>
      </c>
      <c r="Q86" s="164">
        <f t="shared" si="219"/>
        <v>0</v>
      </c>
      <c r="R86" s="164">
        <f t="shared" ca="1" si="220"/>
        <v>0</v>
      </c>
      <c r="S86" s="164">
        <f t="shared" ca="1" si="221"/>
        <v>0</v>
      </c>
      <c r="T86" s="164">
        <f t="shared" ca="1" si="222"/>
        <v>0</v>
      </c>
      <c r="U86" s="164">
        <f t="shared" ca="1" si="223"/>
        <v>0</v>
      </c>
      <c r="V86" s="164">
        <f t="shared" ca="1" si="224"/>
        <v>0</v>
      </c>
      <c r="W86" s="164">
        <f t="shared" ca="1" si="225"/>
        <v>0</v>
      </c>
      <c r="X86" s="164">
        <f t="shared" ca="1" si="226"/>
        <v>0</v>
      </c>
      <c r="Y86" s="164">
        <f t="shared" ca="1" si="227"/>
        <v>0</v>
      </c>
      <c r="Z86" s="164">
        <f t="shared" ca="1" si="228"/>
        <v>0</v>
      </c>
      <c r="AA86" s="164">
        <f t="shared" ca="1" si="229"/>
        <v>0</v>
      </c>
      <c r="AB86" s="164">
        <f t="shared" ca="1" si="230"/>
        <v>0</v>
      </c>
      <c r="AC86" s="164">
        <f t="shared" ca="1" si="231"/>
        <v>0</v>
      </c>
      <c r="AD86" s="164">
        <f t="shared" ca="1" si="232"/>
        <v>0</v>
      </c>
      <c r="AE86" s="164">
        <f t="shared" ca="1" si="233"/>
        <v>0</v>
      </c>
      <c r="AF86" s="164">
        <f t="shared" ca="1" si="234"/>
        <v>0</v>
      </c>
      <c r="AG86" s="164">
        <f t="shared" ca="1" si="235"/>
        <v>0</v>
      </c>
      <c r="AH86" s="164">
        <f t="shared" ca="1" si="236"/>
        <v>0</v>
      </c>
      <c r="AI86" s="164">
        <f t="shared" ca="1" si="237"/>
        <v>0</v>
      </c>
      <c r="AJ86" s="164">
        <f t="shared" ca="1" si="238"/>
        <v>0</v>
      </c>
      <c r="AK86" s="164">
        <f t="shared" ca="1" si="239"/>
        <v>0</v>
      </c>
      <c r="AL86" s="164">
        <f t="shared" ca="1" si="240"/>
        <v>0</v>
      </c>
      <c r="AM86" s="208"/>
      <c r="AN86" s="164">
        <f t="shared" si="241"/>
        <v>0</v>
      </c>
      <c r="AO86" s="164">
        <f t="shared" ca="1" si="242"/>
        <v>0</v>
      </c>
      <c r="AP86" s="164">
        <f t="shared" ca="1" si="243"/>
        <v>0</v>
      </c>
      <c r="AQ86" s="164">
        <f t="shared" ca="1" si="244"/>
        <v>0</v>
      </c>
      <c r="AR86" s="164">
        <f t="shared" ca="1" si="245"/>
        <v>0</v>
      </c>
      <c r="AS86" s="164">
        <f t="shared" ca="1" si="246"/>
        <v>0</v>
      </c>
      <c r="AT86" s="164">
        <f t="shared" ca="1" si="247"/>
        <v>0</v>
      </c>
      <c r="AU86" s="164">
        <f t="shared" ca="1" si="248"/>
        <v>0</v>
      </c>
      <c r="AV86" s="164">
        <f t="shared" ca="1" si="249"/>
        <v>0</v>
      </c>
      <c r="AW86" s="164">
        <f t="shared" ca="1" si="250"/>
        <v>0</v>
      </c>
      <c r="AX86" s="164">
        <f t="shared" ca="1" si="251"/>
        <v>0</v>
      </c>
      <c r="AY86" s="164">
        <f t="shared" ca="1" si="252"/>
        <v>0</v>
      </c>
      <c r="AZ86" s="164">
        <f t="shared" ca="1" si="253"/>
        <v>0</v>
      </c>
      <c r="BA86" s="164">
        <f t="shared" ca="1" si="254"/>
        <v>0</v>
      </c>
      <c r="BB86" s="164">
        <f t="shared" ca="1" si="255"/>
        <v>0</v>
      </c>
      <c r="BC86" s="164">
        <f t="shared" ca="1" si="256"/>
        <v>0</v>
      </c>
      <c r="BD86" s="164">
        <f t="shared" ca="1" si="257"/>
        <v>0</v>
      </c>
      <c r="BE86" s="164">
        <f t="shared" ca="1" si="258"/>
        <v>0</v>
      </c>
      <c r="BF86" s="164">
        <f t="shared" ca="1" si="259"/>
        <v>0</v>
      </c>
      <c r="BG86" s="164">
        <f t="shared" ca="1" si="260"/>
        <v>0</v>
      </c>
      <c r="BH86" s="164">
        <f t="shared" ca="1" si="261"/>
        <v>0</v>
      </c>
      <c r="BI86" s="164">
        <f t="shared" ca="1" si="262"/>
        <v>0</v>
      </c>
      <c r="BJ86" s="164">
        <f t="shared" ca="1" si="263"/>
        <v>0</v>
      </c>
      <c r="BK86" s="164">
        <f t="shared" ca="1" si="264"/>
        <v>0</v>
      </c>
      <c r="BL86" s="164">
        <f t="shared" ca="1" si="265"/>
        <v>0</v>
      </c>
      <c r="BM86" s="164">
        <f t="shared" ca="1" si="266"/>
        <v>0</v>
      </c>
      <c r="BN86" s="164">
        <f t="shared" ca="1" si="267"/>
        <v>0</v>
      </c>
      <c r="BO86" s="356" t="str">
        <f t="shared" ca="1" si="268"/>
        <v/>
      </c>
      <c r="BP86" s="355" t="str">
        <f t="shared" ca="1" si="269"/>
        <v/>
      </c>
      <c r="BQ86" s="355" t="str">
        <f t="shared" ca="1" si="270"/>
        <v/>
      </c>
      <c r="BR86" s="348">
        <f t="shared" ca="1" si="312"/>
        <v>0</v>
      </c>
      <c r="BS86" s="348">
        <f t="shared" ca="1" si="313"/>
        <v>0</v>
      </c>
      <c r="BT86" s="610">
        <f t="shared" ca="1" si="271"/>
        <v>0</v>
      </c>
      <c r="BU86" s="357">
        <f t="shared" ca="1" si="272"/>
        <v>0</v>
      </c>
      <c r="BV86" s="357">
        <f t="shared" si="273"/>
        <v>0</v>
      </c>
      <c r="BW86" s="357">
        <f t="shared" si="274"/>
        <v>0</v>
      </c>
      <c r="BX86" s="357">
        <f t="shared" ca="1" si="275"/>
        <v>0</v>
      </c>
      <c r="BY86" s="357">
        <f t="shared" ca="1" si="316"/>
        <v>0</v>
      </c>
      <c r="BZ86" s="357"/>
      <c r="CA86" s="357">
        <f t="shared" ca="1" si="314"/>
        <v>0</v>
      </c>
      <c r="CB86" s="357" t="str">
        <f t="shared" ca="1" si="276"/>
        <v/>
      </c>
      <c r="CC86" s="358" t="str">
        <f t="shared" ca="1" si="317"/>
        <v/>
      </c>
      <c r="CD86" s="358" t="str">
        <f t="shared" ca="1" si="318"/>
        <v/>
      </c>
      <c r="CE86" s="357" t="str">
        <f t="shared" ca="1" si="308"/>
        <v>,,,,,,,,,,,,,,,,,,,,,,,,,,</v>
      </c>
      <c r="CF86" s="154" t="str">
        <f t="shared" si="315"/>
        <v/>
      </c>
      <c r="CG86" s="154">
        <f t="shared" ca="1" si="319"/>
        <v>0</v>
      </c>
      <c r="CH86" s="154"/>
      <c r="CI86" s="154"/>
      <c r="CJ86" s="154"/>
      <c r="CK86" s="154"/>
      <c r="CL86" s="154"/>
      <c r="CM86" s="154"/>
      <c r="CN86" t="s">
        <v>784</v>
      </c>
      <c r="CO86" s="169"/>
      <c r="CP86" s="169"/>
      <c r="CQ86" s="169"/>
      <c r="CR86" s="169"/>
      <c r="CS86" s="169"/>
      <c r="CT86" s="169"/>
      <c r="CU86" s="169"/>
      <c r="CV86" s="164" t="str">
        <f t="shared" ca="1" si="320"/>
        <v/>
      </c>
      <c r="CW86" s="164" t="str">
        <f t="shared" ca="1" si="320"/>
        <v/>
      </c>
      <c r="CX86" s="164" t="str">
        <f t="shared" ca="1" si="320"/>
        <v/>
      </c>
      <c r="CY86" s="164" t="str">
        <f t="shared" ca="1" si="320"/>
        <v/>
      </c>
      <c r="CZ86" s="164" t="str">
        <f t="shared" ca="1" si="320"/>
        <v/>
      </c>
      <c r="DA86" s="164" t="str">
        <f t="shared" ca="1" si="320"/>
        <v/>
      </c>
      <c r="DB86" s="164" t="str">
        <f t="shared" ca="1" si="320"/>
        <v/>
      </c>
      <c r="DC86" s="164" t="str">
        <f t="shared" ca="1" si="320"/>
        <v/>
      </c>
      <c r="DD86" s="164" t="str">
        <f t="shared" ca="1" si="320"/>
        <v/>
      </c>
      <c r="DE86" s="164" t="str">
        <f t="shared" ca="1" si="320"/>
        <v/>
      </c>
      <c r="DF86" s="164" t="str">
        <f t="shared" ca="1" si="321"/>
        <v/>
      </c>
      <c r="DG86" s="164" t="str">
        <f t="shared" ca="1" si="321"/>
        <v/>
      </c>
      <c r="DH86" s="164" t="str">
        <f t="shared" ca="1" si="321"/>
        <v/>
      </c>
      <c r="DI86" s="164" t="str">
        <f t="shared" ca="1" si="321"/>
        <v/>
      </c>
      <c r="DJ86" s="164" t="str">
        <f t="shared" ca="1" si="321"/>
        <v/>
      </c>
      <c r="DK86" s="164" t="str">
        <f t="shared" ca="1" si="321"/>
        <v/>
      </c>
      <c r="DL86" s="164" t="str">
        <f t="shared" ca="1" si="321"/>
        <v/>
      </c>
      <c r="DM86" s="164" t="str">
        <f t="shared" ca="1" si="321"/>
        <v/>
      </c>
      <c r="DN86" s="164" t="str">
        <f t="shared" ca="1" si="321"/>
        <v/>
      </c>
      <c r="DO86" s="164" t="str">
        <f t="shared" ca="1" si="321"/>
        <v/>
      </c>
      <c r="DP86" s="164" t="str">
        <f t="shared" ca="1" si="321"/>
        <v/>
      </c>
      <c r="DQ86" s="164" t="str">
        <f t="shared" ca="1" si="321"/>
        <v/>
      </c>
      <c r="DR86" s="208"/>
      <c r="DS86" s="164" t="str">
        <f t="shared" ca="1" si="279"/>
        <v/>
      </c>
      <c r="DT86" s="164" t="str">
        <f t="shared" ca="1" si="280"/>
        <v/>
      </c>
      <c r="DU86" s="164" t="str">
        <f t="shared" ca="1" si="281"/>
        <v/>
      </c>
      <c r="DV86" s="164" t="str">
        <f t="shared" ca="1" si="282"/>
        <v/>
      </c>
      <c r="DW86" s="164" t="str">
        <f t="shared" ca="1" si="283"/>
        <v/>
      </c>
      <c r="DX86" s="164" t="str">
        <f t="shared" ca="1" si="284"/>
        <v/>
      </c>
      <c r="DY86" s="164" t="str">
        <f t="shared" ca="1" si="285"/>
        <v/>
      </c>
      <c r="DZ86" s="164" t="str">
        <f t="shared" ca="1" si="286"/>
        <v/>
      </c>
      <c r="EA86" s="164" t="str">
        <f t="shared" ca="1" si="287"/>
        <v/>
      </c>
      <c r="EB86" s="164" t="str">
        <f t="shared" ca="1" si="288"/>
        <v/>
      </c>
      <c r="EC86" s="164" t="str">
        <f t="shared" ca="1" si="289"/>
        <v/>
      </c>
      <c r="ED86" s="164" t="str">
        <f t="shared" ca="1" si="290"/>
        <v/>
      </c>
      <c r="EE86" s="164" t="str">
        <f t="shared" ca="1" si="291"/>
        <v/>
      </c>
      <c r="EF86" s="164" t="str">
        <f t="shared" ca="1" si="292"/>
        <v/>
      </c>
      <c r="EG86" s="164" t="str">
        <f t="shared" ca="1" si="293"/>
        <v/>
      </c>
      <c r="EH86" s="164" t="str">
        <f t="shared" ca="1" si="294"/>
        <v/>
      </c>
      <c r="EI86" s="164" t="str">
        <f t="shared" ca="1" si="295"/>
        <v/>
      </c>
      <c r="EJ86" s="164" t="str">
        <f t="shared" ca="1" si="296"/>
        <v/>
      </c>
      <c r="EK86" s="164" t="str">
        <f t="shared" ca="1" si="297"/>
        <v/>
      </c>
      <c r="EL86" s="164" t="str">
        <f t="shared" ca="1" si="298"/>
        <v/>
      </c>
      <c r="EM86" s="164" t="str">
        <f t="shared" ca="1" si="299"/>
        <v/>
      </c>
      <c r="EN86" s="164" t="str">
        <f t="shared" ca="1" si="300"/>
        <v/>
      </c>
      <c r="EO86" s="164" t="str">
        <f t="shared" ca="1" si="301"/>
        <v/>
      </c>
      <c r="EP86" s="164" t="str">
        <f t="shared" ca="1" si="302"/>
        <v/>
      </c>
      <c r="EQ86" s="164" t="str">
        <f t="shared" ca="1" si="303"/>
        <v/>
      </c>
      <c r="ER86" s="164" t="str">
        <f t="shared" ca="1" si="304"/>
        <v/>
      </c>
      <c r="ES86" s="164" t="str">
        <f t="shared" ca="1" si="305"/>
        <v/>
      </c>
    </row>
    <row r="87" spans="1:149" x14ac:dyDescent="0.2">
      <c r="A87" s="89" t="str">
        <f t="shared" ca="1" si="306"/>
        <v/>
      </c>
      <c r="B87" s="317" t="str">
        <f t="shared" ca="1" si="213"/>
        <v/>
      </c>
      <c r="C87" s="609" t="str">
        <f t="shared" ca="1" si="214"/>
        <v/>
      </c>
      <c r="D87" s="1956" t="str">
        <f t="shared" ca="1" si="215"/>
        <v/>
      </c>
      <c r="E87" s="1956"/>
      <c r="F87" s="960"/>
      <c r="G87" s="485" t="str">
        <f t="shared" ca="1" si="216"/>
        <v/>
      </c>
      <c r="H87" s="983"/>
      <c r="I87" s="486"/>
      <c r="J87" s="326"/>
      <c r="K87" s="1886" t="str">
        <f t="shared" ca="1" si="217"/>
        <v/>
      </c>
      <c r="L87" s="1888"/>
      <c r="M87" s="296" t="str">
        <f t="shared" ca="1" si="307"/>
        <v/>
      </c>
      <c r="N87" s="1322"/>
      <c r="O87" s="1319"/>
      <c r="P87" s="957" t="str">
        <f t="shared" ca="1" si="218"/>
        <v/>
      </c>
      <c r="Q87" s="164">
        <f t="shared" si="219"/>
        <v>0</v>
      </c>
      <c r="R87" s="164">
        <f t="shared" ca="1" si="220"/>
        <v>0</v>
      </c>
      <c r="S87" s="164">
        <f t="shared" ca="1" si="221"/>
        <v>0</v>
      </c>
      <c r="T87" s="164">
        <f t="shared" ca="1" si="222"/>
        <v>0</v>
      </c>
      <c r="U87" s="164">
        <f t="shared" ca="1" si="223"/>
        <v>0</v>
      </c>
      <c r="V87" s="164">
        <f t="shared" ca="1" si="224"/>
        <v>0</v>
      </c>
      <c r="W87" s="164">
        <f t="shared" ca="1" si="225"/>
        <v>0</v>
      </c>
      <c r="X87" s="164">
        <f t="shared" ca="1" si="226"/>
        <v>0</v>
      </c>
      <c r="Y87" s="164">
        <f t="shared" ca="1" si="227"/>
        <v>0</v>
      </c>
      <c r="Z87" s="164">
        <f t="shared" ca="1" si="228"/>
        <v>0</v>
      </c>
      <c r="AA87" s="164">
        <f t="shared" ca="1" si="229"/>
        <v>0</v>
      </c>
      <c r="AB87" s="164">
        <f t="shared" ca="1" si="230"/>
        <v>0</v>
      </c>
      <c r="AC87" s="164">
        <f t="shared" ca="1" si="231"/>
        <v>0</v>
      </c>
      <c r="AD87" s="164">
        <f t="shared" ca="1" si="232"/>
        <v>0</v>
      </c>
      <c r="AE87" s="164">
        <f t="shared" ca="1" si="233"/>
        <v>0</v>
      </c>
      <c r="AF87" s="164">
        <f t="shared" ca="1" si="234"/>
        <v>0</v>
      </c>
      <c r="AG87" s="164">
        <f t="shared" ca="1" si="235"/>
        <v>0</v>
      </c>
      <c r="AH87" s="164">
        <f t="shared" ca="1" si="236"/>
        <v>0</v>
      </c>
      <c r="AI87" s="164">
        <f t="shared" ca="1" si="237"/>
        <v>0</v>
      </c>
      <c r="AJ87" s="164">
        <f t="shared" ca="1" si="238"/>
        <v>0</v>
      </c>
      <c r="AK87" s="164">
        <f t="shared" ca="1" si="239"/>
        <v>0</v>
      </c>
      <c r="AL87" s="164">
        <f t="shared" ca="1" si="240"/>
        <v>0</v>
      </c>
      <c r="AM87" s="208"/>
      <c r="AN87" s="164">
        <f t="shared" si="241"/>
        <v>0</v>
      </c>
      <c r="AO87" s="164">
        <f t="shared" ca="1" si="242"/>
        <v>0</v>
      </c>
      <c r="AP87" s="164">
        <f t="shared" ca="1" si="243"/>
        <v>0</v>
      </c>
      <c r="AQ87" s="164">
        <f t="shared" ca="1" si="244"/>
        <v>0</v>
      </c>
      <c r="AR87" s="164">
        <f t="shared" ca="1" si="245"/>
        <v>0</v>
      </c>
      <c r="AS87" s="164">
        <f t="shared" ca="1" si="246"/>
        <v>0</v>
      </c>
      <c r="AT87" s="164">
        <f t="shared" ca="1" si="247"/>
        <v>0</v>
      </c>
      <c r="AU87" s="164">
        <f t="shared" ca="1" si="248"/>
        <v>0</v>
      </c>
      <c r="AV87" s="164">
        <f t="shared" ca="1" si="249"/>
        <v>0</v>
      </c>
      <c r="AW87" s="164">
        <f t="shared" ca="1" si="250"/>
        <v>0</v>
      </c>
      <c r="AX87" s="164">
        <f t="shared" ca="1" si="251"/>
        <v>0</v>
      </c>
      <c r="AY87" s="164">
        <f t="shared" ca="1" si="252"/>
        <v>0</v>
      </c>
      <c r="AZ87" s="164">
        <f t="shared" ca="1" si="253"/>
        <v>0</v>
      </c>
      <c r="BA87" s="164">
        <f t="shared" ca="1" si="254"/>
        <v>0</v>
      </c>
      <c r="BB87" s="164">
        <f t="shared" ca="1" si="255"/>
        <v>0</v>
      </c>
      <c r="BC87" s="164">
        <f t="shared" ca="1" si="256"/>
        <v>0</v>
      </c>
      <c r="BD87" s="164">
        <f t="shared" ca="1" si="257"/>
        <v>0</v>
      </c>
      <c r="BE87" s="164">
        <f t="shared" ca="1" si="258"/>
        <v>0</v>
      </c>
      <c r="BF87" s="164">
        <f t="shared" ca="1" si="259"/>
        <v>0</v>
      </c>
      <c r="BG87" s="164">
        <f t="shared" ca="1" si="260"/>
        <v>0</v>
      </c>
      <c r="BH87" s="164">
        <f t="shared" ca="1" si="261"/>
        <v>0</v>
      </c>
      <c r="BI87" s="164">
        <f t="shared" ca="1" si="262"/>
        <v>0</v>
      </c>
      <c r="BJ87" s="164">
        <f t="shared" ca="1" si="263"/>
        <v>0</v>
      </c>
      <c r="BK87" s="164">
        <f t="shared" ca="1" si="264"/>
        <v>0</v>
      </c>
      <c r="BL87" s="164">
        <f t="shared" ca="1" si="265"/>
        <v>0</v>
      </c>
      <c r="BM87" s="164">
        <f t="shared" ca="1" si="266"/>
        <v>0</v>
      </c>
      <c r="BN87" s="164">
        <f t="shared" ca="1" si="267"/>
        <v>0</v>
      </c>
      <c r="BO87" s="356" t="str">
        <f t="shared" ca="1" si="268"/>
        <v/>
      </c>
      <c r="BP87" s="355" t="str">
        <f t="shared" ca="1" si="269"/>
        <v/>
      </c>
      <c r="BQ87" s="355" t="str">
        <f t="shared" ca="1" si="270"/>
        <v/>
      </c>
      <c r="BR87" s="348">
        <f t="shared" ca="1" si="312"/>
        <v>0</v>
      </c>
      <c r="BS87" s="348">
        <f t="shared" ca="1" si="313"/>
        <v>0</v>
      </c>
      <c r="BT87" s="610">
        <f t="shared" ca="1" si="271"/>
        <v>0</v>
      </c>
      <c r="BU87" s="357">
        <f t="shared" ca="1" si="272"/>
        <v>0</v>
      </c>
      <c r="BV87" s="357">
        <f t="shared" si="273"/>
        <v>0</v>
      </c>
      <c r="BW87" s="357">
        <f t="shared" si="274"/>
        <v>0</v>
      </c>
      <c r="BX87" s="357">
        <f t="shared" ca="1" si="275"/>
        <v>0</v>
      </c>
      <c r="BY87" s="357">
        <f t="shared" ca="1" si="316"/>
        <v>0</v>
      </c>
      <c r="BZ87" s="357"/>
      <c r="CA87" s="357">
        <f t="shared" ca="1" si="314"/>
        <v>0</v>
      </c>
      <c r="CB87" s="357" t="str">
        <f t="shared" ca="1" si="276"/>
        <v/>
      </c>
      <c r="CC87" s="358" t="str">
        <f t="shared" ca="1" si="317"/>
        <v/>
      </c>
      <c r="CD87" s="358" t="str">
        <f t="shared" ca="1" si="318"/>
        <v/>
      </c>
      <c r="CE87" s="357" t="str">
        <f t="shared" ca="1" si="308"/>
        <v>,,,,,,,,,,,,,,,,,,,,,,,,,,,</v>
      </c>
      <c r="CF87" s="154" t="str">
        <f t="shared" si="315"/>
        <v/>
      </c>
      <c r="CG87" s="154">
        <f t="shared" ca="1" si="319"/>
        <v>0</v>
      </c>
      <c r="CH87" s="154"/>
      <c r="CI87" s="154"/>
      <c r="CJ87" s="154"/>
      <c r="CK87" s="154"/>
      <c r="CL87" s="154"/>
      <c r="CM87" s="154"/>
      <c r="CN87" t="s">
        <v>784</v>
      </c>
      <c r="CO87" s="169"/>
      <c r="CP87" s="169"/>
      <c r="CQ87" s="169"/>
      <c r="CR87" s="169"/>
      <c r="CS87" s="169"/>
      <c r="CT87" s="169"/>
      <c r="CU87" s="169"/>
      <c r="CV87" s="164" t="str">
        <f t="shared" ca="1" si="320"/>
        <v/>
      </c>
      <c r="CW87" s="164" t="str">
        <f t="shared" ca="1" si="320"/>
        <v/>
      </c>
      <c r="CX87" s="164" t="str">
        <f t="shared" ca="1" si="320"/>
        <v/>
      </c>
      <c r="CY87" s="164" t="str">
        <f t="shared" ca="1" si="320"/>
        <v/>
      </c>
      <c r="CZ87" s="164" t="str">
        <f t="shared" ca="1" si="320"/>
        <v/>
      </c>
      <c r="DA87" s="164" t="str">
        <f t="shared" ca="1" si="320"/>
        <v/>
      </c>
      <c r="DB87" s="164" t="str">
        <f t="shared" ca="1" si="320"/>
        <v/>
      </c>
      <c r="DC87" s="164" t="str">
        <f t="shared" ca="1" si="320"/>
        <v/>
      </c>
      <c r="DD87" s="164" t="str">
        <f t="shared" ca="1" si="320"/>
        <v/>
      </c>
      <c r="DE87" s="164" t="str">
        <f t="shared" ca="1" si="320"/>
        <v/>
      </c>
      <c r="DF87" s="164" t="str">
        <f t="shared" ca="1" si="321"/>
        <v/>
      </c>
      <c r="DG87" s="164" t="str">
        <f t="shared" ca="1" si="321"/>
        <v/>
      </c>
      <c r="DH87" s="164" t="str">
        <f t="shared" ca="1" si="321"/>
        <v/>
      </c>
      <c r="DI87" s="164" t="str">
        <f t="shared" ca="1" si="321"/>
        <v/>
      </c>
      <c r="DJ87" s="164" t="str">
        <f t="shared" ca="1" si="321"/>
        <v/>
      </c>
      <c r="DK87" s="164" t="str">
        <f t="shared" ca="1" si="321"/>
        <v/>
      </c>
      <c r="DL87" s="164" t="str">
        <f t="shared" ca="1" si="321"/>
        <v/>
      </c>
      <c r="DM87" s="164" t="str">
        <f t="shared" ca="1" si="321"/>
        <v/>
      </c>
      <c r="DN87" s="164" t="str">
        <f t="shared" ca="1" si="321"/>
        <v/>
      </c>
      <c r="DO87" s="164" t="str">
        <f t="shared" ca="1" si="321"/>
        <v/>
      </c>
      <c r="DP87" s="164" t="str">
        <f t="shared" ca="1" si="321"/>
        <v/>
      </c>
      <c r="DQ87" s="164" t="str">
        <f t="shared" ca="1" si="321"/>
        <v/>
      </c>
      <c r="DR87" s="208"/>
      <c r="DS87" s="164" t="str">
        <f t="shared" ca="1" si="279"/>
        <v/>
      </c>
      <c r="DT87" s="164" t="str">
        <f t="shared" ca="1" si="280"/>
        <v/>
      </c>
      <c r="DU87" s="164" t="str">
        <f t="shared" ca="1" si="281"/>
        <v/>
      </c>
      <c r="DV87" s="164" t="str">
        <f t="shared" ca="1" si="282"/>
        <v/>
      </c>
      <c r="DW87" s="164" t="str">
        <f t="shared" ca="1" si="283"/>
        <v/>
      </c>
      <c r="DX87" s="164" t="str">
        <f t="shared" ca="1" si="284"/>
        <v/>
      </c>
      <c r="DY87" s="164" t="str">
        <f t="shared" ca="1" si="285"/>
        <v/>
      </c>
      <c r="DZ87" s="164" t="str">
        <f t="shared" ca="1" si="286"/>
        <v/>
      </c>
      <c r="EA87" s="164" t="str">
        <f t="shared" ca="1" si="287"/>
        <v/>
      </c>
      <c r="EB87" s="164" t="str">
        <f t="shared" ca="1" si="288"/>
        <v/>
      </c>
      <c r="EC87" s="164" t="str">
        <f t="shared" ca="1" si="289"/>
        <v/>
      </c>
      <c r="ED87" s="164" t="str">
        <f t="shared" ca="1" si="290"/>
        <v/>
      </c>
      <c r="EE87" s="164" t="str">
        <f t="shared" ca="1" si="291"/>
        <v/>
      </c>
      <c r="EF87" s="164" t="str">
        <f t="shared" ca="1" si="292"/>
        <v/>
      </c>
      <c r="EG87" s="164" t="str">
        <f t="shared" ca="1" si="293"/>
        <v/>
      </c>
      <c r="EH87" s="164" t="str">
        <f t="shared" ca="1" si="294"/>
        <v/>
      </c>
      <c r="EI87" s="164" t="str">
        <f t="shared" ca="1" si="295"/>
        <v/>
      </c>
      <c r="EJ87" s="164" t="str">
        <f t="shared" ca="1" si="296"/>
        <v/>
      </c>
      <c r="EK87" s="164" t="str">
        <f t="shared" ca="1" si="297"/>
        <v/>
      </c>
      <c r="EL87" s="164" t="str">
        <f t="shared" ca="1" si="298"/>
        <v/>
      </c>
      <c r="EM87" s="164" t="str">
        <f t="shared" ca="1" si="299"/>
        <v/>
      </c>
      <c r="EN87" s="164" t="str">
        <f t="shared" ca="1" si="300"/>
        <v/>
      </c>
      <c r="EO87" s="164" t="str">
        <f t="shared" ca="1" si="301"/>
        <v/>
      </c>
      <c r="EP87" s="164" t="str">
        <f t="shared" ca="1" si="302"/>
        <v/>
      </c>
      <c r="EQ87" s="164" t="str">
        <f t="shared" ca="1" si="303"/>
        <v/>
      </c>
      <c r="ER87" s="164" t="str">
        <f t="shared" ca="1" si="304"/>
        <v/>
      </c>
      <c r="ES87" s="164" t="str">
        <f t="shared" ca="1" si="305"/>
        <v/>
      </c>
    </row>
    <row r="88" spans="1:149" x14ac:dyDescent="0.2">
      <c r="A88" s="89" t="str">
        <f t="shared" ca="1" si="306"/>
        <v/>
      </c>
      <c r="B88" s="317" t="str">
        <f t="shared" ca="1" si="213"/>
        <v/>
      </c>
      <c r="C88" s="609" t="str">
        <f t="shared" ca="1" si="214"/>
        <v/>
      </c>
      <c r="D88" s="1956" t="str">
        <f t="shared" ca="1" si="215"/>
        <v/>
      </c>
      <c r="E88" s="1956"/>
      <c r="F88" s="960"/>
      <c r="G88" s="485" t="str">
        <f t="shared" ca="1" si="216"/>
        <v/>
      </c>
      <c r="H88" s="983"/>
      <c r="I88" s="486"/>
      <c r="J88" s="326"/>
      <c r="K88" s="1886" t="str">
        <f t="shared" ca="1" si="217"/>
        <v/>
      </c>
      <c r="L88" s="1888"/>
      <c r="M88" s="296" t="str">
        <f t="shared" ca="1" si="307"/>
        <v/>
      </c>
      <c r="N88" s="1322"/>
      <c r="O88" s="1319"/>
      <c r="P88" s="957" t="str">
        <f t="shared" ca="1" si="218"/>
        <v/>
      </c>
      <c r="Q88" s="164">
        <f t="shared" si="219"/>
        <v>0</v>
      </c>
      <c r="R88" s="164">
        <f t="shared" ca="1" si="220"/>
        <v>0</v>
      </c>
      <c r="S88" s="164">
        <f t="shared" ca="1" si="221"/>
        <v>0</v>
      </c>
      <c r="T88" s="164">
        <f t="shared" ca="1" si="222"/>
        <v>0</v>
      </c>
      <c r="U88" s="164">
        <f t="shared" ca="1" si="223"/>
        <v>0</v>
      </c>
      <c r="V88" s="164">
        <f t="shared" ca="1" si="224"/>
        <v>0</v>
      </c>
      <c r="W88" s="164">
        <f t="shared" ca="1" si="225"/>
        <v>0</v>
      </c>
      <c r="X88" s="164">
        <f t="shared" ca="1" si="226"/>
        <v>0</v>
      </c>
      <c r="Y88" s="164">
        <f t="shared" ca="1" si="227"/>
        <v>0</v>
      </c>
      <c r="Z88" s="164">
        <f t="shared" ca="1" si="228"/>
        <v>0</v>
      </c>
      <c r="AA88" s="164">
        <f t="shared" ca="1" si="229"/>
        <v>0</v>
      </c>
      <c r="AB88" s="164">
        <f t="shared" ca="1" si="230"/>
        <v>0</v>
      </c>
      <c r="AC88" s="164">
        <f t="shared" ca="1" si="231"/>
        <v>0</v>
      </c>
      <c r="AD88" s="164">
        <f t="shared" ca="1" si="232"/>
        <v>0</v>
      </c>
      <c r="AE88" s="164">
        <f t="shared" ca="1" si="233"/>
        <v>0</v>
      </c>
      <c r="AF88" s="164">
        <f t="shared" ca="1" si="234"/>
        <v>0</v>
      </c>
      <c r="AG88" s="164">
        <f t="shared" ca="1" si="235"/>
        <v>0</v>
      </c>
      <c r="AH88" s="164">
        <f t="shared" ca="1" si="236"/>
        <v>0</v>
      </c>
      <c r="AI88" s="164">
        <f t="shared" ca="1" si="237"/>
        <v>0</v>
      </c>
      <c r="AJ88" s="164">
        <f t="shared" ca="1" si="238"/>
        <v>0</v>
      </c>
      <c r="AK88" s="164">
        <f t="shared" ca="1" si="239"/>
        <v>0</v>
      </c>
      <c r="AL88" s="164">
        <f t="shared" ca="1" si="240"/>
        <v>0</v>
      </c>
      <c r="AM88" s="208"/>
      <c r="AN88" s="164">
        <f t="shared" si="241"/>
        <v>0</v>
      </c>
      <c r="AO88" s="164">
        <f t="shared" ca="1" si="242"/>
        <v>0</v>
      </c>
      <c r="AP88" s="164">
        <f t="shared" ca="1" si="243"/>
        <v>0</v>
      </c>
      <c r="AQ88" s="164">
        <f t="shared" ca="1" si="244"/>
        <v>0</v>
      </c>
      <c r="AR88" s="164">
        <f t="shared" ca="1" si="245"/>
        <v>0</v>
      </c>
      <c r="AS88" s="164">
        <f t="shared" ca="1" si="246"/>
        <v>0</v>
      </c>
      <c r="AT88" s="164">
        <f t="shared" ca="1" si="247"/>
        <v>0</v>
      </c>
      <c r="AU88" s="164">
        <f t="shared" ca="1" si="248"/>
        <v>0</v>
      </c>
      <c r="AV88" s="164">
        <f t="shared" ca="1" si="249"/>
        <v>0</v>
      </c>
      <c r="AW88" s="164">
        <f t="shared" ca="1" si="250"/>
        <v>0</v>
      </c>
      <c r="AX88" s="164">
        <f t="shared" ca="1" si="251"/>
        <v>0</v>
      </c>
      <c r="AY88" s="164">
        <f t="shared" ca="1" si="252"/>
        <v>0</v>
      </c>
      <c r="AZ88" s="164">
        <f t="shared" ca="1" si="253"/>
        <v>0</v>
      </c>
      <c r="BA88" s="164">
        <f t="shared" ca="1" si="254"/>
        <v>0</v>
      </c>
      <c r="BB88" s="164">
        <f t="shared" ca="1" si="255"/>
        <v>0</v>
      </c>
      <c r="BC88" s="164">
        <f t="shared" ca="1" si="256"/>
        <v>0</v>
      </c>
      <c r="BD88" s="164">
        <f t="shared" ca="1" si="257"/>
        <v>0</v>
      </c>
      <c r="BE88" s="164">
        <f t="shared" ca="1" si="258"/>
        <v>0</v>
      </c>
      <c r="BF88" s="164">
        <f t="shared" ca="1" si="259"/>
        <v>0</v>
      </c>
      <c r="BG88" s="164">
        <f t="shared" ca="1" si="260"/>
        <v>0</v>
      </c>
      <c r="BH88" s="164">
        <f t="shared" ca="1" si="261"/>
        <v>0</v>
      </c>
      <c r="BI88" s="164">
        <f t="shared" ca="1" si="262"/>
        <v>0</v>
      </c>
      <c r="BJ88" s="164">
        <f t="shared" ca="1" si="263"/>
        <v>0</v>
      </c>
      <c r="BK88" s="164">
        <f t="shared" ca="1" si="264"/>
        <v>0</v>
      </c>
      <c r="BL88" s="164">
        <f t="shared" ca="1" si="265"/>
        <v>0</v>
      </c>
      <c r="BM88" s="164">
        <f t="shared" ca="1" si="266"/>
        <v>0</v>
      </c>
      <c r="BN88" s="164">
        <f t="shared" ca="1" si="267"/>
        <v>0</v>
      </c>
      <c r="BO88" s="356" t="str">
        <f t="shared" ca="1" si="268"/>
        <v/>
      </c>
      <c r="BP88" s="355" t="str">
        <f t="shared" ca="1" si="269"/>
        <v/>
      </c>
      <c r="BQ88" s="355" t="str">
        <f t="shared" ca="1" si="270"/>
        <v/>
      </c>
      <c r="BR88" s="348">
        <f t="shared" ca="1" si="312"/>
        <v>0</v>
      </c>
      <c r="BS88" s="348">
        <f t="shared" ca="1" si="313"/>
        <v>0</v>
      </c>
      <c r="BT88" s="610">
        <f t="shared" ca="1" si="271"/>
        <v>0</v>
      </c>
      <c r="BU88" s="357">
        <f t="shared" ca="1" si="272"/>
        <v>0</v>
      </c>
      <c r="BV88" s="357">
        <f t="shared" si="273"/>
        <v>0</v>
      </c>
      <c r="BW88" s="357">
        <f t="shared" si="274"/>
        <v>0</v>
      </c>
      <c r="BX88" s="357">
        <f t="shared" ca="1" si="275"/>
        <v>0</v>
      </c>
      <c r="BY88" s="357">
        <f t="shared" ca="1" si="316"/>
        <v>0</v>
      </c>
      <c r="BZ88" s="357"/>
      <c r="CA88" s="357">
        <f t="shared" ca="1" si="314"/>
        <v>0</v>
      </c>
      <c r="CB88" s="357" t="str">
        <f t="shared" ca="1" si="276"/>
        <v/>
      </c>
      <c r="CC88" s="358" t="str">
        <f t="shared" ca="1" si="317"/>
        <v/>
      </c>
      <c r="CD88" s="358" t="str">
        <f t="shared" ca="1" si="318"/>
        <v/>
      </c>
      <c r="CE88" s="357" t="str">
        <f t="shared" ca="1" si="308"/>
        <v>,,,,,,,,,,,,,,,,,,,,,,,,,,,,</v>
      </c>
      <c r="CF88" s="154" t="str">
        <f t="shared" si="315"/>
        <v/>
      </c>
      <c r="CG88" s="154">
        <f t="shared" ca="1" si="319"/>
        <v>0</v>
      </c>
      <c r="CH88" s="154"/>
      <c r="CI88" s="154"/>
      <c r="CJ88" s="154"/>
      <c r="CK88" s="154"/>
      <c r="CL88" s="154"/>
      <c r="CM88" s="154"/>
      <c r="CN88" t="s">
        <v>784</v>
      </c>
      <c r="CO88" s="169"/>
      <c r="CP88" s="169"/>
      <c r="CQ88" s="169"/>
      <c r="CR88" s="169"/>
      <c r="CS88" s="169"/>
      <c r="CT88" s="169"/>
      <c r="CU88" s="169"/>
      <c r="CV88" s="164" t="str">
        <f t="shared" ca="1" si="320"/>
        <v/>
      </c>
      <c r="CW88" s="164" t="str">
        <f t="shared" ca="1" si="320"/>
        <v/>
      </c>
      <c r="CX88" s="164" t="str">
        <f t="shared" ca="1" si="320"/>
        <v/>
      </c>
      <c r="CY88" s="164" t="str">
        <f t="shared" ca="1" si="320"/>
        <v/>
      </c>
      <c r="CZ88" s="164" t="str">
        <f t="shared" ca="1" si="320"/>
        <v/>
      </c>
      <c r="DA88" s="164" t="str">
        <f t="shared" ca="1" si="320"/>
        <v/>
      </c>
      <c r="DB88" s="164" t="str">
        <f t="shared" ca="1" si="320"/>
        <v/>
      </c>
      <c r="DC88" s="164" t="str">
        <f t="shared" ca="1" si="320"/>
        <v/>
      </c>
      <c r="DD88" s="164" t="str">
        <f t="shared" ca="1" si="320"/>
        <v/>
      </c>
      <c r="DE88" s="164" t="str">
        <f t="shared" ca="1" si="320"/>
        <v/>
      </c>
      <c r="DF88" s="164" t="str">
        <f t="shared" ca="1" si="321"/>
        <v/>
      </c>
      <c r="DG88" s="164" t="str">
        <f t="shared" ca="1" si="321"/>
        <v/>
      </c>
      <c r="DH88" s="164" t="str">
        <f t="shared" ca="1" si="321"/>
        <v/>
      </c>
      <c r="DI88" s="164" t="str">
        <f t="shared" ca="1" si="321"/>
        <v/>
      </c>
      <c r="DJ88" s="164" t="str">
        <f t="shared" ca="1" si="321"/>
        <v/>
      </c>
      <c r="DK88" s="164" t="str">
        <f t="shared" ca="1" si="321"/>
        <v/>
      </c>
      <c r="DL88" s="164" t="str">
        <f t="shared" ca="1" si="321"/>
        <v/>
      </c>
      <c r="DM88" s="164" t="str">
        <f t="shared" ca="1" si="321"/>
        <v/>
      </c>
      <c r="DN88" s="164" t="str">
        <f t="shared" ca="1" si="321"/>
        <v/>
      </c>
      <c r="DO88" s="164" t="str">
        <f t="shared" ca="1" si="321"/>
        <v/>
      </c>
      <c r="DP88" s="164" t="str">
        <f t="shared" ca="1" si="321"/>
        <v/>
      </c>
      <c r="DQ88" s="164" t="str">
        <f t="shared" ca="1" si="321"/>
        <v/>
      </c>
      <c r="DR88" s="208"/>
      <c r="DS88" s="164" t="str">
        <f t="shared" ca="1" si="279"/>
        <v/>
      </c>
      <c r="DT88" s="164" t="str">
        <f t="shared" ca="1" si="280"/>
        <v/>
      </c>
      <c r="DU88" s="164" t="str">
        <f t="shared" ca="1" si="281"/>
        <v/>
      </c>
      <c r="DV88" s="164" t="str">
        <f t="shared" ca="1" si="282"/>
        <v/>
      </c>
      <c r="DW88" s="164" t="str">
        <f t="shared" ca="1" si="283"/>
        <v/>
      </c>
      <c r="DX88" s="164" t="str">
        <f t="shared" ca="1" si="284"/>
        <v/>
      </c>
      <c r="DY88" s="164" t="str">
        <f t="shared" ca="1" si="285"/>
        <v/>
      </c>
      <c r="DZ88" s="164" t="str">
        <f t="shared" ca="1" si="286"/>
        <v/>
      </c>
      <c r="EA88" s="164" t="str">
        <f t="shared" ca="1" si="287"/>
        <v/>
      </c>
      <c r="EB88" s="164" t="str">
        <f t="shared" ca="1" si="288"/>
        <v/>
      </c>
      <c r="EC88" s="164" t="str">
        <f t="shared" ca="1" si="289"/>
        <v/>
      </c>
      <c r="ED88" s="164" t="str">
        <f t="shared" ca="1" si="290"/>
        <v/>
      </c>
      <c r="EE88" s="164" t="str">
        <f t="shared" ca="1" si="291"/>
        <v/>
      </c>
      <c r="EF88" s="164" t="str">
        <f t="shared" ca="1" si="292"/>
        <v/>
      </c>
      <c r="EG88" s="164" t="str">
        <f t="shared" ca="1" si="293"/>
        <v/>
      </c>
      <c r="EH88" s="164" t="str">
        <f t="shared" ca="1" si="294"/>
        <v/>
      </c>
      <c r="EI88" s="164" t="str">
        <f t="shared" ca="1" si="295"/>
        <v/>
      </c>
      <c r="EJ88" s="164" t="str">
        <f t="shared" ca="1" si="296"/>
        <v/>
      </c>
      <c r="EK88" s="164" t="str">
        <f t="shared" ca="1" si="297"/>
        <v/>
      </c>
      <c r="EL88" s="164" t="str">
        <f t="shared" ca="1" si="298"/>
        <v/>
      </c>
      <c r="EM88" s="164" t="str">
        <f t="shared" ca="1" si="299"/>
        <v/>
      </c>
      <c r="EN88" s="164" t="str">
        <f t="shared" ca="1" si="300"/>
        <v/>
      </c>
      <c r="EO88" s="164" t="str">
        <f t="shared" ca="1" si="301"/>
        <v/>
      </c>
      <c r="EP88" s="164" t="str">
        <f t="shared" ca="1" si="302"/>
        <v/>
      </c>
      <c r="EQ88" s="164" t="str">
        <f t="shared" ca="1" si="303"/>
        <v/>
      </c>
      <c r="ER88" s="164" t="str">
        <f t="shared" ca="1" si="304"/>
        <v/>
      </c>
      <c r="ES88" s="164" t="str">
        <f t="shared" ca="1" si="305"/>
        <v/>
      </c>
    </row>
    <row r="89" spans="1:149" x14ac:dyDescent="0.2">
      <c r="A89" s="89" t="str">
        <f t="shared" ca="1" si="306"/>
        <v/>
      </c>
      <c r="B89" s="317" t="str">
        <f t="shared" ca="1" si="213"/>
        <v/>
      </c>
      <c r="C89" s="609" t="str">
        <f t="shared" ca="1" si="214"/>
        <v/>
      </c>
      <c r="D89" s="1956" t="str">
        <f t="shared" ca="1" si="215"/>
        <v/>
      </c>
      <c r="E89" s="1956"/>
      <c r="F89" s="960"/>
      <c r="G89" s="485" t="str">
        <f t="shared" ca="1" si="216"/>
        <v/>
      </c>
      <c r="H89" s="983"/>
      <c r="I89" s="486"/>
      <c r="J89" s="326"/>
      <c r="K89" s="1886" t="str">
        <f t="shared" ca="1" si="217"/>
        <v/>
      </c>
      <c r="L89" s="1888"/>
      <c r="M89" s="296" t="str">
        <f t="shared" ca="1" si="307"/>
        <v/>
      </c>
      <c r="N89" s="1322"/>
      <c r="O89" s="1319"/>
      <c r="P89" s="957" t="str">
        <f t="shared" ca="1" si="218"/>
        <v/>
      </c>
      <c r="Q89" s="164">
        <f t="shared" si="219"/>
        <v>0</v>
      </c>
      <c r="R89" s="164">
        <f t="shared" ca="1" si="220"/>
        <v>0</v>
      </c>
      <c r="S89" s="164">
        <f t="shared" ca="1" si="221"/>
        <v>0</v>
      </c>
      <c r="T89" s="164">
        <f t="shared" ca="1" si="222"/>
        <v>0</v>
      </c>
      <c r="U89" s="164">
        <f t="shared" ca="1" si="223"/>
        <v>0</v>
      </c>
      <c r="V89" s="164">
        <f t="shared" ca="1" si="224"/>
        <v>0</v>
      </c>
      <c r="W89" s="164">
        <f t="shared" ca="1" si="225"/>
        <v>0</v>
      </c>
      <c r="X89" s="164">
        <f t="shared" ca="1" si="226"/>
        <v>0</v>
      </c>
      <c r="Y89" s="164">
        <f t="shared" ca="1" si="227"/>
        <v>0</v>
      </c>
      <c r="Z89" s="164">
        <f t="shared" ca="1" si="228"/>
        <v>0</v>
      </c>
      <c r="AA89" s="164">
        <f t="shared" ca="1" si="229"/>
        <v>0</v>
      </c>
      <c r="AB89" s="164">
        <f t="shared" ca="1" si="230"/>
        <v>0</v>
      </c>
      <c r="AC89" s="164">
        <f t="shared" ca="1" si="231"/>
        <v>0</v>
      </c>
      <c r="AD89" s="164">
        <f t="shared" ca="1" si="232"/>
        <v>0</v>
      </c>
      <c r="AE89" s="164">
        <f t="shared" ca="1" si="233"/>
        <v>0</v>
      </c>
      <c r="AF89" s="164">
        <f t="shared" ca="1" si="234"/>
        <v>0</v>
      </c>
      <c r="AG89" s="164">
        <f t="shared" ca="1" si="235"/>
        <v>0</v>
      </c>
      <c r="AH89" s="164">
        <f t="shared" ca="1" si="236"/>
        <v>0</v>
      </c>
      <c r="AI89" s="164">
        <f t="shared" ca="1" si="237"/>
        <v>0</v>
      </c>
      <c r="AJ89" s="164">
        <f t="shared" ca="1" si="238"/>
        <v>0</v>
      </c>
      <c r="AK89" s="164">
        <f t="shared" ca="1" si="239"/>
        <v>0</v>
      </c>
      <c r="AL89" s="164">
        <f t="shared" ca="1" si="240"/>
        <v>0</v>
      </c>
      <c r="AM89" s="208"/>
      <c r="AN89" s="164">
        <f t="shared" si="241"/>
        <v>0</v>
      </c>
      <c r="AO89" s="164">
        <f t="shared" ca="1" si="242"/>
        <v>0</v>
      </c>
      <c r="AP89" s="164">
        <f t="shared" ca="1" si="243"/>
        <v>0</v>
      </c>
      <c r="AQ89" s="164">
        <f t="shared" ca="1" si="244"/>
        <v>0</v>
      </c>
      <c r="AR89" s="164">
        <f t="shared" ca="1" si="245"/>
        <v>0</v>
      </c>
      <c r="AS89" s="164">
        <f t="shared" ca="1" si="246"/>
        <v>0</v>
      </c>
      <c r="AT89" s="164">
        <f t="shared" ca="1" si="247"/>
        <v>0</v>
      </c>
      <c r="AU89" s="164">
        <f t="shared" ca="1" si="248"/>
        <v>0</v>
      </c>
      <c r="AV89" s="164">
        <f t="shared" ca="1" si="249"/>
        <v>0</v>
      </c>
      <c r="AW89" s="164">
        <f t="shared" ca="1" si="250"/>
        <v>0</v>
      </c>
      <c r="AX89" s="164">
        <f t="shared" ca="1" si="251"/>
        <v>0</v>
      </c>
      <c r="AY89" s="164">
        <f t="shared" ca="1" si="252"/>
        <v>0</v>
      </c>
      <c r="AZ89" s="164">
        <f t="shared" ca="1" si="253"/>
        <v>0</v>
      </c>
      <c r="BA89" s="164">
        <f t="shared" ca="1" si="254"/>
        <v>0</v>
      </c>
      <c r="BB89" s="164">
        <f t="shared" ca="1" si="255"/>
        <v>0</v>
      </c>
      <c r="BC89" s="164">
        <f t="shared" ca="1" si="256"/>
        <v>0</v>
      </c>
      <c r="BD89" s="164">
        <f t="shared" ca="1" si="257"/>
        <v>0</v>
      </c>
      <c r="BE89" s="164">
        <f t="shared" ca="1" si="258"/>
        <v>0</v>
      </c>
      <c r="BF89" s="164">
        <f t="shared" ca="1" si="259"/>
        <v>0</v>
      </c>
      <c r="BG89" s="164">
        <f t="shared" ca="1" si="260"/>
        <v>0</v>
      </c>
      <c r="BH89" s="164">
        <f t="shared" ca="1" si="261"/>
        <v>0</v>
      </c>
      <c r="BI89" s="164">
        <f t="shared" ca="1" si="262"/>
        <v>0</v>
      </c>
      <c r="BJ89" s="164">
        <f t="shared" ca="1" si="263"/>
        <v>0</v>
      </c>
      <c r="BK89" s="164">
        <f t="shared" ca="1" si="264"/>
        <v>0</v>
      </c>
      <c r="BL89" s="164">
        <f t="shared" ca="1" si="265"/>
        <v>0</v>
      </c>
      <c r="BM89" s="164">
        <f t="shared" ca="1" si="266"/>
        <v>0</v>
      </c>
      <c r="BN89" s="164">
        <f t="shared" ca="1" si="267"/>
        <v>0</v>
      </c>
      <c r="BO89" s="356" t="str">
        <f t="shared" ca="1" si="268"/>
        <v/>
      </c>
      <c r="BP89" s="355" t="str">
        <f t="shared" ca="1" si="269"/>
        <v/>
      </c>
      <c r="BQ89" s="355" t="str">
        <f t="shared" ca="1" si="270"/>
        <v/>
      </c>
      <c r="BR89" s="348">
        <f t="shared" ca="1" si="312"/>
        <v>0</v>
      </c>
      <c r="BS89" s="348">
        <f t="shared" ca="1" si="313"/>
        <v>0</v>
      </c>
      <c r="BT89" s="610">
        <f t="shared" ca="1" si="271"/>
        <v>0</v>
      </c>
      <c r="BU89" s="357">
        <f t="shared" ca="1" si="272"/>
        <v>0</v>
      </c>
      <c r="BV89" s="357">
        <f t="shared" si="273"/>
        <v>0</v>
      </c>
      <c r="BW89" s="357">
        <f t="shared" si="274"/>
        <v>0</v>
      </c>
      <c r="BX89" s="357">
        <f t="shared" ca="1" si="275"/>
        <v>0</v>
      </c>
      <c r="BY89" s="357">
        <f t="shared" ca="1" si="316"/>
        <v>0</v>
      </c>
      <c r="BZ89" s="357"/>
      <c r="CA89" s="357">
        <f t="shared" ca="1" si="314"/>
        <v>0</v>
      </c>
      <c r="CB89" s="357" t="str">
        <f t="shared" ca="1" si="276"/>
        <v/>
      </c>
      <c r="CC89" s="358" t="str">
        <f t="shared" ca="1" si="317"/>
        <v/>
      </c>
      <c r="CD89" s="358" t="str">
        <f t="shared" ca="1" si="318"/>
        <v/>
      </c>
      <c r="CE89" s="357" t="str">
        <f t="shared" ca="1" si="308"/>
        <v>,,,,,,,,,,,,,,,,,,,,,,,,,,,,,</v>
      </c>
      <c r="CF89" s="154" t="str">
        <f t="shared" si="315"/>
        <v/>
      </c>
      <c r="CG89" s="154">
        <f t="shared" ca="1" si="319"/>
        <v>0</v>
      </c>
      <c r="CH89" s="154"/>
      <c r="CI89" s="154"/>
      <c r="CJ89" s="154"/>
      <c r="CK89" s="154"/>
      <c r="CL89" s="154"/>
      <c r="CM89" s="154"/>
      <c r="CN89" t="s">
        <v>784</v>
      </c>
      <c r="CO89" s="169"/>
      <c r="CP89" s="169"/>
      <c r="CQ89" s="169"/>
      <c r="CR89" s="169"/>
      <c r="CS89" s="169"/>
      <c r="CT89" s="169"/>
      <c r="CU89" s="169"/>
      <c r="CV89" s="164" t="str">
        <f t="shared" ca="1" si="320"/>
        <v/>
      </c>
      <c r="CW89" s="164" t="str">
        <f t="shared" ca="1" si="320"/>
        <v/>
      </c>
      <c r="CX89" s="164" t="str">
        <f t="shared" ca="1" si="320"/>
        <v/>
      </c>
      <c r="CY89" s="164" t="str">
        <f t="shared" ca="1" si="320"/>
        <v/>
      </c>
      <c r="CZ89" s="164" t="str">
        <f t="shared" ca="1" si="320"/>
        <v/>
      </c>
      <c r="DA89" s="164" t="str">
        <f t="shared" ca="1" si="320"/>
        <v/>
      </c>
      <c r="DB89" s="164" t="str">
        <f t="shared" ca="1" si="320"/>
        <v/>
      </c>
      <c r="DC89" s="164" t="str">
        <f t="shared" ca="1" si="320"/>
        <v/>
      </c>
      <c r="DD89" s="164" t="str">
        <f t="shared" ca="1" si="320"/>
        <v/>
      </c>
      <c r="DE89" s="164" t="str">
        <f t="shared" ca="1" si="320"/>
        <v/>
      </c>
      <c r="DF89" s="164" t="str">
        <f t="shared" ca="1" si="321"/>
        <v/>
      </c>
      <c r="DG89" s="164" t="str">
        <f t="shared" ca="1" si="321"/>
        <v/>
      </c>
      <c r="DH89" s="164" t="str">
        <f t="shared" ca="1" si="321"/>
        <v/>
      </c>
      <c r="DI89" s="164" t="str">
        <f t="shared" ca="1" si="321"/>
        <v/>
      </c>
      <c r="DJ89" s="164" t="str">
        <f t="shared" ca="1" si="321"/>
        <v/>
      </c>
      <c r="DK89" s="164" t="str">
        <f t="shared" ca="1" si="321"/>
        <v/>
      </c>
      <c r="DL89" s="164" t="str">
        <f t="shared" ca="1" si="321"/>
        <v/>
      </c>
      <c r="DM89" s="164" t="str">
        <f t="shared" ca="1" si="321"/>
        <v/>
      </c>
      <c r="DN89" s="164" t="str">
        <f t="shared" ca="1" si="321"/>
        <v/>
      </c>
      <c r="DO89" s="164" t="str">
        <f t="shared" ca="1" si="321"/>
        <v/>
      </c>
      <c r="DP89" s="164" t="str">
        <f t="shared" ca="1" si="321"/>
        <v/>
      </c>
      <c r="DQ89" s="164" t="str">
        <f t="shared" ca="1" si="321"/>
        <v/>
      </c>
      <c r="DR89" s="208"/>
      <c r="DS89" s="164" t="str">
        <f t="shared" ca="1" si="279"/>
        <v/>
      </c>
      <c r="DT89" s="164" t="str">
        <f t="shared" ca="1" si="280"/>
        <v/>
      </c>
      <c r="DU89" s="164" t="str">
        <f t="shared" ca="1" si="281"/>
        <v/>
      </c>
      <c r="DV89" s="164" t="str">
        <f t="shared" ca="1" si="282"/>
        <v/>
      </c>
      <c r="DW89" s="164" t="str">
        <f t="shared" ca="1" si="283"/>
        <v/>
      </c>
      <c r="DX89" s="164" t="str">
        <f t="shared" ca="1" si="284"/>
        <v/>
      </c>
      <c r="DY89" s="164" t="str">
        <f t="shared" ca="1" si="285"/>
        <v/>
      </c>
      <c r="DZ89" s="164" t="str">
        <f t="shared" ca="1" si="286"/>
        <v/>
      </c>
      <c r="EA89" s="164" t="str">
        <f t="shared" ca="1" si="287"/>
        <v/>
      </c>
      <c r="EB89" s="164" t="str">
        <f t="shared" ca="1" si="288"/>
        <v/>
      </c>
      <c r="EC89" s="164" t="str">
        <f t="shared" ca="1" si="289"/>
        <v/>
      </c>
      <c r="ED89" s="164" t="str">
        <f t="shared" ca="1" si="290"/>
        <v/>
      </c>
      <c r="EE89" s="164" t="str">
        <f t="shared" ca="1" si="291"/>
        <v/>
      </c>
      <c r="EF89" s="164" t="str">
        <f t="shared" ca="1" si="292"/>
        <v/>
      </c>
      <c r="EG89" s="164" t="str">
        <f t="shared" ca="1" si="293"/>
        <v/>
      </c>
      <c r="EH89" s="164" t="str">
        <f t="shared" ca="1" si="294"/>
        <v/>
      </c>
      <c r="EI89" s="164" t="str">
        <f t="shared" ca="1" si="295"/>
        <v/>
      </c>
      <c r="EJ89" s="164" t="str">
        <f t="shared" ca="1" si="296"/>
        <v/>
      </c>
      <c r="EK89" s="164" t="str">
        <f t="shared" ca="1" si="297"/>
        <v/>
      </c>
      <c r="EL89" s="164" t="str">
        <f t="shared" ca="1" si="298"/>
        <v/>
      </c>
      <c r="EM89" s="164" t="str">
        <f t="shared" ca="1" si="299"/>
        <v/>
      </c>
      <c r="EN89" s="164" t="str">
        <f t="shared" ca="1" si="300"/>
        <v/>
      </c>
      <c r="EO89" s="164" t="str">
        <f t="shared" ca="1" si="301"/>
        <v/>
      </c>
      <c r="EP89" s="164" t="str">
        <f t="shared" ca="1" si="302"/>
        <v/>
      </c>
      <c r="EQ89" s="164" t="str">
        <f t="shared" ca="1" si="303"/>
        <v/>
      </c>
      <c r="ER89" s="164" t="str">
        <f t="shared" ca="1" si="304"/>
        <v/>
      </c>
      <c r="ES89" s="164" t="str">
        <f t="shared" ca="1" si="305"/>
        <v/>
      </c>
    </row>
    <row r="90" spans="1:149" x14ac:dyDescent="0.2">
      <c r="A90" s="89" t="str">
        <f t="shared" ca="1" si="306"/>
        <v/>
      </c>
      <c r="B90" s="317" t="str">
        <f t="shared" ca="1" si="213"/>
        <v/>
      </c>
      <c r="C90" s="609" t="str">
        <f t="shared" ca="1" si="214"/>
        <v/>
      </c>
      <c r="D90" s="1956" t="str">
        <f t="shared" ca="1" si="215"/>
        <v/>
      </c>
      <c r="E90" s="1956"/>
      <c r="F90" s="960"/>
      <c r="G90" s="485" t="str">
        <f t="shared" ca="1" si="216"/>
        <v/>
      </c>
      <c r="H90" s="983"/>
      <c r="I90" s="486"/>
      <c r="J90" s="326"/>
      <c r="K90" s="1886" t="str">
        <f t="shared" ca="1" si="217"/>
        <v/>
      </c>
      <c r="L90" s="1888"/>
      <c r="M90" s="296" t="str">
        <f t="shared" ca="1" si="307"/>
        <v/>
      </c>
      <c r="N90" s="1322"/>
      <c r="O90" s="1319"/>
      <c r="P90" s="957" t="str">
        <f t="shared" ca="1" si="218"/>
        <v/>
      </c>
      <c r="Q90" s="164">
        <f t="shared" si="219"/>
        <v>0</v>
      </c>
      <c r="R90" s="164">
        <f t="shared" ca="1" si="220"/>
        <v>0</v>
      </c>
      <c r="S90" s="164">
        <f t="shared" ca="1" si="221"/>
        <v>0</v>
      </c>
      <c r="T90" s="164">
        <f t="shared" ca="1" si="222"/>
        <v>0</v>
      </c>
      <c r="U90" s="164">
        <f t="shared" ca="1" si="223"/>
        <v>0</v>
      </c>
      <c r="V90" s="164">
        <f t="shared" ca="1" si="224"/>
        <v>0</v>
      </c>
      <c r="W90" s="164">
        <f t="shared" ca="1" si="225"/>
        <v>0</v>
      </c>
      <c r="X90" s="164">
        <f t="shared" ca="1" si="226"/>
        <v>0</v>
      </c>
      <c r="Y90" s="164">
        <f t="shared" ca="1" si="227"/>
        <v>0</v>
      </c>
      <c r="Z90" s="164">
        <f t="shared" ca="1" si="228"/>
        <v>0</v>
      </c>
      <c r="AA90" s="164">
        <f t="shared" ca="1" si="229"/>
        <v>0</v>
      </c>
      <c r="AB90" s="164">
        <f t="shared" ca="1" si="230"/>
        <v>0</v>
      </c>
      <c r="AC90" s="164">
        <f t="shared" ca="1" si="231"/>
        <v>0</v>
      </c>
      <c r="AD90" s="164">
        <f t="shared" ca="1" si="232"/>
        <v>0</v>
      </c>
      <c r="AE90" s="164">
        <f t="shared" ca="1" si="233"/>
        <v>0</v>
      </c>
      <c r="AF90" s="164">
        <f t="shared" ca="1" si="234"/>
        <v>0</v>
      </c>
      <c r="AG90" s="164">
        <f t="shared" ca="1" si="235"/>
        <v>0</v>
      </c>
      <c r="AH90" s="164">
        <f t="shared" ca="1" si="236"/>
        <v>0</v>
      </c>
      <c r="AI90" s="164">
        <f t="shared" ca="1" si="237"/>
        <v>0</v>
      </c>
      <c r="AJ90" s="164">
        <f t="shared" ca="1" si="238"/>
        <v>0</v>
      </c>
      <c r="AK90" s="164">
        <f t="shared" ca="1" si="239"/>
        <v>0</v>
      </c>
      <c r="AL90" s="164">
        <f t="shared" ca="1" si="240"/>
        <v>0</v>
      </c>
      <c r="AM90" s="208"/>
      <c r="AN90" s="164">
        <f t="shared" si="241"/>
        <v>0</v>
      </c>
      <c r="AO90" s="164">
        <f t="shared" ca="1" si="242"/>
        <v>0</v>
      </c>
      <c r="AP90" s="164">
        <f t="shared" ca="1" si="243"/>
        <v>0</v>
      </c>
      <c r="AQ90" s="164">
        <f t="shared" ca="1" si="244"/>
        <v>0</v>
      </c>
      <c r="AR90" s="164">
        <f t="shared" ca="1" si="245"/>
        <v>0</v>
      </c>
      <c r="AS90" s="164">
        <f t="shared" ca="1" si="246"/>
        <v>0</v>
      </c>
      <c r="AT90" s="164">
        <f t="shared" ca="1" si="247"/>
        <v>0</v>
      </c>
      <c r="AU90" s="164">
        <f t="shared" ca="1" si="248"/>
        <v>0</v>
      </c>
      <c r="AV90" s="164">
        <f t="shared" ca="1" si="249"/>
        <v>0</v>
      </c>
      <c r="AW90" s="164">
        <f t="shared" ca="1" si="250"/>
        <v>0</v>
      </c>
      <c r="AX90" s="164">
        <f t="shared" ca="1" si="251"/>
        <v>0</v>
      </c>
      <c r="AY90" s="164">
        <f t="shared" ca="1" si="252"/>
        <v>0</v>
      </c>
      <c r="AZ90" s="164">
        <f t="shared" ca="1" si="253"/>
        <v>0</v>
      </c>
      <c r="BA90" s="164">
        <f t="shared" ca="1" si="254"/>
        <v>0</v>
      </c>
      <c r="BB90" s="164">
        <f t="shared" ca="1" si="255"/>
        <v>0</v>
      </c>
      <c r="BC90" s="164">
        <f t="shared" ca="1" si="256"/>
        <v>0</v>
      </c>
      <c r="BD90" s="164">
        <f t="shared" ca="1" si="257"/>
        <v>0</v>
      </c>
      <c r="BE90" s="164">
        <f t="shared" ca="1" si="258"/>
        <v>0</v>
      </c>
      <c r="BF90" s="164">
        <f t="shared" ca="1" si="259"/>
        <v>0</v>
      </c>
      <c r="BG90" s="164">
        <f t="shared" ca="1" si="260"/>
        <v>0</v>
      </c>
      <c r="BH90" s="164">
        <f t="shared" ca="1" si="261"/>
        <v>0</v>
      </c>
      <c r="BI90" s="164">
        <f t="shared" ca="1" si="262"/>
        <v>0</v>
      </c>
      <c r="BJ90" s="164">
        <f t="shared" ca="1" si="263"/>
        <v>0</v>
      </c>
      <c r="BK90" s="164">
        <f t="shared" ca="1" si="264"/>
        <v>0</v>
      </c>
      <c r="BL90" s="164">
        <f t="shared" ca="1" si="265"/>
        <v>0</v>
      </c>
      <c r="BM90" s="164">
        <f t="shared" ca="1" si="266"/>
        <v>0</v>
      </c>
      <c r="BN90" s="164">
        <f t="shared" ca="1" si="267"/>
        <v>0</v>
      </c>
      <c r="BO90" s="356" t="str">
        <f t="shared" ca="1" si="268"/>
        <v/>
      </c>
      <c r="BP90" s="355" t="str">
        <f t="shared" ca="1" si="269"/>
        <v/>
      </c>
      <c r="BQ90" s="355" t="str">
        <f t="shared" ca="1" si="270"/>
        <v/>
      </c>
      <c r="BR90" s="348">
        <f t="shared" ca="1" si="312"/>
        <v>0</v>
      </c>
      <c r="BS90" s="348">
        <f t="shared" ca="1" si="313"/>
        <v>0</v>
      </c>
      <c r="BT90" s="610">
        <f t="shared" ca="1" si="271"/>
        <v>0</v>
      </c>
      <c r="BU90" s="357">
        <f t="shared" ca="1" si="272"/>
        <v>0</v>
      </c>
      <c r="BV90" s="357">
        <f t="shared" si="273"/>
        <v>0</v>
      </c>
      <c r="BW90" s="357">
        <f t="shared" si="274"/>
        <v>0</v>
      </c>
      <c r="BX90" s="357">
        <f t="shared" ca="1" si="275"/>
        <v>0</v>
      </c>
      <c r="BY90" s="357">
        <f t="shared" ca="1" si="316"/>
        <v>0</v>
      </c>
      <c r="BZ90" s="357"/>
      <c r="CA90" s="357">
        <f t="shared" ca="1" si="314"/>
        <v>0</v>
      </c>
      <c r="CB90" s="357" t="str">
        <f t="shared" ca="1" si="276"/>
        <v/>
      </c>
      <c r="CC90" s="358" t="str">
        <f t="shared" ca="1" si="317"/>
        <v/>
      </c>
      <c r="CD90" s="358" t="str">
        <f t="shared" ca="1" si="318"/>
        <v/>
      </c>
      <c r="CE90" s="357" t="str">
        <f t="shared" ca="1" si="308"/>
        <v>,,,,,,,,,,,,,,,,,,,,,,,,,,,,,,</v>
      </c>
      <c r="CF90" s="154" t="str">
        <f t="shared" si="315"/>
        <v/>
      </c>
      <c r="CG90" s="154">
        <f t="shared" ca="1" si="319"/>
        <v>0</v>
      </c>
      <c r="CH90" s="154"/>
      <c r="CI90" s="154"/>
      <c r="CJ90" s="154"/>
      <c r="CK90" s="154"/>
      <c r="CL90" s="154"/>
      <c r="CM90" s="154"/>
      <c r="CN90" t="s">
        <v>784</v>
      </c>
      <c r="CO90" s="169"/>
      <c r="CP90" s="169"/>
      <c r="CQ90" s="169"/>
      <c r="CR90" s="169"/>
      <c r="CS90" s="169"/>
      <c r="CT90" s="169"/>
      <c r="CU90" s="169"/>
      <c r="CV90" s="164" t="str">
        <f t="shared" ca="1" si="320"/>
        <v/>
      </c>
      <c r="CW90" s="164" t="str">
        <f t="shared" ca="1" si="320"/>
        <v/>
      </c>
      <c r="CX90" s="164" t="str">
        <f t="shared" ca="1" si="320"/>
        <v/>
      </c>
      <c r="CY90" s="164" t="str">
        <f t="shared" ca="1" si="320"/>
        <v/>
      </c>
      <c r="CZ90" s="164" t="str">
        <f t="shared" ca="1" si="320"/>
        <v/>
      </c>
      <c r="DA90" s="164" t="str">
        <f t="shared" ca="1" si="320"/>
        <v/>
      </c>
      <c r="DB90" s="164" t="str">
        <f t="shared" ca="1" si="320"/>
        <v/>
      </c>
      <c r="DC90" s="164" t="str">
        <f t="shared" ca="1" si="320"/>
        <v/>
      </c>
      <c r="DD90" s="164" t="str">
        <f t="shared" ca="1" si="320"/>
        <v/>
      </c>
      <c r="DE90" s="164" t="str">
        <f t="shared" ca="1" si="320"/>
        <v/>
      </c>
      <c r="DF90" s="164" t="str">
        <f t="shared" ca="1" si="321"/>
        <v/>
      </c>
      <c r="DG90" s="164" t="str">
        <f t="shared" ca="1" si="321"/>
        <v/>
      </c>
      <c r="DH90" s="164" t="str">
        <f t="shared" ca="1" si="321"/>
        <v/>
      </c>
      <c r="DI90" s="164" t="str">
        <f t="shared" ca="1" si="321"/>
        <v/>
      </c>
      <c r="DJ90" s="164" t="str">
        <f t="shared" ca="1" si="321"/>
        <v/>
      </c>
      <c r="DK90" s="164" t="str">
        <f t="shared" ca="1" si="321"/>
        <v/>
      </c>
      <c r="DL90" s="164" t="str">
        <f t="shared" ca="1" si="321"/>
        <v/>
      </c>
      <c r="DM90" s="164" t="str">
        <f t="shared" ca="1" si="321"/>
        <v/>
      </c>
      <c r="DN90" s="164" t="str">
        <f t="shared" ca="1" si="321"/>
        <v/>
      </c>
      <c r="DO90" s="164" t="str">
        <f t="shared" ca="1" si="321"/>
        <v/>
      </c>
      <c r="DP90" s="164" t="str">
        <f t="shared" ca="1" si="321"/>
        <v/>
      </c>
      <c r="DQ90" s="164" t="str">
        <f t="shared" ca="1" si="321"/>
        <v/>
      </c>
      <c r="DR90" s="208"/>
      <c r="DS90" s="164" t="str">
        <f t="shared" ca="1" si="279"/>
        <v/>
      </c>
      <c r="DT90" s="164" t="str">
        <f t="shared" ca="1" si="280"/>
        <v/>
      </c>
      <c r="DU90" s="164" t="str">
        <f t="shared" ca="1" si="281"/>
        <v/>
      </c>
      <c r="DV90" s="164" t="str">
        <f t="shared" ca="1" si="282"/>
        <v/>
      </c>
      <c r="DW90" s="164" t="str">
        <f t="shared" ca="1" si="283"/>
        <v/>
      </c>
      <c r="DX90" s="164" t="str">
        <f t="shared" ca="1" si="284"/>
        <v/>
      </c>
      <c r="DY90" s="164" t="str">
        <f t="shared" ca="1" si="285"/>
        <v/>
      </c>
      <c r="DZ90" s="164" t="str">
        <f t="shared" ca="1" si="286"/>
        <v/>
      </c>
      <c r="EA90" s="164" t="str">
        <f t="shared" ca="1" si="287"/>
        <v/>
      </c>
      <c r="EB90" s="164" t="str">
        <f t="shared" ca="1" si="288"/>
        <v/>
      </c>
      <c r="EC90" s="164" t="str">
        <f t="shared" ca="1" si="289"/>
        <v/>
      </c>
      <c r="ED90" s="164" t="str">
        <f t="shared" ca="1" si="290"/>
        <v/>
      </c>
      <c r="EE90" s="164" t="str">
        <f t="shared" ca="1" si="291"/>
        <v/>
      </c>
      <c r="EF90" s="164" t="str">
        <f t="shared" ca="1" si="292"/>
        <v/>
      </c>
      <c r="EG90" s="164" t="str">
        <f t="shared" ca="1" si="293"/>
        <v/>
      </c>
      <c r="EH90" s="164" t="str">
        <f t="shared" ca="1" si="294"/>
        <v/>
      </c>
      <c r="EI90" s="164" t="str">
        <f t="shared" ca="1" si="295"/>
        <v/>
      </c>
      <c r="EJ90" s="164" t="str">
        <f t="shared" ca="1" si="296"/>
        <v/>
      </c>
      <c r="EK90" s="164" t="str">
        <f t="shared" ca="1" si="297"/>
        <v/>
      </c>
      <c r="EL90" s="164" t="str">
        <f t="shared" ca="1" si="298"/>
        <v/>
      </c>
      <c r="EM90" s="164" t="str">
        <f t="shared" ca="1" si="299"/>
        <v/>
      </c>
      <c r="EN90" s="164" t="str">
        <f t="shared" ca="1" si="300"/>
        <v/>
      </c>
      <c r="EO90" s="164" t="str">
        <f t="shared" ca="1" si="301"/>
        <v/>
      </c>
      <c r="EP90" s="164" t="str">
        <f t="shared" ca="1" si="302"/>
        <v/>
      </c>
      <c r="EQ90" s="164" t="str">
        <f t="shared" ca="1" si="303"/>
        <v/>
      </c>
      <c r="ER90" s="164" t="str">
        <f t="shared" ca="1" si="304"/>
        <v/>
      </c>
      <c r="ES90" s="164" t="str">
        <f t="shared" ca="1" si="305"/>
        <v/>
      </c>
    </row>
    <row r="91" spans="1:149" x14ac:dyDescent="0.2">
      <c r="A91" s="89" t="str">
        <f t="shared" ca="1" si="306"/>
        <v/>
      </c>
      <c r="B91" s="317" t="str">
        <f t="shared" ca="1" si="213"/>
        <v/>
      </c>
      <c r="C91" s="609" t="str">
        <f t="shared" ca="1" si="214"/>
        <v/>
      </c>
      <c r="D91" s="1956" t="str">
        <f t="shared" ca="1" si="215"/>
        <v/>
      </c>
      <c r="E91" s="1956"/>
      <c r="F91" s="960"/>
      <c r="G91" s="485" t="str">
        <f t="shared" ca="1" si="216"/>
        <v/>
      </c>
      <c r="H91" s="983"/>
      <c r="I91" s="486"/>
      <c r="J91" s="326"/>
      <c r="K91" s="1886" t="str">
        <f t="shared" ca="1" si="217"/>
        <v/>
      </c>
      <c r="L91" s="1888"/>
      <c r="M91" s="296" t="str">
        <f t="shared" ca="1" si="307"/>
        <v/>
      </c>
      <c r="N91" s="1322"/>
      <c r="O91" s="1319"/>
      <c r="P91" s="957" t="str">
        <f t="shared" ca="1" si="218"/>
        <v/>
      </c>
      <c r="Q91" s="164">
        <f t="shared" si="219"/>
        <v>0</v>
      </c>
      <c r="R91" s="164">
        <f t="shared" ca="1" si="220"/>
        <v>0</v>
      </c>
      <c r="S91" s="164">
        <f t="shared" ca="1" si="221"/>
        <v>0</v>
      </c>
      <c r="T91" s="164">
        <f t="shared" ca="1" si="222"/>
        <v>0</v>
      </c>
      <c r="U91" s="164">
        <f t="shared" ca="1" si="223"/>
        <v>0</v>
      </c>
      <c r="V91" s="164">
        <f t="shared" ca="1" si="224"/>
        <v>0</v>
      </c>
      <c r="W91" s="164">
        <f t="shared" ca="1" si="225"/>
        <v>0</v>
      </c>
      <c r="X91" s="164">
        <f t="shared" ca="1" si="226"/>
        <v>0</v>
      </c>
      <c r="Y91" s="164">
        <f t="shared" ca="1" si="227"/>
        <v>0</v>
      </c>
      <c r="Z91" s="164">
        <f t="shared" ca="1" si="228"/>
        <v>0</v>
      </c>
      <c r="AA91" s="164">
        <f t="shared" ca="1" si="229"/>
        <v>0</v>
      </c>
      <c r="AB91" s="164">
        <f t="shared" ca="1" si="230"/>
        <v>0</v>
      </c>
      <c r="AC91" s="164">
        <f t="shared" ca="1" si="231"/>
        <v>0</v>
      </c>
      <c r="AD91" s="164">
        <f t="shared" ca="1" si="232"/>
        <v>0</v>
      </c>
      <c r="AE91" s="164">
        <f t="shared" ca="1" si="233"/>
        <v>0</v>
      </c>
      <c r="AF91" s="164">
        <f t="shared" ca="1" si="234"/>
        <v>0</v>
      </c>
      <c r="AG91" s="164">
        <f t="shared" ca="1" si="235"/>
        <v>0</v>
      </c>
      <c r="AH91" s="164">
        <f t="shared" ca="1" si="236"/>
        <v>0</v>
      </c>
      <c r="AI91" s="164">
        <f t="shared" ca="1" si="237"/>
        <v>0</v>
      </c>
      <c r="AJ91" s="164">
        <f t="shared" ca="1" si="238"/>
        <v>0</v>
      </c>
      <c r="AK91" s="164">
        <f t="shared" ca="1" si="239"/>
        <v>0</v>
      </c>
      <c r="AL91" s="164">
        <f t="shared" ca="1" si="240"/>
        <v>0</v>
      </c>
      <c r="AM91" s="208"/>
      <c r="AN91" s="164">
        <f t="shared" si="241"/>
        <v>0</v>
      </c>
      <c r="AO91" s="164">
        <f t="shared" ca="1" si="242"/>
        <v>0</v>
      </c>
      <c r="AP91" s="164">
        <f t="shared" ca="1" si="243"/>
        <v>0</v>
      </c>
      <c r="AQ91" s="164">
        <f t="shared" ca="1" si="244"/>
        <v>0</v>
      </c>
      <c r="AR91" s="164">
        <f t="shared" ca="1" si="245"/>
        <v>0</v>
      </c>
      <c r="AS91" s="164">
        <f t="shared" ca="1" si="246"/>
        <v>0</v>
      </c>
      <c r="AT91" s="164">
        <f t="shared" ca="1" si="247"/>
        <v>0</v>
      </c>
      <c r="AU91" s="164">
        <f t="shared" ca="1" si="248"/>
        <v>0</v>
      </c>
      <c r="AV91" s="164">
        <f t="shared" ca="1" si="249"/>
        <v>0</v>
      </c>
      <c r="AW91" s="164">
        <f t="shared" ca="1" si="250"/>
        <v>0</v>
      </c>
      <c r="AX91" s="164">
        <f t="shared" ca="1" si="251"/>
        <v>0</v>
      </c>
      <c r="AY91" s="164">
        <f t="shared" ca="1" si="252"/>
        <v>0</v>
      </c>
      <c r="AZ91" s="164">
        <f t="shared" ca="1" si="253"/>
        <v>0</v>
      </c>
      <c r="BA91" s="164">
        <f t="shared" ca="1" si="254"/>
        <v>0</v>
      </c>
      <c r="BB91" s="164">
        <f t="shared" ca="1" si="255"/>
        <v>0</v>
      </c>
      <c r="BC91" s="164">
        <f t="shared" ca="1" si="256"/>
        <v>0</v>
      </c>
      <c r="BD91" s="164">
        <f t="shared" ca="1" si="257"/>
        <v>0</v>
      </c>
      <c r="BE91" s="164">
        <f t="shared" ca="1" si="258"/>
        <v>0</v>
      </c>
      <c r="BF91" s="164">
        <f t="shared" ca="1" si="259"/>
        <v>0</v>
      </c>
      <c r="BG91" s="164">
        <f t="shared" ca="1" si="260"/>
        <v>0</v>
      </c>
      <c r="BH91" s="164">
        <f t="shared" ca="1" si="261"/>
        <v>0</v>
      </c>
      <c r="BI91" s="164">
        <f t="shared" ca="1" si="262"/>
        <v>0</v>
      </c>
      <c r="BJ91" s="164">
        <f t="shared" ca="1" si="263"/>
        <v>0</v>
      </c>
      <c r="BK91" s="164">
        <f t="shared" ca="1" si="264"/>
        <v>0</v>
      </c>
      <c r="BL91" s="164">
        <f t="shared" ca="1" si="265"/>
        <v>0</v>
      </c>
      <c r="BM91" s="164">
        <f t="shared" ca="1" si="266"/>
        <v>0</v>
      </c>
      <c r="BN91" s="164">
        <f t="shared" ca="1" si="267"/>
        <v>0</v>
      </c>
      <c r="BO91" s="356" t="str">
        <f t="shared" ca="1" si="268"/>
        <v/>
      </c>
      <c r="BP91" s="355" t="str">
        <f t="shared" ca="1" si="269"/>
        <v/>
      </c>
      <c r="BQ91" s="355" t="str">
        <f t="shared" ca="1" si="270"/>
        <v/>
      </c>
      <c r="BR91" s="348">
        <f t="shared" ca="1" si="312"/>
        <v>0</v>
      </c>
      <c r="BS91" s="348">
        <f t="shared" ca="1" si="313"/>
        <v>0</v>
      </c>
      <c r="BT91" s="610">
        <f t="shared" ca="1" si="271"/>
        <v>0</v>
      </c>
      <c r="BU91" s="357">
        <f t="shared" ca="1" si="272"/>
        <v>0</v>
      </c>
      <c r="BV91" s="357">
        <f t="shared" si="273"/>
        <v>0</v>
      </c>
      <c r="BW91" s="357">
        <f t="shared" si="274"/>
        <v>0</v>
      </c>
      <c r="BX91" s="357">
        <f t="shared" ca="1" si="275"/>
        <v>0</v>
      </c>
      <c r="BY91" s="357">
        <f t="shared" ca="1" si="316"/>
        <v>0</v>
      </c>
      <c r="BZ91" s="357"/>
      <c r="CA91" s="357">
        <f t="shared" ca="1" si="314"/>
        <v>0</v>
      </c>
      <c r="CB91" s="357" t="str">
        <f t="shared" ca="1" si="276"/>
        <v/>
      </c>
      <c r="CC91" s="358" t="str">
        <f t="shared" ca="1" si="317"/>
        <v/>
      </c>
      <c r="CD91" s="358" t="str">
        <f t="shared" ca="1" si="318"/>
        <v/>
      </c>
      <c r="CE91" s="357" t="str">
        <f t="shared" ca="1" si="308"/>
        <v>,,,,,,,,,,,,,,,,,,,,,,,,,,,,,,,</v>
      </c>
      <c r="CF91" s="154" t="str">
        <f t="shared" si="315"/>
        <v/>
      </c>
      <c r="CG91" s="154">
        <f t="shared" ca="1" si="319"/>
        <v>0</v>
      </c>
      <c r="CH91" s="154"/>
      <c r="CI91" s="154"/>
      <c r="CJ91" s="154"/>
      <c r="CK91" s="154"/>
      <c r="CL91" s="154"/>
      <c r="CM91" s="154"/>
      <c r="CN91" t="s">
        <v>784</v>
      </c>
      <c r="CO91" s="169"/>
      <c r="CP91" s="169"/>
      <c r="CQ91" s="169"/>
      <c r="CR91" s="169"/>
      <c r="CS91" s="169"/>
      <c r="CT91" s="169"/>
      <c r="CU91" s="169"/>
      <c r="CV91" s="164" t="str">
        <f t="shared" ref="CV91:DE100" ca="1" si="322">IF($A91="","",IF(VT_VRTLZBR,CODE("F"),CODE(VLOOKUP($A91,ZAUBERWERTE,10,FALSE))-
SUM($BR91:$CA91,
IF(ISERR(FIND(";"&amp;CV$10&amp;";",$H91)),0,1),
IF(ISERR(FIND(";"&amp;CV$10&amp;":",$H91)),0,VALUE(MID($H91,FIND(";"&amp;CV$10&amp;":",$H91)+LEN(CV$10)+2,1))),
IF(AND(NOT(EXACT($AF$241,"")),OR(CV$10&gt;$CO91,ISBLANK($CO91))),IF($CV$3,IF(ISERROR(FIND($AF$241,$BQ91)),0,1),(LEN($BQ91)-LEN(SUBSTITUTE($BQ91,$AF$241,"")))/LEN($AF$241)),0),
IF(AND(NOT(EXACT($AF$242,"")),OR(CV$10&gt;$CP91,ISBLANK($CP91))),IF($CV$3,IF(ISERROR(FIND($AF$242,$BQ91)),0,1),(LEN($BQ91)-LEN(SUBSTITUTE($BQ91,$AF$242,"")))/LEN($AF$242)),0),
IF(AND(NOT(EXACT($AF$243,"")),OR(CV$10&gt;$CQ91,ISBLANK($CQ91))),IF($CV$3,IF(ISERROR(FIND($AF$243,$BQ91)),0,1),(LEN($BQ91)-LEN(SUBSTITUTE($BQ91,$AF$243,"")))/LEN($AF$243)),0),
IF(AND(NOT(EXACT($AF$244,"")),OR(CV$10&gt;$CR91,ISBLANK($CR91))),IF($CV$3,IF(ISERROR(FIND($AF$244,$BQ91)),0,1),(LEN($BQ91)-LEN(SUBSTITUTE($BQ91,$AF$244,"")))/LEN($AF$244)),0),
IF(AND(NOT(EXACT($AF$245,"")),OR(CV$10&gt;$CS91,ISBLANK($CS91))),IF($CV$3,IF(ISERROR(FIND($AF$245,$BQ91)),0,1),(LEN($BQ91)-LEN(SUBSTITUTE($BQ91,$AF$245,"")))/LEN($AF$245)),0),
IF(AND(NOT(EXACT($AF$246,"")),OR(CV$10&gt;$CT91,ISBLANK($CT91))),IF($CV$3,IF(ISERROR(FIND($AF$246,$BQ91)),0,1),(LEN($BQ91)-LEN(SUBSTITUTE($BQ91,$AF$246,"")))/LEN($AF$246)),0),
IF(AND(NOT(EXACT($AF$247,"")),OR(CV$10&gt;$CU91,ISBLANK($CU91))),IF($CV$3,IF(ISERROR(FIND($AF$247,$BQ91)),0,1),(LEN($BQ91)-LEN(SUBSTITUTE($BQ91,$AF$247,"")))/LEN($AF$247)),0)
)))</f>
        <v/>
      </c>
      <c r="CW91" s="164" t="str">
        <f t="shared" ca="1" si="322"/>
        <v/>
      </c>
      <c r="CX91" s="164" t="str">
        <f t="shared" ca="1" si="322"/>
        <v/>
      </c>
      <c r="CY91" s="164" t="str">
        <f t="shared" ca="1" si="322"/>
        <v/>
      </c>
      <c r="CZ91" s="164" t="str">
        <f t="shared" ca="1" si="322"/>
        <v/>
      </c>
      <c r="DA91" s="164" t="str">
        <f t="shared" ca="1" si="322"/>
        <v/>
      </c>
      <c r="DB91" s="164" t="str">
        <f t="shared" ca="1" si="322"/>
        <v/>
      </c>
      <c r="DC91" s="164" t="str">
        <f t="shared" ca="1" si="322"/>
        <v/>
      </c>
      <c r="DD91" s="164" t="str">
        <f t="shared" ca="1" si="322"/>
        <v/>
      </c>
      <c r="DE91" s="164" t="str">
        <f t="shared" ca="1" si="322"/>
        <v/>
      </c>
      <c r="DF91" s="164" t="str">
        <f t="shared" ref="DF91:DQ100" ca="1" si="323">IF($A91="","",IF(VT_VRTLZBR,CODE("F"),CODE(VLOOKUP($A91,ZAUBERWERTE,10,FALSE))-
SUM($BR91:$CA91,
IF(ISERR(FIND(";"&amp;DF$10&amp;";",$H91)),0,1),
IF(ISERR(FIND(";"&amp;DF$10&amp;":",$H91)),0,VALUE(MID($H91,FIND(";"&amp;DF$10&amp;":",$H91)+LEN(DF$10)+2,1))),
IF(AND(NOT(EXACT($AF$241,"")),OR(DF$10&gt;$CO91,ISBLANK($CO91))),IF($CV$3,IF(ISERROR(FIND($AF$241,$BQ91)),0,1),(LEN($BQ91)-LEN(SUBSTITUTE($BQ91,$AF$241,"")))/LEN($AF$241)),0),
IF(AND(NOT(EXACT($AF$242,"")),OR(DF$10&gt;$CP91,ISBLANK($CP91))),IF($CV$3,IF(ISERROR(FIND($AF$242,$BQ91)),0,1),(LEN($BQ91)-LEN(SUBSTITUTE($BQ91,$AF$242,"")))/LEN($AF$242)),0),
IF(AND(NOT(EXACT($AF$243,"")),OR(DF$10&gt;$CQ91,ISBLANK($CQ91))),IF($CV$3,IF(ISERROR(FIND($AF$243,$BQ91)),0,1),(LEN($BQ91)-LEN(SUBSTITUTE($BQ91,$AF$243,"")))/LEN($AF$243)),0),
IF(AND(NOT(EXACT($AF$244,"")),OR(DF$10&gt;$CR91,ISBLANK($CR91))),IF($CV$3,IF(ISERROR(FIND($AF$244,$BQ91)),0,1),(LEN($BQ91)-LEN(SUBSTITUTE($BQ91,$AF$244,"")))/LEN($AF$244)),0),
IF(AND(NOT(EXACT($AF$245,"")),OR(DF$10&gt;$CS91,ISBLANK($CS91))),IF($CV$3,IF(ISERROR(FIND($AF$245,$BQ91)),0,1),(LEN($BQ91)-LEN(SUBSTITUTE($BQ91,$AF$245,"")))/LEN($AF$245)),0),
IF(AND(NOT(EXACT($AF$246,"")),OR(DF$10&gt;$CT91,ISBLANK($CT91))),IF($CV$3,IF(ISERROR(FIND($AF$246,$BQ91)),0,1),(LEN($BQ91)-LEN(SUBSTITUTE($BQ91,$AF$246,"")))/LEN($AF$246)),0),
IF(AND(NOT(EXACT($AF$247,"")),OR(DF$10&gt;$CU91,ISBLANK($CU91))),IF($CV$3,IF(ISERROR(FIND($AF$247,$BQ91)),0,1),(LEN($BQ91)-LEN(SUBSTITUTE($BQ91,$AF$247,"")))/LEN($AF$247)),0)
)))</f>
        <v/>
      </c>
      <c r="DG91" s="164" t="str">
        <f t="shared" ca="1" si="323"/>
        <v/>
      </c>
      <c r="DH91" s="164" t="str">
        <f t="shared" ca="1" si="323"/>
        <v/>
      </c>
      <c r="DI91" s="164" t="str">
        <f t="shared" ca="1" si="323"/>
        <v/>
      </c>
      <c r="DJ91" s="164" t="str">
        <f t="shared" ca="1" si="323"/>
        <v/>
      </c>
      <c r="DK91" s="164" t="str">
        <f t="shared" ca="1" si="323"/>
        <v/>
      </c>
      <c r="DL91" s="164" t="str">
        <f t="shared" ca="1" si="323"/>
        <v/>
      </c>
      <c r="DM91" s="164" t="str">
        <f t="shared" ca="1" si="323"/>
        <v/>
      </c>
      <c r="DN91" s="164" t="str">
        <f t="shared" ca="1" si="323"/>
        <v/>
      </c>
      <c r="DO91" s="164" t="str">
        <f t="shared" ca="1" si="323"/>
        <v/>
      </c>
      <c r="DP91" s="164" t="str">
        <f t="shared" ca="1" si="323"/>
        <v/>
      </c>
      <c r="DQ91" s="164" t="str">
        <f t="shared" ca="1" si="323"/>
        <v/>
      </c>
      <c r="DR91" s="208"/>
      <c r="DS91" s="164" t="str">
        <f t="shared" ca="1" si="279"/>
        <v/>
      </c>
      <c r="DT91" s="164" t="str">
        <f t="shared" ca="1" si="280"/>
        <v/>
      </c>
      <c r="DU91" s="164" t="str">
        <f t="shared" ca="1" si="281"/>
        <v/>
      </c>
      <c r="DV91" s="164" t="str">
        <f t="shared" ca="1" si="282"/>
        <v/>
      </c>
      <c r="DW91" s="164" t="str">
        <f t="shared" ca="1" si="283"/>
        <v/>
      </c>
      <c r="DX91" s="164" t="str">
        <f t="shared" ca="1" si="284"/>
        <v/>
      </c>
      <c r="DY91" s="164" t="str">
        <f t="shared" ca="1" si="285"/>
        <v/>
      </c>
      <c r="DZ91" s="164" t="str">
        <f t="shared" ca="1" si="286"/>
        <v/>
      </c>
      <c r="EA91" s="164" t="str">
        <f t="shared" ca="1" si="287"/>
        <v/>
      </c>
      <c r="EB91" s="164" t="str">
        <f t="shared" ca="1" si="288"/>
        <v/>
      </c>
      <c r="EC91" s="164" t="str">
        <f t="shared" ca="1" si="289"/>
        <v/>
      </c>
      <c r="ED91" s="164" t="str">
        <f t="shared" ca="1" si="290"/>
        <v/>
      </c>
      <c r="EE91" s="164" t="str">
        <f t="shared" ca="1" si="291"/>
        <v/>
      </c>
      <c r="EF91" s="164" t="str">
        <f t="shared" ca="1" si="292"/>
        <v/>
      </c>
      <c r="EG91" s="164" t="str">
        <f t="shared" ca="1" si="293"/>
        <v/>
      </c>
      <c r="EH91" s="164" t="str">
        <f t="shared" ca="1" si="294"/>
        <v/>
      </c>
      <c r="EI91" s="164" t="str">
        <f t="shared" ca="1" si="295"/>
        <v/>
      </c>
      <c r="EJ91" s="164" t="str">
        <f t="shared" ca="1" si="296"/>
        <v/>
      </c>
      <c r="EK91" s="164" t="str">
        <f t="shared" ca="1" si="297"/>
        <v/>
      </c>
      <c r="EL91" s="164" t="str">
        <f t="shared" ca="1" si="298"/>
        <v/>
      </c>
      <c r="EM91" s="164" t="str">
        <f t="shared" ca="1" si="299"/>
        <v/>
      </c>
      <c r="EN91" s="164" t="str">
        <f t="shared" ca="1" si="300"/>
        <v/>
      </c>
      <c r="EO91" s="164" t="str">
        <f t="shared" ca="1" si="301"/>
        <v/>
      </c>
      <c r="EP91" s="164" t="str">
        <f t="shared" ca="1" si="302"/>
        <v/>
      </c>
      <c r="EQ91" s="164" t="str">
        <f t="shared" ca="1" si="303"/>
        <v/>
      </c>
      <c r="ER91" s="164" t="str">
        <f t="shared" ca="1" si="304"/>
        <v/>
      </c>
      <c r="ES91" s="164" t="str">
        <f t="shared" ca="1" si="305"/>
        <v/>
      </c>
    </row>
    <row r="92" spans="1:149" x14ac:dyDescent="0.2">
      <c r="A92" s="89" t="str">
        <f t="shared" ca="1" si="306"/>
        <v/>
      </c>
      <c r="B92" s="317" t="str">
        <f t="shared" ca="1" si="213"/>
        <v/>
      </c>
      <c r="C92" s="609" t="str">
        <f t="shared" ca="1" si="214"/>
        <v/>
      </c>
      <c r="D92" s="1956" t="str">
        <f t="shared" ca="1" si="215"/>
        <v/>
      </c>
      <c r="E92" s="1956"/>
      <c r="F92" s="960"/>
      <c r="G92" s="485" t="str">
        <f t="shared" ca="1" si="216"/>
        <v/>
      </c>
      <c r="H92" s="983"/>
      <c r="I92" s="486"/>
      <c r="J92" s="326"/>
      <c r="K92" s="1886" t="str">
        <f t="shared" ca="1" si="217"/>
        <v/>
      </c>
      <c r="L92" s="1888"/>
      <c r="M92" s="296" t="str">
        <f t="shared" ca="1" si="307"/>
        <v/>
      </c>
      <c r="N92" s="1322"/>
      <c r="O92" s="1319"/>
      <c r="P92" s="957" t="str">
        <f t="shared" ca="1" si="218"/>
        <v/>
      </c>
      <c r="Q92" s="164">
        <f t="shared" si="219"/>
        <v>0</v>
      </c>
      <c r="R92" s="164">
        <f t="shared" ca="1" si="220"/>
        <v>0</v>
      </c>
      <c r="S92" s="164">
        <f t="shared" ca="1" si="221"/>
        <v>0</v>
      </c>
      <c r="T92" s="164">
        <f t="shared" ca="1" si="222"/>
        <v>0</v>
      </c>
      <c r="U92" s="164">
        <f t="shared" ca="1" si="223"/>
        <v>0</v>
      </c>
      <c r="V92" s="164">
        <f t="shared" ca="1" si="224"/>
        <v>0</v>
      </c>
      <c r="W92" s="164">
        <f t="shared" ca="1" si="225"/>
        <v>0</v>
      </c>
      <c r="X92" s="164">
        <f t="shared" ca="1" si="226"/>
        <v>0</v>
      </c>
      <c r="Y92" s="164">
        <f t="shared" ca="1" si="227"/>
        <v>0</v>
      </c>
      <c r="Z92" s="164">
        <f t="shared" ca="1" si="228"/>
        <v>0</v>
      </c>
      <c r="AA92" s="164">
        <f t="shared" ca="1" si="229"/>
        <v>0</v>
      </c>
      <c r="AB92" s="164">
        <f t="shared" ca="1" si="230"/>
        <v>0</v>
      </c>
      <c r="AC92" s="164">
        <f t="shared" ca="1" si="231"/>
        <v>0</v>
      </c>
      <c r="AD92" s="164">
        <f t="shared" ca="1" si="232"/>
        <v>0</v>
      </c>
      <c r="AE92" s="164">
        <f t="shared" ca="1" si="233"/>
        <v>0</v>
      </c>
      <c r="AF92" s="164">
        <f t="shared" ca="1" si="234"/>
        <v>0</v>
      </c>
      <c r="AG92" s="164">
        <f t="shared" ca="1" si="235"/>
        <v>0</v>
      </c>
      <c r="AH92" s="164">
        <f t="shared" ca="1" si="236"/>
        <v>0</v>
      </c>
      <c r="AI92" s="164">
        <f t="shared" ca="1" si="237"/>
        <v>0</v>
      </c>
      <c r="AJ92" s="164">
        <f t="shared" ca="1" si="238"/>
        <v>0</v>
      </c>
      <c r="AK92" s="164">
        <f t="shared" ca="1" si="239"/>
        <v>0</v>
      </c>
      <c r="AL92" s="164">
        <f t="shared" ca="1" si="240"/>
        <v>0</v>
      </c>
      <c r="AM92" s="208"/>
      <c r="AN92" s="164">
        <f t="shared" si="241"/>
        <v>0</v>
      </c>
      <c r="AO92" s="164">
        <f t="shared" ca="1" si="242"/>
        <v>0</v>
      </c>
      <c r="AP92" s="164">
        <f t="shared" ca="1" si="243"/>
        <v>0</v>
      </c>
      <c r="AQ92" s="164">
        <f t="shared" ca="1" si="244"/>
        <v>0</v>
      </c>
      <c r="AR92" s="164">
        <f t="shared" ca="1" si="245"/>
        <v>0</v>
      </c>
      <c r="AS92" s="164">
        <f t="shared" ca="1" si="246"/>
        <v>0</v>
      </c>
      <c r="AT92" s="164">
        <f t="shared" ca="1" si="247"/>
        <v>0</v>
      </c>
      <c r="AU92" s="164">
        <f t="shared" ca="1" si="248"/>
        <v>0</v>
      </c>
      <c r="AV92" s="164">
        <f t="shared" ca="1" si="249"/>
        <v>0</v>
      </c>
      <c r="AW92" s="164">
        <f t="shared" ca="1" si="250"/>
        <v>0</v>
      </c>
      <c r="AX92" s="164">
        <f t="shared" ca="1" si="251"/>
        <v>0</v>
      </c>
      <c r="AY92" s="164">
        <f t="shared" ca="1" si="252"/>
        <v>0</v>
      </c>
      <c r="AZ92" s="164">
        <f t="shared" ca="1" si="253"/>
        <v>0</v>
      </c>
      <c r="BA92" s="164">
        <f t="shared" ca="1" si="254"/>
        <v>0</v>
      </c>
      <c r="BB92" s="164">
        <f t="shared" ca="1" si="255"/>
        <v>0</v>
      </c>
      <c r="BC92" s="164">
        <f t="shared" ca="1" si="256"/>
        <v>0</v>
      </c>
      <c r="BD92" s="164">
        <f t="shared" ca="1" si="257"/>
        <v>0</v>
      </c>
      <c r="BE92" s="164">
        <f t="shared" ca="1" si="258"/>
        <v>0</v>
      </c>
      <c r="BF92" s="164">
        <f t="shared" ca="1" si="259"/>
        <v>0</v>
      </c>
      <c r="BG92" s="164">
        <f t="shared" ca="1" si="260"/>
        <v>0</v>
      </c>
      <c r="BH92" s="164">
        <f t="shared" ca="1" si="261"/>
        <v>0</v>
      </c>
      <c r="BI92" s="164">
        <f t="shared" ca="1" si="262"/>
        <v>0</v>
      </c>
      <c r="BJ92" s="164">
        <f t="shared" ca="1" si="263"/>
        <v>0</v>
      </c>
      <c r="BK92" s="164">
        <f t="shared" ca="1" si="264"/>
        <v>0</v>
      </c>
      <c r="BL92" s="164">
        <f t="shared" ca="1" si="265"/>
        <v>0</v>
      </c>
      <c r="BM92" s="164">
        <f t="shared" ca="1" si="266"/>
        <v>0</v>
      </c>
      <c r="BN92" s="164">
        <f t="shared" ca="1" si="267"/>
        <v>0</v>
      </c>
      <c r="BO92" s="356" t="str">
        <f t="shared" ca="1" si="268"/>
        <v/>
      </c>
      <c r="BP92" s="355" t="str">
        <f t="shared" ca="1" si="269"/>
        <v/>
      </c>
      <c r="BQ92" s="355" t="str">
        <f t="shared" ca="1" si="270"/>
        <v/>
      </c>
      <c r="BR92" s="348">
        <f t="shared" ca="1" si="312"/>
        <v>0</v>
      </c>
      <c r="BS92" s="348">
        <f t="shared" ca="1" si="313"/>
        <v>0</v>
      </c>
      <c r="BT92" s="610">
        <f t="shared" ca="1" si="271"/>
        <v>0</v>
      </c>
      <c r="BU92" s="357">
        <f t="shared" ca="1" si="272"/>
        <v>0</v>
      </c>
      <c r="BV92" s="357">
        <f t="shared" si="273"/>
        <v>0</v>
      </c>
      <c r="BW92" s="357">
        <f t="shared" si="274"/>
        <v>0</v>
      </c>
      <c r="BX92" s="357">
        <f t="shared" ca="1" si="275"/>
        <v>0</v>
      </c>
      <c r="BY92" s="357">
        <f t="shared" ca="1" si="316"/>
        <v>0</v>
      </c>
      <c r="BZ92" s="357"/>
      <c r="CA92" s="357">
        <f t="shared" ca="1" si="314"/>
        <v>0</v>
      </c>
      <c r="CB92" s="357" t="str">
        <f t="shared" ca="1" si="276"/>
        <v/>
      </c>
      <c r="CC92" s="358" t="str">
        <f t="shared" ca="1" si="317"/>
        <v/>
      </c>
      <c r="CD92" s="358" t="str">
        <f t="shared" ca="1" si="318"/>
        <v/>
      </c>
      <c r="CE92" s="357" t="str">
        <f t="shared" ca="1" si="308"/>
        <v>,,,,,,,,,,,,,,,,,,,,,,,,,,,,,,,,</v>
      </c>
      <c r="CF92" s="154" t="str">
        <f t="shared" si="315"/>
        <v/>
      </c>
      <c r="CG92" s="154">
        <f t="shared" ca="1" si="319"/>
        <v>0</v>
      </c>
      <c r="CH92" s="154"/>
      <c r="CI92" s="154"/>
      <c r="CJ92" s="154"/>
      <c r="CK92" s="154"/>
      <c r="CL92" s="154"/>
      <c r="CM92" s="154"/>
      <c r="CN92" t="s">
        <v>784</v>
      </c>
      <c r="CO92" s="169"/>
      <c r="CP92" s="169"/>
      <c r="CQ92" s="169"/>
      <c r="CR92" s="169"/>
      <c r="CS92" s="169"/>
      <c r="CT92" s="169"/>
      <c r="CU92" s="169"/>
      <c r="CV92" s="164" t="str">
        <f t="shared" ca="1" si="322"/>
        <v/>
      </c>
      <c r="CW92" s="164" t="str">
        <f t="shared" ca="1" si="322"/>
        <v/>
      </c>
      <c r="CX92" s="164" t="str">
        <f t="shared" ca="1" si="322"/>
        <v/>
      </c>
      <c r="CY92" s="164" t="str">
        <f t="shared" ca="1" si="322"/>
        <v/>
      </c>
      <c r="CZ92" s="164" t="str">
        <f t="shared" ca="1" si="322"/>
        <v/>
      </c>
      <c r="DA92" s="164" t="str">
        <f t="shared" ca="1" si="322"/>
        <v/>
      </c>
      <c r="DB92" s="164" t="str">
        <f t="shared" ca="1" si="322"/>
        <v/>
      </c>
      <c r="DC92" s="164" t="str">
        <f t="shared" ca="1" si="322"/>
        <v/>
      </c>
      <c r="DD92" s="164" t="str">
        <f t="shared" ca="1" si="322"/>
        <v/>
      </c>
      <c r="DE92" s="164" t="str">
        <f t="shared" ca="1" si="322"/>
        <v/>
      </c>
      <c r="DF92" s="164" t="str">
        <f t="shared" ca="1" si="323"/>
        <v/>
      </c>
      <c r="DG92" s="164" t="str">
        <f t="shared" ca="1" si="323"/>
        <v/>
      </c>
      <c r="DH92" s="164" t="str">
        <f t="shared" ca="1" si="323"/>
        <v/>
      </c>
      <c r="DI92" s="164" t="str">
        <f t="shared" ca="1" si="323"/>
        <v/>
      </c>
      <c r="DJ92" s="164" t="str">
        <f t="shared" ca="1" si="323"/>
        <v/>
      </c>
      <c r="DK92" s="164" t="str">
        <f t="shared" ca="1" si="323"/>
        <v/>
      </c>
      <c r="DL92" s="164" t="str">
        <f t="shared" ca="1" si="323"/>
        <v/>
      </c>
      <c r="DM92" s="164" t="str">
        <f t="shared" ca="1" si="323"/>
        <v/>
      </c>
      <c r="DN92" s="164" t="str">
        <f t="shared" ca="1" si="323"/>
        <v/>
      </c>
      <c r="DO92" s="164" t="str">
        <f t="shared" ca="1" si="323"/>
        <v/>
      </c>
      <c r="DP92" s="164" t="str">
        <f t="shared" ca="1" si="323"/>
        <v/>
      </c>
      <c r="DQ92" s="164" t="str">
        <f t="shared" ca="1" si="323"/>
        <v/>
      </c>
      <c r="DR92" s="208"/>
      <c r="DS92" s="164" t="str">
        <f t="shared" ca="1" si="279"/>
        <v/>
      </c>
      <c r="DT92" s="164" t="str">
        <f t="shared" ca="1" si="280"/>
        <v/>
      </c>
      <c r="DU92" s="164" t="str">
        <f t="shared" ca="1" si="281"/>
        <v/>
      </c>
      <c r="DV92" s="164" t="str">
        <f t="shared" ca="1" si="282"/>
        <v/>
      </c>
      <c r="DW92" s="164" t="str">
        <f t="shared" ca="1" si="283"/>
        <v/>
      </c>
      <c r="DX92" s="164" t="str">
        <f t="shared" ca="1" si="284"/>
        <v/>
      </c>
      <c r="DY92" s="164" t="str">
        <f t="shared" ca="1" si="285"/>
        <v/>
      </c>
      <c r="DZ92" s="164" t="str">
        <f t="shared" ca="1" si="286"/>
        <v/>
      </c>
      <c r="EA92" s="164" t="str">
        <f t="shared" ca="1" si="287"/>
        <v/>
      </c>
      <c r="EB92" s="164" t="str">
        <f t="shared" ca="1" si="288"/>
        <v/>
      </c>
      <c r="EC92" s="164" t="str">
        <f t="shared" ca="1" si="289"/>
        <v/>
      </c>
      <c r="ED92" s="164" t="str">
        <f t="shared" ca="1" si="290"/>
        <v/>
      </c>
      <c r="EE92" s="164" t="str">
        <f t="shared" ca="1" si="291"/>
        <v/>
      </c>
      <c r="EF92" s="164" t="str">
        <f t="shared" ca="1" si="292"/>
        <v/>
      </c>
      <c r="EG92" s="164" t="str">
        <f t="shared" ca="1" si="293"/>
        <v/>
      </c>
      <c r="EH92" s="164" t="str">
        <f t="shared" ca="1" si="294"/>
        <v/>
      </c>
      <c r="EI92" s="164" t="str">
        <f t="shared" ca="1" si="295"/>
        <v/>
      </c>
      <c r="EJ92" s="164" t="str">
        <f t="shared" ca="1" si="296"/>
        <v/>
      </c>
      <c r="EK92" s="164" t="str">
        <f t="shared" ca="1" si="297"/>
        <v/>
      </c>
      <c r="EL92" s="164" t="str">
        <f t="shared" ca="1" si="298"/>
        <v/>
      </c>
      <c r="EM92" s="164" t="str">
        <f t="shared" ca="1" si="299"/>
        <v/>
      </c>
      <c r="EN92" s="164" t="str">
        <f t="shared" ca="1" si="300"/>
        <v/>
      </c>
      <c r="EO92" s="164" t="str">
        <f t="shared" ca="1" si="301"/>
        <v/>
      </c>
      <c r="EP92" s="164" t="str">
        <f t="shared" ca="1" si="302"/>
        <v/>
      </c>
      <c r="EQ92" s="164" t="str">
        <f t="shared" ca="1" si="303"/>
        <v/>
      </c>
      <c r="ER92" s="164" t="str">
        <f t="shared" ca="1" si="304"/>
        <v/>
      </c>
      <c r="ES92" s="164" t="str">
        <f t="shared" ca="1" si="305"/>
        <v/>
      </c>
    </row>
    <row r="93" spans="1:149" x14ac:dyDescent="0.2">
      <c r="A93" s="89" t="str">
        <f t="shared" ca="1" si="306"/>
        <v/>
      </c>
      <c r="B93" s="317" t="str">
        <f t="shared" ref="B93:B124" ca="1" si="324">IF(AND(MAGISCH,NOT(EXACT($A93,""))),0,"")</f>
        <v/>
      </c>
      <c r="C93" s="609" t="str">
        <f t="shared" ref="C93:C124" ca="1" si="325">IF(AND(MAGISCH,NOT(EXACT($A93,""))),$BP$4,"")</f>
        <v/>
      </c>
      <c r="D93" s="1956" t="str">
        <f t="shared" ref="D93:D124" ca="1" si="326">IF(AND(MAGISCH,NOT(EXACT($A93,""))),
CONCATENATE(IF($BR93=1,$CC93&amp;", ",""),IF($BS93=1,$CD93&amp;", ",""),IF($AF$241="","",IF(ISERROR(FIND($AF$241,$BQ93)),"",$AF$241&amp;", ")),IF($AF$242="","",IF(ISERROR(FIND($AF$242,$BQ93)),"",$AF$242&amp;", ")),IF($AF$243="","",IF(ISERROR(FIND($AF$243,$BQ93)),"",$AF$243&amp;", ")),IF($AF$244="","",IF(ISERROR(FIND($AF$244,$BQ93)),"",$AF$244&amp;", ")),IF($AF$245="","",IF(ISERROR(FIND($AF$245,$BQ93)),"",$AF$245&amp;", ")),IF($AF$246="","",IF(ISERROR(FIND($AF$246,$BQ93)),"",$AF$246&amp;", ")),IF($AF$247="","",IF(ISERROR(FIND($AF$247,$BQ93)),"",$AF$247&amp;", "))
),"")</f>
        <v/>
      </c>
      <c r="E93" s="1956"/>
      <c r="F93" s="960"/>
      <c r="G93" s="485" t="str">
        <f t="shared" ref="G93:G124" ca="1" si="327">IF(EXACT($A93,""),"",IF(VT_VRTLZBR,"F",
IF(BO93&lt;65,"A+",IF(BO93&gt;72,"H",CHAR(BO93)))))</f>
        <v/>
      </c>
      <c r="H93" s="983"/>
      <c r="I93" s="486"/>
      <c r="J93" s="326"/>
      <c r="K93" s="1886" t="str">
        <f t="shared" ref="K93:K124" ca="1" si="328">IF(AND(NOT(ISERR(FIND(A93,ZS_ZFALLE,1))),ZS_SE_VIEW,NOT(EXACT($A93,""))),"SE aus Zweitstudium",IF(ISERR(FIND($C93,$BP93)),"Falsche Repräsentation","")) &amp; IF(AND(NOT(EXACT($A93,"")),NOT(ISERR(FIND(A93,ZS_ZF_IAAK,1))),ZS_SE_VIEW),"  SE für IAAK-Studium","")
&amp;IF($M93="","",IF($M93&gt;MAX(INDIRECT(VLOOKUP($A93,ZAUBERWERTE,2,FALSE)),INDIRECT(VLOOKUP($A93,ZAUBERWERTE,3,FALSE)),INDIRECT(VLOOKUP($A93,ZAUBERWERTE,4,FALSE)))+3+BX93*2," TaW&gt; Max.EIGN.-Wert+"&amp;3+BX93*2,""))</f>
        <v/>
      </c>
      <c r="L93" s="1888"/>
      <c r="M93" s="296" t="str">
        <f t="shared" ca="1" si="307"/>
        <v/>
      </c>
      <c r="N93" s="1322"/>
      <c r="O93" s="1319"/>
      <c r="P93" s="957" t="str">
        <f t="shared" ref="P93:P124" ca="1" si="329">IF(AND(NOT(EXACT($A93,"")),NOT(EXACT($O93,""))),ROUND(IF(O93=2,3,O93)*20*HLOOKUP($G93,SKT,3,FALSE)*IF(VT_EIDGED,0.5,IF(VT_GUTGED,0.75,1)),0),"")</f>
        <v/>
      </c>
      <c r="Q93" s="164">
        <f t="shared" ref="Q93:Q124" si="330">IF(NOT(ISBLANK($F93)),
MAX(1,ROUND(IF($B93&lt;0,ABS($B93),IF($B93=0,1,0))*HLOOKUP(IF(CV93&lt;65,"A+",IF(CV93&gt;72,"H",CHAR(CV93))),SKT,3,FALSE)*IF(VT_EIDGED,IF($C93="Dru",1/3,0.5),1)*IF(VT_GUTGED,IF($C93="Dru",2/3,0.75),1),0)),0)
*IF(ISERR(FIND(";"&amp;Q$10&amp;":0;",$H93)),1,0)</f>
        <v>0</v>
      </c>
      <c r="R93" s="164">
        <f t="shared" ref="R93:R124" ca="1" si="331">IF(AND(NOT(EXACT($A93,"")),NOT(ISBLANK($F93)),IF(ISNUMBER($B93),VALUE($B93),0)&lt;R$10,SUM(IF(ISNUMBER($B93),VALUE($B93),0),$F93)&gt;=R$10,EXACT($K93,"")),
MAX(1,ROUND(HLOOKUP(IF(CW93&lt;65,"A+",IF(CW93&gt;72,"H",CHAR(CW93))),SKT,R$10+3,FALSE)*IF(VT_EIDGED,IF($C93="Dru",1/3,0.5),1)*IF(VT_GUTGED,IF($C93="Dru",2/3,0.75),1),0)),0)
*IF(ISERR(FIND(";"&amp;R$10&amp;":0;",$H93)),1,0)</f>
        <v>0</v>
      </c>
      <c r="S93" s="164">
        <f t="shared" ref="S93:S124" ca="1" si="332">IF(AND(NOT(EXACT($A93,"")),NOT(ISBLANK($F93)),IF(ISNUMBER($B93),VALUE($B93),0)&lt;S$10,SUM(IF(ISNUMBER($B93),VALUE($B93),0),$F93)&gt;=S$10,EXACT($K93,"")),
MAX(1,ROUND(HLOOKUP(IF(CX93&lt;65,"A+",IF(CX93&gt;72,"H",CHAR(CX93))),SKT,S$10+3,FALSE)*IF(VT_EIDGED,IF($C93="Dru",1/3,0.5),1)*IF(VT_GUTGED,IF($C93="Dru",2/3,0.75),1),0)),0)
*IF(ISERR(FIND(";"&amp;S$10&amp;":0;",$H93)),1,0)</f>
        <v>0</v>
      </c>
      <c r="T93" s="164">
        <f t="shared" ref="T93:T124" ca="1" si="333">IF(AND(NOT(EXACT($A93,"")),NOT(ISBLANK($F93)),IF(ISNUMBER($B93),VALUE($B93),0)&lt;T$10,SUM(IF(ISNUMBER($B93),VALUE($B93),0),$F93)&gt;=T$10,EXACT($K93,"")),
MAX(1,ROUND(HLOOKUP(IF(CY93&lt;65,"A+",IF(CY93&gt;72,"H",CHAR(CY93))),SKT,T$10+3,FALSE)*IF(VT_EIDGED,IF($C93="Dru",1/3,0.5),1)*IF(VT_GUTGED,IF($C93="Dru",2/3,0.75),1),0)),0)
*IF(ISERR(FIND(";"&amp;T$10&amp;":0;",$H93)),1,0)</f>
        <v>0</v>
      </c>
      <c r="U93" s="164">
        <f t="shared" ref="U93:U124" ca="1" si="334">IF(AND(NOT(EXACT($A93,"")),NOT(ISBLANK($F93)),IF(ISNUMBER($B93),VALUE($B93),0)&lt;U$10,SUM(IF(ISNUMBER($B93),VALUE($B93),0),$F93)&gt;=U$10,EXACT($K93,"")),
MAX(1,ROUND(HLOOKUP(IF(CZ93&lt;65,"A+",IF(CZ93&gt;72,"H",CHAR(CZ93))),SKT,U$10+3,FALSE)*IF(VT_EIDGED,IF($C93="Dru",1/3,0.5),1)*IF(VT_GUTGED,IF($C93="Dru",2/3,0.75),1),0)),0)
*IF(ISERR(FIND(";"&amp;U$10&amp;":0;",$H93)),1,0)</f>
        <v>0</v>
      </c>
      <c r="V93" s="164">
        <f t="shared" ref="V93:V124" ca="1" si="335">IF(AND(NOT(EXACT($A93,"")),NOT(ISBLANK($F93)),IF(ISNUMBER($B93),VALUE($B93),0)&lt;V$10,SUM(IF(ISNUMBER($B93),VALUE($B93),0),$F93)&gt;=V$10,EXACT($K93,"")),
MAX(1,ROUND(HLOOKUP(IF(DA93&lt;65,"A+",IF(DA93&gt;72,"H",CHAR(DA93))),SKT,V$10+3,FALSE)*IF(VT_EIDGED,IF($C93="Dru",1/3,0.5),1)*IF(VT_GUTGED,IF($C93="Dru",2/3,0.75),1),0)),0)
*IF(ISERR(FIND(";"&amp;V$10&amp;":0;",$H93)),1,0)</f>
        <v>0</v>
      </c>
      <c r="W93" s="164">
        <f t="shared" ref="W93:W124" ca="1" si="336">IF(AND(NOT(EXACT($A93,"")),NOT(ISBLANK($F93)),IF(ISNUMBER($B93),VALUE($B93),0)&lt;W$10,SUM(IF(ISNUMBER($B93),VALUE($B93),0),$F93)&gt;=W$10,EXACT($K93,"")),
MAX(1,ROUND(HLOOKUP(IF(DB93&lt;65,"A+",IF(DB93&gt;72,"H",CHAR(DB93))),SKT,W$10+3,FALSE)*IF(VT_EIDGED,IF($C93="Dru",1/3,0.5),1)*IF(VT_GUTGED,IF($C93="Dru",2/3,0.75),1),0)),0)
*IF(ISERR(FIND(";"&amp;W$10&amp;":0;",$H93)),1,0)</f>
        <v>0</v>
      </c>
      <c r="X93" s="164">
        <f t="shared" ref="X93:X124" ca="1" si="337">IF(AND(NOT(EXACT($A93,"")),NOT(ISBLANK($F93)),IF(ISNUMBER($B93),VALUE($B93),0)&lt;X$10,SUM(IF(ISNUMBER($B93),VALUE($B93),0),$F93)&gt;=X$10,EXACT($K93,"")),
MAX(1,ROUND(HLOOKUP(IF(DC93&lt;65,"A+",IF(DC93&gt;72,"H",CHAR(DC93))),SKT,X$10+3,FALSE)*IF(VT_EIDGED,IF($C93="Dru",1/3,0.5),1)*IF(VT_GUTGED,IF($C93="Dru",2/3,0.75),1),0)),0)
*IF(ISERR(FIND(";"&amp;X$10&amp;":0;",$H93)),1,0)</f>
        <v>0</v>
      </c>
      <c r="Y93" s="164">
        <f t="shared" ref="Y93:Y124" ca="1" si="338">IF(AND(NOT(EXACT($A93,"")),NOT(ISBLANK($F93)),IF(ISNUMBER($B93),VALUE($B93),0)&lt;Y$10,SUM(IF(ISNUMBER($B93),VALUE($B93),0),$F93)&gt;=Y$10,EXACT($K93,"")),
MAX(1,ROUND(HLOOKUP(IF(DD93&lt;65,"A+",IF(DD93&gt;72,"H",CHAR(DD93))),SKT,Y$10+3,FALSE)*IF(VT_EIDGED,IF($C93="Dru",1/3,0.5),1)*IF(VT_GUTGED,IF($C93="Dru",2/3,0.75),1),0)),0)
*IF(ISERR(FIND(";"&amp;Y$10&amp;":0;",$H93)),1,0)</f>
        <v>0</v>
      </c>
      <c r="Z93" s="164">
        <f t="shared" ref="Z93:Z124" ca="1" si="339">IF(AND(NOT(EXACT($A93,"")),NOT(ISBLANK($F93)),IF(ISNUMBER($B93),VALUE($B93),0)&lt;Z$10,SUM(IF(ISNUMBER($B93),VALUE($B93),0),$F93)&gt;=Z$10,EXACT($K93,"")),
MAX(1,ROUND(HLOOKUP(IF(DE93&lt;65,"A+",IF(DE93&gt;72,"H",CHAR(DE93))),SKT,Z$10+3,FALSE)*IF(VT_EIDGED,IF($C93="Dru",1/3,0.5),1)*IF(VT_GUTGED,IF($C93="Dru",2/3,0.75),1),0)),0)
*IF(ISERR(FIND(";"&amp;Z$10&amp;":0;",$H93)),1,0)</f>
        <v>0</v>
      </c>
      <c r="AA93" s="164">
        <f t="shared" ref="AA93:AA124" ca="1" si="340">IF(AND(NOT(EXACT($A93,"")),NOT(ISBLANK($F93)),IF(ISNUMBER($B93),VALUE($B93),0)&lt;AA$10,SUM(IF(ISNUMBER($B93),VALUE($B93),0),$F93)&gt;=AA$10,EXACT($K93,"")),
MAX(1,ROUND(HLOOKUP(IF(DF93&lt;65,"A+",IF(DF93&gt;72,"H",CHAR(DF93))),SKT,AA$10+3,FALSE)*IF(VT_EIDGED,IF($C93="Dru",1/3,0.5),1)*IF(VT_GUTGED,IF($C93="Dru",2/3,0.75),1),0)),0)
*IF(ISERR(FIND(";"&amp;AA$10&amp;":0;",$H93)),1,0)</f>
        <v>0</v>
      </c>
      <c r="AB93" s="164">
        <f t="shared" ref="AB93:AB124" ca="1" si="341">IF(AND(NOT(EXACT($A93,"")),NOT(ISBLANK($F93)),IF(ISNUMBER($B93),VALUE($B93),0)&lt;AB$10,SUM(IF(ISNUMBER($B93),VALUE($B93),0),$F93)&gt;=AB$10,EXACT($K93,"")),
MAX(1,ROUND(HLOOKUP(IF(DG93&lt;65,"A+",IF(DG93&gt;72,"H",CHAR(DG93))),SKT,AB$10+3,FALSE)*IF(VT_EIDGED,IF($C93="Dru",1/3,0.5),1)*IF(VT_GUTGED,IF($C93="Dru",2/3,0.75),1),0)),0)
*IF(ISERR(FIND(";"&amp;AB$10&amp;":0;",$H93)),1,0)</f>
        <v>0</v>
      </c>
      <c r="AC93" s="164">
        <f t="shared" ref="AC93:AC124" ca="1" si="342">IF(AND(NOT(EXACT($A93,"")),NOT(ISBLANK($F93)),IF(ISNUMBER($B93),VALUE($B93),0)&lt;AC$10,SUM(IF(ISNUMBER($B93),VALUE($B93),0),$F93)&gt;=AC$10,EXACT($K93,"")),
MAX(1,ROUND(HLOOKUP(IF(DH93&lt;65,"A+",IF(DH93&gt;72,"H",CHAR(DH93))),SKT,AC$10+3,FALSE)*IF(VT_EIDGED,IF($C93="Dru",1/3,0.5),1)*IF(VT_GUTGED,IF($C93="Dru",2/3,0.75),1),0)),0)
*IF(ISERR(FIND(";"&amp;AC$10&amp;":0;",$H93)),1,0)</f>
        <v>0</v>
      </c>
      <c r="AD93" s="164">
        <f t="shared" ref="AD93:AD124" ca="1" si="343">IF(AND(NOT(EXACT($A93,"")),NOT(ISBLANK($F93)),IF(ISNUMBER($B93),VALUE($B93),0)&lt;AD$10,SUM(IF(ISNUMBER($B93),VALUE($B93),0),$F93)&gt;=AD$10,EXACT($K93,"")),
MAX(1,ROUND(HLOOKUP(IF(DI93&lt;65,"A+",IF(DI93&gt;72,"H",CHAR(DI93))),SKT,AD$10+3,FALSE)*IF(VT_EIDGED,IF($C93="Dru",1/3,0.5),1)*IF(VT_GUTGED,IF($C93="Dru",2/3,0.75),1),0)),0)
*IF(ISERR(FIND(";"&amp;AD$10&amp;":0;",$H93)),1,0)</f>
        <v>0</v>
      </c>
      <c r="AE93" s="164">
        <f t="shared" ref="AE93:AE124" ca="1" si="344">IF(AND(NOT(EXACT($A93,"")),NOT(ISBLANK($F93)),IF(ISNUMBER($B93),VALUE($B93),0)&lt;AE$10,SUM(IF(ISNUMBER($B93),VALUE($B93),0),$F93)&gt;=AE$10,EXACT($K93,"")),
MAX(1,ROUND(HLOOKUP(IF(DJ93&lt;65,"A+",IF(DJ93&gt;72,"H",CHAR(DJ93))),SKT,AE$10+3,FALSE)*IF(VT_EIDGED,IF($C93="Dru",1/3,0.5),1)*IF(VT_GUTGED,IF($C93="Dru",2/3,0.75),1),0)),0)
*IF(ISERR(FIND(";"&amp;AE$10&amp;":0;",$H93)),1,0)</f>
        <v>0</v>
      </c>
      <c r="AF93" s="164">
        <f t="shared" ref="AF93:AF124" ca="1" si="345">IF(AND(NOT(EXACT($A93,"")),NOT(ISBLANK($F93)),IF(ISNUMBER($B93),VALUE($B93),0)&lt;AF$10,SUM(IF(ISNUMBER($B93),VALUE($B93),0),$F93)&gt;=AF$10,EXACT($K93,"")),
MAX(1,ROUND(HLOOKUP(IF(DK93&lt;65,"A+",IF(DK93&gt;72,"H",CHAR(DK93))),SKT,AF$10+3,FALSE)*IF(VT_EIDGED,IF($C93="Dru",1/3,0.5),1)*IF(VT_GUTGED,IF($C93="Dru",2/3,0.75),1),0)),0)
*IF(ISERR(FIND(";"&amp;AF$10&amp;":0;",$H93)),1,0)</f>
        <v>0</v>
      </c>
      <c r="AG93" s="164">
        <f t="shared" ref="AG93:AG124" ca="1" si="346">IF(AND(NOT(EXACT($A93,"")),NOT(ISBLANK($F93)),IF(ISNUMBER($B93),VALUE($B93),0)&lt;AG$10,SUM(IF(ISNUMBER($B93),VALUE($B93),0),$F93)&gt;=AG$10,EXACT($K93,"")),
MAX(1,ROUND(HLOOKUP(IF(DL93&lt;65,"A+",IF(DL93&gt;72,"H",CHAR(DL93))),SKT,AG$10+3,FALSE)*IF(VT_EIDGED,IF($C93="Dru",1/3,0.5),1)*IF(VT_GUTGED,IF($C93="Dru",2/3,0.75),1),0)),0)
*IF(ISERR(FIND(";"&amp;AG$10&amp;":0;",$H93)),1,0)</f>
        <v>0</v>
      </c>
      <c r="AH93" s="164">
        <f t="shared" ref="AH93:AH124" ca="1" si="347">IF(AND(NOT(EXACT($A93,"")),NOT(ISBLANK($F93)),IF(ISNUMBER($B93),VALUE($B93),0)&lt;AH$10,SUM(IF(ISNUMBER($B93),VALUE($B93),0),$F93)&gt;=AH$10,EXACT($K93,"")),
MAX(1,ROUND(HLOOKUP(IF(DM93&lt;65,"A+",IF(DM93&gt;72,"H",CHAR(DM93))),SKT,AH$10+3,FALSE)*IF(VT_EIDGED,IF($C93="Dru",1/3,0.5),1)*IF(VT_GUTGED,IF($C93="Dru",2/3,0.75),1),0)),0)
*IF(ISERR(FIND(";"&amp;AH$10&amp;":0;",$H93)),1,0)</f>
        <v>0</v>
      </c>
      <c r="AI93" s="164">
        <f t="shared" ref="AI93:AI124" ca="1" si="348">IF(AND(NOT(EXACT($A93,"")),NOT(ISBLANK($F93)),IF(ISNUMBER($B93),VALUE($B93),0)&lt;AI$10,SUM(IF(ISNUMBER($B93),VALUE($B93),0),$F93)&gt;=AI$10,EXACT($K93,"")),
MAX(1,ROUND(HLOOKUP(IF(DN93&lt;65,"A+",IF(DN93&gt;72,"H",CHAR(DN93))),SKT,AI$10+3,FALSE)*IF(VT_EIDGED,IF($C93="Dru",1/3,0.5),1)*IF(VT_GUTGED,IF($C93="Dru",2/3,0.75),1),0)),0)
*IF(ISERR(FIND(";"&amp;AI$10&amp;":0;",$H93)),1,0)</f>
        <v>0</v>
      </c>
      <c r="AJ93" s="164">
        <f t="shared" ref="AJ93:AJ124" ca="1" si="349">IF(AND(NOT(EXACT($A93,"")),NOT(ISBLANK($F93)),IF(ISNUMBER($B93),VALUE($B93),0)&lt;AJ$10,SUM(IF(ISNUMBER($B93),VALUE($B93),0),$F93)&gt;=AJ$10,EXACT($K93,"")),
MAX(1,ROUND(HLOOKUP(IF(DO93&lt;65,"A+",IF(DO93&gt;72,"H",CHAR(DO93))),SKT,AJ$10+3,FALSE)*IF(VT_EIDGED,IF($C93="Dru",1/3,0.5),1)*IF(VT_GUTGED,IF($C93="Dru",2/3,0.75),1),0)),0)
*IF(ISERR(FIND(";"&amp;AJ$10&amp;":0;",$H93)),1,0)</f>
        <v>0</v>
      </c>
      <c r="AK93" s="164">
        <f t="shared" ref="AK93:AK124" ca="1" si="350">IF(AND(NOT(EXACT($A93,"")),NOT(ISBLANK($F93)),IF(ISNUMBER($B93),VALUE($B93),0)&lt;AK$10,SUM(IF(ISNUMBER($B93),VALUE($B93),0),$F93)&gt;=AK$10,EXACT($K93,"")),
MAX(1,ROUND(HLOOKUP(IF(DP93&lt;65,"A+",IF(DP93&gt;72,"H",CHAR(DP93))),SKT,AK$10+3,FALSE)*IF(VT_EIDGED,IF($C93="Dru",1/3,0.5),1)*IF(VT_GUTGED,IF($C93="Dru",2/3,0.75),1),0)),0)
*IF(ISERR(FIND(";"&amp;AK$10&amp;":0;",$H93)),1,0)</f>
        <v>0</v>
      </c>
      <c r="AL93" s="164">
        <f t="shared" ref="AL93:AL124" ca="1" si="351">IF(AND(NOT(EXACT($A93,"")),NOT(ISBLANK($F93)),IF(ISNUMBER($B93),VALUE($B93),0)&lt;AL$10,SUM(IF(ISNUMBER($B93),VALUE($B93),0),$F93)&gt;=AL$10,EXACT($K93,"")),
MAX(1,ROUND(HLOOKUP(IF(DQ93&lt;65,"A+",IF(DQ93&gt;72,"H",CHAR(DQ93))),SKT,AL$10+3,FALSE)*IF(VT_EIDGED,IF($C93="Dru",1/3,0.5),1)*IF(VT_GUTGED,IF($C93="Dru",2/3,0.75),1),0)),0)
*IF(ISERR(FIND(";"&amp;AL$10&amp;":0;",$H93)),1,0)</f>
        <v>0</v>
      </c>
      <c r="AM93" s="208"/>
      <c r="AN93" s="164">
        <f t="shared" ref="AN93:AN124" si="352">IF(NOT(ISBLANK($J93)),
ROUND(
IF(SUM($B93,$F93)&lt;0,IF($J93&lt;ABS(SUM($B93,$F93)),$J93,ABS(SUM($B93,$F93))),IF($F93="",1,0))
*HLOOKUP(IF(DS93&lt;65,"A+",IF(DS93&gt;72,"H",CHAR(DS93))),SKT,3,FALSE)*5*IF(VT_EIDGED,IF($C93="Dru",1/3,0.5),1)*IF(VT_GUTGED,IF($C93="Dru",2/3,0.75),1),0),0)
*IF(ISERR(FIND(";"&amp;AN$10&amp;":0;",$H93)),1,0)</f>
        <v>0</v>
      </c>
      <c r="AO93" s="164">
        <f t="shared" ref="AO93:AO124" ca="1" si="353">IF(NOT($A93=""),IF(AND(NOT(ISBLANK($J93)),SUM(VALUE($B93),$F93)&lt;AO$10,SUM(VALUE($B93),$F93,$J93)&gt;=AO$10,EXACT($K93,"")),
MAX(1,ROUND(HLOOKUP(IF(DT93&lt;65,"A+",IF(DT93&gt;72,"H",CHAR(DT93))),SKT,AO$10+3,FALSE)*IF(VT_EIDGED,IF($C93="Dru",1/3,0.5),1)*IF(VT_GUTGED,IF($C93="Dru",2/3,0.75),1),0)),0),0)
*IF(ISERR(FIND(";"&amp;AO$10&amp;":0;",$H93)),1,0)</f>
        <v>0</v>
      </c>
      <c r="AP93" s="164">
        <f t="shared" ref="AP93:AP124" ca="1" si="354">IF(NOT($A93=""),IF(AND(NOT(ISBLANK($J93)),SUM(VALUE($B93),$F93)&lt;AP$10,SUM(VALUE($B93),$F93,$J93)&gt;=AP$10,EXACT($K93,"")),
MAX(1,ROUND(HLOOKUP(IF(DU93&lt;65,"A+",IF(DU93&gt;72,"H",CHAR(DU93))),SKT,AP$10+3,FALSE)*IF(VT_EIDGED,IF($C93="Dru",1/3,0.5),1)*IF(VT_GUTGED,IF($C93="Dru",2/3,0.75),1),0)),0),0)
*IF(ISERR(FIND(";"&amp;AP$10&amp;":0;",$H93)),1,0)</f>
        <v>0</v>
      </c>
      <c r="AQ93" s="164">
        <f t="shared" ref="AQ93:AQ124" ca="1" si="355">IF(NOT($A93=""),IF(AND(NOT(ISBLANK($J93)),SUM(VALUE($B93),$F93)&lt;AQ$10,SUM(VALUE($B93),$F93,$J93)&gt;=AQ$10,EXACT($K93,"")),
MAX(1,ROUND(HLOOKUP(IF(DV93&lt;65,"A+",IF(DV93&gt;72,"H",CHAR(DV93))),SKT,AQ$10+3,FALSE)*IF(VT_EIDGED,IF($C93="Dru",1/3,0.5),1)*IF(VT_GUTGED,IF($C93="Dru",2/3,0.75),1),0)),0),0)
*IF(ISERR(FIND(";"&amp;AQ$10&amp;":0;",$H93)),1,0)</f>
        <v>0</v>
      </c>
      <c r="AR93" s="164">
        <f t="shared" ref="AR93:AR124" ca="1" si="356">IF(NOT($A93=""),IF(AND(NOT(ISBLANK($J93)),SUM(VALUE($B93),$F93)&lt;AR$10,SUM(VALUE($B93),$F93,$J93)&gt;=AR$10,EXACT($K93,"")),
MAX(1,ROUND(HLOOKUP(IF(DW93&lt;65,"A+",IF(DW93&gt;72,"H",CHAR(DW93))),SKT,AR$10+3,FALSE)*IF(VT_EIDGED,IF($C93="Dru",1/3,0.5),1)*IF(VT_GUTGED,IF($C93="Dru",2/3,0.75),1),0)),0),0)
*IF(ISERR(FIND(";"&amp;AR$10&amp;":0;",$H93)),1,0)</f>
        <v>0</v>
      </c>
      <c r="AS93" s="164">
        <f t="shared" ref="AS93:AS124" ca="1" si="357">IF(NOT($A93=""),IF(AND(NOT(ISBLANK($J93)),SUM(VALUE($B93),$F93)&lt;AS$10,SUM(VALUE($B93),$F93,$J93)&gt;=AS$10,EXACT($K93,"")),
MAX(1,ROUND(HLOOKUP(IF(DX93&lt;65,"A+",IF(DX93&gt;72,"H",CHAR(DX93))),SKT,AS$10+3,FALSE)*IF(VT_EIDGED,IF($C93="Dru",1/3,0.5),1)*IF(VT_GUTGED,IF($C93="Dru",2/3,0.75),1),0)),0),0)
*IF(ISERR(FIND(";"&amp;AS$10&amp;":0;",$H93)),1,0)</f>
        <v>0</v>
      </c>
      <c r="AT93" s="164">
        <f t="shared" ref="AT93:AT124" ca="1" si="358">IF(NOT($A93=""),IF(AND(NOT(ISBLANK($J93)),SUM(VALUE($B93),$F93)&lt;AT$10,SUM(VALUE($B93),$F93,$J93)&gt;=AT$10,EXACT($K93,"")),
MAX(1,ROUND(HLOOKUP(IF(DY93&lt;65,"A+",IF(DY93&gt;72,"H",CHAR(DY93))),SKT,AT$10+3,FALSE)*IF(VT_EIDGED,IF($C93="Dru",1/3,0.5),1)*IF(VT_GUTGED,IF($C93="Dru",2/3,0.75),1),0)),0),0)
*IF(ISERR(FIND(";"&amp;AT$10&amp;":0;",$H93)),1,0)</f>
        <v>0</v>
      </c>
      <c r="AU93" s="164">
        <f t="shared" ref="AU93:AU124" ca="1" si="359">IF(NOT($A93=""),IF(AND(NOT(ISBLANK($J93)),SUM(VALUE($B93),$F93)&lt;AU$10,SUM(VALUE($B93),$F93,$J93)&gt;=AU$10,EXACT($K93,"")),
MAX(1,ROUND(HLOOKUP(IF(DZ93&lt;65,"A+",IF(DZ93&gt;72,"H",CHAR(DZ93))),SKT,AU$10+3,FALSE)*IF(VT_EIDGED,IF($C93="Dru",1/3,0.5),1)*IF(VT_GUTGED,IF($C93="Dru",2/3,0.75),1),0)),0),0)
*IF(ISERR(FIND(";"&amp;AU$10&amp;":0;",$H93)),1,0)</f>
        <v>0</v>
      </c>
      <c r="AV93" s="164">
        <f t="shared" ref="AV93:AV124" ca="1" si="360">IF(NOT($A93=""),IF(AND(NOT(ISBLANK($J93)),SUM(VALUE($B93),$F93)&lt;AV$10,SUM(VALUE($B93),$F93,$J93)&gt;=AV$10,EXACT($K93,"")),
MAX(1,ROUND(HLOOKUP(IF(EA93&lt;65,"A+",IF(EA93&gt;72,"H",CHAR(EA93))),SKT,AV$10+3,FALSE)*IF(VT_EIDGED,IF($C93="Dru",1/3,0.5),1)*IF(VT_GUTGED,IF($C93="Dru",2/3,0.75),1),0)),0),0)
*IF(ISERR(FIND(";"&amp;AV$10&amp;":0;",$H93)),1,0)</f>
        <v>0</v>
      </c>
      <c r="AW93" s="164">
        <f t="shared" ref="AW93:AW124" ca="1" si="361">IF(NOT($A93=""),IF(AND(NOT(ISBLANK($J93)),SUM(VALUE($B93),$F93)&lt;AW$10,SUM(VALUE($B93),$F93,$J93)&gt;=AW$10,EXACT($K93,"")),
MAX(1,ROUND(HLOOKUP(IF(EB93&lt;65,"A+",IF(EB93&gt;72,"H",CHAR(EB93))),SKT,AW$10+3,FALSE)*IF(VT_EIDGED,IF($C93="Dru",1/3,0.5),1)*IF(VT_GUTGED,IF($C93="Dru",2/3,0.75),1),0)),0),0)
*IF(ISERR(FIND(";"&amp;AW$10&amp;":0;",$H93)),1,0)</f>
        <v>0</v>
      </c>
      <c r="AX93" s="164">
        <f t="shared" ref="AX93:AX124" ca="1" si="362">IF(NOT($A93=""),IF(AND(NOT(ISBLANK($J93)),SUM(VALUE($B93),$F93)&lt;AX$10,SUM(VALUE($B93),$F93,$J93)&gt;=AX$10,EXACT($K93,"")),
MAX(1,ROUND(HLOOKUP(IF(EC93&lt;65,"A+",IF(EC93&gt;72,"H",CHAR(EC93))),SKT,AX$10+3,FALSE)*IF(VT_EIDGED,IF($C93="Dru",1/3,0.5),1)*IF(VT_GUTGED,IF($C93="Dru",2/3,0.75),1),0)),0),0)
*IF(ISERR(FIND(";"&amp;AX$10&amp;":0;",$H93)),1,0)</f>
        <v>0</v>
      </c>
      <c r="AY93" s="164">
        <f t="shared" ref="AY93:AY124" ca="1" si="363">IF(NOT($A93=""),IF(AND(NOT(ISBLANK($J93)),SUM(VALUE($B93),$F93)&lt;AY$10,SUM(VALUE($B93),$F93,$J93)&gt;=AY$10,EXACT($K93,"")),
MAX(1,ROUND(HLOOKUP(IF(ED93&lt;65,"A+",IF(ED93&gt;72,"H",CHAR(ED93))),SKT,AY$10+3,FALSE)*IF(VT_EIDGED,IF($C93="Dru",1/3,0.5),1)*IF(VT_GUTGED,IF($C93="Dru",2/3,0.75),1),0)),0),0)
*IF(ISERR(FIND(";"&amp;AY$10&amp;":0;",$H93)),1,0)</f>
        <v>0</v>
      </c>
      <c r="AZ93" s="164">
        <f t="shared" ref="AZ93:AZ124" ca="1" si="364">IF(NOT($A93=""),IF(AND(NOT(ISBLANK($J93)),SUM(VALUE($B93),$F93)&lt;AZ$10,SUM(VALUE($B93),$F93,$J93)&gt;=AZ$10,EXACT($K93,"")),
MAX(1,ROUND(HLOOKUP(IF(EE93&lt;65,"A+",IF(EE93&gt;72,"H",CHAR(EE93))),SKT,AZ$10+3,FALSE)*IF(VT_EIDGED,IF($C93="Dru",1/3,0.5),1)*IF(VT_GUTGED,IF($C93="Dru",2/3,0.75),1),0)),0),0)
*IF(ISERR(FIND(";"&amp;AZ$10&amp;":0;",$H93)),1,0)</f>
        <v>0</v>
      </c>
      <c r="BA93" s="164">
        <f t="shared" ref="BA93:BA124" ca="1" si="365">IF(NOT($A93=""),IF(AND(NOT(ISBLANK($J93)),SUM(VALUE($B93),$F93)&lt;BA$10,SUM(VALUE($B93),$F93,$J93)&gt;=BA$10,EXACT($K93,"")),
MAX(1,ROUND(HLOOKUP(IF(EF93&lt;65,"A+",IF(EF93&gt;72,"H",CHAR(EF93))),SKT,BA$10+3,FALSE)*IF(VT_EIDGED,IF($C93="Dru",1/3,0.5),1)*IF(VT_GUTGED,IF($C93="Dru",2/3,0.75),1),0)),0),0)
*IF(ISERR(FIND(";"&amp;BA$10&amp;":0;",$H93)),1,0)</f>
        <v>0</v>
      </c>
      <c r="BB93" s="164">
        <f t="shared" ref="BB93:BB124" ca="1" si="366">IF(NOT($A93=""),IF(AND(NOT(ISBLANK($J93)),SUM(VALUE($B93),$F93)&lt;BB$10,SUM(VALUE($B93),$F93,$J93)&gt;=BB$10,EXACT($K93,"")),
MAX(1,ROUND(HLOOKUP(IF(EG93&lt;65,"A+",IF(EG93&gt;72,"H",CHAR(EG93))),SKT,BB$10+3,FALSE)*IF(VT_EIDGED,IF($C93="Dru",1/3,0.5),1)*IF(VT_GUTGED,IF($C93="Dru",2/3,0.75),1),0)),0),0)
*IF(ISERR(FIND(";"&amp;BB$10&amp;":0;",$H93)),1,0)</f>
        <v>0</v>
      </c>
      <c r="BC93" s="164">
        <f t="shared" ref="BC93:BC124" ca="1" si="367">IF(NOT($A93=""),IF(AND(NOT(ISBLANK($J93)),SUM(VALUE($B93),$F93)&lt;BC$10,SUM(VALUE($B93),$F93,$J93)&gt;=BC$10,EXACT($K93,"")),
MAX(1,ROUND(HLOOKUP(IF(EH93&lt;65,"A+",IF(EH93&gt;72,"H",CHAR(EH93))),SKT,BC$10+3,FALSE)*IF(VT_EIDGED,IF($C93="Dru",1/3,0.5),1)*IF(VT_GUTGED,IF($C93="Dru",2/3,0.75),1),0)),0),0)
*IF(ISERR(FIND(";"&amp;BC$10&amp;":0;",$H93)),1,0)</f>
        <v>0</v>
      </c>
      <c r="BD93" s="164">
        <f t="shared" ref="BD93:BD124" ca="1" si="368">IF(NOT($A93=""),IF(AND(NOT(ISBLANK($J93)),SUM(VALUE($B93),$F93)&lt;BD$10,SUM(VALUE($B93),$F93,$J93)&gt;=BD$10,EXACT($K93,"")),
MAX(1,ROUND(HLOOKUP(IF(EI93&lt;65,"A+",IF(EI93&gt;72,"H",CHAR(EI93))),SKT,BD$10+3,FALSE)*IF(VT_EIDGED,IF($C93="Dru",1/3,0.5),1)*IF(VT_GUTGED,IF($C93="Dru",2/3,0.75),1),0)),0),0)
*IF(ISERR(FIND(";"&amp;BD$10&amp;":0;",$H93)),1,0)</f>
        <v>0</v>
      </c>
      <c r="BE93" s="164">
        <f t="shared" ref="BE93:BE124" ca="1" si="369">IF(NOT($A93=""),IF(AND(NOT(ISBLANK($J93)),SUM(VALUE($B93),$F93)&lt;BE$10,SUM(VALUE($B93),$F93,$J93)&gt;=BE$10,EXACT($K93,"")),
MAX(1,ROUND(HLOOKUP(IF(EJ93&lt;65,"A+",IF(EJ93&gt;72,"H",CHAR(EJ93))),SKT,BE$10+3,FALSE)*IF(VT_EIDGED,IF($C93="Dru",1/3,0.5),1)*IF(VT_GUTGED,IF($C93="Dru",2/3,0.75),1),0)),0),0)
*IF(ISERR(FIND(";"&amp;BE$10&amp;":0;",$H93)),1,0)</f>
        <v>0</v>
      </c>
      <c r="BF93" s="164">
        <f t="shared" ref="BF93:BF124" ca="1" si="370">IF(NOT($A93=""),IF(AND(NOT(ISBLANK($J93)),SUM(VALUE($B93),$F93)&lt;BF$10,SUM(VALUE($B93),$F93,$J93)&gt;=BF$10,EXACT($K93,"")),
MAX(1,ROUND(HLOOKUP(IF(EK93&lt;65,"A+",IF(EK93&gt;72,"H",CHAR(EK93))),SKT,BF$10+3,FALSE)*IF(VT_EIDGED,IF($C93="Dru",1/3,0.5),1)*IF(VT_GUTGED,IF($C93="Dru",2/3,0.75),1),0)),0),0)
*IF(ISERR(FIND(";"&amp;BF$10&amp;":0;",$H93)),1,0)</f>
        <v>0</v>
      </c>
      <c r="BG93" s="164">
        <f t="shared" ref="BG93:BG124" ca="1" si="371">IF(NOT($A93=""),IF(AND(NOT(ISBLANK($J93)),SUM(VALUE($B93),$F93)&lt;BG$10,SUM(VALUE($B93),$F93,$J93)&gt;=BG$10,EXACT($K93,"")),
MAX(1,ROUND(HLOOKUP(IF(EL93&lt;65,"A+",IF(EL93&gt;72,"H",CHAR(EL93))),SKT,BG$10+3,FALSE)*IF(VT_EIDGED,IF($C93="Dru",1/3,0.5),1)*IF(VT_GUTGED,IF($C93="Dru",2/3,0.75),1),0)),0),0)
*IF(ISERR(FIND(";"&amp;BG$10&amp;":0;",$H93)),1,0)</f>
        <v>0</v>
      </c>
      <c r="BH93" s="164">
        <f t="shared" ref="BH93:BH124" ca="1" si="372">IF(NOT($A93=""),IF(AND(NOT(ISBLANK($J93)),SUM(VALUE($B93),$F93)&lt;BH$10,SUM(VALUE($B93),$F93,$J93)&gt;=BH$10,EXACT($K93,"")),
MAX(1,ROUND(HLOOKUP(IF(EM93&lt;65,"A+",IF(EM93&gt;72,"H",CHAR(EM93))),SKT,BH$10+3,FALSE)*IF(VT_EIDGED,IF($C93="Dru",1/3,0.5),1)*IF(VT_GUTGED,IF($C93="Dru",2/3,0.75),1),0)),0),0)
*IF(ISERR(FIND(";"&amp;BH$10&amp;":0;",$H93)),1,0)</f>
        <v>0</v>
      </c>
      <c r="BI93" s="164">
        <f t="shared" ref="BI93:BI124" ca="1" si="373">IF(NOT($A93=""),IF(AND(NOT(ISBLANK($J93)),SUM(VALUE($B93),$F93)&lt;BI$10,SUM(VALUE($B93),$F93,$J93)&gt;=BI$10,EXACT($K93,"")),
MAX(1,ROUND(HLOOKUP(IF(EN93&lt;65,"A+",IF(EN93&gt;72,"H",CHAR(EN93))),SKT,BI$10+3,FALSE)*IF(VT_EIDGED,IF($C93="Dru",1/3,0.5),1)*IF(VT_GUTGED,IF($C93="Dru",2/3,0.75),1),0)),0),0)
*IF(ISERR(FIND(";"&amp;BI$10&amp;":0;",$H93)),1,0)</f>
        <v>0</v>
      </c>
      <c r="BJ93" s="164">
        <f t="shared" ref="BJ93:BJ124" ca="1" si="374">IF(NOT($A93=""),IF(AND(NOT(ISBLANK($J93)),SUM(VALUE($B93),$F93)&lt;BJ$10,SUM(VALUE($B93),$F93,$J93)&gt;=BJ$10,EXACT($K93,"")),
MAX(1,ROUND(HLOOKUP(IF(EO93&lt;65,"A+",IF(EO93&gt;72,"H",CHAR(EO93))),SKT,BJ$10+3,FALSE)*IF(VT_EIDGED,IF($C93="Dru",1/3,0.5),1)*IF(VT_GUTGED,IF($C93="Dru",2/3,0.75),1),0)),0),0)
*IF(ISERR(FIND(";"&amp;BJ$10&amp;":0;",$H93)),1,0)</f>
        <v>0</v>
      </c>
      <c r="BK93" s="164">
        <f t="shared" ref="BK93:BK124" ca="1" si="375">IF(NOT($A93=""),IF(AND(NOT(ISBLANK($J93)),SUM(VALUE($B93),$F93)&lt;BK$10,SUM(VALUE($B93),$F93,$J93)&gt;=BK$10,EXACT($K93,"")),
MAX(1,ROUND(HLOOKUP(IF(EP93&lt;65,"A+",IF(EP93&gt;72,"H",CHAR(EP93))),SKT,BK$10+3,FALSE)*IF(VT_EIDGED,IF($C93="Dru",1/3,0.5),1)*IF(VT_GUTGED,IF($C93="Dru",2/3,0.75),1),0)),0),0)
*IF(ISERR(FIND(";"&amp;BK$10&amp;":0;",$H93)),1,0)</f>
        <v>0</v>
      </c>
      <c r="BL93" s="164">
        <f t="shared" ref="BL93:BL124" ca="1" si="376">IF(NOT($A93=""),IF(AND(NOT(ISBLANK($J93)),SUM(VALUE($B93),$F93)&lt;BL$10,SUM(VALUE($B93),$F93,$J93)&gt;=BL$10,EXACT($K93,"")),
MAX(1,ROUND(HLOOKUP(IF(EQ93&lt;65,"A+",IF(EQ93&gt;72,"H",CHAR(EQ93))),SKT,BL$10+3,FALSE)*IF(VT_EIDGED,IF($C93="Dru",1/3,0.5),1)*IF(VT_GUTGED,IF($C93="Dru",2/3,0.75),1),0)),0),0)
*IF(ISERR(FIND(";"&amp;BL$10&amp;":0;",$H93)),1,0)</f>
        <v>0</v>
      </c>
      <c r="BM93" s="164">
        <f t="shared" ref="BM93:BM124" ca="1" si="377">IF(NOT($A93=""),IF(AND(NOT(ISBLANK($J93)),SUM(VALUE($B93),$F93)&lt;BM$10,SUM(VALUE($B93),$F93,$J93)&gt;=BM$10,EXACT($K93,"")),
MAX(1,ROUND(HLOOKUP(IF(ER93&lt;65,"A+",IF(ER93&gt;72,"H",CHAR(ER93))),SKT,BM$10+3,FALSE)*IF(VT_EIDGED,IF($C93="Dru",1/3,0.5),1)*IF(VT_GUTGED,IF($C93="Dru",2/3,0.75),1),0)),0),0)
*IF(ISERR(FIND(";"&amp;BM$10&amp;":0;",$H93)),1,0)</f>
        <v>0</v>
      </c>
      <c r="BN93" s="164">
        <f t="shared" ref="BN93:BN124" ca="1" si="378">IF(NOT($A93=""),IF(AND(NOT(ISBLANK($J93)),SUM(VALUE($B93),$F93)&lt;BN$10,SUM(VALUE($B93),$F93,$J93)&gt;=BN$10,EXACT($K93,"")),
MAX(1,ROUND(HLOOKUP(IF(ES93&lt;65,"A+",IF(ES93&gt;72,"H",CHAR(ES93))),SKT,BN$10+3,FALSE)*IF(VT_EIDGED,IF($C93="Dru",1/3,0.5),1)*IF(VT_GUTGED,IF($C93="Dru",2/3,0.75),1),0)),0),0)
*IF(ISERR(FIND(";"&amp;BN$10&amp;":0;",$H93)),1,0)</f>
        <v>0</v>
      </c>
      <c r="BO93" s="356" t="str">
        <f t="shared" ref="BO93:BO124" ca="1" si="379">IF($A93="","",CODE(VLOOKUP($A93,ZAUBERWERTE,10,FALSE))-
SUM($BR93:$CA93,
IF(NOT(EXACT($AF$241,"")),(LEN($BQ93)-LEN(SUBSTITUTE($BQ93,$AF$241,"")))/LEN($AF$241),0),
IF(NOT(EXACT($AF$242,"")),(LEN($BQ93)-LEN(SUBSTITUTE($BQ93,$AF$242,"")))/LEN($AF$242),0),
IF(NOT(EXACT($AF$243,"")),(LEN($BQ93)-LEN(SUBSTITUTE($BQ93,$AF$243,"")))/LEN($AF$243),0),
IF(NOT(EXACT($AF$244,"")),(LEN($BQ93)-LEN(SUBSTITUTE($BQ93,$AF$244,"")))/LEN($AF$244),0),
IF(NOT(EXACT($AF$245,"")),(LEN($BQ93)-LEN(SUBSTITUTE($BQ93,$AF$245,"")))/LEN($AF$245),0),
IF(NOT(EXACT($AF$246,"")),(LEN($BQ93)-LEN(SUBSTITUTE($BQ93,$AF$246,"")))/LEN($AF$246),0),
IF(NOT(EXACT($AF$247,"")),(LEN($BQ93)-LEN(SUBSTITUTE($BQ93,$AF$247,"")))/LEN($AF$247),0)))</f>
        <v/>
      </c>
      <c r="BP93" s="355" t="str">
        <f t="shared" ref="BP93:BP160" ca="1" si="380">IF(NOT(EXACT($A93,"")),VLOOKUP($A93,ZAUBERWERTE,11,FALSE),"")</f>
        <v/>
      </c>
      <c r="BQ93" s="355" t="str">
        <f t="shared" ref="BQ93:BQ160" ca="1" si="381">IF(NOT(EXACT($A93,"")),VLOOKUP($A93,ZAUBERWERTE,12,FALSE),"")</f>
        <v/>
      </c>
      <c r="BR93" s="348">
        <f t="shared" ca="1" si="312"/>
        <v>0</v>
      </c>
      <c r="BS93" s="348">
        <f t="shared" ca="1" si="313"/>
        <v>0</v>
      </c>
      <c r="BT93" s="610">
        <f t="shared" ref="BT93:BT124" ca="1" si="382">IF(ISERR(FIND($C93,CONCATENATE($BP$4,$BP$5,$A$237,$A$238))),
IF($BP$4="Sch",IF($C93="Srl",-2,-3),
IF($BP$4="Srl",IF($C93="Mag",-1,-2),
IF($C93="Sch",-3,-2))),
0)</f>
        <v>0</v>
      </c>
      <c r="BU93" s="357">
        <f t="shared" ref="BU93:BU160" ca="1" si="383">IF(EXACT($C93,"H"),1,0)</f>
        <v>0</v>
      </c>
      <c r="BV93" s="357">
        <f t="shared" ref="BV93:BV124" si="384">IF(NT_ELFWELT,IF(CB93="L",0,-1),0)</f>
        <v>0</v>
      </c>
      <c r="BW93" s="357">
        <f t="shared" ref="BW93:BW124" si="385">SUM(IF(NT_ANIMALMAGIE,IF(NOT(ISNA(VLOOKUP(A93,ZAUBERWERTE,2,FALSE))),IF(SUM(IF(VLOOKUP(A93,ZAUBERWERTE,2,FALSE)="KL",1,0),IF(VLOOKUP(A93,ZAUBERWERTE,3,FALSE)="KL",1,0),IF(VLOOKUP(A93,ZAUBERWERTE,4,FALSE)="KL",1,0))&gt;1,-1,0),0),0),
IF(NT_FESTDENKEN,IF(NOT(ISNA(VLOOKUP(A93,ZAUBERWERTE,2,FALSE))),IF(SUM(IF(VLOOKUP(A93,ZAUBERWERTE,2,FALSE)="IN",1,0),IF(VLOOKUP(A93,ZAUBERWERTE,3,FALSE)="IN",1,0),IF(VLOOKUP(A93,ZAUBERWERTE,4,FALSE)="IN",1,0))&gt;1,-1,0),0),0),
IF(NT_SCHWACHAUS,IF(NOT(ISNA(VLOOKUP(A93,ZAUBERWERTE,2,FALSE))),IF(SUM(IF(VLOOKUP(A93,ZAUBERWERTE,2,FALSE)="CH",1,0),IF(VLOOKUP(A93,ZAUBERWERTE,3,FALSE)="CH",1,0),IF(VLOOKUP(A93,ZAUBERWERTE,4,FALSE)="CH",1,0))&gt;1,-1,0),0),0),
IF(NT_ZOEGZAUBERER,IF(NOT(ISNA(VLOOKUP(A93,ZAUBERWERTE,2,FALSE))),IF(SUM(IF(VLOOKUP(A93,ZAUBERWERTE,2,FALSE)="MU",1,0),IF(VLOOKUP(A93,ZAUBERWERTE,3,FALSE)="MU",1,0),IF(VLOOKUP(A93,ZAUBERWERTE,4,FALSE)="MU",1,0))&gt;1,-1,0),0),0))</f>
        <v>0</v>
      </c>
      <c r="BX93" s="357">
        <f t="shared" ref="BX93:BX124" ca="1" si="386">IF($BY93&gt;0,0,IF(OR(AND(NOT(EXACT($T$6,"")),EXACT($A93,$T$6)),AND(NOT(EXACT($T$7,"")),EXACT($A93,$T$7)),AND(NOT(EXACT($T$8,"")),EXACT($A93,$T$8))),1,0))</f>
        <v>0</v>
      </c>
      <c r="BY93" s="357">
        <f t="shared" ca="1" si="316"/>
        <v>0</v>
      </c>
      <c r="BZ93" s="357"/>
      <c r="CA93" s="357">
        <f t="shared" ca="1" si="314"/>
        <v>0</v>
      </c>
      <c r="CB93" s="357" t="str">
        <f t="shared" ref="CB93:CB124" ca="1" si="387">IF(A93="","",IF(ISERROR(FIND(A93,ZAUBER_ELF_LEIT,1)),
IF(ISERROR(VLOOKUP(A93,ZAUBER_START_NEU,4,FALSE)="L"),"",IF(VLOOKUP(A93,ZAUBER_START_NEU,4,FALSE)="L","L","")),"L"))</f>
        <v/>
      </c>
      <c r="CC93" s="358" t="str">
        <f t="shared" ca="1" si="317"/>
        <v/>
      </c>
      <c r="CD93" s="358" t="str">
        <f t="shared" ca="1" si="318"/>
        <v/>
      </c>
      <c r="CE93" s="357" t="str">
        <f t="shared" ca="1" si="308"/>
        <v>,,,,,,,,,,,,,,,,,,,,,,,,,,,,,,,,,</v>
      </c>
      <c r="CF93" s="154" t="str">
        <f t="shared" si="315"/>
        <v/>
      </c>
      <c r="CG93" s="154">
        <f t="shared" ca="1" si="319"/>
        <v>0</v>
      </c>
      <c r="CH93" s="154"/>
      <c r="CI93" s="154"/>
      <c r="CJ93" s="154"/>
      <c r="CK93" s="154"/>
      <c r="CL93" s="154"/>
      <c r="CM93" s="154"/>
      <c r="CN93" t="s">
        <v>784</v>
      </c>
      <c r="CO93" s="169"/>
      <c r="CP93" s="169"/>
      <c r="CQ93" s="169"/>
      <c r="CR93" s="169"/>
      <c r="CS93" s="169"/>
      <c r="CT93" s="169"/>
      <c r="CU93" s="169"/>
      <c r="CV93" s="164" t="str">
        <f t="shared" ca="1" si="322"/>
        <v/>
      </c>
      <c r="CW93" s="164" t="str">
        <f t="shared" ca="1" si="322"/>
        <v/>
      </c>
      <c r="CX93" s="164" t="str">
        <f t="shared" ca="1" si="322"/>
        <v/>
      </c>
      <c r="CY93" s="164" t="str">
        <f t="shared" ca="1" si="322"/>
        <v/>
      </c>
      <c r="CZ93" s="164" t="str">
        <f t="shared" ca="1" si="322"/>
        <v/>
      </c>
      <c r="DA93" s="164" t="str">
        <f t="shared" ca="1" si="322"/>
        <v/>
      </c>
      <c r="DB93" s="164" t="str">
        <f t="shared" ca="1" si="322"/>
        <v/>
      </c>
      <c r="DC93" s="164" t="str">
        <f t="shared" ca="1" si="322"/>
        <v/>
      </c>
      <c r="DD93" s="164" t="str">
        <f t="shared" ca="1" si="322"/>
        <v/>
      </c>
      <c r="DE93" s="164" t="str">
        <f t="shared" ca="1" si="322"/>
        <v/>
      </c>
      <c r="DF93" s="164" t="str">
        <f t="shared" ca="1" si="323"/>
        <v/>
      </c>
      <c r="DG93" s="164" t="str">
        <f t="shared" ca="1" si="323"/>
        <v/>
      </c>
      <c r="DH93" s="164" t="str">
        <f t="shared" ca="1" si="323"/>
        <v/>
      </c>
      <c r="DI93" s="164" t="str">
        <f t="shared" ca="1" si="323"/>
        <v/>
      </c>
      <c r="DJ93" s="164" t="str">
        <f t="shared" ca="1" si="323"/>
        <v/>
      </c>
      <c r="DK93" s="164" t="str">
        <f t="shared" ca="1" si="323"/>
        <v/>
      </c>
      <c r="DL93" s="164" t="str">
        <f t="shared" ca="1" si="323"/>
        <v/>
      </c>
      <c r="DM93" s="164" t="str">
        <f t="shared" ca="1" si="323"/>
        <v/>
      </c>
      <c r="DN93" s="164" t="str">
        <f t="shared" ca="1" si="323"/>
        <v/>
      </c>
      <c r="DO93" s="164" t="str">
        <f t="shared" ca="1" si="323"/>
        <v/>
      </c>
      <c r="DP93" s="164" t="str">
        <f t="shared" ca="1" si="323"/>
        <v/>
      </c>
      <c r="DQ93" s="164" t="str">
        <f t="shared" ca="1" si="323"/>
        <v/>
      </c>
      <c r="DR93" s="208"/>
      <c r="DS93" s="164" t="str">
        <f t="shared" ref="DS93:DS124" ca="1" si="388">IF($A93="","",IF(VT_VRTLZBR,CODE("F")+1,CODE(VLOOKUP($A93,ZAUBERWERTE,10,FALSE)))-
SUM($BR93:$CA93,
IF(ISERR(FIND(";"&amp;DS$10&amp;";",$H93)),0,1),
IF(ISERR(FIND(";"&amp;DS$10&amp;":",$H93)),0,VALUE(MID($H93,FIND(";"&amp;DS$10&amp;":",$H93)+LEN(DS$10)+2,1))),
IF(ISERR(FIND(";"&amp;DS$10&amp;"+",$H93)),0,-VALUE(MID($H93,FIND(";"&amp;DS$10&amp;"+",$H93)+LEN(DS$10)+2,1))),
IF(AND(NT_Unstet,VLOOKUP($A93,ZAUBERWERTE,10,FALSE)&gt;="C"),-1,0),
IF(AND(NOT(EXACT($AF$241,"")),OR(CV$10&gt;$CO93,ISBLANK($CO93))),IF($CV$3,IF(ISERROR(FIND($AF$241,$BQ93)),0,1),(LEN($BQ93)-LEN(SUBSTITUTE($BQ93,$AF$241,"")))/LEN($AF$241)),0),
IF(AND(NOT(EXACT($AF$242,"")),OR(CV$10&gt;$CP93,ISBLANK($CP93))),IF($CV$3,IF(ISERROR(FIND($AF$242,$BQ93)),0,1),(LEN($BQ93)-LEN(SUBSTITUTE($BQ93,$AF$242,"")))/LEN($AF$242)),0),
IF(AND(NOT(EXACT($AF$243,"")),OR(CV$10&gt;$CQ93,ISBLANK($CQ93))),IF($CV$3,IF(ISERROR(FIND($AF$243,$BQ93)),0,1),(LEN($BQ93)-LEN(SUBSTITUTE($BQ93,$AF$243,"")))/LEN($AF$243)),0),
IF(AND(NOT(EXACT($AF$244,"")),OR(CV$10&gt;$CR93,ISBLANK($CR93))),IF($CV$3,IF(ISERROR(FIND($AF$244,$BQ93)),0,1),(LEN($BQ93)-LEN(SUBSTITUTE($BQ93,$AF$244,"")))/LEN($AF$244)),0),
IF(AND(NOT(EXACT($AF$245,"")),OR(CV$10&gt;$CS93,ISBLANK($CS93))),IF($CV$3,IF(ISERROR(FIND($AF$245,$BQ93)),0,1),(LEN($BQ93)-LEN(SUBSTITUTE($BQ93,$AF$245,"")))/LEN($AF$245)),0),
IF(AND(NOT(EXACT($AF$246,"")),OR(CV$10&gt;$CT93,ISBLANK($CT93))),IF($CV$3,IF(ISERROR(FIND($AF$246,$BQ93)),0,1),(LEN($BQ93)-LEN(SUBSTITUTE($BQ93,$AF$246,"")))/LEN($AF$246)),0),
IF(AND(NOT(EXACT($AF$247,"")),OR(CV$10&gt;$CU93,ISBLANK($CU93))),IF($CV$3,IF(ISERROR(FIND($AF$247,$BQ93)),0,1),(LEN($BQ93)-LEN(SUBSTITUTE($BQ93,$AF$247,"")))/LEN($AF$247)),0)
))</f>
        <v/>
      </c>
      <c r="DT93" s="164" t="str">
        <f t="shared" ref="DT93:DT124" ca="1" si="389">IF($A93="","",IF(VT_VRTLZBR,CODE("F")+1,CODE(VLOOKUP($A93,ZAUBERWERTE,10,FALSE)))-
SUM($BR93:$CA93,
IF(ISERR(FIND(";"&amp;DT$10&amp;";",$H93)),0,1),
IF(ISERR(FIND(";"&amp;DT$10&amp;":",$H93)),0,VALUE(MID($H93,FIND(";"&amp;DT$10&amp;":",$H93)+LEN(DT$10)+2,1))),
IF(ISERR(FIND(";"&amp;DT$10&amp;"+",$H93)),0,-VALUE(MID($H93,FIND(";"&amp;DT$10&amp;"+",$H93)+LEN(DT$10)+2,1))),
IF(AND(NT_Unstet,VLOOKUP($A93,ZAUBERWERTE,10,FALSE)&gt;="C"),-1,0),
IF(AND(NOT(EXACT($AF$241,"")),OR(CW$10&gt;$CO93,ISBLANK($CO93))),IF($CV$3,IF(ISERROR(FIND($AF$241,$BQ93)),0,1),(LEN($BQ93)-LEN(SUBSTITUTE($BQ93,$AF$241,"")))/LEN($AF$241)),0),
IF(AND(NOT(EXACT($AF$242,"")),OR(CW$10&gt;$CP93,ISBLANK($CP93))),IF($CV$3,IF(ISERROR(FIND($AF$242,$BQ93)),0,1),(LEN($BQ93)-LEN(SUBSTITUTE($BQ93,$AF$242,"")))/LEN($AF$242)),0),
IF(AND(NOT(EXACT($AF$243,"")),OR(CW$10&gt;$CQ93,ISBLANK($CQ93))),IF($CV$3,IF(ISERROR(FIND($AF$243,$BQ93)),0,1),(LEN($BQ93)-LEN(SUBSTITUTE($BQ93,$AF$243,"")))/LEN($AF$243)),0),
IF(AND(NOT(EXACT($AF$244,"")),OR(CW$10&gt;$CR93,ISBLANK($CR93))),IF($CV$3,IF(ISERROR(FIND($AF$244,$BQ93)),0,1),(LEN($BQ93)-LEN(SUBSTITUTE($BQ93,$AF$244,"")))/LEN($AF$244)),0),
IF(AND(NOT(EXACT($AF$245,"")),OR(CW$10&gt;$CS93,ISBLANK($CS93))),IF($CV$3,IF(ISERROR(FIND($AF$245,$BQ93)),0,1),(LEN($BQ93)-LEN(SUBSTITUTE($BQ93,$AF$245,"")))/LEN($AF$245)),0),
IF(AND(NOT(EXACT($AF$246,"")),OR(CW$10&gt;$CT93,ISBLANK($CT93))),IF($CV$3,IF(ISERROR(FIND($AF$246,$BQ93)),0,1),(LEN($BQ93)-LEN(SUBSTITUTE($BQ93,$AF$246,"")))/LEN($AF$246)),0),
IF(AND(NOT(EXACT($AF$247,"")),OR(CW$10&gt;$CU93,ISBLANK($CU93))),IF($CV$3,IF(ISERROR(FIND($AF$247,$BQ93)),0,1),(LEN($BQ93)-LEN(SUBSTITUTE($BQ93,$AF$247,"")))/LEN($AF$247)),0)
))</f>
        <v/>
      </c>
      <c r="DU93" s="164" t="str">
        <f t="shared" ref="DU93:DU124" ca="1" si="390">IF($A93="","",IF(VT_VRTLZBR,CODE("F")+1,CODE(VLOOKUP($A93,ZAUBERWERTE,10,FALSE)))-
SUM($BR93:$CA93,
IF(ISERR(FIND(";"&amp;DU$10&amp;";",$H93)),0,1),
IF(ISERR(FIND(";"&amp;DU$10&amp;":",$H93)),0,VALUE(MID($H93,FIND(";"&amp;DU$10&amp;":",$H93)+LEN(DU$10)+2,1))),
IF(ISERR(FIND(";"&amp;DU$10&amp;"+",$H93)),0,-VALUE(MID($H93,FIND(";"&amp;DU$10&amp;"+",$H93)+LEN(DU$10)+2,1))),
IF(AND(NT_Unstet,VLOOKUP($A93,ZAUBERWERTE,10,FALSE)&gt;="C"),-1,0),
IF(AND(NOT(EXACT($AF$241,"")),OR(CX$10&gt;$CO93,ISBLANK($CO93))),IF($CV$3,IF(ISERROR(FIND($AF$241,$BQ93)),0,1),(LEN($BQ93)-LEN(SUBSTITUTE($BQ93,$AF$241,"")))/LEN($AF$241)),0),
IF(AND(NOT(EXACT($AF$242,"")),OR(CX$10&gt;$CP93,ISBLANK($CP93))),IF($CV$3,IF(ISERROR(FIND($AF$242,$BQ93)),0,1),(LEN($BQ93)-LEN(SUBSTITUTE($BQ93,$AF$242,"")))/LEN($AF$242)),0),
IF(AND(NOT(EXACT($AF$243,"")),OR(CX$10&gt;$CQ93,ISBLANK($CQ93))),IF($CV$3,IF(ISERROR(FIND($AF$243,$BQ93)),0,1),(LEN($BQ93)-LEN(SUBSTITUTE($BQ93,$AF$243,"")))/LEN($AF$243)),0),
IF(AND(NOT(EXACT($AF$244,"")),OR(CX$10&gt;$CR93,ISBLANK($CR93))),IF($CV$3,IF(ISERROR(FIND($AF$244,$BQ93)),0,1),(LEN($BQ93)-LEN(SUBSTITUTE($BQ93,$AF$244,"")))/LEN($AF$244)),0),
IF(AND(NOT(EXACT($AF$245,"")),OR(CX$10&gt;$CS93,ISBLANK($CS93))),IF($CV$3,IF(ISERROR(FIND($AF$245,$BQ93)),0,1),(LEN($BQ93)-LEN(SUBSTITUTE($BQ93,$AF$245,"")))/LEN($AF$245)),0),
IF(AND(NOT(EXACT($AF$246,"")),OR(CX$10&gt;$CT93,ISBLANK($CT93))),IF($CV$3,IF(ISERROR(FIND($AF$246,$BQ93)),0,1),(LEN($BQ93)-LEN(SUBSTITUTE($BQ93,$AF$246,"")))/LEN($AF$246)),0),
IF(AND(NOT(EXACT($AF$247,"")),OR(CX$10&gt;$CU93,ISBLANK($CU93))),IF($CV$3,IF(ISERROR(FIND($AF$247,$BQ93)),0,1),(LEN($BQ93)-LEN(SUBSTITUTE($BQ93,$AF$247,"")))/LEN($AF$247)),0)
))</f>
        <v/>
      </c>
      <c r="DV93" s="164" t="str">
        <f t="shared" ref="DV93:DV124" ca="1" si="391">IF($A93="","",IF(VT_VRTLZBR,CODE("F")+1,CODE(VLOOKUP($A93,ZAUBERWERTE,10,FALSE)))-
SUM($BR93:$CA93,
IF(ISERR(FIND(";"&amp;DV$10&amp;";",$H93)),0,1),
IF(ISERR(FIND(";"&amp;DV$10&amp;":",$H93)),0,VALUE(MID($H93,FIND(";"&amp;DV$10&amp;":",$H93)+LEN(DV$10)+2,1))),
IF(ISERR(FIND(";"&amp;DV$10&amp;"+",$H93)),0,-VALUE(MID($H93,FIND(";"&amp;DV$10&amp;"+",$H93)+LEN(DV$10)+2,1))),
IF(AND(NT_Unstet,VLOOKUP($A93,ZAUBERWERTE,10,FALSE)&gt;="C"),-1,0),
IF(AND(NOT(EXACT($AF$241,"")),OR(CY$10&gt;$CO93,ISBLANK($CO93))),IF($CV$3,IF(ISERROR(FIND($AF$241,$BQ93)),0,1),(LEN($BQ93)-LEN(SUBSTITUTE($BQ93,$AF$241,"")))/LEN($AF$241)),0),
IF(AND(NOT(EXACT($AF$242,"")),OR(CY$10&gt;$CP93,ISBLANK($CP93))),IF($CV$3,IF(ISERROR(FIND($AF$242,$BQ93)),0,1),(LEN($BQ93)-LEN(SUBSTITUTE($BQ93,$AF$242,"")))/LEN($AF$242)),0),
IF(AND(NOT(EXACT($AF$243,"")),OR(CY$10&gt;$CQ93,ISBLANK($CQ93))),IF($CV$3,IF(ISERROR(FIND($AF$243,$BQ93)),0,1),(LEN($BQ93)-LEN(SUBSTITUTE($BQ93,$AF$243,"")))/LEN($AF$243)),0),
IF(AND(NOT(EXACT($AF$244,"")),OR(CY$10&gt;$CR93,ISBLANK($CR93))),IF($CV$3,IF(ISERROR(FIND($AF$244,$BQ93)),0,1),(LEN($BQ93)-LEN(SUBSTITUTE($BQ93,$AF$244,"")))/LEN($AF$244)),0),
IF(AND(NOT(EXACT($AF$245,"")),OR(CY$10&gt;$CS93,ISBLANK($CS93))),IF($CV$3,IF(ISERROR(FIND($AF$245,$BQ93)),0,1),(LEN($BQ93)-LEN(SUBSTITUTE($BQ93,$AF$245,"")))/LEN($AF$245)),0),
IF(AND(NOT(EXACT($AF$246,"")),OR(CY$10&gt;$CT93,ISBLANK($CT93))),IF($CV$3,IF(ISERROR(FIND($AF$246,$BQ93)),0,1),(LEN($BQ93)-LEN(SUBSTITUTE($BQ93,$AF$246,"")))/LEN($AF$246)),0),
IF(AND(NOT(EXACT($AF$247,"")),OR(CY$10&gt;$CU93,ISBLANK($CU93))),IF($CV$3,IF(ISERROR(FIND($AF$247,$BQ93)),0,1),(LEN($BQ93)-LEN(SUBSTITUTE($BQ93,$AF$247,"")))/LEN($AF$247)),0)
))</f>
        <v/>
      </c>
      <c r="DW93" s="164" t="str">
        <f t="shared" ref="DW93:DW124" ca="1" si="392">IF($A93="","",IF(VT_VRTLZBR,CODE("F")+1,CODE(VLOOKUP($A93,ZAUBERWERTE,10,FALSE)))-
SUM($BR93:$CA93,
IF(ISERR(FIND(";"&amp;DW$10&amp;";",$H93)),0,1),
IF(ISERR(FIND(";"&amp;DW$10&amp;":",$H93)),0,VALUE(MID($H93,FIND(";"&amp;DW$10&amp;":",$H93)+LEN(DW$10)+2,1))),
IF(ISERR(FIND(";"&amp;DW$10&amp;"+",$H93)),0,-VALUE(MID($H93,FIND(";"&amp;DW$10&amp;"+",$H93)+LEN(DW$10)+2,1))),
IF(AND(NT_Unstet,VLOOKUP($A93,ZAUBERWERTE,10,FALSE)&gt;="C"),-1,0),
IF(AND(NOT(EXACT($AF$241,"")),OR(CZ$10&gt;$CO93,ISBLANK($CO93))),IF($CV$3,IF(ISERROR(FIND($AF$241,$BQ93)),0,1),(LEN($BQ93)-LEN(SUBSTITUTE($BQ93,$AF$241,"")))/LEN($AF$241)),0),
IF(AND(NOT(EXACT($AF$242,"")),OR(CZ$10&gt;$CP93,ISBLANK($CP93))),IF($CV$3,IF(ISERROR(FIND($AF$242,$BQ93)),0,1),(LEN($BQ93)-LEN(SUBSTITUTE($BQ93,$AF$242,"")))/LEN($AF$242)),0),
IF(AND(NOT(EXACT($AF$243,"")),OR(CZ$10&gt;$CQ93,ISBLANK($CQ93))),IF($CV$3,IF(ISERROR(FIND($AF$243,$BQ93)),0,1),(LEN($BQ93)-LEN(SUBSTITUTE($BQ93,$AF$243,"")))/LEN($AF$243)),0),
IF(AND(NOT(EXACT($AF$244,"")),OR(CZ$10&gt;$CR93,ISBLANK($CR93))),IF($CV$3,IF(ISERROR(FIND($AF$244,$BQ93)),0,1),(LEN($BQ93)-LEN(SUBSTITUTE($BQ93,$AF$244,"")))/LEN($AF$244)),0),
IF(AND(NOT(EXACT($AF$245,"")),OR(CZ$10&gt;$CS93,ISBLANK($CS93))),IF($CV$3,IF(ISERROR(FIND($AF$245,$BQ93)),0,1),(LEN($BQ93)-LEN(SUBSTITUTE($BQ93,$AF$245,"")))/LEN($AF$245)),0),
IF(AND(NOT(EXACT($AF$246,"")),OR(CZ$10&gt;$CT93,ISBLANK($CT93))),IF($CV$3,IF(ISERROR(FIND($AF$246,$BQ93)),0,1),(LEN($BQ93)-LEN(SUBSTITUTE($BQ93,$AF$246,"")))/LEN($AF$246)),0),
IF(AND(NOT(EXACT($AF$247,"")),OR(CZ$10&gt;$CU93,ISBLANK($CU93))),IF($CV$3,IF(ISERROR(FIND($AF$247,$BQ93)),0,1),(LEN($BQ93)-LEN(SUBSTITUTE($BQ93,$AF$247,"")))/LEN($AF$247)),0)
))</f>
        <v/>
      </c>
      <c r="DX93" s="164" t="str">
        <f t="shared" ref="DX93:DX124" ca="1" si="393">IF($A93="","",IF(VT_VRTLZBR,CODE("F")+1,CODE(VLOOKUP($A93,ZAUBERWERTE,10,FALSE)))-
SUM($BR93:$CA93,
IF(ISERR(FIND(";"&amp;DX$10&amp;";",$H93)),0,1),
IF(ISERR(FIND(";"&amp;DX$10&amp;":",$H93)),0,VALUE(MID($H93,FIND(";"&amp;DX$10&amp;":",$H93)+LEN(DX$10)+2,1))),
IF(ISERR(FIND(";"&amp;DX$10&amp;"+",$H93)),0,-VALUE(MID($H93,FIND(";"&amp;DX$10&amp;"+",$H93)+LEN(DX$10)+2,1))),
IF(AND(NT_Unstet,VLOOKUP($A93,ZAUBERWERTE,10,FALSE)&gt;="C"),-1,0),
IF(AND(NOT(EXACT($AF$241,"")),OR(DA$10&gt;$CO93,ISBLANK($CO93))),IF($CV$3,IF(ISERROR(FIND($AF$241,$BQ93)),0,1),(LEN($BQ93)-LEN(SUBSTITUTE($BQ93,$AF$241,"")))/LEN($AF$241)),0),
IF(AND(NOT(EXACT($AF$242,"")),OR(DA$10&gt;$CP93,ISBLANK($CP93))),IF($CV$3,IF(ISERROR(FIND($AF$242,$BQ93)),0,1),(LEN($BQ93)-LEN(SUBSTITUTE($BQ93,$AF$242,"")))/LEN($AF$242)),0),
IF(AND(NOT(EXACT($AF$243,"")),OR(DA$10&gt;$CQ93,ISBLANK($CQ93))),IF($CV$3,IF(ISERROR(FIND($AF$243,$BQ93)),0,1),(LEN($BQ93)-LEN(SUBSTITUTE($BQ93,$AF$243,"")))/LEN($AF$243)),0),
IF(AND(NOT(EXACT($AF$244,"")),OR(DA$10&gt;$CR93,ISBLANK($CR93))),IF($CV$3,IF(ISERROR(FIND($AF$244,$BQ93)),0,1),(LEN($BQ93)-LEN(SUBSTITUTE($BQ93,$AF$244,"")))/LEN($AF$244)),0),
IF(AND(NOT(EXACT($AF$245,"")),OR(DA$10&gt;$CS93,ISBLANK($CS93))),IF($CV$3,IF(ISERROR(FIND($AF$245,$BQ93)),0,1),(LEN($BQ93)-LEN(SUBSTITUTE($BQ93,$AF$245,"")))/LEN($AF$245)),0),
IF(AND(NOT(EXACT($AF$246,"")),OR(DA$10&gt;$CT93,ISBLANK($CT93))),IF($CV$3,IF(ISERROR(FIND($AF$246,$BQ93)),0,1),(LEN($BQ93)-LEN(SUBSTITUTE($BQ93,$AF$246,"")))/LEN($AF$246)),0),
IF(AND(NOT(EXACT($AF$247,"")),OR(DA$10&gt;$CU93,ISBLANK($CU93))),IF($CV$3,IF(ISERROR(FIND($AF$247,$BQ93)),0,1),(LEN($BQ93)-LEN(SUBSTITUTE($BQ93,$AF$247,"")))/LEN($AF$247)),0)
))</f>
        <v/>
      </c>
      <c r="DY93" s="164" t="str">
        <f t="shared" ref="DY93:DY124" ca="1" si="394">IF($A93="","",IF(VT_VRTLZBR,CODE("F")+1,CODE(VLOOKUP($A93,ZAUBERWERTE,10,FALSE)))-
SUM($BR93:$CA93,
IF(ISERR(FIND(";"&amp;DY$10&amp;";",$H93)),0,1),
IF(ISERR(FIND(";"&amp;DY$10&amp;":",$H93)),0,VALUE(MID($H93,FIND(";"&amp;DY$10&amp;":",$H93)+LEN(DY$10)+2,1))),
IF(ISERR(FIND(";"&amp;DY$10&amp;"+",$H93)),0,-VALUE(MID($H93,FIND(";"&amp;DY$10&amp;"+",$H93)+LEN(DY$10)+2,1))),
IF(AND(NT_Unstet,VLOOKUP($A93,ZAUBERWERTE,10,FALSE)&gt;="C"),-1,0),
IF(AND(NOT(EXACT($AF$241,"")),OR(DB$10&gt;$CO93,ISBLANK($CO93))),IF($CV$3,IF(ISERROR(FIND($AF$241,$BQ93)),0,1),(LEN($BQ93)-LEN(SUBSTITUTE($BQ93,$AF$241,"")))/LEN($AF$241)),0),
IF(AND(NOT(EXACT($AF$242,"")),OR(DB$10&gt;$CP93,ISBLANK($CP93))),IF($CV$3,IF(ISERROR(FIND($AF$242,$BQ93)),0,1),(LEN($BQ93)-LEN(SUBSTITUTE($BQ93,$AF$242,"")))/LEN($AF$242)),0),
IF(AND(NOT(EXACT($AF$243,"")),OR(DB$10&gt;$CQ93,ISBLANK($CQ93))),IF($CV$3,IF(ISERROR(FIND($AF$243,$BQ93)),0,1),(LEN($BQ93)-LEN(SUBSTITUTE($BQ93,$AF$243,"")))/LEN($AF$243)),0),
IF(AND(NOT(EXACT($AF$244,"")),OR(DB$10&gt;$CR93,ISBLANK($CR93))),IF($CV$3,IF(ISERROR(FIND($AF$244,$BQ93)),0,1),(LEN($BQ93)-LEN(SUBSTITUTE($BQ93,$AF$244,"")))/LEN($AF$244)),0),
IF(AND(NOT(EXACT($AF$245,"")),OR(DB$10&gt;$CS93,ISBLANK($CS93))),IF($CV$3,IF(ISERROR(FIND($AF$245,$BQ93)),0,1),(LEN($BQ93)-LEN(SUBSTITUTE($BQ93,$AF$245,"")))/LEN($AF$245)),0),
IF(AND(NOT(EXACT($AF$246,"")),OR(DB$10&gt;$CT93,ISBLANK($CT93))),IF($CV$3,IF(ISERROR(FIND($AF$246,$BQ93)),0,1),(LEN($BQ93)-LEN(SUBSTITUTE($BQ93,$AF$246,"")))/LEN($AF$246)),0),
IF(AND(NOT(EXACT($AF$247,"")),OR(DB$10&gt;$CU93,ISBLANK($CU93))),IF($CV$3,IF(ISERROR(FIND($AF$247,$BQ93)),0,1),(LEN($BQ93)-LEN(SUBSTITUTE($BQ93,$AF$247,"")))/LEN($AF$247)),0)
))</f>
        <v/>
      </c>
      <c r="DZ93" s="164" t="str">
        <f t="shared" ref="DZ93:DZ124" ca="1" si="395">IF($A93="","",IF(VT_VRTLZBR,CODE("F")+1,CODE(VLOOKUP($A93,ZAUBERWERTE,10,FALSE)))-
SUM($BR93:$CA93,
IF(ISERR(FIND(";"&amp;DZ$10&amp;";",$H93)),0,1),
IF(ISERR(FIND(";"&amp;DZ$10&amp;":",$H93)),0,VALUE(MID($H93,FIND(";"&amp;DZ$10&amp;":",$H93)+LEN(DZ$10)+2,1))),
IF(ISERR(FIND(";"&amp;DZ$10&amp;"+",$H93)),0,-VALUE(MID($H93,FIND(";"&amp;DZ$10&amp;"+",$H93)+LEN(DZ$10)+2,1))),
IF(AND(NT_Unstet,VLOOKUP($A93,ZAUBERWERTE,10,FALSE)&gt;="C"),-1,0),
IF(AND(NOT(EXACT($AF$241,"")),OR(DC$10&gt;$CO93,ISBLANK($CO93))),IF($CV$3,IF(ISERROR(FIND($AF$241,$BQ93)),0,1),(LEN($BQ93)-LEN(SUBSTITUTE($BQ93,$AF$241,"")))/LEN($AF$241)),0),
IF(AND(NOT(EXACT($AF$242,"")),OR(DC$10&gt;$CP93,ISBLANK($CP93))),IF($CV$3,IF(ISERROR(FIND($AF$242,$BQ93)),0,1),(LEN($BQ93)-LEN(SUBSTITUTE($BQ93,$AF$242,"")))/LEN($AF$242)),0),
IF(AND(NOT(EXACT($AF$243,"")),OR(DC$10&gt;$CQ93,ISBLANK($CQ93))),IF($CV$3,IF(ISERROR(FIND($AF$243,$BQ93)),0,1),(LEN($BQ93)-LEN(SUBSTITUTE($BQ93,$AF$243,"")))/LEN($AF$243)),0),
IF(AND(NOT(EXACT($AF$244,"")),OR(DC$10&gt;$CR93,ISBLANK($CR93))),IF($CV$3,IF(ISERROR(FIND($AF$244,$BQ93)),0,1),(LEN($BQ93)-LEN(SUBSTITUTE($BQ93,$AF$244,"")))/LEN($AF$244)),0),
IF(AND(NOT(EXACT($AF$245,"")),OR(DC$10&gt;$CS93,ISBLANK($CS93))),IF($CV$3,IF(ISERROR(FIND($AF$245,$BQ93)),0,1),(LEN($BQ93)-LEN(SUBSTITUTE($BQ93,$AF$245,"")))/LEN($AF$245)),0),
IF(AND(NOT(EXACT($AF$246,"")),OR(DC$10&gt;$CT93,ISBLANK($CT93))),IF($CV$3,IF(ISERROR(FIND($AF$246,$BQ93)),0,1),(LEN($BQ93)-LEN(SUBSTITUTE($BQ93,$AF$246,"")))/LEN($AF$246)),0),
IF(AND(NOT(EXACT($AF$247,"")),OR(DC$10&gt;$CU93,ISBLANK($CU93))),IF($CV$3,IF(ISERROR(FIND($AF$247,$BQ93)),0,1),(LEN($BQ93)-LEN(SUBSTITUTE($BQ93,$AF$247,"")))/LEN($AF$247)),0)
))</f>
        <v/>
      </c>
      <c r="EA93" s="164" t="str">
        <f t="shared" ref="EA93:EA124" ca="1" si="396">IF($A93="","",IF(VT_VRTLZBR,CODE("F")+1,CODE(VLOOKUP($A93,ZAUBERWERTE,10,FALSE)))-
SUM($BR93:$CA93,
IF(ISERR(FIND(";"&amp;EA$10&amp;";",$H93)),0,1),
IF(ISERR(FIND(";"&amp;EA$10&amp;":",$H93)),0,VALUE(MID($H93,FIND(";"&amp;EA$10&amp;":",$H93)+LEN(EA$10)+2,1))),
IF(ISERR(FIND(";"&amp;EA$10&amp;"+",$H93)),0,-VALUE(MID($H93,FIND(";"&amp;EA$10&amp;"+",$H93)+LEN(EA$10)+2,1))),
IF(AND(NT_Unstet,VLOOKUP($A93,ZAUBERWERTE,10,FALSE)&gt;="C"),-1,0),
IF(AND(NOT(EXACT($AF$241,"")),OR(DD$10&gt;$CO93,ISBLANK($CO93))),IF($CV$3,IF(ISERROR(FIND($AF$241,$BQ93)),0,1),(LEN($BQ93)-LEN(SUBSTITUTE($BQ93,$AF$241,"")))/LEN($AF$241)),0),
IF(AND(NOT(EXACT($AF$242,"")),OR(DD$10&gt;$CP93,ISBLANK($CP93))),IF($CV$3,IF(ISERROR(FIND($AF$242,$BQ93)),0,1),(LEN($BQ93)-LEN(SUBSTITUTE($BQ93,$AF$242,"")))/LEN($AF$242)),0),
IF(AND(NOT(EXACT($AF$243,"")),OR(DD$10&gt;$CQ93,ISBLANK($CQ93))),IF($CV$3,IF(ISERROR(FIND($AF$243,$BQ93)),0,1),(LEN($BQ93)-LEN(SUBSTITUTE($BQ93,$AF$243,"")))/LEN($AF$243)),0),
IF(AND(NOT(EXACT($AF$244,"")),OR(DD$10&gt;$CR93,ISBLANK($CR93))),IF($CV$3,IF(ISERROR(FIND($AF$244,$BQ93)),0,1),(LEN($BQ93)-LEN(SUBSTITUTE($BQ93,$AF$244,"")))/LEN($AF$244)),0),
IF(AND(NOT(EXACT($AF$245,"")),OR(DD$10&gt;$CS93,ISBLANK($CS93))),IF($CV$3,IF(ISERROR(FIND($AF$245,$BQ93)),0,1),(LEN($BQ93)-LEN(SUBSTITUTE($BQ93,$AF$245,"")))/LEN($AF$245)),0),
IF(AND(NOT(EXACT($AF$246,"")),OR(DD$10&gt;$CT93,ISBLANK($CT93))),IF($CV$3,IF(ISERROR(FIND($AF$246,$BQ93)),0,1),(LEN($BQ93)-LEN(SUBSTITUTE($BQ93,$AF$246,"")))/LEN($AF$246)),0),
IF(AND(NOT(EXACT($AF$247,"")),OR(DD$10&gt;$CU93,ISBLANK($CU93))),IF($CV$3,IF(ISERROR(FIND($AF$247,$BQ93)),0,1),(LEN($BQ93)-LEN(SUBSTITUTE($BQ93,$AF$247,"")))/LEN($AF$247)),0)
))</f>
        <v/>
      </c>
      <c r="EB93" s="164" t="str">
        <f t="shared" ref="EB93:EB124" ca="1" si="397">IF($A93="","",IF(VT_VRTLZBR,CODE("F")+1,CODE(VLOOKUP($A93,ZAUBERWERTE,10,FALSE)))-
SUM($BR93:$CA93,
IF(ISERR(FIND(";"&amp;EB$10&amp;";",$H93)),0,1),
IF(ISERR(FIND(";"&amp;EB$10&amp;":",$H93)),0,VALUE(MID($H93,FIND(";"&amp;EB$10&amp;":",$H93)+LEN(EB$10)+2,1))),
IF(ISERR(FIND(";"&amp;EB$10&amp;"+",$H93)),0,-VALUE(MID($H93,FIND(";"&amp;EB$10&amp;"+",$H93)+LEN(EB$10)+2,1))),
IF(AND(NT_Unstet,VLOOKUP($A93,ZAUBERWERTE,10,FALSE)&gt;="C"),-1,0),
IF(AND(NOT(EXACT($AF$241,"")),OR(DE$10&gt;$CO93,ISBLANK($CO93))),IF($CV$3,IF(ISERROR(FIND($AF$241,$BQ93)),0,1),(LEN($BQ93)-LEN(SUBSTITUTE($BQ93,$AF$241,"")))/LEN($AF$241)),0),
IF(AND(NOT(EXACT($AF$242,"")),OR(DE$10&gt;$CP93,ISBLANK($CP93))),IF($CV$3,IF(ISERROR(FIND($AF$242,$BQ93)),0,1),(LEN($BQ93)-LEN(SUBSTITUTE($BQ93,$AF$242,"")))/LEN($AF$242)),0),
IF(AND(NOT(EXACT($AF$243,"")),OR(DE$10&gt;$CQ93,ISBLANK($CQ93))),IF($CV$3,IF(ISERROR(FIND($AF$243,$BQ93)),0,1),(LEN($BQ93)-LEN(SUBSTITUTE($BQ93,$AF$243,"")))/LEN($AF$243)),0),
IF(AND(NOT(EXACT($AF$244,"")),OR(DE$10&gt;$CR93,ISBLANK($CR93))),IF($CV$3,IF(ISERROR(FIND($AF$244,$BQ93)),0,1),(LEN($BQ93)-LEN(SUBSTITUTE($BQ93,$AF$244,"")))/LEN($AF$244)),0),
IF(AND(NOT(EXACT($AF$245,"")),OR(DE$10&gt;$CS93,ISBLANK($CS93))),IF($CV$3,IF(ISERROR(FIND($AF$245,$BQ93)),0,1),(LEN($BQ93)-LEN(SUBSTITUTE($BQ93,$AF$245,"")))/LEN($AF$245)),0),
IF(AND(NOT(EXACT($AF$246,"")),OR(DE$10&gt;$CT93,ISBLANK($CT93))),IF($CV$3,IF(ISERROR(FIND($AF$246,$BQ93)),0,1),(LEN($BQ93)-LEN(SUBSTITUTE($BQ93,$AF$246,"")))/LEN($AF$246)),0),
IF(AND(NOT(EXACT($AF$247,"")),OR(DE$10&gt;$CU93,ISBLANK($CU93))),IF($CV$3,IF(ISERROR(FIND($AF$247,$BQ93)),0,1),(LEN($BQ93)-LEN(SUBSTITUTE($BQ93,$AF$247,"")))/LEN($AF$247)),0)
))</f>
        <v/>
      </c>
      <c r="EC93" s="164" t="str">
        <f t="shared" ref="EC93:EC124" ca="1" si="398">IF($A93="","",IF(VT_VRTLZBR,CODE("F")+1,CODE(VLOOKUP($A93,ZAUBERWERTE,10,FALSE)))-
SUM($BR93:$CA93,
IF(ISERR(FIND(";"&amp;EC$10&amp;";",$H93)),0,1),
IF(ISERR(FIND(";"&amp;EC$10&amp;":",$H93)),0,VALUE(MID($H93,FIND(";"&amp;EC$10&amp;":",$H93)+LEN(EC$10)+2,1))),
IF(ISERR(FIND(";"&amp;EC$10&amp;"+",$H93)),0,-VALUE(MID($H93,FIND(";"&amp;EC$10&amp;"+",$H93)+LEN(EC$10)+2,1))),
IF(AND(NT_Unstet,VLOOKUP($A93,ZAUBERWERTE,10,FALSE)&gt;="C"),-1,0),
IF(AND(NOT(EXACT($AF$241,"")),OR(DF$10&gt;$CO93,ISBLANK($CO93))),IF($CV$3,IF(ISERROR(FIND($AF$241,$BQ93)),0,1),(LEN($BQ93)-LEN(SUBSTITUTE($BQ93,$AF$241,"")))/LEN($AF$241)),0),
IF(AND(NOT(EXACT($AF$242,"")),OR(DF$10&gt;$CP93,ISBLANK($CP93))),IF($CV$3,IF(ISERROR(FIND($AF$242,$BQ93)),0,1),(LEN($BQ93)-LEN(SUBSTITUTE($BQ93,$AF$242,"")))/LEN($AF$242)),0),
IF(AND(NOT(EXACT($AF$243,"")),OR(DF$10&gt;$CQ93,ISBLANK($CQ93))),IF($CV$3,IF(ISERROR(FIND($AF$243,$BQ93)),0,1),(LEN($BQ93)-LEN(SUBSTITUTE($BQ93,$AF$243,"")))/LEN($AF$243)),0),
IF(AND(NOT(EXACT($AF$244,"")),OR(DF$10&gt;$CR93,ISBLANK($CR93))),IF($CV$3,IF(ISERROR(FIND($AF$244,$BQ93)),0,1),(LEN($BQ93)-LEN(SUBSTITUTE($BQ93,$AF$244,"")))/LEN($AF$244)),0),
IF(AND(NOT(EXACT($AF$245,"")),OR(DF$10&gt;$CS93,ISBLANK($CS93))),IF($CV$3,IF(ISERROR(FIND($AF$245,$BQ93)),0,1),(LEN($BQ93)-LEN(SUBSTITUTE($BQ93,$AF$245,"")))/LEN($AF$245)),0),
IF(AND(NOT(EXACT($AF$246,"")),OR(DF$10&gt;$CT93,ISBLANK($CT93))),IF($CV$3,IF(ISERROR(FIND($AF$246,$BQ93)),0,1),(LEN($BQ93)-LEN(SUBSTITUTE($BQ93,$AF$246,"")))/LEN($AF$246)),0),
IF(AND(NOT(EXACT($AF$247,"")),OR(DF$10&gt;$CU93,ISBLANK($CU93))),IF($CV$3,IF(ISERROR(FIND($AF$247,$BQ93)),0,1),(LEN($BQ93)-LEN(SUBSTITUTE($BQ93,$AF$247,"")))/LEN($AF$247)),0)
))</f>
        <v/>
      </c>
      <c r="ED93" s="164" t="str">
        <f t="shared" ref="ED93:ED124" ca="1" si="399">IF($A93="","",IF(VT_VRTLZBR,CODE("F")+1,CODE(VLOOKUP($A93,ZAUBERWERTE,10,FALSE)))-
SUM($BR93:$CA93,
IF(ISERR(FIND(";"&amp;ED$10&amp;";",$H93)),0,1),
IF(ISERR(FIND(";"&amp;ED$10&amp;":",$H93)),0,VALUE(MID($H93,FIND(";"&amp;ED$10&amp;":",$H93)+LEN(ED$10)+2,1))),
IF(ISERR(FIND(";"&amp;ED$10&amp;"+",$H93)),0,-VALUE(MID($H93,FIND(";"&amp;ED$10&amp;"+",$H93)+LEN(ED$10)+2,1))),
IF(AND(NT_Unstet,VLOOKUP($A93,ZAUBERWERTE,10,FALSE)&gt;="C"),-1,0),
IF(AND(NOT(EXACT($AF$241,"")),OR(DG$10&gt;$CO93,ISBLANK($CO93))),IF($CV$3,IF(ISERROR(FIND($AF$241,$BQ93)),0,1),(LEN($BQ93)-LEN(SUBSTITUTE($BQ93,$AF$241,"")))/LEN($AF$241)),0),
IF(AND(NOT(EXACT($AF$242,"")),OR(DG$10&gt;$CP93,ISBLANK($CP93))),IF($CV$3,IF(ISERROR(FIND($AF$242,$BQ93)),0,1),(LEN($BQ93)-LEN(SUBSTITUTE($BQ93,$AF$242,"")))/LEN($AF$242)),0),
IF(AND(NOT(EXACT($AF$243,"")),OR(DG$10&gt;$CQ93,ISBLANK($CQ93))),IF($CV$3,IF(ISERROR(FIND($AF$243,$BQ93)),0,1),(LEN($BQ93)-LEN(SUBSTITUTE($BQ93,$AF$243,"")))/LEN($AF$243)),0),
IF(AND(NOT(EXACT($AF$244,"")),OR(DG$10&gt;$CR93,ISBLANK($CR93))),IF($CV$3,IF(ISERROR(FIND($AF$244,$BQ93)),0,1),(LEN($BQ93)-LEN(SUBSTITUTE($BQ93,$AF$244,"")))/LEN($AF$244)),0),
IF(AND(NOT(EXACT($AF$245,"")),OR(DG$10&gt;$CS93,ISBLANK($CS93))),IF($CV$3,IF(ISERROR(FIND($AF$245,$BQ93)),0,1),(LEN($BQ93)-LEN(SUBSTITUTE($BQ93,$AF$245,"")))/LEN($AF$245)),0),
IF(AND(NOT(EXACT($AF$246,"")),OR(DG$10&gt;$CT93,ISBLANK($CT93))),IF($CV$3,IF(ISERROR(FIND($AF$246,$BQ93)),0,1),(LEN($BQ93)-LEN(SUBSTITUTE($BQ93,$AF$246,"")))/LEN($AF$246)),0),
IF(AND(NOT(EXACT($AF$247,"")),OR(DG$10&gt;$CU93,ISBLANK($CU93))),IF($CV$3,IF(ISERROR(FIND($AF$247,$BQ93)),0,1),(LEN($BQ93)-LEN(SUBSTITUTE($BQ93,$AF$247,"")))/LEN($AF$247)),0)
))</f>
        <v/>
      </c>
      <c r="EE93" s="164" t="str">
        <f t="shared" ref="EE93:EE124" ca="1" si="400">IF($A93="","",IF(VT_VRTLZBR,CODE("F")+1,CODE(VLOOKUP($A93,ZAUBERWERTE,10,FALSE)))-
SUM($BR93:$CA93,
IF(ISERR(FIND(";"&amp;EE$10&amp;";",$H93)),0,1),
IF(ISERR(FIND(";"&amp;EE$10&amp;":",$H93)),0,VALUE(MID($H93,FIND(";"&amp;EE$10&amp;":",$H93)+LEN(EE$10)+2,1))),
IF(ISERR(FIND(";"&amp;EE$10&amp;"+",$H93)),0,-VALUE(MID($H93,FIND(";"&amp;EE$10&amp;"+",$H93)+LEN(EE$10)+2,1))),
IF(AND(NT_Unstet,VLOOKUP($A93,ZAUBERWERTE,10,FALSE)&gt;="C"),-1,0),
IF(AND(NOT(EXACT($AF$241,"")),OR(DH$10&gt;$CO93,ISBLANK($CO93))),IF($CV$3,IF(ISERROR(FIND($AF$241,$BQ93)),0,1),(LEN($BQ93)-LEN(SUBSTITUTE($BQ93,$AF$241,"")))/LEN($AF$241)),0),
IF(AND(NOT(EXACT($AF$242,"")),OR(DH$10&gt;$CP93,ISBLANK($CP93))),IF($CV$3,IF(ISERROR(FIND($AF$242,$BQ93)),0,1),(LEN($BQ93)-LEN(SUBSTITUTE($BQ93,$AF$242,"")))/LEN($AF$242)),0),
IF(AND(NOT(EXACT($AF$243,"")),OR(DH$10&gt;$CQ93,ISBLANK($CQ93))),IF($CV$3,IF(ISERROR(FIND($AF$243,$BQ93)),0,1),(LEN($BQ93)-LEN(SUBSTITUTE($BQ93,$AF$243,"")))/LEN($AF$243)),0),
IF(AND(NOT(EXACT($AF$244,"")),OR(DH$10&gt;$CR93,ISBLANK($CR93))),IF($CV$3,IF(ISERROR(FIND($AF$244,$BQ93)),0,1),(LEN($BQ93)-LEN(SUBSTITUTE($BQ93,$AF$244,"")))/LEN($AF$244)),0),
IF(AND(NOT(EXACT($AF$245,"")),OR(DH$10&gt;$CS93,ISBLANK($CS93))),IF($CV$3,IF(ISERROR(FIND($AF$245,$BQ93)),0,1),(LEN($BQ93)-LEN(SUBSTITUTE($BQ93,$AF$245,"")))/LEN($AF$245)),0),
IF(AND(NOT(EXACT($AF$246,"")),OR(DH$10&gt;$CT93,ISBLANK($CT93))),IF($CV$3,IF(ISERROR(FIND($AF$246,$BQ93)),0,1),(LEN($BQ93)-LEN(SUBSTITUTE($BQ93,$AF$246,"")))/LEN($AF$246)),0),
IF(AND(NOT(EXACT($AF$247,"")),OR(DH$10&gt;$CU93,ISBLANK($CU93))),IF($CV$3,IF(ISERROR(FIND($AF$247,$BQ93)),0,1),(LEN($BQ93)-LEN(SUBSTITUTE($BQ93,$AF$247,"")))/LEN($AF$247)),0)
))</f>
        <v/>
      </c>
      <c r="EF93" s="164" t="str">
        <f t="shared" ref="EF93:EF124" ca="1" si="401">IF($A93="","",IF(VT_VRTLZBR,CODE("F")+1,CODE(VLOOKUP($A93,ZAUBERWERTE,10,FALSE)))-
SUM($BR93:$CA93,
IF(ISERR(FIND(";"&amp;EF$10&amp;";",$H93)),0,1),
IF(ISERR(FIND(";"&amp;EF$10&amp;":",$H93)),0,VALUE(MID($H93,FIND(";"&amp;EF$10&amp;":",$H93)+LEN(EF$10)+2,1))),
IF(ISERR(FIND(";"&amp;EF$10&amp;"+",$H93)),0,-VALUE(MID($H93,FIND(";"&amp;EF$10&amp;"+",$H93)+LEN(EF$10)+2,1))),
IF(AND(NT_Unstet,VLOOKUP($A93,ZAUBERWERTE,10,FALSE)&gt;="C"),-1,0),
IF(AND(NOT(EXACT($AF$241,"")),OR(DI$10&gt;$CO93,ISBLANK($CO93))),IF($CV$3,IF(ISERROR(FIND($AF$241,$BQ93)),0,1),(LEN($BQ93)-LEN(SUBSTITUTE($BQ93,$AF$241,"")))/LEN($AF$241)),0),
IF(AND(NOT(EXACT($AF$242,"")),OR(DI$10&gt;$CP93,ISBLANK($CP93))),IF($CV$3,IF(ISERROR(FIND($AF$242,$BQ93)),0,1),(LEN($BQ93)-LEN(SUBSTITUTE($BQ93,$AF$242,"")))/LEN($AF$242)),0),
IF(AND(NOT(EXACT($AF$243,"")),OR(DI$10&gt;$CQ93,ISBLANK($CQ93))),IF($CV$3,IF(ISERROR(FIND($AF$243,$BQ93)),0,1),(LEN($BQ93)-LEN(SUBSTITUTE($BQ93,$AF$243,"")))/LEN($AF$243)),0),
IF(AND(NOT(EXACT($AF$244,"")),OR(DI$10&gt;$CR93,ISBLANK($CR93))),IF($CV$3,IF(ISERROR(FIND($AF$244,$BQ93)),0,1),(LEN($BQ93)-LEN(SUBSTITUTE($BQ93,$AF$244,"")))/LEN($AF$244)),0),
IF(AND(NOT(EXACT($AF$245,"")),OR(DI$10&gt;$CS93,ISBLANK($CS93))),IF($CV$3,IF(ISERROR(FIND($AF$245,$BQ93)),0,1),(LEN($BQ93)-LEN(SUBSTITUTE($BQ93,$AF$245,"")))/LEN($AF$245)),0),
IF(AND(NOT(EXACT($AF$246,"")),OR(DI$10&gt;$CT93,ISBLANK($CT93))),IF($CV$3,IF(ISERROR(FIND($AF$246,$BQ93)),0,1),(LEN($BQ93)-LEN(SUBSTITUTE($BQ93,$AF$246,"")))/LEN($AF$246)),0),
IF(AND(NOT(EXACT($AF$247,"")),OR(DI$10&gt;$CU93,ISBLANK($CU93))),IF($CV$3,IF(ISERROR(FIND($AF$247,$BQ93)),0,1),(LEN($BQ93)-LEN(SUBSTITUTE($BQ93,$AF$247,"")))/LEN($AF$247)),0)
))</f>
        <v/>
      </c>
      <c r="EG93" s="164" t="str">
        <f t="shared" ref="EG93:EG124" ca="1" si="402">IF($A93="","",IF(VT_VRTLZBR,CODE("F")+1,CODE(VLOOKUP($A93,ZAUBERWERTE,10,FALSE)))-
SUM($BR93:$CA93,
IF(ISERR(FIND(";"&amp;EG$10&amp;";",$H93)),0,1),
IF(ISERR(FIND(";"&amp;EG$10&amp;":",$H93)),0,VALUE(MID($H93,FIND(";"&amp;EG$10&amp;":",$H93)+LEN(EG$10)+2,1))),
IF(ISERR(FIND(";"&amp;EG$10&amp;"+",$H93)),0,-VALUE(MID($H93,FIND(";"&amp;EG$10&amp;"+",$H93)+LEN(EG$10)+2,1))),
IF(AND(NT_Unstet,VLOOKUP($A93,ZAUBERWERTE,10,FALSE)&gt;="C"),-1,0),
IF(AND(NOT(EXACT($AF$241,"")),OR(DJ$10&gt;$CO93,ISBLANK($CO93))),IF($CV$3,IF(ISERROR(FIND($AF$241,$BQ93)),0,1),(LEN($BQ93)-LEN(SUBSTITUTE($BQ93,$AF$241,"")))/LEN($AF$241)),0),
IF(AND(NOT(EXACT($AF$242,"")),OR(DJ$10&gt;$CP93,ISBLANK($CP93))),IF($CV$3,IF(ISERROR(FIND($AF$242,$BQ93)),0,1),(LEN($BQ93)-LEN(SUBSTITUTE($BQ93,$AF$242,"")))/LEN($AF$242)),0),
IF(AND(NOT(EXACT($AF$243,"")),OR(DJ$10&gt;$CQ93,ISBLANK($CQ93))),IF($CV$3,IF(ISERROR(FIND($AF$243,$BQ93)),0,1),(LEN($BQ93)-LEN(SUBSTITUTE($BQ93,$AF$243,"")))/LEN($AF$243)),0),
IF(AND(NOT(EXACT($AF$244,"")),OR(DJ$10&gt;$CR93,ISBLANK($CR93))),IF($CV$3,IF(ISERROR(FIND($AF$244,$BQ93)),0,1),(LEN($BQ93)-LEN(SUBSTITUTE($BQ93,$AF$244,"")))/LEN($AF$244)),0),
IF(AND(NOT(EXACT($AF$245,"")),OR(DJ$10&gt;$CS93,ISBLANK($CS93))),IF($CV$3,IF(ISERROR(FIND($AF$245,$BQ93)),0,1),(LEN($BQ93)-LEN(SUBSTITUTE($BQ93,$AF$245,"")))/LEN($AF$245)),0),
IF(AND(NOT(EXACT($AF$246,"")),OR(DJ$10&gt;$CT93,ISBLANK($CT93))),IF($CV$3,IF(ISERROR(FIND($AF$246,$BQ93)),0,1),(LEN($BQ93)-LEN(SUBSTITUTE($BQ93,$AF$246,"")))/LEN($AF$246)),0),
IF(AND(NOT(EXACT($AF$247,"")),OR(DJ$10&gt;$CU93,ISBLANK($CU93))),IF($CV$3,IF(ISERROR(FIND($AF$247,$BQ93)),0,1),(LEN($BQ93)-LEN(SUBSTITUTE($BQ93,$AF$247,"")))/LEN($AF$247)),0)
))</f>
        <v/>
      </c>
      <c r="EH93" s="164" t="str">
        <f t="shared" ref="EH93:EH124" ca="1" si="403">IF($A93="","",IF(VT_VRTLZBR,CODE("F")+1,CODE(VLOOKUP($A93,ZAUBERWERTE,10,FALSE)))-
SUM($BR93:$CA93,
IF(ISERR(FIND(";"&amp;EH$10&amp;";",$H93)),0,1),
IF(ISERR(FIND(";"&amp;EH$10&amp;":",$H93)),0,VALUE(MID($H93,FIND(";"&amp;EH$10&amp;":",$H93)+LEN(EH$10)+2,1))),
IF(ISERR(FIND(";"&amp;EH$10&amp;"+",$H93)),0,-VALUE(MID($H93,FIND(";"&amp;EH$10&amp;"+",$H93)+LEN(EH$10)+2,1))),
IF(AND(NT_Unstet,VLOOKUP($A93,ZAUBERWERTE,10,FALSE)&gt;="C"),-1,0),
IF(AND(NOT(EXACT($AF$241,"")),OR(DK$10&gt;$CO93,ISBLANK($CO93))),IF($CV$3,IF(ISERROR(FIND($AF$241,$BQ93)),0,1),(LEN($BQ93)-LEN(SUBSTITUTE($BQ93,$AF$241,"")))/LEN($AF$241)),0),
IF(AND(NOT(EXACT($AF$242,"")),OR(DK$10&gt;$CP93,ISBLANK($CP93))),IF($CV$3,IF(ISERROR(FIND($AF$242,$BQ93)),0,1),(LEN($BQ93)-LEN(SUBSTITUTE($BQ93,$AF$242,"")))/LEN($AF$242)),0),
IF(AND(NOT(EXACT($AF$243,"")),OR(DK$10&gt;$CQ93,ISBLANK($CQ93))),IF($CV$3,IF(ISERROR(FIND($AF$243,$BQ93)),0,1),(LEN($BQ93)-LEN(SUBSTITUTE($BQ93,$AF$243,"")))/LEN($AF$243)),0),
IF(AND(NOT(EXACT($AF$244,"")),OR(DK$10&gt;$CR93,ISBLANK($CR93))),IF($CV$3,IF(ISERROR(FIND($AF$244,$BQ93)),0,1),(LEN($BQ93)-LEN(SUBSTITUTE($BQ93,$AF$244,"")))/LEN($AF$244)),0),
IF(AND(NOT(EXACT($AF$245,"")),OR(DK$10&gt;$CS93,ISBLANK($CS93))),IF($CV$3,IF(ISERROR(FIND($AF$245,$BQ93)),0,1),(LEN($BQ93)-LEN(SUBSTITUTE($BQ93,$AF$245,"")))/LEN($AF$245)),0),
IF(AND(NOT(EXACT($AF$246,"")),OR(DK$10&gt;$CT93,ISBLANK($CT93))),IF($CV$3,IF(ISERROR(FIND($AF$246,$BQ93)),0,1),(LEN($BQ93)-LEN(SUBSTITUTE($BQ93,$AF$246,"")))/LEN($AF$246)),0),
IF(AND(NOT(EXACT($AF$247,"")),OR(DK$10&gt;$CU93,ISBLANK($CU93))),IF($CV$3,IF(ISERROR(FIND($AF$247,$BQ93)),0,1),(LEN($BQ93)-LEN(SUBSTITUTE($BQ93,$AF$247,"")))/LEN($AF$247)),0)
))</f>
        <v/>
      </c>
      <c r="EI93" s="164" t="str">
        <f t="shared" ref="EI93:EI124" ca="1" si="404">IF($A93="","",IF(VT_VRTLZBR,CODE("F")+1,CODE(VLOOKUP($A93,ZAUBERWERTE,10,FALSE)))-
SUM($BR93:$CA93,
IF(ISERR(FIND(";"&amp;EI$10&amp;";",$H93)),0,1),
IF(ISERR(FIND(";"&amp;EI$10&amp;":",$H93)),0,VALUE(MID($H93,FIND(";"&amp;EI$10&amp;":",$H93)+LEN(EI$10)+2,1))),
IF(ISERR(FIND(";"&amp;EI$10&amp;"+",$H93)),0,-VALUE(MID($H93,FIND(";"&amp;EI$10&amp;"+",$H93)+LEN(EI$10)+2,1))),
IF(AND(NT_Unstet,VLOOKUP($A93,ZAUBERWERTE,10,FALSE)&gt;="C"),-1,0),
IF(AND(NOT(EXACT($AF$241,"")),OR(DL$10&gt;$CO93,ISBLANK($CO93))),IF($CV$3,IF(ISERROR(FIND($AF$241,$BQ93)),0,1),(LEN($BQ93)-LEN(SUBSTITUTE($BQ93,$AF$241,"")))/LEN($AF$241)),0),
IF(AND(NOT(EXACT($AF$242,"")),OR(DL$10&gt;$CP93,ISBLANK($CP93))),IF($CV$3,IF(ISERROR(FIND($AF$242,$BQ93)),0,1),(LEN($BQ93)-LEN(SUBSTITUTE($BQ93,$AF$242,"")))/LEN($AF$242)),0),
IF(AND(NOT(EXACT($AF$243,"")),OR(DL$10&gt;$CQ93,ISBLANK($CQ93))),IF($CV$3,IF(ISERROR(FIND($AF$243,$BQ93)),0,1),(LEN($BQ93)-LEN(SUBSTITUTE($BQ93,$AF$243,"")))/LEN($AF$243)),0),
IF(AND(NOT(EXACT($AF$244,"")),OR(DL$10&gt;$CR93,ISBLANK($CR93))),IF($CV$3,IF(ISERROR(FIND($AF$244,$BQ93)),0,1),(LEN($BQ93)-LEN(SUBSTITUTE($BQ93,$AF$244,"")))/LEN($AF$244)),0),
IF(AND(NOT(EXACT($AF$245,"")),OR(DL$10&gt;$CS93,ISBLANK($CS93))),IF($CV$3,IF(ISERROR(FIND($AF$245,$BQ93)),0,1),(LEN($BQ93)-LEN(SUBSTITUTE($BQ93,$AF$245,"")))/LEN($AF$245)),0),
IF(AND(NOT(EXACT($AF$246,"")),OR(DL$10&gt;$CT93,ISBLANK($CT93))),IF($CV$3,IF(ISERROR(FIND($AF$246,$BQ93)),0,1),(LEN($BQ93)-LEN(SUBSTITUTE($BQ93,$AF$246,"")))/LEN($AF$246)),0),
IF(AND(NOT(EXACT($AF$247,"")),OR(DL$10&gt;$CU93,ISBLANK($CU93))),IF($CV$3,IF(ISERROR(FIND($AF$247,$BQ93)),0,1),(LEN($BQ93)-LEN(SUBSTITUTE($BQ93,$AF$247,"")))/LEN($AF$247)),0)
))</f>
        <v/>
      </c>
      <c r="EJ93" s="164" t="str">
        <f t="shared" ref="EJ93:EJ124" ca="1" si="405">IF($A93="","",IF(VT_VRTLZBR,CODE("F")+1,CODE(VLOOKUP($A93,ZAUBERWERTE,10,FALSE)))-
SUM($BR93:$CA93,
IF(ISERR(FIND(";"&amp;EJ$10&amp;";",$H93)),0,1),
IF(ISERR(FIND(";"&amp;EJ$10&amp;":",$H93)),0,VALUE(MID($H93,FIND(";"&amp;EJ$10&amp;":",$H93)+LEN(EJ$10)+2,1))),
IF(ISERR(FIND(";"&amp;EJ$10&amp;"+",$H93)),0,-VALUE(MID($H93,FIND(";"&amp;EJ$10&amp;"+",$H93)+LEN(EJ$10)+2,1))),
IF(AND(NT_Unstet,VLOOKUP($A93,ZAUBERWERTE,10,FALSE)&gt;="C"),-1,0),
IF(AND(NOT(EXACT($AF$241,"")),OR(DM$10&gt;$CO93,ISBLANK($CO93))),IF($CV$3,IF(ISERROR(FIND($AF$241,$BQ93)),0,1),(LEN($BQ93)-LEN(SUBSTITUTE($BQ93,$AF$241,"")))/LEN($AF$241)),0),
IF(AND(NOT(EXACT($AF$242,"")),OR(DM$10&gt;$CP93,ISBLANK($CP93))),IF($CV$3,IF(ISERROR(FIND($AF$242,$BQ93)),0,1),(LEN($BQ93)-LEN(SUBSTITUTE($BQ93,$AF$242,"")))/LEN($AF$242)),0),
IF(AND(NOT(EXACT($AF$243,"")),OR(DM$10&gt;$CQ93,ISBLANK($CQ93))),IF($CV$3,IF(ISERROR(FIND($AF$243,$BQ93)),0,1),(LEN($BQ93)-LEN(SUBSTITUTE($BQ93,$AF$243,"")))/LEN($AF$243)),0),
IF(AND(NOT(EXACT($AF$244,"")),OR(DM$10&gt;$CR93,ISBLANK($CR93))),IF($CV$3,IF(ISERROR(FIND($AF$244,$BQ93)),0,1),(LEN($BQ93)-LEN(SUBSTITUTE($BQ93,$AF$244,"")))/LEN($AF$244)),0),
IF(AND(NOT(EXACT($AF$245,"")),OR(DM$10&gt;$CS93,ISBLANK($CS93))),IF($CV$3,IF(ISERROR(FIND($AF$245,$BQ93)),0,1),(LEN($BQ93)-LEN(SUBSTITUTE($BQ93,$AF$245,"")))/LEN($AF$245)),0),
IF(AND(NOT(EXACT($AF$246,"")),OR(DM$10&gt;$CT93,ISBLANK($CT93))),IF($CV$3,IF(ISERROR(FIND($AF$246,$BQ93)),0,1),(LEN($BQ93)-LEN(SUBSTITUTE($BQ93,$AF$246,"")))/LEN($AF$246)),0),
IF(AND(NOT(EXACT($AF$247,"")),OR(DM$10&gt;$CU93,ISBLANK($CU93))),IF($CV$3,IF(ISERROR(FIND($AF$247,$BQ93)),0,1),(LEN($BQ93)-LEN(SUBSTITUTE($BQ93,$AF$247,"")))/LEN($AF$247)),0)
))</f>
        <v/>
      </c>
      <c r="EK93" s="164" t="str">
        <f t="shared" ref="EK93:EK124" ca="1" si="406">IF($A93="","",IF(VT_VRTLZBR,CODE("F")+1,CODE(VLOOKUP($A93,ZAUBERWERTE,10,FALSE)))-
SUM($BR93:$CA93,
IF(ISERR(FIND(";"&amp;EK$10&amp;";",$H93)),0,1),
IF(ISERR(FIND(";"&amp;EK$10&amp;":",$H93)),0,VALUE(MID($H93,FIND(";"&amp;EK$10&amp;":",$H93)+LEN(EK$10)+2,1))),
IF(ISERR(FIND(";"&amp;EK$10&amp;"+",$H93)),0,-VALUE(MID($H93,FIND(";"&amp;EK$10&amp;"+",$H93)+LEN(EK$10)+2,1))),
IF(AND(NT_Unstet,VLOOKUP($A93,ZAUBERWERTE,10,FALSE)&gt;="C"),-1,0),
IF(AND(NOT(EXACT($AF$241,"")),OR(DN$10&gt;$CO93,ISBLANK($CO93))),IF($CV$3,IF(ISERROR(FIND($AF$241,$BQ93)),0,1),(LEN($BQ93)-LEN(SUBSTITUTE($BQ93,$AF$241,"")))/LEN($AF$241)),0),
IF(AND(NOT(EXACT($AF$242,"")),OR(DN$10&gt;$CP93,ISBLANK($CP93))),IF($CV$3,IF(ISERROR(FIND($AF$242,$BQ93)),0,1),(LEN($BQ93)-LEN(SUBSTITUTE($BQ93,$AF$242,"")))/LEN($AF$242)),0),
IF(AND(NOT(EXACT($AF$243,"")),OR(DN$10&gt;$CQ93,ISBLANK($CQ93))),IF($CV$3,IF(ISERROR(FIND($AF$243,$BQ93)),0,1),(LEN($BQ93)-LEN(SUBSTITUTE($BQ93,$AF$243,"")))/LEN($AF$243)),0),
IF(AND(NOT(EXACT($AF$244,"")),OR(DN$10&gt;$CR93,ISBLANK($CR93))),IF($CV$3,IF(ISERROR(FIND($AF$244,$BQ93)),0,1),(LEN($BQ93)-LEN(SUBSTITUTE($BQ93,$AF$244,"")))/LEN($AF$244)),0),
IF(AND(NOT(EXACT($AF$245,"")),OR(DN$10&gt;$CS93,ISBLANK($CS93))),IF($CV$3,IF(ISERROR(FIND($AF$245,$BQ93)),0,1),(LEN($BQ93)-LEN(SUBSTITUTE($BQ93,$AF$245,"")))/LEN($AF$245)),0),
IF(AND(NOT(EXACT($AF$246,"")),OR(DN$10&gt;$CT93,ISBLANK($CT93))),IF($CV$3,IF(ISERROR(FIND($AF$246,$BQ93)),0,1),(LEN($BQ93)-LEN(SUBSTITUTE($BQ93,$AF$246,"")))/LEN($AF$246)),0),
IF(AND(NOT(EXACT($AF$247,"")),OR(DN$10&gt;$CU93,ISBLANK($CU93))),IF($CV$3,IF(ISERROR(FIND($AF$247,$BQ93)),0,1),(LEN($BQ93)-LEN(SUBSTITUTE($BQ93,$AF$247,"")))/LEN($AF$247)),0)
))</f>
        <v/>
      </c>
      <c r="EL93" s="164" t="str">
        <f t="shared" ref="EL93:EL124" ca="1" si="407">IF($A93="","",IF(VT_VRTLZBR,CODE("F")+1,CODE(VLOOKUP($A93,ZAUBERWERTE,10,FALSE)))-
SUM($BR93:$CA93,
IF(ISERR(FIND(";"&amp;EL$10&amp;";",$H93)),0,1),
IF(ISERR(FIND(";"&amp;EL$10&amp;":",$H93)),0,VALUE(MID($H93,FIND(";"&amp;EL$10&amp;":",$H93)+LEN(EL$10)+2,1))),
IF(ISERR(FIND(";"&amp;EL$10&amp;"+",$H93)),0,-VALUE(MID($H93,FIND(";"&amp;EL$10&amp;"+",$H93)+LEN(EL$10)+2,1))),
IF(AND(NT_Unstet,VLOOKUP($A93,ZAUBERWERTE,10,FALSE)&gt;="C"),-1,0),
IF(AND(NOT(EXACT($AF$241,"")),OR(DO$10&gt;$CO93,ISBLANK($CO93))),IF($CV$3,IF(ISERROR(FIND($AF$241,$BQ93)),0,1),(LEN($BQ93)-LEN(SUBSTITUTE($BQ93,$AF$241,"")))/LEN($AF$241)),0),
IF(AND(NOT(EXACT($AF$242,"")),OR(DO$10&gt;$CP93,ISBLANK($CP93))),IF($CV$3,IF(ISERROR(FIND($AF$242,$BQ93)),0,1),(LEN($BQ93)-LEN(SUBSTITUTE($BQ93,$AF$242,"")))/LEN($AF$242)),0),
IF(AND(NOT(EXACT($AF$243,"")),OR(DO$10&gt;$CQ93,ISBLANK($CQ93))),IF($CV$3,IF(ISERROR(FIND($AF$243,$BQ93)),0,1),(LEN($BQ93)-LEN(SUBSTITUTE($BQ93,$AF$243,"")))/LEN($AF$243)),0),
IF(AND(NOT(EXACT($AF$244,"")),OR(DO$10&gt;$CR93,ISBLANK($CR93))),IF($CV$3,IF(ISERROR(FIND($AF$244,$BQ93)),0,1),(LEN($BQ93)-LEN(SUBSTITUTE($BQ93,$AF$244,"")))/LEN($AF$244)),0),
IF(AND(NOT(EXACT($AF$245,"")),OR(DO$10&gt;$CS93,ISBLANK($CS93))),IF($CV$3,IF(ISERROR(FIND($AF$245,$BQ93)),0,1),(LEN($BQ93)-LEN(SUBSTITUTE($BQ93,$AF$245,"")))/LEN($AF$245)),0),
IF(AND(NOT(EXACT($AF$246,"")),OR(DO$10&gt;$CT93,ISBLANK($CT93))),IF($CV$3,IF(ISERROR(FIND($AF$246,$BQ93)),0,1),(LEN($BQ93)-LEN(SUBSTITUTE($BQ93,$AF$246,"")))/LEN($AF$246)),0),
IF(AND(NOT(EXACT($AF$247,"")),OR(DO$10&gt;$CU93,ISBLANK($CU93))),IF($CV$3,IF(ISERROR(FIND($AF$247,$BQ93)),0,1),(LEN($BQ93)-LEN(SUBSTITUTE($BQ93,$AF$247,"")))/LEN($AF$247)),0)
))</f>
        <v/>
      </c>
      <c r="EM93" s="164" t="str">
        <f t="shared" ref="EM93:EM124" ca="1" si="408">IF($A93="","",IF(VT_VRTLZBR,CODE("F")+1,CODE(VLOOKUP($A93,ZAUBERWERTE,10,FALSE)))-
SUM($BR93:$CA93,
IF(ISERR(FIND(";"&amp;EM$10&amp;";",$H93)),0,1),
IF(ISERR(FIND(";"&amp;EM$10&amp;":",$H93)),0,VALUE(MID($H93,FIND(";"&amp;EM$10&amp;":",$H93)+LEN(EM$10)+2,1))),
IF(ISERR(FIND(";"&amp;EM$10&amp;"+",$H93)),0,-VALUE(MID($H93,FIND(";"&amp;EM$10&amp;"+",$H93)+LEN(EM$10)+2,1))),
IF(AND(NT_Unstet,VLOOKUP($A93,ZAUBERWERTE,10,FALSE)&gt;="C"),-1,0),
IF(AND(NOT(EXACT($AF$241,"")),OR(DP$10&gt;$CO93,ISBLANK($CO93))),IF($CV$3,IF(ISERROR(FIND($AF$241,$BQ93)),0,1),(LEN($BQ93)-LEN(SUBSTITUTE($BQ93,$AF$241,"")))/LEN($AF$241)),0),
IF(AND(NOT(EXACT($AF$242,"")),OR(DP$10&gt;$CP93,ISBLANK($CP93))),IF($CV$3,IF(ISERROR(FIND($AF$242,$BQ93)),0,1),(LEN($BQ93)-LEN(SUBSTITUTE($BQ93,$AF$242,"")))/LEN($AF$242)),0),
IF(AND(NOT(EXACT($AF$243,"")),OR(DP$10&gt;$CQ93,ISBLANK($CQ93))),IF($CV$3,IF(ISERROR(FIND($AF$243,$BQ93)),0,1),(LEN($BQ93)-LEN(SUBSTITUTE($BQ93,$AF$243,"")))/LEN($AF$243)),0),
IF(AND(NOT(EXACT($AF$244,"")),OR(DP$10&gt;$CR93,ISBLANK($CR93))),IF($CV$3,IF(ISERROR(FIND($AF$244,$BQ93)),0,1),(LEN($BQ93)-LEN(SUBSTITUTE($BQ93,$AF$244,"")))/LEN($AF$244)),0),
IF(AND(NOT(EXACT($AF$245,"")),OR(DP$10&gt;$CS93,ISBLANK($CS93))),IF($CV$3,IF(ISERROR(FIND($AF$245,$BQ93)),0,1),(LEN($BQ93)-LEN(SUBSTITUTE($BQ93,$AF$245,"")))/LEN($AF$245)),0),
IF(AND(NOT(EXACT($AF$246,"")),OR(DP$10&gt;$CT93,ISBLANK($CT93))),IF($CV$3,IF(ISERROR(FIND($AF$246,$BQ93)),0,1),(LEN($BQ93)-LEN(SUBSTITUTE($BQ93,$AF$246,"")))/LEN($AF$246)),0),
IF(AND(NOT(EXACT($AF$247,"")),OR(DP$10&gt;$CU93,ISBLANK($CU93))),IF($CV$3,IF(ISERROR(FIND($AF$247,$BQ93)),0,1),(LEN($BQ93)-LEN(SUBSTITUTE($BQ93,$AF$247,"")))/LEN($AF$247)),0)
))</f>
        <v/>
      </c>
      <c r="EN93" s="164" t="str">
        <f t="shared" ref="EN93:EN124" ca="1" si="409">IF($A93="","",IF(VT_VRTLZBR,CODE("F")+1,CODE(VLOOKUP($A93,ZAUBERWERTE,10,FALSE)))-
SUM($BR93:$CA93,
IF(ISERR(FIND(";"&amp;EN$10&amp;";",$H93)),0,1),
IF(ISERR(FIND(";"&amp;EN$10&amp;":",$H93)),0,VALUE(MID($H93,FIND(";"&amp;EN$10&amp;":",$H93)+LEN(EN$10)+2,1))),
IF(ISERR(FIND(";"&amp;EN$10&amp;"+",$H93)),0,-VALUE(MID($H93,FIND(";"&amp;EN$10&amp;"+",$H93)+LEN(EN$10)+2,1))),
IF(AND(NT_Unstet,VLOOKUP($A93,ZAUBERWERTE,10,FALSE)&gt;="C"),-1,0),
IF(AND(NOT(EXACT($AF$241,"")),OR(DQ$10&gt;$CO93,ISBLANK($CO93))),IF($CV$3,IF(ISERROR(FIND($AF$241,$BQ93)),0,1),(LEN($BQ93)-LEN(SUBSTITUTE($BQ93,$AF$241,"")))/LEN($AF$241)),0),
IF(AND(NOT(EXACT($AF$242,"")),OR(DQ$10&gt;$CP93,ISBLANK($CP93))),IF($CV$3,IF(ISERROR(FIND($AF$242,$BQ93)),0,1),(LEN($BQ93)-LEN(SUBSTITUTE($BQ93,$AF$242,"")))/LEN($AF$242)),0),
IF(AND(NOT(EXACT($AF$243,"")),OR(DQ$10&gt;$CQ93,ISBLANK($CQ93))),IF($CV$3,IF(ISERROR(FIND($AF$243,$BQ93)),0,1),(LEN($BQ93)-LEN(SUBSTITUTE($BQ93,$AF$243,"")))/LEN($AF$243)),0),
IF(AND(NOT(EXACT($AF$244,"")),OR(DQ$10&gt;$CR93,ISBLANK($CR93))),IF($CV$3,IF(ISERROR(FIND($AF$244,$BQ93)),0,1),(LEN($BQ93)-LEN(SUBSTITUTE($BQ93,$AF$244,"")))/LEN($AF$244)),0),
IF(AND(NOT(EXACT($AF$245,"")),OR(DQ$10&gt;$CS93,ISBLANK($CS93))),IF($CV$3,IF(ISERROR(FIND($AF$245,$BQ93)),0,1),(LEN($BQ93)-LEN(SUBSTITUTE($BQ93,$AF$245,"")))/LEN($AF$245)),0),
IF(AND(NOT(EXACT($AF$246,"")),OR(DQ$10&gt;$CT93,ISBLANK($CT93))),IF($CV$3,IF(ISERROR(FIND($AF$246,$BQ93)),0,1),(LEN($BQ93)-LEN(SUBSTITUTE($BQ93,$AF$246,"")))/LEN($AF$246)),0),
IF(AND(NOT(EXACT($AF$247,"")),OR(DQ$10&gt;$CU93,ISBLANK($CU93))),IF($CV$3,IF(ISERROR(FIND($AF$247,$BQ93)),0,1),(LEN($BQ93)-LEN(SUBSTITUTE($BQ93,$AF$247,"")))/LEN($AF$247)),0)
))</f>
        <v/>
      </c>
      <c r="EO93" s="164" t="str">
        <f t="shared" ref="EO93:EO124" ca="1" si="410">IF($A93="","",IF(VT_VRTLZBR,CODE("F")+1,CODE(VLOOKUP($A93,ZAUBERWERTE,10,FALSE)))-
SUM($BR93:$CA93,
IF(ISERR(FIND(";"&amp;EO$10&amp;";",$H93)),0,1),
IF(ISERR(FIND(";"&amp;EO$10&amp;":",$H93)),0,VALUE(MID($H93,FIND(";"&amp;EO$10&amp;":",$H93)+LEN(EO$10)+2,1))),
IF(ISERR(FIND(";"&amp;EO$10&amp;"+",$H93)),0,-VALUE(MID($H93,FIND(";"&amp;EO$10&amp;"+",$H93)+LEN(EO$10)+2,1))),
IF(AND(NT_Unstet,VLOOKUP($A93,ZAUBERWERTE,10,FALSE)&gt;="C"),-1,0),
IF(AND(NOT(EXACT($AF$241,"")),OR(DR$10&gt;$CO93,ISBLANK($CO93))),IF($CV$3,IF(ISERROR(FIND($AF$241,$BQ93)),0,1),(LEN($BQ93)-LEN(SUBSTITUTE($BQ93,$AF$241,"")))/LEN($AF$241)),0),
IF(AND(NOT(EXACT($AF$242,"")),OR(DR$10&gt;$CP93,ISBLANK($CP93))),IF($CV$3,IF(ISERROR(FIND($AF$242,$BQ93)),0,1),(LEN($BQ93)-LEN(SUBSTITUTE($BQ93,$AF$242,"")))/LEN($AF$242)),0),
IF(AND(NOT(EXACT($AF$243,"")),OR(DR$10&gt;$CQ93,ISBLANK($CQ93))),IF($CV$3,IF(ISERROR(FIND($AF$243,$BQ93)),0,1),(LEN($BQ93)-LEN(SUBSTITUTE($BQ93,$AF$243,"")))/LEN($AF$243)),0),
IF(AND(NOT(EXACT($AF$244,"")),OR(DR$10&gt;$CR93,ISBLANK($CR93))),IF($CV$3,IF(ISERROR(FIND($AF$244,$BQ93)),0,1),(LEN($BQ93)-LEN(SUBSTITUTE($BQ93,$AF$244,"")))/LEN($AF$244)),0),
IF(AND(NOT(EXACT($AF$245,"")),OR(DR$10&gt;$CS93,ISBLANK($CS93))),IF($CV$3,IF(ISERROR(FIND($AF$245,$BQ93)),0,1),(LEN($BQ93)-LEN(SUBSTITUTE($BQ93,$AF$245,"")))/LEN($AF$245)),0),
IF(AND(NOT(EXACT($AF$246,"")),OR(DR$10&gt;$CT93,ISBLANK($CT93))),IF($CV$3,IF(ISERROR(FIND($AF$246,$BQ93)),0,1),(LEN($BQ93)-LEN(SUBSTITUTE($BQ93,$AF$246,"")))/LEN($AF$246)),0),
IF(AND(NOT(EXACT($AF$247,"")),OR(DR$10&gt;$CU93,ISBLANK($CU93))),IF($CV$3,IF(ISERROR(FIND($AF$247,$BQ93)),0,1),(LEN($BQ93)-LEN(SUBSTITUTE($BQ93,$AF$247,"")))/LEN($AF$247)),0)
))</f>
        <v/>
      </c>
      <c r="EP93" s="164" t="str">
        <f t="shared" ref="EP93:EP124" ca="1" si="411">IF($A93="","",IF(VT_VRTLZBR,CODE("F")+1,CODE(VLOOKUP($A93,ZAUBERWERTE,10,FALSE)))-
SUM($BR93:$CA93,
IF(ISERR(FIND(";"&amp;EP$10&amp;";",$H93)),0,1),
IF(ISERR(FIND(";"&amp;EP$10&amp;":",$H93)),0,VALUE(MID($H93,FIND(";"&amp;EP$10&amp;":",$H93)+LEN(EP$10)+2,1))),
IF(ISERR(FIND(";"&amp;EP$10&amp;"+",$H93)),0,-VALUE(MID($H93,FIND(";"&amp;EP$10&amp;"+",$H93)+LEN(EP$10)+2,1))),
IF(AND(NT_Unstet,VLOOKUP($A93,ZAUBERWERTE,10,FALSE)&gt;="C"),-1,0),
IF(AND(NOT(EXACT($AF$241,"")),OR(DS$10&gt;$CO93,ISBLANK($CO93))),IF($CV$3,IF(ISERROR(FIND($AF$241,$BQ93)),0,1),(LEN($BQ93)-LEN(SUBSTITUTE($BQ93,$AF$241,"")))/LEN($AF$241)),0),
IF(AND(NOT(EXACT($AF$242,"")),OR(DS$10&gt;$CP93,ISBLANK($CP93))),IF($CV$3,IF(ISERROR(FIND($AF$242,$BQ93)),0,1),(LEN($BQ93)-LEN(SUBSTITUTE($BQ93,$AF$242,"")))/LEN($AF$242)),0),
IF(AND(NOT(EXACT($AF$243,"")),OR(DS$10&gt;$CQ93,ISBLANK($CQ93))),IF($CV$3,IF(ISERROR(FIND($AF$243,$BQ93)),0,1),(LEN($BQ93)-LEN(SUBSTITUTE($BQ93,$AF$243,"")))/LEN($AF$243)),0),
IF(AND(NOT(EXACT($AF$244,"")),OR(DS$10&gt;$CR93,ISBLANK($CR93))),IF($CV$3,IF(ISERROR(FIND($AF$244,$BQ93)),0,1),(LEN($BQ93)-LEN(SUBSTITUTE($BQ93,$AF$244,"")))/LEN($AF$244)),0),
IF(AND(NOT(EXACT($AF$245,"")),OR(DS$10&gt;$CS93,ISBLANK($CS93))),IF($CV$3,IF(ISERROR(FIND($AF$245,$BQ93)),0,1),(LEN($BQ93)-LEN(SUBSTITUTE($BQ93,$AF$245,"")))/LEN($AF$245)),0),
IF(AND(NOT(EXACT($AF$246,"")),OR(DS$10&gt;$CT93,ISBLANK($CT93))),IF($CV$3,IF(ISERROR(FIND($AF$246,$BQ93)),0,1),(LEN($BQ93)-LEN(SUBSTITUTE($BQ93,$AF$246,"")))/LEN($AF$246)),0),
IF(AND(NOT(EXACT($AF$247,"")),OR(DS$10&gt;$CU93,ISBLANK($CU93))),IF($CV$3,IF(ISERROR(FIND($AF$247,$BQ93)),0,1),(LEN($BQ93)-LEN(SUBSTITUTE($BQ93,$AF$247,"")))/LEN($AF$247)),0)
))</f>
        <v/>
      </c>
      <c r="EQ93" s="164" t="str">
        <f t="shared" ref="EQ93:EQ124" ca="1" si="412">IF($A93="","",IF(VT_VRTLZBR,CODE("F")+1,CODE(VLOOKUP($A93,ZAUBERWERTE,10,FALSE)))-
SUM($BR93:$CA93,
IF(ISERR(FIND(";"&amp;EQ$10&amp;";",$H93)),0,1),
IF(ISERR(FIND(";"&amp;EQ$10&amp;":",$H93)),0,VALUE(MID($H93,FIND(";"&amp;EQ$10&amp;":",$H93)+LEN(EQ$10)+2,1))),
IF(ISERR(FIND(";"&amp;EQ$10&amp;"+",$H93)),0,-VALUE(MID($H93,FIND(";"&amp;EQ$10&amp;"+",$H93)+LEN(EQ$10)+2,1))),
IF(AND(NT_Unstet,VLOOKUP($A93,ZAUBERWERTE,10,FALSE)&gt;="C"),-1,0),
IF(AND(NOT(EXACT($AF$241,"")),OR(DT$10&gt;$CO93,ISBLANK($CO93))),IF($CV$3,IF(ISERROR(FIND($AF$241,$BQ93)),0,1),(LEN($BQ93)-LEN(SUBSTITUTE($BQ93,$AF$241,"")))/LEN($AF$241)),0),
IF(AND(NOT(EXACT($AF$242,"")),OR(DT$10&gt;$CP93,ISBLANK($CP93))),IF($CV$3,IF(ISERROR(FIND($AF$242,$BQ93)),0,1),(LEN($BQ93)-LEN(SUBSTITUTE($BQ93,$AF$242,"")))/LEN($AF$242)),0),
IF(AND(NOT(EXACT($AF$243,"")),OR(DT$10&gt;$CQ93,ISBLANK($CQ93))),IF($CV$3,IF(ISERROR(FIND($AF$243,$BQ93)),0,1),(LEN($BQ93)-LEN(SUBSTITUTE($BQ93,$AF$243,"")))/LEN($AF$243)),0),
IF(AND(NOT(EXACT($AF$244,"")),OR(DT$10&gt;$CR93,ISBLANK($CR93))),IF($CV$3,IF(ISERROR(FIND($AF$244,$BQ93)),0,1),(LEN($BQ93)-LEN(SUBSTITUTE($BQ93,$AF$244,"")))/LEN($AF$244)),0),
IF(AND(NOT(EXACT($AF$245,"")),OR(DT$10&gt;$CS93,ISBLANK($CS93))),IF($CV$3,IF(ISERROR(FIND($AF$245,$BQ93)),0,1),(LEN($BQ93)-LEN(SUBSTITUTE($BQ93,$AF$245,"")))/LEN($AF$245)),0),
IF(AND(NOT(EXACT($AF$246,"")),OR(DT$10&gt;$CT93,ISBLANK($CT93))),IF($CV$3,IF(ISERROR(FIND($AF$246,$BQ93)),0,1),(LEN($BQ93)-LEN(SUBSTITUTE($BQ93,$AF$246,"")))/LEN($AF$246)),0),
IF(AND(NOT(EXACT($AF$247,"")),OR(DT$10&gt;$CU93,ISBLANK($CU93))),IF($CV$3,IF(ISERROR(FIND($AF$247,$BQ93)),0,1),(LEN($BQ93)-LEN(SUBSTITUTE($BQ93,$AF$247,"")))/LEN($AF$247)),0)
))</f>
        <v/>
      </c>
      <c r="ER93" s="164" t="str">
        <f t="shared" ref="ER93:ER124" ca="1" si="413">IF($A93="","",IF(VT_VRTLZBR,CODE("F")+1,CODE(VLOOKUP($A93,ZAUBERWERTE,10,FALSE)))-
SUM($BR93:$CA93,
IF(ISERR(FIND(";"&amp;ER$10&amp;";",$H93)),0,1),
IF(ISERR(FIND(";"&amp;ER$10&amp;":",$H93)),0,VALUE(MID($H93,FIND(";"&amp;ER$10&amp;":",$H93)+LEN(ER$10)+2,1))),
IF(ISERR(FIND(";"&amp;ER$10&amp;"+",$H93)),0,-VALUE(MID($H93,FIND(";"&amp;ER$10&amp;"+",$H93)+LEN(ER$10)+2,1))),
IF(AND(NT_Unstet,VLOOKUP($A93,ZAUBERWERTE,10,FALSE)&gt;="C"),-1,0),
IF(AND(NOT(EXACT($AF$241,"")),OR(DU$10&gt;$CO93,ISBLANK($CO93))),IF($CV$3,IF(ISERROR(FIND($AF$241,$BQ93)),0,1),(LEN($BQ93)-LEN(SUBSTITUTE($BQ93,$AF$241,"")))/LEN($AF$241)),0),
IF(AND(NOT(EXACT($AF$242,"")),OR(DU$10&gt;$CP93,ISBLANK($CP93))),IF($CV$3,IF(ISERROR(FIND($AF$242,$BQ93)),0,1),(LEN($BQ93)-LEN(SUBSTITUTE($BQ93,$AF$242,"")))/LEN($AF$242)),0),
IF(AND(NOT(EXACT($AF$243,"")),OR(DU$10&gt;$CQ93,ISBLANK($CQ93))),IF($CV$3,IF(ISERROR(FIND($AF$243,$BQ93)),0,1),(LEN($BQ93)-LEN(SUBSTITUTE($BQ93,$AF$243,"")))/LEN($AF$243)),0),
IF(AND(NOT(EXACT($AF$244,"")),OR(DU$10&gt;$CR93,ISBLANK($CR93))),IF($CV$3,IF(ISERROR(FIND($AF$244,$BQ93)),0,1),(LEN($BQ93)-LEN(SUBSTITUTE($BQ93,$AF$244,"")))/LEN($AF$244)),0),
IF(AND(NOT(EXACT($AF$245,"")),OR(DU$10&gt;$CS93,ISBLANK($CS93))),IF($CV$3,IF(ISERROR(FIND($AF$245,$BQ93)),0,1),(LEN($BQ93)-LEN(SUBSTITUTE($BQ93,$AF$245,"")))/LEN($AF$245)),0),
IF(AND(NOT(EXACT($AF$246,"")),OR(DU$10&gt;$CT93,ISBLANK($CT93))),IF($CV$3,IF(ISERROR(FIND($AF$246,$BQ93)),0,1),(LEN($BQ93)-LEN(SUBSTITUTE($BQ93,$AF$246,"")))/LEN($AF$246)),0),
IF(AND(NOT(EXACT($AF$247,"")),OR(DU$10&gt;$CU93,ISBLANK($CU93))),IF($CV$3,IF(ISERROR(FIND($AF$247,$BQ93)),0,1),(LEN($BQ93)-LEN(SUBSTITUTE($BQ93,$AF$247,"")))/LEN($AF$247)),0)
))</f>
        <v/>
      </c>
      <c r="ES93" s="164" t="str">
        <f t="shared" ref="ES93:ES124" ca="1" si="414">IF($A93="","",IF(VT_VRTLZBR,CODE("F")+1,CODE(VLOOKUP($A93,ZAUBERWERTE,10,FALSE)))-
SUM($BR93:$CA93,
IF(ISERR(FIND(";"&amp;ES$10&amp;";",$H93)),0,1),
IF(ISERR(FIND(";"&amp;ES$10&amp;":",$H93)),0,VALUE(MID($H93,FIND(";"&amp;ES$10&amp;":",$H93)+LEN(ES$10)+2,1))),
IF(ISERR(FIND(";"&amp;ES$10&amp;"+",$H93)),0,-VALUE(MID($H93,FIND(";"&amp;ES$10&amp;"+",$H93)+LEN(ES$10)+2,1))),
IF(AND(NT_Unstet,VLOOKUP($A93,ZAUBERWERTE,10,FALSE)&gt;="C"),-1,0),
IF(AND(NOT(EXACT($AF$241,"")),OR(DV$10&gt;$CO93,ISBLANK($CO93))),IF($CV$3,IF(ISERROR(FIND($AF$241,$BQ93)),0,1),(LEN($BQ93)-LEN(SUBSTITUTE($BQ93,$AF$241,"")))/LEN($AF$241)),0),
IF(AND(NOT(EXACT($AF$242,"")),OR(DV$10&gt;$CP93,ISBLANK($CP93))),IF($CV$3,IF(ISERROR(FIND($AF$242,$BQ93)),0,1),(LEN($BQ93)-LEN(SUBSTITUTE($BQ93,$AF$242,"")))/LEN($AF$242)),0),
IF(AND(NOT(EXACT($AF$243,"")),OR(DV$10&gt;$CQ93,ISBLANK($CQ93))),IF($CV$3,IF(ISERROR(FIND($AF$243,$BQ93)),0,1),(LEN($BQ93)-LEN(SUBSTITUTE($BQ93,$AF$243,"")))/LEN($AF$243)),0),
IF(AND(NOT(EXACT($AF$244,"")),OR(DV$10&gt;$CR93,ISBLANK($CR93))),IF($CV$3,IF(ISERROR(FIND($AF$244,$BQ93)),0,1),(LEN($BQ93)-LEN(SUBSTITUTE($BQ93,$AF$244,"")))/LEN($AF$244)),0),
IF(AND(NOT(EXACT($AF$245,"")),OR(DV$10&gt;$CS93,ISBLANK($CS93))),IF($CV$3,IF(ISERROR(FIND($AF$245,$BQ93)),0,1),(LEN($BQ93)-LEN(SUBSTITUTE($BQ93,$AF$245,"")))/LEN($AF$245)),0),
IF(AND(NOT(EXACT($AF$246,"")),OR(DV$10&gt;$CT93,ISBLANK($CT93))),IF($CV$3,IF(ISERROR(FIND($AF$246,$BQ93)),0,1),(LEN($BQ93)-LEN(SUBSTITUTE($BQ93,$AF$246,"")))/LEN($AF$246)),0),
IF(AND(NOT(EXACT($AF$247,"")),OR(DV$10&gt;$CU93,ISBLANK($CU93))),IF($CV$3,IF(ISERROR(FIND($AF$247,$BQ93)),0,1),(LEN($BQ93)-LEN(SUBSTITUTE($BQ93,$AF$247,"")))/LEN($AF$247)),0)
))</f>
        <v/>
      </c>
    </row>
    <row r="94" spans="1:149" x14ac:dyDescent="0.2">
      <c r="A94" s="89" t="str">
        <f t="shared" ref="A94:A125" ca="1" si="415">IF(MAGISCH,IF(NOT(EXACT(MID(BZALLE,SUM(LEN($CE93),1),2),"")),MID(BZALLE,SUM(LEN($CE93),1),SUM(FIND(",",BZALLE,SUM(LEN($CE93),1)),-LEN($CE93),-1)),""),"")</f>
        <v/>
      </c>
      <c r="B94" s="317" t="str">
        <f t="shared" ca="1" si="324"/>
        <v/>
      </c>
      <c r="C94" s="609" t="str">
        <f t="shared" ca="1" si="325"/>
        <v/>
      </c>
      <c r="D94" s="1956" t="str">
        <f t="shared" ca="1" si="326"/>
        <v/>
      </c>
      <c r="E94" s="1956"/>
      <c r="F94" s="960"/>
      <c r="G94" s="485" t="str">
        <f t="shared" ca="1" si="327"/>
        <v/>
      </c>
      <c r="H94" s="983"/>
      <c r="I94" s="486"/>
      <c r="J94" s="326"/>
      <c r="K94" s="1886" t="str">
        <f t="shared" ca="1" si="328"/>
        <v/>
      </c>
      <c r="L94" s="1888"/>
      <c r="M94" s="296" t="str">
        <f t="shared" ca="1" si="307"/>
        <v/>
      </c>
      <c r="N94" s="1322"/>
      <c r="O94" s="1319"/>
      <c r="P94" s="957" t="str">
        <f t="shared" ca="1" si="329"/>
        <v/>
      </c>
      <c r="Q94" s="164">
        <f t="shared" si="330"/>
        <v>0</v>
      </c>
      <c r="R94" s="164">
        <f t="shared" ca="1" si="331"/>
        <v>0</v>
      </c>
      <c r="S94" s="164">
        <f t="shared" ca="1" si="332"/>
        <v>0</v>
      </c>
      <c r="T94" s="164">
        <f t="shared" ca="1" si="333"/>
        <v>0</v>
      </c>
      <c r="U94" s="164">
        <f t="shared" ca="1" si="334"/>
        <v>0</v>
      </c>
      <c r="V94" s="164">
        <f t="shared" ca="1" si="335"/>
        <v>0</v>
      </c>
      <c r="W94" s="164">
        <f t="shared" ca="1" si="336"/>
        <v>0</v>
      </c>
      <c r="X94" s="164">
        <f t="shared" ca="1" si="337"/>
        <v>0</v>
      </c>
      <c r="Y94" s="164">
        <f t="shared" ca="1" si="338"/>
        <v>0</v>
      </c>
      <c r="Z94" s="164">
        <f t="shared" ca="1" si="339"/>
        <v>0</v>
      </c>
      <c r="AA94" s="164">
        <f t="shared" ca="1" si="340"/>
        <v>0</v>
      </c>
      <c r="AB94" s="164">
        <f t="shared" ca="1" si="341"/>
        <v>0</v>
      </c>
      <c r="AC94" s="164">
        <f t="shared" ca="1" si="342"/>
        <v>0</v>
      </c>
      <c r="AD94" s="164">
        <f t="shared" ca="1" si="343"/>
        <v>0</v>
      </c>
      <c r="AE94" s="164">
        <f t="shared" ca="1" si="344"/>
        <v>0</v>
      </c>
      <c r="AF94" s="164">
        <f t="shared" ca="1" si="345"/>
        <v>0</v>
      </c>
      <c r="AG94" s="164">
        <f t="shared" ca="1" si="346"/>
        <v>0</v>
      </c>
      <c r="AH94" s="164">
        <f t="shared" ca="1" si="347"/>
        <v>0</v>
      </c>
      <c r="AI94" s="164">
        <f t="shared" ca="1" si="348"/>
        <v>0</v>
      </c>
      <c r="AJ94" s="164">
        <f t="shared" ca="1" si="349"/>
        <v>0</v>
      </c>
      <c r="AK94" s="164">
        <f t="shared" ca="1" si="350"/>
        <v>0</v>
      </c>
      <c r="AL94" s="164">
        <f t="shared" ca="1" si="351"/>
        <v>0</v>
      </c>
      <c r="AM94" s="208"/>
      <c r="AN94" s="164">
        <f t="shared" si="352"/>
        <v>0</v>
      </c>
      <c r="AO94" s="164">
        <f t="shared" ca="1" si="353"/>
        <v>0</v>
      </c>
      <c r="AP94" s="164">
        <f t="shared" ca="1" si="354"/>
        <v>0</v>
      </c>
      <c r="AQ94" s="164">
        <f t="shared" ca="1" si="355"/>
        <v>0</v>
      </c>
      <c r="AR94" s="164">
        <f t="shared" ca="1" si="356"/>
        <v>0</v>
      </c>
      <c r="AS94" s="164">
        <f t="shared" ca="1" si="357"/>
        <v>0</v>
      </c>
      <c r="AT94" s="164">
        <f t="shared" ca="1" si="358"/>
        <v>0</v>
      </c>
      <c r="AU94" s="164">
        <f t="shared" ca="1" si="359"/>
        <v>0</v>
      </c>
      <c r="AV94" s="164">
        <f t="shared" ca="1" si="360"/>
        <v>0</v>
      </c>
      <c r="AW94" s="164">
        <f t="shared" ca="1" si="361"/>
        <v>0</v>
      </c>
      <c r="AX94" s="164">
        <f t="shared" ca="1" si="362"/>
        <v>0</v>
      </c>
      <c r="AY94" s="164">
        <f t="shared" ca="1" si="363"/>
        <v>0</v>
      </c>
      <c r="AZ94" s="164">
        <f t="shared" ca="1" si="364"/>
        <v>0</v>
      </c>
      <c r="BA94" s="164">
        <f t="shared" ca="1" si="365"/>
        <v>0</v>
      </c>
      <c r="BB94" s="164">
        <f t="shared" ca="1" si="366"/>
        <v>0</v>
      </c>
      <c r="BC94" s="164">
        <f t="shared" ca="1" si="367"/>
        <v>0</v>
      </c>
      <c r="BD94" s="164">
        <f t="shared" ca="1" si="368"/>
        <v>0</v>
      </c>
      <c r="BE94" s="164">
        <f t="shared" ca="1" si="369"/>
        <v>0</v>
      </c>
      <c r="BF94" s="164">
        <f t="shared" ca="1" si="370"/>
        <v>0</v>
      </c>
      <c r="BG94" s="164">
        <f t="shared" ca="1" si="371"/>
        <v>0</v>
      </c>
      <c r="BH94" s="164">
        <f t="shared" ca="1" si="372"/>
        <v>0</v>
      </c>
      <c r="BI94" s="164">
        <f t="shared" ca="1" si="373"/>
        <v>0</v>
      </c>
      <c r="BJ94" s="164">
        <f t="shared" ca="1" si="374"/>
        <v>0</v>
      </c>
      <c r="BK94" s="164">
        <f t="shared" ca="1" si="375"/>
        <v>0</v>
      </c>
      <c r="BL94" s="164">
        <f t="shared" ca="1" si="376"/>
        <v>0</v>
      </c>
      <c r="BM94" s="164">
        <f t="shared" ca="1" si="377"/>
        <v>0</v>
      </c>
      <c r="BN94" s="164">
        <f t="shared" ca="1" si="378"/>
        <v>0</v>
      </c>
      <c r="BO94" s="356" t="str">
        <f t="shared" ca="1" si="379"/>
        <v/>
      </c>
      <c r="BP94" s="355" t="str">
        <f t="shared" ca="1" si="380"/>
        <v/>
      </c>
      <c r="BQ94" s="355" t="str">
        <f t="shared" ca="1" si="381"/>
        <v/>
      </c>
      <c r="BR94" s="348">
        <f t="shared" ca="1" si="312"/>
        <v>0</v>
      </c>
      <c r="BS94" s="348">
        <f t="shared" ca="1" si="313"/>
        <v>0</v>
      </c>
      <c r="BT94" s="610">
        <f t="shared" ca="1" si="382"/>
        <v>0</v>
      </c>
      <c r="BU94" s="357">
        <f t="shared" ca="1" si="383"/>
        <v>0</v>
      </c>
      <c r="BV94" s="357">
        <f t="shared" si="384"/>
        <v>0</v>
      </c>
      <c r="BW94" s="357">
        <f t="shared" si="385"/>
        <v>0</v>
      </c>
      <c r="BX94" s="357">
        <f t="shared" ca="1" si="386"/>
        <v>0</v>
      </c>
      <c r="BY94" s="357">
        <f t="shared" ca="1" si="316"/>
        <v>0</v>
      </c>
      <c r="BZ94" s="357"/>
      <c r="CA94" s="357">
        <f t="shared" ca="1" si="314"/>
        <v>0</v>
      </c>
      <c r="CB94" s="357" t="str">
        <f t="shared" ca="1" si="387"/>
        <v/>
      </c>
      <c r="CC94" s="358" t="str">
        <f t="shared" ca="1" si="317"/>
        <v/>
      </c>
      <c r="CD94" s="358" t="str">
        <f t="shared" ca="1" si="318"/>
        <v/>
      </c>
      <c r="CE94" s="357" t="str">
        <f t="shared" ref="CE94:CE125" ca="1" si="416">CONCATENATE($CE93,$A94,",")</f>
        <v>,,,,,,,,,,,,,,,,,,,,,,,,,,,,,,,,,,</v>
      </c>
      <c r="CF94" s="154" t="str">
        <f t="shared" si="315"/>
        <v/>
      </c>
      <c r="CG94" s="154">
        <f t="shared" ca="1" si="319"/>
        <v>0</v>
      </c>
      <c r="CH94" s="154"/>
      <c r="CI94" s="154"/>
      <c r="CJ94" s="154"/>
      <c r="CK94" s="154"/>
      <c r="CL94" s="154"/>
      <c r="CM94" s="154"/>
      <c r="CN94" t="s">
        <v>784</v>
      </c>
      <c r="CO94" s="169"/>
      <c r="CP94" s="169"/>
      <c r="CQ94" s="169"/>
      <c r="CR94" s="169"/>
      <c r="CS94" s="169"/>
      <c r="CT94" s="169"/>
      <c r="CU94" s="169"/>
      <c r="CV94" s="164" t="str">
        <f t="shared" ca="1" si="322"/>
        <v/>
      </c>
      <c r="CW94" s="164" t="str">
        <f t="shared" ca="1" si="322"/>
        <v/>
      </c>
      <c r="CX94" s="164" t="str">
        <f t="shared" ca="1" si="322"/>
        <v/>
      </c>
      <c r="CY94" s="164" t="str">
        <f t="shared" ca="1" si="322"/>
        <v/>
      </c>
      <c r="CZ94" s="164" t="str">
        <f t="shared" ca="1" si="322"/>
        <v/>
      </c>
      <c r="DA94" s="164" t="str">
        <f t="shared" ca="1" si="322"/>
        <v/>
      </c>
      <c r="DB94" s="164" t="str">
        <f t="shared" ca="1" si="322"/>
        <v/>
      </c>
      <c r="DC94" s="164" t="str">
        <f t="shared" ca="1" si="322"/>
        <v/>
      </c>
      <c r="DD94" s="164" t="str">
        <f t="shared" ca="1" si="322"/>
        <v/>
      </c>
      <c r="DE94" s="164" t="str">
        <f t="shared" ca="1" si="322"/>
        <v/>
      </c>
      <c r="DF94" s="164" t="str">
        <f t="shared" ca="1" si="323"/>
        <v/>
      </c>
      <c r="DG94" s="164" t="str">
        <f t="shared" ca="1" si="323"/>
        <v/>
      </c>
      <c r="DH94" s="164" t="str">
        <f t="shared" ca="1" si="323"/>
        <v/>
      </c>
      <c r="DI94" s="164" t="str">
        <f t="shared" ca="1" si="323"/>
        <v/>
      </c>
      <c r="DJ94" s="164" t="str">
        <f t="shared" ca="1" si="323"/>
        <v/>
      </c>
      <c r="DK94" s="164" t="str">
        <f t="shared" ca="1" si="323"/>
        <v/>
      </c>
      <c r="DL94" s="164" t="str">
        <f t="shared" ca="1" si="323"/>
        <v/>
      </c>
      <c r="DM94" s="164" t="str">
        <f t="shared" ca="1" si="323"/>
        <v/>
      </c>
      <c r="DN94" s="164" t="str">
        <f t="shared" ca="1" si="323"/>
        <v/>
      </c>
      <c r="DO94" s="164" t="str">
        <f t="shared" ca="1" si="323"/>
        <v/>
      </c>
      <c r="DP94" s="164" t="str">
        <f t="shared" ca="1" si="323"/>
        <v/>
      </c>
      <c r="DQ94" s="164" t="str">
        <f t="shared" ca="1" si="323"/>
        <v/>
      </c>
      <c r="DR94" s="208"/>
      <c r="DS94" s="164" t="str">
        <f t="shared" ca="1" si="388"/>
        <v/>
      </c>
      <c r="DT94" s="164" t="str">
        <f t="shared" ca="1" si="389"/>
        <v/>
      </c>
      <c r="DU94" s="164" t="str">
        <f t="shared" ca="1" si="390"/>
        <v/>
      </c>
      <c r="DV94" s="164" t="str">
        <f t="shared" ca="1" si="391"/>
        <v/>
      </c>
      <c r="DW94" s="164" t="str">
        <f t="shared" ca="1" si="392"/>
        <v/>
      </c>
      <c r="DX94" s="164" t="str">
        <f t="shared" ca="1" si="393"/>
        <v/>
      </c>
      <c r="DY94" s="164" t="str">
        <f t="shared" ca="1" si="394"/>
        <v/>
      </c>
      <c r="DZ94" s="164" t="str">
        <f t="shared" ca="1" si="395"/>
        <v/>
      </c>
      <c r="EA94" s="164" t="str">
        <f t="shared" ca="1" si="396"/>
        <v/>
      </c>
      <c r="EB94" s="164" t="str">
        <f t="shared" ca="1" si="397"/>
        <v/>
      </c>
      <c r="EC94" s="164" t="str">
        <f t="shared" ca="1" si="398"/>
        <v/>
      </c>
      <c r="ED94" s="164" t="str">
        <f t="shared" ca="1" si="399"/>
        <v/>
      </c>
      <c r="EE94" s="164" t="str">
        <f t="shared" ca="1" si="400"/>
        <v/>
      </c>
      <c r="EF94" s="164" t="str">
        <f t="shared" ca="1" si="401"/>
        <v/>
      </c>
      <c r="EG94" s="164" t="str">
        <f t="shared" ca="1" si="402"/>
        <v/>
      </c>
      <c r="EH94" s="164" t="str">
        <f t="shared" ca="1" si="403"/>
        <v/>
      </c>
      <c r="EI94" s="164" t="str">
        <f t="shared" ca="1" si="404"/>
        <v/>
      </c>
      <c r="EJ94" s="164" t="str">
        <f t="shared" ca="1" si="405"/>
        <v/>
      </c>
      <c r="EK94" s="164" t="str">
        <f t="shared" ca="1" si="406"/>
        <v/>
      </c>
      <c r="EL94" s="164" t="str">
        <f t="shared" ca="1" si="407"/>
        <v/>
      </c>
      <c r="EM94" s="164" t="str">
        <f t="shared" ca="1" si="408"/>
        <v/>
      </c>
      <c r="EN94" s="164" t="str">
        <f t="shared" ca="1" si="409"/>
        <v/>
      </c>
      <c r="EO94" s="164" t="str">
        <f t="shared" ca="1" si="410"/>
        <v/>
      </c>
      <c r="EP94" s="164" t="str">
        <f t="shared" ca="1" si="411"/>
        <v/>
      </c>
      <c r="EQ94" s="164" t="str">
        <f t="shared" ca="1" si="412"/>
        <v/>
      </c>
      <c r="ER94" s="164" t="str">
        <f t="shared" ca="1" si="413"/>
        <v/>
      </c>
      <c r="ES94" s="164" t="str">
        <f t="shared" ca="1" si="414"/>
        <v/>
      </c>
    </row>
    <row r="95" spans="1:149" x14ac:dyDescent="0.2">
      <c r="A95" s="89" t="str">
        <f t="shared" ca="1" si="415"/>
        <v/>
      </c>
      <c r="B95" s="317" t="str">
        <f t="shared" ca="1" si="324"/>
        <v/>
      </c>
      <c r="C95" s="609" t="str">
        <f t="shared" ca="1" si="325"/>
        <v/>
      </c>
      <c r="D95" s="1956" t="str">
        <f t="shared" ca="1" si="326"/>
        <v/>
      </c>
      <c r="E95" s="1956"/>
      <c r="F95" s="960"/>
      <c r="G95" s="485" t="str">
        <f t="shared" ca="1" si="327"/>
        <v/>
      </c>
      <c r="H95" s="983"/>
      <c r="I95" s="486"/>
      <c r="J95" s="326"/>
      <c r="K95" s="1886" t="str">
        <f t="shared" ca="1" si="328"/>
        <v/>
      </c>
      <c r="L95" s="1888"/>
      <c r="M95" s="296" t="str">
        <f t="shared" ca="1" si="307"/>
        <v/>
      </c>
      <c r="N95" s="1322"/>
      <c r="O95" s="1319"/>
      <c r="P95" s="957" t="str">
        <f t="shared" ca="1" si="329"/>
        <v/>
      </c>
      <c r="Q95" s="164">
        <f t="shared" si="330"/>
        <v>0</v>
      </c>
      <c r="R95" s="164">
        <f t="shared" ca="1" si="331"/>
        <v>0</v>
      </c>
      <c r="S95" s="164">
        <f t="shared" ca="1" si="332"/>
        <v>0</v>
      </c>
      <c r="T95" s="164">
        <f t="shared" ca="1" si="333"/>
        <v>0</v>
      </c>
      <c r="U95" s="164">
        <f t="shared" ca="1" si="334"/>
        <v>0</v>
      </c>
      <c r="V95" s="164">
        <f t="shared" ca="1" si="335"/>
        <v>0</v>
      </c>
      <c r="W95" s="164">
        <f t="shared" ca="1" si="336"/>
        <v>0</v>
      </c>
      <c r="X95" s="164">
        <f t="shared" ca="1" si="337"/>
        <v>0</v>
      </c>
      <c r="Y95" s="164">
        <f t="shared" ca="1" si="338"/>
        <v>0</v>
      </c>
      <c r="Z95" s="164">
        <f t="shared" ca="1" si="339"/>
        <v>0</v>
      </c>
      <c r="AA95" s="164">
        <f t="shared" ca="1" si="340"/>
        <v>0</v>
      </c>
      <c r="AB95" s="164">
        <f t="shared" ca="1" si="341"/>
        <v>0</v>
      </c>
      <c r="AC95" s="164">
        <f t="shared" ca="1" si="342"/>
        <v>0</v>
      </c>
      <c r="AD95" s="164">
        <f t="shared" ca="1" si="343"/>
        <v>0</v>
      </c>
      <c r="AE95" s="164">
        <f t="shared" ca="1" si="344"/>
        <v>0</v>
      </c>
      <c r="AF95" s="164">
        <f t="shared" ca="1" si="345"/>
        <v>0</v>
      </c>
      <c r="AG95" s="164">
        <f t="shared" ca="1" si="346"/>
        <v>0</v>
      </c>
      <c r="AH95" s="164">
        <f t="shared" ca="1" si="347"/>
        <v>0</v>
      </c>
      <c r="AI95" s="164">
        <f t="shared" ca="1" si="348"/>
        <v>0</v>
      </c>
      <c r="AJ95" s="164">
        <f t="shared" ca="1" si="349"/>
        <v>0</v>
      </c>
      <c r="AK95" s="164">
        <f t="shared" ca="1" si="350"/>
        <v>0</v>
      </c>
      <c r="AL95" s="164">
        <f t="shared" ca="1" si="351"/>
        <v>0</v>
      </c>
      <c r="AM95" s="208"/>
      <c r="AN95" s="164">
        <f t="shared" si="352"/>
        <v>0</v>
      </c>
      <c r="AO95" s="164">
        <f t="shared" ca="1" si="353"/>
        <v>0</v>
      </c>
      <c r="AP95" s="164">
        <f t="shared" ca="1" si="354"/>
        <v>0</v>
      </c>
      <c r="AQ95" s="164">
        <f t="shared" ca="1" si="355"/>
        <v>0</v>
      </c>
      <c r="AR95" s="164">
        <f t="shared" ca="1" si="356"/>
        <v>0</v>
      </c>
      <c r="AS95" s="164">
        <f t="shared" ca="1" si="357"/>
        <v>0</v>
      </c>
      <c r="AT95" s="164">
        <f t="shared" ca="1" si="358"/>
        <v>0</v>
      </c>
      <c r="AU95" s="164">
        <f t="shared" ca="1" si="359"/>
        <v>0</v>
      </c>
      <c r="AV95" s="164">
        <f t="shared" ca="1" si="360"/>
        <v>0</v>
      </c>
      <c r="AW95" s="164">
        <f t="shared" ca="1" si="361"/>
        <v>0</v>
      </c>
      <c r="AX95" s="164">
        <f t="shared" ca="1" si="362"/>
        <v>0</v>
      </c>
      <c r="AY95" s="164">
        <f t="shared" ca="1" si="363"/>
        <v>0</v>
      </c>
      <c r="AZ95" s="164">
        <f t="shared" ca="1" si="364"/>
        <v>0</v>
      </c>
      <c r="BA95" s="164">
        <f t="shared" ca="1" si="365"/>
        <v>0</v>
      </c>
      <c r="BB95" s="164">
        <f t="shared" ca="1" si="366"/>
        <v>0</v>
      </c>
      <c r="BC95" s="164">
        <f t="shared" ca="1" si="367"/>
        <v>0</v>
      </c>
      <c r="BD95" s="164">
        <f t="shared" ca="1" si="368"/>
        <v>0</v>
      </c>
      <c r="BE95" s="164">
        <f t="shared" ca="1" si="369"/>
        <v>0</v>
      </c>
      <c r="BF95" s="164">
        <f t="shared" ca="1" si="370"/>
        <v>0</v>
      </c>
      <c r="BG95" s="164">
        <f t="shared" ca="1" si="371"/>
        <v>0</v>
      </c>
      <c r="BH95" s="164">
        <f t="shared" ca="1" si="372"/>
        <v>0</v>
      </c>
      <c r="BI95" s="164">
        <f t="shared" ca="1" si="373"/>
        <v>0</v>
      </c>
      <c r="BJ95" s="164">
        <f t="shared" ca="1" si="374"/>
        <v>0</v>
      </c>
      <c r="BK95" s="164">
        <f t="shared" ca="1" si="375"/>
        <v>0</v>
      </c>
      <c r="BL95" s="164">
        <f t="shared" ca="1" si="376"/>
        <v>0</v>
      </c>
      <c r="BM95" s="164">
        <f t="shared" ca="1" si="377"/>
        <v>0</v>
      </c>
      <c r="BN95" s="164">
        <f t="shared" ca="1" si="378"/>
        <v>0</v>
      </c>
      <c r="BO95" s="356" t="str">
        <f t="shared" ca="1" si="379"/>
        <v/>
      </c>
      <c r="BP95" s="355" t="str">
        <f t="shared" ca="1" si="380"/>
        <v/>
      </c>
      <c r="BQ95" s="355" t="str">
        <f t="shared" ca="1" si="381"/>
        <v/>
      </c>
      <c r="BR95" s="348">
        <f t="shared" ca="1" si="312"/>
        <v>0</v>
      </c>
      <c r="BS95" s="348">
        <f t="shared" ca="1" si="313"/>
        <v>0</v>
      </c>
      <c r="BT95" s="610">
        <f t="shared" ca="1" si="382"/>
        <v>0</v>
      </c>
      <c r="BU95" s="357">
        <f t="shared" ca="1" si="383"/>
        <v>0</v>
      </c>
      <c r="BV95" s="357">
        <f t="shared" si="384"/>
        <v>0</v>
      </c>
      <c r="BW95" s="357">
        <f t="shared" si="385"/>
        <v>0</v>
      </c>
      <c r="BX95" s="357">
        <f t="shared" ca="1" si="386"/>
        <v>0</v>
      </c>
      <c r="BY95" s="357">
        <f t="shared" ca="1" si="316"/>
        <v>0</v>
      </c>
      <c r="BZ95" s="357"/>
      <c r="CA95" s="357">
        <f t="shared" ca="1" si="314"/>
        <v>0</v>
      </c>
      <c r="CB95" s="357" t="str">
        <f t="shared" ca="1" si="387"/>
        <v/>
      </c>
      <c r="CC95" s="358" t="str">
        <f t="shared" ca="1" si="317"/>
        <v/>
      </c>
      <c r="CD95" s="358" t="str">
        <f t="shared" ca="1" si="318"/>
        <v/>
      </c>
      <c r="CE95" s="357" t="str">
        <f t="shared" ca="1" si="416"/>
        <v>,,,,,,,,,,,,,,,,,,,,,,,,,,,,,,,,,,,</v>
      </c>
      <c r="CF95" s="154" t="str">
        <f t="shared" si="315"/>
        <v/>
      </c>
      <c r="CG95" s="154">
        <f t="shared" ca="1" si="319"/>
        <v>0</v>
      </c>
      <c r="CH95" s="154"/>
      <c r="CI95" s="154"/>
      <c r="CJ95" s="154"/>
      <c r="CK95" s="154"/>
      <c r="CL95" s="154"/>
      <c r="CM95" s="154"/>
      <c r="CN95" t="s">
        <v>784</v>
      </c>
      <c r="CO95" s="169"/>
      <c r="CP95" s="169"/>
      <c r="CQ95" s="169"/>
      <c r="CR95" s="169"/>
      <c r="CS95" s="169"/>
      <c r="CT95" s="169"/>
      <c r="CU95" s="169"/>
      <c r="CV95" s="164" t="str">
        <f t="shared" ca="1" si="322"/>
        <v/>
      </c>
      <c r="CW95" s="164" t="str">
        <f t="shared" ca="1" si="322"/>
        <v/>
      </c>
      <c r="CX95" s="164" t="str">
        <f t="shared" ca="1" si="322"/>
        <v/>
      </c>
      <c r="CY95" s="164" t="str">
        <f t="shared" ca="1" si="322"/>
        <v/>
      </c>
      <c r="CZ95" s="164" t="str">
        <f t="shared" ca="1" si="322"/>
        <v/>
      </c>
      <c r="DA95" s="164" t="str">
        <f t="shared" ca="1" si="322"/>
        <v/>
      </c>
      <c r="DB95" s="164" t="str">
        <f t="shared" ca="1" si="322"/>
        <v/>
      </c>
      <c r="DC95" s="164" t="str">
        <f t="shared" ca="1" si="322"/>
        <v/>
      </c>
      <c r="DD95" s="164" t="str">
        <f t="shared" ca="1" si="322"/>
        <v/>
      </c>
      <c r="DE95" s="164" t="str">
        <f t="shared" ca="1" si="322"/>
        <v/>
      </c>
      <c r="DF95" s="164" t="str">
        <f t="shared" ca="1" si="323"/>
        <v/>
      </c>
      <c r="DG95" s="164" t="str">
        <f t="shared" ca="1" si="323"/>
        <v/>
      </c>
      <c r="DH95" s="164" t="str">
        <f t="shared" ca="1" si="323"/>
        <v/>
      </c>
      <c r="DI95" s="164" t="str">
        <f t="shared" ca="1" si="323"/>
        <v/>
      </c>
      <c r="DJ95" s="164" t="str">
        <f t="shared" ca="1" si="323"/>
        <v/>
      </c>
      <c r="DK95" s="164" t="str">
        <f t="shared" ca="1" si="323"/>
        <v/>
      </c>
      <c r="DL95" s="164" t="str">
        <f t="shared" ca="1" si="323"/>
        <v/>
      </c>
      <c r="DM95" s="164" t="str">
        <f t="shared" ca="1" si="323"/>
        <v/>
      </c>
      <c r="DN95" s="164" t="str">
        <f t="shared" ca="1" si="323"/>
        <v/>
      </c>
      <c r="DO95" s="164" t="str">
        <f t="shared" ca="1" si="323"/>
        <v/>
      </c>
      <c r="DP95" s="164" t="str">
        <f t="shared" ca="1" si="323"/>
        <v/>
      </c>
      <c r="DQ95" s="164" t="str">
        <f t="shared" ca="1" si="323"/>
        <v/>
      </c>
      <c r="DR95" s="208"/>
      <c r="DS95" s="164" t="str">
        <f t="shared" ca="1" si="388"/>
        <v/>
      </c>
      <c r="DT95" s="164" t="str">
        <f t="shared" ca="1" si="389"/>
        <v/>
      </c>
      <c r="DU95" s="164" t="str">
        <f t="shared" ca="1" si="390"/>
        <v/>
      </c>
      <c r="DV95" s="164" t="str">
        <f t="shared" ca="1" si="391"/>
        <v/>
      </c>
      <c r="DW95" s="164" t="str">
        <f t="shared" ca="1" si="392"/>
        <v/>
      </c>
      <c r="DX95" s="164" t="str">
        <f t="shared" ca="1" si="393"/>
        <v/>
      </c>
      <c r="DY95" s="164" t="str">
        <f t="shared" ca="1" si="394"/>
        <v/>
      </c>
      <c r="DZ95" s="164" t="str">
        <f t="shared" ca="1" si="395"/>
        <v/>
      </c>
      <c r="EA95" s="164" t="str">
        <f t="shared" ca="1" si="396"/>
        <v/>
      </c>
      <c r="EB95" s="164" t="str">
        <f t="shared" ca="1" si="397"/>
        <v/>
      </c>
      <c r="EC95" s="164" t="str">
        <f t="shared" ca="1" si="398"/>
        <v/>
      </c>
      <c r="ED95" s="164" t="str">
        <f t="shared" ca="1" si="399"/>
        <v/>
      </c>
      <c r="EE95" s="164" t="str">
        <f t="shared" ca="1" si="400"/>
        <v/>
      </c>
      <c r="EF95" s="164" t="str">
        <f t="shared" ca="1" si="401"/>
        <v/>
      </c>
      <c r="EG95" s="164" t="str">
        <f t="shared" ca="1" si="402"/>
        <v/>
      </c>
      <c r="EH95" s="164" t="str">
        <f t="shared" ca="1" si="403"/>
        <v/>
      </c>
      <c r="EI95" s="164" t="str">
        <f t="shared" ca="1" si="404"/>
        <v/>
      </c>
      <c r="EJ95" s="164" t="str">
        <f t="shared" ca="1" si="405"/>
        <v/>
      </c>
      <c r="EK95" s="164" t="str">
        <f t="shared" ca="1" si="406"/>
        <v/>
      </c>
      <c r="EL95" s="164" t="str">
        <f t="shared" ca="1" si="407"/>
        <v/>
      </c>
      <c r="EM95" s="164" t="str">
        <f t="shared" ca="1" si="408"/>
        <v/>
      </c>
      <c r="EN95" s="164" t="str">
        <f t="shared" ca="1" si="409"/>
        <v/>
      </c>
      <c r="EO95" s="164" t="str">
        <f t="shared" ca="1" si="410"/>
        <v/>
      </c>
      <c r="EP95" s="164" t="str">
        <f t="shared" ca="1" si="411"/>
        <v/>
      </c>
      <c r="EQ95" s="164" t="str">
        <f t="shared" ca="1" si="412"/>
        <v/>
      </c>
      <c r="ER95" s="164" t="str">
        <f t="shared" ca="1" si="413"/>
        <v/>
      </c>
      <c r="ES95" s="164" t="str">
        <f t="shared" ca="1" si="414"/>
        <v/>
      </c>
    </row>
    <row r="96" spans="1:149" x14ac:dyDescent="0.2">
      <c r="A96" s="89" t="str">
        <f t="shared" ca="1" si="415"/>
        <v/>
      </c>
      <c r="B96" s="317" t="str">
        <f t="shared" ca="1" si="324"/>
        <v/>
      </c>
      <c r="C96" s="609" t="str">
        <f t="shared" ca="1" si="325"/>
        <v/>
      </c>
      <c r="D96" s="1956" t="str">
        <f t="shared" ca="1" si="326"/>
        <v/>
      </c>
      <c r="E96" s="1956"/>
      <c r="F96" s="960"/>
      <c r="G96" s="485" t="str">
        <f t="shared" ca="1" si="327"/>
        <v/>
      </c>
      <c r="H96" s="983"/>
      <c r="I96" s="486"/>
      <c r="J96" s="326"/>
      <c r="K96" s="1886" t="str">
        <f t="shared" ca="1" si="328"/>
        <v/>
      </c>
      <c r="L96" s="1888"/>
      <c r="M96" s="296" t="str">
        <f t="shared" ca="1" si="307"/>
        <v/>
      </c>
      <c r="N96" s="1322"/>
      <c r="O96" s="1319"/>
      <c r="P96" s="957" t="str">
        <f t="shared" ca="1" si="329"/>
        <v/>
      </c>
      <c r="Q96" s="164">
        <f t="shared" si="330"/>
        <v>0</v>
      </c>
      <c r="R96" s="164">
        <f t="shared" ca="1" si="331"/>
        <v>0</v>
      </c>
      <c r="S96" s="164">
        <f t="shared" ca="1" si="332"/>
        <v>0</v>
      </c>
      <c r="T96" s="164">
        <f t="shared" ca="1" si="333"/>
        <v>0</v>
      </c>
      <c r="U96" s="164">
        <f t="shared" ca="1" si="334"/>
        <v>0</v>
      </c>
      <c r="V96" s="164">
        <f t="shared" ca="1" si="335"/>
        <v>0</v>
      </c>
      <c r="W96" s="164">
        <f t="shared" ca="1" si="336"/>
        <v>0</v>
      </c>
      <c r="X96" s="164">
        <f t="shared" ca="1" si="337"/>
        <v>0</v>
      </c>
      <c r="Y96" s="164">
        <f t="shared" ca="1" si="338"/>
        <v>0</v>
      </c>
      <c r="Z96" s="164">
        <f t="shared" ca="1" si="339"/>
        <v>0</v>
      </c>
      <c r="AA96" s="164">
        <f t="shared" ca="1" si="340"/>
        <v>0</v>
      </c>
      <c r="AB96" s="164">
        <f t="shared" ca="1" si="341"/>
        <v>0</v>
      </c>
      <c r="AC96" s="164">
        <f t="shared" ca="1" si="342"/>
        <v>0</v>
      </c>
      <c r="AD96" s="164">
        <f t="shared" ca="1" si="343"/>
        <v>0</v>
      </c>
      <c r="AE96" s="164">
        <f t="shared" ca="1" si="344"/>
        <v>0</v>
      </c>
      <c r="AF96" s="164">
        <f t="shared" ca="1" si="345"/>
        <v>0</v>
      </c>
      <c r="AG96" s="164">
        <f t="shared" ca="1" si="346"/>
        <v>0</v>
      </c>
      <c r="AH96" s="164">
        <f t="shared" ca="1" si="347"/>
        <v>0</v>
      </c>
      <c r="AI96" s="164">
        <f t="shared" ca="1" si="348"/>
        <v>0</v>
      </c>
      <c r="AJ96" s="164">
        <f t="shared" ca="1" si="349"/>
        <v>0</v>
      </c>
      <c r="AK96" s="164">
        <f t="shared" ca="1" si="350"/>
        <v>0</v>
      </c>
      <c r="AL96" s="164">
        <f t="shared" ca="1" si="351"/>
        <v>0</v>
      </c>
      <c r="AM96" s="208"/>
      <c r="AN96" s="164">
        <f t="shared" si="352"/>
        <v>0</v>
      </c>
      <c r="AO96" s="164">
        <f t="shared" ca="1" si="353"/>
        <v>0</v>
      </c>
      <c r="AP96" s="164">
        <f t="shared" ca="1" si="354"/>
        <v>0</v>
      </c>
      <c r="AQ96" s="164">
        <f t="shared" ca="1" si="355"/>
        <v>0</v>
      </c>
      <c r="AR96" s="164">
        <f t="shared" ca="1" si="356"/>
        <v>0</v>
      </c>
      <c r="AS96" s="164">
        <f t="shared" ca="1" si="357"/>
        <v>0</v>
      </c>
      <c r="AT96" s="164">
        <f t="shared" ca="1" si="358"/>
        <v>0</v>
      </c>
      <c r="AU96" s="164">
        <f t="shared" ca="1" si="359"/>
        <v>0</v>
      </c>
      <c r="AV96" s="164">
        <f t="shared" ca="1" si="360"/>
        <v>0</v>
      </c>
      <c r="AW96" s="164">
        <f t="shared" ca="1" si="361"/>
        <v>0</v>
      </c>
      <c r="AX96" s="164">
        <f t="shared" ca="1" si="362"/>
        <v>0</v>
      </c>
      <c r="AY96" s="164">
        <f t="shared" ca="1" si="363"/>
        <v>0</v>
      </c>
      <c r="AZ96" s="164">
        <f t="shared" ca="1" si="364"/>
        <v>0</v>
      </c>
      <c r="BA96" s="164">
        <f t="shared" ca="1" si="365"/>
        <v>0</v>
      </c>
      <c r="BB96" s="164">
        <f t="shared" ca="1" si="366"/>
        <v>0</v>
      </c>
      <c r="BC96" s="164">
        <f t="shared" ca="1" si="367"/>
        <v>0</v>
      </c>
      <c r="BD96" s="164">
        <f t="shared" ca="1" si="368"/>
        <v>0</v>
      </c>
      <c r="BE96" s="164">
        <f t="shared" ca="1" si="369"/>
        <v>0</v>
      </c>
      <c r="BF96" s="164">
        <f t="shared" ca="1" si="370"/>
        <v>0</v>
      </c>
      <c r="BG96" s="164">
        <f t="shared" ca="1" si="371"/>
        <v>0</v>
      </c>
      <c r="BH96" s="164">
        <f t="shared" ca="1" si="372"/>
        <v>0</v>
      </c>
      <c r="BI96" s="164">
        <f t="shared" ca="1" si="373"/>
        <v>0</v>
      </c>
      <c r="BJ96" s="164">
        <f t="shared" ca="1" si="374"/>
        <v>0</v>
      </c>
      <c r="BK96" s="164">
        <f t="shared" ca="1" si="375"/>
        <v>0</v>
      </c>
      <c r="BL96" s="164">
        <f t="shared" ca="1" si="376"/>
        <v>0</v>
      </c>
      <c r="BM96" s="164">
        <f t="shared" ca="1" si="377"/>
        <v>0</v>
      </c>
      <c r="BN96" s="164">
        <f t="shared" ca="1" si="378"/>
        <v>0</v>
      </c>
      <c r="BO96" s="356" t="str">
        <f t="shared" ca="1" si="379"/>
        <v/>
      </c>
      <c r="BP96" s="355" t="str">
        <f t="shared" ca="1" si="380"/>
        <v/>
      </c>
      <c r="BQ96" s="355" t="str">
        <f t="shared" ca="1" si="381"/>
        <v/>
      </c>
      <c r="BR96" s="348">
        <f t="shared" ca="1" si="312"/>
        <v>0</v>
      </c>
      <c r="BS96" s="348">
        <f t="shared" ca="1" si="313"/>
        <v>0</v>
      </c>
      <c r="BT96" s="610">
        <f t="shared" ca="1" si="382"/>
        <v>0</v>
      </c>
      <c r="BU96" s="357">
        <f t="shared" ca="1" si="383"/>
        <v>0</v>
      </c>
      <c r="BV96" s="357">
        <f t="shared" si="384"/>
        <v>0</v>
      </c>
      <c r="BW96" s="357">
        <f t="shared" si="385"/>
        <v>0</v>
      </c>
      <c r="BX96" s="357">
        <f t="shared" ca="1" si="386"/>
        <v>0</v>
      </c>
      <c r="BY96" s="357">
        <f t="shared" ca="1" si="316"/>
        <v>0</v>
      </c>
      <c r="BZ96" s="357"/>
      <c r="CA96" s="357">
        <f t="shared" ca="1" si="314"/>
        <v>0</v>
      </c>
      <c r="CB96" s="357" t="str">
        <f t="shared" ca="1" si="387"/>
        <v/>
      </c>
      <c r="CC96" s="358" t="str">
        <f t="shared" ca="1" si="317"/>
        <v/>
      </c>
      <c r="CD96" s="358" t="str">
        <f t="shared" ca="1" si="318"/>
        <v/>
      </c>
      <c r="CE96" s="357" t="str">
        <f t="shared" ca="1" si="416"/>
        <v>,,,,,,,,,,,,,,,,,,,,,,,,,,,,,,,,,,,,</v>
      </c>
      <c r="CF96" s="154" t="str">
        <f t="shared" si="315"/>
        <v/>
      </c>
      <c r="CG96" s="154">
        <f t="shared" ca="1" si="319"/>
        <v>0</v>
      </c>
      <c r="CH96" s="154"/>
      <c r="CI96" s="154"/>
      <c r="CJ96" s="154"/>
      <c r="CK96" s="154"/>
      <c r="CL96" s="154"/>
      <c r="CM96" s="154"/>
      <c r="CN96" t="s">
        <v>784</v>
      </c>
      <c r="CO96" s="169"/>
      <c r="CP96" s="169"/>
      <c r="CQ96" s="169"/>
      <c r="CR96" s="169"/>
      <c r="CS96" s="169"/>
      <c r="CT96" s="169"/>
      <c r="CU96" s="169"/>
      <c r="CV96" s="164" t="str">
        <f t="shared" ca="1" si="322"/>
        <v/>
      </c>
      <c r="CW96" s="164" t="str">
        <f t="shared" ca="1" si="322"/>
        <v/>
      </c>
      <c r="CX96" s="164" t="str">
        <f t="shared" ca="1" si="322"/>
        <v/>
      </c>
      <c r="CY96" s="164" t="str">
        <f t="shared" ca="1" si="322"/>
        <v/>
      </c>
      <c r="CZ96" s="164" t="str">
        <f t="shared" ca="1" si="322"/>
        <v/>
      </c>
      <c r="DA96" s="164" t="str">
        <f t="shared" ca="1" si="322"/>
        <v/>
      </c>
      <c r="DB96" s="164" t="str">
        <f t="shared" ca="1" si="322"/>
        <v/>
      </c>
      <c r="DC96" s="164" t="str">
        <f t="shared" ca="1" si="322"/>
        <v/>
      </c>
      <c r="DD96" s="164" t="str">
        <f t="shared" ca="1" si="322"/>
        <v/>
      </c>
      <c r="DE96" s="164" t="str">
        <f t="shared" ca="1" si="322"/>
        <v/>
      </c>
      <c r="DF96" s="164" t="str">
        <f t="shared" ca="1" si="323"/>
        <v/>
      </c>
      <c r="DG96" s="164" t="str">
        <f t="shared" ca="1" si="323"/>
        <v/>
      </c>
      <c r="DH96" s="164" t="str">
        <f t="shared" ca="1" si="323"/>
        <v/>
      </c>
      <c r="DI96" s="164" t="str">
        <f t="shared" ca="1" si="323"/>
        <v/>
      </c>
      <c r="DJ96" s="164" t="str">
        <f t="shared" ca="1" si="323"/>
        <v/>
      </c>
      <c r="DK96" s="164" t="str">
        <f t="shared" ca="1" si="323"/>
        <v/>
      </c>
      <c r="DL96" s="164" t="str">
        <f t="shared" ca="1" si="323"/>
        <v/>
      </c>
      <c r="DM96" s="164" t="str">
        <f t="shared" ca="1" si="323"/>
        <v/>
      </c>
      <c r="DN96" s="164" t="str">
        <f t="shared" ca="1" si="323"/>
        <v/>
      </c>
      <c r="DO96" s="164" t="str">
        <f t="shared" ca="1" si="323"/>
        <v/>
      </c>
      <c r="DP96" s="164" t="str">
        <f t="shared" ca="1" si="323"/>
        <v/>
      </c>
      <c r="DQ96" s="164" t="str">
        <f t="shared" ca="1" si="323"/>
        <v/>
      </c>
      <c r="DR96" s="208"/>
      <c r="DS96" s="164" t="str">
        <f t="shared" ca="1" si="388"/>
        <v/>
      </c>
      <c r="DT96" s="164" t="str">
        <f t="shared" ca="1" si="389"/>
        <v/>
      </c>
      <c r="DU96" s="164" t="str">
        <f t="shared" ca="1" si="390"/>
        <v/>
      </c>
      <c r="DV96" s="164" t="str">
        <f t="shared" ca="1" si="391"/>
        <v/>
      </c>
      <c r="DW96" s="164" t="str">
        <f t="shared" ca="1" si="392"/>
        <v/>
      </c>
      <c r="DX96" s="164" t="str">
        <f t="shared" ca="1" si="393"/>
        <v/>
      </c>
      <c r="DY96" s="164" t="str">
        <f t="shared" ca="1" si="394"/>
        <v/>
      </c>
      <c r="DZ96" s="164" t="str">
        <f t="shared" ca="1" si="395"/>
        <v/>
      </c>
      <c r="EA96" s="164" t="str">
        <f t="shared" ca="1" si="396"/>
        <v/>
      </c>
      <c r="EB96" s="164" t="str">
        <f t="shared" ca="1" si="397"/>
        <v/>
      </c>
      <c r="EC96" s="164" t="str">
        <f t="shared" ca="1" si="398"/>
        <v/>
      </c>
      <c r="ED96" s="164" t="str">
        <f t="shared" ca="1" si="399"/>
        <v/>
      </c>
      <c r="EE96" s="164" t="str">
        <f t="shared" ca="1" si="400"/>
        <v/>
      </c>
      <c r="EF96" s="164" t="str">
        <f t="shared" ca="1" si="401"/>
        <v/>
      </c>
      <c r="EG96" s="164" t="str">
        <f t="shared" ca="1" si="402"/>
        <v/>
      </c>
      <c r="EH96" s="164" t="str">
        <f t="shared" ca="1" si="403"/>
        <v/>
      </c>
      <c r="EI96" s="164" t="str">
        <f t="shared" ca="1" si="404"/>
        <v/>
      </c>
      <c r="EJ96" s="164" t="str">
        <f t="shared" ca="1" si="405"/>
        <v/>
      </c>
      <c r="EK96" s="164" t="str">
        <f t="shared" ca="1" si="406"/>
        <v/>
      </c>
      <c r="EL96" s="164" t="str">
        <f t="shared" ca="1" si="407"/>
        <v/>
      </c>
      <c r="EM96" s="164" t="str">
        <f t="shared" ca="1" si="408"/>
        <v/>
      </c>
      <c r="EN96" s="164" t="str">
        <f t="shared" ca="1" si="409"/>
        <v/>
      </c>
      <c r="EO96" s="164" t="str">
        <f t="shared" ca="1" si="410"/>
        <v/>
      </c>
      <c r="EP96" s="164" t="str">
        <f t="shared" ca="1" si="411"/>
        <v/>
      </c>
      <c r="EQ96" s="164" t="str">
        <f t="shared" ca="1" si="412"/>
        <v/>
      </c>
      <c r="ER96" s="164" t="str">
        <f t="shared" ca="1" si="413"/>
        <v/>
      </c>
      <c r="ES96" s="164" t="str">
        <f t="shared" ca="1" si="414"/>
        <v/>
      </c>
    </row>
    <row r="97" spans="1:149" x14ac:dyDescent="0.2">
      <c r="A97" s="89" t="str">
        <f t="shared" ca="1" si="415"/>
        <v/>
      </c>
      <c r="B97" s="317" t="str">
        <f t="shared" ca="1" si="324"/>
        <v/>
      </c>
      <c r="C97" s="609" t="str">
        <f t="shared" ca="1" si="325"/>
        <v/>
      </c>
      <c r="D97" s="1956" t="str">
        <f t="shared" ca="1" si="326"/>
        <v/>
      </c>
      <c r="E97" s="1956"/>
      <c r="F97" s="960"/>
      <c r="G97" s="485" t="str">
        <f t="shared" ca="1" si="327"/>
        <v/>
      </c>
      <c r="H97" s="983"/>
      <c r="I97" s="486"/>
      <c r="J97" s="326"/>
      <c r="K97" s="1886" t="str">
        <f t="shared" ca="1" si="328"/>
        <v/>
      </c>
      <c r="L97" s="1888"/>
      <c r="M97" s="296" t="str">
        <f t="shared" ca="1" si="307"/>
        <v/>
      </c>
      <c r="N97" s="1322"/>
      <c r="O97" s="1319"/>
      <c r="P97" s="957" t="str">
        <f t="shared" ca="1" si="329"/>
        <v/>
      </c>
      <c r="Q97" s="164">
        <f t="shared" si="330"/>
        <v>0</v>
      </c>
      <c r="R97" s="164">
        <f t="shared" ca="1" si="331"/>
        <v>0</v>
      </c>
      <c r="S97" s="164">
        <f t="shared" ca="1" si="332"/>
        <v>0</v>
      </c>
      <c r="T97" s="164">
        <f t="shared" ca="1" si="333"/>
        <v>0</v>
      </c>
      <c r="U97" s="164">
        <f t="shared" ca="1" si="334"/>
        <v>0</v>
      </c>
      <c r="V97" s="164">
        <f t="shared" ca="1" si="335"/>
        <v>0</v>
      </c>
      <c r="W97" s="164">
        <f t="shared" ca="1" si="336"/>
        <v>0</v>
      </c>
      <c r="X97" s="164">
        <f t="shared" ca="1" si="337"/>
        <v>0</v>
      </c>
      <c r="Y97" s="164">
        <f t="shared" ca="1" si="338"/>
        <v>0</v>
      </c>
      <c r="Z97" s="164">
        <f t="shared" ca="1" si="339"/>
        <v>0</v>
      </c>
      <c r="AA97" s="164">
        <f t="shared" ca="1" si="340"/>
        <v>0</v>
      </c>
      <c r="AB97" s="164">
        <f t="shared" ca="1" si="341"/>
        <v>0</v>
      </c>
      <c r="AC97" s="164">
        <f t="shared" ca="1" si="342"/>
        <v>0</v>
      </c>
      <c r="AD97" s="164">
        <f t="shared" ca="1" si="343"/>
        <v>0</v>
      </c>
      <c r="AE97" s="164">
        <f t="shared" ca="1" si="344"/>
        <v>0</v>
      </c>
      <c r="AF97" s="164">
        <f t="shared" ca="1" si="345"/>
        <v>0</v>
      </c>
      <c r="AG97" s="164">
        <f t="shared" ca="1" si="346"/>
        <v>0</v>
      </c>
      <c r="AH97" s="164">
        <f t="shared" ca="1" si="347"/>
        <v>0</v>
      </c>
      <c r="AI97" s="164">
        <f t="shared" ca="1" si="348"/>
        <v>0</v>
      </c>
      <c r="AJ97" s="164">
        <f t="shared" ca="1" si="349"/>
        <v>0</v>
      </c>
      <c r="AK97" s="164">
        <f t="shared" ca="1" si="350"/>
        <v>0</v>
      </c>
      <c r="AL97" s="164">
        <f t="shared" ca="1" si="351"/>
        <v>0</v>
      </c>
      <c r="AM97" s="208"/>
      <c r="AN97" s="164">
        <f t="shared" si="352"/>
        <v>0</v>
      </c>
      <c r="AO97" s="164">
        <f t="shared" ca="1" si="353"/>
        <v>0</v>
      </c>
      <c r="AP97" s="164">
        <f t="shared" ca="1" si="354"/>
        <v>0</v>
      </c>
      <c r="AQ97" s="164">
        <f t="shared" ca="1" si="355"/>
        <v>0</v>
      </c>
      <c r="AR97" s="164">
        <f t="shared" ca="1" si="356"/>
        <v>0</v>
      </c>
      <c r="AS97" s="164">
        <f t="shared" ca="1" si="357"/>
        <v>0</v>
      </c>
      <c r="AT97" s="164">
        <f t="shared" ca="1" si="358"/>
        <v>0</v>
      </c>
      <c r="AU97" s="164">
        <f t="shared" ca="1" si="359"/>
        <v>0</v>
      </c>
      <c r="AV97" s="164">
        <f t="shared" ca="1" si="360"/>
        <v>0</v>
      </c>
      <c r="AW97" s="164">
        <f t="shared" ca="1" si="361"/>
        <v>0</v>
      </c>
      <c r="AX97" s="164">
        <f t="shared" ca="1" si="362"/>
        <v>0</v>
      </c>
      <c r="AY97" s="164">
        <f t="shared" ca="1" si="363"/>
        <v>0</v>
      </c>
      <c r="AZ97" s="164">
        <f t="shared" ca="1" si="364"/>
        <v>0</v>
      </c>
      <c r="BA97" s="164">
        <f t="shared" ca="1" si="365"/>
        <v>0</v>
      </c>
      <c r="BB97" s="164">
        <f t="shared" ca="1" si="366"/>
        <v>0</v>
      </c>
      <c r="BC97" s="164">
        <f t="shared" ca="1" si="367"/>
        <v>0</v>
      </c>
      <c r="BD97" s="164">
        <f t="shared" ca="1" si="368"/>
        <v>0</v>
      </c>
      <c r="BE97" s="164">
        <f t="shared" ca="1" si="369"/>
        <v>0</v>
      </c>
      <c r="BF97" s="164">
        <f t="shared" ca="1" si="370"/>
        <v>0</v>
      </c>
      <c r="BG97" s="164">
        <f t="shared" ca="1" si="371"/>
        <v>0</v>
      </c>
      <c r="BH97" s="164">
        <f t="shared" ca="1" si="372"/>
        <v>0</v>
      </c>
      <c r="BI97" s="164">
        <f t="shared" ca="1" si="373"/>
        <v>0</v>
      </c>
      <c r="BJ97" s="164">
        <f t="shared" ca="1" si="374"/>
        <v>0</v>
      </c>
      <c r="BK97" s="164">
        <f t="shared" ca="1" si="375"/>
        <v>0</v>
      </c>
      <c r="BL97" s="164">
        <f t="shared" ca="1" si="376"/>
        <v>0</v>
      </c>
      <c r="BM97" s="164">
        <f t="shared" ca="1" si="377"/>
        <v>0</v>
      </c>
      <c r="BN97" s="164">
        <f t="shared" ca="1" si="378"/>
        <v>0</v>
      </c>
      <c r="BO97" s="356" t="str">
        <f t="shared" ca="1" si="379"/>
        <v/>
      </c>
      <c r="BP97" s="355" t="str">
        <f t="shared" ca="1" si="380"/>
        <v/>
      </c>
      <c r="BQ97" s="355" t="str">
        <f t="shared" ca="1" si="381"/>
        <v/>
      </c>
      <c r="BR97" s="348">
        <f t="shared" ca="1" si="312"/>
        <v>0</v>
      </c>
      <c r="BS97" s="348">
        <f t="shared" ca="1" si="313"/>
        <v>0</v>
      </c>
      <c r="BT97" s="610">
        <f t="shared" ca="1" si="382"/>
        <v>0</v>
      </c>
      <c r="BU97" s="357">
        <f t="shared" ca="1" si="383"/>
        <v>0</v>
      </c>
      <c r="BV97" s="357">
        <f t="shared" si="384"/>
        <v>0</v>
      </c>
      <c r="BW97" s="357">
        <f t="shared" si="385"/>
        <v>0</v>
      </c>
      <c r="BX97" s="357">
        <f t="shared" ca="1" si="386"/>
        <v>0</v>
      </c>
      <c r="BY97" s="357">
        <f t="shared" ca="1" si="316"/>
        <v>0</v>
      </c>
      <c r="BZ97" s="357"/>
      <c r="CA97" s="357">
        <f t="shared" ca="1" si="314"/>
        <v>0</v>
      </c>
      <c r="CB97" s="357" t="str">
        <f t="shared" ca="1" si="387"/>
        <v/>
      </c>
      <c r="CC97" s="358" t="str">
        <f t="shared" ca="1" si="317"/>
        <v/>
      </c>
      <c r="CD97" s="358" t="str">
        <f t="shared" ca="1" si="318"/>
        <v/>
      </c>
      <c r="CE97" s="357" t="str">
        <f t="shared" ca="1" si="416"/>
        <v>,,,,,,,,,,,,,,,,,,,,,,,,,,,,,,,,,,,,,</v>
      </c>
      <c r="CF97" s="154" t="str">
        <f t="shared" si="315"/>
        <v/>
      </c>
      <c r="CG97" s="154">
        <f t="shared" ca="1" si="319"/>
        <v>0</v>
      </c>
      <c r="CH97" s="154"/>
      <c r="CI97" s="154"/>
      <c r="CJ97" s="154"/>
      <c r="CK97" s="154"/>
      <c r="CL97" s="154"/>
      <c r="CM97" s="154"/>
      <c r="CN97" t="s">
        <v>784</v>
      </c>
      <c r="CO97" s="169"/>
      <c r="CP97" s="169"/>
      <c r="CQ97" s="169"/>
      <c r="CR97" s="169"/>
      <c r="CS97" s="169"/>
      <c r="CT97" s="169"/>
      <c r="CU97" s="169"/>
      <c r="CV97" s="164" t="str">
        <f t="shared" ca="1" si="322"/>
        <v/>
      </c>
      <c r="CW97" s="164" t="str">
        <f t="shared" ca="1" si="322"/>
        <v/>
      </c>
      <c r="CX97" s="164" t="str">
        <f t="shared" ca="1" si="322"/>
        <v/>
      </c>
      <c r="CY97" s="164" t="str">
        <f t="shared" ca="1" si="322"/>
        <v/>
      </c>
      <c r="CZ97" s="164" t="str">
        <f t="shared" ca="1" si="322"/>
        <v/>
      </c>
      <c r="DA97" s="164" t="str">
        <f t="shared" ca="1" si="322"/>
        <v/>
      </c>
      <c r="DB97" s="164" t="str">
        <f t="shared" ca="1" si="322"/>
        <v/>
      </c>
      <c r="DC97" s="164" t="str">
        <f t="shared" ca="1" si="322"/>
        <v/>
      </c>
      <c r="DD97" s="164" t="str">
        <f t="shared" ca="1" si="322"/>
        <v/>
      </c>
      <c r="DE97" s="164" t="str">
        <f t="shared" ca="1" si="322"/>
        <v/>
      </c>
      <c r="DF97" s="164" t="str">
        <f t="shared" ca="1" si="323"/>
        <v/>
      </c>
      <c r="DG97" s="164" t="str">
        <f t="shared" ca="1" si="323"/>
        <v/>
      </c>
      <c r="DH97" s="164" t="str">
        <f t="shared" ca="1" si="323"/>
        <v/>
      </c>
      <c r="DI97" s="164" t="str">
        <f t="shared" ca="1" si="323"/>
        <v/>
      </c>
      <c r="DJ97" s="164" t="str">
        <f t="shared" ca="1" si="323"/>
        <v/>
      </c>
      <c r="DK97" s="164" t="str">
        <f t="shared" ca="1" si="323"/>
        <v/>
      </c>
      <c r="DL97" s="164" t="str">
        <f t="shared" ca="1" si="323"/>
        <v/>
      </c>
      <c r="DM97" s="164" t="str">
        <f t="shared" ca="1" si="323"/>
        <v/>
      </c>
      <c r="DN97" s="164" t="str">
        <f t="shared" ca="1" si="323"/>
        <v/>
      </c>
      <c r="DO97" s="164" t="str">
        <f t="shared" ca="1" si="323"/>
        <v/>
      </c>
      <c r="DP97" s="164" t="str">
        <f t="shared" ca="1" si="323"/>
        <v/>
      </c>
      <c r="DQ97" s="164" t="str">
        <f t="shared" ca="1" si="323"/>
        <v/>
      </c>
      <c r="DR97" s="208"/>
      <c r="DS97" s="164" t="str">
        <f t="shared" ca="1" si="388"/>
        <v/>
      </c>
      <c r="DT97" s="164" t="str">
        <f t="shared" ca="1" si="389"/>
        <v/>
      </c>
      <c r="DU97" s="164" t="str">
        <f t="shared" ca="1" si="390"/>
        <v/>
      </c>
      <c r="DV97" s="164" t="str">
        <f t="shared" ca="1" si="391"/>
        <v/>
      </c>
      <c r="DW97" s="164" t="str">
        <f t="shared" ca="1" si="392"/>
        <v/>
      </c>
      <c r="DX97" s="164" t="str">
        <f t="shared" ca="1" si="393"/>
        <v/>
      </c>
      <c r="DY97" s="164" t="str">
        <f t="shared" ca="1" si="394"/>
        <v/>
      </c>
      <c r="DZ97" s="164" t="str">
        <f t="shared" ca="1" si="395"/>
        <v/>
      </c>
      <c r="EA97" s="164" t="str">
        <f t="shared" ca="1" si="396"/>
        <v/>
      </c>
      <c r="EB97" s="164" t="str">
        <f t="shared" ca="1" si="397"/>
        <v/>
      </c>
      <c r="EC97" s="164" t="str">
        <f t="shared" ca="1" si="398"/>
        <v/>
      </c>
      <c r="ED97" s="164" t="str">
        <f t="shared" ca="1" si="399"/>
        <v/>
      </c>
      <c r="EE97" s="164" t="str">
        <f t="shared" ca="1" si="400"/>
        <v/>
      </c>
      <c r="EF97" s="164" t="str">
        <f t="shared" ca="1" si="401"/>
        <v/>
      </c>
      <c r="EG97" s="164" t="str">
        <f t="shared" ca="1" si="402"/>
        <v/>
      </c>
      <c r="EH97" s="164" t="str">
        <f t="shared" ca="1" si="403"/>
        <v/>
      </c>
      <c r="EI97" s="164" t="str">
        <f t="shared" ca="1" si="404"/>
        <v/>
      </c>
      <c r="EJ97" s="164" t="str">
        <f t="shared" ca="1" si="405"/>
        <v/>
      </c>
      <c r="EK97" s="164" t="str">
        <f t="shared" ca="1" si="406"/>
        <v/>
      </c>
      <c r="EL97" s="164" t="str">
        <f t="shared" ca="1" si="407"/>
        <v/>
      </c>
      <c r="EM97" s="164" t="str">
        <f t="shared" ca="1" si="408"/>
        <v/>
      </c>
      <c r="EN97" s="164" t="str">
        <f t="shared" ca="1" si="409"/>
        <v/>
      </c>
      <c r="EO97" s="164" t="str">
        <f t="shared" ca="1" si="410"/>
        <v/>
      </c>
      <c r="EP97" s="164" t="str">
        <f t="shared" ca="1" si="411"/>
        <v/>
      </c>
      <c r="EQ97" s="164" t="str">
        <f t="shared" ca="1" si="412"/>
        <v/>
      </c>
      <c r="ER97" s="164" t="str">
        <f t="shared" ca="1" si="413"/>
        <v/>
      </c>
      <c r="ES97" s="164" t="str">
        <f t="shared" ca="1" si="414"/>
        <v/>
      </c>
    </row>
    <row r="98" spans="1:149" x14ac:dyDescent="0.2">
      <c r="A98" s="89" t="str">
        <f t="shared" ca="1" si="415"/>
        <v/>
      </c>
      <c r="B98" s="317" t="str">
        <f t="shared" ca="1" si="324"/>
        <v/>
      </c>
      <c r="C98" s="609" t="str">
        <f t="shared" ca="1" si="325"/>
        <v/>
      </c>
      <c r="D98" s="1956" t="str">
        <f t="shared" ca="1" si="326"/>
        <v/>
      </c>
      <c r="E98" s="1956"/>
      <c r="F98" s="960"/>
      <c r="G98" s="485" t="str">
        <f t="shared" ca="1" si="327"/>
        <v/>
      </c>
      <c r="H98" s="983"/>
      <c r="I98" s="486"/>
      <c r="J98" s="326"/>
      <c r="K98" s="1886" t="str">
        <f t="shared" ca="1" si="328"/>
        <v/>
      </c>
      <c r="L98" s="1888"/>
      <c r="M98" s="296" t="str">
        <f t="shared" ca="1" si="307"/>
        <v/>
      </c>
      <c r="N98" s="1322"/>
      <c r="O98" s="1319"/>
      <c r="P98" s="957" t="str">
        <f t="shared" ca="1" si="329"/>
        <v/>
      </c>
      <c r="Q98" s="164">
        <f t="shared" si="330"/>
        <v>0</v>
      </c>
      <c r="R98" s="164">
        <f t="shared" ca="1" si="331"/>
        <v>0</v>
      </c>
      <c r="S98" s="164">
        <f t="shared" ca="1" si="332"/>
        <v>0</v>
      </c>
      <c r="T98" s="164">
        <f t="shared" ca="1" si="333"/>
        <v>0</v>
      </c>
      <c r="U98" s="164">
        <f t="shared" ca="1" si="334"/>
        <v>0</v>
      </c>
      <c r="V98" s="164">
        <f t="shared" ca="1" si="335"/>
        <v>0</v>
      </c>
      <c r="W98" s="164">
        <f t="shared" ca="1" si="336"/>
        <v>0</v>
      </c>
      <c r="X98" s="164">
        <f t="shared" ca="1" si="337"/>
        <v>0</v>
      </c>
      <c r="Y98" s="164">
        <f t="shared" ca="1" si="338"/>
        <v>0</v>
      </c>
      <c r="Z98" s="164">
        <f t="shared" ca="1" si="339"/>
        <v>0</v>
      </c>
      <c r="AA98" s="164">
        <f t="shared" ca="1" si="340"/>
        <v>0</v>
      </c>
      <c r="AB98" s="164">
        <f t="shared" ca="1" si="341"/>
        <v>0</v>
      </c>
      <c r="AC98" s="164">
        <f t="shared" ca="1" si="342"/>
        <v>0</v>
      </c>
      <c r="AD98" s="164">
        <f t="shared" ca="1" si="343"/>
        <v>0</v>
      </c>
      <c r="AE98" s="164">
        <f t="shared" ca="1" si="344"/>
        <v>0</v>
      </c>
      <c r="AF98" s="164">
        <f t="shared" ca="1" si="345"/>
        <v>0</v>
      </c>
      <c r="AG98" s="164">
        <f t="shared" ca="1" si="346"/>
        <v>0</v>
      </c>
      <c r="AH98" s="164">
        <f t="shared" ca="1" si="347"/>
        <v>0</v>
      </c>
      <c r="AI98" s="164">
        <f t="shared" ca="1" si="348"/>
        <v>0</v>
      </c>
      <c r="AJ98" s="164">
        <f t="shared" ca="1" si="349"/>
        <v>0</v>
      </c>
      <c r="AK98" s="164">
        <f t="shared" ca="1" si="350"/>
        <v>0</v>
      </c>
      <c r="AL98" s="164">
        <f t="shared" ca="1" si="351"/>
        <v>0</v>
      </c>
      <c r="AM98" s="208"/>
      <c r="AN98" s="164">
        <f t="shared" si="352"/>
        <v>0</v>
      </c>
      <c r="AO98" s="164">
        <f t="shared" ca="1" si="353"/>
        <v>0</v>
      </c>
      <c r="AP98" s="164">
        <f t="shared" ca="1" si="354"/>
        <v>0</v>
      </c>
      <c r="AQ98" s="164">
        <f t="shared" ca="1" si="355"/>
        <v>0</v>
      </c>
      <c r="AR98" s="164">
        <f t="shared" ca="1" si="356"/>
        <v>0</v>
      </c>
      <c r="AS98" s="164">
        <f t="shared" ca="1" si="357"/>
        <v>0</v>
      </c>
      <c r="AT98" s="164">
        <f t="shared" ca="1" si="358"/>
        <v>0</v>
      </c>
      <c r="AU98" s="164">
        <f t="shared" ca="1" si="359"/>
        <v>0</v>
      </c>
      <c r="AV98" s="164">
        <f t="shared" ca="1" si="360"/>
        <v>0</v>
      </c>
      <c r="AW98" s="164">
        <f t="shared" ca="1" si="361"/>
        <v>0</v>
      </c>
      <c r="AX98" s="164">
        <f t="shared" ca="1" si="362"/>
        <v>0</v>
      </c>
      <c r="AY98" s="164">
        <f t="shared" ca="1" si="363"/>
        <v>0</v>
      </c>
      <c r="AZ98" s="164">
        <f t="shared" ca="1" si="364"/>
        <v>0</v>
      </c>
      <c r="BA98" s="164">
        <f t="shared" ca="1" si="365"/>
        <v>0</v>
      </c>
      <c r="BB98" s="164">
        <f t="shared" ca="1" si="366"/>
        <v>0</v>
      </c>
      <c r="BC98" s="164">
        <f t="shared" ca="1" si="367"/>
        <v>0</v>
      </c>
      <c r="BD98" s="164">
        <f t="shared" ca="1" si="368"/>
        <v>0</v>
      </c>
      <c r="BE98" s="164">
        <f t="shared" ca="1" si="369"/>
        <v>0</v>
      </c>
      <c r="BF98" s="164">
        <f t="shared" ca="1" si="370"/>
        <v>0</v>
      </c>
      <c r="BG98" s="164">
        <f t="shared" ca="1" si="371"/>
        <v>0</v>
      </c>
      <c r="BH98" s="164">
        <f t="shared" ca="1" si="372"/>
        <v>0</v>
      </c>
      <c r="BI98" s="164">
        <f t="shared" ca="1" si="373"/>
        <v>0</v>
      </c>
      <c r="BJ98" s="164">
        <f t="shared" ca="1" si="374"/>
        <v>0</v>
      </c>
      <c r="BK98" s="164">
        <f t="shared" ca="1" si="375"/>
        <v>0</v>
      </c>
      <c r="BL98" s="164">
        <f t="shared" ca="1" si="376"/>
        <v>0</v>
      </c>
      <c r="BM98" s="164">
        <f t="shared" ca="1" si="377"/>
        <v>0</v>
      </c>
      <c r="BN98" s="164">
        <f t="shared" ca="1" si="378"/>
        <v>0</v>
      </c>
      <c r="BO98" s="356" t="str">
        <f t="shared" ca="1" si="379"/>
        <v/>
      </c>
      <c r="BP98" s="355" t="str">
        <f t="shared" ca="1" si="380"/>
        <v/>
      </c>
      <c r="BQ98" s="355" t="str">
        <f t="shared" ca="1" si="381"/>
        <v/>
      </c>
      <c r="BR98" s="348">
        <f t="shared" ca="1" si="312"/>
        <v>0</v>
      </c>
      <c r="BS98" s="348">
        <f t="shared" ca="1" si="313"/>
        <v>0</v>
      </c>
      <c r="BT98" s="610">
        <f t="shared" ca="1" si="382"/>
        <v>0</v>
      </c>
      <c r="BU98" s="357">
        <f t="shared" ca="1" si="383"/>
        <v>0</v>
      </c>
      <c r="BV98" s="357">
        <f t="shared" si="384"/>
        <v>0</v>
      </c>
      <c r="BW98" s="357">
        <f t="shared" si="385"/>
        <v>0</v>
      </c>
      <c r="BX98" s="357">
        <f t="shared" ca="1" si="386"/>
        <v>0</v>
      </c>
      <c r="BY98" s="357">
        <f t="shared" ca="1" si="316"/>
        <v>0</v>
      </c>
      <c r="BZ98" s="357"/>
      <c r="CA98" s="357">
        <f t="shared" ca="1" si="314"/>
        <v>0</v>
      </c>
      <c r="CB98" s="357" t="str">
        <f t="shared" ca="1" si="387"/>
        <v/>
      </c>
      <c r="CC98" s="358" t="str">
        <f t="shared" ca="1" si="317"/>
        <v/>
      </c>
      <c r="CD98" s="358" t="str">
        <f t="shared" ca="1" si="318"/>
        <v/>
      </c>
      <c r="CE98" s="357" t="str">
        <f t="shared" ca="1" si="416"/>
        <v>,,,,,,,,,,,,,,,,,,,,,,,,,,,,,,,,,,,,,,</v>
      </c>
      <c r="CF98" s="154" t="str">
        <f t="shared" si="315"/>
        <v/>
      </c>
      <c r="CG98" s="154">
        <f t="shared" ca="1" si="319"/>
        <v>0</v>
      </c>
      <c r="CH98" s="154"/>
      <c r="CI98" s="154"/>
      <c r="CJ98" s="154"/>
      <c r="CK98" s="154"/>
      <c r="CL98" s="154"/>
      <c r="CM98" s="154"/>
      <c r="CN98" t="s">
        <v>784</v>
      </c>
      <c r="CO98" s="169"/>
      <c r="CP98" s="169"/>
      <c r="CQ98" s="169"/>
      <c r="CR98" s="169"/>
      <c r="CS98" s="169"/>
      <c r="CT98" s="169"/>
      <c r="CU98" s="169"/>
      <c r="CV98" s="164" t="str">
        <f t="shared" ca="1" si="322"/>
        <v/>
      </c>
      <c r="CW98" s="164" t="str">
        <f t="shared" ca="1" si="322"/>
        <v/>
      </c>
      <c r="CX98" s="164" t="str">
        <f t="shared" ca="1" si="322"/>
        <v/>
      </c>
      <c r="CY98" s="164" t="str">
        <f t="shared" ca="1" si="322"/>
        <v/>
      </c>
      <c r="CZ98" s="164" t="str">
        <f t="shared" ca="1" si="322"/>
        <v/>
      </c>
      <c r="DA98" s="164" t="str">
        <f t="shared" ca="1" si="322"/>
        <v/>
      </c>
      <c r="DB98" s="164" t="str">
        <f t="shared" ca="1" si="322"/>
        <v/>
      </c>
      <c r="DC98" s="164" t="str">
        <f t="shared" ca="1" si="322"/>
        <v/>
      </c>
      <c r="DD98" s="164" t="str">
        <f t="shared" ca="1" si="322"/>
        <v/>
      </c>
      <c r="DE98" s="164" t="str">
        <f t="shared" ca="1" si="322"/>
        <v/>
      </c>
      <c r="DF98" s="164" t="str">
        <f t="shared" ca="1" si="323"/>
        <v/>
      </c>
      <c r="DG98" s="164" t="str">
        <f t="shared" ca="1" si="323"/>
        <v/>
      </c>
      <c r="DH98" s="164" t="str">
        <f t="shared" ca="1" si="323"/>
        <v/>
      </c>
      <c r="DI98" s="164" t="str">
        <f t="shared" ca="1" si="323"/>
        <v/>
      </c>
      <c r="DJ98" s="164" t="str">
        <f t="shared" ca="1" si="323"/>
        <v/>
      </c>
      <c r="DK98" s="164" t="str">
        <f t="shared" ca="1" si="323"/>
        <v/>
      </c>
      <c r="DL98" s="164" t="str">
        <f t="shared" ca="1" si="323"/>
        <v/>
      </c>
      <c r="DM98" s="164" t="str">
        <f t="shared" ca="1" si="323"/>
        <v/>
      </c>
      <c r="DN98" s="164" t="str">
        <f t="shared" ca="1" si="323"/>
        <v/>
      </c>
      <c r="DO98" s="164" t="str">
        <f t="shared" ca="1" si="323"/>
        <v/>
      </c>
      <c r="DP98" s="164" t="str">
        <f t="shared" ca="1" si="323"/>
        <v/>
      </c>
      <c r="DQ98" s="164" t="str">
        <f t="shared" ca="1" si="323"/>
        <v/>
      </c>
      <c r="DR98" s="208"/>
      <c r="DS98" s="164" t="str">
        <f t="shared" ca="1" si="388"/>
        <v/>
      </c>
      <c r="DT98" s="164" t="str">
        <f t="shared" ca="1" si="389"/>
        <v/>
      </c>
      <c r="DU98" s="164" t="str">
        <f t="shared" ca="1" si="390"/>
        <v/>
      </c>
      <c r="DV98" s="164" t="str">
        <f t="shared" ca="1" si="391"/>
        <v/>
      </c>
      <c r="DW98" s="164" t="str">
        <f t="shared" ca="1" si="392"/>
        <v/>
      </c>
      <c r="DX98" s="164" t="str">
        <f t="shared" ca="1" si="393"/>
        <v/>
      </c>
      <c r="DY98" s="164" t="str">
        <f t="shared" ca="1" si="394"/>
        <v/>
      </c>
      <c r="DZ98" s="164" t="str">
        <f t="shared" ca="1" si="395"/>
        <v/>
      </c>
      <c r="EA98" s="164" t="str">
        <f t="shared" ca="1" si="396"/>
        <v/>
      </c>
      <c r="EB98" s="164" t="str">
        <f t="shared" ca="1" si="397"/>
        <v/>
      </c>
      <c r="EC98" s="164" t="str">
        <f t="shared" ca="1" si="398"/>
        <v/>
      </c>
      <c r="ED98" s="164" t="str">
        <f t="shared" ca="1" si="399"/>
        <v/>
      </c>
      <c r="EE98" s="164" t="str">
        <f t="shared" ca="1" si="400"/>
        <v/>
      </c>
      <c r="EF98" s="164" t="str">
        <f t="shared" ca="1" si="401"/>
        <v/>
      </c>
      <c r="EG98" s="164" t="str">
        <f t="shared" ca="1" si="402"/>
        <v/>
      </c>
      <c r="EH98" s="164" t="str">
        <f t="shared" ca="1" si="403"/>
        <v/>
      </c>
      <c r="EI98" s="164" t="str">
        <f t="shared" ca="1" si="404"/>
        <v/>
      </c>
      <c r="EJ98" s="164" t="str">
        <f t="shared" ca="1" si="405"/>
        <v/>
      </c>
      <c r="EK98" s="164" t="str">
        <f t="shared" ca="1" si="406"/>
        <v/>
      </c>
      <c r="EL98" s="164" t="str">
        <f t="shared" ca="1" si="407"/>
        <v/>
      </c>
      <c r="EM98" s="164" t="str">
        <f t="shared" ca="1" si="408"/>
        <v/>
      </c>
      <c r="EN98" s="164" t="str">
        <f t="shared" ca="1" si="409"/>
        <v/>
      </c>
      <c r="EO98" s="164" t="str">
        <f t="shared" ca="1" si="410"/>
        <v/>
      </c>
      <c r="EP98" s="164" t="str">
        <f t="shared" ca="1" si="411"/>
        <v/>
      </c>
      <c r="EQ98" s="164" t="str">
        <f t="shared" ca="1" si="412"/>
        <v/>
      </c>
      <c r="ER98" s="164" t="str">
        <f t="shared" ca="1" si="413"/>
        <v/>
      </c>
      <c r="ES98" s="164" t="str">
        <f t="shared" ca="1" si="414"/>
        <v/>
      </c>
    </row>
    <row r="99" spans="1:149" x14ac:dyDescent="0.2">
      <c r="A99" s="89" t="str">
        <f t="shared" ca="1" si="415"/>
        <v/>
      </c>
      <c r="B99" s="317" t="str">
        <f t="shared" ca="1" si="324"/>
        <v/>
      </c>
      <c r="C99" s="609" t="str">
        <f t="shared" ca="1" si="325"/>
        <v/>
      </c>
      <c r="D99" s="1956" t="str">
        <f t="shared" ca="1" si="326"/>
        <v/>
      </c>
      <c r="E99" s="1956"/>
      <c r="F99" s="960"/>
      <c r="G99" s="485" t="str">
        <f t="shared" ca="1" si="327"/>
        <v/>
      </c>
      <c r="H99" s="983"/>
      <c r="I99" s="486"/>
      <c r="J99" s="326"/>
      <c r="K99" s="1886" t="str">
        <f t="shared" ca="1" si="328"/>
        <v/>
      </c>
      <c r="L99" s="1888"/>
      <c r="M99" s="296" t="str">
        <f t="shared" ca="1" si="307"/>
        <v/>
      </c>
      <c r="N99" s="1322"/>
      <c r="O99" s="1319"/>
      <c r="P99" s="957" t="str">
        <f t="shared" ca="1" si="329"/>
        <v/>
      </c>
      <c r="Q99" s="164">
        <f t="shared" si="330"/>
        <v>0</v>
      </c>
      <c r="R99" s="164">
        <f t="shared" ca="1" si="331"/>
        <v>0</v>
      </c>
      <c r="S99" s="164">
        <f t="shared" ca="1" si="332"/>
        <v>0</v>
      </c>
      <c r="T99" s="164">
        <f t="shared" ca="1" si="333"/>
        <v>0</v>
      </c>
      <c r="U99" s="164">
        <f t="shared" ca="1" si="334"/>
        <v>0</v>
      </c>
      <c r="V99" s="164">
        <f t="shared" ca="1" si="335"/>
        <v>0</v>
      </c>
      <c r="W99" s="164">
        <f t="shared" ca="1" si="336"/>
        <v>0</v>
      </c>
      <c r="X99" s="164">
        <f t="shared" ca="1" si="337"/>
        <v>0</v>
      </c>
      <c r="Y99" s="164">
        <f t="shared" ca="1" si="338"/>
        <v>0</v>
      </c>
      <c r="Z99" s="164">
        <f t="shared" ca="1" si="339"/>
        <v>0</v>
      </c>
      <c r="AA99" s="164">
        <f t="shared" ca="1" si="340"/>
        <v>0</v>
      </c>
      <c r="AB99" s="164">
        <f t="shared" ca="1" si="341"/>
        <v>0</v>
      </c>
      <c r="AC99" s="164">
        <f t="shared" ca="1" si="342"/>
        <v>0</v>
      </c>
      <c r="AD99" s="164">
        <f t="shared" ca="1" si="343"/>
        <v>0</v>
      </c>
      <c r="AE99" s="164">
        <f t="shared" ca="1" si="344"/>
        <v>0</v>
      </c>
      <c r="AF99" s="164">
        <f t="shared" ca="1" si="345"/>
        <v>0</v>
      </c>
      <c r="AG99" s="164">
        <f t="shared" ca="1" si="346"/>
        <v>0</v>
      </c>
      <c r="AH99" s="164">
        <f t="shared" ca="1" si="347"/>
        <v>0</v>
      </c>
      <c r="AI99" s="164">
        <f t="shared" ca="1" si="348"/>
        <v>0</v>
      </c>
      <c r="AJ99" s="164">
        <f t="shared" ca="1" si="349"/>
        <v>0</v>
      </c>
      <c r="AK99" s="164">
        <f t="shared" ca="1" si="350"/>
        <v>0</v>
      </c>
      <c r="AL99" s="164">
        <f t="shared" ca="1" si="351"/>
        <v>0</v>
      </c>
      <c r="AM99" s="208"/>
      <c r="AN99" s="164">
        <f t="shared" si="352"/>
        <v>0</v>
      </c>
      <c r="AO99" s="164">
        <f t="shared" ca="1" si="353"/>
        <v>0</v>
      </c>
      <c r="AP99" s="164">
        <f t="shared" ca="1" si="354"/>
        <v>0</v>
      </c>
      <c r="AQ99" s="164">
        <f t="shared" ca="1" si="355"/>
        <v>0</v>
      </c>
      <c r="AR99" s="164">
        <f t="shared" ca="1" si="356"/>
        <v>0</v>
      </c>
      <c r="AS99" s="164">
        <f t="shared" ca="1" si="357"/>
        <v>0</v>
      </c>
      <c r="AT99" s="164">
        <f t="shared" ca="1" si="358"/>
        <v>0</v>
      </c>
      <c r="AU99" s="164">
        <f t="shared" ca="1" si="359"/>
        <v>0</v>
      </c>
      <c r="AV99" s="164">
        <f t="shared" ca="1" si="360"/>
        <v>0</v>
      </c>
      <c r="AW99" s="164">
        <f t="shared" ca="1" si="361"/>
        <v>0</v>
      </c>
      <c r="AX99" s="164">
        <f t="shared" ca="1" si="362"/>
        <v>0</v>
      </c>
      <c r="AY99" s="164">
        <f t="shared" ca="1" si="363"/>
        <v>0</v>
      </c>
      <c r="AZ99" s="164">
        <f t="shared" ca="1" si="364"/>
        <v>0</v>
      </c>
      <c r="BA99" s="164">
        <f t="shared" ca="1" si="365"/>
        <v>0</v>
      </c>
      <c r="BB99" s="164">
        <f t="shared" ca="1" si="366"/>
        <v>0</v>
      </c>
      <c r="BC99" s="164">
        <f t="shared" ca="1" si="367"/>
        <v>0</v>
      </c>
      <c r="BD99" s="164">
        <f t="shared" ca="1" si="368"/>
        <v>0</v>
      </c>
      <c r="BE99" s="164">
        <f t="shared" ca="1" si="369"/>
        <v>0</v>
      </c>
      <c r="BF99" s="164">
        <f t="shared" ca="1" si="370"/>
        <v>0</v>
      </c>
      <c r="BG99" s="164">
        <f t="shared" ca="1" si="371"/>
        <v>0</v>
      </c>
      <c r="BH99" s="164">
        <f t="shared" ca="1" si="372"/>
        <v>0</v>
      </c>
      <c r="BI99" s="164">
        <f t="shared" ca="1" si="373"/>
        <v>0</v>
      </c>
      <c r="BJ99" s="164">
        <f t="shared" ca="1" si="374"/>
        <v>0</v>
      </c>
      <c r="BK99" s="164">
        <f t="shared" ca="1" si="375"/>
        <v>0</v>
      </c>
      <c r="BL99" s="164">
        <f t="shared" ca="1" si="376"/>
        <v>0</v>
      </c>
      <c r="BM99" s="164">
        <f t="shared" ca="1" si="377"/>
        <v>0</v>
      </c>
      <c r="BN99" s="164">
        <f t="shared" ca="1" si="378"/>
        <v>0</v>
      </c>
      <c r="BO99" s="356" t="str">
        <f t="shared" ca="1" si="379"/>
        <v/>
      </c>
      <c r="BP99" s="355" t="str">
        <f t="shared" ca="1" si="380"/>
        <v/>
      </c>
      <c r="BQ99" s="355" t="str">
        <f t="shared" ca="1" si="381"/>
        <v/>
      </c>
      <c r="BR99" s="348">
        <f t="shared" ca="1" si="312"/>
        <v>0</v>
      </c>
      <c r="BS99" s="348">
        <f t="shared" ca="1" si="313"/>
        <v>0</v>
      </c>
      <c r="BT99" s="610">
        <f t="shared" ca="1" si="382"/>
        <v>0</v>
      </c>
      <c r="BU99" s="357">
        <f t="shared" ca="1" si="383"/>
        <v>0</v>
      </c>
      <c r="BV99" s="357">
        <f t="shared" si="384"/>
        <v>0</v>
      </c>
      <c r="BW99" s="357">
        <f t="shared" si="385"/>
        <v>0</v>
      </c>
      <c r="BX99" s="357">
        <f t="shared" ca="1" si="386"/>
        <v>0</v>
      </c>
      <c r="BY99" s="357">
        <f t="shared" ca="1" si="316"/>
        <v>0</v>
      </c>
      <c r="BZ99" s="357"/>
      <c r="CA99" s="357">
        <f t="shared" ca="1" si="314"/>
        <v>0</v>
      </c>
      <c r="CB99" s="357" t="str">
        <f t="shared" ca="1" si="387"/>
        <v/>
      </c>
      <c r="CC99" s="358" t="str">
        <f t="shared" ca="1" si="317"/>
        <v/>
      </c>
      <c r="CD99" s="358" t="str">
        <f t="shared" ca="1" si="318"/>
        <v/>
      </c>
      <c r="CE99" s="357" t="str">
        <f t="shared" ca="1" si="416"/>
        <v>,,,,,,,,,,,,,,,,,,,,,,,,,,,,,,,,,,,,,,,</v>
      </c>
      <c r="CF99" s="154" t="str">
        <f t="shared" si="315"/>
        <v/>
      </c>
      <c r="CG99" s="154">
        <f t="shared" ca="1" si="319"/>
        <v>0</v>
      </c>
      <c r="CH99" s="154"/>
      <c r="CI99" s="154"/>
      <c r="CJ99" s="154"/>
      <c r="CK99" s="154"/>
      <c r="CL99" s="154"/>
      <c r="CM99" s="154"/>
      <c r="CN99" t="s">
        <v>784</v>
      </c>
      <c r="CO99" s="169"/>
      <c r="CP99" s="169"/>
      <c r="CQ99" s="169"/>
      <c r="CR99" s="169"/>
      <c r="CS99" s="169"/>
      <c r="CT99" s="169"/>
      <c r="CU99" s="169"/>
      <c r="CV99" s="164" t="str">
        <f t="shared" ca="1" si="322"/>
        <v/>
      </c>
      <c r="CW99" s="164" t="str">
        <f t="shared" ca="1" si="322"/>
        <v/>
      </c>
      <c r="CX99" s="164" t="str">
        <f t="shared" ca="1" si="322"/>
        <v/>
      </c>
      <c r="CY99" s="164" t="str">
        <f t="shared" ca="1" si="322"/>
        <v/>
      </c>
      <c r="CZ99" s="164" t="str">
        <f t="shared" ca="1" si="322"/>
        <v/>
      </c>
      <c r="DA99" s="164" t="str">
        <f t="shared" ca="1" si="322"/>
        <v/>
      </c>
      <c r="DB99" s="164" t="str">
        <f t="shared" ca="1" si="322"/>
        <v/>
      </c>
      <c r="DC99" s="164" t="str">
        <f t="shared" ca="1" si="322"/>
        <v/>
      </c>
      <c r="DD99" s="164" t="str">
        <f t="shared" ca="1" si="322"/>
        <v/>
      </c>
      <c r="DE99" s="164" t="str">
        <f t="shared" ca="1" si="322"/>
        <v/>
      </c>
      <c r="DF99" s="164" t="str">
        <f t="shared" ca="1" si="323"/>
        <v/>
      </c>
      <c r="DG99" s="164" t="str">
        <f t="shared" ca="1" si="323"/>
        <v/>
      </c>
      <c r="DH99" s="164" t="str">
        <f t="shared" ca="1" si="323"/>
        <v/>
      </c>
      <c r="DI99" s="164" t="str">
        <f t="shared" ca="1" si="323"/>
        <v/>
      </c>
      <c r="DJ99" s="164" t="str">
        <f t="shared" ca="1" si="323"/>
        <v/>
      </c>
      <c r="DK99" s="164" t="str">
        <f t="shared" ca="1" si="323"/>
        <v/>
      </c>
      <c r="DL99" s="164" t="str">
        <f t="shared" ca="1" si="323"/>
        <v/>
      </c>
      <c r="DM99" s="164" t="str">
        <f t="shared" ca="1" si="323"/>
        <v/>
      </c>
      <c r="DN99" s="164" t="str">
        <f t="shared" ca="1" si="323"/>
        <v/>
      </c>
      <c r="DO99" s="164" t="str">
        <f t="shared" ca="1" si="323"/>
        <v/>
      </c>
      <c r="DP99" s="164" t="str">
        <f t="shared" ca="1" si="323"/>
        <v/>
      </c>
      <c r="DQ99" s="164" t="str">
        <f t="shared" ca="1" si="323"/>
        <v/>
      </c>
      <c r="DR99" s="208"/>
      <c r="DS99" s="164" t="str">
        <f t="shared" ca="1" si="388"/>
        <v/>
      </c>
      <c r="DT99" s="164" t="str">
        <f t="shared" ca="1" si="389"/>
        <v/>
      </c>
      <c r="DU99" s="164" t="str">
        <f t="shared" ca="1" si="390"/>
        <v/>
      </c>
      <c r="DV99" s="164" t="str">
        <f t="shared" ca="1" si="391"/>
        <v/>
      </c>
      <c r="DW99" s="164" t="str">
        <f t="shared" ca="1" si="392"/>
        <v/>
      </c>
      <c r="DX99" s="164" t="str">
        <f t="shared" ca="1" si="393"/>
        <v/>
      </c>
      <c r="DY99" s="164" t="str">
        <f t="shared" ca="1" si="394"/>
        <v/>
      </c>
      <c r="DZ99" s="164" t="str">
        <f t="shared" ca="1" si="395"/>
        <v/>
      </c>
      <c r="EA99" s="164" t="str">
        <f t="shared" ca="1" si="396"/>
        <v/>
      </c>
      <c r="EB99" s="164" t="str">
        <f t="shared" ca="1" si="397"/>
        <v/>
      </c>
      <c r="EC99" s="164" t="str">
        <f t="shared" ca="1" si="398"/>
        <v/>
      </c>
      <c r="ED99" s="164" t="str">
        <f t="shared" ca="1" si="399"/>
        <v/>
      </c>
      <c r="EE99" s="164" t="str">
        <f t="shared" ca="1" si="400"/>
        <v/>
      </c>
      <c r="EF99" s="164" t="str">
        <f t="shared" ca="1" si="401"/>
        <v/>
      </c>
      <c r="EG99" s="164" t="str">
        <f t="shared" ca="1" si="402"/>
        <v/>
      </c>
      <c r="EH99" s="164" t="str">
        <f t="shared" ca="1" si="403"/>
        <v/>
      </c>
      <c r="EI99" s="164" t="str">
        <f t="shared" ca="1" si="404"/>
        <v/>
      </c>
      <c r="EJ99" s="164" t="str">
        <f t="shared" ca="1" si="405"/>
        <v/>
      </c>
      <c r="EK99" s="164" t="str">
        <f t="shared" ca="1" si="406"/>
        <v/>
      </c>
      <c r="EL99" s="164" t="str">
        <f t="shared" ca="1" si="407"/>
        <v/>
      </c>
      <c r="EM99" s="164" t="str">
        <f t="shared" ca="1" si="408"/>
        <v/>
      </c>
      <c r="EN99" s="164" t="str">
        <f t="shared" ca="1" si="409"/>
        <v/>
      </c>
      <c r="EO99" s="164" t="str">
        <f t="shared" ca="1" si="410"/>
        <v/>
      </c>
      <c r="EP99" s="164" t="str">
        <f t="shared" ca="1" si="411"/>
        <v/>
      </c>
      <c r="EQ99" s="164" t="str">
        <f t="shared" ca="1" si="412"/>
        <v/>
      </c>
      <c r="ER99" s="164" t="str">
        <f t="shared" ca="1" si="413"/>
        <v/>
      </c>
      <c r="ES99" s="164" t="str">
        <f t="shared" ca="1" si="414"/>
        <v/>
      </c>
    </row>
    <row r="100" spans="1:149" x14ac:dyDescent="0.2">
      <c r="A100" s="89" t="str">
        <f t="shared" ca="1" si="415"/>
        <v/>
      </c>
      <c r="B100" s="317" t="str">
        <f t="shared" ca="1" si="324"/>
        <v/>
      </c>
      <c r="C100" s="609" t="str">
        <f t="shared" ca="1" si="325"/>
        <v/>
      </c>
      <c r="D100" s="1956" t="str">
        <f t="shared" ca="1" si="326"/>
        <v/>
      </c>
      <c r="E100" s="1956"/>
      <c r="F100" s="960"/>
      <c r="G100" s="485" t="str">
        <f t="shared" ca="1" si="327"/>
        <v/>
      </c>
      <c r="H100" s="983"/>
      <c r="I100" s="486"/>
      <c r="J100" s="326"/>
      <c r="K100" s="1886" t="str">
        <f t="shared" ca="1" si="328"/>
        <v/>
      </c>
      <c r="L100" s="1888"/>
      <c r="M100" s="296" t="str">
        <f t="shared" ca="1" si="307"/>
        <v/>
      </c>
      <c r="N100" s="1322"/>
      <c r="O100" s="1319"/>
      <c r="P100" s="957" t="str">
        <f t="shared" ca="1" si="329"/>
        <v/>
      </c>
      <c r="Q100" s="164">
        <f t="shared" si="330"/>
        <v>0</v>
      </c>
      <c r="R100" s="164">
        <f t="shared" ca="1" si="331"/>
        <v>0</v>
      </c>
      <c r="S100" s="164">
        <f t="shared" ca="1" si="332"/>
        <v>0</v>
      </c>
      <c r="T100" s="164">
        <f t="shared" ca="1" si="333"/>
        <v>0</v>
      </c>
      <c r="U100" s="164">
        <f t="shared" ca="1" si="334"/>
        <v>0</v>
      </c>
      <c r="V100" s="164">
        <f t="shared" ca="1" si="335"/>
        <v>0</v>
      </c>
      <c r="W100" s="164">
        <f t="shared" ca="1" si="336"/>
        <v>0</v>
      </c>
      <c r="X100" s="164">
        <f t="shared" ca="1" si="337"/>
        <v>0</v>
      </c>
      <c r="Y100" s="164">
        <f t="shared" ca="1" si="338"/>
        <v>0</v>
      </c>
      <c r="Z100" s="164">
        <f t="shared" ca="1" si="339"/>
        <v>0</v>
      </c>
      <c r="AA100" s="164">
        <f t="shared" ca="1" si="340"/>
        <v>0</v>
      </c>
      <c r="AB100" s="164">
        <f t="shared" ca="1" si="341"/>
        <v>0</v>
      </c>
      <c r="AC100" s="164">
        <f t="shared" ca="1" si="342"/>
        <v>0</v>
      </c>
      <c r="AD100" s="164">
        <f t="shared" ca="1" si="343"/>
        <v>0</v>
      </c>
      <c r="AE100" s="164">
        <f t="shared" ca="1" si="344"/>
        <v>0</v>
      </c>
      <c r="AF100" s="164">
        <f t="shared" ca="1" si="345"/>
        <v>0</v>
      </c>
      <c r="AG100" s="164">
        <f t="shared" ca="1" si="346"/>
        <v>0</v>
      </c>
      <c r="AH100" s="164">
        <f t="shared" ca="1" si="347"/>
        <v>0</v>
      </c>
      <c r="AI100" s="164">
        <f t="shared" ca="1" si="348"/>
        <v>0</v>
      </c>
      <c r="AJ100" s="164">
        <f t="shared" ca="1" si="349"/>
        <v>0</v>
      </c>
      <c r="AK100" s="164">
        <f t="shared" ca="1" si="350"/>
        <v>0</v>
      </c>
      <c r="AL100" s="164">
        <f t="shared" ca="1" si="351"/>
        <v>0</v>
      </c>
      <c r="AM100" s="208"/>
      <c r="AN100" s="164">
        <f t="shared" si="352"/>
        <v>0</v>
      </c>
      <c r="AO100" s="164">
        <f t="shared" ca="1" si="353"/>
        <v>0</v>
      </c>
      <c r="AP100" s="164">
        <f t="shared" ca="1" si="354"/>
        <v>0</v>
      </c>
      <c r="AQ100" s="164">
        <f t="shared" ca="1" si="355"/>
        <v>0</v>
      </c>
      <c r="AR100" s="164">
        <f t="shared" ca="1" si="356"/>
        <v>0</v>
      </c>
      <c r="AS100" s="164">
        <f t="shared" ca="1" si="357"/>
        <v>0</v>
      </c>
      <c r="AT100" s="164">
        <f t="shared" ca="1" si="358"/>
        <v>0</v>
      </c>
      <c r="AU100" s="164">
        <f t="shared" ca="1" si="359"/>
        <v>0</v>
      </c>
      <c r="AV100" s="164">
        <f t="shared" ca="1" si="360"/>
        <v>0</v>
      </c>
      <c r="AW100" s="164">
        <f t="shared" ca="1" si="361"/>
        <v>0</v>
      </c>
      <c r="AX100" s="164">
        <f t="shared" ca="1" si="362"/>
        <v>0</v>
      </c>
      <c r="AY100" s="164">
        <f t="shared" ca="1" si="363"/>
        <v>0</v>
      </c>
      <c r="AZ100" s="164">
        <f t="shared" ca="1" si="364"/>
        <v>0</v>
      </c>
      <c r="BA100" s="164">
        <f t="shared" ca="1" si="365"/>
        <v>0</v>
      </c>
      <c r="BB100" s="164">
        <f t="shared" ca="1" si="366"/>
        <v>0</v>
      </c>
      <c r="BC100" s="164">
        <f t="shared" ca="1" si="367"/>
        <v>0</v>
      </c>
      <c r="BD100" s="164">
        <f t="shared" ca="1" si="368"/>
        <v>0</v>
      </c>
      <c r="BE100" s="164">
        <f t="shared" ca="1" si="369"/>
        <v>0</v>
      </c>
      <c r="BF100" s="164">
        <f t="shared" ca="1" si="370"/>
        <v>0</v>
      </c>
      <c r="BG100" s="164">
        <f t="shared" ca="1" si="371"/>
        <v>0</v>
      </c>
      <c r="BH100" s="164">
        <f t="shared" ca="1" si="372"/>
        <v>0</v>
      </c>
      <c r="BI100" s="164">
        <f t="shared" ca="1" si="373"/>
        <v>0</v>
      </c>
      <c r="BJ100" s="164">
        <f t="shared" ca="1" si="374"/>
        <v>0</v>
      </c>
      <c r="BK100" s="164">
        <f t="shared" ca="1" si="375"/>
        <v>0</v>
      </c>
      <c r="BL100" s="164">
        <f t="shared" ca="1" si="376"/>
        <v>0</v>
      </c>
      <c r="BM100" s="164">
        <f t="shared" ca="1" si="377"/>
        <v>0</v>
      </c>
      <c r="BN100" s="164">
        <f t="shared" ca="1" si="378"/>
        <v>0</v>
      </c>
      <c r="BO100" s="356" t="str">
        <f t="shared" ca="1" si="379"/>
        <v/>
      </c>
      <c r="BP100" s="355" t="str">
        <f t="shared" ca="1" si="380"/>
        <v/>
      </c>
      <c r="BQ100" s="355" t="str">
        <f t="shared" ca="1" si="381"/>
        <v/>
      </c>
      <c r="BR100" s="348">
        <f t="shared" ca="1" si="312"/>
        <v>0</v>
      </c>
      <c r="BS100" s="348">
        <f t="shared" ca="1" si="313"/>
        <v>0</v>
      </c>
      <c r="BT100" s="610">
        <f t="shared" ca="1" si="382"/>
        <v>0</v>
      </c>
      <c r="BU100" s="357">
        <f t="shared" ca="1" si="383"/>
        <v>0</v>
      </c>
      <c r="BV100" s="357">
        <f t="shared" si="384"/>
        <v>0</v>
      </c>
      <c r="BW100" s="357">
        <f t="shared" si="385"/>
        <v>0</v>
      </c>
      <c r="BX100" s="357">
        <f t="shared" ca="1" si="386"/>
        <v>0</v>
      </c>
      <c r="BY100" s="357">
        <f t="shared" ca="1" si="316"/>
        <v>0</v>
      </c>
      <c r="BZ100" s="357"/>
      <c r="CA100" s="357">
        <f t="shared" ca="1" si="314"/>
        <v>0</v>
      </c>
      <c r="CB100" s="357" t="str">
        <f t="shared" ca="1" si="387"/>
        <v/>
      </c>
      <c r="CC100" s="358" t="str">
        <f t="shared" ca="1" si="317"/>
        <v/>
      </c>
      <c r="CD100" s="358" t="str">
        <f t="shared" ca="1" si="318"/>
        <v/>
      </c>
      <c r="CE100" s="357" t="str">
        <f t="shared" ca="1" si="416"/>
        <v>,,,,,,,,,,,,,,,,,,,,,,,,,,,,,,,,,,,,,,,,</v>
      </c>
      <c r="CF100" s="154" t="str">
        <f t="shared" si="315"/>
        <v/>
      </c>
      <c r="CG100" s="154">
        <f t="shared" ca="1" si="319"/>
        <v>0</v>
      </c>
      <c r="CH100" s="154"/>
      <c r="CI100" s="154"/>
      <c r="CJ100" s="154"/>
      <c r="CK100" s="154"/>
      <c r="CL100" s="154"/>
      <c r="CM100" s="154"/>
      <c r="CN100" t="s">
        <v>784</v>
      </c>
      <c r="CO100" s="169"/>
      <c r="CP100" s="169"/>
      <c r="CQ100" s="169"/>
      <c r="CR100" s="169"/>
      <c r="CS100" s="169"/>
      <c r="CT100" s="169"/>
      <c r="CU100" s="169"/>
      <c r="CV100" s="164" t="str">
        <f t="shared" ca="1" si="322"/>
        <v/>
      </c>
      <c r="CW100" s="164" t="str">
        <f t="shared" ca="1" si="322"/>
        <v/>
      </c>
      <c r="CX100" s="164" t="str">
        <f t="shared" ca="1" si="322"/>
        <v/>
      </c>
      <c r="CY100" s="164" t="str">
        <f t="shared" ca="1" si="322"/>
        <v/>
      </c>
      <c r="CZ100" s="164" t="str">
        <f t="shared" ca="1" si="322"/>
        <v/>
      </c>
      <c r="DA100" s="164" t="str">
        <f t="shared" ca="1" si="322"/>
        <v/>
      </c>
      <c r="DB100" s="164" t="str">
        <f t="shared" ca="1" si="322"/>
        <v/>
      </c>
      <c r="DC100" s="164" t="str">
        <f t="shared" ca="1" si="322"/>
        <v/>
      </c>
      <c r="DD100" s="164" t="str">
        <f t="shared" ca="1" si="322"/>
        <v/>
      </c>
      <c r="DE100" s="164" t="str">
        <f t="shared" ca="1" si="322"/>
        <v/>
      </c>
      <c r="DF100" s="164" t="str">
        <f t="shared" ca="1" si="323"/>
        <v/>
      </c>
      <c r="DG100" s="164" t="str">
        <f t="shared" ca="1" si="323"/>
        <v/>
      </c>
      <c r="DH100" s="164" t="str">
        <f t="shared" ca="1" si="323"/>
        <v/>
      </c>
      <c r="DI100" s="164" t="str">
        <f t="shared" ca="1" si="323"/>
        <v/>
      </c>
      <c r="DJ100" s="164" t="str">
        <f t="shared" ca="1" si="323"/>
        <v/>
      </c>
      <c r="DK100" s="164" t="str">
        <f t="shared" ca="1" si="323"/>
        <v/>
      </c>
      <c r="DL100" s="164" t="str">
        <f t="shared" ca="1" si="323"/>
        <v/>
      </c>
      <c r="DM100" s="164" t="str">
        <f t="shared" ca="1" si="323"/>
        <v/>
      </c>
      <c r="DN100" s="164" t="str">
        <f t="shared" ca="1" si="323"/>
        <v/>
      </c>
      <c r="DO100" s="164" t="str">
        <f t="shared" ca="1" si="323"/>
        <v/>
      </c>
      <c r="DP100" s="164" t="str">
        <f t="shared" ca="1" si="323"/>
        <v/>
      </c>
      <c r="DQ100" s="164" t="str">
        <f t="shared" ca="1" si="323"/>
        <v/>
      </c>
      <c r="DR100" s="208"/>
      <c r="DS100" s="164" t="str">
        <f t="shared" ca="1" si="388"/>
        <v/>
      </c>
      <c r="DT100" s="164" t="str">
        <f t="shared" ca="1" si="389"/>
        <v/>
      </c>
      <c r="DU100" s="164" t="str">
        <f t="shared" ca="1" si="390"/>
        <v/>
      </c>
      <c r="DV100" s="164" t="str">
        <f t="shared" ca="1" si="391"/>
        <v/>
      </c>
      <c r="DW100" s="164" t="str">
        <f t="shared" ca="1" si="392"/>
        <v/>
      </c>
      <c r="DX100" s="164" t="str">
        <f t="shared" ca="1" si="393"/>
        <v/>
      </c>
      <c r="DY100" s="164" t="str">
        <f t="shared" ca="1" si="394"/>
        <v/>
      </c>
      <c r="DZ100" s="164" t="str">
        <f t="shared" ca="1" si="395"/>
        <v/>
      </c>
      <c r="EA100" s="164" t="str">
        <f t="shared" ca="1" si="396"/>
        <v/>
      </c>
      <c r="EB100" s="164" t="str">
        <f t="shared" ca="1" si="397"/>
        <v/>
      </c>
      <c r="EC100" s="164" t="str">
        <f t="shared" ca="1" si="398"/>
        <v/>
      </c>
      <c r="ED100" s="164" t="str">
        <f t="shared" ca="1" si="399"/>
        <v/>
      </c>
      <c r="EE100" s="164" t="str">
        <f t="shared" ca="1" si="400"/>
        <v/>
      </c>
      <c r="EF100" s="164" t="str">
        <f t="shared" ca="1" si="401"/>
        <v/>
      </c>
      <c r="EG100" s="164" t="str">
        <f t="shared" ca="1" si="402"/>
        <v/>
      </c>
      <c r="EH100" s="164" t="str">
        <f t="shared" ca="1" si="403"/>
        <v/>
      </c>
      <c r="EI100" s="164" t="str">
        <f t="shared" ca="1" si="404"/>
        <v/>
      </c>
      <c r="EJ100" s="164" t="str">
        <f t="shared" ca="1" si="405"/>
        <v/>
      </c>
      <c r="EK100" s="164" t="str">
        <f t="shared" ca="1" si="406"/>
        <v/>
      </c>
      <c r="EL100" s="164" t="str">
        <f t="shared" ca="1" si="407"/>
        <v/>
      </c>
      <c r="EM100" s="164" t="str">
        <f t="shared" ca="1" si="408"/>
        <v/>
      </c>
      <c r="EN100" s="164" t="str">
        <f t="shared" ca="1" si="409"/>
        <v/>
      </c>
      <c r="EO100" s="164" t="str">
        <f t="shared" ca="1" si="410"/>
        <v/>
      </c>
      <c r="EP100" s="164" t="str">
        <f t="shared" ca="1" si="411"/>
        <v/>
      </c>
      <c r="EQ100" s="164" t="str">
        <f t="shared" ca="1" si="412"/>
        <v/>
      </c>
      <c r="ER100" s="164" t="str">
        <f t="shared" ca="1" si="413"/>
        <v/>
      </c>
      <c r="ES100" s="164" t="str">
        <f t="shared" ca="1" si="414"/>
        <v/>
      </c>
    </row>
    <row r="101" spans="1:149" x14ac:dyDescent="0.2">
      <c r="A101" s="89" t="str">
        <f t="shared" ca="1" si="415"/>
        <v/>
      </c>
      <c r="B101" s="317" t="str">
        <f t="shared" ca="1" si="324"/>
        <v/>
      </c>
      <c r="C101" s="609" t="str">
        <f t="shared" ca="1" si="325"/>
        <v/>
      </c>
      <c r="D101" s="1956" t="str">
        <f t="shared" ca="1" si="326"/>
        <v/>
      </c>
      <c r="E101" s="1956"/>
      <c r="F101" s="960"/>
      <c r="G101" s="485" t="str">
        <f t="shared" ca="1" si="327"/>
        <v/>
      </c>
      <c r="H101" s="983"/>
      <c r="I101" s="486"/>
      <c r="J101" s="326"/>
      <c r="K101" s="1886" t="str">
        <f t="shared" ca="1" si="328"/>
        <v/>
      </c>
      <c r="L101" s="1888"/>
      <c r="M101" s="296" t="str">
        <f t="shared" ca="1" si="307"/>
        <v/>
      </c>
      <c r="N101" s="1322"/>
      <c r="O101" s="1319"/>
      <c r="P101" s="957" t="str">
        <f t="shared" ca="1" si="329"/>
        <v/>
      </c>
      <c r="Q101" s="164">
        <f t="shared" si="330"/>
        <v>0</v>
      </c>
      <c r="R101" s="164">
        <f t="shared" ca="1" si="331"/>
        <v>0</v>
      </c>
      <c r="S101" s="164">
        <f t="shared" ca="1" si="332"/>
        <v>0</v>
      </c>
      <c r="T101" s="164">
        <f t="shared" ca="1" si="333"/>
        <v>0</v>
      </c>
      <c r="U101" s="164">
        <f t="shared" ca="1" si="334"/>
        <v>0</v>
      </c>
      <c r="V101" s="164">
        <f t="shared" ca="1" si="335"/>
        <v>0</v>
      </c>
      <c r="W101" s="164">
        <f t="shared" ca="1" si="336"/>
        <v>0</v>
      </c>
      <c r="X101" s="164">
        <f t="shared" ca="1" si="337"/>
        <v>0</v>
      </c>
      <c r="Y101" s="164">
        <f t="shared" ca="1" si="338"/>
        <v>0</v>
      </c>
      <c r="Z101" s="164">
        <f t="shared" ca="1" si="339"/>
        <v>0</v>
      </c>
      <c r="AA101" s="164">
        <f t="shared" ca="1" si="340"/>
        <v>0</v>
      </c>
      <c r="AB101" s="164">
        <f t="shared" ca="1" si="341"/>
        <v>0</v>
      </c>
      <c r="AC101" s="164">
        <f t="shared" ca="1" si="342"/>
        <v>0</v>
      </c>
      <c r="AD101" s="164">
        <f t="shared" ca="1" si="343"/>
        <v>0</v>
      </c>
      <c r="AE101" s="164">
        <f t="shared" ca="1" si="344"/>
        <v>0</v>
      </c>
      <c r="AF101" s="164">
        <f t="shared" ca="1" si="345"/>
        <v>0</v>
      </c>
      <c r="AG101" s="164">
        <f t="shared" ca="1" si="346"/>
        <v>0</v>
      </c>
      <c r="AH101" s="164">
        <f t="shared" ca="1" si="347"/>
        <v>0</v>
      </c>
      <c r="AI101" s="164">
        <f t="shared" ca="1" si="348"/>
        <v>0</v>
      </c>
      <c r="AJ101" s="164">
        <f t="shared" ca="1" si="349"/>
        <v>0</v>
      </c>
      <c r="AK101" s="164">
        <f t="shared" ca="1" si="350"/>
        <v>0</v>
      </c>
      <c r="AL101" s="164">
        <f t="shared" ca="1" si="351"/>
        <v>0</v>
      </c>
      <c r="AM101" s="208"/>
      <c r="AN101" s="164">
        <f t="shared" si="352"/>
        <v>0</v>
      </c>
      <c r="AO101" s="164">
        <f t="shared" ca="1" si="353"/>
        <v>0</v>
      </c>
      <c r="AP101" s="164">
        <f t="shared" ca="1" si="354"/>
        <v>0</v>
      </c>
      <c r="AQ101" s="164">
        <f t="shared" ca="1" si="355"/>
        <v>0</v>
      </c>
      <c r="AR101" s="164">
        <f t="shared" ca="1" si="356"/>
        <v>0</v>
      </c>
      <c r="AS101" s="164">
        <f t="shared" ca="1" si="357"/>
        <v>0</v>
      </c>
      <c r="AT101" s="164">
        <f t="shared" ca="1" si="358"/>
        <v>0</v>
      </c>
      <c r="AU101" s="164">
        <f t="shared" ca="1" si="359"/>
        <v>0</v>
      </c>
      <c r="AV101" s="164">
        <f t="shared" ca="1" si="360"/>
        <v>0</v>
      </c>
      <c r="AW101" s="164">
        <f t="shared" ca="1" si="361"/>
        <v>0</v>
      </c>
      <c r="AX101" s="164">
        <f t="shared" ca="1" si="362"/>
        <v>0</v>
      </c>
      <c r="AY101" s="164">
        <f t="shared" ca="1" si="363"/>
        <v>0</v>
      </c>
      <c r="AZ101" s="164">
        <f t="shared" ca="1" si="364"/>
        <v>0</v>
      </c>
      <c r="BA101" s="164">
        <f t="shared" ca="1" si="365"/>
        <v>0</v>
      </c>
      <c r="BB101" s="164">
        <f t="shared" ca="1" si="366"/>
        <v>0</v>
      </c>
      <c r="BC101" s="164">
        <f t="shared" ca="1" si="367"/>
        <v>0</v>
      </c>
      <c r="BD101" s="164">
        <f t="shared" ca="1" si="368"/>
        <v>0</v>
      </c>
      <c r="BE101" s="164">
        <f t="shared" ca="1" si="369"/>
        <v>0</v>
      </c>
      <c r="BF101" s="164">
        <f t="shared" ca="1" si="370"/>
        <v>0</v>
      </c>
      <c r="BG101" s="164">
        <f t="shared" ca="1" si="371"/>
        <v>0</v>
      </c>
      <c r="BH101" s="164">
        <f t="shared" ca="1" si="372"/>
        <v>0</v>
      </c>
      <c r="BI101" s="164">
        <f t="shared" ca="1" si="373"/>
        <v>0</v>
      </c>
      <c r="BJ101" s="164">
        <f t="shared" ca="1" si="374"/>
        <v>0</v>
      </c>
      <c r="BK101" s="164">
        <f t="shared" ca="1" si="375"/>
        <v>0</v>
      </c>
      <c r="BL101" s="164">
        <f t="shared" ca="1" si="376"/>
        <v>0</v>
      </c>
      <c r="BM101" s="164">
        <f t="shared" ca="1" si="377"/>
        <v>0</v>
      </c>
      <c r="BN101" s="164">
        <f t="shared" ca="1" si="378"/>
        <v>0</v>
      </c>
      <c r="BO101" s="356" t="str">
        <f t="shared" ca="1" si="379"/>
        <v/>
      </c>
      <c r="BP101" s="355" t="str">
        <f t="shared" ca="1" si="380"/>
        <v/>
      </c>
      <c r="BQ101" s="355" t="str">
        <f t="shared" ca="1" si="381"/>
        <v/>
      </c>
      <c r="BR101" s="348">
        <f t="shared" ca="1" si="312"/>
        <v>0</v>
      </c>
      <c r="BS101" s="348">
        <f t="shared" ca="1" si="313"/>
        <v>0</v>
      </c>
      <c r="BT101" s="610">
        <f t="shared" ca="1" si="382"/>
        <v>0</v>
      </c>
      <c r="BU101" s="357">
        <f t="shared" ca="1" si="383"/>
        <v>0</v>
      </c>
      <c r="BV101" s="357">
        <f t="shared" si="384"/>
        <v>0</v>
      </c>
      <c r="BW101" s="357">
        <f t="shared" si="385"/>
        <v>0</v>
      </c>
      <c r="BX101" s="357">
        <f t="shared" ca="1" si="386"/>
        <v>0</v>
      </c>
      <c r="BY101" s="357">
        <f t="shared" ca="1" si="316"/>
        <v>0</v>
      </c>
      <c r="BZ101" s="357"/>
      <c r="CA101" s="357">
        <f t="shared" ca="1" si="314"/>
        <v>0</v>
      </c>
      <c r="CB101" s="357" t="str">
        <f t="shared" ca="1" si="387"/>
        <v/>
      </c>
      <c r="CC101" s="358" t="str">
        <f t="shared" ca="1" si="317"/>
        <v/>
      </c>
      <c r="CD101" s="358" t="str">
        <f t="shared" ca="1" si="318"/>
        <v/>
      </c>
      <c r="CE101" s="357" t="str">
        <f t="shared" ca="1" si="416"/>
        <v>,,,,,,,,,,,,,,,,,,,,,,,,,,,,,,,,,,,,,,,,,</v>
      </c>
      <c r="CF101" s="154" t="str">
        <f t="shared" si="315"/>
        <v/>
      </c>
      <c r="CG101" s="154">
        <f t="shared" ca="1" si="319"/>
        <v>0</v>
      </c>
      <c r="CH101" s="154"/>
      <c r="CI101" s="154"/>
      <c r="CJ101" s="154"/>
      <c r="CK101" s="154"/>
      <c r="CL101" s="154"/>
      <c r="CM101" s="154"/>
      <c r="CN101" t="s">
        <v>784</v>
      </c>
      <c r="CO101" s="169"/>
      <c r="CP101" s="169"/>
      <c r="CQ101" s="169"/>
      <c r="CR101" s="169"/>
      <c r="CS101" s="169"/>
      <c r="CT101" s="169"/>
      <c r="CU101" s="169"/>
      <c r="CV101" s="164" t="str">
        <f t="shared" ref="CV101:DE110" ca="1" si="417">IF($A101="","",IF(VT_VRTLZBR,CODE("F"),CODE(VLOOKUP($A101,ZAUBERWERTE,10,FALSE))-
SUM($BR101:$CA101,
IF(ISERR(FIND(";"&amp;CV$10&amp;";",$H101)),0,1),
IF(ISERR(FIND(";"&amp;CV$10&amp;":",$H101)),0,VALUE(MID($H101,FIND(";"&amp;CV$10&amp;":",$H101)+LEN(CV$10)+2,1))),
IF(AND(NOT(EXACT($AF$241,"")),OR(CV$10&gt;$CO101,ISBLANK($CO101))),IF($CV$3,IF(ISERROR(FIND($AF$241,$BQ101)),0,1),(LEN($BQ101)-LEN(SUBSTITUTE($BQ101,$AF$241,"")))/LEN($AF$241)),0),
IF(AND(NOT(EXACT($AF$242,"")),OR(CV$10&gt;$CP101,ISBLANK($CP101))),IF($CV$3,IF(ISERROR(FIND($AF$242,$BQ101)),0,1),(LEN($BQ101)-LEN(SUBSTITUTE($BQ101,$AF$242,"")))/LEN($AF$242)),0),
IF(AND(NOT(EXACT($AF$243,"")),OR(CV$10&gt;$CQ101,ISBLANK($CQ101))),IF($CV$3,IF(ISERROR(FIND($AF$243,$BQ101)),0,1),(LEN($BQ101)-LEN(SUBSTITUTE($BQ101,$AF$243,"")))/LEN($AF$243)),0),
IF(AND(NOT(EXACT($AF$244,"")),OR(CV$10&gt;$CR101,ISBLANK($CR101))),IF($CV$3,IF(ISERROR(FIND($AF$244,$BQ101)),0,1),(LEN($BQ101)-LEN(SUBSTITUTE($BQ101,$AF$244,"")))/LEN($AF$244)),0),
IF(AND(NOT(EXACT($AF$245,"")),OR(CV$10&gt;$CS101,ISBLANK($CS101))),IF($CV$3,IF(ISERROR(FIND($AF$245,$BQ101)),0,1),(LEN($BQ101)-LEN(SUBSTITUTE($BQ101,$AF$245,"")))/LEN($AF$245)),0),
IF(AND(NOT(EXACT($AF$246,"")),OR(CV$10&gt;$CT101,ISBLANK($CT101))),IF($CV$3,IF(ISERROR(FIND($AF$246,$BQ101)),0,1),(LEN($BQ101)-LEN(SUBSTITUTE($BQ101,$AF$246,"")))/LEN($AF$246)),0),
IF(AND(NOT(EXACT($AF$247,"")),OR(CV$10&gt;$CU101,ISBLANK($CU101))),IF($CV$3,IF(ISERROR(FIND($AF$247,$BQ101)),0,1),(LEN($BQ101)-LEN(SUBSTITUTE($BQ101,$AF$247,"")))/LEN($AF$247)),0)
)))</f>
        <v/>
      </c>
      <c r="CW101" s="164" t="str">
        <f t="shared" ca="1" si="417"/>
        <v/>
      </c>
      <c r="CX101" s="164" t="str">
        <f t="shared" ca="1" si="417"/>
        <v/>
      </c>
      <c r="CY101" s="164" t="str">
        <f t="shared" ca="1" si="417"/>
        <v/>
      </c>
      <c r="CZ101" s="164" t="str">
        <f t="shared" ca="1" si="417"/>
        <v/>
      </c>
      <c r="DA101" s="164" t="str">
        <f t="shared" ca="1" si="417"/>
        <v/>
      </c>
      <c r="DB101" s="164" t="str">
        <f t="shared" ca="1" si="417"/>
        <v/>
      </c>
      <c r="DC101" s="164" t="str">
        <f t="shared" ca="1" si="417"/>
        <v/>
      </c>
      <c r="DD101" s="164" t="str">
        <f t="shared" ca="1" si="417"/>
        <v/>
      </c>
      <c r="DE101" s="164" t="str">
        <f t="shared" ca="1" si="417"/>
        <v/>
      </c>
      <c r="DF101" s="164" t="str">
        <f t="shared" ref="DF101:DQ110" ca="1" si="418">IF($A101="","",IF(VT_VRTLZBR,CODE("F"),CODE(VLOOKUP($A101,ZAUBERWERTE,10,FALSE))-
SUM($BR101:$CA101,
IF(ISERR(FIND(";"&amp;DF$10&amp;";",$H101)),0,1),
IF(ISERR(FIND(";"&amp;DF$10&amp;":",$H101)),0,VALUE(MID($H101,FIND(";"&amp;DF$10&amp;":",$H101)+LEN(DF$10)+2,1))),
IF(AND(NOT(EXACT($AF$241,"")),OR(DF$10&gt;$CO101,ISBLANK($CO101))),IF($CV$3,IF(ISERROR(FIND($AF$241,$BQ101)),0,1),(LEN($BQ101)-LEN(SUBSTITUTE($BQ101,$AF$241,"")))/LEN($AF$241)),0),
IF(AND(NOT(EXACT($AF$242,"")),OR(DF$10&gt;$CP101,ISBLANK($CP101))),IF($CV$3,IF(ISERROR(FIND($AF$242,$BQ101)),0,1),(LEN($BQ101)-LEN(SUBSTITUTE($BQ101,$AF$242,"")))/LEN($AF$242)),0),
IF(AND(NOT(EXACT($AF$243,"")),OR(DF$10&gt;$CQ101,ISBLANK($CQ101))),IF($CV$3,IF(ISERROR(FIND($AF$243,$BQ101)),0,1),(LEN($BQ101)-LEN(SUBSTITUTE($BQ101,$AF$243,"")))/LEN($AF$243)),0),
IF(AND(NOT(EXACT($AF$244,"")),OR(DF$10&gt;$CR101,ISBLANK($CR101))),IF($CV$3,IF(ISERROR(FIND($AF$244,$BQ101)),0,1),(LEN($BQ101)-LEN(SUBSTITUTE($BQ101,$AF$244,"")))/LEN($AF$244)),0),
IF(AND(NOT(EXACT($AF$245,"")),OR(DF$10&gt;$CS101,ISBLANK($CS101))),IF($CV$3,IF(ISERROR(FIND($AF$245,$BQ101)),0,1),(LEN($BQ101)-LEN(SUBSTITUTE($BQ101,$AF$245,"")))/LEN($AF$245)),0),
IF(AND(NOT(EXACT($AF$246,"")),OR(DF$10&gt;$CT101,ISBLANK($CT101))),IF($CV$3,IF(ISERROR(FIND($AF$246,$BQ101)),0,1),(LEN($BQ101)-LEN(SUBSTITUTE($BQ101,$AF$246,"")))/LEN($AF$246)),0),
IF(AND(NOT(EXACT($AF$247,"")),OR(DF$10&gt;$CU101,ISBLANK($CU101))),IF($CV$3,IF(ISERROR(FIND($AF$247,$BQ101)),0,1),(LEN($BQ101)-LEN(SUBSTITUTE($BQ101,$AF$247,"")))/LEN($AF$247)),0)
)))</f>
        <v/>
      </c>
      <c r="DG101" s="164" t="str">
        <f t="shared" ca="1" si="418"/>
        <v/>
      </c>
      <c r="DH101" s="164" t="str">
        <f t="shared" ca="1" si="418"/>
        <v/>
      </c>
      <c r="DI101" s="164" t="str">
        <f t="shared" ca="1" si="418"/>
        <v/>
      </c>
      <c r="DJ101" s="164" t="str">
        <f t="shared" ca="1" si="418"/>
        <v/>
      </c>
      <c r="DK101" s="164" t="str">
        <f t="shared" ca="1" si="418"/>
        <v/>
      </c>
      <c r="DL101" s="164" t="str">
        <f t="shared" ca="1" si="418"/>
        <v/>
      </c>
      <c r="DM101" s="164" t="str">
        <f t="shared" ca="1" si="418"/>
        <v/>
      </c>
      <c r="DN101" s="164" t="str">
        <f t="shared" ca="1" si="418"/>
        <v/>
      </c>
      <c r="DO101" s="164" t="str">
        <f t="shared" ca="1" si="418"/>
        <v/>
      </c>
      <c r="DP101" s="164" t="str">
        <f t="shared" ca="1" si="418"/>
        <v/>
      </c>
      <c r="DQ101" s="164" t="str">
        <f t="shared" ca="1" si="418"/>
        <v/>
      </c>
      <c r="DR101" s="208"/>
      <c r="DS101" s="164" t="str">
        <f t="shared" ca="1" si="388"/>
        <v/>
      </c>
      <c r="DT101" s="164" t="str">
        <f t="shared" ca="1" si="389"/>
        <v/>
      </c>
      <c r="DU101" s="164" t="str">
        <f t="shared" ca="1" si="390"/>
        <v/>
      </c>
      <c r="DV101" s="164" t="str">
        <f t="shared" ca="1" si="391"/>
        <v/>
      </c>
      <c r="DW101" s="164" t="str">
        <f t="shared" ca="1" si="392"/>
        <v/>
      </c>
      <c r="DX101" s="164" t="str">
        <f t="shared" ca="1" si="393"/>
        <v/>
      </c>
      <c r="DY101" s="164" t="str">
        <f t="shared" ca="1" si="394"/>
        <v/>
      </c>
      <c r="DZ101" s="164" t="str">
        <f t="shared" ca="1" si="395"/>
        <v/>
      </c>
      <c r="EA101" s="164" t="str">
        <f t="shared" ca="1" si="396"/>
        <v/>
      </c>
      <c r="EB101" s="164" t="str">
        <f t="shared" ca="1" si="397"/>
        <v/>
      </c>
      <c r="EC101" s="164" t="str">
        <f t="shared" ca="1" si="398"/>
        <v/>
      </c>
      <c r="ED101" s="164" t="str">
        <f t="shared" ca="1" si="399"/>
        <v/>
      </c>
      <c r="EE101" s="164" t="str">
        <f t="shared" ca="1" si="400"/>
        <v/>
      </c>
      <c r="EF101" s="164" t="str">
        <f t="shared" ca="1" si="401"/>
        <v/>
      </c>
      <c r="EG101" s="164" t="str">
        <f t="shared" ca="1" si="402"/>
        <v/>
      </c>
      <c r="EH101" s="164" t="str">
        <f t="shared" ca="1" si="403"/>
        <v/>
      </c>
      <c r="EI101" s="164" t="str">
        <f t="shared" ca="1" si="404"/>
        <v/>
      </c>
      <c r="EJ101" s="164" t="str">
        <f t="shared" ca="1" si="405"/>
        <v/>
      </c>
      <c r="EK101" s="164" t="str">
        <f t="shared" ca="1" si="406"/>
        <v/>
      </c>
      <c r="EL101" s="164" t="str">
        <f t="shared" ca="1" si="407"/>
        <v/>
      </c>
      <c r="EM101" s="164" t="str">
        <f t="shared" ca="1" si="408"/>
        <v/>
      </c>
      <c r="EN101" s="164" t="str">
        <f t="shared" ca="1" si="409"/>
        <v/>
      </c>
      <c r="EO101" s="164" t="str">
        <f t="shared" ca="1" si="410"/>
        <v/>
      </c>
      <c r="EP101" s="164" t="str">
        <f t="shared" ca="1" si="411"/>
        <v/>
      </c>
      <c r="EQ101" s="164" t="str">
        <f t="shared" ca="1" si="412"/>
        <v/>
      </c>
      <c r="ER101" s="164" t="str">
        <f t="shared" ca="1" si="413"/>
        <v/>
      </c>
      <c r="ES101" s="164" t="str">
        <f t="shared" ca="1" si="414"/>
        <v/>
      </c>
    </row>
    <row r="102" spans="1:149" x14ac:dyDescent="0.2">
      <c r="A102" s="89" t="str">
        <f t="shared" ca="1" si="415"/>
        <v/>
      </c>
      <c r="B102" s="317" t="str">
        <f t="shared" ca="1" si="324"/>
        <v/>
      </c>
      <c r="C102" s="609" t="str">
        <f t="shared" ca="1" si="325"/>
        <v/>
      </c>
      <c r="D102" s="1956" t="str">
        <f t="shared" ca="1" si="326"/>
        <v/>
      </c>
      <c r="E102" s="1956"/>
      <c r="F102" s="960"/>
      <c r="G102" s="485" t="str">
        <f t="shared" ca="1" si="327"/>
        <v/>
      </c>
      <c r="H102" s="983"/>
      <c r="I102" s="486"/>
      <c r="J102" s="326"/>
      <c r="K102" s="1886" t="str">
        <f t="shared" ca="1" si="328"/>
        <v/>
      </c>
      <c r="L102" s="1888"/>
      <c r="M102" s="296" t="str">
        <f t="shared" ca="1" si="307"/>
        <v/>
      </c>
      <c r="N102" s="1322"/>
      <c r="O102" s="1319"/>
      <c r="P102" s="957" t="str">
        <f t="shared" ca="1" si="329"/>
        <v/>
      </c>
      <c r="Q102" s="164">
        <f t="shared" si="330"/>
        <v>0</v>
      </c>
      <c r="R102" s="164">
        <f t="shared" ca="1" si="331"/>
        <v>0</v>
      </c>
      <c r="S102" s="164">
        <f t="shared" ca="1" si="332"/>
        <v>0</v>
      </c>
      <c r="T102" s="164">
        <f t="shared" ca="1" si="333"/>
        <v>0</v>
      </c>
      <c r="U102" s="164">
        <f t="shared" ca="1" si="334"/>
        <v>0</v>
      </c>
      <c r="V102" s="164">
        <f t="shared" ca="1" si="335"/>
        <v>0</v>
      </c>
      <c r="W102" s="164">
        <f t="shared" ca="1" si="336"/>
        <v>0</v>
      </c>
      <c r="X102" s="164">
        <f t="shared" ca="1" si="337"/>
        <v>0</v>
      </c>
      <c r="Y102" s="164">
        <f t="shared" ca="1" si="338"/>
        <v>0</v>
      </c>
      <c r="Z102" s="164">
        <f t="shared" ca="1" si="339"/>
        <v>0</v>
      </c>
      <c r="AA102" s="164">
        <f t="shared" ca="1" si="340"/>
        <v>0</v>
      </c>
      <c r="AB102" s="164">
        <f t="shared" ca="1" si="341"/>
        <v>0</v>
      </c>
      <c r="AC102" s="164">
        <f t="shared" ca="1" si="342"/>
        <v>0</v>
      </c>
      <c r="AD102" s="164">
        <f t="shared" ca="1" si="343"/>
        <v>0</v>
      </c>
      <c r="AE102" s="164">
        <f t="shared" ca="1" si="344"/>
        <v>0</v>
      </c>
      <c r="AF102" s="164">
        <f t="shared" ca="1" si="345"/>
        <v>0</v>
      </c>
      <c r="AG102" s="164">
        <f t="shared" ca="1" si="346"/>
        <v>0</v>
      </c>
      <c r="AH102" s="164">
        <f t="shared" ca="1" si="347"/>
        <v>0</v>
      </c>
      <c r="AI102" s="164">
        <f t="shared" ca="1" si="348"/>
        <v>0</v>
      </c>
      <c r="AJ102" s="164">
        <f t="shared" ca="1" si="349"/>
        <v>0</v>
      </c>
      <c r="AK102" s="164">
        <f t="shared" ca="1" si="350"/>
        <v>0</v>
      </c>
      <c r="AL102" s="164">
        <f t="shared" ca="1" si="351"/>
        <v>0</v>
      </c>
      <c r="AM102" s="208"/>
      <c r="AN102" s="164">
        <f t="shared" si="352"/>
        <v>0</v>
      </c>
      <c r="AO102" s="164">
        <f t="shared" ca="1" si="353"/>
        <v>0</v>
      </c>
      <c r="AP102" s="164">
        <f t="shared" ca="1" si="354"/>
        <v>0</v>
      </c>
      <c r="AQ102" s="164">
        <f t="shared" ca="1" si="355"/>
        <v>0</v>
      </c>
      <c r="AR102" s="164">
        <f t="shared" ca="1" si="356"/>
        <v>0</v>
      </c>
      <c r="AS102" s="164">
        <f t="shared" ca="1" si="357"/>
        <v>0</v>
      </c>
      <c r="AT102" s="164">
        <f t="shared" ca="1" si="358"/>
        <v>0</v>
      </c>
      <c r="AU102" s="164">
        <f t="shared" ca="1" si="359"/>
        <v>0</v>
      </c>
      <c r="AV102" s="164">
        <f t="shared" ca="1" si="360"/>
        <v>0</v>
      </c>
      <c r="AW102" s="164">
        <f t="shared" ca="1" si="361"/>
        <v>0</v>
      </c>
      <c r="AX102" s="164">
        <f t="shared" ca="1" si="362"/>
        <v>0</v>
      </c>
      <c r="AY102" s="164">
        <f t="shared" ca="1" si="363"/>
        <v>0</v>
      </c>
      <c r="AZ102" s="164">
        <f t="shared" ca="1" si="364"/>
        <v>0</v>
      </c>
      <c r="BA102" s="164">
        <f t="shared" ca="1" si="365"/>
        <v>0</v>
      </c>
      <c r="BB102" s="164">
        <f t="shared" ca="1" si="366"/>
        <v>0</v>
      </c>
      <c r="BC102" s="164">
        <f t="shared" ca="1" si="367"/>
        <v>0</v>
      </c>
      <c r="BD102" s="164">
        <f t="shared" ca="1" si="368"/>
        <v>0</v>
      </c>
      <c r="BE102" s="164">
        <f t="shared" ca="1" si="369"/>
        <v>0</v>
      </c>
      <c r="BF102" s="164">
        <f t="shared" ca="1" si="370"/>
        <v>0</v>
      </c>
      <c r="BG102" s="164">
        <f t="shared" ca="1" si="371"/>
        <v>0</v>
      </c>
      <c r="BH102" s="164">
        <f t="shared" ca="1" si="372"/>
        <v>0</v>
      </c>
      <c r="BI102" s="164">
        <f t="shared" ca="1" si="373"/>
        <v>0</v>
      </c>
      <c r="BJ102" s="164">
        <f t="shared" ca="1" si="374"/>
        <v>0</v>
      </c>
      <c r="BK102" s="164">
        <f t="shared" ca="1" si="375"/>
        <v>0</v>
      </c>
      <c r="BL102" s="164">
        <f t="shared" ca="1" si="376"/>
        <v>0</v>
      </c>
      <c r="BM102" s="164">
        <f t="shared" ca="1" si="377"/>
        <v>0</v>
      </c>
      <c r="BN102" s="164">
        <f t="shared" ca="1" si="378"/>
        <v>0</v>
      </c>
      <c r="BO102" s="356" t="str">
        <f t="shared" ca="1" si="379"/>
        <v/>
      </c>
      <c r="BP102" s="355" t="str">
        <f t="shared" ca="1" si="380"/>
        <v/>
      </c>
      <c r="BQ102" s="355" t="str">
        <f t="shared" ca="1" si="381"/>
        <v/>
      </c>
      <c r="BR102" s="348">
        <f t="shared" ca="1" si="312"/>
        <v>0</v>
      </c>
      <c r="BS102" s="348">
        <f t="shared" ca="1" si="313"/>
        <v>0</v>
      </c>
      <c r="BT102" s="610">
        <f t="shared" ca="1" si="382"/>
        <v>0</v>
      </c>
      <c r="BU102" s="357">
        <f t="shared" ca="1" si="383"/>
        <v>0</v>
      </c>
      <c r="BV102" s="357">
        <f t="shared" si="384"/>
        <v>0</v>
      </c>
      <c r="BW102" s="357">
        <f t="shared" si="385"/>
        <v>0</v>
      </c>
      <c r="BX102" s="357">
        <f t="shared" ca="1" si="386"/>
        <v>0</v>
      </c>
      <c r="BY102" s="357">
        <f t="shared" ca="1" si="316"/>
        <v>0</v>
      </c>
      <c r="BZ102" s="357"/>
      <c r="CA102" s="357">
        <f t="shared" ca="1" si="314"/>
        <v>0</v>
      </c>
      <c r="CB102" s="357" t="str">
        <f t="shared" ca="1" si="387"/>
        <v/>
      </c>
      <c r="CC102" s="358" t="str">
        <f t="shared" ca="1" si="317"/>
        <v/>
      </c>
      <c r="CD102" s="358" t="str">
        <f t="shared" ca="1" si="318"/>
        <v/>
      </c>
      <c r="CE102" s="357" t="str">
        <f t="shared" ca="1" si="416"/>
        <v>,,,,,,,,,,,,,,,,,,,,,,,,,,,,,,,,,,,,,,,,,,</v>
      </c>
      <c r="CF102" s="154" t="str">
        <f t="shared" si="315"/>
        <v/>
      </c>
      <c r="CG102" s="154">
        <f t="shared" ca="1" si="319"/>
        <v>0</v>
      </c>
      <c r="CH102" s="154"/>
      <c r="CI102" s="154"/>
      <c r="CJ102" s="154"/>
      <c r="CK102" s="154"/>
      <c r="CL102" s="154"/>
      <c r="CM102" s="154"/>
      <c r="CN102" t="s">
        <v>784</v>
      </c>
      <c r="CO102" s="169"/>
      <c r="CP102" s="169"/>
      <c r="CQ102" s="169"/>
      <c r="CR102" s="169"/>
      <c r="CS102" s="169"/>
      <c r="CT102" s="169"/>
      <c r="CU102" s="169"/>
      <c r="CV102" s="164" t="str">
        <f t="shared" ca="1" si="417"/>
        <v/>
      </c>
      <c r="CW102" s="164" t="str">
        <f t="shared" ca="1" si="417"/>
        <v/>
      </c>
      <c r="CX102" s="164" t="str">
        <f t="shared" ca="1" si="417"/>
        <v/>
      </c>
      <c r="CY102" s="164" t="str">
        <f t="shared" ca="1" si="417"/>
        <v/>
      </c>
      <c r="CZ102" s="164" t="str">
        <f t="shared" ca="1" si="417"/>
        <v/>
      </c>
      <c r="DA102" s="164" t="str">
        <f t="shared" ca="1" si="417"/>
        <v/>
      </c>
      <c r="DB102" s="164" t="str">
        <f t="shared" ca="1" si="417"/>
        <v/>
      </c>
      <c r="DC102" s="164" t="str">
        <f t="shared" ca="1" si="417"/>
        <v/>
      </c>
      <c r="DD102" s="164" t="str">
        <f t="shared" ca="1" si="417"/>
        <v/>
      </c>
      <c r="DE102" s="164" t="str">
        <f t="shared" ca="1" si="417"/>
        <v/>
      </c>
      <c r="DF102" s="164" t="str">
        <f t="shared" ca="1" si="418"/>
        <v/>
      </c>
      <c r="DG102" s="164" t="str">
        <f t="shared" ca="1" si="418"/>
        <v/>
      </c>
      <c r="DH102" s="164" t="str">
        <f t="shared" ca="1" si="418"/>
        <v/>
      </c>
      <c r="DI102" s="164" t="str">
        <f t="shared" ca="1" si="418"/>
        <v/>
      </c>
      <c r="DJ102" s="164" t="str">
        <f t="shared" ca="1" si="418"/>
        <v/>
      </c>
      <c r="DK102" s="164" t="str">
        <f t="shared" ca="1" si="418"/>
        <v/>
      </c>
      <c r="DL102" s="164" t="str">
        <f t="shared" ca="1" si="418"/>
        <v/>
      </c>
      <c r="DM102" s="164" t="str">
        <f t="shared" ca="1" si="418"/>
        <v/>
      </c>
      <c r="DN102" s="164" t="str">
        <f t="shared" ca="1" si="418"/>
        <v/>
      </c>
      <c r="DO102" s="164" t="str">
        <f t="shared" ca="1" si="418"/>
        <v/>
      </c>
      <c r="DP102" s="164" t="str">
        <f t="shared" ca="1" si="418"/>
        <v/>
      </c>
      <c r="DQ102" s="164" t="str">
        <f t="shared" ca="1" si="418"/>
        <v/>
      </c>
      <c r="DR102" s="208"/>
      <c r="DS102" s="164" t="str">
        <f t="shared" ca="1" si="388"/>
        <v/>
      </c>
      <c r="DT102" s="164" t="str">
        <f t="shared" ca="1" si="389"/>
        <v/>
      </c>
      <c r="DU102" s="164" t="str">
        <f t="shared" ca="1" si="390"/>
        <v/>
      </c>
      <c r="DV102" s="164" t="str">
        <f t="shared" ca="1" si="391"/>
        <v/>
      </c>
      <c r="DW102" s="164" t="str">
        <f t="shared" ca="1" si="392"/>
        <v/>
      </c>
      <c r="DX102" s="164" t="str">
        <f t="shared" ca="1" si="393"/>
        <v/>
      </c>
      <c r="DY102" s="164" t="str">
        <f t="shared" ca="1" si="394"/>
        <v/>
      </c>
      <c r="DZ102" s="164" t="str">
        <f t="shared" ca="1" si="395"/>
        <v/>
      </c>
      <c r="EA102" s="164" t="str">
        <f t="shared" ca="1" si="396"/>
        <v/>
      </c>
      <c r="EB102" s="164" t="str">
        <f t="shared" ca="1" si="397"/>
        <v/>
      </c>
      <c r="EC102" s="164" t="str">
        <f t="shared" ca="1" si="398"/>
        <v/>
      </c>
      <c r="ED102" s="164" t="str">
        <f t="shared" ca="1" si="399"/>
        <v/>
      </c>
      <c r="EE102" s="164" t="str">
        <f t="shared" ca="1" si="400"/>
        <v/>
      </c>
      <c r="EF102" s="164" t="str">
        <f t="shared" ca="1" si="401"/>
        <v/>
      </c>
      <c r="EG102" s="164" t="str">
        <f t="shared" ca="1" si="402"/>
        <v/>
      </c>
      <c r="EH102" s="164" t="str">
        <f t="shared" ca="1" si="403"/>
        <v/>
      </c>
      <c r="EI102" s="164" t="str">
        <f t="shared" ca="1" si="404"/>
        <v/>
      </c>
      <c r="EJ102" s="164" t="str">
        <f t="shared" ca="1" si="405"/>
        <v/>
      </c>
      <c r="EK102" s="164" t="str">
        <f t="shared" ca="1" si="406"/>
        <v/>
      </c>
      <c r="EL102" s="164" t="str">
        <f t="shared" ca="1" si="407"/>
        <v/>
      </c>
      <c r="EM102" s="164" t="str">
        <f t="shared" ca="1" si="408"/>
        <v/>
      </c>
      <c r="EN102" s="164" t="str">
        <f t="shared" ca="1" si="409"/>
        <v/>
      </c>
      <c r="EO102" s="164" t="str">
        <f t="shared" ca="1" si="410"/>
        <v/>
      </c>
      <c r="EP102" s="164" t="str">
        <f t="shared" ca="1" si="411"/>
        <v/>
      </c>
      <c r="EQ102" s="164" t="str">
        <f t="shared" ca="1" si="412"/>
        <v/>
      </c>
      <c r="ER102" s="164" t="str">
        <f t="shared" ca="1" si="413"/>
        <v/>
      </c>
      <c r="ES102" s="164" t="str">
        <f t="shared" ca="1" si="414"/>
        <v/>
      </c>
    </row>
    <row r="103" spans="1:149" x14ac:dyDescent="0.2">
      <c r="A103" s="89" t="str">
        <f t="shared" ca="1" si="415"/>
        <v/>
      </c>
      <c r="B103" s="317" t="str">
        <f t="shared" ca="1" si="324"/>
        <v/>
      </c>
      <c r="C103" s="609" t="str">
        <f t="shared" ca="1" si="325"/>
        <v/>
      </c>
      <c r="D103" s="1956" t="str">
        <f t="shared" ca="1" si="326"/>
        <v/>
      </c>
      <c r="E103" s="1956"/>
      <c r="F103" s="960"/>
      <c r="G103" s="485" t="str">
        <f t="shared" ca="1" si="327"/>
        <v/>
      </c>
      <c r="H103" s="983"/>
      <c r="I103" s="486"/>
      <c r="J103" s="326"/>
      <c r="K103" s="1886" t="str">
        <f t="shared" ca="1" si="328"/>
        <v/>
      </c>
      <c r="L103" s="1888"/>
      <c r="M103" s="296" t="str">
        <f t="shared" ca="1" si="307"/>
        <v/>
      </c>
      <c r="N103" s="1322"/>
      <c r="O103" s="1319"/>
      <c r="P103" s="957" t="str">
        <f t="shared" ca="1" si="329"/>
        <v/>
      </c>
      <c r="Q103" s="164">
        <f t="shared" si="330"/>
        <v>0</v>
      </c>
      <c r="R103" s="164">
        <f t="shared" ca="1" si="331"/>
        <v>0</v>
      </c>
      <c r="S103" s="164">
        <f t="shared" ca="1" si="332"/>
        <v>0</v>
      </c>
      <c r="T103" s="164">
        <f t="shared" ca="1" si="333"/>
        <v>0</v>
      </c>
      <c r="U103" s="164">
        <f t="shared" ca="1" si="334"/>
        <v>0</v>
      </c>
      <c r="V103" s="164">
        <f t="shared" ca="1" si="335"/>
        <v>0</v>
      </c>
      <c r="W103" s="164">
        <f t="shared" ca="1" si="336"/>
        <v>0</v>
      </c>
      <c r="X103" s="164">
        <f t="shared" ca="1" si="337"/>
        <v>0</v>
      </c>
      <c r="Y103" s="164">
        <f t="shared" ca="1" si="338"/>
        <v>0</v>
      </c>
      <c r="Z103" s="164">
        <f t="shared" ca="1" si="339"/>
        <v>0</v>
      </c>
      <c r="AA103" s="164">
        <f t="shared" ca="1" si="340"/>
        <v>0</v>
      </c>
      <c r="AB103" s="164">
        <f t="shared" ca="1" si="341"/>
        <v>0</v>
      </c>
      <c r="AC103" s="164">
        <f t="shared" ca="1" si="342"/>
        <v>0</v>
      </c>
      <c r="AD103" s="164">
        <f t="shared" ca="1" si="343"/>
        <v>0</v>
      </c>
      <c r="AE103" s="164">
        <f t="shared" ca="1" si="344"/>
        <v>0</v>
      </c>
      <c r="AF103" s="164">
        <f t="shared" ca="1" si="345"/>
        <v>0</v>
      </c>
      <c r="AG103" s="164">
        <f t="shared" ca="1" si="346"/>
        <v>0</v>
      </c>
      <c r="AH103" s="164">
        <f t="shared" ca="1" si="347"/>
        <v>0</v>
      </c>
      <c r="AI103" s="164">
        <f t="shared" ca="1" si="348"/>
        <v>0</v>
      </c>
      <c r="AJ103" s="164">
        <f t="shared" ca="1" si="349"/>
        <v>0</v>
      </c>
      <c r="AK103" s="164">
        <f t="shared" ca="1" si="350"/>
        <v>0</v>
      </c>
      <c r="AL103" s="164">
        <f t="shared" ca="1" si="351"/>
        <v>0</v>
      </c>
      <c r="AM103" s="208"/>
      <c r="AN103" s="164">
        <f t="shared" si="352"/>
        <v>0</v>
      </c>
      <c r="AO103" s="164">
        <f t="shared" ca="1" si="353"/>
        <v>0</v>
      </c>
      <c r="AP103" s="164">
        <f t="shared" ca="1" si="354"/>
        <v>0</v>
      </c>
      <c r="AQ103" s="164">
        <f t="shared" ca="1" si="355"/>
        <v>0</v>
      </c>
      <c r="AR103" s="164">
        <f t="shared" ca="1" si="356"/>
        <v>0</v>
      </c>
      <c r="AS103" s="164">
        <f t="shared" ca="1" si="357"/>
        <v>0</v>
      </c>
      <c r="AT103" s="164">
        <f t="shared" ca="1" si="358"/>
        <v>0</v>
      </c>
      <c r="AU103" s="164">
        <f t="shared" ca="1" si="359"/>
        <v>0</v>
      </c>
      <c r="AV103" s="164">
        <f t="shared" ca="1" si="360"/>
        <v>0</v>
      </c>
      <c r="AW103" s="164">
        <f t="shared" ca="1" si="361"/>
        <v>0</v>
      </c>
      <c r="AX103" s="164">
        <f t="shared" ca="1" si="362"/>
        <v>0</v>
      </c>
      <c r="AY103" s="164">
        <f t="shared" ca="1" si="363"/>
        <v>0</v>
      </c>
      <c r="AZ103" s="164">
        <f t="shared" ca="1" si="364"/>
        <v>0</v>
      </c>
      <c r="BA103" s="164">
        <f t="shared" ca="1" si="365"/>
        <v>0</v>
      </c>
      <c r="BB103" s="164">
        <f t="shared" ca="1" si="366"/>
        <v>0</v>
      </c>
      <c r="BC103" s="164">
        <f t="shared" ca="1" si="367"/>
        <v>0</v>
      </c>
      <c r="BD103" s="164">
        <f t="shared" ca="1" si="368"/>
        <v>0</v>
      </c>
      <c r="BE103" s="164">
        <f t="shared" ca="1" si="369"/>
        <v>0</v>
      </c>
      <c r="BF103" s="164">
        <f t="shared" ca="1" si="370"/>
        <v>0</v>
      </c>
      <c r="BG103" s="164">
        <f t="shared" ca="1" si="371"/>
        <v>0</v>
      </c>
      <c r="BH103" s="164">
        <f t="shared" ca="1" si="372"/>
        <v>0</v>
      </c>
      <c r="BI103" s="164">
        <f t="shared" ca="1" si="373"/>
        <v>0</v>
      </c>
      <c r="BJ103" s="164">
        <f t="shared" ca="1" si="374"/>
        <v>0</v>
      </c>
      <c r="BK103" s="164">
        <f t="shared" ca="1" si="375"/>
        <v>0</v>
      </c>
      <c r="BL103" s="164">
        <f t="shared" ca="1" si="376"/>
        <v>0</v>
      </c>
      <c r="BM103" s="164">
        <f t="shared" ca="1" si="377"/>
        <v>0</v>
      </c>
      <c r="BN103" s="164">
        <f t="shared" ca="1" si="378"/>
        <v>0</v>
      </c>
      <c r="BO103" s="356" t="str">
        <f t="shared" ca="1" si="379"/>
        <v/>
      </c>
      <c r="BP103" s="355" t="str">
        <f t="shared" ca="1" si="380"/>
        <v/>
      </c>
      <c r="BQ103" s="355" t="str">
        <f t="shared" ca="1" si="381"/>
        <v/>
      </c>
      <c r="BR103" s="348">
        <f t="shared" ca="1" si="312"/>
        <v>0</v>
      </c>
      <c r="BS103" s="348">
        <f t="shared" ca="1" si="313"/>
        <v>0</v>
      </c>
      <c r="BT103" s="610">
        <f t="shared" ca="1" si="382"/>
        <v>0</v>
      </c>
      <c r="BU103" s="357">
        <f t="shared" ca="1" si="383"/>
        <v>0</v>
      </c>
      <c r="BV103" s="357">
        <f t="shared" si="384"/>
        <v>0</v>
      </c>
      <c r="BW103" s="357">
        <f t="shared" si="385"/>
        <v>0</v>
      </c>
      <c r="BX103" s="357">
        <f t="shared" ca="1" si="386"/>
        <v>0</v>
      </c>
      <c r="BY103" s="357">
        <f t="shared" ca="1" si="316"/>
        <v>0</v>
      </c>
      <c r="BZ103" s="357"/>
      <c r="CA103" s="357">
        <f t="shared" ca="1" si="314"/>
        <v>0</v>
      </c>
      <c r="CB103" s="357" t="str">
        <f t="shared" ca="1" si="387"/>
        <v/>
      </c>
      <c r="CC103" s="358" t="str">
        <f t="shared" ca="1" si="317"/>
        <v/>
      </c>
      <c r="CD103" s="358" t="str">
        <f t="shared" ca="1" si="318"/>
        <v/>
      </c>
      <c r="CE103" s="357" t="str">
        <f t="shared" ca="1" si="416"/>
        <v>,,,,,,,,,,,,,,,,,,,,,,,,,,,,,,,,,,,,,,,,,,,</v>
      </c>
      <c r="CF103" s="154" t="str">
        <f t="shared" si="315"/>
        <v/>
      </c>
      <c r="CG103" s="154">
        <f t="shared" ca="1" si="319"/>
        <v>0</v>
      </c>
      <c r="CH103" s="154"/>
      <c r="CI103" s="154"/>
      <c r="CJ103" s="154"/>
      <c r="CK103" s="154"/>
      <c r="CL103" s="154"/>
      <c r="CM103" s="154"/>
      <c r="CN103" t="s">
        <v>784</v>
      </c>
      <c r="CO103" s="169"/>
      <c r="CP103" s="169"/>
      <c r="CQ103" s="169"/>
      <c r="CR103" s="169"/>
      <c r="CS103" s="169"/>
      <c r="CT103" s="169"/>
      <c r="CU103" s="169"/>
      <c r="CV103" s="164" t="str">
        <f t="shared" ca="1" si="417"/>
        <v/>
      </c>
      <c r="CW103" s="164" t="str">
        <f t="shared" ca="1" si="417"/>
        <v/>
      </c>
      <c r="CX103" s="164" t="str">
        <f t="shared" ca="1" si="417"/>
        <v/>
      </c>
      <c r="CY103" s="164" t="str">
        <f t="shared" ca="1" si="417"/>
        <v/>
      </c>
      <c r="CZ103" s="164" t="str">
        <f t="shared" ca="1" si="417"/>
        <v/>
      </c>
      <c r="DA103" s="164" t="str">
        <f t="shared" ca="1" si="417"/>
        <v/>
      </c>
      <c r="DB103" s="164" t="str">
        <f t="shared" ca="1" si="417"/>
        <v/>
      </c>
      <c r="DC103" s="164" t="str">
        <f t="shared" ca="1" si="417"/>
        <v/>
      </c>
      <c r="DD103" s="164" t="str">
        <f t="shared" ca="1" si="417"/>
        <v/>
      </c>
      <c r="DE103" s="164" t="str">
        <f t="shared" ca="1" si="417"/>
        <v/>
      </c>
      <c r="DF103" s="164" t="str">
        <f t="shared" ca="1" si="418"/>
        <v/>
      </c>
      <c r="DG103" s="164" t="str">
        <f t="shared" ca="1" si="418"/>
        <v/>
      </c>
      <c r="DH103" s="164" t="str">
        <f t="shared" ca="1" si="418"/>
        <v/>
      </c>
      <c r="DI103" s="164" t="str">
        <f t="shared" ca="1" si="418"/>
        <v/>
      </c>
      <c r="DJ103" s="164" t="str">
        <f t="shared" ca="1" si="418"/>
        <v/>
      </c>
      <c r="DK103" s="164" t="str">
        <f t="shared" ca="1" si="418"/>
        <v/>
      </c>
      <c r="DL103" s="164" t="str">
        <f t="shared" ca="1" si="418"/>
        <v/>
      </c>
      <c r="DM103" s="164" t="str">
        <f t="shared" ca="1" si="418"/>
        <v/>
      </c>
      <c r="DN103" s="164" t="str">
        <f t="shared" ca="1" si="418"/>
        <v/>
      </c>
      <c r="DO103" s="164" t="str">
        <f t="shared" ca="1" si="418"/>
        <v/>
      </c>
      <c r="DP103" s="164" t="str">
        <f t="shared" ca="1" si="418"/>
        <v/>
      </c>
      <c r="DQ103" s="164" t="str">
        <f t="shared" ca="1" si="418"/>
        <v/>
      </c>
      <c r="DR103" s="208"/>
      <c r="DS103" s="164" t="str">
        <f t="shared" ca="1" si="388"/>
        <v/>
      </c>
      <c r="DT103" s="164" t="str">
        <f t="shared" ca="1" si="389"/>
        <v/>
      </c>
      <c r="DU103" s="164" t="str">
        <f t="shared" ca="1" si="390"/>
        <v/>
      </c>
      <c r="DV103" s="164" t="str">
        <f t="shared" ca="1" si="391"/>
        <v/>
      </c>
      <c r="DW103" s="164" t="str">
        <f t="shared" ca="1" si="392"/>
        <v/>
      </c>
      <c r="DX103" s="164" t="str">
        <f t="shared" ca="1" si="393"/>
        <v/>
      </c>
      <c r="DY103" s="164" t="str">
        <f t="shared" ca="1" si="394"/>
        <v/>
      </c>
      <c r="DZ103" s="164" t="str">
        <f t="shared" ca="1" si="395"/>
        <v/>
      </c>
      <c r="EA103" s="164" t="str">
        <f t="shared" ca="1" si="396"/>
        <v/>
      </c>
      <c r="EB103" s="164" t="str">
        <f t="shared" ca="1" si="397"/>
        <v/>
      </c>
      <c r="EC103" s="164" t="str">
        <f t="shared" ca="1" si="398"/>
        <v/>
      </c>
      <c r="ED103" s="164" t="str">
        <f t="shared" ca="1" si="399"/>
        <v/>
      </c>
      <c r="EE103" s="164" t="str">
        <f t="shared" ca="1" si="400"/>
        <v/>
      </c>
      <c r="EF103" s="164" t="str">
        <f t="shared" ca="1" si="401"/>
        <v/>
      </c>
      <c r="EG103" s="164" t="str">
        <f t="shared" ca="1" si="402"/>
        <v/>
      </c>
      <c r="EH103" s="164" t="str">
        <f t="shared" ca="1" si="403"/>
        <v/>
      </c>
      <c r="EI103" s="164" t="str">
        <f t="shared" ca="1" si="404"/>
        <v/>
      </c>
      <c r="EJ103" s="164" t="str">
        <f t="shared" ca="1" si="405"/>
        <v/>
      </c>
      <c r="EK103" s="164" t="str">
        <f t="shared" ca="1" si="406"/>
        <v/>
      </c>
      <c r="EL103" s="164" t="str">
        <f t="shared" ca="1" si="407"/>
        <v/>
      </c>
      <c r="EM103" s="164" t="str">
        <f t="shared" ca="1" si="408"/>
        <v/>
      </c>
      <c r="EN103" s="164" t="str">
        <f t="shared" ca="1" si="409"/>
        <v/>
      </c>
      <c r="EO103" s="164" t="str">
        <f t="shared" ca="1" si="410"/>
        <v/>
      </c>
      <c r="EP103" s="164" t="str">
        <f t="shared" ca="1" si="411"/>
        <v/>
      </c>
      <c r="EQ103" s="164" t="str">
        <f t="shared" ca="1" si="412"/>
        <v/>
      </c>
      <c r="ER103" s="164" t="str">
        <f t="shared" ca="1" si="413"/>
        <v/>
      </c>
      <c r="ES103" s="164" t="str">
        <f t="shared" ca="1" si="414"/>
        <v/>
      </c>
    </row>
    <row r="104" spans="1:149" x14ac:dyDescent="0.2">
      <c r="A104" s="89" t="str">
        <f t="shared" ca="1" si="415"/>
        <v/>
      </c>
      <c r="B104" s="317" t="str">
        <f t="shared" ca="1" si="324"/>
        <v/>
      </c>
      <c r="C104" s="609" t="str">
        <f t="shared" ca="1" si="325"/>
        <v/>
      </c>
      <c r="D104" s="1956" t="str">
        <f t="shared" ca="1" si="326"/>
        <v/>
      </c>
      <c r="E104" s="1956"/>
      <c r="F104" s="960"/>
      <c r="G104" s="485" t="str">
        <f t="shared" ca="1" si="327"/>
        <v/>
      </c>
      <c r="H104" s="983"/>
      <c r="I104" s="486"/>
      <c r="J104" s="326"/>
      <c r="K104" s="1886" t="str">
        <f t="shared" ca="1" si="328"/>
        <v/>
      </c>
      <c r="L104" s="1888"/>
      <c r="M104" s="296" t="str">
        <f t="shared" ca="1" si="307"/>
        <v/>
      </c>
      <c r="N104" s="1322"/>
      <c r="O104" s="1319"/>
      <c r="P104" s="957" t="str">
        <f t="shared" ca="1" si="329"/>
        <v/>
      </c>
      <c r="Q104" s="164">
        <f t="shared" si="330"/>
        <v>0</v>
      </c>
      <c r="R104" s="164">
        <f t="shared" ca="1" si="331"/>
        <v>0</v>
      </c>
      <c r="S104" s="164">
        <f t="shared" ca="1" si="332"/>
        <v>0</v>
      </c>
      <c r="T104" s="164">
        <f t="shared" ca="1" si="333"/>
        <v>0</v>
      </c>
      <c r="U104" s="164">
        <f t="shared" ca="1" si="334"/>
        <v>0</v>
      </c>
      <c r="V104" s="164">
        <f t="shared" ca="1" si="335"/>
        <v>0</v>
      </c>
      <c r="W104" s="164">
        <f t="shared" ca="1" si="336"/>
        <v>0</v>
      </c>
      <c r="X104" s="164">
        <f t="shared" ca="1" si="337"/>
        <v>0</v>
      </c>
      <c r="Y104" s="164">
        <f t="shared" ca="1" si="338"/>
        <v>0</v>
      </c>
      <c r="Z104" s="164">
        <f t="shared" ca="1" si="339"/>
        <v>0</v>
      </c>
      <c r="AA104" s="164">
        <f t="shared" ca="1" si="340"/>
        <v>0</v>
      </c>
      <c r="AB104" s="164">
        <f t="shared" ca="1" si="341"/>
        <v>0</v>
      </c>
      <c r="AC104" s="164">
        <f t="shared" ca="1" si="342"/>
        <v>0</v>
      </c>
      <c r="AD104" s="164">
        <f t="shared" ca="1" si="343"/>
        <v>0</v>
      </c>
      <c r="AE104" s="164">
        <f t="shared" ca="1" si="344"/>
        <v>0</v>
      </c>
      <c r="AF104" s="164">
        <f t="shared" ca="1" si="345"/>
        <v>0</v>
      </c>
      <c r="AG104" s="164">
        <f t="shared" ca="1" si="346"/>
        <v>0</v>
      </c>
      <c r="AH104" s="164">
        <f t="shared" ca="1" si="347"/>
        <v>0</v>
      </c>
      <c r="AI104" s="164">
        <f t="shared" ca="1" si="348"/>
        <v>0</v>
      </c>
      <c r="AJ104" s="164">
        <f t="shared" ca="1" si="349"/>
        <v>0</v>
      </c>
      <c r="AK104" s="164">
        <f t="shared" ca="1" si="350"/>
        <v>0</v>
      </c>
      <c r="AL104" s="164">
        <f t="shared" ca="1" si="351"/>
        <v>0</v>
      </c>
      <c r="AM104" s="208"/>
      <c r="AN104" s="164">
        <f t="shared" si="352"/>
        <v>0</v>
      </c>
      <c r="AO104" s="164">
        <f t="shared" ca="1" si="353"/>
        <v>0</v>
      </c>
      <c r="AP104" s="164">
        <f t="shared" ca="1" si="354"/>
        <v>0</v>
      </c>
      <c r="AQ104" s="164">
        <f t="shared" ca="1" si="355"/>
        <v>0</v>
      </c>
      <c r="AR104" s="164">
        <f t="shared" ca="1" si="356"/>
        <v>0</v>
      </c>
      <c r="AS104" s="164">
        <f t="shared" ca="1" si="357"/>
        <v>0</v>
      </c>
      <c r="AT104" s="164">
        <f t="shared" ca="1" si="358"/>
        <v>0</v>
      </c>
      <c r="AU104" s="164">
        <f t="shared" ca="1" si="359"/>
        <v>0</v>
      </c>
      <c r="AV104" s="164">
        <f t="shared" ca="1" si="360"/>
        <v>0</v>
      </c>
      <c r="AW104" s="164">
        <f t="shared" ca="1" si="361"/>
        <v>0</v>
      </c>
      <c r="AX104" s="164">
        <f t="shared" ca="1" si="362"/>
        <v>0</v>
      </c>
      <c r="AY104" s="164">
        <f t="shared" ca="1" si="363"/>
        <v>0</v>
      </c>
      <c r="AZ104" s="164">
        <f t="shared" ca="1" si="364"/>
        <v>0</v>
      </c>
      <c r="BA104" s="164">
        <f t="shared" ca="1" si="365"/>
        <v>0</v>
      </c>
      <c r="BB104" s="164">
        <f t="shared" ca="1" si="366"/>
        <v>0</v>
      </c>
      <c r="BC104" s="164">
        <f t="shared" ca="1" si="367"/>
        <v>0</v>
      </c>
      <c r="BD104" s="164">
        <f t="shared" ca="1" si="368"/>
        <v>0</v>
      </c>
      <c r="BE104" s="164">
        <f t="shared" ca="1" si="369"/>
        <v>0</v>
      </c>
      <c r="BF104" s="164">
        <f t="shared" ca="1" si="370"/>
        <v>0</v>
      </c>
      <c r="BG104" s="164">
        <f t="shared" ca="1" si="371"/>
        <v>0</v>
      </c>
      <c r="BH104" s="164">
        <f t="shared" ca="1" si="372"/>
        <v>0</v>
      </c>
      <c r="BI104" s="164">
        <f t="shared" ca="1" si="373"/>
        <v>0</v>
      </c>
      <c r="BJ104" s="164">
        <f t="shared" ca="1" si="374"/>
        <v>0</v>
      </c>
      <c r="BK104" s="164">
        <f t="shared" ca="1" si="375"/>
        <v>0</v>
      </c>
      <c r="BL104" s="164">
        <f t="shared" ca="1" si="376"/>
        <v>0</v>
      </c>
      <c r="BM104" s="164">
        <f t="shared" ca="1" si="377"/>
        <v>0</v>
      </c>
      <c r="BN104" s="164">
        <f t="shared" ca="1" si="378"/>
        <v>0</v>
      </c>
      <c r="BO104" s="356" t="str">
        <f t="shared" ca="1" si="379"/>
        <v/>
      </c>
      <c r="BP104" s="355" t="str">
        <f t="shared" ca="1" si="380"/>
        <v/>
      </c>
      <c r="BQ104" s="355" t="str">
        <f t="shared" ca="1" si="381"/>
        <v/>
      </c>
      <c r="BR104" s="348">
        <f t="shared" ca="1" si="312"/>
        <v>0</v>
      </c>
      <c r="BS104" s="348">
        <f t="shared" ca="1" si="313"/>
        <v>0</v>
      </c>
      <c r="BT104" s="610">
        <f t="shared" ca="1" si="382"/>
        <v>0</v>
      </c>
      <c r="BU104" s="357">
        <f t="shared" ca="1" si="383"/>
        <v>0</v>
      </c>
      <c r="BV104" s="357">
        <f t="shared" si="384"/>
        <v>0</v>
      </c>
      <c r="BW104" s="357">
        <f t="shared" si="385"/>
        <v>0</v>
      </c>
      <c r="BX104" s="357">
        <f t="shared" ca="1" si="386"/>
        <v>0</v>
      </c>
      <c r="BY104" s="357">
        <f t="shared" ca="1" si="316"/>
        <v>0</v>
      </c>
      <c r="BZ104" s="357"/>
      <c r="CA104" s="357">
        <f t="shared" ca="1" si="314"/>
        <v>0</v>
      </c>
      <c r="CB104" s="357" t="str">
        <f t="shared" ca="1" si="387"/>
        <v/>
      </c>
      <c r="CC104" s="358" t="str">
        <f t="shared" ca="1" si="317"/>
        <v/>
      </c>
      <c r="CD104" s="358" t="str">
        <f t="shared" ca="1" si="318"/>
        <v/>
      </c>
      <c r="CE104" s="357" t="str">
        <f t="shared" ca="1" si="416"/>
        <v>,,,,,,,,,,,,,,,,,,,,,,,,,,,,,,,,,,,,,,,,,,,,</v>
      </c>
      <c r="CF104" s="154" t="str">
        <f t="shared" si="315"/>
        <v/>
      </c>
      <c r="CG104" s="154">
        <f t="shared" ca="1" si="319"/>
        <v>0</v>
      </c>
      <c r="CH104" s="154"/>
      <c r="CI104" s="154"/>
      <c r="CJ104" s="154"/>
      <c r="CK104" s="154"/>
      <c r="CL104" s="154"/>
      <c r="CM104" s="154"/>
      <c r="CN104" t="s">
        <v>784</v>
      </c>
      <c r="CO104" s="169"/>
      <c r="CP104" s="169"/>
      <c r="CQ104" s="169"/>
      <c r="CR104" s="169"/>
      <c r="CS104" s="169"/>
      <c r="CT104" s="169"/>
      <c r="CU104" s="169"/>
      <c r="CV104" s="164" t="str">
        <f t="shared" ca="1" si="417"/>
        <v/>
      </c>
      <c r="CW104" s="164" t="str">
        <f t="shared" ca="1" si="417"/>
        <v/>
      </c>
      <c r="CX104" s="164" t="str">
        <f t="shared" ca="1" si="417"/>
        <v/>
      </c>
      <c r="CY104" s="164" t="str">
        <f t="shared" ca="1" si="417"/>
        <v/>
      </c>
      <c r="CZ104" s="164" t="str">
        <f t="shared" ca="1" si="417"/>
        <v/>
      </c>
      <c r="DA104" s="164" t="str">
        <f t="shared" ca="1" si="417"/>
        <v/>
      </c>
      <c r="DB104" s="164" t="str">
        <f t="shared" ca="1" si="417"/>
        <v/>
      </c>
      <c r="DC104" s="164" t="str">
        <f t="shared" ca="1" si="417"/>
        <v/>
      </c>
      <c r="DD104" s="164" t="str">
        <f t="shared" ca="1" si="417"/>
        <v/>
      </c>
      <c r="DE104" s="164" t="str">
        <f t="shared" ca="1" si="417"/>
        <v/>
      </c>
      <c r="DF104" s="164" t="str">
        <f t="shared" ca="1" si="418"/>
        <v/>
      </c>
      <c r="DG104" s="164" t="str">
        <f t="shared" ca="1" si="418"/>
        <v/>
      </c>
      <c r="DH104" s="164" t="str">
        <f t="shared" ca="1" si="418"/>
        <v/>
      </c>
      <c r="DI104" s="164" t="str">
        <f t="shared" ca="1" si="418"/>
        <v/>
      </c>
      <c r="DJ104" s="164" t="str">
        <f t="shared" ca="1" si="418"/>
        <v/>
      </c>
      <c r="DK104" s="164" t="str">
        <f t="shared" ca="1" si="418"/>
        <v/>
      </c>
      <c r="DL104" s="164" t="str">
        <f t="shared" ca="1" si="418"/>
        <v/>
      </c>
      <c r="DM104" s="164" t="str">
        <f t="shared" ca="1" si="418"/>
        <v/>
      </c>
      <c r="DN104" s="164" t="str">
        <f t="shared" ca="1" si="418"/>
        <v/>
      </c>
      <c r="DO104" s="164" t="str">
        <f t="shared" ca="1" si="418"/>
        <v/>
      </c>
      <c r="DP104" s="164" t="str">
        <f t="shared" ca="1" si="418"/>
        <v/>
      </c>
      <c r="DQ104" s="164" t="str">
        <f t="shared" ca="1" si="418"/>
        <v/>
      </c>
      <c r="DR104" s="208"/>
      <c r="DS104" s="164" t="str">
        <f t="shared" ca="1" si="388"/>
        <v/>
      </c>
      <c r="DT104" s="164" t="str">
        <f t="shared" ca="1" si="389"/>
        <v/>
      </c>
      <c r="DU104" s="164" t="str">
        <f t="shared" ca="1" si="390"/>
        <v/>
      </c>
      <c r="DV104" s="164" t="str">
        <f t="shared" ca="1" si="391"/>
        <v/>
      </c>
      <c r="DW104" s="164" t="str">
        <f t="shared" ca="1" si="392"/>
        <v/>
      </c>
      <c r="DX104" s="164" t="str">
        <f t="shared" ca="1" si="393"/>
        <v/>
      </c>
      <c r="DY104" s="164" t="str">
        <f t="shared" ca="1" si="394"/>
        <v/>
      </c>
      <c r="DZ104" s="164" t="str">
        <f t="shared" ca="1" si="395"/>
        <v/>
      </c>
      <c r="EA104" s="164" t="str">
        <f t="shared" ca="1" si="396"/>
        <v/>
      </c>
      <c r="EB104" s="164" t="str">
        <f t="shared" ca="1" si="397"/>
        <v/>
      </c>
      <c r="EC104" s="164" t="str">
        <f t="shared" ca="1" si="398"/>
        <v/>
      </c>
      <c r="ED104" s="164" t="str">
        <f t="shared" ca="1" si="399"/>
        <v/>
      </c>
      <c r="EE104" s="164" t="str">
        <f t="shared" ca="1" si="400"/>
        <v/>
      </c>
      <c r="EF104" s="164" t="str">
        <f t="shared" ca="1" si="401"/>
        <v/>
      </c>
      <c r="EG104" s="164" t="str">
        <f t="shared" ca="1" si="402"/>
        <v/>
      </c>
      <c r="EH104" s="164" t="str">
        <f t="shared" ca="1" si="403"/>
        <v/>
      </c>
      <c r="EI104" s="164" t="str">
        <f t="shared" ca="1" si="404"/>
        <v/>
      </c>
      <c r="EJ104" s="164" t="str">
        <f t="shared" ca="1" si="405"/>
        <v/>
      </c>
      <c r="EK104" s="164" t="str">
        <f t="shared" ca="1" si="406"/>
        <v/>
      </c>
      <c r="EL104" s="164" t="str">
        <f t="shared" ca="1" si="407"/>
        <v/>
      </c>
      <c r="EM104" s="164" t="str">
        <f t="shared" ca="1" si="408"/>
        <v/>
      </c>
      <c r="EN104" s="164" t="str">
        <f t="shared" ca="1" si="409"/>
        <v/>
      </c>
      <c r="EO104" s="164" t="str">
        <f t="shared" ca="1" si="410"/>
        <v/>
      </c>
      <c r="EP104" s="164" t="str">
        <f t="shared" ca="1" si="411"/>
        <v/>
      </c>
      <c r="EQ104" s="164" t="str">
        <f t="shared" ca="1" si="412"/>
        <v/>
      </c>
      <c r="ER104" s="164" t="str">
        <f t="shared" ca="1" si="413"/>
        <v/>
      </c>
      <c r="ES104" s="164" t="str">
        <f t="shared" ca="1" si="414"/>
        <v/>
      </c>
    </row>
    <row r="105" spans="1:149" x14ac:dyDescent="0.2">
      <c r="A105" s="89" t="str">
        <f t="shared" ca="1" si="415"/>
        <v/>
      </c>
      <c r="B105" s="317" t="str">
        <f t="shared" ca="1" si="324"/>
        <v/>
      </c>
      <c r="C105" s="609" t="str">
        <f t="shared" ca="1" si="325"/>
        <v/>
      </c>
      <c r="D105" s="1956" t="str">
        <f t="shared" ca="1" si="326"/>
        <v/>
      </c>
      <c r="E105" s="1956"/>
      <c r="F105" s="960"/>
      <c r="G105" s="485" t="str">
        <f t="shared" ca="1" si="327"/>
        <v/>
      </c>
      <c r="H105" s="983"/>
      <c r="I105" s="486"/>
      <c r="J105" s="326"/>
      <c r="K105" s="1886" t="str">
        <f t="shared" ca="1" si="328"/>
        <v/>
      </c>
      <c r="L105" s="1888"/>
      <c r="M105" s="296" t="str">
        <f t="shared" ca="1" si="307"/>
        <v/>
      </c>
      <c r="N105" s="1322"/>
      <c r="O105" s="1319"/>
      <c r="P105" s="957" t="str">
        <f t="shared" ca="1" si="329"/>
        <v/>
      </c>
      <c r="Q105" s="164">
        <f t="shared" si="330"/>
        <v>0</v>
      </c>
      <c r="R105" s="164">
        <f t="shared" ca="1" si="331"/>
        <v>0</v>
      </c>
      <c r="S105" s="164">
        <f t="shared" ca="1" si="332"/>
        <v>0</v>
      </c>
      <c r="T105" s="164">
        <f t="shared" ca="1" si="333"/>
        <v>0</v>
      </c>
      <c r="U105" s="164">
        <f t="shared" ca="1" si="334"/>
        <v>0</v>
      </c>
      <c r="V105" s="164">
        <f t="shared" ca="1" si="335"/>
        <v>0</v>
      </c>
      <c r="W105" s="164">
        <f t="shared" ca="1" si="336"/>
        <v>0</v>
      </c>
      <c r="X105" s="164">
        <f t="shared" ca="1" si="337"/>
        <v>0</v>
      </c>
      <c r="Y105" s="164">
        <f t="shared" ca="1" si="338"/>
        <v>0</v>
      </c>
      <c r="Z105" s="164">
        <f t="shared" ca="1" si="339"/>
        <v>0</v>
      </c>
      <c r="AA105" s="164">
        <f t="shared" ca="1" si="340"/>
        <v>0</v>
      </c>
      <c r="AB105" s="164">
        <f t="shared" ca="1" si="341"/>
        <v>0</v>
      </c>
      <c r="AC105" s="164">
        <f t="shared" ca="1" si="342"/>
        <v>0</v>
      </c>
      <c r="AD105" s="164">
        <f t="shared" ca="1" si="343"/>
        <v>0</v>
      </c>
      <c r="AE105" s="164">
        <f t="shared" ca="1" si="344"/>
        <v>0</v>
      </c>
      <c r="AF105" s="164">
        <f t="shared" ca="1" si="345"/>
        <v>0</v>
      </c>
      <c r="AG105" s="164">
        <f t="shared" ca="1" si="346"/>
        <v>0</v>
      </c>
      <c r="AH105" s="164">
        <f t="shared" ca="1" si="347"/>
        <v>0</v>
      </c>
      <c r="AI105" s="164">
        <f t="shared" ca="1" si="348"/>
        <v>0</v>
      </c>
      <c r="AJ105" s="164">
        <f t="shared" ca="1" si="349"/>
        <v>0</v>
      </c>
      <c r="AK105" s="164">
        <f t="shared" ca="1" si="350"/>
        <v>0</v>
      </c>
      <c r="AL105" s="164">
        <f t="shared" ca="1" si="351"/>
        <v>0</v>
      </c>
      <c r="AM105" s="208"/>
      <c r="AN105" s="164">
        <f t="shared" si="352"/>
        <v>0</v>
      </c>
      <c r="AO105" s="164">
        <f t="shared" ca="1" si="353"/>
        <v>0</v>
      </c>
      <c r="AP105" s="164">
        <f t="shared" ca="1" si="354"/>
        <v>0</v>
      </c>
      <c r="AQ105" s="164">
        <f t="shared" ca="1" si="355"/>
        <v>0</v>
      </c>
      <c r="AR105" s="164">
        <f t="shared" ca="1" si="356"/>
        <v>0</v>
      </c>
      <c r="AS105" s="164">
        <f t="shared" ca="1" si="357"/>
        <v>0</v>
      </c>
      <c r="AT105" s="164">
        <f t="shared" ca="1" si="358"/>
        <v>0</v>
      </c>
      <c r="AU105" s="164">
        <f t="shared" ca="1" si="359"/>
        <v>0</v>
      </c>
      <c r="AV105" s="164">
        <f t="shared" ca="1" si="360"/>
        <v>0</v>
      </c>
      <c r="AW105" s="164">
        <f t="shared" ca="1" si="361"/>
        <v>0</v>
      </c>
      <c r="AX105" s="164">
        <f t="shared" ca="1" si="362"/>
        <v>0</v>
      </c>
      <c r="AY105" s="164">
        <f t="shared" ca="1" si="363"/>
        <v>0</v>
      </c>
      <c r="AZ105" s="164">
        <f t="shared" ca="1" si="364"/>
        <v>0</v>
      </c>
      <c r="BA105" s="164">
        <f t="shared" ca="1" si="365"/>
        <v>0</v>
      </c>
      <c r="BB105" s="164">
        <f t="shared" ca="1" si="366"/>
        <v>0</v>
      </c>
      <c r="BC105" s="164">
        <f t="shared" ca="1" si="367"/>
        <v>0</v>
      </c>
      <c r="BD105" s="164">
        <f t="shared" ca="1" si="368"/>
        <v>0</v>
      </c>
      <c r="BE105" s="164">
        <f t="shared" ca="1" si="369"/>
        <v>0</v>
      </c>
      <c r="BF105" s="164">
        <f t="shared" ca="1" si="370"/>
        <v>0</v>
      </c>
      <c r="BG105" s="164">
        <f t="shared" ca="1" si="371"/>
        <v>0</v>
      </c>
      <c r="BH105" s="164">
        <f t="shared" ca="1" si="372"/>
        <v>0</v>
      </c>
      <c r="BI105" s="164">
        <f t="shared" ca="1" si="373"/>
        <v>0</v>
      </c>
      <c r="BJ105" s="164">
        <f t="shared" ca="1" si="374"/>
        <v>0</v>
      </c>
      <c r="BK105" s="164">
        <f t="shared" ca="1" si="375"/>
        <v>0</v>
      </c>
      <c r="BL105" s="164">
        <f t="shared" ca="1" si="376"/>
        <v>0</v>
      </c>
      <c r="BM105" s="164">
        <f t="shared" ca="1" si="377"/>
        <v>0</v>
      </c>
      <c r="BN105" s="164">
        <f t="shared" ca="1" si="378"/>
        <v>0</v>
      </c>
      <c r="BO105" s="356" t="str">
        <f t="shared" ca="1" si="379"/>
        <v/>
      </c>
      <c r="BP105" s="355" t="str">
        <f t="shared" ca="1" si="380"/>
        <v/>
      </c>
      <c r="BQ105" s="355" t="str">
        <f t="shared" ca="1" si="381"/>
        <v/>
      </c>
      <c r="BR105" s="348">
        <f t="shared" ca="1" si="312"/>
        <v>0</v>
      </c>
      <c r="BS105" s="348">
        <f t="shared" ca="1" si="313"/>
        <v>0</v>
      </c>
      <c r="BT105" s="610">
        <f t="shared" ca="1" si="382"/>
        <v>0</v>
      </c>
      <c r="BU105" s="357">
        <f t="shared" ca="1" si="383"/>
        <v>0</v>
      </c>
      <c r="BV105" s="357">
        <f t="shared" si="384"/>
        <v>0</v>
      </c>
      <c r="BW105" s="357">
        <f t="shared" si="385"/>
        <v>0</v>
      </c>
      <c r="BX105" s="357">
        <f t="shared" ca="1" si="386"/>
        <v>0</v>
      </c>
      <c r="BY105" s="357">
        <f t="shared" ca="1" si="316"/>
        <v>0</v>
      </c>
      <c r="BZ105" s="357"/>
      <c r="CA105" s="357">
        <f t="shared" ca="1" si="314"/>
        <v>0</v>
      </c>
      <c r="CB105" s="357" t="str">
        <f t="shared" ca="1" si="387"/>
        <v/>
      </c>
      <c r="CC105" s="358" t="str">
        <f t="shared" ca="1" si="317"/>
        <v/>
      </c>
      <c r="CD105" s="358" t="str">
        <f t="shared" ca="1" si="318"/>
        <v/>
      </c>
      <c r="CE105" s="357" t="str">
        <f t="shared" ca="1" si="416"/>
        <v>,,,,,,,,,,,,,,,,,,,,,,,,,,,,,,,,,,,,,,,,,,,,,</v>
      </c>
      <c r="CF105" s="154" t="str">
        <f t="shared" si="315"/>
        <v/>
      </c>
      <c r="CG105" s="154">
        <f t="shared" ca="1" si="319"/>
        <v>0</v>
      </c>
      <c r="CH105" s="154"/>
      <c r="CI105" s="154"/>
      <c r="CJ105" s="154"/>
      <c r="CK105" s="154"/>
      <c r="CL105" s="154"/>
      <c r="CM105" s="154"/>
      <c r="CN105" t="s">
        <v>784</v>
      </c>
      <c r="CO105" s="169"/>
      <c r="CP105" s="169"/>
      <c r="CQ105" s="169"/>
      <c r="CR105" s="169"/>
      <c r="CS105" s="169"/>
      <c r="CT105" s="169"/>
      <c r="CU105" s="169"/>
      <c r="CV105" s="164" t="str">
        <f t="shared" ca="1" si="417"/>
        <v/>
      </c>
      <c r="CW105" s="164" t="str">
        <f t="shared" ca="1" si="417"/>
        <v/>
      </c>
      <c r="CX105" s="164" t="str">
        <f t="shared" ca="1" si="417"/>
        <v/>
      </c>
      <c r="CY105" s="164" t="str">
        <f t="shared" ca="1" si="417"/>
        <v/>
      </c>
      <c r="CZ105" s="164" t="str">
        <f t="shared" ca="1" si="417"/>
        <v/>
      </c>
      <c r="DA105" s="164" t="str">
        <f t="shared" ca="1" si="417"/>
        <v/>
      </c>
      <c r="DB105" s="164" t="str">
        <f t="shared" ca="1" si="417"/>
        <v/>
      </c>
      <c r="DC105" s="164" t="str">
        <f t="shared" ca="1" si="417"/>
        <v/>
      </c>
      <c r="DD105" s="164" t="str">
        <f t="shared" ca="1" si="417"/>
        <v/>
      </c>
      <c r="DE105" s="164" t="str">
        <f t="shared" ca="1" si="417"/>
        <v/>
      </c>
      <c r="DF105" s="164" t="str">
        <f t="shared" ca="1" si="418"/>
        <v/>
      </c>
      <c r="DG105" s="164" t="str">
        <f t="shared" ca="1" si="418"/>
        <v/>
      </c>
      <c r="DH105" s="164" t="str">
        <f t="shared" ca="1" si="418"/>
        <v/>
      </c>
      <c r="DI105" s="164" t="str">
        <f t="shared" ca="1" si="418"/>
        <v/>
      </c>
      <c r="DJ105" s="164" t="str">
        <f t="shared" ca="1" si="418"/>
        <v/>
      </c>
      <c r="DK105" s="164" t="str">
        <f t="shared" ca="1" si="418"/>
        <v/>
      </c>
      <c r="DL105" s="164" t="str">
        <f t="shared" ca="1" si="418"/>
        <v/>
      </c>
      <c r="DM105" s="164" t="str">
        <f t="shared" ca="1" si="418"/>
        <v/>
      </c>
      <c r="DN105" s="164" t="str">
        <f t="shared" ca="1" si="418"/>
        <v/>
      </c>
      <c r="DO105" s="164" t="str">
        <f t="shared" ca="1" si="418"/>
        <v/>
      </c>
      <c r="DP105" s="164" t="str">
        <f t="shared" ca="1" si="418"/>
        <v/>
      </c>
      <c r="DQ105" s="164" t="str">
        <f t="shared" ca="1" si="418"/>
        <v/>
      </c>
      <c r="DR105" s="208"/>
      <c r="DS105" s="164" t="str">
        <f t="shared" ca="1" si="388"/>
        <v/>
      </c>
      <c r="DT105" s="164" t="str">
        <f t="shared" ca="1" si="389"/>
        <v/>
      </c>
      <c r="DU105" s="164" t="str">
        <f t="shared" ca="1" si="390"/>
        <v/>
      </c>
      <c r="DV105" s="164" t="str">
        <f t="shared" ca="1" si="391"/>
        <v/>
      </c>
      <c r="DW105" s="164" t="str">
        <f t="shared" ca="1" si="392"/>
        <v/>
      </c>
      <c r="DX105" s="164" t="str">
        <f t="shared" ca="1" si="393"/>
        <v/>
      </c>
      <c r="DY105" s="164" t="str">
        <f t="shared" ca="1" si="394"/>
        <v/>
      </c>
      <c r="DZ105" s="164" t="str">
        <f t="shared" ca="1" si="395"/>
        <v/>
      </c>
      <c r="EA105" s="164" t="str">
        <f t="shared" ca="1" si="396"/>
        <v/>
      </c>
      <c r="EB105" s="164" t="str">
        <f t="shared" ca="1" si="397"/>
        <v/>
      </c>
      <c r="EC105" s="164" t="str">
        <f t="shared" ca="1" si="398"/>
        <v/>
      </c>
      <c r="ED105" s="164" t="str">
        <f t="shared" ca="1" si="399"/>
        <v/>
      </c>
      <c r="EE105" s="164" t="str">
        <f t="shared" ca="1" si="400"/>
        <v/>
      </c>
      <c r="EF105" s="164" t="str">
        <f t="shared" ca="1" si="401"/>
        <v/>
      </c>
      <c r="EG105" s="164" t="str">
        <f t="shared" ca="1" si="402"/>
        <v/>
      </c>
      <c r="EH105" s="164" t="str">
        <f t="shared" ca="1" si="403"/>
        <v/>
      </c>
      <c r="EI105" s="164" t="str">
        <f t="shared" ca="1" si="404"/>
        <v/>
      </c>
      <c r="EJ105" s="164" t="str">
        <f t="shared" ca="1" si="405"/>
        <v/>
      </c>
      <c r="EK105" s="164" t="str">
        <f t="shared" ca="1" si="406"/>
        <v/>
      </c>
      <c r="EL105" s="164" t="str">
        <f t="shared" ca="1" si="407"/>
        <v/>
      </c>
      <c r="EM105" s="164" t="str">
        <f t="shared" ca="1" si="408"/>
        <v/>
      </c>
      <c r="EN105" s="164" t="str">
        <f t="shared" ca="1" si="409"/>
        <v/>
      </c>
      <c r="EO105" s="164" t="str">
        <f t="shared" ca="1" si="410"/>
        <v/>
      </c>
      <c r="EP105" s="164" t="str">
        <f t="shared" ca="1" si="411"/>
        <v/>
      </c>
      <c r="EQ105" s="164" t="str">
        <f t="shared" ca="1" si="412"/>
        <v/>
      </c>
      <c r="ER105" s="164" t="str">
        <f t="shared" ca="1" si="413"/>
        <v/>
      </c>
      <c r="ES105" s="164" t="str">
        <f t="shared" ca="1" si="414"/>
        <v/>
      </c>
    </row>
    <row r="106" spans="1:149" x14ac:dyDescent="0.2">
      <c r="A106" s="89" t="str">
        <f t="shared" ca="1" si="415"/>
        <v/>
      </c>
      <c r="B106" s="317" t="str">
        <f t="shared" ca="1" si="324"/>
        <v/>
      </c>
      <c r="C106" s="609" t="str">
        <f t="shared" ca="1" si="325"/>
        <v/>
      </c>
      <c r="D106" s="1956" t="str">
        <f t="shared" ca="1" si="326"/>
        <v/>
      </c>
      <c r="E106" s="1956"/>
      <c r="F106" s="960"/>
      <c r="G106" s="485" t="str">
        <f t="shared" ca="1" si="327"/>
        <v/>
      </c>
      <c r="H106" s="983"/>
      <c r="I106" s="486"/>
      <c r="J106" s="326"/>
      <c r="K106" s="1886" t="str">
        <f t="shared" ca="1" si="328"/>
        <v/>
      </c>
      <c r="L106" s="1888"/>
      <c r="M106" s="296" t="str">
        <f t="shared" ca="1" si="307"/>
        <v/>
      </c>
      <c r="N106" s="1322"/>
      <c r="O106" s="1319"/>
      <c r="P106" s="957" t="str">
        <f t="shared" ca="1" si="329"/>
        <v/>
      </c>
      <c r="Q106" s="164">
        <f t="shared" si="330"/>
        <v>0</v>
      </c>
      <c r="R106" s="164">
        <f t="shared" ca="1" si="331"/>
        <v>0</v>
      </c>
      <c r="S106" s="164">
        <f t="shared" ca="1" si="332"/>
        <v>0</v>
      </c>
      <c r="T106" s="164">
        <f t="shared" ca="1" si="333"/>
        <v>0</v>
      </c>
      <c r="U106" s="164">
        <f t="shared" ca="1" si="334"/>
        <v>0</v>
      </c>
      <c r="V106" s="164">
        <f t="shared" ca="1" si="335"/>
        <v>0</v>
      </c>
      <c r="W106" s="164">
        <f t="shared" ca="1" si="336"/>
        <v>0</v>
      </c>
      <c r="X106" s="164">
        <f t="shared" ca="1" si="337"/>
        <v>0</v>
      </c>
      <c r="Y106" s="164">
        <f t="shared" ca="1" si="338"/>
        <v>0</v>
      </c>
      <c r="Z106" s="164">
        <f t="shared" ca="1" si="339"/>
        <v>0</v>
      </c>
      <c r="AA106" s="164">
        <f t="shared" ca="1" si="340"/>
        <v>0</v>
      </c>
      <c r="AB106" s="164">
        <f t="shared" ca="1" si="341"/>
        <v>0</v>
      </c>
      <c r="AC106" s="164">
        <f t="shared" ca="1" si="342"/>
        <v>0</v>
      </c>
      <c r="AD106" s="164">
        <f t="shared" ca="1" si="343"/>
        <v>0</v>
      </c>
      <c r="AE106" s="164">
        <f t="shared" ca="1" si="344"/>
        <v>0</v>
      </c>
      <c r="AF106" s="164">
        <f t="shared" ca="1" si="345"/>
        <v>0</v>
      </c>
      <c r="AG106" s="164">
        <f t="shared" ca="1" si="346"/>
        <v>0</v>
      </c>
      <c r="AH106" s="164">
        <f t="shared" ca="1" si="347"/>
        <v>0</v>
      </c>
      <c r="AI106" s="164">
        <f t="shared" ca="1" si="348"/>
        <v>0</v>
      </c>
      <c r="AJ106" s="164">
        <f t="shared" ca="1" si="349"/>
        <v>0</v>
      </c>
      <c r="AK106" s="164">
        <f t="shared" ca="1" si="350"/>
        <v>0</v>
      </c>
      <c r="AL106" s="164">
        <f t="shared" ca="1" si="351"/>
        <v>0</v>
      </c>
      <c r="AM106" s="208"/>
      <c r="AN106" s="164">
        <f t="shared" si="352"/>
        <v>0</v>
      </c>
      <c r="AO106" s="164">
        <f t="shared" ca="1" si="353"/>
        <v>0</v>
      </c>
      <c r="AP106" s="164">
        <f t="shared" ca="1" si="354"/>
        <v>0</v>
      </c>
      <c r="AQ106" s="164">
        <f t="shared" ca="1" si="355"/>
        <v>0</v>
      </c>
      <c r="AR106" s="164">
        <f t="shared" ca="1" si="356"/>
        <v>0</v>
      </c>
      <c r="AS106" s="164">
        <f t="shared" ca="1" si="357"/>
        <v>0</v>
      </c>
      <c r="AT106" s="164">
        <f t="shared" ca="1" si="358"/>
        <v>0</v>
      </c>
      <c r="AU106" s="164">
        <f t="shared" ca="1" si="359"/>
        <v>0</v>
      </c>
      <c r="AV106" s="164">
        <f t="shared" ca="1" si="360"/>
        <v>0</v>
      </c>
      <c r="AW106" s="164">
        <f t="shared" ca="1" si="361"/>
        <v>0</v>
      </c>
      <c r="AX106" s="164">
        <f t="shared" ca="1" si="362"/>
        <v>0</v>
      </c>
      <c r="AY106" s="164">
        <f t="shared" ca="1" si="363"/>
        <v>0</v>
      </c>
      <c r="AZ106" s="164">
        <f t="shared" ca="1" si="364"/>
        <v>0</v>
      </c>
      <c r="BA106" s="164">
        <f t="shared" ca="1" si="365"/>
        <v>0</v>
      </c>
      <c r="BB106" s="164">
        <f t="shared" ca="1" si="366"/>
        <v>0</v>
      </c>
      <c r="BC106" s="164">
        <f t="shared" ca="1" si="367"/>
        <v>0</v>
      </c>
      <c r="BD106" s="164">
        <f t="shared" ca="1" si="368"/>
        <v>0</v>
      </c>
      <c r="BE106" s="164">
        <f t="shared" ca="1" si="369"/>
        <v>0</v>
      </c>
      <c r="BF106" s="164">
        <f t="shared" ca="1" si="370"/>
        <v>0</v>
      </c>
      <c r="BG106" s="164">
        <f t="shared" ca="1" si="371"/>
        <v>0</v>
      </c>
      <c r="BH106" s="164">
        <f t="shared" ca="1" si="372"/>
        <v>0</v>
      </c>
      <c r="BI106" s="164">
        <f t="shared" ca="1" si="373"/>
        <v>0</v>
      </c>
      <c r="BJ106" s="164">
        <f t="shared" ca="1" si="374"/>
        <v>0</v>
      </c>
      <c r="BK106" s="164">
        <f t="shared" ca="1" si="375"/>
        <v>0</v>
      </c>
      <c r="BL106" s="164">
        <f t="shared" ca="1" si="376"/>
        <v>0</v>
      </c>
      <c r="BM106" s="164">
        <f t="shared" ca="1" si="377"/>
        <v>0</v>
      </c>
      <c r="BN106" s="164">
        <f t="shared" ca="1" si="378"/>
        <v>0</v>
      </c>
      <c r="BO106" s="356" t="str">
        <f t="shared" ca="1" si="379"/>
        <v/>
      </c>
      <c r="BP106" s="355" t="str">
        <f t="shared" ca="1" si="380"/>
        <v/>
      </c>
      <c r="BQ106" s="355" t="str">
        <f t="shared" ca="1" si="381"/>
        <v/>
      </c>
      <c r="BR106" s="348">
        <f t="shared" ca="1" si="312"/>
        <v>0</v>
      </c>
      <c r="BS106" s="348">
        <f t="shared" ca="1" si="313"/>
        <v>0</v>
      </c>
      <c r="BT106" s="610">
        <f t="shared" ca="1" si="382"/>
        <v>0</v>
      </c>
      <c r="BU106" s="357">
        <f t="shared" ca="1" si="383"/>
        <v>0</v>
      </c>
      <c r="BV106" s="357">
        <f t="shared" si="384"/>
        <v>0</v>
      </c>
      <c r="BW106" s="357">
        <f t="shared" si="385"/>
        <v>0</v>
      </c>
      <c r="BX106" s="357">
        <f t="shared" ca="1" si="386"/>
        <v>0</v>
      </c>
      <c r="BY106" s="357">
        <f t="shared" ca="1" si="316"/>
        <v>0</v>
      </c>
      <c r="BZ106" s="357"/>
      <c r="CA106" s="357">
        <f t="shared" ca="1" si="314"/>
        <v>0</v>
      </c>
      <c r="CB106" s="357" t="str">
        <f t="shared" ca="1" si="387"/>
        <v/>
      </c>
      <c r="CC106" s="358" t="str">
        <f t="shared" ca="1" si="317"/>
        <v/>
      </c>
      <c r="CD106" s="358" t="str">
        <f t="shared" ca="1" si="318"/>
        <v/>
      </c>
      <c r="CE106" s="357" t="str">
        <f t="shared" ca="1" si="416"/>
        <v>,,,,,,,,,,,,,,,,,,,,,,,,,,,,,,,,,,,,,,,,,,,,,,</v>
      </c>
      <c r="CF106" s="154" t="str">
        <f t="shared" si="315"/>
        <v/>
      </c>
      <c r="CG106" s="154">
        <f t="shared" ca="1" si="319"/>
        <v>0</v>
      </c>
      <c r="CH106" s="154"/>
      <c r="CI106" s="154"/>
      <c r="CJ106" s="154"/>
      <c r="CK106" s="154"/>
      <c r="CL106" s="154"/>
      <c r="CM106" s="154"/>
      <c r="CN106" t="s">
        <v>784</v>
      </c>
      <c r="CO106" s="169"/>
      <c r="CP106" s="169"/>
      <c r="CQ106" s="169"/>
      <c r="CR106" s="169"/>
      <c r="CS106" s="169"/>
      <c r="CT106" s="169"/>
      <c r="CU106" s="169"/>
      <c r="CV106" s="164" t="str">
        <f t="shared" ca="1" si="417"/>
        <v/>
      </c>
      <c r="CW106" s="164" t="str">
        <f t="shared" ca="1" si="417"/>
        <v/>
      </c>
      <c r="CX106" s="164" t="str">
        <f t="shared" ca="1" si="417"/>
        <v/>
      </c>
      <c r="CY106" s="164" t="str">
        <f t="shared" ca="1" si="417"/>
        <v/>
      </c>
      <c r="CZ106" s="164" t="str">
        <f t="shared" ca="1" si="417"/>
        <v/>
      </c>
      <c r="DA106" s="164" t="str">
        <f t="shared" ca="1" si="417"/>
        <v/>
      </c>
      <c r="DB106" s="164" t="str">
        <f t="shared" ca="1" si="417"/>
        <v/>
      </c>
      <c r="DC106" s="164" t="str">
        <f t="shared" ca="1" si="417"/>
        <v/>
      </c>
      <c r="DD106" s="164" t="str">
        <f t="shared" ca="1" si="417"/>
        <v/>
      </c>
      <c r="DE106" s="164" t="str">
        <f t="shared" ca="1" si="417"/>
        <v/>
      </c>
      <c r="DF106" s="164" t="str">
        <f t="shared" ca="1" si="418"/>
        <v/>
      </c>
      <c r="DG106" s="164" t="str">
        <f t="shared" ca="1" si="418"/>
        <v/>
      </c>
      <c r="DH106" s="164" t="str">
        <f t="shared" ca="1" si="418"/>
        <v/>
      </c>
      <c r="DI106" s="164" t="str">
        <f t="shared" ca="1" si="418"/>
        <v/>
      </c>
      <c r="DJ106" s="164" t="str">
        <f t="shared" ca="1" si="418"/>
        <v/>
      </c>
      <c r="DK106" s="164" t="str">
        <f t="shared" ca="1" si="418"/>
        <v/>
      </c>
      <c r="DL106" s="164" t="str">
        <f t="shared" ca="1" si="418"/>
        <v/>
      </c>
      <c r="DM106" s="164" t="str">
        <f t="shared" ca="1" si="418"/>
        <v/>
      </c>
      <c r="DN106" s="164" t="str">
        <f t="shared" ca="1" si="418"/>
        <v/>
      </c>
      <c r="DO106" s="164" t="str">
        <f t="shared" ca="1" si="418"/>
        <v/>
      </c>
      <c r="DP106" s="164" t="str">
        <f t="shared" ca="1" si="418"/>
        <v/>
      </c>
      <c r="DQ106" s="164" t="str">
        <f t="shared" ca="1" si="418"/>
        <v/>
      </c>
      <c r="DR106" s="208"/>
      <c r="DS106" s="164" t="str">
        <f t="shared" ca="1" si="388"/>
        <v/>
      </c>
      <c r="DT106" s="164" t="str">
        <f t="shared" ca="1" si="389"/>
        <v/>
      </c>
      <c r="DU106" s="164" t="str">
        <f t="shared" ca="1" si="390"/>
        <v/>
      </c>
      <c r="DV106" s="164" t="str">
        <f t="shared" ca="1" si="391"/>
        <v/>
      </c>
      <c r="DW106" s="164" t="str">
        <f t="shared" ca="1" si="392"/>
        <v/>
      </c>
      <c r="DX106" s="164" t="str">
        <f t="shared" ca="1" si="393"/>
        <v/>
      </c>
      <c r="DY106" s="164" t="str">
        <f t="shared" ca="1" si="394"/>
        <v/>
      </c>
      <c r="DZ106" s="164" t="str">
        <f t="shared" ca="1" si="395"/>
        <v/>
      </c>
      <c r="EA106" s="164" t="str">
        <f t="shared" ca="1" si="396"/>
        <v/>
      </c>
      <c r="EB106" s="164" t="str">
        <f t="shared" ca="1" si="397"/>
        <v/>
      </c>
      <c r="EC106" s="164" t="str">
        <f t="shared" ca="1" si="398"/>
        <v/>
      </c>
      <c r="ED106" s="164" t="str">
        <f t="shared" ca="1" si="399"/>
        <v/>
      </c>
      <c r="EE106" s="164" t="str">
        <f t="shared" ca="1" si="400"/>
        <v/>
      </c>
      <c r="EF106" s="164" t="str">
        <f t="shared" ca="1" si="401"/>
        <v/>
      </c>
      <c r="EG106" s="164" t="str">
        <f t="shared" ca="1" si="402"/>
        <v/>
      </c>
      <c r="EH106" s="164" t="str">
        <f t="shared" ca="1" si="403"/>
        <v/>
      </c>
      <c r="EI106" s="164" t="str">
        <f t="shared" ca="1" si="404"/>
        <v/>
      </c>
      <c r="EJ106" s="164" t="str">
        <f t="shared" ca="1" si="405"/>
        <v/>
      </c>
      <c r="EK106" s="164" t="str">
        <f t="shared" ca="1" si="406"/>
        <v/>
      </c>
      <c r="EL106" s="164" t="str">
        <f t="shared" ca="1" si="407"/>
        <v/>
      </c>
      <c r="EM106" s="164" t="str">
        <f t="shared" ca="1" si="408"/>
        <v/>
      </c>
      <c r="EN106" s="164" t="str">
        <f t="shared" ca="1" si="409"/>
        <v/>
      </c>
      <c r="EO106" s="164" t="str">
        <f t="shared" ca="1" si="410"/>
        <v/>
      </c>
      <c r="EP106" s="164" t="str">
        <f t="shared" ca="1" si="411"/>
        <v/>
      </c>
      <c r="EQ106" s="164" t="str">
        <f t="shared" ca="1" si="412"/>
        <v/>
      </c>
      <c r="ER106" s="164" t="str">
        <f t="shared" ca="1" si="413"/>
        <v/>
      </c>
      <c r="ES106" s="164" t="str">
        <f t="shared" ca="1" si="414"/>
        <v/>
      </c>
    </row>
    <row r="107" spans="1:149" x14ac:dyDescent="0.2">
      <c r="A107" s="89" t="str">
        <f t="shared" ca="1" si="415"/>
        <v/>
      </c>
      <c r="B107" s="317" t="str">
        <f t="shared" ca="1" si="324"/>
        <v/>
      </c>
      <c r="C107" s="609" t="str">
        <f t="shared" ca="1" si="325"/>
        <v/>
      </c>
      <c r="D107" s="1956" t="str">
        <f t="shared" ca="1" si="326"/>
        <v/>
      </c>
      <c r="E107" s="1956"/>
      <c r="F107" s="960"/>
      <c r="G107" s="485" t="str">
        <f t="shared" ca="1" si="327"/>
        <v/>
      </c>
      <c r="H107" s="983"/>
      <c r="I107" s="486"/>
      <c r="J107" s="326"/>
      <c r="K107" s="1886" t="str">
        <f t="shared" ca="1" si="328"/>
        <v/>
      </c>
      <c r="L107" s="1888"/>
      <c r="M107" s="296" t="str">
        <f t="shared" ca="1" si="307"/>
        <v/>
      </c>
      <c r="N107" s="1322"/>
      <c r="O107" s="1319"/>
      <c r="P107" s="957" t="str">
        <f t="shared" ca="1" si="329"/>
        <v/>
      </c>
      <c r="Q107" s="164">
        <f t="shared" si="330"/>
        <v>0</v>
      </c>
      <c r="R107" s="164">
        <f t="shared" ca="1" si="331"/>
        <v>0</v>
      </c>
      <c r="S107" s="164">
        <f t="shared" ca="1" si="332"/>
        <v>0</v>
      </c>
      <c r="T107" s="164">
        <f t="shared" ca="1" si="333"/>
        <v>0</v>
      </c>
      <c r="U107" s="164">
        <f t="shared" ca="1" si="334"/>
        <v>0</v>
      </c>
      <c r="V107" s="164">
        <f t="shared" ca="1" si="335"/>
        <v>0</v>
      </c>
      <c r="W107" s="164">
        <f t="shared" ca="1" si="336"/>
        <v>0</v>
      </c>
      <c r="X107" s="164">
        <f t="shared" ca="1" si="337"/>
        <v>0</v>
      </c>
      <c r="Y107" s="164">
        <f t="shared" ca="1" si="338"/>
        <v>0</v>
      </c>
      <c r="Z107" s="164">
        <f t="shared" ca="1" si="339"/>
        <v>0</v>
      </c>
      <c r="AA107" s="164">
        <f t="shared" ca="1" si="340"/>
        <v>0</v>
      </c>
      <c r="AB107" s="164">
        <f t="shared" ca="1" si="341"/>
        <v>0</v>
      </c>
      <c r="AC107" s="164">
        <f t="shared" ca="1" si="342"/>
        <v>0</v>
      </c>
      <c r="AD107" s="164">
        <f t="shared" ca="1" si="343"/>
        <v>0</v>
      </c>
      <c r="AE107" s="164">
        <f t="shared" ca="1" si="344"/>
        <v>0</v>
      </c>
      <c r="AF107" s="164">
        <f t="shared" ca="1" si="345"/>
        <v>0</v>
      </c>
      <c r="AG107" s="164">
        <f t="shared" ca="1" si="346"/>
        <v>0</v>
      </c>
      <c r="AH107" s="164">
        <f t="shared" ca="1" si="347"/>
        <v>0</v>
      </c>
      <c r="AI107" s="164">
        <f t="shared" ca="1" si="348"/>
        <v>0</v>
      </c>
      <c r="AJ107" s="164">
        <f t="shared" ca="1" si="349"/>
        <v>0</v>
      </c>
      <c r="AK107" s="164">
        <f t="shared" ca="1" si="350"/>
        <v>0</v>
      </c>
      <c r="AL107" s="164">
        <f t="shared" ca="1" si="351"/>
        <v>0</v>
      </c>
      <c r="AM107" s="208"/>
      <c r="AN107" s="164">
        <f t="shared" si="352"/>
        <v>0</v>
      </c>
      <c r="AO107" s="164">
        <f t="shared" ca="1" si="353"/>
        <v>0</v>
      </c>
      <c r="AP107" s="164">
        <f t="shared" ca="1" si="354"/>
        <v>0</v>
      </c>
      <c r="AQ107" s="164">
        <f t="shared" ca="1" si="355"/>
        <v>0</v>
      </c>
      <c r="AR107" s="164">
        <f t="shared" ca="1" si="356"/>
        <v>0</v>
      </c>
      <c r="AS107" s="164">
        <f t="shared" ca="1" si="357"/>
        <v>0</v>
      </c>
      <c r="AT107" s="164">
        <f t="shared" ca="1" si="358"/>
        <v>0</v>
      </c>
      <c r="AU107" s="164">
        <f t="shared" ca="1" si="359"/>
        <v>0</v>
      </c>
      <c r="AV107" s="164">
        <f t="shared" ca="1" si="360"/>
        <v>0</v>
      </c>
      <c r="AW107" s="164">
        <f t="shared" ca="1" si="361"/>
        <v>0</v>
      </c>
      <c r="AX107" s="164">
        <f t="shared" ca="1" si="362"/>
        <v>0</v>
      </c>
      <c r="AY107" s="164">
        <f t="shared" ca="1" si="363"/>
        <v>0</v>
      </c>
      <c r="AZ107" s="164">
        <f t="shared" ca="1" si="364"/>
        <v>0</v>
      </c>
      <c r="BA107" s="164">
        <f t="shared" ca="1" si="365"/>
        <v>0</v>
      </c>
      <c r="BB107" s="164">
        <f t="shared" ca="1" si="366"/>
        <v>0</v>
      </c>
      <c r="BC107" s="164">
        <f t="shared" ca="1" si="367"/>
        <v>0</v>
      </c>
      <c r="BD107" s="164">
        <f t="shared" ca="1" si="368"/>
        <v>0</v>
      </c>
      <c r="BE107" s="164">
        <f t="shared" ca="1" si="369"/>
        <v>0</v>
      </c>
      <c r="BF107" s="164">
        <f t="shared" ca="1" si="370"/>
        <v>0</v>
      </c>
      <c r="BG107" s="164">
        <f t="shared" ca="1" si="371"/>
        <v>0</v>
      </c>
      <c r="BH107" s="164">
        <f t="shared" ca="1" si="372"/>
        <v>0</v>
      </c>
      <c r="BI107" s="164">
        <f t="shared" ca="1" si="373"/>
        <v>0</v>
      </c>
      <c r="BJ107" s="164">
        <f t="shared" ca="1" si="374"/>
        <v>0</v>
      </c>
      <c r="BK107" s="164">
        <f t="shared" ca="1" si="375"/>
        <v>0</v>
      </c>
      <c r="BL107" s="164">
        <f t="shared" ca="1" si="376"/>
        <v>0</v>
      </c>
      <c r="BM107" s="164">
        <f t="shared" ca="1" si="377"/>
        <v>0</v>
      </c>
      <c r="BN107" s="164">
        <f t="shared" ca="1" si="378"/>
        <v>0</v>
      </c>
      <c r="BO107" s="356" t="str">
        <f t="shared" ca="1" si="379"/>
        <v/>
      </c>
      <c r="BP107" s="355" t="str">
        <f t="shared" ca="1" si="380"/>
        <v/>
      </c>
      <c r="BQ107" s="355" t="str">
        <f t="shared" ca="1" si="381"/>
        <v/>
      </c>
      <c r="BR107" s="348">
        <f t="shared" ca="1" si="312"/>
        <v>0</v>
      </c>
      <c r="BS107" s="348">
        <f t="shared" ca="1" si="313"/>
        <v>0</v>
      </c>
      <c r="BT107" s="610">
        <f t="shared" ca="1" si="382"/>
        <v>0</v>
      </c>
      <c r="BU107" s="357">
        <f t="shared" ca="1" si="383"/>
        <v>0</v>
      </c>
      <c r="BV107" s="357">
        <f t="shared" si="384"/>
        <v>0</v>
      </c>
      <c r="BW107" s="357">
        <f t="shared" si="385"/>
        <v>0</v>
      </c>
      <c r="BX107" s="357">
        <f t="shared" ca="1" si="386"/>
        <v>0</v>
      </c>
      <c r="BY107" s="357">
        <f t="shared" ca="1" si="316"/>
        <v>0</v>
      </c>
      <c r="BZ107" s="357"/>
      <c r="CA107" s="357">
        <f t="shared" ca="1" si="314"/>
        <v>0</v>
      </c>
      <c r="CB107" s="357" t="str">
        <f t="shared" ca="1" si="387"/>
        <v/>
      </c>
      <c r="CC107" s="358" t="str">
        <f t="shared" ca="1" si="317"/>
        <v/>
      </c>
      <c r="CD107" s="358" t="str">
        <f t="shared" ca="1" si="318"/>
        <v/>
      </c>
      <c r="CE107" s="357" t="str">
        <f t="shared" ca="1" si="416"/>
        <v>,,,,,,,,,,,,,,,,,,,,,,,,,,,,,,,,,,,,,,,,,,,,,,,</v>
      </c>
      <c r="CF107" s="154" t="str">
        <f t="shared" si="315"/>
        <v/>
      </c>
      <c r="CG107" s="154">
        <f t="shared" ca="1" si="319"/>
        <v>0</v>
      </c>
      <c r="CH107" s="154"/>
      <c r="CI107" s="154"/>
      <c r="CJ107" s="154"/>
      <c r="CK107" s="154"/>
      <c r="CL107" s="154"/>
      <c r="CM107" s="154"/>
      <c r="CN107" t="s">
        <v>784</v>
      </c>
      <c r="CO107" s="169"/>
      <c r="CP107" s="169"/>
      <c r="CQ107" s="169"/>
      <c r="CR107" s="169"/>
      <c r="CS107" s="169"/>
      <c r="CT107" s="169"/>
      <c r="CU107" s="169"/>
      <c r="CV107" s="164" t="str">
        <f t="shared" ca="1" si="417"/>
        <v/>
      </c>
      <c r="CW107" s="164" t="str">
        <f t="shared" ca="1" si="417"/>
        <v/>
      </c>
      <c r="CX107" s="164" t="str">
        <f t="shared" ca="1" si="417"/>
        <v/>
      </c>
      <c r="CY107" s="164" t="str">
        <f t="shared" ca="1" si="417"/>
        <v/>
      </c>
      <c r="CZ107" s="164" t="str">
        <f t="shared" ca="1" si="417"/>
        <v/>
      </c>
      <c r="DA107" s="164" t="str">
        <f t="shared" ca="1" si="417"/>
        <v/>
      </c>
      <c r="DB107" s="164" t="str">
        <f t="shared" ca="1" si="417"/>
        <v/>
      </c>
      <c r="DC107" s="164" t="str">
        <f t="shared" ca="1" si="417"/>
        <v/>
      </c>
      <c r="DD107" s="164" t="str">
        <f t="shared" ca="1" si="417"/>
        <v/>
      </c>
      <c r="DE107" s="164" t="str">
        <f t="shared" ca="1" si="417"/>
        <v/>
      </c>
      <c r="DF107" s="164" t="str">
        <f t="shared" ca="1" si="418"/>
        <v/>
      </c>
      <c r="DG107" s="164" t="str">
        <f t="shared" ca="1" si="418"/>
        <v/>
      </c>
      <c r="DH107" s="164" t="str">
        <f t="shared" ca="1" si="418"/>
        <v/>
      </c>
      <c r="DI107" s="164" t="str">
        <f t="shared" ca="1" si="418"/>
        <v/>
      </c>
      <c r="DJ107" s="164" t="str">
        <f t="shared" ca="1" si="418"/>
        <v/>
      </c>
      <c r="DK107" s="164" t="str">
        <f t="shared" ca="1" si="418"/>
        <v/>
      </c>
      <c r="DL107" s="164" t="str">
        <f t="shared" ca="1" si="418"/>
        <v/>
      </c>
      <c r="DM107" s="164" t="str">
        <f t="shared" ca="1" si="418"/>
        <v/>
      </c>
      <c r="DN107" s="164" t="str">
        <f t="shared" ca="1" si="418"/>
        <v/>
      </c>
      <c r="DO107" s="164" t="str">
        <f t="shared" ca="1" si="418"/>
        <v/>
      </c>
      <c r="DP107" s="164" t="str">
        <f t="shared" ca="1" si="418"/>
        <v/>
      </c>
      <c r="DQ107" s="164" t="str">
        <f t="shared" ca="1" si="418"/>
        <v/>
      </c>
      <c r="DR107" s="208"/>
      <c r="DS107" s="164" t="str">
        <f t="shared" ca="1" si="388"/>
        <v/>
      </c>
      <c r="DT107" s="164" t="str">
        <f t="shared" ca="1" si="389"/>
        <v/>
      </c>
      <c r="DU107" s="164" t="str">
        <f t="shared" ca="1" si="390"/>
        <v/>
      </c>
      <c r="DV107" s="164" t="str">
        <f t="shared" ca="1" si="391"/>
        <v/>
      </c>
      <c r="DW107" s="164" t="str">
        <f t="shared" ca="1" si="392"/>
        <v/>
      </c>
      <c r="DX107" s="164" t="str">
        <f t="shared" ca="1" si="393"/>
        <v/>
      </c>
      <c r="DY107" s="164" t="str">
        <f t="shared" ca="1" si="394"/>
        <v/>
      </c>
      <c r="DZ107" s="164" t="str">
        <f t="shared" ca="1" si="395"/>
        <v/>
      </c>
      <c r="EA107" s="164" t="str">
        <f t="shared" ca="1" si="396"/>
        <v/>
      </c>
      <c r="EB107" s="164" t="str">
        <f t="shared" ca="1" si="397"/>
        <v/>
      </c>
      <c r="EC107" s="164" t="str">
        <f t="shared" ca="1" si="398"/>
        <v/>
      </c>
      <c r="ED107" s="164" t="str">
        <f t="shared" ca="1" si="399"/>
        <v/>
      </c>
      <c r="EE107" s="164" t="str">
        <f t="shared" ca="1" si="400"/>
        <v/>
      </c>
      <c r="EF107" s="164" t="str">
        <f t="shared" ca="1" si="401"/>
        <v/>
      </c>
      <c r="EG107" s="164" t="str">
        <f t="shared" ca="1" si="402"/>
        <v/>
      </c>
      <c r="EH107" s="164" t="str">
        <f t="shared" ca="1" si="403"/>
        <v/>
      </c>
      <c r="EI107" s="164" t="str">
        <f t="shared" ca="1" si="404"/>
        <v/>
      </c>
      <c r="EJ107" s="164" t="str">
        <f t="shared" ca="1" si="405"/>
        <v/>
      </c>
      <c r="EK107" s="164" t="str">
        <f t="shared" ca="1" si="406"/>
        <v/>
      </c>
      <c r="EL107" s="164" t="str">
        <f t="shared" ca="1" si="407"/>
        <v/>
      </c>
      <c r="EM107" s="164" t="str">
        <f t="shared" ca="1" si="408"/>
        <v/>
      </c>
      <c r="EN107" s="164" t="str">
        <f t="shared" ca="1" si="409"/>
        <v/>
      </c>
      <c r="EO107" s="164" t="str">
        <f t="shared" ca="1" si="410"/>
        <v/>
      </c>
      <c r="EP107" s="164" t="str">
        <f t="shared" ca="1" si="411"/>
        <v/>
      </c>
      <c r="EQ107" s="164" t="str">
        <f t="shared" ca="1" si="412"/>
        <v/>
      </c>
      <c r="ER107" s="164" t="str">
        <f t="shared" ca="1" si="413"/>
        <v/>
      </c>
      <c r="ES107" s="164" t="str">
        <f t="shared" ca="1" si="414"/>
        <v/>
      </c>
    </row>
    <row r="108" spans="1:149" x14ac:dyDescent="0.2">
      <c r="A108" s="89" t="str">
        <f t="shared" ca="1" si="415"/>
        <v/>
      </c>
      <c r="B108" s="317" t="str">
        <f t="shared" ca="1" si="324"/>
        <v/>
      </c>
      <c r="C108" s="609" t="str">
        <f t="shared" ca="1" si="325"/>
        <v/>
      </c>
      <c r="D108" s="1956" t="str">
        <f t="shared" ca="1" si="326"/>
        <v/>
      </c>
      <c r="E108" s="1956"/>
      <c r="F108" s="960"/>
      <c r="G108" s="485" t="str">
        <f t="shared" ca="1" si="327"/>
        <v/>
      </c>
      <c r="H108" s="983"/>
      <c r="I108" s="486"/>
      <c r="J108" s="326"/>
      <c r="K108" s="1886" t="str">
        <f t="shared" ca="1" si="328"/>
        <v/>
      </c>
      <c r="L108" s="1888"/>
      <c r="M108" s="296" t="str">
        <f t="shared" ca="1" si="307"/>
        <v/>
      </c>
      <c r="N108" s="1322"/>
      <c r="O108" s="1319"/>
      <c r="P108" s="957" t="str">
        <f t="shared" ca="1" si="329"/>
        <v/>
      </c>
      <c r="Q108" s="164">
        <f t="shared" si="330"/>
        <v>0</v>
      </c>
      <c r="R108" s="164">
        <f t="shared" ca="1" si="331"/>
        <v>0</v>
      </c>
      <c r="S108" s="164">
        <f t="shared" ca="1" si="332"/>
        <v>0</v>
      </c>
      <c r="T108" s="164">
        <f t="shared" ca="1" si="333"/>
        <v>0</v>
      </c>
      <c r="U108" s="164">
        <f t="shared" ca="1" si="334"/>
        <v>0</v>
      </c>
      <c r="V108" s="164">
        <f t="shared" ca="1" si="335"/>
        <v>0</v>
      </c>
      <c r="W108" s="164">
        <f t="shared" ca="1" si="336"/>
        <v>0</v>
      </c>
      <c r="X108" s="164">
        <f t="shared" ca="1" si="337"/>
        <v>0</v>
      </c>
      <c r="Y108" s="164">
        <f t="shared" ca="1" si="338"/>
        <v>0</v>
      </c>
      <c r="Z108" s="164">
        <f t="shared" ca="1" si="339"/>
        <v>0</v>
      </c>
      <c r="AA108" s="164">
        <f t="shared" ca="1" si="340"/>
        <v>0</v>
      </c>
      <c r="AB108" s="164">
        <f t="shared" ca="1" si="341"/>
        <v>0</v>
      </c>
      <c r="AC108" s="164">
        <f t="shared" ca="1" si="342"/>
        <v>0</v>
      </c>
      <c r="AD108" s="164">
        <f t="shared" ca="1" si="343"/>
        <v>0</v>
      </c>
      <c r="AE108" s="164">
        <f t="shared" ca="1" si="344"/>
        <v>0</v>
      </c>
      <c r="AF108" s="164">
        <f t="shared" ca="1" si="345"/>
        <v>0</v>
      </c>
      <c r="AG108" s="164">
        <f t="shared" ca="1" si="346"/>
        <v>0</v>
      </c>
      <c r="AH108" s="164">
        <f t="shared" ca="1" si="347"/>
        <v>0</v>
      </c>
      <c r="AI108" s="164">
        <f t="shared" ca="1" si="348"/>
        <v>0</v>
      </c>
      <c r="AJ108" s="164">
        <f t="shared" ca="1" si="349"/>
        <v>0</v>
      </c>
      <c r="AK108" s="164">
        <f t="shared" ca="1" si="350"/>
        <v>0</v>
      </c>
      <c r="AL108" s="164">
        <f t="shared" ca="1" si="351"/>
        <v>0</v>
      </c>
      <c r="AM108" s="208"/>
      <c r="AN108" s="164">
        <f t="shared" si="352"/>
        <v>0</v>
      </c>
      <c r="AO108" s="164">
        <f t="shared" ca="1" si="353"/>
        <v>0</v>
      </c>
      <c r="AP108" s="164">
        <f t="shared" ca="1" si="354"/>
        <v>0</v>
      </c>
      <c r="AQ108" s="164">
        <f t="shared" ca="1" si="355"/>
        <v>0</v>
      </c>
      <c r="AR108" s="164">
        <f t="shared" ca="1" si="356"/>
        <v>0</v>
      </c>
      <c r="AS108" s="164">
        <f t="shared" ca="1" si="357"/>
        <v>0</v>
      </c>
      <c r="AT108" s="164">
        <f t="shared" ca="1" si="358"/>
        <v>0</v>
      </c>
      <c r="AU108" s="164">
        <f t="shared" ca="1" si="359"/>
        <v>0</v>
      </c>
      <c r="AV108" s="164">
        <f t="shared" ca="1" si="360"/>
        <v>0</v>
      </c>
      <c r="AW108" s="164">
        <f t="shared" ca="1" si="361"/>
        <v>0</v>
      </c>
      <c r="AX108" s="164">
        <f t="shared" ca="1" si="362"/>
        <v>0</v>
      </c>
      <c r="AY108" s="164">
        <f t="shared" ca="1" si="363"/>
        <v>0</v>
      </c>
      <c r="AZ108" s="164">
        <f t="shared" ca="1" si="364"/>
        <v>0</v>
      </c>
      <c r="BA108" s="164">
        <f t="shared" ca="1" si="365"/>
        <v>0</v>
      </c>
      <c r="BB108" s="164">
        <f t="shared" ca="1" si="366"/>
        <v>0</v>
      </c>
      <c r="BC108" s="164">
        <f t="shared" ca="1" si="367"/>
        <v>0</v>
      </c>
      <c r="BD108" s="164">
        <f t="shared" ca="1" si="368"/>
        <v>0</v>
      </c>
      <c r="BE108" s="164">
        <f t="shared" ca="1" si="369"/>
        <v>0</v>
      </c>
      <c r="BF108" s="164">
        <f t="shared" ca="1" si="370"/>
        <v>0</v>
      </c>
      <c r="BG108" s="164">
        <f t="shared" ca="1" si="371"/>
        <v>0</v>
      </c>
      <c r="BH108" s="164">
        <f t="shared" ca="1" si="372"/>
        <v>0</v>
      </c>
      <c r="BI108" s="164">
        <f t="shared" ca="1" si="373"/>
        <v>0</v>
      </c>
      <c r="BJ108" s="164">
        <f t="shared" ca="1" si="374"/>
        <v>0</v>
      </c>
      <c r="BK108" s="164">
        <f t="shared" ca="1" si="375"/>
        <v>0</v>
      </c>
      <c r="BL108" s="164">
        <f t="shared" ca="1" si="376"/>
        <v>0</v>
      </c>
      <c r="BM108" s="164">
        <f t="shared" ca="1" si="377"/>
        <v>0</v>
      </c>
      <c r="BN108" s="164">
        <f t="shared" ca="1" si="378"/>
        <v>0</v>
      </c>
      <c r="BO108" s="356" t="str">
        <f t="shared" ca="1" si="379"/>
        <v/>
      </c>
      <c r="BP108" s="355" t="str">
        <f t="shared" ca="1" si="380"/>
        <v/>
      </c>
      <c r="BQ108" s="355" t="str">
        <f t="shared" ca="1" si="381"/>
        <v/>
      </c>
      <c r="BR108" s="348">
        <f t="shared" ca="1" si="312"/>
        <v>0</v>
      </c>
      <c r="BS108" s="348">
        <f t="shared" ca="1" si="313"/>
        <v>0</v>
      </c>
      <c r="BT108" s="610">
        <f t="shared" ca="1" si="382"/>
        <v>0</v>
      </c>
      <c r="BU108" s="357">
        <f t="shared" ca="1" si="383"/>
        <v>0</v>
      </c>
      <c r="BV108" s="357">
        <f t="shared" si="384"/>
        <v>0</v>
      </c>
      <c r="BW108" s="357">
        <f t="shared" si="385"/>
        <v>0</v>
      </c>
      <c r="BX108" s="357">
        <f t="shared" ca="1" si="386"/>
        <v>0</v>
      </c>
      <c r="BY108" s="357">
        <f t="shared" ca="1" si="316"/>
        <v>0</v>
      </c>
      <c r="BZ108" s="357"/>
      <c r="CA108" s="357">
        <f t="shared" ca="1" si="314"/>
        <v>0</v>
      </c>
      <c r="CB108" s="357" t="str">
        <f t="shared" ca="1" si="387"/>
        <v/>
      </c>
      <c r="CC108" s="358" t="str">
        <f t="shared" ca="1" si="317"/>
        <v/>
      </c>
      <c r="CD108" s="358" t="str">
        <f t="shared" ca="1" si="318"/>
        <v/>
      </c>
      <c r="CE108" s="357" t="str">
        <f t="shared" ca="1" si="416"/>
        <v>,,,,,,,,,,,,,,,,,,,,,,,,,,,,,,,,,,,,,,,,,,,,,,,,</v>
      </c>
      <c r="CF108" s="154" t="str">
        <f t="shared" si="315"/>
        <v/>
      </c>
      <c r="CG108" s="154">
        <f t="shared" ca="1" si="319"/>
        <v>0</v>
      </c>
      <c r="CH108" s="154"/>
      <c r="CI108" s="154"/>
      <c r="CJ108" s="154"/>
      <c r="CK108" s="154"/>
      <c r="CL108" s="154"/>
      <c r="CM108" s="154"/>
      <c r="CN108" t="s">
        <v>784</v>
      </c>
      <c r="CO108" s="169"/>
      <c r="CP108" s="169"/>
      <c r="CQ108" s="169"/>
      <c r="CR108" s="169"/>
      <c r="CS108" s="169"/>
      <c r="CT108" s="169"/>
      <c r="CU108" s="169"/>
      <c r="CV108" s="164" t="str">
        <f t="shared" ca="1" si="417"/>
        <v/>
      </c>
      <c r="CW108" s="164" t="str">
        <f t="shared" ca="1" si="417"/>
        <v/>
      </c>
      <c r="CX108" s="164" t="str">
        <f t="shared" ca="1" si="417"/>
        <v/>
      </c>
      <c r="CY108" s="164" t="str">
        <f t="shared" ca="1" si="417"/>
        <v/>
      </c>
      <c r="CZ108" s="164" t="str">
        <f t="shared" ca="1" si="417"/>
        <v/>
      </c>
      <c r="DA108" s="164" t="str">
        <f t="shared" ca="1" si="417"/>
        <v/>
      </c>
      <c r="DB108" s="164" t="str">
        <f t="shared" ca="1" si="417"/>
        <v/>
      </c>
      <c r="DC108" s="164" t="str">
        <f t="shared" ca="1" si="417"/>
        <v/>
      </c>
      <c r="DD108" s="164" t="str">
        <f t="shared" ca="1" si="417"/>
        <v/>
      </c>
      <c r="DE108" s="164" t="str">
        <f t="shared" ca="1" si="417"/>
        <v/>
      </c>
      <c r="DF108" s="164" t="str">
        <f t="shared" ca="1" si="418"/>
        <v/>
      </c>
      <c r="DG108" s="164" t="str">
        <f t="shared" ca="1" si="418"/>
        <v/>
      </c>
      <c r="DH108" s="164" t="str">
        <f t="shared" ca="1" si="418"/>
        <v/>
      </c>
      <c r="DI108" s="164" t="str">
        <f t="shared" ca="1" si="418"/>
        <v/>
      </c>
      <c r="DJ108" s="164" t="str">
        <f t="shared" ca="1" si="418"/>
        <v/>
      </c>
      <c r="DK108" s="164" t="str">
        <f t="shared" ca="1" si="418"/>
        <v/>
      </c>
      <c r="DL108" s="164" t="str">
        <f t="shared" ca="1" si="418"/>
        <v/>
      </c>
      <c r="DM108" s="164" t="str">
        <f t="shared" ca="1" si="418"/>
        <v/>
      </c>
      <c r="DN108" s="164" t="str">
        <f t="shared" ca="1" si="418"/>
        <v/>
      </c>
      <c r="DO108" s="164" t="str">
        <f t="shared" ca="1" si="418"/>
        <v/>
      </c>
      <c r="DP108" s="164" t="str">
        <f t="shared" ca="1" si="418"/>
        <v/>
      </c>
      <c r="DQ108" s="164" t="str">
        <f t="shared" ca="1" si="418"/>
        <v/>
      </c>
      <c r="DR108" s="208"/>
      <c r="DS108" s="164" t="str">
        <f t="shared" ca="1" si="388"/>
        <v/>
      </c>
      <c r="DT108" s="164" t="str">
        <f t="shared" ca="1" si="389"/>
        <v/>
      </c>
      <c r="DU108" s="164" t="str">
        <f t="shared" ca="1" si="390"/>
        <v/>
      </c>
      <c r="DV108" s="164" t="str">
        <f t="shared" ca="1" si="391"/>
        <v/>
      </c>
      <c r="DW108" s="164" t="str">
        <f t="shared" ca="1" si="392"/>
        <v/>
      </c>
      <c r="DX108" s="164" t="str">
        <f t="shared" ca="1" si="393"/>
        <v/>
      </c>
      <c r="DY108" s="164" t="str">
        <f t="shared" ca="1" si="394"/>
        <v/>
      </c>
      <c r="DZ108" s="164" t="str">
        <f t="shared" ca="1" si="395"/>
        <v/>
      </c>
      <c r="EA108" s="164" t="str">
        <f t="shared" ca="1" si="396"/>
        <v/>
      </c>
      <c r="EB108" s="164" t="str">
        <f t="shared" ca="1" si="397"/>
        <v/>
      </c>
      <c r="EC108" s="164" t="str">
        <f t="shared" ca="1" si="398"/>
        <v/>
      </c>
      <c r="ED108" s="164" t="str">
        <f t="shared" ca="1" si="399"/>
        <v/>
      </c>
      <c r="EE108" s="164" t="str">
        <f t="shared" ca="1" si="400"/>
        <v/>
      </c>
      <c r="EF108" s="164" t="str">
        <f t="shared" ca="1" si="401"/>
        <v/>
      </c>
      <c r="EG108" s="164" t="str">
        <f t="shared" ca="1" si="402"/>
        <v/>
      </c>
      <c r="EH108" s="164" t="str">
        <f t="shared" ca="1" si="403"/>
        <v/>
      </c>
      <c r="EI108" s="164" t="str">
        <f t="shared" ca="1" si="404"/>
        <v/>
      </c>
      <c r="EJ108" s="164" t="str">
        <f t="shared" ca="1" si="405"/>
        <v/>
      </c>
      <c r="EK108" s="164" t="str">
        <f t="shared" ca="1" si="406"/>
        <v/>
      </c>
      <c r="EL108" s="164" t="str">
        <f t="shared" ca="1" si="407"/>
        <v/>
      </c>
      <c r="EM108" s="164" t="str">
        <f t="shared" ca="1" si="408"/>
        <v/>
      </c>
      <c r="EN108" s="164" t="str">
        <f t="shared" ca="1" si="409"/>
        <v/>
      </c>
      <c r="EO108" s="164" t="str">
        <f t="shared" ca="1" si="410"/>
        <v/>
      </c>
      <c r="EP108" s="164" t="str">
        <f t="shared" ca="1" si="411"/>
        <v/>
      </c>
      <c r="EQ108" s="164" t="str">
        <f t="shared" ca="1" si="412"/>
        <v/>
      </c>
      <c r="ER108" s="164" t="str">
        <f t="shared" ca="1" si="413"/>
        <v/>
      </c>
      <c r="ES108" s="164" t="str">
        <f t="shared" ca="1" si="414"/>
        <v/>
      </c>
    </row>
    <row r="109" spans="1:149" x14ac:dyDescent="0.2">
      <c r="A109" s="89" t="str">
        <f t="shared" ca="1" si="415"/>
        <v/>
      </c>
      <c r="B109" s="317" t="str">
        <f t="shared" ca="1" si="324"/>
        <v/>
      </c>
      <c r="C109" s="609" t="str">
        <f t="shared" ca="1" si="325"/>
        <v/>
      </c>
      <c r="D109" s="1956" t="str">
        <f t="shared" ca="1" si="326"/>
        <v/>
      </c>
      <c r="E109" s="1956"/>
      <c r="F109" s="960"/>
      <c r="G109" s="485" t="str">
        <f t="shared" ca="1" si="327"/>
        <v/>
      </c>
      <c r="H109" s="983"/>
      <c r="I109" s="486"/>
      <c r="J109" s="326"/>
      <c r="K109" s="1886" t="str">
        <f t="shared" ca="1" si="328"/>
        <v/>
      </c>
      <c r="L109" s="1888"/>
      <c r="M109" s="296" t="str">
        <f t="shared" ca="1" si="307"/>
        <v/>
      </c>
      <c r="N109" s="1322"/>
      <c r="O109" s="1319"/>
      <c r="P109" s="957" t="str">
        <f t="shared" ca="1" si="329"/>
        <v/>
      </c>
      <c r="Q109" s="164">
        <f t="shared" si="330"/>
        <v>0</v>
      </c>
      <c r="R109" s="164">
        <f t="shared" ca="1" si="331"/>
        <v>0</v>
      </c>
      <c r="S109" s="164">
        <f t="shared" ca="1" si="332"/>
        <v>0</v>
      </c>
      <c r="T109" s="164">
        <f t="shared" ca="1" si="333"/>
        <v>0</v>
      </c>
      <c r="U109" s="164">
        <f t="shared" ca="1" si="334"/>
        <v>0</v>
      </c>
      <c r="V109" s="164">
        <f t="shared" ca="1" si="335"/>
        <v>0</v>
      </c>
      <c r="W109" s="164">
        <f t="shared" ca="1" si="336"/>
        <v>0</v>
      </c>
      <c r="X109" s="164">
        <f t="shared" ca="1" si="337"/>
        <v>0</v>
      </c>
      <c r="Y109" s="164">
        <f t="shared" ca="1" si="338"/>
        <v>0</v>
      </c>
      <c r="Z109" s="164">
        <f t="shared" ca="1" si="339"/>
        <v>0</v>
      </c>
      <c r="AA109" s="164">
        <f t="shared" ca="1" si="340"/>
        <v>0</v>
      </c>
      <c r="AB109" s="164">
        <f t="shared" ca="1" si="341"/>
        <v>0</v>
      </c>
      <c r="AC109" s="164">
        <f t="shared" ca="1" si="342"/>
        <v>0</v>
      </c>
      <c r="AD109" s="164">
        <f t="shared" ca="1" si="343"/>
        <v>0</v>
      </c>
      <c r="AE109" s="164">
        <f t="shared" ca="1" si="344"/>
        <v>0</v>
      </c>
      <c r="AF109" s="164">
        <f t="shared" ca="1" si="345"/>
        <v>0</v>
      </c>
      <c r="AG109" s="164">
        <f t="shared" ca="1" si="346"/>
        <v>0</v>
      </c>
      <c r="AH109" s="164">
        <f t="shared" ca="1" si="347"/>
        <v>0</v>
      </c>
      <c r="AI109" s="164">
        <f t="shared" ca="1" si="348"/>
        <v>0</v>
      </c>
      <c r="AJ109" s="164">
        <f t="shared" ca="1" si="349"/>
        <v>0</v>
      </c>
      <c r="AK109" s="164">
        <f t="shared" ca="1" si="350"/>
        <v>0</v>
      </c>
      <c r="AL109" s="164">
        <f t="shared" ca="1" si="351"/>
        <v>0</v>
      </c>
      <c r="AM109" s="208"/>
      <c r="AN109" s="164">
        <f t="shared" si="352"/>
        <v>0</v>
      </c>
      <c r="AO109" s="164">
        <f t="shared" ca="1" si="353"/>
        <v>0</v>
      </c>
      <c r="AP109" s="164">
        <f t="shared" ca="1" si="354"/>
        <v>0</v>
      </c>
      <c r="AQ109" s="164">
        <f t="shared" ca="1" si="355"/>
        <v>0</v>
      </c>
      <c r="AR109" s="164">
        <f t="shared" ca="1" si="356"/>
        <v>0</v>
      </c>
      <c r="AS109" s="164">
        <f t="shared" ca="1" si="357"/>
        <v>0</v>
      </c>
      <c r="AT109" s="164">
        <f t="shared" ca="1" si="358"/>
        <v>0</v>
      </c>
      <c r="AU109" s="164">
        <f t="shared" ca="1" si="359"/>
        <v>0</v>
      </c>
      <c r="AV109" s="164">
        <f t="shared" ca="1" si="360"/>
        <v>0</v>
      </c>
      <c r="AW109" s="164">
        <f t="shared" ca="1" si="361"/>
        <v>0</v>
      </c>
      <c r="AX109" s="164">
        <f t="shared" ca="1" si="362"/>
        <v>0</v>
      </c>
      <c r="AY109" s="164">
        <f t="shared" ca="1" si="363"/>
        <v>0</v>
      </c>
      <c r="AZ109" s="164">
        <f t="shared" ca="1" si="364"/>
        <v>0</v>
      </c>
      <c r="BA109" s="164">
        <f t="shared" ca="1" si="365"/>
        <v>0</v>
      </c>
      <c r="BB109" s="164">
        <f t="shared" ca="1" si="366"/>
        <v>0</v>
      </c>
      <c r="BC109" s="164">
        <f t="shared" ca="1" si="367"/>
        <v>0</v>
      </c>
      <c r="BD109" s="164">
        <f t="shared" ca="1" si="368"/>
        <v>0</v>
      </c>
      <c r="BE109" s="164">
        <f t="shared" ca="1" si="369"/>
        <v>0</v>
      </c>
      <c r="BF109" s="164">
        <f t="shared" ca="1" si="370"/>
        <v>0</v>
      </c>
      <c r="BG109" s="164">
        <f t="shared" ca="1" si="371"/>
        <v>0</v>
      </c>
      <c r="BH109" s="164">
        <f t="shared" ca="1" si="372"/>
        <v>0</v>
      </c>
      <c r="BI109" s="164">
        <f t="shared" ca="1" si="373"/>
        <v>0</v>
      </c>
      <c r="BJ109" s="164">
        <f t="shared" ca="1" si="374"/>
        <v>0</v>
      </c>
      <c r="BK109" s="164">
        <f t="shared" ca="1" si="375"/>
        <v>0</v>
      </c>
      <c r="BL109" s="164">
        <f t="shared" ca="1" si="376"/>
        <v>0</v>
      </c>
      <c r="BM109" s="164">
        <f t="shared" ca="1" si="377"/>
        <v>0</v>
      </c>
      <c r="BN109" s="164">
        <f t="shared" ca="1" si="378"/>
        <v>0</v>
      </c>
      <c r="BO109" s="356" t="str">
        <f t="shared" ca="1" si="379"/>
        <v/>
      </c>
      <c r="BP109" s="355" t="str">
        <f t="shared" ca="1" si="380"/>
        <v/>
      </c>
      <c r="BQ109" s="355" t="str">
        <f t="shared" ca="1" si="381"/>
        <v/>
      </c>
      <c r="BR109" s="348">
        <f t="shared" ca="1" si="312"/>
        <v>0</v>
      </c>
      <c r="BS109" s="348">
        <f t="shared" ca="1" si="313"/>
        <v>0</v>
      </c>
      <c r="BT109" s="610">
        <f t="shared" ca="1" si="382"/>
        <v>0</v>
      </c>
      <c r="BU109" s="357">
        <f t="shared" ca="1" si="383"/>
        <v>0</v>
      </c>
      <c r="BV109" s="357">
        <f t="shared" si="384"/>
        <v>0</v>
      </c>
      <c r="BW109" s="357">
        <f t="shared" si="385"/>
        <v>0</v>
      </c>
      <c r="BX109" s="357">
        <f t="shared" ca="1" si="386"/>
        <v>0</v>
      </c>
      <c r="BY109" s="357">
        <f t="shared" ca="1" si="316"/>
        <v>0</v>
      </c>
      <c r="BZ109" s="357"/>
      <c r="CA109" s="357">
        <f t="shared" ca="1" si="314"/>
        <v>0</v>
      </c>
      <c r="CB109" s="357" t="str">
        <f t="shared" ca="1" si="387"/>
        <v/>
      </c>
      <c r="CC109" s="358" t="str">
        <f t="shared" ca="1" si="317"/>
        <v/>
      </c>
      <c r="CD109" s="358" t="str">
        <f t="shared" ca="1" si="318"/>
        <v/>
      </c>
      <c r="CE109" s="357" t="str">
        <f t="shared" ca="1" si="416"/>
        <v>,,,,,,,,,,,,,,,,,,,,,,,,,,,,,,,,,,,,,,,,,,,,,,,,,</v>
      </c>
      <c r="CF109" s="154" t="str">
        <f t="shared" si="315"/>
        <v/>
      </c>
      <c r="CG109" s="154">
        <f t="shared" ca="1" si="319"/>
        <v>0</v>
      </c>
      <c r="CH109" s="154"/>
      <c r="CI109" s="154"/>
      <c r="CJ109" s="154"/>
      <c r="CK109" s="154"/>
      <c r="CL109" s="154"/>
      <c r="CM109" s="154"/>
      <c r="CN109" t="s">
        <v>784</v>
      </c>
      <c r="CO109" s="169"/>
      <c r="CP109" s="169"/>
      <c r="CQ109" s="169"/>
      <c r="CR109" s="169"/>
      <c r="CS109" s="169"/>
      <c r="CT109" s="169"/>
      <c r="CU109" s="169"/>
      <c r="CV109" s="164" t="str">
        <f t="shared" ca="1" si="417"/>
        <v/>
      </c>
      <c r="CW109" s="164" t="str">
        <f t="shared" ca="1" si="417"/>
        <v/>
      </c>
      <c r="CX109" s="164" t="str">
        <f t="shared" ca="1" si="417"/>
        <v/>
      </c>
      <c r="CY109" s="164" t="str">
        <f t="shared" ca="1" si="417"/>
        <v/>
      </c>
      <c r="CZ109" s="164" t="str">
        <f t="shared" ca="1" si="417"/>
        <v/>
      </c>
      <c r="DA109" s="164" t="str">
        <f t="shared" ca="1" si="417"/>
        <v/>
      </c>
      <c r="DB109" s="164" t="str">
        <f t="shared" ca="1" si="417"/>
        <v/>
      </c>
      <c r="DC109" s="164" t="str">
        <f t="shared" ca="1" si="417"/>
        <v/>
      </c>
      <c r="DD109" s="164" t="str">
        <f t="shared" ca="1" si="417"/>
        <v/>
      </c>
      <c r="DE109" s="164" t="str">
        <f t="shared" ca="1" si="417"/>
        <v/>
      </c>
      <c r="DF109" s="164" t="str">
        <f t="shared" ca="1" si="418"/>
        <v/>
      </c>
      <c r="DG109" s="164" t="str">
        <f t="shared" ca="1" si="418"/>
        <v/>
      </c>
      <c r="DH109" s="164" t="str">
        <f t="shared" ca="1" si="418"/>
        <v/>
      </c>
      <c r="DI109" s="164" t="str">
        <f t="shared" ca="1" si="418"/>
        <v/>
      </c>
      <c r="DJ109" s="164" t="str">
        <f t="shared" ca="1" si="418"/>
        <v/>
      </c>
      <c r="DK109" s="164" t="str">
        <f t="shared" ca="1" si="418"/>
        <v/>
      </c>
      <c r="DL109" s="164" t="str">
        <f t="shared" ca="1" si="418"/>
        <v/>
      </c>
      <c r="DM109" s="164" t="str">
        <f t="shared" ca="1" si="418"/>
        <v/>
      </c>
      <c r="DN109" s="164" t="str">
        <f t="shared" ca="1" si="418"/>
        <v/>
      </c>
      <c r="DO109" s="164" t="str">
        <f t="shared" ca="1" si="418"/>
        <v/>
      </c>
      <c r="DP109" s="164" t="str">
        <f t="shared" ca="1" si="418"/>
        <v/>
      </c>
      <c r="DQ109" s="164" t="str">
        <f t="shared" ca="1" si="418"/>
        <v/>
      </c>
      <c r="DR109" s="208"/>
      <c r="DS109" s="164" t="str">
        <f t="shared" ca="1" si="388"/>
        <v/>
      </c>
      <c r="DT109" s="164" t="str">
        <f t="shared" ca="1" si="389"/>
        <v/>
      </c>
      <c r="DU109" s="164" t="str">
        <f t="shared" ca="1" si="390"/>
        <v/>
      </c>
      <c r="DV109" s="164" t="str">
        <f t="shared" ca="1" si="391"/>
        <v/>
      </c>
      <c r="DW109" s="164" t="str">
        <f t="shared" ca="1" si="392"/>
        <v/>
      </c>
      <c r="DX109" s="164" t="str">
        <f t="shared" ca="1" si="393"/>
        <v/>
      </c>
      <c r="DY109" s="164" t="str">
        <f t="shared" ca="1" si="394"/>
        <v/>
      </c>
      <c r="DZ109" s="164" t="str">
        <f t="shared" ca="1" si="395"/>
        <v/>
      </c>
      <c r="EA109" s="164" t="str">
        <f t="shared" ca="1" si="396"/>
        <v/>
      </c>
      <c r="EB109" s="164" t="str">
        <f t="shared" ca="1" si="397"/>
        <v/>
      </c>
      <c r="EC109" s="164" t="str">
        <f t="shared" ca="1" si="398"/>
        <v/>
      </c>
      <c r="ED109" s="164" t="str">
        <f t="shared" ca="1" si="399"/>
        <v/>
      </c>
      <c r="EE109" s="164" t="str">
        <f t="shared" ca="1" si="400"/>
        <v/>
      </c>
      <c r="EF109" s="164" t="str">
        <f t="shared" ca="1" si="401"/>
        <v/>
      </c>
      <c r="EG109" s="164" t="str">
        <f t="shared" ca="1" si="402"/>
        <v/>
      </c>
      <c r="EH109" s="164" t="str">
        <f t="shared" ca="1" si="403"/>
        <v/>
      </c>
      <c r="EI109" s="164" t="str">
        <f t="shared" ca="1" si="404"/>
        <v/>
      </c>
      <c r="EJ109" s="164" t="str">
        <f t="shared" ca="1" si="405"/>
        <v/>
      </c>
      <c r="EK109" s="164" t="str">
        <f t="shared" ca="1" si="406"/>
        <v/>
      </c>
      <c r="EL109" s="164" t="str">
        <f t="shared" ca="1" si="407"/>
        <v/>
      </c>
      <c r="EM109" s="164" t="str">
        <f t="shared" ca="1" si="408"/>
        <v/>
      </c>
      <c r="EN109" s="164" t="str">
        <f t="shared" ca="1" si="409"/>
        <v/>
      </c>
      <c r="EO109" s="164" t="str">
        <f t="shared" ca="1" si="410"/>
        <v/>
      </c>
      <c r="EP109" s="164" t="str">
        <f t="shared" ca="1" si="411"/>
        <v/>
      </c>
      <c r="EQ109" s="164" t="str">
        <f t="shared" ca="1" si="412"/>
        <v/>
      </c>
      <c r="ER109" s="164" t="str">
        <f t="shared" ca="1" si="413"/>
        <v/>
      </c>
      <c r="ES109" s="164" t="str">
        <f t="shared" ca="1" si="414"/>
        <v/>
      </c>
    </row>
    <row r="110" spans="1:149" x14ac:dyDescent="0.2">
      <c r="A110" s="89" t="str">
        <f t="shared" ca="1" si="415"/>
        <v/>
      </c>
      <c r="B110" s="317" t="str">
        <f t="shared" ca="1" si="324"/>
        <v/>
      </c>
      <c r="C110" s="609" t="str">
        <f t="shared" ca="1" si="325"/>
        <v/>
      </c>
      <c r="D110" s="1956" t="str">
        <f t="shared" ca="1" si="326"/>
        <v/>
      </c>
      <c r="E110" s="1956"/>
      <c r="F110" s="960"/>
      <c r="G110" s="485" t="str">
        <f t="shared" ca="1" si="327"/>
        <v/>
      </c>
      <c r="H110" s="983"/>
      <c r="I110" s="486"/>
      <c r="J110" s="326"/>
      <c r="K110" s="1886" t="str">
        <f t="shared" ca="1" si="328"/>
        <v/>
      </c>
      <c r="L110" s="1888"/>
      <c r="M110" s="296" t="str">
        <f t="shared" ca="1" si="307"/>
        <v/>
      </c>
      <c r="N110" s="1322"/>
      <c r="O110" s="1319"/>
      <c r="P110" s="957" t="str">
        <f t="shared" ca="1" si="329"/>
        <v/>
      </c>
      <c r="Q110" s="164">
        <f t="shared" si="330"/>
        <v>0</v>
      </c>
      <c r="R110" s="164">
        <f t="shared" ca="1" si="331"/>
        <v>0</v>
      </c>
      <c r="S110" s="164">
        <f t="shared" ca="1" si="332"/>
        <v>0</v>
      </c>
      <c r="T110" s="164">
        <f t="shared" ca="1" si="333"/>
        <v>0</v>
      </c>
      <c r="U110" s="164">
        <f t="shared" ca="1" si="334"/>
        <v>0</v>
      </c>
      <c r="V110" s="164">
        <f t="shared" ca="1" si="335"/>
        <v>0</v>
      </c>
      <c r="W110" s="164">
        <f t="shared" ca="1" si="336"/>
        <v>0</v>
      </c>
      <c r="X110" s="164">
        <f t="shared" ca="1" si="337"/>
        <v>0</v>
      </c>
      <c r="Y110" s="164">
        <f t="shared" ca="1" si="338"/>
        <v>0</v>
      </c>
      <c r="Z110" s="164">
        <f t="shared" ca="1" si="339"/>
        <v>0</v>
      </c>
      <c r="AA110" s="164">
        <f t="shared" ca="1" si="340"/>
        <v>0</v>
      </c>
      <c r="AB110" s="164">
        <f t="shared" ca="1" si="341"/>
        <v>0</v>
      </c>
      <c r="AC110" s="164">
        <f t="shared" ca="1" si="342"/>
        <v>0</v>
      </c>
      <c r="AD110" s="164">
        <f t="shared" ca="1" si="343"/>
        <v>0</v>
      </c>
      <c r="AE110" s="164">
        <f t="shared" ca="1" si="344"/>
        <v>0</v>
      </c>
      <c r="AF110" s="164">
        <f t="shared" ca="1" si="345"/>
        <v>0</v>
      </c>
      <c r="AG110" s="164">
        <f t="shared" ca="1" si="346"/>
        <v>0</v>
      </c>
      <c r="AH110" s="164">
        <f t="shared" ca="1" si="347"/>
        <v>0</v>
      </c>
      <c r="AI110" s="164">
        <f t="shared" ca="1" si="348"/>
        <v>0</v>
      </c>
      <c r="AJ110" s="164">
        <f t="shared" ca="1" si="349"/>
        <v>0</v>
      </c>
      <c r="AK110" s="164">
        <f t="shared" ca="1" si="350"/>
        <v>0</v>
      </c>
      <c r="AL110" s="164">
        <f t="shared" ca="1" si="351"/>
        <v>0</v>
      </c>
      <c r="AM110" s="208"/>
      <c r="AN110" s="164">
        <f t="shared" si="352"/>
        <v>0</v>
      </c>
      <c r="AO110" s="164">
        <f t="shared" ca="1" si="353"/>
        <v>0</v>
      </c>
      <c r="AP110" s="164">
        <f t="shared" ca="1" si="354"/>
        <v>0</v>
      </c>
      <c r="AQ110" s="164">
        <f t="shared" ca="1" si="355"/>
        <v>0</v>
      </c>
      <c r="AR110" s="164">
        <f t="shared" ca="1" si="356"/>
        <v>0</v>
      </c>
      <c r="AS110" s="164">
        <f t="shared" ca="1" si="357"/>
        <v>0</v>
      </c>
      <c r="AT110" s="164">
        <f t="shared" ca="1" si="358"/>
        <v>0</v>
      </c>
      <c r="AU110" s="164">
        <f t="shared" ca="1" si="359"/>
        <v>0</v>
      </c>
      <c r="AV110" s="164">
        <f t="shared" ca="1" si="360"/>
        <v>0</v>
      </c>
      <c r="AW110" s="164">
        <f t="shared" ca="1" si="361"/>
        <v>0</v>
      </c>
      <c r="AX110" s="164">
        <f t="shared" ca="1" si="362"/>
        <v>0</v>
      </c>
      <c r="AY110" s="164">
        <f t="shared" ca="1" si="363"/>
        <v>0</v>
      </c>
      <c r="AZ110" s="164">
        <f t="shared" ca="1" si="364"/>
        <v>0</v>
      </c>
      <c r="BA110" s="164">
        <f t="shared" ca="1" si="365"/>
        <v>0</v>
      </c>
      <c r="BB110" s="164">
        <f t="shared" ca="1" si="366"/>
        <v>0</v>
      </c>
      <c r="BC110" s="164">
        <f t="shared" ca="1" si="367"/>
        <v>0</v>
      </c>
      <c r="BD110" s="164">
        <f t="shared" ca="1" si="368"/>
        <v>0</v>
      </c>
      <c r="BE110" s="164">
        <f t="shared" ca="1" si="369"/>
        <v>0</v>
      </c>
      <c r="BF110" s="164">
        <f t="shared" ca="1" si="370"/>
        <v>0</v>
      </c>
      <c r="BG110" s="164">
        <f t="shared" ca="1" si="371"/>
        <v>0</v>
      </c>
      <c r="BH110" s="164">
        <f t="shared" ca="1" si="372"/>
        <v>0</v>
      </c>
      <c r="BI110" s="164">
        <f t="shared" ca="1" si="373"/>
        <v>0</v>
      </c>
      <c r="BJ110" s="164">
        <f t="shared" ca="1" si="374"/>
        <v>0</v>
      </c>
      <c r="BK110" s="164">
        <f t="shared" ca="1" si="375"/>
        <v>0</v>
      </c>
      <c r="BL110" s="164">
        <f t="shared" ca="1" si="376"/>
        <v>0</v>
      </c>
      <c r="BM110" s="164">
        <f t="shared" ca="1" si="377"/>
        <v>0</v>
      </c>
      <c r="BN110" s="164">
        <f t="shared" ca="1" si="378"/>
        <v>0</v>
      </c>
      <c r="BO110" s="356" t="str">
        <f t="shared" ca="1" si="379"/>
        <v/>
      </c>
      <c r="BP110" s="355" t="str">
        <f t="shared" ca="1" si="380"/>
        <v/>
      </c>
      <c r="BQ110" s="355" t="str">
        <f t="shared" ca="1" si="381"/>
        <v/>
      </c>
      <c r="BR110" s="348">
        <f t="shared" ca="1" si="312"/>
        <v>0</v>
      </c>
      <c r="BS110" s="348">
        <f t="shared" ca="1" si="313"/>
        <v>0</v>
      </c>
      <c r="BT110" s="610">
        <f t="shared" ca="1" si="382"/>
        <v>0</v>
      </c>
      <c r="BU110" s="357">
        <f t="shared" ca="1" si="383"/>
        <v>0</v>
      </c>
      <c r="BV110" s="357">
        <f t="shared" si="384"/>
        <v>0</v>
      </c>
      <c r="BW110" s="357">
        <f t="shared" si="385"/>
        <v>0</v>
      </c>
      <c r="BX110" s="357">
        <f t="shared" ca="1" si="386"/>
        <v>0</v>
      </c>
      <c r="BY110" s="357">
        <f t="shared" ca="1" si="316"/>
        <v>0</v>
      </c>
      <c r="BZ110" s="357"/>
      <c r="CA110" s="357">
        <f t="shared" ca="1" si="314"/>
        <v>0</v>
      </c>
      <c r="CB110" s="357" t="str">
        <f t="shared" ca="1" si="387"/>
        <v/>
      </c>
      <c r="CC110" s="358" t="str">
        <f t="shared" ca="1" si="317"/>
        <v/>
      </c>
      <c r="CD110" s="358" t="str">
        <f t="shared" ca="1" si="318"/>
        <v/>
      </c>
      <c r="CE110" s="357" t="str">
        <f t="shared" ca="1" si="416"/>
        <v>,,,,,,,,,,,,,,,,,,,,,,,,,,,,,,,,,,,,,,,,,,,,,,,,,,</v>
      </c>
      <c r="CF110" s="154" t="str">
        <f t="shared" si="315"/>
        <v/>
      </c>
      <c r="CG110" s="154">
        <f t="shared" ca="1" si="319"/>
        <v>0</v>
      </c>
      <c r="CH110" s="154"/>
      <c r="CI110" s="154"/>
      <c r="CJ110" s="154"/>
      <c r="CK110" s="154"/>
      <c r="CL110" s="154"/>
      <c r="CM110" s="154"/>
      <c r="CN110" t="s">
        <v>784</v>
      </c>
      <c r="CO110" s="169"/>
      <c r="CP110" s="169"/>
      <c r="CQ110" s="169"/>
      <c r="CR110" s="169"/>
      <c r="CS110" s="169"/>
      <c r="CT110" s="169"/>
      <c r="CU110" s="169"/>
      <c r="CV110" s="164" t="str">
        <f t="shared" ca="1" si="417"/>
        <v/>
      </c>
      <c r="CW110" s="164" t="str">
        <f t="shared" ca="1" si="417"/>
        <v/>
      </c>
      <c r="CX110" s="164" t="str">
        <f t="shared" ca="1" si="417"/>
        <v/>
      </c>
      <c r="CY110" s="164" t="str">
        <f t="shared" ca="1" si="417"/>
        <v/>
      </c>
      <c r="CZ110" s="164" t="str">
        <f t="shared" ca="1" si="417"/>
        <v/>
      </c>
      <c r="DA110" s="164" t="str">
        <f t="shared" ca="1" si="417"/>
        <v/>
      </c>
      <c r="DB110" s="164" t="str">
        <f t="shared" ca="1" si="417"/>
        <v/>
      </c>
      <c r="DC110" s="164" t="str">
        <f t="shared" ca="1" si="417"/>
        <v/>
      </c>
      <c r="DD110" s="164" t="str">
        <f t="shared" ca="1" si="417"/>
        <v/>
      </c>
      <c r="DE110" s="164" t="str">
        <f t="shared" ca="1" si="417"/>
        <v/>
      </c>
      <c r="DF110" s="164" t="str">
        <f t="shared" ca="1" si="418"/>
        <v/>
      </c>
      <c r="DG110" s="164" t="str">
        <f t="shared" ca="1" si="418"/>
        <v/>
      </c>
      <c r="DH110" s="164" t="str">
        <f t="shared" ca="1" si="418"/>
        <v/>
      </c>
      <c r="DI110" s="164" t="str">
        <f t="shared" ca="1" si="418"/>
        <v/>
      </c>
      <c r="DJ110" s="164" t="str">
        <f t="shared" ca="1" si="418"/>
        <v/>
      </c>
      <c r="DK110" s="164" t="str">
        <f t="shared" ca="1" si="418"/>
        <v/>
      </c>
      <c r="DL110" s="164" t="str">
        <f t="shared" ca="1" si="418"/>
        <v/>
      </c>
      <c r="DM110" s="164" t="str">
        <f t="shared" ca="1" si="418"/>
        <v/>
      </c>
      <c r="DN110" s="164" t="str">
        <f t="shared" ca="1" si="418"/>
        <v/>
      </c>
      <c r="DO110" s="164" t="str">
        <f t="shared" ca="1" si="418"/>
        <v/>
      </c>
      <c r="DP110" s="164" t="str">
        <f t="shared" ca="1" si="418"/>
        <v/>
      </c>
      <c r="DQ110" s="164" t="str">
        <f t="shared" ca="1" si="418"/>
        <v/>
      </c>
      <c r="DR110" s="208"/>
      <c r="DS110" s="164" t="str">
        <f t="shared" ca="1" si="388"/>
        <v/>
      </c>
      <c r="DT110" s="164" t="str">
        <f t="shared" ca="1" si="389"/>
        <v/>
      </c>
      <c r="DU110" s="164" t="str">
        <f t="shared" ca="1" si="390"/>
        <v/>
      </c>
      <c r="DV110" s="164" t="str">
        <f t="shared" ca="1" si="391"/>
        <v/>
      </c>
      <c r="DW110" s="164" t="str">
        <f t="shared" ca="1" si="392"/>
        <v/>
      </c>
      <c r="DX110" s="164" t="str">
        <f t="shared" ca="1" si="393"/>
        <v/>
      </c>
      <c r="DY110" s="164" t="str">
        <f t="shared" ca="1" si="394"/>
        <v/>
      </c>
      <c r="DZ110" s="164" t="str">
        <f t="shared" ca="1" si="395"/>
        <v/>
      </c>
      <c r="EA110" s="164" t="str">
        <f t="shared" ca="1" si="396"/>
        <v/>
      </c>
      <c r="EB110" s="164" t="str">
        <f t="shared" ca="1" si="397"/>
        <v/>
      </c>
      <c r="EC110" s="164" t="str">
        <f t="shared" ca="1" si="398"/>
        <v/>
      </c>
      <c r="ED110" s="164" t="str">
        <f t="shared" ca="1" si="399"/>
        <v/>
      </c>
      <c r="EE110" s="164" t="str">
        <f t="shared" ca="1" si="400"/>
        <v/>
      </c>
      <c r="EF110" s="164" t="str">
        <f t="shared" ca="1" si="401"/>
        <v/>
      </c>
      <c r="EG110" s="164" t="str">
        <f t="shared" ca="1" si="402"/>
        <v/>
      </c>
      <c r="EH110" s="164" t="str">
        <f t="shared" ca="1" si="403"/>
        <v/>
      </c>
      <c r="EI110" s="164" t="str">
        <f t="shared" ca="1" si="404"/>
        <v/>
      </c>
      <c r="EJ110" s="164" t="str">
        <f t="shared" ca="1" si="405"/>
        <v/>
      </c>
      <c r="EK110" s="164" t="str">
        <f t="shared" ca="1" si="406"/>
        <v/>
      </c>
      <c r="EL110" s="164" t="str">
        <f t="shared" ca="1" si="407"/>
        <v/>
      </c>
      <c r="EM110" s="164" t="str">
        <f t="shared" ca="1" si="408"/>
        <v/>
      </c>
      <c r="EN110" s="164" t="str">
        <f t="shared" ca="1" si="409"/>
        <v/>
      </c>
      <c r="EO110" s="164" t="str">
        <f t="shared" ca="1" si="410"/>
        <v/>
      </c>
      <c r="EP110" s="164" t="str">
        <f t="shared" ca="1" si="411"/>
        <v/>
      </c>
      <c r="EQ110" s="164" t="str">
        <f t="shared" ca="1" si="412"/>
        <v/>
      </c>
      <c r="ER110" s="164" t="str">
        <f t="shared" ca="1" si="413"/>
        <v/>
      </c>
      <c r="ES110" s="164" t="str">
        <f t="shared" ca="1" si="414"/>
        <v/>
      </c>
    </row>
    <row r="111" spans="1:149" x14ac:dyDescent="0.2">
      <c r="A111" s="89" t="str">
        <f t="shared" ca="1" si="415"/>
        <v/>
      </c>
      <c r="B111" s="317" t="str">
        <f t="shared" ca="1" si="324"/>
        <v/>
      </c>
      <c r="C111" s="609" t="str">
        <f t="shared" ca="1" si="325"/>
        <v/>
      </c>
      <c r="D111" s="1956" t="str">
        <f t="shared" ca="1" si="326"/>
        <v/>
      </c>
      <c r="E111" s="1956"/>
      <c r="F111" s="960"/>
      <c r="G111" s="485" t="str">
        <f t="shared" ca="1" si="327"/>
        <v/>
      </c>
      <c r="H111" s="983"/>
      <c r="I111" s="486"/>
      <c r="J111" s="326"/>
      <c r="K111" s="1886" t="str">
        <f t="shared" ca="1" si="328"/>
        <v/>
      </c>
      <c r="L111" s="1888"/>
      <c r="M111" s="296" t="str">
        <f t="shared" ca="1" si="307"/>
        <v/>
      </c>
      <c r="N111" s="1322"/>
      <c r="O111" s="1319"/>
      <c r="P111" s="957" t="str">
        <f t="shared" ca="1" si="329"/>
        <v/>
      </c>
      <c r="Q111" s="164">
        <f t="shared" si="330"/>
        <v>0</v>
      </c>
      <c r="R111" s="164">
        <f t="shared" ca="1" si="331"/>
        <v>0</v>
      </c>
      <c r="S111" s="164">
        <f t="shared" ca="1" si="332"/>
        <v>0</v>
      </c>
      <c r="T111" s="164">
        <f t="shared" ca="1" si="333"/>
        <v>0</v>
      </c>
      <c r="U111" s="164">
        <f t="shared" ca="1" si="334"/>
        <v>0</v>
      </c>
      <c r="V111" s="164">
        <f t="shared" ca="1" si="335"/>
        <v>0</v>
      </c>
      <c r="W111" s="164">
        <f t="shared" ca="1" si="336"/>
        <v>0</v>
      </c>
      <c r="X111" s="164">
        <f t="shared" ca="1" si="337"/>
        <v>0</v>
      </c>
      <c r="Y111" s="164">
        <f t="shared" ca="1" si="338"/>
        <v>0</v>
      </c>
      <c r="Z111" s="164">
        <f t="shared" ca="1" si="339"/>
        <v>0</v>
      </c>
      <c r="AA111" s="164">
        <f t="shared" ca="1" si="340"/>
        <v>0</v>
      </c>
      <c r="AB111" s="164">
        <f t="shared" ca="1" si="341"/>
        <v>0</v>
      </c>
      <c r="AC111" s="164">
        <f t="shared" ca="1" si="342"/>
        <v>0</v>
      </c>
      <c r="AD111" s="164">
        <f t="shared" ca="1" si="343"/>
        <v>0</v>
      </c>
      <c r="AE111" s="164">
        <f t="shared" ca="1" si="344"/>
        <v>0</v>
      </c>
      <c r="AF111" s="164">
        <f t="shared" ca="1" si="345"/>
        <v>0</v>
      </c>
      <c r="AG111" s="164">
        <f t="shared" ca="1" si="346"/>
        <v>0</v>
      </c>
      <c r="AH111" s="164">
        <f t="shared" ca="1" si="347"/>
        <v>0</v>
      </c>
      <c r="AI111" s="164">
        <f t="shared" ca="1" si="348"/>
        <v>0</v>
      </c>
      <c r="AJ111" s="164">
        <f t="shared" ca="1" si="349"/>
        <v>0</v>
      </c>
      <c r="AK111" s="164">
        <f t="shared" ca="1" si="350"/>
        <v>0</v>
      </c>
      <c r="AL111" s="164">
        <f t="shared" ca="1" si="351"/>
        <v>0</v>
      </c>
      <c r="AM111" s="208"/>
      <c r="AN111" s="164">
        <f t="shared" si="352"/>
        <v>0</v>
      </c>
      <c r="AO111" s="164">
        <f t="shared" ca="1" si="353"/>
        <v>0</v>
      </c>
      <c r="AP111" s="164">
        <f t="shared" ca="1" si="354"/>
        <v>0</v>
      </c>
      <c r="AQ111" s="164">
        <f t="shared" ca="1" si="355"/>
        <v>0</v>
      </c>
      <c r="AR111" s="164">
        <f t="shared" ca="1" si="356"/>
        <v>0</v>
      </c>
      <c r="AS111" s="164">
        <f t="shared" ca="1" si="357"/>
        <v>0</v>
      </c>
      <c r="AT111" s="164">
        <f t="shared" ca="1" si="358"/>
        <v>0</v>
      </c>
      <c r="AU111" s="164">
        <f t="shared" ca="1" si="359"/>
        <v>0</v>
      </c>
      <c r="AV111" s="164">
        <f t="shared" ca="1" si="360"/>
        <v>0</v>
      </c>
      <c r="AW111" s="164">
        <f t="shared" ca="1" si="361"/>
        <v>0</v>
      </c>
      <c r="AX111" s="164">
        <f t="shared" ca="1" si="362"/>
        <v>0</v>
      </c>
      <c r="AY111" s="164">
        <f t="shared" ca="1" si="363"/>
        <v>0</v>
      </c>
      <c r="AZ111" s="164">
        <f t="shared" ca="1" si="364"/>
        <v>0</v>
      </c>
      <c r="BA111" s="164">
        <f t="shared" ca="1" si="365"/>
        <v>0</v>
      </c>
      <c r="BB111" s="164">
        <f t="shared" ca="1" si="366"/>
        <v>0</v>
      </c>
      <c r="BC111" s="164">
        <f t="shared" ca="1" si="367"/>
        <v>0</v>
      </c>
      <c r="BD111" s="164">
        <f t="shared" ca="1" si="368"/>
        <v>0</v>
      </c>
      <c r="BE111" s="164">
        <f t="shared" ca="1" si="369"/>
        <v>0</v>
      </c>
      <c r="BF111" s="164">
        <f t="shared" ca="1" si="370"/>
        <v>0</v>
      </c>
      <c r="BG111" s="164">
        <f t="shared" ca="1" si="371"/>
        <v>0</v>
      </c>
      <c r="BH111" s="164">
        <f t="shared" ca="1" si="372"/>
        <v>0</v>
      </c>
      <c r="BI111" s="164">
        <f t="shared" ca="1" si="373"/>
        <v>0</v>
      </c>
      <c r="BJ111" s="164">
        <f t="shared" ca="1" si="374"/>
        <v>0</v>
      </c>
      <c r="BK111" s="164">
        <f t="shared" ca="1" si="375"/>
        <v>0</v>
      </c>
      <c r="BL111" s="164">
        <f t="shared" ca="1" si="376"/>
        <v>0</v>
      </c>
      <c r="BM111" s="164">
        <f t="shared" ca="1" si="377"/>
        <v>0</v>
      </c>
      <c r="BN111" s="164">
        <f t="shared" ca="1" si="378"/>
        <v>0</v>
      </c>
      <c r="BO111" s="356" t="str">
        <f t="shared" ca="1" si="379"/>
        <v/>
      </c>
      <c r="BP111" s="355" t="str">
        <f t="shared" ca="1" si="380"/>
        <v/>
      </c>
      <c r="BQ111" s="355" t="str">
        <f t="shared" ca="1" si="381"/>
        <v/>
      </c>
      <c r="BR111" s="348">
        <f t="shared" ca="1" si="312"/>
        <v>0</v>
      </c>
      <c r="BS111" s="348">
        <f t="shared" ca="1" si="313"/>
        <v>0</v>
      </c>
      <c r="BT111" s="610">
        <f t="shared" ca="1" si="382"/>
        <v>0</v>
      </c>
      <c r="BU111" s="357">
        <f t="shared" ca="1" si="383"/>
        <v>0</v>
      </c>
      <c r="BV111" s="357">
        <f t="shared" si="384"/>
        <v>0</v>
      </c>
      <c r="BW111" s="357">
        <f t="shared" si="385"/>
        <v>0</v>
      </c>
      <c r="BX111" s="357">
        <f t="shared" ca="1" si="386"/>
        <v>0</v>
      </c>
      <c r="BY111" s="357">
        <f t="shared" ca="1" si="316"/>
        <v>0</v>
      </c>
      <c r="BZ111" s="357"/>
      <c r="CA111" s="357">
        <f t="shared" ca="1" si="314"/>
        <v>0</v>
      </c>
      <c r="CB111" s="357" t="str">
        <f t="shared" ca="1" si="387"/>
        <v/>
      </c>
      <c r="CC111" s="358" t="str">
        <f t="shared" ca="1" si="317"/>
        <v/>
      </c>
      <c r="CD111" s="358" t="str">
        <f t="shared" ca="1" si="318"/>
        <v/>
      </c>
      <c r="CE111" s="357" t="str">
        <f t="shared" ca="1" si="416"/>
        <v>,,,,,,,,,,,,,,,,,,,,,,,,,,,,,,,,,,,,,,,,,,,,,,,,,,,</v>
      </c>
      <c r="CF111" s="154" t="str">
        <f t="shared" si="315"/>
        <v/>
      </c>
      <c r="CG111" s="154">
        <f t="shared" ca="1" si="319"/>
        <v>0</v>
      </c>
      <c r="CH111" s="154"/>
      <c r="CI111" s="154"/>
      <c r="CJ111" s="154"/>
      <c r="CK111" s="154"/>
      <c r="CL111" s="154"/>
      <c r="CM111" s="154"/>
      <c r="CN111" t="s">
        <v>784</v>
      </c>
      <c r="CO111" s="169"/>
      <c r="CP111" s="169"/>
      <c r="CQ111" s="169"/>
      <c r="CR111" s="169"/>
      <c r="CS111" s="169"/>
      <c r="CT111" s="169"/>
      <c r="CU111" s="169"/>
      <c r="CV111" s="164" t="str">
        <f t="shared" ref="CV111:DE120" ca="1" si="419">IF($A111="","",IF(VT_VRTLZBR,CODE("F"),CODE(VLOOKUP($A111,ZAUBERWERTE,10,FALSE))-
SUM($BR111:$CA111,
IF(ISERR(FIND(";"&amp;CV$10&amp;";",$H111)),0,1),
IF(ISERR(FIND(";"&amp;CV$10&amp;":",$H111)),0,VALUE(MID($H111,FIND(";"&amp;CV$10&amp;":",$H111)+LEN(CV$10)+2,1))),
IF(AND(NOT(EXACT($AF$241,"")),OR(CV$10&gt;$CO111,ISBLANK($CO111))),IF($CV$3,IF(ISERROR(FIND($AF$241,$BQ111)),0,1),(LEN($BQ111)-LEN(SUBSTITUTE($BQ111,$AF$241,"")))/LEN($AF$241)),0),
IF(AND(NOT(EXACT($AF$242,"")),OR(CV$10&gt;$CP111,ISBLANK($CP111))),IF($CV$3,IF(ISERROR(FIND($AF$242,$BQ111)),0,1),(LEN($BQ111)-LEN(SUBSTITUTE($BQ111,$AF$242,"")))/LEN($AF$242)),0),
IF(AND(NOT(EXACT($AF$243,"")),OR(CV$10&gt;$CQ111,ISBLANK($CQ111))),IF($CV$3,IF(ISERROR(FIND($AF$243,$BQ111)),0,1),(LEN($BQ111)-LEN(SUBSTITUTE($BQ111,$AF$243,"")))/LEN($AF$243)),0),
IF(AND(NOT(EXACT($AF$244,"")),OR(CV$10&gt;$CR111,ISBLANK($CR111))),IF($CV$3,IF(ISERROR(FIND($AF$244,$BQ111)),0,1),(LEN($BQ111)-LEN(SUBSTITUTE($BQ111,$AF$244,"")))/LEN($AF$244)),0),
IF(AND(NOT(EXACT($AF$245,"")),OR(CV$10&gt;$CS111,ISBLANK($CS111))),IF($CV$3,IF(ISERROR(FIND($AF$245,$BQ111)),0,1),(LEN($BQ111)-LEN(SUBSTITUTE($BQ111,$AF$245,"")))/LEN($AF$245)),0),
IF(AND(NOT(EXACT($AF$246,"")),OR(CV$10&gt;$CT111,ISBLANK($CT111))),IF($CV$3,IF(ISERROR(FIND($AF$246,$BQ111)),0,1),(LEN($BQ111)-LEN(SUBSTITUTE($BQ111,$AF$246,"")))/LEN($AF$246)),0),
IF(AND(NOT(EXACT($AF$247,"")),OR(CV$10&gt;$CU111,ISBLANK($CU111))),IF($CV$3,IF(ISERROR(FIND($AF$247,$BQ111)),0,1),(LEN($BQ111)-LEN(SUBSTITUTE($BQ111,$AF$247,"")))/LEN($AF$247)),0)
)))</f>
        <v/>
      </c>
      <c r="CW111" s="164" t="str">
        <f t="shared" ca="1" si="419"/>
        <v/>
      </c>
      <c r="CX111" s="164" t="str">
        <f t="shared" ca="1" si="419"/>
        <v/>
      </c>
      <c r="CY111" s="164" t="str">
        <f t="shared" ca="1" si="419"/>
        <v/>
      </c>
      <c r="CZ111" s="164" t="str">
        <f t="shared" ca="1" si="419"/>
        <v/>
      </c>
      <c r="DA111" s="164" t="str">
        <f t="shared" ca="1" si="419"/>
        <v/>
      </c>
      <c r="DB111" s="164" t="str">
        <f t="shared" ca="1" si="419"/>
        <v/>
      </c>
      <c r="DC111" s="164" t="str">
        <f t="shared" ca="1" si="419"/>
        <v/>
      </c>
      <c r="DD111" s="164" t="str">
        <f t="shared" ca="1" si="419"/>
        <v/>
      </c>
      <c r="DE111" s="164" t="str">
        <f t="shared" ca="1" si="419"/>
        <v/>
      </c>
      <c r="DF111" s="164" t="str">
        <f t="shared" ref="DF111:DQ120" ca="1" si="420">IF($A111="","",IF(VT_VRTLZBR,CODE("F"),CODE(VLOOKUP($A111,ZAUBERWERTE,10,FALSE))-
SUM($BR111:$CA111,
IF(ISERR(FIND(";"&amp;DF$10&amp;";",$H111)),0,1),
IF(ISERR(FIND(";"&amp;DF$10&amp;":",$H111)),0,VALUE(MID($H111,FIND(";"&amp;DF$10&amp;":",$H111)+LEN(DF$10)+2,1))),
IF(AND(NOT(EXACT($AF$241,"")),OR(DF$10&gt;$CO111,ISBLANK($CO111))),IF($CV$3,IF(ISERROR(FIND($AF$241,$BQ111)),0,1),(LEN($BQ111)-LEN(SUBSTITUTE($BQ111,$AF$241,"")))/LEN($AF$241)),0),
IF(AND(NOT(EXACT($AF$242,"")),OR(DF$10&gt;$CP111,ISBLANK($CP111))),IF($CV$3,IF(ISERROR(FIND($AF$242,$BQ111)),0,1),(LEN($BQ111)-LEN(SUBSTITUTE($BQ111,$AF$242,"")))/LEN($AF$242)),0),
IF(AND(NOT(EXACT($AF$243,"")),OR(DF$10&gt;$CQ111,ISBLANK($CQ111))),IF($CV$3,IF(ISERROR(FIND($AF$243,$BQ111)),0,1),(LEN($BQ111)-LEN(SUBSTITUTE($BQ111,$AF$243,"")))/LEN($AF$243)),0),
IF(AND(NOT(EXACT($AF$244,"")),OR(DF$10&gt;$CR111,ISBLANK($CR111))),IF($CV$3,IF(ISERROR(FIND($AF$244,$BQ111)),0,1),(LEN($BQ111)-LEN(SUBSTITUTE($BQ111,$AF$244,"")))/LEN($AF$244)),0),
IF(AND(NOT(EXACT($AF$245,"")),OR(DF$10&gt;$CS111,ISBLANK($CS111))),IF($CV$3,IF(ISERROR(FIND($AF$245,$BQ111)),0,1),(LEN($BQ111)-LEN(SUBSTITUTE($BQ111,$AF$245,"")))/LEN($AF$245)),0),
IF(AND(NOT(EXACT($AF$246,"")),OR(DF$10&gt;$CT111,ISBLANK($CT111))),IF($CV$3,IF(ISERROR(FIND($AF$246,$BQ111)),0,1),(LEN($BQ111)-LEN(SUBSTITUTE($BQ111,$AF$246,"")))/LEN($AF$246)),0),
IF(AND(NOT(EXACT($AF$247,"")),OR(DF$10&gt;$CU111,ISBLANK($CU111))),IF($CV$3,IF(ISERROR(FIND($AF$247,$BQ111)),0,1),(LEN($BQ111)-LEN(SUBSTITUTE($BQ111,$AF$247,"")))/LEN($AF$247)),0)
)))</f>
        <v/>
      </c>
      <c r="DG111" s="164" t="str">
        <f t="shared" ca="1" si="420"/>
        <v/>
      </c>
      <c r="DH111" s="164" t="str">
        <f t="shared" ca="1" si="420"/>
        <v/>
      </c>
      <c r="DI111" s="164" t="str">
        <f t="shared" ca="1" si="420"/>
        <v/>
      </c>
      <c r="DJ111" s="164" t="str">
        <f t="shared" ca="1" si="420"/>
        <v/>
      </c>
      <c r="DK111" s="164" t="str">
        <f t="shared" ca="1" si="420"/>
        <v/>
      </c>
      <c r="DL111" s="164" t="str">
        <f t="shared" ca="1" si="420"/>
        <v/>
      </c>
      <c r="DM111" s="164" t="str">
        <f t="shared" ca="1" si="420"/>
        <v/>
      </c>
      <c r="DN111" s="164" t="str">
        <f t="shared" ca="1" si="420"/>
        <v/>
      </c>
      <c r="DO111" s="164" t="str">
        <f t="shared" ca="1" si="420"/>
        <v/>
      </c>
      <c r="DP111" s="164" t="str">
        <f t="shared" ca="1" si="420"/>
        <v/>
      </c>
      <c r="DQ111" s="164" t="str">
        <f t="shared" ca="1" si="420"/>
        <v/>
      </c>
      <c r="DR111" s="208"/>
      <c r="DS111" s="164" t="str">
        <f t="shared" ca="1" si="388"/>
        <v/>
      </c>
      <c r="DT111" s="164" t="str">
        <f t="shared" ca="1" si="389"/>
        <v/>
      </c>
      <c r="DU111" s="164" t="str">
        <f t="shared" ca="1" si="390"/>
        <v/>
      </c>
      <c r="DV111" s="164" t="str">
        <f t="shared" ca="1" si="391"/>
        <v/>
      </c>
      <c r="DW111" s="164" t="str">
        <f t="shared" ca="1" si="392"/>
        <v/>
      </c>
      <c r="DX111" s="164" t="str">
        <f t="shared" ca="1" si="393"/>
        <v/>
      </c>
      <c r="DY111" s="164" t="str">
        <f t="shared" ca="1" si="394"/>
        <v/>
      </c>
      <c r="DZ111" s="164" t="str">
        <f t="shared" ca="1" si="395"/>
        <v/>
      </c>
      <c r="EA111" s="164" t="str">
        <f t="shared" ca="1" si="396"/>
        <v/>
      </c>
      <c r="EB111" s="164" t="str">
        <f t="shared" ca="1" si="397"/>
        <v/>
      </c>
      <c r="EC111" s="164" t="str">
        <f t="shared" ca="1" si="398"/>
        <v/>
      </c>
      <c r="ED111" s="164" t="str">
        <f t="shared" ca="1" si="399"/>
        <v/>
      </c>
      <c r="EE111" s="164" t="str">
        <f t="shared" ca="1" si="400"/>
        <v/>
      </c>
      <c r="EF111" s="164" t="str">
        <f t="shared" ca="1" si="401"/>
        <v/>
      </c>
      <c r="EG111" s="164" t="str">
        <f t="shared" ca="1" si="402"/>
        <v/>
      </c>
      <c r="EH111" s="164" t="str">
        <f t="shared" ca="1" si="403"/>
        <v/>
      </c>
      <c r="EI111" s="164" t="str">
        <f t="shared" ca="1" si="404"/>
        <v/>
      </c>
      <c r="EJ111" s="164" t="str">
        <f t="shared" ca="1" si="405"/>
        <v/>
      </c>
      <c r="EK111" s="164" t="str">
        <f t="shared" ca="1" si="406"/>
        <v/>
      </c>
      <c r="EL111" s="164" t="str">
        <f t="shared" ca="1" si="407"/>
        <v/>
      </c>
      <c r="EM111" s="164" t="str">
        <f t="shared" ca="1" si="408"/>
        <v/>
      </c>
      <c r="EN111" s="164" t="str">
        <f t="shared" ca="1" si="409"/>
        <v/>
      </c>
      <c r="EO111" s="164" t="str">
        <f t="shared" ca="1" si="410"/>
        <v/>
      </c>
      <c r="EP111" s="164" t="str">
        <f t="shared" ca="1" si="411"/>
        <v/>
      </c>
      <c r="EQ111" s="164" t="str">
        <f t="shared" ca="1" si="412"/>
        <v/>
      </c>
      <c r="ER111" s="164" t="str">
        <f t="shared" ca="1" si="413"/>
        <v/>
      </c>
      <c r="ES111" s="164" t="str">
        <f t="shared" ca="1" si="414"/>
        <v/>
      </c>
    </row>
    <row r="112" spans="1:149" x14ac:dyDescent="0.2">
      <c r="A112" s="89" t="str">
        <f t="shared" ca="1" si="415"/>
        <v/>
      </c>
      <c r="B112" s="317" t="str">
        <f t="shared" ca="1" si="324"/>
        <v/>
      </c>
      <c r="C112" s="609" t="str">
        <f t="shared" ca="1" si="325"/>
        <v/>
      </c>
      <c r="D112" s="1956" t="str">
        <f t="shared" ca="1" si="326"/>
        <v/>
      </c>
      <c r="E112" s="1956"/>
      <c r="F112" s="960"/>
      <c r="G112" s="485" t="str">
        <f t="shared" ca="1" si="327"/>
        <v/>
      </c>
      <c r="H112" s="983"/>
      <c r="I112" s="486"/>
      <c r="J112" s="326"/>
      <c r="K112" s="1886" t="str">
        <f t="shared" ca="1" si="328"/>
        <v/>
      </c>
      <c r="L112" s="1888"/>
      <c r="M112" s="296" t="str">
        <f t="shared" ca="1" si="307"/>
        <v/>
      </c>
      <c r="N112" s="1322"/>
      <c r="O112" s="1319"/>
      <c r="P112" s="957" t="str">
        <f t="shared" ca="1" si="329"/>
        <v/>
      </c>
      <c r="Q112" s="164">
        <f t="shared" si="330"/>
        <v>0</v>
      </c>
      <c r="R112" s="164">
        <f t="shared" ca="1" si="331"/>
        <v>0</v>
      </c>
      <c r="S112" s="164">
        <f t="shared" ca="1" si="332"/>
        <v>0</v>
      </c>
      <c r="T112" s="164">
        <f t="shared" ca="1" si="333"/>
        <v>0</v>
      </c>
      <c r="U112" s="164">
        <f t="shared" ca="1" si="334"/>
        <v>0</v>
      </c>
      <c r="V112" s="164">
        <f t="shared" ca="1" si="335"/>
        <v>0</v>
      </c>
      <c r="W112" s="164">
        <f t="shared" ca="1" si="336"/>
        <v>0</v>
      </c>
      <c r="X112" s="164">
        <f t="shared" ca="1" si="337"/>
        <v>0</v>
      </c>
      <c r="Y112" s="164">
        <f t="shared" ca="1" si="338"/>
        <v>0</v>
      </c>
      <c r="Z112" s="164">
        <f t="shared" ca="1" si="339"/>
        <v>0</v>
      </c>
      <c r="AA112" s="164">
        <f t="shared" ca="1" si="340"/>
        <v>0</v>
      </c>
      <c r="AB112" s="164">
        <f t="shared" ca="1" si="341"/>
        <v>0</v>
      </c>
      <c r="AC112" s="164">
        <f t="shared" ca="1" si="342"/>
        <v>0</v>
      </c>
      <c r="AD112" s="164">
        <f t="shared" ca="1" si="343"/>
        <v>0</v>
      </c>
      <c r="AE112" s="164">
        <f t="shared" ca="1" si="344"/>
        <v>0</v>
      </c>
      <c r="AF112" s="164">
        <f t="shared" ca="1" si="345"/>
        <v>0</v>
      </c>
      <c r="AG112" s="164">
        <f t="shared" ca="1" si="346"/>
        <v>0</v>
      </c>
      <c r="AH112" s="164">
        <f t="shared" ca="1" si="347"/>
        <v>0</v>
      </c>
      <c r="AI112" s="164">
        <f t="shared" ca="1" si="348"/>
        <v>0</v>
      </c>
      <c r="AJ112" s="164">
        <f t="shared" ca="1" si="349"/>
        <v>0</v>
      </c>
      <c r="AK112" s="164">
        <f t="shared" ca="1" si="350"/>
        <v>0</v>
      </c>
      <c r="AL112" s="164">
        <f t="shared" ca="1" si="351"/>
        <v>0</v>
      </c>
      <c r="AM112" s="208"/>
      <c r="AN112" s="164">
        <f t="shared" si="352"/>
        <v>0</v>
      </c>
      <c r="AO112" s="164">
        <f t="shared" ca="1" si="353"/>
        <v>0</v>
      </c>
      <c r="AP112" s="164">
        <f t="shared" ca="1" si="354"/>
        <v>0</v>
      </c>
      <c r="AQ112" s="164">
        <f t="shared" ca="1" si="355"/>
        <v>0</v>
      </c>
      <c r="AR112" s="164">
        <f t="shared" ca="1" si="356"/>
        <v>0</v>
      </c>
      <c r="AS112" s="164">
        <f t="shared" ca="1" si="357"/>
        <v>0</v>
      </c>
      <c r="AT112" s="164">
        <f t="shared" ca="1" si="358"/>
        <v>0</v>
      </c>
      <c r="AU112" s="164">
        <f t="shared" ca="1" si="359"/>
        <v>0</v>
      </c>
      <c r="AV112" s="164">
        <f t="shared" ca="1" si="360"/>
        <v>0</v>
      </c>
      <c r="AW112" s="164">
        <f t="shared" ca="1" si="361"/>
        <v>0</v>
      </c>
      <c r="AX112" s="164">
        <f t="shared" ca="1" si="362"/>
        <v>0</v>
      </c>
      <c r="AY112" s="164">
        <f t="shared" ca="1" si="363"/>
        <v>0</v>
      </c>
      <c r="AZ112" s="164">
        <f t="shared" ca="1" si="364"/>
        <v>0</v>
      </c>
      <c r="BA112" s="164">
        <f t="shared" ca="1" si="365"/>
        <v>0</v>
      </c>
      <c r="BB112" s="164">
        <f t="shared" ca="1" si="366"/>
        <v>0</v>
      </c>
      <c r="BC112" s="164">
        <f t="shared" ca="1" si="367"/>
        <v>0</v>
      </c>
      <c r="BD112" s="164">
        <f t="shared" ca="1" si="368"/>
        <v>0</v>
      </c>
      <c r="BE112" s="164">
        <f t="shared" ca="1" si="369"/>
        <v>0</v>
      </c>
      <c r="BF112" s="164">
        <f t="shared" ca="1" si="370"/>
        <v>0</v>
      </c>
      <c r="BG112" s="164">
        <f t="shared" ca="1" si="371"/>
        <v>0</v>
      </c>
      <c r="BH112" s="164">
        <f t="shared" ca="1" si="372"/>
        <v>0</v>
      </c>
      <c r="BI112" s="164">
        <f t="shared" ca="1" si="373"/>
        <v>0</v>
      </c>
      <c r="BJ112" s="164">
        <f t="shared" ca="1" si="374"/>
        <v>0</v>
      </c>
      <c r="BK112" s="164">
        <f t="shared" ca="1" si="375"/>
        <v>0</v>
      </c>
      <c r="BL112" s="164">
        <f t="shared" ca="1" si="376"/>
        <v>0</v>
      </c>
      <c r="BM112" s="164">
        <f t="shared" ca="1" si="377"/>
        <v>0</v>
      </c>
      <c r="BN112" s="164">
        <f t="shared" ca="1" si="378"/>
        <v>0</v>
      </c>
      <c r="BO112" s="356" t="str">
        <f t="shared" ca="1" si="379"/>
        <v/>
      </c>
      <c r="BP112" s="355" t="str">
        <f t="shared" ca="1" si="380"/>
        <v/>
      </c>
      <c r="BQ112" s="355" t="str">
        <f t="shared" ca="1" si="381"/>
        <v/>
      </c>
      <c r="BR112" s="348">
        <f t="shared" ca="1" si="312"/>
        <v>0</v>
      </c>
      <c r="BS112" s="348">
        <f t="shared" ca="1" si="313"/>
        <v>0</v>
      </c>
      <c r="BT112" s="610">
        <f t="shared" ca="1" si="382"/>
        <v>0</v>
      </c>
      <c r="BU112" s="357">
        <f t="shared" ca="1" si="383"/>
        <v>0</v>
      </c>
      <c r="BV112" s="357">
        <f t="shared" si="384"/>
        <v>0</v>
      </c>
      <c r="BW112" s="357">
        <f t="shared" si="385"/>
        <v>0</v>
      </c>
      <c r="BX112" s="357">
        <f t="shared" ca="1" si="386"/>
        <v>0</v>
      </c>
      <c r="BY112" s="357">
        <f t="shared" ca="1" si="316"/>
        <v>0</v>
      </c>
      <c r="BZ112" s="357"/>
      <c r="CA112" s="357">
        <f t="shared" ca="1" si="314"/>
        <v>0</v>
      </c>
      <c r="CB112" s="357" t="str">
        <f t="shared" ca="1" si="387"/>
        <v/>
      </c>
      <c r="CC112" s="358" t="str">
        <f t="shared" ca="1" si="317"/>
        <v/>
      </c>
      <c r="CD112" s="358" t="str">
        <f t="shared" ca="1" si="318"/>
        <v/>
      </c>
      <c r="CE112" s="357" t="str">
        <f t="shared" ca="1" si="416"/>
        <v>,,,,,,,,,,,,,,,,,,,,,,,,,,,,,,,,,,,,,,,,,,,,,,,,,,,,</v>
      </c>
      <c r="CF112" s="154" t="str">
        <f t="shared" si="315"/>
        <v/>
      </c>
      <c r="CG112" s="154">
        <f t="shared" ca="1" si="319"/>
        <v>0</v>
      </c>
      <c r="CH112" s="154"/>
      <c r="CI112" s="154"/>
      <c r="CJ112" s="154"/>
      <c r="CK112" s="154"/>
      <c r="CL112" s="154"/>
      <c r="CM112" s="154"/>
      <c r="CN112" t="s">
        <v>784</v>
      </c>
      <c r="CO112" s="169"/>
      <c r="CP112" s="169"/>
      <c r="CQ112" s="169"/>
      <c r="CR112" s="169"/>
      <c r="CS112" s="169"/>
      <c r="CT112" s="169"/>
      <c r="CU112" s="169"/>
      <c r="CV112" s="164" t="str">
        <f t="shared" ca="1" si="419"/>
        <v/>
      </c>
      <c r="CW112" s="164" t="str">
        <f t="shared" ca="1" si="419"/>
        <v/>
      </c>
      <c r="CX112" s="164" t="str">
        <f t="shared" ca="1" si="419"/>
        <v/>
      </c>
      <c r="CY112" s="164" t="str">
        <f t="shared" ca="1" si="419"/>
        <v/>
      </c>
      <c r="CZ112" s="164" t="str">
        <f t="shared" ca="1" si="419"/>
        <v/>
      </c>
      <c r="DA112" s="164" t="str">
        <f t="shared" ca="1" si="419"/>
        <v/>
      </c>
      <c r="DB112" s="164" t="str">
        <f t="shared" ca="1" si="419"/>
        <v/>
      </c>
      <c r="DC112" s="164" t="str">
        <f t="shared" ca="1" si="419"/>
        <v/>
      </c>
      <c r="DD112" s="164" t="str">
        <f t="shared" ca="1" si="419"/>
        <v/>
      </c>
      <c r="DE112" s="164" t="str">
        <f t="shared" ca="1" si="419"/>
        <v/>
      </c>
      <c r="DF112" s="164" t="str">
        <f t="shared" ca="1" si="420"/>
        <v/>
      </c>
      <c r="DG112" s="164" t="str">
        <f t="shared" ca="1" si="420"/>
        <v/>
      </c>
      <c r="DH112" s="164" t="str">
        <f t="shared" ca="1" si="420"/>
        <v/>
      </c>
      <c r="DI112" s="164" t="str">
        <f t="shared" ca="1" si="420"/>
        <v/>
      </c>
      <c r="DJ112" s="164" t="str">
        <f t="shared" ca="1" si="420"/>
        <v/>
      </c>
      <c r="DK112" s="164" t="str">
        <f t="shared" ca="1" si="420"/>
        <v/>
      </c>
      <c r="DL112" s="164" t="str">
        <f t="shared" ca="1" si="420"/>
        <v/>
      </c>
      <c r="DM112" s="164" t="str">
        <f t="shared" ca="1" si="420"/>
        <v/>
      </c>
      <c r="DN112" s="164" t="str">
        <f t="shared" ca="1" si="420"/>
        <v/>
      </c>
      <c r="DO112" s="164" t="str">
        <f t="shared" ca="1" si="420"/>
        <v/>
      </c>
      <c r="DP112" s="164" t="str">
        <f t="shared" ca="1" si="420"/>
        <v/>
      </c>
      <c r="DQ112" s="164" t="str">
        <f t="shared" ca="1" si="420"/>
        <v/>
      </c>
      <c r="DR112" s="208"/>
      <c r="DS112" s="164" t="str">
        <f t="shared" ca="1" si="388"/>
        <v/>
      </c>
      <c r="DT112" s="164" t="str">
        <f t="shared" ca="1" si="389"/>
        <v/>
      </c>
      <c r="DU112" s="164" t="str">
        <f t="shared" ca="1" si="390"/>
        <v/>
      </c>
      <c r="DV112" s="164" t="str">
        <f t="shared" ca="1" si="391"/>
        <v/>
      </c>
      <c r="DW112" s="164" t="str">
        <f t="shared" ca="1" si="392"/>
        <v/>
      </c>
      <c r="DX112" s="164" t="str">
        <f t="shared" ca="1" si="393"/>
        <v/>
      </c>
      <c r="DY112" s="164" t="str">
        <f t="shared" ca="1" si="394"/>
        <v/>
      </c>
      <c r="DZ112" s="164" t="str">
        <f t="shared" ca="1" si="395"/>
        <v/>
      </c>
      <c r="EA112" s="164" t="str">
        <f t="shared" ca="1" si="396"/>
        <v/>
      </c>
      <c r="EB112" s="164" t="str">
        <f t="shared" ca="1" si="397"/>
        <v/>
      </c>
      <c r="EC112" s="164" t="str">
        <f t="shared" ca="1" si="398"/>
        <v/>
      </c>
      <c r="ED112" s="164" t="str">
        <f t="shared" ca="1" si="399"/>
        <v/>
      </c>
      <c r="EE112" s="164" t="str">
        <f t="shared" ca="1" si="400"/>
        <v/>
      </c>
      <c r="EF112" s="164" t="str">
        <f t="shared" ca="1" si="401"/>
        <v/>
      </c>
      <c r="EG112" s="164" t="str">
        <f t="shared" ca="1" si="402"/>
        <v/>
      </c>
      <c r="EH112" s="164" t="str">
        <f t="shared" ca="1" si="403"/>
        <v/>
      </c>
      <c r="EI112" s="164" t="str">
        <f t="shared" ca="1" si="404"/>
        <v/>
      </c>
      <c r="EJ112" s="164" t="str">
        <f t="shared" ca="1" si="405"/>
        <v/>
      </c>
      <c r="EK112" s="164" t="str">
        <f t="shared" ca="1" si="406"/>
        <v/>
      </c>
      <c r="EL112" s="164" t="str">
        <f t="shared" ca="1" si="407"/>
        <v/>
      </c>
      <c r="EM112" s="164" t="str">
        <f t="shared" ca="1" si="408"/>
        <v/>
      </c>
      <c r="EN112" s="164" t="str">
        <f t="shared" ca="1" si="409"/>
        <v/>
      </c>
      <c r="EO112" s="164" t="str">
        <f t="shared" ca="1" si="410"/>
        <v/>
      </c>
      <c r="EP112" s="164" t="str">
        <f t="shared" ca="1" si="411"/>
        <v/>
      </c>
      <c r="EQ112" s="164" t="str">
        <f t="shared" ca="1" si="412"/>
        <v/>
      </c>
      <c r="ER112" s="164" t="str">
        <f t="shared" ca="1" si="413"/>
        <v/>
      </c>
      <c r="ES112" s="164" t="str">
        <f t="shared" ca="1" si="414"/>
        <v/>
      </c>
    </row>
    <row r="113" spans="1:149" x14ac:dyDescent="0.2">
      <c r="A113" s="89" t="str">
        <f t="shared" ca="1" si="415"/>
        <v/>
      </c>
      <c r="B113" s="317" t="str">
        <f t="shared" ca="1" si="324"/>
        <v/>
      </c>
      <c r="C113" s="609" t="str">
        <f t="shared" ca="1" si="325"/>
        <v/>
      </c>
      <c r="D113" s="1956" t="str">
        <f t="shared" ca="1" si="326"/>
        <v/>
      </c>
      <c r="E113" s="1956"/>
      <c r="F113" s="960"/>
      <c r="G113" s="485" t="str">
        <f t="shared" ca="1" si="327"/>
        <v/>
      </c>
      <c r="H113" s="983"/>
      <c r="I113" s="486"/>
      <c r="J113" s="326"/>
      <c r="K113" s="1886" t="str">
        <f t="shared" ca="1" si="328"/>
        <v/>
      </c>
      <c r="L113" s="1888"/>
      <c r="M113" s="296" t="str">
        <f t="shared" ca="1" si="307"/>
        <v/>
      </c>
      <c r="N113" s="1322"/>
      <c r="O113" s="1319"/>
      <c r="P113" s="957" t="str">
        <f t="shared" ca="1" si="329"/>
        <v/>
      </c>
      <c r="Q113" s="164">
        <f t="shared" si="330"/>
        <v>0</v>
      </c>
      <c r="R113" s="164">
        <f t="shared" ca="1" si="331"/>
        <v>0</v>
      </c>
      <c r="S113" s="164">
        <f t="shared" ca="1" si="332"/>
        <v>0</v>
      </c>
      <c r="T113" s="164">
        <f t="shared" ca="1" si="333"/>
        <v>0</v>
      </c>
      <c r="U113" s="164">
        <f t="shared" ca="1" si="334"/>
        <v>0</v>
      </c>
      <c r="V113" s="164">
        <f t="shared" ca="1" si="335"/>
        <v>0</v>
      </c>
      <c r="W113" s="164">
        <f t="shared" ca="1" si="336"/>
        <v>0</v>
      </c>
      <c r="X113" s="164">
        <f t="shared" ca="1" si="337"/>
        <v>0</v>
      </c>
      <c r="Y113" s="164">
        <f t="shared" ca="1" si="338"/>
        <v>0</v>
      </c>
      <c r="Z113" s="164">
        <f t="shared" ca="1" si="339"/>
        <v>0</v>
      </c>
      <c r="AA113" s="164">
        <f t="shared" ca="1" si="340"/>
        <v>0</v>
      </c>
      <c r="AB113" s="164">
        <f t="shared" ca="1" si="341"/>
        <v>0</v>
      </c>
      <c r="AC113" s="164">
        <f t="shared" ca="1" si="342"/>
        <v>0</v>
      </c>
      <c r="AD113" s="164">
        <f t="shared" ca="1" si="343"/>
        <v>0</v>
      </c>
      <c r="AE113" s="164">
        <f t="shared" ca="1" si="344"/>
        <v>0</v>
      </c>
      <c r="AF113" s="164">
        <f t="shared" ca="1" si="345"/>
        <v>0</v>
      </c>
      <c r="AG113" s="164">
        <f t="shared" ca="1" si="346"/>
        <v>0</v>
      </c>
      <c r="AH113" s="164">
        <f t="shared" ca="1" si="347"/>
        <v>0</v>
      </c>
      <c r="AI113" s="164">
        <f t="shared" ca="1" si="348"/>
        <v>0</v>
      </c>
      <c r="AJ113" s="164">
        <f t="shared" ca="1" si="349"/>
        <v>0</v>
      </c>
      <c r="AK113" s="164">
        <f t="shared" ca="1" si="350"/>
        <v>0</v>
      </c>
      <c r="AL113" s="164">
        <f t="shared" ca="1" si="351"/>
        <v>0</v>
      </c>
      <c r="AM113" s="208"/>
      <c r="AN113" s="164">
        <f t="shared" si="352"/>
        <v>0</v>
      </c>
      <c r="AO113" s="164">
        <f t="shared" ca="1" si="353"/>
        <v>0</v>
      </c>
      <c r="AP113" s="164">
        <f t="shared" ca="1" si="354"/>
        <v>0</v>
      </c>
      <c r="AQ113" s="164">
        <f t="shared" ca="1" si="355"/>
        <v>0</v>
      </c>
      <c r="AR113" s="164">
        <f t="shared" ca="1" si="356"/>
        <v>0</v>
      </c>
      <c r="AS113" s="164">
        <f t="shared" ca="1" si="357"/>
        <v>0</v>
      </c>
      <c r="AT113" s="164">
        <f t="shared" ca="1" si="358"/>
        <v>0</v>
      </c>
      <c r="AU113" s="164">
        <f t="shared" ca="1" si="359"/>
        <v>0</v>
      </c>
      <c r="AV113" s="164">
        <f t="shared" ca="1" si="360"/>
        <v>0</v>
      </c>
      <c r="AW113" s="164">
        <f t="shared" ca="1" si="361"/>
        <v>0</v>
      </c>
      <c r="AX113" s="164">
        <f t="shared" ca="1" si="362"/>
        <v>0</v>
      </c>
      <c r="AY113" s="164">
        <f t="shared" ca="1" si="363"/>
        <v>0</v>
      </c>
      <c r="AZ113" s="164">
        <f t="shared" ca="1" si="364"/>
        <v>0</v>
      </c>
      <c r="BA113" s="164">
        <f t="shared" ca="1" si="365"/>
        <v>0</v>
      </c>
      <c r="BB113" s="164">
        <f t="shared" ca="1" si="366"/>
        <v>0</v>
      </c>
      <c r="BC113" s="164">
        <f t="shared" ca="1" si="367"/>
        <v>0</v>
      </c>
      <c r="BD113" s="164">
        <f t="shared" ca="1" si="368"/>
        <v>0</v>
      </c>
      <c r="BE113" s="164">
        <f t="shared" ca="1" si="369"/>
        <v>0</v>
      </c>
      <c r="BF113" s="164">
        <f t="shared" ca="1" si="370"/>
        <v>0</v>
      </c>
      <c r="BG113" s="164">
        <f t="shared" ca="1" si="371"/>
        <v>0</v>
      </c>
      <c r="BH113" s="164">
        <f t="shared" ca="1" si="372"/>
        <v>0</v>
      </c>
      <c r="BI113" s="164">
        <f t="shared" ca="1" si="373"/>
        <v>0</v>
      </c>
      <c r="BJ113" s="164">
        <f t="shared" ca="1" si="374"/>
        <v>0</v>
      </c>
      <c r="BK113" s="164">
        <f t="shared" ca="1" si="375"/>
        <v>0</v>
      </c>
      <c r="BL113" s="164">
        <f t="shared" ca="1" si="376"/>
        <v>0</v>
      </c>
      <c r="BM113" s="164">
        <f t="shared" ca="1" si="377"/>
        <v>0</v>
      </c>
      <c r="BN113" s="164">
        <f t="shared" ca="1" si="378"/>
        <v>0</v>
      </c>
      <c r="BO113" s="356" t="str">
        <f t="shared" ca="1" si="379"/>
        <v/>
      </c>
      <c r="BP113" s="355" t="str">
        <f t="shared" ca="1" si="380"/>
        <v/>
      </c>
      <c r="BQ113" s="355" t="str">
        <f t="shared" ca="1" si="381"/>
        <v/>
      </c>
      <c r="BR113" s="348">
        <f t="shared" ca="1" si="312"/>
        <v>0</v>
      </c>
      <c r="BS113" s="348">
        <f t="shared" ca="1" si="313"/>
        <v>0</v>
      </c>
      <c r="BT113" s="610">
        <f t="shared" ca="1" si="382"/>
        <v>0</v>
      </c>
      <c r="BU113" s="357">
        <f t="shared" ca="1" si="383"/>
        <v>0</v>
      </c>
      <c r="BV113" s="357">
        <f t="shared" si="384"/>
        <v>0</v>
      </c>
      <c r="BW113" s="357">
        <f t="shared" si="385"/>
        <v>0</v>
      </c>
      <c r="BX113" s="357">
        <f t="shared" ca="1" si="386"/>
        <v>0</v>
      </c>
      <c r="BY113" s="357">
        <f t="shared" ca="1" si="316"/>
        <v>0</v>
      </c>
      <c r="BZ113" s="357"/>
      <c r="CA113" s="357">
        <f t="shared" ca="1" si="314"/>
        <v>0</v>
      </c>
      <c r="CB113" s="357" t="str">
        <f t="shared" ca="1" si="387"/>
        <v/>
      </c>
      <c r="CC113" s="358" t="str">
        <f t="shared" ca="1" si="317"/>
        <v/>
      </c>
      <c r="CD113" s="358" t="str">
        <f t="shared" ca="1" si="318"/>
        <v/>
      </c>
      <c r="CE113" s="357" t="str">
        <f t="shared" ca="1" si="416"/>
        <v>,,,,,,,,,,,,,,,,,,,,,,,,,,,,,,,,,,,,,,,,,,,,,,,,,,,,,</v>
      </c>
      <c r="CF113" s="154" t="str">
        <f t="shared" si="315"/>
        <v/>
      </c>
      <c r="CG113" s="154">
        <f t="shared" ca="1" si="319"/>
        <v>0</v>
      </c>
      <c r="CH113" s="154"/>
      <c r="CI113" s="154"/>
      <c r="CJ113" s="154"/>
      <c r="CK113" s="154"/>
      <c r="CL113" s="154"/>
      <c r="CM113" s="154"/>
      <c r="CN113" t="s">
        <v>784</v>
      </c>
      <c r="CO113" s="169"/>
      <c r="CP113" s="169"/>
      <c r="CQ113" s="169"/>
      <c r="CR113" s="169"/>
      <c r="CS113" s="169"/>
      <c r="CT113" s="169"/>
      <c r="CU113" s="169"/>
      <c r="CV113" s="164" t="str">
        <f t="shared" ca="1" si="419"/>
        <v/>
      </c>
      <c r="CW113" s="164" t="str">
        <f t="shared" ca="1" si="419"/>
        <v/>
      </c>
      <c r="CX113" s="164" t="str">
        <f t="shared" ca="1" si="419"/>
        <v/>
      </c>
      <c r="CY113" s="164" t="str">
        <f t="shared" ca="1" si="419"/>
        <v/>
      </c>
      <c r="CZ113" s="164" t="str">
        <f t="shared" ca="1" si="419"/>
        <v/>
      </c>
      <c r="DA113" s="164" t="str">
        <f t="shared" ca="1" si="419"/>
        <v/>
      </c>
      <c r="DB113" s="164" t="str">
        <f t="shared" ca="1" si="419"/>
        <v/>
      </c>
      <c r="DC113" s="164" t="str">
        <f t="shared" ca="1" si="419"/>
        <v/>
      </c>
      <c r="DD113" s="164" t="str">
        <f t="shared" ca="1" si="419"/>
        <v/>
      </c>
      <c r="DE113" s="164" t="str">
        <f t="shared" ca="1" si="419"/>
        <v/>
      </c>
      <c r="DF113" s="164" t="str">
        <f t="shared" ca="1" si="420"/>
        <v/>
      </c>
      <c r="DG113" s="164" t="str">
        <f t="shared" ca="1" si="420"/>
        <v/>
      </c>
      <c r="DH113" s="164" t="str">
        <f t="shared" ca="1" si="420"/>
        <v/>
      </c>
      <c r="DI113" s="164" t="str">
        <f t="shared" ca="1" si="420"/>
        <v/>
      </c>
      <c r="DJ113" s="164" t="str">
        <f t="shared" ca="1" si="420"/>
        <v/>
      </c>
      <c r="DK113" s="164" t="str">
        <f t="shared" ca="1" si="420"/>
        <v/>
      </c>
      <c r="DL113" s="164" t="str">
        <f t="shared" ca="1" si="420"/>
        <v/>
      </c>
      <c r="DM113" s="164" t="str">
        <f t="shared" ca="1" si="420"/>
        <v/>
      </c>
      <c r="DN113" s="164" t="str">
        <f t="shared" ca="1" si="420"/>
        <v/>
      </c>
      <c r="DO113" s="164" t="str">
        <f t="shared" ca="1" si="420"/>
        <v/>
      </c>
      <c r="DP113" s="164" t="str">
        <f t="shared" ca="1" si="420"/>
        <v/>
      </c>
      <c r="DQ113" s="164" t="str">
        <f t="shared" ca="1" si="420"/>
        <v/>
      </c>
      <c r="DR113" s="208"/>
      <c r="DS113" s="164" t="str">
        <f t="shared" ca="1" si="388"/>
        <v/>
      </c>
      <c r="DT113" s="164" t="str">
        <f t="shared" ca="1" si="389"/>
        <v/>
      </c>
      <c r="DU113" s="164" t="str">
        <f t="shared" ca="1" si="390"/>
        <v/>
      </c>
      <c r="DV113" s="164" t="str">
        <f t="shared" ca="1" si="391"/>
        <v/>
      </c>
      <c r="DW113" s="164" t="str">
        <f t="shared" ca="1" si="392"/>
        <v/>
      </c>
      <c r="DX113" s="164" t="str">
        <f t="shared" ca="1" si="393"/>
        <v/>
      </c>
      <c r="DY113" s="164" t="str">
        <f t="shared" ca="1" si="394"/>
        <v/>
      </c>
      <c r="DZ113" s="164" t="str">
        <f t="shared" ca="1" si="395"/>
        <v/>
      </c>
      <c r="EA113" s="164" t="str">
        <f t="shared" ca="1" si="396"/>
        <v/>
      </c>
      <c r="EB113" s="164" t="str">
        <f t="shared" ca="1" si="397"/>
        <v/>
      </c>
      <c r="EC113" s="164" t="str">
        <f t="shared" ca="1" si="398"/>
        <v/>
      </c>
      <c r="ED113" s="164" t="str">
        <f t="shared" ca="1" si="399"/>
        <v/>
      </c>
      <c r="EE113" s="164" t="str">
        <f t="shared" ca="1" si="400"/>
        <v/>
      </c>
      <c r="EF113" s="164" t="str">
        <f t="shared" ca="1" si="401"/>
        <v/>
      </c>
      <c r="EG113" s="164" t="str">
        <f t="shared" ca="1" si="402"/>
        <v/>
      </c>
      <c r="EH113" s="164" t="str">
        <f t="shared" ca="1" si="403"/>
        <v/>
      </c>
      <c r="EI113" s="164" t="str">
        <f t="shared" ca="1" si="404"/>
        <v/>
      </c>
      <c r="EJ113" s="164" t="str">
        <f t="shared" ca="1" si="405"/>
        <v/>
      </c>
      <c r="EK113" s="164" t="str">
        <f t="shared" ca="1" si="406"/>
        <v/>
      </c>
      <c r="EL113" s="164" t="str">
        <f t="shared" ca="1" si="407"/>
        <v/>
      </c>
      <c r="EM113" s="164" t="str">
        <f t="shared" ca="1" si="408"/>
        <v/>
      </c>
      <c r="EN113" s="164" t="str">
        <f t="shared" ca="1" si="409"/>
        <v/>
      </c>
      <c r="EO113" s="164" t="str">
        <f t="shared" ca="1" si="410"/>
        <v/>
      </c>
      <c r="EP113" s="164" t="str">
        <f t="shared" ca="1" si="411"/>
        <v/>
      </c>
      <c r="EQ113" s="164" t="str">
        <f t="shared" ca="1" si="412"/>
        <v/>
      </c>
      <c r="ER113" s="164" t="str">
        <f t="shared" ca="1" si="413"/>
        <v/>
      </c>
      <c r="ES113" s="164" t="str">
        <f t="shared" ca="1" si="414"/>
        <v/>
      </c>
    </row>
    <row r="114" spans="1:149" x14ac:dyDescent="0.2">
      <c r="A114" s="89" t="str">
        <f t="shared" ca="1" si="415"/>
        <v/>
      </c>
      <c r="B114" s="317" t="str">
        <f t="shared" ca="1" si="324"/>
        <v/>
      </c>
      <c r="C114" s="609" t="str">
        <f t="shared" ca="1" si="325"/>
        <v/>
      </c>
      <c r="D114" s="1956" t="str">
        <f t="shared" ca="1" si="326"/>
        <v/>
      </c>
      <c r="E114" s="1956"/>
      <c r="F114" s="960"/>
      <c r="G114" s="485" t="str">
        <f t="shared" ca="1" si="327"/>
        <v/>
      </c>
      <c r="H114" s="983"/>
      <c r="I114" s="486"/>
      <c r="J114" s="326"/>
      <c r="K114" s="1886" t="str">
        <f t="shared" ca="1" si="328"/>
        <v/>
      </c>
      <c r="L114" s="1888"/>
      <c r="M114" s="296" t="str">
        <f t="shared" ca="1" si="307"/>
        <v/>
      </c>
      <c r="N114" s="1322"/>
      <c r="O114" s="1319"/>
      <c r="P114" s="957" t="str">
        <f t="shared" ca="1" si="329"/>
        <v/>
      </c>
      <c r="Q114" s="164">
        <f t="shared" si="330"/>
        <v>0</v>
      </c>
      <c r="R114" s="164">
        <f t="shared" ca="1" si="331"/>
        <v>0</v>
      </c>
      <c r="S114" s="164">
        <f t="shared" ca="1" si="332"/>
        <v>0</v>
      </c>
      <c r="T114" s="164">
        <f t="shared" ca="1" si="333"/>
        <v>0</v>
      </c>
      <c r="U114" s="164">
        <f t="shared" ca="1" si="334"/>
        <v>0</v>
      </c>
      <c r="V114" s="164">
        <f t="shared" ca="1" si="335"/>
        <v>0</v>
      </c>
      <c r="W114" s="164">
        <f t="shared" ca="1" si="336"/>
        <v>0</v>
      </c>
      <c r="X114" s="164">
        <f t="shared" ca="1" si="337"/>
        <v>0</v>
      </c>
      <c r="Y114" s="164">
        <f t="shared" ca="1" si="338"/>
        <v>0</v>
      </c>
      <c r="Z114" s="164">
        <f t="shared" ca="1" si="339"/>
        <v>0</v>
      </c>
      <c r="AA114" s="164">
        <f t="shared" ca="1" si="340"/>
        <v>0</v>
      </c>
      <c r="AB114" s="164">
        <f t="shared" ca="1" si="341"/>
        <v>0</v>
      </c>
      <c r="AC114" s="164">
        <f t="shared" ca="1" si="342"/>
        <v>0</v>
      </c>
      <c r="AD114" s="164">
        <f t="shared" ca="1" si="343"/>
        <v>0</v>
      </c>
      <c r="AE114" s="164">
        <f t="shared" ca="1" si="344"/>
        <v>0</v>
      </c>
      <c r="AF114" s="164">
        <f t="shared" ca="1" si="345"/>
        <v>0</v>
      </c>
      <c r="AG114" s="164">
        <f t="shared" ca="1" si="346"/>
        <v>0</v>
      </c>
      <c r="AH114" s="164">
        <f t="shared" ca="1" si="347"/>
        <v>0</v>
      </c>
      <c r="AI114" s="164">
        <f t="shared" ca="1" si="348"/>
        <v>0</v>
      </c>
      <c r="AJ114" s="164">
        <f t="shared" ca="1" si="349"/>
        <v>0</v>
      </c>
      <c r="AK114" s="164">
        <f t="shared" ca="1" si="350"/>
        <v>0</v>
      </c>
      <c r="AL114" s="164">
        <f t="shared" ca="1" si="351"/>
        <v>0</v>
      </c>
      <c r="AM114" s="208"/>
      <c r="AN114" s="164">
        <f t="shared" si="352"/>
        <v>0</v>
      </c>
      <c r="AO114" s="164">
        <f t="shared" ca="1" si="353"/>
        <v>0</v>
      </c>
      <c r="AP114" s="164">
        <f t="shared" ca="1" si="354"/>
        <v>0</v>
      </c>
      <c r="AQ114" s="164">
        <f t="shared" ca="1" si="355"/>
        <v>0</v>
      </c>
      <c r="AR114" s="164">
        <f t="shared" ca="1" si="356"/>
        <v>0</v>
      </c>
      <c r="AS114" s="164">
        <f t="shared" ca="1" si="357"/>
        <v>0</v>
      </c>
      <c r="AT114" s="164">
        <f t="shared" ca="1" si="358"/>
        <v>0</v>
      </c>
      <c r="AU114" s="164">
        <f t="shared" ca="1" si="359"/>
        <v>0</v>
      </c>
      <c r="AV114" s="164">
        <f t="shared" ca="1" si="360"/>
        <v>0</v>
      </c>
      <c r="AW114" s="164">
        <f t="shared" ca="1" si="361"/>
        <v>0</v>
      </c>
      <c r="AX114" s="164">
        <f t="shared" ca="1" si="362"/>
        <v>0</v>
      </c>
      <c r="AY114" s="164">
        <f t="shared" ca="1" si="363"/>
        <v>0</v>
      </c>
      <c r="AZ114" s="164">
        <f t="shared" ca="1" si="364"/>
        <v>0</v>
      </c>
      <c r="BA114" s="164">
        <f t="shared" ca="1" si="365"/>
        <v>0</v>
      </c>
      <c r="BB114" s="164">
        <f t="shared" ca="1" si="366"/>
        <v>0</v>
      </c>
      <c r="BC114" s="164">
        <f t="shared" ca="1" si="367"/>
        <v>0</v>
      </c>
      <c r="BD114" s="164">
        <f t="shared" ca="1" si="368"/>
        <v>0</v>
      </c>
      <c r="BE114" s="164">
        <f t="shared" ca="1" si="369"/>
        <v>0</v>
      </c>
      <c r="BF114" s="164">
        <f t="shared" ca="1" si="370"/>
        <v>0</v>
      </c>
      <c r="BG114" s="164">
        <f t="shared" ca="1" si="371"/>
        <v>0</v>
      </c>
      <c r="BH114" s="164">
        <f t="shared" ca="1" si="372"/>
        <v>0</v>
      </c>
      <c r="BI114" s="164">
        <f t="shared" ca="1" si="373"/>
        <v>0</v>
      </c>
      <c r="BJ114" s="164">
        <f t="shared" ca="1" si="374"/>
        <v>0</v>
      </c>
      <c r="BK114" s="164">
        <f t="shared" ca="1" si="375"/>
        <v>0</v>
      </c>
      <c r="BL114" s="164">
        <f t="shared" ca="1" si="376"/>
        <v>0</v>
      </c>
      <c r="BM114" s="164">
        <f t="shared" ca="1" si="377"/>
        <v>0</v>
      </c>
      <c r="BN114" s="164">
        <f t="shared" ca="1" si="378"/>
        <v>0</v>
      </c>
      <c r="BO114" s="356" t="str">
        <f t="shared" ca="1" si="379"/>
        <v/>
      </c>
      <c r="BP114" s="355" t="str">
        <f t="shared" ca="1" si="380"/>
        <v/>
      </c>
      <c r="BQ114" s="355" t="str">
        <f t="shared" ca="1" si="381"/>
        <v/>
      </c>
      <c r="BR114" s="348">
        <f t="shared" ca="1" si="312"/>
        <v>0</v>
      </c>
      <c r="BS114" s="348">
        <f t="shared" ca="1" si="313"/>
        <v>0</v>
      </c>
      <c r="BT114" s="610">
        <f t="shared" ca="1" si="382"/>
        <v>0</v>
      </c>
      <c r="BU114" s="357">
        <f t="shared" ca="1" si="383"/>
        <v>0</v>
      </c>
      <c r="BV114" s="357">
        <f t="shared" si="384"/>
        <v>0</v>
      </c>
      <c r="BW114" s="357">
        <f t="shared" si="385"/>
        <v>0</v>
      </c>
      <c r="BX114" s="357">
        <f t="shared" ca="1" si="386"/>
        <v>0</v>
      </c>
      <c r="BY114" s="357">
        <f t="shared" ca="1" si="316"/>
        <v>0</v>
      </c>
      <c r="BZ114" s="357"/>
      <c r="CA114" s="357">
        <f t="shared" ca="1" si="314"/>
        <v>0</v>
      </c>
      <c r="CB114" s="357" t="str">
        <f t="shared" ca="1" si="387"/>
        <v/>
      </c>
      <c r="CC114" s="358" t="str">
        <f t="shared" ca="1" si="317"/>
        <v/>
      </c>
      <c r="CD114" s="358" t="str">
        <f t="shared" ca="1" si="318"/>
        <v/>
      </c>
      <c r="CE114" s="357" t="str">
        <f t="shared" ca="1" si="416"/>
        <v>,,,,,,,,,,,,,,,,,,,,,,,,,,,,,,,,,,,,,,,,,,,,,,,,,,,,,,</v>
      </c>
      <c r="CF114" s="154" t="str">
        <f t="shared" si="315"/>
        <v/>
      </c>
      <c r="CG114" s="154">
        <f t="shared" ca="1" si="319"/>
        <v>0</v>
      </c>
      <c r="CH114" s="154"/>
      <c r="CI114" s="154"/>
      <c r="CJ114" s="154"/>
      <c r="CK114" s="154"/>
      <c r="CL114" s="154"/>
      <c r="CM114" s="154"/>
      <c r="CN114" t="s">
        <v>784</v>
      </c>
      <c r="CO114" s="169"/>
      <c r="CP114" s="169"/>
      <c r="CQ114" s="169"/>
      <c r="CR114" s="169"/>
      <c r="CS114" s="169"/>
      <c r="CT114" s="169"/>
      <c r="CU114" s="169"/>
      <c r="CV114" s="164" t="str">
        <f t="shared" ca="1" si="419"/>
        <v/>
      </c>
      <c r="CW114" s="164" t="str">
        <f t="shared" ca="1" si="419"/>
        <v/>
      </c>
      <c r="CX114" s="164" t="str">
        <f t="shared" ca="1" si="419"/>
        <v/>
      </c>
      <c r="CY114" s="164" t="str">
        <f t="shared" ca="1" si="419"/>
        <v/>
      </c>
      <c r="CZ114" s="164" t="str">
        <f t="shared" ca="1" si="419"/>
        <v/>
      </c>
      <c r="DA114" s="164" t="str">
        <f t="shared" ca="1" si="419"/>
        <v/>
      </c>
      <c r="DB114" s="164" t="str">
        <f t="shared" ca="1" si="419"/>
        <v/>
      </c>
      <c r="DC114" s="164" t="str">
        <f t="shared" ca="1" si="419"/>
        <v/>
      </c>
      <c r="DD114" s="164" t="str">
        <f t="shared" ca="1" si="419"/>
        <v/>
      </c>
      <c r="DE114" s="164" t="str">
        <f t="shared" ca="1" si="419"/>
        <v/>
      </c>
      <c r="DF114" s="164" t="str">
        <f t="shared" ca="1" si="420"/>
        <v/>
      </c>
      <c r="DG114" s="164" t="str">
        <f t="shared" ca="1" si="420"/>
        <v/>
      </c>
      <c r="DH114" s="164" t="str">
        <f t="shared" ca="1" si="420"/>
        <v/>
      </c>
      <c r="DI114" s="164" t="str">
        <f t="shared" ca="1" si="420"/>
        <v/>
      </c>
      <c r="DJ114" s="164" t="str">
        <f t="shared" ca="1" si="420"/>
        <v/>
      </c>
      <c r="DK114" s="164" t="str">
        <f t="shared" ca="1" si="420"/>
        <v/>
      </c>
      <c r="DL114" s="164" t="str">
        <f t="shared" ca="1" si="420"/>
        <v/>
      </c>
      <c r="DM114" s="164" t="str">
        <f t="shared" ca="1" si="420"/>
        <v/>
      </c>
      <c r="DN114" s="164" t="str">
        <f t="shared" ca="1" si="420"/>
        <v/>
      </c>
      <c r="DO114" s="164" t="str">
        <f t="shared" ca="1" si="420"/>
        <v/>
      </c>
      <c r="DP114" s="164" t="str">
        <f t="shared" ca="1" si="420"/>
        <v/>
      </c>
      <c r="DQ114" s="164" t="str">
        <f t="shared" ca="1" si="420"/>
        <v/>
      </c>
      <c r="DR114" s="208"/>
      <c r="DS114" s="164" t="str">
        <f t="shared" ca="1" si="388"/>
        <v/>
      </c>
      <c r="DT114" s="164" t="str">
        <f t="shared" ca="1" si="389"/>
        <v/>
      </c>
      <c r="DU114" s="164" t="str">
        <f t="shared" ca="1" si="390"/>
        <v/>
      </c>
      <c r="DV114" s="164" t="str">
        <f t="shared" ca="1" si="391"/>
        <v/>
      </c>
      <c r="DW114" s="164" t="str">
        <f t="shared" ca="1" si="392"/>
        <v/>
      </c>
      <c r="DX114" s="164" t="str">
        <f t="shared" ca="1" si="393"/>
        <v/>
      </c>
      <c r="DY114" s="164" t="str">
        <f t="shared" ca="1" si="394"/>
        <v/>
      </c>
      <c r="DZ114" s="164" t="str">
        <f t="shared" ca="1" si="395"/>
        <v/>
      </c>
      <c r="EA114" s="164" t="str">
        <f t="shared" ca="1" si="396"/>
        <v/>
      </c>
      <c r="EB114" s="164" t="str">
        <f t="shared" ca="1" si="397"/>
        <v/>
      </c>
      <c r="EC114" s="164" t="str">
        <f t="shared" ca="1" si="398"/>
        <v/>
      </c>
      <c r="ED114" s="164" t="str">
        <f t="shared" ca="1" si="399"/>
        <v/>
      </c>
      <c r="EE114" s="164" t="str">
        <f t="shared" ca="1" si="400"/>
        <v/>
      </c>
      <c r="EF114" s="164" t="str">
        <f t="shared" ca="1" si="401"/>
        <v/>
      </c>
      <c r="EG114" s="164" t="str">
        <f t="shared" ca="1" si="402"/>
        <v/>
      </c>
      <c r="EH114" s="164" t="str">
        <f t="shared" ca="1" si="403"/>
        <v/>
      </c>
      <c r="EI114" s="164" t="str">
        <f t="shared" ca="1" si="404"/>
        <v/>
      </c>
      <c r="EJ114" s="164" t="str">
        <f t="shared" ca="1" si="405"/>
        <v/>
      </c>
      <c r="EK114" s="164" t="str">
        <f t="shared" ca="1" si="406"/>
        <v/>
      </c>
      <c r="EL114" s="164" t="str">
        <f t="shared" ca="1" si="407"/>
        <v/>
      </c>
      <c r="EM114" s="164" t="str">
        <f t="shared" ca="1" si="408"/>
        <v/>
      </c>
      <c r="EN114" s="164" t="str">
        <f t="shared" ca="1" si="409"/>
        <v/>
      </c>
      <c r="EO114" s="164" t="str">
        <f t="shared" ca="1" si="410"/>
        <v/>
      </c>
      <c r="EP114" s="164" t="str">
        <f t="shared" ca="1" si="411"/>
        <v/>
      </c>
      <c r="EQ114" s="164" t="str">
        <f t="shared" ca="1" si="412"/>
        <v/>
      </c>
      <c r="ER114" s="164" t="str">
        <f t="shared" ca="1" si="413"/>
        <v/>
      </c>
      <c r="ES114" s="164" t="str">
        <f t="shared" ca="1" si="414"/>
        <v/>
      </c>
    </row>
    <row r="115" spans="1:149" x14ac:dyDescent="0.2">
      <c r="A115" s="89" t="str">
        <f t="shared" ca="1" si="415"/>
        <v/>
      </c>
      <c r="B115" s="317" t="str">
        <f t="shared" ca="1" si="324"/>
        <v/>
      </c>
      <c r="C115" s="609" t="str">
        <f t="shared" ca="1" si="325"/>
        <v/>
      </c>
      <c r="D115" s="1956" t="str">
        <f t="shared" ca="1" si="326"/>
        <v/>
      </c>
      <c r="E115" s="1956"/>
      <c r="F115" s="960"/>
      <c r="G115" s="485" t="str">
        <f t="shared" ca="1" si="327"/>
        <v/>
      </c>
      <c r="H115" s="983"/>
      <c r="I115" s="486"/>
      <c r="J115" s="326"/>
      <c r="K115" s="1886" t="str">
        <f t="shared" ca="1" si="328"/>
        <v/>
      </c>
      <c r="L115" s="1888"/>
      <c r="M115" s="296" t="str">
        <f t="shared" ca="1" si="307"/>
        <v/>
      </c>
      <c r="N115" s="1322"/>
      <c r="O115" s="1319"/>
      <c r="P115" s="957" t="str">
        <f t="shared" ca="1" si="329"/>
        <v/>
      </c>
      <c r="Q115" s="164">
        <f t="shared" si="330"/>
        <v>0</v>
      </c>
      <c r="R115" s="164">
        <f t="shared" ca="1" si="331"/>
        <v>0</v>
      </c>
      <c r="S115" s="164">
        <f t="shared" ca="1" si="332"/>
        <v>0</v>
      </c>
      <c r="T115" s="164">
        <f t="shared" ca="1" si="333"/>
        <v>0</v>
      </c>
      <c r="U115" s="164">
        <f t="shared" ca="1" si="334"/>
        <v>0</v>
      </c>
      <c r="V115" s="164">
        <f t="shared" ca="1" si="335"/>
        <v>0</v>
      </c>
      <c r="W115" s="164">
        <f t="shared" ca="1" si="336"/>
        <v>0</v>
      </c>
      <c r="X115" s="164">
        <f t="shared" ca="1" si="337"/>
        <v>0</v>
      </c>
      <c r="Y115" s="164">
        <f t="shared" ca="1" si="338"/>
        <v>0</v>
      </c>
      <c r="Z115" s="164">
        <f t="shared" ca="1" si="339"/>
        <v>0</v>
      </c>
      <c r="AA115" s="164">
        <f t="shared" ca="1" si="340"/>
        <v>0</v>
      </c>
      <c r="AB115" s="164">
        <f t="shared" ca="1" si="341"/>
        <v>0</v>
      </c>
      <c r="AC115" s="164">
        <f t="shared" ca="1" si="342"/>
        <v>0</v>
      </c>
      <c r="AD115" s="164">
        <f t="shared" ca="1" si="343"/>
        <v>0</v>
      </c>
      <c r="AE115" s="164">
        <f t="shared" ca="1" si="344"/>
        <v>0</v>
      </c>
      <c r="AF115" s="164">
        <f t="shared" ca="1" si="345"/>
        <v>0</v>
      </c>
      <c r="AG115" s="164">
        <f t="shared" ca="1" si="346"/>
        <v>0</v>
      </c>
      <c r="AH115" s="164">
        <f t="shared" ca="1" si="347"/>
        <v>0</v>
      </c>
      <c r="AI115" s="164">
        <f t="shared" ca="1" si="348"/>
        <v>0</v>
      </c>
      <c r="AJ115" s="164">
        <f t="shared" ca="1" si="349"/>
        <v>0</v>
      </c>
      <c r="AK115" s="164">
        <f t="shared" ca="1" si="350"/>
        <v>0</v>
      </c>
      <c r="AL115" s="164">
        <f t="shared" ca="1" si="351"/>
        <v>0</v>
      </c>
      <c r="AM115" s="208"/>
      <c r="AN115" s="164">
        <f t="shared" si="352"/>
        <v>0</v>
      </c>
      <c r="AO115" s="164">
        <f t="shared" ca="1" si="353"/>
        <v>0</v>
      </c>
      <c r="AP115" s="164">
        <f t="shared" ca="1" si="354"/>
        <v>0</v>
      </c>
      <c r="AQ115" s="164">
        <f t="shared" ca="1" si="355"/>
        <v>0</v>
      </c>
      <c r="AR115" s="164">
        <f t="shared" ca="1" si="356"/>
        <v>0</v>
      </c>
      <c r="AS115" s="164">
        <f t="shared" ca="1" si="357"/>
        <v>0</v>
      </c>
      <c r="AT115" s="164">
        <f t="shared" ca="1" si="358"/>
        <v>0</v>
      </c>
      <c r="AU115" s="164">
        <f t="shared" ca="1" si="359"/>
        <v>0</v>
      </c>
      <c r="AV115" s="164">
        <f t="shared" ca="1" si="360"/>
        <v>0</v>
      </c>
      <c r="AW115" s="164">
        <f t="shared" ca="1" si="361"/>
        <v>0</v>
      </c>
      <c r="AX115" s="164">
        <f t="shared" ca="1" si="362"/>
        <v>0</v>
      </c>
      <c r="AY115" s="164">
        <f t="shared" ca="1" si="363"/>
        <v>0</v>
      </c>
      <c r="AZ115" s="164">
        <f t="shared" ca="1" si="364"/>
        <v>0</v>
      </c>
      <c r="BA115" s="164">
        <f t="shared" ca="1" si="365"/>
        <v>0</v>
      </c>
      <c r="BB115" s="164">
        <f t="shared" ca="1" si="366"/>
        <v>0</v>
      </c>
      <c r="BC115" s="164">
        <f t="shared" ca="1" si="367"/>
        <v>0</v>
      </c>
      <c r="BD115" s="164">
        <f t="shared" ca="1" si="368"/>
        <v>0</v>
      </c>
      <c r="BE115" s="164">
        <f t="shared" ca="1" si="369"/>
        <v>0</v>
      </c>
      <c r="BF115" s="164">
        <f t="shared" ca="1" si="370"/>
        <v>0</v>
      </c>
      <c r="BG115" s="164">
        <f t="shared" ca="1" si="371"/>
        <v>0</v>
      </c>
      <c r="BH115" s="164">
        <f t="shared" ca="1" si="372"/>
        <v>0</v>
      </c>
      <c r="BI115" s="164">
        <f t="shared" ca="1" si="373"/>
        <v>0</v>
      </c>
      <c r="BJ115" s="164">
        <f t="shared" ca="1" si="374"/>
        <v>0</v>
      </c>
      <c r="BK115" s="164">
        <f t="shared" ca="1" si="375"/>
        <v>0</v>
      </c>
      <c r="BL115" s="164">
        <f t="shared" ca="1" si="376"/>
        <v>0</v>
      </c>
      <c r="BM115" s="164">
        <f t="shared" ca="1" si="377"/>
        <v>0</v>
      </c>
      <c r="BN115" s="164">
        <f t="shared" ca="1" si="378"/>
        <v>0</v>
      </c>
      <c r="BO115" s="356" t="str">
        <f t="shared" ca="1" si="379"/>
        <v/>
      </c>
      <c r="BP115" s="355" t="str">
        <f t="shared" ca="1" si="380"/>
        <v/>
      </c>
      <c r="BQ115" s="355" t="str">
        <f t="shared" ca="1" si="381"/>
        <v/>
      </c>
      <c r="BR115" s="348">
        <f t="shared" ca="1" si="312"/>
        <v>0</v>
      </c>
      <c r="BS115" s="348">
        <f t="shared" ca="1" si="313"/>
        <v>0</v>
      </c>
      <c r="BT115" s="610">
        <f t="shared" ca="1" si="382"/>
        <v>0</v>
      </c>
      <c r="BU115" s="357">
        <f t="shared" ca="1" si="383"/>
        <v>0</v>
      </c>
      <c r="BV115" s="357">
        <f t="shared" si="384"/>
        <v>0</v>
      </c>
      <c r="BW115" s="357">
        <f t="shared" si="385"/>
        <v>0</v>
      </c>
      <c r="BX115" s="357">
        <f t="shared" ca="1" si="386"/>
        <v>0</v>
      </c>
      <c r="BY115" s="357">
        <f t="shared" ca="1" si="316"/>
        <v>0</v>
      </c>
      <c r="BZ115" s="357"/>
      <c r="CA115" s="357">
        <f t="shared" ca="1" si="314"/>
        <v>0</v>
      </c>
      <c r="CB115" s="357" t="str">
        <f t="shared" ca="1" si="387"/>
        <v/>
      </c>
      <c r="CC115" s="358" t="str">
        <f t="shared" ca="1" si="317"/>
        <v/>
      </c>
      <c r="CD115" s="358" t="str">
        <f t="shared" ca="1" si="318"/>
        <v/>
      </c>
      <c r="CE115" s="357" t="str">
        <f t="shared" ca="1" si="416"/>
        <v>,,,,,,,,,,,,,,,,,,,,,,,,,,,,,,,,,,,,,,,,,,,,,,,,,,,,,,,</v>
      </c>
      <c r="CF115" s="154" t="str">
        <f t="shared" si="315"/>
        <v/>
      </c>
      <c r="CG115" s="154">
        <f t="shared" ca="1" si="319"/>
        <v>0</v>
      </c>
      <c r="CH115" s="154"/>
      <c r="CI115" s="154"/>
      <c r="CJ115" s="154"/>
      <c r="CK115" s="154"/>
      <c r="CL115" s="154"/>
      <c r="CM115" s="154"/>
      <c r="CN115" t="s">
        <v>784</v>
      </c>
      <c r="CO115" s="169"/>
      <c r="CP115" s="169"/>
      <c r="CQ115" s="169"/>
      <c r="CR115" s="169"/>
      <c r="CS115" s="169"/>
      <c r="CT115" s="169"/>
      <c r="CU115" s="169"/>
      <c r="CV115" s="164" t="str">
        <f t="shared" ca="1" si="419"/>
        <v/>
      </c>
      <c r="CW115" s="164" t="str">
        <f t="shared" ca="1" si="419"/>
        <v/>
      </c>
      <c r="CX115" s="164" t="str">
        <f t="shared" ca="1" si="419"/>
        <v/>
      </c>
      <c r="CY115" s="164" t="str">
        <f t="shared" ca="1" si="419"/>
        <v/>
      </c>
      <c r="CZ115" s="164" t="str">
        <f t="shared" ca="1" si="419"/>
        <v/>
      </c>
      <c r="DA115" s="164" t="str">
        <f t="shared" ca="1" si="419"/>
        <v/>
      </c>
      <c r="DB115" s="164" t="str">
        <f t="shared" ca="1" si="419"/>
        <v/>
      </c>
      <c r="DC115" s="164" t="str">
        <f t="shared" ca="1" si="419"/>
        <v/>
      </c>
      <c r="DD115" s="164" t="str">
        <f t="shared" ca="1" si="419"/>
        <v/>
      </c>
      <c r="DE115" s="164" t="str">
        <f t="shared" ca="1" si="419"/>
        <v/>
      </c>
      <c r="DF115" s="164" t="str">
        <f t="shared" ca="1" si="420"/>
        <v/>
      </c>
      <c r="DG115" s="164" t="str">
        <f t="shared" ca="1" si="420"/>
        <v/>
      </c>
      <c r="DH115" s="164" t="str">
        <f t="shared" ca="1" si="420"/>
        <v/>
      </c>
      <c r="DI115" s="164" t="str">
        <f t="shared" ca="1" si="420"/>
        <v/>
      </c>
      <c r="DJ115" s="164" t="str">
        <f t="shared" ca="1" si="420"/>
        <v/>
      </c>
      <c r="DK115" s="164" t="str">
        <f t="shared" ca="1" si="420"/>
        <v/>
      </c>
      <c r="DL115" s="164" t="str">
        <f t="shared" ca="1" si="420"/>
        <v/>
      </c>
      <c r="DM115" s="164" t="str">
        <f t="shared" ca="1" si="420"/>
        <v/>
      </c>
      <c r="DN115" s="164" t="str">
        <f t="shared" ca="1" si="420"/>
        <v/>
      </c>
      <c r="DO115" s="164" t="str">
        <f t="shared" ca="1" si="420"/>
        <v/>
      </c>
      <c r="DP115" s="164" t="str">
        <f t="shared" ca="1" si="420"/>
        <v/>
      </c>
      <c r="DQ115" s="164" t="str">
        <f t="shared" ca="1" si="420"/>
        <v/>
      </c>
      <c r="DR115" s="208"/>
      <c r="DS115" s="164" t="str">
        <f t="shared" ca="1" si="388"/>
        <v/>
      </c>
      <c r="DT115" s="164" t="str">
        <f t="shared" ca="1" si="389"/>
        <v/>
      </c>
      <c r="DU115" s="164" t="str">
        <f t="shared" ca="1" si="390"/>
        <v/>
      </c>
      <c r="DV115" s="164" t="str">
        <f t="shared" ca="1" si="391"/>
        <v/>
      </c>
      <c r="DW115" s="164" t="str">
        <f t="shared" ca="1" si="392"/>
        <v/>
      </c>
      <c r="DX115" s="164" t="str">
        <f t="shared" ca="1" si="393"/>
        <v/>
      </c>
      <c r="DY115" s="164" t="str">
        <f t="shared" ca="1" si="394"/>
        <v/>
      </c>
      <c r="DZ115" s="164" t="str">
        <f t="shared" ca="1" si="395"/>
        <v/>
      </c>
      <c r="EA115" s="164" t="str">
        <f t="shared" ca="1" si="396"/>
        <v/>
      </c>
      <c r="EB115" s="164" t="str">
        <f t="shared" ca="1" si="397"/>
        <v/>
      </c>
      <c r="EC115" s="164" t="str">
        <f t="shared" ca="1" si="398"/>
        <v/>
      </c>
      <c r="ED115" s="164" t="str">
        <f t="shared" ca="1" si="399"/>
        <v/>
      </c>
      <c r="EE115" s="164" t="str">
        <f t="shared" ca="1" si="400"/>
        <v/>
      </c>
      <c r="EF115" s="164" t="str">
        <f t="shared" ca="1" si="401"/>
        <v/>
      </c>
      <c r="EG115" s="164" t="str">
        <f t="shared" ca="1" si="402"/>
        <v/>
      </c>
      <c r="EH115" s="164" t="str">
        <f t="shared" ca="1" si="403"/>
        <v/>
      </c>
      <c r="EI115" s="164" t="str">
        <f t="shared" ca="1" si="404"/>
        <v/>
      </c>
      <c r="EJ115" s="164" t="str">
        <f t="shared" ca="1" si="405"/>
        <v/>
      </c>
      <c r="EK115" s="164" t="str">
        <f t="shared" ca="1" si="406"/>
        <v/>
      </c>
      <c r="EL115" s="164" t="str">
        <f t="shared" ca="1" si="407"/>
        <v/>
      </c>
      <c r="EM115" s="164" t="str">
        <f t="shared" ca="1" si="408"/>
        <v/>
      </c>
      <c r="EN115" s="164" t="str">
        <f t="shared" ca="1" si="409"/>
        <v/>
      </c>
      <c r="EO115" s="164" t="str">
        <f t="shared" ca="1" si="410"/>
        <v/>
      </c>
      <c r="EP115" s="164" t="str">
        <f t="shared" ca="1" si="411"/>
        <v/>
      </c>
      <c r="EQ115" s="164" t="str">
        <f t="shared" ca="1" si="412"/>
        <v/>
      </c>
      <c r="ER115" s="164" t="str">
        <f t="shared" ca="1" si="413"/>
        <v/>
      </c>
      <c r="ES115" s="164" t="str">
        <f t="shared" ca="1" si="414"/>
        <v/>
      </c>
    </row>
    <row r="116" spans="1:149" x14ac:dyDescent="0.2">
      <c r="A116" s="89" t="str">
        <f t="shared" ca="1" si="415"/>
        <v/>
      </c>
      <c r="B116" s="317" t="str">
        <f t="shared" ca="1" si="324"/>
        <v/>
      </c>
      <c r="C116" s="609" t="str">
        <f t="shared" ca="1" si="325"/>
        <v/>
      </c>
      <c r="D116" s="1956" t="str">
        <f t="shared" ca="1" si="326"/>
        <v/>
      </c>
      <c r="E116" s="1956"/>
      <c r="F116" s="960"/>
      <c r="G116" s="485" t="str">
        <f t="shared" ca="1" si="327"/>
        <v/>
      </c>
      <c r="H116" s="983"/>
      <c r="I116" s="486"/>
      <c r="J116" s="326"/>
      <c r="K116" s="1886" t="str">
        <f t="shared" ca="1" si="328"/>
        <v/>
      </c>
      <c r="L116" s="1888"/>
      <c r="M116" s="296" t="str">
        <f t="shared" ca="1" si="307"/>
        <v/>
      </c>
      <c r="N116" s="1322"/>
      <c r="O116" s="1319"/>
      <c r="P116" s="957" t="str">
        <f t="shared" ca="1" si="329"/>
        <v/>
      </c>
      <c r="Q116" s="164">
        <f t="shared" si="330"/>
        <v>0</v>
      </c>
      <c r="R116" s="164">
        <f t="shared" ca="1" si="331"/>
        <v>0</v>
      </c>
      <c r="S116" s="164">
        <f t="shared" ca="1" si="332"/>
        <v>0</v>
      </c>
      <c r="T116" s="164">
        <f t="shared" ca="1" si="333"/>
        <v>0</v>
      </c>
      <c r="U116" s="164">
        <f t="shared" ca="1" si="334"/>
        <v>0</v>
      </c>
      <c r="V116" s="164">
        <f t="shared" ca="1" si="335"/>
        <v>0</v>
      </c>
      <c r="W116" s="164">
        <f t="shared" ca="1" si="336"/>
        <v>0</v>
      </c>
      <c r="X116" s="164">
        <f t="shared" ca="1" si="337"/>
        <v>0</v>
      </c>
      <c r="Y116" s="164">
        <f t="shared" ca="1" si="338"/>
        <v>0</v>
      </c>
      <c r="Z116" s="164">
        <f t="shared" ca="1" si="339"/>
        <v>0</v>
      </c>
      <c r="AA116" s="164">
        <f t="shared" ca="1" si="340"/>
        <v>0</v>
      </c>
      <c r="AB116" s="164">
        <f t="shared" ca="1" si="341"/>
        <v>0</v>
      </c>
      <c r="AC116" s="164">
        <f t="shared" ca="1" si="342"/>
        <v>0</v>
      </c>
      <c r="AD116" s="164">
        <f t="shared" ca="1" si="343"/>
        <v>0</v>
      </c>
      <c r="AE116" s="164">
        <f t="shared" ca="1" si="344"/>
        <v>0</v>
      </c>
      <c r="AF116" s="164">
        <f t="shared" ca="1" si="345"/>
        <v>0</v>
      </c>
      <c r="AG116" s="164">
        <f t="shared" ca="1" si="346"/>
        <v>0</v>
      </c>
      <c r="AH116" s="164">
        <f t="shared" ca="1" si="347"/>
        <v>0</v>
      </c>
      <c r="AI116" s="164">
        <f t="shared" ca="1" si="348"/>
        <v>0</v>
      </c>
      <c r="AJ116" s="164">
        <f t="shared" ca="1" si="349"/>
        <v>0</v>
      </c>
      <c r="AK116" s="164">
        <f t="shared" ca="1" si="350"/>
        <v>0</v>
      </c>
      <c r="AL116" s="164">
        <f t="shared" ca="1" si="351"/>
        <v>0</v>
      </c>
      <c r="AM116" s="208"/>
      <c r="AN116" s="164">
        <f t="shared" si="352"/>
        <v>0</v>
      </c>
      <c r="AO116" s="164">
        <f t="shared" ca="1" si="353"/>
        <v>0</v>
      </c>
      <c r="AP116" s="164">
        <f t="shared" ca="1" si="354"/>
        <v>0</v>
      </c>
      <c r="AQ116" s="164">
        <f t="shared" ca="1" si="355"/>
        <v>0</v>
      </c>
      <c r="AR116" s="164">
        <f t="shared" ca="1" si="356"/>
        <v>0</v>
      </c>
      <c r="AS116" s="164">
        <f t="shared" ca="1" si="357"/>
        <v>0</v>
      </c>
      <c r="AT116" s="164">
        <f t="shared" ca="1" si="358"/>
        <v>0</v>
      </c>
      <c r="AU116" s="164">
        <f t="shared" ca="1" si="359"/>
        <v>0</v>
      </c>
      <c r="AV116" s="164">
        <f t="shared" ca="1" si="360"/>
        <v>0</v>
      </c>
      <c r="AW116" s="164">
        <f t="shared" ca="1" si="361"/>
        <v>0</v>
      </c>
      <c r="AX116" s="164">
        <f t="shared" ca="1" si="362"/>
        <v>0</v>
      </c>
      <c r="AY116" s="164">
        <f t="shared" ca="1" si="363"/>
        <v>0</v>
      </c>
      <c r="AZ116" s="164">
        <f t="shared" ca="1" si="364"/>
        <v>0</v>
      </c>
      <c r="BA116" s="164">
        <f t="shared" ca="1" si="365"/>
        <v>0</v>
      </c>
      <c r="BB116" s="164">
        <f t="shared" ca="1" si="366"/>
        <v>0</v>
      </c>
      <c r="BC116" s="164">
        <f t="shared" ca="1" si="367"/>
        <v>0</v>
      </c>
      <c r="BD116" s="164">
        <f t="shared" ca="1" si="368"/>
        <v>0</v>
      </c>
      <c r="BE116" s="164">
        <f t="shared" ca="1" si="369"/>
        <v>0</v>
      </c>
      <c r="BF116" s="164">
        <f t="shared" ca="1" si="370"/>
        <v>0</v>
      </c>
      <c r="BG116" s="164">
        <f t="shared" ca="1" si="371"/>
        <v>0</v>
      </c>
      <c r="BH116" s="164">
        <f t="shared" ca="1" si="372"/>
        <v>0</v>
      </c>
      <c r="BI116" s="164">
        <f t="shared" ca="1" si="373"/>
        <v>0</v>
      </c>
      <c r="BJ116" s="164">
        <f t="shared" ca="1" si="374"/>
        <v>0</v>
      </c>
      <c r="BK116" s="164">
        <f t="shared" ca="1" si="375"/>
        <v>0</v>
      </c>
      <c r="BL116" s="164">
        <f t="shared" ca="1" si="376"/>
        <v>0</v>
      </c>
      <c r="BM116" s="164">
        <f t="shared" ca="1" si="377"/>
        <v>0</v>
      </c>
      <c r="BN116" s="164">
        <f t="shared" ca="1" si="378"/>
        <v>0</v>
      </c>
      <c r="BO116" s="356" t="str">
        <f t="shared" ca="1" si="379"/>
        <v/>
      </c>
      <c r="BP116" s="355" t="str">
        <f t="shared" ca="1" si="380"/>
        <v/>
      </c>
      <c r="BQ116" s="355" t="str">
        <f t="shared" ca="1" si="381"/>
        <v/>
      </c>
      <c r="BR116" s="348">
        <f t="shared" ca="1" si="312"/>
        <v>0</v>
      </c>
      <c r="BS116" s="348">
        <f t="shared" ca="1" si="313"/>
        <v>0</v>
      </c>
      <c r="BT116" s="610">
        <f t="shared" ca="1" si="382"/>
        <v>0</v>
      </c>
      <c r="BU116" s="357">
        <f t="shared" ca="1" si="383"/>
        <v>0</v>
      </c>
      <c r="BV116" s="357">
        <f t="shared" si="384"/>
        <v>0</v>
      </c>
      <c r="BW116" s="357">
        <f t="shared" si="385"/>
        <v>0</v>
      </c>
      <c r="BX116" s="357">
        <f t="shared" ca="1" si="386"/>
        <v>0</v>
      </c>
      <c r="BY116" s="357">
        <f t="shared" ca="1" si="316"/>
        <v>0</v>
      </c>
      <c r="BZ116" s="357"/>
      <c r="CA116" s="357">
        <f t="shared" ca="1" si="314"/>
        <v>0</v>
      </c>
      <c r="CB116" s="357" t="str">
        <f t="shared" ca="1" si="387"/>
        <v/>
      </c>
      <c r="CC116" s="358" t="str">
        <f t="shared" ca="1" si="317"/>
        <v/>
      </c>
      <c r="CD116" s="358" t="str">
        <f t="shared" ca="1" si="318"/>
        <v/>
      </c>
      <c r="CE116" s="357" t="str">
        <f t="shared" ca="1" si="416"/>
        <v>,,,,,,,,,,,,,,,,,,,,,,,,,,,,,,,,,,,,,,,,,,,,,,,,,,,,,,,,</v>
      </c>
      <c r="CF116" s="154" t="str">
        <f t="shared" si="315"/>
        <v/>
      </c>
      <c r="CG116" s="154">
        <f t="shared" ca="1" si="319"/>
        <v>0</v>
      </c>
      <c r="CH116" s="154"/>
      <c r="CI116" s="154"/>
      <c r="CJ116" s="154"/>
      <c r="CK116" s="154"/>
      <c r="CL116" s="154"/>
      <c r="CM116" s="154"/>
      <c r="CN116" t="s">
        <v>784</v>
      </c>
      <c r="CO116" s="169"/>
      <c r="CP116" s="169"/>
      <c r="CQ116" s="169"/>
      <c r="CR116" s="169"/>
      <c r="CS116" s="169"/>
      <c r="CT116" s="169"/>
      <c r="CU116" s="169"/>
      <c r="CV116" s="164" t="str">
        <f t="shared" ca="1" si="419"/>
        <v/>
      </c>
      <c r="CW116" s="164" t="str">
        <f t="shared" ca="1" si="419"/>
        <v/>
      </c>
      <c r="CX116" s="164" t="str">
        <f t="shared" ca="1" si="419"/>
        <v/>
      </c>
      <c r="CY116" s="164" t="str">
        <f t="shared" ca="1" si="419"/>
        <v/>
      </c>
      <c r="CZ116" s="164" t="str">
        <f t="shared" ca="1" si="419"/>
        <v/>
      </c>
      <c r="DA116" s="164" t="str">
        <f t="shared" ca="1" si="419"/>
        <v/>
      </c>
      <c r="DB116" s="164" t="str">
        <f t="shared" ca="1" si="419"/>
        <v/>
      </c>
      <c r="DC116" s="164" t="str">
        <f t="shared" ca="1" si="419"/>
        <v/>
      </c>
      <c r="DD116" s="164" t="str">
        <f t="shared" ca="1" si="419"/>
        <v/>
      </c>
      <c r="DE116" s="164" t="str">
        <f t="shared" ca="1" si="419"/>
        <v/>
      </c>
      <c r="DF116" s="164" t="str">
        <f t="shared" ca="1" si="420"/>
        <v/>
      </c>
      <c r="DG116" s="164" t="str">
        <f t="shared" ca="1" si="420"/>
        <v/>
      </c>
      <c r="DH116" s="164" t="str">
        <f t="shared" ca="1" si="420"/>
        <v/>
      </c>
      <c r="DI116" s="164" t="str">
        <f t="shared" ca="1" si="420"/>
        <v/>
      </c>
      <c r="DJ116" s="164" t="str">
        <f t="shared" ca="1" si="420"/>
        <v/>
      </c>
      <c r="DK116" s="164" t="str">
        <f t="shared" ca="1" si="420"/>
        <v/>
      </c>
      <c r="DL116" s="164" t="str">
        <f t="shared" ca="1" si="420"/>
        <v/>
      </c>
      <c r="DM116" s="164" t="str">
        <f t="shared" ca="1" si="420"/>
        <v/>
      </c>
      <c r="DN116" s="164" t="str">
        <f t="shared" ca="1" si="420"/>
        <v/>
      </c>
      <c r="DO116" s="164" t="str">
        <f t="shared" ca="1" si="420"/>
        <v/>
      </c>
      <c r="DP116" s="164" t="str">
        <f t="shared" ca="1" si="420"/>
        <v/>
      </c>
      <c r="DQ116" s="164" t="str">
        <f t="shared" ca="1" si="420"/>
        <v/>
      </c>
      <c r="DR116" s="208"/>
      <c r="DS116" s="164" t="str">
        <f t="shared" ca="1" si="388"/>
        <v/>
      </c>
      <c r="DT116" s="164" t="str">
        <f t="shared" ca="1" si="389"/>
        <v/>
      </c>
      <c r="DU116" s="164" t="str">
        <f t="shared" ca="1" si="390"/>
        <v/>
      </c>
      <c r="DV116" s="164" t="str">
        <f t="shared" ca="1" si="391"/>
        <v/>
      </c>
      <c r="DW116" s="164" t="str">
        <f t="shared" ca="1" si="392"/>
        <v/>
      </c>
      <c r="DX116" s="164" t="str">
        <f t="shared" ca="1" si="393"/>
        <v/>
      </c>
      <c r="DY116" s="164" t="str">
        <f t="shared" ca="1" si="394"/>
        <v/>
      </c>
      <c r="DZ116" s="164" t="str">
        <f t="shared" ca="1" si="395"/>
        <v/>
      </c>
      <c r="EA116" s="164" t="str">
        <f t="shared" ca="1" si="396"/>
        <v/>
      </c>
      <c r="EB116" s="164" t="str">
        <f t="shared" ca="1" si="397"/>
        <v/>
      </c>
      <c r="EC116" s="164" t="str">
        <f t="shared" ca="1" si="398"/>
        <v/>
      </c>
      <c r="ED116" s="164" t="str">
        <f t="shared" ca="1" si="399"/>
        <v/>
      </c>
      <c r="EE116" s="164" t="str">
        <f t="shared" ca="1" si="400"/>
        <v/>
      </c>
      <c r="EF116" s="164" t="str">
        <f t="shared" ca="1" si="401"/>
        <v/>
      </c>
      <c r="EG116" s="164" t="str">
        <f t="shared" ca="1" si="402"/>
        <v/>
      </c>
      <c r="EH116" s="164" t="str">
        <f t="shared" ca="1" si="403"/>
        <v/>
      </c>
      <c r="EI116" s="164" t="str">
        <f t="shared" ca="1" si="404"/>
        <v/>
      </c>
      <c r="EJ116" s="164" t="str">
        <f t="shared" ca="1" si="405"/>
        <v/>
      </c>
      <c r="EK116" s="164" t="str">
        <f t="shared" ca="1" si="406"/>
        <v/>
      </c>
      <c r="EL116" s="164" t="str">
        <f t="shared" ca="1" si="407"/>
        <v/>
      </c>
      <c r="EM116" s="164" t="str">
        <f t="shared" ca="1" si="408"/>
        <v/>
      </c>
      <c r="EN116" s="164" t="str">
        <f t="shared" ca="1" si="409"/>
        <v/>
      </c>
      <c r="EO116" s="164" t="str">
        <f t="shared" ca="1" si="410"/>
        <v/>
      </c>
      <c r="EP116" s="164" t="str">
        <f t="shared" ca="1" si="411"/>
        <v/>
      </c>
      <c r="EQ116" s="164" t="str">
        <f t="shared" ca="1" si="412"/>
        <v/>
      </c>
      <c r="ER116" s="164" t="str">
        <f t="shared" ca="1" si="413"/>
        <v/>
      </c>
      <c r="ES116" s="164" t="str">
        <f t="shared" ca="1" si="414"/>
        <v/>
      </c>
    </row>
    <row r="117" spans="1:149" x14ac:dyDescent="0.2">
      <c r="A117" s="89" t="str">
        <f t="shared" ca="1" si="415"/>
        <v/>
      </c>
      <c r="B117" s="317" t="str">
        <f t="shared" ca="1" si="324"/>
        <v/>
      </c>
      <c r="C117" s="609" t="str">
        <f t="shared" ca="1" si="325"/>
        <v/>
      </c>
      <c r="D117" s="1956" t="str">
        <f t="shared" ca="1" si="326"/>
        <v/>
      </c>
      <c r="E117" s="1956"/>
      <c r="F117" s="960"/>
      <c r="G117" s="485" t="str">
        <f t="shared" ca="1" si="327"/>
        <v/>
      </c>
      <c r="H117" s="983"/>
      <c r="I117" s="486"/>
      <c r="J117" s="326"/>
      <c r="K117" s="1886" t="str">
        <f t="shared" ca="1" si="328"/>
        <v/>
      </c>
      <c r="L117" s="1888"/>
      <c r="M117" s="296" t="str">
        <f t="shared" ca="1" si="307"/>
        <v/>
      </c>
      <c r="N117" s="1322"/>
      <c r="O117" s="1319"/>
      <c r="P117" s="957" t="str">
        <f t="shared" ca="1" si="329"/>
        <v/>
      </c>
      <c r="Q117" s="164">
        <f t="shared" si="330"/>
        <v>0</v>
      </c>
      <c r="R117" s="164">
        <f t="shared" ca="1" si="331"/>
        <v>0</v>
      </c>
      <c r="S117" s="164">
        <f t="shared" ca="1" si="332"/>
        <v>0</v>
      </c>
      <c r="T117" s="164">
        <f t="shared" ca="1" si="333"/>
        <v>0</v>
      </c>
      <c r="U117" s="164">
        <f t="shared" ca="1" si="334"/>
        <v>0</v>
      </c>
      <c r="V117" s="164">
        <f t="shared" ca="1" si="335"/>
        <v>0</v>
      </c>
      <c r="W117" s="164">
        <f t="shared" ca="1" si="336"/>
        <v>0</v>
      </c>
      <c r="X117" s="164">
        <f t="shared" ca="1" si="337"/>
        <v>0</v>
      </c>
      <c r="Y117" s="164">
        <f t="shared" ca="1" si="338"/>
        <v>0</v>
      </c>
      <c r="Z117" s="164">
        <f t="shared" ca="1" si="339"/>
        <v>0</v>
      </c>
      <c r="AA117" s="164">
        <f t="shared" ca="1" si="340"/>
        <v>0</v>
      </c>
      <c r="AB117" s="164">
        <f t="shared" ca="1" si="341"/>
        <v>0</v>
      </c>
      <c r="AC117" s="164">
        <f t="shared" ca="1" si="342"/>
        <v>0</v>
      </c>
      <c r="AD117" s="164">
        <f t="shared" ca="1" si="343"/>
        <v>0</v>
      </c>
      <c r="AE117" s="164">
        <f t="shared" ca="1" si="344"/>
        <v>0</v>
      </c>
      <c r="AF117" s="164">
        <f t="shared" ca="1" si="345"/>
        <v>0</v>
      </c>
      <c r="AG117" s="164">
        <f t="shared" ca="1" si="346"/>
        <v>0</v>
      </c>
      <c r="AH117" s="164">
        <f t="shared" ca="1" si="347"/>
        <v>0</v>
      </c>
      <c r="AI117" s="164">
        <f t="shared" ca="1" si="348"/>
        <v>0</v>
      </c>
      <c r="AJ117" s="164">
        <f t="shared" ca="1" si="349"/>
        <v>0</v>
      </c>
      <c r="AK117" s="164">
        <f t="shared" ca="1" si="350"/>
        <v>0</v>
      </c>
      <c r="AL117" s="164">
        <f t="shared" ca="1" si="351"/>
        <v>0</v>
      </c>
      <c r="AM117" s="208"/>
      <c r="AN117" s="164">
        <f t="shared" si="352"/>
        <v>0</v>
      </c>
      <c r="AO117" s="164">
        <f t="shared" ca="1" si="353"/>
        <v>0</v>
      </c>
      <c r="AP117" s="164">
        <f t="shared" ca="1" si="354"/>
        <v>0</v>
      </c>
      <c r="AQ117" s="164">
        <f t="shared" ca="1" si="355"/>
        <v>0</v>
      </c>
      <c r="AR117" s="164">
        <f t="shared" ca="1" si="356"/>
        <v>0</v>
      </c>
      <c r="AS117" s="164">
        <f t="shared" ca="1" si="357"/>
        <v>0</v>
      </c>
      <c r="AT117" s="164">
        <f t="shared" ca="1" si="358"/>
        <v>0</v>
      </c>
      <c r="AU117" s="164">
        <f t="shared" ca="1" si="359"/>
        <v>0</v>
      </c>
      <c r="AV117" s="164">
        <f t="shared" ca="1" si="360"/>
        <v>0</v>
      </c>
      <c r="AW117" s="164">
        <f t="shared" ca="1" si="361"/>
        <v>0</v>
      </c>
      <c r="AX117" s="164">
        <f t="shared" ca="1" si="362"/>
        <v>0</v>
      </c>
      <c r="AY117" s="164">
        <f t="shared" ca="1" si="363"/>
        <v>0</v>
      </c>
      <c r="AZ117" s="164">
        <f t="shared" ca="1" si="364"/>
        <v>0</v>
      </c>
      <c r="BA117" s="164">
        <f t="shared" ca="1" si="365"/>
        <v>0</v>
      </c>
      <c r="BB117" s="164">
        <f t="shared" ca="1" si="366"/>
        <v>0</v>
      </c>
      <c r="BC117" s="164">
        <f t="shared" ca="1" si="367"/>
        <v>0</v>
      </c>
      <c r="BD117" s="164">
        <f t="shared" ca="1" si="368"/>
        <v>0</v>
      </c>
      <c r="BE117" s="164">
        <f t="shared" ca="1" si="369"/>
        <v>0</v>
      </c>
      <c r="BF117" s="164">
        <f t="shared" ca="1" si="370"/>
        <v>0</v>
      </c>
      <c r="BG117" s="164">
        <f t="shared" ca="1" si="371"/>
        <v>0</v>
      </c>
      <c r="BH117" s="164">
        <f t="shared" ca="1" si="372"/>
        <v>0</v>
      </c>
      <c r="BI117" s="164">
        <f t="shared" ca="1" si="373"/>
        <v>0</v>
      </c>
      <c r="BJ117" s="164">
        <f t="shared" ca="1" si="374"/>
        <v>0</v>
      </c>
      <c r="BK117" s="164">
        <f t="shared" ca="1" si="375"/>
        <v>0</v>
      </c>
      <c r="BL117" s="164">
        <f t="shared" ca="1" si="376"/>
        <v>0</v>
      </c>
      <c r="BM117" s="164">
        <f t="shared" ca="1" si="377"/>
        <v>0</v>
      </c>
      <c r="BN117" s="164">
        <f t="shared" ca="1" si="378"/>
        <v>0</v>
      </c>
      <c r="BO117" s="356" t="str">
        <f t="shared" ca="1" si="379"/>
        <v/>
      </c>
      <c r="BP117" s="355" t="str">
        <f t="shared" ca="1" si="380"/>
        <v/>
      </c>
      <c r="BQ117" s="355" t="str">
        <f t="shared" ca="1" si="381"/>
        <v/>
      </c>
      <c r="BR117" s="348">
        <f t="shared" ca="1" si="312"/>
        <v>0</v>
      </c>
      <c r="BS117" s="348">
        <f t="shared" ca="1" si="313"/>
        <v>0</v>
      </c>
      <c r="BT117" s="610">
        <f t="shared" ca="1" si="382"/>
        <v>0</v>
      </c>
      <c r="BU117" s="357">
        <f t="shared" ca="1" si="383"/>
        <v>0</v>
      </c>
      <c r="BV117" s="357">
        <f t="shared" si="384"/>
        <v>0</v>
      </c>
      <c r="BW117" s="357">
        <f t="shared" si="385"/>
        <v>0</v>
      </c>
      <c r="BX117" s="357">
        <f t="shared" ca="1" si="386"/>
        <v>0</v>
      </c>
      <c r="BY117" s="357">
        <f t="shared" ca="1" si="316"/>
        <v>0</v>
      </c>
      <c r="BZ117" s="357"/>
      <c r="CA117" s="357">
        <f t="shared" ca="1" si="314"/>
        <v>0</v>
      </c>
      <c r="CB117" s="357" t="str">
        <f t="shared" ca="1" si="387"/>
        <v/>
      </c>
      <c r="CC117" s="358" t="str">
        <f t="shared" ca="1" si="317"/>
        <v/>
      </c>
      <c r="CD117" s="358" t="str">
        <f t="shared" ca="1" si="318"/>
        <v/>
      </c>
      <c r="CE117" s="357" t="str">
        <f t="shared" ca="1" si="416"/>
        <v>,,,,,,,,,,,,,,,,,,,,,,,,,,,,,,,,,,,,,,,,,,,,,,,,,,,,,,,,,</v>
      </c>
      <c r="CF117" s="154" t="str">
        <f t="shared" si="315"/>
        <v/>
      </c>
      <c r="CG117" s="154">
        <f t="shared" ca="1" si="319"/>
        <v>0</v>
      </c>
      <c r="CH117" s="154"/>
      <c r="CI117" s="154"/>
      <c r="CJ117" s="154"/>
      <c r="CK117" s="154"/>
      <c r="CL117" s="154"/>
      <c r="CM117" s="154"/>
      <c r="CN117" t="s">
        <v>784</v>
      </c>
      <c r="CO117" s="169"/>
      <c r="CP117" s="169"/>
      <c r="CQ117" s="169"/>
      <c r="CR117" s="169"/>
      <c r="CS117" s="169"/>
      <c r="CT117" s="169"/>
      <c r="CU117" s="169"/>
      <c r="CV117" s="164" t="str">
        <f t="shared" ca="1" si="419"/>
        <v/>
      </c>
      <c r="CW117" s="164" t="str">
        <f t="shared" ca="1" si="419"/>
        <v/>
      </c>
      <c r="CX117" s="164" t="str">
        <f t="shared" ca="1" si="419"/>
        <v/>
      </c>
      <c r="CY117" s="164" t="str">
        <f t="shared" ca="1" si="419"/>
        <v/>
      </c>
      <c r="CZ117" s="164" t="str">
        <f t="shared" ca="1" si="419"/>
        <v/>
      </c>
      <c r="DA117" s="164" t="str">
        <f t="shared" ca="1" si="419"/>
        <v/>
      </c>
      <c r="DB117" s="164" t="str">
        <f t="shared" ca="1" si="419"/>
        <v/>
      </c>
      <c r="DC117" s="164" t="str">
        <f t="shared" ca="1" si="419"/>
        <v/>
      </c>
      <c r="DD117" s="164" t="str">
        <f t="shared" ca="1" si="419"/>
        <v/>
      </c>
      <c r="DE117" s="164" t="str">
        <f t="shared" ca="1" si="419"/>
        <v/>
      </c>
      <c r="DF117" s="164" t="str">
        <f t="shared" ca="1" si="420"/>
        <v/>
      </c>
      <c r="DG117" s="164" t="str">
        <f t="shared" ca="1" si="420"/>
        <v/>
      </c>
      <c r="DH117" s="164" t="str">
        <f t="shared" ca="1" si="420"/>
        <v/>
      </c>
      <c r="DI117" s="164" t="str">
        <f t="shared" ca="1" si="420"/>
        <v/>
      </c>
      <c r="DJ117" s="164" t="str">
        <f t="shared" ca="1" si="420"/>
        <v/>
      </c>
      <c r="DK117" s="164" t="str">
        <f t="shared" ca="1" si="420"/>
        <v/>
      </c>
      <c r="DL117" s="164" t="str">
        <f t="shared" ca="1" si="420"/>
        <v/>
      </c>
      <c r="DM117" s="164" t="str">
        <f t="shared" ca="1" si="420"/>
        <v/>
      </c>
      <c r="DN117" s="164" t="str">
        <f t="shared" ca="1" si="420"/>
        <v/>
      </c>
      <c r="DO117" s="164" t="str">
        <f t="shared" ca="1" si="420"/>
        <v/>
      </c>
      <c r="DP117" s="164" t="str">
        <f t="shared" ca="1" si="420"/>
        <v/>
      </c>
      <c r="DQ117" s="164" t="str">
        <f t="shared" ca="1" si="420"/>
        <v/>
      </c>
      <c r="DR117" s="208"/>
      <c r="DS117" s="164" t="str">
        <f t="shared" ca="1" si="388"/>
        <v/>
      </c>
      <c r="DT117" s="164" t="str">
        <f t="shared" ca="1" si="389"/>
        <v/>
      </c>
      <c r="DU117" s="164" t="str">
        <f t="shared" ca="1" si="390"/>
        <v/>
      </c>
      <c r="DV117" s="164" t="str">
        <f t="shared" ca="1" si="391"/>
        <v/>
      </c>
      <c r="DW117" s="164" t="str">
        <f t="shared" ca="1" si="392"/>
        <v/>
      </c>
      <c r="DX117" s="164" t="str">
        <f t="shared" ca="1" si="393"/>
        <v/>
      </c>
      <c r="DY117" s="164" t="str">
        <f t="shared" ca="1" si="394"/>
        <v/>
      </c>
      <c r="DZ117" s="164" t="str">
        <f t="shared" ca="1" si="395"/>
        <v/>
      </c>
      <c r="EA117" s="164" t="str">
        <f t="shared" ca="1" si="396"/>
        <v/>
      </c>
      <c r="EB117" s="164" t="str">
        <f t="shared" ca="1" si="397"/>
        <v/>
      </c>
      <c r="EC117" s="164" t="str">
        <f t="shared" ca="1" si="398"/>
        <v/>
      </c>
      <c r="ED117" s="164" t="str">
        <f t="shared" ca="1" si="399"/>
        <v/>
      </c>
      <c r="EE117" s="164" t="str">
        <f t="shared" ca="1" si="400"/>
        <v/>
      </c>
      <c r="EF117" s="164" t="str">
        <f t="shared" ca="1" si="401"/>
        <v/>
      </c>
      <c r="EG117" s="164" t="str">
        <f t="shared" ca="1" si="402"/>
        <v/>
      </c>
      <c r="EH117" s="164" t="str">
        <f t="shared" ca="1" si="403"/>
        <v/>
      </c>
      <c r="EI117" s="164" t="str">
        <f t="shared" ca="1" si="404"/>
        <v/>
      </c>
      <c r="EJ117" s="164" t="str">
        <f t="shared" ca="1" si="405"/>
        <v/>
      </c>
      <c r="EK117" s="164" t="str">
        <f t="shared" ca="1" si="406"/>
        <v/>
      </c>
      <c r="EL117" s="164" t="str">
        <f t="shared" ca="1" si="407"/>
        <v/>
      </c>
      <c r="EM117" s="164" t="str">
        <f t="shared" ca="1" si="408"/>
        <v/>
      </c>
      <c r="EN117" s="164" t="str">
        <f t="shared" ca="1" si="409"/>
        <v/>
      </c>
      <c r="EO117" s="164" t="str">
        <f t="shared" ca="1" si="410"/>
        <v/>
      </c>
      <c r="EP117" s="164" t="str">
        <f t="shared" ca="1" si="411"/>
        <v/>
      </c>
      <c r="EQ117" s="164" t="str">
        <f t="shared" ca="1" si="412"/>
        <v/>
      </c>
      <c r="ER117" s="164" t="str">
        <f t="shared" ca="1" si="413"/>
        <v/>
      </c>
      <c r="ES117" s="164" t="str">
        <f t="shared" ca="1" si="414"/>
        <v/>
      </c>
    </row>
    <row r="118" spans="1:149" x14ac:dyDescent="0.2">
      <c r="A118" s="89" t="str">
        <f t="shared" ca="1" si="415"/>
        <v/>
      </c>
      <c r="B118" s="317" t="str">
        <f t="shared" ca="1" si="324"/>
        <v/>
      </c>
      <c r="C118" s="609" t="str">
        <f t="shared" ca="1" si="325"/>
        <v/>
      </c>
      <c r="D118" s="1956" t="str">
        <f t="shared" ca="1" si="326"/>
        <v/>
      </c>
      <c r="E118" s="1956"/>
      <c r="F118" s="960"/>
      <c r="G118" s="485" t="str">
        <f t="shared" ca="1" si="327"/>
        <v/>
      </c>
      <c r="H118" s="983"/>
      <c r="I118" s="486"/>
      <c r="J118" s="326"/>
      <c r="K118" s="1886" t="str">
        <f t="shared" ca="1" si="328"/>
        <v/>
      </c>
      <c r="L118" s="1888"/>
      <c r="M118" s="296" t="str">
        <f t="shared" ca="1" si="307"/>
        <v/>
      </c>
      <c r="N118" s="1322"/>
      <c r="O118" s="1319"/>
      <c r="P118" s="957" t="str">
        <f t="shared" ca="1" si="329"/>
        <v/>
      </c>
      <c r="Q118" s="164">
        <f t="shared" si="330"/>
        <v>0</v>
      </c>
      <c r="R118" s="164">
        <f t="shared" ca="1" si="331"/>
        <v>0</v>
      </c>
      <c r="S118" s="164">
        <f t="shared" ca="1" si="332"/>
        <v>0</v>
      </c>
      <c r="T118" s="164">
        <f t="shared" ca="1" si="333"/>
        <v>0</v>
      </c>
      <c r="U118" s="164">
        <f t="shared" ca="1" si="334"/>
        <v>0</v>
      </c>
      <c r="V118" s="164">
        <f t="shared" ca="1" si="335"/>
        <v>0</v>
      </c>
      <c r="W118" s="164">
        <f t="shared" ca="1" si="336"/>
        <v>0</v>
      </c>
      <c r="X118" s="164">
        <f t="shared" ca="1" si="337"/>
        <v>0</v>
      </c>
      <c r="Y118" s="164">
        <f t="shared" ca="1" si="338"/>
        <v>0</v>
      </c>
      <c r="Z118" s="164">
        <f t="shared" ca="1" si="339"/>
        <v>0</v>
      </c>
      <c r="AA118" s="164">
        <f t="shared" ca="1" si="340"/>
        <v>0</v>
      </c>
      <c r="AB118" s="164">
        <f t="shared" ca="1" si="341"/>
        <v>0</v>
      </c>
      <c r="AC118" s="164">
        <f t="shared" ca="1" si="342"/>
        <v>0</v>
      </c>
      <c r="AD118" s="164">
        <f t="shared" ca="1" si="343"/>
        <v>0</v>
      </c>
      <c r="AE118" s="164">
        <f t="shared" ca="1" si="344"/>
        <v>0</v>
      </c>
      <c r="AF118" s="164">
        <f t="shared" ca="1" si="345"/>
        <v>0</v>
      </c>
      <c r="AG118" s="164">
        <f t="shared" ca="1" si="346"/>
        <v>0</v>
      </c>
      <c r="AH118" s="164">
        <f t="shared" ca="1" si="347"/>
        <v>0</v>
      </c>
      <c r="AI118" s="164">
        <f t="shared" ca="1" si="348"/>
        <v>0</v>
      </c>
      <c r="AJ118" s="164">
        <f t="shared" ca="1" si="349"/>
        <v>0</v>
      </c>
      <c r="AK118" s="164">
        <f t="shared" ca="1" si="350"/>
        <v>0</v>
      </c>
      <c r="AL118" s="164">
        <f t="shared" ca="1" si="351"/>
        <v>0</v>
      </c>
      <c r="AM118" s="208"/>
      <c r="AN118" s="164">
        <f t="shared" si="352"/>
        <v>0</v>
      </c>
      <c r="AO118" s="164">
        <f t="shared" ca="1" si="353"/>
        <v>0</v>
      </c>
      <c r="AP118" s="164">
        <f t="shared" ca="1" si="354"/>
        <v>0</v>
      </c>
      <c r="AQ118" s="164">
        <f t="shared" ca="1" si="355"/>
        <v>0</v>
      </c>
      <c r="AR118" s="164">
        <f t="shared" ca="1" si="356"/>
        <v>0</v>
      </c>
      <c r="AS118" s="164">
        <f t="shared" ca="1" si="357"/>
        <v>0</v>
      </c>
      <c r="AT118" s="164">
        <f t="shared" ca="1" si="358"/>
        <v>0</v>
      </c>
      <c r="AU118" s="164">
        <f t="shared" ca="1" si="359"/>
        <v>0</v>
      </c>
      <c r="AV118" s="164">
        <f t="shared" ca="1" si="360"/>
        <v>0</v>
      </c>
      <c r="AW118" s="164">
        <f t="shared" ca="1" si="361"/>
        <v>0</v>
      </c>
      <c r="AX118" s="164">
        <f t="shared" ca="1" si="362"/>
        <v>0</v>
      </c>
      <c r="AY118" s="164">
        <f t="shared" ca="1" si="363"/>
        <v>0</v>
      </c>
      <c r="AZ118" s="164">
        <f t="shared" ca="1" si="364"/>
        <v>0</v>
      </c>
      <c r="BA118" s="164">
        <f t="shared" ca="1" si="365"/>
        <v>0</v>
      </c>
      <c r="BB118" s="164">
        <f t="shared" ca="1" si="366"/>
        <v>0</v>
      </c>
      <c r="BC118" s="164">
        <f t="shared" ca="1" si="367"/>
        <v>0</v>
      </c>
      <c r="BD118" s="164">
        <f t="shared" ca="1" si="368"/>
        <v>0</v>
      </c>
      <c r="BE118" s="164">
        <f t="shared" ca="1" si="369"/>
        <v>0</v>
      </c>
      <c r="BF118" s="164">
        <f t="shared" ca="1" si="370"/>
        <v>0</v>
      </c>
      <c r="BG118" s="164">
        <f t="shared" ca="1" si="371"/>
        <v>0</v>
      </c>
      <c r="BH118" s="164">
        <f t="shared" ca="1" si="372"/>
        <v>0</v>
      </c>
      <c r="BI118" s="164">
        <f t="shared" ca="1" si="373"/>
        <v>0</v>
      </c>
      <c r="BJ118" s="164">
        <f t="shared" ca="1" si="374"/>
        <v>0</v>
      </c>
      <c r="BK118" s="164">
        <f t="shared" ca="1" si="375"/>
        <v>0</v>
      </c>
      <c r="BL118" s="164">
        <f t="shared" ca="1" si="376"/>
        <v>0</v>
      </c>
      <c r="BM118" s="164">
        <f t="shared" ca="1" si="377"/>
        <v>0</v>
      </c>
      <c r="BN118" s="164">
        <f t="shared" ca="1" si="378"/>
        <v>0</v>
      </c>
      <c r="BO118" s="356" t="str">
        <f t="shared" ca="1" si="379"/>
        <v/>
      </c>
      <c r="BP118" s="355" t="str">
        <f t="shared" ca="1" si="380"/>
        <v/>
      </c>
      <c r="BQ118" s="355" t="str">
        <f t="shared" ca="1" si="381"/>
        <v/>
      </c>
      <c r="BR118" s="348">
        <f t="shared" ca="1" si="312"/>
        <v>0</v>
      </c>
      <c r="BS118" s="348">
        <f t="shared" ca="1" si="313"/>
        <v>0</v>
      </c>
      <c r="BT118" s="610">
        <f t="shared" ca="1" si="382"/>
        <v>0</v>
      </c>
      <c r="BU118" s="357">
        <f t="shared" ca="1" si="383"/>
        <v>0</v>
      </c>
      <c r="BV118" s="357">
        <f t="shared" si="384"/>
        <v>0</v>
      </c>
      <c r="BW118" s="357">
        <f t="shared" si="385"/>
        <v>0</v>
      </c>
      <c r="BX118" s="357">
        <f t="shared" ca="1" si="386"/>
        <v>0</v>
      </c>
      <c r="BY118" s="357">
        <f t="shared" ca="1" si="316"/>
        <v>0</v>
      </c>
      <c r="BZ118" s="357"/>
      <c r="CA118" s="357">
        <f t="shared" ca="1" si="314"/>
        <v>0</v>
      </c>
      <c r="CB118" s="357" t="str">
        <f t="shared" ca="1" si="387"/>
        <v/>
      </c>
      <c r="CC118" s="358" t="str">
        <f t="shared" ca="1" si="317"/>
        <v/>
      </c>
      <c r="CD118" s="358" t="str">
        <f t="shared" ca="1" si="318"/>
        <v/>
      </c>
      <c r="CE118" s="357" t="str">
        <f t="shared" ca="1" si="416"/>
        <v>,,,,,,,,,,,,,,,,,,,,,,,,,,,,,,,,,,,,,,,,,,,,,,,,,,,,,,,,,,</v>
      </c>
      <c r="CF118" s="154" t="str">
        <f t="shared" si="315"/>
        <v/>
      </c>
      <c r="CG118" s="154">
        <f t="shared" ca="1" si="319"/>
        <v>0</v>
      </c>
      <c r="CH118" s="154"/>
      <c r="CI118" s="154"/>
      <c r="CJ118" s="154"/>
      <c r="CK118" s="154"/>
      <c r="CL118" s="154"/>
      <c r="CM118" s="154"/>
      <c r="CN118" t="s">
        <v>784</v>
      </c>
      <c r="CO118" s="169"/>
      <c r="CP118" s="169"/>
      <c r="CQ118" s="169"/>
      <c r="CR118" s="169"/>
      <c r="CS118" s="169"/>
      <c r="CT118" s="169"/>
      <c r="CU118" s="169"/>
      <c r="CV118" s="164" t="str">
        <f t="shared" ca="1" si="419"/>
        <v/>
      </c>
      <c r="CW118" s="164" t="str">
        <f t="shared" ca="1" si="419"/>
        <v/>
      </c>
      <c r="CX118" s="164" t="str">
        <f t="shared" ca="1" si="419"/>
        <v/>
      </c>
      <c r="CY118" s="164" t="str">
        <f t="shared" ca="1" si="419"/>
        <v/>
      </c>
      <c r="CZ118" s="164" t="str">
        <f t="shared" ca="1" si="419"/>
        <v/>
      </c>
      <c r="DA118" s="164" t="str">
        <f t="shared" ca="1" si="419"/>
        <v/>
      </c>
      <c r="DB118" s="164" t="str">
        <f t="shared" ca="1" si="419"/>
        <v/>
      </c>
      <c r="DC118" s="164" t="str">
        <f t="shared" ca="1" si="419"/>
        <v/>
      </c>
      <c r="DD118" s="164" t="str">
        <f t="shared" ca="1" si="419"/>
        <v/>
      </c>
      <c r="DE118" s="164" t="str">
        <f t="shared" ca="1" si="419"/>
        <v/>
      </c>
      <c r="DF118" s="164" t="str">
        <f t="shared" ca="1" si="420"/>
        <v/>
      </c>
      <c r="DG118" s="164" t="str">
        <f t="shared" ca="1" si="420"/>
        <v/>
      </c>
      <c r="DH118" s="164" t="str">
        <f t="shared" ca="1" si="420"/>
        <v/>
      </c>
      <c r="DI118" s="164" t="str">
        <f t="shared" ca="1" si="420"/>
        <v/>
      </c>
      <c r="DJ118" s="164" t="str">
        <f t="shared" ca="1" si="420"/>
        <v/>
      </c>
      <c r="DK118" s="164" t="str">
        <f t="shared" ca="1" si="420"/>
        <v/>
      </c>
      <c r="DL118" s="164" t="str">
        <f t="shared" ca="1" si="420"/>
        <v/>
      </c>
      <c r="DM118" s="164" t="str">
        <f t="shared" ca="1" si="420"/>
        <v/>
      </c>
      <c r="DN118" s="164" t="str">
        <f t="shared" ca="1" si="420"/>
        <v/>
      </c>
      <c r="DO118" s="164" t="str">
        <f t="shared" ca="1" si="420"/>
        <v/>
      </c>
      <c r="DP118" s="164" t="str">
        <f t="shared" ca="1" si="420"/>
        <v/>
      </c>
      <c r="DQ118" s="164" t="str">
        <f t="shared" ca="1" si="420"/>
        <v/>
      </c>
      <c r="DR118" s="208"/>
      <c r="DS118" s="164" t="str">
        <f t="shared" ca="1" si="388"/>
        <v/>
      </c>
      <c r="DT118" s="164" t="str">
        <f t="shared" ca="1" si="389"/>
        <v/>
      </c>
      <c r="DU118" s="164" t="str">
        <f t="shared" ca="1" si="390"/>
        <v/>
      </c>
      <c r="DV118" s="164" t="str">
        <f t="shared" ca="1" si="391"/>
        <v/>
      </c>
      <c r="DW118" s="164" t="str">
        <f t="shared" ca="1" si="392"/>
        <v/>
      </c>
      <c r="DX118" s="164" t="str">
        <f t="shared" ca="1" si="393"/>
        <v/>
      </c>
      <c r="DY118" s="164" t="str">
        <f t="shared" ca="1" si="394"/>
        <v/>
      </c>
      <c r="DZ118" s="164" t="str">
        <f t="shared" ca="1" si="395"/>
        <v/>
      </c>
      <c r="EA118" s="164" t="str">
        <f t="shared" ca="1" si="396"/>
        <v/>
      </c>
      <c r="EB118" s="164" t="str">
        <f t="shared" ca="1" si="397"/>
        <v/>
      </c>
      <c r="EC118" s="164" t="str">
        <f t="shared" ca="1" si="398"/>
        <v/>
      </c>
      <c r="ED118" s="164" t="str">
        <f t="shared" ca="1" si="399"/>
        <v/>
      </c>
      <c r="EE118" s="164" t="str">
        <f t="shared" ca="1" si="400"/>
        <v/>
      </c>
      <c r="EF118" s="164" t="str">
        <f t="shared" ca="1" si="401"/>
        <v/>
      </c>
      <c r="EG118" s="164" t="str">
        <f t="shared" ca="1" si="402"/>
        <v/>
      </c>
      <c r="EH118" s="164" t="str">
        <f t="shared" ca="1" si="403"/>
        <v/>
      </c>
      <c r="EI118" s="164" t="str">
        <f t="shared" ca="1" si="404"/>
        <v/>
      </c>
      <c r="EJ118" s="164" t="str">
        <f t="shared" ca="1" si="405"/>
        <v/>
      </c>
      <c r="EK118" s="164" t="str">
        <f t="shared" ca="1" si="406"/>
        <v/>
      </c>
      <c r="EL118" s="164" t="str">
        <f t="shared" ca="1" si="407"/>
        <v/>
      </c>
      <c r="EM118" s="164" t="str">
        <f t="shared" ca="1" si="408"/>
        <v/>
      </c>
      <c r="EN118" s="164" t="str">
        <f t="shared" ca="1" si="409"/>
        <v/>
      </c>
      <c r="EO118" s="164" t="str">
        <f t="shared" ca="1" si="410"/>
        <v/>
      </c>
      <c r="EP118" s="164" t="str">
        <f t="shared" ca="1" si="411"/>
        <v/>
      </c>
      <c r="EQ118" s="164" t="str">
        <f t="shared" ca="1" si="412"/>
        <v/>
      </c>
      <c r="ER118" s="164" t="str">
        <f t="shared" ca="1" si="413"/>
        <v/>
      </c>
      <c r="ES118" s="164" t="str">
        <f t="shared" ca="1" si="414"/>
        <v/>
      </c>
    </row>
    <row r="119" spans="1:149" x14ac:dyDescent="0.2">
      <c r="A119" s="89" t="str">
        <f t="shared" ca="1" si="415"/>
        <v/>
      </c>
      <c r="B119" s="317" t="str">
        <f t="shared" ca="1" si="324"/>
        <v/>
      </c>
      <c r="C119" s="609" t="str">
        <f t="shared" ca="1" si="325"/>
        <v/>
      </c>
      <c r="D119" s="1956" t="str">
        <f t="shared" ca="1" si="326"/>
        <v/>
      </c>
      <c r="E119" s="1956"/>
      <c r="F119" s="960"/>
      <c r="G119" s="485" t="str">
        <f t="shared" ca="1" si="327"/>
        <v/>
      </c>
      <c r="H119" s="983"/>
      <c r="I119" s="486"/>
      <c r="J119" s="326"/>
      <c r="K119" s="1886" t="str">
        <f t="shared" ca="1" si="328"/>
        <v/>
      </c>
      <c r="L119" s="1888"/>
      <c r="M119" s="296" t="str">
        <f t="shared" ca="1" si="307"/>
        <v/>
      </c>
      <c r="N119" s="1322"/>
      <c r="O119" s="1319"/>
      <c r="P119" s="957" t="str">
        <f t="shared" ca="1" si="329"/>
        <v/>
      </c>
      <c r="Q119" s="164">
        <f t="shared" si="330"/>
        <v>0</v>
      </c>
      <c r="R119" s="164">
        <f t="shared" ca="1" si="331"/>
        <v>0</v>
      </c>
      <c r="S119" s="164">
        <f t="shared" ca="1" si="332"/>
        <v>0</v>
      </c>
      <c r="T119" s="164">
        <f t="shared" ca="1" si="333"/>
        <v>0</v>
      </c>
      <c r="U119" s="164">
        <f t="shared" ca="1" si="334"/>
        <v>0</v>
      </c>
      <c r="V119" s="164">
        <f t="shared" ca="1" si="335"/>
        <v>0</v>
      </c>
      <c r="W119" s="164">
        <f t="shared" ca="1" si="336"/>
        <v>0</v>
      </c>
      <c r="X119" s="164">
        <f t="shared" ca="1" si="337"/>
        <v>0</v>
      </c>
      <c r="Y119" s="164">
        <f t="shared" ca="1" si="338"/>
        <v>0</v>
      </c>
      <c r="Z119" s="164">
        <f t="shared" ca="1" si="339"/>
        <v>0</v>
      </c>
      <c r="AA119" s="164">
        <f t="shared" ca="1" si="340"/>
        <v>0</v>
      </c>
      <c r="AB119" s="164">
        <f t="shared" ca="1" si="341"/>
        <v>0</v>
      </c>
      <c r="AC119" s="164">
        <f t="shared" ca="1" si="342"/>
        <v>0</v>
      </c>
      <c r="AD119" s="164">
        <f t="shared" ca="1" si="343"/>
        <v>0</v>
      </c>
      <c r="AE119" s="164">
        <f t="shared" ca="1" si="344"/>
        <v>0</v>
      </c>
      <c r="AF119" s="164">
        <f t="shared" ca="1" si="345"/>
        <v>0</v>
      </c>
      <c r="AG119" s="164">
        <f t="shared" ca="1" si="346"/>
        <v>0</v>
      </c>
      <c r="AH119" s="164">
        <f t="shared" ca="1" si="347"/>
        <v>0</v>
      </c>
      <c r="AI119" s="164">
        <f t="shared" ca="1" si="348"/>
        <v>0</v>
      </c>
      <c r="AJ119" s="164">
        <f t="shared" ca="1" si="349"/>
        <v>0</v>
      </c>
      <c r="AK119" s="164">
        <f t="shared" ca="1" si="350"/>
        <v>0</v>
      </c>
      <c r="AL119" s="164">
        <f t="shared" ca="1" si="351"/>
        <v>0</v>
      </c>
      <c r="AM119" s="208"/>
      <c r="AN119" s="164">
        <f t="shared" si="352"/>
        <v>0</v>
      </c>
      <c r="AO119" s="164">
        <f t="shared" ca="1" si="353"/>
        <v>0</v>
      </c>
      <c r="AP119" s="164">
        <f t="shared" ca="1" si="354"/>
        <v>0</v>
      </c>
      <c r="AQ119" s="164">
        <f t="shared" ca="1" si="355"/>
        <v>0</v>
      </c>
      <c r="AR119" s="164">
        <f t="shared" ca="1" si="356"/>
        <v>0</v>
      </c>
      <c r="AS119" s="164">
        <f t="shared" ca="1" si="357"/>
        <v>0</v>
      </c>
      <c r="AT119" s="164">
        <f t="shared" ca="1" si="358"/>
        <v>0</v>
      </c>
      <c r="AU119" s="164">
        <f t="shared" ca="1" si="359"/>
        <v>0</v>
      </c>
      <c r="AV119" s="164">
        <f t="shared" ca="1" si="360"/>
        <v>0</v>
      </c>
      <c r="AW119" s="164">
        <f t="shared" ca="1" si="361"/>
        <v>0</v>
      </c>
      <c r="AX119" s="164">
        <f t="shared" ca="1" si="362"/>
        <v>0</v>
      </c>
      <c r="AY119" s="164">
        <f t="shared" ca="1" si="363"/>
        <v>0</v>
      </c>
      <c r="AZ119" s="164">
        <f t="shared" ca="1" si="364"/>
        <v>0</v>
      </c>
      <c r="BA119" s="164">
        <f t="shared" ca="1" si="365"/>
        <v>0</v>
      </c>
      <c r="BB119" s="164">
        <f t="shared" ca="1" si="366"/>
        <v>0</v>
      </c>
      <c r="BC119" s="164">
        <f t="shared" ca="1" si="367"/>
        <v>0</v>
      </c>
      <c r="BD119" s="164">
        <f t="shared" ca="1" si="368"/>
        <v>0</v>
      </c>
      <c r="BE119" s="164">
        <f t="shared" ca="1" si="369"/>
        <v>0</v>
      </c>
      <c r="BF119" s="164">
        <f t="shared" ca="1" si="370"/>
        <v>0</v>
      </c>
      <c r="BG119" s="164">
        <f t="shared" ca="1" si="371"/>
        <v>0</v>
      </c>
      <c r="BH119" s="164">
        <f t="shared" ca="1" si="372"/>
        <v>0</v>
      </c>
      <c r="BI119" s="164">
        <f t="shared" ca="1" si="373"/>
        <v>0</v>
      </c>
      <c r="BJ119" s="164">
        <f t="shared" ca="1" si="374"/>
        <v>0</v>
      </c>
      <c r="BK119" s="164">
        <f t="shared" ca="1" si="375"/>
        <v>0</v>
      </c>
      <c r="BL119" s="164">
        <f t="shared" ca="1" si="376"/>
        <v>0</v>
      </c>
      <c r="BM119" s="164">
        <f t="shared" ca="1" si="377"/>
        <v>0</v>
      </c>
      <c r="BN119" s="164">
        <f t="shared" ca="1" si="378"/>
        <v>0</v>
      </c>
      <c r="BO119" s="356" t="str">
        <f t="shared" ca="1" si="379"/>
        <v/>
      </c>
      <c r="BP119" s="355" t="str">
        <f t="shared" ca="1" si="380"/>
        <v/>
      </c>
      <c r="BQ119" s="355" t="str">
        <f t="shared" ca="1" si="381"/>
        <v/>
      </c>
      <c r="BR119" s="348">
        <f t="shared" ca="1" si="312"/>
        <v>0</v>
      </c>
      <c r="BS119" s="348">
        <f t="shared" ca="1" si="313"/>
        <v>0</v>
      </c>
      <c r="BT119" s="610">
        <f t="shared" ca="1" si="382"/>
        <v>0</v>
      </c>
      <c r="BU119" s="357">
        <f t="shared" ca="1" si="383"/>
        <v>0</v>
      </c>
      <c r="BV119" s="357">
        <f t="shared" si="384"/>
        <v>0</v>
      </c>
      <c r="BW119" s="357">
        <f t="shared" si="385"/>
        <v>0</v>
      </c>
      <c r="BX119" s="357">
        <f t="shared" ca="1" si="386"/>
        <v>0</v>
      </c>
      <c r="BY119" s="357">
        <f t="shared" ca="1" si="316"/>
        <v>0</v>
      </c>
      <c r="BZ119" s="357"/>
      <c r="CA119" s="357">
        <f t="shared" ca="1" si="314"/>
        <v>0</v>
      </c>
      <c r="CB119" s="357" t="str">
        <f t="shared" ca="1" si="387"/>
        <v/>
      </c>
      <c r="CC119" s="358" t="str">
        <f t="shared" ca="1" si="317"/>
        <v/>
      </c>
      <c r="CD119" s="358" t="str">
        <f t="shared" ca="1" si="318"/>
        <v/>
      </c>
      <c r="CE119" s="357" t="str">
        <f t="shared" ca="1" si="416"/>
        <v>,,,,,,,,,,,,,,,,,,,,,,,,,,,,,,,,,,,,,,,,,,,,,,,,,,,,,,,,,,,</v>
      </c>
      <c r="CF119" s="154" t="str">
        <f t="shared" si="315"/>
        <v/>
      </c>
      <c r="CG119" s="154">
        <f t="shared" ca="1" si="319"/>
        <v>0</v>
      </c>
      <c r="CH119" s="154"/>
      <c r="CI119" s="154"/>
      <c r="CJ119" s="154"/>
      <c r="CK119" s="154"/>
      <c r="CL119" s="154"/>
      <c r="CM119" s="154"/>
      <c r="CN119" t="s">
        <v>784</v>
      </c>
      <c r="CO119" s="169"/>
      <c r="CP119" s="169"/>
      <c r="CQ119" s="169"/>
      <c r="CR119" s="169"/>
      <c r="CS119" s="169"/>
      <c r="CT119" s="169"/>
      <c r="CU119" s="169"/>
      <c r="CV119" s="164" t="str">
        <f t="shared" ca="1" si="419"/>
        <v/>
      </c>
      <c r="CW119" s="164" t="str">
        <f t="shared" ca="1" si="419"/>
        <v/>
      </c>
      <c r="CX119" s="164" t="str">
        <f t="shared" ca="1" si="419"/>
        <v/>
      </c>
      <c r="CY119" s="164" t="str">
        <f t="shared" ca="1" si="419"/>
        <v/>
      </c>
      <c r="CZ119" s="164" t="str">
        <f t="shared" ca="1" si="419"/>
        <v/>
      </c>
      <c r="DA119" s="164" t="str">
        <f t="shared" ca="1" si="419"/>
        <v/>
      </c>
      <c r="DB119" s="164" t="str">
        <f t="shared" ca="1" si="419"/>
        <v/>
      </c>
      <c r="DC119" s="164" t="str">
        <f t="shared" ca="1" si="419"/>
        <v/>
      </c>
      <c r="DD119" s="164" t="str">
        <f t="shared" ca="1" si="419"/>
        <v/>
      </c>
      <c r="DE119" s="164" t="str">
        <f t="shared" ca="1" si="419"/>
        <v/>
      </c>
      <c r="DF119" s="164" t="str">
        <f t="shared" ca="1" si="420"/>
        <v/>
      </c>
      <c r="DG119" s="164" t="str">
        <f t="shared" ca="1" si="420"/>
        <v/>
      </c>
      <c r="DH119" s="164" t="str">
        <f t="shared" ca="1" si="420"/>
        <v/>
      </c>
      <c r="DI119" s="164" t="str">
        <f t="shared" ca="1" si="420"/>
        <v/>
      </c>
      <c r="DJ119" s="164" t="str">
        <f t="shared" ca="1" si="420"/>
        <v/>
      </c>
      <c r="DK119" s="164" t="str">
        <f t="shared" ca="1" si="420"/>
        <v/>
      </c>
      <c r="DL119" s="164" t="str">
        <f t="shared" ca="1" si="420"/>
        <v/>
      </c>
      <c r="DM119" s="164" t="str">
        <f t="shared" ca="1" si="420"/>
        <v/>
      </c>
      <c r="DN119" s="164" t="str">
        <f t="shared" ca="1" si="420"/>
        <v/>
      </c>
      <c r="DO119" s="164" t="str">
        <f t="shared" ca="1" si="420"/>
        <v/>
      </c>
      <c r="DP119" s="164" t="str">
        <f t="shared" ca="1" si="420"/>
        <v/>
      </c>
      <c r="DQ119" s="164" t="str">
        <f t="shared" ca="1" si="420"/>
        <v/>
      </c>
      <c r="DR119" s="208"/>
      <c r="DS119" s="164" t="str">
        <f t="shared" ca="1" si="388"/>
        <v/>
      </c>
      <c r="DT119" s="164" t="str">
        <f t="shared" ca="1" si="389"/>
        <v/>
      </c>
      <c r="DU119" s="164" t="str">
        <f t="shared" ca="1" si="390"/>
        <v/>
      </c>
      <c r="DV119" s="164" t="str">
        <f t="shared" ca="1" si="391"/>
        <v/>
      </c>
      <c r="DW119" s="164" t="str">
        <f t="shared" ca="1" si="392"/>
        <v/>
      </c>
      <c r="DX119" s="164" t="str">
        <f t="shared" ca="1" si="393"/>
        <v/>
      </c>
      <c r="DY119" s="164" t="str">
        <f t="shared" ca="1" si="394"/>
        <v/>
      </c>
      <c r="DZ119" s="164" t="str">
        <f t="shared" ca="1" si="395"/>
        <v/>
      </c>
      <c r="EA119" s="164" t="str">
        <f t="shared" ca="1" si="396"/>
        <v/>
      </c>
      <c r="EB119" s="164" t="str">
        <f t="shared" ca="1" si="397"/>
        <v/>
      </c>
      <c r="EC119" s="164" t="str">
        <f t="shared" ca="1" si="398"/>
        <v/>
      </c>
      <c r="ED119" s="164" t="str">
        <f t="shared" ca="1" si="399"/>
        <v/>
      </c>
      <c r="EE119" s="164" t="str">
        <f t="shared" ca="1" si="400"/>
        <v/>
      </c>
      <c r="EF119" s="164" t="str">
        <f t="shared" ca="1" si="401"/>
        <v/>
      </c>
      <c r="EG119" s="164" t="str">
        <f t="shared" ca="1" si="402"/>
        <v/>
      </c>
      <c r="EH119" s="164" t="str">
        <f t="shared" ca="1" si="403"/>
        <v/>
      </c>
      <c r="EI119" s="164" t="str">
        <f t="shared" ca="1" si="404"/>
        <v/>
      </c>
      <c r="EJ119" s="164" t="str">
        <f t="shared" ca="1" si="405"/>
        <v/>
      </c>
      <c r="EK119" s="164" t="str">
        <f t="shared" ca="1" si="406"/>
        <v/>
      </c>
      <c r="EL119" s="164" t="str">
        <f t="shared" ca="1" si="407"/>
        <v/>
      </c>
      <c r="EM119" s="164" t="str">
        <f t="shared" ca="1" si="408"/>
        <v/>
      </c>
      <c r="EN119" s="164" t="str">
        <f t="shared" ca="1" si="409"/>
        <v/>
      </c>
      <c r="EO119" s="164" t="str">
        <f t="shared" ca="1" si="410"/>
        <v/>
      </c>
      <c r="EP119" s="164" t="str">
        <f t="shared" ca="1" si="411"/>
        <v/>
      </c>
      <c r="EQ119" s="164" t="str">
        <f t="shared" ca="1" si="412"/>
        <v/>
      </c>
      <c r="ER119" s="164" t="str">
        <f t="shared" ca="1" si="413"/>
        <v/>
      </c>
      <c r="ES119" s="164" t="str">
        <f t="shared" ca="1" si="414"/>
        <v/>
      </c>
    </row>
    <row r="120" spans="1:149" x14ac:dyDescent="0.2">
      <c r="A120" s="89" t="str">
        <f t="shared" ca="1" si="415"/>
        <v/>
      </c>
      <c r="B120" s="317" t="str">
        <f t="shared" ca="1" si="324"/>
        <v/>
      </c>
      <c r="C120" s="609" t="str">
        <f t="shared" ca="1" si="325"/>
        <v/>
      </c>
      <c r="D120" s="1956" t="str">
        <f t="shared" ca="1" si="326"/>
        <v/>
      </c>
      <c r="E120" s="1956"/>
      <c r="F120" s="960"/>
      <c r="G120" s="485" t="str">
        <f t="shared" ca="1" si="327"/>
        <v/>
      </c>
      <c r="H120" s="983"/>
      <c r="I120" s="486"/>
      <c r="J120" s="326"/>
      <c r="K120" s="1886" t="str">
        <f t="shared" ca="1" si="328"/>
        <v/>
      </c>
      <c r="L120" s="1888"/>
      <c r="M120" s="296" t="str">
        <f t="shared" ca="1" si="307"/>
        <v/>
      </c>
      <c r="N120" s="1322"/>
      <c r="O120" s="1319"/>
      <c r="P120" s="957" t="str">
        <f t="shared" ca="1" si="329"/>
        <v/>
      </c>
      <c r="Q120" s="164">
        <f t="shared" si="330"/>
        <v>0</v>
      </c>
      <c r="R120" s="164">
        <f t="shared" ca="1" si="331"/>
        <v>0</v>
      </c>
      <c r="S120" s="164">
        <f t="shared" ca="1" si="332"/>
        <v>0</v>
      </c>
      <c r="T120" s="164">
        <f t="shared" ca="1" si="333"/>
        <v>0</v>
      </c>
      <c r="U120" s="164">
        <f t="shared" ca="1" si="334"/>
        <v>0</v>
      </c>
      <c r="V120" s="164">
        <f t="shared" ca="1" si="335"/>
        <v>0</v>
      </c>
      <c r="W120" s="164">
        <f t="shared" ca="1" si="336"/>
        <v>0</v>
      </c>
      <c r="X120" s="164">
        <f t="shared" ca="1" si="337"/>
        <v>0</v>
      </c>
      <c r="Y120" s="164">
        <f t="shared" ca="1" si="338"/>
        <v>0</v>
      </c>
      <c r="Z120" s="164">
        <f t="shared" ca="1" si="339"/>
        <v>0</v>
      </c>
      <c r="AA120" s="164">
        <f t="shared" ca="1" si="340"/>
        <v>0</v>
      </c>
      <c r="AB120" s="164">
        <f t="shared" ca="1" si="341"/>
        <v>0</v>
      </c>
      <c r="AC120" s="164">
        <f t="shared" ca="1" si="342"/>
        <v>0</v>
      </c>
      <c r="AD120" s="164">
        <f t="shared" ca="1" si="343"/>
        <v>0</v>
      </c>
      <c r="AE120" s="164">
        <f t="shared" ca="1" si="344"/>
        <v>0</v>
      </c>
      <c r="AF120" s="164">
        <f t="shared" ca="1" si="345"/>
        <v>0</v>
      </c>
      <c r="AG120" s="164">
        <f t="shared" ca="1" si="346"/>
        <v>0</v>
      </c>
      <c r="AH120" s="164">
        <f t="shared" ca="1" si="347"/>
        <v>0</v>
      </c>
      <c r="AI120" s="164">
        <f t="shared" ca="1" si="348"/>
        <v>0</v>
      </c>
      <c r="AJ120" s="164">
        <f t="shared" ca="1" si="349"/>
        <v>0</v>
      </c>
      <c r="AK120" s="164">
        <f t="shared" ca="1" si="350"/>
        <v>0</v>
      </c>
      <c r="AL120" s="164">
        <f t="shared" ca="1" si="351"/>
        <v>0</v>
      </c>
      <c r="AM120" s="208"/>
      <c r="AN120" s="164">
        <f t="shared" si="352"/>
        <v>0</v>
      </c>
      <c r="AO120" s="164">
        <f t="shared" ca="1" si="353"/>
        <v>0</v>
      </c>
      <c r="AP120" s="164">
        <f t="shared" ca="1" si="354"/>
        <v>0</v>
      </c>
      <c r="AQ120" s="164">
        <f t="shared" ca="1" si="355"/>
        <v>0</v>
      </c>
      <c r="AR120" s="164">
        <f t="shared" ca="1" si="356"/>
        <v>0</v>
      </c>
      <c r="AS120" s="164">
        <f t="shared" ca="1" si="357"/>
        <v>0</v>
      </c>
      <c r="AT120" s="164">
        <f t="shared" ca="1" si="358"/>
        <v>0</v>
      </c>
      <c r="AU120" s="164">
        <f t="shared" ca="1" si="359"/>
        <v>0</v>
      </c>
      <c r="AV120" s="164">
        <f t="shared" ca="1" si="360"/>
        <v>0</v>
      </c>
      <c r="AW120" s="164">
        <f t="shared" ca="1" si="361"/>
        <v>0</v>
      </c>
      <c r="AX120" s="164">
        <f t="shared" ca="1" si="362"/>
        <v>0</v>
      </c>
      <c r="AY120" s="164">
        <f t="shared" ca="1" si="363"/>
        <v>0</v>
      </c>
      <c r="AZ120" s="164">
        <f t="shared" ca="1" si="364"/>
        <v>0</v>
      </c>
      <c r="BA120" s="164">
        <f t="shared" ca="1" si="365"/>
        <v>0</v>
      </c>
      <c r="BB120" s="164">
        <f t="shared" ca="1" si="366"/>
        <v>0</v>
      </c>
      <c r="BC120" s="164">
        <f t="shared" ca="1" si="367"/>
        <v>0</v>
      </c>
      <c r="BD120" s="164">
        <f t="shared" ca="1" si="368"/>
        <v>0</v>
      </c>
      <c r="BE120" s="164">
        <f t="shared" ca="1" si="369"/>
        <v>0</v>
      </c>
      <c r="BF120" s="164">
        <f t="shared" ca="1" si="370"/>
        <v>0</v>
      </c>
      <c r="BG120" s="164">
        <f t="shared" ca="1" si="371"/>
        <v>0</v>
      </c>
      <c r="BH120" s="164">
        <f t="shared" ca="1" si="372"/>
        <v>0</v>
      </c>
      <c r="BI120" s="164">
        <f t="shared" ca="1" si="373"/>
        <v>0</v>
      </c>
      <c r="BJ120" s="164">
        <f t="shared" ca="1" si="374"/>
        <v>0</v>
      </c>
      <c r="BK120" s="164">
        <f t="shared" ca="1" si="375"/>
        <v>0</v>
      </c>
      <c r="BL120" s="164">
        <f t="shared" ca="1" si="376"/>
        <v>0</v>
      </c>
      <c r="BM120" s="164">
        <f t="shared" ca="1" si="377"/>
        <v>0</v>
      </c>
      <c r="BN120" s="164">
        <f t="shared" ca="1" si="378"/>
        <v>0</v>
      </c>
      <c r="BO120" s="356" t="str">
        <f t="shared" ca="1" si="379"/>
        <v/>
      </c>
      <c r="BP120" s="355" t="str">
        <f t="shared" ca="1" si="380"/>
        <v/>
      </c>
      <c r="BQ120" s="355" t="str">
        <f t="shared" ca="1" si="381"/>
        <v/>
      </c>
      <c r="BR120" s="348">
        <f t="shared" ca="1" si="312"/>
        <v>0</v>
      </c>
      <c r="BS120" s="348">
        <f t="shared" ca="1" si="313"/>
        <v>0</v>
      </c>
      <c r="BT120" s="610">
        <f t="shared" ca="1" si="382"/>
        <v>0</v>
      </c>
      <c r="BU120" s="357">
        <f t="shared" ca="1" si="383"/>
        <v>0</v>
      </c>
      <c r="BV120" s="357">
        <f t="shared" si="384"/>
        <v>0</v>
      </c>
      <c r="BW120" s="357">
        <f t="shared" si="385"/>
        <v>0</v>
      </c>
      <c r="BX120" s="357">
        <f t="shared" ca="1" si="386"/>
        <v>0</v>
      </c>
      <c r="BY120" s="357">
        <f t="shared" ca="1" si="316"/>
        <v>0</v>
      </c>
      <c r="BZ120" s="357"/>
      <c r="CA120" s="357">
        <f t="shared" ca="1" si="314"/>
        <v>0</v>
      </c>
      <c r="CB120" s="357" t="str">
        <f t="shared" ca="1" si="387"/>
        <v/>
      </c>
      <c r="CC120" s="358" t="str">
        <f t="shared" ca="1" si="317"/>
        <v/>
      </c>
      <c r="CD120" s="358" t="str">
        <f t="shared" ca="1" si="318"/>
        <v/>
      </c>
      <c r="CE120" s="357" t="str">
        <f t="shared" ca="1" si="416"/>
        <v>,,,,,,,,,,,,,,,,,,,,,,,,,,,,,,,,,,,,,,,,,,,,,,,,,,,,,,,,,,,,</v>
      </c>
      <c r="CF120" s="154" t="str">
        <f t="shared" si="315"/>
        <v/>
      </c>
      <c r="CG120" s="154">
        <f t="shared" ca="1" si="319"/>
        <v>0</v>
      </c>
      <c r="CH120" s="154"/>
      <c r="CI120" s="154"/>
      <c r="CJ120" s="154"/>
      <c r="CK120" s="154"/>
      <c r="CL120" s="154"/>
      <c r="CM120" s="154"/>
      <c r="CN120" t="s">
        <v>784</v>
      </c>
      <c r="CO120" s="169"/>
      <c r="CP120" s="169"/>
      <c r="CQ120" s="169"/>
      <c r="CR120" s="169"/>
      <c r="CS120" s="169"/>
      <c r="CT120" s="169"/>
      <c r="CU120" s="169"/>
      <c r="CV120" s="164" t="str">
        <f t="shared" ca="1" si="419"/>
        <v/>
      </c>
      <c r="CW120" s="164" t="str">
        <f t="shared" ca="1" si="419"/>
        <v/>
      </c>
      <c r="CX120" s="164" t="str">
        <f t="shared" ca="1" si="419"/>
        <v/>
      </c>
      <c r="CY120" s="164" t="str">
        <f t="shared" ca="1" si="419"/>
        <v/>
      </c>
      <c r="CZ120" s="164" t="str">
        <f t="shared" ca="1" si="419"/>
        <v/>
      </c>
      <c r="DA120" s="164" t="str">
        <f t="shared" ca="1" si="419"/>
        <v/>
      </c>
      <c r="DB120" s="164" t="str">
        <f t="shared" ca="1" si="419"/>
        <v/>
      </c>
      <c r="DC120" s="164" t="str">
        <f t="shared" ca="1" si="419"/>
        <v/>
      </c>
      <c r="DD120" s="164" t="str">
        <f t="shared" ca="1" si="419"/>
        <v/>
      </c>
      <c r="DE120" s="164" t="str">
        <f t="shared" ca="1" si="419"/>
        <v/>
      </c>
      <c r="DF120" s="164" t="str">
        <f t="shared" ca="1" si="420"/>
        <v/>
      </c>
      <c r="DG120" s="164" t="str">
        <f t="shared" ca="1" si="420"/>
        <v/>
      </c>
      <c r="DH120" s="164" t="str">
        <f t="shared" ca="1" si="420"/>
        <v/>
      </c>
      <c r="DI120" s="164" t="str">
        <f t="shared" ca="1" si="420"/>
        <v/>
      </c>
      <c r="DJ120" s="164" t="str">
        <f t="shared" ca="1" si="420"/>
        <v/>
      </c>
      <c r="DK120" s="164" t="str">
        <f t="shared" ca="1" si="420"/>
        <v/>
      </c>
      <c r="DL120" s="164" t="str">
        <f t="shared" ca="1" si="420"/>
        <v/>
      </c>
      <c r="DM120" s="164" t="str">
        <f t="shared" ca="1" si="420"/>
        <v/>
      </c>
      <c r="DN120" s="164" t="str">
        <f t="shared" ca="1" si="420"/>
        <v/>
      </c>
      <c r="DO120" s="164" t="str">
        <f t="shared" ca="1" si="420"/>
        <v/>
      </c>
      <c r="DP120" s="164" t="str">
        <f t="shared" ca="1" si="420"/>
        <v/>
      </c>
      <c r="DQ120" s="164" t="str">
        <f t="shared" ca="1" si="420"/>
        <v/>
      </c>
      <c r="DR120" s="208"/>
      <c r="DS120" s="164" t="str">
        <f t="shared" ca="1" si="388"/>
        <v/>
      </c>
      <c r="DT120" s="164" t="str">
        <f t="shared" ca="1" si="389"/>
        <v/>
      </c>
      <c r="DU120" s="164" t="str">
        <f t="shared" ca="1" si="390"/>
        <v/>
      </c>
      <c r="DV120" s="164" t="str">
        <f t="shared" ca="1" si="391"/>
        <v/>
      </c>
      <c r="DW120" s="164" t="str">
        <f t="shared" ca="1" si="392"/>
        <v/>
      </c>
      <c r="DX120" s="164" t="str">
        <f t="shared" ca="1" si="393"/>
        <v/>
      </c>
      <c r="DY120" s="164" t="str">
        <f t="shared" ca="1" si="394"/>
        <v/>
      </c>
      <c r="DZ120" s="164" t="str">
        <f t="shared" ca="1" si="395"/>
        <v/>
      </c>
      <c r="EA120" s="164" t="str">
        <f t="shared" ca="1" si="396"/>
        <v/>
      </c>
      <c r="EB120" s="164" t="str">
        <f t="shared" ca="1" si="397"/>
        <v/>
      </c>
      <c r="EC120" s="164" t="str">
        <f t="shared" ca="1" si="398"/>
        <v/>
      </c>
      <c r="ED120" s="164" t="str">
        <f t="shared" ca="1" si="399"/>
        <v/>
      </c>
      <c r="EE120" s="164" t="str">
        <f t="shared" ca="1" si="400"/>
        <v/>
      </c>
      <c r="EF120" s="164" t="str">
        <f t="shared" ca="1" si="401"/>
        <v/>
      </c>
      <c r="EG120" s="164" t="str">
        <f t="shared" ca="1" si="402"/>
        <v/>
      </c>
      <c r="EH120" s="164" t="str">
        <f t="shared" ca="1" si="403"/>
        <v/>
      </c>
      <c r="EI120" s="164" t="str">
        <f t="shared" ca="1" si="404"/>
        <v/>
      </c>
      <c r="EJ120" s="164" t="str">
        <f t="shared" ca="1" si="405"/>
        <v/>
      </c>
      <c r="EK120" s="164" t="str">
        <f t="shared" ca="1" si="406"/>
        <v/>
      </c>
      <c r="EL120" s="164" t="str">
        <f t="shared" ca="1" si="407"/>
        <v/>
      </c>
      <c r="EM120" s="164" t="str">
        <f t="shared" ca="1" si="408"/>
        <v/>
      </c>
      <c r="EN120" s="164" t="str">
        <f t="shared" ca="1" si="409"/>
        <v/>
      </c>
      <c r="EO120" s="164" t="str">
        <f t="shared" ca="1" si="410"/>
        <v/>
      </c>
      <c r="EP120" s="164" t="str">
        <f t="shared" ca="1" si="411"/>
        <v/>
      </c>
      <c r="EQ120" s="164" t="str">
        <f t="shared" ca="1" si="412"/>
        <v/>
      </c>
      <c r="ER120" s="164" t="str">
        <f t="shared" ca="1" si="413"/>
        <v/>
      </c>
      <c r="ES120" s="164" t="str">
        <f t="shared" ca="1" si="414"/>
        <v/>
      </c>
    </row>
    <row r="121" spans="1:149" x14ac:dyDescent="0.2">
      <c r="A121" s="89" t="str">
        <f t="shared" ca="1" si="415"/>
        <v/>
      </c>
      <c r="B121" s="317" t="str">
        <f t="shared" ca="1" si="324"/>
        <v/>
      </c>
      <c r="C121" s="609" t="str">
        <f t="shared" ca="1" si="325"/>
        <v/>
      </c>
      <c r="D121" s="1956" t="str">
        <f t="shared" ca="1" si="326"/>
        <v/>
      </c>
      <c r="E121" s="1956"/>
      <c r="F121" s="960"/>
      <c r="G121" s="485" t="str">
        <f t="shared" ca="1" si="327"/>
        <v/>
      </c>
      <c r="H121" s="983"/>
      <c r="I121" s="486"/>
      <c r="J121" s="326"/>
      <c r="K121" s="1886" t="str">
        <f t="shared" ca="1" si="328"/>
        <v/>
      </c>
      <c r="L121" s="1888"/>
      <c r="M121" s="296" t="str">
        <f t="shared" ca="1" si="307"/>
        <v/>
      </c>
      <c r="N121" s="1322"/>
      <c r="O121" s="1319"/>
      <c r="P121" s="957" t="str">
        <f t="shared" ca="1" si="329"/>
        <v/>
      </c>
      <c r="Q121" s="164">
        <f t="shared" si="330"/>
        <v>0</v>
      </c>
      <c r="R121" s="164">
        <f t="shared" ca="1" si="331"/>
        <v>0</v>
      </c>
      <c r="S121" s="164">
        <f t="shared" ca="1" si="332"/>
        <v>0</v>
      </c>
      <c r="T121" s="164">
        <f t="shared" ca="1" si="333"/>
        <v>0</v>
      </c>
      <c r="U121" s="164">
        <f t="shared" ca="1" si="334"/>
        <v>0</v>
      </c>
      <c r="V121" s="164">
        <f t="shared" ca="1" si="335"/>
        <v>0</v>
      </c>
      <c r="W121" s="164">
        <f t="shared" ca="1" si="336"/>
        <v>0</v>
      </c>
      <c r="X121" s="164">
        <f t="shared" ca="1" si="337"/>
        <v>0</v>
      </c>
      <c r="Y121" s="164">
        <f t="shared" ca="1" si="338"/>
        <v>0</v>
      </c>
      <c r="Z121" s="164">
        <f t="shared" ca="1" si="339"/>
        <v>0</v>
      </c>
      <c r="AA121" s="164">
        <f t="shared" ca="1" si="340"/>
        <v>0</v>
      </c>
      <c r="AB121" s="164">
        <f t="shared" ca="1" si="341"/>
        <v>0</v>
      </c>
      <c r="AC121" s="164">
        <f t="shared" ca="1" si="342"/>
        <v>0</v>
      </c>
      <c r="AD121" s="164">
        <f t="shared" ca="1" si="343"/>
        <v>0</v>
      </c>
      <c r="AE121" s="164">
        <f t="shared" ca="1" si="344"/>
        <v>0</v>
      </c>
      <c r="AF121" s="164">
        <f t="shared" ca="1" si="345"/>
        <v>0</v>
      </c>
      <c r="AG121" s="164">
        <f t="shared" ca="1" si="346"/>
        <v>0</v>
      </c>
      <c r="AH121" s="164">
        <f t="shared" ca="1" si="347"/>
        <v>0</v>
      </c>
      <c r="AI121" s="164">
        <f t="shared" ca="1" si="348"/>
        <v>0</v>
      </c>
      <c r="AJ121" s="164">
        <f t="shared" ca="1" si="349"/>
        <v>0</v>
      </c>
      <c r="AK121" s="164">
        <f t="shared" ca="1" si="350"/>
        <v>0</v>
      </c>
      <c r="AL121" s="164">
        <f t="shared" ca="1" si="351"/>
        <v>0</v>
      </c>
      <c r="AM121" s="208"/>
      <c r="AN121" s="164">
        <f t="shared" si="352"/>
        <v>0</v>
      </c>
      <c r="AO121" s="164">
        <f t="shared" ca="1" si="353"/>
        <v>0</v>
      </c>
      <c r="AP121" s="164">
        <f t="shared" ca="1" si="354"/>
        <v>0</v>
      </c>
      <c r="AQ121" s="164">
        <f t="shared" ca="1" si="355"/>
        <v>0</v>
      </c>
      <c r="AR121" s="164">
        <f t="shared" ca="1" si="356"/>
        <v>0</v>
      </c>
      <c r="AS121" s="164">
        <f t="shared" ca="1" si="357"/>
        <v>0</v>
      </c>
      <c r="AT121" s="164">
        <f t="shared" ca="1" si="358"/>
        <v>0</v>
      </c>
      <c r="AU121" s="164">
        <f t="shared" ca="1" si="359"/>
        <v>0</v>
      </c>
      <c r="AV121" s="164">
        <f t="shared" ca="1" si="360"/>
        <v>0</v>
      </c>
      <c r="AW121" s="164">
        <f t="shared" ca="1" si="361"/>
        <v>0</v>
      </c>
      <c r="AX121" s="164">
        <f t="shared" ca="1" si="362"/>
        <v>0</v>
      </c>
      <c r="AY121" s="164">
        <f t="shared" ca="1" si="363"/>
        <v>0</v>
      </c>
      <c r="AZ121" s="164">
        <f t="shared" ca="1" si="364"/>
        <v>0</v>
      </c>
      <c r="BA121" s="164">
        <f t="shared" ca="1" si="365"/>
        <v>0</v>
      </c>
      <c r="BB121" s="164">
        <f t="shared" ca="1" si="366"/>
        <v>0</v>
      </c>
      <c r="BC121" s="164">
        <f t="shared" ca="1" si="367"/>
        <v>0</v>
      </c>
      <c r="BD121" s="164">
        <f t="shared" ca="1" si="368"/>
        <v>0</v>
      </c>
      <c r="BE121" s="164">
        <f t="shared" ca="1" si="369"/>
        <v>0</v>
      </c>
      <c r="BF121" s="164">
        <f t="shared" ca="1" si="370"/>
        <v>0</v>
      </c>
      <c r="BG121" s="164">
        <f t="shared" ca="1" si="371"/>
        <v>0</v>
      </c>
      <c r="BH121" s="164">
        <f t="shared" ca="1" si="372"/>
        <v>0</v>
      </c>
      <c r="BI121" s="164">
        <f t="shared" ca="1" si="373"/>
        <v>0</v>
      </c>
      <c r="BJ121" s="164">
        <f t="shared" ca="1" si="374"/>
        <v>0</v>
      </c>
      <c r="BK121" s="164">
        <f t="shared" ca="1" si="375"/>
        <v>0</v>
      </c>
      <c r="BL121" s="164">
        <f t="shared" ca="1" si="376"/>
        <v>0</v>
      </c>
      <c r="BM121" s="164">
        <f t="shared" ca="1" si="377"/>
        <v>0</v>
      </c>
      <c r="BN121" s="164">
        <f t="shared" ca="1" si="378"/>
        <v>0</v>
      </c>
      <c r="BO121" s="356" t="str">
        <f t="shared" ca="1" si="379"/>
        <v/>
      </c>
      <c r="BP121" s="355" t="str">
        <f t="shared" ca="1" si="380"/>
        <v/>
      </c>
      <c r="BQ121" s="355" t="str">
        <f t="shared" ca="1" si="381"/>
        <v/>
      </c>
      <c r="BR121" s="348">
        <f t="shared" ca="1" si="312"/>
        <v>0</v>
      </c>
      <c r="BS121" s="348">
        <f t="shared" ca="1" si="313"/>
        <v>0</v>
      </c>
      <c r="BT121" s="610">
        <f t="shared" ca="1" si="382"/>
        <v>0</v>
      </c>
      <c r="BU121" s="357">
        <f t="shared" ca="1" si="383"/>
        <v>0</v>
      </c>
      <c r="BV121" s="357">
        <f t="shared" si="384"/>
        <v>0</v>
      </c>
      <c r="BW121" s="357">
        <f t="shared" si="385"/>
        <v>0</v>
      </c>
      <c r="BX121" s="357">
        <f t="shared" ca="1" si="386"/>
        <v>0</v>
      </c>
      <c r="BY121" s="357">
        <f t="shared" ca="1" si="316"/>
        <v>0</v>
      </c>
      <c r="BZ121" s="357"/>
      <c r="CA121" s="357">
        <f t="shared" ca="1" si="314"/>
        <v>0</v>
      </c>
      <c r="CB121" s="357" t="str">
        <f t="shared" ca="1" si="387"/>
        <v/>
      </c>
      <c r="CC121" s="358" t="str">
        <f t="shared" ca="1" si="317"/>
        <v/>
      </c>
      <c r="CD121" s="358" t="str">
        <f t="shared" ca="1" si="318"/>
        <v/>
      </c>
      <c r="CE121" s="357" t="str">
        <f t="shared" ca="1" si="416"/>
        <v>,,,,,,,,,,,,,,,,,,,,,,,,,,,,,,,,,,,,,,,,,,,,,,,,,,,,,,,,,,,,,</v>
      </c>
      <c r="CF121" s="154" t="str">
        <f t="shared" si="315"/>
        <v/>
      </c>
      <c r="CG121" s="154">
        <f t="shared" ca="1" si="319"/>
        <v>0</v>
      </c>
      <c r="CH121" s="154"/>
      <c r="CI121" s="154"/>
      <c r="CJ121" s="154"/>
      <c r="CK121" s="154"/>
      <c r="CL121" s="154"/>
      <c r="CM121" s="154"/>
      <c r="CN121" t="s">
        <v>784</v>
      </c>
      <c r="CO121" s="169"/>
      <c r="CP121" s="169"/>
      <c r="CQ121" s="169"/>
      <c r="CR121" s="169"/>
      <c r="CS121" s="169"/>
      <c r="CT121" s="169"/>
      <c r="CU121" s="169"/>
      <c r="CV121" s="164" t="str">
        <f t="shared" ref="CV121:DE130" ca="1" si="421">IF($A121="","",IF(VT_VRTLZBR,CODE("F"),CODE(VLOOKUP($A121,ZAUBERWERTE,10,FALSE))-
SUM($BR121:$CA121,
IF(ISERR(FIND(";"&amp;CV$10&amp;";",$H121)),0,1),
IF(ISERR(FIND(";"&amp;CV$10&amp;":",$H121)),0,VALUE(MID($H121,FIND(";"&amp;CV$10&amp;":",$H121)+LEN(CV$10)+2,1))),
IF(AND(NOT(EXACT($AF$241,"")),OR(CV$10&gt;$CO121,ISBLANK($CO121))),IF($CV$3,IF(ISERROR(FIND($AF$241,$BQ121)),0,1),(LEN($BQ121)-LEN(SUBSTITUTE($BQ121,$AF$241,"")))/LEN($AF$241)),0),
IF(AND(NOT(EXACT($AF$242,"")),OR(CV$10&gt;$CP121,ISBLANK($CP121))),IF($CV$3,IF(ISERROR(FIND($AF$242,$BQ121)),0,1),(LEN($BQ121)-LEN(SUBSTITUTE($BQ121,$AF$242,"")))/LEN($AF$242)),0),
IF(AND(NOT(EXACT($AF$243,"")),OR(CV$10&gt;$CQ121,ISBLANK($CQ121))),IF($CV$3,IF(ISERROR(FIND($AF$243,$BQ121)),0,1),(LEN($BQ121)-LEN(SUBSTITUTE($BQ121,$AF$243,"")))/LEN($AF$243)),0),
IF(AND(NOT(EXACT($AF$244,"")),OR(CV$10&gt;$CR121,ISBLANK($CR121))),IF($CV$3,IF(ISERROR(FIND($AF$244,$BQ121)),0,1),(LEN($BQ121)-LEN(SUBSTITUTE($BQ121,$AF$244,"")))/LEN($AF$244)),0),
IF(AND(NOT(EXACT($AF$245,"")),OR(CV$10&gt;$CS121,ISBLANK($CS121))),IF($CV$3,IF(ISERROR(FIND($AF$245,$BQ121)),0,1),(LEN($BQ121)-LEN(SUBSTITUTE($BQ121,$AF$245,"")))/LEN($AF$245)),0),
IF(AND(NOT(EXACT($AF$246,"")),OR(CV$10&gt;$CT121,ISBLANK($CT121))),IF($CV$3,IF(ISERROR(FIND($AF$246,$BQ121)),0,1),(LEN($BQ121)-LEN(SUBSTITUTE($BQ121,$AF$246,"")))/LEN($AF$246)),0),
IF(AND(NOT(EXACT($AF$247,"")),OR(CV$10&gt;$CU121,ISBLANK($CU121))),IF($CV$3,IF(ISERROR(FIND($AF$247,$BQ121)),0,1),(LEN($BQ121)-LEN(SUBSTITUTE($BQ121,$AF$247,"")))/LEN($AF$247)),0)
)))</f>
        <v/>
      </c>
      <c r="CW121" s="164" t="str">
        <f t="shared" ca="1" si="421"/>
        <v/>
      </c>
      <c r="CX121" s="164" t="str">
        <f t="shared" ca="1" si="421"/>
        <v/>
      </c>
      <c r="CY121" s="164" t="str">
        <f t="shared" ca="1" si="421"/>
        <v/>
      </c>
      <c r="CZ121" s="164" t="str">
        <f t="shared" ca="1" si="421"/>
        <v/>
      </c>
      <c r="DA121" s="164" t="str">
        <f t="shared" ca="1" si="421"/>
        <v/>
      </c>
      <c r="DB121" s="164" t="str">
        <f t="shared" ca="1" si="421"/>
        <v/>
      </c>
      <c r="DC121" s="164" t="str">
        <f t="shared" ca="1" si="421"/>
        <v/>
      </c>
      <c r="DD121" s="164" t="str">
        <f t="shared" ca="1" si="421"/>
        <v/>
      </c>
      <c r="DE121" s="164" t="str">
        <f t="shared" ca="1" si="421"/>
        <v/>
      </c>
      <c r="DF121" s="164" t="str">
        <f t="shared" ref="DF121:DQ130" ca="1" si="422">IF($A121="","",IF(VT_VRTLZBR,CODE("F"),CODE(VLOOKUP($A121,ZAUBERWERTE,10,FALSE))-
SUM($BR121:$CA121,
IF(ISERR(FIND(";"&amp;DF$10&amp;";",$H121)),0,1),
IF(ISERR(FIND(";"&amp;DF$10&amp;":",$H121)),0,VALUE(MID($H121,FIND(";"&amp;DF$10&amp;":",$H121)+LEN(DF$10)+2,1))),
IF(AND(NOT(EXACT($AF$241,"")),OR(DF$10&gt;$CO121,ISBLANK($CO121))),IF($CV$3,IF(ISERROR(FIND($AF$241,$BQ121)),0,1),(LEN($BQ121)-LEN(SUBSTITUTE($BQ121,$AF$241,"")))/LEN($AF$241)),0),
IF(AND(NOT(EXACT($AF$242,"")),OR(DF$10&gt;$CP121,ISBLANK($CP121))),IF($CV$3,IF(ISERROR(FIND($AF$242,$BQ121)),0,1),(LEN($BQ121)-LEN(SUBSTITUTE($BQ121,$AF$242,"")))/LEN($AF$242)),0),
IF(AND(NOT(EXACT($AF$243,"")),OR(DF$10&gt;$CQ121,ISBLANK($CQ121))),IF($CV$3,IF(ISERROR(FIND($AF$243,$BQ121)),0,1),(LEN($BQ121)-LEN(SUBSTITUTE($BQ121,$AF$243,"")))/LEN($AF$243)),0),
IF(AND(NOT(EXACT($AF$244,"")),OR(DF$10&gt;$CR121,ISBLANK($CR121))),IF($CV$3,IF(ISERROR(FIND($AF$244,$BQ121)),0,1),(LEN($BQ121)-LEN(SUBSTITUTE($BQ121,$AF$244,"")))/LEN($AF$244)),0),
IF(AND(NOT(EXACT($AF$245,"")),OR(DF$10&gt;$CS121,ISBLANK($CS121))),IF($CV$3,IF(ISERROR(FIND($AF$245,$BQ121)),0,1),(LEN($BQ121)-LEN(SUBSTITUTE($BQ121,$AF$245,"")))/LEN($AF$245)),0),
IF(AND(NOT(EXACT($AF$246,"")),OR(DF$10&gt;$CT121,ISBLANK($CT121))),IF($CV$3,IF(ISERROR(FIND($AF$246,$BQ121)),0,1),(LEN($BQ121)-LEN(SUBSTITUTE($BQ121,$AF$246,"")))/LEN($AF$246)),0),
IF(AND(NOT(EXACT($AF$247,"")),OR(DF$10&gt;$CU121,ISBLANK($CU121))),IF($CV$3,IF(ISERROR(FIND($AF$247,$BQ121)),0,1),(LEN($BQ121)-LEN(SUBSTITUTE($BQ121,$AF$247,"")))/LEN($AF$247)),0)
)))</f>
        <v/>
      </c>
      <c r="DG121" s="164" t="str">
        <f t="shared" ca="1" si="422"/>
        <v/>
      </c>
      <c r="DH121" s="164" t="str">
        <f t="shared" ca="1" si="422"/>
        <v/>
      </c>
      <c r="DI121" s="164" t="str">
        <f t="shared" ca="1" si="422"/>
        <v/>
      </c>
      <c r="DJ121" s="164" t="str">
        <f t="shared" ca="1" si="422"/>
        <v/>
      </c>
      <c r="DK121" s="164" t="str">
        <f t="shared" ca="1" si="422"/>
        <v/>
      </c>
      <c r="DL121" s="164" t="str">
        <f t="shared" ca="1" si="422"/>
        <v/>
      </c>
      <c r="DM121" s="164" t="str">
        <f t="shared" ca="1" si="422"/>
        <v/>
      </c>
      <c r="DN121" s="164" t="str">
        <f t="shared" ca="1" si="422"/>
        <v/>
      </c>
      <c r="DO121" s="164" t="str">
        <f t="shared" ca="1" si="422"/>
        <v/>
      </c>
      <c r="DP121" s="164" t="str">
        <f t="shared" ca="1" si="422"/>
        <v/>
      </c>
      <c r="DQ121" s="164" t="str">
        <f t="shared" ca="1" si="422"/>
        <v/>
      </c>
      <c r="DR121" s="208"/>
      <c r="DS121" s="164" t="str">
        <f t="shared" ca="1" si="388"/>
        <v/>
      </c>
      <c r="DT121" s="164" t="str">
        <f t="shared" ca="1" si="389"/>
        <v/>
      </c>
      <c r="DU121" s="164" t="str">
        <f t="shared" ca="1" si="390"/>
        <v/>
      </c>
      <c r="DV121" s="164" t="str">
        <f t="shared" ca="1" si="391"/>
        <v/>
      </c>
      <c r="DW121" s="164" t="str">
        <f t="shared" ca="1" si="392"/>
        <v/>
      </c>
      <c r="DX121" s="164" t="str">
        <f t="shared" ca="1" si="393"/>
        <v/>
      </c>
      <c r="DY121" s="164" t="str">
        <f t="shared" ca="1" si="394"/>
        <v/>
      </c>
      <c r="DZ121" s="164" t="str">
        <f t="shared" ca="1" si="395"/>
        <v/>
      </c>
      <c r="EA121" s="164" t="str">
        <f t="shared" ca="1" si="396"/>
        <v/>
      </c>
      <c r="EB121" s="164" t="str">
        <f t="shared" ca="1" si="397"/>
        <v/>
      </c>
      <c r="EC121" s="164" t="str">
        <f t="shared" ca="1" si="398"/>
        <v/>
      </c>
      <c r="ED121" s="164" t="str">
        <f t="shared" ca="1" si="399"/>
        <v/>
      </c>
      <c r="EE121" s="164" t="str">
        <f t="shared" ca="1" si="400"/>
        <v/>
      </c>
      <c r="EF121" s="164" t="str">
        <f t="shared" ca="1" si="401"/>
        <v/>
      </c>
      <c r="EG121" s="164" t="str">
        <f t="shared" ca="1" si="402"/>
        <v/>
      </c>
      <c r="EH121" s="164" t="str">
        <f t="shared" ca="1" si="403"/>
        <v/>
      </c>
      <c r="EI121" s="164" t="str">
        <f t="shared" ca="1" si="404"/>
        <v/>
      </c>
      <c r="EJ121" s="164" t="str">
        <f t="shared" ca="1" si="405"/>
        <v/>
      </c>
      <c r="EK121" s="164" t="str">
        <f t="shared" ca="1" si="406"/>
        <v/>
      </c>
      <c r="EL121" s="164" t="str">
        <f t="shared" ca="1" si="407"/>
        <v/>
      </c>
      <c r="EM121" s="164" t="str">
        <f t="shared" ca="1" si="408"/>
        <v/>
      </c>
      <c r="EN121" s="164" t="str">
        <f t="shared" ca="1" si="409"/>
        <v/>
      </c>
      <c r="EO121" s="164" t="str">
        <f t="shared" ca="1" si="410"/>
        <v/>
      </c>
      <c r="EP121" s="164" t="str">
        <f t="shared" ca="1" si="411"/>
        <v/>
      </c>
      <c r="EQ121" s="164" t="str">
        <f t="shared" ca="1" si="412"/>
        <v/>
      </c>
      <c r="ER121" s="164" t="str">
        <f t="shared" ca="1" si="413"/>
        <v/>
      </c>
      <c r="ES121" s="164" t="str">
        <f t="shared" ca="1" si="414"/>
        <v/>
      </c>
    </row>
    <row r="122" spans="1:149" x14ac:dyDescent="0.2">
      <c r="A122" s="89" t="str">
        <f t="shared" ca="1" si="415"/>
        <v/>
      </c>
      <c r="B122" s="317" t="str">
        <f t="shared" ca="1" si="324"/>
        <v/>
      </c>
      <c r="C122" s="609" t="str">
        <f t="shared" ca="1" si="325"/>
        <v/>
      </c>
      <c r="D122" s="1956" t="str">
        <f t="shared" ca="1" si="326"/>
        <v/>
      </c>
      <c r="E122" s="1956"/>
      <c r="F122" s="960"/>
      <c r="G122" s="485" t="str">
        <f t="shared" ca="1" si="327"/>
        <v/>
      </c>
      <c r="H122" s="983"/>
      <c r="I122" s="486"/>
      <c r="J122" s="326"/>
      <c r="K122" s="1886" t="str">
        <f t="shared" ca="1" si="328"/>
        <v/>
      </c>
      <c r="L122" s="1888"/>
      <c r="M122" s="296" t="str">
        <f t="shared" ca="1" si="307"/>
        <v/>
      </c>
      <c r="N122" s="1322"/>
      <c r="O122" s="1319"/>
      <c r="P122" s="957" t="str">
        <f t="shared" ca="1" si="329"/>
        <v/>
      </c>
      <c r="Q122" s="164">
        <f t="shared" si="330"/>
        <v>0</v>
      </c>
      <c r="R122" s="164">
        <f t="shared" ca="1" si="331"/>
        <v>0</v>
      </c>
      <c r="S122" s="164">
        <f t="shared" ca="1" si="332"/>
        <v>0</v>
      </c>
      <c r="T122" s="164">
        <f t="shared" ca="1" si="333"/>
        <v>0</v>
      </c>
      <c r="U122" s="164">
        <f t="shared" ca="1" si="334"/>
        <v>0</v>
      </c>
      <c r="V122" s="164">
        <f t="shared" ca="1" si="335"/>
        <v>0</v>
      </c>
      <c r="W122" s="164">
        <f t="shared" ca="1" si="336"/>
        <v>0</v>
      </c>
      <c r="X122" s="164">
        <f t="shared" ca="1" si="337"/>
        <v>0</v>
      </c>
      <c r="Y122" s="164">
        <f t="shared" ca="1" si="338"/>
        <v>0</v>
      </c>
      <c r="Z122" s="164">
        <f t="shared" ca="1" si="339"/>
        <v>0</v>
      </c>
      <c r="AA122" s="164">
        <f t="shared" ca="1" si="340"/>
        <v>0</v>
      </c>
      <c r="AB122" s="164">
        <f t="shared" ca="1" si="341"/>
        <v>0</v>
      </c>
      <c r="AC122" s="164">
        <f t="shared" ca="1" si="342"/>
        <v>0</v>
      </c>
      <c r="AD122" s="164">
        <f t="shared" ca="1" si="343"/>
        <v>0</v>
      </c>
      <c r="AE122" s="164">
        <f t="shared" ca="1" si="344"/>
        <v>0</v>
      </c>
      <c r="AF122" s="164">
        <f t="shared" ca="1" si="345"/>
        <v>0</v>
      </c>
      <c r="AG122" s="164">
        <f t="shared" ca="1" si="346"/>
        <v>0</v>
      </c>
      <c r="AH122" s="164">
        <f t="shared" ca="1" si="347"/>
        <v>0</v>
      </c>
      <c r="AI122" s="164">
        <f t="shared" ca="1" si="348"/>
        <v>0</v>
      </c>
      <c r="AJ122" s="164">
        <f t="shared" ca="1" si="349"/>
        <v>0</v>
      </c>
      <c r="AK122" s="164">
        <f t="shared" ca="1" si="350"/>
        <v>0</v>
      </c>
      <c r="AL122" s="164">
        <f t="shared" ca="1" si="351"/>
        <v>0</v>
      </c>
      <c r="AM122" s="208"/>
      <c r="AN122" s="164">
        <f t="shared" si="352"/>
        <v>0</v>
      </c>
      <c r="AO122" s="164">
        <f t="shared" ca="1" si="353"/>
        <v>0</v>
      </c>
      <c r="AP122" s="164">
        <f t="shared" ca="1" si="354"/>
        <v>0</v>
      </c>
      <c r="AQ122" s="164">
        <f t="shared" ca="1" si="355"/>
        <v>0</v>
      </c>
      <c r="AR122" s="164">
        <f t="shared" ca="1" si="356"/>
        <v>0</v>
      </c>
      <c r="AS122" s="164">
        <f t="shared" ca="1" si="357"/>
        <v>0</v>
      </c>
      <c r="AT122" s="164">
        <f t="shared" ca="1" si="358"/>
        <v>0</v>
      </c>
      <c r="AU122" s="164">
        <f t="shared" ca="1" si="359"/>
        <v>0</v>
      </c>
      <c r="AV122" s="164">
        <f t="shared" ca="1" si="360"/>
        <v>0</v>
      </c>
      <c r="AW122" s="164">
        <f t="shared" ca="1" si="361"/>
        <v>0</v>
      </c>
      <c r="AX122" s="164">
        <f t="shared" ca="1" si="362"/>
        <v>0</v>
      </c>
      <c r="AY122" s="164">
        <f t="shared" ca="1" si="363"/>
        <v>0</v>
      </c>
      <c r="AZ122" s="164">
        <f t="shared" ca="1" si="364"/>
        <v>0</v>
      </c>
      <c r="BA122" s="164">
        <f t="shared" ca="1" si="365"/>
        <v>0</v>
      </c>
      <c r="BB122" s="164">
        <f t="shared" ca="1" si="366"/>
        <v>0</v>
      </c>
      <c r="BC122" s="164">
        <f t="shared" ca="1" si="367"/>
        <v>0</v>
      </c>
      <c r="BD122" s="164">
        <f t="shared" ca="1" si="368"/>
        <v>0</v>
      </c>
      <c r="BE122" s="164">
        <f t="shared" ca="1" si="369"/>
        <v>0</v>
      </c>
      <c r="BF122" s="164">
        <f t="shared" ca="1" si="370"/>
        <v>0</v>
      </c>
      <c r="BG122" s="164">
        <f t="shared" ca="1" si="371"/>
        <v>0</v>
      </c>
      <c r="BH122" s="164">
        <f t="shared" ca="1" si="372"/>
        <v>0</v>
      </c>
      <c r="BI122" s="164">
        <f t="shared" ca="1" si="373"/>
        <v>0</v>
      </c>
      <c r="BJ122" s="164">
        <f t="shared" ca="1" si="374"/>
        <v>0</v>
      </c>
      <c r="BK122" s="164">
        <f t="shared" ca="1" si="375"/>
        <v>0</v>
      </c>
      <c r="BL122" s="164">
        <f t="shared" ca="1" si="376"/>
        <v>0</v>
      </c>
      <c r="BM122" s="164">
        <f t="shared" ca="1" si="377"/>
        <v>0</v>
      </c>
      <c r="BN122" s="164">
        <f t="shared" ca="1" si="378"/>
        <v>0</v>
      </c>
      <c r="BO122" s="356" t="str">
        <f t="shared" ca="1" si="379"/>
        <v/>
      </c>
      <c r="BP122" s="355" t="str">
        <f t="shared" ca="1" si="380"/>
        <v/>
      </c>
      <c r="BQ122" s="355" t="str">
        <f t="shared" ca="1" si="381"/>
        <v/>
      </c>
      <c r="BR122" s="348">
        <f t="shared" ca="1" si="312"/>
        <v>0</v>
      </c>
      <c r="BS122" s="348">
        <f t="shared" ca="1" si="313"/>
        <v>0</v>
      </c>
      <c r="BT122" s="610">
        <f t="shared" ca="1" si="382"/>
        <v>0</v>
      </c>
      <c r="BU122" s="357">
        <f t="shared" ca="1" si="383"/>
        <v>0</v>
      </c>
      <c r="BV122" s="357">
        <f t="shared" si="384"/>
        <v>0</v>
      </c>
      <c r="BW122" s="357">
        <f t="shared" si="385"/>
        <v>0</v>
      </c>
      <c r="BX122" s="357">
        <f t="shared" ca="1" si="386"/>
        <v>0</v>
      </c>
      <c r="BY122" s="357">
        <f t="shared" ca="1" si="316"/>
        <v>0</v>
      </c>
      <c r="BZ122" s="357"/>
      <c r="CA122" s="357">
        <f t="shared" ca="1" si="314"/>
        <v>0</v>
      </c>
      <c r="CB122" s="357" t="str">
        <f t="shared" ca="1" si="387"/>
        <v/>
      </c>
      <c r="CC122" s="358" t="str">
        <f t="shared" ca="1" si="317"/>
        <v/>
      </c>
      <c r="CD122" s="358" t="str">
        <f t="shared" ca="1" si="318"/>
        <v/>
      </c>
      <c r="CE122" s="357" t="str">
        <f t="shared" ca="1" si="416"/>
        <v>,,,,,,,,,,,,,,,,,,,,,,,,,,,,,,,,,,,,,,,,,,,,,,,,,,,,,,,,,,,,,,</v>
      </c>
      <c r="CF122" s="154" t="str">
        <f t="shared" si="315"/>
        <v/>
      </c>
      <c r="CG122" s="154">
        <f t="shared" ca="1" si="319"/>
        <v>0</v>
      </c>
      <c r="CH122" s="154"/>
      <c r="CI122" s="154"/>
      <c r="CJ122" s="154"/>
      <c r="CK122" s="154"/>
      <c r="CL122" s="154"/>
      <c r="CM122" s="154"/>
      <c r="CN122" t="s">
        <v>784</v>
      </c>
      <c r="CO122" s="169"/>
      <c r="CP122" s="169"/>
      <c r="CQ122" s="169"/>
      <c r="CR122" s="169"/>
      <c r="CS122" s="169"/>
      <c r="CT122" s="169"/>
      <c r="CU122" s="169"/>
      <c r="CV122" s="164" t="str">
        <f t="shared" ca="1" si="421"/>
        <v/>
      </c>
      <c r="CW122" s="164" t="str">
        <f t="shared" ca="1" si="421"/>
        <v/>
      </c>
      <c r="CX122" s="164" t="str">
        <f t="shared" ca="1" si="421"/>
        <v/>
      </c>
      <c r="CY122" s="164" t="str">
        <f t="shared" ca="1" si="421"/>
        <v/>
      </c>
      <c r="CZ122" s="164" t="str">
        <f t="shared" ca="1" si="421"/>
        <v/>
      </c>
      <c r="DA122" s="164" t="str">
        <f t="shared" ca="1" si="421"/>
        <v/>
      </c>
      <c r="DB122" s="164" t="str">
        <f t="shared" ca="1" si="421"/>
        <v/>
      </c>
      <c r="DC122" s="164" t="str">
        <f t="shared" ca="1" si="421"/>
        <v/>
      </c>
      <c r="DD122" s="164" t="str">
        <f t="shared" ca="1" si="421"/>
        <v/>
      </c>
      <c r="DE122" s="164" t="str">
        <f t="shared" ca="1" si="421"/>
        <v/>
      </c>
      <c r="DF122" s="164" t="str">
        <f t="shared" ca="1" si="422"/>
        <v/>
      </c>
      <c r="DG122" s="164" t="str">
        <f t="shared" ca="1" si="422"/>
        <v/>
      </c>
      <c r="DH122" s="164" t="str">
        <f t="shared" ca="1" si="422"/>
        <v/>
      </c>
      <c r="DI122" s="164" t="str">
        <f t="shared" ca="1" si="422"/>
        <v/>
      </c>
      <c r="DJ122" s="164" t="str">
        <f t="shared" ca="1" si="422"/>
        <v/>
      </c>
      <c r="DK122" s="164" t="str">
        <f t="shared" ca="1" si="422"/>
        <v/>
      </c>
      <c r="DL122" s="164" t="str">
        <f t="shared" ca="1" si="422"/>
        <v/>
      </c>
      <c r="DM122" s="164" t="str">
        <f t="shared" ca="1" si="422"/>
        <v/>
      </c>
      <c r="DN122" s="164" t="str">
        <f t="shared" ca="1" si="422"/>
        <v/>
      </c>
      <c r="DO122" s="164" t="str">
        <f t="shared" ca="1" si="422"/>
        <v/>
      </c>
      <c r="DP122" s="164" t="str">
        <f t="shared" ca="1" si="422"/>
        <v/>
      </c>
      <c r="DQ122" s="164" t="str">
        <f t="shared" ca="1" si="422"/>
        <v/>
      </c>
      <c r="DR122" s="208"/>
      <c r="DS122" s="164" t="str">
        <f t="shared" ca="1" si="388"/>
        <v/>
      </c>
      <c r="DT122" s="164" t="str">
        <f t="shared" ca="1" si="389"/>
        <v/>
      </c>
      <c r="DU122" s="164" t="str">
        <f t="shared" ca="1" si="390"/>
        <v/>
      </c>
      <c r="DV122" s="164" t="str">
        <f t="shared" ca="1" si="391"/>
        <v/>
      </c>
      <c r="DW122" s="164" t="str">
        <f t="shared" ca="1" si="392"/>
        <v/>
      </c>
      <c r="DX122" s="164" t="str">
        <f t="shared" ca="1" si="393"/>
        <v/>
      </c>
      <c r="DY122" s="164" t="str">
        <f t="shared" ca="1" si="394"/>
        <v/>
      </c>
      <c r="DZ122" s="164" t="str">
        <f t="shared" ca="1" si="395"/>
        <v/>
      </c>
      <c r="EA122" s="164" t="str">
        <f t="shared" ca="1" si="396"/>
        <v/>
      </c>
      <c r="EB122" s="164" t="str">
        <f t="shared" ca="1" si="397"/>
        <v/>
      </c>
      <c r="EC122" s="164" t="str">
        <f t="shared" ca="1" si="398"/>
        <v/>
      </c>
      <c r="ED122" s="164" t="str">
        <f t="shared" ca="1" si="399"/>
        <v/>
      </c>
      <c r="EE122" s="164" t="str">
        <f t="shared" ca="1" si="400"/>
        <v/>
      </c>
      <c r="EF122" s="164" t="str">
        <f t="shared" ca="1" si="401"/>
        <v/>
      </c>
      <c r="EG122" s="164" t="str">
        <f t="shared" ca="1" si="402"/>
        <v/>
      </c>
      <c r="EH122" s="164" t="str">
        <f t="shared" ca="1" si="403"/>
        <v/>
      </c>
      <c r="EI122" s="164" t="str">
        <f t="shared" ca="1" si="404"/>
        <v/>
      </c>
      <c r="EJ122" s="164" t="str">
        <f t="shared" ca="1" si="405"/>
        <v/>
      </c>
      <c r="EK122" s="164" t="str">
        <f t="shared" ca="1" si="406"/>
        <v/>
      </c>
      <c r="EL122" s="164" t="str">
        <f t="shared" ca="1" si="407"/>
        <v/>
      </c>
      <c r="EM122" s="164" t="str">
        <f t="shared" ca="1" si="408"/>
        <v/>
      </c>
      <c r="EN122" s="164" t="str">
        <f t="shared" ca="1" si="409"/>
        <v/>
      </c>
      <c r="EO122" s="164" t="str">
        <f t="shared" ca="1" si="410"/>
        <v/>
      </c>
      <c r="EP122" s="164" t="str">
        <f t="shared" ca="1" si="411"/>
        <v/>
      </c>
      <c r="EQ122" s="164" t="str">
        <f t="shared" ca="1" si="412"/>
        <v/>
      </c>
      <c r="ER122" s="164" t="str">
        <f t="shared" ca="1" si="413"/>
        <v/>
      </c>
      <c r="ES122" s="164" t="str">
        <f t="shared" ca="1" si="414"/>
        <v/>
      </c>
    </row>
    <row r="123" spans="1:149" x14ac:dyDescent="0.2">
      <c r="A123" s="89" t="str">
        <f t="shared" ca="1" si="415"/>
        <v/>
      </c>
      <c r="B123" s="317" t="str">
        <f t="shared" ca="1" si="324"/>
        <v/>
      </c>
      <c r="C123" s="609" t="str">
        <f t="shared" ca="1" si="325"/>
        <v/>
      </c>
      <c r="D123" s="1956" t="str">
        <f t="shared" ca="1" si="326"/>
        <v/>
      </c>
      <c r="E123" s="1956"/>
      <c r="F123" s="960"/>
      <c r="G123" s="485" t="str">
        <f t="shared" ca="1" si="327"/>
        <v/>
      </c>
      <c r="H123" s="983"/>
      <c r="I123" s="486"/>
      <c r="J123" s="326"/>
      <c r="K123" s="1886" t="str">
        <f t="shared" ca="1" si="328"/>
        <v/>
      </c>
      <c r="L123" s="1888"/>
      <c r="M123" s="296" t="str">
        <f t="shared" ca="1" si="307"/>
        <v/>
      </c>
      <c r="N123" s="1322"/>
      <c r="O123" s="1319"/>
      <c r="P123" s="957" t="str">
        <f t="shared" ca="1" si="329"/>
        <v/>
      </c>
      <c r="Q123" s="164">
        <f t="shared" si="330"/>
        <v>0</v>
      </c>
      <c r="R123" s="164">
        <f t="shared" ca="1" si="331"/>
        <v>0</v>
      </c>
      <c r="S123" s="164">
        <f t="shared" ca="1" si="332"/>
        <v>0</v>
      </c>
      <c r="T123" s="164">
        <f t="shared" ca="1" si="333"/>
        <v>0</v>
      </c>
      <c r="U123" s="164">
        <f t="shared" ca="1" si="334"/>
        <v>0</v>
      </c>
      <c r="V123" s="164">
        <f t="shared" ca="1" si="335"/>
        <v>0</v>
      </c>
      <c r="W123" s="164">
        <f t="shared" ca="1" si="336"/>
        <v>0</v>
      </c>
      <c r="X123" s="164">
        <f t="shared" ca="1" si="337"/>
        <v>0</v>
      </c>
      <c r="Y123" s="164">
        <f t="shared" ca="1" si="338"/>
        <v>0</v>
      </c>
      <c r="Z123" s="164">
        <f t="shared" ca="1" si="339"/>
        <v>0</v>
      </c>
      <c r="AA123" s="164">
        <f t="shared" ca="1" si="340"/>
        <v>0</v>
      </c>
      <c r="AB123" s="164">
        <f t="shared" ca="1" si="341"/>
        <v>0</v>
      </c>
      <c r="AC123" s="164">
        <f t="shared" ca="1" si="342"/>
        <v>0</v>
      </c>
      <c r="AD123" s="164">
        <f t="shared" ca="1" si="343"/>
        <v>0</v>
      </c>
      <c r="AE123" s="164">
        <f t="shared" ca="1" si="344"/>
        <v>0</v>
      </c>
      <c r="AF123" s="164">
        <f t="shared" ca="1" si="345"/>
        <v>0</v>
      </c>
      <c r="AG123" s="164">
        <f t="shared" ca="1" si="346"/>
        <v>0</v>
      </c>
      <c r="AH123" s="164">
        <f t="shared" ca="1" si="347"/>
        <v>0</v>
      </c>
      <c r="AI123" s="164">
        <f t="shared" ca="1" si="348"/>
        <v>0</v>
      </c>
      <c r="AJ123" s="164">
        <f t="shared" ca="1" si="349"/>
        <v>0</v>
      </c>
      <c r="AK123" s="164">
        <f t="shared" ca="1" si="350"/>
        <v>0</v>
      </c>
      <c r="AL123" s="164">
        <f t="shared" ca="1" si="351"/>
        <v>0</v>
      </c>
      <c r="AM123" s="208"/>
      <c r="AN123" s="164">
        <f t="shared" si="352"/>
        <v>0</v>
      </c>
      <c r="AO123" s="164">
        <f t="shared" ca="1" si="353"/>
        <v>0</v>
      </c>
      <c r="AP123" s="164">
        <f t="shared" ca="1" si="354"/>
        <v>0</v>
      </c>
      <c r="AQ123" s="164">
        <f t="shared" ca="1" si="355"/>
        <v>0</v>
      </c>
      <c r="AR123" s="164">
        <f t="shared" ca="1" si="356"/>
        <v>0</v>
      </c>
      <c r="AS123" s="164">
        <f t="shared" ca="1" si="357"/>
        <v>0</v>
      </c>
      <c r="AT123" s="164">
        <f t="shared" ca="1" si="358"/>
        <v>0</v>
      </c>
      <c r="AU123" s="164">
        <f t="shared" ca="1" si="359"/>
        <v>0</v>
      </c>
      <c r="AV123" s="164">
        <f t="shared" ca="1" si="360"/>
        <v>0</v>
      </c>
      <c r="AW123" s="164">
        <f t="shared" ca="1" si="361"/>
        <v>0</v>
      </c>
      <c r="AX123" s="164">
        <f t="shared" ca="1" si="362"/>
        <v>0</v>
      </c>
      <c r="AY123" s="164">
        <f t="shared" ca="1" si="363"/>
        <v>0</v>
      </c>
      <c r="AZ123" s="164">
        <f t="shared" ca="1" si="364"/>
        <v>0</v>
      </c>
      <c r="BA123" s="164">
        <f t="shared" ca="1" si="365"/>
        <v>0</v>
      </c>
      <c r="BB123" s="164">
        <f t="shared" ca="1" si="366"/>
        <v>0</v>
      </c>
      <c r="BC123" s="164">
        <f t="shared" ca="1" si="367"/>
        <v>0</v>
      </c>
      <c r="BD123" s="164">
        <f t="shared" ca="1" si="368"/>
        <v>0</v>
      </c>
      <c r="BE123" s="164">
        <f t="shared" ca="1" si="369"/>
        <v>0</v>
      </c>
      <c r="BF123" s="164">
        <f t="shared" ca="1" si="370"/>
        <v>0</v>
      </c>
      <c r="BG123" s="164">
        <f t="shared" ca="1" si="371"/>
        <v>0</v>
      </c>
      <c r="BH123" s="164">
        <f t="shared" ca="1" si="372"/>
        <v>0</v>
      </c>
      <c r="BI123" s="164">
        <f t="shared" ca="1" si="373"/>
        <v>0</v>
      </c>
      <c r="BJ123" s="164">
        <f t="shared" ca="1" si="374"/>
        <v>0</v>
      </c>
      <c r="BK123" s="164">
        <f t="shared" ca="1" si="375"/>
        <v>0</v>
      </c>
      <c r="BL123" s="164">
        <f t="shared" ca="1" si="376"/>
        <v>0</v>
      </c>
      <c r="BM123" s="164">
        <f t="shared" ca="1" si="377"/>
        <v>0</v>
      </c>
      <c r="BN123" s="164">
        <f t="shared" ca="1" si="378"/>
        <v>0</v>
      </c>
      <c r="BO123" s="356" t="str">
        <f t="shared" ca="1" si="379"/>
        <v/>
      </c>
      <c r="BP123" s="355" t="str">
        <f t="shared" ca="1" si="380"/>
        <v/>
      </c>
      <c r="BQ123" s="355" t="str">
        <f t="shared" ca="1" si="381"/>
        <v/>
      </c>
      <c r="BR123" s="348">
        <f t="shared" ca="1" si="312"/>
        <v>0</v>
      </c>
      <c r="BS123" s="348">
        <f t="shared" ca="1" si="313"/>
        <v>0</v>
      </c>
      <c r="BT123" s="610">
        <f t="shared" ca="1" si="382"/>
        <v>0</v>
      </c>
      <c r="BU123" s="357">
        <f t="shared" ca="1" si="383"/>
        <v>0</v>
      </c>
      <c r="BV123" s="357">
        <f t="shared" si="384"/>
        <v>0</v>
      </c>
      <c r="BW123" s="357">
        <f t="shared" si="385"/>
        <v>0</v>
      </c>
      <c r="BX123" s="357">
        <f t="shared" ca="1" si="386"/>
        <v>0</v>
      </c>
      <c r="BY123" s="357">
        <f t="shared" ca="1" si="316"/>
        <v>0</v>
      </c>
      <c r="BZ123" s="357"/>
      <c r="CA123" s="357">
        <f t="shared" ca="1" si="314"/>
        <v>0</v>
      </c>
      <c r="CB123" s="357" t="str">
        <f t="shared" ca="1" si="387"/>
        <v/>
      </c>
      <c r="CC123" s="358" t="str">
        <f t="shared" ca="1" si="317"/>
        <v/>
      </c>
      <c r="CD123" s="358" t="str">
        <f t="shared" ca="1" si="318"/>
        <v/>
      </c>
      <c r="CE123" s="357" t="str">
        <f t="shared" ca="1" si="416"/>
        <v>,,,,,,,,,,,,,,,,,,,,,,,,,,,,,,,,,,,,,,,,,,,,,,,,,,,,,,,,,,,,,,,</v>
      </c>
      <c r="CF123" s="154" t="str">
        <f t="shared" si="315"/>
        <v/>
      </c>
      <c r="CG123" s="154">
        <f t="shared" ca="1" si="319"/>
        <v>0</v>
      </c>
      <c r="CH123" s="154"/>
      <c r="CI123" s="154"/>
      <c r="CJ123" s="154"/>
      <c r="CK123" s="154"/>
      <c r="CL123" s="154"/>
      <c r="CM123" s="154"/>
      <c r="CN123" t="s">
        <v>784</v>
      </c>
      <c r="CO123" s="169"/>
      <c r="CP123" s="169"/>
      <c r="CQ123" s="169"/>
      <c r="CR123" s="169"/>
      <c r="CS123" s="169"/>
      <c r="CT123" s="169"/>
      <c r="CU123" s="169"/>
      <c r="CV123" s="164" t="str">
        <f t="shared" ca="1" si="421"/>
        <v/>
      </c>
      <c r="CW123" s="164" t="str">
        <f t="shared" ca="1" si="421"/>
        <v/>
      </c>
      <c r="CX123" s="164" t="str">
        <f t="shared" ca="1" si="421"/>
        <v/>
      </c>
      <c r="CY123" s="164" t="str">
        <f t="shared" ca="1" si="421"/>
        <v/>
      </c>
      <c r="CZ123" s="164" t="str">
        <f t="shared" ca="1" si="421"/>
        <v/>
      </c>
      <c r="DA123" s="164" t="str">
        <f t="shared" ca="1" si="421"/>
        <v/>
      </c>
      <c r="DB123" s="164" t="str">
        <f t="shared" ca="1" si="421"/>
        <v/>
      </c>
      <c r="DC123" s="164" t="str">
        <f t="shared" ca="1" si="421"/>
        <v/>
      </c>
      <c r="DD123" s="164" t="str">
        <f t="shared" ca="1" si="421"/>
        <v/>
      </c>
      <c r="DE123" s="164" t="str">
        <f t="shared" ca="1" si="421"/>
        <v/>
      </c>
      <c r="DF123" s="164" t="str">
        <f t="shared" ca="1" si="422"/>
        <v/>
      </c>
      <c r="DG123" s="164" t="str">
        <f t="shared" ca="1" si="422"/>
        <v/>
      </c>
      <c r="DH123" s="164" t="str">
        <f t="shared" ca="1" si="422"/>
        <v/>
      </c>
      <c r="DI123" s="164" t="str">
        <f t="shared" ca="1" si="422"/>
        <v/>
      </c>
      <c r="DJ123" s="164" t="str">
        <f t="shared" ca="1" si="422"/>
        <v/>
      </c>
      <c r="DK123" s="164" t="str">
        <f t="shared" ca="1" si="422"/>
        <v/>
      </c>
      <c r="DL123" s="164" t="str">
        <f t="shared" ca="1" si="422"/>
        <v/>
      </c>
      <c r="DM123" s="164" t="str">
        <f t="shared" ca="1" si="422"/>
        <v/>
      </c>
      <c r="DN123" s="164" t="str">
        <f t="shared" ca="1" si="422"/>
        <v/>
      </c>
      <c r="DO123" s="164" t="str">
        <f t="shared" ca="1" si="422"/>
        <v/>
      </c>
      <c r="DP123" s="164" t="str">
        <f t="shared" ca="1" si="422"/>
        <v/>
      </c>
      <c r="DQ123" s="164" t="str">
        <f t="shared" ca="1" si="422"/>
        <v/>
      </c>
      <c r="DR123" s="208"/>
      <c r="DS123" s="164" t="str">
        <f t="shared" ca="1" si="388"/>
        <v/>
      </c>
      <c r="DT123" s="164" t="str">
        <f t="shared" ca="1" si="389"/>
        <v/>
      </c>
      <c r="DU123" s="164" t="str">
        <f t="shared" ca="1" si="390"/>
        <v/>
      </c>
      <c r="DV123" s="164" t="str">
        <f t="shared" ca="1" si="391"/>
        <v/>
      </c>
      <c r="DW123" s="164" t="str">
        <f t="shared" ca="1" si="392"/>
        <v/>
      </c>
      <c r="DX123" s="164" t="str">
        <f t="shared" ca="1" si="393"/>
        <v/>
      </c>
      <c r="DY123" s="164" t="str">
        <f t="shared" ca="1" si="394"/>
        <v/>
      </c>
      <c r="DZ123" s="164" t="str">
        <f t="shared" ca="1" si="395"/>
        <v/>
      </c>
      <c r="EA123" s="164" t="str">
        <f t="shared" ca="1" si="396"/>
        <v/>
      </c>
      <c r="EB123" s="164" t="str">
        <f t="shared" ca="1" si="397"/>
        <v/>
      </c>
      <c r="EC123" s="164" t="str">
        <f t="shared" ca="1" si="398"/>
        <v/>
      </c>
      <c r="ED123" s="164" t="str">
        <f t="shared" ca="1" si="399"/>
        <v/>
      </c>
      <c r="EE123" s="164" t="str">
        <f t="shared" ca="1" si="400"/>
        <v/>
      </c>
      <c r="EF123" s="164" t="str">
        <f t="shared" ca="1" si="401"/>
        <v/>
      </c>
      <c r="EG123" s="164" t="str">
        <f t="shared" ca="1" si="402"/>
        <v/>
      </c>
      <c r="EH123" s="164" t="str">
        <f t="shared" ca="1" si="403"/>
        <v/>
      </c>
      <c r="EI123" s="164" t="str">
        <f t="shared" ca="1" si="404"/>
        <v/>
      </c>
      <c r="EJ123" s="164" t="str">
        <f t="shared" ca="1" si="405"/>
        <v/>
      </c>
      <c r="EK123" s="164" t="str">
        <f t="shared" ca="1" si="406"/>
        <v/>
      </c>
      <c r="EL123" s="164" t="str">
        <f t="shared" ca="1" si="407"/>
        <v/>
      </c>
      <c r="EM123" s="164" t="str">
        <f t="shared" ca="1" si="408"/>
        <v/>
      </c>
      <c r="EN123" s="164" t="str">
        <f t="shared" ca="1" si="409"/>
        <v/>
      </c>
      <c r="EO123" s="164" t="str">
        <f t="shared" ca="1" si="410"/>
        <v/>
      </c>
      <c r="EP123" s="164" t="str">
        <f t="shared" ca="1" si="411"/>
        <v/>
      </c>
      <c r="EQ123" s="164" t="str">
        <f t="shared" ca="1" si="412"/>
        <v/>
      </c>
      <c r="ER123" s="164" t="str">
        <f t="shared" ca="1" si="413"/>
        <v/>
      </c>
      <c r="ES123" s="164" t="str">
        <f t="shared" ca="1" si="414"/>
        <v/>
      </c>
    </row>
    <row r="124" spans="1:149" x14ac:dyDescent="0.2">
      <c r="A124" s="89" t="str">
        <f t="shared" ca="1" si="415"/>
        <v/>
      </c>
      <c r="B124" s="317" t="str">
        <f t="shared" ca="1" si="324"/>
        <v/>
      </c>
      <c r="C124" s="609" t="str">
        <f t="shared" ca="1" si="325"/>
        <v/>
      </c>
      <c r="D124" s="1956" t="str">
        <f t="shared" ca="1" si="326"/>
        <v/>
      </c>
      <c r="E124" s="1956"/>
      <c r="F124" s="960"/>
      <c r="G124" s="485" t="str">
        <f t="shared" ca="1" si="327"/>
        <v/>
      </c>
      <c r="H124" s="983"/>
      <c r="I124" s="486"/>
      <c r="J124" s="326"/>
      <c r="K124" s="1886" t="str">
        <f t="shared" ca="1" si="328"/>
        <v/>
      </c>
      <c r="L124" s="1888"/>
      <c r="M124" s="296" t="str">
        <f t="shared" ca="1" si="307"/>
        <v/>
      </c>
      <c r="N124" s="1322"/>
      <c r="O124" s="1319"/>
      <c r="P124" s="957" t="str">
        <f t="shared" ca="1" si="329"/>
        <v/>
      </c>
      <c r="Q124" s="164">
        <f t="shared" si="330"/>
        <v>0</v>
      </c>
      <c r="R124" s="164">
        <f t="shared" ca="1" si="331"/>
        <v>0</v>
      </c>
      <c r="S124" s="164">
        <f t="shared" ca="1" si="332"/>
        <v>0</v>
      </c>
      <c r="T124" s="164">
        <f t="shared" ca="1" si="333"/>
        <v>0</v>
      </c>
      <c r="U124" s="164">
        <f t="shared" ca="1" si="334"/>
        <v>0</v>
      </c>
      <c r="V124" s="164">
        <f t="shared" ca="1" si="335"/>
        <v>0</v>
      </c>
      <c r="W124" s="164">
        <f t="shared" ca="1" si="336"/>
        <v>0</v>
      </c>
      <c r="X124" s="164">
        <f t="shared" ca="1" si="337"/>
        <v>0</v>
      </c>
      <c r="Y124" s="164">
        <f t="shared" ca="1" si="338"/>
        <v>0</v>
      </c>
      <c r="Z124" s="164">
        <f t="shared" ca="1" si="339"/>
        <v>0</v>
      </c>
      <c r="AA124" s="164">
        <f t="shared" ca="1" si="340"/>
        <v>0</v>
      </c>
      <c r="AB124" s="164">
        <f t="shared" ca="1" si="341"/>
        <v>0</v>
      </c>
      <c r="AC124" s="164">
        <f t="shared" ca="1" si="342"/>
        <v>0</v>
      </c>
      <c r="AD124" s="164">
        <f t="shared" ca="1" si="343"/>
        <v>0</v>
      </c>
      <c r="AE124" s="164">
        <f t="shared" ca="1" si="344"/>
        <v>0</v>
      </c>
      <c r="AF124" s="164">
        <f t="shared" ca="1" si="345"/>
        <v>0</v>
      </c>
      <c r="AG124" s="164">
        <f t="shared" ca="1" si="346"/>
        <v>0</v>
      </c>
      <c r="AH124" s="164">
        <f t="shared" ca="1" si="347"/>
        <v>0</v>
      </c>
      <c r="AI124" s="164">
        <f t="shared" ca="1" si="348"/>
        <v>0</v>
      </c>
      <c r="AJ124" s="164">
        <f t="shared" ca="1" si="349"/>
        <v>0</v>
      </c>
      <c r="AK124" s="164">
        <f t="shared" ca="1" si="350"/>
        <v>0</v>
      </c>
      <c r="AL124" s="164">
        <f t="shared" ca="1" si="351"/>
        <v>0</v>
      </c>
      <c r="AM124" s="208"/>
      <c r="AN124" s="164">
        <f t="shared" si="352"/>
        <v>0</v>
      </c>
      <c r="AO124" s="164">
        <f t="shared" ca="1" si="353"/>
        <v>0</v>
      </c>
      <c r="AP124" s="164">
        <f t="shared" ca="1" si="354"/>
        <v>0</v>
      </c>
      <c r="AQ124" s="164">
        <f t="shared" ca="1" si="355"/>
        <v>0</v>
      </c>
      <c r="AR124" s="164">
        <f t="shared" ca="1" si="356"/>
        <v>0</v>
      </c>
      <c r="AS124" s="164">
        <f t="shared" ca="1" si="357"/>
        <v>0</v>
      </c>
      <c r="AT124" s="164">
        <f t="shared" ca="1" si="358"/>
        <v>0</v>
      </c>
      <c r="AU124" s="164">
        <f t="shared" ca="1" si="359"/>
        <v>0</v>
      </c>
      <c r="AV124" s="164">
        <f t="shared" ca="1" si="360"/>
        <v>0</v>
      </c>
      <c r="AW124" s="164">
        <f t="shared" ca="1" si="361"/>
        <v>0</v>
      </c>
      <c r="AX124" s="164">
        <f t="shared" ca="1" si="362"/>
        <v>0</v>
      </c>
      <c r="AY124" s="164">
        <f t="shared" ca="1" si="363"/>
        <v>0</v>
      </c>
      <c r="AZ124" s="164">
        <f t="shared" ca="1" si="364"/>
        <v>0</v>
      </c>
      <c r="BA124" s="164">
        <f t="shared" ca="1" si="365"/>
        <v>0</v>
      </c>
      <c r="BB124" s="164">
        <f t="shared" ca="1" si="366"/>
        <v>0</v>
      </c>
      <c r="BC124" s="164">
        <f t="shared" ca="1" si="367"/>
        <v>0</v>
      </c>
      <c r="BD124" s="164">
        <f t="shared" ca="1" si="368"/>
        <v>0</v>
      </c>
      <c r="BE124" s="164">
        <f t="shared" ca="1" si="369"/>
        <v>0</v>
      </c>
      <c r="BF124" s="164">
        <f t="shared" ca="1" si="370"/>
        <v>0</v>
      </c>
      <c r="BG124" s="164">
        <f t="shared" ca="1" si="371"/>
        <v>0</v>
      </c>
      <c r="BH124" s="164">
        <f t="shared" ca="1" si="372"/>
        <v>0</v>
      </c>
      <c r="BI124" s="164">
        <f t="shared" ca="1" si="373"/>
        <v>0</v>
      </c>
      <c r="BJ124" s="164">
        <f t="shared" ca="1" si="374"/>
        <v>0</v>
      </c>
      <c r="BK124" s="164">
        <f t="shared" ca="1" si="375"/>
        <v>0</v>
      </c>
      <c r="BL124" s="164">
        <f t="shared" ca="1" si="376"/>
        <v>0</v>
      </c>
      <c r="BM124" s="164">
        <f t="shared" ca="1" si="377"/>
        <v>0</v>
      </c>
      <c r="BN124" s="164">
        <f t="shared" ca="1" si="378"/>
        <v>0</v>
      </c>
      <c r="BO124" s="356" t="str">
        <f t="shared" ca="1" si="379"/>
        <v/>
      </c>
      <c r="BP124" s="355" t="str">
        <f t="shared" ca="1" si="380"/>
        <v/>
      </c>
      <c r="BQ124" s="355" t="str">
        <f t="shared" ca="1" si="381"/>
        <v/>
      </c>
      <c r="BR124" s="348">
        <f t="shared" ca="1" si="312"/>
        <v>0</v>
      </c>
      <c r="BS124" s="348">
        <f t="shared" ca="1" si="313"/>
        <v>0</v>
      </c>
      <c r="BT124" s="610">
        <f t="shared" ca="1" si="382"/>
        <v>0</v>
      </c>
      <c r="BU124" s="357">
        <f t="shared" ca="1" si="383"/>
        <v>0</v>
      </c>
      <c r="BV124" s="357">
        <f t="shared" si="384"/>
        <v>0</v>
      </c>
      <c r="BW124" s="357">
        <f t="shared" si="385"/>
        <v>0</v>
      </c>
      <c r="BX124" s="357">
        <f t="shared" ca="1" si="386"/>
        <v>0</v>
      </c>
      <c r="BY124" s="357">
        <f t="shared" ca="1" si="316"/>
        <v>0</v>
      </c>
      <c r="BZ124" s="357"/>
      <c r="CA124" s="357">
        <f t="shared" ca="1" si="314"/>
        <v>0</v>
      </c>
      <c r="CB124" s="357" t="str">
        <f t="shared" ca="1" si="387"/>
        <v/>
      </c>
      <c r="CC124" s="358" t="str">
        <f t="shared" ca="1" si="317"/>
        <v/>
      </c>
      <c r="CD124" s="358" t="str">
        <f t="shared" ca="1" si="318"/>
        <v/>
      </c>
      <c r="CE124" s="357" t="str">
        <f t="shared" ca="1" si="416"/>
        <v>,,,,,,,,,,,,,,,,,,,,,,,,,,,,,,,,,,,,,,,,,,,,,,,,,,,,,,,,,,,,,,,,</v>
      </c>
      <c r="CF124" s="154" t="str">
        <f t="shared" si="315"/>
        <v/>
      </c>
      <c r="CG124" s="154">
        <f t="shared" ca="1" si="319"/>
        <v>0</v>
      </c>
      <c r="CH124" s="154"/>
      <c r="CI124" s="154"/>
      <c r="CJ124" s="154"/>
      <c r="CK124" s="154"/>
      <c r="CL124" s="154"/>
      <c r="CM124" s="154"/>
      <c r="CN124" t="s">
        <v>784</v>
      </c>
      <c r="CO124" s="169"/>
      <c r="CP124" s="169"/>
      <c r="CQ124" s="169"/>
      <c r="CR124" s="169"/>
      <c r="CS124" s="169"/>
      <c r="CT124" s="169"/>
      <c r="CU124" s="169"/>
      <c r="CV124" s="164" t="str">
        <f t="shared" ca="1" si="421"/>
        <v/>
      </c>
      <c r="CW124" s="164" t="str">
        <f t="shared" ca="1" si="421"/>
        <v/>
      </c>
      <c r="CX124" s="164" t="str">
        <f t="shared" ca="1" si="421"/>
        <v/>
      </c>
      <c r="CY124" s="164" t="str">
        <f t="shared" ca="1" si="421"/>
        <v/>
      </c>
      <c r="CZ124" s="164" t="str">
        <f t="shared" ca="1" si="421"/>
        <v/>
      </c>
      <c r="DA124" s="164" t="str">
        <f t="shared" ca="1" si="421"/>
        <v/>
      </c>
      <c r="DB124" s="164" t="str">
        <f t="shared" ca="1" si="421"/>
        <v/>
      </c>
      <c r="DC124" s="164" t="str">
        <f t="shared" ca="1" si="421"/>
        <v/>
      </c>
      <c r="DD124" s="164" t="str">
        <f t="shared" ca="1" si="421"/>
        <v/>
      </c>
      <c r="DE124" s="164" t="str">
        <f t="shared" ca="1" si="421"/>
        <v/>
      </c>
      <c r="DF124" s="164" t="str">
        <f t="shared" ca="1" si="422"/>
        <v/>
      </c>
      <c r="DG124" s="164" t="str">
        <f t="shared" ca="1" si="422"/>
        <v/>
      </c>
      <c r="DH124" s="164" t="str">
        <f t="shared" ca="1" si="422"/>
        <v/>
      </c>
      <c r="DI124" s="164" t="str">
        <f t="shared" ca="1" si="422"/>
        <v/>
      </c>
      <c r="DJ124" s="164" t="str">
        <f t="shared" ca="1" si="422"/>
        <v/>
      </c>
      <c r="DK124" s="164" t="str">
        <f t="shared" ca="1" si="422"/>
        <v/>
      </c>
      <c r="DL124" s="164" t="str">
        <f t="shared" ca="1" si="422"/>
        <v/>
      </c>
      <c r="DM124" s="164" t="str">
        <f t="shared" ca="1" si="422"/>
        <v/>
      </c>
      <c r="DN124" s="164" t="str">
        <f t="shared" ca="1" si="422"/>
        <v/>
      </c>
      <c r="DO124" s="164" t="str">
        <f t="shared" ca="1" si="422"/>
        <v/>
      </c>
      <c r="DP124" s="164" t="str">
        <f t="shared" ca="1" si="422"/>
        <v/>
      </c>
      <c r="DQ124" s="164" t="str">
        <f t="shared" ca="1" si="422"/>
        <v/>
      </c>
      <c r="DR124" s="208"/>
      <c r="DS124" s="164" t="str">
        <f t="shared" ca="1" si="388"/>
        <v/>
      </c>
      <c r="DT124" s="164" t="str">
        <f t="shared" ca="1" si="389"/>
        <v/>
      </c>
      <c r="DU124" s="164" t="str">
        <f t="shared" ca="1" si="390"/>
        <v/>
      </c>
      <c r="DV124" s="164" t="str">
        <f t="shared" ca="1" si="391"/>
        <v/>
      </c>
      <c r="DW124" s="164" t="str">
        <f t="shared" ca="1" si="392"/>
        <v/>
      </c>
      <c r="DX124" s="164" t="str">
        <f t="shared" ca="1" si="393"/>
        <v/>
      </c>
      <c r="DY124" s="164" t="str">
        <f t="shared" ca="1" si="394"/>
        <v/>
      </c>
      <c r="DZ124" s="164" t="str">
        <f t="shared" ca="1" si="395"/>
        <v/>
      </c>
      <c r="EA124" s="164" t="str">
        <f t="shared" ca="1" si="396"/>
        <v/>
      </c>
      <c r="EB124" s="164" t="str">
        <f t="shared" ca="1" si="397"/>
        <v/>
      </c>
      <c r="EC124" s="164" t="str">
        <f t="shared" ca="1" si="398"/>
        <v/>
      </c>
      <c r="ED124" s="164" t="str">
        <f t="shared" ca="1" si="399"/>
        <v/>
      </c>
      <c r="EE124" s="164" t="str">
        <f t="shared" ca="1" si="400"/>
        <v/>
      </c>
      <c r="EF124" s="164" t="str">
        <f t="shared" ca="1" si="401"/>
        <v/>
      </c>
      <c r="EG124" s="164" t="str">
        <f t="shared" ca="1" si="402"/>
        <v/>
      </c>
      <c r="EH124" s="164" t="str">
        <f t="shared" ca="1" si="403"/>
        <v/>
      </c>
      <c r="EI124" s="164" t="str">
        <f t="shared" ca="1" si="404"/>
        <v/>
      </c>
      <c r="EJ124" s="164" t="str">
        <f t="shared" ca="1" si="405"/>
        <v/>
      </c>
      <c r="EK124" s="164" t="str">
        <f t="shared" ca="1" si="406"/>
        <v/>
      </c>
      <c r="EL124" s="164" t="str">
        <f t="shared" ca="1" si="407"/>
        <v/>
      </c>
      <c r="EM124" s="164" t="str">
        <f t="shared" ca="1" si="408"/>
        <v/>
      </c>
      <c r="EN124" s="164" t="str">
        <f t="shared" ca="1" si="409"/>
        <v/>
      </c>
      <c r="EO124" s="164" t="str">
        <f t="shared" ca="1" si="410"/>
        <v/>
      </c>
      <c r="EP124" s="164" t="str">
        <f t="shared" ca="1" si="411"/>
        <v/>
      </c>
      <c r="EQ124" s="164" t="str">
        <f t="shared" ca="1" si="412"/>
        <v/>
      </c>
      <c r="ER124" s="164" t="str">
        <f t="shared" ca="1" si="413"/>
        <v/>
      </c>
      <c r="ES124" s="164" t="str">
        <f t="shared" ca="1" si="414"/>
        <v/>
      </c>
    </row>
    <row r="125" spans="1:149" x14ac:dyDescent="0.2">
      <c r="A125" s="89" t="str">
        <f t="shared" ca="1" si="415"/>
        <v/>
      </c>
      <c r="B125" s="317" t="str">
        <f t="shared" ref="B125:B160" ca="1" si="423">IF(AND(MAGISCH,NOT(EXACT($A125,""))),0,"")</f>
        <v/>
      </c>
      <c r="C125" s="609" t="str">
        <f t="shared" ref="C125:C160" ca="1" si="424">IF(AND(MAGISCH,NOT(EXACT($A125,""))),$BP$4,"")</f>
        <v/>
      </c>
      <c r="D125" s="1956" t="str">
        <f t="shared" ref="D125:D160" ca="1" si="425">IF(AND(MAGISCH,NOT(EXACT($A125,""))),
CONCATENATE(IF($BR125=1,$CC125&amp;", ",""),IF($BS125=1,$CD125&amp;", ",""),IF($AF$241="","",IF(ISERROR(FIND($AF$241,$BQ125)),"",$AF$241&amp;", ")),IF($AF$242="","",IF(ISERROR(FIND($AF$242,$BQ125)),"",$AF$242&amp;", ")),IF($AF$243="","",IF(ISERROR(FIND($AF$243,$BQ125)),"",$AF$243&amp;", ")),IF($AF$244="","",IF(ISERROR(FIND($AF$244,$BQ125)),"",$AF$244&amp;", ")),IF($AF$245="","",IF(ISERROR(FIND($AF$245,$BQ125)),"",$AF$245&amp;", ")),IF($AF$246="","",IF(ISERROR(FIND($AF$246,$BQ125)),"",$AF$246&amp;", ")),IF($AF$247="","",IF(ISERROR(FIND($AF$247,$BQ125)),"",$AF$247&amp;", "))
),"")</f>
        <v/>
      </c>
      <c r="E125" s="1956"/>
      <c r="F125" s="960"/>
      <c r="G125" s="485" t="str">
        <f t="shared" ref="G125:G160" ca="1" si="426">IF(EXACT($A125,""),"",IF(VT_VRTLZBR,"F",
IF(BO125&lt;65,"A+",IF(BO125&gt;72,"H",CHAR(BO125)))))</f>
        <v/>
      </c>
      <c r="H125" s="983"/>
      <c r="I125" s="486"/>
      <c r="J125" s="326"/>
      <c r="K125" s="1886" t="str">
        <f t="shared" ref="K125:K160" ca="1" si="427">IF(AND(NOT(ISERR(FIND(A125,ZS_ZFALLE,1))),ZS_SE_VIEW,NOT(EXACT($A125,""))),"SE aus Zweitstudium",IF(ISERR(FIND($C125,$BP125)),"Falsche Repräsentation","")) &amp; IF(AND(NOT(EXACT($A125,"")),NOT(ISERR(FIND(A125,ZS_ZF_IAAK,1))),ZS_SE_VIEW),"  SE für IAAK-Studium","")
&amp;IF($M125="","",IF($M125&gt;MAX(INDIRECT(VLOOKUP($A125,ZAUBERWERTE,2,FALSE)),INDIRECT(VLOOKUP($A125,ZAUBERWERTE,3,FALSE)),INDIRECT(VLOOKUP($A125,ZAUBERWERTE,4,FALSE)))+3+BX125*2," TaW&gt; Max.EIGN.-Wert+"&amp;3+BX125*2,""))</f>
        <v/>
      </c>
      <c r="L125" s="1888"/>
      <c r="M125" s="296" t="str">
        <f t="shared" ca="1" si="307"/>
        <v/>
      </c>
      <c r="N125" s="1322"/>
      <c r="O125" s="1319"/>
      <c r="P125" s="957" t="str">
        <f t="shared" ref="P125:P156" ca="1" si="428">IF(AND(NOT(EXACT($A125,"")),NOT(EXACT($O125,""))),ROUND(IF(O125=2,3,O125)*20*HLOOKUP($G125,SKT,3,FALSE)*IF(VT_EIDGED,0.5,IF(VT_GUTGED,0.75,1)),0),"")</f>
        <v/>
      </c>
      <c r="Q125" s="164">
        <f t="shared" ref="Q125:Q160" si="429">IF(NOT(ISBLANK($F125)),
MAX(1,ROUND(IF($B125&lt;0,ABS($B125),IF($B125=0,1,0))*HLOOKUP(IF(CV125&lt;65,"A+",IF(CV125&gt;72,"H",CHAR(CV125))),SKT,3,FALSE)*IF(VT_EIDGED,IF($C125="Dru",1/3,0.5),1)*IF(VT_GUTGED,IF($C125="Dru",2/3,0.75),1),0)),0)
*IF(ISERR(FIND(";"&amp;Q$10&amp;":0;",$H125)),1,0)</f>
        <v>0</v>
      </c>
      <c r="R125" s="164">
        <f t="shared" ref="R125:R160" ca="1" si="430">IF(AND(NOT(EXACT($A125,"")),NOT(ISBLANK($F125)),IF(ISNUMBER($B125),VALUE($B125),0)&lt;R$10,SUM(IF(ISNUMBER($B125),VALUE($B125),0),$F125)&gt;=R$10,EXACT($K125,"")),
MAX(1,ROUND(HLOOKUP(IF(CW125&lt;65,"A+",IF(CW125&gt;72,"H",CHAR(CW125))),SKT,R$10+3,FALSE)*IF(VT_EIDGED,IF($C125="Dru",1/3,0.5),1)*IF(VT_GUTGED,IF($C125="Dru",2/3,0.75),1),0)),0)
*IF(ISERR(FIND(";"&amp;R$10&amp;":0;",$H125)),1,0)</f>
        <v>0</v>
      </c>
      <c r="S125" s="164">
        <f t="shared" ref="S125:S160" ca="1" si="431">IF(AND(NOT(EXACT($A125,"")),NOT(ISBLANK($F125)),IF(ISNUMBER($B125),VALUE($B125),0)&lt;S$10,SUM(IF(ISNUMBER($B125),VALUE($B125),0),$F125)&gt;=S$10,EXACT($K125,"")),
MAX(1,ROUND(HLOOKUP(IF(CX125&lt;65,"A+",IF(CX125&gt;72,"H",CHAR(CX125))),SKT,S$10+3,FALSE)*IF(VT_EIDGED,IF($C125="Dru",1/3,0.5),1)*IF(VT_GUTGED,IF($C125="Dru",2/3,0.75),1),0)),0)
*IF(ISERR(FIND(";"&amp;S$10&amp;":0;",$H125)),1,0)</f>
        <v>0</v>
      </c>
      <c r="T125" s="164">
        <f t="shared" ref="T125:T160" ca="1" si="432">IF(AND(NOT(EXACT($A125,"")),NOT(ISBLANK($F125)),IF(ISNUMBER($B125),VALUE($B125),0)&lt;T$10,SUM(IF(ISNUMBER($B125),VALUE($B125),0),$F125)&gt;=T$10,EXACT($K125,"")),
MAX(1,ROUND(HLOOKUP(IF(CY125&lt;65,"A+",IF(CY125&gt;72,"H",CHAR(CY125))),SKT,T$10+3,FALSE)*IF(VT_EIDGED,IF($C125="Dru",1/3,0.5),1)*IF(VT_GUTGED,IF($C125="Dru",2/3,0.75),1),0)),0)
*IF(ISERR(FIND(";"&amp;T$10&amp;":0;",$H125)),1,0)</f>
        <v>0</v>
      </c>
      <c r="U125" s="164">
        <f t="shared" ref="U125:U160" ca="1" si="433">IF(AND(NOT(EXACT($A125,"")),NOT(ISBLANK($F125)),IF(ISNUMBER($B125),VALUE($B125),0)&lt;U$10,SUM(IF(ISNUMBER($B125),VALUE($B125),0),$F125)&gt;=U$10,EXACT($K125,"")),
MAX(1,ROUND(HLOOKUP(IF(CZ125&lt;65,"A+",IF(CZ125&gt;72,"H",CHAR(CZ125))),SKT,U$10+3,FALSE)*IF(VT_EIDGED,IF($C125="Dru",1/3,0.5),1)*IF(VT_GUTGED,IF($C125="Dru",2/3,0.75),1),0)),0)
*IF(ISERR(FIND(";"&amp;U$10&amp;":0;",$H125)),1,0)</f>
        <v>0</v>
      </c>
      <c r="V125" s="164">
        <f t="shared" ref="V125:V160" ca="1" si="434">IF(AND(NOT(EXACT($A125,"")),NOT(ISBLANK($F125)),IF(ISNUMBER($B125),VALUE($B125),0)&lt;V$10,SUM(IF(ISNUMBER($B125),VALUE($B125),0),$F125)&gt;=V$10,EXACT($K125,"")),
MAX(1,ROUND(HLOOKUP(IF(DA125&lt;65,"A+",IF(DA125&gt;72,"H",CHAR(DA125))),SKT,V$10+3,FALSE)*IF(VT_EIDGED,IF($C125="Dru",1/3,0.5),1)*IF(VT_GUTGED,IF($C125="Dru",2/3,0.75),1),0)),0)
*IF(ISERR(FIND(";"&amp;V$10&amp;":0;",$H125)),1,0)</f>
        <v>0</v>
      </c>
      <c r="W125" s="164">
        <f t="shared" ref="W125:W160" ca="1" si="435">IF(AND(NOT(EXACT($A125,"")),NOT(ISBLANK($F125)),IF(ISNUMBER($B125),VALUE($B125),0)&lt;W$10,SUM(IF(ISNUMBER($B125),VALUE($B125),0),$F125)&gt;=W$10,EXACT($K125,"")),
MAX(1,ROUND(HLOOKUP(IF(DB125&lt;65,"A+",IF(DB125&gt;72,"H",CHAR(DB125))),SKT,W$10+3,FALSE)*IF(VT_EIDGED,IF($C125="Dru",1/3,0.5),1)*IF(VT_GUTGED,IF($C125="Dru",2/3,0.75),1),0)),0)
*IF(ISERR(FIND(";"&amp;W$10&amp;":0;",$H125)),1,0)</f>
        <v>0</v>
      </c>
      <c r="X125" s="164">
        <f t="shared" ref="X125:X160" ca="1" si="436">IF(AND(NOT(EXACT($A125,"")),NOT(ISBLANK($F125)),IF(ISNUMBER($B125),VALUE($B125),0)&lt;X$10,SUM(IF(ISNUMBER($B125),VALUE($B125),0),$F125)&gt;=X$10,EXACT($K125,"")),
MAX(1,ROUND(HLOOKUP(IF(DC125&lt;65,"A+",IF(DC125&gt;72,"H",CHAR(DC125))),SKT,X$10+3,FALSE)*IF(VT_EIDGED,IF($C125="Dru",1/3,0.5),1)*IF(VT_GUTGED,IF($C125="Dru",2/3,0.75),1),0)),0)
*IF(ISERR(FIND(";"&amp;X$10&amp;":0;",$H125)),1,0)</f>
        <v>0</v>
      </c>
      <c r="Y125" s="164">
        <f t="shared" ref="Y125:Y160" ca="1" si="437">IF(AND(NOT(EXACT($A125,"")),NOT(ISBLANK($F125)),IF(ISNUMBER($B125),VALUE($B125),0)&lt;Y$10,SUM(IF(ISNUMBER($B125),VALUE($B125),0),$F125)&gt;=Y$10,EXACT($K125,"")),
MAX(1,ROUND(HLOOKUP(IF(DD125&lt;65,"A+",IF(DD125&gt;72,"H",CHAR(DD125))),SKT,Y$10+3,FALSE)*IF(VT_EIDGED,IF($C125="Dru",1/3,0.5),1)*IF(VT_GUTGED,IF($C125="Dru",2/3,0.75),1),0)),0)
*IF(ISERR(FIND(";"&amp;Y$10&amp;":0;",$H125)),1,0)</f>
        <v>0</v>
      </c>
      <c r="Z125" s="164">
        <f t="shared" ref="Z125:Z160" ca="1" si="438">IF(AND(NOT(EXACT($A125,"")),NOT(ISBLANK($F125)),IF(ISNUMBER($B125),VALUE($B125),0)&lt;Z$10,SUM(IF(ISNUMBER($B125),VALUE($B125),0),$F125)&gt;=Z$10,EXACT($K125,"")),
MAX(1,ROUND(HLOOKUP(IF(DE125&lt;65,"A+",IF(DE125&gt;72,"H",CHAR(DE125))),SKT,Z$10+3,FALSE)*IF(VT_EIDGED,IF($C125="Dru",1/3,0.5),1)*IF(VT_GUTGED,IF($C125="Dru",2/3,0.75),1),0)),0)
*IF(ISERR(FIND(";"&amp;Z$10&amp;":0;",$H125)),1,0)</f>
        <v>0</v>
      </c>
      <c r="AA125" s="164">
        <f t="shared" ref="AA125:AA160" ca="1" si="439">IF(AND(NOT(EXACT($A125,"")),NOT(ISBLANK($F125)),IF(ISNUMBER($B125),VALUE($B125),0)&lt;AA$10,SUM(IF(ISNUMBER($B125),VALUE($B125),0),$F125)&gt;=AA$10,EXACT($K125,"")),
MAX(1,ROUND(HLOOKUP(IF(DF125&lt;65,"A+",IF(DF125&gt;72,"H",CHAR(DF125))),SKT,AA$10+3,FALSE)*IF(VT_EIDGED,IF($C125="Dru",1/3,0.5),1)*IF(VT_GUTGED,IF($C125="Dru",2/3,0.75),1),0)),0)
*IF(ISERR(FIND(";"&amp;AA$10&amp;":0;",$H125)),1,0)</f>
        <v>0</v>
      </c>
      <c r="AB125" s="164">
        <f t="shared" ref="AB125:AB160" ca="1" si="440">IF(AND(NOT(EXACT($A125,"")),NOT(ISBLANK($F125)),IF(ISNUMBER($B125),VALUE($B125),0)&lt;AB$10,SUM(IF(ISNUMBER($B125),VALUE($B125),0),$F125)&gt;=AB$10,EXACT($K125,"")),
MAX(1,ROUND(HLOOKUP(IF(DG125&lt;65,"A+",IF(DG125&gt;72,"H",CHAR(DG125))),SKT,AB$10+3,FALSE)*IF(VT_EIDGED,IF($C125="Dru",1/3,0.5),1)*IF(VT_GUTGED,IF($C125="Dru",2/3,0.75),1),0)),0)
*IF(ISERR(FIND(";"&amp;AB$10&amp;":0;",$H125)),1,0)</f>
        <v>0</v>
      </c>
      <c r="AC125" s="164">
        <f t="shared" ref="AC125:AC160" ca="1" si="441">IF(AND(NOT(EXACT($A125,"")),NOT(ISBLANK($F125)),IF(ISNUMBER($B125),VALUE($B125),0)&lt;AC$10,SUM(IF(ISNUMBER($B125),VALUE($B125),0),$F125)&gt;=AC$10,EXACT($K125,"")),
MAX(1,ROUND(HLOOKUP(IF(DH125&lt;65,"A+",IF(DH125&gt;72,"H",CHAR(DH125))),SKT,AC$10+3,FALSE)*IF(VT_EIDGED,IF($C125="Dru",1/3,0.5),1)*IF(VT_GUTGED,IF($C125="Dru",2/3,0.75),1),0)),0)
*IF(ISERR(FIND(";"&amp;AC$10&amp;":0;",$H125)),1,0)</f>
        <v>0</v>
      </c>
      <c r="AD125" s="164">
        <f t="shared" ref="AD125:AD160" ca="1" si="442">IF(AND(NOT(EXACT($A125,"")),NOT(ISBLANK($F125)),IF(ISNUMBER($B125),VALUE($B125),0)&lt;AD$10,SUM(IF(ISNUMBER($B125),VALUE($B125),0),$F125)&gt;=AD$10,EXACT($K125,"")),
MAX(1,ROUND(HLOOKUP(IF(DI125&lt;65,"A+",IF(DI125&gt;72,"H",CHAR(DI125))),SKT,AD$10+3,FALSE)*IF(VT_EIDGED,IF($C125="Dru",1/3,0.5),1)*IF(VT_GUTGED,IF($C125="Dru",2/3,0.75),1),0)),0)
*IF(ISERR(FIND(";"&amp;AD$10&amp;":0;",$H125)),1,0)</f>
        <v>0</v>
      </c>
      <c r="AE125" s="164">
        <f t="shared" ref="AE125:AE160" ca="1" si="443">IF(AND(NOT(EXACT($A125,"")),NOT(ISBLANK($F125)),IF(ISNUMBER($B125),VALUE($B125),0)&lt;AE$10,SUM(IF(ISNUMBER($B125),VALUE($B125),0),$F125)&gt;=AE$10,EXACT($K125,"")),
MAX(1,ROUND(HLOOKUP(IF(DJ125&lt;65,"A+",IF(DJ125&gt;72,"H",CHAR(DJ125))),SKT,AE$10+3,FALSE)*IF(VT_EIDGED,IF($C125="Dru",1/3,0.5),1)*IF(VT_GUTGED,IF($C125="Dru",2/3,0.75),1),0)),0)
*IF(ISERR(FIND(";"&amp;AE$10&amp;":0;",$H125)),1,0)</f>
        <v>0</v>
      </c>
      <c r="AF125" s="164">
        <f t="shared" ref="AF125:AF160" ca="1" si="444">IF(AND(NOT(EXACT($A125,"")),NOT(ISBLANK($F125)),IF(ISNUMBER($B125),VALUE($B125),0)&lt;AF$10,SUM(IF(ISNUMBER($B125),VALUE($B125),0),$F125)&gt;=AF$10,EXACT($K125,"")),
MAX(1,ROUND(HLOOKUP(IF(DK125&lt;65,"A+",IF(DK125&gt;72,"H",CHAR(DK125))),SKT,AF$10+3,FALSE)*IF(VT_EIDGED,IF($C125="Dru",1/3,0.5),1)*IF(VT_GUTGED,IF($C125="Dru",2/3,0.75),1),0)),0)
*IF(ISERR(FIND(";"&amp;AF$10&amp;":0;",$H125)),1,0)</f>
        <v>0</v>
      </c>
      <c r="AG125" s="164">
        <f t="shared" ref="AG125:AG160" ca="1" si="445">IF(AND(NOT(EXACT($A125,"")),NOT(ISBLANK($F125)),IF(ISNUMBER($B125),VALUE($B125),0)&lt;AG$10,SUM(IF(ISNUMBER($B125),VALUE($B125),0),$F125)&gt;=AG$10,EXACT($K125,"")),
MAX(1,ROUND(HLOOKUP(IF(DL125&lt;65,"A+",IF(DL125&gt;72,"H",CHAR(DL125))),SKT,AG$10+3,FALSE)*IF(VT_EIDGED,IF($C125="Dru",1/3,0.5),1)*IF(VT_GUTGED,IF($C125="Dru",2/3,0.75),1),0)),0)
*IF(ISERR(FIND(";"&amp;AG$10&amp;":0;",$H125)),1,0)</f>
        <v>0</v>
      </c>
      <c r="AH125" s="164">
        <f t="shared" ref="AH125:AH160" ca="1" si="446">IF(AND(NOT(EXACT($A125,"")),NOT(ISBLANK($F125)),IF(ISNUMBER($B125),VALUE($B125),0)&lt;AH$10,SUM(IF(ISNUMBER($B125),VALUE($B125),0),$F125)&gt;=AH$10,EXACT($K125,"")),
MAX(1,ROUND(HLOOKUP(IF(DM125&lt;65,"A+",IF(DM125&gt;72,"H",CHAR(DM125))),SKT,AH$10+3,FALSE)*IF(VT_EIDGED,IF($C125="Dru",1/3,0.5),1)*IF(VT_GUTGED,IF($C125="Dru",2/3,0.75),1),0)),0)
*IF(ISERR(FIND(";"&amp;AH$10&amp;":0;",$H125)),1,0)</f>
        <v>0</v>
      </c>
      <c r="AI125" s="164">
        <f t="shared" ref="AI125:AI160" ca="1" si="447">IF(AND(NOT(EXACT($A125,"")),NOT(ISBLANK($F125)),IF(ISNUMBER($B125),VALUE($B125),0)&lt;AI$10,SUM(IF(ISNUMBER($B125),VALUE($B125),0),$F125)&gt;=AI$10,EXACT($K125,"")),
MAX(1,ROUND(HLOOKUP(IF(DN125&lt;65,"A+",IF(DN125&gt;72,"H",CHAR(DN125))),SKT,AI$10+3,FALSE)*IF(VT_EIDGED,IF($C125="Dru",1/3,0.5),1)*IF(VT_GUTGED,IF($C125="Dru",2/3,0.75),1),0)),0)
*IF(ISERR(FIND(";"&amp;AI$10&amp;":0;",$H125)),1,0)</f>
        <v>0</v>
      </c>
      <c r="AJ125" s="164">
        <f t="shared" ref="AJ125:AJ160" ca="1" si="448">IF(AND(NOT(EXACT($A125,"")),NOT(ISBLANK($F125)),IF(ISNUMBER($B125),VALUE($B125),0)&lt;AJ$10,SUM(IF(ISNUMBER($B125),VALUE($B125),0),$F125)&gt;=AJ$10,EXACT($K125,"")),
MAX(1,ROUND(HLOOKUP(IF(DO125&lt;65,"A+",IF(DO125&gt;72,"H",CHAR(DO125))),SKT,AJ$10+3,FALSE)*IF(VT_EIDGED,IF($C125="Dru",1/3,0.5),1)*IF(VT_GUTGED,IF($C125="Dru",2/3,0.75),1),0)),0)
*IF(ISERR(FIND(";"&amp;AJ$10&amp;":0;",$H125)),1,0)</f>
        <v>0</v>
      </c>
      <c r="AK125" s="164">
        <f t="shared" ref="AK125:AK160" ca="1" si="449">IF(AND(NOT(EXACT($A125,"")),NOT(ISBLANK($F125)),IF(ISNUMBER($B125),VALUE($B125),0)&lt;AK$10,SUM(IF(ISNUMBER($B125),VALUE($B125),0),$F125)&gt;=AK$10,EXACT($K125,"")),
MAX(1,ROUND(HLOOKUP(IF(DP125&lt;65,"A+",IF(DP125&gt;72,"H",CHAR(DP125))),SKT,AK$10+3,FALSE)*IF(VT_EIDGED,IF($C125="Dru",1/3,0.5),1)*IF(VT_GUTGED,IF($C125="Dru",2/3,0.75),1),0)),0)
*IF(ISERR(FIND(";"&amp;AK$10&amp;":0;",$H125)),1,0)</f>
        <v>0</v>
      </c>
      <c r="AL125" s="164">
        <f t="shared" ref="AL125:AL160" ca="1" si="450">IF(AND(NOT(EXACT($A125,"")),NOT(ISBLANK($F125)),IF(ISNUMBER($B125),VALUE($B125),0)&lt;AL$10,SUM(IF(ISNUMBER($B125),VALUE($B125),0),$F125)&gt;=AL$10,EXACT($K125,"")),
MAX(1,ROUND(HLOOKUP(IF(DQ125&lt;65,"A+",IF(DQ125&gt;72,"H",CHAR(DQ125))),SKT,AL$10+3,FALSE)*IF(VT_EIDGED,IF($C125="Dru",1/3,0.5),1)*IF(VT_GUTGED,IF($C125="Dru",2/3,0.75),1),0)),0)
*IF(ISERR(FIND(";"&amp;AL$10&amp;":0;",$H125)),1,0)</f>
        <v>0</v>
      </c>
      <c r="AM125" s="208"/>
      <c r="AN125" s="164">
        <f t="shared" ref="AN125:AN160" si="451">IF(NOT(ISBLANK($J125)),
ROUND(
IF(SUM($B125,$F125)&lt;0,IF($J125&lt;ABS(SUM($B125,$F125)),$J125,ABS(SUM($B125,$F125))),IF($F125="",1,0))
*HLOOKUP(IF(DS125&lt;65,"A+",IF(DS125&gt;72,"H",CHAR(DS125))),SKT,3,FALSE)*5*IF(VT_EIDGED,IF($C125="Dru",1/3,0.5),1)*IF(VT_GUTGED,IF($C125="Dru",2/3,0.75),1),0),0)
*IF(ISERR(FIND(";"&amp;AN$10&amp;":0;",$H125)),1,0)</f>
        <v>0</v>
      </c>
      <c r="AO125" s="164">
        <f t="shared" ref="AO125:AO160" ca="1" si="452">IF(NOT($A125=""),IF(AND(NOT(ISBLANK($J125)),SUM(VALUE($B125),$F125)&lt;AO$10,SUM(VALUE($B125),$F125,$J125)&gt;=AO$10,EXACT($K125,"")),
MAX(1,ROUND(HLOOKUP(IF(DT125&lt;65,"A+",IF(DT125&gt;72,"H",CHAR(DT125))),SKT,AO$10+3,FALSE)*IF(VT_EIDGED,IF($C125="Dru",1/3,0.5),1)*IF(VT_GUTGED,IF($C125="Dru",2/3,0.75),1),0)),0),0)
*IF(ISERR(FIND(";"&amp;AO$10&amp;":0;",$H125)),1,0)</f>
        <v>0</v>
      </c>
      <c r="AP125" s="164">
        <f t="shared" ref="AP125:AP160" ca="1" si="453">IF(NOT($A125=""),IF(AND(NOT(ISBLANK($J125)),SUM(VALUE($B125),$F125)&lt;AP$10,SUM(VALUE($B125),$F125,$J125)&gt;=AP$10,EXACT($K125,"")),
MAX(1,ROUND(HLOOKUP(IF(DU125&lt;65,"A+",IF(DU125&gt;72,"H",CHAR(DU125))),SKT,AP$10+3,FALSE)*IF(VT_EIDGED,IF($C125="Dru",1/3,0.5),1)*IF(VT_GUTGED,IF($C125="Dru",2/3,0.75),1),0)),0),0)
*IF(ISERR(FIND(";"&amp;AP$10&amp;":0;",$H125)),1,0)</f>
        <v>0</v>
      </c>
      <c r="AQ125" s="164">
        <f t="shared" ref="AQ125:AQ160" ca="1" si="454">IF(NOT($A125=""),IF(AND(NOT(ISBLANK($J125)),SUM(VALUE($B125),$F125)&lt;AQ$10,SUM(VALUE($B125),$F125,$J125)&gt;=AQ$10,EXACT($K125,"")),
MAX(1,ROUND(HLOOKUP(IF(DV125&lt;65,"A+",IF(DV125&gt;72,"H",CHAR(DV125))),SKT,AQ$10+3,FALSE)*IF(VT_EIDGED,IF($C125="Dru",1/3,0.5),1)*IF(VT_GUTGED,IF($C125="Dru",2/3,0.75),1),0)),0),0)
*IF(ISERR(FIND(";"&amp;AQ$10&amp;":0;",$H125)),1,0)</f>
        <v>0</v>
      </c>
      <c r="AR125" s="164">
        <f t="shared" ref="AR125:AR160" ca="1" si="455">IF(NOT($A125=""),IF(AND(NOT(ISBLANK($J125)),SUM(VALUE($B125),$F125)&lt;AR$10,SUM(VALUE($B125),$F125,$J125)&gt;=AR$10,EXACT($K125,"")),
MAX(1,ROUND(HLOOKUP(IF(DW125&lt;65,"A+",IF(DW125&gt;72,"H",CHAR(DW125))),SKT,AR$10+3,FALSE)*IF(VT_EIDGED,IF($C125="Dru",1/3,0.5),1)*IF(VT_GUTGED,IF($C125="Dru",2/3,0.75),1),0)),0),0)
*IF(ISERR(FIND(";"&amp;AR$10&amp;":0;",$H125)),1,0)</f>
        <v>0</v>
      </c>
      <c r="AS125" s="164">
        <f t="shared" ref="AS125:AS160" ca="1" si="456">IF(NOT($A125=""),IF(AND(NOT(ISBLANK($J125)),SUM(VALUE($B125),$F125)&lt;AS$10,SUM(VALUE($B125),$F125,$J125)&gt;=AS$10,EXACT($K125,"")),
MAX(1,ROUND(HLOOKUP(IF(DX125&lt;65,"A+",IF(DX125&gt;72,"H",CHAR(DX125))),SKT,AS$10+3,FALSE)*IF(VT_EIDGED,IF($C125="Dru",1/3,0.5),1)*IF(VT_GUTGED,IF($C125="Dru",2/3,0.75),1),0)),0),0)
*IF(ISERR(FIND(";"&amp;AS$10&amp;":0;",$H125)),1,0)</f>
        <v>0</v>
      </c>
      <c r="AT125" s="164">
        <f t="shared" ref="AT125:AT160" ca="1" si="457">IF(NOT($A125=""),IF(AND(NOT(ISBLANK($J125)),SUM(VALUE($B125),$F125)&lt;AT$10,SUM(VALUE($B125),$F125,$J125)&gt;=AT$10,EXACT($K125,"")),
MAX(1,ROUND(HLOOKUP(IF(DY125&lt;65,"A+",IF(DY125&gt;72,"H",CHAR(DY125))),SKT,AT$10+3,FALSE)*IF(VT_EIDGED,IF($C125="Dru",1/3,0.5),1)*IF(VT_GUTGED,IF($C125="Dru",2/3,0.75),1),0)),0),0)
*IF(ISERR(FIND(";"&amp;AT$10&amp;":0;",$H125)),1,0)</f>
        <v>0</v>
      </c>
      <c r="AU125" s="164">
        <f t="shared" ref="AU125:AU160" ca="1" si="458">IF(NOT($A125=""),IF(AND(NOT(ISBLANK($J125)),SUM(VALUE($B125),$F125)&lt;AU$10,SUM(VALUE($B125),$F125,$J125)&gt;=AU$10,EXACT($K125,"")),
MAX(1,ROUND(HLOOKUP(IF(DZ125&lt;65,"A+",IF(DZ125&gt;72,"H",CHAR(DZ125))),SKT,AU$10+3,FALSE)*IF(VT_EIDGED,IF($C125="Dru",1/3,0.5),1)*IF(VT_GUTGED,IF($C125="Dru",2/3,0.75),1),0)),0),0)
*IF(ISERR(FIND(";"&amp;AU$10&amp;":0;",$H125)),1,0)</f>
        <v>0</v>
      </c>
      <c r="AV125" s="164">
        <f t="shared" ref="AV125:AV160" ca="1" si="459">IF(NOT($A125=""),IF(AND(NOT(ISBLANK($J125)),SUM(VALUE($B125),$F125)&lt;AV$10,SUM(VALUE($B125),$F125,$J125)&gt;=AV$10,EXACT($K125,"")),
MAX(1,ROUND(HLOOKUP(IF(EA125&lt;65,"A+",IF(EA125&gt;72,"H",CHAR(EA125))),SKT,AV$10+3,FALSE)*IF(VT_EIDGED,IF($C125="Dru",1/3,0.5),1)*IF(VT_GUTGED,IF($C125="Dru",2/3,0.75),1),0)),0),0)
*IF(ISERR(FIND(";"&amp;AV$10&amp;":0;",$H125)),1,0)</f>
        <v>0</v>
      </c>
      <c r="AW125" s="164">
        <f t="shared" ref="AW125:AW160" ca="1" si="460">IF(NOT($A125=""),IF(AND(NOT(ISBLANK($J125)),SUM(VALUE($B125),$F125)&lt;AW$10,SUM(VALUE($B125),$F125,$J125)&gt;=AW$10,EXACT($K125,"")),
MAX(1,ROUND(HLOOKUP(IF(EB125&lt;65,"A+",IF(EB125&gt;72,"H",CHAR(EB125))),SKT,AW$10+3,FALSE)*IF(VT_EIDGED,IF($C125="Dru",1/3,0.5),1)*IF(VT_GUTGED,IF($C125="Dru",2/3,0.75),1),0)),0),0)
*IF(ISERR(FIND(";"&amp;AW$10&amp;":0;",$H125)),1,0)</f>
        <v>0</v>
      </c>
      <c r="AX125" s="164">
        <f t="shared" ref="AX125:AX160" ca="1" si="461">IF(NOT($A125=""),IF(AND(NOT(ISBLANK($J125)),SUM(VALUE($B125),$F125)&lt;AX$10,SUM(VALUE($B125),$F125,$J125)&gt;=AX$10,EXACT($K125,"")),
MAX(1,ROUND(HLOOKUP(IF(EC125&lt;65,"A+",IF(EC125&gt;72,"H",CHAR(EC125))),SKT,AX$10+3,FALSE)*IF(VT_EIDGED,IF($C125="Dru",1/3,0.5),1)*IF(VT_GUTGED,IF($C125="Dru",2/3,0.75),1),0)),0),0)
*IF(ISERR(FIND(";"&amp;AX$10&amp;":0;",$H125)),1,0)</f>
        <v>0</v>
      </c>
      <c r="AY125" s="164">
        <f t="shared" ref="AY125:AY160" ca="1" si="462">IF(NOT($A125=""),IF(AND(NOT(ISBLANK($J125)),SUM(VALUE($B125),$F125)&lt;AY$10,SUM(VALUE($B125),$F125,$J125)&gt;=AY$10,EXACT($K125,"")),
MAX(1,ROUND(HLOOKUP(IF(ED125&lt;65,"A+",IF(ED125&gt;72,"H",CHAR(ED125))),SKT,AY$10+3,FALSE)*IF(VT_EIDGED,IF($C125="Dru",1/3,0.5),1)*IF(VT_GUTGED,IF($C125="Dru",2/3,0.75),1),0)),0),0)
*IF(ISERR(FIND(";"&amp;AY$10&amp;":0;",$H125)),1,0)</f>
        <v>0</v>
      </c>
      <c r="AZ125" s="164">
        <f t="shared" ref="AZ125:AZ160" ca="1" si="463">IF(NOT($A125=""),IF(AND(NOT(ISBLANK($J125)),SUM(VALUE($B125),$F125)&lt;AZ$10,SUM(VALUE($B125),$F125,$J125)&gt;=AZ$10,EXACT($K125,"")),
MAX(1,ROUND(HLOOKUP(IF(EE125&lt;65,"A+",IF(EE125&gt;72,"H",CHAR(EE125))),SKT,AZ$10+3,FALSE)*IF(VT_EIDGED,IF($C125="Dru",1/3,0.5),1)*IF(VT_GUTGED,IF($C125="Dru",2/3,0.75),1),0)),0),0)
*IF(ISERR(FIND(";"&amp;AZ$10&amp;":0;",$H125)),1,0)</f>
        <v>0</v>
      </c>
      <c r="BA125" s="164">
        <f t="shared" ref="BA125:BA160" ca="1" si="464">IF(NOT($A125=""),IF(AND(NOT(ISBLANK($J125)),SUM(VALUE($B125),$F125)&lt;BA$10,SUM(VALUE($B125),$F125,$J125)&gt;=BA$10,EXACT($K125,"")),
MAX(1,ROUND(HLOOKUP(IF(EF125&lt;65,"A+",IF(EF125&gt;72,"H",CHAR(EF125))),SKT,BA$10+3,FALSE)*IF(VT_EIDGED,IF($C125="Dru",1/3,0.5),1)*IF(VT_GUTGED,IF($C125="Dru",2/3,0.75),1),0)),0),0)
*IF(ISERR(FIND(";"&amp;BA$10&amp;":0;",$H125)),1,0)</f>
        <v>0</v>
      </c>
      <c r="BB125" s="164">
        <f t="shared" ref="BB125:BB160" ca="1" si="465">IF(NOT($A125=""),IF(AND(NOT(ISBLANK($J125)),SUM(VALUE($B125),$F125)&lt;BB$10,SUM(VALUE($B125),$F125,$J125)&gt;=BB$10,EXACT($K125,"")),
MAX(1,ROUND(HLOOKUP(IF(EG125&lt;65,"A+",IF(EG125&gt;72,"H",CHAR(EG125))),SKT,BB$10+3,FALSE)*IF(VT_EIDGED,IF($C125="Dru",1/3,0.5),1)*IF(VT_GUTGED,IF($C125="Dru",2/3,0.75),1),0)),0),0)
*IF(ISERR(FIND(";"&amp;BB$10&amp;":0;",$H125)),1,0)</f>
        <v>0</v>
      </c>
      <c r="BC125" s="164">
        <f t="shared" ref="BC125:BC160" ca="1" si="466">IF(NOT($A125=""),IF(AND(NOT(ISBLANK($J125)),SUM(VALUE($B125),$F125)&lt;BC$10,SUM(VALUE($B125),$F125,$J125)&gt;=BC$10,EXACT($K125,"")),
MAX(1,ROUND(HLOOKUP(IF(EH125&lt;65,"A+",IF(EH125&gt;72,"H",CHAR(EH125))),SKT,BC$10+3,FALSE)*IF(VT_EIDGED,IF($C125="Dru",1/3,0.5),1)*IF(VT_GUTGED,IF($C125="Dru",2/3,0.75),1),0)),0),0)
*IF(ISERR(FIND(";"&amp;BC$10&amp;":0;",$H125)),1,0)</f>
        <v>0</v>
      </c>
      <c r="BD125" s="164">
        <f t="shared" ref="BD125:BD160" ca="1" si="467">IF(NOT($A125=""),IF(AND(NOT(ISBLANK($J125)),SUM(VALUE($B125),$F125)&lt;BD$10,SUM(VALUE($B125),$F125,$J125)&gt;=BD$10,EXACT($K125,"")),
MAX(1,ROUND(HLOOKUP(IF(EI125&lt;65,"A+",IF(EI125&gt;72,"H",CHAR(EI125))),SKT,BD$10+3,FALSE)*IF(VT_EIDGED,IF($C125="Dru",1/3,0.5),1)*IF(VT_GUTGED,IF($C125="Dru",2/3,0.75),1),0)),0),0)
*IF(ISERR(FIND(";"&amp;BD$10&amp;":0;",$H125)),1,0)</f>
        <v>0</v>
      </c>
      <c r="BE125" s="164">
        <f t="shared" ref="BE125:BE160" ca="1" si="468">IF(NOT($A125=""),IF(AND(NOT(ISBLANK($J125)),SUM(VALUE($B125),$F125)&lt;BE$10,SUM(VALUE($B125),$F125,$J125)&gt;=BE$10,EXACT($K125,"")),
MAX(1,ROUND(HLOOKUP(IF(EJ125&lt;65,"A+",IF(EJ125&gt;72,"H",CHAR(EJ125))),SKT,BE$10+3,FALSE)*IF(VT_EIDGED,IF($C125="Dru",1/3,0.5),1)*IF(VT_GUTGED,IF($C125="Dru",2/3,0.75),1),0)),0),0)
*IF(ISERR(FIND(";"&amp;BE$10&amp;":0;",$H125)),1,0)</f>
        <v>0</v>
      </c>
      <c r="BF125" s="164">
        <f t="shared" ref="BF125:BF160" ca="1" si="469">IF(NOT($A125=""),IF(AND(NOT(ISBLANK($J125)),SUM(VALUE($B125),$F125)&lt;BF$10,SUM(VALUE($B125),$F125,$J125)&gt;=BF$10,EXACT($K125,"")),
MAX(1,ROUND(HLOOKUP(IF(EK125&lt;65,"A+",IF(EK125&gt;72,"H",CHAR(EK125))),SKT,BF$10+3,FALSE)*IF(VT_EIDGED,IF($C125="Dru",1/3,0.5),1)*IF(VT_GUTGED,IF($C125="Dru",2/3,0.75),1),0)),0),0)
*IF(ISERR(FIND(";"&amp;BF$10&amp;":0;",$H125)),1,0)</f>
        <v>0</v>
      </c>
      <c r="BG125" s="164">
        <f t="shared" ref="BG125:BG160" ca="1" si="470">IF(NOT($A125=""),IF(AND(NOT(ISBLANK($J125)),SUM(VALUE($B125),$F125)&lt;BG$10,SUM(VALUE($B125),$F125,$J125)&gt;=BG$10,EXACT($K125,"")),
MAX(1,ROUND(HLOOKUP(IF(EL125&lt;65,"A+",IF(EL125&gt;72,"H",CHAR(EL125))),SKT,BG$10+3,FALSE)*IF(VT_EIDGED,IF($C125="Dru",1/3,0.5),1)*IF(VT_GUTGED,IF($C125="Dru",2/3,0.75),1),0)),0),0)
*IF(ISERR(FIND(";"&amp;BG$10&amp;":0;",$H125)),1,0)</f>
        <v>0</v>
      </c>
      <c r="BH125" s="164">
        <f t="shared" ref="BH125:BH160" ca="1" si="471">IF(NOT($A125=""),IF(AND(NOT(ISBLANK($J125)),SUM(VALUE($B125),$F125)&lt;BH$10,SUM(VALUE($B125),$F125,$J125)&gt;=BH$10,EXACT($K125,"")),
MAX(1,ROUND(HLOOKUP(IF(EM125&lt;65,"A+",IF(EM125&gt;72,"H",CHAR(EM125))),SKT,BH$10+3,FALSE)*IF(VT_EIDGED,IF($C125="Dru",1/3,0.5),1)*IF(VT_GUTGED,IF($C125="Dru",2/3,0.75),1),0)),0),0)
*IF(ISERR(FIND(";"&amp;BH$10&amp;":0;",$H125)),1,0)</f>
        <v>0</v>
      </c>
      <c r="BI125" s="164">
        <f t="shared" ref="BI125:BI160" ca="1" si="472">IF(NOT($A125=""),IF(AND(NOT(ISBLANK($J125)),SUM(VALUE($B125),$F125)&lt;BI$10,SUM(VALUE($B125),$F125,$J125)&gt;=BI$10,EXACT($K125,"")),
MAX(1,ROUND(HLOOKUP(IF(EN125&lt;65,"A+",IF(EN125&gt;72,"H",CHAR(EN125))),SKT,BI$10+3,FALSE)*IF(VT_EIDGED,IF($C125="Dru",1/3,0.5),1)*IF(VT_GUTGED,IF($C125="Dru",2/3,0.75),1),0)),0),0)
*IF(ISERR(FIND(";"&amp;BI$10&amp;":0;",$H125)),1,0)</f>
        <v>0</v>
      </c>
      <c r="BJ125" s="164">
        <f t="shared" ref="BJ125:BJ160" ca="1" si="473">IF(NOT($A125=""),IF(AND(NOT(ISBLANK($J125)),SUM(VALUE($B125),$F125)&lt;BJ$10,SUM(VALUE($B125),$F125,$J125)&gt;=BJ$10,EXACT($K125,"")),
MAX(1,ROUND(HLOOKUP(IF(EO125&lt;65,"A+",IF(EO125&gt;72,"H",CHAR(EO125))),SKT,BJ$10+3,FALSE)*IF(VT_EIDGED,IF($C125="Dru",1/3,0.5),1)*IF(VT_GUTGED,IF($C125="Dru",2/3,0.75),1),0)),0),0)
*IF(ISERR(FIND(";"&amp;BJ$10&amp;":0;",$H125)),1,0)</f>
        <v>0</v>
      </c>
      <c r="BK125" s="164">
        <f t="shared" ref="BK125:BK160" ca="1" si="474">IF(NOT($A125=""),IF(AND(NOT(ISBLANK($J125)),SUM(VALUE($B125),$F125)&lt;BK$10,SUM(VALUE($B125),$F125,$J125)&gt;=BK$10,EXACT($K125,"")),
MAX(1,ROUND(HLOOKUP(IF(EP125&lt;65,"A+",IF(EP125&gt;72,"H",CHAR(EP125))),SKT,BK$10+3,FALSE)*IF(VT_EIDGED,IF($C125="Dru",1/3,0.5),1)*IF(VT_GUTGED,IF($C125="Dru",2/3,0.75),1),0)),0),0)
*IF(ISERR(FIND(";"&amp;BK$10&amp;":0;",$H125)),1,0)</f>
        <v>0</v>
      </c>
      <c r="BL125" s="164">
        <f t="shared" ref="BL125:BL160" ca="1" si="475">IF(NOT($A125=""),IF(AND(NOT(ISBLANK($J125)),SUM(VALUE($B125),$F125)&lt;BL$10,SUM(VALUE($B125),$F125,$J125)&gt;=BL$10,EXACT($K125,"")),
MAX(1,ROUND(HLOOKUP(IF(EQ125&lt;65,"A+",IF(EQ125&gt;72,"H",CHAR(EQ125))),SKT,BL$10+3,FALSE)*IF(VT_EIDGED,IF($C125="Dru",1/3,0.5),1)*IF(VT_GUTGED,IF($C125="Dru",2/3,0.75),1),0)),0),0)
*IF(ISERR(FIND(";"&amp;BL$10&amp;":0;",$H125)),1,0)</f>
        <v>0</v>
      </c>
      <c r="BM125" s="164">
        <f t="shared" ref="BM125:BM160" ca="1" si="476">IF(NOT($A125=""),IF(AND(NOT(ISBLANK($J125)),SUM(VALUE($B125),$F125)&lt;BM$10,SUM(VALUE($B125),$F125,$J125)&gt;=BM$10,EXACT($K125,"")),
MAX(1,ROUND(HLOOKUP(IF(ER125&lt;65,"A+",IF(ER125&gt;72,"H",CHAR(ER125))),SKT,BM$10+3,FALSE)*IF(VT_EIDGED,IF($C125="Dru",1/3,0.5),1)*IF(VT_GUTGED,IF($C125="Dru",2/3,0.75),1),0)),0),0)
*IF(ISERR(FIND(";"&amp;BM$10&amp;":0;",$H125)),1,0)</f>
        <v>0</v>
      </c>
      <c r="BN125" s="164">
        <f t="shared" ref="BN125:BN160" ca="1" si="477">IF(NOT($A125=""),IF(AND(NOT(ISBLANK($J125)),SUM(VALUE($B125),$F125)&lt;BN$10,SUM(VALUE($B125),$F125,$J125)&gt;=BN$10,EXACT($K125,"")),
MAX(1,ROUND(HLOOKUP(IF(ES125&lt;65,"A+",IF(ES125&gt;72,"H",CHAR(ES125))),SKT,BN$10+3,FALSE)*IF(VT_EIDGED,IF($C125="Dru",1/3,0.5),1)*IF(VT_GUTGED,IF($C125="Dru",2/3,0.75),1),0)),0),0)
*IF(ISERR(FIND(";"&amp;BN$10&amp;":0;",$H125)),1,0)</f>
        <v>0</v>
      </c>
      <c r="BO125" s="356" t="str">
        <f t="shared" ref="BO125:BO160" ca="1" si="478">IF($A125="","",CODE(VLOOKUP($A125,ZAUBERWERTE,10,FALSE))-
SUM($BR125:$CA125,
IF(NOT(EXACT($AF$241,"")),(LEN($BQ125)-LEN(SUBSTITUTE($BQ125,$AF$241,"")))/LEN($AF$241),0),
IF(NOT(EXACT($AF$242,"")),(LEN($BQ125)-LEN(SUBSTITUTE($BQ125,$AF$242,"")))/LEN($AF$242),0),
IF(NOT(EXACT($AF$243,"")),(LEN($BQ125)-LEN(SUBSTITUTE($BQ125,$AF$243,"")))/LEN($AF$243),0),
IF(NOT(EXACT($AF$244,"")),(LEN($BQ125)-LEN(SUBSTITUTE($BQ125,$AF$244,"")))/LEN($AF$244),0),
IF(NOT(EXACT($AF$245,"")),(LEN($BQ125)-LEN(SUBSTITUTE($BQ125,$AF$245,"")))/LEN($AF$245),0),
IF(NOT(EXACT($AF$246,"")),(LEN($BQ125)-LEN(SUBSTITUTE($BQ125,$AF$246,"")))/LEN($AF$246),0),
IF(NOT(EXACT($AF$247,"")),(LEN($BQ125)-LEN(SUBSTITUTE($BQ125,$AF$247,"")))/LEN($AF$247),0)))</f>
        <v/>
      </c>
      <c r="BP125" s="355" t="str">
        <f t="shared" ca="1" si="380"/>
        <v/>
      </c>
      <c r="BQ125" s="355" t="str">
        <f t="shared" ca="1" si="381"/>
        <v/>
      </c>
      <c r="BR125" s="348">
        <f t="shared" ca="1" si="312"/>
        <v>0</v>
      </c>
      <c r="BS125" s="348">
        <f t="shared" ca="1" si="313"/>
        <v>0</v>
      </c>
      <c r="BT125" s="610">
        <f t="shared" ref="BT125:BT160" ca="1" si="479">IF(ISERR(FIND($C125,CONCATENATE($BP$4,$BP$5,$A$237,$A$238))),
IF($BP$4="Sch",IF($C125="Srl",-2,-3),
IF($BP$4="Srl",IF($C125="Mag",-1,-2),
IF($C125="Sch",-3,-2))),
0)</f>
        <v>0</v>
      </c>
      <c r="BU125" s="357">
        <f t="shared" ca="1" si="383"/>
        <v>0</v>
      </c>
      <c r="BV125" s="357">
        <f t="shared" ref="BV125:BV160" si="480">IF(NT_ELFWELT,IF(CB125="L",0,-1),0)</f>
        <v>0</v>
      </c>
      <c r="BW125" s="357">
        <f t="shared" ref="BW125:BW160" si="481">SUM(IF(NT_ANIMALMAGIE,IF(NOT(ISNA(VLOOKUP(A125,ZAUBERWERTE,2,FALSE))),IF(SUM(IF(VLOOKUP(A125,ZAUBERWERTE,2,FALSE)="KL",1,0),IF(VLOOKUP(A125,ZAUBERWERTE,3,FALSE)="KL",1,0),IF(VLOOKUP(A125,ZAUBERWERTE,4,FALSE)="KL",1,0))&gt;1,-1,0),0),0),
IF(NT_FESTDENKEN,IF(NOT(ISNA(VLOOKUP(A125,ZAUBERWERTE,2,FALSE))),IF(SUM(IF(VLOOKUP(A125,ZAUBERWERTE,2,FALSE)="IN",1,0),IF(VLOOKUP(A125,ZAUBERWERTE,3,FALSE)="IN",1,0),IF(VLOOKUP(A125,ZAUBERWERTE,4,FALSE)="IN",1,0))&gt;1,-1,0),0),0),
IF(NT_SCHWACHAUS,IF(NOT(ISNA(VLOOKUP(A125,ZAUBERWERTE,2,FALSE))),IF(SUM(IF(VLOOKUP(A125,ZAUBERWERTE,2,FALSE)="CH",1,0),IF(VLOOKUP(A125,ZAUBERWERTE,3,FALSE)="CH",1,0),IF(VLOOKUP(A125,ZAUBERWERTE,4,FALSE)="CH",1,0))&gt;1,-1,0),0),0),
IF(NT_ZOEGZAUBERER,IF(NOT(ISNA(VLOOKUP(A125,ZAUBERWERTE,2,FALSE))),IF(SUM(IF(VLOOKUP(A125,ZAUBERWERTE,2,FALSE)="MU",1,0),IF(VLOOKUP(A125,ZAUBERWERTE,3,FALSE)="MU",1,0),IF(VLOOKUP(A125,ZAUBERWERTE,4,FALSE)="MU",1,0))&gt;1,-1,0),0),0))</f>
        <v>0</v>
      </c>
      <c r="BX125" s="357">
        <f t="shared" ref="BX125:BX160" ca="1" si="482">IF($BY125&gt;0,0,IF(OR(AND(NOT(EXACT($T$6,"")),EXACT($A125,$T$6)),AND(NOT(EXACT($T$7,"")),EXACT($A125,$T$7)),AND(NOT(EXACT($T$8,"")),EXACT($A125,$T$8))),1,0))</f>
        <v>0</v>
      </c>
      <c r="BY125" s="357">
        <f t="shared" ca="1" si="316"/>
        <v>0</v>
      </c>
      <c r="BZ125" s="357"/>
      <c r="CA125" s="357">
        <f t="shared" ca="1" si="314"/>
        <v>0</v>
      </c>
      <c r="CB125" s="357" t="str">
        <f t="shared" ref="CB125:CB160" ca="1" si="483">IF(A125="","",IF(ISERROR(FIND(A125,ZAUBER_ELF_LEIT,1)),
IF(ISERROR(VLOOKUP(A125,ZAUBER_START_NEU,4,FALSE)="L"),"",IF(VLOOKUP(A125,ZAUBER_START_NEU,4,FALSE)="L","L","")),"L"))</f>
        <v/>
      </c>
      <c r="CC125" s="358" t="str">
        <f t="shared" ca="1" si="317"/>
        <v/>
      </c>
      <c r="CD125" s="358" t="str">
        <f t="shared" ca="1" si="318"/>
        <v/>
      </c>
      <c r="CE125" s="357" t="str">
        <f t="shared" ca="1" si="416"/>
        <v>,,,,,,,,,,,,,,,,,,,,,,,,,,,,,,,,,,,,,,,,,,,,,,,,,,,,,,,,,,,,,,,,,</v>
      </c>
      <c r="CF125" s="154" t="str">
        <f t="shared" si="315"/>
        <v/>
      </c>
      <c r="CG125" s="154">
        <f t="shared" ca="1" si="319"/>
        <v>0</v>
      </c>
      <c r="CH125" s="154"/>
      <c r="CI125" s="154"/>
      <c r="CJ125" s="154"/>
      <c r="CK125" s="154"/>
      <c r="CL125" s="154"/>
      <c r="CM125" s="154"/>
      <c r="CN125" t="s">
        <v>784</v>
      </c>
      <c r="CO125" s="169"/>
      <c r="CP125" s="169"/>
      <c r="CQ125" s="169"/>
      <c r="CR125" s="169"/>
      <c r="CS125" s="169"/>
      <c r="CT125" s="169"/>
      <c r="CU125" s="169"/>
      <c r="CV125" s="164" t="str">
        <f t="shared" ca="1" si="421"/>
        <v/>
      </c>
      <c r="CW125" s="164" t="str">
        <f t="shared" ca="1" si="421"/>
        <v/>
      </c>
      <c r="CX125" s="164" t="str">
        <f t="shared" ca="1" si="421"/>
        <v/>
      </c>
      <c r="CY125" s="164" t="str">
        <f t="shared" ca="1" si="421"/>
        <v/>
      </c>
      <c r="CZ125" s="164" t="str">
        <f t="shared" ca="1" si="421"/>
        <v/>
      </c>
      <c r="DA125" s="164" t="str">
        <f t="shared" ca="1" si="421"/>
        <v/>
      </c>
      <c r="DB125" s="164" t="str">
        <f t="shared" ca="1" si="421"/>
        <v/>
      </c>
      <c r="DC125" s="164" t="str">
        <f t="shared" ca="1" si="421"/>
        <v/>
      </c>
      <c r="DD125" s="164" t="str">
        <f t="shared" ca="1" si="421"/>
        <v/>
      </c>
      <c r="DE125" s="164" t="str">
        <f t="shared" ca="1" si="421"/>
        <v/>
      </c>
      <c r="DF125" s="164" t="str">
        <f t="shared" ca="1" si="422"/>
        <v/>
      </c>
      <c r="DG125" s="164" t="str">
        <f t="shared" ca="1" si="422"/>
        <v/>
      </c>
      <c r="DH125" s="164" t="str">
        <f t="shared" ca="1" si="422"/>
        <v/>
      </c>
      <c r="DI125" s="164" t="str">
        <f t="shared" ca="1" si="422"/>
        <v/>
      </c>
      <c r="DJ125" s="164" t="str">
        <f t="shared" ca="1" si="422"/>
        <v/>
      </c>
      <c r="DK125" s="164" t="str">
        <f t="shared" ca="1" si="422"/>
        <v/>
      </c>
      <c r="DL125" s="164" t="str">
        <f t="shared" ca="1" si="422"/>
        <v/>
      </c>
      <c r="DM125" s="164" t="str">
        <f t="shared" ca="1" si="422"/>
        <v/>
      </c>
      <c r="DN125" s="164" t="str">
        <f t="shared" ca="1" si="422"/>
        <v/>
      </c>
      <c r="DO125" s="164" t="str">
        <f t="shared" ca="1" si="422"/>
        <v/>
      </c>
      <c r="DP125" s="164" t="str">
        <f t="shared" ca="1" si="422"/>
        <v/>
      </c>
      <c r="DQ125" s="164" t="str">
        <f t="shared" ca="1" si="422"/>
        <v/>
      </c>
      <c r="DR125" s="208"/>
      <c r="DS125" s="164" t="str">
        <f t="shared" ref="DS125:DS160" ca="1" si="484">IF($A125="","",IF(VT_VRTLZBR,CODE("F")+1,CODE(VLOOKUP($A125,ZAUBERWERTE,10,FALSE)))-
SUM($BR125:$CA125,
IF(ISERR(FIND(";"&amp;DS$10&amp;";",$H125)),0,1),
IF(ISERR(FIND(";"&amp;DS$10&amp;":",$H125)),0,VALUE(MID($H125,FIND(";"&amp;DS$10&amp;":",$H125)+LEN(DS$10)+2,1))),
IF(ISERR(FIND(";"&amp;DS$10&amp;"+",$H125)),0,-VALUE(MID($H125,FIND(";"&amp;DS$10&amp;"+",$H125)+LEN(DS$10)+2,1))),
IF(AND(NT_Unstet,VLOOKUP($A125,ZAUBERWERTE,10,FALSE)&gt;="C"),-1,0),
IF(AND(NOT(EXACT($AF$241,"")),OR(CV$10&gt;$CO125,ISBLANK($CO125))),IF($CV$3,IF(ISERROR(FIND($AF$241,$BQ125)),0,1),(LEN($BQ125)-LEN(SUBSTITUTE($BQ125,$AF$241,"")))/LEN($AF$241)),0),
IF(AND(NOT(EXACT($AF$242,"")),OR(CV$10&gt;$CP125,ISBLANK($CP125))),IF($CV$3,IF(ISERROR(FIND($AF$242,$BQ125)),0,1),(LEN($BQ125)-LEN(SUBSTITUTE($BQ125,$AF$242,"")))/LEN($AF$242)),0),
IF(AND(NOT(EXACT($AF$243,"")),OR(CV$10&gt;$CQ125,ISBLANK($CQ125))),IF($CV$3,IF(ISERROR(FIND($AF$243,$BQ125)),0,1),(LEN($BQ125)-LEN(SUBSTITUTE($BQ125,$AF$243,"")))/LEN($AF$243)),0),
IF(AND(NOT(EXACT($AF$244,"")),OR(CV$10&gt;$CR125,ISBLANK($CR125))),IF($CV$3,IF(ISERROR(FIND($AF$244,$BQ125)),0,1),(LEN($BQ125)-LEN(SUBSTITUTE($BQ125,$AF$244,"")))/LEN($AF$244)),0),
IF(AND(NOT(EXACT($AF$245,"")),OR(CV$10&gt;$CS125,ISBLANK($CS125))),IF($CV$3,IF(ISERROR(FIND($AF$245,$BQ125)),0,1),(LEN($BQ125)-LEN(SUBSTITUTE($BQ125,$AF$245,"")))/LEN($AF$245)),0),
IF(AND(NOT(EXACT($AF$246,"")),OR(CV$10&gt;$CT125,ISBLANK($CT125))),IF($CV$3,IF(ISERROR(FIND($AF$246,$BQ125)),0,1),(LEN($BQ125)-LEN(SUBSTITUTE($BQ125,$AF$246,"")))/LEN($AF$246)),0),
IF(AND(NOT(EXACT($AF$247,"")),OR(CV$10&gt;$CU125,ISBLANK($CU125))),IF($CV$3,IF(ISERROR(FIND($AF$247,$BQ125)),0,1),(LEN($BQ125)-LEN(SUBSTITUTE($BQ125,$AF$247,"")))/LEN($AF$247)),0)
))</f>
        <v/>
      </c>
      <c r="DT125" s="164" t="str">
        <f t="shared" ref="DT125:DT160" ca="1" si="485">IF($A125="","",IF(VT_VRTLZBR,CODE("F")+1,CODE(VLOOKUP($A125,ZAUBERWERTE,10,FALSE)))-
SUM($BR125:$CA125,
IF(ISERR(FIND(";"&amp;DT$10&amp;";",$H125)),0,1),
IF(ISERR(FIND(";"&amp;DT$10&amp;":",$H125)),0,VALUE(MID($H125,FIND(";"&amp;DT$10&amp;":",$H125)+LEN(DT$10)+2,1))),
IF(ISERR(FIND(";"&amp;DT$10&amp;"+",$H125)),0,-VALUE(MID($H125,FIND(";"&amp;DT$10&amp;"+",$H125)+LEN(DT$10)+2,1))),
IF(AND(NT_Unstet,VLOOKUP($A125,ZAUBERWERTE,10,FALSE)&gt;="C"),-1,0),
IF(AND(NOT(EXACT($AF$241,"")),OR(CW$10&gt;$CO125,ISBLANK($CO125))),IF($CV$3,IF(ISERROR(FIND($AF$241,$BQ125)),0,1),(LEN($BQ125)-LEN(SUBSTITUTE($BQ125,$AF$241,"")))/LEN($AF$241)),0),
IF(AND(NOT(EXACT($AF$242,"")),OR(CW$10&gt;$CP125,ISBLANK($CP125))),IF($CV$3,IF(ISERROR(FIND($AF$242,$BQ125)),0,1),(LEN($BQ125)-LEN(SUBSTITUTE($BQ125,$AF$242,"")))/LEN($AF$242)),0),
IF(AND(NOT(EXACT($AF$243,"")),OR(CW$10&gt;$CQ125,ISBLANK($CQ125))),IF($CV$3,IF(ISERROR(FIND($AF$243,$BQ125)),0,1),(LEN($BQ125)-LEN(SUBSTITUTE($BQ125,$AF$243,"")))/LEN($AF$243)),0),
IF(AND(NOT(EXACT($AF$244,"")),OR(CW$10&gt;$CR125,ISBLANK($CR125))),IF($CV$3,IF(ISERROR(FIND($AF$244,$BQ125)),0,1),(LEN($BQ125)-LEN(SUBSTITUTE($BQ125,$AF$244,"")))/LEN($AF$244)),0),
IF(AND(NOT(EXACT($AF$245,"")),OR(CW$10&gt;$CS125,ISBLANK($CS125))),IF($CV$3,IF(ISERROR(FIND($AF$245,$BQ125)),0,1),(LEN($BQ125)-LEN(SUBSTITUTE($BQ125,$AF$245,"")))/LEN($AF$245)),0),
IF(AND(NOT(EXACT($AF$246,"")),OR(CW$10&gt;$CT125,ISBLANK($CT125))),IF($CV$3,IF(ISERROR(FIND($AF$246,$BQ125)),0,1),(LEN($BQ125)-LEN(SUBSTITUTE($BQ125,$AF$246,"")))/LEN($AF$246)),0),
IF(AND(NOT(EXACT($AF$247,"")),OR(CW$10&gt;$CU125,ISBLANK($CU125))),IF($CV$3,IF(ISERROR(FIND($AF$247,$BQ125)),0,1),(LEN($BQ125)-LEN(SUBSTITUTE($BQ125,$AF$247,"")))/LEN($AF$247)),0)
))</f>
        <v/>
      </c>
      <c r="DU125" s="164" t="str">
        <f t="shared" ref="DU125:DU160" ca="1" si="486">IF($A125="","",IF(VT_VRTLZBR,CODE("F")+1,CODE(VLOOKUP($A125,ZAUBERWERTE,10,FALSE)))-
SUM($BR125:$CA125,
IF(ISERR(FIND(";"&amp;DU$10&amp;";",$H125)),0,1),
IF(ISERR(FIND(";"&amp;DU$10&amp;":",$H125)),0,VALUE(MID($H125,FIND(";"&amp;DU$10&amp;":",$H125)+LEN(DU$10)+2,1))),
IF(ISERR(FIND(";"&amp;DU$10&amp;"+",$H125)),0,-VALUE(MID($H125,FIND(";"&amp;DU$10&amp;"+",$H125)+LEN(DU$10)+2,1))),
IF(AND(NT_Unstet,VLOOKUP($A125,ZAUBERWERTE,10,FALSE)&gt;="C"),-1,0),
IF(AND(NOT(EXACT($AF$241,"")),OR(CX$10&gt;$CO125,ISBLANK($CO125))),IF($CV$3,IF(ISERROR(FIND($AF$241,$BQ125)),0,1),(LEN($BQ125)-LEN(SUBSTITUTE($BQ125,$AF$241,"")))/LEN($AF$241)),0),
IF(AND(NOT(EXACT($AF$242,"")),OR(CX$10&gt;$CP125,ISBLANK($CP125))),IF($CV$3,IF(ISERROR(FIND($AF$242,$BQ125)),0,1),(LEN($BQ125)-LEN(SUBSTITUTE($BQ125,$AF$242,"")))/LEN($AF$242)),0),
IF(AND(NOT(EXACT($AF$243,"")),OR(CX$10&gt;$CQ125,ISBLANK($CQ125))),IF($CV$3,IF(ISERROR(FIND($AF$243,$BQ125)),0,1),(LEN($BQ125)-LEN(SUBSTITUTE($BQ125,$AF$243,"")))/LEN($AF$243)),0),
IF(AND(NOT(EXACT($AF$244,"")),OR(CX$10&gt;$CR125,ISBLANK($CR125))),IF($CV$3,IF(ISERROR(FIND($AF$244,$BQ125)),0,1),(LEN($BQ125)-LEN(SUBSTITUTE($BQ125,$AF$244,"")))/LEN($AF$244)),0),
IF(AND(NOT(EXACT($AF$245,"")),OR(CX$10&gt;$CS125,ISBLANK($CS125))),IF($CV$3,IF(ISERROR(FIND($AF$245,$BQ125)),0,1),(LEN($BQ125)-LEN(SUBSTITUTE($BQ125,$AF$245,"")))/LEN($AF$245)),0),
IF(AND(NOT(EXACT($AF$246,"")),OR(CX$10&gt;$CT125,ISBLANK($CT125))),IF($CV$3,IF(ISERROR(FIND($AF$246,$BQ125)),0,1),(LEN($BQ125)-LEN(SUBSTITUTE($BQ125,$AF$246,"")))/LEN($AF$246)),0),
IF(AND(NOT(EXACT($AF$247,"")),OR(CX$10&gt;$CU125,ISBLANK($CU125))),IF($CV$3,IF(ISERROR(FIND($AF$247,$BQ125)),0,1),(LEN($BQ125)-LEN(SUBSTITUTE($BQ125,$AF$247,"")))/LEN($AF$247)),0)
))</f>
        <v/>
      </c>
      <c r="DV125" s="164" t="str">
        <f t="shared" ref="DV125:DV160" ca="1" si="487">IF($A125="","",IF(VT_VRTLZBR,CODE("F")+1,CODE(VLOOKUP($A125,ZAUBERWERTE,10,FALSE)))-
SUM($BR125:$CA125,
IF(ISERR(FIND(";"&amp;DV$10&amp;";",$H125)),0,1),
IF(ISERR(FIND(";"&amp;DV$10&amp;":",$H125)),0,VALUE(MID($H125,FIND(";"&amp;DV$10&amp;":",$H125)+LEN(DV$10)+2,1))),
IF(ISERR(FIND(";"&amp;DV$10&amp;"+",$H125)),0,-VALUE(MID($H125,FIND(";"&amp;DV$10&amp;"+",$H125)+LEN(DV$10)+2,1))),
IF(AND(NT_Unstet,VLOOKUP($A125,ZAUBERWERTE,10,FALSE)&gt;="C"),-1,0),
IF(AND(NOT(EXACT($AF$241,"")),OR(CY$10&gt;$CO125,ISBLANK($CO125))),IF($CV$3,IF(ISERROR(FIND($AF$241,$BQ125)),0,1),(LEN($BQ125)-LEN(SUBSTITUTE($BQ125,$AF$241,"")))/LEN($AF$241)),0),
IF(AND(NOT(EXACT($AF$242,"")),OR(CY$10&gt;$CP125,ISBLANK($CP125))),IF($CV$3,IF(ISERROR(FIND($AF$242,$BQ125)),0,1),(LEN($BQ125)-LEN(SUBSTITUTE($BQ125,$AF$242,"")))/LEN($AF$242)),0),
IF(AND(NOT(EXACT($AF$243,"")),OR(CY$10&gt;$CQ125,ISBLANK($CQ125))),IF($CV$3,IF(ISERROR(FIND($AF$243,$BQ125)),0,1),(LEN($BQ125)-LEN(SUBSTITUTE($BQ125,$AF$243,"")))/LEN($AF$243)),0),
IF(AND(NOT(EXACT($AF$244,"")),OR(CY$10&gt;$CR125,ISBLANK($CR125))),IF($CV$3,IF(ISERROR(FIND($AF$244,$BQ125)),0,1),(LEN($BQ125)-LEN(SUBSTITUTE($BQ125,$AF$244,"")))/LEN($AF$244)),0),
IF(AND(NOT(EXACT($AF$245,"")),OR(CY$10&gt;$CS125,ISBLANK($CS125))),IF($CV$3,IF(ISERROR(FIND($AF$245,$BQ125)),0,1),(LEN($BQ125)-LEN(SUBSTITUTE($BQ125,$AF$245,"")))/LEN($AF$245)),0),
IF(AND(NOT(EXACT($AF$246,"")),OR(CY$10&gt;$CT125,ISBLANK($CT125))),IF($CV$3,IF(ISERROR(FIND($AF$246,$BQ125)),0,1),(LEN($BQ125)-LEN(SUBSTITUTE($BQ125,$AF$246,"")))/LEN($AF$246)),0),
IF(AND(NOT(EXACT($AF$247,"")),OR(CY$10&gt;$CU125,ISBLANK($CU125))),IF($CV$3,IF(ISERROR(FIND($AF$247,$BQ125)),0,1),(LEN($BQ125)-LEN(SUBSTITUTE($BQ125,$AF$247,"")))/LEN($AF$247)),0)
))</f>
        <v/>
      </c>
      <c r="DW125" s="164" t="str">
        <f t="shared" ref="DW125:DW160" ca="1" si="488">IF($A125="","",IF(VT_VRTLZBR,CODE("F")+1,CODE(VLOOKUP($A125,ZAUBERWERTE,10,FALSE)))-
SUM($BR125:$CA125,
IF(ISERR(FIND(";"&amp;DW$10&amp;";",$H125)),0,1),
IF(ISERR(FIND(";"&amp;DW$10&amp;":",$H125)),0,VALUE(MID($H125,FIND(";"&amp;DW$10&amp;":",$H125)+LEN(DW$10)+2,1))),
IF(ISERR(FIND(";"&amp;DW$10&amp;"+",$H125)),0,-VALUE(MID($H125,FIND(";"&amp;DW$10&amp;"+",$H125)+LEN(DW$10)+2,1))),
IF(AND(NT_Unstet,VLOOKUP($A125,ZAUBERWERTE,10,FALSE)&gt;="C"),-1,0),
IF(AND(NOT(EXACT($AF$241,"")),OR(CZ$10&gt;$CO125,ISBLANK($CO125))),IF($CV$3,IF(ISERROR(FIND($AF$241,$BQ125)),0,1),(LEN($BQ125)-LEN(SUBSTITUTE($BQ125,$AF$241,"")))/LEN($AF$241)),0),
IF(AND(NOT(EXACT($AF$242,"")),OR(CZ$10&gt;$CP125,ISBLANK($CP125))),IF($CV$3,IF(ISERROR(FIND($AF$242,$BQ125)),0,1),(LEN($BQ125)-LEN(SUBSTITUTE($BQ125,$AF$242,"")))/LEN($AF$242)),0),
IF(AND(NOT(EXACT($AF$243,"")),OR(CZ$10&gt;$CQ125,ISBLANK($CQ125))),IF($CV$3,IF(ISERROR(FIND($AF$243,$BQ125)),0,1),(LEN($BQ125)-LEN(SUBSTITUTE($BQ125,$AF$243,"")))/LEN($AF$243)),0),
IF(AND(NOT(EXACT($AF$244,"")),OR(CZ$10&gt;$CR125,ISBLANK($CR125))),IF($CV$3,IF(ISERROR(FIND($AF$244,$BQ125)),0,1),(LEN($BQ125)-LEN(SUBSTITUTE($BQ125,$AF$244,"")))/LEN($AF$244)),0),
IF(AND(NOT(EXACT($AF$245,"")),OR(CZ$10&gt;$CS125,ISBLANK($CS125))),IF($CV$3,IF(ISERROR(FIND($AF$245,$BQ125)),0,1),(LEN($BQ125)-LEN(SUBSTITUTE($BQ125,$AF$245,"")))/LEN($AF$245)),0),
IF(AND(NOT(EXACT($AF$246,"")),OR(CZ$10&gt;$CT125,ISBLANK($CT125))),IF($CV$3,IF(ISERROR(FIND($AF$246,$BQ125)),0,1),(LEN($BQ125)-LEN(SUBSTITUTE($BQ125,$AF$246,"")))/LEN($AF$246)),0),
IF(AND(NOT(EXACT($AF$247,"")),OR(CZ$10&gt;$CU125,ISBLANK($CU125))),IF($CV$3,IF(ISERROR(FIND($AF$247,$BQ125)),0,1),(LEN($BQ125)-LEN(SUBSTITUTE($BQ125,$AF$247,"")))/LEN($AF$247)),0)
))</f>
        <v/>
      </c>
      <c r="DX125" s="164" t="str">
        <f t="shared" ref="DX125:DX160" ca="1" si="489">IF($A125="","",IF(VT_VRTLZBR,CODE("F")+1,CODE(VLOOKUP($A125,ZAUBERWERTE,10,FALSE)))-
SUM($BR125:$CA125,
IF(ISERR(FIND(";"&amp;DX$10&amp;";",$H125)),0,1),
IF(ISERR(FIND(";"&amp;DX$10&amp;":",$H125)),0,VALUE(MID($H125,FIND(";"&amp;DX$10&amp;":",$H125)+LEN(DX$10)+2,1))),
IF(ISERR(FIND(";"&amp;DX$10&amp;"+",$H125)),0,-VALUE(MID($H125,FIND(";"&amp;DX$10&amp;"+",$H125)+LEN(DX$10)+2,1))),
IF(AND(NT_Unstet,VLOOKUP($A125,ZAUBERWERTE,10,FALSE)&gt;="C"),-1,0),
IF(AND(NOT(EXACT($AF$241,"")),OR(DA$10&gt;$CO125,ISBLANK($CO125))),IF($CV$3,IF(ISERROR(FIND($AF$241,$BQ125)),0,1),(LEN($BQ125)-LEN(SUBSTITUTE($BQ125,$AF$241,"")))/LEN($AF$241)),0),
IF(AND(NOT(EXACT($AF$242,"")),OR(DA$10&gt;$CP125,ISBLANK($CP125))),IF($CV$3,IF(ISERROR(FIND($AF$242,$BQ125)),0,1),(LEN($BQ125)-LEN(SUBSTITUTE($BQ125,$AF$242,"")))/LEN($AF$242)),0),
IF(AND(NOT(EXACT($AF$243,"")),OR(DA$10&gt;$CQ125,ISBLANK($CQ125))),IF($CV$3,IF(ISERROR(FIND($AF$243,$BQ125)),0,1),(LEN($BQ125)-LEN(SUBSTITUTE($BQ125,$AF$243,"")))/LEN($AF$243)),0),
IF(AND(NOT(EXACT($AF$244,"")),OR(DA$10&gt;$CR125,ISBLANK($CR125))),IF($CV$3,IF(ISERROR(FIND($AF$244,$BQ125)),0,1),(LEN($BQ125)-LEN(SUBSTITUTE($BQ125,$AF$244,"")))/LEN($AF$244)),0),
IF(AND(NOT(EXACT($AF$245,"")),OR(DA$10&gt;$CS125,ISBLANK($CS125))),IF($CV$3,IF(ISERROR(FIND($AF$245,$BQ125)),0,1),(LEN($BQ125)-LEN(SUBSTITUTE($BQ125,$AF$245,"")))/LEN($AF$245)),0),
IF(AND(NOT(EXACT($AF$246,"")),OR(DA$10&gt;$CT125,ISBLANK($CT125))),IF($CV$3,IF(ISERROR(FIND($AF$246,$BQ125)),0,1),(LEN($BQ125)-LEN(SUBSTITUTE($BQ125,$AF$246,"")))/LEN($AF$246)),0),
IF(AND(NOT(EXACT($AF$247,"")),OR(DA$10&gt;$CU125,ISBLANK($CU125))),IF($CV$3,IF(ISERROR(FIND($AF$247,$BQ125)),0,1),(LEN($BQ125)-LEN(SUBSTITUTE($BQ125,$AF$247,"")))/LEN($AF$247)),0)
))</f>
        <v/>
      </c>
      <c r="DY125" s="164" t="str">
        <f t="shared" ref="DY125:DY160" ca="1" si="490">IF($A125="","",IF(VT_VRTLZBR,CODE("F")+1,CODE(VLOOKUP($A125,ZAUBERWERTE,10,FALSE)))-
SUM($BR125:$CA125,
IF(ISERR(FIND(";"&amp;DY$10&amp;";",$H125)),0,1),
IF(ISERR(FIND(";"&amp;DY$10&amp;":",$H125)),0,VALUE(MID($H125,FIND(";"&amp;DY$10&amp;":",$H125)+LEN(DY$10)+2,1))),
IF(ISERR(FIND(";"&amp;DY$10&amp;"+",$H125)),0,-VALUE(MID($H125,FIND(";"&amp;DY$10&amp;"+",$H125)+LEN(DY$10)+2,1))),
IF(AND(NT_Unstet,VLOOKUP($A125,ZAUBERWERTE,10,FALSE)&gt;="C"),-1,0),
IF(AND(NOT(EXACT($AF$241,"")),OR(DB$10&gt;$CO125,ISBLANK($CO125))),IF($CV$3,IF(ISERROR(FIND($AF$241,$BQ125)),0,1),(LEN($BQ125)-LEN(SUBSTITUTE($BQ125,$AF$241,"")))/LEN($AF$241)),0),
IF(AND(NOT(EXACT($AF$242,"")),OR(DB$10&gt;$CP125,ISBLANK($CP125))),IF($CV$3,IF(ISERROR(FIND($AF$242,$BQ125)),0,1),(LEN($BQ125)-LEN(SUBSTITUTE($BQ125,$AF$242,"")))/LEN($AF$242)),0),
IF(AND(NOT(EXACT($AF$243,"")),OR(DB$10&gt;$CQ125,ISBLANK($CQ125))),IF($CV$3,IF(ISERROR(FIND($AF$243,$BQ125)),0,1),(LEN($BQ125)-LEN(SUBSTITUTE($BQ125,$AF$243,"")))/LEN($AF$243)),0),
IF(AND(NOT(EXACT($AF$244,"")),OR(DB$10&gt;$CR125,ISBLANK($CR125))),IF($CV$3,IF(ISERROR(FIND($AF$244,$BQ125)),0,1),(LEN($BQ125)-LEN(SUBSTITUTE($BQ125,$AF$244,"")))/LEN($AF$244)),0),
IF(AND(NOT(EXACT($AF$245,"")),OR(DB$10&gt;$CS125,ISBLANK($CS125))),IF($CV$3,IF(ISERROR(FIND($AF$245,$BQ125)),0,1),(LEN($BQ125)-LEN(SUBSTITUTE($BQ125,$AF$245,"")))/LEN($AF$245)),0),
IF(AND(NOT(EXACT($AF$246,"")),OR(DB$10&gt;$CT125,ISBLANK($CT125))),IF($CV$3,IF(ISERROR(FIND($AF$246,$BQ125)),0,1),(LEN($BQ125)-LEN(SUBSTITUTE($BQ125,$AF$246,"")))/LEN($AF$246)),0),
IF(AND(NOT(EXACT($AF$247,"")),OR(DB$10&gt;$CU125,ISBLANK($CU125))),IF($CV$3,IF(ISERROR(FIND($AF$247,$BQ125)),0,1),(LEN($BQ125)-LEN(SUBSTITUTE($BQ125,$AF$247,"")))/LEN($AF$247)),0)
))</f>
        <v/>
      </c>
      <c r="DZ125" s="164" t="str">
        <f t="shared" ref="DZ125:DZ160" ca="1" si="491">IF($A125="","",IF(VT_VRTLZBR,CODE("F")+1,CODE(VLOOKUP($A125,ZAUBERWERTE,10,FALSE)))-
SUM($BR125:$CA125,
IF(ISERR(FIND(";"&amp;DZ$10&amp;";",$H125)),0,1),
IF(ISERR(FIND(";"&amp;DZ$10&amp;":",$H125)),0,VALUE(MID($H125,FIND(";"&amp;DZ$10&amp;":",$H125)+LEN(DZ$10)+2,1))),
IF(ISERR(FIND(";"&amp;DZ$10&amp;"+",$H125)),0,-VALUE(MID($H125,FIND(";"&amp;DZ$10&amp;"+",$H125)+LEN(DZ$10)+2,1))),
IF(AND(NT_Unstet,VLOOKUP($A125,ZAUBERWERTE,10,FALSE)&gt;="C"),-1,0),
IF(AND(NOT(EXACT($AF$241,"")),OR(DC$10&gt;$CO125,ISBLANK($CO125))),IF($CV$3,IF(ISERROR(FIND($AF$241,$BQ125)),0,1),(LEN($BQ125)-LEN(SUBSTITUTE($BQ125,$AF$241,"")))/LEN($AF$241)),0),
IF(AND(NOT(EXACT($AF$242,"")),OR(DC$10&gt;$CP125,ISBLANK($CP125))),IF($CV$3,IF(ISERROR(FIND($AF$242,$BQ125)),0,1),(LEN($BQ125)-LEN(SUBSTITUTE($BQ125,$AF$242,"")))/LEN($AF$242)),0),
IF(AND(NOT(EXACT($AF$243,"")),OR(DC$10&gt;$CQ125,ISBLANK($CQ125))),IF($CV$3,IF(ISERROR(FIND($AF$243,$BQ125)),0,1),(LEN($BQ125)-LEN(SUBSTITUTE($BQ125,$AF$243,"")))/LEN($AF$243)),0),
IF(AND(NOT(EXACT($AF$244,"")),OR(DC$10&gt;$CR125,ISBLANK($CR125))),IF($CV$3,IF(ISERROR(FIND($AF$244,$BQ125)),0,1),(LEN($BQ125)-LEN(SUBSTITUTE($BQ125,$AF$244,"")))/LEN($AF$244)),0),
IF(AND(NOT(EXACT($AF$245,"")),OR(DC$10&gt;$CS125,ISBLANK($CS125))),IF($CV$3,IF(ISERROR(FIND($AF$245,$BQ125)),0,1),(LEN($BQ125)-LEN(SUBSTITUTE($BQ125,$AF$245,"")))/LEN($AF$245)),0),
IF(AND(NOT(EXACT($AF$246,"")),OR(DC$10&gt;$CT125,ISBLANK($CT125))),IF($CV$3,IF(ISERROR(FIND($AF$246,$BQ125)),0,1),(LEN($BQ125)-LEN(SUBSTITUTE($BQ125,$AF$246,"")))/LEN($AF$246)),0),
IF(AND(NOT(EXACT($AF$247,"")),OR(DC$10&gt;$CU125,ISBLANK($CU125))),IF($CV$3,IF(ISERROR(FIND($AF$247,$BQ125)),0,1),(LEN($BQ125)-LEN(SUBSTITUTE($BQ125,$AF$247,"")))/LEN($AF$247)),0)
))</f>
        <v/>
      </c>
      <c r="EA125" s="164" t="str">
        <f t="shared" ref="EA125:EA160" ca="1" si="492">IF($A125="","",IF(VT_VRTLZBR,CODE("F")+1,CODE(VLOOKUP($A125,ZAUBERWERTE,10,FALSE)))-
SUM($BR125:$CA125,
IF(ISERR(FIND(";"&amp;EA$10&amp;";",$H125)),0,1),
IF(ISERR(FIND(";"&amp;EA$10&amp;":",$H125)),0,VALUE(MID($H125,FIND(";"&amp;EA$10&amp;":",$H125)+LEN(EA$10)+2,1))),
IF(ISERR(FIND(";"&amp;EA$10&amp;"+",$H125)),0,-VALUE(MID($H125,FIND(";"&amp;EA$10&amp;"+",$H125)+LEN(EA$10)+2,1))),
IF(AND(NT_Unstet,VLOOKUP($A125,ZAUBERWERTE,10,FALSE)&gt;="C"),-1,0),
IF(AND(NOT(EXACT($AF$241,"")),OR(DD$10&gt;$CO125,ISBLANK($CO125))),IF($CV$3,IF(ISERROR(FIND($AF$241,$BQ125)),0,1),(LEN($BQ125)-LEN(SUBSTITUTE($BQ125,$AF$241,"")))/LEN($AF$241)),0),
IF(AND(NOT(EXACT($AF$242,"")),OR(DD$10&gt;$CP125,ISBLANK($CP125))),IF($CV$3,IF(ISERROR(FIND($AF$242,$BQ125)),0,1),(LEN($BQ125)-LEN(SUBSTITUTE($BQ125,$AF$242,"")))/LEN($AF$242)),0),
IF(AND(NOT(EXACT($AF$243,"")),OR(DD$10&gt;$CQ125,ISBLANK($CQ125))),IF($CV$3,IF(ISERROR(FIND($AF$243,$BQ125)),0,1),(LEN($BQ125)-LEN(SUBSTITUTE($BQ125,$AF$243,"")))/LEN($AF$243)),0),
IF(AND(NOT(EXACT($AF$244,"")),OR(DD$10&gt;$CR125,ISBLANK($CR125))),IF($CV$3,IF(ISERROR(FIND($AF$244,$BQ125)),0,1),(LEN($BQ125)-LEN(SUBSTITUTE($BQ125,$AF$244,"")))/LEN($AF$244)),0),
IF(AND(NOT(EXACT($AF$245,"")),OR(DD$10&gt;$CS125,ISBLANK($CS125))),IF($CV$3,IF(ISERROR(FIND($AF$245,$BQ125)),0,1),(LEN($BQ125)-LEN(SUBSTITUTE($BQ125,$AF$245,"")))/LEN($AF$245)),0),
IF(AND(NOT(EXACT($AF$246,"")),OR(DD$10&gt;$CT125,ISBLANK($CT125))),IF($CV$3,IF(ISERROR(FIND($AF$246,$BQ125)),0,1),(LEN($BQ125)-LEN(SUBSTITUTE($BQ125,$AF$246,"")))/LEN($AF$246)),0),
IF(AND(NOT(EXACT($AF$247,"")),OR(DD$10&gt;$CU125,ISBLANK($CU125))),IF($CV$3,IF(ISERROR(FIND($AF$247,$BQ125)),0,1),(LEN($BQ125)-LEN(SUBSTITUTE($BQ125,$AF$247,"")))/LEN($AF$247)),0)
))</f>
        <v/>
      </c>
      <c r="EB125" s="164" t="str">
        <f t="shared" ref="EB125:EB160" ca="1" si="493">IF($A125="","",IF(VT_VRTLZBR,CODE("F")+1,CODE(VLOOKUP($A125,ZAUBERWERTE,10,FALSE)))-
SUM($BR125:$CA125,
IF(ISERR(FIND(";"&amp;EB$10&amp;";",$H125)),0,1),
IF(ISERR(FIND(";"&amp;EB$10&amp;":",$H125)),0,VALUE(MID($H125,FIND(";"&amp;EB$10&amp;":",$H125)+LEN(EB$10)+2,1))),
IF(ISERR(FIND(";"&amp;EB$10&amp;"+",$H125)),0,-VALUE(MID($H125,FIND(";"&amp;EB$10&amp;"+",$H125)+LEN(EB$10)+2,1))),
IF(AND(NT_Unstet,VLOOKUP($A125,ZAUBERWERTE,10,FALSE)&gt;="C"),-1,0),
IF(AND(NOT(EXACT($AF$241,"")),OR(DE$10&gt;$CO125,ISBLANK($CO125))),IF($CV$3,IF(ISERROR(FIND($AF$241,$BQ125)),0,1),(LEN($BQ125)-LEN(SUBSTITUTE($BQ125,$AF$241,"")))/LEN($AF$241)),0),
IF(AND(NOT(EXACT($AF$242,"")),OR(DE$10&gt;$CP125,ISBLANK($CP125))),IF($CV$3,IF(ISERROR(FIND($AF$242,$BQ125)),0,1),(LEN($BQ125)-LEN(SUBSTITUTE($BQ125,$AF$242,"")))/LEN($AF$242)),0),
IF(AND(NOT(EXACT($AF$243,"")),OR(DE$10&gt;$CQ125,ISBLANK($CQ125))),IF($CV$3,IF(ISERROR(FIND($AF$243,$BQ125)),0,1),(LEN($BQ125)-LEN(SUBSTITUTE($BQ125,$AF$243,"")))/LEN($AF$243)),0),
IF(AND(NOT(EXACT($AF$244,"")),OR(DE$10&gt;$CR125,ISBLANK($CR125))),IF($CV$3,IF(ISERROR(FIND($AF$244,$BQ125)),0,1),(LEN($BQ125)-LEN(SUBSTITUTE($BQ125,$AF$244,"")))/LEN($AF$244)),0),
IF(AND(NOT(EXACT($AF$245,"")),OR(DE$10&gt;$CS125,ISBLANK($CS125))),IF($CV$3,IF(ISERROR(FIND($AF$245,$BQ125)),0,1),(LEN($BQ125)-LEN(SUBSTITUTE($BQ125,$AF$245,"")))/LEN($AF$245)),0),
IF(AND(NOT(EXACT($AF$246,"")),OR(DE$10&gt;$CT125,ISBLANK($CT125))),IF($CV$3,IF(ISERROR(FIND($AF$246,$BQ125)),0,1),(LEN($BQ125)-LEN(SUBSTITUTE($BQ125,$AF$246,"")))/LEN($AF$246)),0),
IF(AND(NOT(EXACT($AF$247,"")),OR(DE$10&gt;$CU125,ISBLANK($CU125))),IF($CV$3,IF(ISERROR(FIND($AF$247,$BQ125)),0,1),(LEN($BQ125)-LEN(SUBSTITUTE($BQ125,$AF$247,"")))/LEN($AF$247)),0)
))</f>
        <v/>
      </c>
      <c r="EC125" s="164" t="str">
        <f t="shared" ref="EC125:EC160" ca="1" si="494">IF($A125="","",IF(VT_VRTLZBR,CODE("F")+1,CODE(VLOOKUP($A125,ZAUBERWERTE,10,FALSE)))-
SUM($BR125:$CA125,
IF(ISERR(FIND(";"&amp;EC$10&amp;";",$H125)),0,1),
IF(ISERR(FIND(";"&amp;EC$10&amp;":",$H125)),0,VALUE(MID($H125,FIND(";"&amp;EC$10&amp;":",$H125)+LEN(EC$10)+2,1))),
IF(ISERR(FIND(";"&amp;EC$10&amp;"+",$H125)),0,-VALUE(MID($H125,FIND(";"&amp;EC$10&amp;"+",$H125)+LEN(EC$10)+2,1))),
IF(AND(NT_Unstet,VLOOKUP($A125,ZAUBERWERTE,10,FALSE)&gt;="C"),-1,0),
IF(AND(NOT(EXACT($AF$241,"")),OR(DF$10&gt;$CO125,ISBLANK($CO125))),IF($CV$3,IF(ISERROR(FIND($AF$241,$BQ125)),0,1),(LEN($BQ125)-LEN(SUBSTITUTE($BQ125,$AF$241,"")))/LEN($AF$241)),0),
IF(AND(NOT(EXACT($AF$242,"")),OR(DF$10&gt;$CP125,ISBLANK($CP125))),IF($CV$3,IF(ISERROR(FIND($AF$242,$BQ125)),0,1),(LEN($BQ125)-LEN(SUBSTITUTE($BQ125,$AF$242,"")))/LEN($AF$242)),0),
IF(AND(NOT(EXACT($AF$243,"")),OR(DF$10&gt;$CQ125,ISBLANK($CQ125))),IF($CV$3,IF(ISERROR(FIND($AF$243,$BQ125)),0,1),(LEN($BQ125)-LEN(SUBSTITUTE($BQ125,$AF$243,"")))/LEN($AF$243)),0),
IF(AND(NOT(EXACT($AF$244,"")),OR(DF$10&gt;$CR125,ISBLANK($CR125))),IF($CV$3,IF(ISERROR(FIND($AF$244,$BQ125)),0,1),(LEN($BQ125)-LEN(SUBSTITUTE($BQ125,$AF$244,"")))/LEN($AF$244)),0),
IF(AND(NOT(EXACT($AF$245,"")),OR(DF$10&gt;$CS125,ISBLANK($CS125))),IF($CV$3,IF(ISERROR(FIND($AF$245,$BQ125)),0,1),(LEN($BQ125)-LEN(SUBSTITUTE($BQ125,$AF$245,"")))/LEN($AF$245)),0),
IF(AND(NOT(EXACT($AF$246,"")),OR(DF$10&gt;$CT125,ISBLANK($CT125))),IF($CV$3,IF(ISERROR(FIND($AF$246,$BQ125)),0,1),(LEN($BQ125)-LEN(SUBSTITUTE($BQ125,$AF$246,"")))/LEN($AF$246)),0),
IF(AND(NOT(EXACT($AF$247,"")),OR(DF$10&gt;$CU125,ISBLANK($CU125))),IF($CV$3,IF(ISERROR(FIND($AF$247,$BQ125)),0,1),(LEN($BQ125)-LEN(SUBSTITUTE($BQ125,$AF$247,"")))/LEN($AF$247)),0)
))</f>
        <v/>
      </c>
      <c r="ED125" s="164" t="str">
        <f t="shared" ref="ED125:ED160" ca="1" si="495">IF($A125="","",IF(VT_VRTLZBR,CODE("F")+1,CODE(VLOOKUP($A125,ZAUBERWERTE,10,FALSE)))-
SUM($BR125:$CA125,
IF(ISERR(FIND(";"&amp;ED$10&amp;";",$H125)),0,1),
IF(ISERR(FIND(";"&amp;ED$10&amp;":",$H125)),0,VALUE(MID($H125,FIND(";"&amp;ED$10&amp;":",$H125)+LEN(ED$10)+2,1))),
IF(ISERR(FIND(";"&amp;ED$10&amp;"+",$H125)),0,-VALUE(MID($H125,FIND(";"&amp;ED$10&amp;"+",$H125)+LEN(ED$10)+2,1))),
IF(AND(NT_Unstet,VLOOKUP($A125,ZAUBERWERTE,10,FALSE)&gt;="C"),-1,0),
IF(AND(NOT(EXACT($AF$241,"")),OR(DG$10&gt;$CO125,ISBLANK($CO125))),IF($CV$3,IF(ISERROR(FIND($AF$241,$BQ125)),0,1),(LEN($BQ125)-LEN(SUBSTITUTE($BQ125,$AF$241,"")))/LEN($AF$241)),0),
IF(AND(NOT(EXACT($AF$242,"")),OR(DG$10&gt;$CP125,ISBLANK($CP125))),IF($CV$3,IF(ISERROR(FIND($AF$242,$BQ125)),0,1),(LEN($BQ125)-LEN(SUBSTITUTE($BQ125,$AF$242,"")))/LEN($AF$242)),0),
IF(AND(NOT(EXACT($AF$243,"")),OR(DG$10&gt;$CQ125,ISBLANK($CQ125))),IF($CV$3,IF(ISERROR(FIND($AF$243,$BQ125)),0,1),(LEN($BQ125)-LEN(SUBSTITUTE($BQ125,$AF$243,"")))/LEN($AF$243)),0),
IF(AND(NOT(EXACT($AF$244,"")),OR(DG$10&gt;$CR125,ISBLANK($CR125))),IF($CV$3,IF(ISERROR(FIND($AF$244,$BQ125)),0,1),(LEN($BQ125)-LEN(SUBSTITUTE($BQ125,$AF$244,"")))/LEN($AF$244)),0),
IF(AND(NOT(EXACT($AF$245,"")),OR(DG$10&gt;$CS125,ISBLANK($CS125))),IF($CV$3,IF(ISERROR(FIND($AF$245,$BQ125)),0,1),(LEN($BQ125)-LEN(SUBSTITUTE($BQ125,$AF$245,"")))/LEN($AF$245)),0),
IF(AND(NOT(EXACT($AF$246,"")),OR(DG$10&gt;$CT125,ISBLANK($CT125))),IF($CV$3,IF(ISERROR(FIND($AF$246,$BQ125)),0,1),(LEN($BQ125)-LEN(SUBSTITUTE($BQ125,$AF$246,"")))/LEN($AF$246)),0),
IF(AND(NOT(EXACT($AF$247,"")),OR(DG$10&gt;$CU125,ISBLANK($CU125))),IF($CV$3,IF(ISERROR(FIND($AF$247,$BQ125)),0,1),(LEN($BQ125)-LEN(SUBSTITUTE($BQ125,$AF$247,"")))/LEN($AF$247)),0)
))</f>
        <v/>
      </c>
      <c r="EE125" s="164" t="str">
        <f t="shared" ref="EE125:EE160" ca="1" si="496">IF($A125="","",IF(VT_VRTLZBR,CODE("F")+1,CODE(VLOOKUP($A125,ZAUBERWERTE,10,FALSE)))-
SUM($BR125:$CA125,
IF(ISERR(FIND(";"&amp;EE$10&amp;";",$H125)),0,1),
IF(ISERR(FIND(";"&amp;EE$10&amp;":",$H125)),0,VALUE(MID($H125,FIND(";"&amp;EE$10&amp;":",$H125)+LEN(EE$10)+2,1))),
IF(ISERR(FIND(";"&amp;EE$10&amp;"+",$H125)),0,-VALUE(MID($H125,FIND(";"&amp;EE$10&amp;"+",$H125)+LEN(EE$10)+2,1))),
IF(AND(NT_Unstet,VLOOKUP($A125,ZAUBERWERTE,10,FALSE)&gt;="C"),-1,0),
IF(AND(NOT(EXACT($AF$241,"")),OR(DH$10&gt;$CO125,ISBLANK($CO125))),IF($CV$3,IF(ISERROR(FIND($AF$241,$BQ125)),0,1),(LEN($BQ125)-LEN(SUBSTITUTE($BQ125,$AF$241,"")))/LEN($AF$241)),0),
IF(AND(NOT(EXACT($AF$242,"")),OR(DH$10&gt;$CP125,ISBLANK($CP125))),IF($CV$3,IF(ISERROR(FIND($AF$242,$BQ125)),0,1),(LEN($BQ125)-LEN(SUBSTITUTE($BQ125,$AF$242,"")))/LEN($AF$242)),0),
IF(AND(NOT(EXACT($AF$243,"")),OR(DH$10&gt;$CQ125,ISBLANK($CQ125))),IF($CV$3,IF(ISERROR(FIND($AF$243,$BQ125)),0,1),(LEN($BQ125)-LEN(SUBSTITUTE($BQ125,$AF$243,"")))/LEN($AF$243)),0),
IF(AND(NOT(EXACT($AF$244,"")),OR(DH$10&gt;$CR125,ISBLANK($CR125))),IF($CV$3,IF(ISERROR(FIND($AF$244,$BQ125)),0,1),(LEN($BQ125)-LEN(SUBSTITUTE($BQ125,$AF$244,"")))/LEN($AF$244)),0),
IF(AND(NOT(EXACT($AF$245,"")),OR(DH$10&gt;$CS125,ISBLANK($CS125))),IF($CV$3,IF(ISERROR(FIND($AF$245,$BQ125)),0,1),(LEN($BQ125)-LEN(SUBSTITUTE($BQ125,$AF$245,"")))/LEN($AF$245)),0),
IF(AND(NOT(EXACT($AF$246,"")),OR(DH$10&gt;$CT125,ISBLANK($CT125))),IF($CV$3,IF(ISERROR(FIND($AF$246,$BQ125)),0,1),(LEN($BQ125)-LEN(SUBSTITUTE($BQ125,$AF$246,"")))/LEN($AF$246)),0),
IF(AND(NOT(EXACT($AF$247,"")),OR(DH$10&gt;$CU125,ISBLANK($CU125))),IF($CV$3,IF(ISERROR(FIND($AF$247,$BQ125)),0,1),(LEN($BQ125)-LEN(SUBSTITUTE($BQ125,$AF$247,"")))/LEN($AF$247)),0)
))</f>
        <v/>
      </c>
      <c r="EF125" s="164" t="str">
        <f t="shared" ref="EF125:EF160" ca="1" si="497">IF($A125="","",IF(VT_VRTLZBR,CODE("F")+1,CODE(VLOOKUP($A125,ZAUBERWERTE,10,FALSE)))-
SUM($BR125:$CA125,
IF(ISERR(FIND(";"&amp;EF$10&amp;";",$H125)),0,1),
IF(ISERR(FIND(";"&amp;EF$10&amp;":",$H125)),0,VALUE(MID($H125,FIND(";"&amp;EF$10&amp;":",$H125)+LEN(EF$10)+2,1))),
IF(ISERR(FIND(";"&amp;EF$10&amp;"+",$H125)),0,-VALUE(MID($H125,FIND(";"&amp;EF$10&amp;"+",$H125)+LEN(EF$10)+2,1))),
IF(AND(NT_Unstet,VLOOKUP($A125,ZAUBERWERTE,10,FALSE)&gt;="C"),-1,0),
IF(AND(NOT(EXACT($AF$241,"")),OR(DI$10&gt;$CO125,ISBLANK($CO125))),IF($CV$3,IF(ISERROR(FIND($AF$241,$BQ125)),0,1),(LEN($BQ125)-LEN(SUBSTITUTE($BQ125,$AF$241,"")))/LEN($AF$241)),0),
IF(AND(NOT(EXACT($AF$242,"")),OR(DI$10&gt;$CP125,ISBLANK($CP125))),IF($CV$3,IF(ISERROR(FIND($AF$242,$BQ125)),0,1),(LEN($BQ125)-LEN(SUBSTITUTE($BQ125,$AF$242,"")))/LEN($AF$242)),0),
IF(AND(NOT(EXACT($AF$243,"")),OR(DI$10&gt;$CQ125,ISBLANK($CQ125))),IF($CV$3,IF(ISERROR(FIND($AF$243,$BQ125)),0,1),(LEN($BQ125)-LEN(SUBSTITUTE($BQ125,$AF$243,"")))/LEN($AF$243)),0),
IF(AND(NOT(EXACT($AF$244,"")),OR(DI$10&gt;$CR125,ISBLANK($CR125))),IF($CV$3,IF(ISERROR(FIND($AF$244,$BQ125)),0,1),(LEN($BQ125)-LEN(SUBSTITUTE($BQ125,$AF$244,"")))/LEN($AF$244)),0),
IF(AND(NOT(EXACT($AF$245,"")),OR(DI$10&gt;$CS125,ISBLANK($CS125))),IF($CV$3,IF(ISERROR(FIND($AF$245,$BQ125)),0,1),(LEN($BQ125)-LEN(SUBSTITUTE($BQ125,$AF$245,"")))/LEN($AF$245)),0),
IF(AND(NOT(EXACT($AF$246,"")),OR(DI$10&gt;$CT125,ISBLANK($CT125))),IF($CV$3,IF(ISERROR(FIND($AF$246,$BQ125)),0,1),(LEN($BQ125)-LEN(SUBSTITUTE($BQ125,$AF$246,"")))/LEN($AF$246)),0),
IF(AND(NOT(EXACT($AF$247,"")),OR(DI$10&gt;$CU125,ISBLANK($CU125))),IF($CV$3,IF(ISERROR(FIND($AF$247,$BQ125)),0,1),(LEN($BQ125)-LEN(SUBSTITUTE($BQ125,$AF$247,"")))/LEN($AF$247)),0)
))</f>
        <v/>
      </c>
      <c r="EG125" s="164" t="str">
        <f t="shared" ref="EG125:EG160" ca="1" si="498">IF($A125="","",IF(VT_VRTLZBR,CODE("F")+1,CODE(VLOOKUP($A125,ZAUBERWERTE,10,FALSE)))-
SUM($BR125:$CA125,
IF(ISERR(FIND(";"&amp;EG$10&amp;";",$H125)),0,1),
IF(ISERR(FIND(";"&amp;EG$10&amp;":",$H125)),0,VALUE(MID($H125,FIND(";"&amp;EG$10&amp;":",$H125)+LEN(EG$10)+2,1))),
IF(ISERR(FIND(";"&amp;EG$10&amp;"+",$H125)),0,-VALUE(MID($H125,FIND(";"&amp;EG$10&amp;"+",$H125)+LEN(EG$10)+2,1))),
IF(AND(NT_Unstet,VLOOKUP($A125,ZAUBERWERTE,10,FALSE)&gt;="C"),-1,0),
IF(AND(NOT(EXACT($AF$241,"")),OR(DJ$10&gt;$CO125,ISBLANK($CO125))),IF($CV$3,IF(ISERROR(FIND($AF$241,$BQ125)),0,1),(LEN($BQ125)-LEN(SUBSTITUTE($BQ125,$AF$241,"")))/LEN($AF$241)),0),
IF(AND(NOT(EXACT($AF$242,"")),OR(DJ$10&gt;$CP125,ISBLANK($CP125))),IF($CV$3,IF(ISERROR(FIND($AF$242,$BQ125)),0,1),(LEN($BQ125)-LEN(SUBSTITUTE($BQ125,$AF$242,"")))/LEN($AF$242)),0),
IF(AND(NOT(EXACT($AF$243,"")),OR(DJ$10&gt;$CQ125,ISBLANK($CQ125))),IF($CV$3,IF(ISERROR(FIND($AF$243,$BQ125)),0,1),(LEN($BQ125)-LEN(SUBSTITUTE($BQ125,$AF$243,"")))/LEN($AF$243)),0),
IF(AND(NOT(EXACT($AF$244,"")),OR(DJ$10&gt;$CR125,ISBLANK($CR125))),IF($CV$3,IF(ISERROR(FIND($AF$244,$BQ125)),0,1),(LEN($BQ125)-LEN(SUBSTITUTE($BQ125,$AF$244,"")))/LEN($AF$244)),0),
IF(AND(NOT(EXACT($AF$245,"")),OR(DJ$10&gt;$CS125,ISBLANK($CS125))),IF($CV$3,IF(ISERROR(FIND($AF$245,$BQ125)),0,1),(LEN($BQ125)-LEN(SUBSTITUTE($BQ125,$AF$245,"")))/LEN($AF$245)),0),
IF(AND(NOT(EXACT($AF$246,"")),OR(DJ$10&gt;$CT125,ISBLANK($CT125))),IF($CV$3,IF(ISERROR(FIND($AF$246,$BQ125)),0,1),(LEN($BQ125)-LEN(SUBSTITUTE($BQ125,$AF$246,"")))/LEN($AF$246)),0),
IF(AND(NOT(EXACT($AF$247,"")),OR(DJ$10&gt;$CU125,ISBLANK($CU125))),IF($CV$3,IF(ISERROR(FIND($AF$247,$BQ125)),0,1),(LEN($BQ125)-LEN(SUBSTITUTE($BQ125,$AF$247,"")))/LEN($AF$247)),0)
))</f>
        <v/>
      </c>
      <c r="EH125" s="164" t="str">
        <f t="shared" ref="EH125:EH160" ca="1" si="499">IF($A125="","",IF(VT_VRTLZBR,CODE("F")+1,CODE(VLOOKUP($A125,ZAUBERWERTE,10,FALSE)))-
SUM($BR125:$CA125,
IF(ISERR(FIND(";"&amp;EH$10&amp;";",$H125)),0,1),
IF(ISERR(FIND(";"&amp;EH$10&amp;":",$H125)),0,VALUE(MID($H125,FIND(";"&amp;EH$10&amp;":",$H125)+LEN(EH$10)+2,1))),
IF(ISERR(FIND(";"&amp;EH$10&amp;"+",$H125)),0,-VALUE(MID($H125,FIND(";"&amp;EH$10&amp;"+",$H125)+LEN(EH$10)+2,1))),
IF(AND(NT_Unstet,VLOOKUP($A125,ZAUBERWERTE,10,FALSE)&gt;="C"),-1,0),
IF(AND(NOT(EXACT($AF$241,"")),OR(DK$10&gt;$CO125,ISBLANK($CO125))),IF($CV$3,IF(ISERROR(FIND($AF$241,$BQ125)),0,1),(LEN($BQ125)-LEN(SUBSTITUTE($BQ125,$AF$241,"")))/LEN($AF$241)),0),
IF(AND(NOT(EXACT($AF$242,"")),OR(DK$10&gt;$CP125,ISBLANK($CP125))),IF($CV$3,IF(ISERROR(FIND($AF$242,$BQ125)),0,1),(LEN($BQ125)-LEN(SUBSTITUTE($BQ125,$AF$242,"")))/LEN($AF$242)),0),
IF(AND(NOT(EXACT($AF$243,"")),OR(DK$10&gt;$CQ125,ISBLANK($CQ125))),IF($CV$3,IF(ISERROR(FIND($AF$243,$BQ125)),0,1),(LEN($BQ125)-LEN(SUBSTITUTE($BQ125,$AF$243,"")))/LEN($AF$243)),0),
IF(AND(NOT(EXACT($AF$244,"")),OR(DK$10&gt;$CR125,ISBLANK($CR125))),IF($CV$3,IF(ISERROR(FIND($AF$244,$BQ125)),0,1),(LEN($BQ125)-LEN(SUBSTITUTE($BQ125,$AF$244,"")))/LEN($AF$244)),0),
IF(AND(NOT(EXACT($AF$245,"")),OR(DK$10&gt;$CS125,ISBLANK($CS125))),IF($CV$3,IF(ISERROR(FIND($AF$245,$BQ125)),0,1),(LEN($BQ125)-LEN(SUBSTITUTE($BQ125,$AF$245,"")))/LEN($AF$245)),0),
IF(AND(NOT(EXACT($AF$246,"")),OR(DK$10&gt;$CT125,ISBLANK($CT125))),IF($CV$3,IF(ISERROR(FIND($AF$246,$BQ125)),0,1),(LEN($BQ125)-LEN(SUBSTITUTE($BQ125,$AF$246,"")))/LEN($AF$246)),0),
IF(AND(NOT(EXACT($AF$247,"")),OR(DK$10&gt;$CU125,ISBLANK($CU125))),IF($CV$3,IF(ISERROR(FIND($AF$247,$BQ125)),0,1),(LEN($BQ125)-LEN(SUBSTITUTE($BQ125,$AF$247,"")))/LEN($AF$247)),0)
))</f>
        <v/>
      </c>
      <c r="EI125" s="164" t="str">
        <f t="shared" ref="EI125:EI160" ca="1" si="500">IF($A125="","",IF(VT_VRTLZBR,CODE("F")+1,CODE(VLOOKUP($A125,ZAUBERWERTE,10,FALSE)))-
SUM($BR125:$CA125,
IF(ISERR(FIND(";"&amp;EI$10&amp;";",$H125)),0,1),
IF(ISERR(FIND(";"&amp;EI$10&amp;":",$H125)),0,VALUE(MID($H125,FIND(";"&amp;EI$10&amp;":",$H125)+LEN(EI$10)+2,1))),
IF(ISERR(FIND(";"&amp;EI$10&amp;"+",$H125)),0,-VALUE(MID($H125,FIND(";"&amp;EI$10&amp;"+",$H125)+LEN(EI$10)+2,1))),
IF(AND(NT_Unstet,VLOOKUP($A125,ZAUBERWERTE,10,FALSE)&gt;="C"),-1,0),
IF(AND(NOT(EXACT($AF$241,"")),OR(DL$10&gt;$CO125,ISBLANK($CO125))),IF($CV$3,IF(ISERROR(FIND($AF$241,$BQ125)),0,1),(LEN($BQ125)-LEN(SUBSTITUTE($BQ125,$AF$241,"")))/LEN($AF$241)),0),
IF(AND(NOT(EXACT($AF$242,"")),OR(DL$10&gt;$CP125,ISBLANK($CP125))),IF($CV$3,IF(ISERROR(FIND($AF$242,$BQ125)),0,1),(LEN($BQ125)-LEN(SUBSTITUTE($BQ125,$AF$242,"")))/LEN($AF$242)),0),
IF(AND(NOT(EXACT($AF$243,"")),OR(DL$10&gt;$CQ125,ISBLANK($CQ125))),IF($CV$3,IF(ISERROR(FIND($AF$243,$BQ125)),0,1),(LEN($BQ125)-LEN(SUBSTITUTE($BQ125,$AF$243,"")))/LEN($AF$243)),0),
IF(AND(NOT(EXACT($AF$244,"")),OR(DL$10&gt;$CR125,ISBLANK($CR125))),IF($CV$3,IF(ISERROR(FIND($AF$244,$BQ125)),0,1),(LEN($BQ125)-LEN(SUBSTITUTE($BQ125,$AF$244,"")))/LEN($AF$244)),0),
IF(AND(NOT(EXACT($AF$245,"")),OR(DL$10&gt;$CS125,ISBLANK($CS125))),IF($CV$3,IF(ISERROR(FIND($AF$245,$BQ125)),0,1),(LEN($BQ125)-LEN(SUBSTITUTE($BQ125,$AF$245,"")))/LEN($AF$245)),0),
IF(AND(NOT(EXACT($AF$246,"")),OR(DL$10&gt;$CT125,ISBLANK($CT125))),IF($CV$3,IF(ISERROR(FIND($AF$246,$BQ125)),0,1),(LEN($BQ125)-LEN(SUBSTITUTE($BQ125,$AF$246,"")))/LEN($AF$246)),0),
IF(AND(NOT(EXACT($AF$247,"")),OR(DL$10&gt;$CU125,ISBLANK($CU125))),IF($CV$3,IF(ISERROR(FIND($AF$247,$BQ125)),0,1),(LEN($BQ125)-LEN(SUBSTITUTE($BQ125,$AF$247,"")))/LEN($AF$247)),0)
))</f>
        <v/>
      </c>
      <c r="EJ125" s="164" t="str">
        <f t="shared" ref="EJ125:EJ160" ca="1" si="501">IF($A125="","",IF(VT_VRTLZBR,CODE("F")+1,CODE(VLOOKUP($A125,ZAUBERWERTE,10,FALSE)))-
SUM($BR125:$CA125,
IF(ISERR(FIND(";"&amp;EJ$10&amp;";",$H125)),0,1),
IF(ISERR(FIND(";"&amp;EJ$10&amp;":",$H125)),0,VALUE(MID($H125,FIND(";"&amp;EJ$10&amp;":",$H125)+LEN(EJ$10)+2,1))),
IF(ISERR(FIND(";"&amp;EJ$10&amp;"+",$H125)),0,-VALUE(MID($H125,FIND(";"&amp;EJ$10&amp;"+",$H125)+LEN(EJ$10)+2,1))),
IF(AND(NT_Unstet,VLOOKUP($A125,ZAUBERWERTE,10,FALSE)&gt;="C"),-1,0),
IF(AND(NOT(EXACT($AF$241,"")),OR(DM$10&gt;$CO125,ISBLANK($CO125))),IF($CV$3,IF(ISERROR(FIND($AF$241,$BQ125)),0,1),(LEN($BQ125)-LEN(SUBSTITUTE($BQ125,$AF$241,"")))/LEN($AF$241)),0),
IF(AND(NOT(EXACT($AF$242,"")),OR(DM$10&gt;$CP125,ISBLANK($CP125))),IF($CV$3,IF(ISERROR(FIND($AF$242,$BQ125)),0,1),(LEN($BQ125)-LEN(SUBSTITUTE($BQ125,$AF$242,"")))/LEN($AF$242)),0),
IF(AND(NOT(EXACT($AF$243,"")),OR(DM$10&gt;$CQ125,ISBLANK($CQ125))),IF($CV$3,IF(ISERROR(FIND($AF$243,$BQ125)),0,1),(LEN($BQ125)-LEN(SUBSTITUTE($BQ125,$AF$243,"")))/LEN($AF$243)),0),
IF(AND(NOT(EXACT($AF$244,"")),OR(DM$10&gt;$CR125,ISBLANK($CR125))),IF($CV$3,IF(ISERROR(FIND($AF$244,$BQ125)),0,1),(LEN($BQ125)-LEN(SUBSTITUTE($BQ125,$AF$244,"")))/LEN($AF$244)),0),
IF(AND(NOT(EXACT($AF$245,"")),OR(DM$10&gt;$CS125,ISBLANK($CS125))),IF($CV$3,IF(ISERROR(FIND($AF$245,$BQ125)),0,1),(LEN($BQ125)-LEN(SUBSTITUTE($BQ125,$AF$245,"")))/LEN($AF$245)),0),
IF(AND(NOT(EXACT($AF$246,"")),OR(DM$10&gt;$CT125,ISBLANK($CT125))),IF($CV$3,IF(ISERROR(FIND($AF$246,$BQ125)),0,1),(LEN($BQ125)-LEN(SUBSTITUTE($BQ125,$AF$246,"")))/LEN($AF$246)),0),
IF(AND(NOT(EXACT($AF$247,"")),OR(DM$10&gt;$CU125,ISBLANK($CU125))),IF($CV$3,IF(ISERROR(FIND($AF$247,$BQ125)),0,1),(LEN($BQ125)-LEN(SUBSTITUTE($BQ125,$AF$247,"")))/LEN($AF$247)),0)
))</f>
        <v/>
      </c>
      <c r="EK125" s="164" t="str">
        <f t="shared" ref="EK125:EK160" ca="1" si="502">IF($A125="","",IF(VT_VRTLZBR,CODE("F")+1,CODE(VLOOKUP($A125,ZAUBERWERTE,10,FALSE)))-
SUM($BR125:$CA125,
IF(ISERR(FIND(";"&amp;EK$10&amp;";",$H125)),0,1),
IF(ISERR(FIND(";"&amp;EK$10&amp;":",$H125)),0,VALUE(MID($H125,FIND(";"&amp;EK$10&amp;":",$H125)+LEN(EK$10)+2,1))),
IF(ISERR(FIND(";"&amp;EK$10&amp;"+",$H125)),0,-VALUE(MID($H125,FIND(";"&amp;EK$10&amp;"+",$H125)+LEN(EK$10)+2,1))),
IF(AND(NT_Unstet,VLOOKUP($A125,ZAUBERWERTE,10,FALSE)&gt;="C"),-1,0),
IF(AND(NOT(EXACT($AF$241,"")),OR(DN$10&gt;$CO125,ISBLANK($CO125))),IF($CV$3,IF(ISERROR(FIND($AF$241,$BQ125)),0,1),(LEN($BQ125)-LEN(SUBSTITUTE($BQ125,$AF$241,"")))/LEN($AF$241)),0),
IF(AND(NOT(EXACT($AF$242,"")),OR(DN$10&gt;$CP125,ISBLANK($CP125))),IF($CV$3,IF(ISERROR(FIND($AF$242,$BQ125)),0,1),(LEN($BQ125)-LEN(SUBSTITUTE($BQ125,$AF$242,"")))/LEN($AF$242)),0),
IF(AND(NOT(EXACT($AF$243,"")),OR(DN$10&gt;$CQ125,ISBLANK($CQ125))),IF($CV$3,IF(ISERROR(FIND($AF$243,$BQ125)),0,1),(LEN($BQ125)-LEN(SUBSTITUTE($BQ125,$AF$243,"")))/LEN($AF$243)),0),
IF(AND(NOT(EXACT($AF$244,"")),OR(DN$10&gt;$CR125,ISBLANK($CR125))),IF($CV$3,IF(ISERROR(FIND($AF$244,$BQ125)),0,1),(LEN($BQ125)-LEN(SUBSTITUTE($BQ125,$AF$244,"")))/LEN($AF$244)),0),
IF(AND(NOT(EXACT($AF$245,"")),OR(DN$10&gt;$CS125,ISBLANK($CS125))),IF($CV$3,IF(ISERROR(FIND($AF$245,$BQ125)),0,1),(LEN($BQ125)-LEN(SUBSTITUTE($BQ125,$AF$245,"")))/LEN($AF$245)),0),
IF(AND(NOT(EXACT($AF$246,"")),OR(DN$10&gt;$CT125,ISBLANK($CT125))),IF($CV$3,IF(ISERROR(FIND($AF$246,$BQ125)),0,1),(LEN($BQ125)-LEN(SUBSTITUTE($BQ125,$AF$246,"")))/LEN($AF$246)),0),
IF(AND(NOT(EXACT($AF$247,"")),OR(DN$10&gt;$CU125,ISBLANK($CU125))),IF($CV$3,IF(ISERROR(FIND($AF$247,$BQ125)),0,1),(LEN($BQ125)-LEN(SUBSTITUTE($BQ125,$AF$247,"")))/LEN($AF$247)),0)
))</f>
        <v/>
      </c>
      <c r="EL125" s="164" t="str">
        <f t="shared" ref="EL125:EL160" ca="1" si="503">IF($A125="","",IF(VT_VRTLZBR,CODE("F")+1,CODE(VLOOKUP($A125,ZAUBERWERTE,10,FALSE)))-
SUM($BR125:$CA125,
IF(ISERR(FIND(";"&amp;EL$10&amp;";",$H125)),0,1),
IF(ISERR(FIND(";"&amp;EL$10&amp;":",$H125)),0,VALUE(MID($H125,FIND(";"&amp;EL$10&amp;":",$H125)+LEN(EL$10)+2,1))),
IF(ISERR(FIND(";"&amp;EL$10&amp;"+",$H125)),0,-VALUE(MID($H125,FIND(";"&amp;EL$10&amp;"+",$H125)+LEN(EL$10)+2,1))),
IF(AND(NT_Unstet,VLOOKUP($A125,ZAUBERWERTE,10,FALSE)&gt;="C"),-1,0),
IF(AND(NOT(EXACT($AF$241,"")),OR(DO$10&gt;$CO125,ISBLANK($CO125))),IF($CV$3,IF(ISERROR(FIND($AF$241,$BQ125)),0,1),(LEN($BQ125)-LEN(SUBSTITUTE($BQ125,$AF$241,"")))/LEN($AF$241)),0),
IF(AND(NOT(EXACT($AF$242,"")),OR(DO$10&gt;$CP125,ISBLANK($CP125))),IF($CV$3,IF(ISERROR(FIND($AF$242,$BQ125)),0,1),(LEN($BQ125)-LEN(SUBSTITUTE($BQ125,$AF$242,"")))/LEN($AF$242)),0),
IF(AND(NOT(EXACT($AF$243,"")),OR(DO$10&gt;$CQ125,ISBLANK($CQ125))),IF($CV$3,IF(ISERROR(FIND($AF$243,$BQ125)),0,1),(LEN($BQ125)-LEN(SUBSTITUTE($BQ125,$AF$243,"")))/LEN($AF$243)),0),
IF(AND(NOT(EXACT($AF$244,"")),OR(DO$10&gt;$CR125,ISBLANK($CR125))),IF($CV$3,IF(ISERROR(FIND($AF$244,$BQ125)),0,1),(LEN($BQ125)-LEN(SUBSTITUTE($BQ125,$AF$244,"")))/LEN($AF$244)),0),
IF(AND(NOT(EXACT($AF$245,"")),OR(DO$10&gt;$CS125,ISBLANK($CS125))),IF($CV$3,IF(ISERROR(FIND($AF$245,$BQ125)),0,1),(LEN($BQ125)-LEN(SUBSTITUTE($BQ125,$AF$245,"")))/LEN($AF$245)),0),
IF(AND(NOT(EXACT($AF$246,"")),OR(DO$10&gt;$CT125,ISBLANK($CT125))),IF($CV$3,IF(ISERROR(FIND($AF$246,$BQ125)),0,1),(LEN($BQ125)-LEN(SUBSTITUTE($BQ125,$AF$246,"")))/LEN($AF$246)),0),
IF(AND(NOT(EXACT($AF$247,"")),OR(DO$10&gt;$CU125,ISBLANK($CU125))),IF($CV$3,IF(ISERROR(FIND($AF$247,$BQ125)),0,1),(LEN($BQ125)-LEN(SUBSTITUTE($BQ125,$AF$247,"")))/LEN($AF$247)),0)
))</f>
        <v/>
      </c>
      <c r="EM125" s="164" t="str">
        <f t="shared" ref="EM125:EM160" ca="1" si="504">IF($A125="","",IF(VT_VRTLZBR,CODE("F")+1,CODE(VLOOKUP($A125,ZAUBERWERTE,10,FALSE)))-
SUM($BR125:$CA125,
IF(ISERR(FIND(";"&amp;EM$10&amp;";",$H125)),0,1),
IF(ISERR(FIND(";"&amp;EM$10&amp;":",$H125)),0,VALUE(MID($H125,FIND(";"&amp;EM$10&amp;":",$H125)+LEN(EM$10)+2,1))),
IF(ISERR(FIND(";"&amp;EM$10&amp;"+",$H125)),0,-VALUE(MID($H125,FIND(";"&amp;EM$10&amp;"+",$H125)+LEN(EM$10)+2,1))),
IF(AND(NT_Unstet,VLOOKUP($A125,ZAUBERWERTE,10,FALSE)&gt;="C"),-1,0),
IF(AND(NOT(EXACT($AF$241,"")),OR(DP$10&gt;$CO125,ISBLANK($CO125))),IF($CV$3,IF(ISERROR(FIND($AF$241,$BQ125)),0,1),(LEN($BQ125)-LEN(SUBSTITUTE($BQ125,$AF$241,"")))/LEN($AF$241)),0),
IF(AND(NOT(EXACT($AF$242,"")),OR(DP$10&gt;$CP125,ISBLANK($CP125))),IF($CV$3,IF(ISERROR(FIND($AF$242,$BQ125)),0,1),(LEN($BQ125)-LEN(SUBSTITUTE($BQ125,$AF$242,"")))/LEN($AF$242)),0),
IF(AND(NOT(EXACT($AF$243,"")),OR(DP$10&gt;$CQ125,ISBLANK($CQ125))),IF($CV$3,IF(ISERROR(FIND($AF$243,$BQ125)),0,1),(LEN($BQ125)-LEN(SUBSTITUTE($BQ125,$AF$243,"")))/LEN($AF$243)),0),
IF(AND(NOT(EXACT($AF$244,"")),OR(DP$10&gt;$CR125,ISBLANK($CR125))),IF($CV$3,IF(ISERROR(FIND($AF$244,$BQ125)),0,1),(LEN($BQ125)-LEN(SUBSTITUTE($BQ125,$AF$244,"")))/LEN($AF$244)),0),
IF(AND(NOT(EXACT($AF$245,"")),OR(DP$10&gt;$CS125,ISBLANK($CS125))),IF($CV$3,IF(ISERROR(FIND($AF$245,$BQ125)),0,1),(LEN($BQ125)-LEN(SUBSTITUTE($BQ125,$AF$245,"")))/LEN($AF$245)),0),
IF(AND(NOT(EXACT($AF$246,"")),OR(DP$10&gt;$CT125,ISBLANK($CT125))),IF($CV$3,IF(ISERROR(FIND($AF$246,$BQ125)),0,1),(LEN($BQ125)-LEN(SUBSTITUTE($BQ125,$AF$246,"")))/LEN($AF$246)),0),
IF(AND(NOT(EXACT($AF$247,"")),OR(DP$10&gt;$CU125,ISBLANK($CU125))),IF($CV$3,IF(ISERROR(FIND($AF$247,$BQ125)),0,1),(LEN($BQ125)-LEN(SUBSTITUTE($BQ125,$AF$247,"")))/LEN($AF$247)),0)
))</f>
        <v/>
      </c>
      <c r="EN125" s="164" t="str">
        <f t="shared" ref="EN125:EN160" ca="1" si="505">IF($A125="","",IF(VT_VRTLZBR,CODE("F")+1,CODE(VLOOKUP($A125,ZAUBERWERTE,10,FALSE)))-
SUM($BR125:$CA125,
IF(ISERR(FIND(";"&amp;EN$10&amp;";",$H125)),0,1),
IF(ISERR(FIND(";"&amp;EN$10&amp;":",$H125)),0,VALUE(MID($H125,FIND(";"&amp;EN$10&amp;":",$H125)+LEN(EN$10)+2,1))),
IF(ISERR(FIND(";"&amp;EN$10&amp;"+",$H125)),0,-VALUE(MID($H125,FIND(";"&amp;EN$10&amp;"+",$H125)+LEN(EN$10)+2,1))),
IF(AND(NT_Unstet,VLOOKUP($A125,ZAUBERWERTE,10,FALSE)&gt;="C"),-1,0),
IF(AND(NOT(EXACT($AF$241,"")),OR(DQ$10&gt;$CO125,ISBLANK($CO125))),IF($CV$3,IF(ISERROR(FIND($AF$241,$BQ125)),0,1),(LEN($BQ125)-LEN(SUBSTITUTE($BQ125,$AF$241,"")))/LEN($AF$241)),0),
IF(AND(NOT(EXACT($AF$242,"")),OR(DQ$10&gt;$CP125,ISBLANK($CP125))),IF($CV$3,IF(ISERROR(FIND($AF$242,$BQ125)),0,1),(LEN($BQ125)-LEN(SUBSTITUTE($BQ125,$AF$242,"")))/LEN($AF$242)),0),
IF(AND(NOT(EXACT($AF$243,"")),OR(DQ$10&gt;$CQ125,ISBLANK($CQ125))),IF($CV$3,IF(ISERROR(FIND($AF$243,$BQ125)),0,1),(LEN($BQ125)-LEN(SUBSTITUTE($BQ125,$AF$243,"")))/LEN($AF$243)),0),
IF(AND(NOT(EXACT($AF$244,"")),OR(DQ$10&gt;$CR125,ISBLANK($CR125))),IF($CV$3,IF(ISERROR(FIND($AF$244,$BQ125)),0,1),(LEN($BQ125)-LEN(SUBSTITUTE($BQ125,$AF$244,"")))/LEN($AF$244)),0),
IF(AND(NOT(EXACT($AF$245,"")),OR(DQ$10&gt;$CS125,ISBLANK($CS125))),IF($CV$3,IF(ISERROR(FIND($AF$245,$BQ125)),0,1),(LEN($BQ125)-LEN(SUBSTITUTE($BQ125,$AF$245,"")))/LEN($AF$245)),0),
IF(AND(NOT(EXACT($AF$246,"")),OR(DQ$10&gt;$CT125,ISBLANK($CT125))),IF($CV$3,IF(ISERROR(FIND($AF$246,$BQ125)),0,1),(LEN($BQ125)-LEN(SUBSTITUTE($BQ125,$AF$246,"")))/LEN($AF$246)),0),
IF(AND(NOT(EXACT($AF$247,"")),OR(DQ$10&gt;$CU125,ISBLANK($CU125))),IF($CV$3,IF(ISERROR(FIND($AF$247,$BQ125)),0,1),(LEN($BQ125)-LEN(SUBSTITUTE($BQ125,$AF$247,"")))/LEN($AF$247)),0)
))</f>
        <v/>
      </c>
      <c r="EO125" s="164" t="str">
        <f t="shared" ref="EO125:EO160" ca="1" si="506">IF($A125="","",IF(VT_VRTLZBR,CODE("F")+1,CODE(VLOOKUP($A125,ZAUBERWERTE,10,FALSE)))-
SUM($BR125:$CA125,
IF(ISERR(FIND(";"&amp;EO$10&amp;";",$H125)),0,1),
IF(ISERR(FIND(";"&amp;EO$10&amp;":",$H125)),0,VALUE(MID($H125,FIND(";"&amp;EO$10&amp;":",$H125)+LEN(EO$10)+2,1))),
IF(ISERR(FIND(";"&amp;EO$10&amp;"+",$H125)),0,-VALUE(MID($H125,FIND(";"&amp;EO$10&amp;"+",$H125)+LEN(EO$10)+2,1))),
IF(AND(NT_Unstet,VLOOKUP($A125,ZAUBERWERTE,10,FALSE)&gt;="C"),-1,0),
IF(AND(NOT(EXACT($AF$241,"")),OR(DR$10&gt;$CO125,ISBLANK($CO125))),IF($CV$3,IF(ISERROR(FIND($AF$241,$BQ125)),0,1),(LEN($BQ125)-LEN(SUBSTITUTE($BQ125,$AF$241,"")))/LEN($AF$241)),0),
IF(AND(NOT(EXACT($AF$242,"")),OR(DR$10&gt;$CP125,ISBLANK($CP125))),IF($CV$3,IF(ISERROR(FIND($AF$242,$BQ125)),0,1),(LEN($BQ125)-LEN(SUBSTITUTE($BQ125,$AF$242,"")))/LEN($AF$242)),0),
IF(AND(NOT(EXACT($AF$243,"")),OR(DR$10&gt;$CQ125,ISBLANK($CQ125))),IF($CV$3,IF(ISERROR(FIND($AF$243,$BQ125)),0,1),(LEN($BQ125)-LEN(SUBSTITUTE($BQ125,$AF$243,"")))/LEN($AF$243)),0),
IF(AND(NOT(EXACT($AF$244,"")),OR(DR$10&gt;$CR125,ISBLANK($CR125))),IF($CV$3,IF(ISERROR(FIND($AF$244,$BQ125)),0,1),(LEN($BQ125)-LEN(SUBSTITUTE($BQ125,$AF$244,"")))/LEN($AF$244)),0),
IF(AND(NOT(EXACT($AF$245,"")),OR(DR$10&gt;$CS125,ISBLANK($CS125))),IF($CV$3,IF(ISERROR(FIND($AF$245,$BQ125)),0,1),(LEN($BQ125)-LEN(SUBSTITUTE($BQ125,$AF$245,"")))/LEN($AF$245)),0),
IF(AND(NOT(EXACT($AF$246,"")),OR(DR$10&gt;$CT125,ISBLANK($CT125))),IF($CV$3,IF(ISERROR(FIND($AF$246,$BQ125)),0,1),(LEN($BQ125)-LEN(SUBSTITUTE($BQ125,$AF$246,"")))/LEN($AF$246)),0),
IF(AND(NOT(EXACT($AF$247,"")),OR(DR$10&gt;$CU125,ISBLANK($CU125))),IF($CV$3,IF(ISERROR(FIND($AF$247,$BQ125)),0,1),(LEN($BQ125)-LEN(SUBSTITUTE($BQ125,$AF$247,"")))/LEN($AF$247)),0)
))</f>
        <v/>
      </c>
      <c r="EP125" s="164" t="str">
        <f t="shared" ref="EP125:EP160" ca="1" si="507">IF($A125="","",IF(VT_VRTLZBR,CODE("F")+1,CODE(VLOOKUP($A125,ZAUBERWERTE,10,FALSE)))-
SUM($BR125:$CA125,
IF(ISERR(FIND(";"&amp;EP$10&amp;";",$H125)),0,1),
IF(ISERR(FIND(";"&amp;EP$10&amp;":",$H125)),0,VALUE(MID($H125,FIND(";"&amp;EP$10&amp;":",$H125)+LEN(EP$10)+2,1))),
IF(ISERR(FIND(";"&amp;EP$10&amp;"+",$H125)),0,-VALUE(MID($H125,FIND(";"&amp;EP$10&amp;"+",$H125)+LEN(EP$10)+2,1))),
IF(AND(NT_Unstet,VLOOKUP($A125,ZAUBERWERTE,10,FALSE)&gt;="C"),-1,0),
IF(AND(NOT(EXACT($AF$241,"")),OR(DS$10&gt;$CO125,ISBLANK($CO125))),IF($CV$3,IF(ISERROR(FIND($AF$241,$BQ125)),0,1),(LEN($BQ125)-LEN(SUBSTITUTE($BQ125,$AF$241,"")))/LEN($AF$241)),0),
IF(AND(NOT(EXACT($AF$242,"")),OR(DS$10&gt;$CP125,ISBLANK($CP125))),IF($CV$3,IF(ISERROR(FIND($AF$242,$BQ125)),0,1),(LEN($BQ125)-LEN(SUBSTITUTE($BQ125,$AF$242,"")))/LEN($AF$242)),0),
IF(AND(NOT(EXACT($AF$243,"")),OR(DS$10&gt;$CQ125,ISBLANK($CQ125))),IF($CV$3,IF(ISERROR(FIND($AF$243,$BQ125)),0,1),(LEN($BQ125)-LEN(SUBSTITUTE($BQ125,$AF$243,"")))/LEN($AF$243)),0),
IF(AND(NOT(EXACT($AF$244,"")),OR(DS$10&gt;$CR125,ISBLANK($CR125))),IF($CV$3,IF(ISERROR(FIND($AF$244,$BQ125)),0,1),(LEN($BQ125)-LEN(SUBSTITUTE($BQ125,$AF$244,"")))/LEN($AF$244)),0),
IF(AND(NOT(EXACT($AF$245,"")),OR(DS$10&gt;$CS125,ISBLANK($CS125))),IF($CV$3,IF(ISERROR(FIND($AF$245,$BQ125)),0,1),(LEN($BQ125)-LEN(SUBSTITUTE($BQ125,$AF$245,"")))/LEN($AF$245)),0),
IF(AND(NOT(EXACT($AF$246,"")),OR(DS$10&gt;$CT125,ISBLANK($CT125))),IF($CV$3,IF(ISERROR(FIND($AF$246,$BQ125)),0,1),(LEN($BQ125)-LEN(SUBSTITUTE($BQ125,$AF$246,"")))/LEN($AF$246)),0),
IF(AND(NOT(EXACT($AF$247,"")),OR(DS$10&gt;$CU125,ISBLANK($CU125))),IF($CV$3,IF(ISERROR(FIND($AF$247,$BQ125)),0,1),(LEN($BQ125)-LEN(SUBSTITUTE($BQ125,$AF$247,"")))/LEN($AF$247)),0)
))</f>
        <v/>
      </c>
      <c r="EQ125" s="164" t="str">
        <f t="shared" ref="EQ125:EQ160" ca="1" si="508">IF($A125="","",IF(VT_VRTLZBR,CODE("F")+1,CODE(VLOOKUP($A125,ZAUBERWERTE,10,FALSE)))-
SUM($BR125:$CA125,
IF(ISERR(FIND(";"&amp;EQ$10&amp;";",$H125)),0,1),
IF(ISERR(FIND(";"&amp;EQ$10&amp;":",$H125)),0,VALUE(MID($H125,FIND(";"&amp;EQ$10&amp;":",$H125)+LEN(EQ$10)+2,1))),
IF(ISERR(FIND(";"&amp;EQ$10&amp;"+",$H125)),0,-VALUE(MID($H125,FIND(";"&amp;EQ$10&amp;"+",$H125)+LEN(EQ$10)+2,1))),
IF(AND(NT_Unstet,VLOOKUP($A125,ZAUBERWERTE,10,FALSE)&gt;="C"),-1,0),
IF(AND(NOT(EXACT($AF$241,"")),OR(DT$10&gt;$CO125,ISBLANK($CO125))),IF($CV$3,IF(ISERROR(FIND($AF$241,$BQ125)),0,1),(LEN($BQ125)-LEN(SUBSTITUTE($BQ125,$AF$241,"")))/LEN($AF$241)),0),
IF(AND(NOT(EXACT($AF$242,"")),OR(DT$10&gt;$CP125,ISBLANK($CP125))),IF($CV$3,IF(ISERROR(FIND($AF$242,$BQ125)),0,1),(LEN($BQ125)-LEN(SUBSTITUTE($BQ125,$AF$242,"")))/LEN($AF$242)),0),
IF(AND(NOT(EXACT($AF$243,"")),OR(DT$10&gt;$CQ125,ISBLANK($CQ125))),IF($CV$3,IF(ISERROR(FIND($AF$243,$BQ125)),0,1),(LEN($BQ125)-LEN(SUBSTITUTE($BQ125,$AF$243,"")))/LEN($AF$243)),0),
IF(AND(NOT(EXACT($AF$244,"")),OR(DT$10&gt;$CR125,ISBLANK($CR125))),IF($CV$3,IF(ISERROR(FIND($AF$244,$BQ125)),0,1),(LEN($BQ125)-LEN(SUBSTITUTE($BQ125,$AF$244,"")))/LEN($AF$244)),0),
IF(AND(NOT(EXACT($AF$245,"")),OR(DT$10&gt;$CS125,ISBLANK($CS125))),IF($CV$3,IF(ISERROR(FIND($AF$245,$BQ125)),0,1),(LEN($BQ125)-LEN(SUBSTITUTE($BQ125,$AF$245,"")))/LEN($AF$245)),0),
IF(AND(NOT(EXACT($AF$246,"")),OR(DT$10&gt;$CT125,ISBLANK($CT125))),IF($CV$3,IF(ISERROR(FIND($AF$246,$BQ125)),0,1),(LEN($BQ125)-LEN(SUBSTITUTE($BQ125,$AF$246,"")))/LEN($AF$246)),0),
IF(AND(NOT(EXACT($AF$247,"")),OR(DT$10&gt;$CU125,ISBLANK($CU125))),IF($CV$3,IF(ISERROR(FIND($AF$247,$BQ125)),0,1),(LEN($BQ125)-LEN(SUBSTITUTE($BQ125,$AF$247,"")))/LEN($AF$247)),0)
))</f>
        <v/>
      </c>
      <c r="ER125" s="164" t="str">
        <f t="shared" ref="ER125:ER160" ca="1" si="509">IF($A125="","",IF(VT_VRTLZBR,CODE("F")+1,CODE(VLOOKUP($A125,ZAUBERWERTE,10,FALSE)))-
SUM($BR125:$CA125,
IF(ISERR(FIND(";"&amp;ER$10&amp;";",$H125)),0,1),
IF(ISERR(FIND(";"&amp;ER$10&amp;":",$H125)),0,VALUE(MID($H125,FIND(";"&amp;ER$10&amp;":",$H125)+LEN(ER$10)+2,1))),
IF(ISERR(FIND(";"&amp;ER$10&amp;"+",$H125)),0,-VALUE(MID($H125,FIND(";"&amp;ER$10&amp;"+",$H125)+LEN(ER$10)+2,1))),
IF(AND(NT_Unstet,VLOOKUP($A125,ZAUBERWERTE,10,FALSE)&gt;="C"),-1,0),
IF(AND(NOT(EXACT($AF$241,"")),OR(DU$10&gt;$CO125,ISBLANK($CO125))),IF($CV$3,IF(ISERROR(FIND($AF$241,$BQ125)),0,1),(LEN($BQ125)-LEN(SUBSTITUTE($BQ125,$AF$241,"")))/LEN($AF$241)),0),
IF(AND(NOT(EXACT($AF$242,"")),OR(DU$10&gt;$CP125,ISBLANK($CP125))),IF($CV$3,IF(ISERROR(FIND($AF$242,$BQ125)),0,1),(LEN($BQ125)-LEN(SUBSTITUTE($BQ125,$AF$242,"")))/LEN($AF$242)),0),
IF(AND(NOT(EXACT($AF$243,"")),OR(DU$10&gt;$CQ125,ISBLANK($CQ125))),IF($CV$3,IF(ISERROR(FIND($AF$243,$BQ125)),0,1),(LEN($BQ125)-LEN(SUBSTITUTE($BQ125,$AF$243,"")))/LEN($AF$243)),0),
IF(AND(NOT(EXACT($AF$244,"")),OR(DU$10&gt;$CR125,ISBLANK($CR125))),IF($CV$3,IF(ISERROR(FIND($AF$244,$BQ125)),0,1),(LEN($BQ125)-LEN(SUBSTITUTE($BQ125,$AF$244,"")))/LEN($AF$244)),0),
IF(AND(NOT(EXACT($AF$245,"")),OR(DU$10&gt;$CS125,ISBLANK($CS125))),IF($CV$3,IF(ISERROR(FIND($AF$245,$BQ125)),0,1),(LEN($BQ125)-LEN(SUBSTITUTE($BQ125,$AF$245,"")))/LEN($AF$245)),0),
IF(AND(NOT(EXACT($AF$246,"")),OR(DU$10&gt;$CT125,ISBLANK($CT125))),IF($CV$3,IF(ISERROR(FIND($AF$246,$BQ125)),0,1),(LEN($BQ125)-LEN(SUBSTITUTE($BQ125,$AF$246,"")))/LEN($AF$246)),0),
IF(AND(NOT(EXACT($AF$247,"")),OR(DU$10&gt;$CU125,ISBLANK($CU125))),IF($CV$3,IF(ISERROR(FIND($AF$247,$BQ125)),0,1),(LEN($BQ125)-LEN(SUBSTITUTE($BQ125,$AF$247,"")))/LEN($AF$247)),0)
))</f>
        <v/>
      </c>
      <c r="ES125" s="164" t="str">
        <f t="shared" ref="ES125:ES160" ca="1" si="510">IF($A125="","",IF(VT_VRTLZBR,CODE("F")+1,CODE(VLOOKUP($A125,ZAUBERWERTE,10,FALSE)))-
SUM($BR125:$CA125,
IF(ISERR(FIND(";"&amp;ES$10&amp;";",$H125)),0,1),
IF(ISERR(FIND(";"&amp;ES$10&amp;":",$H125)),0,VALUE(MID($H125,FIND(";"&amp;ES$10&amp;":",$H125)+LEN(ES$10)+2,1))),
IF(ISERR(FIND(";"&amp;ES$10&amp;"+",$H125)),0,-VALUE(MID($H125,FIND(";"&amp;ES$10&amp;"+",$H125)+LEN(ES$10)+2,1))),
IF(AND(NT_Unstet,VLOOKUP($A125,ZAUBERWERTE,10,FALSE)&gt;="C"),-1,0),
IF(AND(NOT(EXACT($AF$241,"")),OR(DV$10&gt;$CO125,ISBLANK($CO125))),IF($CV$3,IF(ISERROR(FIND($AF$241,$BQ125)),0,1),(LEN($BQ125)-LEN(SUBSTITUTE($BQ125,$AF$241,"")))/LEN($AF$241)),0),
IF(AND(NOT(EXACT($AF$242,"")),OR(DV$10&gt;$CP125,ISBLANK($CP125))),IF($CV$3,IF(ISERROR(FIND($AF$242,$BQ125)),0,1),(LEN($BQ125)-LEN(SUBSTITUTE($BQ125,$AF$242,"")))/LEN($AF$242)),0),
IF(AND(NOT(EXACT($AF$243,"")),OR(DV$10&gt;$CQ125,ISBLANK($CQ125))),IF($CV$3,IF(ISERROR(FIND($AF$243,$BQ125)),0,1),(LEN($BQ125)-LEN(SUBSTITUTE($BQ125,$AF$243,"")))/LEN($AF$243)),0),
IF(AND(NOT(EXACT($AF$244,"")),OR(DV$10&gt;$CR125,ISBLANK($CR125))),IF($CV$3,IF(ISERROR(FIND($AF$244,$BQ125)),0,1),(LEN($BQ125)-LEN(SUBSTITUTE($BQ125,$AF$244,"")))/LEN($AF$244)),0),
IF(AND(NOT(EXACT($AF$245,"")),OR(DV$10&gt;$CS125,ISBLANK($CS125))),IF($CV$3,IF(ISERROR(FIND($AF$245,$BQ125)),0,1),(LEN($BQ125)-LEN(SUBSTITUTE($BQ125,$AF$245,"")))/LEN($AF$245)),0),
IF(AND(NOT(EXACT($AF$246,"")),OR(DV$10&gt;$CT125,ISBLANK($CT125))),IF($CV$3,IF(ISERROR(FIND($AF$246,$BQ125)),0,1),(LEN($BQ125)-LEN(SUBSTITUTE($BQ125,$AF$246,"")))/LEN($AF$246)),0),
IF(AND(NOT(EXACT($AF$247,"")),OR(DV$10&gt;$CU125,ISBLANK($CU125))),IF($CV$3,IF(ISERROR(FIND($AF$247,$BQ125)),0,1),(LEN($BQ125)-LEN(SUBSTITUTE($BQ125,$AF$247,"")))/LEN($AF$247)),0)
))</f>
        <v/>
      </c>
    </row>
    <row r="126" spans="1:149" x14ac:dyDescent="0.2">
      <c r="A126" s="89" t="str">
        <f t="shared" ref="A126:A160" ca="1" si="511">IF(MAGISCH,IF(NOT(EXACT(MID(BZALLE,SUM(LEN($CE125),1),2),"")),MID(BZALLE,SUM(LEN($CE125),1),SUM(FIND(",",BZALLE,SUM(LEN($CE125),1)),-LEN($CE125),-1)),""),"")</f>
        <v/>
      </c>
      <c r="B126" s="317" t="str">
        <f t="shared" ca="1" si="423"/>
        <v/>
      </c>
      <c r="C126" s="609" t="str">
        <f t="shared" ca="1" si="424"/>
        <v/>
      </c>
      <c r="D126" s="1956" t="str">
        <f t="shared" ca="1" si="425"/>
        <v/>
      </c>
      <c r="E126" s="1956"/>
      <c r="F126" s="960"/>
      <c r="G126" s="485" t="str">
        <f t="shared" ca="1" si="426"/>
        <v/>
      </c>
      <c r="H126" s="983"/>
      <c r="I126" s="486"/>
      <c r="J126" s="326"/>
      <c r="K126" s="1886" t="str">
        <f t="shared" ca="1" si="427"/>
        <v/>
      </c>
      <c r="L126" s="1888"/>
      <c r="M126" s="296" t="str">
        <f t="shared" ref="M126:M160" ca="1" si="512">IF(AND(OR(EXACT($B126,""),$B126=0),ISBLANK($F126),ISBLANK($J126)),"",SUM($B126,$F126,$J126))</f>
        <v/>
      </c>
      <c r="N126" s="1322"/>
      <c r="O126" s="1319"/>
      <c r="P126" s="957" t="str">
        <f t="shared" ca="1" si="428"/>
        <v/>
      </c>
      <c r="Q126" s="164">
        <f t="shared" si="429"/>
        <v>0</v>
      </c>
      <c r="R126" s="164">
        <f t="shared" ca="1" si="430"/>
        <v>0</v>
      </c>
      <c r="S126" s="164">
        <f t="shared" ca="1" si="431"/>
        <v>0</v>
      </c>
      <c r="T126" s="164">
        <f t="shared" ca="1" si="432"/>
        <v>0</v>
      </c>
      <c r="U126" s="164">
        <f t="shared" ca="1" si="433"/>
        <v>0</v>
      </c>
      <c r="V126" s="164">
        <f t="shared" ca="1" si="434"/>
        <v>0</v>
      </c>
      <c r="W126" s="164">
        <f t="shared" ca="1" si="435"/>
        <v>0</v>
      </c>
      <c r="X126" s="164">
        <f t="shared" ca="1" si="436"/>
        <v>0</v>
      </c>
      <c r="Y126" s="164">
        <f t="shared" ca="1" si="437"/>
        <v>0</v>
      </c>
      <c r="Z126" s="164">
        <f t="shared" ca="1" si="438"/>
        <v>0</v>
      </c>
      <c r="AA126" s="164">
        <f t="shared" ca="1" si="439"/>
        <v>0</v>
      </c>
      <c r="AB126" s="164">
        <f t="shared" ca="1" si="440"/>
        <v>0</v>
      </c>
      <c r="AC126" s="164">
        <f t="shared" ca="1" si="441"/>
        <v>0</v>
      </c>
      <c r="AD126" s="164">
        <f t="shared" ca="1" si="442"/>
        <v>0</v>
      </c>
      <c r="AE126" s="164">
        <f t="shared" ca="1" si="443"/>
        <v>0</v>
      </c>
      <c r="AF126" s="164">
        <f t="shared" ca="1" si="444"/>
        <v>0</v>
      </c>
      <c r="AG126" s="164">
        <f t="shared" ca="1" si="445"/>
        <v>0</v>
      </c>
      <c r="AH126" s="164">
        <f t="shared" ca="1" si="446"/>
        <v>0</v>
      </c>
      <c r="AI126" s="164">
        <f t="shared" ca="1" si="447"/>
        <v>0</v>
      </c>
      <c r="AJ126" s="164">
        <f t="shared" ca="1" si="448"/>
        <v>0</v>
      </c>
      <c r="AK126" s="164">
        <f t="shared" ca="1" si="449"/>
        <v>0</v>
      </c>
      <c r="AL126" s="164">
        <f t="shared" ca="1" si="450"/>
        <v>0</v>
      </c>
      <c r="AM126" s="208"/>
      <c r="AN126" s="164">
        <f t="shared" si="451"/>
        <v>0</v>
      </c>
      <c r="AO126" s="164">
        <f t="shared" ca="1" si="452"/>
        <v>0</v>
      </c>
      <c r="AP126" s="164">
        <f t="shared" ca="1" si="453"/>
        <v>0</v>
      </c>
      <c r="AQ126" s="164">
        <f t="shared" ca="1" si="454"/>
        <v>0</v>
      </c>
      <c r="AR126" s="164">
        <f t="shared" ca="1" si="455"/>
        <v>0</v>
      </c>
      <c r="AS126" s="164">
        <f t="shared" ca="1" si="456"/>
        <v>0</v>
      </c>
      <c r="AT126" s="164">
        <f t="shared" ca="1" si="457"/>
        <v>0</v>
      </c>
      <c r="AU126" s="164">
        <f t="shared" ca="1" si="458"/>
        <v>0</v>
      </c>
      <c r="AV126" s="164">
        <f t="shared" ca="1" si="459"/>
        <v>0</v>
      </c>
      <c r="AW126" s="164">
        <f t="shared" ca="1" si="460"/>
        <v>0</v>
      </c>
      <c r="AX126" s="164">
        <f t="shared" ca="1" si="461"/>
        <v>0</v>
      </c>
      <c r="AY126" s="164">
        <f t="shared" ca="1" si="462"/>
        <v>0</v>
      </c>
      <c r="AZ126" s="164">
        <f t="shared" ca="1" si="463"/>
        <v>0</v>
      </c>
      <c r="BA126" s="164">
        <f t="shared" ca="1" si="464"/>
        <v>0</v>
      </c>
      <c r="BB126" s="164">
        <f t="shared" ca="1" si="465"/>
        <v>0</v>
      </c>
      <c r="BC126" s="164">
        <f t="shared" ca="1" si="466"/>
        <v>0</v>
      </c>
      <c r="BD126" s="164">
        <f t="shared" ca="1" si="467"/>
        <v>0</v>
      </c>
      <c r="BE126" s="164">
        <f t="shared" ca="1" si="468"/>
        <v>0</v>
      </c>
      <c r="BF126" s="164">
        <f t="shared" ca="1" si="469"/>
        <v>0</v>
      </c>
      <c r="BG126" s="164">
        <f t="shared" ca="1" si="470"/>
        <v>0</v>
      </c>
      <c r="BH126" s="164">
        <f t="shared" ca="1" si="471"/>
        <v>0</v>
      </c>
      <c r="BI126" s="164">
        <f t="shared" ca="1" si="472"/>
        <v>0</v>
      </c>
      <c r="BJ126" s="164">
        <f t="shared" ca="1" si="473"/>
        <v>0</v>
      </c>
      <c r="BK126" s="164">
        <f t="shared" ca="1" si="474"/>
        <v>0</v>
      </c>
      <c r="BL126" s="164">
        <f t="shared" ca="1" si="475"/>
        <v>0</v>
      </c>
      <c r="BM126" s="164">
        <f t="shared" ca="1" si="476"/>
        <v>0</v>
      </c>
      <c r="BN126" s="164">
        <f t="shared" ca="1" si="477"/>
        <v>0</v>
      </c>
      <c r="BO126" s="356" t="str">
        <f t="shared" ca="1" si="478"/>
        <v/>
      </c>
      <c r="BP126" s="355" t="str">
        <f t="shared" ca="1" si="380"/>
        <v/>
      </c>
      <c r="BQ126" s="355" t="str">
        <f t="shared" ca="1" si="381"/>
        <v/>
      </c>
      <c r="BR126" s="348">
        <f t="shared" ca="1" si="312"/>
        <v>0</v>
      </c>
      <c r="BS126" s="348">
        <f t="shared" ca="1" si="313"/>
        <v>0</v>
      </c>
      <c r="BT126" s="610">
        <f t="shared" ca="1" si="479"/>
        <v>0</v>
      </c>
      <c r="BU126" s="357">
        <f t="shared" ca="1" si="383"/>
        <v>0</v>
      </c>
      <c r="BV126" s="357">
        <f t="shared" si="480"/>
        <v>0</v>
      </c>
      <c r="BW126" s="357">
        <f t="shared" si="481"/>
        <v>0</v>
      </c>
      <c r="BX126" s="357">
        <f t="shared" ca="1" si="482"/>
        <v>0</v>
      </c>
      <c r="BY126" s="357">
        <f t="shared" ca="1" si="316"/>
        <v>0</v>
      </c>
      <c r="BZ126" s="357"/>
      <c r="CA126" s="357">
        <f t="shared" ca="1" si="314"/>
        <v>0</v>
      </c>
      <c r="CB126" s="357" t="str">
        <f t="shared" ca="1" si="483"/>
        <v/>
      </c>
      <c r="CC126" s="358" t="str">
        <f t="shared" ca="1" si="317"/>
        <v/>
      </c>
      <c r="CD126" s="358" t="str">
        <f t="shared" ca="1" si="318"/>
        <v/>
      </c>
      <c r="CE126" s="357" t="str">
        <f t="shared" ref="CE126:CE160" ca="1" si="513">CONCATENATE($CE125,$A126,",")</f>
        <v>,,,,,,,,,,,,,,,,,,,,,,,,,,,,,,,,,,,,,,,,,,,,,,,,,,,,,,,,,,,,,,,,,,</v>
      </c>
      <c r="CF126" s="154" t="str">
        <f t="shared" si="315"/>
        <v/>
      </c>
      <c r="CG126" s="154">
        <f t="shared" ca="1" si="319"/>
        <v>0</v>
      </c>
      <c r="CH126" s="154"/>
      <c r="CI126" s="154"/>
      <c r="CJ126" s="154"/>
      <c r="CK126" s="154"/>
      <c r="CL126" s="154"/>
      <c r="CM126" s="154"/>
      <c r="CN126" t="s">
        <v>784</v>
      </c>
      <c r="CO126" s="169"/>
      <c r="CP126" s="169"/>
      <c r="CQ126" s="169"/>
      <c r="CR126" s="169"/>
      <c r="CS126" s="169"/>
      <c r="CT126" s="169"/>
      <c r="CU126" s="169"/>
      <c r="CV126" s="164" t="str">
        <f t="shared" ca="1" si="421"/>
        <v/>
      </c>
      <c r="CW126" s="164" t="str">
        <f t="shared" ca="1" si="421"/>
        <v/>
      </c>
      <c r="CX126" s="164" t="str">
        <f t="shared" ca="1" si="421"/>
        <v/>
      </c>
      <c r="CY126" s="164" t="str">
        <f t="shared" ca="1" si="421"/>
        <v/>
      </c>
      <c r="CZ126" s="164" t="str">
        <f t="shared" ca="1" si="421"/>
        <v/>
      </c>
      <c r="DA126" s="164" t="str">
        <f t="shared" ca="1" si="421"/>
        <v/>
      </c>
      <c r="DB126" s="164" t="str">
        <f t="shared" ca="1" si="421"/>
        <v/>
      </c>
      <c r="DC126" s="164" t="str">
        <f t="shared" ca="1" si="421"/>
        <v/>
      </c>
      <c r="DD126" s="164" t="str">
        <f t="shared" ca="1" si="421"/>
        <v/>
      </c>
      <c r="DE126" s="164" t="str">
        <f t="shared" ca="1" si="421"/>
        <v/>
      </c>
      <c r="DF126" s="164" t="str">
        <f t="shared" ca="1" si="422"/>
        <v/>
      </c>
      <c r="DG126" s="164" t="str">
        <f t="shared" ca="1" si="422"/>
        <v/>
      </c>
      <c r="DH126" s="164" t="str">
        <f t="shared" ca="1" si="422"/>
        <v/>
      </c>
      <c r="DI126" s="164" t="str">
        <f t="shared" ca="1" si="422"/>
        <v/>
      </c>
      <c r="DJ126" s="164" t="str">
        <f t="shared" ca="1" si="422"/>
        <v/>
      </c>
      <c r="DK126" s="164" t="str">
        <f t="shared" ca="1" si="422"/>
        <v/>
      </c>
      <c r="DL126" s="164" t="str">
        <f t="shared" ca="1" si="422"/>
        <v/>
      </c>
      <c r="DM126" s="164" t="str">
        <f t="shared" ca="1" si="422"/>
        <v/>
      </c>
      <c r="DN126" s="164" t="str">
        <f t="shared" ca="1" si="422"/>
        <v/>
      </c>
      <c r="DO126" s="164" t="str">
        <f t="shared" ca="1" si="422"/>
        <v/>
      </c>
      <c r="DP126" s="164" t="str">
        <f t="shared" ca="1" si="422"/>
        <v/>
      </c>
      <c r="DQ126" s="164" t="str">
        <f t="shared" ca="1" si="422"/>
        <v/>
      </c>
      <c r="DR126" s="208"/>
      <c r="DS126" s="164" t="str">
        <f t="shared" ca="1" si="484"/>
        <v/>
      </c>
      <c r="DT126" s="164" t="str">
        <f t="shared" ca="1" si="485"/>
        <v/>
      </c>
      <c r="DU126" s="164" t="str">
        <f t="shared" ca="1" si="486"/>
        <v/>
      </c>
      <c r="DV126" s="164" t="str">
        <f t="shared" ca="1" si="487"/>
        <v/>
      </c>
      <c r="DW126" s="164" t="str">
        <f t="shared" ca="1" si="488"/>
        <v/>
      </c>
      <c r="DX126" s="164" t="str">
        <f t="shared" ca="1" si="489"/>
        <v/>
      </c>
      <c r="DY126" s="164" t="str">
        <f t="shared" ca="1" si="490"/>
        <v/>
      </c>
      <c r="DZ126" s="164" t="str">
        <f t="shared" ca="1" si="491"/>
        <v/>
      </c>
      <c r="EA126" s="164" t="str">
        <f t="shared" ca="1" si="492"/>
        <v/>
      </c>
      <c r="EB126" s="164" t="str">
        <f t="shared" ca="1" si="493"/>
        <v/>
      </c>
      <c r="EC126" s="164" t="str">
        <f t="shared" ca="1" si="494"/>
        <v/>
      </c>
      <c r="ED126" s="164" t="str">
        <f t="shared" ca="1" si="495"/>
        <v/>
      </c>
      <c r="EE126" s="164" t="str">
        <f t="shared" ca="1" si="496"/>
        <v/>
      </c>
      <c r="EF126" s="164" t="str">
        <f t="shared" ca="1" si="497"/>
        <v/>
      </c>
      <c r="EG126" s="164" t="str">
        <f t="shared" ca="1" si="498"/>
        <v/>
      </c>
      <c r="EH126" s="164" t="str">
        <f t="shared" ca="1" si="499"/>
        <v/>
      </c>
      <c r="EI126" s="164" t="str">
        <f t="shared" ca="1" si="500"/>
        <v/>
      </c>
      <c r="EJ126" s="164" t="str">
        <f t="shared" ca="1" si="501"/>
        <v/>
      </c>
      <c r="EK126" s="164" t="str">
        <f t="shared" ca="1" si="502"/>
        <v/>
      </c>
      <c r="EL126" s="164" t="str">
        <f t="shared" ca="1" si="503"/>
        <v/>
      </c>
      <c r="EM126" s="164" t="str">
        <f t="shared" ca="1" si="504"/>
        <v/>
      </c>
      <c r="EN126" s="164" t="str">
        <f t="shared" ca="1" si="505"/>
        <v/>
      </c>
      <c r="EO126" s="164" t="str">
        <f t="shared" ca="1" si="506"/>
        <v/>
      </c>
      <c r="EP126" s="164" t="str">
        <f t="shared" ca="1" si="507"/>
        <v/>
      </c>
      <c r="EQ126" s="164" t="str">
        <f t="shared" ca="1" si="508"/>
        <v/>
      </c>
      <c r="ER126" s="164" t="str">
        <f t="shared" ca="1" si="509"/>
        <v/>
      </c>
      <c r="ES126" s="164" t="str">
        <f t="shared" ca="1" si="510"/>
        <v/>
      </c>
    </row>
    <row r="127" spans="1:149" x14ac:dyDescent="0.2">
      <c r="A127" s="89" t="str">
        <f t="shared" ca="1" si="511"/>
        <v/>
      </c>
      <c r="B127" s="317" t="str">
        <f t="shared" ca="1" si="423"/>
        <v/>
      </c>
      <c r="C127" s="609" t="str">
        <f t="shared" ca="1" si="424"/>
        <v/>
      </c>
      <c r="D127" s="1956" t="str">
        <f t="shared" ca="1" si="425"/>
        <v/>
      </c>
      <c r="E127" s="1956"/>
      <c r="F127" s="960"/>
      <c r="G127" s="485" t="str">
        <f t="shared" ca="1" si="426"/>
        <v/>
      </c>
      <c r="H127" s="983"/>
      <c r="I127" s="486"/>
      <c r="J127" s="326"/>
      <c r="K127" s="1886" t="str">
        <f t="shared" ca="1" si="427"/>
        <v/>
      </c>
      <c r="L127" s="1888"/>
      <c r="M127" s="296" t="str">
        <f t="shared" ca="1" si="512"/>
        <v/>
      </c>
      <c r="N127" s="1322"/>
      <c r="O127" s="1319"/>
      <c r="P127" s="957" t="str">
        <f t="shared" ca="1" si="428"/>
        <v/>
      </c>
      <c r="Q127" s="164">
        <f t="shared" si="429"/>
        <v>0</v>
      </c>
      <c r="R127" s="164">
        <f t="shared" ca="1" si="430"/>
        <v>0</v>
      </c>
      <c r="S127" s="164">
        <f t="shared" ca="1" si="431"/>
        <v>0</v>
      </c>
      <c r="T127" s="164">
        <f t="shared" ca="1" si="432"/>
        <v>0</v>
      </c>
      <c r="U127" s="164">
        <f t="shared" ca="1" si="433"/>
        <v>0</v>
      </c>
      <c r="V127" s="164">
        <f t="shared" ca="1" si="434"/>
        <v>0</v>
      </c>
      <c r="W127" s="164">
        <f t="shared" ca="1" si="435"/>
        <v>0</v>
      </c>
      <c r="X127" s="164">
        <f t="shared" ca="1" si="436"/>
        <v>0</v>
      </c>
      <c r="Y127" s="164">
        <f t="shared" ca="1" si="437"/>
        <v>0</v>
      </c>
      <c r="Z127" s="164">
        <f t="shared" ca="1" si="438"/>
        <v>0</v>
      </c>
      <c r="AA127" s="164">
        <f t="shared" ca="1" si="439"/>
        <v>0</v>
      </c>
      <c r="AB127" s="164">
        <f t="shared" ca="1" si="440"/>
        <v>0</v>
      </c>
      <c r="AC127" s="164">
        <f t="shared" ca="1" si="441"/>
        <v>0</v>
      </c>
      <c r="AD127" s="164">
        <f t="shared" ca="1" si="442"/>
        <v>0</v>
      </c>
      <c r="AE127" s="164">
        <f t="shared" ca="1" si="443"/>
        <v>0</v>
      </c>
      <c r="AF127" s="164">
        <f t="shared" ca="1" si="444"/>
        <v>0</v>
      </c>
      <c r="AG127" s="164">
        <f t="shared" ca="1" si="445"/>
        <v>0</v>
      </c>
      <c r="AH127" s="164">
        <f t="shared" ca="1" si="446"/>
        <v>0</v>
      </c>
      <c r="AI127" s="164">
        <f t="shared" ca="1" si="447"/>
        <v>0</v>
      </c>
      <c r="AJ127" s="164">
        <f t="shared" ca="1" si="448"/>
        <v>0</v>
      </c>
      <c r="AK127" s="164">
        <f t="shared" ca="1" si="449"/>
        <v>0</v>
      </c>
      <c r="AL127" s="164">
        <f t="shared" ca="1" si="450"/>
        <v>0</v>
      </c>
      <c r="AM127" s="208"/>
      <c r="AN127" s="164">
        <f t="shared" si="451"/>
        <v>0</v>
      </c>
      <c r="AO127" s="164">
        <f t="shared" ca="1" si="452"/>
        <v>0</v>
      </c>
      <c r="AP127" s="164">
        <f t="shared" ca="1" si="453"/>
        <v>0</v>
      </c>
      <c r="AQ127" s="164">
        <f t="shared" ca="1" si="454"/>
        <v>0</v>
      </c>
      <c r="AR127" s="164">
        <f t="shared" ca="1" si="455"/>
        <v>0</v>
      </c>
      <c r="AS127" s="164">
        <f t="shared" ca="1" si="456"/>
        <v>0</v>
      </c>
      <c r="AT127" s="164">
        <f t="shared" ca="1" si="457"/>
        <v>0</v>
      </c>
      <c r="AU127" s="164">
        <f t="shared" ca="1" si="458"/>
        <v>0</v>
      </c>
      <c r="AV127" s="164">
        <f t="shared" ca="1" si="459"/>
        <v>0</v>
      </c>
      <c r="AW127" s="164">
        <f t="shared" ca="1" si="460"/>
        <v>0</v>
      </c>
      <c r="AX127" s="164">
        <f t="shared" ca="1" si="461"/>
        <v>0</v>
      </c>
      <c r="AY127" s="164">
        <f t="shared" ca="1" si="462"/>
        <v>0</v>
      </c>
      <c r="AZ127" s="164">
        <f t="shared" ca="1" si="463"/>
        <v>0</v>
      </c>
      <c r="BA127" s="164">
        <f t="shared" ca="1" si="464"/>
        <v>0</v>
      </c>
      <c r="BB127" s="164">
        <f t="shared" ca="1" si="465"/>
        <v>0</v>
      </c>
      <c r="BC127" s="164">
        <f t="shared" ca="1" si="466"/>
        <v>0</v>
      </c>
      <c r="BD127" s="164">
        <f t="shared" ca="1" si="467"/>
        <v>0</v>
      </c>
      <c r="BE127" s="164">
        <f t="shared" ca="1" si="468"/>
        <v>0</v>
      </c>
      <c r="BF127" s="164">
        <f t="shared" ca="1" si="469"/>
        <v>0</v>
      </c>
      <c r="BG127" s="164">
        <f t="shared" ca="1" si="470"/>
        <v>0</v>
      </c>
      <c r="BH127" s="164">
        <f t="shared" ca="1" si="471"/>
        <v>0</v>
      </c>
      <c r="BI127" s="164">
        <f t="shared" ca="1" si="472"/>
        <v>0</v>
      </c>
      <c r="BJ127" s="164">
        <f t="shared" ca="1" si="473"/>
        <v>0</v>
      </c>
      <c r="BK127" s="164">
        <f t="shared" ca="1" si="474"/>
        <v>0</v>
      </c>
      <c r="BL127" s="164">
        <f t="shared" ca="1" si="475"/>
        <v>0</v>
      </c>
      <c r="BM127" s="164">
        <f t="shared" ca="1" si="476"/>
        <v>0</v>
      </c>
      <c r="BN127" s="164">
        <f t="shared" ca="1" si="477"/>
        <v>0</v>
      </c>
      <c r="BO127" s="356" t="str">
        <f t="shared" ca="1" si="478"/>
        <v/>
      </c>
      <c r="BP127" s="355" t="str">
        <f t="shared" ca="1" si="380"/>
        <v/>
      </c>
      <c r="BQ127" s="355" t="str">
        <f t="shared" ca="1" si="381"/>
        <v/>
      </c>
      <c r="BR127" s="348">
        <f t="shared" ca="1" si="312"/>
        <v>0</v>
      </c>
      <c r="BS127" s="348">
        <f t="shared" ca="1" si="313"/>
        <v>0</v>
      </c>
      <c r="BT127" s="610">
        <f t="shared" ca="1" si="479"/>
        <v>0</v>
      </c>
      <c r="BU127" s="357">
        <f t="shared" ca="1" si="383"/>
        <v>0</v>
      </c>
      <c r="BV127" s="357">
        <f t="shared" si="480"/>
        <v>0</v>
      </c>
      <c r="BW127" s="357">
        <f t="shared" si="481"/>
        <v>0</v>
      </c>
      <c r="BX127" s="357">
        <f t="shared" ca="1" si="482"/>
        <v>0</v>
      </c>
      <c r="BY127" s="357">
        <f t="shared" ca="1" si="316"/>
        <v>0</v>
      </c>
      <c r="BZ127" s="357"/>
      <c r="CA127" s="357">
        <f t="shared" ca="1" si="314"/>
        <v>0</v>
      </c>
      <c r="CB127" s="357" t="str">
        <f t="shared" ca="1" si="483"/>
        <v/>
      </c>
      <c r="CC127" s="358" t="str">
        <f t="shared" ca="1" si="317"/>
        <v/>
      </c>
      <c r="CD127" s="358" t="str">
        <f t="shared" ca="1" si="318"/>
        <v/>
      </c>
      <c r="CE127" s="357" t="str">
        <f t="shared" ca="1" si="513"/>
        <v>,,,,,,,,,,,,,,,,,,,,,,,,,,,,,,,,,,,,,,,,,,,,,,,,,,,,,,,,,,,,,,,,,,,</v>
      </c>
      <c r="CF127" s="154" t="str">
        <f t="shared" si="315"/>
        <v/>
      </c>
      <c r="CG127" s="154">
        <f t="shared" ca="1" si="319"/>
        <v>0</v>
      </c>
      <c r="CH127" s="154"/>
      <c r="CI127" s="154"/>
      <c r="CJ127" s="154"/>
      <c r="CK127" s="154"/>
      <c r="CL127" s="154"/>
      <c r="CM127" s="154"/>
      <c r="CN127" t="s">
        <v>784</v>
      </c>
      <c r="CO127" s="169"/>
      <c r="CP127" s="169"/>
      <c r="CQ127" s="169"/>
      <c r="CR127" s="169"/>
      <c r="CS127" s="169"/>
      <c r="CT127" s="169"/>
      <c r="CU127" s="169"/>
      <c r="CV127" s="164" t="str">
        <f t="shared" ca="1" si="421"/>
        <v/>
      </c>
      <c r="CW127" s="164" t="str">
        <f t="shared" ca="1" si="421"/>
        <v/>
      </c>
      <c r="CX127" s="164" t="str">
        <f t="shared" ca="1" si="421"/>
        <v/>
      </c>
      <c r="CY127" s="164" t="str">
        <f t="shared" ca="1" si="421"/>
        <v/>
      </c>
      <c r="CZ127" s="164" t="str">
        <f t="shared" ca="1" si="421"/>
        <v/>
      </c>
      <c r="DA127" s="164" t="str">
        <f t="shared" ca="1" si="421"/>
        <v/>
      </c>
      <c r="DB127" s="164" t="str">
        <f t="shared" ca="1" si="421"/>
        <v/>
      </c>
      <c r="DC127" s="164" t="str">
        <f t="shared" ca="1" si="421"/>
        <v/>
      </c>
      <c r="DD127" s="164" t="str">
        <f t="shared" ca="1" si="421"/>
        <v/>
      </c>
      <c r="DE127" s="164" t="str">
        <f t="shared" ca="1" si="421"/>
        <v/>
      </c>
      <c r="DF127" s="164" t="str">
        <f t="shared" ca="1" si="422"/>
        <v/>
      </c>
      <c r="DG127" s="164" t="str">
        <f t="shared" ca="1" si="422"/>
        <v/>
      </c>
      <c r="DH127" s="164" t="str">
        <f t="shared" ca="1" si="422"/>
        <v/>
      </c>
      <c r="DI127" s="164" t="str">
        <f t="shared" ca="1" si="422"/>
        <v/>
      </c>
      <c r="DJ127" s="164" t="str">
        <f t="shared" ca="1" si="422"/>
        <v/>
      </c>
      <c r="DK127" s="164" t="str">
        <f t="shared" ca="1" si="422"/>
        <v/>
      </c>
      <c r="DL127" s="164" t="str">
        <f t="shared" ca="1" si="422"/>
        <v/>
      </c>
      <c r="DM127" s="164" t="str">
        <f t="shared" ca="1" si="422"/>
        <v/>
      </c>
      <c r="DN127" s="164" t="str">
        <f t="shared" ca="1" si="422"/>
        <v/>
      </c>
      <c r="DO127" s="164" t="str">
        <f t="shared" ca="1" si="422"/>
        <v/>
      </c>
      <c r="DP127" s="164" t="str">
        <f t="shared" ca="1" si="422"/>
        <v/>
      </c>
      <c r="DQ127" s="164" t="str">
        <f t="shared" ca="1" si="422"/>
        <v/>
      </c>
      <c r="DR127" s="208"/>
      <c r="DS127" s="164" t="str">
        <f t="shared" ca="1" si="484"/>
        <v/>
      </c>
      <c r="DT127" s="164" t="str">
        <f t="shared" ca="1" si="485"/>
        <v/>
      </c>
      <c r="DU127" s="164" t="str">
        <f t="shared" ca="1" si="486"/>
        <v/>
      </c>
      <c r="DV127" s="164" t="str">
        <f t="shared" ca="1" si="487"/>
        <v/>
      </c>
      <c r="DW127" s="164" t="str">
        <f t="shared" ca="1" si="488"/>
        <v/>
      </c>
      <c r="DX127" s="164" t="str">
        <f t="shared" ca="1" si="489"/>
        <v/>
      </c>
      <c r="DY127" s="164" t="str">
        <f t="shared" ca="1" si="490"/>
        <v/>
      </c>
      <c r="DZ127" s="164" t="str">
        <f t="shared" ca="1" si="491"/>
        <v/>
      </c>
      <c r="EA127" s="164" t="str">
        <f t="shared" ca="1" si="492"/>
        <v/>
      </c>
      <c r="EB127" s="164" t="str">
        <f t="shared" ca="1" si="493"/>
        <v/>
      </c>
      <c r="EC127" s="164" t="str">
        <f t="shared" ca="1" si="494"/>
        <v/>
      </c>
      <c r="ED127" s="164" t="str">
        <f t="shared" ca="1" si="495"/>
        <v/>
      </c>
      <c r="EE127" s="164" t="str">
        <f t="shared" ca="1" si="496"/>
        <v/>
      </c>
      <c r="EF127" s="164" t="str">
        <f t="shared" ca="1" si="497"/>
        <v/>
      </c>
      <c r="EG127" s="164" t="str">
        <f t="shared" ca="1" si="498"/>
        <v/>
      </c>
      <c r="EH127" s="164" t="str">
        <f t="shared" ca="1" si="499"/>
        <v/>
      </c>
      <c r="EI127" s="164" t="str">
        <f t="shared" ca="1" si="500"/>
        <v/>
      </c>
      <c r="EJ127" s="164" t="str">
        <f t="shared" ca="1" si="501"/>
        <v/>
      </c>
      <c r="EK127" s="164" t="str">
        <f t="shared" ca="1" si="502"/>
        <v/>
      </c>
      <c r="EL127" s="164" t="str">
        <f t="shared" ca="1" si="503"/>
        <v/>
      </c>
      <c r="EM127" s="164" t="str">
        <f t="shared" ca="1" si="504"/>
        <v/>
      </c>
      <c r="EN127" s="164" t="str">
        <f t="shared" ca="1" si="505"/>
        <v/>
      </c>
      <c r="EO127" s="164" t="str">
        <f t="shared" ca="1" si="506"/>
        <v/>
      </c>
      <c r="EP127" s="164" t="str">
        <f t="shared" ca="1" si="507"/>
        <v/>
      </c>
      <c r="EQ127" s="164" t="str">
        <f t="shared" ca="1" si="508"/>
        <v/>
      </c>
      <c r="ER127" s="164" t="str">
        <f t="shared" ca="1" si="509"/>
        <v/>
      </c>
      <c r="ES127" s="164" t="str">
        <f t="shared" ca="1" si="510"/>
        <v/>
      </c>
    </row>
    <row r="128" spans="1:149" x14ac:dyDescent="0.2">
      <c r="A128" s="89" t="str">
        <f t="shared" ca="1" si="511"/>
        <v/>
      </c>
      <c r="B128" s="317" t="str">
        <f t="shared" ca="1" si="423"/>
        <v/>
      </c>
      <c r="C128" s="609" t="str">
        <f t="shared" ca="1" si="424"/>
        <v/>
      </c>
      <c r="D128" s="1956" t="str">
        <f t="shared" ca="1" si="425"/>
        <v/>
      </c>
      <c r="E128" s="1956"/>
      <c r="F128" s="960"/>
      <c r="G128" s="485" t="str">
        <f t="shared" ca="1" si="426"/>
        <v/>
      </c>
      <c r="H128" s="983"/>
      <c r="I128" s="486"/>
      <c r="J128" s="326"/>
      <c r="K128" s="1886" t="str">
        <f t="shared" ca="1" si="427"/>
        <v/>
      </c>
      <c r="L128" s="1888"/>
      <c r="M128" s="296" t="str">
        <f t="shared" ca="1" si="512"/>
        <v/>
      </c>
      <c r="N128" s="1322"/>
      <c r="O128" s="1319"/>
      <c r="P128" s="957" t="str">
        <f t="shared" ca="1" si="428"/>
        <v/>
      </c>
      <c r="Q128" s="164">
        <f t="shared" si="429"/>
        <v>0</v>
      </c>
      <c r="R128" s="164">
        <f t="shared" ca="1" si="430"/>
        <v>0</v>
      </c>
      <c r="S128" s="164">
        <f t="shared" ca="1" si="431"/>
        <v>0</v>
      </c>
      <c r="T128" s="164">
        <f t="shared" ca="1" si="432"/>
        <v>0</v>
      </c>
      <c r="U128" s="164">
        <f t="shared" ca="1" si="433"/>
        <v>0</v>
      </c>
      <c r="V128" s="164">
        <f t="shared" ca="1" si="434"/>
        <v>0</v>
      </c>
      <c r="W128" s="164">
        <f t="shared" ca="1" si="435"/>
        <v>0</v>
      </c>
      <c r="X128" s="164">
        <f t="shared" ca="1" si="436"/>
        <v>0</v>
      </c>
      <c r="Y128" s="164">
        <f t="shared" ca="1" si="437"/>
        <v>0</v>
      </c>
      <c r="Z128" s="164">
        <f t="shared" ca="1" si="438"/>
        <v>0</v>
      </c>
      <c r="AA128" s="164">
        <f t="shared" ca="1" si="439"/>
        <v>0</v>
      </c>
      <c r="AB128" s="164">
        <f t="shared" ca="1" si="440"/>
        <v>0</v>
      </c>
      <c r="AC128" s="164">
        <f t="shared" ca="1" si="441"/>
        <v>0</v>
      </c>
      <c r="AD128" s="164">
        <f t="shared" ca="1" si="442"/>
        <v>0</v>
      </c>
      <c r="AE128" s="164">
        <f t="shared" ca="1" si="443"/>
        <v>0</v>
      </c>
      <c r="AF128" s="164">
        <f t="shared" ca="1" si="444"/>
        <v>0</v>
      </c>
      <c r="AG128" s="164">
        <f t="shared" ca="1" si="445"/>
        <v>0</v>
      </c>
      <c r="AH128" s="164">
        <f t="shared" ca="1" si="446"/>
        <v>0</v>
      </c>
      <c r="AI128" s="164">
        <f t="shared" ca="1" si="447"/>
        <v>0</v>
      </c>
      <c r="AJ128" s="164">
        <f t="shared" ca="1" si="448"/>
        <v>0</v>
      </c>
      <c r="AK128" s="164">
        <f t="shared" ca="1" si="449"/>
        <v>0</v>
      </c>
      <c r="AL128" s="164">
        <f t="shared" ca="1" si="450"/>
        <v>0</v>
      </c>
      <c r="AM128" s="208"/>
      <c r="AN128" s="164">
        <f t="shared" si="451"/>
        <v>0</v>
      </c>
      <c r="AO128" s="164">
        <f t="shared" ca="1" si="452"/>
        <v>0</v>
      </c>
      <c r="AP128" s="164">
        <f t="shared" ca="1" si="453"/>
        <v>0</v>
      </c>
      <c r="AQ128" s="164">
        <f t="shared" ca="1" si="454"/>
        <v>0</v>
      </c>
      <c r="AR128" s="164">
        <f t="shared" ca="1" si="455"/>
        <v>0</v>
      </c>
      <c r="AS128" s="164">
        <f t="shared" ca="1" si="456"/>
        <v>0</v>
      </c>
      <c r="AT128" s="164">
        <f t="shared" ca="1" si="457"/>
        <v>0</v>
      </c>
      <c r="AU128" s="164">
        <f t="shared" ca="1" si="458"/>
        <v>0</v>
      </c>
      <c r="AV128" s="164">
        <f t="shared" ca="1" si="459"/>
        <v>0</v>
      </c>
      <c r="AW128" s="164">
        <f t="shared" ca="1" si="460"/>
        <v>0</v>
      </c>
      <c r="AX128" s="164">
        <f t="shared" ca="1" si="461"/>
        <v>0</v>
      </c>
      <c r="AY128" s="164">
        <f t="shared" ca="1" si="462"/>
        <v>0</v>
      </c>
      <c r="AZ128" s="164">
        <f t="shared" ca="1" si="463"/>
        <v>0</v>
      </c>
      <c r="BA128" s="164">
        <f t="shared" ca="1" si="464"/>
        <v>0</v>
      </c>
      <c r="BB128" s="164">
        <f t="shared" ca="1" si="465"/>
        <v>0</v>
      </c>
      <c r="BC128" s="164">
        <f t="shared" ca="1" si="466"/>
        <v>0</v>
      </c>
      <c r="BD128" s="164">
        <f t="shared" ca="1" si="467"/>
        <v>0</v>
      </c>
      <c r="BE128" s="164">
        <f t="shared" ca="1" si="468"/>
        <v>0</v>
      </c>
      <c r="BF128" s="164">
        <f t="shared" ca="1" si="469"/>
        <v>0</v>
      </c>
      <c r="BG128" s="164">
        <f t="shared" ca="1" si="470"/>
        <v>0</v>
      </c>
      <c r="BH128" s="164">
        <f t="shared" ca="1" si="471"/>
        <v>0</v>
      </c>
      <c r="BI128" s="164">
        <f t="shared" ca="1" si="472"/>
        <v>0</v>
      </c>
      <c r="BJ128" s="164">
        <f t="shared" ca="1" si="473"/>
        <v>0</v>
      </c>
      <c r="BK128" s="164">
        <f t="shared" ca="1" si="474"/>
        <v>0</v>
      </c>
      <c r="BL128" s="164">
        <f t="shared" ca="1" si="475"/>
        <v>0</v>
      </c>
      <c r="BM128" s="164">
        <f t="shared" ca="1" si="476"/>
        <v>0</v>
      </c>
      <c r="BN128" s="164">
        <f t="shared" ca="1" si="477"/>
        <v>0</v>
      </c>
      <c r="BO128" s="356" t="str">
        <f t="shared" ca="1" si="478"/>
        <v/>
      </c>
      <c r="BP128" s="355" t="str">
        <f t="shared" ca="1" si="380"/>
        <v/>
      </c>
      <c r="BQ128" s="355" t="str">
        <f t="shared" ca="1" si="381"/>
        <v/>
      </c>
      <c r="BR128" s="348">
        <f t="shared" ca="1" si="312"/>
        <v>0</v>
      </c>
      <c r="BS128" s="348">
        <f t="shared" ca="1" si="313"/>
        <v>0</v>
      </c>
      <c r="BT128" s="610">
        <f t="shared" ca="1" si="479"/>
        <v>0</v>
      </c>
      <c r="BU128" s="357">
        <f t="shared" ca="1" si="383"/>
        <v>0</v>
      </c>
      <c r="BV128" s="357">
        <f t="shared" si="480"/>
        <v>0</v>
      </c>
      <c r="BW128" s="357">
        <f t="shared" si="481"/>
        <v>0</v>
      </c>
      <c r="BX128" s="357">
        <f t="shared" ca="1" si="482"/>
        <v>0</v>
      </c>
      <c r="BY128" s="357">
        <f t="shared" ca="1" si="316"/>
        <v>0</v>
      </c>
      <c r="BZ128" s="357"/>
      <c r="CA128" s="357">
        <f t="shared" ca="1" si="314"/>
        <v>0</v>
      </c>
      <c r="CB128" s="357" t="str">
        <f t="shared" ca="1" si="483"/>
        <v/>
      </c>
      <c r="CC128" s="358" t="str">
        <f t="shared" ca="1" si="317"/>
        <v/>
      </c>
      <c r="CD128" s="358" t="str">
        <f t="shared" ca="1" si="318"/>
        <v/>
      </c>
      <c r="CE128" s="357" t="str">
        <f t="shared" ca="1" si="513"/>
        <v>,,,,,,,,,,,,,,,,,,,,,,,,,,,,,,,,,,,,,,,,,,,,,,,,,,,,,,,,,,,,,,,,,,,,</v>
      </c>
      <c r="CF128" s="154" t="str">
        <f t="shared" si="315"/>
        <v/>
      </c>
      <c r="CG128" s="154">
        <f t="shared" ca="1" si="319"/>
        <v>0</v>
      </c>
      <c r="CH128" s="154"/>
      <c r="CI128" s="154"/>
      <c r="CJ128" s="154"/>
      <c r="CK128" s="154"/>
      <c r="CL128" s="154"/>
      <c r="CM128" s="154"/>
      <c r="CN128" t="s">
        <v>784</v>
      </c>
      <c r="CO128" s="169"/>
      <c r="CP128" s="169"/>
      <c r="CQ128" s="169"/>
      <c r="CR128" s="169"/>
      <c r="CS128" s="169"/>
      <c r="CT128" s="169"/>
      <c r="CU128" s="169"/>
      <c r="CV128" s="164" t="str">
        <f t="shared" ca="1" si="421"/>
        <v/>
      </c>
      <c r="CW128" s="164" t="str">
        <f t="shared" ca="1" si="421"/>
        <v/>
      </c>
      <c r="CX128" s="164" t="str">
        <f t="shared" ca="1" si="421"/>
        <v/>
      </c>
      <c r="CY128" s="164" t="str">
        <f t="shared" ca="1" si="421"/>
        <v/>
      </c>
      <c r="CZ128" s="164" t="str">
        <f t="shared" ca="1" si="421"/>
        <v/>
      </c>
      <c r="DA128" s="164" t="str">
        <f t="shared" ca="1" si="421"/>
        <v/>
      </c>
      <c r="DB128" s="164" t="str">
        <f t="shared" ca="1" si="421"/>
        <v/>
      </c>
      <c r="DC128" s="164" t="str">
        <f t="shared" ca="1" si="421"/>
        <v/>
      </c>
      <c r="DD128" s="164" t="str">
        <f t="shared" ca="1" si="421"/>
        <v/>
      </c>
      <c r="DE128" s="164" t="str">
        <f t="shared" ca="1" si="421"/>
        <v/>
      </c>
      <c r="DF128" s="164" t="str">
        <f t="shared" ca="1" si="422"/>
        <v/>
      </c>
      <c r="DG128" s="164" t="str">
        <f t="shared" ca="1" si="422"/>
        <v/>
      </c>
      <c r="DH128" s="164" t="str">
        <f t="shared" ca="1" si="422"/>
        <v/>
      </c>
      <c r="DI128" s="164" t="str">
        <f t="shared" ca="1" si="422"/>
        <v/>
      </c>
      <c r="DJ128" s="164" t="str">
        <f t="shared" ca="1" si="422"/>
        <v/>
      </c>
      <c r="DK128" s="164" t="str">
        <f t="shared" ca="1" si="422"/>
        <v/>
      </c>
      <c r="DL128" s="164" t="str">
        <f t="shared" ca="1" si="422"/>
        <v/>
      </c>
      <c r="DM128" s="164" t="str">
        <f t="shared" ca="1" si="422"/>
        <v/>
      </c>
      <c r="DN128" s="164" t="str">
        <f t="shared" ca="1" si="422"/>
        <v/>
      </c>
      <c r="DO128" s="164" t="str">
        <f t="shared" ca="1" si="422"/>
        <v/>
      </c>
      <c r="DP128" s="164" t="str">
        <f t="shared" ca="1" si="422"/>
        <v/>
      </c>
      <c r="DQ128" s="164" t="str">
        <f t="shared" ca="1" si="422"/>
        <v/>
      </c>
      <c r="DR128" s="208"/>
      <c r="DS128" s="164" t="str">
        <f t="shared" ca="1" si="484"/>
        <v/>
      </c>
      <c r="DT128" s="164" t="str">
        <f t="shared" ca="1" si="485"/>
        <v/>
      </c>
      <c r="DU128" s="164" t="str">
        <f t="shared" ca="1" si="486"/>
        <v/>
      </c>
      <c r="DV128" s="164" t="str">
        <f t="shared" ca="1" si="487"/>
        <v/>
      </c>
      <c r="DW128" s="164" t="str">
        <f t="shared" ca="1" si="488"/>
        <v/>
      </c>
      <c r="DX128" s="164" t="str">
        <f t="shared" ca="1" si="489"/>
        <v/>
      </c>
      <c r="DY128" s="164" t="str">
        <f t="shared" ca="1" si="490"/>
        <v/>
      </c>
      <c r="DZ128" s="164" t="str">
        <f t="shared" ca="1" si="491"/>
        <v/>
      </c>
      <c r="EA128" s="164" t="str">
        <f t="shared" ca="1" si="492"/>
        <v/>
      </c>
      <c r="EB128" s="164" t="str">
        <f t="shared" ca="1" si="493"/>
        <v/>
      </c>
      <c r="EC128" s="164" t="str">
        <f t="shared" ca="1" si="494"/>
        <v/>
      </c>
      <c r="ED128" s="164" t="str">
        <f t="shared" ca="1" si="495"/>
        <v/>
      </c>
      <c r="EE128" s="164" t="str">
        <f t="shared" ca="1" si="496"/>
        <v/>
      </c>
      <c r="EF128" s="164" t="str">
        <f t="shared" ca="1" si="497"/>
        <v/>
      </c>
      <c r="EG128" s="164" t="str">
        <f t="shared" ca="1" si="498"/>
        <v/>
      </c>
      <c r="EH128" s="164" t="str">
        <f t="shared" ca="1" si="499"/>
        <v/>
      </c>
      <c r="EI128" s="164" t="str">
        <f t="shared" ca="1" si="500"/>
        <v/>
      </c>
      <c r="EJ128" s="164" t="str">
        <f t="shared" ca="1" si="501"/>
        <v/>
      </c>
      <c r="EK128" s="164" t="str">
        <f t="shared" ca="1" si="502"/>
        <v/>
      </c>
      <c r="EL128" s="164" t="str">
        <f t="shared" ca="1" si="503"/>
        <v/>
      </c>
      <c r="EM128" s="164" t="str">
        <f t="shared" ca="1" si="504"/>
        <v/>
      </c>
      <c r="EN128" s="164" t="str">
        <f t="shared" ca="1" si="505"/>
        <v/>
      </c>
      <c r="EO128" s="164" t="str">
        <f t="shared" ca="1" si="506"/>
        <v/>
      </c>
      <c r="EP128" s="164" t="str">
        <f t="shared" ca="1" si="507"/>
        <v/>
      </c>
      <c r="EQ128" s="164" t="str">
        <f t="shared" ca="1" si="508"/>
        <v/>
      </c>
      <c r="ER128" s="164" t="str">
        <f t="shared" ca="1" si="509"/>
        <v/>
      </c>
      <c r="ES128" s="164" t="str">
        <f t="shared" ca="1" si="510"/>
        <v/>
      </c>
    </row>
    <row r="129" spans="1:149" x14ac:dyDescent="0.2">
      <c r="A129" s="89" t="str">
        <f t="shared" ca="1" si="511"/>
        <v/>
      </c>
      <c r="B129" s="317" t="str">
        <f t="shared" ca="1" si="423"/>
        <v/>
      </c>
      <c r="C129" s="609" t="str">
        <f t="shared" ca="1" si="424"/>
        <v/>
      </c>
      <c r="D129" s="1956" t="str">
        <f t="shared" ca="1" si="425"/>
        <v/>
      </c>
      <c r="E129" s="1956"/>
      <c r="F129" s="960"/>
      <c r="G129" s="485" t="str">
        <f t="shared" ca="1" si="426"/>
        <v/>
      </c>
      <c r="H129" s="983"/>
      <c r="I129" s="486"/>
      <c r="J129" s="326"/>
      <c r="K129" s="1886" t="str">
        <f t="shared" ca="1" si="427"/>
        <v/>
      </c>
      <c r="L129" s="1888"/>
      <c r="M129" s="296" t="str">
        <f t="shared" ca="1" si="512"/>
        <v/>
      </c>
      <c r="N129" s="1322"/>
      <c r="O129" s="1319"/>
      <c r="P129" s="957" t="str">
        <f t="shared" ca="1" si="428"/>
        <v/>
      </c>
      <c r="Q129" s="164">
        <f t="shared" si="429"/>
        <v>0</v>
      </c>
      <c r="R129" s="164">
        <f t="shared" ca="1" si="430"/>
        <v>0</v>
      </c>
      <c r="S129" s="164">
        <f t="shared" ca="1" si="431"/>
        <v>0</v>
      </c>
      <c r="T129" s="164">
        <f t="shared" ca="1" si="432"/>
        <v>0</v>
      </c>
      <c r="U129" s="164">
        <f t="shared" ca="1" si="433"/>
        <v>0</v>
      </c>
      <c r="V129" s="164">
        <f t="shared" ca="1" si="434"/>
        <v>0</v>
      </c>
      <c r="W129" s="164">
        <f t="shared" ca="1" si="435"/>
        <v>0</v>
      </c>
      <c r="X129" s="164">
        <f t="shared" ca="1" si="436"/>
        <v>0</v>
      </c>
      <c r="Y129" s="164">
        <f t="shared" ca="1" si="437"/>
        <v>0</v>
      </c>
      <c r="Z129" s="164">
        <f t="shared" ca="1" si="438"/>
        <v>0</v>
      </c>
      <c r="AA129" s="164">
        <f t="shared" ca="1" si="439"/>
        <v>0</v>
      </c>
      <c r="AB129" s="164">
        <f t="shared" ca="1" si="440"/>
        <v>0</v>
      </c>
      <c r="AC129" s="164">
        <f t="shared" ca="1" si="441"/>
        <v>0</v>
      </c>
      <c r="AD129" s="164">
        <f t="shared" ca="1" si="442"/>
        <v>0</v>
      </c>
      <c r="AE129" s="164">
        <f t="shared" ca="1" si="443"/>
        <v>0</v>
      </c>
      <c r="AF129" s="164">
        <f t="shared" ca="1" si="444"/>
        <v>0</v>
      </c>
      <c r="AG129" s="164">
        <f t="shared" ca="1" si="445"/>
        <v>0</v>
      </c>
      <c r="AH129" s="164">
        <f t="shared" ca="1" si="446"/>
        <v>0</v>
      </c>
      <c r="AI129" s="164">
        <f t="shared" ca="1" si="447"/>
        <v>0</v>
      </c>
      <c r="AJ129" s="164">
        <f t="shared" ca="1" si="448"/>
        <v>0</v>
      </c>
      <c r="AK129" s="164">
        <f t="shared" ca="1" si="449"/>
        <v>0</v>
      </c>
      <c r="AL129" s="164">
        <f t="shared" ca="1" si="450"/>
        <v>0</v>
      </c>
      <c r="AM129" s="208"/>
      <c r="AN129" s="164">
        <f t="shared" si="451"/>
        <v>0</v>
      </c>
      <c r="AO129" s="164">
        <f t="shared" ca="1" si="452"/>
        <v>0</v>
      </c>
      <c r="AP129" s="164">
        <f t="shared" ca="1" si="453"/>
        <v>0</v>
      </c>
      <c r="AQ129" s="164">
        <f t="shared" ca="1" si="454"/>
        <v>0</v>
      </c>
      <c r="AR129" s="164">
        <f t="shared" ca="1" si="455"/>
        <v>0</v>
      </c>
      <c r="AS129" s="164">
        <f t="shared" ca="1" si="456"/>
        <v>0</v>
      </c>
      <c r="AT129" s="164">
        <f t="shared" ca="1" si="457"/>
        <v>0</v>
      </c>
      <c r="AU129" s="164">
        <f t="shared" ca="1" si="458"/>
        <v>0</v>
      </c>
      <c r="AV129" s="164">
        <f t="shared" ca="1" si="459"/>
        <v>0</v>
      </c>
      <c r="AW129" s="164">
        <f t="shared" ca="1" si="460"/>
        <v>0</v>
      </c>
      <c r="AX129" s="164">
        <f t="shared" ca="1" si="461"/>
        <v>0</v>
      </c>
      <c r="AY129" s="164">
        <f t="shared" ca="1" si="462"/>
        <v>0</v>
      </c>
      <c r="AZ129" s="164">
        <f t="shared" ca="1" si="463"/>
        <v>0</v>
      </c>
      <c r="BA129" s="164">
        <f t="shared" ca="1" si="464"/>
        <v>0</v>
      </c>
      <c r="BB129" s="164">
        <f t="shared" ca="1" si="465"/>
        <v>0</v>
      </c>
      <c r="BC129" s="164">
        <f t="shared" ca="1" si="466"/>
        <v>0</v>
      </c>
      <c r="BD129" s="164">
        <f t="shared" ca="1" si="467"/>
        <v>0</v>
      </c>
      <c r="BE129" s="164">
        <f t="shared" ca="1" si="468"/>
        <v>0</v>
      </c>
      <c r="BF129" s="164">
        <f t="shared" ca="1" si="469"/>
        <v>0</v>
      </c>
      <c r="BG129" s="164">
        <f t="shared" ca="1" si="470"/>
        <v>0</v>
      </c>
      <c r="BH129" s="164">
        <f t="shared" ca="1" si="471"/>
        <v>0</v>
      </c>
      <c r="BI129" s="164">
        <f t="shared" ca="1" si="472"/>
        <v>0</v>
      </c>
      <c r="BJ129" s="164">
        <f t="shared" ca="1" si="473"/>
        <v>0</v>
      </c>
      <c r="BK129" s="164">
        <f t="shared" ca="1" si="474"/>
        <v>0</v>
      </c>
      <c r="BL129" s="164">
        <f t="shared" ca="1" si="475"/>
        <v>0</v>
      </c>
      <c r="BM129" s="164">
        <f t="shared" ca="1" si="476"/>
        <v>0</v>
      </c>
      <c r="BN129" s="164">
        <f t="shared" ca="1" si="477"/>
        <v>0</v>
      </c>
      <c r="BO129" s="356" t="str">
        <f t="shared" ca="1" si="478"/>
        <v/>
      </c>
      <c r="BP129" s="355" t="str">
        <f t="shared" ca="1" si="380"/>
        <v/>
      </c>
      <c r="BQ129" s="355" t="str">
        <f t="shared" ca="1" si="381"/>
        <v/>
      </c>
      <c r="BR129" s="348">
        <f t="shared" ca="1" si="312"/>
        <v>0</v>
      </c>
      <c r="BS129" s="348">
        <f t="shared" ca="1" si="313"/>
        <v>0</v>
      </c>
      <c r="BT129" s="610">
        <f t="shared" ca="1" si="479"/>
        <v>0</v>
      </c>
      <c r="BU129" s="357">
        <f t="shared" ca="1" si="383"/>
        <v>0</v>
      </c>
      <c r="BV129" s="357">
        <f t="shared" si="480"/>
        <v>0</v>
      </c>
      <c r="BW129" s="357">
        <f t="shared" si="481"/>
        <v>0</v>
      </c>
      <c r="BX129" s="357">
        <f t="shared" ca="1" si="482"/>
        <v>0</v>
      </c>
      <c r="BY129" s="357">
        <f t="shared" ca="1" si="316"/>
        <v>0</v>
      </c>
      <c r="BZ129" s="357"/>
      <c r="CA129" s="357">
        <f t="shared" ca="1" si="314"/>
        <v>0</v>
      </c>
      <c r="CB129" s="357" t="str">
        <f t="shared" ca="1" si="483"/>
        <v/>
      </c>
      <c r="CC129" s="358" t="str">
        <f t="shared" ca="1" si="317"/>
        <v/>
      </c>
      <c r="CD129" s="358" t="str">
        <f t="shared" ca="1" si="318"/>
        <v/>
      </c>
      <c r="CE129" s="357" t="str">
        <f t="shared" ca="1" si="513"/>
        <v>,,,,,,,,,,,,,,,,,,,,,,,,,,,,,,,,,,,,,,,,,,,,,,,,,,,,,,,,,,,,,,,,,,,,,</v>
      </c>
      <c r="CF129" s="154" t="str">
        <f t="shared" si="315"/>
        <v/>
      </c>
      <c r="CG129" s="154">
        <f t="shared" ca="1" si="319"/>
        <v>0</v>
      </c>
      <c r="CH129" s="154"/>
      <c r="CI129" s="154"/>
      <c r="CJ129" s="154"/>
      <c r="CK129" s="154"/>
      <c r="CL129" s="154"/>
      <c r="CM129" s="154"/>
      <c r="CN129" t="s">
        <v>784</v>
      </c>
      <c r="CO129" s="169"/>
      <c r="CP129" s="169"/>
      <c r="CQ129" s="169"/>
      <c r="CR129" s="169"/>
      <c r="CS129" s="169"/>
      <c r="CT129" s="169"/>
      <c r="CU129" s="169"/>
      <c r="CV129" s="164" t="str">
        <f t="shared" ca="1" si="421"/>
        <v/>
      </c>
      <c r="CW129" s="164" t="str">
        <f t="shared" ca="1" si="421"/>
        <v/>
      </c>
      <c r="CX129" s="164" t="str">
        <f t="shared" ca="1" si="421"/>
        <v/>
      </c>
      <c r="CY129" s="164" t="str">
        <f t="shared" ca="1" si="421"/>
        <v/>
      </c>
      <c r="CZ129" s="164" t="str">
        <f t="shared" ca="1" si="421"/>
        <v/>
      </c>
      <c r="DA129" s="164" t="str">
        <f t="shared" ca="1" si="421"/>
        <v/>
      </c>
      <c r="DB129" s="164" t="str">
        <f t="shared" ca="1" si="421"/>
        <v/>
      </c>
      <c r="DC129" s="164" t="str">
        <f t="shared" ca="1" si="421"/>
        <v/>
      </c>
      <c r="DD129" s="164" t="str">
        <f t="shared" ca="1" si="421"/>
        <v/>
      </c>
      <c r="DE129" s="164" t="str">
        <f t="shared" ca="1" si="421"/>
        <v/>
      </c>
      <c r="DF129" s="164" t="str">
        <f t="shared" ca="1" si="422"/>
        <v/>
      </c>
      <c r="DG129" s="164" t="str">
        <f t="shared" ca="1" si="422"/>
        <v/>
      </c>
      <c r="DH129" s="164" t="str">
        <f t="shared" ca="1" si="422"/>
        <v/>
      </c>
      <c r="DI129" s="164" t="str">
        <f t="shared" ca="1" si="422"/>
        <v/>
      </c>
      <c r="DJ129" s="164" t="str">
        <f t="shared" ca="1" si="422"/>
        <v/>
      </c>
      <c r="DK129" s="164" t="str">
        <f t="shared" ca="1" si="422"/>
        <v/>
      </c>
      <c r="DL129" s="164" t="str">
        <f t="shared" ca="1" si="422"/>
        <v/>
      </c>
      <c r="DM129" s="164" t="str">
        <f t="shared" ca="1" si="422"/>
        <v/>
      </c>
      <c r="DN129" s="164" t="str">
        <f t="shared" ca="1" si="422"/>
        <v/>
      </c>
      <c r="DO129" s="164" t="str">
        <f t="shared" ca="1" si="422"/>
        <v/>
      </c>
      <c r="DP129" s="164" t="str">
        <f t="shared" ca="1" si="422"/>
        <v/>
      </c>
      <c r="DQ129" s="164" t="str">
        <f t="shared" ca="1" si="422"/>
        <v/>
      </c>
      <c r="DR129" s="208"/>
      <c r="DS129" s="164" t="str">
        <f t="shared" ca="1" si="484"/>
        <v/>
      </c>
      <c r="DT129" s="164" t="str">
        <f t="shared" ca="1" si="485"/>
        <v/>
      </c>
      <c r="DU129" s="164" t="str">
        <f t="shared" ca="1" si="486"/>
        <v/>
      </c>
      <c r="DV129" s="164" t="str">
        <f t="shared" ca="1" si="487"/>
        <v/>
      </c>
      <c r="DW129" s="164" t="str">
        <f t="shared" ca="1" si="488"/>
        <v/>
      </c>
      <c r="DX129" s="164" t="str">
        <f t="shared" ca="1" si="489"/>
        <v/>
      </c>
      <c r="DY129" s="164" t="str">
        <f t="shared" ca="1" si="490"/>
        <v/>
      </c>
      <c r="DZ129" s="164" t="str">
        <f t="shared" ca="1" si="491"/>
        <v/>
      </c>
      <c r="EA129" s="164" t="str">
        <f t="shared" ca="1" si="492"/>
        <v/>
      </c>
      <c r="EB129" s="164" t="str">
        <f t="shared" ca="1" si="493"/>
        <v/>
      </c>
      <c r="EC129" s="164" t="str">
        <f t="shared" ca="1" si="494"/>
        <v/>
      </c>
      <c r="ED129" s="164" t="str">
        <f t="shared" ca="1" si="495"/>
        <v/>
      </c>
      <c r="EE129" s="164" t="str">
        <f t="shared" ca="1" si="496"/>
        <v/>
      </c>
      <c r="EF129" s="164" t="str">
        <f t="shared" ca="1" si="497"/>
        <v/>
      </c>
      <c r="EG129" s="164" t="str">
        <f t="shared" ca="1" si="498"/>
        <v/>
      </c>
      <c r="EH129" s="164" t="str">
        <f t="shared" ca="1" si="499"/>
        <v/>
      </c>
      <c r="EI129" s="164" t="str">
        <f t="shared" ca="1" si="500"/>
        <v/>
      </c>
      <c r="EJ129" s="164" t="str">
        <f t="shared" ca="1" si="501"/>
        <v/>
      </c>
      <c r="EK129" s="164" t="str">
        <f t="shared" ca="1" si="502"/>
        <v/>
      </c>
      <c r="EL129" s="164" t="str">
        <f t="shared" ca="1" si="503"/>
        <v/>
      </c>
      <c r="EM129" s="164" t="str">
        <f t="shared" ca="1" si="504"/>
        <v/>
      </c>
      <c r="EN129" s="164" t="str">
        <f t="shared" ca="1" si="505"/>
        <v/>
      </c>
      <c r="EO129" s="164" t="str">
        <f t="shared" ca="1" si="506"/>
        <v/>
      </c>
      <c r="EP129" s="164" t="str">
        <f t="shared" ca="1" si="507"/>
        <v/>
      </c>
      <c r="EQ129" s="164" t="str">
        <f t="shared" ca="1" si="508"/>
        <v/>
      </c>
      <c r="ER129" s="164" t="str">
        <f t="shared" ca="1" si="509"/>
        <v/>
      </c>
      <c r="ES129" s="164" t="str">
        <f t="shared" ca="1" si="510"/>
        <v/>
      </c>
    </row>
    <row r="130" spans="1:149" x14ac:dyDescent="0.2">
      <c r="A130" s="89" t="str">
        <f t="shared" ca="1" si="511"/>
        <v/>
      </c>
      <c r="B130" s="317" t="str">
        <f t="shared" ca="1" si="423"/>
        <v/>
      </c>
      <c r="C130" s="609" t="str">
        <f t="shared" ca="1" si="424"/>
        <v/>
      </c>
      <c r="D130" s="1956" t="str">
        <f t="shared" ca="1" si="425"/>
        <v/>
      </c>
      <c r="E130" s="1956"/>
      <c r="F130" s="960"/>
      <c r="G130" s="485" t="str">
        <f t="shared" ca="1" si="426"/>
        <v/>
      </c>
      <c r="H130" s="983"/>
      <c r="I130" s="486"/>
      <c r="J130" s="326"/>
      <c r="K130" s="1886" t="str">
        <f t="shared" ca="1" si="427"/>
        <v/>
      </c>
      <c r="L130" s="1888"/>
      <c r="M130" s="296" t="str">
        <f t="shared" ca="1" si="512"/>
        <v/>
      </c>
      <c r="N130" s="1322"/>
      <c r="O130" s="1319"/>
      <c r="P130" s="957" t="str">
        <f t="shared" ca="1" si="428"/>
        <v/>
      </c>
      <c r="Q130" s="164">
        <f t="shared" si="429"/>
        <v>0</v>
      </c>
      <c r="R130" s="164">
        <f t="shared" ca="1" si="430"/>
        <v>0</v>
      </c>
      <c r="S130" s="164">
        <f t="shared" ca="1" si="431"/>
        <v>0</v>
      </c>
      <c r="T130" s="164">
        <f t="shared" ca="1" si="432"/>
        <v>0</v>
      </c>
      <c r="U130" s="164">
        <f t="shared" ca="1" si="433"/>
        <v>0</v>
      </c>
      <c r="V130" s="164">
        <f t="shared" ca="1" si="434"/>
        <v>0</v>
      </c>
      <c r="W130" s="164">
        <f t="shared" ca="1" si="435"/>
        <v>0</v>
      </c>
      <c r="X130" s="164">
        <f t="shared" ca="1" si="436"/>
        <v>0</v>
      </c>
      <c r="Y130" s="164">
        <f t="shared" ca="1" si="437"/>
        <v>0</v>
      </c>
      <c r="Z130" s="164">
        <f t="shared" ca="1" si="438"/>
        <v>0</v>
      </c>
      <c r="AA130" s="164">
        <f t="shared" ca="1" si="439"/>
        <v>0</v>
      </c>
      <c r="AB130" s="164">
        <f t="shared" ca="1" si="440"/>
        <v>0</v>
      </c>
      <c r="AC130" s="164">
        <f t="shared" ca="1" si="441"/>
        <v>0</v>
      </c>
      <c r="AD130" s="164">
        <f t="shared" ca="1" si="442"/>
        <v>0</v>
      </c>
      <c r="AE130" s="164">
        <f t="shared" ca="1" si="443"/>
        <v>0</v>
      </c>
      <c r="AF130" s="164">
        <f t="shared" ca="1" si="444"/>
        <v>0</v>
      </c>
      <c r="AG130" s="164">
        <f t="shared" ca="1" si="445"/>
        <v>0</v>
      </c>
      <c r="AH130" s="164">
        <f t="shared" ca="1" si="446"/>
        <v>0</v>
      </c>
      <c r="AI130" s="164">
        <f t="shared" ca="1" si="447"/>
        <v>0</v>
      </c>
      <c r="AJ130" s="164">
        <f t="shared" ca="1" si="448"/>
        <v>0</v>
      </c>
      <c r="AK130" s="164">
        <f t="shared" ca="1" si="449"/>
        <v>0</v>
      </c>
      <c r="AL130" s="164">
        <f t="shared" ca="1" si="450"/>
        <v>0</v>
      </c>
      <c r="AM130" s="208"/>
      <c r="AN130" s="164">
        <f t="shared" si="451"/>
        <v>0</v>
      </c>
      <c r="AO130" s="164">
        <f t="shared" ca="1" si="452"/>
        <v>0</v>
      </c>
      <c r="AP130" s="164">
        <f t="shared" ca="1" si="453"/>
        <v>0</v>
      </c>
      <c r="AQ130" s="164">
        <f t="shared" ca="1" si="454"/>
        <v>0</v>
      </c>
      <c r="AR130" s="164">
        <f t="shared" ca="1" si="455"/>
        <v>0</v>
      </c>
      <c r="AS130" s="164">
        <f t="shared" ca="1" si="456"/>
        <v>0</v>
      </c>
      <c r="AT130" s="164">
        <f t="shared" ca="1" si="457"/>
        <v>0</v>
      </c>
      <c r="AU130" s="164">
        <f t="shared" ca="1" si="458"/>
        <v>0</v>
      </c>
      <c r="AV130" s="164">
        <f t="shared" ca="1" si="459"/>
        <v>0</v>
      </c>
      <c r="AW130" s="164">
        <f t="shared" ca="1" si="460"/>
        <v>0</v>
      </c>
      <c r="AX130" s="164">
        <f t="shared" ca="1" si="461"/>
        <v>0</v>
      </c>
      <c r="AY130" s="164">
        <f t="shared" ca="1" si="462"/>
        <v>0</v>
      </c>
      <c r="AZ130" s="164">
        <f t="shared" ca="1" si="463"/>
        <v>0</v>
      </c>
      <c r="BA130" s="164">
        <f t="shared" ca="1" si="464"/>
        <v>0</v>
      </c>
      <c r="BB130" s="164">
        <f t="shared" ca="1" si="465"/>
        <v>0</v>
      </c>
      <c r="BC130" s="164">
        <f t="shared" ca="1" si="466"/>
        <v>0</v>
      </c>
      <c r="BD130" s="164">
        <f t="shared" ca="1" si="467"/>
        <v>0</v>
      </c>
      <c r="BE130" s="164">
        <f t="shared" ca="1" si="468"/>
        <v>0</v>
      </c>
      <c r="BF130" s="164">
        <f t="shared" ca="1" si="469"/>
        <v>0</v>
      </c>
      <c r="BG130" s="164">
        <f t="shared" ca="1" si="470"/>
        <v>0</v>
      </c>
      <c r="BH130" s="164">
        <f t="shared" ca="1" si="471"/>
        <v>0</v>
      </c>
      <c r="BI130" s="164">
        <f t="shared" ca="1" si="472"/>
        <v>0</v>
      </c>
      <c r="BJ130" s="164">
        <f t="shared" ca="1" si="473"/>
        <v>0</v>
      </c>
      <c r="BK130" s="164">
        <f t="shared" ca="1" si="474"/>
        <v>0</v>
      </c>
      <c r="BL130" s="164">
        <f t="shared" ca="1" si="475"/>
        <v>0</v>
      </c>
      <c r="BM130" s="164">
        <f t="shared" ca="1" si="476"/>
        <v>0</v>
      </c>
      <c r="BN130" s="164">
        <f t="shared" ca="1" si="477"/>
        <v>0</v>
      </c>
      <c r="BO130" s="356" t="str">
        <f t="shared" ca="1" si="478"/>
        <v/>
      </c>
      <c r="BP130" s="355" t="str">
        <f t="shared" ca="1" si="380"/>
        <v/>
      </c>
      <c r="BQ130" s="355" t="str">
        <f t="shared" ca="1" si="381"/>
        <v/>
      </c>
      <c r="BR130" s="348">
        <f t="shared" ca="1" si="312"/>
        <v>0</v>
      </c>
      <c r="BS130" s="348">
        <f t="shared" ca="1" si="313"/>
        <v>0</v>
      </c>
      <c r="BT130" s="610">
        <f t="shared" ca="1" si="479"/>
        <v>0</v>
      </c>
      <c r="BU130" s="357">
        <f t="shared" ca="1" si="383"/>
        <v>0</v>
      </c>
      <c r="BV130" s="357">
        <f t="shared" si="480"/>
        <v>0</v>
      </c>
      <c r="BW130" s="357">
        <f t="shared" si="481"/>
        <v>0</v>
      </c>
      <c r="BX130" s="357">
        <f t="shared" ca="1" si="482"/>
        <v>0</v>
      </c>
      <c r="BY130" s="357">
        <f t="shared" ca="1" si="316"/>
        <v>0</v>
      </c>
      <c r="BZ130" s="357"/>
      <c r="CA130" s="357">
        <f t="shared" ca="1" si="314"/>
        <v>0</v>
      </c>
      <c r="CB130" s="357" t="str">
        <f t="shared" ca="1" si="483"/>
        <v/>
      </c>
      <c r="CC130" s="358" t="str">
        <f t="shared" ca="1" si="317"/>
        <v/>
      </c>
      <c r="CD130" s="358" t="str">
        <f t="shared" ca="1" si="318"/>
        <v/>
      </c>
      <c r="CE130" s="357" t="str">
        <f t="shared" ca="1" si="513"/>
        <v>,,,,,,,,,,,,,,,,,,,,,,,,,,,,,,,,,,,,,,,,,,,,,,,,,,,,,,,,,,,,,,,,,,,,,,</v>
      </c>
      <c r="CF130" s="154" t="str">
        <f t="shared" si="315"/>
        <v/>
      </c>
      <c r="CG130" s="154">
        <f t="shared" ca="1" si="319"/>
        <v>0</v>
      </c>
      <c r="CH130" s="154"/>
      <c r="CI130" s="154"/>
      <c r="CJ130" s="154"/>
      <c r="CK130" s="154"/>
      <c r="CL130" s="154"/>
      <c r="CM130" s="154"/>
      <c r="CN130" t="s">
        <v>784</v>
      </c>
      <c r="CO130" s="169"/>
      <c r="CP130" s="169"/>
      <c r="CQ130" s="169"/>
      <c r="CR130" s="169"/>
      <c r="CS130" s="169"/>
      <c r="CT130" s="169"/>
      <c r="CU130" s="169"/>
      <c r="CV130" s="164" t="str">
        <f t="shared" ca="1" si="421"/>
        <v/>
      </c>
      <c r="CW130" s="164" t="str">
        <f t="shared" ca="1" si="421"/>
        <v/>
      </c>
      <c r="CX130" s="164" t="str">
        <f t="shared" ca="1" si="421"/>
        <v/>
      </c>
      <c r="CY130" s="164" t="str">
        <f t="shared" ca="1" si="421"/>
        <v/>
      </c>
      <c r="CZ130" s="164" t="str">
        <f t="shared" ca="1" si="421"/>
        <v/>
      </c>
      <c r="DA130" s="164" t="str">
        <f t="shared" ca="1" si="421"/>
        <v/>
      </c>
      <c r="DB130" s="164" t="str">
        <f t="shared" ca="1" si="421"/>
        <v/>
      </c>
      <c r="DC130" s="164" t="str">
        <f t="shared" ca="1" si="421"/>
        <v/>
      </c>
      <c r="DD130" s="164" t="str">
        <f t="shared" ca="1" si="421"/>
        <v/>
      </c>
      <c r="DE130" s="164" t="str">
        <f t="shared" ca="1" si="421"/>
        <v/>
      </c>
      <c r="DF130" s="164" t="str">
        <f t="shared" ca="1" si="422"/>
        <v/>
      </c>
      <c r="DG130" s="164" t="str">
        <f t="shared" ca="1" si="422"/>
        <v/>
      </c>
      <c r="DH130" s="164" t="str">
        <f t="shared" ca="1" si="422"/>
        <v/>
      </c>
      <c r="DI130" s="164" t="str">
        <f t="shared" ca="1" si="422"/>
        <v/>
      </c>
      <c r="DJ130" s="164" t="str">
        <f t="shared" ca="1" si="422"/>
        <v/>
      </c>
      <c r="DK130" s="164" t="str">
        <f t="shared" ca="1" si="422"/>
        <v/>
      </c>
      <c r="DL130" s="164" t="str">
        <f t="shared" ca="1" si="422"/>
        <v/>
      </c>
      <c r="DM130" s="164" t="str">
        <f t="shared" ca="1" si="422"/>
        <v/>
      </c>
      <c r="DN130" s="164" t="str">
        <f t="shared" ca="1" si="422"/>
        <v/>
      </c>
      <c r="DO130" s="164" t="str">
        <f t="shared" ca="1" si="422"/>
        <v/>
      </c>
      <c r="DP130" s="164" t="str">
        <f t="shared" ca="1" si="422"/>
        <v/>
      </c>
      <c r="DQ130" s="164" t="str">
        <f t="shared" ca="1" si="422"/>
        <v/>
      </c>
      <c r="DR130" s="208"/>
      <c r="DS130" s="164" t="str">
        <f t="shared" ca="1" si="484"/>
        <v/>
      </c>
      <c r="DT130" s="164" t="str">
        <f t="shared" ca="1" si="485"/>
        <v/>
      </c>
      <c r="DU130" s="164" t="str">
        <f t="shared" ca="1" si="486"/>
        <v/>
      </c>
      <c r="DV130" s="164" t="str">
        <f t="shared" ca="1" si="487"/>
        <v/>
      </c>
      <c r="DW130" s="164" t="str">
        <f t="shared" ca="1" si="488"/>
        <v/>
      </c>
      <c r="DX130" s="164" t="str">
        <f t="shared" ca="1" si="489"/>
        <v/>
      </c>
      <c r="DY130" s="164" t="str">
        <f t="shared" ca="1" si="490"/>
        <v/>
      </c>
      <c r="DZ130" s="164" t="str">
        <f t="shared" ca="1" si="491"/>
        <v/>
      </c>
      <c r="EA130" s="164" t="str">
        <f t="shared" ca="1" si="492"/>
        <v/>
      </c>
      <c r="EB130" s="164" t="str">
        <f t="shared" ca="1" si="493"/>
        <v/>
      </c>
      <c r="EC130" s="164" t="str">
        <f t="shared" ca="1" si="494"/>
        <v/>
      </c>
      <c r="ED130" s="164" t="str">
        <f t="shared" ca="1" si="495"/>
        <v/>
      </c>
      <c r="EE130" s="164" t="str">
        <f t="shared" ca="1" si="496"/>
        <v/>
      </c>
      <c r="EF130" s="164" t="str">
        <f t="shared" ca="1" si="497"/>
        <v/>
      </c>
      <c r="EG130" s="164" t="str">
        <f t="shared" ca="1" si="498"/>
        <v/>
      </c>
      <c r="EH130" s="164" t="str">
        <f t="shared" ca="1" si="499"/>
        <v/>
      </c>
      <c r="EI130" s="164" t="str">
        <f t="shared" ca="1" si="500"/>
        <v/>
      </c>
      <c r="EJ130" s="164" t="str">
        <f t="shared" ca="1" si="501"/>
        <v/>
      </c>
      <c r="EK130" s="164" t="str">
        <f t="shared" ca="1" si="502"/>
        <v/>
      </c>
      <c r="EL130" s="164" t="str">
        <f t="shared" ca="1" si="503"/>
        <v/>
      </c>
      <c r="EM130" s="164" t="str">
        <f t="shared" ca="1" si="504"/>
        <v/>
      </c>
      <c r="EN130" s="164" t="str">
        <f t="shared" ca="1" si="505"/>
        <v/>
      </c>
      <c r="EO130" s="164" t="str">
        <f t="shared" ca="1" si="506"/>
        <v/>
      </c>
      <c r="EP130" s="164" t="str">
        <f t="shared" ca="1" si="507"/>
        <v/>
      </c>
      <c r="EQ130" s="164" t="str">
        <f t="shared" ca="1" si="508"/>
        <v/>
      </c>
      <c r="ER130" s="164" t="str">
        <f t="shared" ca="1" si="509"/>
        <v/>
      </c>
      <c r="ES130" s="164" t="str">
        <f t="shared" ca="1" si="510"/>
        <v/>
      </c>
    </row>
    <row r="131" spans="1:149" x14ac:dyDescent="0.2">
      <c r="A131" s="89" t="str">
        <f t="shared" ca="1" si="511"/>
        <v/>
      </c>
      <c r="B131" s="317" t="str">
        <f t="shared" ca="1" si="423"/>
        <v/>
      </c>
      <c r="C131" s="609" t="str">
        <f t="shared" ca="1" si="424"/>
        <v/>
      </c>
      <c r="D131" s="1956" t="str">
        <f t="shared" ca="1" si="425"/>
        <v/>
      </c>
      <c r="E131" s="1956"/>
      <c r="F131" s="960"/>
      <c r="G131" s="485" t="str">
        <f t="shared" ca="1" si="426"/>
        <v/>
      </c>
      <c r="H131" s="983"/>
      <c r="I131" s="486"/>
      <c r="J131" s="326"/>
      <c r="K131" s="1886" t="str">
        <f t="shared" ca="1" si="427"/>
        <v/>
      </c>
      <c r="L131" s="1888"/>
      <c r="M131" s="296" t="str">
        <f t="shared" ca="1" si="512"/>
        <v/>
      </c>
      <c r="N131" s="1322"/>
      <c r="O131" s="1319"/>
      <c r="P131" s="957" t="str">
        <f t="shared" ca="1" si="428"/>
        <v/>
      </c>
      <c r="Q131" s="164">
        <f t="shared" si="429"/>
        <v>0</v>
      </c>
      <c r="R131" s="164">
        <f t="shared" ca="1" si="430"/>
        <v>0</v>
      </c>
      <c r="S131" s="164">
        <f t="shared" ca="1" si="431"/>
        <v>0</v>
      </c>
      <c r="T131" s="164">
        <f t="shared" ca="1" si="432"/>
        <v>0</v>
      </c>
      <c r="U131" s="164">
        <f t="shared" ca="1" si="433"/>
        <v>0</v>
      </c>
      <c r="V131" s="164">
        <f t="shared" ca="1" si="434"/>
        <v>0</v>
      </c>
      <c r="W131" s="164">
        <f t="shared" ca="1" si="435"/>
        <v>0</v>
      </c>
      <c r="X131" s="164">
        <f t="shared" ca="1" si="436"/>
        <v>0</v>
      </c>
      <c r="Y131" s="164">
        <f t="shared" ca="1" si="437"/>
        <v>0</v>
      </c>
      <c r="Z131" s="164">
        <f t="shared" ca="1" si="438"/>
        <v>0</v>
      </c>
      <c r="AA131" s="164">
        <f t="shared" ca="1" si="439"/>
        <v>0</v>
      </c>
      <c r="AB131" s="164">
        <f t="shared" ca="1" si="440"/>
        <v>0</v>
      </c>
      <c r="AC131" s="164">
        <f t="shared" ca="1" si="441"/>
        <v>0</v>
      </c>
      <c r="AD131" s="164">
        <f t="shared" ca="1" si="442"/>
        <v>0</v>
      </c>
      <c r="AE131" s="164">
        <f t="shared" ca="1" si="443"/>
        <v>0</v>
      </c>
      <c r="AF131" s="164">
        <f t="shared" ca="1" si="444"/>
        <v>0</v>
      </c>
      <c r="AG131" s="164">
        <f t="shared" ca="1" si="445"/>
        <v>0</v>
      </c>
      <c r="AH131" s="164">
        <f t="shared" ca="1" si="446"/>
        <v>0</v>
      </c>
      <c r="AI131" s="164">
        <f t="shared" ca="1" si="447"/>
        <v>0</v>
      </c>
      <c r="AJ131" s="164">
        <f t="shared" ca="1" si="448"/>
        <v>0</v>
      </c>
      <c r="AK131" s="164">
        <f t="shared" ca="1" si="449"/>
        <v>0</v>
      </c>
      <c r="AL131" s="164">
        <f t="shared" ca="1" si="450"/>
        <v>0</v>
      </c>
      <c r="AM131" s="208"/>
      <c r="AN131" s="164">
        <f t="shared" si="451"/>
        <v>0</v>
      </c>
      <c r="AO131" s="164">
        <f t="shared" ca="1" si="452"/>
        <v>0</v>
      </c>
      <c r="AP131" s="164">
        <f t="shared" ca="1" si="453"/>
        <v>0</v>
      </c>
      <c r="AQ131" s="164">
        <f t="shared" ca="1" si="454"/>
        <v>0</v>
      </c>
      <c r="AR131" s="164">
        <f t="shared" ca="1" si="455"/>
        <v>0</v>
      </c>
      <c r="AS131" s="164">
        <f t="shared" ca="1" si="456"/>
        <v>0</v>
      </c>
      <c r="AT131" s="164">
        <f t="shared" ca="1" si="457"/>
        <v>0</v>
      </c>
      <c r="AU131" s="164">
        <f t="shared" ca="1" si="458"/>
        <v>0</v>
      </c>
      <c r="AV131" s="164">
        <f t="shared" ca="1" si="459"/>
        <v>0</v>
      </c>
      <c r="AW131" s="164">
        <f t="shared" ca="1" si="460"/>
        <v>0</v>
      </c>
      <c r="AX131" s="164">
        <f t="shared" ca="1" si="461"/>
        <v>0</v>
      </c>
      <c r="AY131" s="164">
        <f t="shared" ca="1" si="462"/>
        <v>0</v>
      </c>
      <c r="AZ131" s="164">
        <f t="shared" ca="1" si="463"/>
        <v>0</v>
      </c>
      <c r="BA131" s="164">
        <f t="shared" ca="1" si="464"/>
        <v>0</v>
      </c>
      <c r="BB131" s="164">
        <f t="shared" ca="1" si="465"/>
        <v>0</v>
      </c>
      <c r="BC131" s="164">
        <f t="shared" ca="1" si="466"/>
        <v>0</v>
      </c>
      <c r="BD131" s="164">
        <f t="shared" ca="1" si="467"/>
        <v>0</v>
      </c>
      <c r="BE131" s="164">
        <f t="shared" ca="1" si="468"/>
        <v>0</v>
      </c>
      <c r="BF131" s="164">
        <f t="shared" ca="1" si="469"/>
        <v>0</v>
      </c>
      <c r="BG131" s="164">
        <f t="shared" ca="1" si="470"/>
        <v>0</v>
      </c>
      <c r="BH131" s="164">
        <f t="shared" ca="1" si="471"/>
        <v>0</v>
      </c>
      <c r="BI131" s="164">
        <f t="shared" ca="1" si="472"/>
        <v>0</v>
      </c>
      <c r="BJ131" s="164">
        <f t="shared" ca="1" si="473"/>
        <v>0</v>
      </c>
      <c r="BK131" s="164">
        <f t="shared" ca="1" si="474"/>
        <v>0</v>
      </c>
      <c r="BL131" s="164">
        <f t="shared" ca="1" si="475"/>
        <v>0</v>
      </c>
      <c r="BM131" s="164">
        <f t="shared" ca="1" si="476"/>
        <v>0</v>
      </c>
      <c r="BN131" s="164">
        <f t="shared" ca="1" si="477"/>
        <v>0</v>
      </c>
      <c r="BO131" s="356" t="str">
        <f t="shared" ca="1" si="478"/>
        <v/>
      </c>
      <c r="BP131" s="355" t="str">
        <f t="shared" ca="1" si="380"/>
        <v/>
      </c>
      <c r="BQ131" s="355" t="str">
        <f t="shared" ca="1" si="381"/>
        <v/>
      </c>
      <c r="BR131" s="348">
        <f t="shared" ca="1" si="312"/>
        <v>0</v>
      </c>
      <c r="BS131" s="348">
        <f t="shared" ca="1" si="313"/>
        <v>0</v>
      </c>
      <c r="BT131" s="610">
        <f t="shared" ca="1" si="479"/>
        <v>0</v>
      </c>
      <c r="BU131" s="357">
        <f t="shared" ca="1" si="383"/>
        <v>0</v>
      </c>
      <c r="BV131" s="357">
        <f t="shared" si="480"/>
        <v>0</v>
      </c>
      <c r="BW131" s="357">
        <f t="shared" si="481"/>
        <v>0</v>
      </c>
      <c r="BX131" s="357">
        <f t="shared" ca="1" si="482"/>
        <v>0</v>
      </c>
      <c r="BY131" s="357">
        <f t="shared" ca="1" si="316"/>
        <v>0</v>
      </c>
      <c r="BZ131" s="357"/>
      <c r="CA131" s="357">
        <f t="shared" ca="1" si="314"/>
        <v>0</v>
      </c>
      <c r="CB131" s="357" t="str">
        <f t="shared" ca="1" si="483"/>
        <v/>
      </c>
      <c r="CC131" s="358" t="str">
        <f t="shared" ca="1" si="317"/>
        <v/>
      </c>
      <c r="CD131" s="358" t="str">
        <f t="shared" ca="1" si="318"/>
        <v/>
      </c>
      <c r="CE131" s="357" t="str">
        <f t="shared" ca="1" si="513"/>
        <v>,,,,,,,,,,,,,,,,,,,,,,,,,,,,,,,,,,,,,,,,,,,,,,,,,,,,,,,,,,,,,,,,,,,,,,,</v>
      </c>
      <c r="CF131" s="154" t="str">
        <f t="shared" si="315"/>
        <v/>
      </c>
      <c r="CG131" s="154">
        <f t="shared" ca="1" si="319"/>
        <v>0</v>
      </c>
      <c r="CH131" s="154"/>
      <c r="CI131" s="154"/>
      <c r="CJ131" s="154"/>
      <c r="CK131" s="154"/>
      <c r="CL131" s="154"/>
      <c r="CM131" s="154"/>
      <c r="CN131" t="s">
        <v>784</v>
      </c>
      <c r="CO131" s="169"/>
      <c r="CP131" s="169"/>
      <c r="CQ131" s="169"/>
      <c r="CR131" s="169"/>
      <c r="CS131" s="169"/>
      <c r="CT131" s="169"/>
      <c r="CU131" s="169"/>
      <c r="CV131" s="164" t="str">
        <f t="shared" ref="CV131:DE140" ca="1" si="514">IF($A131="","",IF(VT_VRTLZBR,CODE("F"),CODE(VLOOKUP($A131,ZAUBERWERTE,10,FALSE))-
SUM($BR131:$CA131,
IF(ISERR(FIND(";"&amp;CV$10&amp;";",$H131)),0,1),
IF(ISERR(FIND(";"&amp;CV$10&amp;":",$H131)),0,VALUE(MID($H131,FIND(";"&amp;CV$10&amp;":",$H131)+LEN(CV$10)+2,1))),
IF(AND(NOT(EXACT($AF$241,"")),OR(CV$10&gt;$CO131,ISBLANK($CO131))),IF($CV$3,IF(ISERROR(FIND($AF$241,$BQ131)),0,1),(LEN($BQ131)-LEN(SUBSTITUTE($BQ131,$AF$241,"")))/LEN($AF$241)),0),
IF(AND(NOT(EXACT($AF$242,"")),OR(CV$10&gt;$CP131,ISBLANK($CP131))),IF($CV$3,IF(ISERROR(FIND($AF$242,$BQ131)),0,1),(LEN($BQ131)-LEN(SUBSTITUTE($BQ131,$AF$242,"")))/LEN($AF$242)),0),
IF(AND(NOT(EXACT($AF$243,"")),OR(CV$10&gt;$CQ131,ISBLANK($CQ131))),IF($CV$3,IF(ISERROR(FIND($AF$243,$BQ131)),0,1),(LEN($BQ131)-LEN(SUBSTITUTE($BQ131,$AF$243,"")))/LEN($AF$243)),0),
IF(AND(NOT(EXACT($AF$244,"")),OR(CV$10&gt;$CR131,ISBLANK($CR131))),IF($CV$3,IF(ISERROR(FIND($AF$244,$BQ131)),0,1),(LEN($BQ131)-LEN(SUBSTITUTE($BQ131,$AF$244,"")))/LEN($AF$244)),0),
IF(AND(NOT(EXACT($AF$245,"")),OR(CV$10&gt;$CS131,ISBLANK($CS131))),IF($CV$3,IF(ISERROR(FIND($AF$245,$BQ131)),0,1),(LEN($BQ131)-LEN(SUBSTITUTE($BQ131,$AF$245,"")))/LEN($AF$245)),0),
IF(AND(NOT(EXACT($AF$246,"")),OR(CV$10&gt;$CT131,ISBLANK($CT131))),IF($CV$3,IF(ISERROR(FIND($AF$246,$BQ131)),0,1),(LEN($BQ131)-LEN(SUBSTITUTE($BQ131,$AF$246,"")))/LEN($AF$246)),0),
IF(AND(NOT(EXACT($AF$247,"")),OR(CV$10&gt;$CU131,ISBLANK($CU131))),IF($CV$3,IF(ISERROR(FIND($AF$247,$BQ131)),0,1),(LEN($BQ131)-LEN(SUBSTITUTE($BQ131,$AF$247,"")))/LEN($AF$247)),0)
)))</f>
        <v/>
      </c>
      <c r="CW131" s="164" t="str">
        <f t="shared" ca="1" si="514"/>
        <v/>
      </c>
      <c r="CX131" s="164" t="str">
        <f t="shared" ca="1" si="514"/>
        <v/>
      </c>
      <c r="CY131" s="164" t="str">
        <f t="shared" ca="1" si="514"/>
        <v/>
      </c>
      <c r="CZ131" s="164" t="str">
        <f t="shared" ca="1" si="514"/>
        <v/>
      </c>
      <c r="DA131" s="164" t="str">
        <f t="shared" ca="1" si="514"/>
        <v/>
      </c>
      <c r="DB131" s="164" t="str">
        <f t="shared" ca="1" si="514"/>
        <v/>
      </c>
      <c r="DC131" s="164" t="str">
        <f t="shared" ca="1" si="514"/>
        <v/>
      </c>
      <c r="DD131" s="164" t="str">
        <f t="shared" ca="1" si="514"/>
        <v/>
      </c>
      <c r="DE131" s="164" t="str">
        <f t="shared" ca="1" si="514"/>
        <v/>
      </c>
      <c r="DF131" s="164" t="str">
        <f t="shared" ref="DF131:DQ140" ca="1" si="515">IF($A131="","",IF(VT_VRTLZBR,CODE("F"),CODE(VLOOKUP($A131,ZAUBERWERTE,10,FALSE))-
SUM($BR131:$CA131,
IF(ISERR(FIND(";"&amp;DF$10&amp;";",$H131)),0,1),
IF(ISERR(FIND(";"&amp;DF$10&amp;":",$H131)),0,VALUE(MID($H131,FIND(";"&amp;DF$10&amp;":",$H131)+LEN(DF$10)+2,1))),
IF(AND(NOT(EXACT($AF$241,"")),OR(DF$10&gt;$CO131,ISBLANK($CO131))),IF($CV$3,IF(ISERROR(FIND($AF$241,$BQ131)),0,1),(LEN($BQ131)-LEN(SUBSTITUTE($BQ131,$AF$241,"")))/LEN($AF$241)),0),
IF(AND(NOT(EXACT($AF$242,"")),OR(DF$10&gt;$CP131,ISBLANK($CP131))),IF($CV$3,IF(ISERROR(FIND($AF$242,$BQ131)),0,1),(LEN($BQ131)-LEN(SUBSTITUTE($BQ131,$AF$242,"")))/LEN($AF$242)),0),
IF(AND(NOT(EXACT($AF$243,"")),OR(DF$10&gt;$CQ131,ISBLANK($CQ131))),IF($CV$3,IF(ISERROR(FIND($AF$243,$BQ131)),0,1),(LEN($BQ131)-LEN(SUBSTITUTE($BQ131,$AF$243,"")))/LEN($AF$243)),0),
IF(AND(NOT(EXACT($AF$244,"")),OR(DF$10&gt;$CR131,ISBLANK($CR131))),IF($CV$3,IF(ISERROR(FIND($AF$244,$BQ131)),0,1),(LEN($BQ131)-LEN(SUBSTITUTE($BQ131,$AF$244,"")))/LEN($AF$244)),0),
IF(AND(NOT(EXACT($AF$245,"")),OR(DF$10&gt;$CS131,ISBLANK($CS131))),IF($CV$3,IF(ISERROR(FIND($AF$245,$BQ131)),0,1),(LEN($BQ131)-LEN(SUBSTITUTE($BQ131,$AF$245,"")))/LEN($AF$245)),0),
IF(AND(NOT(EXACT($AF$246,"")),OR(DF$10&gt;$CT131,ISBLANK($CT131))),IF($CV$3,IF(ISERROR(FIND($AF$246,$BQ131)),0,1),(LEN($BQ131)-LEN(SUBSTITUTE($BQ131,$AF$246,"")))/LEN($AF$246)),0),
IF(AND(NOT(EXACT($AF$247,"")),OR(DF$10&gt;$CU131,ISBLANK($CU131))),IF($CV$3,IF(ISERROR(FIND($AF$247,$BQ131)),0,1),(LEN($BQ131)-LEN(SUBSTITUTE($BQ131,$AF$247,"")))/LEN($AF$247)),0)
)))</f>
        <v/>
      </c>
      <c r="DG131" s="164" t="str">
        <f t="shared" ca="1" si="515"/>
        <v/>
      </c>
      <c r="DH131" s="164" t="str">
        <f t="shared" ca="1" si="515"/>
        <v/>
      </c>
      <c r="DI131" s="164" t="str">
        <f t="shared" ca="1" si="515"/>
        <v/>
      </c>
      <c r="DJ131" s="164" t="str">
        <f t="shared" ca="1" si="515"/>
        <v/>
      </c>
      <c r="DK131" s="164" t="str">
        <f t="shared" ca="1" si="515"/>
        <v/>
      </c>
      <c r="DL131" s="164" t="str">
        <f t="shared" ca="1" si="515"/>
        <v/>
      </c>
      <c r="DM131" s="164" t="str">
        <f t="shared" ca="1" si="515"/>
        <v/>
      </c>
      <c r="DN131" s="164" t="str">
        <f t="shared" ca="1" si="515"/>
        <v/>
      </c>
      <c r="DO131" s="164" t="str">
        <f t="shared" ca="1" si="515"/>
        <v/>
      </c>
      <c r="DP131" s="164" t="str">
        <f t="shared" ca="1" si="515"/>
        <v/>
      </c>
      <c r="DQ131" s="164" t="str">
        <f t="shared" ca="1" si="515"/>
        <v/>
      </c>
      <c r="DR131" s="208"/>
      <c r="DS131" s="164" t="str">
        <f t="shared" ca="1" si="484"/>
        <v/>
      </c>
      <c r="DT131" s="164" t="str">
        <f t="shared" ca="1" si="485"/>
        <v/>
      </c>
      <c r="DU131" s="164" t="str">
        <f t="shared" ca="1" si="486"/>
        <v/>
      </c>
      <c r="DV131" s="164" t="str">
        <f t="shared" ca="1" si="487"/>
        <v/>
      </c>
      <c r="DW131" s="164" t="str">
        <f t="shared" ca="1" si="488"/>
        <v/>
      </c>
      <c r="DX131" s="164" t="str">
        <f t="shared" ca="1" si="489"/>
        <v/>
      </c>
      <c r="DY131" s="164" t="str">
        <f t="shared" ca="1" si="490"/>
        <v/>
      </c>
      <c r="DZ131" s="164" t="str">
        <f t="shared" ca="1" si="491"/>
        <v/>
      </c>
      <c r="EA131" s="164" t="str">
        <f t="shared" ca="1" si="492"/>
        <v/>
      </c>
      <c r="EB131" s="164" t="str">
        <f t="shared" ca="1" si="493"/>
        <v/>
      </c>
      <c r="EC131" s="164" t="str">
        <f t="shared" ca="1" si="494"/>
        <v/>
      </c>
      <c r="ED131" s="164" t="str">
        <f t="shared" ca="1" si="495"/>
        <v/>
      </c>
      <c r="EE131" s="164" t="str">
        <f t="shared" ca="1" si="496"/>
        <v/>
      </c>
      <c r="EF131" s="164" t="str">
        <f t="shared" ca="1" si="497"/>
        <v/>
      </c>
      <c r="EG131" s="164" t="str">
        <f t="shared" ca="1" si="498"/>
        <v/>
      </c>
      <c r="EH131" s="164" t="str">
        <f t="shared" ca="1" si="499"/>
        <v/>
      </c>
      <c r="EI131" s="164" t="str">
        <f t="shared" ca="1" si="500"/>
        <v/>
      </c>
      <c r="EJ131" s="164" t="str">
        <f t="shared" ca="1" si="501"/>
        <v/>
      </c>
      <c r="EK131" s="164" t="str">
        <f t="shared" ca="1" si="502"/>
        <v/>
      </c>
      <c r="EL131" s="164" t="str">
        <f t="shared" ca="1" si="503"/>
        <v/>
      </c>
      <c r="EM131" s="164" t="str">
        <f t="shared" ca="1" si="504"/>
        <v/>
      </c>
      <c r="EN131" s="164" t="str">
        <f t="shared" ca="1" si="505"/>
        <v/>
      </c>
      <c r="EO131" s="164" t="str">
        <f t="shared" ca="1" si="506"/>
        <v/>
      </c>
      <c r="EP131" s="164" t="str">
        <f t="shared" ca="1" si="507"/>
        <v/>
      </c>
      <c r="EQ131" s="164" t="str">
        <f t="shared" ca="1" si="508"/>
        <v/>
      </c>
      <c r="ER131" s="164" t="str">
        <f t="shared" ca="1" si="509"/>
        <v/>
      </c>
      <c r="ES131" s="164" t="str">
        <f t="shared" ca="1" si="510"/>
        <v/>
      </c>
    </row>
    <row r="132" spans="1:149" x14ac:dyDescent="0.2">
      <c r="A132" s="89" t="str">
        <f t="shared" ca="1" si="511"/>
        <v/>
      </c>
      <c r="B132" s="317" t="str">
        <f t="shared" ca="1" si="423"/>
        <v/>
      </c>
      <c r="C132" s="609" t="str">
        <f t="shared" ca="1" si="424"/>
        <v/>
      </c>
      <c r="D132" s="1956" t="str">
        <f t="shared" ca="1" si="425"/>
        <v/>
      </c>
      <c r="E132" s="1956"/>
      <c r="F132" s="960"/>
      <c r="G132" s="485" t="str">
        <f t="shared" ca="1" si="426"/>
        <v/>
      </c>
      <c r="H132" s="983"/>
      <c r="I132" s="486"/>
      <c r="J132" s="326"/>
      <c r="K132" s="1886" t="str">
        <f t="shared" ca="1" si="427"/>
        <v/>
      </c>
      <c r="L132" s="1888"/>
      <c r="M132" s="296" t="str">
        <f t="shared" ca="1" si="512"/>
        <v/>
      </c>
      <c r="N132" s="1322"/>
      <c r="O132" s="1319"/>
      <c r="P132" s="957" t="str">
        <f t="shared" ca="1" si="428"/>
        <v/>
      </c>
      <c r="Q132" s="164">
        <f t="shared" si="429"/>
        <v>0</v>
      </c>
      <c r="R132" s="164">
        <f t="shared" ca="1" si="430"/>
        <v>0</v>
      </c>
      <c r="S132" s="164">
        <f t="shared" ca="1" si="431"/>
        <v>0</v>
      </c>
      <c r="T132" s="164">
        <f t="shared" ca="1" si="432"/>
        <v>0</v>
      </c>
      <c r="U132" s="164">
        <f t="shared" ca="1" si="433"/>
        <v>0</v>
      </c>
      <c r="V132" s="164">
        <f t="shared" ca="1" si="434"/>
        <v>0</v>
      </c>
      <c r="W132" s="164">
        <f t="shared" ca="1" si="435"/>
        <v>0</v>
      </c>
      <c r="X132" s="164">
        <f t="shared" ca="1" si="436"/>
        <v>0</v>
      </c>
      <c r="Y132" s="164">
        <f t="shared" ca="1" si="437"/>
        <v>0</v>
      </c>
      <c r="Z132" s="164">
        <f t="shared" ca="1" si="438"/>
        <v>0</v>
      </c>
      <c r="AA132" s="164">
        <f t="shared" ca="1" si="439"/>
        <v>0</v>
      </c>
      <c r="AB132" s="164">
        <f t="shared" ca="1" si="440"/>
        <v>0</v>
      </c>
      <c r="AC132" s="164">
        <f t="shared" ca="1" si="441"/>
        <v>0</v>
      </c>
      <c r="AD132" s="164">
        <f t="shared" ca="1" si="442"/>
        <v>0</v>
      </c>
      <c r="AE132" s="164">
        <f t="shared" ca="1" si="443"/>
        <v>0</v>
      </c>
      <c r="AF132" s="164">
        <f t="shared" ca="1" si="444"/>
        <v>0</v>
      </c>
      <c r="AG132" s="164">
        <f t="shared" ca="1" si="445"/>
        <v>0</v>
      </c>
      <c r="AH132" s="164">
        <f t="shared" ca="1" si="446"/>
        <v>0</v>
      </c>
      <c r="AI132" s="164">
        <f t="shared" ca="1" si="447"/>
        <v>0</v>
      </c>
      <c r="AJ132" s="164">
        <f t="shared" ca="1" si="448"/>
        <v>0</v>
      </c>
      <c r="AK132" s="164">
        <f t="shared" ca="1" si="449"/>
        <v>0</v>
      </c>
      <c r="AL132" s="164">
        <f t="shared" ca="1" si="450"/>
        <v>0</v>
      </c>
      <c r="AM132" s="208"/>
      <c r="AN132" s="164">
        <f t="shared" si="451"/>
        <v>0</v>
      </c>
      <c r="AO132" s="164">
        <f t="shared" ca="1" si="452"/>
        <v>0</v>
      </c>
      <c r="AP132" s="164">
        <f t="shared" ca="1" si="453"/>
        <v>0</v>
      </c>
      <c r="AQ132" s="164">
        <f t="shared" ca="1" si="454"/>
        <v>0</v>
      </c>
      <c r="AR132" s="164">
        <f t="shared" ca="1" si="455"/>
        <v>0</v>
      </c>
      <c r="AS132" s="164">
        <f t="shared" ca="1" si="456"/>
        <v>0</v>
      </c>
      <c r="AT132" s="164">
        <f t="shared" ca="1" si="457"/>
        <v>0</v>
      </c>
      <c r="AU132" s="164">
        <f t="shared" ca="1" si="458"/>
        <v>0</v>
      </c>
      <c r="AV132" s="164">
        <f t="shared" ca="1" si="459"/>
        <v>0</v>
      </c>
      <c r="AW132" s="164">
        <f t="shared" ca="1" si="460"/>
        <v>0</v>
      </c>
      <c r="AX132" s="164">
        <f t="shared" ca="1" si="461"/>
        <v>0</v>
      </c>
      <c r="AY132" s="164">
        <f t="shared" ca="1" si="462"/>
        <v>0</v>
      </c>
      <c r="AZ132" s="164">
        <f t="shared" ca="1" si="463"/>
        <v>0</v>
      </c>
      <c r="BA132" s="164">
        <f t="shared" ca="1" si="464"/>
        <v>0</v>
      </c>
      <c r="BB132" s="164">
        <f t="shared" ca="1" si="465"/>
        <v>0</v>
      </c>
      <c r="BC132" s="164">
        <f t="shared" ca="1" si="466"/>
        <v>0</v>
      </c>
      <c r="BD132" s="164">
        <f t="shared" ca="1" si="467"/>
        <v>0</v>
      </c>
      <c r="BE132" s="164">
        <f t="shared" ca="1" si="468"/>
        <v>0</v>
      </c>
      <c r="BF132" s="164">
        <f t="shared" ca="1" si="469"/>
        <v>0</v>
      </c>
      <c r="BG132" s="164">
        <f t="shared" ca="1" si="470"/>
        <v>0</v>
      </c>
      <c r="BH132" s="164">
        <f t="shared" ca="1" si="471"/>
        <v>0</v>
      </c>
      <c r="BI132" s="164">
        <f t="shared" ca="1" si="472"/>
        <v>0</v>
      </c>
      <c r="BJ132" s="164">
        <f t="shared" ca="1" si="473"/>
        <v>0</v>
      </c>
      <c r="BK132" s="164">
        <f t="shared" ca="1" si="474"/>
        <v>0</v>
      </c>
      <c r="BL132" s="164">
        <f t="shared" ca="1" si="475"/>
        <v>0</v>
      </c>
      <c r="BM132" s="164">
        <f t="shared" ca="1" si="476"/>
        <v>0</v>
      </c>
      <c r="BN132" s="164">
        <f t="shared" ca="1" si="477"/>
        <v>0</v>
      </c>
      <c r="BO132" s="356" t="str">
        <f t="shared" ca="1" si="478"/>
        <v/>
      </c>
      <c r="BP132" s="355" t="str">
        <f t="shared" ca="1" si="380"/>
        <v/>
      </c>
      <c r="BQ132" s="355" t="str">
        <f t="shared" ca="1" si="381"/>
        <v/>
      </c>
      <c r="BR132" s="348">
        <f t="shared" ca="1" si="312"/>
        <v>0</v>
      </c>
      <c r="BS132" s="348">
        <f t="shared" ca="1" si="313"/>
        <v>0</v>
      </c>
      <c r="BT132" s="610">
        <f t="shared" ca="1" si="479"/>
        <v>0</v>
      </c>
      <c r="BU132" s="357">
        <f t="shared" ca="1" si="383"/>
        <v>0</v>
      </c>
      <c r="BV132" s="357">
        <f t="shared" si="480"/>
        <v>0</v>
      </c>
      <c r="BW132" s="357">
        <f t="shared" si="481"/>
        <v>0</v>
      </c>
      <c r="BX132" s="357">
        <f t="shared" ca="1" si="482"/>
        <v>0</v>
      </c>
      <c r="BY132" s="357">
        <f t="shared" ca="1" si="316"/>
        <v>0</v>
      </c>
      <c r="BZ132" s="357"/>
      <c r="CA132" s="357">
        <f t="shared" ca="1" si="314"/>
        <v>0</v>
      </c>
      <c r="CB132" s="357" t="str">
        <f t="shared" ca="1" si="483"/>
        <v/>
      </c>
      <c r="CC132" s="358" t="str">
        <f t="shared" ca="1" si="317"/>
        <v/>
      </c>
      <c r="CD132" s="358" t="str">
        <f t="shared" ca="1" si="318"/>
        <v/>
      </c>
      <c r="CE132" s="357" t="str">
        <f t="shared" ca="1" si="513"/>
        <v>,,,,,,,,,,,,,,,,,,,,,,,,,,,,,,,,,,,,,,,,,,,,,,,,,,,,,,,,,,,,,,,,,,,,,,,,</v>
      </c>
      <c r="CF132" s="154" t="str">
        <f t="shared" si="315"/>
        <v/>
      </c>
      <c r="CG132" s="154">
        <f t="shared" ca="1" si="319"/>
        <v>0</v>
      </c>
      <c r="CH132" s="154"/>
      <c r="CI132" s="154"/>
      <c r="CJ132" s="154"/>
      <c r="CK132" s="154"/>
      <c r="CL132" s="154"/>
      <c r="CM132" s="154"/>
      <c r="CN132" t="s">
        <v>784</v>
      </c>
      <c r="CO132" s="169"/>
      <c r="CP132" s="169"/>
      <c r="CQ132" s="169"/>
      <c r="CR132" s="169"/>
      <c r="CS132" s="169"/>
      <c r="CT132" s="169"/>
      <c r="CU132" s="169"/>
      <c r="CV132" s="164" t="str">
        <f t="shared" ca="1" si="514"/>
        <v/>
      </c>
      <c r="CW132" s="164" t="str">
        <f t="shared" ca="1" si="514"/>
        <v/>
      </c>
      <c r="CX132" s="164" t="str">
        <f t="shared" ca="1" si="514"/>
        <v/>
      </c>
      <c r="CY132" s="164" t="str">
        <f t="shared" ca="1" si="514"/>
        <v/>
      </c>
      <c r="CZ132" s="164" t="str">
        <f t="shared" ca="1" si="514"/>
        <v/>
      </c>
      <c r="DA132" s="164" t="str">
        <f t="shared" ca="1" si="514"/>
        <v/>
      </c>
      <c r="DB132" s="164" t="str">
        <f t="shared" ca="1" si="514"/>
        <v/>
      </c>
      <c r="DC132" s="164" t="str">
        <f t="shared" ca="1" si="514"/>
        <v/>
      </c>
      <c r="DD132" s="164" t="str">
        <f t="shared" ca="1" si="514"/>
        <v/>
      </c>
      <c r="DE132" s="164" t="str">
        <f t="shared" ca="1" si="514"/>
        <v/>
      </c>
      <c r="DF132" s="164" t="str">
        <f t="shared" ca="1" si="515"/>
        <v/>
      </c>
      <c r="DG132" s="164" t="str">
        <f t="shared" ca="1" si="515"/>
        <v/>
      </c>
      <c r="DH132" s="164" t="str">
        <f t="shared" ca="1" si="515"/>
        <v/>
      </c>
      <c r="DI132" s="164" t="str">
        <f t="shared" ca="1" si="515"/>
        <v/>
      </c>
      <c r="DJ132" s="164" t="str">
        <f t="shared" ca="1" si="515"/>
        <v/>
      </c>
      <c r="DK132" s="164" t="str">
        <f t="shared" ca="1" si="515"/>
        <v/>
      </c>
      <c r="DL132" s="164" t="str">
        <f t="shared" ca="1" si="515"/>
        <v/>
      </c>
      <c r="DM132" s="164" t="str">
        <f t="shared" ca="1" si="515"/>
        <v/>
      </c>
      <c r="DN132" s="164" t="str">
        <f t="shared" ca="1" si="515"/>
        <v/>
      </c>
      <c r="DO132" s="164" t="str">
        <f t="shared" ca="1" si="515"/>
        <v/>
      </c>
      <c r="DP132" s="164" t="str">
        <f t="shared" ca="1" si="515"/>
        <v/>
      </c>
      <c r="DQ132" s="164" t="str">
        <f t="shared" ca="1" si="515"/>
        <v/>
      </c>
      <c r="DR132" s="208"/>
      <c r="DS132" s="164" t="str">
        <f t="shared" ca="1" si="484"/>
        <v/>
      </c>
      <c r="DT132" s="164" t="str">
        <f t="shared" ca="1" si="485"/>
        <v/>
      </c>
      <c r="DU132" s="164" t="str">
        <f t="shared" ca="1" si="486"/>
        <v/>
      </c>
      <c r="DV132" s="164" t="str">
        <f t="shared" ca="1" si="487"/>
        <v/>
      </c>
      <c r="DW132" s="164" t="str">
        <f t="shared" ca="1" si="488"/>
        <v/>
      </c>
      <c r="DX132" s="164" t="str">
        <f t="shared" ca="1" si="489"/>
        <v/>
      </c>
      <c r="DY132" s="164" t="str">
        <f t="shared" ca="1" si="490"/>
        <v/>
      </c>
      <c r="DZ132" s="164" t="str">
        <f t="shared" ca="1" si="491"/>
        <v/>
      </c>
      <c r="EA132" s="164" t="str">
        <f t="shared" ca="1" si="492"/>
        <v/>
      </c>
      <c r="EB132" s="164" t="str">
        <f t="shared" ca="1" si="493"/>
        <v/>
      </c>
      <c r="EC132" s="164" t="str">
        <f t="shared" ca="1" si="494"/>
        <v/>
      </c>
      <c r="ED132" s="164" t="str">
        <f t="shared" ca="1" si="495"/>
        <v/>
      </c>
      <c r="EE132" s="164" t="str">
        <f t="shared" ca="1" si="496"/>
        <v/>
      </c>
      <c r="EF132" s="164" t="str">
        <f t="shared" ca="1" si="497"/>
        <v/>
      </c>
      <c r="EG132" s="164" t="str">
        <f t="shared" ca="1" si="498"/>
        <v/>
      </c>
      <c r="EH132" s="164" t="str">
        <f t="shared" ca="1" si="499"/>
        <v/>
      </c>
      <c r="EI132" s="164" t="str">
        <f t="shared" ca="1" si="500"/>
        <v/>
      </c>
      <c r="EJ132" s="164" t="str">
        <f t="shared" ca="1" si="501"/>
        <v/>
      </c>
      <c r="EK132" s="164" t="str">
        <f t="shared" ca="1" si="502"/>
        <v/>
      </c>
      <c r="EL132" s="164" t="str">
        <f t="shared" ca="1" si="503"/>
        <v/>
      </c>
      <c r="EM132" s="164" t="str">
        <f t="shared" ca="1" si="504"/>
        <v/>
      </c>
      <c r="EN132" s="164" t="str">
        <f t="shared" ca="1" si="505"/>
        <v/>
      </c>
      <c r="EO132" s="164" t="str">
        <f t="shared" ca="1" si="506"/>
        <v/>
      </c>
      <c r="EP132" s="164" t="str">
        <f t="shared" ca="1" si="507"/>
        <v/>
      </c>
      <c r="EQ132" s="164" t="str">
        <f t="shared" ca="1" si="508"/>
        <v/>
      </c>
      <c r="ER132" s="164" t="str">
        <f t="shared" ca="1" si="509"/>
        <v/>
      </c>
      <c r="ES132" s="164" t="str">
        <f t="shared" ca="1" si="510"/>
        <v/>
      </c>
    </row>
    <row r="133" spans="1:149" x14ac:dyDescent="0.2">
      <c r="A133" s="89" t="str">
        <f t="shared" ca="1" si="511"/>
        <v/>
      </c>
      <c r="B133" s="317" t="str">
        <f t="shared" ca="1" si="423"/>
        <v/>
      </c>
      <c r="C133" s="609" t="str">
        <f t="shared" ca="1" si="424"/>
        <v/>
      </c>
      <c r="D133" s="1956" t="str">
        <f t="shared" ca="1" si="425"/>
        <v/>
      </c>
      <c r="E133" s="1956"/>
      <c r="F133" s="960"/>
      <c r="G133" s="485" t="str">
        <f t="shared" ca="1" si="426"/>
        <v/>
      </c>
      <c r="H133" s="983"/>
      <c r="I133" s="486"/>
      <c r="J133" s="326"/>
      <c r="K133" s="1886" t="str">
        <f t="shared" ca="1" si="427"/>
        <v/>
      </c>
      <c r="L133" s="1888"/>
      <c r="M133" s="296" t="str">
        <f t="shared" ca="1" si="512"/>
        <v/>
      </c>
      <c r="N133" s="1322"/>
      <c r="O133" s="1319"/>
      <c r="P133" s="957" t="str">
        <f t="shared" ca="1" si="428"/>
        <v/>
      </c>
      <c r="Q133" s="164">
        <f t="shared" si="429"/>
        <v>0</v>
      </c>
      <c r="R133" s="164">
        <f t="shared" ca="1" si="430"/>
        <v>0</v>
      </c>
      <c r="S133" s="164">
        <f t="shared" ca="1" si="431"/>
        <v>0</v>
      </c>
      <c r="T133" s="164">
        <f t="shared" ca="1" si="432"/>
        <v>0</v>
      </c>
      <c r="U133" s="164">
        <f t="shared" ca="1" si="433"/>
        <v>0</v>
      </c>
      <c r="V133" s="164">
        <f t="shared" ca="1" si="434"/>
        <v>0</v>
      </c>
      <c r="W133" s="164">
        <f t="shared" ca="1" si="435"/>
        <v>0</v>
      </c>
      <c r="X133" s="164">
        <f t="shared" ca="1" si="436"/>
        <v>0</v>
      </c>
      <c r="Y133" s="164">
        <f t="shared" ca="1" si="437"/>
        <v>0</v>
      </c>
      <c r="Z133" s="164">
        <f t="shared" ca="1" si="438"/>
        <v>0</v>
      </c>
      <c r="AA133" s="164">
        <f t="shared" ca="1" si="439"/>
        <v>0</v>
      </c>
      <c r="AB133" s="164">
        <f t="shared" ca="1" si="440"/>
        <v>0</v>
      </c>
      <c r="AC133" s="164">
        <f t="shared" ca="1" si="441"/>
        <v>0</v>
      </c>
      <c r="AD133" s="164">
        <f t="shared" ca="1" si="442"/>
        <v>0</v>
      </c>
      <c r="AE133" s="164">
        <f t="shared" ca="1" si="443"/>
        <v>0</v>
      </c>
      <c r="AF133" s="164">
        <f t="shared" ca="1" si="444"/>
        <v>0</v>
      </c>
      <c r="AG133" s="164">
        <f t="shared" ca="1" si="445"/>
        <v>0</v>
      </c>
      <c r="AH133" s="164">
        <f t="shared" ca="1" si="446"/>
        <v>0</v>
      </c>
      <c r="AI133" s="164">
        <f t="shared" ca="1" si="447"/>
        <v>0</v>
      </c>
      <c r="AJ133" s="164">
        <f t="shared" ca="1" si="448"/>
        <v>0</v>
      </c>
      <c r="AK133" s="164">
        <f t="shared" ca="1" si="449"/>
        <v>0</v>
      </c>
      <c r="AL133" s="164">
        <f t="shared" ca="1" si="450"/>
        <v>0</v>
      </c>
      <c r="AM133" s="208"/>
      <c r="AN133" s="164">
        <f t="shared" si="451"/>
        <v>0</v>
      </c>
      <c r="AO133" s="164">
        <f t="shared" ca="1" si="452"/>
        <v>0</v>
      </c>
      <c r="AP133" s="164">
        <f t="shared" ca="1" si="453"/>
        <v>0</v>
      </c>
      <c r="AQ133" s="164">
        <f t="shared" ca="1" si="454"/>
        <v>0</v>
      </c>
      <c r="AR133" s="164">
        <f t="shared" ca="1" si="455"/>
        <v>0</v>
      </c>
      <c r="AS133" s="164">
        <f t="shared" ca="1" si="456"/>
        <v>0</v>
      </c>
      <c r="AT133" s="164">
        <f t="shared" ca="1" si="457"/>
        <v>0</v>
      </c>
      <c r="AU133" s="164">
        <f t="shared" ca="1" si="458"/>
        <v>0</v>
      </c>
      <c r="AV133" s="164">
        <f t="shared" ca="1" si="459"/>
        <v>0</v>
      </c>
      <c r="AW133" s="164">
        <f t="shared" ca="1" si="460"/>
        <v>0</v>
      </c>
      <c r="AX133" s="164">
        <f t="shared" ca="1" si="461"/>
        <v>0</v>
      </c>
      <c r="AY133" s="164">
        <f t="shared" ca="1" si="462"/>
        <v>0</v>
      </c>
      <c r="AZ133" s="164">
        <f t="shared" ca="1" si="463"/>
        <v>0</v>
      </c>
      <c r="BA133" s="164">
        <f t="shared" ca="1" si="464"/>
        <v>0</v>
      </c>
      <c r="BB133" s="164">
        <f t="shared" ca="1" si="465"/>
        <v>0</v>
      </c>
      <c r="BC133" s="164">
        <f t="shared" ca="1" si="466"/>
        <v>0</v>
      </c>
      <c r="BD133" s="164">
        <f t="shared" ca="1" si="467"/>
        <v>0</v>
      </c>
      <c r="BE133" s="164">
        <f t="shared" ca="1" si="468"/>
        <v>0</v>
      </c>
      <c r="BF133" s="164">
        <f t="shared" ca="1" si="469"/>
        <v>0</v>
      </c>
      <c r="BG133" s="164">
        <f t="shared" ca="1" si="470"/>
        <v>0</v>
      </c>
      <c r="BH133" s="164">
        <f t="shared" ca="1" si="471"/>
        <v>0</v>
      </c>
      <c r="BI133" s="164">
        <f t="shared" ca="1" si="472"/>
        <v>0</v>
      </c>
      <c r="BJ133" s="164">
        <f t="shared" ca="1" si="473"/>
        <v>0</v>
      </c>
      <c r="BK133" s="164">
        <f t="shared" ca="1" si="474"/>
        <v>0</v>
      </c>
      <c r="BL133" s="164">
        <f t="shared" ca="1" si="475"/>
        <v>0</v>
      </c>
      <c r="BM133" s="164">
        <f t="shared" ca="1" si="476"/>
        <v>0</v>
      </c>
      <c r="BN133" s="164">
        <f t="shared" ca="1" si="477"/>
        <v>0</v>
      </c>
      <c r="BO133" s="356" t="str">
        <f t="shared" ca="1" si="478"/>
        <v/>
      </c>
      <c r="BP133" s="355" t="str">
        <f t="shared" ca="1" si="380"/>
        <v/>
      </c>
      <c r="BQ133" s="355" t="str">
        <f t="shared" ca="1" si="381"/>
        <v/>
      </c>
      <c r="BR133" s="348">
        <f t="shared" ca="1" si="312"/>
        <v>0</v>
      </c>
      <c r="BS133" s="348">
        <f t="shared" ca="1" si="313"/>
        <v>0</v>
      </c>
      <c r="BT133" s="610">
        <f t="shared" ca="1" si="479"/>
        <v>0</v>
      </c>
      <c r="BU133" s="357">
        <f t="shared" ca="1" si="383"/>
        <v>0</v>
      </c>
      <c r="BV133" s="357">
        <f t="shared" si="480"/>
        <v>0</v>
      </c>
      <c r="BW133" s="357">
        <f t="shared" si="481"/>
        <v>0</v>
      </c>
      <c r="BX133" s="357">
        <f t="shared" ca="1" si="482"/>
        <v>0</v>
      </c>
      <c r="BY133" s="357">
        <f t="shared" ca="1" si="316"/>
        <v>0</v>
      </c>
      <c r="BZ133" s="357"/>
      <c r="CA133" s="357">
        <f t="shared" ca="1" si="314"/>
        <v>0</v>
      </c>
      <c r="CB133" s="357" t="str">
        <f t="shared" ca="1" si="483"/>
        <v/>
      </c>
      <c r="CC133" s="358" t="str">
        <f t="shared" ca="1" si="317"/>
        <v/>
      </c>
      <c r="CD133" s="358" t="str">
        <f t="shared" ca="1" si="318"/>
        <v/>
      </c>
      <c r="CE133" s="357" t="str">
        <f t="shared" ca="1" si="513"/>
        <v>,,,,,,,,,,,,,,,,,,,,,,,,,,,,,,,,,,,,,,,,,,,,,,,,,,,,,,,,,,,,,,,,,,,,,,,,,</v>
      </c>
      <c r="CF133" s="154" t="str">
        <f t="shared" si="315"/>
        <v/>
      </c>
      <c r="CG133" s="154">
        <f t="shared" ca="1" si="319"/>
        <v>0</v>
      </c>
      <c r="CH133" s="154"/>
      <c r="CI133" s="154"/>
      <c r="CJ133" s="154"/>
      <c r="CK133" s="154"/>
      <c r="CL133" s="154"/>
      <c r="CM133" s="154"/>
      <c r="CN133" t="s">
        <v>784</v>
      </c>
      <c r="CO133" s="169"/>
      <c r="CP133" s="169"/>
      <c r="CQ133" s="169"/>
      <c r="CR133" s="169"/>
      <c r="CS133" s="169"/>
      <c r="CT133" s="169"/>
      <c r="CU133" s="169"/>
      <c r="CV133" s="164" t="str">
        <f t="shared" ca="1" si="514"/>
        <v/>
      </c>
      <c r="CW133" s="164" t="str">
        <f t="shared" ca="1" si="514"/>
        <v/>
      </c>
      <c r="CX133" s="164" t="str">
        <f t="shared" ca="1" si="514"/>
        <v/>
      </c>
      <c r="CY133" s="164" t="str">
        <f t="shared" ca="1" si="514"/>
        <v/>
      </c>
      <c r="CZ133" s="164" t="str">
        <f t="shared" ca="1" si="514"/>
        <v/>
      </c>
      <c r="DA133" s="164" t="str">
        <f t="shared" ca="1" si="514"/>
        <v/>
      </c>
      <c r="DB133" s="164" t="str">
        <f t="shared" ca="1" si="514"/>
        <v/>
      </c>
      <c r="DC133" s="164" t="str">
        <f t="shared" ca="1" si="514"/>
        <v/>
      </c>
      <c r="DD133" s="164" t="str">
        <f t="shared" ca="1" si="514"/>
        <v/>
      </c>
      <c r="DE133" s="164" t="str">
        <f t="shared" ca="1" si="514"/>
        <v/>
      </c>
      <c r="DF133" s="164" t="str">
        <f t="shared" ca="1" si="515"/>
        <v/>
      </c>
      <c r="DG133" s="164" t="str">
        <f t="shared" ca="1" si="515"/>
        <v/>
      </c>
      <c r="DH133" s="164" t="str">
        <f t="shared" ca="1" si="515"/>
        <v/>
      </c>
      <c r="DI133" s="164" t="str">
        <f t="shared" ca="1" si="515"/>
        <v/>
      </c>
      <c r="DJ133" s="164" t="str">
        <f t="shared" ca="1" si="515"/>
        <v/>
      </c>
      <c r="DK133" s="164" t="str">
        <f t="shared" ca="1" si="515"/>
        <v/>
      </c>
      <c r="DL133" s="164" t="str">
        <f t="shared" ca="1" si="515"/>
        <v/>
      </c>
      <c r="DM133" s="164" t="str">
        <f t="shared" ca="1" si="515"/>
        <v/>
      </c>
      <c r="DN133" s="164" t="str">
        <f t="shared" ca="1" si="515"/>
        <v/>
      </c>
      <c r="DO133" s="164" t="str">
        <f t="shared" ca="1" si="515"/>
        <v/>
      </c>
      <c r="DP133" s="164" t="str">
        <f t="shared" ca="1" si="515"/>
        <v/>
      </c>
      <c r="DQ133" s="164" t="str">
        <f t="shared" ca="1" si="515"/>
        <v/>
      </c>
      <c r="DR133" s="208"/>
      <c r="DS133" s="164" t="str">
        <f t="shared" ca="1" si="484"/>
        <v/>
      </c>
      <c r="DT133" s="164" t="str">
        <f t="shared" ca="1" si="485"/>
        <v/>
      </c>
      <c r="DU133" s="164" t="str">
        <f t="shared" ca="1" si="486"/>
        <v/>
      </c>
      <c r="DV133" s="164" t="str">
        <f t="shared" ca="1" si="487"/>
        <v/>
      </c>
      <c r="DW133" s="164" t="str">
        <f t="shared" ca="1" si="488"/>
        <v/>
      </c>
      <c r="DX133" s="164" t="str">
        <f t="shared" ca="1" si="489"/>
        <v/>
      </c>
      <c r="DY133" s="164" t="str">
        <f t="shared" ca="1" si="490"/>
        <v/>
      </c>
      <c r="DZ133" s="164" t="str">
        <f t="shared" ca="1" si="491"/>
        <v/>
      </c>
      <c r="EA133" s="164" t="str">
        <f t="shared" ca="1" si="492"/>
        <v/>
      </c>
      <c r="EB133" s="164" t="str">
        <f t="shared" ca="1" si="493"/>
        <v/>
      </c>
      <c r="EC133" s="164" t="str">
        <f t="shared" ca="1" si="494"/>
        <v/>
      </c>
      <c r="ED133" s="164" t="str">
        <f t="shared" ca="1" si="495"/>
        <v/>
      </c>
      <c r="EE133" s="164" t="str">
        <f t="shared" ca="1" si="496"/>
        <v/>
      </c>
      <c r="EF133" s="164" t="str">
        <f t="shared" ca="1" si="497"/>
        <v/>
      </c>
      <c r="EG133" s="164" t="str">
        <f t="shared" ca="1" si="498"/>
        <v/>
      </c>
      <c r="EH133" s="164" t="str">
        <f t="shared" ca="1" si="499"/>
        <v/>
      </c>
      <c r="EI133" s="164" t="str">
        <f t="shared" ca="1" si="500"/>
        <v/>
      </c>
      <c r="EJ133" s="164" t="str">
        <f t="shared" ca="1" si="501"/>
        <v/>
      </c>
      <c r="EK133" s="164" t="str">
        <f t="shared" ca="1" si="502"/>
        <v/>
      </c>
      <c r="EL133" s="164" t="str">
        <f t="shared" ca="1" si="503"/>
        <v/>
      </c>
      <c r="EM133" s="164" t="str">
        <f t="shared" ca="1" si="504"/>
        <v/>
      </c>
      <c r="EN133" s="164" t="str">
        <f t="shared" ca="1" si="505"/>
        <v/>
      </c>
      <c r="EO133" s="164" t="str">
        <f t="shared" ca="1" si="506"/>
        <v/>
      </c>
      <c r="EP133" s="164" t="str">
        <f t="shared" ca="1" si="507"/>
        <v/>
      </c>
      <c r="EQ133" s="164" t="str">
        <f t="shared" ca="1" si="508"/>
        <v/>
      </c>
      <c r="ER133" s="164" t="str">
        <f t="shared" ca="1" si="509"/>
        <v/>
      </c>
      <c r="ES133" s="164" t="str">
        <f t="shared" ca="1" si="510"/>
        <v/>
      </c>
    </row>
    <row r="134" spans="1:149" x14ac:dyDescent="0.2">
      <c r="A134" s="89" t="str">
        <f t="shared" ca="1" si="511"/>
        <v/>
      </c>
      <c r="B134" s="317" t="str">
        <f t="shared" ca="1" si="423"/>
        <v/>
      </c>
      <c r="C134" s="609" t="str">
        <f t="shared" ca="1" si="424"/>
        <v/>
      </c>
      <c r="D134" s="1956" t="str">
        <f t="shared" ca="1" si="425"/>
        <v/>
      </c>
      <c r="E134" s="1956"/>
      <c r="F134" s="960"/>
      <c r="G134" s="485" t="str">
        <f t="shared" ca="1" si="426"/>
        <v/>
      </c>
      <c r="H134" s="983"/>
      <c r="I134" s="486"/>
      <c r="J134" s="326"/>
      <c r="K134" s="1886" t="str">
        <f t="shared" ca="1" si="427"/>
        <v/>
      </c>
      <c r="L134" s="1888"/>
      <c r="M134" s="296" t="str">
        <f t="shared" ca="1" si="512"/>
        <v/>
      </c>
      <c r="N134" s="1322"/>
      <c r="O134" s="1319"/>
      <c r="P134" s="957" t="str">
        <f t="shared" ca="1" si="428"/>
        <v/>
      </c>
      <c r="Q134" s="164">
        <f t="shared" si="429"/>
        <v>0</v>
      </c>
      <c r="R134" s="164">
        <f t="shared" ca="1" si="430"/>
        <v>0</v>
      </c>
      <c r="S134" s="164">
        <f t="shared" ca="1" si="431"/>
        <v>0</v>
      </c>
      <c r="T134" s="164">
        <f t="shared" ca="1" si="432"/>
        <v>0</v>
      </c>
      <c r="U134" s="164">
        <f t="shared" ca="1" si="433"/>
        <v>0</v>
      </c>
      <c r="V134" s="164">
        <f t="shared" ca="1" si="434"/>
        <v>0</v>
      </c>
      <c r="W134" s="164">
        <f t="shared" ca="1" si="435"/>
        <v>0</v>
      </c>
      <c r="X134" s="164">
        <f t="shared" ca="1" si="436"/>
        <v>0</v>
      </c>
      <c r="Y134" s="164">
        <f t="shared" ca="1" si="437"/>
        <v>0</v>
      </c>
      <c r="Z134" s="164">
        <f t="shared" ca="1" si="438"/>
        <v>0</v>
      </c>
      <c r="AA134" s="164">
        <f t="shared" ca="1" si="439"/>
        <v>0</v>
      </c>
      <c r="AB134" s="164">
        <f t="shared" ca="1" si="440"/>
        <v>0</v>
      </c>
      <c r="AC134" s="164">
        <f t="shared" ca="1" si="441"/>
        <v>0</v>
      </c>
      <c r="AD134" s="164">
        <f t="shared" ca="1" si="442"/>
        <v>0</v>
      </c>
      <c r="AE134" s="164">
        <f t="shared" ca="1" si="443"/>
        <v>0</v>
      </c>
      <c r="AF134" s="164">
        <f t="shared" ca="1" si="444"/>
        <v>0</v>
      </c>
      <c r="AG134" s="164">
        <f t="shared" ca="1" si="445"/>
        <v>0</v>
      </c>
      <c r="AH134" s="164">
        <f t="shared" ca="1" si="446"/>
        <v>0</v>
      </c>
      <c r="AI134" s="164">
        <f t="shared" ca="1" si="447"/>
        <v>0</v>
      </c>
      <c r="AJ134" s="164">
        <f t="shared" ca="1" si="448"/>
        <v>0</v>
      </c>
      <c r="AK134" s="164">
        <f t="shared" ca="1" si="449"/>
        <v>0</v>
      </c>
      <c r="AL134" s="164">
        <f t="shared" ca="1" si="450"/>
        <v>0</v>
      </c>
      <c r="AM134" s="208"/>
      <c r="AN134" s="164">
        <f t="shared" si="451"/>
        <v>0</v>
      </c>
      <c r="AO134" s="164">
        <f t="shared" ca="1" si="452"/>
        <v>0</v>
      </c>
      <c r="AP134" s="164">
        <f t="shared" ca="1" si="453"/>
        <v>0</v>
      </c>
      <c r="AQ134" s="164">
        <f t="shared" ca="1" si="454"/>
        <v>0</v>
      </c>
      <c r="AR134" s="164">
        <f t="shared" ca="1" si="455"/>
        <v>0</v>
      </c>
      <c r="AS134" s="164">
        <f t="shared" ca="1" si="456"/>
        <v>0</v>
      </c>
      <c r="AT134" s="164">
        <f t="shared" ca="1" si="457"/>
        <v>0</v>
      </c>
      <c r="AU134" s="164">
        <f t="shared" ca="1" si="458"/>
        <v>0</v>
      </c>
      <c r="AV134" s="164">
        <f t="shared" ca="1" si="459"/>
        <v>0</v>
      </c>
      <c r="AW134" s="164">
        <f t="shared" ca="1" si="460"/>
        <v>0</v>
      </c>
      <c r="AX134" s="164">
        <f t="shared" ca="1" si="461"/>
        <v>0</v>
      </c>
      <c r="AY134" s="164">
        <f t="shared" ca="1" si="462"/>
        <v>0</v>
      </c>
      <c r="AZ134" s="164">
        <f t="shared" ca="1" si="463"/>
        <v>0</v>
      </c>
      <c r="BA134" s="164">
        <f t="shared" ca="1" si="464"/>
        <v>0</v>
      </c>
      <c r="BB134" s="164">
        <f t="shared" ca="1" si="465"/>
        <v>0</v>
      </c>
      <c r="BC134" s="164">
        <f t="shared" ca="1" si="466"/>
        <v>0</v>
      </c>
      <c r="BD134" s="164">
        <f t="shared" ca="1" si="467"/>
        <v>0</v>
      </c>
      <c r="BE134" s="164">
        <f t="shared" ca="1" si="468"/>
        <v>0</v>
      </c>
      <c r="BF134" s="164">
        <f t="shared" ca="1" si="469"/>
        <v>0</v>
      </c>
      <c r="BG134" s="164">
        <f t="shared" ca="1" si="470"/>
        <v>0</v>
      </c>
      <c r="BH134" s="164">
        <f t="shared" ca="1" si="471"/>
        <v>0</v>
      </c>
      <c r="BI134" s="164">
        <f t="shared" ca="1" si="472"/>
        <v>0</v>
      </c>
      <c r="BJ134" s="164">
        <f t="shared" ca="1" si="473"/>
        <v>0</v>
      </c>
      <c r="BK134" s="164">
        <f t="shared" ca="1" si="474"/>
        <v>0</v>
      </c>
      <c r="BL134" s="164">
        <f t="shared" ca="1" si="475"/>
        <v>0</v>
      </c>
      <c r="BM134" s="164">
        <f t="shared" ca="1" si="476"/>
        <v>0</v>
      </c>
      <c r="BN134" s="164">
        <f t="shared" ca="1" si="477"/>
        <v>0</v>
      </c>
      <c r="BO134" s="356" t="str">
        <f t="shared" ca="1" si="478"/>
        <v/>
      </c>
      <c r="BP134" s="355" t="str">
        <f t="shared" ca="1" si="380"/>
        <v/>
      </c>
      <c r="BQ134" s="355" t="str">
        <f t="shared" ca="1" si="381"/>
        <v/>
      </c>
      <c r="BR134" s="348">
        <f t="shared" ca="1" si="312"/>
        <v>0</v>
      </c>
      <c r="BS134" s="348">
        <f t="shared" ca="1" si="313"/>
        <v>0</v>
      </c>
      <c r="BT134" s="610">
        <f t="shared" ca="1" si="479"/>
        <v>0</v>
      </c>
      <c r="BU134" s="357">
        <f t="shared" ca="1" si="383"/>
        <v>0</v>
      </c>
      <c r="BV134" s="357">
        <f t="shared" si="480"/>
        <v>0</v>
      </c>
      <c r="BW134" s="357">
        <f t="shared" si="481"/>
        <v>0</v>
      </c>
      <c r="BX134" s="357">
        <f t="shared" ca="1" si="482"/>
        <v>0</v>
      </c>
      <c r="BY134" s="357">
        <f t="shared" ca="1" si="316"/>
        <v>0</v>
      </c>
      <c r="BZ134" s="357"/>
      <c r="CA134" s="357">
        <f t="shared" ca="1" si="314"/>
        <v>0</v>
      </c>
      <c r="CB134" s="357" t="str">
        <f t="shared" ca="1" si="483"/>
        <v/>
      </c>
      <c r="CC134" s="358" t="str">
        <f t="shared" ca="1" si="317"/>
        <v/>
      </c>
      <c r="CD134" s="358" t="str">
        <f t="shared" ca="1" si="318"/>
        <v/>
      </c>
      <c r="CE134" s="357" t="str">
        <f t="shared" ca="1" si="513"/>
        <v>,,,,,,,,,,,,,,,,,,,,,,,,,,,,,,,,,,,,,,,,,,,,,,,,,,,,,,,,,,,,,,,,,,,,,,,,,,</v>
      </c>
      <c r="CF134" s="154" t="str">
        <f t="shared" si="315"/>
        <v/>
      </c>
      <c r="CG134" s="154">
        <f t="shared" ca="1" si="319"/>
        <v>0</v>
      </c>
      <c r="CH134" s="154"/>
      <c r="CI134" s="154"/>
      <c r="CJ134" s="154"/>
      <c r="CK134" s="154"/>
      <c r="CL134" s="154"/>
      <c r="CM134" s="154"/>
      <c r="CN134" t="s">
        <v>784</v>
      </c>
      <c r="CO134" s="169"/>
      <c r="CP134" s="169"/>
      <c r="CQ134" s="169"/>
      <c r="CR134" s="169"/>
      <c r="CS134" s="169"/>
      <c r="CT134" s="169"/>
      <c r="CU134" s="169"/>
      <c r="CV134" s="164" t="str">
        <f t="shared" ca="1" si="514"/>
        <v/>
      </c>
      <c r="CW134" s="164" t="str">
        <f t="shared" ca="1" si="514"/>
        <v/>
      </c>
      <c r="CX134" s="164" t="str">
        <f t="shared" ca="1" si="514"/>
        <v/>
      </c>
      <c r="CY134" s="164" t="str">
        <f t="shared" ca="1" si="514"/>
        <v/>
      </c>
      <c r="CZ134" s="164" t="str">
        <f t="shared" ca="1" si="514"/>
        <v/>
      </c>
      <c r="DA134" s="164" t="str">
        <f t="shared" ca="1" si="514"/>
        <v/>
      </c>
      <c r="DB134" s="164" t="str">
        <f t="shared" ca="1" si="514"/>
        <v/>
      </c>
      <c r="DC134" s="164" t="str">
        <f t="shared" ca="1" si="514"/>
        <v/>
      </c>
      <c r="DD134" s="164" t="str">
        <f t="shared" ca="1" si="514"/>
        <v/>
      </c>
      <c r="DE134" s="164" t="str">
        <f t="shared" ca="1" si="514"/>
        <v/>
      </c>
      <c r="DF134" s="164" t="str">
        <f t="shared" ca="1" si="515"/>
        <v/>
      </c>
      <c r="DG134" s="164" t="str">
        <f t="shared" ca="1" si="515"/>
        <v/>
      </c>
      <c r="DH134" s="164" t="str">
        <f t="shared" ca="1" si="515"/>
        <v/>
      </c>
      <c r="DI134" s="164" t="str">
        <f t="shared" ca="1" si="515"/>
        <v/>
      </c>
      <c r="DJ134" s="164" t="str">
        <f t="shared" ca="1" si="515"/>
        <v/>
      </c>
      <c r="DK134" s="164" t="str">
        <f t="shared" ca="1" si="515"/>
        <v/>
      </c>
      <c r="DL134" s="164" t="str">
        <f t="shared" ca="1" si="515"/>
        <v/>
      </c>
      <c r="DM134" s="164" t="str">
        <f t="shared" ca="1" si="515"/>
        <v/>
      </c>
      <c r="DN134" s="164" t="str">
        <f t="shared" ca="1" si="515"/>
        <v/>
      </c>
      <c r="DO134" s="164" t="str">
        <f t="shared" ca="1" si="515"/>
        <v/>
      </c>
      <c r="DP134" s="164" t="str">
        <f t="shared" ca="1" si="515"/>
        <v/>
      </c>
      <c r="DQ134" s="164" t="str">
        <f t="shared" ca="1" si="515"/>
        <v/>
      </c>
      <c r="DR134" s="208"/>
      <c r="DS134" s="164" t="str">
        <f t="shared" ca="1" si="484"/>
        <v/>
      </c>
      <c r="DT134" s="164" t="str">
        <f t="shared" ca="1" si="485"/>
        <v/>
      </c>
      <c r="DU134" s="164" t="str">
        <f t="shared" ca="1" si="486"/>
        <v/>
      </c>
      <c r="DV134" s="164" t="str">
        <f t="shared" ca="1" si="487"/>
        <v/>
      </c>
      <c r="DW134" s="164" t="str">
        <f t="shared" ca="1" si="488"/>
        <v/>
      </c>
      <c r="DX134" s="164" t="str">
        <f t="shared" ca="1" si="489"/>
        <v/>
      </c>
      <c r="DY134" s="164" t="str">
        <f t="shared" ca="1" si="490"/>
        <v/>
      </c>
      <c r="DZ134" s="164" t="str">
        <f t="shared" ca="1" si="491"/>
        <v/>
      </c>
      <c r="EA134" s="164" t="str">
        <f t="shared" ca="1" si="492"/>
        <v/>
      </c>
      <c r="EB134" s="164" t="str">
        <f t="shared" ca="1" si="493"/>
        <v/>
      </c>
      <c r="EC134" s="164" t="str">
        <f t="shared" ca="1" si="494"/>
        <v/>
      </c>
      <c r="ED134" s="164" t="str">
        <f t="shared" ca="1" si="495"/>
        <v/>
      </c>
      <c r="EE134" s="164" t="str">
        <f t="shared" ca="1" si="496"/>
        <v/>
      </c>
      <c r="EF134" s="164" t="str">
        <f t="shared" ca="1" si="497"/>
        <v/>
      </c>
      <c r="EG134" s="164" t="str">
        <f t="shared" ca="1" si="498"/>
        <v/>
      </c>
      <c r="EH134" s="164" t="str">
        <f t="shared" ca="1" si="499"/>
        <v/>
      </c>
      <c r="EI134" s="164" t="str">
        <f t="shared" ca="1" si="500"/>
        <v/>
      </c>
      <c r="EJ134" s="164" t="str">
        <f t="shared" ca="1" si="501"/>
        <v/>
      </c>
      <c r="EK134" s="164" t="str">
        <f t="shared" ca="1" si="502"/>
        <v/>
      </c>
      <c r="EL134" s="164" t="str">
        <f t="shared" ca="1" si="503"/>
        <v/>
      </c>
      <c r="EM134" s="164" t="str">
        <f t="shared" ca="1" si="504"/>
        <v/>
      </c>
      <c r="EN134" s="164" t="str">
        <f t="shared" ca="1" si="505"/>
        <v/>
      </c>
      <c r="EO134" s="164" t="str">
        <f t="shared" ca="1" si="506"/>
        <v/>
      </c>
      <c r="EP134" s="164" t="str">
        <f t="shared" ca="1" si="507"/>
        <v/>
      </c>
      <c r="EQ134" s="164" t="str">
        <f t="shared" ca="1" si="508"/>
        <v/>
      </c>
      <c r="ER134" s="164" t="str">
        <f t="shared" ca="1" si="509"/>
        <v/>
      </c>
      <c r="ES134" s="164" t="str">
        <f t="shared" ca="1" si="510"/>
        <v/>
      </c>
    </row>
    <row r="135" spans="1:149" x14ac:dyDescent="0.2">
      <c r="A135" s="89" t="str">
        <f t="shared" ca="1" si="511"/>
        <v/>
      </c>
      <c r="B135" s="317" t="str">
        <f t="shared" ca="1" si="423"/>
        <v/>
      </c>
      <c r="C135" s="609" t="str">
        <f t="shared" ca="1" si="424"/>
        <v/>
      </c>
      <c r="D135" s="1956" t="str">
        <f t="shared" ca="1" si="425"/>
        <v/>
      </c>
      <c r="E135" s="1956"/>
      <c r="F135" s="960"/>
      <c r="G135" s="485" t="str">
        <f t="shared" ca="1" si="426"/>
        <v/>
      </c>
      <c r="H135" s="983"/>
      <c r="I135" s="486"/>
      <c r="J135" s="326"/>
      <c r="K135" s="1886" t="str">
        <f t="shared" ca="1" si="427"/>
        <v/>
      </c>
      <c r="L135" s="1888"/>
      <c r="M135" s="296" t="str">
        <f t="shared" ca="1" si="512"/>
        <v/>
      </c>
      <c r="N135" s="1322"/>
      <c r="O135" s="1319"/>
      <c r="P135" s="957" t="str">
        <f t="shared" ca="1" si="428"/>
        <v/>
      </c>
      <c r="Q135" s="164">
        <f t="shared" si="429"/>
        <v>0</v>
      </c>
      <c r="R135" s="164">
        <f t="shared" ca="1" si="430"/>
        <v>0</v>
      </c>
      <c r="S135" s="164">
        <f t="shared" ca="1" si="431"/>
        <v>0</v>
      </c>
      <c r="T135" s="164">
        <f t="shared" ca="1" si="432"/>
        <v>0</v>
      </c>
      <c r="U135" s="164">
        <f t="shared" ca="1" si="433"/>
        <v>0</v>
      </c>
      <c r="V135" s="164">
        <f t="shared" ca="1" si="434"/>
        <v>0</v>
      </c>
      <c r="W135" s="164">
        <f t="shared" ca="1" si="435"/>
        <v>0</v>
      </c>
      <c r="X135" s="164">
        <f t="shared" ca="1" si="436"/>
        <v>0</v>
      </c>
      <c r="Y135" s="164">
        <f t="shared" ca="1" si="437"/>
        <v>0</v>
      </c>
      <c r="Z135" s="164">
        <f t="shared" ca="1" si="438"/>
        <v>0</v>
      </c>
      <c r="AA135" s="164">
        <f t="shared" ca="1" si="439"/>
        <v>0</v>
      </c>
      <c r="AB135" s="164">
        <f t="shared" ca="1" si="440"/>
        <v>0</v>
      </c>
      <c r="AC135" s="164">
        <f t="shared" ca="1" si="441"/>
        <v>0</v>
      </c>
      <c r="AD135" s="164">
        <f t="shared" ca="1" si="442"/>
        <v>0</v>
      </c>
      <c r="AE135" s="164">
        <f t="shared" ca="1" si="443"/>
        <v>0</v>
      </c>
      <c r="AF135" s="164">
        <f t="shared" ca="1" si="444"/>
        <v>0</v>
      </c>
      <c r="AG135" s="164">
        <f t="shared" ca="1" si="445"/>
        <v>0</v>
      </c>
      <c r="AH135" s="164">
        <f t="shared" ca="1" si="446"/>
        <v>0</v>
      </c>
      <c r="AI135" s="164">
        <f t="shared" ca="1" si="447"/>
        <v>0</v>
      </c>
      <c r="AJ135" s="164">
        <f t="shared" ca="1" si="448"/>
        <v>0</v>
      </c>
      <c r="AK135" s="164">
        <f t="shared" ca="1" si="449"/>
        <v>0</v>
      </c>
      <c r="AL135" s="164">
        <f t="shared" ca="1" si="450"/>
        <v>0</v>
      </c>
      <c r="AM135" s="208"/>
      <c r="AN135" s="164">
        <f t="shared" si="451"/>
        <v>0</v>
      </c>
      <c r="AO135" s="164">
        <f t="shared" ca="1" si="452"/>
        <v>0</v>
      </c>
      <c r="AP135" s="164">
        <f t="shared" ca="1" si="453"/>
        <v>0</v>
      </c>
      <c r="AQ135" s="164">
        <f t="shared" ca="1" si="454"/>
        <v>0</v>
      </c>
      <c r="AR135" s="164">
        <f t="shared" ca="1" si="455"/>
        <v>0</v>
      </c>
      <c r="AS135" s="164">
        <f t="shared" ca="1" si="456"/>
        <v>0</v>
      </c>
      <c r="AT135" s="164">
        <f t="shared" ca="1" si="457"/>
        <v>0</v>
      </c>
      <c r="AU135" s="164">
        <f t="shared" ca="1" si="458"/>
        <v>0</v>
      </c>
      <c r="AV135" s="164">
        <f t="shared" ca="1" si="459"/>
        <v>0</v>
      </c>
      <c r="AW135" s="164">
        <f t="shared" ca="1" si="460"/>
        <v>0</v>
      </c>
      <c r="AX135" s="164">
        <f t="shared" ca="1" si="461"/>
        <v>0</v>
      </c>
      <c r="AY135" s="164">
        <f t="shared" ca="1" si="462"/>
        <v>0</v>
      </c>
      <c r="AZ135" s="164">
        <f t="shared" ca="1" si="463"/>
        <v>0</v>
      </c>
      <c r="BA135" s="164">
        <f t="shared" ca="1" si="464"/>
        <v>0</v>
      </c>
      <c r="BB135" s="164">
        <f t="shared" ca="1" si="465"/>
        <v>0</v>
      </c>
      <c r="BC135" s="164">
        <f t="shared" ca="1" si="466"/>
        <v>0</v>
      </c>
      <c r="BD135" s="164">
        <f t="shared" ca="1" si="467"/>
        <v>0</v>
      </c>
      <c r="BE135" s="164">
        <f t="shared" ca="1" si="468"/>
        <v>0</v>
      </c>
      <c r="BF135" s="164">
        <f t="shared" ca="1" si="469"/>
        <v>0</v>
      </c>
      <c r="BG135" s="164">
        <f t="shared" ca="1" si="470"/>
        <v>0</v>
      </c>
      <c r="BH135" s="164">
        <f t="shared" ca="1" si="471"/>
        <v>0</v>
      </c>
      <c r="BI135" s="164">
        <f t="shared" ca="1" si="472"/>
        <v>0</v>
      </c>
      <c r="BJ135" s="164">
        <f t="shared" ca="1" si="473"/>
        <v>0</v>
      </c>
      <c r="BK135" s="164">
        <f t="shared" ca="1" si="474"/>
        <v>0</v>
      </c>
      <c r="BL135" s="164">
        <f t="shared" ca="1" si="475"/>
        <v>0</v>
      </c>
      <c r="BM135" s="164">
        <f t="shared" ca="1" si="476"/>
        <v>0</v>
      </c>
      <c r="BN135" s="164">
        <f t="shared" ca="1" si="477"/>
        <v>0</v>
      </c>
      <c r="BO135" s="356" t="str">
        <f t="shared" ca="1" si="478"/>
        <v/>
      </c>
      <c r="BP135" s="355" t="str">
        <f t="shared" ca="1" si="380"/>
        <v/>
      </c>
      <c r="BQ135" s="355" t="str">
        <f t="shared" ca="1" si="381"/>
        <v/>
      </c>
      <c r="BR135" s="348">
        <f t="shared" ca="1" si="312"/>
        <v>0</v>
      </c>
      <c r="BS135" s="348">
        <f t="shared" ca="1" si="313"/>
        <v>0</v>
      </c>
      <c r="BT135" s="610">
        <f t="shared" ca="1" si="479"/>
        <v>0</v>
      </c>
      <c r="BU135" s="357">
        <f t="shared" ca="1" si="383"/>
        <v>0</v>
      </c>
      <c r="BV135" s="357">
        <f t="shared" si="480"/>
        <v>0</v>
      </c>
      <c r="BW135" s="357">
        <f t="shared" si="481"/>
        <v>0</v>
      </c>
      <c r="BX135" s="357">
        <f t="shared" ca="1" si="482"/>
        <v>0</v>
      </c>
      <c r="BY135" s="357">
        <f t="shared" ca="1" si="316"/>
        <v>0</v>
      </c>
      <c r="BZ135" s="357"/>
      <c r="CA135" s="357">
        <f t="shared" ca="1" si="314"/>
        <v>0</v>
      </c>
      <c r="CB135" s="357" t="str">
        <f t="shared" ca="1" si="483"/>
        <v/>
      </c>
      <c r="CC135" s="358" t="str">
        <f t="shared" ca="1" si="317"/>
        <v/>
      </c>
      <c r="CD135" s="358" t="str">
        <f t="shared" ca="1" si="318"/>
        <v/>
      </c>
      <c r="CE135" s="357" t="str">
        <f t="shared" ca="1" si="513"/>
        <v>,,,,,,,,,,,,,,,,,,,,,,,,,,,,,,,,,,,,,,,,,,,,,,,,,,,,,,,,,,,,,,,,,,,,,,,,,,,</v>
      </c>
      <c r="CF135" s="154" t="str">
        <f t="shared" si="315"/>
        <v/>
      </c>
      <c r="CG135" s="154">
        <f t="shared" ca="1" si="319"/>
        <v>0</v>
      </c>
      <c r="CH135" s="154"/>
      <c r="CI135" s="154"/>
      <c r="CJ135" s="154"/>
      <c r="CK135" s="154"/>
      <c r="CL135" s="154"/>
      <c r="CM135" s="154"/>
      <c r="CN135" t="s">
        <v>784</v>
      </c>
      <c r="CO135" s="169"/>
      <c r="CP135" s="169"/>
      <c r="CQ135" s="169"/>
      <c r="CR135" s="169"/>
      <c r="CS135" s="169"/>
      <c r="CT135" s="169"/>
      <c r="CU135" s="169"/>
      <c r="CV135" s="164" t="str">
        <f t="shared" ca="1" si="514"/>
        <v/>
      </c>
      <c r="CW135" s="164" t="str">
        <f t="shared" ca="1" si="514"/>
        <v/>
      </c>
      <c r="CX135" s="164" t="str">
        <f t="shared" ca="1" si="514"/>
        <v/>
      </c>
      <c r="CY135" s="164" t="str">
        <f t="shared" ca="1" si="514"/>
        <v/>
      </c>
      <c r="CZ135" s="164" t="str">
        <f t="shared" ca="1" si="514"/>
        <v/>
      </c>
      <c r="DA135" s="164" t="str">
        <f t="shared" ca="1" si="514"/>
        <v/>
      </c>
      <c r="DB135" s="164" t="str">
        <f t="shared" ca="1" si="514"/>
        <v/>
      </c>
      <c r="DC135" s="164" t="str">
        <f t="shared" ca="1" si="514"/>
        <v/>
      </c>
      <c r="DD135" s="164" t="str">
        <f t="shared" ca="1" si="514"/>
        <v/>
      </c>
      <c r="DE135" s="164" t="str">
        <f t="shared" ca="1" si="514"/>
        <v/>
      </c>
      <c r="DF135" s="164" t="str">
        <f t="shared" ca="1" si="515"/>
        <v/>
      </c>
      <c r="DG135" s="164" t="str">
        <f t="shared" ca="1" si="515"/>
        <v/>
      </c>
      <c r="DH135" s="164" t="str">
        <f t="shared" ca="1" si="515"/>
        <v/>
      </c>
      <c r="DI135" s="164" t="str">
        <f t="shared" ca="1" si="515"/>
        <v/>
      </c>
      <c r="DJ135" s="164" t="str">
        <f t="shared" ca="1" si="515"/>
        <v/>
      </c>
      <c r="DK135" s="164" t="str">
        <f t="shared" ca="1" si="515"/>
        <v/>
      </c>
      <c r="DL135" s="164" t="str">
        <f t="shared" ca="1" si="515"/>
        <v/>
      </c>
      <c r="DM135" s="164" t="str">
        <f t="shared" ca="1" si="515"/>
        <v/>
      </c>
      <c r="DN135" s="164" t="str">
        <f t="shared" ca="1" si="515"/>
        <v/>
      </c>
      <c r="DO135" s="164" t="str">
        <f t="shared" ca="1" si="515"/>
        <v/>
      </c>
      <c r="DP135" s="164" t="str">
        <f t="shared" ca="1" si="515"/>
        <v/>
      </c>
      <c r="DQ135" s="164" t="str">
        <f t="shared" ca="1" si="515"/>
        <v/>
      </c>
      <c r="DR135" s="208"/>
      <c r="DS135" s="164" t="str">
        <f t="shared" ca="1" si="484"/>
        <v/>
      </c>
      <c r="DT135" s="164" t="str">
        <f t="shared" ca="1" si="485"/>
        <v/>
      </c>
      <c r="DU135" s="164" t="str">
        <f t="shared" ca="1" si="486"/>
        <v/>
      </c>
      <c r="DV135" s="164" t="str">
        <f t="shared" ca="1" si="487"/>
        <v/>
      </c>
      <c r="DW135" s="164" t="str">
        <f t="shared" ca="1" si="488"/>
        <v/>
      </c>
      <c r="DX135" s="164" t="str">
        <f t="shared" ca="1" si="489"/>
        <v/>
      </c>
      <c r="DY135" s="164" t="str">
        <f t="shared" ca="1" si="490"/>
        <v/>
      </c>
      <c r="DZ135" s="164" t="str">
        <f t="shared" ca="1" si="491"/>
        <v/>
      </c>
      <c r="EA135" s="164" t="str">
        <f t="shared" ca="1" si="492"/>
        <v/>
      </c>
      <c r="EB135" s="164" t="str">
        <f t="shared" ca="1" si="493"/>
        <v/>
      </c>
      <c r="EC135" s="164" t="str">
        <f t="shared" ca="1" si="494"/>
        <v/>
      </c>
      <c r="ED135" s="164" t="str">
        <f t="shared" ca="1" si="495"/>
        <v/>
      </c>
      <c r="EE135" s="164" t="str">
        <f t="shared" ca="1" si="496"/>
        <v/>
      </c>
      <c r="EF135" s="164" t="str">
        <f t="shared" ca="1" si="497"/>
        <v/>
      </c>
      <c r="EG135" s="164" t="str">
        <f t="shared" ca="1" si="498"/>
        <v/>
      </c>
      <c r="EH135" s="164" t="str">
        <f t="shared" ca="1" si="499"/>
        <v/>
      </c>
      <c r="EI135" s="164" t="str">
        <f t="shared" ca="1" si="500"/>
        <v/>
      </c>
      <c r="EJ135" s="164" t="str">
        <f t="shared" ca="1" si="501"/>
        <v/>
      </c>
      <c r="EK135" s="164" t="str">
        <f t="shared" ca="1" si="502"/>
        <v/>
      </c>
      <c r="EL135" s="164" t="str">
        <f t="shared" ca="1" si="503"/>
        <v/>
      </c>
      <c r="EM135" s="164" t="str">
        <f t="shared" ca="1" si="504"/>
        <v/>
      </c>
      <c r="EN135" s="164" t="str">
        <f t="shared" ca="1" si="505"/>
        <v/>
      </c>
      <c r="EO135" s="164" t="str">
        <f t="shared" ca="1" si="506"/>
        <v/>
      </c>
      <c r="EP135" s="164" t="str">
        <f t="shared" ca="1" si="507"/>
        <v/>
      </c>
      <c r="EQ135" s="164" t="str">
        <f t="shared" ca="1" si="508"/>
        <v/>
      </c>
      <c r="ER135" s="164" t="str">
        <f t="shared" ca="1" si="509"/>
        <v/>
      </c>
      <c r="ES135" s="164" t="str">
        <f t="shared" ca="1" si="510"/>
        <v/>
      </c>
    </row>
    <row r="136" spans="1:149" x14ac:dyDescent="0.2">
      <c r="A136" s="89" t="str">
        <f t="shared" ca="1" si="511"/>
        <v/>
      </c>
      <c r="B136" s="317" t="str">
        <f t="shared" ca="1" si="423"/>
        <v/>
      </c>
      <c r="C136" s="609" t="str">
        <f t="shared" ca="1" si="424"/>
        <v/>
      </c>
      <c r="D136" s="1956" t="str">
        <f t="shared" ca="1" si="425"/>
        <v/>
      </c>
      <c r="E136" s="1956"/>
      <c r="F136" s="960"/>
      <c r="G136" s="485" t="str">
        <f t="shared" ca="1" si="426"/>
        <v/>
      </c>
      <c r="H136" s="983"/>
      <c r="I136" s="486"/>
      <c r="J136" s="326"/>
      <c r="K136" s="1886" t="str">
        <f t="shared" ca="1" si="427"/>
        <v/>
      </c>
      <c r="L136" s="1888"/>
      <c r="M136" s="296" t="str">
        <f t="shared" ca="1" si="512"/>
        <v/>
      </c>
      <c r="N136" s="1322"/>
      <c r="O136" s="1319"/>
      <c r="P136" s="957" t="str">
        <f t="shared" ca="1" si="428"/>
        <v/>
      </c>
      <c r="Q136" s="164">
        <f t="shared" si="429"/>
        <v>0</v>
      </c>
      <c r="R136" s="164">
        <f t="shared" ca="1" si="430"/>
        <v>0</v>
      </c>
      <c r="S136" s="164">
        <f t="shared" ca="1" si="431"/>
        <v>0</v>
      </c>
      <c r="T136" s="164">
        <f t="shared" ca="1" si="432"/>
        <v>0</v>
      </c>
      <c r="U136" s="164">
        <f t="shared" ca="1" si="433"/>
        <v>0</v>
      </c>
      <c r="V136" s="164">
        <f t="shared" ca="1" si="434"/>
        <v>0</v>
      </c>
      <c r="W136" s="164">
        <f t="shared" ca="1" si="435"/>
        <v>0</v>
      </c>
      <c r="X136" s="164">
        <f t="shared" ca="1" si="436"/>
        <v>0</v>
      </c>
      <c r="Y136" s="164">
        <f t="shared" ca="1" si="437"/>
        <v>0</v>
      </c>
      <c r="Z136" s="164">
        <f t="shared" ca="1" si="438"/>
        <v>0</v>
      </c>
      <c r="AA136" s="164">
        <f t="shared" ca="1" si="439"/>
        <v>0</v>
      </c>
      <c r="AB136" s="164">
        <f t="shared" ca="1" si="440"/>
        <v>0</v>
      </c>
      <c r="AC136" s="164">
        <f t="shared" ca="1" si="441"/>
        <v>0</v>
      </c>
      <c r="AD136" s="164">
        <f t="shared" ca="1" si="442"/>
        <v>0</v>
      </c>
      <c r="AE136" s="164">
        <f t="shared" ca="1" si="443"/>
        <v>0</v>
      </c>
      <c r="AF136" s="164">
        <f t="shared" ca="1" si="444"/>
        <v>0</v>
      </c>
      <c r="AG136" s="164">
        <f t="shared" ca="1" si="445"/>
        <v>0</v>
      </c>
      <c r="AH136" s="164">
        <f t="shared" ca="1" si="446"/>
        <v>0</v>
      </c>
      <c r="AI136" s="164">
        <f t="shared" ca="1" si="447"/>
        <v>0</v>
      </c>
      <c r="AJ136" s="164">
        <f t="shared" ca="1" si="448"/>
        <v>0</v>
      </c>
      <c r="AK136" s="164">
        <f t="shared" ca="1" si="449"/>
        <v>0</v>
      </c>
      <c r="AL136" s="164">
        <f t="shared" ca="1" si="450"/>
        <v>0</v>
      </c>
      <c r="AM136" s="208"/>
      <c r="AN136" s="164">
        <f t="shared" si="451"/>
        <v>0</v>
      </c>
      <c r="AO136" s="164">
        <f t="shared" ca="1" si="452"/>
        <v>0</v>
      </c>
      <c r="AP136" s="164">
        <f t="shared" ca="1" si="453"/>
        <v>0</v>
      </c>
      <c r="AQ136" s="164">
        <f t="shared" ca="1" si="454"/>
        <v>0</v>
      </c>
      <c r="AR136" s="164">
        <f t="shared" ca="1" si="455"/>
        <v>0</v>
      </c>
      <c r="AS136" s="164">
        <f t="shared" ca="1" si="456"/>
        <v>0</v>
      </c>
      <c r="AT136" s="164">
        <f t="shared" ca="1" si="457"/>
        <v>0</v>
      </c>
      <c r="AU136" s="164">
        <f t="shared" ca="1" si="458"/>
        <v>0</v>
      </c>
      <c r="AV136" s="164">
        <f t="shared" ca="1" si="459"/>
        <v>0</v>
      </c>
      <c r="AW136" s="164">
        <f t="shared" ca="1" si="460"/>
        <v>0</v>
      </c>
      <c r="AX136" s="164">
        <f t="shared" ca="1" si="461"/>
        <v>0</v>
      </c>
      <c r="AY136" s="164">
        <f t="shared" ca="1" si="462"/>
        <v>0</v>
      </c>
      <c r="AZ136" s="164">
        <f t="shared" ca="1" si="463"/>
        <v>0</v>
      </c>
      <c r="BA136" s="164">
        <f t="shared" ca="1" si="464"/>
        <v>0</v>
      </c>
      <c r="BB136" s="164">
        <f t="shared" ca="1" si="465"/>
        <v>0</v>
      </c>
      <c r="BC136" s="164">
        <f t="shared" ca="1" si="466"/>
        <v>0</v>
      </c>
      <c r="BD136" s="164">
        <f t="shared" ca="1" si="467"/>
        <v>0</v>
      </c>
      <c r="BE136" s="164">
        <f t="shared" ca="1" si="468"/>
        <v>0</v>
      </c>
      <c r="BF136" s="164">
        <f t="shared" ca="1" si="469"/>
        <v>0</v>
      </c>
      <c r="BG136" s="164">
        <f t="shared" ca="1" si="470"/>
        <v>0</v>
      </c>
      <c r="BH136" s="164">
        <f t="shared" ca="1" si="471"/>
        <v>0</v>
      </c>
      <c r="BI136" s="164">
        <f t="shared" ca="1" si="472"/>
        <v>0</v>
      </c>
      <c r="BJ136" s="164">
        <f t="shared" ca="1" si="473"/>
        <v>0</v>
      </c>
      <c r="BK136" s="164">
        <f t="shared" ca="1" si="474"/>
        <v>0</v>
      </c>
      <c r="BL136" s="164">
        <f t="shared" ca="1" si="475"/>
        <v>0</v>
      </c>
      <c r="BM136" s="164">
        <f t="shared" ca="1" si="476"/>
        <v>0</v>
      </c>
      <c r="BN136" s="164">
        <f t="shared" ca="1" si="477"/>
        <v>0</v>
      </c>
      <c r="BO136" s="356" t="str">
        <f t="shared" ca="1" si="478"/>
        <v/>
      </c>
      <c r="BP136" s="355" t="str">
        <f t="shared" ca="1" si="380"/>
        <v/>
      </c>
      <c r="BQ136" s="355" t="str">
        <f t="shared" ca="1" si="381"/>
        <v/>
      </c>
      <c r="BR136" s="348">
        <f t="shared" ca="1" si="312"/>
        <v>0</v>
      </c>
      <c r="BS136" s="348">
        <f t="shared" ca="1" si="313"/>
        <v>0</v>
      </c>
      <c r="BT136" s="610">
        <f t="shared" ca="1" si="479"/>
        <v>0</v>
      </c>
      <c r="BU136" s="357">
        <f t="shared" ca="1" si="383"/>
        <v>0</v>
      </c>
      <c r="BV136" s="357">
        <f t="shared" si="480"/>
        <v>0</v>
      </c>
      <c r="BW136" s="357">
        <f t="shared" si="481"/>
        <v>0</v>
      </c>
      <c r="BX136" s="357">
        <f t="shared" ca="1" si="482"/>
        <v>0</v>
      </c>
      <c r="BY136" s="357">
        <f t="shared" ca="1" si="316"/>
        <v>0</v>
      </c>
      <c r="BZ136" s="357"/>
      <c r="CA136" s="357">
        <f t="shared" ca="1" si="314"/>
        <v>0</v>
      </c>
      <c r="CB136" s="357" t="str">
        <f t="shared" ca="1" si="483"/>
        <v/>
      </c>
      <c r="CC136" s="358" t="str">
        <f t="shared" ca="1" si="317"/>
        <v/>
      </c>
      <c r="CD136" s="358" t="str">
        <f t="shared" ca="1" si="318"/>
        <v/>
      </c>
      <c r="CE136" s="357" t="str">
        <f t="shared" ca="1" si="513"/>
        <v>,,,,,,,,,,,,,,,,,,,,,,,,,,,,,,,,,,,,,,,,,,,,,,,,,,,,,,,,,,,,,,,,,,,,,,,,,,,,</v>
      </c>
      <c r="CF136" s="154" t="str">
        <f t="shared" si="315"/>
        <v/>
      </c>
      <c r="CG136" s="154">
        <f t="shared" ca="1" si="319"/>
        <v>0</v>
      </c>
      <c r="CH136" s="154"/>
      <c r="CI136" s="154"/>
      <c r="CJ136" s="154"/>
      <c r="CK136" s="154"/>
      <c r="CL136" s="154"/>
      <c r="CM136" s="154"/>
      <c r="CN136" t="s">
        <v>784</v>
      </c>
      <c r="CO136" s="169"/>
      <c r="CP136" s="169"/>
      <c r="CQ136" s="169"/>
      <c r="CR136" s="169"/>
      <c r="CS136" s="169"/>
      <c r="CT136" s="169"/>
      <c r="CU136" s="169"/>
      <c r="CV136" s="164" t="str">
        <f t="shared" ca="1" si="514"/>
        <v/>
      </c>
      <c r="CW136" s="164" t="str">
        <f t="shared" ca="1" si="514"/>
        <v/>
      </c>
      <c r="CX136" s="164" t="str">
        <f t="shared" ca="1" si="514"/>
        <v/>
      </c>
      <c r="CY136" s="164" t="str">
        <f t="shared" ca="1" si="514"/>
        <v/>
      </c>
      <c r="CZ136" s="164" t="str">
        <f t="shared" ca="1" si="514"/>
        <v/>
      </c>
      <c r="DA136" s="164" t="str">
        <f t="shared" ca="1" si="514"/>
        <v/>
      </c>
      <c r="DB136" s="164" t="str">
        <f t="shared" ca="1" si="514"/>
        <v/>
      </c>
      <c r="DC136" s="164" t="str">
        <f t="shared" ca="1" si="514"/>
        <v/>
      </c>
      <c r="DD136" s="164" t="str">
        <f t="shared" ca="1" si="514"/>
        <v/>
      </c>
      <c r="DE136" s="164" t="str">
        <f t="shared" ca="1" si="514"/>
        <v/>
      </c>
      <c r="DF136" s="164" t="str">
        <f t="shared" ca="1" si="515"/>
        <v/>
      </c>
      <c r="DG136" s="164" t="str">
        <f t="shared" ca="1" si="515"/>
        <v/>
      </c>
      <c r="DH136" s="164" t="str">
        <f t="shared" ca="1" si="515"/>
        <v/>
      </c>
      <c r="DI136" s="164" t="str">
        <f t="shared" ca="1" si="515"/>
        <v/>
      </c>
      <c r="DJ136" s="164" t="str">
        <f t="shared" ca="1" si="515"/>
        <v/>
      </c>
      <c r="DK136" s="164" t="str">
        <f t="shared" ca="1" si="515"/>
        <v/>
      </c>
      <c r="DL136" s="164" t="str">
        <f t="shared" ca="1" si="515"/>
        <v/>
      </c>
      <c r="DM136" s="164" t="str">
        <f t="shared" ca="1" si="515"/>
        <v/>
      </c>
      <c r="DN136" s="164" t="str">
        <f t="shared" ca="1" si="515"/>
        <v/>
      </c>
      <c r="DO136" s="164" t="str">
        <f t="shared" ca="1" si="515"/>
        <v/>
      </c>
      <c r="DP136" s="164" t="str">
        <f t="shared" ca="1" si="515"/>
        <v/>
      </c>
      <c r="DQ136" s="164" t="str">
        <f t="shared" ca="1" si="515"/>
        <v/>
      </c>
      <c r="DR136" s="208"/>
      <c r="DS136" s="164" t="str">
        <f t="shared" ca="1" si="484"/>
        <v/>
      </c>
      <c r="DT136" s="164" t="str">
        <f t="shared" ca="1" si="485"/>
        <v/>
      </c>
      <c r="DU136" s="164" t="str">
        <f t="shared" ca="1" si="486"/>
        <v/>
      </c>
      <c r="DV136" s="164" t="str">
        <f t="shared" ca="1" si="487"/>
        <v/>
      </c>
      <c r="DW136" s="164" t="str">
        <f t="shared" ca="1" si="488"/>
        <v/>
      </c>
      <c r="DX136" s="164" t="str">
        <f t="shared" ca="1" si="489"/>
        <v/>
      </c>
      <c r="DY136" s="164" t="str">
        <f t="shared" ca="1" si="490"/>
        <v/>
      </c>
      <c r="DZ136" s="164" t="str">
        <f t="shared" ca="1" si="491"/>
        <v/>
      </c>
      <c r="EA136" s="164" t="str">
        <f t="shared" ca="1" si="492"/>
        <v/>
      </c>
      <c r="EB136" s="164" t="str">
        <f t="shared" ca="1" si="493"/>
        <v/>
      </c>
      <c r="EC136" s="164" t="str">
        <f t="shared" ca="1" si="494"/>
        <v/>
      </c>
      <c r="ED136" s="164" t="str">
        <f t="shared" ca="1" si="495"/>
        <v/>
      </c>
      <c r="EE136" s="164" t="str">
        <f t="shared" ca="1" si="496"/>
        <v/>
      </c>
      <c r="EF136" s="164" t="str">
        <f t="shared" ca="1" si="497"/>
        <v/>
      </c>
      <c r="EG136" s="164" t="str">
        <f t="shared" ca="1" si="498"/>
        <v/>
      </c>
      <c r="EH136" s="164" t="str">
        <f t="shared" ca="1" si="499"/>
        <v/>
      </c>
      <c r="EI136" s="164" t="str">
        <f t="shared" ca="1" si="500"/>
        <v/>
      </c>
      <c r="EJ136" s="164" t="str">
        <f t="shared" ca="1" si="501"/>
        <v/>
      </c>
      <c r="EK136" s="164" t="str">
        <f t="shared" ca="1" si="502"/>
        <v/>
      </c>
      <c r="EL136" s="164" t="str">
        <f t="shared" ca="1" si="503"/>
        <v/>
      </c>
      <c r="EM136" s="164" t="str">
        <f t="shared" ca="1" si="504"/>
        <v/>
      </c>
      <c r="EN136" s="164" t="str">
        <f t="shared" ca="1" si="505"/>
        <v/>
      </c>
      <c r="EO136" s="164" t="str">
        <f t="shared" ca="1" si="506"/>
        <v/>
      </c>
      <c r="EP136" s="164" t="str">
        <f t="shared" ca="1" si="507"/>
        <v/>
      </c>
      <c r="EQ136" s="164" t="str">
        <f t="shared" ca="1" si="508"/>
        <v/>
      </c>
      <c r="ER136" s="164" t="str">
        <f t="shared" ca="1" si="509"/>
        <v/>
      </c>
      <c r="ES136" s="164" t="str">
        <f t="shared" ca="1" si="510"/>
        <v/>
      </c>
    </row>
    <row r="137" spans="1:149" x14ac:dyDescent="0.2">
      <c r="A137" s="89" t="str">
        <f t="shared" ca="1" si="511"/>
        <v/>
      </c>
      <c r="B137" s="317" t="str">
        <f t="shared" ca="1" si="423"/>
        <v/>
      </c>
      <c r="C137" s="609" t="str">
        <f t="shared" ca="1" si="424"/>
        <v/>
      </c>
      <c r="D137" s="1956" t="str">
        <f t="shared" ca="1" si="425"/>
        <v/>
      </c>
      <c r="E137" s="1956"/>
      <c r="F137" s="960"/>
      <c r="G137" s="485" t="str">
        <f t="shared" ca="1" si="426"/>
        <v/>
      </c>
      <c r="H137" s="983"/>
      <c r="I137" s="486"/>
      <c r="J137" s="326"/>
      <c r="K137" s="1886" t="str">
        <f t="shared" ca="1" si="427"/>
        <v/>
      </c>
      <c r="L137" s="1888"/>
      <c r="M137" s="296" t="str">
        <f t="shared" ca="1" si="512"/>
        <v/>
      </c>
      <c r="N137" s="1322"/>
      <c r="O137" s="1319"/>
      <c r="P137" s="957" t="str">
        <f t="shared" ca="1" si="428"/>
        <v/>
      </c>
      <c r="Q137" s="164">
        <f t="shared" si="429"/>
        <v>0</v>
      </c>
      <c r="R137" s="164">
        <f t="shared" ca="1" si="430"/>
        <v>0</v>
      </c>
      <c r="S137" s="164">
        <f t="shared" ca="1" si="431"/>
        <v>0</v>
      </c>
      <c r="T137" s="164">
        <f t="shared" ca="1" si="432"/>
        <v>0</v>
      </c>
      <c r="U137" s="164">
        <f t="shared" ca="1" si="433"/>
        <v>0</v>
      </c>
      <c r="V137" s="164">
        <f t="shared" ca="1" si="434"/>
        <v>0</v>
      </c>
      <c r="W137" s="164">
        <f t="shared" ca="1" si="435"/>
        <v>0</v>
      </c>
      <c r="X137" s="164">
        <f t="shared" ca="1" si="436"/>
        <v>0</v>
      </c>
      <c r="Y137" s="164">
        <f t="shared" ca="1" si="437"/>
        <v>0</v>
      </c>
      <c r="Z137" s="164">
        <f t="shared" ca="1" si="438"/>
        <v>0</v>
      </c>
      <c r="AA137" s="164">
        <f t="shared" ca="1" si="439"/>
        <v>0</v>
      </c>
      <c r="AB137" s="164">
        <f t="shared" ca="1" si="440"/>
        <v>0</v>
      </c>
      <c r="AC137" s="164">
        <f t="shared" ca="1" si="441"/>
        <v>0</v>
      </c>
      <c r="AD137" s="164">
        <f t="shared" ca="1" si="442"/>
        <v>0</v>
      </c>
      <c r="AE137" s="164">
        <f t="shared" ca="1" si="443"/>
        <v>0</v>
      </c>
      <c r="AF137" s="164">
        <f t="shared" ca="1" si="444"/>
        <v>0</v>
      </c>
      <c r="AG137" s="164">
        <f t="shared" ca="1" si="445"/>
        <v>0</v>
      </c>
      <c r="AH137" s="164">
        <f t="shared" ca="1" si="446"/>
        <v>0</v>
      </c>
      <c r="AI137" s="164">
        <f t="shared" ca="1" si="447"/>
        <v>0</v>
      </c>
      <c r="AJ137" s="164">
        <f t="shared" ca="1" si="448"/>
        <v>0</v>
      </c>
      <c r="AK137" s="164">
        <f t="shared" ca="1" si="449"/>
        <v>0</v>
      </c>
      <c r="AL137" s="164">
        <f t="shared" ca="1" si="450"/>
        <v>0</v>
      </c>
      <c r="AM137" s="208"/>
      <c r="AN137" s="164">
        <f t="shared" si="451"/>
        <v>0</v>
      </c>
      <c r="AO137" s="164">
        <f t="shared" ca="1" si="452"/>
        <v>0</v>
      </c>
      <c r="AP137" s="164">
        <f t="shared" ca="1" si="453"/>
        <v>0</v>
      </c>
      <c r="AQ137" s="164">
        <f t="shared" ca="1" si="454"/>
        <v>0</v>
      </c>
      <c r="AR137" s="164">
        <f t="shared" ca="1" si="455"/>
        <v>0</v>
      </c>
      <c r="AS137" s="164">
        <f t="shared" ca="1" si="456"/>
        <v>0</v>
      </c>
      <c r="AT137" s="164">
        <f t="shared" ca="1" si="457"/>
        <v>0</v>
      </c>
      <c r="AU137" s="164">
        <f t="shared" ca="1" si="458"/>
        <v>0</v>
      </c>
      <c r="AV137" s="164">
        <f t="shared" ca="1" si="459"/>
        <v>0</v>
      </c>
      <c r="AW137" s="164">
        <f t="shared" ca="1" si="460"/>
        <v>0</v>
      </c>
      <c r="AX137" s="164">
        <f t="shared" ca="1" si="461"/>
        <v>0</v>
      </c>
      <c r="AY137" s="164">
        <f t="shared" ca="1" si="462"/>
        <v>0</v>
      </c>
      <c r="AZ137" s="164">
        <f t="shared" ca="1" si="463"/>
        <v>0</v>
      </c>
      <c r="BA137" s="164">
        <f t="shared" ca="1" si="464"/>
        <v>0</v>
      </c>
      <c r="BB137" s="164">
        <f t="shared" ca="1" si="465"/>
        <v>0</v>
      </c>
      <c r="BC137" s="164">
        <f t="shared" ca="1" si="466"/>
        <v>0</v>
      </c>
      <c r="BD137" s="164">
        <f t="shared" ca="1" si="467"/>
        <v>0</v>
      </c>
      <c r="BE137" s="164">
        <f t="shared" ca="1" si="468"/>
        <v>0</v>
      </c>
      <c r="BF137" s="164">
        <f t="shared" ca="1" si="469"/>
        <v>0</v>
      </c>
      <c r="BG137" s="164">
        <f t="shared" ca="1" si="470"/>
        <v>0</v>
      </c>
      <c r="BH137" s="164">
        <f t="shared" ca="1" si="471"/>
        <v>0</v>
      </c>
      <c r="BI137" s="164">
        <f t="shared" ca="1" si="472"/>
        <v>0</v>
      </c>
      <c r="BJ137" s="164">
        <f t="shared" ca="1" si="473"/>
        <v>0</v>
      </c>
      <c r="BK137" s="164">
        <f t="shared" ca="1" si="474"/>
        <v>0</v>
      </c>
      <c r="BL137" s="164">
        <f t="shared" ca="1" si="475"/>
        <v>0</v>
      </c>
      <c r="BM137" s="164">
        <f t="shared" ca="1" si="476"/>
        <v>0</v>
      </c>
      <c r="BN137" s="164">
        <f t="shared" ca="1" si="477"/>
        <v>0</v>
      </c>
      <c r="BO137" s="356" t="str">
        <f t="shared" ca="1" si="478"/>
        <v/>
      </c>
      <c r="BP137" s="355" t="str">
        <f t="shared" ca="1" si="380"/>
        <v/>
      </c>
      <c r="BQ137" s="355" t="str">
        <f t="shared" ca="1" si="381"/>
        <v/>
      </c>
      <c r="BR137" s="348">
        <f t="shared" ca="1" si="312"/>
        <v>0</v>
      </c>
      <c r="BS137" s="348">
        <f t="shared" ca="1" si="313"/>
        <v>0</v>
      </c>
      <c r="BT137" s="610">
        <f t="shared" ca="1" si="479"/>
        <v>0</v>
      </c>
      <c r="BU137" s="357">
        <f t="shared" ca="1" si="383"/>
        <v>0</v>
      </c>
      <c r="BV137" s="357">
        <f t="shared" si="480"/>
        <v>0</v>
      </c>
      <c r="BW137" s="357">
        <f t="shared" si="481"/>
        <v>0</v>
      </c>
      <c r="BX137" s="357">
        <f t="shared" ca="1" si="482"/>
        <v>0</v>
      </c>
      <c r="BY137" s="357">
        <f t="shared" ca="1" si="316"/>
        <v>0</v>
      </c>
      <c r="BZ137" s="357"/>
      <c r="CA137" s="357">
        <f t="shared" ca="1" si="314"/>
        <v>0</v>
      </c>
      <c r="CB137" s="357" t="str">
        <f t="shared" ca="1" si="483"/>
        <v/>
      </c>
      <c r="CC137" s="358" t="str">
        <f t="shared" ca="1" si="317"/>
        <v/>
      </c>
      <c r="CD137" s="358" t="str">
        <f t="shared" ca="1" si="318"/>
        <v/>
      </c>
      <c r="CE137" s="357" t="str">
        <f t="shared" ca="1" si="513"/>
        <v>,,,,,,,,,,,,,,,,,,,,,,,,,,,,,,,,,,,,,,,,,,,,,,,,,,,,,,,,,,,,,,,,,,,,,,,,,,,,,</v>
      </c>
      <c r="CF137" s="154" t="str">
        <f t="shared" si="315"/>
        <v/>
      </c>
      <c r="CG137" s="154">
        <f t="shared" ca="1" si="319"/>
        <v>0</v>
      </c>
      <c r="CH137" s="154"/>
      <c r="CI137" s="154"/>
      <c r="CJ137" s="154"/>
      <c r="CK137" s="154"/>
      <c r="CL137" s="154"/>
      <c r="CM137" s="154"/>
      <c r="CN137" t="s">
        <v>784</v>
      </c>
      <c r="CO137" s="169"/>
      <c r="CP137" s="169"/>
      <c r="CQ137" s="169"/>
      <c r="CR137" s="169"/>
      <c r="CS137" s="169"/>
      <c r="CT137" s="169"/>
      <c r="CU137" s="169"/>
      <c r="CV137" s="164" t="str">
        <f t="shared" ca="1" si="514"/>
        <v/>
      </c>
      <c r="CW137" s="164" t="str">
        <f t="shared" ca="1" si="514"/>
        <v/>
      </c>
      <c r="CX137" s="164" t="str">
        <f t="shared" ca="1" si="514"/>
        <v/>
      </c>
      <c r="CY137" s="164" t="str">
        <f t="shared" ca="1" si="514"/>
        <v/>
      </c>
      <c r="CZ137" s="164" t="str">
        <f t="shared" ca="1" si="514"/>
        <v/>
      </c>
      <c r="DA137" s="164" t="str">
        <f t="shared" ca="1" si="514"/>
        <v/>
      </c>
      <c r="DB137" s="164" t="str">
        <f t="shared" ca="1" si="514"/>
        <v/>
      </c>
      <c r="DC137" s="164" t="str">
        <f t="shared" ca="1" si="514"/>
        <v/>
      </c>
      <c r="DD137" s="164" t="str">
        <f t="shared" ca="1" si="514"/>
        <v/>
      </c>
      <c r="DE137" s="164" t="str">
        <f t="shared" ca="1" si="514"/>
        <v/>
      </c>
      <c r="DF137" s="164" t="str">
        <f t="shared" ca="1" si="515"/>
        <v/>
      </c>
      <c r="DG137" s="164" t="str">
        <f t="shared" ca="1" si="515"/>
        <v/>
      </c>
      <c r="DH137" s="164" t="str">
        <f t="shared" ca="1" si="515"/>
        <v/>
      </c>
      <c r="DI137" s="164" t="str">
        <f t="shared" ca="1" si="515"/>
        <v/>
      </c>
      <c r="DJ137" s="164" t="str">
        <f t="shared" ca="1" si="515"/>
        <v/>
      </c>
      <c r="DK137" s="164" t="str">
        <f t="shared" ca="1" si="515"/>
        <v/>
      </c>
      <c r="DL137" s="164" t="str">
        <f t="shared" ca="1" si="515"/>
        <v/>
      </c>
      <c r="DM137" s="164" t="str">
        <f t="shared" ca="1" si="515"/>
        <v/>
      </c>
      <c r="DN137" s="164" t="str">
        <f t="shared" ca="1" si="515"/>
        <v/>
      </c>
      <c r="DO137" s="164" t="str">
        <f t="shared" ca="1" si="515"/>
        <v/>
      </c>
      <c r="DP137" s="164" t="str">
        <f t="shared" ca="1" si="515"/>
        <v/>
      </c>
      <c r="DQ137" s="164" t="str">
        <f t="shared" ca="1" si="515"/>
        <v/>
      </c>
      <c r="DR137" s="208"/>
      <c r="DS137" s="164" t="str">
        <f t="shared" ca="1" si="484"/>
        <v/>
      </c>
      <c r="DT137" s="164" t="str">
        <f t="shared" ca="1" si="485"/>
        <v/>
      </c>
      <c r="DU137" s="164" t="str">
        <f t="shared" ca="1" si="486"/>
        <v/>
      </c>
      <c r="DV137" s="164" t="str">
        <f t="shared" ca="1" si="487"/>
        <v/>
      </c>
      <c r="DW137" s="164" t="str">
        <f t="shared" ca="1" si="488"/>
        <v/>
      </c>
      <c r="DX137" s="164" t="str">
        <f t="shared" ca="1" si="489"/>
        <v/>
      </c>
      <c r="DY137" s="164" t="str">
        <f t="shared" ca="1" si="490"/>
        <v/>
      </c>
      <c r="DZ137" s="164" t="str">
        <f t="shared" ca="1" si="491"/>
        <v/>
      </c>
      <c r="EA137" s="164" t="str">
        <f t="shared" ca="1" si="492"/>
        <v/>
      </c>
      <c r="EB137" s="164" t="str">
        <f t="shared" ca="1" si="493"/>
        <v/>
      </c>
      <c r="EC137" s="164" t="str">
        <f t="shared" ca="1" si="494"/>
        <v/>
      </c>
      <c r="ED137" s="164" t="str">
        <f t="shared" ca="1" si="495"/>
        <v/>
      </c>
      <c r="EE137" s="164" t="str">
        <f t="shared" ca="1" si="496"/>
        <v/>
      </c>
      <c r="EF137" s="164" t="str">
        <f t="shared" ca="1" si="497"/>
        <v/>
      </c>
      <c r="EG137" s="164" t="str">
        <f t="shared" ca="1" si="498"/>
        <v/>
      </c>
      <c r="EH137" s="164" t="str">
        <f t="shared" ca="1" si="499"/>
        <v/>
      </c>
      <c r="EI137" s="164" t="str">
        <f t="shared" ca="1" si="500"/>
        <v/>
      </c>
      <c r="EJ137" s="164" t="str">
        <f t="shared" ca="1" si="501"/>
        <v/>
      </c>
      <c r="EK137" s="164" t="str">
        <f t="shared" ca="1" si="502"/>
        <v/>
      </c>
      <c r="EL137" s="164" t="str">
        <f t="shared" ca="1" si="503"/>
        <v/>
      </c>
      <c r="EM137" s="164" t="str">
        <f t="shared" ca="1" si="504"/>
        <v/>
      </c>
      <c r="EN137" s="164" t="str">
        <f t="shared" ca="1" si="505"/>
        <v/>
      </c>
      <c r="EO137" s="164" t="str">
        <f t="shared" ca="1" si="506"/>
        <v/>
      </c>
      <c r="EP137" s="164" t="str">
        <f t="shared" ca="1" si="507"/>
        <v/>
      </c>
      <c r="EQ137" s="164" t="str">
        <f t="shared" ca="1" si="508"/>
        <v/>
      </c>
      <c r="ER137" s="164" t="str">
        <f t="shared" ca="1" si="509"/>
        <v/>
      </c>
      <c r="ES137" s="164" t="str">
        <f t="shared" ca="1" si="510"/>
        <v/>
      </c>
    </row>
    <row r="138" spans="1:149" x14ac:dyDescent="0.2">
      <c r="A138" s="89" t="str">
        <f t="shared" ca="1" si="511"/>
        <v/>
      </c>
      <c r="B138" s="317" t="str">
        <f t="shared" ca="1" si="423"/>
        <v/>
      </c>
      <c r="C138" s="609" t="str">
        <f t="shared" ca="1" si="424"/>
        <v/>
      </c>
      <c r="D138" s="1956" t="str">
        <f t="shared" ca="1" si="425"/>
        <v/>
      </c>
      <c r="E138" s="1956"/>
      <c r="F138" s="960"/>
      <c r="G138" s="485" t="str">
        <f t="shared" ca="1" si="426"/>
        <v/>
      </c>
      <c r="H138" s="983"/>
      <c r="I138" s="486"/>
      <c r="J138" s="326"/>
      <c r="K138" s="1886" t="str">
        <f t="shared" ca="1" si="427"/>
        <v/>
      </c>
      <c r="L138" s="1888"/>
      <c r="M138" s="296" t="str">
        <f t="shared" ca="1" si="512"/>
        <v/>
      </c>
      <c r="N138" s="1322"/>
      <c r="O138" s="1319"/>
      <c r="P138" s="957" t="str">
        <f t="shared" ca="1" si="428"/>
        <v/>
      </c>
      <c r="Q138" s="164">
        <f t="shared" si="429"/>
        <v>0</v>
      </c>
      <c r="R138" s="164">
        <f t="shared" ca="1" si="430"/>
        <v>0</v>
      </c>
      <c r="S138" s="164">
        <f t="shared" ca="1" si="431"/>
        <v>0</v>
      </c>
      <c r="T138" s="164">
        <f t="shared" ca="1" si="432"/>
        <v>0</v>
      </c>
      <c r="U138" s="164">
        <f t="shared" ca="1" si="433"/>
        <v>0</v>
      </c>
      <c r="V138" s="164">
        <f t="shared" ca="1" si="434"/>
        <v>0</v>
      </c>
      <c r="W138" s="164">
        <f t="shared" ca="1" si="435"/>
        <v>0</v>
      </c>
      <c r="X138" s="164">
        <f t="shared" ca="1" si="436"/>
        <v>0</v>
      </c>
      <c r="Y138" s="164">
        <f t="shared" ca="1" si="437"/>
        <v>0</v>
      </c>
      <c r="Z138" s="164">
        <f t="shared" ca="1" si="438"/>
        <v>0</v>
      </c>
      <c r="AA138" s="164">
        <f t="shared" ca="1" si="439"/>
        <v>0</v>
      </c>
      <c r="AB138" s="164">
        <f t="shared" ca="1" si="440"/>
        <v>0</v>
      </c>
      <c r="AC138" s="164">
        <f t="shared" ca="1" si="441"/>
        <v>0</v>
      </c>
      <c r="AD138" s="164">
        <f t="shared" ca="1" si="442"/>
        <v>0</v>
      </c>
      <c r="AE138" s="164">
        <f t="shared" ca="1" si="443"/>
        <v>0</v>
      </c>
      <c r="AF138" s="164">
        <f t="shared" ca="1" si="444"/>
        <v>0</v>
      </c>
      <c r="AG138" s="164">
        <f t="shared" ca="1" si="445"/>
        <v>0</v>
      </c>
      <c r="AH138" s="164">
        <f t="shared" ca="1" si="446"/>
        <v>0</v>
      </c>
      <c r="AI138" s="164">
        <f t="shared" ca="1" si="447"/>
        <v>0</v>
      </c>
      <c r="AJ138" s="164">
        <f t="shared" ca="1" si="448"/>
        <v>0</v>
      </c>
      <c r="AK138" s="164">
        <f t="shared" ca="1" si="449"/>
        <v>0</v>
      </c>
      <c r="AL138" s="164">
        <f t="shared" ca="1" si="450"/>
        <v>0</v>
      </c>
      <c r="AM138" s="208"/>
      <c r="AN138" s="164">
        <f t="shared" si="451"/>
        <v>0</v>
      </c>
      <c r="AO138" s="164">
        <f t="shared" ca="1" si="452"/>
        <v>0</v>
      </c>
      <c r="AP138" s="164">
        <f t="shared" ca="1" si="453"/>
        <v>0</v>
      </c>
      <c r="AQ138" s="164">
        <f t="shared" ca="1" si="454"/>
        <v>0</v>
      </c>
      <c r="AR138" s="164">
        <f t="shared" ca="1" si="455"/>
        <v>0</v>
      </c>
      <c r="AS138" s="164">
        <f t="shared" ca="1" si="456"/>
        <v>0</v>
      </c>
      <c r="AT138" s="164">
        <f t="shared" ca="1" si="457"/>
        <v>0</v>
      </c>
      <c r="AU138" s="164">
        <f t="shared" ca="1" si="458"/>
        <v>0</v>
      </c>
      <c r="AV138" s="164">
        <f t="shared" ca="1" si="459"/>
        <v>0</v>
      </c>
      <c r="AW138" s="164">
        <f t="shared" ca="1" si="460"/>
        <v>0</v>
      </c>
      <c r="AX138" s="164">
        <f t="shared" ca="1" si="461"/>
        <v>0</v>
      </c>
      <c r="AY138" s="164">
        <f t="shared" ca="1" si="462"/>
        <v>0</v>
      </c>
      <c r="AZ138" s="164">
        <f t="shared" ca="1" si="463"/>
        <v>0</v>
      </c>
      <c r="BA138" s="164">
        <f t="shared" ca="1" si="464"/>
        <v>0</v>
      </c>
      <c r="BB138" s="164">
        <f t="shared" ca="1" si="465"/>
        <v>0</v>
      </c>
      <c r="BC138" s="164">
        <f t="shared" ca="1" si="466"/>
        <v>0</v>
      </c>
      <c r="BD138" s="164">
        <f t="shared" ca="1" si="467"/>
        <v>0</v>
      </c>
      <c r="BE138" s="164">
        <f t="shared" ca="1" si="468"/>
        <v>0</v>
      </c>
      <c r="BF138" s="164">
        <f t="shared" ca="1" si="469"/>
        <v>0</v>
      </c>
      <c r="BG138" s="164">
        <f t="shared" ca="1" si="470"/>
        <v>0</v>
      </c>
      <c r="BH138" s="164">
        <f t="shared" ca="1" si="471"/>
        <v>0</v>
      </c>
      <c r="BI138" s="164">
        <f t="shared" ca="1" si="472"/>
        <v>0</v>
      </c>
      <c r="BJ138" s="164">
        <f t="shared" ca="1" si="473"/>
        <v>0</v>
      </c>
      <c r="BK138" s="164">
        <f t="shared" ca="1" si="474"/>
        <v>0</v>
      </c>
      <c r="BL138" s="164">
        <f t="shared" ca="1" si="475"/>
        <v>0</v>
      </c>
      <c r="BM138" s="164">
        <f t="shared" ca="1" si="476"/>
        <v>0</v>
      </c>
      <c r="BN138" s="164">
        <f t="shared" ca="1" si="477"/>
        <v>0</v>
      </c>
      <c r="BO138" s="356" t="str">
        <f t="shared" ca="1" si="478"/>
        <v/>
      </c>
      <c r="BP138" s="355" t="str">
        <f t="shared" ca="1" si="380"/>
        <v/>
      </c>
      <c r="BQ138" s="355" t="str">
        <f t="shared" ca="1" si="381"/>
        <v/>
      </c>
      <c r="BR138" s="348">
        <f t="shared" ca="1" si="312"/>
        <v>0</v>
      </c>
      <c r="BS138" s="348">
        <f t="shared" ca="1" si="313"/>
        <v>0</v>
      </c>
      <c r="BT138" s="610">
        <f t="shared" ca="1" si="479"/>
        <v>0</v>
      </c>
      <c r="BU138" s="357">
        <f t="shared" ca="1" si="383"/>
        <v>0</v>
      </c>
      <c r="BV138" s="357">
        <f t="shared" si="480"/>
        <v>0</v>
      </c>
      <c r="BW138" s="357">
        <f t="shared" si="481"/>
        <v>0</v>
      </c>
      <c r="BX138" s="357">
        <f t="shared" ca="1" si="482"/>
        <v>0</v>
      </c>
      <c r="BY138" s="357">
        <f t="shared" ca="1" si="316"/>
        <v>0</v>
      </c>
      <c r="BZ138" s="357"/>
      <c r="CA138" s="357">
        <f t="shared" ca="1" si="314"/>
        <v>0</v>
      </c>
      <c r="CB138" s="357" t="str">
        <f t="shared" ca="1" si="483"/>
        <v/>
      </c>
      <c r="CC138" s="358" t="str">
        <f t="shared" ca="1" si="317"/>
        <v/>
      </c>
      <c r="CD138" s="358" t="str">
        <f t="shared" ca="1" si="318"/>
        <v/>
      </c>
      <c r="CE138" s="357" t="str">
        <f t="shared" ca="1" si="513"/>
        <v>,,,,,,,,,,,,,,,,,,,,,,,,,,,,,,,,,,,,,,,,,,,,,,,,,,,,,,,,,,,,,,,,,,,,,,,,,,,,,,</v>
      </c>
      <c r="CF138" s="154" t="str">
        <f t="shared" si="315"/>
        <v/>
      </c>
      <c r="CG138" s="154">
        <f t="shared" ca="1" si="319"/>
        <v>0</v>
      </c>
      <c r="CH138" s="154"/>
      <c r="CI138" s="154"/>
      <c r="CJ138" s="154"/>
      <c r="CK138" s="154"/>
      <c r="CL138" s="154"/>
      <c r="CM138" s="154"/>
      <c r="CN138" t="s">
        <v>784</v>
      </c>
      <c r="CO138" s="169"/>
      <c r="CP138" s="169"/>
      <c r="CQ138" s="169"/>
      <c r="CR138" s="169"/>
      <c r="CS138" s="169"/>
      <c r="CT138" s="169"/>
      <c r="CU138" s="169"/>
      <c r="CV138" s="164" t="str">
        <f t="shared" ca="1" si="514"/>
        <v/>
      </c>
      <c r="CW138" s="164" t="str">
        <f t="shared" ca="1" si="514"/>
        <v/>
      </c>
      <c r="CX138" s="164" t="str">
        <f t="shared" ca="1" si="514"/>
        <v/>
      </c>
      <c r="CY138" s="164" t="str">
        <f t="shared" ca="1" si="514"/>
        <v/>
      </c>
      <c r="CZ138" s="164" t="str">
        <f t="shared" ca="1" si="514"/>
        <v/>
      </c>
      <c r="DA138" s="164" t="str">
        <f t="shared" ca="1" si="514"/>
        <v/>
      </c>
      <c r="DB138" s="164" t="str">
        <f t="shared" ca="1" si="514"/>
        <v/>
      </c>
      <c r="DC138" s="164" t="str">
        <f t="shared" ca="1" si="514"/>
        <v/>
      </c>
      <c r="DD138" s="164" t="str">
        <f t="shared" ca="1" si="514"/>
        <v/>
      </c>
      <c r="DE138" s="164" t="str">
        <f t="shared" ca="1" si="514"/>
        <v/>
      </c>
      <c r="DF138" s="164" t="str">
        <f t="shared" ca="1" si="515"/>
        <v/>
      </c>
      <c r="DG138" s="164" t="str">
        <f t="shared" ca="1" si="515"/>
        <v/>
      </c>
      <c r="DH138" s="164" t="str">
        <f t="shared" ca="1" si="515"/>
        <v/>
      </c>
      <c r="DI138" s="164" t="str">
        <f t="shared" ca="1" si="515"/>
        <v/>
      </c>
      <c r="DJ138" s="164" t="str">
        <f t="shared" ca="1" si="515"/>
        <v/>
      </c>
      <c r="DK138" s="164" t="str">
        <f t="shared" ca="1" si="515"/>
        <v/>
      </c>
      <c r="DL138" s="164" t="str">
        <f t="shared" ca="1" si="515"/>
        <v/>
      </c>
      <c r="DM138" s="164" t="str">
        <f t="shared" ca="1" si="515"/>
        <v/>
      </c>
      <c r="DN138" s="164" t="str">
        <f t="shared" ca="1" si="515"/>
        <v/>
      </c>
      <c r="DO138" s="164" t="str">
        <f t="shared" ca="1" si="515"/>
        <v/>
      </c>
      <c r="DP138" s="164" t="str">
        <f t="shared" ca="1" si="515"/>
        <v/>
      </c>
      <c r="DQ138" s="164" t="str">
        <f t="shared" ca="1" si="515"/>
        <v/>
      </c>
      <c r="DR138" s="208"/>
      <c r="DS138" s="164" t="str">
        <f t="shared" ca="1" si="484"/>
        <v/>
      </c>
      <c r="DT138" s="164" t="str">
        <f t="shared" ca="1" si="485"/>
        <v/>
      </c>
      <c r="DU138" s="164" t="str">
        <f t="shared" ca="1" si="486"/>
        <v/>
      </c>
      <c r="DV138" s="164" t="str">
        <f t="shared" ca="1" si="487"/>
        <v/>
      </c>
      <c r="DW138" s="164" t="str">
        <f t="shared" ca="1" si="488"/>
        <v/>
      </c>
      <c r="DX138" s="164" t="str">
        <f t="shared" ca="1" si="489"/>
        <v/>
      </c>
      <c r="DY138" s="164" t="str">
        <f t="shared" ca="1" si="490"/>
        <v/>
      </c>
      <c r="DZ138" s="164" t="str">
        <f t="shared" ca="1" si="491"/>
        <v/>
      </c>
      <c r="EA138" s="164" t="str">
        <f t="shared" ca="1" si="492"/>
        <v/>
      </c>
      <c r="EB138" s="164" t="str">
        <f t="shared" ca="1" si="493"/>
        <v/>
      </c>
      <c r="EC138" s="164" t="str">
        <f t="shared" ca="1" si="494"/>
        <v/>
      </c>
      <c r="ED138" s="164" t="str">
        <f t="shared" ca="1" si="495"/>
        <v/>
      </c>
      <c r="EE138" s="164" t="str">
        <f t="shared" ca="1" si="496"/>
        <v/>
      </c>
      <c r="EF138" s="164" t="str">
        <f t="shared" ca="1" si="497"/>
        <v/>
      </c>
      <c r="EG138" s="164" t="str">
        <f t="shared" ca="1" si="498"/>
        <v/>
      </c>
      <c r="EH138" s="164" t="str">
        <f t="shared" ca="1" si="499"/>
        <v/>
      </c>
      <c r="EI138" s="164" t="str">
        <f t="shared" ca="1" si="500"/>
        <v/>
      </c>
      <c r="EJ138" s="164" t="str">
        <f t="shared" ca="1" si="501"/>
        <v/>
      </c>
      <c r="EK138" s="164" t="str">
        <f t="shared" ca="1" si="502"/>
        <v/>
      </c>
      <c r="EL138" s="164" t="str">
        <f t="shared" ca="1" si="503"/>
        <v/>
      </c>
      <c r="EM138" s="164" t="str">
        <f t="shared" ca="1" si="504"/>
        <v/>
      </c>
      <c r="EN138" s="164" t="str">
        <f t="shared" ca="1" si="505"/>
        <v/>
      </c>
      <c r="EO138" s="164" t="str">
        <f t="shared" ca="1" si="506"/>
        <v/>
      </c>
      <c r="EP138" s="164" t="str">
        <f t="shared" ca="1" si="507"/>
        <v/>
      </c>
      <c r="EQ138" s="164" t="str">
        <f t="shared" ca="1" si="508"/>
        <v/>
      </c>
      <c r="ER138" s="164" t="str">
        <f t="shared" ca="1" si="509"/>
        <v/>
      </c>
      <c r="ES138" s="164" t="str">
        <f t="shared" ca="1" si="510"/>
        <v/>
      </c>
    </row>
    <row r="139" spans="1:149" x14ac:dyDescent="0.2">
      <c r="A139" s="89" t="str">
        <f t="shared" ca="1" si="511"/>
        <v/>
      </c>
      <c r="B139" s="317" t="str">
        <f t="shared" ca="1" si="423"/>
        <v/>
      </c>
      <c r="C139" s="609" t="str">
        <f t="shared" ca="1" si="424"/>
        <v/>
      </c>
      <c r="D139" s="1956" t="str">
        <f t="shared" ca="1" si="425"/>
        <v/>
      </c>
      <c r="E139" s="1956"/>
      <c r="F139" s="960"/>
      <c r="G139" s="485" t="str">
        <f t="shared" ca="1" si="426"/>
        <v/>
      </c>
      <c r="H139" s="983"/>
      <c r="I139" s="486"/>
      <c r="J139" s="326"/>
      <c r="K139" s="1886" t="str">
        <f t="shared" ca="1" si="427"/>
        <v/>
      </c>
      <c r="L139" s="1888"/>
      <c r="M139" s="296" t="str">
        <f t="shared" ca="1" si="512"/>
        <v/>
      </c>
      <c r="N139" s="1322"/>
      <c r="O139" s="1319"/>
      <c r="P139" s="957" t="str">
        <f t="shared" ca="1" si="428"/>
        <v/>
      </c>
      <c r="Q139" s="164">
        <f t="shared" si="429"/>
        <v>0</v>
      </c>
      <c r="R139" s="164">
        <f t="shared" ca="1" si="430"/>
        <v>0</v>
      </c>
      <c r="S139" s="164">
        <f t="shared" ca="1" si="431"/>
        <v>0</v>
      </c>
      <c r="T139" s="164">
        <f t="shared" ca="1" si="432"/>
        <v>0</v>
      </c>
      <c r="U139" s="164">
        <f t="shared" ca="1" si="433"/>
        <v>0</v>
      </c>
      <c r="V139" s="164">
        <f t="shared" ca="1" si="434"/>
        <v>0</v>
      </c>
      <c r="W139" s="164">
        <f t="shared" ca="1" si="435"/>
        <v>0</v>
      </c>
      <c r="X139" s="164">
        <f t="shared" ca="1" si="436"/>
        <v>0</v>
      </c>
      <c r="Y139" s="164">
        <f t="shared" ca="1" si="437"/>
        <v>0</v>
      </c>
      <c r="Z139" s="164">
        <f t="shared" ca="1" si="438"/>
        <v>0</v>
      </c>
      <c r="AA139" s="164">
        <f t="shared" ca="1" si="439"/>
        <v>0</v>
      </c>
      <c r="AB139" s="164">
        <f t="shared" ca="1" si="440"/>
        <v>0</v>
      </c>
      <c r="AC139" s="164">
        <f t="shared" ca="1" si="441"/>
        <v>0</v>
      </c>
      <c r="AD139" s="164">
        <f t="shared" ca="1" si="442"/>
        <v>0</v>
      </c>
      <c r="AE139" s="164">
        <f t="shared" ca="1" si="443"/>
        <v>0</v>
      </c>
      <c r="AF139" s="164">
        <f t="shared" ca="1" si="444"/>
        <v>0</v>
      </c>
      <c r="AG139" s="164">
        <f t="shared" ca="1" si="445"/>
        <v>0</v>
      </c>
      <c r="AH139" s="164">
        <f t="shared" ca="1" si="446"/>
        <v>0</v>
      </c>
      <c r="AI139" s="164">
        <f t="shared" ca="1" si="447"/>
        <v>0</v>
      </c>
      <c r="AJ139" s="164">
        <f t="shared" ca="1" si="448"/>
        <v>0</v>
      </c>
      <c r="AK139" s="164">
        <f t="shared" ca="1" si="449"/>
        <v>0</v>
      </c>
      <c r="AL139" s="164">
        <f t="shared" ca="1" si="450"/>
        <v>0</v>
      </c>
      <c r="AM139" s="208"/>
      <c r="AN139" s="164">
        <f t="shared" si="451"/>
        <v>0</v>
      </c>
      <c r="AO139" s="164">
        <f t="shared" ca="1" si="452"/>
        <v>0</v>
      </c>
      <c r="AP139" s="164">
        <f t="shared" ca="1" si="453"/>
        <v>0</v>
      </c>
      <c r="AQ139" s="164">
        <f t="shared" ca="1" si="454"/>
        <v>0</v>
      </c>
      <c r="AR139" s="164">
        <f t="shared" ca="1" si="455"/>
        <v>0</v>
      </c>
      <c r="AS139" s="164">
        <f t="shared" ca="1" si="456"/>
        <v>0</v>
      </c>
      <c r="AT139" s="164">
        <f t="shared" ca="1" si="457"/>
        <v>0</v>
      </c>
      <c r="AU139" s="164">
        <f t="shared" ca="1" si="458"/>
        <v>0</v>
      </c>
      <c r="AV139" s="164">
        <f t="shared" ca="1" si="459"/>
        <v>0</v>
      </c>
      <c r="AW139" s="164">
        <f t="shared" ca="1" si="460"/>
        <v>0</v>
      </c>
      <c r="AX139" s="164">
        <f t="shared" ca="1" si="461"/>
        <v>0</v>
      </c>
      <c r="AY139" s="164">
        <f t="shared" ca="1" si="462"/>
        <v>0</v>
      </c>
      <c r="AZ139" s="164">
        <f t="shared" ca="1" si="463"/>
        <v>0</v>
      </c>
      <c r="BA139" s="164">
        <f t="shared" ca="1" si="464"/>
        <v>0</v>
      </c>
      <c r="BB139" s="164">
        <f t="shared" ca="1" si="465"/>
        <v>0</v>
      </c>
      <c r="BC139" s="164">
        <f t="shared" ca="1" si="466"/>
        <v>0</v>
      </c>
      <c r="BD139" s="164">
        <f t="shared" ca="1" si="467"/>
        <v>0</v>
      </c>
      <c r="BE139" s="164">
        <f t="shared" ca="1" si="468"/>
        <v>0</v>
      </c>
      <c r="BF139" s="164">
        <f t="shared" ca="1" si="469"/>
        <v>0</v>
      </c>
      <c r="BG139" s="164">
        <f t="shared" ca="1" si="470"/>
        <v>0</v>
      </c>
      <c r="BH139" s="164">
        <f t="shared" ca="1" si="471"/>
        <v>0</v>
      </c>
      <c r="BI139" s="164">
        <f t="shared" ca="1" si="472"/>
        <v>0</v>
      </c>
      <c r="BJ139" s="164">
        <f t="shared" ca="1" si="473"/>
        <v>0</v>
      </c>
      <c r="BK139" s="164">
        <f t="shared" ca="1" si="474"/>
        <v>0</v>
      </c>
      <c r="BL139" s="164">
        <f t="shared" ca="1" si="475"/>
        <v>0</v>
      </c>
      <c r="BM139" s="164">
        <f t="shared" ca="1" si="476"/>
        <v>0</v>
      </c>
      <c r="BN139" s="164">
        <f t="shared" ca="1" si="477"/>
        <v>0</v>
      </c>
      <c r="BO139" s="356" t="str">
        <f t="shared" ca="1" si="478"/>
        <v/>
      </c>
      <c r="BP139" s="355" t="str">
        <f t="shared" ca="1" si="380"/>
        <v/>
      </c>
      <c r="BQ139" s="355" t="str">
        <f t="shared" ca="1" si="381"/>
        <v/>
      </c>
      <c r="BR139" s="348">
        <f t="shared" ca="1" si="312"/>
        <v>0</v>
      </c>
      <c r="BS139" s="348">
        <f t="shared" ca="1" si="313"/>
        <v>0</v>
      </c>
      <c r="BT139" s="610">
        <f t="shared" ca="1" si="479"/>
        <v>0</v>
      </c>
      <c r="BU139" s="357">
        <f t="shared" ca="1" si="383"/>
        <v>0</v>
      </c>
      <c r="BV139" s="357">
        <f t="shared" si="480"/>
        <v>0</v>
      </c>
      <c r="BW139" s="357">
        <f t="shared" si="481"/>
        <v>0</v>
      </c>
      <c r="BX139" s="357">
        <f t="shared" ca="1" si="482"/>
        <v>0</v>
      </c>
      <c r="BY139" s="357">
        <f t="shared" ca="1" si="316"/>
        <v>0</v>
      </c>
      <c r="BZ139" s="357"/>
      <c r="CA139" s="357">
        <f t="shared" ca="1" si="314"/>
        <v>0</v>
      </c>
      <c r="CB139" s="357" t="str">
        <f t="shared" ca="1" si="483"/>
        <v/>
      </c>
      <c r="CC139" s="358" t="str">
        <f t="shared" ca="1" si="317"/>
        <v/>
      </c>
      <c r="CD139" s="358" t="str">
        <f t="shared" ca="1" si="318"/>
        <v/>
      </c>
      <c r="CE139" s="357" t="str">
        <f t="shared" ca="1" si="513"/>
        <v>,,,,,,,,,,,,,,,,,,,,,,,,,,,,,,,,,,,,,,,,,,,,,,,,,,,,,,,,,,,,,,,,,,,,,,,,,,,,,,,</v>
      </c>
      <c r="CF139" s="154" t="str">
        <f t="shared" si="315"/>
        <v/>
      </c>
      <c r="CG139" s="154">
        <f t="shared" ca="1" si="319"/>
        <v>0</v>
      </c>
      <c r="CH139" s="154"/>
      <c r="CI139" s="154"/>
      <c r="CJ139" s="154"/>
      <c r="CK139" s="154"/>
      <c r="CL139" s="154"/>
      <c r="CM139" s="154"/>
      <c r="CN139" t="s">
        <v>784</v>
      </c>
      <c r="CO139" s="169"/>
      <c r="CP139" s="169"/>
      <c r="CQ139" s="169"/>
      <c r="CR139" s="169"/>
      <c r="CS139" s="169"/>
      <c r="CT139" s="169"/>
      <c r="CU139" s="169"/>
      <c r="CV139" s="164" t="str">
        <f t="shared" ca="1" si="514"/>
        <v/>
      </c>
      <c r="CW139" s="164" t="str">
        <f t="shared" ca="1" si="514"/>
        <v/>
      </c>
      <c r="CX139" s="164" t="str">
        <f t="shared" ca="1" si="514"/>
        <v/>
      </c>
      <c r="CY139" s="164" t="str">
        <f t="shared" ca="1" si="514"/>
        <v/>
      </c>
      <c r="CZ139" s="164" t="str">
        <f t="shared" ca="1" si="514"/>
        <v/>
      </c>
      <c r="DA139" s="164" t="str">
        <f t="shared" ca="1" si="514"/>
        <v/>
      </c>
      <c r="DB139" s="164" t="str">
        <f t="shared" ca="1" si="514"/>
        <v/>
      </c>
      <c r="DC139" s="164" t="str">
        <f t="shared" ca="1" si="514"/>
        <v/>
      </c>
      <c r="DD139" s="164" t="str">
        <f t="shared" ca="1" si="514"/>
        <v/>
      </c>
      <c r="DE139" s="164" t="str">
        <f t="shared" ca="1" si="514"/>
        <v/>
      </c>
      <c r="DF139" s="164" t="str">
        <f t="shared" ca="1" si="515"/>
        <v/>
      </c>
      <c r="DG139" s="164" t="str">
        <f t="shared" ca="1" si="515"/>
        <v/>
      </c>
      <c r="DH139" s="164" t="str">
        <f t="shared" ca="1" si="515"/>
        <v/>
      </c>
      <c r="DI139" s="164" t="str">
        <f t="shared" ca="1" si="515"/>
        <v/>
      </c>
      <c r="DJ139" s="164" t="str">
        <f t="shared" ca="1" si="515"/>
        <v/>
      </c>
      <c r="DK139" s="164" t="str">
        <f t="shared" ca="1" si="515"/>
        <v/>
      </c>
      <c r="DL139" s="164" t="str">
        <f t="shared" ca="1" si="515"/>
        <v/>
      </c>
      <c r="DM139" s="164" t="str">
        <f t="shared" ca="1" si="515"/>
        <v/>
      </c>
      <c r="DN139" s="164" t="str">
        <f t="shared" ca="1" si="515"/>
        <v/>
      </c>
      <c r="DO139" s="164" t="str">
        <f t="shared" ca="1" si="515"/>
        <v/>
      </c>
      <c r="DP139" s="164" t="str">
        <f t="shared" ca="1" si="515"/>
        <v/>
      </c>
      <c r="DQ139" s="164" t="str">
        <f t="shared" ca="1" si="515"/>
        <v/>
      </c>
      <c r="DR139" s="208"/>
      <c r="DS139" s="164" t="str">
        <f t="shared" ca="1" si="484"/>
        <v/>
      </c>
      <c r="DT139" s="164" t="str">
        <f t="shared" ca="1" si="485"/>
        <v/>
      </c>
      <c r="DU139" s="164" t="str">
        <f t="shared" ca="1" si="486"/>
        <v/>
      </c>
      <c r="DV139" s="164" t="str">
        <f t="shared" ca="1" si="487"/>
        <v/>
      </c>
      <c r="DW139" s="164" t="str">
        <f t="shared" ca="1" si="488"/>
        <v/>
      </c>
      <c r="DX139" s="164" t="str">
        <f t="shared" ca="1" si="489"/>
        <v/>
      </c>
      <c r="DY139" s="164" t="str">
        <f t="shared" ca="1" si="490"/>
        <v/>
      </c>
      <c r="DZ139" s="164" t="str">
        <f t="shared" ca="1" si="491"/>
        <v/>
      </c>
      <c r="EA139" s="164" t="str">
        <f t="shared" ca="1" si="492"/>
        <v/>
      </c>
      <c r="EB139" s="164" t="str">
        <f t="shared" ca="1" si="493"/>
        <v/>
      </c>
      <c r="EC139" s="164" t="str">
        <f t="shared" ca="1" si="494"/>
        <v/>
      </c>
      <c r="ED139" s="164" t="str">
        <f t="shared" ca="1" si="495"/>
        <v/>
      </c>
      <c r="EE139" s="164" t="str">
        <f t="shared" ca="1" si="496"/>
        <v/>
      </c>
      <c r="EF139" s="164" t="str">
        <f t="shared" ca="1" si="497"/>
        <v/>
      </c>
      <c r="EG139" s="164" t="str">
        <f t="shared" ca="1" si="498"/>
        <v/>
      </c>
      <c r="EH139" s="164" t="str">
        <f t="shared" ca="1" si="499"/>
        <v/>
      </c>
      <c r="EI139" s="164" t="str">
        <f t="shared" ca="1" si="500"/>
        <v/>
      </c>
      <c r="EJ139" s="164" t="str">
        <f t="shared" ca="1" si="501"/>
        <v/>
      </c>
      <c r="EK139" s="164" t="str">
        <f t="shared" ca="1" si="502"/>
        <v/>
      </c>
      <c r="EL139" s="164" t="str">
        <f t="shared" ca="1" si="503"/>
        <v/>
      </c>
      <c r="EM139" s="164" t="str">
        <f t="shared" ca="1" si="504"/>
        <v/>
      </c>
      <c r="EN139" s="164" t="str">
        <f t="shared" ca="1" si="505"/>
        <v/>
      </c>
      <c r="EO139" s="164" t="str">
        <f t="shared" ca="1" si="506"/>
        <v/>
      </c>
      <c r="EP139" s="164" t="str">
        <f t="shared" ca="1" si="507"/>
        <v/>
      </c>
      <c r="EQ139" s="164" t="str">
        <f t="shared" ca="1" si="508"/>
        <v/>
      </c>
      <c r="ER139" s="164" t="str">
        <f t="shared" ca="1" si="509"/>
        <v/>
      </c>
      <c r="ES139" s="164" t="str">
        <f t="shared" ca="1" si="510"/>
        <v/>
      </c>
    </row>
    <row r="140" spans="1:149" x14ac:dyDescent="0.2">
      <c r="A140" s="89" t="str">
        <f t="shared" ca="1" si="511"/>
        <v/>
      </c>
      <c r="B140" s="317" t="str">
        <f t="shared" ca="1" si="423"/>
        <v/>
      </c>
      <c r="C140" s="609" t="str">
        <f t="shared" ca="1" si="424"/>
        <v/>
      </c>
      <c r="D140" s="1956" t="str">
        <f t="shared" ca="1" si="425"/>
        <v/>
      </c>
      <c r="E140" s="1956"/>
      <c r="F140" s="960"/>
      <c r="G140" s="485" t="str">
        <f t="shared" ca="1" si="426"/>
        <v/>
      </c>
      <c r="H140" s="983"/>
      <c r="I140" s="486"/>
      <c r="J140" s="326"/>
      <c r="K140" s="1886" t="str">
        <f t="shared" ca="1" si="427"/>
        <v/>
      </c>
      <c r="L140" s="1888"/>
      <c r="M140" s="296" t="str">
        <f t="shared" ca="1" si="512"/>
        <v/>
      </c>
      <c r="N140" s="1322"/>
      <c r="O140" s="1319"/>
      <c r="P140" s="957" t="str">
        <f t="shared" ca="1" si="428"/>
        <v/>
      </c>
      <c r="Q140" s="164">
        <f t="shared" si="429"/>
        <v>0</v>
      </c>
      <c r="R140" s="164">
        <f t="shared" ca="1" si="430"/>
        <v>0</v>
      </c>
      <c r="S140" s="164">
        <f t="shared" ca="1" si="431"/>
        <v>0</v>
      </c>
      <c r="T140" s="164">
        <f t="shared" ca="1" si="432"/>
        <v>0</v>
      </c>
      <c r="U140" s="164">
        <f t="shared" ca="1" si="433"/>
        <v>0</v>
      </c>
      <c r="V140" s="164">
        <f t="shared" ca="1" si="434"/>
        <v>0</v>
      </c>
      <c r="W140" s="164">
        <f t="shared" ca="1" si="435"/>
        <v>0</v>
      </c>
      <c r="X140" s="164">
        <f t="shared" ca="1" si="436"/>
        <v>0</v>
      </c>
      <c r="Y140" s="164">
        <f t="shared" ca="1" si="437"/>
        <v>0</v>
      </c>
      <c r="Z140" s="164">
        <f t="shared" ca="1" si="438"/>
        <v>0</v>
      </c>
      <c r="AA140" s="164">
        <f t="shared" ca="1" si="439"/>
        <v>0</v>
      </c>
      <c r="AB140" s="164">
        <f t="shared" ca="1" si="440"/>
        <v>0</v>
      </c>
      <c r="AC140" s="164">
        <f t="shared" ca="1" si="441"/>
        <v>0</v>
      </c>
      <c r="AD140" s="164">
        <f t="shared" ca="1" si="442"/>
        <v>0</v>
      </c>
      <c r="AE140" s="164">
        <f t="shared" ca="1" si="443"/>
        <v>0</v>
      </c>
      <c r="AF140" s="164">
        <f t="shared" ca="1" si="444"/>
        <v>0</v>
      </c>
      <c r="AG140" s="164">
        <f t="shared" ca="1" si="445"/>
        <v>0</v>
      </c>
      <c r="AH140" s="164">
        <f t="shared" ca="1" si="446"/>
        <v>0</v>
      </c>
      <c r="AI140" s="164">
        <f t="shared" ca="1" si="447"/>
        <v>0</v>
      </c>
      <c r="AJ140" s="164">
        <f t="shared" ca="1" si="448"/>
        <v>0</v>
      </c>
      <c r="AK140" s="164">
        <f t="shared" ca="1" si="449"/>
        <v>0</v>
      </c>
      <c r="AL140" s="164">
        <f t="shared" ca="1" si="450"/>
        <v>0</v>
      </c>
      <c r="AM140" s="208"/>
      <c r="AN140" s="164">
        <f t="shared" si="451"/>
        <v>0</v>
      </c>
      <c r="AO140" s="164">
        <f t="shared" ca="1" si="452"/>
        <v>0</v>
      </c>
      <c r="AP140" s="164">
        <f t="shared" ca="1" si="453"/>
        <v>0</v>
      </c>
      <c r="AQ140" s="164">
        <f t="shared" ca="1" si="454"/>
        <v>0</v>
      </c>
      <c r="AR140" s="164">
        <f t="shared" ca="1" si="455"/>
        <v>0</v>
      </c>
      <c r="AS140" s="164">
        <f t="shared" ca="1" si="456"/>
        <v>0</v>
      </c>
      <c r="AT140" s="164">
        <f t="shared" ca="1" si="457"/>
        <v>0</v>
      </c>
      <c r="AU140" s="164">
        <f t="shared" ca="1" si="458"/>
        <v>0</v>
      </c>
      <c r="AV140" s="164">
        <f t="shared" ca="1" si="459"/>
        <v>0</v>
      </c>
      <c r="AW140" s="164">
        <f t="shared" ca="1" si="460"/>
        <v>0</v>
      </c>
      <c r="AX140" s="164">
        <f t="shared" ca="1" si="461"/>
        <v>0</v>
      </c>
      <c r="AY140" s="164">
        <f t="shared" ca="1" si="462"/>
        <v>0</v>
      </c>
      <c r="AZ140" s="164">
        <f t="shared" ca="1" si="463"/>
        <v>0</v>
      </c>
      <c r="BA140" s="164">
        <f t="shared" ca="1" si="464"/>
        <v>0</v>
      </c>
      <c r="BB140" s="164">
        <f t="shared" ca="1" si="465"/>
        <v>0</v>
      </c>
      <c r="BC140" s="164">
        <f t="shared" ca="1" si="466"/>
        <v>0</v>
      </c>
      <c r="BD140" s="164">
        <f t="shared" ca="1" si="467"/>
        <v>0</v>
      </c>
      <c r="BE140" s="164">
        <f t="shared" ca="1" si="468"/>
        <v>0</v>
      </c>
      <c r="BF140" s="164">
        <f t="shared" ca="1" si="469"/>
        <v>0</v>
      </c>
      <c r="BG140" s="164">
        <f t="shared" ca="1" si="470"/>
        <v>0</v>
      </c>
      <c r="BH140" s="164">
        <f t="shared" ca="1" si="471"/>
        <v>0</v>
      </c>
      <c r="BI140" s="164">
        <f t="shared" ca="1" si="472"/>
        <v>0</v>
      </c>
      <c r="BJ140" s="164">
        <f t="shared" ca="1" si="473"/>
        <v>0</v>
      </c>
      <c r="BK140" s="164">
        <f t="shared" ca="1" si="474"/>
        <v>0</v>
      </c>
      <c r="BL140" s="164">
        <f t="shared" ca="1" si="475"/>
        <v>0</v>
      </c>
      <c r="BM140" s="164">
        <f t="shared" ca="1" si="476"/>
        <v>0</v>
      </c>
      <c r="BN140" s="164">
        <f t="shared" ca="1" si="477"/>
        <v>0</v>
      </c>
      <c r="BO140" s="356" t="str">
        <f t="shared" ca="1" si="478"/>
        <v/>
      </c>
      <c r="BP140" s="355" t="str">
        <f t="shared" ca="1" si="380"/>
        <v/>
      </c>
      <c r="BQ140" s="355" t="str">
        <f t="shared" ca="1" si="381"/>
        <v/>
      </c>
      <c r="BR140" s="348">
        <f t="shared" ref="BR140:BR175" ca="1" si="516">IF(EXACT($BP$2,""),0,IF($CV$3,IF(ISERROR(FIND($BP$2,$BQ140)),0,1),(LEN($BQ140)-LEN(SUBSTITUTE($BQ140,$BP$2,"")))/LEN($BP$2)))</f>
        <v>0</v>
      </c>
      <c r="BS140" s="348">
        <f t="shared" ref="BS140:BS175" ca="1" si="517">IF(EXACT($BP$3,""),0,IF($CV$3,IF(ISERROR(FIND($BP$3,$BQ140)),0,1),(LEN($BQ140)-LEN(SUBSTITUTE($BQ140,$BP$3,"")))/LEN($BP$3)))</f>
        <v>0</v>
      </c>
      <c r="BT140" s="610">
        <f t="shared" ca="1" si="479"/>
        <v>0</v>
      </c>
      <c r="BU140" s="357">
        <f t="shared" ca="1" si="383"/>
        <v>0</v>
      </c>
      <c r="BV140" s="357">
        <f t="shared" si="480"/>
        <v>0</v>
      </c>
      <c r="BW140" s="357">
        <f t="shared" si="481"/>
        <v>0</v>
      </c>
      <c r="BX140" s="357">
        <f t="shared" ca="1" si="482"/>
        <v>0</v>
      </c>
      <c r="BY140" s="357">
        <f t="shared" ca="1" si="316"/>
        <v>0</v>
      </c>
      <c r="BZ140" s="357"/>
      <c r="CA140" s="357">
        <f t="shared" ref="CA140:CA175" ca="1" si="518">SUM(IF(AND(NOT(ISERR(FIND($AC$6,BQ140))),NOT(EXACT($AC$6,""))),-1,0),IF(AND(NOT(ISERR(FIND($AC$7,BQ140))),NOT(EXACT($AC$7,""))),-1,0),IF(AND(NOT(ISERR(FIND($AC$8,BQ140))),NOT(EXACT($AC$8,""))),-1,0),IF(AND(NOT(ISERR(FIND($BP$6,BQ140))),NOT(EXACT($BP$6,""))),-1,0))</f>
        <v>0</v>
      </c>
      <c r="CB140" s="357" t="str">
        <f t="shared" ca="1" si="483"/>
        <v/>
      </c>
      <c r="CC140" s="358" t="str">
        <f t="shared" ca="1" si="317"/>
        <v/>
      </c>
      <c r="CD140" s="358" t="str">
        <f t="shared" ca="1" si="318"/>
        <v/>
      </c>
      <c r="CE140" s="357" t="str">
        <f t="shared" ca="1" si="513"/>
        <v>,,,,,,,,,,,,,,,,,,,,,,,,,,,,,,,,,,,,,,,,,,,,,,,,,,,,,,,,,,,,,,,,,,,,,,,,,,,,,,,,</v>
      </c>
      <c r="CF140" s="154" t="str">
        <f t="shared" si="315"/>
        <v/>
      </c>
      <c r="CG140" s="154">
        <f t="shared" ca="1" si="319"/>
        <v>0</v>
      </c>
      <c r="CH140" s="154"/>
      <c r="CI140" s="154"/>
      <c r="CJ140" s="154"/>
      <c r="CK140" s="154"/>
      <c r="CL140" s="154"/>
      <c r="CM140" s="154"/>
      <c r="CN140" t="s">
        <v>784</v>
      </c>
      <c r="CO140" s="169"/>
      <c r="CP140" s="169"/>
      <c r="CQ140" s="169"/>
      <c r="CR140" s="169"/>
      <c r="CS140" s="169"/>
      <c r="CT140" s="169"/>
      <c r="CU140" s="169"/>
      <c r="CV140" s="164" t="str">
        <f t="shared" ca="1" si="514"/>
        <v/>
      </c>
      <c r="CW140" s="164" t="str">
        <f t="shared" ca="1" si="514"/>
        <v/>
      </c>
      <c r="CX140" s="164" t="str">
        <f t="shared" ca="1" si="514"/>
        <v/>
      </c>
      <c r="CY140" s="164" t="str">
        <f t="shared" ca="1" si="514"/>
        <v/>
      </c>
      <c r="CZ140" s="164" t="str">
        <f t="shared" ca="1" si="514"/>
        <v/>
      </c>
      <c r="DA140" s="164" t="str">
        <f t="shared" ca="1" si="514"/>
        <v/>
      </c>
      <c r="DB140" s="164" t="str">
        <f t="shared" ca="1" si="514"/>
        <v/>
      </c>
      <c r="DC140" s="164" t="str">
        <f t="shared" ca="1" si="514"/>
        <v/>
      </c>
      <c r="DD140" s="164" t="str">
        <f t="shared" ca="1" si="514"/>
        <v/>
      </c>
      <c r="DE140" s="164" t="str">
        <f t="shared" ca="1" si="514"/>
        <v/>
      </c>
      <c r="DF140" s="164" t="str">
        <f t="shared" ca="1" si="515"/>
        <v/>
      </c>
      <c r="DG140" s="164" t="str">
        <f t="shared" ca="1" si="515"/>
        <v/>
      </c>
      <c r="DH140" s="164" t="str">
        <f t="shared" ca="1" si="515"/>
        <v/>
      </c>
      <c r="DI140" s="164" t="str">
        <f t="shared" ca="1" si="515"/>
        <v/>
      </c>
      <c r="DJ140" s="164" t="str">
        <f t="shared" ca="1" si="515"/>
        <v/>
      </c>
      <c r="DK140" s="164" t="str">
        <f t="shared" ca="1" si="515"/>
        <v/>
      </c>
      <c r="DL140" s="164" t="str">
        <f t="shared" ca="1" si="515"/>
        <v/>
      </c>
      <c r="DM140" s="164" t="str">
        <f t="shared" ca="1" si="515"/>
        <v/>
      </c>
      <c r="DN140" s="164" t="str">
        <f t="shared" ca="1" si="515"/>
        <v/>
      </c>
      <c r="DO140" s="164" t="str">
        <f t="shared" ca="1" si="515"/>
        <v/>
      </c>
      <c r="DP140" s="164" t="str">
        <f t="shared" ca="1" si="515"/>
        <v/>
      </c>
      <c r="DQ140" s="164" t="str">
        <f t="shared" ca="1" si="515"/>
        <v/>
      </c>
      <c r="DR140" s="208"/>
      <c r="DS140" s="164" t="str">
        <f t="shared" ca="1" si="484"/>
        <v/>
      </c>
      <c r="DT140" s="164" t="str">
        <f t="shared" ca="1" si="485"/>
        <v/>
      </c>
      <c r="DU140" s="164" t="str">
        <f t="shared" ca="1" si="486"/>
        <v/>
      </c>
      <c r="DV140" s="164" t="str">
        <f t="shared" ca="1" si="487"/>
        <v/>
      </c>
      <c r="DW140" s="164" t="str">
        <f t="shared" ca="1" si="488"/>
        <v/>
      </c>
      <c r="DX140" s="164" t="str">
        <f t="shared" ca="1" si="489"/>
        <v/>
      </c>
      <c r="DY140" s="164" t="str">
        <f t="shared" ca="1" si="490"/>
        <v/>
      </c>
      <c r="DZ140" s="164" t="str">
        <f t="shared" ca="1" si="491"/>
        <v/>
      </c>
      <c r="EA140" s="164" t="str">
        <f t="shared" ca="1" si="492"/>
        <v/>
      </c>
      <c r="EB140" s="164" t="str">
        <f t="shared" ca="1" si="493"/>
        <v/>
      </c>
      <c r="EC140" s="164" t="str">
        <f t="shared" ca="1" si="494"/>
        <v/>
      </c>
      <c r="ED140" s="164" t="str">
        <f t="shared" ca="1" si="495"/>
        <v/>
      </c>
      <c r="EE140" s="164" t="str">
        <f t="shared" ca="1" si="496"/>
        <v/>
      </c>
      <c r="EF140" s="164" t="str">
        <f t="shared" ca="1" si="497"/>
        <v/>
      </c>
      <c r="EG140" s="164" t="str">
        <f t="shared" ca="1" si="498"/>
        <v/>
      </c>
      <c r="EH140" s="164" t="str">
        <f t="shared" ca="1" si="499"/>
        <v/>
      </c>
      <c r="EI140" s="164" t="str">
        <f t="shared" ca="1" si="500"/>
        <v/>
      </c>
      <c r="EJ140" s="164" t="str">
        <f t="shared" ca="1" si="501"/>
        <v/>
      </c>
      <c r="EK140" s="164" t="str">
        <f t="shared" ca="1" si="502"/>
        <v/>
      </c>
      <c r="EL140" s="164" t="str">
        <f t="shared" ca="1" si="503"/>
        <v/>
      </c>
      <c r="EM140" s="164" t="str">
        <f t="shared" ca="1" si="504"/>
        <v/>
      </c>
      <c r="EN140" s="164" t="str">
        <f t="shared" ca="1" si="505"/>
        <v/>
      </c>
      <c r="EO140" s="164" t="str">
        <f t="shared" ca="1" si="506"/>
        <v/>
      </c>
      <c r="EP140" s="164" t="str">
        <f t="shared" ca="1" si="507"/>
        <v/>
      </c>
      <c r="EQ140" s="164" t="str">
        <f t="shared" ca="1" si="508"/>
        <v/>
      </c>
      <c r="ER140" s="164" t="str">
        <f t="shared" ca="1" si="509"/>
        <v/>
      </c>
      <c r="ES140" s="164" t="str">
        <f t="shared" ca="1" si="510"/>
        <v/>
      </c>
    </row>
    <row r="141" spans="1:149" outlineLevel="1" x14ac:dyDescent="0.2">
      <c r="A141" s="89" t="str">
        <f t="shared" ca="1" si="511"/>
        <v/>
      </c>
      <c r="B141" s="317" t="str">
        <f t="shared" ca="1" si="423"/>
        <v/>
      </c>
      <c r="C141" s="609" t="str">
        <f t="shared" ca="1" si="424"/>
        <v/>
      </c>
      <c r="D141" s="1956" t="str">
        <f t="shared" ca="1" si="425"/>
        <v/>
      </c>
      <c r="E141" s="1956"/>
      <c r="F141" s="960"/>
      <c r="G141" s="485" t="str">
        <f t="shared" ca="1" si="426"/>
        <v/>
      </c>
      <c r="H141" s="983"/>
      <c r="I141" s="486"/>
      <c r="J141" s="326"/>
      <c r="K141" s="1886" t="str">
        <f t="shared" ca="1" si="427"/>
        <v/>
      </c>
      <c r="L141" s="1888"/>
      <c r="M141" s="296" t="str">
        <f t="shared" ca="1" si="512"/>
        <v/>
      </c>
      <c r="N141" s="1322"/>
      <c r="O141" s="1319"/>
      <c r="P141" s="957" t="str">
        <f t="shared" ca="1" si="428"/>
        <v/>
      </c>
      <c r="Q141" s="164">
        <f t="shared" si="429"/>
        <v>0</v>
      </c>
      <c r="R141" s="164">
        <f t="shared" ca="1" si="430"/>
        <v>0</v>
      </c>
      <c r="S141" s="164">
        <f t="shared" ca="1" si="431"/>
        <v>0</v>
      </c>
      <c r="T141" s="164">
        <f t="shared" ca="1" si="432"/>
        <v>0</v>
      </c>
      <c r="U141" s="164">
        <f t="shared" ca="1" si="433"/>
        <v>0</v>
      </c>
      <c r="V141" s="164">
        <f t="shared" ca="1" si="434"/>
        <v>0</v>
      </c>
      <c r="W141" s="164">
        <f t="shared" ca="1" si="435"/>
        <v>0</v>
      </c>
      <c r="X141" s="164">
        <f t="shared" ca="1" si="436"/>
        <v>0</v>
      </c>
      <c r="Y141" s="164">
        <f t="shared" ca="1" si="437"/>
        <v>0</v>
      </c>
      <c r="Z141" s="164">
        <f t="shared" ca="1" si="438"/>
        <v>0</v>
      </c>
      <c r="AA141" s="164">
        <f t="shared" ca="1" si="439"/>
        <v>0</v>
      </c>
      <c r="AB141" s="164">
        <f t="shared" ca="1" si="440"/>
        <v>0</v>
      </c>
      <c r="AC141" s="164">
        <f t="shared" ca="1" si="441"/>
        <v>0</v>
      </c>
      <c r="AD141" s="164">
        <f t="shared" ca="1" si="442"/>
        <v>0</v>
      </c>
      <c r="AE141" s="164">
        <f t="shared" ca="1" si="443"/>
        <v>0</v>
      </c>
      <c r="AF141" s="164">
        <f t="shared" ca="1" si="444"/>
        <v>0</v>
      </c>
      <c r="AG141" s="164">
        <f t="shared" ca="1" si="445"/>
        <v>0</v>
      </c>
      <c r="AH141" s="164">
        <f t="shared" ca="1" si="446"/>
        <v>0</v>
      </c>
      <c r="AI141" s="164">
        <f t="shared" ca="1" si="447"/>
        <v>0</v>
      </c>
      <c r="AJ141" s="164">
        <f t="shared" ca="1" si="448"/>
        <v>0</v>
      </c>
      <c r="AK141" s="164">
        <f t="shared" ca="1" si="449"/>
        <v>0</v>
      </c>
      <c r="AL141" s="164">
        <f t="shared" ca="1" si="450"/>
        <v>0</v>
      </c>
      <c r="AM141" s="208"/>
      <c r="AN141" s="164">
        <f t="shared" si="451"/>
        <v>0</v>
      </c>
      <c r="AO141" s="164">
        <f t="shared" ca="1" si="452"/>
        <v>0</v>
      </c>
      <c r="AP141" s="164">
        <f t="shared" ca="1" si="453"/>
        <v>0</v>
      </c>
      <c r="AQ141" s="164">
        <f t="shared" ca="1" si="454"/>
        <v>0</v>
      </c>
      <c r="AR141" s="164">
        <f t="shared" ca="1" si="455"/>
        <v>0</v>
      </c>
      <c r="AS141" s="164">
        <f t="shared" ca="1" si="456"/>
        <v>0</v>
      </c>
      <c r="AT141" s="164">
        <f t="shared" ca="1" si="457"/>
        <v>0</v>
      </c>
      <c r="AU141" s="164">
        <f t="shared" ca="1" si="458"/>
        <v>0</v>
      </c>
      <c r="AV141" s="164">
        <f t="shared" ca="1" si="459"/>
        <v>0</v>
      </c>
      <c r="AW141" s="164">
        <f t="shared" ca="1" si="460"/>
        <v>0</v>
      </c>
      <c r="AX141" s="164">
        <f t="shared" ca="1" si="461"/>
        <v>0</v>
      </c>
      <c r="AY141" s="164">
        <f t="shared" ca="1" si="462"/>
        <v>0</v>
      </c>
      <c r="AZ141" s="164">
        <f t="shared" ca="1" si="463"/>
        <v>0</v>
      </c>
      <c r="BA141" s="164">
        <f t="shared" ca="1" si="464"/>
        <v>0</v>
      </c>
      <c r="BB141" s="164">
        <f t="shared" ca="1" si="465"/>
        <v>0</v>
      </c>
      <c r="BC141" s="164">
        <f t="shared" ca="1" si="466"/>
        <v>0</v>
      </c>
      <c r="BD141" s="164">
        <f t="shared" ca="1" si="467"/>
        <v>0</v>
      </c>
      <c r="BE141" s="164">
        <f t="shared" ca="1" si="468"/>
        <v>0</v>
      </c>
      <c r="BF141" s="164">
        <f t="shared" ca="1" si="469"/>
        <v>0</v>
      </c>
      <c r="BG141" s="164">
        <f t="shared" ca="1" si="470"/>
        <v>0</v>
      </c>
      <c r="BH141" s="164">
        <f t="shared" ca="1" si="471"/>
        <v>0</v>
      </c>
      <c r="BI141" s="164">
        <f t="shared" ca="1" si="472"/>
        <v>0</v>
      </c>
      <c r="BJ141" s="164">
        <f t="shared" ca="1" si="473"/>
        <v>0</v>
      </c>
      <c r="BK141" s="164">
        <f t="shared" ca="1" si="474"/>
        <v>0</v>
      </c>
      <c r="BL141" s="164">
        <f t="shared" ca="1" si="475"/>
        <v>0</v>
      </c>
      <c r="BM141" s="164">
        <f t="shared" ca="1" si="476"/>
        <v>0</v>
      </c>
      <c r="BN141" s="164">
        <f t="shared" ca="1" si="477"/>
        <v>0</v>
      </c>
      <c r="BO141" s="356" t="str">
        <f t="shared" ca="1" si="478"/>
        <v/>
      </c>
      <c r="BP141" s="355" t="str">
        <f t="shared" ca="1" si="380"/>
        <v/>
      </c>
      <c r="BQ141" s="355" t="str">
        <f t="shared" ca="1" si="381"/>
        <v/>
      </c>
      <c r="BR141" s="348">
        <f t="shared" ca="1" si="516"/>
        <v>0</v>
      </c>
      <c r="BS141" s="348">
        <f t="shared" ca="1" si="517"/>
        <v>0</v>
      </c>
      <c r="BT141" s="610">
        <f t="shared" ca="1" si="479"/>
        <v>0</v>
      </c>
      <c r="BU141" s="357">
        <f t="shared" ca="1" si="383"/>
        <v>0</v>
      </c>
      <c r="BV141" s="357">
        <f t="shared" si="480"/>
        <v>0</v>
      </c>
      <c r="BW141" s="357">
        <f t="shared" si="481"/>
        <v>0</v>
      </c>
      <c r="BX141" s="357">
        <f t="shared" ca="1" si="482"/>
        <v>0</v>
      </c>
      <c r="BY141" s="357">
        <f t="shared" ca="1" si="316"/>
        <v>0</v>
      </c>
      <c r="BZ141" s="357"/>
      <c r="CA141" s="357">
        <f t="shared" ca="1" si="518"/>
        <v>0</v>
      </c>
      <c r="CB141" s="357" t="str">
        <f t="shared" ca="1" si="483"/>
        <v/>
      </c>
      <c r="CC141" s="358" t="str">
        <f t="shared" ca="1" si="317"/>
        <v/>
      </c>
      <c r="CD141" s="358" t="str">
        <f t="shared" ca="1" si="318"/>
        <v/>
      </c>
      <c r="CE141" s="357" t="str">
        <f t="shared" ca="1" si="513"/>
        <v>,,,,,,,,,,,,,,,,,,,,,,,,,,,,,,,,,,,,,,,,,,,,,,,,,,,,,,,,,,,,,,,,,,,,,,,,,,,,,,,,,</v>
      </c>
      <c r="CF141" s="154" t="str">
        <f t="shared" si="315"/>
        <v/>
      </c>
      <c r="CG141" s="154">
        <f t="shared" ca="1" si="319"/>
        <v>0</v>
      </c>
      <c r="CH141" s="154"/>
      <c r="CI141" s="154"/>
      <c r="CJ141" s="154"/>
      <c r="CK141" s="154"/>
      <c r="CL141" s="154"/>
      <c r="CM141" s="154"/>
      <c r="CN141" t="s">
        <v>784</v>
      </c>
      <c r="CO141" s="169"/>
      <c r="CP141" s="169"/>
      <c r="CQ141" s="169"/>
      <c r="CR141" s="169"/>
      <c r="CS141" s="169"/>
      <c r="CT141" s="169"/>
      <c r="CU141" s="169"/>
      <c r="CV141" s="164" t="str">
        <f t="shared" ref="CV141:DE150" ca="1" si="519">IF($A141="","",IF(VT_VRTLZBR,CODE("F"),CODE(VLOOKUP($A141,ZAUBERWERTE,10,FALSE))-
SUM($BR141:$CA141,
IF(ISERR(FIND(";"&amp;CV$10&amp;";",$H141)),0,1),
IF(ISERR(FIND(";"&amp;CV$10&amp;":",$H141)),0,VALUE(MID($H141,FIND(";"&amp;CV$10&amp;":",$H141)+LEN(CV$10)+2,1))),
IF(AND(NOT(EXACT($AF$241,"")),OR(CV$10&gt;$CO141,ISBLANK($CO141))),IF($CV$3,IF(ISERROR(FIND($AF$241,$BQ141)),0,1),(LEN($BQ141)-LEN(SUBSTITUTE($BQ141,$AF$241,"")))/LEN($AF$241)),0),
IF(AND(NOT(EXACT($AF$242,"")),OR(CV$10&gt;$CP141,ISBLANK($CP141))),IF($CV$3,IF(ISERROR(FIND($AF$242,$BQ141)),0,1),(LEN($BQ141)-LEN(SUBSTITUTE($BQ141,$AF$242,"")))/LEN($AF$242)),0),
IF(AND(NOT(EXACT($AF$243,"")),OR(CV$10&gt;$CQ141,ISBLANK($CQ141))),IF($CV$3,IF(ISERROR(FIND($AF$243,$BQ141)),0,1),(LEN($BQ141)-LEN(SUBSTITUTE($BQ141,$AF$243,"")))/LEN($AF$243)),0),
IF(AND(NOT(EXACT($AF$244,"")),OR(CV$10&gt;$CR141,ISBLANK($CR141))),IF($CV$3,IF(ISERROR(FIND($AF$244,$BQ141)),0,1),(LEN($BQ141)-LEN(SUBSTITUTE($BQ141,$AF$244,"")))/LEN($AF$244)),0),
IF(AND(NOT(EXACT($AF$245,"")),OR(CV$10&gt;$CS141,ISBLANK($CS141))),IF($CV$3,IF(ISERROR(FIND($AF$245,$BQ141)),0,1),(LEN($BQ141)-LEN(SUBSTITUTE($BQ141,$AF$245,"")))/LEN($AF$245)),0),
IF(AND(NOT(EXACT($AF$246,"")),OR(CV$10&gt;$CT141,ISBLANK($CT141))),IF($CV$3,IF(ISERROR(FIND($AF$246,$BQ141)),0,1),(LEN($BQ141)-LEN(SUBSTITUTE($BQ141,$AF$246,"")))/LEN($AF$246)),0),
IF(AND(NOT(EXACT($AF$247,"")),OR(CV$10&gt;$CU141,ISBLANK($CU141))),IF($CV$3,IF(ISERROR(FIND($AF$247,$BQ141)),0,1),(LEN($BQ141)-LEN(SUBSTITUTE($BQ141,$AF$247,"")))/LEN($AF$247)),0)
)))</f>
        <v/>
      </c>
      <c r="CW141" s="164" t="str">
        <f t="shared" ca="1" si="519"/>
        <v/>
      </c>
      <c r="CX141" s="164" t="str">
        <f t="shared" ca="1" si="519"/>
        <v/>
      </c>
      <c r="CY141" s="164" t="str">
        <f t="shared" ca="1" si="519"/>
        <v/>
      </c>
      <c r="CZ141" s="164" t="str">
        <f t="shared" ca="1" si="519"/>
        <v/>
      </c>
      <c r="DA141" s="164" t="str">
        <f t="shared" ca="1" si="519"/>
        <v/>
      </c>
      <c r="DB141" s="164" t="str">
        <f t="shared" ca="1" si="519"/>
        <v/>
      </c>
      <c r="DC141" s="164" t="str">
        <f t="shared" ca="1" si="519"/>
        <v/>
      </c>
      <c r="DD141" s="164" t="str">
        <f t="shared" ca="1" si="519"/>
        <v/>
      </c>
      <c r="DE141" s="164" t="str">
        <f t="shared" ca="1" si="519"/>
        <v/>
      </c>
      <c r="DF141" s="164" t="str">
        <f t="shared" ref="DF141:DQ150" ca="1" si="520">IF($A141="","",IF(VT_VRTLZBR,CODE("F"),CODE(VLOOKUP($A141,ZAUBERWERTE,10,FALSE))-
SUM($BR141:$CA141,
IF(ISERR(FIND(";"&amp;DF$10&amp;";",$H141)),0,1),
IF(ISERR(FIND(";"&amp;DF$10&amp;":",$H141)),0,VALUE(MID($H141,FIND(";"&amp;DF$10&amp;":",$H141)+LEN(DF$10)+2,1))),
IF(AND(NOT(EXACT($AF$241,"")),OR(DF$10&gt;$CO141,ISBLANK($CO141))),IF($CV$3,IF(ISERROR(FIND($AF$241,$BQ141)),0,1),(LEN($BQ141)-LEN(SUBSTITUTE($BQ141,$AF$241,"")))/LEN($AF$241)),0),
IF(AND(NOT(EXACT($AF$242,"")),OR(DF$10&gt;$CP141,ISBLANK($CP141))),IF($CV$3,IF(ISERROR(FIND($AF$242,$BQ141)),0,1),(LEN($BQ141)-LEN(SUBSTITUTE($BQ141,$AF$242,"")))/LEN($AF$242)),0),
IF(AND(NOT(EXACT($AF$243,"")),OR(DF$10&gt;$CQ141,ISBLANK($CQ141))),IF($CV$3,IF(ISERROR(FIND($AF$243,$BQ141)),0,1),(LEN($BQ141)-LEN(SUBSTITUTE($BQ141,$AF$243,"")))/LEN($AF$243)),0),
IF(AND(NOT(EXACT($AF$244,"")),OR(DF$10&gt;$CR141,ISBLANK($CR141))),IF($CV$3,IF(ISERROR(FIND($AF$244,$BQ141)),0,1),(LEN($BQ141)-LEN(SUBSTITUTE($BQ141,$AF$244,"")))/LEN($AF$244)),0),
IF(AND(NOT(EXACT($AF$245,"")),OR(DF$10&gt;$CS141,ISBLANK($CS141))),IF($CV$3,IF(ISERROR(FIND($AF$245,$BQ141)),0,1),(LEN($BQ141)-LEN(SUBSTITUTE($BQ141,$AF$245,"")))/LEN($AF$245)),0),
IF(AND(NOT(EXACT($AF$246,"")),OR(DF$10&gt;$CT141,ISBLANK($CT141))),IF($CV$3,IF(ISERROR(FIND($AF$246,$BQ141)),0,1),(LEN($BQ141)-LEN(SUBSTITUTE($BQ141,$AF$246,"")))/LEN($AF$246)),0),
IF(AND(NOT(EXACT($AF$247,"")),OR(DF$10&gt;$CU141,ISBLANK($CU141))),IF($CV$3,IF(ISERROR(FIND($AF$247,$BQ141)),0,1),(LEN($BQ141)-LEN(SUBSTITUTE($BQ141,$AF$247,"")))/LEN($AF$247)),0)
)))</f>
        <v/>
      </c>
      <c r="DG141" s="164" t="str">
        <f t="shared" ca="1" si="520"/>
        <v/>
      </c>
      <c r="DH141" s="164" t="str">
        <f t="shared" ca="1" si="520"/>
        <v/>
      </c>
      <c r="DI141" s="164" t="str">
        <f t="shared" ca="1" si="520"/>
        <v/>
      </c>
      <c r="DJ141" s="164" t="str">
        <f t="shared" ca="1" si="520"/>
        <v/>
      </c>
      <c r="DK141" s="164" t="str">
        <f t="shared" ca="1" si="520"/>
        <v/>
      </c>
      <c r="DL141" s="164" t="str">
        <f t="shared" ca="1" si="520"/>
        <v/>
      </c>
      <c r="DM141" s="164" t="str">
        <f t="shared" ca="1" si="520"/>
        <v/>
      </c>
      <c r="DN141" s="164" t="str">
        <f t="shared" ca="1" si="520"/>
        <v/>
      </c>
      <c r="DO141" s="164" t="str">
        <f t="shared" ca="1" si="520"/>
        <v/>
      </c>
      <c r="DP141" s="164" t="str">
        <f t="shared" ca="1" si="520"/>
        <v/>
      </c>
      <c r="DQ141" s="164" t="str">
        <f t="shared" ca="1" si="520"/>
        <v/>
      </c>
      <c r="DR141" s="208"/>
      <c r="DS141" s="164" t="str">
        <f t="shared" ca="1" si="484"/>
        <v/>
      </c>
      <c r="DT141" s="164" t="str">
        <f t="shared" ca="1" si="485"/>
        <v/>
      </c>
      <c r="DU141" s="164" t="str">
        <f t="shared" ca="1" si="486"/>
        <v/>
      </c>
      <c r="DV141" s="164" t="str">
        <f t="shared" ca="1" si="487"/>
        <v/>
      </c>
      <c r="DW141" s="164" t="str">
        <f t="shared" ca="1" si="488"/>
        <v/>
      </c>
      <c r="DX141" s="164" t="str">
        <f t="shared" ca="1" si="489"/>
        <v/>
      </c>
      <c r="DY141" s="164" t="str">
        <f t="shared" ca="1" si="490"/>
        <v/>
      </c>
      <c r="DZ141" s="164" t="str">
        <f t="shared" ca="1" si="491"/>
        <v/>
      </c>
      <c r="EA141" s="164" t="str">
        <f t="shared" ca="1" si="492"/>
        <v/>
      </c>
      <c r="EB141" s="164" t="str">
        <f t="shared" ca="1" si="493"/>
        <v/>
      </c>
      <c r="EC141" s="164" t="str">
        <f t="shared" ca="1" si="494"/>
        <v/>
      </c>
      <c r="ED141" s="164" t="str">
        <f t="shared" ca="1" si="495"/>
        <v/>
      </c>
      <c r="EE141" s="164" t="str">
        <f t="shared" ca="1" si="496"/>
        <v/>
      </c>
      <c r="EF141" s="164" t="str">
        <f t="shared" ca="1" si="497"/>
        <v/>
      </c>
      <c r="EG141" s="164" t="str">
        <f t="shared" ca="1" si="498"/>
        <v/>
      </c>
      <c r="EH141" s="164" t="str">
        <f t="shared" ca="1" si="499"/>
        <v/>
      </c>
      <c r="EI141" s="164" t="str">
        <f t="shared" ca="1" si="500"/>
        <v/>
      </c>
      <c r="EJ141" s="164" t="str">
        <f t="shared" ca="1" si="501"/>
        <v/>
      </c>
      <c r="EK141" s="164" t="str">
        <f t="shared" ca="1" si="502"/>
        <v/>
      </c>
      <c r="EL141" s="164" t="str">
        <f t="shared" ca="1" si="503"/>
        <v/>
      </c>
      <c r="EM141" s="164" t="str">
        <f t="shared" ca="1" si="504"/>
        <v/>
      </c>
      <c r="EN141" s="164" t="str">
        <f t="shared" ca="1" si="505"/>
        <v/>
      </c>
      <c r="EO141" s="164" t="str">
        <f t="shared" ca="1" si="506"/>
        <v/>
      </c>
      <c r="EP141" s="164" t="str">
        <f t="shared" ca="1" si="507"/>
        <v/>
      </c>
      <c r="EQ141" s="164" t="str">
        <f t="shared" ca="1" si="508"/>
        <v/>
      </c>
      <c r="ER141" s="164" t="str">
        <f t="shared" ca="1" si="509"/>
        <v/>
      </c>
      <c r="ES141" s="164" t="str">
        <f t="shared" ca="1" si="510"/>
        <v/>
      </c>
    </row>
    <row r="142" spans="1:149" outlineLevel="1" x14ac:dyDescent="0.2">
      <c r="A142" s="89" t="str">
        <f t="shared" ca="1" si="511"/>
        <v/>
      </c>
      <c r="B142" s="317" t="str">
        <f t="shared" ca="1" si="423"/>
        <v/>
      </c>
      <c r="C142" s="609" t="str">
        <f t="shared" ca="1" si="424"/>
        <v/>
      </c>
      <c r="D142" s="1956" t="str">
        <f t="shared" ca="1" si="425"/>
        <v/>
      </c>
      <c r="E142" s="1956"/>
      <c r="F142" s="960"/>
      <c r="G142" s="485" t="str">
        <f t="shared" ca="1" si="426"/>
        <v/>
      </c>
      <c r="H142" s="983"/>
      <c r="I142" s="486"/>
      <c r="J142" s="326"/>
      <c r="K142" s="1886" t="str">
        <f t="shared" ca="1" si="427"/>
        <v/>
      </c>
      <c r="L142" s="1888"/>
      <c r="M142" s="296" t="str">
        <f t="shared" ca="1" si="512"/>
        <v/>
      </c>
      <c r="N142" s="1322"/>
      <c r="O142" s="1319"/>
      <c r="P142" s="957" t="str">
        <f t="shared" ca="1" si="428"/>
        <v/>
      </c>
      <c r="Q142" s="164">
        <f t="shared" si="429"/>
        <v>0</v>
      </c>
      <c r="R142" s="164">
        <f t="shared" ca="1" si="430"/>
        <v>0</v>
      </c>
      <c r="S142" s="164">
        <f t="shared" ca="1" si="431"/>
        <v>0</v>
      </c>
      <c r="T142" s="164">
        <f t="shared" ca="1" si="432"/>
        <v>0</v>
      </c>
      <c r="U142" s="164">
        <f t="shared" ca="1" si="433"/>
        <v>0</v>
      </c>
      <c r="V142" s="164">
        <f t="shared" ca="1" si="434"/>
        <v>0</v>
      </c>
      <c r="W142" s="164">
        <f t="shared" ca="1" si="435"/>
        <v>0</v>
      </c>
      <c r="X142" s="164">
        <f t="shared" ca="1" si="436"/>
        <v>0</v>
      </c>
      <c r="Y142" s="164">
        <f t="shared" ca="1" si="437"/>
        <v>0</v>
      </c>
      <c r="Z142" s="164">
        <f t="shared" ca="1" si="438"/>
        <v>0</v>
      </c>
      <c r="AA142" s="164">
        <f t="shared" ca="1" si="439"/>
        <v>0</v>
      </c>
      <c r="AB142" s="164">
        <f t="shared" ca="1" si="440"/>
        <v>0</v>
      </c>
      <c r="AC142" s="164">
        <f t="shared" ca="1" si="441"/>
        <v>0</v>
      </c>
      <c r="AD142" s="164">
        <f t="shared" ca="1" si="442"/>
        <v>0</v>
      </c>
      <c r="AE142" s="164">
        <f t="shared" ca="1" si="443"/>
        <v>0</v>
      </c>
      <c r="AF142" s="164">
        <f t="shared" ca="1" si="444"/>
        <v>0</v>
      </c>
      <c r="AG142" s="164">
        <f t="shared" ca="1" si="445"/>
        <v>0</v>
      </c>
      <c r="AH142" s="164">
        <f t="shared" ca="1" si="446"/>
        <v>0</v>
      </c>
      <c r="AI142" s="164">
        <f t="shared" ca="1" si="447"/>
        <v>0</v>
      </c>
      <c r="AJ142" s="164">
        <f t="shared" ca="1" si="448"/>
        <v>0</v>
      </c>
      <c r="AK142" s="164">
        <f t="shared" ca="1" si="449"/>
        <v>0</v>
      </c>
      <c r="AL142" s="164">
        <f t="shared" ca="1" si="450"/>
        <v>0</v>
      </c>
      <c r="AM142" s="208"/>
      <c r="AN142" s="164">
        <f t="shared" si="451"/>
        <v>0</v>
      </c>
      <c r="AO142" s="164">
        <f t="shared" ca="1" si="452"/>
        <v>0</v>
      </c>
      <c r="AP142" s="164">
        <f t="shared" ca="1" si="453"/>
        <v>0</v>
      </c>
      <c r="AQ142" s="164">
        <f t="shared" ca="1" si="454"/>
        <v>0</v>
      </c>
      <c r="AR142" s="164">
        <f t="shared" ca="1" si="455"/>
        <v>0</v>
      </c>
      <c r="AS142" s="164">
        <f t="shared" ca="1" si="456"/>
        <v>0</v>
      </c>
      <c r="AT142" s="164">
        <f t="shared" ca="1" si="457"/>
        <v>0</v>
      </c>
      <c r="AU142" s="164">
        <f t="shared" ca="1" si="458"/>
        <v>0</v>
      </c>
      <c r="AV142" s="164">
        <f t="shared" ca="1" si="459"/>
        <v>0</v>
      </c>
      <c r="AW142" s="164">
        <f t="shared" ca="1" si="460"/>
        <v>0</v>
      </c>
      <c r="AX142" s="164">
        <f t="shared" ca="1" si="461"/>
        <v>0</v>
      </c>
      <c r="AY142" s="164">
        <f t="shared" ca="1" si="462"/>
        <v>0</v>
      </c>
      <c r="AZ142" s="164">
        <f t="shared" ca="1" si="463"/>
        <v>0</v>
      </c>
      <c r="BA142" s="164">
        <f t="shared" ca="1" si="464"/>
        <v>0</v>
      </c>
      <c r="BB142" s="164">
        <f t="shared" ca="1" si="465"/>
        <v>0</v>
      </c>
      <c r="BC142" s="164">
        <f t="shared" ca="1" si="466"/>
        <v>0</v>
      </c>
      <c r="BD142" s="164">
        <f t="shared" ca="1" si="467"/>
        <v>0</v>
      </c>
      <c r="BE142" s="164">
        <f t="shared" ca="1" si="468"/>
        <v>0</v>
      </c>
      <c r="BF142" s="164">
        <f t="shared" ca="1" si="469"/>
        <v>0</v>
      </c>
      <c r="BG142" s="164">
        <f t="shared" ca="1" si="470"/>
        <v>0</v>
      </c>
      <c r="BH142" s="164">
        <f t="shared" ca="1" si="471"/>
        <v>0</v>
      </c>
      <c r="BI142" s="164">
        <f t="shared" ca="1" si="472"/>
        <v>0</v>
      </c>
      <c r="BJ142" s="164">
        <f t="shared" ca="1" si="473"/>
        <v>0</v>
      </c>
      <c r="BK142" s="164">
        <f t="shared" ca="1" si="474"/>
        <v>0</v>
      </c>
      <c r="BL142" s="164">
        <f t="shared" ca="1" si="475"/>
        <v>0</v>
      </c>
      <c r="BM142" s="164">
        <f t="shared" ca="1" si="476"/>
        <v>0</v>
      </c>
      <c r="BN142" s="164">
        <f t="shared" ca="1" si="477"/>
        <v>0</v>
      </c>
      <c r="BO142" s="356" t="str">
        <f t="shared" ca="1" si="478"/>
        <v/>
      </c>
      <c r="BP142" s="355" t="str">
        <f t="shared" ca="1" si="380"/>
        <v/>
      </c>
      <c r="BQ142" s="355" t="str">
        <f t="shared" ca="1" si="381"/>
        <v/>
      </c>
      <c r="BR142" s="348">
        <f t="shared" ca="1" si="516"/>
        <v>0</v>
      </c>
      <c r="BS142" s="348">
        <f t="shared" ca="1" si="517"/>
        <v>0</v>
      </c>
      <c r="BT142" s="610">
        <f t="shared" ca="1" si="479"/>
        <v>0</v>
      </c>
      <c r="BU142" s="357">
        <f t="shared" ca="1" si="383"/>
        <v>0</v>
      </c>
      <c r="BV142" s="357">
        <f t="shared" si="480"/>
        <v>0</v>
      </c>
      <c r="BW142" s="357">
        <f t="shared" si="481"/>
        <v>0</v>
      </c>
      <c r="BX142" s="357">
        <f t="shared" ca="1" si="482"/>
        <v>0</v>
      </c>
      <c r="BY142" s="357">
        <f t="shared" ca="1" si="316"/>
        <v>0</v>
      </c>
      <c r="BZ142" s="357"/>
      <c r="CA142" s="357">
        <f t="shared" ca="1" si="518"/>
        <v>0</v>
      </c>
      <c r="CB142" s="357" t="str">
        <f t="shared" ca="1" si="483"/>
        <v/>
      </c>
      <c r="CC142" s="358" t="str">
        <f t="shared" ca="1" si="317"/>
        <v/>
      </c>
      <c r="CD142" s="358" t="str">
        <f t="shared" ca="1" si="318"/>
        <v/>
      </c>
      <c r="CE142" s="357" t="str">
        <f t="shared" ca="1" si="513"/>
        <v>,,,,,,,,,,,,,,,,,,,,,,,,,,,,,,,,,,,,,,,,,,,,,,,,,,,,,,,,,,,,,,,,,,,,,,,,,,,,,,,,,,</v>
      </c>
      <c r="CF142" s="154" t="str">
        <f t="shared" ref="CF142:CF160" si="521">IF(OR(NOT(EXACT($F142,"")),NOT(EXACT($J142,""))),CONCATENATE(CF141,A142,","),CF141)</f>
        <v/>
      </c>
      <c r="CG142" s="154">
        <f t="shared" ca="1" si="319"/>
        <v>0</v>
      </c>
      <c r="CH142" s="154"/>
      <c r="CI142" s="154"/>
      <c r="CJ142" s="154"/>
      <c r="CK142" s="154"/>
      <c r="CL142" s="154"/>
      <c r="CM142" s="154"/>
      <c r="CN142" t="s">
        <v>784</v>
      </c>
      <c r="CO142" s="169"/>
      <c r="CP142" s="169"/>
      <c r="CQ142" s="169"/>
      <c r="CR142" s="169"/>
      <c r="CS142" s="169"/>
      <c r="CT142" s="169"/>
      <c r="CU142" s="169"/>
      <c r="CV142" s="164" t="str">
        <f t="shared" ca="1" si="519"/>
        <v/>
      </c>
      <c r="CW142" s="164" t="str">
        <f t="shared" ca="1" si="519"/>
        <v/>
      </c>
      <c r="CX142" s="164" t="str">
        <f t="shared" ca="1" si="519"/>
        <v/>
      </c>
      <c r="CY142" s="164" t="str">
        <f t="shared" ca="1" si="519"/>
        <v/>
      </c>
      <c r="CZ142" s="164" t="str">
        <f t="shared" ca="1" si="519"/>
        <v/>
      </c>
      <c r="DA142" s="164" t="str">
        <f t="shared" ca="1" si="519"/>
        <v/>
      </c>
      <c r="DB142" s="164" t="str">
        <f t="shared" ca="1" si="519"/>
        <v/>
      </c>
      <c r="DC142" s="164" t="str">
        <f t="shared" ca="1" si="519"/>
        <v/>
      </c>
      <c r="DD142" s="164" t="str">
        <f t="shared" ca="1" si="519"/>
        <v/>
      </c>
      <c r="DE142" s="164" t="str">
        <f t="shared" ca="1" si="519"/>
        <v/>
      </c>
      <c r="DF142" s="164" t="str">
        <f t="shared" ca="1" si="520"/>
        <v/>
      </c>
      <c r="DG142" s="164" t="str">
        <f t="shared" ca="1" si="520"/>
        <v/>
      </c>
      <c r="DH142" s="164" t="str">
        <f t="shared" ca="1" si="520"/>
        <v/>
      </c>
      <c r="DI142" s="164" t="str">
        <f t="shared" ca="1" si="520"/>
        <v/>
      </c>
      <c r="DJ142" s="164" t="str">
        <f t="shared" ca="1" si="520"/>
        <v/>
      </c>
      <c r="DK142" s="164" t="str">
        <f t="shared" ca="1" si="520"/>
        <v/>
      </c>
      <c r="DL142" s="164" t="str">
        <f t="shared" ca="1" si="520"/>
        <v/>
      </c>
      <c r="DM142" s="164" t="str">
        <f t="shared" ca="1" si="520"/>
        <v/>
      </c>
      <c r="DN142" s="164" t="str">
        <f t="shared" ca="1" si="520"/>
        <v/>
      </c>
      <c r="DO142" s="164" t="str">
        <f t="shared" ca="1" si="520"/>
        <v/>
      </c>
      <c r="DP142" s="164" t="str">
        <f t="shared" ca="1" si="520"/>
        <v/>
      </c>
      <c r="DQ142" s="164" t="str">
        <f t="shared" ca="1" si="520"/>
        <v/>
      </c>
      <c r="DR142" s="208"/>
      <c r="DS142" s="164" t="str">
        <f t="shared" ca="1" si="484"/>
        <v/>
      </c>
      <c r="DT142" s="164" t="str">
        <f t="shared" ca="1" si="485"/>
        <v/>
      </c>
      <c r="DU142" s="164" t="str">
        <f t="shared" ca="1" si="486"/>
        <v/>
      </c>
      <c r="DV142" s="164" t="str">
        <f t="shared" ca="1" si="487"/>
        <v/>
      </c>
      <c r="DW142" s="164" t="str">
        <f t="shared" ca="1" si="488"/>
        <v/>
      </c>
      <c r="DX142" s="164" t="str">
        <f t="shared" ca="1" si="489"/>
        <v/>
      </c>
      <c r="DY142" s="164" t="str">
        <f t="shared" ca="1" si="490"/>
        <v/>
      </c>
      <c r="DZ142" s="164" t="str">
        <f t="shared" ca="1" si="491"/>
        <v/>
      </c>
      <c r="EA142" s="164" t="str">
        <f t="shared" ca="1" si="492"/>
        <v/>
      </c>
      <c r="EB142" s="164" t="str">
        <f t="shared" ca="1" si="493"/>
        <v/>
      </c>
      <c r="EC142" s="164" t="str">
        <f t="shared" ca="1" si="494"/>
        <v/>
      </c>
      <c r="ED142" s="164" t="str">
        <f t="shared" ca="1" si="495"/>
        <v/>
      </c>
      <c r="EE142" s="164" t="str">
        <f t="shared" ca="1" si="496"/>
        <v/>
      </c>
      <c r="EF142" s="164" t="str">
        <f t="shared" ca="1" si="497"/>
        <v/>
      </c>
      <c r="EG142" s="164" t="str">
        <f t="shared" ca="1" si="498"/>
        <v/>
      </c>
      <c r="EH142" s="164" t="str">
        <f t="shared" ca="1" si="499"/>
        <v/>
      </c>
      <c r="EI142" s="164" t="str">
        <f t="shared" ca="1" si="500"/>
        <v/>
      </c>
      <c r="EJ142" s="164" t="str">
        <f t="shared" ca="1" si="501"/>
        <v/>
      </c>
      <c r="EK142" s="164" t="str">
        <f t="shared" ca="1" si="502"/>
        <v/>
      </c>
      <c r="EL142" s="164" t="str">
        <f t="shared" ca="1" si="503"/>
        <v/>
      </c>
      <c r="EM142" s="164" t="str">
        <f t="shared" ca="1" si="504"/>
        <v/>
      </c>
      <c r="EN142" s="164" t="str">
        <f t="shared" ca="1" si="505"/>
        <v/>
      </c>
      <c r="EO142" s="164" t="str">
        <f t="shared" ca="1" si="506"/>
        <v/>
      </c>
      <c r="EP142" s="164" t="str">
        <f t="shared" ca="1" si="507"/>
        <v/>
      </c>
      <c r="EQ142" s="164" t="str">
        <f t="shared" ca="1" si="508"/>
        <v/>
      </c>
      <c r="ER142" s="164" t="str">
        <f t="shared" ca="1" si="509"/>
        <v/>
      </c>
      <c r="ES142" s="164" t="str">
        <f t="shared" ca="1" si="510"/>
        <v/>
      </c>
    </row>
    <row r="143" spans="1:149" outlineLevel="1" x14ac:dyDescent="0.2">
      <c r="A143" s="89" t="str">
        <f t="shared" ca="1" si="511"/>
        <v/>
      </c>
      <c r="B143" s="317" t="str">
        <f t="shared" ca="1" si="423"/>
        <v/>
      </c>
      <c r="C143" s="609" t="str">
        <f t="shared" ca="1" si="424"/>
        <v/>
      </c>
      <c r="D143" s="1956" t="str">
        <f t="shared" ca="1" si="425"/>
        <v/>
      </c>
      <c r="E143" s="1956"/>
      <c r="F143" s="960"/>
      <c r="G143" s="485" t="str">
        <f t="shared" ca="1" si="426"/>
        <v/>
      </c>
      <c r="H143" s="983"/>
      <c r="I143" s="486"/>
      <c r="J143" s="326"/>
      <c r="K143" s="1886" t="str">
        <f t="shared" ca="1" si="427"/>
        <v/>
      </c>
      <c r="L143" s="1888"/>
      <c r="M143" s="296" t="str">
        <f t="shared" ca="1" si="512"/>
        <v/>
      </c>
      <c r="N143" s="1322"/>
      <c r="O143" s="1319"/>
      <c r="P143" s="957" t="str">
        <f t="shared" ca="1" si="428"/>
        <v/>
      </c>
      <c r="Q143" s="164">
        <f t="shared" si="429"/>
        <v>0</v>
      </c>
      <c r="R143" s="164">
        <f t="shared" ca="1" si="430"/>
        <v>0</v>
      </c>
      <c r="S143" s="164">
        <f t="shared" ca="1" si="431"/>
        <v>0</v>
      </c>
      <c r="T143" s="164">
        <f t="shared" ca="1" si="432"/>
        <v>0</v>
      </c>
      <c r="U143" s="164">
        <f t="shared" ca="1" si="433"/>
        <v>0</v>
      </c>
      <c r="V143" s="164">
        <f t="shared" ca="1" si="434"/>
        <v>0</v>
      </c>
      <c r="W143" s="164">
        <f t="shared" ca="1" si="435"/>
        <v>0</v>
      </c>
      <c r="X143" s="164">
        <f t="shared" ca="1" si="436"/>
        <v>0</v>
      </c>
      <c r="Y143" s="164">
        <f t="shared" ca="1" si="437"/>
        <v>0</v>
      </c>
      <c r="Z143" s="164">
        <f t="shared" ca="1" si="438"/>
        <v>0</v>
      </c>
      <c r="AA143" s="164">
        <f t="shared" ca="1" si="439"/>
        <v>0</v>
      </c>
      <c r="AB143" s="164">
        <f t="shared" ca="1" si="440"/>
        <v>0</v>
      </c>
      <c r="AC143" s="164">
        <f t="shared" ca="1" si="441"/>
        <v>0</v>
      </c>
      <c r="AD143" s="164">
        <f t="shared" ca="1" si="442"/>
        <v>0</v>
      </c>
      <c r="AE143" s="164">
        <f t="shared" ca="1" si="443"/>
        <v>0</v>
      </c>
      <c r="AF143" s="164">
        <f t="shared" ca="1" si="444"/>
        <v>0</v>
      </c>
      <c r="AG143" s="164">
        <f t="shared" ca="1" si="445"/>
        <v>0</v>
      </c>
      <c r="AH143" s="164">
        <f t="shared" ca="1" si="446"/>
        <v>0</v>
      </c>
      <c r="AI143" s="164">
        <f t="shared" ca="1" si="447"/>
        <v>0</v>
      </c>
      <c r="AJ143" s="164">
        <f t="shared" ca="1" si="448"/>
        <v>0</v>
      </c>
      <c r="AK143" s="164">
        <f t="shared" ca="1" si="449"/>
        <v>0</v>
      </c>
      <c r="AL143" s="164">
        <f t="shared" ca="1" si="450"/>
        <v>0</v>
      </c>
      <c r="AM143" s="208"/>
      <c r="AN143" s="164">
        <f t="shared" si="451"/>
        <v>0</v>
      </c>
      <c r="AO143" s="164">
        <f t="shared" ca="1" si="452"/>
        <v>0</v>
      </c>
      <c r="AP143" s="164">
        <f t="shared" ca="1" si="453"/>
        <v>0</v>
      </c>
      <c r="AQ143" s="164">
        <f t="shared" ca="1" si="454"/>
        <v>0</v>
      </c>
      <c r="AR143" s="164">
        <f t="shared" ca="1" si="455"/>
        <v>0</v>
      </c>
      <c r="AS143" s="164">
        <f t="shared" ca="1" si="456"/>
        <v>0</v>
      </c>
      <c r="AT143" s="164">
        <f t="shared" ca="1" si="457"/>
        <v>0</v>
      </c>
      <c r="AU143" s="164">
        <f t="shared" ca="1" si="458"/>
        <v>0</v>
      </c>
      <c r="AV143" s="164">
        <f t="shared" ca="1" si="459"/>
        <v>0</v>
      </c>
      <c r="AW143" s="164">
        <f t="shared" ca="1" si="460"/>
        <v>0</v>
      </c>
      <c r="AX143" s="164">
        <f t="shared" ca="1" si="461"/>
        <v>0</v>
      </c>
      <c r="AY143" s="164">
        <f t="shared" ca="1" si="462"/>
        <v>0</v>
      </c>
      <c r="AZ143" s="164">
        <f t="shared" ca="1" si="463"/>
        <v>0</v>
      </c>
      <c r="BA143" s="164">
        <f t="shared" ca="1" si="464"/>
        <v>0</v>
      </c>
      <c r="BB143" s="164">
        <f t="shared" ca="1" si="465"/>
        <v>0</v>
      </c>
      <c r="BC143" s="164">
        <f t="shared" ca="1" si="466"/>
        <v>0</v>
      </c>
      <c r="BD143" s="164">
        <f t="shared" ca="1" si="467"/>
        <v>0</v>
      </c>
      <c r="BE143" s="164">
        <f t="shared" ca="1" si="468"/>
        <v>0</v>
      </c>
      <c r="BF143" s="164">
        <f t="shared" ca="1" si="469"/>
        <v>0</v>
      </c>
      <c r="BG143" s="164">
        <f t="shared" ca="1" si="470"/>
        <v>0</v>
      </c>
      <c r="BH143" s="164">
        <f t="shared" ca="1" si="471"/>
        <v>0</v>
      </c>
      <c r="BI143" s="164">
        <f t="shared" ca="1" si="472"/>
        <v>0</v>
      </c>
      <c r="BJ143" s="164">
        <f t="shared" ca="1" si="473"/>
        <v>0</v>
      </c>
      <c r="BK143" s="164">
        <f t="shared" ca="1" si="474"/>
        <v>0</v>
      </c>
      <c r="BL143" s="164">
        <f t="shared" ca="1" si="475"/>
        <v>0</v>
      </c>
      <c r="BM143" s="164">
        <f t="shared" ca="1" si="476"/>
        <v>0</v>
      </c>
      <c r="BN143" s="164">
        <f t="shared" ca="1" si="477"/>
        <v>0</v>
      </c>
      <c r="BO143" s="356" t="str">
        <f t="shared" ca="1" si="478"/>
        <v/>
      </c>
      <c r="BP143" s="355" t="str">
        <f t="shared" ca="1" si="380"/>
        <v/>
      </c>
      <c r="BQ143" s="355" t="str">
        <f t="shared" ca="1" si="381"/>
        <v/>
      </c>
      <c r="BR143" s="348">
        <f t="shared" ca="1" si="516"/>
        <v>0</v>
      </c>
      <c r="BS143" s="348">
        <f t="shared" ca="1" si="517"/>
        <v>0</v>
      </c>
      <c r="BT143" s="610">
        <f t="shared" ca="1" si="479"/>
        <v>0</v>
      </c>
      <c r="BU143" s="357">
        <f t="shared" ca="1" si="383"/>
        <v>0</v>
      </c>
      <c r="BV143" s="357">
        <f t="shared" si="480"/>
        <v>0</v>
      </c>
      <c r="BW143" s="357">
        <f t="shared" si="481"/>
        <v>0</v>
      </c>
      <c r="BX143" s="357">
        <f t="shared" ca="1" si="482"/>
        <v>0</v>
      </c>
      <c r="BY143" s="357">
        <f t="shared" ca="1" si="316"/>
        <v>0</v>
      </c>
      <c r="BZ143" s="357"/>
      <c r="CA143" s="357">
        <f t="shared" ca="1" si="518"/>
        <v>0</v>
      </c>
      <c r="CB143" s="357" t="str">
        <f t="shared" ca="1" si="483"/>
        <v/>
      </c>
      <c r="CC143" s="358" t="str">
        <f t="shared" ca="1" si="317"/>
        <v/>
      </c>
      <c r="CD143" s="358" t="str">
        <f t="shared" ca="1" si="318"/>
        <v/>
      </c>
      <c r="CE143" s="357" t="str">
        <f t="shared" ca="1" si="513"/>
        <v>,,,,,,,,,,,,,,,,,,,,,,,,,,,,,,,,,,,,,,,,,,,,,,,,,,,,,,,,,,,,,,,,,,,,,,,,,,,,,,,,,,,</v>
      </c>
      <c r="CF143" s="154" t="str">
        <f t="shared" si="521"/>
        <v/>
      </c>
      <c r="CG143" s="154">
        <f t="shared" ca="1" si="319"/>
        <v>0</v>
      </c>
      <c r="CH143" s="154"/>
      <c r="CI143" s="154"/>
      <c r="CJ143" s="154"/>
      <c r="CK143" s="154"/>
      <c r="CL143" s="154"/>
      <c r="CM143" s="154"/>
      <c r="CN143" t="s">
        <v>784</v>
      </c>
      <c r="CO143" s="169"/>
      <c r="CP143" s="169"/>
      <c r="CQ143" s="169"/>
      <c r="CR143" s="169"/>
      <c r="CS143" s="169"/>
      <c r="CT143" s="169"/>
      <c r="CU143" s="169"/>
      <c r="CV143" s="164" t="str">
        <f t="shared" ca="1" si="519"/>
        <v/>
      </c>
      <c r="CW143" s="164" t="str">
        <f t="shared" ca="1" si="519"/>
        <v/>
      </c>
      <c r="CX143" s="164" t="str">
        <f t="shared" ca="1" si="519"/>
        <v/>
      </c>
      <c r="CY143" s="164" t="str">
        <f t="shared" ca="1" si="519"/>
        <v/>
      </c>
      <c r="CZ143" s="164" t="str">
        <f t="shared" ca="1" si="519"/>
        <v/>
      </c>
      <c r="DA143" s="164" t="str">
        <f t="shared" ca="1" si="519"/>
        <v/>
      </c>
      <c r="DB143" s="164" t="str">
        <f t="shared" ca="1" si="519"/>
        <v/>
      </c>
      <c r="DC143" s="164" t="str">
        <f t="shared" ca="1" si="519"/>
        <v/>
      </c>
      <c r="DD143" s="164" t="str">
        <f t="shared" ca="1" si="519"/>
        <v/>
      </c>
      <c r="DE143" s="164" t="str">
        <f t="shared" ca="1" si="519"/>
        <v/>
      </c>
      <c r="DF143" s="164" t="str">
        <f t="shared" ca="1" si="520"/>
        <v/>
      </c>
      <c r="DG143" s="164" t="str">
        <f t="shared" ca="1" si="520"/>
        <v/>
      </c>
      <c r="DH143" s="164" t="str">
        <f t="shared" ca="1" si="520"/>
        <v/>
      </c>
      <c r="DI143" s="164" t="str">
        <f t="shared" ca="1" si="520"/>
        <v/>
      </c>
      <c r="DJ143" s="164" t="str">
        <f t="shared" ca="1" si="520"/>
        <v/>
      </c>
      <c r="DK143" s="164" t="str">
        <f t="shared" ca="1" si="520"/>
        <v/>
      </c>
      <c r="DL143" s="164" t="str">
        <f t="shared" ca="1" si="520"/>
        <v/>
      </c>
      <c r="DM143" s="164" t="str">
        <f t="shared" ca="1" si="520"/>
        <v/>
      </c>
      <c r="DN143" s="164" t="str">
        <f t="shared" ca="1" si="520"/>
        <v/>
      </c>
      <c r="DO143" s="164" t="str">
        <f t="shared" ca="1" si="520"/>
        <v/>
      </c>
      <c r="DP143" s="164" t="str">
        <f t="shared" ca="1" si="520"/>
        <v/>
      </c>
      <c r="DQ143" s="164" t="str">
        <f t="shared" ca="1" si="520"/>
        <v/>
      </c>
      <c r="DR143" s="208"/>
      <c r="DS143" s="164" t="str">
        <f t="shared" ca="1" si="484"/>
        <v/>
      </c>
      <c r="DT143" s="164" t="str">
        <f t="shared" ca="1" si="485"/>
        <v/>
      </c>
      <c r="DU143" s="164" t="str">
        <f t="shared" ca="1" si="486"/>
        <v/>
      </c>
      <c r="DV143" s="164" t="str">
        <f t="shared" ca="1" si="487"/>
        <v/>
      </c>
      <c r="DW143" s="164" t="str">
        <f t="shared" ca="1" si="488"/>
        <v/>
      </c>
      <c r="DX143" s="164" t="str">
        <f t="shared" ca="1" si="489"/>
        <v/>
      </c>
      <c r="DY143" s="164" t="str">
        <f t="shared" ca="1" si="490"/>
        <v/>
      </c>
      <c r="DZ143" s="164" t="str">
        <f t="shared" ca="1" si="491"/>
        <v/>
      </c>
      <c r="EA143" s="164" t="str">
        <f t="shared" ca="1" si="492"/>
        <v/>
      </c>
      <c r="EB143" s="164" t="str">
        <f t="shared" ca="1" si="493"/>
        <v/>
      </c>
      <c r="EC143" s="164" t="str">
        <f t="shared" ca="1" si="494"/>
        <v/>
      </c>
      <c r="ED143" s="164" t="str">
        <f t="shared" ca="1" si="495"/>
        <v/>
      </c>
      <c r="EE143" s="164" t="str">
        <f t="shared" ca="1" si="496"/>
        <v/>
      </c>
      <c r="EF143" s="164" t="str">
        <f t="shared" ca="1" si="497"/>
        <v/>
      </c>
      <c r="EG143" s="164" t="str">
        <f t="shared" ca="1" si="498"/>
        <v/>
      </c>
      <c r="EH143" s="164" t="str">
        <f t="shared" ca="1" si="499"/>
        <v/>
      </c>
      <c r="EI143" s="164" t="str">
        <f t="shared" ca="1" si="500"/>
        <v/>
      </c>
      <c r="EJ143" s="164" t="str">
        <f t="shared" ca="1" si="501"/>
        <v/>
      </c>
      <c r="EK143" s="164" t="str">
        <f t="shared" ca="1" si="502"/>
        <v/>
      </c>
      <c r="EL143" s="164" t="str">
        <f t="shared" ca="1" si="503"/>
        <v/>
      </c>
      <c r="EM143" s="164" t="str">
        <f t="shared" ca="1" si="504"/>
        <v/>
      </c>
      <c r="EN143" s="164" t="str">
        <f t="shared" ca="1" si="505"/>
        <v/>
      </c>
      <c r="EO143" s="164" t="str">
        <f t="shared" ca="1" si="506"/>
        <v/>
      </c>
      <c r="EP143" s="164" t="str">
        <f t="shared" ca="1" si="507"/>
        <v/>
      </c>
      <c r="EQ143" s="164" t="str">
        <f t="shared" ca="1" si="508"/>
        <v/>
      </c>
      <c r="ER143" s="164" t="str">
        <f t="shared" ca="1" si="509"/>
        <v/>
      </c>
      <c r="ES143" s="164" t="str">
        <f t="shared" ca="1" si="510"/>
        <v/>
      </c>
    </row>
    <row r="144" spans="1:149" outlineLevel="1" x14ac:dyDescent="0.2">
      <c r="A144" s="89" t="str">
        <f t="shared" ca="1" si="511"/>
        <v/>
      </c>
      <c r="B144" s="317" t="str">
        <f t="shared" ca="1" si="423"/>
        <v/>
      </c>
      <c r="C144" s="609" t="str">
        <f t="shared" ca="1" si="424"/>
        <v/>
      </c>
      <c r="D144" s="1956" t="str">
        <f t="shared" ca="1" si="425"/>
        <v/>
      </c>
      <c r="E144" s="1956"/>
      <c r="F144" s="960"/>
      <c r="G144" s="485" t="str">
        <f t="shared" ca="1" si="426"/>
        <v/>
      </c>
      <c r="H144" s="983"/>
      <c r="I144" s="486"/>
      <c r="J144" s="326"/>
      <c r="K144" s="1886" t="str">
        <f t="shared" ca="1" si="427"/>
        <v/>
      </c>
      <c r="L144" s="1888"/>
      <c r="M144" s="296" t="str">
        <f t="shared" ca="1" si="512"/>
        <v/>
      </c>
      <c r="N144" s="1322"/>
      <c r="O144" s="1319"/>
      <c r="P144" s="957" t="str">
        <f t="shared" ca="1" si="428"/>
        <v/>
      </c>
      <c r="Q144" s="164">
        <f t="shared" si="429"/>
        <v>0</v>
      </c>
      <c r="R144" s="164">
        <f t="shared" ca="1" si="430"/>
        <v>0</v>
      </c>
      <c r="S144" s="164">
        <f t="shared" ca="1" si="431"/>
        <v>0</v>
      </c>
      <c r="T144" s="164">
        <f t="shared" ca="1" si="432"/>
        <v>0</v>
      </c>
      <c r="U144" s="164">
        <f t="shared" ca="1" si="433"/>
        <v>0</v>
      </c>
      <c r="V144" s="164">
        <f t="shared" ca="1" si="434"/>
        <v>0</v>
      </c>
      <c r="W144" s="164">
        <f t="shared" ca="1" si="435"/>
        <v>0</v>
      </c>
      <c r="X144" s="164">
        <f t="shared" ca="1" si="436"/>
        <v>0</v>
      </c>
      <c r="Y144" s="164">
        <f t="shared" ca="1" si="437"/>
        <v>0</v>
      </c>
      <c r="Z144" s="164">
        <f t="shared" ca="1" si="438"/>
        <v>0</v>
      </c>
      <c r="AA144" s="164">
        <f t="shared" ca="1" si="439"/>
        <v>0</v>
      </c>
      <c r="AB144" s="164">
        <f t="shared" ca="1" si="440"/>
        <v>0</v>
      </c>
      <c r="AC144" s="164">
        <f t="shared" ca="1" si="441"/>
        <v>0</v>
      </c>
      <c r="AD144" s="164">
        <f t="shared" ca="1" si="442"/>
        <v>0</v>
      </c>
      <c r="AE144" s="164">
        <f t="shared" ca="1" si="443"/>
        <v>0</v>
      </c>
      <c r="AF144" s="164">
        <f t="shared" ca="1" si="444"/>
        <v>0</v>
      </c>
      <c r="AG144" s="164">
        <f t="shared" ca="1" si="445"/>
        <v>0</v>
      </c>
      <c r="AH144" s="164">
        <f t="shared" ca="1" si="446"/>
        <v>0</v>
      </c>
      <c r="AI144" s="164">
        <f t="shared" ca="1" si="447"/>
        <v>0</v>
      </c>
      <c r="AJ144" s="164">
        <f t="shared" ca="1" si="448"/>
        <v>0</v>
      </c>
      <c r="AK144" s="164">
        <f t="shared" ca="1" si="449"/>
        <v>0</v>
      </c>
      <c r="AL144" s="164">
        <f t="shared" ca="1" si="450"/>
        <v>0</v>
      </c>
      <c r="AM144" s="208"/>
      <c r="AN144" s="164">
        <f t="shared" si="451"/>
        <v>0</v>
      </c>
      <c r="AO144" s="164">
        <f t="shared" ca="1" si="452"/>
        <v>0</v>
      </c>
      <c r="AP144" s="164">
        <f t="shared" ca="1" si="453"/>
        <v>0</v>
      </c>
      <c r="AQ144" s="164">
        <f t="shared" ca="1" si="454"/>
        <v>0</v>
      </c>
      <c r="AR144" s="164">
        <f t="shared" ca="1" si="455"/>
        <v>0</v>
      </c>
      <c r="AS144" s="164">
        <f t="shared" ca="1" si="456"/>
        <v>0</v>
      </c>
      <c r="AT144" s="164">
        <f t="shared" ca="1" si="457"/>
        <v>0</v>
      </c>
      <c r="AU144" s="164">
        <f t="shared" ca="1" si="458"/>
        <v>0</v>
      </c>
      <c r="AV144" s="164">
        <f t="shared" ca="1" si="459"/>
        <v>0</v>
      </c>
      <c r="AW144" s="164">
        <f t="shared" ca="1" si="460"/>
        <v>0</v>
      </c>
      <c r="AX144" s="164">
        <f t="shared" ca="1" si="461"/>
        <v>0</v>
      </c>
      <c r="AY144" s="164">
        <f t="shared" ca="1" si="462"/>
        <v>0</v>
      </c>
      <c r="AZ144" s="164">
        <f t="shared" ca="1" si="463"/>
        <v>0</v>
      </c>
      <c r="BA144" s="164">
        <f t="shared" ca="1" si="464"/>
        <v>0</v>
      </c>
      <c r="BB144" s="164">
        <f t="shared" ca="1" si="465"/>
        <v>0</v>
      </c>
      <c r="BC144" s="164">
        <f t="shared" ca="1" si="466"/>
        <v>0</v>
      </c>
      <c r="BD144" s="164">
        <f t="shared" ca="1" si="467"/>
        <v>0</v>
      </c>
      <c r="BE144" s="164">
        <f t="shared" ca="1" si="468"/>
        <v>0</v>
      </c>
      <c r="BF144" s="164">
        <f t="shared" ca="1" si="469"/>
        <v>0</v>
      </c>
      <c r="BG144" s="164">
        <f t="shared" ca="1" si="470"/>
        <v>0</v>
      </c>
      <c r="BH144" s="164">
        <f t="shared" ca="1" si="471"/>
        <v>0</v>
      </c>
      <c r="BI144" s="164">
        <f t="shared" ca="1" si="472"/>
        <v>0</v>
      </c>
      <c r="BJ144" s="164">
        <f t="shared" ca="1" si="473"/>
        <v>0</v>
      </c>
      <c r="BK144" s="164">
        <f t="shared" ca="1" si="474"/>
        <v>0</v>
      </c>
      <c r="BL144" s="164">
        <f t="shared" ca="1" si="475"/>
        <v>0</v>
      </c>
      <c r="BM144" s="164">
        <f t="shared" ca="1" si="476"/>
        <v>0</v>
      </c>
      <c r="BN144" s="164">
        <f t="shared" ca="1" si="477"/>
        <v>0</v>
      </c>
      <c r="BO144" s="356" t="str">
        <f t="shared" ca="1" si="478"/>
        <v/>
      </c>
      <c r="BP144" s="355" t="str">
        <f t="shared" ca="1" si="380"/>
        <v/>
      </c>
      <c r="BQ144" s="355" t="str">
        <f t="shared" ca="1" si="381"/>
        <v/>
      </c>
      <c r="BR144" s="348">
        <f t="shared" ca="1" si="516"/>
        <v>0</v>
      </c>
      <c r="BS144" s="348">
        <f t="shared" ca="1" si="517"/>
        <v>0</v>
      </c>
      <c r="BT144" s="610">
        <f t="shared" ca="1" si="479"/>
        <v>0</v>
      </c>
      <c r="BU144" s="357">
        <f t="shared" ca="1" si="383"/>
        <v>0</v>
      </c>
      <c r="BV144" s="357">
        <f t="shared" si="480"/>
        <v>0</v>
      </c>
      <c r="BW144" s="357">
        <f t="shared" si="481"/>
        <v>0</v>
      </c>
      <c r="BX144" s="357">
        <f t="shared" ca="1" si="482"/>
        <v>0</v>
      </c>
      <c r="BY144" s="357">
        <f t="shared" ca="1" si="316"/>
        <v>0</v>
      </c>
      <c r="BZ144" s="357"/>
      <c r="CA144" s="357">
        <f t="shared" ca="1" si="518"/>
        <v>0</v>
      </c>
      <c r="CB144" s="357" t="str">
        <f t="shared" ca="1" si="483"/>
        <v/>
      </c>
      <c r="CC144" s="358" t="str">
        <f t="shared" ca="1" si="317"/>
        <v/>
      </c>
      <c r="CD144" s="358" t="str">
        <f t="shared" ca="1" si="318"/>
        <v/>
      </c>
      <c r="CE144" s="357" t="str">
        <f t="shared" ca="1" si="513"/>
        <v>,,,,,,,,,,,,,,,,,,,,,,,,,,,,,,,,,,,,,,,,,,,,,,,,,,,,,,,,,,,,,,,,,,,,,,,,,,,,,,,,,,,,</v>
      </c>
      <c r="CF144" s="154" t="str">
        <f t="shared" si="521"/>
        <v/>
      </c>
      <c r="CG144" s="154">
        <f t="shared" ca="1" si="319"/>
        <v>0</v>
      </c>
      <c r="CH144" s="154"/>
      <c r="CI144" s="154"/>
      <c r="CJ144" s="154"/>
      <c r="CK144" s="154"/>
      <c r="CL144" s="154"/>
      <c r="CM144" s="154"/>
      <c r="CN144" t="s">
        <v>784</v>
      </c>
      <c r="CO144" s="169"/>
      <c r="CP144" s="169"/>
      <c r="CQ144" s="169"/>
      <c r="CR144" s="169"/>
      <c r="CS144" s="169"/>
      <c r="CT144" s="169"/>
      <c r="CU144" s="169"/>
      <c r="CV144" s="164" t="str">
        <f t="shared" ca="1" si="519"/>
        <v/>
      </c>
      <c r="CW144" s="164" t="str">
        <f t="shared" ca="1" si="519"/>
        <v/>
      </c>
      <c r="CX144" s="164" t="str">
        <f t="shared" ca="1" si="519"/>
        <v/>
      </c>
      <c r="CY144" s="164" t="str">
        <f t="shared" ca="1" si="519"/>
        <v/>
      </c>
      <c r="CZ144" s="164" t="str">
        <f t="shared" ca="1" si="519"/>
        <v/>
      </c>
      <c r="DA144" s="164" t="str">
        <f t="shared" ca="1" si="519"/>
        <v/>
      </c>
      <c r="DB144" s="164" t="str">
        <f t="shared" ca="1" si="519"/>
        <v/>
      </c>
      <c r="DC144" s="164" t="str">
        <f t="shared" ca="1" si="519"/>
        <v/>
      </c>
      <c r="DD144" s="164" t="str">
        <f t="shared" ca="1" si="519"/>
        <v/>
      </c>
      <c r="DE144" s="164" t="str">
        <f t="shared" ca="1" si="519"/>
        <v/>
      </c>
      <c r="DF144" s="164" t="str">
        <f t="shared" ca="1" si="520"/>
        <v/>
      </c>
      <c r="DG144" s="164" t="str">
        <f t="shared" ca="1" si="520"/>
        <v/>
      </c>
      <c r="DH144" s="164" t="str">
        <f t="shared" ca="1" si="520"/>
        <v/>
      </c>
      <c r="DI144" s="164" t="str">
        <f t="shared" ca="1" si="520"/>
        <v/>
      </c>
      <c r="DJ144" s="164" t="str">
        <f t="shared" ca="1" si="520"/>
        <v/>
      </c>
      <c r="DK144" s="164" t="str">
        <f t="shared" ca="1" si="520"/>
        <v/>
      </c>
      <c r="DL144" s="164" t="str">
        <f t="shared" ca="1" si="520"/>
        <v/>
      </c>
      <c r="DM144" s="164" t="str">
        <f t="shared" ca="1" si="520"/>
        <v/>
      </c>
      <c r="DN144" s="164" t="str">
        <f t="shared" ca="1" si="520"/>
        <v/>
      </c>
      <c r="DO144" s="164" t="str">
        <f t="shared" ca="1" si="520"/>
        <v/>
      </c>
      <c r="DP144" s="164" t="str">
        <f t="shared" ca="1" si="520"/>
        <v/>
      </c>
      <c r="DQ144" s="164" t="str">
        <f t="shared" ca="1" si="520"/>
        <v/>
      </c>
      <c r="DR144" s="208"/>
      <c r="DS144" s="164" t="str">
        <f t="shared" ca="1" si="484"/>
        <v/>
      </c>
      <c r="DT144" s="164" t="str">
        <f t="shared" ca="1" si="485"/>
        <v/>
      </c>
      <c r="DU144" s="164" t="str">
        <f t="shared" ca="1" si="486"/>
        <v/>
      </c>
      <c r="DV144" s="164" t="str">
        <f t="shared" ca="1" si="487"/>
        <v/>
      </c>
      <c r="DW144" s="164" t="str">
        <f t="shared" ca="1" si="488"/>
        <v/>
      </c>
      <c r="DX144" s="164" t="str">
        <f t="shared" ca="1" si="489"/>
        <v/>
      </c>
      <c r="DY144" s="164" t="str">
        <f t="shared" ca="1" si="490"/>
        <v/>
      </c>
      <c r="DZ144" s="164" t="str">
        <f t="shared" ca="1" si="491"/>
        <v/>
      </c>
      <c r="EA144" s="164" t="str">
        <f t="shared" ca="1" si="492"/>
        <v/>
      </c>
      <c r="EB144" s="164" t="str">
        <f t="shared" ca="1" si="493"/>
        <v/>
      </c>
      <c r="EC144" s="164" t="str">
        <f t="shared" ca="1" si="494"/>
        <v/>
      </c>
      <c r="ED144" s="164" t="str">
        <f t="shared" ca="1" si="495"/>
        <v/>
      </c>
      <c r="EE144" s="164" t="str">
        <f t="shared" ca="1" si="496"/>
        <v/>
      </c>
      <c r="EF144" s="164" t="str">
        <f t="shared" ca="1" si="497"/>
        <v/>
      </c>
      <c r="EG144" s="164" t="str">
        <f t="shared" ca="1" si="498"/>
        <v/>
      </c>
      <c r="EH144" s="164" t="str">
        <f t="shared" ca="1" si="499"/>
        <v/>
      </c>
      <c r="EI144" s="164" t="str">
        <f t="shared" ca="1" si="500"/>
        <v/>
      </c>
      <c r="EJ144" s="164" t="str">
        <f t="shared" ca="1" si="501"/>
        <v/>
      </c>
      <c r="EK144" s="164" t="str">
        <f t="shared" ca="1" si="502"/>
        <v/>
      </c>
      <c r="EL144" s="164" t="str">
        <f t="shared" ca="1" si="503"/>
        <v/>
      </c>
      <c r="EM144" s="164" t="str">
        <f t="shared" ca="1" si="504"/>
        <v/>
      </c>
      <c r="EN144" s="164" t="str">
        <f t="shared" ca="1" si="505"/>
        <v/>
      </c>
      <c r="EO144" s="164" t="str">
        <f t="shared" ca="1" si="506"/>
        <v/>
      </c>
      <c r="EP144" s="164" t="str">
        <f t="shared" ca="1" si="507"/>
        <v/>
      </c>
      <c r="EQ144" s="164" t="str">
        <f t="shared" ca="1" si="508"/>
        <v/>
      </c>
      <c r="ER144" s="164" t="str">
        <f t="shared" ca="1" si="509"/>
        <v/>
      </c>
      <c r="ES144" s="164" t="str">
        <f t="shared" ca="1" si="510"/>
        <v/>
      </c>
    </row>
    <row r="145" spans="1:149" outlineLevel="1" x14ac:dyDescent="0.2">
      <c r="A145" s="89" t="str">
        <f t="shared" ca="1" si="511"/>
        <v/>
      </c>
      <c r="B145" s="317" t="str">
        <f t="shared" ca="1" si="423"/>
        <v/>
      </c>
      <c r="C145" s="609" t="str">
        <f t="shared" ca="1" si="424"/>
        <v/>
      </c>
      <c r="D145" s="1956" t="str">
        <f t="shared" ca="1" si="425"/>
        <v/>
      </c>
      <c r="E145" s="1956"/>
      <c r="F145" s="960"/>
      <c r="G145" s="485" t="str">
        <f t="shared" ca="1" si="426"/>
        <v/>
      </c>
      <c r="H145" s="983"/>
      <c r="I145" s="486"/>
      <c r="J145" s="326"/>
      <c r="K145" s="1886" t="str">
        <f t="shared" ca="1" si="427"/>
        <v/>
      </c>
      <c r="L145" s="1888"/>
      <c r="M145" s="296" t="str">
        <f t="shared" ca="1" si="512"/>
        <v/>
      </c>
      <c r="N145" s="1322"/>
      <c r="O145" s="1319"/>
      <c r="P145" s="957" t="str">
        <f t="shared" ca="1" si="428"/>
        <v/>
      </c>
      <c r="Q145" s="164">
        <f t="shared" si="429"/>
        <v>0</v>
      </c>
      <c r="R145" s="164">
        <f t="shared" ca="1" si="430"/>
        <v>0</v>
      </c>
      <c r="S145" s="164">
        <f t="shared" ca="1" si="431"/>
        <v>0</v>
      </c>
      <c r="T145" s="164">
        <f t="shared" ca="1" si="432"/>
        <v>0</v>
      </c>
      <c r="U145" s="164">
        <f t="shared" ca="1" si="433"/>
        <v>0</v>
      </c>
      <c r="V145" s="164">
        <f t="shared" ca="1" si="434"/>
        <v>0</v>
      </c>
      <c r="W145" s="164">
        <f t="shared" ca="1" si="435"/>
        <v>0</v>
      </c>
      <c r="X145" s="164">
        <f t="shared" ca="1" si="436"/>
        <v>0</v>
      </c>
      <c r="Y145" s="164">
        <f t="shared" ca="1" si="437"/>
        <v>0</v>
      </c>
      <c r="Z145" s="164">
        <f t="shared" ca="1" si="438"/>
        <v>0</v>
      </c>
      <c r="AA145" s="164">
        <f t="shared" ca="1" si="439"/>
        <v>0</v>
      </c>
      <c r="AB145" s="164">
        <f t="shared" ca="1" si="440"/>
        <v>0</v>
      </c>
      <c r="AC145" s="164">
        <f t="shared" ca="1" si="441"/>
        <v>0</v>
      </c>
      <c r="AD145" s="164">
        <f t="shared" ca="1" si="442"/>
        <v>0</v>
      </c>
      <c r="AE145" s="164">
        <f t="shared" ca="1" si="443"/>
        <v>0</v>
      </c>
      <c r="AF145" s="164">
        <f t="shared" ca="1" si="444"/>
        <v>0</v>
      </c>
      <c r="AG145" s="164">
        <f t="shared" ca="1" si="445"/>
        <v>0</v>
      </c>
      <c r="AH145" s="164">
        <f t="shared" ca="1" si="446"/>
        <v>0</v>
      </c>
      <c r="AI145" s="164">
        <f t="shared" ca="1" si="447"/>
        <v>0</v>
      </c>
      <c r="AJ145" s="164">
        <f t="shared" ca="1" si="448"/>
        <v>0</v>
      </c>
      <c r="AK145" s="164">
        <f t="shared" ca="1" si="449"/>
        <v>0</v>
      </c>
      <c r="AL145" s="164">
        <f t="shared" ca="1" si="450"/>
        <v>0</v>
      </c>
      <c r="AM145" s="208"/>
      <c r="AN145" s="164">
        <f t="shared" si="451"/>
        <v>0</v>
      </c>
      <c r="AO145" s="164">
        <f t="shared" ca="1" si="452"/>
        <v>0</v>
      </c>
      <c r="AP145" s="164">
        <f t="shared" ca="1" si="453"/>
        <v>0</v>
      </c>
      <c r="AQ145" s="164">
        <f t="shared" ca="1" si="454"/>
        <v>0</v>
      </c>
      <c r="AR145" s="164">
        <f t="shared" ca="1" si="455"/>
        <v>0</v>
      </c>
      <c r="AS145" s="164">
        <f t="shared" ca="1" si="456"/>
        <v>0</v>
      </c>
      <c r="AT145" s="164">
        <f t="shared" ca="1" si="457"/>
        <v>0</v>
      </c>
      <c r="AU145" s="164">
        <f t="shared" ca="1" si="458"/>
        <v>0</v>
      </c>
      <c r="AV145" s="164">
        <f t="shared" ca="1" si="459"/>
        <v>0</v>
      </c>
      <c r="AW145" s="164">
        <f t="shared" ca="1" si="460"/>
        <v>0</v>
      </c>
      <c r="AX145" s="164">
        <f t="shared" ca="1" si="461"/>
        <v>0</v>
      </c>
      <c r="AY145" s="164">
        <f t="shared" ca="1" si="462"/>
        <v>0</v>
      </c>
      <c r="AZ145" s="164">
        <f t="shared" ca="1" si="463"/>
        <v>0</v>
      </c>
      <c r="BA145" s="164">
        <f t="shared" ca="1" si="464"/>
        <v>0</v>
      </c>
      <c r="BB145" s="164">
        <f t="shared" ca="1" si="465"/>
        <v>0</v>
      </c>
      <c r="BC145" s="164">
        <f t="shared" ca="1" si="466"/>
        <v>0</v>
      </c>
      <c r="BD145" s="164">
        <f t="shared" ca="1" si="467"/>
        <v>0</v>
      </c>
      <c r="BE145" s="164">
        <f t="shared" ca="1" si="468"/>
        <v>0</v>
      </c>
      <c r="BF145" s="164">
        <f t="shared" ca="1" si="469"/>
        <v>0</v>
      </c>
      <c r="BG145" s="164">
        <f t="shared" ca="1" si="470"/>
        <v>0</v>
      </c>
      <c r="BH145" s="164">
        <f t="shared" ca="1" si="471"/>
        <v>0</v>
      </c>
      <c r="BI145" s="164">
        <f t="shared" ca="1" si="472"/>
        <v>0</v>
      </c>
      <c r="BJ145" s="164">
        <f t="shared" ca="1" si="473"/>
        <v>0</v>
      </c>
      <c r="BK145" s="164">
        <f t="shared" ca="1" si="474"/>
        <v>0</v>
      </c>
      <c r="BL145" s="164">
        <f t="shared" ca="1" si="475"/>
        <v>0</v>
      </c>
      <c r="BM145" s="164">
        <f t="shared" ca="1" si="476"/>
        <v>0</v>
      </c>
      <c r="BN145" s="164">
        <f t="shared" ca="1" si="477"/>
        <v>0</v>
      </c>
      <c r="BO145" s="356" t="str">
        <f t="shared" ca="1" si="478"/>
        <v/>
      </c>
      <c r="BP145" s="355" t="str">
        <f t="shared" ca="1" si="380"/>
        <v/>
      </c>
      <c r="BQ145" s="355" t="str">
        <f t="shared" ca="1" si="381"/>
        <v/>
      </c>
      <c r="BR145" s="348">
        <f t="shared" ca="1" si="516"/>
        <v>0</v>
      </c>
      <c r="BS145" s="348">
        <f t="shared" ca="1" si="517"/>
        <v>0</v>
      </c>
      <c r="BT145" s="610">
        <f t="shared" ca="1" si="479"/>
        <v>0</v>
      </c>
      <c r="BU145" s="357">
        <f t="shared" ca="1" si="383"/>
        <v>0</v>
      </c>
      <c r="BV145" s="357">
        <f t="shared" si="480"/>
        <v>0</v>
      </c>
      <c r="BW145" s="357">
        <f t="shared" si="481"/>
        <v>0</v>
      </c>
      <c r="BX145" s="357">
        <f t="shared" ca="1" si="482"/>
        <v>0</v>
      </c>
      <c r="BY145" s="357">
        <f t="shared" ref="BY145:BY175" ca="1" si="522">SUM(
IF(NOT(EXACT($T$3,"")),(LEN($BQ145)-LEN(SUBSTITUTE($BQ145,$T$3,"")))/LEN($T$3),0),
IF(NOT(EXACT($T$4,"")),(LEN($BQ145)-LEN(SUBSTITUTE($BQ145,$T$4,"")))/LEN($T$4),0),
IF(NOT(EXACT($T$5,"")),(LEN($BQ145)-LEN(SUBSTITUTE($BQ145,$T$5,"")))/LEN($T$5),0))</f>
        <v>0</v>
      </c>
      <c r="BZ145" s="357"/>
      <c r="CA145" s="357">
        <f t="shared" ca="1" si="518"/>
        <v>0</v>
      </c>
      <c r="CB145" s="357" t="str">
        <f t="shared" ca="1" si="483"/>
        <v/>
      </c>
      <c r="CC145" s="358" t="str">
        <f t="shared" ref="CC145:CC175" ca="1" si="523">IF(EXACT($BP$2,""),"",IF(NOT(ISERR(FIND($BP$2,$BQ145))),$BP$2,""))</f>
        <v/>
      </c>
      <c r="CD145" s="358" t="str">
        <f t="shared" ref="CD145:CD175" ca="1" si="524">IF(EXACT($BP$3,""),"",IF(NOT(ISERR(FIND($BP$3,$BQ145))),$BP$3,""))</f>
        <v/>
      </c>
      <c r="CE145" s="357" t="str">
        <f t="shared" ca="1" si="513"/>
        <v>,,,,,,,,,,,,,,,,,,,,,,,,,,,,,,,,,,,,,,,,,,,,,,,,,,,,,,,,,,,,,,,,,,,,,,,,,,,,,,,,,,,,,</v>
      </c>
      <c r="CF145" s="154" t="str">
        <f t="shared" si="521"/>
        <v/>
      </c>
      <c r="CG145" s="154">
        <f t="shared" ref="CG145:CG175" ca="1" si="525">IF($BY145&gt;0,0,IF(OR(AND(NOT(EXACT($T$6,"")),EXACT($A145,$T$6)),AND(NOT(EXACT($T$7,"")),EXACT($A145,$T$7)),AND(NOT(EXACT($T$8,"")),EXACT($A145,$T$8))),1,0))</f>
        <v>0</v>
      </c>
      <c r="CH145" s="154"/>
      <c r="CI145" s="154"/>
      <c r="CJ145" s="154"/>
      <c r="CK145" s="154"/>
      <c r="CL145" s="154"/>
      <c r="CM145" s="154"/>
      <c r="CN145" t="s">
        <v>784</v>
      </c>
      <c r="CO145" s="169"/>
      <c r="CP145" s="169"/>
      <c r="CQ145" s="169"/>
      <c r="CR145" s="169"/>
      <c r="CS145" s="169"/>
      <c r="CT145" s="169"/>
      <c r="CU145" s="169"/>
      <c r="CV145" s="164" t="str">
        <f t="shared" ca="1" si="519"/>
        <v/>
      </c>
      <c r="CW145" s="164" t="str">
        <f t="shared" ca="1" si="519"/>
        <v/>
      </c>
      <c r="CX145" s="164" t="str">
        <f t="shared" ca="1" si="519"/>
        <v/>
      </c>
      <c r="CY145" s="164" t="str">
        <f t="shared" ca="1" si="519"/>
        <v/>
      </c>
      <c r="CZ145" s="164" t="str">
        <f t="shared" ca="1" si="519"/>
        <v/>
      </c>
      <c r="DA145" s="164" t="str">
        <f t="shared" ca="1" si="519"/>
        <v/>
      </c>
      <c r="DB145" s="164" t="str">
        <f t="shared" ca="1" si="519"/>
        <v/>
      </c>
      <c r="DC145" s="164" t="str">
        <f t="shared" ca="1" si="519"/>
        <v/>
      </c>
      <c r="DD145" s="164" t="str">
        <f t="shared" ca="1" si="519"/>
        <v/>
      </c>
      <c r="DE145" s="164" t="str">
        <f t="shared" ca="1" si="519"/>
        <v/>
      </c>
      <c r="DF145" s="164" t="str">
        <f t="shared" ca="1" si="520"/>
        <v/>
      </c>
      <c r="DG145" s="164" t="str">
        <f t="shared" ca="1" si="520"/>
        <v/>
      </c>
      <c r="DH145" s="164" t="str">
        <f t="shared" ca="1" si="520"/>
        <v/>
      </c>
      <c r="DI145" s="164" t="str">
        <f t="shared" ca="1" si="520"/>
        <v/>
      </c>
      <c r="DJ145" s="164" t="str">
        <f t="shared" ca="1" si="520"/>
        <v/>
      </c>
      <c r="DK145" s="164" t="str">
        <f t="shared" ca="1" si="520"/>
        <v/>
      </c>
      <c r="DL145" s="164" t="str">
        <f t="shared" ca="1" si="520"/>
        <v/>
      </c>
      <c r="DM145" s="164" t="str">
        <f t="shared" ca="1" si="520"/>
        <v/>
      </c>
      <c r="DN145" s="164" t="str">
        <f t="shared" ca="1" si="520"/>
        <v/>
      </c>
      <c r="DO145" s="164" t="str">
        <f t="shared" ca="1" si="520"/>
        <v/>
      </c>
      <c r="DP145" s="164" t="str">
        <f t="shared" ca="1" si="520"/>
        <v/>
      </c>
      <c r="DQ145" s="164" t="str">
        <f t="shared" ca="1" si="520"/>
        <v/>
      </c>
      <c r="DR145" s="208"/>
      <c r="DS145" s="164" t="str">
        <f t="shared" ca="1" si="484"/>
        <v/>
      </c>
      <c r="DT145" s="164" t="str">
        <f t="shared" ca="1" si="485"/>
        <v/>
      </c>
      <c r="DU145" s="164" t="str">
        <f t="shared" ca="1" si="486"/>
        <v/>
      </c>
      <c r="DV145" s="164" t="str">
        <f t="shared" ca="1" si="487"/>
        <v/>
      </c>
      <c r="DW145" s="164" t="str">
        <f t="shared" ca="1" si="488"/>
        <v/>
      </c>
      <c r="DX145" s="164" t="str">
        <f t="shared" ca="1" si="489"/>
        <v/>
      </c>
      <c r="DY145" s="164" t="str">
        <f t="shared" ca="1" si="490"/>
        <v/>
      </c>
      <c r="DZ145" s="164" t="str">
        <f t="shared" ca="1" si="491"/>
        <v/>
      </c>
      <c r="EA145" s="164" t="str">
        <f t="shared" ca="1" si="492"/>
        <v/>
      </c>
      <c r="EB145" s="164" t="str">
        <f t="shared" ca="1" si="493"/>
        <v/>
      </c>
      <c r="EC145" s="164" t="str">
        <f t="shared" ca="1" si="494"/>
        <v/>
      </c>
      <c r="ED145" s="164" t="str">
        <f t="shared" ca="1" si="495"/>
        <v/>
      </c>
      <c r="EE145" s="164" t="str">
        <f t="shared" ca="1" si="496"/>
        <v/>
      </c>
      <c r="EF145" s="164" t="str">
        <f t="shared" ca="1" si="497"/>
        <v/>
      </c>
      <c r="EG145" s="164" t="str">
        <f t="shared" ca="1" si="498"/>
        <v/>
      </c>
      <c r="EH145" s="164" t="str">
        <f t="shared" ca="1" si="499"/>
        <v/>
      </c>
      <c r="EI145" s="164" t="str">
        <f t="shared" ca="1" si="500"/>
        <v/>
      </c>
      <c r="EJ145" s="164" t="str">
        <f t="shared" ca="1" si="501"/>
        <v/>
      </c>
      <c r="EK145" s="164" t="str">
        <f t="shared" ca="1" si="502"/>
        <v/>
      </c>
      <c r="EL145" s="164" t="str">
        <f t="shared" ca="1" si="503"/>
        <v/>
      </c>
      <c r="EM145" s="164" t="str">
        <f t="shared" ca="1" si="504"/>
        <v/>
      </c>
      <c r="EN145" s="164" t="str">
        <f t="shared" ca="1" si="505"/>
        <v/>
      </c>
      <c r="EO145" s="164" t="str">
        <f t="shared" ca="1" si="506"/>
        <v/>
      </c>
      <c r="EP145" s="164" t="str">
        <f t="shared" ca="1" si="507"/>
        <v/>
      </c>
      <c r="EQ145" s="164" t="str">
        <f t="shared" ca="1" si="508"/>
        <v/>
      </c>
      <c r="ER145" s="164" t="str">
        <f t="shared" ca="1" si="509"/>
        <v/>
      </c>
      <c r="ES145" s="164" t="str">
        <f t="shared" ca="1" si="510"/>
        <v/>
      </c>
    </row>
    <row r="146" spans="1:149" outlineLevel="1" x14ac:dyDescent="0.2">
      <c r="A146" s="89" t="str">
        <f t="shared" ca="1" si="511"/>
        <v/>
      </c>
      <c r="B146" s="317" t="str">
        <f t="shared" ca="1" si="423"/>
        <v/>
      </c>
      <c r="C146" s="609" t="str">
        <f t="shared" ca="1" si="424"/>
        <v/>
      </c>
      <c r="D146" s="1956" t="str">
        <f t="shared" ca="1" si="425"/>
        <v/>
      </c>
      <c r="E146" s="1956"/>
      <c r="F146" s="960"/>
      <c r="G146" s="485" t="str">
        <f t="shared" ca="1" si="426"/>
        <v/>
      </c>
      <c r="H146" s="983"/>
      <c r="I146" s="486"/>
      <c r="J146" s="326"/>
      <c r="K146" s="1886" t="str">
        <f t="shared" ca="1" si="427"/>
        <v/>
      </c>
      <c r="L146" s="1888"/>
      <c r="M146" s="296" t="str">
        <f t="shared" ca="1" si="512"/>
        <v/>
      </c>
      <c r="N146" s="1322"/>
      <c r="O146" s="1319"/>
      <c r="P146" s="957" t="str">
        <f t="shared" ca="1" si="428"/>
        <v/>
      </c>
      <c r="Q146" s="164">
        <f t="shared" si="429"/>
        <v>0</v>
      </c>
      <c r="R146" s="164">
        <f t="shared" ca="1" si="430"/>
        <v>0</v>
      </c>
      <c r="S146" s="164">
        <f t="shared" ca="1" si="431"/>
        <v>0</v>
      </c>
      <c r="T146" s="164">
        <f t="shared" ca="1" si="432"/>
        <v>0</v>
      </c>
      <c r="U146" s="164">
        <f t="shared" ca="1" si="433"/>
        <v>0</v>
      </c>
      <c r="V146" s="164">
        <f t="shared" ca="1" si="434"/>
        <v>0</v>
      </c>
      <c r="W146" s="164">
        <f t="shared" ca="1" si="435"/>
        <v>0</v>
      </c>
      <c r="X146" s="164">
        <f t="shared" ca="1" si="436"/>
        <v>0</v>
      </c>
      <c r="Y146" s="164">
        <f t="shared" ca="1" si="437"/>
        <v>0</v>
      </c>
      <c r="Z146" s="164">
        <f t="shared" ca="1" si="438"/>
        <v>0</v>
      </c>
      <c r="AA146" s="164">
        <f t="shared" ca="1" si="439"/>
        <v>0</v>
      </c>
      <c r="AB146" s="164">
        <f t="shared" ca="1" si="440"/>
        <v>0</v>
      </c>
      <c r="AC146" s="164">
        <f t="shared" ca="1" si="441"/>
        <v>0</v>
      </c>
      <c r="AD146" s="164">
        <f t="shared" ca="1" si="442"/>
        <v>0</v>
      </c>
      <c r="AE146" s="164">
        <f t="shared" ca="1" si="443"/>
        <v>0</v>
      </c>
      <c r="AF146" s="164">
        <f t="shared" ca="1" si="444"/>
        <v>0</v>
      </c>
      <c r="AG146" s="164">
        <f t="shared" ca="1" si="445"/>
        <v>0</v>
      </c>
      <c r="AH146" s="164">
        <f t="shared" ca="1" si="446"/>
        <v>0</v>
      </c>
      <c r="AI146" s="164">
        <f t="shared" ca="1" si="447"/>
        <v>0</v>
      </c>
      <c r="AJ146" s="164">
        <f t="shared" ca="1" si="448"/>
        <v>0</v>
      </c>
      <c r="AK146" s="164">
        <f t="shared" ca="1" si="449"/>
        <v>0</v>
      </c>
      <c r="AL146" s="164">
        <f t="shared" ca="1" si="450"/>
        <v>0</v>
      </c>
      <c r="AM146" s="208"/>
      <c r="AN146" s="164">
        <f t="shared" si="451"/>
        <v>0</v>
      </c>
      <c r="AO146" s="164">
        <f t="shared" ca="1" si="452"/>
        <v>0</v>
      </c>
      <c r="AP146" s="164">
        <f t="shared" ca="1" si="453"/>
        <v>0</v>
      </c>
      <c r="AQ146" s="164">
        <f t="shared" ca="1" si="454"/>
        <v>0</v>
      </c>
      <c r="AR146" s="164">
        <f t="shared" ca="1" si="455"/>
        <v>0</v>
      </c>
      <c r="AS146" s="164">
        <f t="shared" ca="1" si="456"/>
        <v>0</v>
      </c>
      <c r="AT146" s="164">
        <f t="shared" ca="1" si="457"/>
        <v>0</v>
      </c>
      <c r="AU146" s="164">
        <f t="shared" ca="1" si="458"/>
        <v>0</v>
      </c>
      <c r="AV146" s="164">
        <f t="shared" ca="1" si="459"/>
        <v>0</v>
      </c>
      <c r="AW146" s="164">
        <f t="shared" ca="1" si="460"/>
        <v>0</v>
      </c>
      <c r="AX146" s="164">
        <f t="shared" ca="1" si="461"/>
        <v>0</v>
      </c>
      <c r="AY146" s="164">
        <f t="shared" ca="1" si="462"/>
        <v>0</v>
      </c>
      <c r="AZ146" s="164">
        <f t="shared" ca="1" si="463"/>
        <v>0</v>
      </c>
      <c r="BA146" s="164">
        <f t="shared" ca="1" si="464"/>
        <v>0</v>
      </c>
      <c r="BB146" s="164">
        <f t="shared" ca="1" si="465"/>
        <v>0</v>
      </c>
      <c r="BC146" s="164">
        <f t="shared" ca="1" si="466"/>
        <v>0</v>
      </c>
      <c r="BD146" s="164">
        <f t="shared" ca="1" si="467"/>
        <v>0</v>
      </c>
      <c r="BE146" s="164">
        <f t="shared" ca="1" si="468"/>
        <v>0</v>
      </c>
      <c r="BF146" s="164">
        <f t="shared" ca="1" si="469"/>
        <v>0</v>
      </c>
      <c r="BG146" s="164">
        <f t="shared" ca="1" si="470"/>
        <v>0</v>
      </c>
      <c r="BH146" s="164">
        <f t="shared" ca="1" si="471"/>
        <v>0</v>
      </c>
      <c r="BI146" s="164">
        <f t="shared" ca="1" si="472"/>
        <v>0</v>
      </c>
      <c r="BJ146" s="164">
        <f t="shared" ca="1" si="473"/>
        <v>0</v>
      </c>
      <c r="BK146" s="164">
        <f t="shared" ca="1" si="474"/>
        <v>0</v>
      </c>
      <c r="BL146" s="164">
        <f t="shared" ca="1" si="475"/>
        <v>0</v>
      </c>
      <c r="BM146" s="164">
        <f t="shared" ca="1" si="476"/>
        <v>0</v>
      </c>
      <c r="BN146" s="164">
        <f t="shared" ca="1" si="477"/>
        <v>0</v>
      </c>
      <c r="BO146" s="356" t="str">
        <f t="shared" ca="1" si="478"/>
        <v/>
      </c>
      <c r="BP146" s="355" t="str">
        <f t="shared" ca="1" si="380"/>
        <v/>
      </c>
      <c r="BQ146" s="355" t="str">
        <f t="shared" ca="1" si="381"/>
        <v/>
      </c>
      <c r="BR146" s="348">
        <f t="shared" ca="1" si="516"/>
        <v>0</v>
      </c>
      <c r="BS146" s="348">
        <f t="shared" ca="1" si="517"/>
        <v>0</v>
      </c>
      <c r="BT146" s="610">
        <f t="shared" ca="1" si="479"/>
        <v>0</v>
      </c>
      <c r="BU146" s="357">
        <f t="shared" ca="1" si="383"/>
        <v>0</v>
      </c>
      <c r="BV146" s="357">
        <f t="shared" si="480"/>
        <v>0</v>
      </c>
      <c r="BW146" s="357">
        <f t="shared" si="481"/>
        <v>0</v>
      </c>
      <c r="BX146" s="357">
        <f t="shared" ca="1" si="482"/>
        <v>0</v>
      </c>
      <c r="BY146" s="357">
        <f t="shared" ca="1" si="522"/>
        <v>0</v>
      </c>
      <c r="BZ146" s="357"/>
      <c r="CA146" s="357">
        <f t="shared" ca="1" si="518"/>
        <v>0</v>
      </c>
      <c r="CB146" s="357" t="str">
        <f t="shared" ca="1" si="483"/>
        <v/>
      </c>
      <c r="CC146" s="358" t="str">
        <f t="shared" ca="1" si="523"/>
        <v/>
      </c>
      <c r="CD146" s="358" t="str">
        <f t="shared" ca="1" si="524"/>
        <v/>
      </c>
      <c r="CE146" s="357" t="str">
        <f t="shared" ca="1" si="513"/>
        <v>,,,,,,,,,,,,,,,,,,,,,,,,,,,,,,,,,,,,,,,,,,,,,,,,,,,,,,,,,,,,,,,,,,,,,,,,,,,,,,,,,,,,,,</v>
      </c>
      <c r="CF146" s="154" t="str">
        <f t="shared" si="521"/>
        <v/>
      </c>
      <c r="CG146" s="154">
        <f t="shared" ca="1" si="525"/>
        <v>0</v>
      </c>
      <c r="CH146" s="154"/>
      <c r="CI146" s="154"/>
      <c r="CJ146" s="154"/>
      <c r="CK146" s="154"/>
      <c r="CL146" s="154"/>
      <c r="CM146" s="154"/>
      <c r="CN146" t="s">
        <v>784</v>
      </c>
      <c r="CO146" s="169"/>
      <c r="CP146" s="169"/>
      <c r="CQ146" s="169"/>
      <c r="CR146" s="169"/>
      <c r="CS146" s="169"/>
      <c r="CT146" s="169"/>
      <c r="CU146" s="169"/>
      <c r="CV146" s="164" t="str">
        <f t="shared" ca="1" si="519"/>
        <v/>
      </c>
      <c r="CW146" s="164" t="str">
        <f t="shared" ca="1" si="519"/>
        <v/>
      </c>
      <c r="CX146" s="164" t="str">
        <f t="shared" ca="1" si="519"/>
        <v/>
      </c>
      <c r="CY146" s="164" t="str">
        <f t="shared" ca="1" si="519"/>
        <v/>
      </c>
      <c r="CZ146" s="164" t="str">
        <f t="shared" ca="1" si="519"/>
        <v/>
      </c>
      <c r="DA146" s="164" t="str">
        <f t="shared" ca="1" si="519"/>
        <v/>
      </c>
      <c r="DB146" s="164" t="str">
        <f t="shared" ca="1" si="519"/>
        <v/>
      </c>
      <c r="DC146" s="164" t="str">
        <f t="shared" ca="1" si="519"/>
        <v/>
      </c>
      <c r="DD146" s="164" t="str">
        <f t="shared" ca="1" si="519"/>
        <v/>
      </c>
      <c r="DE146" s="164" t="str">
        <f t="shared" ca="1" si="519"/>
        <v/>
      </c>
      <c r="DF146" s="164" t="str">
        <f t="shared" ca="1" si="520"/>
        <v/>
      </c>
      <c r="DG146" s="164" t="str">
        <f t="shared" ca="1" si="520"/>
        <v/>
      </c>
      <c r="DH146" s="164" t="str">
        <f t="shared" ca="1" si="520"/>
        <v/>
      </c>
      <c r="DI146" s="164" t="str">
        <f t="shared" ca="1" si="520"/>
        <v/>
      </c>
      <c r="DJ146" s="164" t="str">
        <f t="shared" ca="1" si="520"/>
        <v/>
      </c>
      <c r="DK146" s="164" t="str">
        <f t="shared" ca="1" si="520"/>
        <v/>
      </c>
      <c r="DL146" s="164" t="str">
        <f t="shared" ca="1" si="520"/>
        <v/>
      </c>
      <c r="DM146" s="164" t="str">
        <f t="shared" ca="1" si="520"/>
        <v/>
      </c>
      <c r="DN146" s="164" t="str">
        <f t="shared" ca="1" si="520"/>
        <v/>
      </c>
      <c r="DO146" s="164" t="str">
        <f t="shared" ca="1" si="520"/>
        <v/>
      </c>
      <c r="DP146" s="164" t="str">
        <f t="shared" ca="1" si="520"/>
        <v/>
      </c>
      <c r="DQ146" s="164" t="str">
        <f t="shared" ca="1" si="520"/>
        <v/>
      </c>
      <c r="DR146" s="208"/>
      <c r="DS146" s="164" t="str">
        <f t="shared" ca="1" si="484"/>
        <v/>
      </c>
      <c r="DT146" s="164" t="str">
        <f t="shared" ca="1" si="485"/>
        <v/>
      </c>
      <c r="DU146" s="164" t="str">
        <f t="shared" ca="1" si="486"/>
        <v/>
      </c>
      <c r="DV146" s="164" t="str">
        <f t="shared" ca="1" si="487"/>
        <v/>
      </c>
      <c r="DW146" s="164" t="str">
        <f t="shared" ca="1" si="488"/>
        <v/>
      </c>
      <c r="DX146" s="164" t="str">
        <f t="shared" ca="1" si="489"/>
        <v/>
      </c>
      <c r="DY146" s="164" t="str">
        <f t="shared" ca="1" si="490"/>
        <v/>
      </c>
      <c r="DZ146" s="164" t="str">
        <f t="shared" ca="1" si="491"/>
        <v/>
      </c>
      <c r="EA146" s="164" t="str">
        <f t="shared" ca="1" si="492"/>
        <v/>
      </c>
      <c r="EB146" s="164" t="str">
        <f t="shared" ca="1" si="493"/>
        <v/>
      </c>
      <c r="EC146" s="164" t="str">
        <f t="shared" ca="1" si="494"/>
        <v/>
      </c>
      <c r="ED146" s="164" t="str">
        <f t="shared" ca="1" si="495"/>
        <v/>
      </c>
      <c r="EE146" s="164" t="str">
        <f t="shared" ca="1" si="496"/>
        <v/>
      </c>
      <c r="EF146" s="164" t="str">
        <f t="shared" ca="1" si="497"/>
        <v/>
      </c>
      <c r="EG146" s="164" t="str">
        <f t="shared" ca="1" si="498"/>
        <v/>
      </c>
      <c r="EH146" s="164" t="str">
        <f t="shared" ca="1" si="499"/>
        <v/>
      </c>
      <c r="EI146" s="164" t="str">
        <f t="shared" ca="1" si="500"/>
        <v/>
      </c>
      <c r="EJ146" s="164" t="str">
        <f t="shared" ca="1" si="501"/>
        <v/>
      </c>
      <c r="EK146" s="164" t="str">
        <f t="shared" ca="1" si="502"/>
        <v/>
      </c>
      <c r="EL146" s="164" t="str">
        <f t="shared" ca="1" si="503"/>
        <v/>
      </c>
      <c r="EM146" s="164" t="str">
        <f t="shared" ca="1" si="504"/>
        <v/>
      </c>
      <c r="EN146" s="164" t="str">
        <f t="shared" ca="1" si="505"/>
        <v/>
      </c>
      <c r="EO146" s="164" t="str">
        <f t="shared" ca="1" si="506"/>
        <v/>
      </c>
      <c r="EP146" s="164" t="str">
        <f t="shared" ca="1" si="507"/>
        <v/>
      </c>
      <c r="EQ146" s="164" t="str">
        <f t="shared" ca="1" si="508"/>
        <v/>
      </c>
      <c r="ER146" s="164" t="str">
        <f t="shared" ca="1" si="509"/>
        <v/>
      </c>
      <c r="ES146" s="164" t="str">
        <f t="shared" ca="1" si="510"/>
        <v/>
      </c>
    </row>
    <row r="147" spans="1:149" outlineLevel="1" x14ac:dyDescent="0.2">
      <c r="A147" s="89" t="str">
        <f t="shared" ca="1" si="511"/>
        <v/>
      </c>
      <c r="B147" s="317" t="str">
        <f t="shared" ca="1" si="423"/>
        <v/>
      </c>
      <c r="C147" s="609" t="str">
        <f t="shared" ca="1" si="424"/>
        <v/>
      </c>
      <c r="D147" s="1956" t="str">
        <f t="shared" ca="1" si="425"/>
        <v/>
      </c>
      <c r="E147" s="1956"/>
      <c r="F147" s="960"/>
      <c r="G147" s="485" t="str">
        <f t="shared" ca="1" si="426"/>
        <v/>
      </c>
      <c r="H147" s="983"/>
      <c r="I147" s="486"/>
      <c r="J147" s="326"/>
      <c r="K147" s="1886" t="str">
        <f t="shared" ca="1" si="427"/>
        <v/>
      </c>
      <c r="L147" s="1888"/>
      <c r="M147" s="296" t="str">
        <f t="shared" ca="1" si="512"/>
        <v/>
      </c>
      <c r="N147" s="1322"/>
      <c r="O147" s="1319"/>
      <c r="P147" s="957" t="str">
        <f t="shared" ca="1" si="428"/>
        <v/>
      </c>
      <c r="Q147" s="164">
        <f t="shared" si="429"/>
        <v>0</v>
      </c>
      <c r="R147" s="164">
        <f t="shared" ca="1" si="430"/>
        <v>0</v>
      </c>
      <c r="S147" s="164">
        <f t="shared" ca="1" si="431"/>
        <v>0</v>
      </c>
      <c r="T147" s="164">
        <f t="shared" ca="1" si="432"/>
        <v>0</v>
      </c>
      <c r="U147" s="164">
        <f t="shared" ca="1" si="433"/>
        <v>0</v>
      </c>
      <c r="V147" s="164">
        <f t="shared" ca="1" si="434"/>
        <v>0</v>
      </c>
      <c r="W147" s="164">
        <f t="shared" ca="1" si="435"/>
        <v>0</v>
      </c>
      <c r="X147" s="164">
        <f t="shared" ca="1" si="436"/>
        <v>0</v>
      </c>
      <c r="Y147" s="164">
        <f t="shared" ca="1" si="437"/>
        <v>0</v>
      </c>
      <c r="Z147" s="164">
        <f t="shared" ca="1" si="438"/>
        <v>0</v>
      </c>
      <c r="AA147" s="164">
        <f t="shared" ca="1" si="439"/>
        <v>0</v>
      </c>
      <c r="AB147" s="164">
        <f t="shared" ca="1" si="440"/>
        <v>0</v>
      </c>
      <c r="AC147" s="164">
        <f t="shared" ca="1" si="441"/>
        <v>0</v>
      </c>
      <c r="AD147" s="164">
        <f t="shared" ca="1" si="442"/>
        <v>0</v>
      </c>
      <c r="AE147" s="164">
        <f t="shared" ca="1" si="443"/>
        <v>0</v>
      </c>
      <c r="AF147" s="164">
        <f t="shared" ca="1" si="444"/>
        <v>0</v>
      </c>
      <c r="AG147" s="164">
        <f t="shared" ca="1" si="445"/>
        <v>0</v>
      </c>
      <c r="AH147" s="164">
        <f t="shared" ca="1" si="446"/>
        <v>0</v>
      </c>
      <c r="AI147" s="164">
        <f t="shared" ca="1" si="447"/>
        <v>0</v>
      </c>
      <c r="AJ147" s="164">
        <f t="shared" ca="1" si="448"/>
        <v>0</v>
      </c>
      <c r="AK147" s="164">
        <f t="shared" ca="1" si="449"/>
        <v>0</v>
      </c>
      <c r="AL147" s="164">
        <f t="shared" ca="1" si="450"/>
        <v>0</v>
      </c>
      <c r="AM147" s="208"/>
      <c r="AN147" s="164">
        <f t="shared" si="451"/>
        <v>0</v>
      </c>
      <c r="AO147" s="164">
        <f t="shared" ca="1" si="452"/>
        <v>0</v>
      </c>
      <c r="AP147" s="164">
        <f t="shared" ca="1" si="453"/>
        <v>0</v>
      </c>
      <c r="AQ147" s="164">
        <f t="shared" ca="1" si="454"/>
        <v>0</v>
      </c>
      <c r="AR147" s="164">
        <f t="shared" ca="1" si="455"/>
        <v>0</v>
      </c>
      <c r="AS147" s="164">
        <f t="shared" ca="1" si="456"/>
        <v>0</v>
      </c>
      <c r="AT147" s="164">
        <f t="shared" ca="1" si="457"/>
        <v>0</v>
      </c>
      <c r="AU147" s="164">
        <f t="shared" ca="1" si="458"/>
        <v>0</v>
      </c>
      <c r="AV147" s="164">
        <f t="shared" ca="1" si="459"/>
        <v>0</v>
      </c>
      <c r="AW147" s="164">
        <f t="shared" ca="1" si="460"/>
        <v>0</v>
      </c>
      <c r="AX147" s="164">
        <f t="shared" ca="1" si="461"/>
        <v>0</v>
      </c>
      <c r="AY147" s="164">
        <f t="shared" ca="1" si="462"/>
        <v>0</v>
      </c>
      <c r="AZ147" s="164">
        <f t="shared" ca="1" si="463"/>
        <v>0</v>
      </c>
      <c r="BA147" s="164">
        <f t="shared" ca="1" si="464"/>
        <v>0</v>
      </c>
      <c r="BB147" s="164">
        <f t="shared" ca="1" si="465"/>
        <v>0</v>
      </c>
      <c r="BC147" s="164">
        <f t="shared" ca="1" si="466"/>
        <v>0</v>
      </c>
      <c r="BD147" s="164">
        <f t="shared" ca="1" si="467"/>
        <v>0</v>
      </c>
      <c r="BE147" s="164">
        <f t="shared" ca="1" si="468"/>
        <v>0</v>
      </c>
      <c r="BF147" s="164">
        <f t="shared" ca="1" si="469"/>
        <v>0</v>
      </c>
      <c r="BG147" s="164">
        <f t="shared" ca="1" si="470"/>
        <v>0</v>
      </c>
      <c r="BH147" s="164">
        <f t="shared" ca="1" si="471"/>
        <v>0</v>
      </c>
      <c r="BI147" s="164">
        <f t="shared" ca="1" si="472"/>
        <v>0</v>
      </c>
      <c r="BJ147" s="164">
        <f t="shared" ca="1" si="473"/>
        <v>0</v>
      </c>
      <c r="BK147" s="164">
        <f t="shared" ca="1" si="474"/>
        <v>0</v>
      </c>
      <c r="BL147" s="164">
        <f t="shared" ca="1" si="475"/>
        <v>0</v>
      </c>
      <c r="BM147" s="164">
        <f t="shared" ca="1" si="476"/>
        <v>0</v>
      </c>
      <c r="BN147" s="164">
        <f t="shared" ca="1" si="477"/>
        <v>0</v>
      </c>
      <c r="BO147" s="356" t="str">
        <f t="shared" ca="1" si="478"/>
        <v/>
      </c>
      <c r="BP147" s="355" t="str">
        <f t="shared" ca="1" si="380"/>
        <v/>
      </c>
      <c r="BQ147" s="355" t="str">
        <f t="shared" ca="1" si="381"/>
        <v/>
      </c>
      <c r="BR147" s="348">
        <f t="shared" ca="1" si="516"/>
        <v>0</v>
      </c>
      <c r="BS147" s="348">
        <f t="shared" ca="1" si="517"/>
        <v>0</v>
      </c>
      <c r="BT147" s="610">
        <f t="shared" ca="1" si="479"/>
        <v>0</v>
      </c>
      <c r="BU147" s="357">
        <f t="shared" ca="1" si="383"/>
        <v>0</v>
      </c>
      <c r="BV147" s="357">
        <f t="shared" si="480"/>
        <v>0</v>
      </c>
      <c r="BW147" s="357">
        <f t="shared" si="481"/>
        <v>0</v>
      </c>
      <c r="BX147" s="357">
        <f t="shared" ca="1" si="482"/>
        <v>0</v>
      </c>
      <c r="BY147" s="357">
        <f t="shared" ca="1" si="522"/>
        <v>0</v>
      </c>
      <c r="BZ147" s="357"/>
      <c r="CA147" s="357">
        <f t="shared" ca="1" si="518"/>
        <v>0</v>
      </c>
      <c r="CB147" s="357" t="str">
        <f t="shared" ca="1" si="483"/>
        <v/>
      </c>
      <c r="CC147" s="358" t="str">
        <f t="shared" ca="1" si="523"/>
        <v/>
      </c>
      <c r="CD147" s="358" t="str">
        <f t="shared" ca="1" si="524"/>
        <v/>
      </c>
      <c r="CE147" s="357" t="str">
        <f t="shared" ca="1" si="513"/>
        <v>,,,,,,,,,,,,,,,,,,,,,,,,,,,,,,,,,,,,,,,,,,,,,,,,,,,,,,,,,,,,,,,,,,,,,,,,,,,,,,,,,,,,,,,</v>
      </c>
      <c r="CF147" s="154" t="str">
        <f t="shared" si="521"/>
        <v/>
      </c>
      <c r="CG147" s="154">
        <f t="shared" ca="1" si="525"/>
        <v>0</v>
      </c>
      <c r="CH147" s="154"/>
      <c r="CI147" s="154"/>
      <c r="CJ147" s="154"/>
      <c r="CK147" s="154"/>
      <c r="CL147" s="154"/>
      <c r="CM147" s="154"/>
      <c r="CN147" t="s">
        <v>784</v>
      </c>
      <c r="CO147" s="169"/>
      <c r="CP147" s="169"/>
      <c r="CQ147" s="169"/>
      <c r="CR147" s="169"/>
      <c r="CS147" s="169"/>
      <c r="CT147" s="169"/>
      <c r="CU147" s="169"/>
      <c r="CV147" s="164" t="str">
        <f t="shared" ca="1" si="519"/>
        <v/>
      </c>
      <c r="CW147" s="164" t="str">
        <f t="shared" ca="1" si="519"/>
        <v/>
      </c>
      <c r="CX147" s="164" t="str">
        <f t="shared" ca="1" si="519"/>
        <v/>
      </c>
      <c r="CY147" s="164" t="str">
        <f t="shared" ca="1" si="519"/>
        <v/>
      </c>
      <c r="CZ147" s="164" t="str">
        <f t="shared" ca="1" si="519"/>
        <v/>
      </c>
      <c r="DA147" s="164" t="str">
        <f t="shared" ca="1" si="519"/>
        <v/>
      </c>
      <c r="DB147" s="164" t="str">
        <f t="shared" ca="1" si="519"/>
        <v/>
      </c>
      <c r="DC147" s="164" t="str">
        <f t="shared" ca="1" si="519"/>
        <v/>
      </c>
      <c r="DD147" s="164" t="str">
        <f t="shared" ca="1" si="519"/>
        <v/>
      </c>
      <c r="DE147" s="164" t="str">
        <f t="shared" ca="1" si="519"/>
        <v/>
      </c>
      <c r="DF147" s="164" t="str">
        <f t="shared" ca="1" si="520"/>
        <v/>
      </c>
      <c r="DG147" s="164" t="str">
        <f t="shared" ca="1" si="520"/>
        <v/>
      </c>
      <c r="DH147" s="164" t="str">
        <f t="shared" ca="1" si="520"/>
        <v/>
      </c>
      <c r="DI147" s="164" t="str">
        <f t="shared" ca="1" si="520"/>
        <v/>
      </c>
      <c r="DJ147" s="164" t="str">
        <f t="shared" ca="1" si="520"/>
        <v/>
      </c>
      <c r="DK147" s="164" t="str">
        <f t="shared" ca="1" si="520"/>
        <v/>
      </c>
      <c r="DL147" s="164" t="str">
        <f t="shared" ca="1" si="520"/>
        <v/>
      </c>
      <c r="DM147" s="164" t="str">
        <f t="shared" ca="1" si="520"/>
        <v/>
      </c>
      <c r="DN147" s="164" t="str">
        <f t="shared" ca="1" si="520"/>
        <v/>
      </c>
      <c r="DO147" s="164" t="str">
        <f t="shared" ca="1" si="520"/>
        <v/>
      </c>
      <c r="DP147" s="164" t="str">
        <f t="shared" ca="1" si="520"/>
        <v/>
      </c>
      <c r="DQ147" s="164" t="str">
        <f t="shared" ca="1" si="520"/>
        <v/>
      </c>
      <c r="DR147" s="208"/>
      <c r="DS147" s="164" t="str">
        <f t="shared" ca="1" si="484"/>
        <v/>
      </c>
      <c r="DT147" s="164" t="str">
        <f t="shared" ca="1" si="485"/>
        <v/>
      </c>
      <c r="DU147" s="164" t="str">
        <f t="shared" ca="1" si="486"/>
        <v/>
      </c>
      <c r="DV147" s="164" t="str">
        <f t="shared" ca="1" si="487"/>
        <v/>
      </c>
      <c r="DW147" s="164" t="str">
        <f t="shared" ca="1" si="488"/>
        <v/>
      </c>
      <c r="DX147" s="164" t="str">
        <f t="shared" ca="1" si="489"/>
        <v/>
      </c>
      <c r="DY147" s="164" t="str">
        <f t="shared" ca="1" si="490"/>
        <v/>
      </c>
      <c r="DZ147" s="164" t="str">
        <f t="shared" ca="1" si="491"/>
        <v/>
      </c>
      <c r="EA147" s="164" t="str">
        <f t="shared" ca="1" si="492"/>
        <v/>
      </c>
      <c r="EB147" s="164" t="str">
        <f t="shared" ca="1" si="493"/>
        <v/>
      </c>
      <c r="EC147" s="164" t="str">
        <f t="shared" ca="1" si="494"/>
        <v/>
      </c>
      <c r="ED147" s="164" t="str">
        <f t="shared" ca="1" si="495"/>
        <v/>
      </c>
      <c r="EE147" s="164" t="str">
        <f t="shared" ca="1" si="496"/>
        <v/>
      </c>
      <c r="EF147" s="164" t="str">
        <f t="shared" ca="1" si="497"/>
        <v/>
      </c>
      <c r="EG147" s="164" t="str">
        <f t="shared" ca="1" si="498"/>
        <v/>
      </c>
      <c r="EH147" s="164" t="str">
        <f t="shared" ca="1" si="499"/>
        <v/>
      </c>
      <c r="EI147" s="164" t="str">
        <f t="shared" ca="1" si="500"/>
        <v/>
      </c>
      <c r="EJ147" s="164" t="str">
        <f t="shared" ca="1" si="501"/>
        <v/>
      </c>
      <c r="EK147" s="164" t="str">
        <f t="shared" ca="1" si="502"/>
        <v/>
      </c>
      <c r="EL147" s="164" t="str">
        <f t="shared" ca="1" si="503"/>
        <v/>
      </c>
      <c r="EM147" s="164" t="str">
        <f t="shared" ca="1" si="504"/>
        <v/>
      </c>
      <c r="EN147" s="164" t="str">
        <f t="shared" ca="1" si="505"/>
        <v/>
      </c>
      <c r="EO147" s="164" t="str">
        <f t="shared" ca="1" si="506"/>
        <v/>
      </c>
      <c r="EP147" s="164" t="str">
        <f t="shared" ca="1" si="507"/>
        <v/>
      </c>
      <c r="EQ147" s="164" t="str">
        <f t="shared" ca="1" si="508"/>
        <v/>
      </c>
      <c r="ER147" s="164" t="str">
        <f t="shared" ca="1" si="509"/>
        <v/>
      </c>
      <c r="ES147" s="164" t="str">
        <f t="shared" ca="1" si="510"/>
        <v/>
      </c>
    </row>
    <row r="148" spans="1:149" outlineLevel="1" x14ac:dyDescent="0.2">
      <c r="A148" s="89" t="str">
        <f t="shared" ca="1" si="511"/>
        <v/>
      </c>
      <c r="B148" s="317" t="str">
        <f t="shared" ca="1" si="423"/>
        <v/>
      </c>
      <c r="C148" s="609" t="str">
        <f t="shared" ca="1" si="424"/>
        <v/>
      </c>
      <c r="D148" s="1956" t="str">
        <f t="shared" ca="1" si="425"/>
        <v/>
      </c>
      <c r="E148" s="1956"/>
      <c r="F148" s="960"/>
      <c r="G148" s="485" t="str">
        <f t="shared" ca="1" si="426"/>
        <v/>
      </c>
      <c r="H148" s="983"/>
      <c r="I148" s="486"/>
      <c r="J148" s="326"/>
      <c r="K148" s="1886" t="str">
        <f t="shared" ca="1" si="427"/>
        <v/>
      </c>
      <c r="L148" s="1888"/>
      <c r="M148" s="296" t="str">
        <f t="shared" ca="1" si="512"/>
        <v/>
      </c>
      <c r="N148" s="1322"/>
      <c r="O148" s="1319"/>
      <c r="P148" s="957" t="str">
        <f t="shared" ca="1" si="428"/>
        <v/>
      </c>
      <c r="Q148" s="164">
        <f t="shared" si="429"/>
        <v>0</v>
      </c>
      <c r="R148" s="164">
        <f t="shared" ca="1" si="430"/>
        <v>0</v>
      </c>
      <c r="S148" s="164">
        <f t="shared" ca="1" si="431"/>
        <v>0</v>
      </c>
      <c r="T148" s="164">
        <f t="shared" ca="1" si="432"/>
        <v>0</v>
      </c>
      <c r="U148" s="164">
        <f t="shared" ca="1" si="433"/>
        <v>0</v>
      </c>
      <c r="V148" s="164">
        <f t="shared" ca="1" si="434"/>
        <v>0</v>
      </c>
      <c r="W148" s="164">
        <f t="shared" ca="1" si="435"/>
        <v>0</v>
      </c>
      <c r="X148" s="164">
        <f t="shared" ca="1" si="436"/>
        <v>0</v>
      </c>
      <c r="Y148" s="164">
        <f t="shared" ca="1" si="437"/>
        <v>0</v>
      </c>
      <c r="Z148" s="164">
        <f t="shared" ca="1" si="438"/>
        <v>0</v>
      </c>
      <c r="AA148" s="164">
        <f t="shared" ca="1" si="439"/>
        <v>0</v>
      </c>
      <c r="AB148" s="164">
        <f t="shared" ca="1" si="440"/>
        <v>0</v>
      </c>
      <c r="AC148" s="164">
        <f t="shared" ca="1" si="441"/>
        <v>0</v>
      </c>
      <c r="AD148" s="164">
        <f t="shared" ca="1" si="442"/>
        <v>0</v>
      </c>
      <c r="AE148" s="164">
        <f t="shared" ca="1" si="443"/>
        <v>0</v>
      </c>
      <c r="AF148" s="164">
        <f t="shared" ca="1" si="444"/>
        <v>0</v>
      </c>
      <c r="AG148" s="164">
        <f t="shared" ca="1" si="445"/>
        <v>0</v>
      </c>
      <c r="AH148" s="164">
        <f t="shared" ca="1" si="446"/>
        <v>0</v>
      </c>
      <c r="AI148" s="164">
        <f t="shared" ca="1" si="447"/>
        <v>0</v>
      </c>
      <c r="AJ148" s="164">
        <f t="shared" ca="1" si="448"/>
        <v>0</v>
      </c>
      <c r="AK148" s="164">
        <f t="shared" ca="1" si="449"/>
        <v>0</v>
      </c>
      <c r="AL148" s="164">
        <f t="shared" ca="1" si="450"/>
        <v>0</v>
      </c>
      <c r="AM148" s="208"/>
      <c r="AN148" s="164">
        <f t="shared" si="451"/>
        <v>0</v>
      </c>
      <c r="AO148" s="164">
        <f t="shared" ca="1" si="452"/>
        <v>0</v>
      </c>
      <c r="AP148" s="164">
        <f t="shared" ca="1" si="453"/>
        <v>0</v>
      </c>
      <c r="AQ148" s="164">
        <f t="shared" ca="1" si="454"/>
        <v>0</v>
      </c>
      <c r="AR148" s="164">
        <f t="shared" ca="1" si="455"/>
        <v>0</v>
      </c>
      <c r="AS148" s="164">
        <f t="shared" ca="1" si="456"/>
        <v>0</v>
      </c>
      <c r="AT148" s="164">
        <f t="shared" ca="1" si="457"/>
        <v>0</v>
      </c>
      <c r="AU148" s="164">
        <f t="shared" ca="1" si="458"/>
        <v>0</v>
      </c>
      <c r="AV148" s="164">
        <f t="shared" ca="1" si="459"/>
        <v>0</v>
      </c>
      <c r="AW148" s="164">
        <f t="shared" ca="1" si="460"/>
        <v>0</v>
      </c>
      <c r="AX148" s="164">
        <f t="shared" ca="1" si="461"/>
        <v>0</v>
      </c>
      <c r="AY148" s="164">
        <f t="shared" ca="1" si="462"/>
        <v>0</v>
      </c>
      <c r="AZ148" s="164">
        <f t="shared" ca="1" si="463"/>
        <v>0</v>
      </c>
      <c r="BA148" s="164">
        <f t="shared" ca="1" si="464"/>
        <v>0</v>
      </c>
      <c r="BB148" s="164">
        <f t="shared" ca="1" si="465"/>
        <v>0</v>
      </c>
      <c r="BC148" s="164">
        <f t="shared" ca="1" si="466"/>
        <v>0</v>
      </c>
      <c r="BD148" s="164">
        <f t="shared" ca="1" si="467"/>
        <v>0</v>
      </c>
      <c r="BE148" s="164">
        <f t="shared" ca="1" si="468"/>
        <v>0</v>
      </c>
      <c r="BF148" s="164">
        <f t="shared" ca="1" si="469"/>
        <v>0</v>
      </c>
      <c r="BG148" s="164">
        <f t="shared" ca="1" si="470"/>
        <v>0</v>
      </c>
      <c r="BH148" s="164">
        <f t="shared" ca="1" si="471"/>
        <v>0</v>
      </c>
      <c r="BI148" s="164">
        <f t="shared" ca="1" si="472"/>
        <v>0</v>
      </c>
      <c r="BJ148" s="164">
        <f t="shared" ca="1" si="473"/>
        <v>0</v>
      </c>
      <c r="BK148" s="164">
        <f t="shared" ca="1" si="474"/>
        <v>0</v>
      </c>
      <c r="BL148" s="164">
        <f t="shared" ca="1" si="475"/>
        <v>0</v>
      </c>
      <c r="BM148" s="164">
        <f t="shared" ca="1" si="476"/>
        <v>0</v>
      </c>
      <c r="BN148" s="164">
        <f t="shared" ca="1" si="477"/>
        <v>0</v>
      </c>
      <c r="BO148" s="356" t="str">
        <f t="shared" ca="1" si="478"/>
        <v/>
      </c>
      <c r="BP148" s="355" t="str">
        <f t="shared" ca="1" si="380"/>
        <v/>
      </c>
      <c r="BQ148" s="355" t="str">
        <f t="shared" ca="1" si="381"/>
        <v/>
      </c>
      <c r="BR148" s="348">
        <f t="shared" ca="1" si="516"/>
        <v>0</v>
      </c>
      <c r="BS148" s="348">
        <f t="shared" ca="1" si="517"/>
        <v>0</v>
      </c>
      <c r="BT148" s="610">
        <f t="shared" ca="1" si="479"/>
        <v>0</v>
      </c>
      <c r="BU148" s="357">
        <f t="shared" ca="1" si="383"/>
        <v>0</v>
      </c>
      <c r="BV148" s="357">
        <f t="shared" si="480"/>
        <v>0</v>
      </c>
      <c r="BW148" s="357">
        <f t="shared" si="481"/>
        <v>0</v>
      </c>
      <c r="BX148" s="357">
        <f t="shared" ca="1" si="482"/>
        <v>0</v>
      </c>
      <c r="BY148" s="357">
        <f t="shared" ca="1" si="522"/>
        <v>0</v>
      </c>
      <c r="BZ148" s="357"/>
      <c r="CA148" s="357">
        <f t="shared" ca="1" si="518"/>
        <v>0</v>
      </c>
      <c r="CB148" s="357" t="str">
        <f t="shared" ca="1" si="483"/>
        <v/>
      </c>
      <c r="CC148" s="358" t="str">
        <f t="shared" ca="1" si="523"/>
        <v/>
      </c>
      <c r="CD148" s="358" t="str">
        <f t="shared" ca="1" si="524"/>
        <v/>
      </c>
      <c r="CE148" s="357" t="str">
        <f t="shared" ca="1" si="513"/>
        <v>,,,,,,,,,,,,,,,,,,,,,,,,,,,,,,,,,,,,,,,,,,,,,,,,,,,,,,,,,,,,,,,,,,,,,,,,,,,,,,,,,,,,,,,,</v>
      </c>
      <c r="CF148" s="154" t="str">
        <f t="shared" si="521"/>
        <v/>
      </c>
      <c r="CG148" s="154">
        <f t="shared" ca="1" si="525"/>
        <v>0</v>
      </c>
      <c r="CH148" s="154"/>
      <c r="CI148" s="154"/>
      <c r="CJ148" s="154"/>
      <c r="CK148" s="154"/>
      <c r="CL148" s="154"/>
      <c r="CM148" s="154"/>
      <c r="CN148" t="s">
        <v>784</v>
      </c>
      <c r="CO148" s="169"/>
      <c r="CP148" s="169"/>
      <c r="CQ148" s="169"/>
      <c r="CR148" s="169"/>
      <c r="CS148" s="169"/>
      <c r="CT148" s="169"/>
      <c r="CU148" s="169"/>
      <c r="CV148" s="164" t="str">
        <f t="shared" ca="1" si="519"/>
        <v/>
      </c>
      <c r="CW148" s="164" t="str">
        <f t="shared" ca="1" si="519"/>
        <v/>
      </c>
      <c r="CX148" s="164" t="str">
        <f t="shared" ca="1" si="519"/>
        <v/>
      </c>
      <c r="CY148" s="164" t="str">
        <f t="shared" ca="1" si="519"/>
        <v/>
      </c>
      <c r="CZ148" s="164" t="str">
        <f t="shared" ca="1" si="519"/>
        <v/>
      </c>
      <c r="DA148" s="164" t="str">
        <f t="shared" ca="1" si="519"/>
        <v/>
      </c>
      <c r="DB148" s="164" t="str">
        <f t="shared" ca="1" si="519"/>
        <v/>
      </c>
      <c r="DC148" s="164" t="str">
        <f t="shared" ca="1" si="519"/>
        <v/>
      </c>
      <c r="DD148" s="164" t="str">
        <f t="shared" ca="1" si="519"/>
        <v/>
      </c>
      <c r="DE148" s="164" t="str">
        <f t="shared" ca="1" si="519"/>
        <v/>
      </c>
      <c r="DF148" s="164" t="str">
        <f t="shared" ca="1" si="520"/>
        <v/>
      </c>
      <c r="DG148" s="164" t="str">
        <f t="shared" ca="1" si="520"/>
        <v/>
      </c>
      <c r="DH148" s="164" t="str">
        <f t="shared" ca="1" si="520"/>
        <v/>
      </c>
      <c r="DI148" s="164" t="str">
        <f t="shared" ca="1" si="520"/>
        <v/>
      </c>
      <c r="DJ148" s="164" t="str">
        <f t="shared" ca="1" si="520"/>
        <v/>
      </c>
      <c r="DK148" s="164" t="str">
        <f t="shared" ca="1" si="520"/>
        <v/>
      </c>
      <c r="DL148" s="164" t="str">
        <f t="shared" ca="1" si="520"/>
        <v/>
      </c>
      <c r="DM148" s="164" t="str">
        <f t="shared" ca="1" si="520"/>
        <v/>
      </c>
      <c r="DN148" s="164" t="str">
        <f t="shared" ca="1" si="520"/>
        <v/>
      </c>
      <c r="DO148" s="164" t="str">
        <f t="shared" ca="1" si="520"/>
        <v/>
      </c>
      <c r="DP148" s="164" t="str">
        <f t="shared" ca="1" si="520"/>
        <v/>
      </c>
      <c r="DQ148" s="164" t="str">
        <f t="shared" ca="1" si="520"/>
        <v/>
      </c>
      <c r="DR148" s="208"/>
      <c r="DS148" s="164" t="str">
        <f t="shared" ca="1" si="484"/>
        <v/>
      </c>
      <c r="DT148" s="164" t="str">
        <f t="shared" ca="1" si="485"/>
        <v/>
      </c>
      <c r="DU148" s="164" t="str">
        <f t="shared" ca="1" si="486"/>
        <v/>
      </c>
      <c r="DV148" s="164" t="str">
        <f t="shared" ca="1" si="487"/>
        <v/>
      </c>
      <c r="DW148" s="164" t="str">
        <f t="shared" ca="1" si="488"/>
        <v/>
      </c>
      <c r="DX148" s="164" t="str">
        <f t="shared" ca="1" si="489"/>
        <v/>
      </c>
      <c r="DY148" s="164" t="str">
        <f t="shared" ca="1" si="490"/>
        <v/>
      </c>
      <c r="DZ148" s="164" t="str">
        <f t="shared" ca="1" si="491"/>
        <v/>
      </c>
      <c r="EA148" s="164" t="str">
        <f t="shared" ca="1" si="492"/>
        <v/>
      </c>
      <c r="EB148" s="164" t="str">
        <f t="shared" ca="1" si="493"/>
        <v/>
      </c>
      <c r="EC148" s="164" t="str">
        <f t="shared" ca="1" si="494"/>
        <v/>
      </c>
      <c r="ED148" s="164" t="str">
        <f t="shared" ca="1" si="495"/>
        <v/>
      </c>
      <c r="EE148" s="164" t="str">
        <f t="shared" ca="1" si="496"/>
        <v/>
      </c>
      <c r="EF148" s="164" t="str">
        <f t="shared" ca="1" si="497"/>
        <v/>
      </c>
      <c r="EG148" s="164" t="str">
        <f t="shared" ca="1" si="498"/>
        <v/>
      </c>
      <c r="EH148" s="164" t="str">
        <f t="shared" ca="1" si="499"/>
        <v/>
      </c>
      <c r="EI148" s="164" t="str">
        <f t="shared" ca="1" si="500"/>
        <v/>
      </c>
      <c r="EJ148" s="164" t="str">
        <f t="shared" ca="1" si="501"/>
        <v/>
      </c>
      <c r="EK148" s="164" t="str">
        <f t="shared" ca="1" si="502"/>
        <v/>
      </c>
      <c r="EL148" s="164" t="str">
        <f t="shared" ca="1" si="503"/>
        <v/>
      </c>
      <c r="EM148" s="164" t="str">
        <f t="shared" ca="1" si="504"/>
        <v/>
      </c>
      <c r="EN148" s="164" t="str">
        <f t="shared" ca="1" si="505"/>
        <v/>
      </c>
      <c r="EO148" s="164" t="str">
        <f t="shared" ca="1" si="506"/>
        <v/>
      </c>
      <c r="EP148" s="164" t="str">
        <f t="shared" ca="1" si="507"/>
        <v/>
      </c>
      <c r="EQ148" s="164" t="str">
        <f t="shared" ca="1" si="508"/>
        <v/>
      </c>
      <c r="ER148" s="164" t="str">
        <f t="shared" ca="1" si="509"/>
        <v/>
      </c>
      <c r="ES148" s="164" t="str">
        <f t="shared" ca="1" si="510"/>
        <v/>
      </c>
    </row>
    <row r="149" spans="1:149" outlineLevel="1" x14ac:dyDescent="0.2">
      <c r="A149" s="89" t="str">
        <f t="shared" ca="1" si="511"/>
        <v/>
      </c>
      <c r="B149" s="317" t="str">
        <f t="shared" ca="1" si="423"/>
        <v/>
      </c>
      <c r="C149" s="609" t="str">
        <f t="shared" ca="1" si="424"/>
        <v/>
      </c>
      <c r="D149" s="1956" t="str">
        <f t="shared" ca="1" si="425"/>
        <v/>
      </c>
      <c r="E149" s="1956"/>
      <c r="F149" s="960"/>
      <c r="G149" s="485" t="str">
        <f t="shared" ca="1" si="426"/>
        <v/>
      </c>
      <c r="H149" s="983"/>
      <c r="I149" s="486"/>
      <c r="J149" s="326"/>
      <c r="K149" s="1886" t="str">
        <f t="shared" ca="1" si="427"/>
        <v/>
      </c>
      <c r="L149" s="1888"/>
      <c r="M149" s="296" t="str">
        <f t="shared" ca="1" si="512"/>
        <v/>
      </c>
      <c r="N149" s="1322"/>
      <c r="O149" s="1319"/>
      <c r="P149" s="957" t="str">
        <f t="shared" ca="1" si="428"/>
        <v/>
      </c>
      <c r="Q149" s="164">
        <f t="shared" si="429"/>
        <v>0</v>
      </c>
      <c r="R149" s="164">
        <f t="shared" ca="1" si="430"/>
        <v>0</v>
      </c>
      <c r="S149" s="164">
        <f t="shared" ca="1" si="431"/>
        <v>0</v>
      </c>
      <c r="T149" s="164">
        <f t="shared" ca="1" si="432"/>
        <v>0</v>
      </c>
      <c r="U149" s="164">
        <f t="shared" ca="1" si="433"/>
        <v>0</v>
      </c>
      <c r="V149" s="164">
        <f t="shared" ca="1" si="434"/>
        <v>0</v>
      </c>
      <c r="W149" s="164">
        <f t="shared" ca="1" si="435"/>
        <v>0</v>
      </c>
      <c r="X149" s="164">
        <f t="shared" ca="1" si="436"/>
        <v>0</v>
      </c>
      <c r="Y149" s="164">
        <f t="shared" ca="1" si="437"/>
        <v>0</v>
      </c>
      <c r="Z149" s="164">
        <f t="shared" ca="1" si="438"/>
        <v>0</v>
      </c>
      <c r="AA149" s="164">
        <f t="shared" ca="1" si="439"/>
        <v>0</v>
      </c>
      <c r="AB149" s="164">
        <f t="shared" ca="1" si="440"/>
        <v>0</v>
      </c>
      <c r="AC149" s="164">
        <f t="shared" ca="1" si="441"/>
        <v>0</v>
      </c>
      <c r="AD149" s="164">
        <f t="shared" ca="1" si="442"/>
        <v>0</v>
      </c>
      <c r="AE149" s="164">
        <f t="shared" ca="1" si="443"/>
        <v>0</v>
      </c>
      <c r="AF149" s="164">
        <f t="shared" ca="1" si="444"/>
        <v>0</v>
      </c>
      <c r="AG149" s="164">
        <f t="shared" ca="1" si="445"/>
        <v>0</v>
      </c>
      <c r="AH149" s="164">
        <f t="shared" ca="1" si="446"/>
        <v>0</v>
      </c>
      <c r="AI149" s="164">
        <f t="shared" ca="1" si="447"/>
        <v>0</v>
      </c>
      <c r="AJ149" s="164">
        <f t="shared" ca="1" si="448"/>
        <v>0</v>
      </c>
      <c r="AK149" s="164">
        <f t="shared" ca="1" si="449"/>
        <v>0</v>
      </c>
      <c r="AL149" s="164">
        <f t="shared" ca="1" si="450"/>
        <v>0</v>
      </c>
      <c r="AM149" s="208"/>
      <c r="AN149" s="164">
        <f t="shared" si="451"/>
        <v>0</v>
      </c>
      <c r="AO149" s="164">
        <f t="shared" ca="1" si="452"/>
        <v>0</v>
      </c>
      <c r="AP149" s="164">
        <f t="shared" ca="1" si="453"/>
        <v>0</v>
      </c>
      <c r="AQ149" s="164">
        <f t="shared" ca="1" si="454"/>
        <v>0</v>
      </c>
      <c r="AR149" s="164">
        <f t="shared" ca="1" si="455"/>
        <v>0</v>
      </c>
      <c r="AS149" s="164">
        <f t="shared" ca="1" si="456"/>
        <v>0</v>
      </c>
      <c r="AT149" s="164">
        <f t="shared" ca="1" si="457"/>
        <v>0</v>
      </c>
      <c r="AU149" s="164">
        <f t="shared" ca="1" si="458"/>
        <v>0</v>
      </c>
      <c r="AV149" s="164">
        <f t="shared" ca="1" si="459"/>
        <v>0</v>
      </c>
      <c r="AW149" s="164">
        <f t="shared" ca="1" si="460"/>
        <v>0</v>
      </c>
      <c r="AX149" s="164">
        <f t="shared" ca="1" si="461"/>
        <v>0</v>
      </c>
      <c r="AY149" s="164">
        <f t="shared" ca="1" si="462"/>
        <v>0</v>
      </c>
      <c r="AZ149" s="164">
        <f t="shared" ca="1" si="463"/>
        <v>0</v>
      </c>
      <c r="BA149" s="164">
        <f t="shared" ca="1" si="464"/>
        <v>0</v>
      </c>
      <c r="BB149" s="164">
        <f t="shared" ca="1" si="465"/>
        <v>0</v>
      </c>
      <c r="BC149" s="164">
        <f t="shared" ca="1" si="466"/>
        <v>0</v>
      </c>
      <c r="BD149" s="164">
        <f t="shared" ca="1" si="467"/>
        <v>0</v>
      </c>
      <c r="BE149" s="164">
        <f t="shared" ca="1" si="468"/>
        <v>0</v>
      </c>
      <c r="BF149" s="164">
        <f t="shared" ca="1" si="469"/>
        <v>0</v>
      </c>
      <c r="BG149" s="164">
        <f t="shared" ca="1" si="470"/>
        <v>0</v>
      </c>
      <c r="BH149" s="164">
        <f t="shared" ca="1" si="471"/>
        <v>0</v>
      </c>
      <c r="BI149" s="164">
        <f t="shared" ca="1" si="472"/>
        <v>0</v>
      </c>
      <c r="BJ149" s="164">
        <f t="shared" ca="1" si="473"/>
        <v>0</v>
      </c>
      <c r="BK149" s="164">
        <f t="shared" ca="1" si="474"/>
        <v>0</v>
      </c>
      <c r="BL149" s="164">
        <f t="shared" ca="1" si="475"/>
        <v>0</v>
      </c>
      <c r="BM149" s="164">
        <f t="shared" ca="1" si="476"/>
        <v>0</v>
      </c>
      <c r="BN149" s="164">
        <f t="shared" ca="1" si="477"/>
        <v>0</v>
      </c>
      <c r="BO149" s="356" t="str">
        <f t="shared" ca="1" si="478"/>
        <v/>
      </c>
      <c r="BP149" s="355" t="str">
        <f t="shared" ca="1" si="380"/>
        <v/>
      </c>
      <c r="BQ149" s="355" t="str">
        <f t="shared" ca="1" si="381"/>
        <v/>
      </c>
      <c r="BR149" s="348">
        <f t="shared" ca="1" si="516"/>
        <v>0</v>
      </c>
      <c r="BS149" s="348">
        <f t="shared" ca="1" si="517"/>
        <v>0</v>
      </c>
      <c r="BT149" s="610">
        <f t="shared" ca="1" si="479"/>
        <v>0</v>
      </c>
      <c r="BU149" s="357">
        <f t="shared" ca="1" si="383"/>
        <v>0</v>
      </c>
      <c r="BV149" s="357">
        <f t="shared" si="480"/>
        <v>0</v>
      </c>
      <c r="BW149" s="357">
        <f t="shared" si="481"/>
        <v>0</v>
      </c>
      <c r="BX149" s="357">
        <f t="shared" ca="1" si="482"/>
        <v>0</v>
      </c>
      <c r="BY149" s="357">
        <f t="shared" ca="1" si="522"/>
        <v>0</v>
      </c>
      <c r="BZ149" s="357"/>
      <c r="CA149" s="357">
        <f t="shared" ca="1" si="518"/>
        <v>0</v>
      </c>
      <c r="CB149" s="357" t="str">
        <f t="shared" ca="1" si="483"/>
        <v/>
      </c>
      <c r="CC149" s="358" t="str">
        <f t="shared" ca="1" si="523"/>
        <v/>
      </c>
      <c r="CD149" s="358" t="str">
        <f t="shared" ca="1" si="524"/>
        <v/>
      </c>
      <c r="CE149" s="357" t="str">
        <f t="shared" ca="1" si="513"/>
        <v>,,,,,,,,,,,,,,,,,,,,,,,,,,,,,,,,,,,,,,,,,,,,,,,,,,,,,,,,,,,,,,,,,,,,,,,,,,,,,,,,,,,,,,,,,</v>
      </c>
      <c r="CF149" s="154" t="str">
        <f t="shared" si="521"/>
        <v/>
      </c>
      <c r="CG149" s="154">
        <f t="shared" ca="1" si="525"/>
        <v>0</v>
      </c>
      <c r="CH149" s="154"/>
      <c r="CI149" s="154"/>
      <c r="CJ149" s="154"/>
      <c r="CK149" s="154"/>
      <c r="CL149" s="154"/>
      <c r="CM149" s="154"/>
      <c r="CN149" t="s">
        <v>784</v>
      </c>
      <c r="CO149" s="169"/>
      <c r="CP149" s="169"/>
      <c r="CQ149" s="169"/>
      <c r="CR149" s="169"/>
      <c r="CS149" s="169"/>
      <c r="CT149" s="169"/>
      <c r="CU149" s="169"/>
      <c r="CV149" s="164" t="str">
        <f t="shared" ca="1" si="519"/>
        <v/>
      </c>
      <c r="CW149" s="164" t="str">
        <f t="shared" ca="1" si="519"/>
        <v/>
      </c>
      <c r="CX149" s="164" t="str">
        <f t="shared" ca="1" si="519"/>
        <v/>
      </c>
      <c r="CY149" s="164" t="str">
        <f t="shared" ca="1" si="519"/>
        <v/>
      </c>
      <c r="CZ149" s="164" t="str">
        <f t="shared" ca="1" si="519"/>
        <v/>
      </c>
      <c r="DA149" s="164" t="str">
        <f t="shared" ca="1" si="519"/>
        <v/>
      </c>
      <c r="DB149" s="164" t="str">
        <f t="shared" ca="1" si="519"/>
        <v/>
      </c>
      <c r="DC149" s="164" t="str">
        <f t="shared" ca="1" si="519"/>
        <v/>
      </c>
      <c r="DD149" s="164" t="str">
        <f t="shared" ca="1" si="519"/>
        <v/>
      </c>
      <c r="DE149" s="164" t="str">
        <f t="shared" ca="1" si="519"/>
        <v/>
      </c>
      <c r="DF149" s="164" t="str">
        <f t="shared" ca="1" si="520"/>
        <v/>
      </c>
      <c r="DG149" s="164" t="str">
        <f t="shared" ca="1" si="520"/>
        <v/>
      </c>
      <c r="DH149" s="164" t="str">
        <f t="shared" ca="1" si="520"/>
        <v/>
      </c>
      <c r="DI149" s="164" t="str">
        <f t="shared" ca="1" si="520"/>
        <v/>
      </c>
      <c r="DJ149" s="164" t="str">
        <f t="shared" ca="1" si="520"/>
        <v/>
      </c>
      <c r="DK149" s="164" t="str">
        <f t="shared" ca="1" si="520"/>
        <v/>
      </c>
      <c r="DL149" s="164" t="str">
        <f t="shared" ca="1" si="520"/>
        <v/>
      </c>
      <c r="DM149" s="164" t="str">
        <f t="shared" ca="1" si="520"/>
        <v/>
      </c>
      <c r="DN149" s="164" t="str">
        <f t="shared" ca="1" si="520"/>
        <v/>
      </c>
      <c r="DO149" s="164" t="str">
        <f t="shared" ca="1" si="520"/>
        <v/>
      </c>
      <c r="DP149" s="164" t="str">
        <f t="shared" ca="1" si="520"/>
        <v/>
      </c>
      <c r="DQ149" s="164" t="str">
        <f t="shared" ca="1" si="520"/>
        <v/>
      </c>
      <c r="DR149" s="208"/>
      <c r="DS149" s="164" t="str">
        <f t="shared" ca="1" si="484"/>
        <v/>
      </c>
      <c r="DT149" s="164" t="str">
        <f t="shared" ca="1" si="485"/>
        <v/>
      </c>
      <c r="DU149" s="164" t="str">
        <f t="shared" ca="1" si="486"/>
        <v/>
      </c>
      <c r="DV149" s="164" t="str">
        <f t="shared" ca="1" si="487"/>
        <v/>
      </c>
      <c r="DW149" s="164" t="str">
        <f t="shared" ca="1" si="488"/>
        <v/>
      </c>
      <c r="DX149" s="164" t="str">
        <f t="shared" ca="1" si="489"/>
        <v/>
      </c>
      <c r="DY149" s="164" t="str">
        <f t="shared" ca="1" si="490"/>
        <v/>
      </c>
      <c r="DZ149" s="164" t="str">
        <f t="shared" ca="1" si="491"/>
        <v/>
      </c>
      <c r="EA149" s="164" t="str">
        <f t="shared" ca="1" si="492"/>
        <v/>
      </c>
      <c r="EB149" s="164" t="str">
        <f t="shared" ca="1" si="493"/>
        <v/>
      </c>
      <c r="EC149" s="164" t="str">
        <f t="shared" ca="1" si="494"/>
        <v/>
      </c>
      <c r="ED149" s="164" t="str">
        <f t="shared" ca="1" si="495"/>
        <v/>
      </c>
      <c r="EE149" s="164" t="str">
        <f t="shared" ca="1" si="496"/>
        <v/>
      </c>
      <c r="EF149" s="164" t="str">
        <f t="shared" ca="1" si="497"/>
        <v/>
      </c>
      <c r="EG149" s="164" t="str">
        <f t="shared" ca="1" si="498"/>
        <v/>
      </c>
      <c r="EH149" s="164" t="str">
        <f t="shared" ca="1" si="499"/>
        <v/>
      </c>
      <c r="EI149" s="164" t="str">
        <f t="shared" ca="1" si="500"/>
        <v/>
      </c>
      <c r="EJ149" s="164" t="str">
        <f t="shared" ca="1" si="501"/>
        <v/>
      </c>
      <c r="EK149" s="164" t="str">
        <f t="shared" ca="1" si="502"/>
        <v/>
      </c>
      <c r="EL149" s="164" t="str">
        <f t="shared" ca="1" si="503"/>
        <v/>
      </c>
      <c r="EM149" s="164" t="str">
        <f t="shared" ca="1" si="504"/>
        <v/>
      </c>
      <c r="EN149" s="164" t="str">
        <f t="shared" ca="1" si="505"/>
        <v/>
      </c>
      <c r="EO149" s="164" t="str">
        <f t="shared" ca="1" si="506"/>
        <v/>
      </c>
      <c r="EP149" s="164" t="str">
        <f t="shared" ca="1" si="507"/>
        <v/>
      </c>
      <c r="EQ149" s="164" t="str">
        <f t="shared" ca="1" si="508"/>
        <v/>
      </c>
      <c r="ER149" s="164" t="str">
        <f t="shared" ca="1" si="509"/>
        <v/>
      </c>
      <c r="ES149" s="164" t="str">
        <f t="shared" ca="1" si="510"/>
        <v/>
      </c>
    </row>
    <row r="150" spans="1:149" outlineLevel="1" x14ac:dyDescent="0.2">
      <c r="A150" s="89" t="str">
        <f t="shared" ca="1" si="511"/>
        <v/>
      </c>
      <c r="B150" s="317" t="str">
        <f t="shared" ca="1" si="423"/>
        <v/>
      </c>
      <c r="C150" s="609" t="str">
        <f t="shared" ca="1" si="424"/>
        <v/>
      </c>
      <c r="D150" s="1956" t="str">
        <f t="shared" ca="1" si="425"/>
        <v/>
      </c>
      <c r="E150" s="1956"/>
      <c r="F150" s="960"/>
      <c r="G150" s="485" t="str">
        <f t="shared" ca="1" si="426"/>
        <v/>
      </c>
      <c r="H150" s="983"/>
      <c r="I150" s="486"/>
      <c r="J150" s="326"/>
      <c r="K150" s="1886" t="str">
        <f t="shared" ca="1" si="427"/>
        <v/>
      </c>
      <c r="L150" s="1888"/>
      <c r="M150" s="296" t="str">
        <f t="shared" ca="1" si="512"/>
        <v/>
      </c>
      <c r="N150" s="1322"/>
      <c r="O150" s="1319"/>
      <c r="P150" s="957" t="str">
        <f t="shared" ca="1" si="428"/>
        <v/>
      </c>
      <c r="Q150" s="164">
        <f t="shared" si="429"/>
        <v>0</v>
      </c>
      <c r="R150" s="164">
        <f t="shared" ca="1" si="430"/>
        <v>0</v>
      </c>
      <c r="S150" s="164">
        <f t="shared" ca="1" si="431"/>
        <v>0</v>
      </c>
      <c r="T150" s="164">
        <f t="shared" ca="1" si="432"/>
        <v>0</v>
      </c>
      <c r="U150" s="164">
        <f t="shared" ca="1" si="433"/>
        <v>0</v>
      </c>
      <c r="V150" s="164">
        <f t="shared" ca="1" si="434"/>
        <v>0</v>
      </c>
      <c r="W150" s="164">
        <f t="shared" ca="1" si="435"/>
        <v>0</v>
      </c>
      <c r="X150" s="164">
        <f t="shared" ca="1" si="436"/>
        <v>0</v>
      </c>
      <c r="Y150" s="164">
        <f t="shared" ca="1" si="437"/>
        <v>0</v>
      </c>
      <c r="Z150" s="164">
        <f t="shared" ca="1" si="438"/>
        <v>0</v>
      </c>
      <c r="AA150" s="164">
        <f t="shared" ca="1" si="439"/>
        <v>0</v>
      </c>
      <c r="AB150" s="164">
        <f t="shared" ca="1" si="440"/>
        <v>0</v>
      </c>
      <c r="AC150" s="164">
        <f t="shared" ca="1" si="441"/>
        <v>0</v>
      </c>
      <c r="AD150" s="164">
        <f t="shared" ca="1" si="442"/>
        <v>0</v>
      </c>
      <c r="AE150" s="164">
        <f t="shared" ca="1" si="443"/>
        <v>0</v>
      </c>
      <c r="AF150" s="164">
        <f t="shared" ca="1" si="444"/>
        <v>0</v>
      </c>
      <c r="AG150" s="164">
        <f t="shared" ca="1" si="445"/>
        <v>0</v>
      </c>
      <c r="AH150" s="164">
        <f t="shared" ca="1" si="446"/>
        <v>0</v>
      </c>
      <c r="AI150" s="164">
        <f t="shared" ca="1" si="447"/>
        <v>0</v>
      </c>
      <c r="AJ150" s="164">
        <f t="shared" ca="1" si="448"/>
        <v>0</v>
      </c>
      <c r="AK150" s="164">
        <f t="shared" ca="1" si="449"/>
        <v>0</v>
      </c>
      <c r="AL150" s="164">
        <f t="shared" ca="1" si="450"/>
        <v>0</v>
      </c>
      <c r="AM150" s="208"/>
      <c r="AN150" s="164">
        <f t="shared" si="451"/>
        <v>0</v>
      </c>
      <c r="AO150" s="164">
        <f t="shared" ca="1" si="452"/>
        <v>0</v>
      </c>
      <c r="AP150" s="164">
        <f t="shared" ca="1" si="453"/>
        <v>0</v>
      </c>
      <c r="AQ150" s="164">
        <f t="shared" ca="1" si="454"/>
        <v>0</v>
      </c>
      <c r="AR150" s="164">
        <f t="shared" ca="1" si="455"/>
        <v>0</v>
      </c>
      <c r="AS150" s="164">
        <f t="shared" ca="1" si="456"/>
        <v>0</v>
      </c>
      <c r="AT150" s="164">
        <f t="shared" ca="1" si="457"/>
        <v>0</v>
      </c>
      <c r="AU150" s="164">
        <f t="shared" ca="1" si="458"/>
        <v>0</v>
      </c>
      <c r="AV150" s="164">
        <f t="shared" ca="1" si="459"/>
        <v>0</v>
      </c>
      <c r="AW150" s="164">
        <f t="shared" ca="1" si="460"/>
        <v>0</v>
      </c>
      <c r="AX150" s="164">
        <f t="shared" ca="1" si="461"/>
        <v>0</v>
      </c>
      <c r="AY150" s="164">
        <f t="shared" ca="1" si="462"/>
        <v>0</v>
      </c>
      <c r="AZ150" s="164">
        <f t="shared" ca="1" si="463"/>
        <v>0</v>
      </c>
      <c r="BA150" s="164">
        <f t="shared" ca="1" si="464"/>
        <v>0</v>
      </c>
      <c r="BB150" s="164">
        <f t="shared" ca="1" si="465"/>
        <v>0</v>
      </c>
      <c r="BC150" s="164">
        <f t="shared" ca="1" si="466"/>
        <v>0</v>
      </c>
      <c r="BD150" s="164">
        <f t="shared" ca="1" si="467"/>
        <v>0</v>
      </c>
      <c r="BE150" s="164">
        <f t="shared" ca="1" si="468"/>
        <v>0</v>
      </c>
      <c r="BF150" s="164">
        <f t="shared" ca="1" si="469"/>
        <v>0</v>
      </c>
      <c r="BG150" s="164">
        <f t="shared" ca="1" si="470"/>
        <v>0</v>
      </c>
      <c r="BH150" s="164">
        <f t="shared" ca="1" si="471"/>
        <v>0</v>
      </c>
      <c r="BI150" s="164">
        <f t="shared" ca="1" si="472"/>
        <v>0</v>
      </c>
      <c r="BJ150" s="164">
        <f t="shared" ca="1" si="473"/>
        <v>0</v>
      </c>
      <c r="BK150" s="164">
        <f t="shared" ca="1" si="474"/>
        <v>0</v>
      </c>
      <c r="BL150" s="164">
        <f t="shared" ca="1" si="475"/>
        <v>0</v>
      </c>
      <c r="BM150" s="164">
        <f t="shared" ca="1" si="476"/>
        <v>0</v>
      </c>
      <c r="BN150" s="164">
        <f t="shared" ca="1" si="477"/>
        <v>0</v>
      </c>
      <c r="BO150" s="356" t="str">
        <f t="shared" ca="1" si="478"/>
        <v/>
      </c>
      <c r="BP150" s="355" t="str">
        <f t="shared" ca="1" si="380"/>
        <v/>
      </c>
      <c r="BQ150" s="355" t="str">
        <f t="shared" ca="1" si="381"/>
        <v/>
      </c>
      <c r="BR150" s="348">
        <f t="shared" ca="1" si="516"/>
        <v>0</v>
      </c>
      <c r="BS150" s="348">
        <f t="shared" ca="1" si="517"/>
        <v>0</v>
      </c>
      <c r="BT150" s="610">
        <f t="shared" ca="1" si="479"/>
        <v>0</v>
      </c>
      <c r="BU150" s="357">
        <f t="shared" ca="1" si="383"/>
        <v>0</v>
      </c>
      <c r="BV150" s="357">
        <f t="shared" si="480"/>
        <v>0</v>
      </c>
      <c r="BW150" s="357">
        <f t="shared" si="481"/>
        <v>0</v>
      </c>
      <c r="BX150" s="357">
        <f t="shared" ca="1" si="482"/>
        <v>0</v>
      </c>
      <c r="BY150" s="357">
        <f t="shared" ca="1" si="522"/>
        <v>0</v>
      </c>
      <c r="BZ150" s="357"/>
      <c r="CA150" s="357">
        <f t="shared" ca="1" si="518"/>
        <v>0</v>
      </c>
      <c r="CB150" s="357" t="str">
        <f t="shared" ca="1" si="483"/>
        <v/>
      </c>
      <c r="CC150" s="358" t="str">
        <f t="shared" ca="1" si="523"/>
        <v/>
      </c>
      <c r="CD150" s="358" t="str">
        <f t="shared" ca="1" si="524"/>
        <v/>
      </c>
      <c r="CE150" s="357" t="str">
        <f t="shared" ca="1" si="513"/>
        <v>,,,,,,,,,,,,,,,,,,,,,,,,,,,,,,,,,,,,,,,,,,,,,,,,,,,,,,,,,,,,,,,,,,,,,,,,,,,,,,,,,,,,,,,,,,</v>
      </c>
      <c r="CF150" s="154" t="str">
        <f t="shared" si="521"/>
        <v/>
      </c>
      <c r="CG150" s="154">
        <f t="shared" ca="1" si="525"/>
        <v>0</v>
      </c>
      <c r="CH150" s="154"/>
      <c r="CI150" s="154"/>
      <c r="CJ150" s="154"/>
      <c r="CK150" s="154"/>
      <c r="CL150" s="154"/>
      <c r="CM150" s="154"/>
      <c r="CN150" t="s">
        <v>784</v>
      </c>
      <c r="CO150" s="169"/>
      <c r="CP150" s="169"/>
      <c r="CQ150" s="169"/>
      <c r="CR150" s="169"/>
      <c r="CS150" s="169"/>
      <c r="CT150" s="169"/>
      <c r="CU150" s="169"/>
      <c r="CV150" s="164" t="str">
        <f t="shared" ca="1" si="519"/>
        <v/>
      </c>
      <c r="CW150" s="164" t="str">
        <f t="shared" ca="1" si="519"/>
        <v/>
      </c>
      <c r="CX150" s="164" t="str">
        <f t="shared" ca="1" si="519"/>
        <v/>
      </c>
      <c r="CY150" s="164" t="str">
        <f t="shared" ca="1" si="519"/>
        <v/>
      </c>
      <c r="CZ150" s="164" t="str">
        <f t="shared" ca="1" si="519"/>
        <v/>
      </c>
      <c r="DA150" s="164" t="str">
        <f t="shared" ca="1" si="519"/>
        <v/>
      </c>
      <c r="DB150" s="164" t="str">
        <f t="shared" ca="1" si="519"/>
        <v/>
      </c>
      <c r="DC150" s="164" t="str">
        <f t="shared" ca="1" si="519"/>
        <v/>
      </c>
      <c r="DD150" s="164" t="str">
        <f t="shared" ca="1" si="519"/>
        <v/>
      </c>
      <c r="DE150" s="164" t="str">
        <f t="shared" ca="1" si="519"/>
        <v/>
      </c>
      <c r="DF150" s="164" t="str">
        <f t="shared" ca="1" si="520"/>
        <v/>
      </c>
      <c r="DG150" s="164" t="str">
        <f t="shared" ca="1" si="520"/>
        <v/>
      </c>
      <c r="DH150" s="164" t="str">
        <f t="shared" ca="1" si="520"/>
        <v/>
      </c>
      <c r="DI150" s="164" t="str">
        <f t="shared" ca="1" si="520"/>
        <v/>
      </c>
      <c r="DJ150" s="164" t="str">
        <f t="shared" ca="1" si="520"/>
        <v/>
      </c>
      <c r="DK150" s="164" t="str">
        <f t="shared" ca="1" si="520"/>
        <v/>
      </c>
      <c r="DL150" s="164" t="str">
        <f t="shared" ca="1" si="520"/>
        <v/>
      </c>
      <c r="DM150" s="164" t="str">
        <f t="shared" ca="1" si="520"/>
        <v/>
      </c>
      <c r="DN150" s="164" t="str">
        <f t="shared" ca="1" si="520"/>
        <v/>
      </c>
      <c r="DO150" s="164" t="str">
        <f t="shared" ca="1" si="520"/>
        <v/>
      </c>
      <c r="DP150" s="164" t="str">
        <f t="shared" ca="1" si="520"/>
        <v/>
      </c>
      <c r="DQ150" s="164" t="str">
        <f t="shared" ca="1" si="520"/>
        <v/>
      </c>
      <c r="DR150" s="208"/>
      <c r="DS150" s="164" t="str">
        <f t="shared" ca="1" si="484"/>
        <v/>
      </c>
      <c r="DT150" s="164" t="str">
        <f t="shared" ca="1" si="485"/>
        <v/>
      </c>
      <c r="DU150" s="164" t="str">
        <f t="shared" ca="1" si="486"/>
        <v/>
      </c>
      <c r="DV150" s="164" t="str">
        <f t="shared" ca="1" si="487"/>
        <v/>
      </c>
      <c r="DW150" s="164" t="str">
        <f t="shared" ca="1" si="488"/>
        <v/>
      </c>
      <c r="DX150" s="164" t="str">
        <f t="shared" ca="1" si="489"/>
        <v/>
      </c>
      <c r="DY150" s="164" t="str">
        <f t="shared" ca="1" si="490"/>
        <v/>
      </c>
      <c r="DZ150" s="164" t="str">
        <f t="shared" ca="1" si="491"/>
        <v/>
      </c>
      <c r="EA150" s="164" t="str">
        <f t="shared" ca="1" si="492"/>
        <v/>
      </c>
      <c r="EB150" s="164" t="str">
        <f t="shared" ca="1" si="493"/>
        <v/>
      </c>
      <c r="EC150" s="164" t="str">
        <f t="shared" ca="1" si="494"/>
        <v/>
      </c>
      <c r="ED150" s="164" t="str">
        <f t="shared" ca="1" si="495"/>
        <v/>
      </c>
      <c r="EE150" s="164" t="str">
        <f t="shared" ca="1" si="496"/>
        <v/>
      </c>
      <c r="EF150" s="164" t="str">
        <f t="shared" ca="1" si="497"/>
        <v/>
      </c>
      <c r="EG150" s="164" t="str">
        <f t="shared" ca="1" si="498"/>
        <v/>
      </c>
      <c r="EH150" s="164" t="str">
        <f t="shared" ca="1" si="499"/>
        <v/>
      </c>
      <c r="EI150" s="164" t="str">
        <f t="shared" ca="1" si="500"/>
        <v/>
      </c>
      <c r="EJ150" s="164" t="str">
        <f t="shared" ca="1" si="501"/>
        <v/>
      </c>
      <c r="EK150" s="164" t="str">
        <f t="shared" ca="1" si="502"/>
        <v/>
      </c>
      <c r="EL150" s="164" t="str">
        <f t="shared" ca="1" si="503"/>
        <v/>
      </c>
      <c r="EM150" s="164" t="str">
        <f t="shared" ca="1" si="504"/>
        <v/>
      </c>
      <c r="EN150" s="164" t="str">
        <f t="shared" ca="1" si="505"/>
        <v/>
      </c>
      <c r="EO150" s="164" t="str">
        <f t="shared" ca="1" si="506"/>
        <v/>
      </c>
      <c r="EP150" s="164" t="str">
        <f t="shared" ca="1" si="507"/>
        <v/>
      </c>
      <c r="EQ150" s="164" t="str">
        <f t="shared" ca="1" si="508"/>
        <v/>
      </c>
      <c r="ER150" s="164" t="str">
        <f t="shared" ca="1" si="509"/>
        <v/>
      </c>
      <c r="ES150" s="164" t="str">
        <f t="shared" ca="1" si="510"/>
        <v/>
      </c>
    </row>
    <row r="151" spans="1:149" outlineLevel="1" x14ac:dyDescent="0.2">
      <c r="A151" s="89" t="str">
        <f t="shared" ca="1" si="511"/>
        <v/>
      </c>
      <c r="B151" s="317" t="str">
        <f t="shared" ca="1" si="423"/>
        <v/>
      </c>
      <c r="C151" s="609" t="str">
        <f t="shared" ca="1" si="424"/>
        <v/>
      </c>
      <c r="D151" s="1956" t="str">
        <f t="shared" ca="1" si="425"/>
        <v/>
      </c>
      <c r="E151" s="1956"/>
      <c r="F151" s="960"/>
      <c r="G151" s="485" t="str">
        <f t="shared" ca="1" si="426"/>
        <v/>
      </c>
      <c r="H151" s="983"/>
      <c r="I151" s="486"/>
      <c r="J151" s="326"/>
      <c r="K151" s="1886" t="str">
        <f t="shared" ca="1" si="427"/>
        <v/>
      </c>
      <c r="L151" s="1888"/>
      <c r="M151" s="296" t="str">
        <f t="shared" ca="1" si="512"/>
        <v/>
      </c>
      <c r="N151" s="1322"/>
      <c r="O151" s="1319"/>
      <c r="P151" s="957" t="str">
        <f t="shared" ca="1" si="428"/>
        <v/>
      </c>
      <c r="Q151" s="164">
        <f t="shared" si="429"/>
        <v>0</v>
      </c>
      <c r="R151" s="164">
        <f t="shared" ca="1" si="430"/>
        <v>0</v>
      </c>
      <c r="S151" s="164">
        <f t="shared" ca="1" si="431"/>
        <v>0</v>
      </c>
      <c r="T151" s="164">
        <f t="shared" ca="1" si="432"/>
        <v>0</v>
      </c>
      <c r="U151" s="164">
        <f t="shared" ca="1" si="433"/>
        <v>0</v>
      </c>
      <c r="V151" s="164">
        <f t="shared" ca="1" si="434"/>
        <v>0</v>
      </c>
      <c r="W151" s="164">
        <f t="shared" ca="1" si="435"/>
        <v>0</v>
      </c>
      <c r="X151" s="164">
        <f t="shared" ca="1" si="436"/>
        <v>0</v>
      </c>
      <c r="Y151" s="164">
        <f t="shared" ca="1" si="437"/>
        <v>0</v>
      </c>
      <c r="Z151" s="164">
        <f t="shared" ca="1" si="438"/>
        <v>0</v>
      </c>
      <c r="AA151" s="164">
        <f t="shared" ca="1" si="439"/>
        <v>0</v>
      </c>
      <c r="AB151" s="164">
        <f t="shared" ca="1" si="440"/>
        <v>0</v>
      </c>
      <c r="AC151" s="164">
        <f t="shared" ca="1" si="441"/>
        <v>0</v>
      </c>
      <c r="AD151" s="164">
        <f t="shared" ca="1" si="442"/>
        <v>0</v>
      </c>
      <c r="AE151" s="164">
        <f t="shared" ca="1" si="443"/>
        <v>0</v>
      </c>
      <c r="AF151" s="164">
        <f t="shared" ca="1" si="444"/>
        <v>0</v>
      </c>
      <c r="AG151" s="164">
        <f t="shared" ca="1" si="445"/>
        <v>0</v>
      </c>
      <c r="AH151" s="164">
        <f t="shared" ca="1" si="446"/>
        <v>0</v>
      </c>
      <c r="AI151" s="164">
        <f t="shared" ca="1" si="447"/>
        <v>0</v>
      </c>
      <c r="AJ151" s="164">
        <f t="shared" ca="1" si="448"/>
        <v>0</v>
      </c>
      <c r="AK151" s="164">
        <f t="shared" ca="1" si="449"/>
        <v>0</v>
      </c>
      <c r="AL151" s="164">
        <f t="shared" ca="1" si="450"/>
        <v>0</v>
      </c>
      <c r="AM151" s="208"/>
      <c r="AN151" s="164">
        <f t="shared" si="451"/>
        <v>0</v>
      </c>
      <c r="AO151" s="164">
        <f t="shared" ca="1" si="452"/>
        <v>0</v>
      </c>
      <c r="AP151" s="164">
        <f t="shared" ca="1" si="453"/>
        <v>0</v>
      </c>
      <c r="AQ151" s="164">
        <f t="shared" ca="1" si="454"/>
        <v>0</v>
      </c>
      <c r="AR151" s="164">
        <f t="shared" ca="1" si="455"/>
        <v>0</v>
      </c>
      <c r="AS151" s="164">
        <f t="shared" ca="1" si="456"/>
        <v>0</v>
      </c>
      <c r="AT151" s="164">
        <f t="shared" ca="1" si="457"/>
        <v>0</v>
      </c>
      <c r="AU151" s="164">
        <f t="shared" ca="1" si="458"/>
        <v>0</v>
      </c>
      <c r="AV151" s="164">
        <f t="shared" ca="1" si="459"/>
        <v>0</v>
      </c>
      <c r="AW151" s="164">
        <f t="shared" ca="1" si="460"/>
        <v>0</v>
      </c>
      <c r="AX151" s="164">
        <f t="shared" ca="1" si="461"/>
        <v>0</v>
      </c>
      <c r="AY151" s="164">
        <f t="shared" ca="1" si="462"/>
        <v>0</v>
      </c>
      <c r="AZ151" s="164">
        <f t="shared" ca="1" si="463"/>
        <v>0</v>
      </c>
      <c r="BA151" s="164">
        <f t="shared" ca="1" si="464"/>
        <v>0</v>
      </c>
      <c r="BB151" s="164">
        <f t="shared" ca="1" si="465"/>
        <v>0</v>
      </c>
      <c r="BC151" s="164">
        <f t="shared" ca="1" si="466"/>
        <v>0</v>
      </c>
      <c r="BD151" s="164">
        <f t="shared" ca="1" si="467"/>
        <v>0</v>
      </c>
      <c r="BE151" s="164">
        <f t="shared" ca="1" si="468"/>
        <v>0</v>
      </c>
      <c r="BF151" s="164">
        <f t="shared" ca="1" si="469"/>
        <v>0</v>
      </c>
      <c r="BG151" s="164">
        <f t="shared" ca="1" si="470"/>
        <v>0</v>
      </c>
      <c r="BH151" s="164">
        <f t="shared" ca="1" si="471"/>
        <v>0</v>
      </c>
      <c r="BI151" s="164">
        <f t="shared" ca="1" si="472"/>
        <v>0</v>
      </c>
      <c r="BJ151" s="164">
        <f t="shared" ca="1" si="473"/>
        <v>0</v>
      </c>
      <c r="BK151" s="164">
        <f t="shared" ca="1" si="474"/>
        <v>0</v>
      </c>
      <c r="BL151" s="164">
        <f t="shared" ca="1" si="475"/>
        <v>0</v>
      </c>
      <c r="BM151" s="164">
        <f t="shared" ca="1" si="476"/>
        <v>0</v>
      </c>
      <c r="BN151" s="164">
        <f t="shared" ca="1" si="477"/>
        <v>0</v>
      </c>
      <c r="BO151" s="356" t="str">
        <f t="shared" ca="1" si="478"/>
        <v/>
      </c>
      <c r="BP151" s="355" t="str">
        <f t="shared" ca="1" si="380"/>
        <v/>
      </c>
      <c r="BQ151" s="355" t="str">
        <f t="shared" ca="1" si="381"/>
        <v/>
      </c>
      <c r="BR151" s="348">
        <f t="shared" ca="1" si="516"/>
        <v>0</v>
      </c>
      <c r="BS151" s="348">
        <f t="shared" ca="1" si="517"/>
        <v>0</v>
      </c>
      <c r="BT151" s="610">
        <f t="shared" ca="1" si="479"/>
        <v>0</v>
      </c>
      <c r="BU151" s="357">
        <f t="shared" ca="1" si="383"/>
        <v>0</v>
      </c>
      <c r="BV151" s="357">
        <f t="shared" si="480"/>
        <v>0</v>
      </c>
      <c r="BW151" s="357">
        <f t="shared" si="481"/>
        <v>0</v>
      </c>
      <c r="BX151" s="357">
        <f t="shared" ca="1" si="482"/>
        <v>0</v>
      </c>
      <c r="BY151" s="357">
        <f t="shared" ca="1" si="522"/>
        <v>0</v>
      </c>
      <c r="BZ151" s="357"/>
      <c r="CA151" s="357">
        <f t="shared" ca="1" si="518"/>
        <v>0</v>
      </c>
      <c r="CB151" s="357" t="str">
        <f t="shared" ca="1" si="483"/>
        <v/>
      </c>
      <c r="CC151" s="358" t="str">
        <f t="shared" ca="1" si="523"/>
        <v/>
      </c>
      <c r="CD151" s="358" t="str">
        <f t="shared" ca="1" si="524"/>
        <v/>
      </c>
      <c r="CE151" s="357" t="str">
        <f t="shared" ca="1" si="513"/>
        <v>,,,,,,,,,,,,,,,,,,,,,,,,,,,,,,,,,,,,,,,,,,,,,,,,,,,,,,,,,,,,,,,,,,,,,,,,,,,,,,,,,,,,,,,,,,,</v>
      </c>
      <c r="CF151" s="154" t="str">
        <f t="shared" si="521"/>
        <v/>
      </c>
      <c r="CG151" s="154">
        <f t="shared" ca="1" si="525"/>
        <v>0</v>
      </c>
      <c r="CH151" s="154"/>
      <c r="CI151" s="154"/>
      <c r="CJ151" s="154"/>
      <c r="CK151" s="154"/>
      <c r="CL151" s="154"/>
      <c r="CM151" s="154"/>
      <c r="CN151" t="s">
        <v>784</v>
      </c>
      <c r="CO151" s="169"/>
      <c r="CP151" s="169"/>
      <c r="CQ151" s="169"/>
      <c r="CR151" s="169"/>
      <c r="CS151" s="169"/>
      <c r="CT151" s="169"/>
      <c r="CU151" s="169"/>
      <c r="CV151" s="164" t="str">
        <f t="shared" ref="CV151:DE160" ca="1" si="526">IF($A151="","",IF(VT_VRTLZBR,CODE("F"),CODE(VLOOKUP($A151,ZAUBERWERTE,10,FALSE))-
SUM($BR151:$CA151,
IF(ISERR(FIND(";"&amp;CV$10&amp;";",$H151)),0,1),
IF(ISERR(FIND(";"&amp;CV$10&amp;":",$H151)),0,VALUE(MID($H151,FIND(";"&amp;CV$10&amp;":",$H151)+LEN(CV$10)+2,1))),
IF(AND(NOT(EXACT($AF$241,"")),OR(CV$10&gt;$CO151,ISBLANK($CO151))),IF($CV$3,IF(ISERROR(FIND($AF$241,$BQ151)),0,1),(LEN($BQ151)-LEN(SUBSTITUTE($BQ151,$AF$241,"")))/LEN($AF$241)),0),
IF(AND(NOT(EXACT($AF$242,"")),OR(CV$10&gt;$CP151,ISBLANK($CP151))),IF($CV$3,IF(ISERROR(FIND($AF$242,$BQ151)),0,1),(LEN($BQ151)-LEN(SUBSTITUTE($BQ151,$AF$242,"")))/LEN($AF$242)),0),
IF(AND(NOT(EXACT($AF$243,"")),OR(CV$10&gt;$CQ151,ISBLANK($CQ151))),IF($CV$3,IF(ISERROR(FIND($AF$243,$BQ151)),0,1),(LEN($BQ151)-LEN(SUBSTITUTE($BQ151,$AF$243,"")))/LEN($AF$243)),0),
IF(AND(NOT(EXACT($AF$244,"")),OR(CV$10&gt;$CR151,ISBLANK($CR151))),IF($CV$3,IF(ISERROR(FIND($AF$244,$BQ151)),0,1),(LEN($BQ151)-LEN(SUBSTITUTE($BQ151,$AF$244,"")))/LEN($AF$244)),0),
IF(AND(NOT(EXACT($AF$245,"")),OR(CV$10&gt;$CS151,ISBLANK($CS151))),IF($CV$3,IF(ISERROR(FIND($AF$245,$BQ151)),0,1),(LEN($BQ151)-LEN(SUBSTITUTE($BQ151,$AF$245,"")))/LEN($AF$245)),0),
IF(AND(NOT(EXACT($AF$246,"")),OR(CV$10&gt;$CT151,ISBLANK($CT151))),IF($CV$3,IF(ISERROR(FIND($AF$246,$BQ151)),0,1),(LEN($BQ151)-LEN(SUBSTITUTE($BQ151,$AF$246,"")))/LEN($AF$246)),0),
IF(AND(NOT(EXACT($AF$247,"")),OR(CV$10&gt;$CU151,ISBLANK($CU151))),IF($CV$3,IF(ISERROR(FIND($AF$247,$BQ151)),0,1),(LEN($BQ151)-LEN(SUBSTITUTE($BQ151,$AF$247,"")))/LEN($AF$247)),0)
)))</f>
        <v/>
      </c>
      <c r="CW151" s="164" t="str">
        <f t="shared" ca="1" si="526"/>
        <v/>
      </c>
      <c r="CX151" s="164" t="str">
        <f t="shared" ca="1" si="526"/>
        <v/>
      </c>
      <c r="CY151" s="164" t="str">
        <f t="shared" ca="1" si="526"/>
        <v/>
      </c>
      <c r="CZ151" s="164" t="str">
        <f t="shared" ca="1" si="526"/>
        <v/>
      </c>
      <c r="DA151" s="164" t="str">
        <f t="shared" ca="1" si="526"/>
        <v/>
      </c>
      <c r="DB151" s="164" t="str">
        <f t="shared" ca="1" si="526"/>
        <v/>
      </c>
      <c r="DC151" s="164" t="str">
        <f t="shared" ca="1" si="526"/>
        <v/>
      </c>
      <c r="DD151" s="164" t="str">
        <f t="shared" ca="1" si="526"/>
        <v/>
      </c>
      <c r="DE151" s="164" t="str">
        <f t="shared" ca="1" si="526"/>
        <v/>
      </c>
      <c r="DF151" s="164" t="str">
        <f t="shared" ref="DF151:DQ160" ca="1" si="527">IF($A151="","",IF(VT_VRTLZBR,CODE("F"),CODE(VLOOKUP($A151,ZAUBERWERTE,10,FALSE))-
SUM($BR151:$CA151,
IF(ISERR(FIND(";"&amp;DF$10&amp;";",$H151)),0,1),
IF(ISERR(FIND(";"&amp;DF$10&amp;":",$H151)),0,VALUE(MID($H151,FIND(";"&amp;DF$10&amp;":",$H151)+LEN(DF$10)+2,1))),
IF(AND(NOT(EXACT($AF$241,"")),OR(DF$10&gt;$CO151,ISBLANK($CO151))),IF($CV$3,IF(ISERROR(FIND($AF$241,$BQ151)),0,1),(LEN($BQ151)-LEN(SUBSTITUTE($BQ151,$AF$241,"")))/LEN($AF$241)),0),
IF(AND(NOT(EXACT($AF$242,"")),OR(DF$10&gt;$CP151,ISBLANK($CP151))),IF($CV$3,IF(ISERROR(FIND($AF$242,$BQ151)),0,1),(LEN($BQ151)-LEN(SUBSTITUTE($BQ151,$AF$242,"")))/LEN($AF$242)),0),
IF(AND(NOT(EXACT($AF$243,"")),OR(DF$10&gt;$CQ151,ISBLANK($CQ151))),IF($CV$3,IF(ISERROR(FIND($AF$243,$BQ151)),0,1),(LEN($BQ151)-LEN(SUBSTITUTE($BQ151,$AF$243,"")))/LEN($AF$243)),0),
IF(AND(NOT(EXACT($AF$244,"")),OR(DF$10&gt;$CR151,ISBLANK($CR151))),IF($CV$3,IF(ISERROR(FIND($AF$244,$BQ151)),0,1),(LEN($BQ151)-LEN(SUBSTITUTE($BQ151,$AF$244,"")))/LEN($AF$244)),0),
IF(AND(NOT(EXACT($AF$245,"")),OR(DF$10&gt;$CS151,ISBLANK($CS151))),IF($CV$3,IF(ISERROR(FIND($AF$245,$BQ151)),0,1),(LEN($BQ151)-LEN(SUBSTITUTE($BQ151,$AF$245,"")))/LEN($AF$245)),0),
IF(AND(NOT(EXACT($AF$246,"")),OR(DF$10&gt;$CT151,ISBLANK($CT151))),IF($CV$3,IF(ISERROR(FIND($AF$246,$BQ151)),0,1),(LEN($BQ151)-LEN(SUBSTITUTE($BQ151,$AF$246,"")))/LEN($AF$246)),0),
IF(AND(NOT(EXACT($AF$247,"")),OR(DF$10&gt;$CU151,ISBLANK($CU151))),IF($CV$3,IF(ISERROR(FIND($AF$247,$BQ151)),0,1),(LEN($BQ151)-LEN(SUBSTITUTE($BQ151,$AF$247,"")))/LEN($AF$247)),0)
)))</f>
        <v/>
      </c>
      <c r="DG151" s="164" t="str">
        <f t="shared" ca="1" si="527"/>
        <v/>
      </c>
      <c r="DH151" s="164" t="str">
        <f t="shared" ca="1" si="527"/>
        <v/>
      </c>
      <c r="DI151" s="164" t="str">
        <f t="shared" ca="1" si="527"/>
        <v/>
      </c>
      <c r="DJ151" s="164" t="str">
        <f t="shared" ca="1" si="527"/>
        <v/>
      </c>
      <c r="DK151" s="164" t="str">
        <f t="shared" ca="1" si="527"/>
        <v/>
      </c>
      <c r="DL151" s="164" t="str">
        <f t="shared" ca="1" si="527"/>
        <v/>
      </c>
      <c r="DM151" s="164" t="str">
        <f t="shared" ca="1" si="527"/>
        <v/>
      </c>
      <c r="DN151" s="164" t="str">
        <f t="shared" ca="1" si="527"/>
        <v/>
      </c>
      <c r="DO151" s="164" t="str">
        <f t="shared" ca="1" si="527"/>
        <v/>
      </c>
      <c r="DP151" s="164" t="str">
        <f t="shared" ca="1" si="527"/>
        <v/>
      </c>
      <c r="DQ151" s="164" t="str">
        <f t="shared" ca="1" si="527"/>
        <v/>
      </c>
      <c r="DR151" s="208"/>
      <c r="DS151" s="164" t="str">
        <f t="shared" ca="1" si="484"/>
        <v/>
      </c>
      <c r="DT151" s="164" t="str">
        <f t="shared" ca="1" si="485"/>
        <v/>
      </c>
      <c r="DU151" s="164" t="str">
        <f t="shared" ca="1" si="486"/>
        <v/>
      </c>
      <c r="DV151" s="164" t="str">
        <f t="shared" ca="1" si="487"/>
        <v/>
      </c>
      <c r="DW151" s="164" t="str">
        <f t="shared" ca="1" si="488"/>
        <v/>
      </c>
      <c r="DX151" s="164" t="str">
        <f t="shared" ca="1" si="489"/>
        <v/>
      </c>
      <c r="DY151" s="164" t="str">
        <f t="shared" ca="1" si="490"/>
        <v/>
      </c>
      <c r="DZ151" s="164" t="str">
        <f t="shared" ca="1" si="491"/>
        <v/>
      </c>
      <c r="EA151" s="164" t="str">
        <f t="shared" ca="1" si="492"/>
        <v/>
      </c>
      <c r="EB151" s="164" t="str">
        <f t="shared" ca="1" si="493"/>
        <v/>
      </c>
      <c r="EC151" s="164" t="str">
        <f t="shared" ca="1" si="494"/>
        <v/>
      </c>
      <c r="ED151" s="164" t="str">
        <f t="shared" ca="1" si="495"/>
        <v/>
      </c>
      <c r="EE151" s="164" t="str">
        <f t="shared" ca="1" si="496"/>
        <v/>
      </c>
      <c r="EF151" s="164" t="str">
        <f t="shared" ca="1" si="497"/>
        <v/>
      </c>
      <c r="EG151" s="164" t="str">
        <f t="shared" ca="1" si="498"/>
        <v/>
      </c>
      <c r="EH151" s="164" t="str">
        <f t="shared" ca="1" si="499"/>
        <v/>
      </c>
      <c r="EI151" s="164" t="str">
        <f t="shared" ca="1" si="500"/>
        <v/>
      </c>
      <c r="EJ151" s="164" t="str">
        <f t="shared" ca="1" si="501"/>
        <v/>
      </c>
      <c r="EK151" s="164" t="str">
        <f t="shared" ca="1" si="502"/>
        <v/>
      </c>
      <c r="EL151" s="164" t="str">
        <f t="shared" ca="1" si="503"/>
        <v/>
      </c>
      <c r="EM151" s="164" t="str">
        <f t="shared" ca="1" si="504"/>
        <v/>
      </c>
      <c r="EN151" s="164" t="str">
        <f t="shared" ca="1" si="505"/>
        <v/>
      </c>
      <c r="EO151" s="164" t="str">
        <f t="shared" ca="1" si="506"/>
        <v/>
      </c>
      <c r="EP151" s="164" t="str">
        <f t="shared" ca="1" si="507"/>
        <v/>
      </c>
      <c r="EQ151" s="164" t="str">
        <f t="shared" ca="1" si="508"/>
        <v/>
      </c>
      <c r="ER151" s="164" t="str">
        <f t="shared" ca="1" si="509"/>
        <v/>
      </c>
      <c r="ES151" s="164" t="str">
        <f t="shared" ca="1" si="510"/>
        <v/>
      </c>
    </row>
    <row r="152" spans="1:149" outlineLevel="1" x14ac:dyDescent="0.2">
      <c r="A152" s="89" t="str">
        <f t="shared" ca="1" si="511"/>
        <v/>
      </c>
      <c r="B152" s="317" t="str">
        <f t="shared" ca="1" si="423"/>
        <v/>
      </c>
      <c r="C152" s="609" t="str">
        <f t="shared" ca="1" si="424"/>
        <v/>
      </c>
      <c r="D152" s="1956" t="str">
        <f t="shared" ca="1" si="425"/>
        <v/>
      </c>
      <c r="E152" s="1956"/>
      <c r="F152" s="960"/>
      <c r="G152" s="485" t="str">
        <f t="shared" ca="1" si="426"/>
        <v/>
      </c>
      <c r="H152" s="983"/>
      <c r="I152" s="486"/>
      <c r="J152" s="326"/>
      <c r="K152" s="1886" t="str">
        <f t="shared" ca="1" si="427"/>
        <v/>
      </c>
      <c r="L152" s="1888"/>
      <c r="M152" s="296" t="str">
        <f t="shared" ca="1" si="512"/>
        <v/>
      </c>
      <c r="N152" s="1322"/>
      <c r="O152" s="1319"/>
      <c r="P152" s="957" t="str">
        <f t="shared" ca="1" si="428"/>
        <v/>
      </c>
      <c r="Q152" s="164">
        <f t="shared" si="429"/>
        <v>0</v>
      </c>
      <c r="R152" s="164">
        <f t="shared" ca="1" si="430"/>
        <v>0</v>
      </c>
      <c r="S152" s="164">
        <f t="shared" ca="1" si="431"/>
        <v>0</v>
      </c>
      <c r="T152" s="164">
        <f t="shared" ca="1" si="432"/>
        <v>0</v>
      </c>
      <c r="U152" s="164">
        <f t="shared" ca="1" si="433"/>
        <v>0</v>
      </c>
      <c r="V152" s="164">
        <f t="shared" ca="1" si="434"/>
        <v>0</v>
      </c>
      <c r="W152" s="164">
        <f t="shared" ca="1" si="435"/>
        <v>0</v>
      </c>
      <c r="X152" s="164">
        <f t="shared" ca="1" si="436"/>
        <v>0</v>
      </c>
      <c r="Y152" s="164">
        <f t="shared" ca="1" si="437"/>
        <v>0</v>
      </c>
      <c r="Z152" s="164">
        <f t="shared" ca="1" si="438"/>
        <v>0</v>
      </c>
      <c r="AA152" s="164">
        <f t="shared" ca="1" si="439"/>
        <v>0</v>
      </c>
      <c r="AB152" s="164">
        <f t="shared" ca="1" si="440"/>
        <v>0</v>
      </c>
      <c r="AC152" s="164">
        <f t="shared" ca="1" si="441"/>
        <v>0</v>
      </c>
      <c r="AD152" s="164">
        <f t="shared" ca="1" si="442"/>
        <v>0</v>
      </c>
      <c r="AE152" s="164">
        <f t="shared" ca="1" si="443"/>
        <v>0</v>
      </c>
      <c r="AF152" s="164">
        <f t="shared" ca="1" si="444"/>
        <v>0</v>
      </c>
      <c r="AG152" s="164">
        <f t="shared" ca="1" si="445"/>
        <v>0</v>
      </c>
      <c r="AH152" s="164">
        <f t="shared" ca="1" si="446"/>
        <v>0</v>
      </c>
      <c r="AI152" s="164">
        <f t="shared" ca="1" si="447"/>
        <v>0</v>
      </c>
      <c r="AJ152" s="164">
        <f t="shared" ca="1" si="448"/>
        <v>0</v>
      </c>
      <c r="AK152" s="164">
        <f t="shared" ca="1" si="449"/>
        <v>0</v>
      </c>
      <c r="AL152" s="164">
        <f t="shared" ca="1" si="450"/>
        <v>0</v>
      </c>
      <c r="AM152" s="208"/>
      <c r="AN152" s="164">
        <f t="shared" si="451"/>
        <v>0</v>
      </c>
      <c r="AO152" s="164">
        <f t="shared" ca="1" si="452"/>
        <v>0</v>
      </c>
      <c r="AP152" s="164">
        <f t="shared" ca="1" si="453"/>
        <v>0</v>
      </c>
      <c r="AQ152" s="164">
        <f t="shared" ca="1" si="454"/>
        <v>0</v>
      </c>
      <c r="AR152" s="164">
        <f t="shared" ca="1" si="455"/>
        <v>0</v>
      </c>
      <c r="AS152" s="164">
        <f t="shared" ca="1" si="456"/>
        <v>0</v>
      </c>
      <c r="AT152" s="164">
        <f t="shared" ca="1" si="457"/>
        <v>0</v>
      </c>
      <c r="AU152" s="164">
        <f t="shared" ca="1" si="458"/>
        <v>0</v>
      </c>
      <c r="AV152" s="164">
        <f t="shared" ca="1" si="459"/>
        <v>0</v>
      </c>
      <c r="AW152" s="164">
        <f t="shared" ca="1" si="460"/>
        <v>0</v>
      </c>
      <c r="AX152" s="164">
        <f t="shared" ca="1" si="461"/>
        <v>0</v>
      </c>
      <c r="AY152" s="164">
        <f t="shared" ca="1" si="462"/>
        <v>0</v>
      </c>
      <c r="AZ152" s="164">
        <f t="shared" ca="1" si="463"/>
        <v>0</v>
      </c>
      <c r="BA152" s="164">
        <f t="shared" ca="1" si="464"/>
        <v>0</v>
      </c>
      <c r="BB152" s="164">
        <f t="shared" ca="1" si="465"/>
        <v>0</v>
      </c>
      <c r="BC152" s="164">
        <f t="shared" ca="1" si="466"/>
        <v>0</v>
      </c>
      <c r="BD152" s="164">
        <f t="shared" ca="1" si="467"/>
        <v>0</v>
      </c>
      <c r="BE152" s="164">
        <f t="shared" ca="1" si="468"/>
        <v>0</v>
      </c>
      <c r="BF152" s="164">
        <f t="shared" ca="1" si="469"/>
        <v>0</v>
      </c>
      <c r="BG152" s="164">
        <f t="shared" ca="1" si="470"/>
        <v>0</v>
      </c>
      <c r="BH152" s="164">
        <f t="shared" ca="1" si="471"/>
        <v>0</v>
      </c>
      <c r="BI152" s="164">
        <f t="shared" ca="1" si="472"/>
        <v>0</v>
      </c>
      <c r="BJ152" s="164">
        <f t="shared" ca="1" si="473"/>
        <v>0</v>
      </c>
      <c r="BK152" s="164">
        <f t="shared" ca="1" si="474"/>
        <v>0</v>
      </c>
      <c r="BL152" s="164">
        <f t="shared" ca="1" si="475"/>
        <v>0</v>
      </c>
      <c r="BM152" s="164">
        <f t="shared" ca="1" si="476"/>
        <v>0</v>
      </c>
      <c r="BN152" s="164">
        <f t="shared" ca="1" si="477"/>
        <v>0</v>
      </c>
      <c r="BO152" s="356" t="str">
        <f t="shared" ca="1" si="478"/>
        <v/>
      </c>
      <c r="BP152" s="355" t="str">
        <f t="shared" ca="1" si="380"/>
        <v/>
      </c>
      <c r="BQ152" s="355" t="str">
        <f t="shared" ca="1" si="381"/>
        <v/>
      </c>
      <c r="BR152" s="348">
        <f t="shared" ca="1" si="516"/>
        <v>0</v>
      </c>
      <c r="BS152" s="348">
        <f t="shared" ca="1" si="517"/>
        <v>0</v>
      </c>
      <c r="BT152" s="610">
        <f t="shared" ca="1" si="479"/>
        <v>0</v>
      </c>
      <c r="BU152" s="357">
        <f t="shared" ca="1" si="383"/>
        <v>0</v>
      </c>
      <c r="BV152" s="357">
        <f t="shared" si="480"/>
        <v>0</v>
      </c>
      <c r="BW152" s="357">
        <f t="shared" si="481"/>
        <v>0</v>
      </c>
      <c r="BX152" s="357">
        <f t="shared" ca="1" si="482"/>
        <v>0</v>
      </c>
      <c r="BY152" s="357">
        <f t="shared" ca="1" si="522"/>
        <v>0</v>
      </c>
      <c r="BZ152" s="357"/>
      <c r="CA152" s="357">
        <f t="shared" ca="1" si="518"/>
        <v>0</v>
      </c>
      <c r="CB152" s="357" t="str">
        <f t="shared" ca="1" si="483"/>
        <v/>
      </c>
      <c r="CC152" s="358" t="str">
        <f t="shared" ca="1" si="523"/>
        <v/>
      </c>
      <c r="CD152" s="358" t="str">
        <f t="shared" ca="1" si="524"/>
        <v/>
      </c>
      <c r="CE152" s="357" t="str">
        <f t="shared" ca="1" si="513"/>
        <v>,,,,,,,,,,,,,,,,,,,,,,,,,,,,,,,,,,,,,,,,,,,,,,,,,,,,,,,,,,,,,,,,,,,,,,,,,,,,,,,,,,,,,,,,,,,,</v>
      </c>
      <c r="CF152" s="154" t="str">
        <f t="shared" si="521"/>
        <v/>
      </c>
      <c r="CG152" s="154">
        <f t="shared" ca="1" si="525"/>
        <v>0</v>
      </c>
      <c r="CH152" s="154"/>
      <c r="CI152" s="154"/>
      <c r="CJ152" s="154"/>
      <c r="CK152" s="154"/>
      <c r="CL152" s="154"/>
      <c r="CM152" s="154"/>
      <c r="CN152" t="s">
        <v>784</v>
      </c>
      <c r="CO152" s="169"/>
      <c r="CP152" s="169"/>
      <c r="CQ152" s="169"/>
      <c r="CR152" s="169"/>
      <c r="CS152" s="169"/>
      <c r="CT152" s="169"/>
      <c r="CU152" s="169"/>
      <c r="CV152" s="164" t="str">
        <f t="shared" ca="1" si="526"/>
        <v/>
      </c>
      <c r="CW152" s="164" t="str">
        <f t="shared" ca="1" si="526"/>
        <v/>
      </c>
      <c r="CX152" s="164" t="str">
        <f t="shared" ca="1" si="526"/>
        <v/>
      </c>
      <c r="CY152" s="164" t="str">
        <f t="shared" ca="1" si="526"/>
        <v/>
      </c>
      <c r="CZ152" s="164" t="str">
        <f t="shared" ca="1" si="526"/>
        <v/>
      </c>
      <c r="DA152" s="164" t="str">
        <f t="shared" ca="1" si="526"/>
        <v/>
      </c>
      <c r="DB152" s="164" t="str">
        <f t="shared" ca="1" si="526"/>
        <v/>
      </c>
      <c r="DC152" s="164" t="str">
        <f t="shared" ca="1" si="526"/>
        <v/>
      </c>
      <c r="DD152" s="164" t="str">
        <f t="shared" ca="1" si="526"/>
        <v/>
      </c>
      <c r="DE152" s="164" t="str">
        <f t="shared" ca="1" si="526"/>
        <v/>
      </c>
      <c r="DF152" s="164" t="str">
        <f t="shared" ca="1" si="527"/>
        <v/>
      </c>
      <c r="DG152" s="164" t="str">
        <f t="shared" ca="1" si="527"/>
        <v/>
      </c>
      <c r="DH152" s="164" t="str">
        <f t="shared" ca="1" si="527"/>
        <v/>
      </c>
      <c r="DI152" s="164" t="str">
        <f t="shared" ca="1" si="527"/>
        <v/>
      </c>
      <c r="DJ152" s="164" t="str">
        <f t="shared" ca="1" si="527"/>
        <v/>
      </c>
      <c r="DK152" s="164" t="str">
        <f t="shared" ca="1" si="527"/>
        <v/>
      </c>
      <c r="DL152" s="164" t="str">
        <f t="shared" ca="1" si="527"/>
        <v/>
      </c>
      <c r="DM152" s="164" t="str">
        <f t="shared" ca="1" si="527"/>
        <v/>
      </c>
      <c r="DN152" s="164" t="str">
        <f t="shared" ca="1" si="527"/>
        <v/>
      </c>
      <c r="DO152" s="164" t="str">
        <f t="shared" ca="1" si="527"/>
        <v/>
      </c>
      <c r="DP152" s="164" t="str">
        <f t="shared" ca="1" si="527"/>
        <v/>
      </c>
      <c r="DQ152" s="164" t="str">
        <f t="shared" ca="1" si="527"/>
        <v/>
      </c>
      <c r="DR152" s="208"/>
      <c r="DS152" s="164" t="str">
        <f t="shared" ca="1" si="484"/>
        <v/>
      </c>
      <c r="DT152" s="164" t="str">
        <f t="shared" ca="1" si="485"/>
        <v/>
      </c>
      <c r="DU152" s="164" t="str">
        <f t="shared" ca="1" si="486"/>
        <v/>
      </c>
      <c r="DV152" s="164" t="str">
        <f t="shared" ca="1" si="487"/>
        <v/>
      </c>
      <c r="DW152" s="164" t="str">
        <f t="shared" ca="1" si="488"/>
        <v/>
      </c>
      <c r="DX152" s="164" t="str">
        <f t="shared" ca="1" si="489"/>
        <v/>
      </c>
      <c r="DY152" s="164" t="str">
        <f t="shared" ca="1" si="490"/>
        <v/>
      </c>
      <c r="DZ152" s="164" t="str">
        <f t="shared" ca="1" si="491"/>
        <v/>
      </c>
      <c r="EA152" s="164" t="str">
        <f t="shared" ca="1" si="492"/>
        <v/>
      </c>
      <c r="EB152" s="164" t="str">
        <f t="shared" ca="1" si="493"/>
        <v/>
      </c>
      <c r="EC152" s="164" t="str">
        <f t="shared" ca="1" si="494"/>
        <v/>
      </c>
      <c r="ED152" s="164" t="str">
        <f t="shared" ca="1" si="495"/>
        <v/>
      </c>
      <c r="EE152" s="164" t="str">
        <f t="shared" ca="1" si="496"/>
        <v/>
      </c>
      <c r="EF152" s="164" t="str">
        <f t="shared" ca="1" si="497"/>
        <v/>
      </c>
      <c r="EG152" s="164" t="str">
        <f t="shared" ca="1" si="498"/>
        <v/>
      </c>
      <c r="EH152" s="164" t="str">
        <f t="shared" ca="1" si="499"/>
        <v/>
      </c>
      <c r="EI152" s="164" t="str">
        <f t="shared" ca="1" si="500"/>
        <v/>
      </c>
      <c r="EJ152" s="164" t="str">
        <f t="shared" ca="1" si="501"/>
        <v/>
      </c>
      <c r="EK152" s="164" t="str">
        <f t="shared" ca="1" si="502"/>
        <v/>
      </c>
      <c r="EL152" s="164" t="str">
        <f t="shared" ca="1" si="503"/>
        <v/>
      </c>
      <c r="EM152" s="164" t="str">
        <f t="shared" ca="1" si="504"/>
        <v/>
      </c>
      <c r="EN152" s="164" t="str">
        <f t="shared" ca="1" si="505"/>
        <v/>
      </c>
      <c r="EO152" s="164" t="str">
        <f t="shared" ca="1" si="506"/>
        <v/>
      </c>
      <c r="EP152" s="164" t="str">
        <f t="shared" ca="1" si="507"/>
        <v/>
      </c>
      <c r="EQ152" s="164" t="str">
        <f t="shared" ca="1" si="508"/>
        <v/>
      </c>
      <c r="ER152" s="164" t="str">
        <f t="shared" ca="1" si="509"/>
        <v/>
      </c>
      <c r="ES152" s="164" t="str">
        <f t="shared" ca="1" si="510"/>
        <v/>
      </c>
    </row>
    <row r="153" spans="1:149" outlineLevel="1" x14ac:dyDescent="0.2">
      <c r="A153" s="89" t="str">
        <f t="shared" ca="1" si="511"/>
        <v/>
      </c>
      <c r="B153" s="317" t="str">
        <f t="shared" ca="1" si="423"/>
        <v/>
      </c>
      <c r="C153" s="609" t="str">
        <f t="shared" ca="1" si="424"/>
        <v/>
      </c>
      <c r="D153" s="1956" t="str">
        <f t="shared" ca="1" si="425"/>
        <v/>
      </c>
      <c r="E153" s="1956"/>
      <c r="F153" s="960"/>
      <c r="G153" s="485" t="str">
        <f t="shared" ca="1" si="426"/>
        <v/>
      </c>
      <c r="H153" s="983"/>
      <c r="I153" s="486"/>
      <c r="J153" s="326"/>
      <c r="K153" s="1886" t="str">
        <f t="shared" ca="1" si="427"/>
        <v/>
      </c>
      <c r="L153" s="1888"/>
      <c r="M153" s="296" t="str">
        <f t="shared" ca="1" si="512"/>
        <v/>
      </c>
      <c r="N153" s="1322"/>
      <c r="O153" s="1319"/>
      <c r="P153" s="957" t="str">
        <f t="shared" ca="1" si="428"/>
        <v/>
      </c>
      <c r="Q153" s="164">
        <f t="shared" si="429"/>
        <v>0</v>
      </c>
      <c r="R153" s="164">
        <f t="shared" ca="1" si="430"/>
        <v>0</v>
      </c>
      <c r="S153" s="164">
        <f t="shared" ca="1" si="431"/>
        <v>0</v>
      </c>
      <c r="T153" s="164">
        <f t="shared" ca="1" si="432"/>
        <v>0</v>
      </c>
      <c r="U153" s="164">
        <f t="shared" ca="1" si="433"/>
        <v>0</v>
      </c>
      <c r="V153" s="164">
        <f t="shared" ca="1" si="434"/>
        <v>0</v>
      </c>
      <c r="W153" s="164">
        <f t="shared" ca="1" si="435"/>
        <v>0</v>
      </c>
      <c r="X153" s="164">
        <f t="shared" ca="1" si="436"/>
        <v>0</v>
      </c>
      <c r="Y153" s="164">
        <f t="shared" ca="1" si="437"/>
        <v>0</v>
      </c>
      <c r="Z153" s="164">
        <f t="shared" ca="1" si="438"/>
        <v>0</v>
      </c>
      <c r="AA153" s="164">
        <f t="shared" ca="1" si="439"/>
        <v>0</v>
      </c>
      <c r="AB153" s="164">
        <f t="shared" ca="1" si="440"/>
        <v>0</v>
      </c>
      <c r="AC153" s="164">
        <f t="shared" ca="1" si="441"/>
        <v>0</v>
      </c>
      <c r="AD153" s="164">
        <f t="shared" ca="1" si="442"/>
        <v>0</v>
      </c>
      <c r="AE153" s="164">
        <f t="shared" ca="1" si="443"/>
        <v>0</v>
      </c>
      <c r="AF153" s="164">
        <f t="shared" ca="1" si="444"/>
        <v>0</v>
      </c>
      <c r="AG153" s="164">
        <f t="shared" ca="1" si="445"/>
        <v>0</v>
      </c>
      <c r="AH153" s="164">
        <f t="shared" ca="1" si="446"/>
        <v>0</v>
      </c>
      <c r="AI153" s="164">
        <f t="shared" ca="1" si="447"/>
        <v>0</v>
      </c>
      <c r="AJ153" s="164">
        <f t="shared" ca="1" si="448"/>
        <v>0</v>
      </c>
      <c r="AK153" s="164">
        <f t="shared" ca="1" si="449"/>
        <v>0</v>
      </c>
      <c r="AL153" s="164">
        <f t="shared" ca="1" si="450"/>
        <v>0</v>
      </c>
      <c r="AM153" s="208"/>
      <c r="AN153" s="164">
        <f t="shared" si="451"/>
        <v>0</v>
      </c>
      <c r="AO153" s="164">
        <f t="shared" ca="1" si="452"/>
        <v>0</v>
      </c>
      <c r="AP153" s="164">
        <f t="shared" ca="1" si="453"/>
        <v>0</v>
      </c>
      <c r="AQ153" s="164">
        <f t="shared" ca="1" si="454"/>
        <v>0</v>
      </c>
      <c r="AR153" s="164">
        <f t="shared" ca="1" si="455"/>
        <v>0</v>
      </c>
      <c r="AS153" s="164">
        <f t="shared" ca="1" si="456"/>
        <v>0</v>
      </c>
      <c r="AT153" s="164">
        <f t="shared" ca="1" si="457"/>
        <v>0</v>
      </c>
      <c r="AU153" s="164">
        <f t="shared" ca="1" si="458"/>
        <v>0</v>
      </c>
      <c r="AV153" s="164">
        <f t="shared" ca="1" si="459"/>
        <v>0</v>
      </c>
      <c r="AW153" s="164">
        <f t="shared" ca="1" si="460"/>
        <v>0</v>
      </c>
      <c r="AX153" s="164">
        <f t="shared" ca="1" si="461"/>
        <v>0</v>
      </c>
      <c r="AY153" s="164">
        <f t="shared" ca="1" si="462"/>
        <v>0</v>
      </c>
      <c r="AZ153" s="164">
        <f t="shared" ca="1" si="463"/>
        <v>0</v>
      </c>
      <c r="BA153" s="164">
        <f t="shared" ca="1" si="464"/>
        <v>0</v>
      </c>
      <c r="BB153" s="164">
        <f t="shared" ca="1" si="465"/>
        <v>0</v>
      </c>
      <c r="BC153" s="164">
        <f t="shared" ca="1" si="466"/>
        <v>0</v>
      </c>
      <c r="BD153" s="164">
        <f t="shared" ca="1" si="467"/>
        <v>0</v>
      </c>
      <c r="BE153" s="164">
        <f t="shared" ca="1" si="468"/>
        <v>0</v>
      </c>
      <c r="BF153" s="164">
        <f t="shared" ca="1" si="469"/>
        <v>0</v>
      </c>
      <c r="BG153" s="164">
        <f t="shared" ca="1" si="470"/>
        <v>0</v>
      </c>
      <c r="BH153" s="164">
        <f t="shared" ca="1" si="471"/>
        <v>0</v>
      </c>
      <c r="BI153" s="164">
        <f t="shared" ca="1" si="472"/>
        <v>0</v>
      </c>
      <c r="BJ153" s="164">
        <f t="shared" ca="1" si="473"/>
        <v>0</v>
      </c>
      <c r="BK153" s="164">
        <f t="shared" ca="1" si="474"/>
        <v>0</v>
      </c>
      <c r="BL153" s="164">
        <f t="shared" ca="1" si="475"/>
        <v>0</v>
      </c>
      <c r="BM153" s="164">
        <f t="shared" ca="1" si="476"/>
        <v>0</v>
      </c>
      <c r="BN153" s="164">
        <f t="shared" ca="1" si="477"/>
        <v>0</v>
      </c>
      <c r="BO153" s="356" t="str">
        <f t="shared" ca="1" si="478"/>
        <v/>
      </c>
      <c r="BP153" s="355" t="str">
        <f t="shared" ca="1" si="380"/>
        <v/>
      </c>
      <c r="BQ153" s="355" t="str">
        <f t="shared" ca="1" si="381"/>
        <v/>
      </c>
      <c r="BR153" s="348">
        <f t="shared" ca="1" si="516"/>
        <v>0</v>
      </c>
      <c r="BS153" s="348">
        <f t="shared" ca="1" si="517"/>
        <v>0</v>
      </c>
      <c r="BT153" s="610">
        <f t="shared" ca="1" si="479"/>
        <v>0</v>
      </c>
      <c r="BU153" s="357">
        <f t="shared" ca="1" si="383"/>
        <v>0</v>
      </c>
      <c r="BV153" s="357">
        <f t="shared" si="480"/>
        <v>0</v>
      </c>
      <c r="BW153" s="357">
        <f t="shared" si="481"/>
        <v>0</v>
      </c>
      <c r="BX153" s="357">
        <f t="shared" ca="1" si="482"/>
        <v>0</v>
      </c>
      <c r="BY153" s="357">
        <f t="shared" ca="1" si="522"/>
        <v>0</v>
      </c>
      <c r="BZ153" s="357"/>
      <c r="CA153" s="357">
        <f t="shared" ca="1" si="518"/>
        <v>0</v>
      </c>
      <c r="CB153" s="357" t="str">
        <f t="shared" ca="1" si="483"/>
        <v/>
      </c>
      <c r="CC153" s="358" t="str">
        <f t="shared" ca="1" si="523"/>
        <v/>
      </c>
      <c r="CD153" s="358" t="str">
        <f t="shared" ca="1" si="524"/>
        <v/>
      </c>
      <c r="CE153" s="357" t="str">
        <f t="shared" ca="1" si="513"/>
        <v>,,,,,,,,,,,,,,,,,,,,,,,,,,,,,,,,,,,,,,,,,,,,,,,,,,,,,,,,,,,,,,,,,,,,,,,,,,,,,,,,,,,,,,,,,,,,,</v>
      </c>
      <c r="CF153" s="154" t="str">
        <f t="shared" si="521"/>
        <v/>
      </c>
      <c r="CG153" s="154">
        <f t="shared" ca="1" si="525"/>
        <v>0</v>
      </c>
      <c r="CH153" s="154"/>
      <c r="CI153" s="154"/>
      <c r="CJ153" s="154"/>
      <c r="CK153" s="154"/>
      <c r="CL153" s="154"/>
      <c r="CM153" s="154"/>
      <c r="CN153" t="s">
        <v>784</v>
      </c>
      <c r="CO153" s="169"/>
      <c r="CP153" s="169"/>
      <c r="CQ153" s="169"/>
      <c r="CR153" s="169"/>
      <c r="CS153" s="169"/>
      <c r="CT153" s="169"/>
      <c r="CU153" s="169"/>
      <c r="CV153" s="164" t="str">
        <f t="shared" ca="1" si="526"/>
        <v/>
      </c>
      <c r="CW153" s="164" t="str">
        <f t="shared" ca="1" si="526"/>
        <v/>
      </c>
      <c r="CX153" s="164" t="str">
        <f t="shared" ca="1" si="526"/>
        <v/>
      </c>
      <c r="CY153" s="164" t="str">
        <f t="shared" ca="1" si="526"/>
        <v/>
      </c>
      <c r="CZ153" s="164" t="str">
        <f t="shared" ca="1" si="526"/>
        <v/>
      </c>
      <c r="DA153" s="164" t="str">
        <f t="shared" ca="1" si="526"/>
        <v/>
      </c>
      <c r="DB153" s="164" t="str">
        <f t="shared" ca="1" si="526"/>
        <v/>
      </c>
      <c r="DC153" s="164" t="str">
        <f t="shared" ca="1" si="526"/>
        <v/>
      </c>
      <c r="DD153" s="164" t="str">
        <f t="shared" ca="1" si="526"/>
        <v/>
      </c>
      <c r="DE153" s="164" t="str">
        <f t="shared" ca="1" si="526"/>
        <v/>
      </c>
      <c r="DF153" s="164" t="str">
        <f t="shared" ca="1" si="527"/>
        <v/>
      </c>
      <c r="DG153" s="164" t="str">
        <f t="shared" ca="1" si="527"/>
        <v/>
      </c>
      <c r="DH153" s="164" t="str">
        <f t="shared" ca="1" si="527"/>
        <v/>
      </c>
      <c r="DI153" s="164" t="str">
        <f t="shared" ca="1" si="527"/>
        <v/>
      </c>
      <c r="DJ153" s="164" t="str">
        <f t="shared" ca="1" si="527"/>
        <v/>
      </c>
      <c r="DK153" s="164" t="str">
        <f t="shared" ca="1" si="527"/>
        <v/>
      </c>
      <c r="DL153" s="164" t="str">
        <f t="shared" ca="1" si="527"/>
        <v/>
      </c>
      <c r="DM153" s="164" t="str">
        <f t="shared" ca="1" si="527"/>
        <v/>
      </c>
      <c r="DN153" s="164" t="str">
        <f t="shared" ca="1" si="527"/>
        <v/>
      </c>
      <c r="DO153" s="164" t="str">
        <f t="shared" ca="1" si="527"/>
        <v/>
      </c>
      <c r="DP153" s="164" t="str">
        <f t="shared" ca="1" si="527"/>
        <v/>
      </c>
      <c r="DQ153" s="164" t="str">
        <f t="shared" ca="1" si="527"/>
        <v/>
      </c>
      <c r="DR153" s="208"/>
      <c r="DS153" s="164" t="str">
        <f t="shared" ca="1" si="484"/>
        <v/>
      </c>
      <c r="DT153" s="164" t="str">
        <f t="shared" ca="1" si="485"/>
        <v/>
      </c>
      <c r="DU153" s="164" t="str">
        <f t="shared" ca="1" si="486"/>
        <v/>
      </c>
      <c r="DV153" s="164" t="str">
        <f t="shared" ca="1" si="487"/>
        <v/>
      </c>
      <c r="DW153" s="164" t="str">
        <f t="shared" ca="1" si="488"/>
        <v/>
      </c>
      <c r="DX153" s="164" t="str">
        <f t="shared" ca="1" si="489"/>
        <v/>
      </c>
      <c r="DY153" s="164" t="str">
        <f t="shared" ca="1" si="490"/>
        <v/>
      </c>
      <c r="DZ153" s="164" t="str">
        <f t="shared" ca="1" si="491"/>
        <v/>
      </c>
      <c r="EA153" s="164" t="str">
        <f t="shared" ca="1" si="492"/>
        <v/>
      </c>
      <c r="EB153" s="164" t="str">
        <f t="shared" ca="1" si="493"/>
        <v/>
      </c>
      <c r="EC153" s="164" t="str">
        <f t="shared" ca="1" si="494"/>
        <v/>
      </c>
      <c r="ED153" s="164" t="str">
        <f t="shared" ca="1" si="495"/>
        <v/>
      </c>
      <c r="EE153" s="164" t="str">
        <f t="shared" ca="1" si="496"/>
        <v/>
      </c>
      <c r="EF153" s="164" t="str">
        <f t="shared" ca="1" si="497"/>
        <v/>
      </c>
      <c r="EG153" s="164" t="str">
        <f t="shared" ca="1" si="498"/>
        <v/>
      </c>
      <c r="EH153" s="164" t="str">
        <f t="shared" ca="1" si="499"/>
        <v/>
      </c>
      <c r="EI153" s="164" t="str">
        <f t="shared" ca="1" si="500"/>
        <v/>
      </c>
      <c r="EJ153" s="164" t="str">
        <f t="shared" ca="1" si="501"/>
        <v/>
      </c>
      <c r="EK153" s="164" t="str">
        <f t="shared" ca="1" si="502"/>
        <v/>
      </c>
      <c r="EL153" s="164" t="str">
        <f t="shared" ca="1" si="503"/>
        <v/>
      </c>
      <c r="EM153" s="164" t="str">
        <f t="shared" ca="1" si="504"/>
        <v/>
      </c>
      <c r="EN153" s="164" t="str">
        <f t="shared" ca="1" si="505"/>
        <v/>
      </c>
      <c r="EO153" s="164" t="str">
        <f t="shared" ca="1" si="506"/>
        <v/>
      </c>
      <c r="EP153" s="164" t="str">
        <f t="shared" ca="1" si="507"/>
        <v/>
      </c>
      <c r="EQ153" s="164" t="str">
        <f t="shared" ca="1" si="508"/>
        <v/>
      </c>
      <c r="ER153" s="164" t="str">
        <f t="shared" ca="1" si="509"/>
        <v/>
      </c>
      <c r="ES153" s="164" t="str">
        <f t="shared" ca="1" si="510"/>
        <v/>
      </c>
    </row>
    <row r="154" spans="1:149" outlineLevel="1" x14ac:dyDescent="0.2">
      <c r="A154" s="89" t="str">
        <f t="shared" ca="1" si="511"/>
        <v/>
      </c>
      <c r="B154" s="317" t="str">
        <f t="shared" ca="1" si="423"/>
        <v/>
      </c>
      <c r="C154" s="609" t="str">
        <f t="shared" ca="1" si="424"/>
        <v/>
      </c>
      <c r="D154" s="1956" t="str">
        <f t="shared" ca="1" si="425"/>
        <v/>
      </c>
      <c r="E154" s="1956"/>
      <c r="F154" s="960"/>
      <c r="G154" s="485" t="str">
        <f t="shared" ca="1" si="426"/>
        <v/>
      </c>
      <c r="H154" s="983"/>
      <c r="I154" s="486"/>
      <c r="J154" s="326"/>
      <c r="K154" s="1886" t="str">
        <f t="shared" ca="1" si="427"/>
        <v/>
      </c>
      <c r="L154" s="1888"/>
      <c r="M154" s="296" t="str">
        <f t="shared" ca="1" si="512"/>
        <v/>
      </c>
      <c r="N154" s="1322"/>
      <c r="O154" s="1319"/>
      <c r="P154" s="957" t="str">
        <f t="shared" ca="1" si="428"/>
        <v/>
      </c>
      <c r="Q154" s="164">
        <f t="shared" si="429"/>
        <v>0</v>
      </c>
      <c r="R154" s="164">
        <f t="shared" ca="1" si="430"/>
        <v>0</v>
      </c>
      <c r="S154" s="164">
        <f t="shared" ca="1" si="431"/>
        <v>0</v>
      </c>
      <c r="T154" s="164">
        <f t="shared" ca="1" si="432"/>
        <v>0</v>
      </c>
      <c r="U154" s="164">
        <f t="shared" ca="1" si="433"/>
        <v>0</v>
      </c>
      <c r="V154" s="164">
        <f t="shared" ca="1" si="434"/>
        <v>0</v>
      </c>
      <c r="W154" s="164">
        <f t="shared" ca="1" si="435"/>
        <v>0</v>
      </c>
      <c r="X154" s="164">
        <f t="shared" ca="1" si="436"/>
        <v>0</v>
      </c>
      <c r="Y154" s="164">
        <f t="shared" ca="1" si="437"/>
        <v>0</v>
      </c>
      <c r="Z154" s="164">
        <f t="shared" ca="1" si="438"/>
        <v>0</v>
      </c>
      <c r="AA154" s="164">
        <f t="shared" ca="1" si="439"/>
        <v>0</v>
      </c>
      <c r="AB154" s="164">
        <f t="shared" ca="1" si="440"/>
        <v>0</v>
      </c>
      <c r="AC154" s="164">
        <f t="shared" ca="1" si="441"/>
        <v>0</v>
      </c>
      <c r="AD154" s="164">
        <f t="shared" ca="1" si="442"/>
        <v>0</v>
      </c>
      <c r="AE154" s="164">
        <f t="shared" ca="1" si="443"/>
        <v>0</v>
      </c>
      <c r="AF154" s="164">
        <f t="shared" ca="1" si="444"/>
        <v>0</v>
      </c>
      <c r="AG154" s="164">
        <f t="shared" ca="1" si="445"/>
        <v>0</v>
      </c>
      <c r="AH154" s="164">
        <f t="shared" ca="1" si="446"/>
        <v>0</v>
      </c>
      <c r="AI154" s="164">
        <f t="shared" ca="1" si="447"/>
        <v>0</v>
      </c>
      <c r="AJ154" s="164">
        <f t="shared" ca="1" si="448"/>
        <v>0</v>
      </c>
      <c r="AK154" s="164">
        <f t="shared" ca="1" si="449"/>
        <v>0</v>
      </c>
      <c r="AL154" s="164">
        <f t="shared" ca="1" si="450"/>
        <v>0</v>
      </c>
      <c r="AM154" s="208"/>
      <c r="AN154" s="164">
        <f t="shared" si="451"/>
        <v>0</v>
      </c>
      <c r="AO154" s="164">
        <f t="shared" ca="1" si="452"/>
        <v>0</v>
      </c>
      <c r="AP154" s="164">
        <f t="shared" ca="1" si="453"/>
        <v>0</v>
      </c>
      <c r="AQ154" s="164">
        <f t="shared" ca="1" si="454"/>
        <v>0</v>
      </c>
      <c r="AR154" s="164">
        <f t="shared" ca="1" si="455"/>
        <v>0</v>
      </c>
      <c r="AS154" s="164">
        <f t="shared" ca="1" si="456"/>
        <v>0</v>
      </c>
      <c r="AT154" s="164">
        <f t="shared" ca="1" si="457"/>
        <v>0</v>
      </c>
      <c r="AU154" s="164">
        <f t="shared" ca="1" si="458"/>
        <v>0</v>
      </c>
      <c r="AV154" s="164">
        <f t="shared" ca="1" si="459"/>
        <v>0</v>
      </c>
      <c r="AW154" s="164">
        <f t="shared" ca="1" si="460"/>
        <v>0</v>
      </c>
      <c r="AX154" s="164">
        <f t="shared" ca="1" si="461"/>
        <v>0</v>
      </c>
      <c r="AY154" s="164">
        <f t="shared" ca="1" si="462"/>
        <v>0</v>
      </c>
      <c r="AZ154" s="164">
        <f t="shared" ca="1" si="463"/>
        <v>0</v>
      </c>
      <c r="BA154" s="164">
        <f t="shared" ca="1" si="464"/>
        <v>0</v>
      </c>
      <c r="BB154" s="164">
        <f t="shared" ca="1" si="465"/>
        <v>0</v>
      </c>
      <c r="BC154" s="164">
        <f t="shared" ca="1" si="466"/>
        <v>0</v>
      </c>
      <c r="BD154" s="164">
        <f t="shared" ca="1" si="467"/>
        <v>0</v>
      </c>
      <c r="BE154" s="164">
        <f t="shared" ca="1" si="468"/>
        <v>0</v>
      </c>
      <c r="BF154" s="164">
        <f t="shared" ca="1" si="469"/>
        <v>0</v>
      </c>
      <c r="BG154" s="164">
        <f t="shared" ca="1" si="470"/>
        <v>0</v>
      </c>
      <c r="BH154" s="164">
        <f t="shared" ca="1" si="471"/>
        <v>0</v>
      </c>
      <c r="BI154" s="164">
        <f t="shared" ca="1" si="472"/>
        <v>0</v>
      </c>
      <c r="BJ154" s="164">
        <f t="shared" ca="1" si="473"/>
        <v>0</v>
      </c>
      <c r="BK154" s="164">
        <f t="shared" ca="1" si="474"/>
        <v>0</v>
      </c>
      <c r="BL154" s="164">
        <f t="shared" ca="1" si="475"/>
        <v>0</v>
      </c>
      <c r="BM154" s="164">
        <f t="shared" ca="1" si="476"/>
        <v>0</v>
      </c>
      <c r="BN154" s="164">
        <f t="shared" ca="1" si="477"/>
        <v>0</v>
      </c>
      <c r="BO154" s="356" t="str">
        <f t="shared" ca="1" si="478"/>
        <v/>
      </c>
      <c r="BP154" s="355" t="str">
        <f t="shared" ca="1" si="380"/>
        <v/>
      </c>
      <c r="BQ154" s="355" t="str">
        <f t="shared" ca="1" si="381"/>
        <v/>
      </c>
      <c r="BR154" s="348">
        <f t="shared" ca="1" si="516"/>
        <v>0</v>
      </c>
      <c r="BS154" s="348">
        <f t="shared" ca="1" si="517"/>
        <v>0</v>
      </c>
      <c r="BT154" s="610">
        <f t="shared" ca="1" si="479"/>
        <v>0</v>
      </c>
      <c r="BU154" s="357">
        <f t="shared" ca="1" si="383"/>
        <v>0</v>
      </c>
      <c r="BV154" s="357">
        <f t="shared" si="480"/>
        <v>0</v>
      </c>
      <c r="BW154" s="357">
        <f t="shared" si="481"/>
        <v>0</v>
      </c>
      <c r="BX154" s="357">
        <f t="shared" ca="1" si="482"/>
        <v>0</v>
      </c>
      <c r="BY154" s="357">
        <f t="shared" ca="1" si="522"/>
        <v>0</v>
      </c>
      <c r="BZ154" s="357"/>
      <c r="CA154" s="357">
        <f t="shared" ca="1" si="518"/>
        <v>0</v>
      </c>
      <c r="CB154" s="357" t="str">
        <f t="shared" ca="1" si="483"/>
        <v/>
      </c>
      <c r="CC154" s="358" t="str">
        <f t="shared" ca="1" si="523"/>
        <v/>
      </c>
      <c r="CD154" s="358" t="str">
        <f t="shared" ca="1" si="524"/>
        <v/>
      </c>
      <c r="CE154" s="357" t="str">
        <f t="shared" ca="1" si="513"/>
        <v>,,,,,,,,,,,,,,,,,,,,,,,,,,,,,,,,,,,,,,,,,,,,,,,,,,,,,,,,,,,,,,,,,,,,,,,,,,,,,,,,,,,,,,,,,,,,,,</v>
      </c>
      <c r="CF154" s="154" t="str">
        <f t="shared" si="521"/>
        <v/>
      </c>
      <c r="CG154" s="154">
        <f t="shared" ca="1" si="525"/>
        <v>0</v>
      </c>
      <c r="CH154" s="154"/>
      <c r="CI154" s="154"/>
      <c r="CJ154" s="154"/>
      <c r="CK154" s="154"/>
      <c r="CL154" s="154"/>
      <c r="CM154" s="154"/>
      <c r="CN154" t="s">
        <v>784</v>
      </c>
      <c r="CO154" s="169"/>
      <c r="CP154" s="169"/>
      <c r="CQ154" s="169"/>
      <c r="CR154" s="169"/>
      <c r="CS154" s="169"/>
      <c r="CT154" s="169"/>
      <c r="CU154" s="169"/>
      <c r="CV154" s="164" t="str">
        <f t="shared" ca="1" si="526"/>
        <v/>
      </c>
      <c r="CW154" s="164" t="str">
        <f t="shared" ca="1" si="526"/>
        <v/>
      </c>
      <c r="CX154" s="164" t="str">
        <f t="shared" ca="1" si="526"/>
        <v/>
      </c>
      <c r="CY154" s="164" t="str">
        <f t="shared" ca="1" si="526"/>
        <v/>
      </c>
      <c r="CZ154" s="164" t="str">
        <f t="shared" ca="1" si="526"/>
        <v/>
      </c>
      <c r="DA154" s="164" t="str">
        <f t="shared" ca="1" si="526"/>
        <v/>
      </c>
      <c r="DB154" s="164" t="str">
        <f t="shared" ca="1" si="526"/>
        <v/>
      </c>
      <c r="DC154" s="164" t="str">
        <f t="shared" ca="1" si="526"/>
        <v/>
      </c>
      <c r="DD154" s="164" t="str">
        <f t="shared" ca="1" si="526"/>
        <v/>
      </c>
      <c r="DE154" s="164" t="str">
        <f t="shared" ca="1" si="526"/>
        <v/>
      </c>
      <c r="DF154" s="164" t="str">
        <f t="shared" ca="1" si="527"/>
        <v/>
      </c>
      <c r="DG154" s="164" t="str">
        <f t="shared" ca="1" si="527"/>
        <v/>
      </c>
      <c r="DH154" s="164" t="str">
        <f t="shared" ca="1" si="527"/>
        <v/>
      </c>
      <c r="DI154" s="164" t="str">
        <f t="shared" ca="1" si="527"/>
        <v/>
      </c>
      <c r="DJ154" s="164" t="str">
        <f t="shared" ca="1" si="527"/>
        <v/>
      </c>
      <c r="DK154" s="164" t="str">
        <f t="shared" ca="1" si="527"/>
        <v/>
      </c>
      <c r="DL154" s="164" t="str">
        <f t="shared" ca="1" si="527"/>
        <v/>
      </c>
      <c r="DM154" s="164" t="str">
        <f t="shared" ca="1" si="527"/>
        <v/>
      </c>
      <c r="DN154" s="164" t="str">
        <f t="shared" ca="1" si="527"/>
        <v/>
      </c>
      <c r="DO154" s="164" t="str">
        <f t="shared" ca="1" si="527"/>
        <v/>
      </c>
      <c r="DP154" s="164" t="str">
        <f t="shared" ca="1" si="527"/>
        <v/>
      </c>
      <c r="DQ154" s="164" t="str">
        <f t="shared" ca="1" si="527"/>
        <v/>
      </c>
      <c r="DR154" s="208"/>
      <c r="DS154" s="164" t="str">
        <f t="shared" ca="1" si="484"/>
        <v/>
      </c>
      <c r="DT154" s="164" t="str">
        <f t="shared" ca="1" si="485"/>
        <v/>
      </c>
      <c r="DU154" s="164" t="str">
        <f t="shared" ca="1" si="486"/>
        <v/>
      </c>
      <c r="DV154" s="164" t="str">
        <f t="shared" ca="1" si="487"/>
        <v/>
      </c>
      <c r="DW154" s="164" t="str">
        <f t="shared" ca="1" si="488"/>
        <v/>
      </c>
      <c r="DX154" s="164" t="str">
        <f t="shared" ca="1" si="489"/>
        <v/>
      </c>
      <c r="DY154" s="164" t="str">
        <f t="shared" ca="1" si="490"/>
        <v/>
      </c>
      <c r="DZ154" s="164" t="str">
        <f t="shared" ca="1" si="491"/>
        <v/>
      </c>
      <c r="EA154" s="164" t="str">
        <f t="shared" ca="1" si="492"/>
        <v/>
      </c>
      <c r="EB154" s="164" t="str">
        <f t="shared" ca="1" si="493"/>
        <v/>
      </c>
      <c r="EC154" s="164" t="str">
        <f t="shared" ca="1" si="494"/>
        <v/>
      </c>
      <c r="ED154" s="164" t="str">
        <f t="shared" ca="1" si="495"/>
        <v/>
      </c>
      <c r="EE154" s="164" t="str">
        <f t="shared" ca="1" si="496"/>
        <v/>
      </c>
      <c r="EF154" s="164" t="str">
        <f t="shared" ca="1" si="497"/>
        <v/>
      </c>
      <c r="EG154" s="164" t="str">
        <f t="shared" ca="1" si="498"/>
        <v/>
      </c>
      <c r="EH154" s="164" t="str">
        <f t="shared" ca="1" si="499"/>
        <v/>
      </c>
      <c r="EI154" s="164" t="str">
        <f t="shared" ca="1" si="500"/>
        <v/>
      </c>
      <c r="EJ154" s="164" t="str">
        <f t="shared" ca="1" si="501"/>
        <v/>
      </c>
      <c r="EK154" s="164" t="str">
        <f t="shared" ca="1" si="502"/>
        <v/>
      </c>
      <c r="EL154" s="164" t="str">
        <f t="shared" ca="1" si="503"/>
        <v/>
      </c>
      <c r="EM154" s="164" t="str">
        <f t="shared" ca="1" si="504"/>
        <v/>
      </c>
      <c r="EN154" s="164" t="str">
        <f t="shared" ca="1" si="505"/>
        <v/>
      </c>
      <c r="EO154" s="164" t="str">
        <f t="shared" ca="1" si="506"/>
        <v/>
      </c>
      <c r="EP154" s="164" t="str">
        <f t="shared" ca="1" si="507"/>
        <v/>
      </c>
      <c r="EQ154" s="164" t="str">
        <f t="shared" ca="1" si="508"/>
        <v/>
      </c>
      <c r="ER154" s="164" t="str">
        <f t="shared" ca="1" si="509"/>
        <v/>
      </c>
      <c r="ES154" s="164" t="str">
        <f t="shared" ca="1" si="510"/>
        <v/>
      </c>
    </row>
    <row r="155" spans="1:149" outlineLevel="1" x14ac:dyDescent="0.2">
      <c r="A155" s="89" t="str">
        <f t="shared" ca="1" si="511"/>
        <v/>
      </c>
      <c r="B155" s="317" t="str">
        <f t="shared" ca="1" si="423"/>
        <v/>
      </c>
      <c r="C155" s="609" t="str">
        <f t="shared" ca="1" si="424"/>
        <v/>
      </c>
      <c r="D155" s="1956" t="str">
        <f t="shared" ca="1" si="425"/>
        <v/>
      </c>
      <c r="E155" s="1956"/>
      <c r="F155" s="960"/>
      <c r="G155" s="485" t="str">
        <f t="shared" ca="1" si="426"/>
        <v/>
      </c>
      <c r="H155" s="983"/>
      <c r="I155" s="486"/>
      <c r="J155" s="326"/>
      <c r="K155" s="1886" t="str">
        <f t="shared" ca="1" si="427"/>
        <v/>
      </c>
      <c r="L155" s="1888"/>
      <c r="M155" s="296" t="str">
        <f t="shared" ca="1" si="512"/>
        <v/>
      </c>
      <c r="N155" s="1322"/>
      <c r="O155" s="1319"/>
      <c r="P155" s="957" t="str">
        <f t="shared" ca="1" si="428"/>
        <v/>
      </c>
      <c r="Q155" s="164">
        <f t="shared" si="429"/>
        <v>0</v>
      </c>
      <c r="R155" s="164">
        <f t="shared" ca="1" si="430"/>
        <v>0</v>
      </c>
      <c r="S155" s="164">
        <f t="shared" ca="1" si="431"/>
        <v>0</v>
      </c>
      <c r="T155" s="164">
        <f t="shared" ca="1" si="432"/>
        <v>0</v>
      </c>
      <c r="U155" s="164">
        <f t="shared" ca="1" si="433"/>
        <v>0</v>
      </c>
      <c r="V155" s="164">
        <f t="shared" ca="1" si="434"/>
        <v>0</v>
      </c>
      <c r="W155" s="164">
        <f t="shared" ca="1" si="435"/>
        <v>0</v>
      </c>
      <c r="X155" s="164">
        <f t="shared" ca="1" si="436"/>
        <v>0</v>
      </c>
      <c r="Y155" s="164">
        <f t="shared" ca="1" si="437"/>
        <v>0</v>
      </c>
      <c r="Z155" s="164">
        <f t="shared" ca="1" si="438"/>
        <v>0</v>
      </c>
      <c r="AA155" s="164">
        <f t="shared" ca="1" si="439"/>
        <v>0</v>
      </c>
      <c r="AB155" s="164">
        <f t="shared" ca="1" si="440"/>
        <v>0</v>
      </c>
      <c r="AC155" s="164">
        <f t="shared" ca="1" si="441"/>
        <v>0</v>
      </c>
      <c r="AD155" s="164">
        <f t="shared" ca="1" si="442"/>
        <v>0</v>
      </c>
      <c r="AE155" s="164">
        <f t="shared" ca="1" si="443"/>
        <v>0</v>
      </c>
      <c r="AF155" s="164">
        <f t="shared" ca="1" si="444"/>
        <v>0</v>
      </c>
      <c r="AG155" s="164">
        <f t="shared" ca="1" si="445"/>
        <v>0</v>
      </c>
      <c r="AH155" s="164">
        <f t="shared" ca="1" si="446"/>
        <v>0</v>
      </c>
      <c r="AI155" s="164">
        <f t="shared" ca="1" si="447"/>
        <v>0</v>
      </c>
      <c r="AJ155" s="164">
        <f t="shared" ca="1" si="448"/>
        <v>0</v>
      </c>
      <c r="AK155" s="164">
        <f t="shared" ca="1" si="449"/>
        <v>0</v>
      </c>
      <c r="AL155" s="164">
        <f t="shared" ca="1" si="450"/>
        <v>0</v>
      </c>
      <c r="AM155" s="208"/>
      <c r="AN155" s="164">
        <f t="shared" si="451"/>
        <v>0</v>
      </c>
      <c r="AO155" s="164">
        <f t="shared" ca="1" si="452"/>
        <v>0</v>
      </c>
      <c r="AP155" s="164">
        <f t="shared" ca="1" si="453"/>
        <v>0</v>
      </c>
      <c r="AQ155" s="164">
        <f t="shared" ca="1" si="454"/>
        <v>0</v>
      </c>
      <c r="AR155" s="164">
        <f t="shared" ca="1" si="455"/>
        <v>0</v>
      </c>
      <c r="AS155" s="164">
        <f t="shared" ca="1" si="456"/>
        <v>0</v>
      </c>
      <c r="AT155" s="164">
        <f t="shared" ca="1" si="457"/>
        <v>0</v>
      </c>
      <c r="AU155" s="164">
        <f t="shared" ca="1" si="458"/>
        <v>0</v>
      </c>
      <c r="AV155" s="164">
        <f t="shared" ca="1" si="459"/>
        <v>0</v>
      </c>
      <c r="AW155" s="164">
        <f t="shared" ca="1" si="460"/>
        <v>0</v>
      </c>
      <c r="AX155" s="164">
        <f t="shared" ca="1" si="461"/>
        <v>0</v>
      </c>
      <c r="AY155" s="164">
        <f t="shared" ca="1" si="462"/>
        <v>0</v>
      </c>
      <c r="AZ155" s="164">
        <f t="shared" ca="1" si="463"/>
        <v>0</v>
      </c>
      <c r="BA155" s="164">
        <f t="shared" ca="1" si="464"/>
        <v>0</v>
      </c>
      <c r="BB155" s="164">
        <f t="shared" ca="1" si="465"/>
        <v>0</v>
      </c>
      <c r="BC155" s="164">
        <f t="shared" ca="1" si="466"/>
        <v>0</v>
      </c>
      <c r="BD155" s="164">
        <f t="shared" ca="1" si="467"/>
        <v>0</v>
      </c>
      <c r="BE155" s="164">
        <f t="shared" ca="1" si="468"/>
        <v>0</v>
      </c>
      <c r="BF155" s="164">
        <f t="shared" ca="1" si="469"/>
        <v>0</v>
      </c>
      <c r="BG155" s="164">
        <f t="shared" ca="1" si="470"/>
        <v>0</v>
      </c>
      <c r="BH155" s="164">
        <f t="shared" ca="1" si="471"/>
        <v>0</v>
      </c>
      <c r="BI155" s="164">
        <f t="shared" ca="1" si="472"/>
        <v>0</v>
      </c>
      <c r="BJ155" s="164">
        <f t="shared" ca="1" si="473"/>
        <v>0</v>
      </c>
      <c r="BK155" s="164">
        <f t="shared" ca="1" si="474"/>
        <v>0</v>
      </c>
      <c r="BL155" s="164">
        <f t="shared" ca="1" si="475"/>
        <v>0</v>
      </c>
      <c r="BM155" s="164">
        <f t="shared" ca="1" si="476"/>
        <v>0</v>
      </c>
      <c r="BN155" s="164">
        <f t="shared" ca="1" si="477"/>
        <v>0</v>
      </c>
      <c r="BO155" s="356" t="str">
        <f t="shared" ca="1" si="478"/>
        <v/>
      </c>
      <c r="BP155" s="355" t="str">
        <f t="shared" ca="1" si="380"/>
        <v/>
      </c>
      <c r="BQ155" s="355" t="str">
        <f t="shared" ca="1" si="381"/>
        <v/>
      </c>
      <c r="BR155" s="348">
        <f t="shared" ca="1" si="516"/>
        <v>0</v>
      </c>
      <c r="BS155" s="348">
        <f t="shared" ca="1" si="517"/>
        <v>0</v>
      </c>
      <c r="BT155" s="610">
        <f t="shared" ca="1" si="479"/>
        <v>0</v>
      </c>
      <c r="BU155" s="357">
        <f t="shared" ca="1" si="383"/>
        <v>0</v>
      </c>
      <c r="BV155" s="357">
        <f t="shared" si="480"/>
        <v>0</v>
      </c>
      <c r="BW155" s="357">
        <f t="shared" si="481"/>
        <v>0</v>
      </c>
      <c r="BX155" s="357">
        <f t="shared" ca="1" si="482"/>
        <v>0</v>
      </c>
      <c r="BY155" s="357">
        <f t="shared" ca="1" si="522"/>
        <v>0</v>
      </c>
      <c r="BZ155" s="357"/>
      <c r="CA155" s="357">
        <f t="shared" ca="1" si="518"/>
        <v>0</v>
      </c>
      <c r="CB155" s="357" t="str">
        <f t="shared" ca="1" si="483"/>
        <v/>
      </c>
      <c r="CC155" s="358" t="str">
        <f t="shared" ca="1" si="523"/>
        <v/>
      </c>
      <c r="CD155" s="358" t="str">
        <f t="shared" ca="1" si="524"/>
        <v/>
      </c>
      <c r="CE155" s="357" t="str">
        <f t="shared" ca="1" si="513"/>
        <v>,,,,,,,,,,,,,,,,,,,,,,,,,,,,,,,,,,,,,,,,,,,,,,,,,,,,,,,,,,,,,,,,,,,,,,,,,,,,,,,,,,,,,,,,,,,,,,,</v>
      </c>
      <c r="CF155" s="154" t="str">
        <f t="shared" si="521"/>
        <v/>
      </c>
      <c r="CG155" s="154">
        <f t="shared" ca="1" si="525"/>
        <v>0</v>
      </c>
      <c r="CH155" s="154"/>
      <c r="CI155" s="154"/>
      <c r="CJ155" s="154"/>
      <c r="CK155" s="154"/>
      <c r="CL155" s="154"/>
      <c r="CM155" s="154"/>
      <c r="CN155" t="s">
        <v>784</v>
      </c>
      <c r="CO155" s="169"/>
      <c r="CP155" s="169"/>
      <c r="CQ155" s="169"/>
      <c r="CR155" s="169"/>
      <c r="CS155" s="169"/>
      <c r="CT155" s="169"/>
      <c r="CU155" s="169"/>
      <c r="CV155" s="164" t="str">
        <f t="shared" ca="1" si="526"/>
        <v/>
      </c>
      <c r="CW155" s="164" t="str">
        <f t="shared" ca="1" si="526"/>
        <v/>
      </c>
      <c r="CX155" s="164" t="str">
        <f t="shared" ca="1" si="526"/>
        <v/>
      </c>
      <c r="CY155" s="164" t="str">
        <f t="shared" ca="1" si="526"/>
        <v/>
      </c>
      <c r="CZ155" s="164" t="str">
        <f t="shared" ca="1" si="526"/>
        <v/>
      </c>
      <c r="DA155" s="164" t="str">
        <f t="shared" ca="1" si="526"/>
        <v/>
      </c>
      <c r="DB155" s="164" t="str">
        <f t="shared" ca="1" si="526"/>
        <v/>
      </c>
      <c r="DC155" s="164" t="str">
        <f t="shared" ca="1" si="526"/>
        <v/>
      </c>
      <c r="DD155" s="164" t="str">
        <f t="shared" ca="1" si="526"/>
        <v/>
      </c>
      <c r="DE155" s="164" t="str">
        <f t="shared" ca="1" si="526"/>
        <v/>
      </c>
      <c r="DF155" s="164" t="str">
        <f t="shared" ca="1" si="527"/>
        <v/>
      </c>
      <c r="DG155" s="164" t="str">
        <f t="shared" ca="1" si="527"/>
        <v/>
      </c>
      <c r="DH155" s="164" t="str">
        <f t="shared" ca="1" si="527"/>
        <v/>
      </c>
      <c r="DI155" s="164" t="str">
        <f t="shared" ca="1" si="527"/>
        <v/>
      </c>
      <c r="DJ155" s="164" t="str">
        <f t="shared" ca="1" si="527"/>
        <v/>
      </c>
      <c r="DK155" s="164" t="str">
        <f t="shared" ca="1" si="527"/>
        <v/>
      </c>
      <c r="DL155" s="164" t="str">
        <f t="shared" ca="1" si="527"/>
        <v/>
      </c>
      <c r="DM155" s="164" t="str">
        <f t="shared" ca="1" si="527"/>
        <v/>
      </c>
      <c r="DN155" s="164" t="str">
        <f t="shared" ca="1" si="527"/>
        <v/>
      </c>
      <c r="DO155" s="164" t="str">
        <f t="shared" ca="1" si="527"/>
        <v/>
      </c>
      <c r="DP155" s="164" t="str">
        <f t="shared" ca="1" si="527"/>
        <v/>
      </c>
      <c r="DQ155" s="164" t="str">
        <f t="shared" ca="1" si="527"/>
        <v/>
      </c>
      <c r="DR155" s="208"/>
      <c r="DS155" s="164" t="str">
        <f t="shared" ca="1" si="484"/>
        <v/>
      </c>
      <c r="DT155" s="164" t="str">
        <f t="shared" ca="1" si="485"/>
        <v/>
      </c>
      <c r="DU155" s="164" t="str">
        <f t="shared" ca="1" si="486"/>
        <v/>
      </c>
      <c r="DV155" s="164" t="str">
        <f t="shared" ca="1" si="487"/>
        <v/>
      </c>
      <c r="DW155" s="164" t="str">
        <f t="shared" ca="1" si="488"/>
        <v/>
      </c>
      <c r="DX155" s="164" t="str">
        <f t="shared" ca="1" si="489"/>
        <v/>
      </c>
      <c r="DY155" s="164" t="str">
        <f t="shared" ca="1" si="490"/>
        <v/>
      </c>
      <c r="DZ155" s="164" t="str">
        <f t="shared" ca="1" si="491"/>
        <v/>
      </c>
      <c r="EA155" s="164" t="str">
        <f t="shared" ca="1" si="492"/>
        <v/>
      </c>
      <c r="EB155" s="164" t="str">
        <f t="shared" ca="1" si="493"/>
        <v/>
      </c>
      <c r="EC155" s="164" t="str">
        <f t="shared" ca="1" si="494"/>
        <v/>
      </c>
      <c r="ED155" s="164" t="str">
        <f t="shared" ca="1" si="495"/>
        <v/>
      </c>
      <c r="EE155" s="164" t="str">
        <f t="shared" ca="1" si="496"/>
        <v/>
      </c>
      <c r="EF155" s="164" t="str">
        <f t="shared" ca="1" si="497"/>
        <v/>
      </c>
      <c r="EG155" s="164" t="str">
        <f t="shared" ca="1" si="498"/>
        <v/>
      </c>
      <c r="EH155" s="164" t="str">
        <f t="shared" ca="1" si="499"/>
        <v/>
      </c>
      <c r="EI155" s="164" t="str">
        <f t="shared" ca="1" si="500"/>
        <v/>
      </c>
      <c r="EJ155" s="164" t="str">
        <f t="shared" ca="1" si="501"/>
        <v/>
      </c>
      <c r="EK155" s="164" t="str">
        <f t="shared" ca="1" si="502"/>
        <v/>
      </c>
      <c r="EL155" s="164" t="str">
        <f t="shared" ca="1" si="503"/>
        <v/>
      </c>
      <c r="EM155" s="164" t="str">
        <f t="shared" ca="1" si="504"/>
        <v/>
      </c>
      <c r="EN155" s="164" t="str">
        <f t="shared" ca="1" si="505"/>
        <v/>
      </c>
      <c r="EO155" s="164" t="str">
        <f t="shared" ca="1" si="506"/>
        <v/>
      </c>
      <c r="EP155" s="164" t="str">
        <f t="shared" ca="1" si="507"/>
        <v/>
      </c>
      <c r="EQ155" s="164" t="str">
        <f t="shared" ca="1" si="508"/>
        <v/>
      </c>
      <c r="ER155" s="164" t="str">
        <f t="shared" ca="1" si="509"/>
        <v/>
      </c>
      <c r="ES155" s="164" t="str">
        <f t="shared" ca="1" si="510"/>
        <v/>
      </c>
    </row>
    <row r="156" spans="1:149" outlineLevel="1" x14ac:dyDescent="0.2">
      <c r="A156" s="89" t="str">
        <f t="shared" ca="1" si="511"/>
        <v/>
      </c>
      <c r="B156" s="317" t="str">
        <f t="shared" ca="1" si="423"/>
        <v/>
      </c>
      <c r="C156" s="609" t="str">
        <f t="shared" ca="1" si="424"/>
        <v/>
      </c>
      <c r="D156" s="1956" t="str">
        <f t="shared" ca="1" si="425"/>
        <v/>
      </c>
      <c r="E156" s="1956"/>
      <c r="F156" s="960"/>
      <c r="G156" s="485" t="str">
        <f t="shared" ca="1" si="426"/>
        <v/>
      </c>
      <c r="H156" s="983"/>
      <c r="I156" s="486"/>
      <c r="J156" s="326"/>
      <c r="K156" s="1886" t="str">
        <f t="shared" ca="1" si="427"/>
        <v/>
      </c>
      <c r="L156" s="1888"/>
      <c r="M156" s="296" t="str">
        <f t="shared" ca="1" si="512"/>
        <v/>
      </c>
      <c r="N156" s="1322"/>
      <c r="O156" s="1319"/>
      <c r="P156" s="957" t="str">
        <f t="shared" ca="1" si="428"/>
        <v/>
      </c>
      <c r="Q156" s="164">
        <f t="shared" si="429"/>
        <v>0</v>
      </c>
      <c r="R156" s="164">
        <f t="shared" ca="1" si="430"/>
        <v>0</v>
      </c>
      <c r="S156" s="164">
        <f t="shared" ca="1" si="431"/>
        <v>0</v>
      </c>
      <c r="T156" s="164">
        <f t="shared" ca="1" si="432"/>
        <v>0</v>
      </c>
      <c r="U156" s="164">
        <f t="shared" ca="1" si="433"/>
        <v>0</v>
      </c>
      <c r="V156" s="164">
        <f t="shared" ca="1" si="434"/>
        <v>0</v>
      </c>
      <c r="W156" s="164">
        <f t="shared" ca="1" si="435"/>
        <v>0</v>
      </c>
      <c r="X156" s="164">
        <f t="shared" ca="1" si="436"/>
        <v>0</v>
      </c>
      <c r="Y156" s="164">
        <f t="shared" ca="1" si="437"/>
        <v>0</v>
      </c>
      <c r="Z156" s="164">
        <f t="shared" ca="1" si="438"/>
        <v>0</v>
      </c>
      <c r="AA156" s="164">
        <f t="shared" ca="1" si="439"/>
        <v>0</v>
      </c>
      <c r="AB156" s="164">
        <f t="shared" ca="1" si="440"/>
        <v>0</v>
      </c>
      <c r="AC156" s="164">
        <f t="shared" ca="1" si="441"/>
        <v>0</v>
      </c>
      <c r="AD156" s="164">
        <f t="shared" ca="1" si="442"/>
        <v>0</v>
      </c>
      <c r="AE156" s="164">
        <f t="shared" ca="1" si="443"/>
        <v>0</v>
      </c>
      <c r="AF156" s="164">
        <f t="shared" ca="1" si="444"/>
        <v>0</v>
      </c>
      <c r="AG156" s="164">
        <f t="shared" ca="1" si="445"/>
        <v>0</v>
      </c>
      <c r="AH156" s="164">
        <f t="shared" ca="1" si="446"/>
        <v>0</v>
      </c>
      <c r="AI156" s="164">
        <f t="shared" ca="1" si="447"/>
        <v>0</v>
      </c>
      <c r="AJ156" s="164">
        <f t="shared" ca="1" si="448"/>
        <v>0</v>
      </c>
      <c r="AK156" s="164">
        <f t="shared" ca="1" si="449"/>
        <v>0</v>
      </c>
      <c r="AL156" s="164">
        <f t="shared" ca="1" si="450"/>
        <v>0</v>
      </c>
      <c r="AM156" s="208"/>
      <c r="AN156" s="164">
        <f t="shared" si="451"/>
        <v>0</v>
      </c>
      <c r="AO156" s="164">
        <f t="shared" ca="1" si="452"/>
        <v>0</v>
      </c>
      <c r="AP156" s="164">
        <f t="shared" ca="1" si="453"/>
        <v>0</v>
      </c>
      <c r="AQ156" s="164">
        <f t="shared" ca="1" si="454"/>
        <v>0</v>
      </c>
      <c r="AR156" s="164">
        <f t="shared" ca="1" si="455"/>
        <v>0</v>
      </c>
      <c r="AS156" s="164">
        <f t="shared" ca="1" si="456"/>
        <v>0</v>
      </c>
      <c r="AT156" s="164">
        <f t="shared" ca="1" si="457"/>
        <v>0</v>
      </c>
      <c r="AU156" s="164">
        <f t="shared" ca="1" si="458"/>
        <v>0</v>
      </c>
      <c r="AV156" s="164">
        <f t="shared" ca="1" si="459"/>
        <v>0</v>
      </c>
      <c r="AW156" s="164">
        <f t="shared" ca="1" si="460"/>
        <v>0</v>
      </c>
      <c r="AX156" s="164">
        <f t="shared" ca="1" si="461"/>
        <v>0</v>
      </c>
      <c r="AY156" s="164">
        <f t="shared" ca="1" si="462"/>
        <v>0</v>
      </c>
      <c r="AZ156" s="164">
        <f t="shared" ca="1" si="463"/>
        <v>0</v>
      </c>
      <c r="BA156" s="164">
        <f t="shared" ca="1" si="464"/>
        <v>0</v>
      </c>
      <c r="BB156" s="164">
        <f t="shared" ca="1" si="465"/>
        <v>0</v>
      </c>
      <c r="BC156" s="164">
        <f t="shared" ca="1" si="466"/>
        <v>0</v>
      </c>
      <c r="BD156" s="164">
        <f t="shared" ca="1" si="467"/>
        <v>0</v>
      </c>
      <c r="BE156" s="164">
        <f t="shared" ca="1" si="468"/>
        <v>0</v>
      </c>
      <c r="BF156" s="164">
        <f t="shared" ca="1" si="469"/>
        <v>0</v>
      </c>
      <c r="BG156" s="164">
        <f t="shared" ca="1" si="470"/>
        <v>0</v>
      </c>
      <c r="BH156" s="164">
        <f t="shared" ca="1" si="471"/>
        <v>0</v>
      </c>
      <c r="BI156" s="164">
        <f t="shared" ca="1" si="472"/>
        <v>0</v>
      </c>
      <c r="BJ156" s="164">
        <f t="shared" ca="1" si="473"/>
        <v>0</v>
      </c>
      <c r="BK156" s="164">
        <f t="shared" ca="1" si="474"/>
        <v>0</v>
      </c>
      <c r="BL156" s="164">
        <f t="shared" ca="1" si="475"/>
        <v>0</v>
      </c>
      <c r="BM156" s="164">
        <f t="shared" ca="1" si="476"/>
        <v>0</v>
      </c>
      <c r="BN156" s="164">
        <f t="shared" ca="1" si="477"/>
        <v>0</v>
      </c>
      <c r="BO156" s="356" t="str">
        <f t="shared" ca="1" si="478"/>
        <v/>
      </c>
      <c r="BP156" s="355" t="str">
        <f t="shared" ca="1" si="380"/>
        <v/>
      </c>
      <c r="BQ156" s="355" t="str">
        <f t="shared" ca="1" si="381"/>
        <v/>
      </c>
      <c r="BR156" s="348">
        <f t="shared" ca="1" si="516"/>
        <v>0</v>
      </c>
      <c r="BS156" s="348">
        <f t="shared" ca="1" si="517"/>
        <v>0</v>
      </c>
      <c r="BT156" s="610">
        <f t="shared" ca="1" si="479"/>
        <v>0</v>
      </c>
      <c r="BU156" s="357">
        <f t="shared" ca="1" si="383"/>
        <v>0</v>
      </c>
      <c r="BV156" s="357">
        <f t="shared" si="480"/>
        <v>0</v>
      </c>
      <c r="BW156" s="357">
        <f t="shared" si="481"/>
        <v>0</v>
      </c>
      <c r="BX156" s="357">
        <f t="shared" ca="1" si="482"/>
        <v>0</v>
      </c>
      <c r="BY156" s="357">
        <f t="shared" ca="1" si="522"/>
        <v>0</v>
      </c>
      <c r="BZ156" s="357"/>
      <c r="CA156" s="357">
        <f t="shared" ca="1" si="518"/>
        <v>0</v>
      </c>
      <c r="CB156" s="357" t="str">
        <f t="shared" ca="1" si="483"/>
        <v/>
      </c>
      <c r="CC156" s="358" t="str">
        <f t="shared" ca="1" si="523"/>
        <v/>
      </c>
      <c r="CD156" s="358" t="str">
        <f t="shared" ca="1" si="524"/>
        <v/>
      </c>
      <c r="CE156" s="357" t="str">
        <f t="shared" ca="1" si="513"/>
        <v>,,,,,,,,,,,,,,,,,,,,,,,,,,,,,,,,,,,,,,,,,,,,,,,,,,,,,,,,,,,,,,,,,,,,,,,,,,,,,,,,,,,,,,,,,,,,,,,,</v>
      </c>
      <c r="CF156" s="154" t="str">
        <f t="shared" si="521"/>
        <v/>
      </c>
      <c r="CG156" s="154">
        <f t="shared" ca="1" si="525"/>
        <v>0</v>
      </c>
      <c r="CH156" s="154"/>
      <c r="CI156" s="154"/>
      <c r="CJ156" s="154"/>
      <c r="CK156" s="154"/>
      <c r="CL156" s="154"/>
      <c r="CM156" s="154"/>
      <c r="CN156" t="s">
        <v>784</v>
      </c>
      <c r="CO156" s="169"/>
      <c r="CP156" s="169"/>
      <c r="CQ156" s="169"/>
      <c r="CR156" s="169"/>
      <c r="CS156" s="169"/>
      <c r="CT156" s="169"/>
      <c r="CU156" s="169"/>
      <c r="CV156" s="164" t="str">
        <f t="shared" ca="1" si="526"/>
        <v/>
      </c>
      <c r="CW156" s="164" t="str">
        <f t="shared" ca="1" si="526"/>
        <v/>
      </c>
      <c r="CX156" s="164" t="str">
        <f t="shared" ca="1" si="526"/>
        <v/>
      </c>
      <c r="CY156" s="164" t="str">
        <f t="shared" ca="1" si="526"/>
        <v/>
      </c>
      <c r="CZ156" s="164" t="str">
        <f t="shared" ca="1" si="526"/>
        <v/>
      </c>
      <c r="DA156" s="164" t="str">
        <f t="shared" ca="1" si="526"/>
        <v/>
      </c>
      <c r="DB156" s="164" t="str">
        <f t="shared" ca="1" si="526"/>
        <v/>
      </c>
      <c r="DC156" s="164" t="str">
        <f t="shared" ca="1" si="526"/>
        <v/>
      </c>
      <c r="DD156" s="164" t="str">
        <f t="shared" ca="1" si="526"/>
        <v/>
      </c>
      <c r="DE156" s="164" t="str">
        <f t="shared" ca="1" si="526"/>
        <v/>
      </c>
      <c r="DF156" s="164" t="str">
        <f t="shared" ca="1" si="527"/>
        <v/>
      </c>
      <c r="DG156" s="164" t="str">
        <f t="shared" ca="1" si="527"/>
        <v/>
      </c>
      <c r="DH156" s="164" t="str">
        <f t="shared" ca="1" si="527"/>
        <v/>
      </c>
      <c r="DI156" s="164" t="str">
        <f t="shared" ca="1" si="527"/>
        <v/>
      </c>
      <c r="DJ156" s="164" t="str">
        <f t="shared" ca="1" si="527"/>
        <v/>
      </c>
      <c r="DK156" s="164" t="str">
        <f t="shared" ca="1" si="527"/>
        <v/>
      </c>
      <c r="DL156" s="164" t="str">
        <f t="shared" ca="1" si="527"/>
        <v/>
      </c>
      <c r="DM156" s="164" t="str">
        <f t="shared" ca="1" si="527"/>
        <v/>
      </c>
      <c r="DN156" s="164" t="str">
        <f t="shared" ca="1" si="527"/>
        <v/>
      </c>
      <c r="DO156" s="164" t="str">
        <f t="shared" ca="1" si="527"/>
        <v/>
      </c>
      <c r="DP156" s="164" t="str">
        <f t="shared" ca="1" si="527"/>
        <v/>
      </c>
      <c r="DQ156" s="164" t="str">
        <f t="shared" ca="1" si="527"/>
        <v/>
      </c>
      <c r="DR156" s="208"/>
      <c r="DS156" s="164" t="str">
        <f t="shared" ca="1" si="484"/>
        <v/>
      </c>
      <c r="DT156" s="164" t="str">
        <f t="shared" ca="1" si="485"/>
        <v/>
      </c>
      <c r="DU156" s="164" t="str">
        <f t="shared" ca="1" si="486"/>
        <v/>
      </c>
      <c r="DV156" s="164" t="str">
        <f t="shared" ca="1" si="487"/>
        <v/>
      </c>
      <c r="DW156" s="164" t="str">
        <f t="shared" ca="1" si="488"/>
        <v/>
      </c>
      <c r="DX156" s="164" t="str">
        <f t="shared" ca="1" si="489"/>
        <v/>
      </c>
      <c r="DY156" s="164" t="str">
        <f t="shared" ca="1" si="490"/>
        <v/>
      </c>
      <c r="DZ156" s="164" t="str">
        <f t="shared" ca="1" si="491"/>
        <v/>
      </c>
      <c r="EA156" s="164" t="str">
        <f t="shared" ca="1" si="492"/>
        <v/>
      </c>
      <c r="EB156" s="164" t="str">
        <f t="shared" ca="1" si="493"/>
        <v/>
      </c>
      <c r="EC156" s="164" t="str">
        <f t="shared" ca="1" si="494"/>
        <v/>
      </c>
      <c r="ED156" s="164" t="str">
        <f t="shared" ca="1" si="495"/>
        <v/>
      </c>
      <c r="EE156" s="164" t="str">
        <f t="shared" ca="1" si="496"/>
        <v/>
      </c>
      <c r="EF156" s="164" t="str">
        <f t="shared" ca="1" si="497"/>
        <v/>
      </c>
      <c r="EG156" s="164" t="str">
        <f t="shared" ca="1" si="498"/>
        <v/>
      </c>
      <c r="EH156" s="164" t="str">
        <f t="shared" ca="1" si="499"/>
        <v/>
      </c>
      <c r="EI156" s="164" t="str">
        <f t="shared" ca="1" si="500"/>
        <v/>
      </c>
      <c r="EJ156" s="164" t="str">
        <f t="shared" ca="1" si="501"/>
        <v/>
      </c>
      <c r="EK156" s="164" t="str">
        <f t="shared" ca="1" si="502"/>
        <v/>
      </c>
      <c r="EL156" s="164" t="str">
        <f t="shared" ca="1" si="503"/>
        <v/>
      </c>
      <c r="EM156" s="164" t="str">
        <f t="shared" ca="1" si="504"/>
        <v/>
      </c>
      <c r="EN156" s="164" t="str">
        <f t="shared" ca="1" si="505"/>
        <v/>
      </c>
      <c r="EO156" s="164" t="str">
        <f t="shared" ca="1" si="506"/>
        <v/>
      </c>
      <c r="EP156" s="164" t="str">
        <f t="shared" ca="1" si="507"/>
        <v/>
      </c>
      <c r="EQ156" s="164" t="str">
        <f t="shared" ca="1" si="508"/>
        <v/>
      </c>
      <c r="ER156" s="164" t="str">
        <f t="shared" ca="1" si="509"/>
        <v/>
      </c>
      <c r="ES156" s="164" t="str">
        <f t="shared" ca="1" si="510"/>
        <v/>
      </c>
    </row>
    <row r="157" spans="1:149" outlineLevel="1" x14ac:dyDescent="0.2">
      <c r="A157" s="89" t="str">
        <f t="shared" ca="1" si="511"/>
        <v/>
      </c>
      <c r="B157" s="317" t="str">
        <f t="shared" ca="1" si="423"/>
        <v/>
      </c>
      <c r="C157" s="609" t="str">
        <f t="shared" ca="1" si="424"/>
        <v/>
      </c>
      <c r="D157" s="1956" t="str">
        <f t="shared" ca="1" si="425"/>
        <v/>
      </c>
      <c r="E157" s="1956"/>
      <c r="F157" s="960"/>
      <c r="G157" s="485" t="str">
        <f t="shared" ca="1" si="426"/>
        <v/>
      </c>
      <c r="H157" s="983"/>
      <c r="I157" s="486"/>
      <c r="J157" s="326"/>
      <c r="K157" s="1886" t="str">
        <f t="shared" ca="1" si="427"/>
        <v/>
      </c>
      <c r="L157" s="1888"/>
      <c r="M157" s="296" t="str">
        <f t="shared" ca="1" si="512"/>
        <v/>
      </c>
      <c r="N157" s="1322"/>
      <c r="O157" s="1319"/>
      <c r="P157" s="957" t="str">
        <f ca="1">IF(AND(NOT(EXACT($A157,"")),NOT(EXACT($O157,""))),ROUND(IF(O157=2,3,O157)*20*HLOOKUP($G157,SKT,3,FALSE)*IF(VT_EIDGED,0.5,IF(VT_GUTGED,0.75,1)),0),"")</f>
        <v/>
      </c>
      <c r="Q157" s="164">
        <f t="shared" si="429"/>
        <v>0</v>
      </c>
      <c r="R157" s="164">
        <f t="shared" ca="1" si="430"/>
        <v>0</v>
      </c>
      <c r="S157" s="164">
        <f t="shared" ca="1" si="431"/>
        <v>0</v>
      </c>
      <c r="T157" s="164">
        <f t="shared" ca="1" si="432"/>
        <v>0</v>
      </c>
      <c r="U157" s="164">
        <f t="shared" ca="1" si="433"/>
        <v>0</v>
      </c>
      <c r="V157" s="164">
        <f t="shared" ca="1" si="434"/>
        <v>0</v>
      </c>
      <c r="W157" s="164">
        <f t="shared" ca="1" si="435"/>
        <v>0</v>
      </c>
      <c r="X157" s="164">
        <f t="shared" ca="1" si="436"/>
        <v>0</v>
      </c>
      <c r="Y157" s="164">
        <f t="shared" ca="1" si="437"/>
        <v>0</v>
      </c>
      <c r="Z157" s="164">
        <f t="shared" ca="1" si="438"/>
        <v>0</v>
      </c>
      <c r="AA157" s="164">
        <f t="shared" ca="1" si="439"/>
        <v>0</v>
      </c>
      <c r="AB157" s="164">
        <f t="shared" ca="1" si="440"/>
        <v>0</v>
      </c>
      <c r="AC157" s="164">
        <f t="shared" ca="1" si="441"/>
        <v>0</v>
      </c>
      <c r="AD157" s="164">
        <f t="shared" ca="1" si="442"/>
        <v>0</v>
      </c>
      <c r="AE157" s="164">
        <f t="shared" ca="1" si="443"/>
        <v>0</v>
      </c>
      <c r="AF157" s="164">
        <f t="shared" ca="1" si="444"/>
        <v>0</v>
      </c>
      <c r="AG157" s="164">
        <f t="shared" ca="1" si="445"/>
        <v>0</v>
      </c>
      <c r="AH157" s="164">
        <f t="shared" ca="1" si="446"/>
        <v>0</v>
      </c>
      <c r="AI157" s="164">
        <f t="shared" ca="1" si="447"/>
        <v>0</v>
      </c>
      <c r="AJ157" s="164">
        <f t="shared" ca="1" si="448"/>
        <v>0</v>
      </c>
      <c r="AK157" s="164">
        <f t="shared" ca="1" si="449"/>
        <v>0</v>
      </c>
      <c r="AL157" s="164">
        <f t="shared" ca="1" si="450"/>
        <v>0</v>
      </c>
      <c r="AM157" s="208"/>
      <c r="AN157" s="164">
        <f t="shared" si="451"/>
        <v>0</v>
      </c>
      <c r="AO157" s="164">
        <f t="shared" ca="1" si="452"/>
        <v>0</v>
      </c>
      <c r="AP157" s="164">
        <f t="shared" ca="1" si="453"/>
        <v>0</v>
      </c>
      <c r="AQ157" s="164">
        <f t="shared" ca="1" si="454"/>
        <v>0</v>
      </c>
      <c r="AR157" s="164">
        <f t="shared" ca="1" si="455"/>
        <v>0</v>
      </c>
      <c r="AS157" s="164">
        <f t="shared" ca="1" si="456"/>
        <v>0</v>
      </c>
      <c r="AT157" s="164">
        <f t="shared" ca="1" si="457"/>
        <v>0</v>
      </c>
      <c r="AU157" s="164">
        <f t="shared" ca="1" si="458"/>
        <v>0</v>
      </c>
      <c r="AV157" s="164">
        <f t="shared" ca="1" si="459"/>
        <v>0</v>
      </c>
      <c r="AW157" s="164">
        <f t="shared" ca="1" si="460"/>
        <v>0</v>
      </c>
      <c r="AX157" s="164">
        <f t="shared" ca="1" si="461"/>
        <v>0</v>
      </c>
      <c r="AY157" s="164">
        <f t="shared" ca="1" si="462"/>
        <v>0</v>
      </c>
      <c r="AZ157" s="164">
        <f t="shared" ca="1" si="463"/>
        <v>0</v>
      </c>
      <c r="BA157" s="164">
        <f t="shared" ca="1" si="464"/>
        <v>0</v>
      </c>
      <c r="BB157" s="164">
        <f t="shared" ca="1" si="465"/>
        <v>0</v>
      </c>
      <c r="BC157" s="164">
        <f t="shared" ca="1" si="466"/>
        <v>0</v>
      </c>
      <c r="BD157" s="164">
        <f t="shared" ca="1" si="467"/>
        <v>0</v>
      </c>
      <c r="BE157" s="164">
        <f t="shared" ca="1" si="468"/>
        <v>0</v>
      </c>
      <c r="BF157" s="164">
        <f t="shared" ca="1" si="469"/>
        <v>0</v>
      </c>
      <c r="BG157" s="164">
        <f t="shared" ca="1" si="470"/>
        <v>0</v>
      </c>
      <c r="BH157" s="164">
        <f t="shared" ca="1" si="471"/>
        <v>0</v>
      </c>
      <c r="BI157" s="164">
        <f t="shared" ca="1" si="472"/>
        <v>0</v>
      </c>
      <c r="BJ157" s="164">
        <f t="shared" ca="1" si="473"/>
        <v>0</v>
      </c>
      <c r="BK157" s="164">
        <f t="shared" ca="1" si="474"/>
        <v>0</v>
      </c>
      <c r="BL157" s="164">
        <f t="shared" ca="1" si="475"/>
        <v>0</v>
      </c>
      <c r="BM157" s="164">
        <f t="shared" ca="1" si="476"/>
        <v>0</v>
      </c>
      <c r="BN157" s="164">
        <f t="shared" ca="1" si="477"/>
        <v>0</v>
      </c>
      <c r="BO157" s="356" t="str">
        <f t="shared" ca="1" si="478"/>
        <v/>
      </c>
      <c r="BP157" s="355" t="str">
        <f t="shared" ca="1" si="380"/>
        <v/>
      </c>
      <c r="BQ157" s="355" t="str">
        <f t="shared" ca="1" si="381"/>
        <v/>
      </c>
      <c r="BR157" s="348">
        <f t="shared" ca="1" si="516"/>
        <v>0</v>
      </c>
      <c r="BS157" s="348">
        <f t="shared" ca="1" si="517"/>
        <v>0</v>
      </c>
      <c r="BT157" s="610">
        <f t="shared" ca="1" si="479"/>
        <v>0</v>
      </c>
      <c r="BU157" s="357">
        <f t="shared" ca="1" si="383"/>
        <v>0</v>
      </c>
      <c r="BV157" s="357">
        <f t="shared" si="480"/>
        <v>0</v>
      </c>
      <c r="BW157" s="357">
        <f t="shared" si="481"/>
        <v>0</v>
      </c>
      <c r="BX157" s="357">
        <f t="shared" ca="1" si="482"/>
        <v>0</v>
      </c>
      <c r="BY157" s="357">
        <f t="shared" ca="1" si="522"/>
        <v>0</v>
      </c>
      <c r="BZ157" s="357"/>
      <c r="CA157" s="357">
        <f t="shared" ca="1" si="518"/>
        <v>0</v>
      </c>
      <c r="CB157" s="357" t="str">
        <f t="shared" ca="1" si="483"/>
        <v/>
      </c>
      <c r="CC157" s="358" t="str">
        <f t="shared" ca="1" si="523"/>
        <v/>
      </c>
      <c r="CD157" s="358" t="str">
        <f t="shared" ca="1" si="524"/>
        <v/>
      </c>
      <c r="CE157" s="357" t="str">
        <f t="shared" ca="1" si="513"/>
        <v>,,,,,,,,,,,,,,,,,,,,,,,,,,,,,,,,,,,,,,,,,,,,,,,,,,,,,,,,,,,,,,,,,,,,,,,,,,,,,,,,,,,,,,,,,,,,,,,,,</v>
      </c>
      <c r="CF157" s="154" t="str">
        <f t="shared" si="521"/>
        <v/>
      </c>
      <c r="CG157" s="154">
        <f t="shared" ca="1" si="525"/>
        <v>0</v>
      </c>
      <c r="CH157" s="154"/>
      <c r="CI157" s="154"/>
      <c r="CJ157" s="154"/>
      <c r="CK157" s="154"/>
      <c r="CL157" s="154"/>
      <c r="CM157" s="154"/>
      <c r="CN157" t="s">
        <v>784</v>
      </c>
      <c r="CO157" s="169"/>
      <c r="CP157" s="169"/>
      <c r="CQ157" s="169"/>
      <c r="CR157" s="169"/>
      <c r="CS157" s="169"/>
      <c r="CT157" s="169"/>
      <c r="CU157" s="169"/>
      <c r="CV157" s="164" t="str">
        <f t="shared" ca="1" si="526"/>
        <v/>
      </c>
      <c r="CW157" s="164" t="str">
        <f t="shared" ca="1" si="526"/>
        <v/>
      </c>
      <c r="CX157" s="164" t="str">
        <f t="shared" ca="1" si="526"/>
        <v/>
      </c>
      <c r="CY157" s="164" t="str">
        <f t="shared" ca="1" si="526"/>
        <v/>
      </c>
      <c r="CZ157" s="164" t="str">
        <f t="shared" ca="1" si="526"/>
        <v/>
      </c>
      <c r="DA157" s="164" t="str">
        <f t="shared" ca="1" si="526"/>
        <v/>
      </c>
      <c r="DB157" s="164" t="str">
        <f t="shared" ca="1" si="526"/>
        <v/>
      </c>
      <c r="DC157" s="164" t="str">
        <f t="shared" ca="1" si="526"/>
        <v/>
      </c>
      <c r="DD157" s="164" t="str">
        <f t="shared" ca="1" si="526"/>
        <v/>
      </c>
      <c r="DE157" s="164" t="str">
        <f t="shared" ca="1" si="526"/>
        <v/>
      </c>
      <c r="DF157" s="164" t="str">
        <f t="shared" ca="1" si="527"/>
        <v/>
      </c>
      <c r="DG157" s="164" t="str">
        <f t="shared" ca="1" si="527"/>
        <v/>
      </c>
      <c r="DH157" s="164" t="str">
        <f t="shared" ca="1" si="527"/>
        <v/>
      </c>
      <c r="DI157" s="164" t="str">
        <f t="shared" ca="1" si="527"/>
        <v/>
      </c>
      <c r="DJ157" s="164" t="str">
        <f t="shared" ca="1" si="527"/>
        <v/>
      </c>
      <c r="DK157" s="164" t="str">
        <f t="shared" ca="1" si="527"/>
        <v/>
      </c>
      <c r="DL157" s="164" t="str">
        <f t="shared" ca="1" si="527"/>
        <v/>
      </c>
      <c r="DM157" s="164" t="str">
        <f t="shared" ca="1" si="527"/>
        <v/>
      </c>
      <c r="DN157" s="164" t="str">
        <f t="shared" ca="1" si="527"/>
        <v/>
      </c>
      <c r="DO157" s="164" t="str">
        <f t="shared" ca="1" si="527"/>
        <v/>
      </c>
      <c r="DP157" s="164" t="str">
        <f t="shared" ca="1" si="527"/>
        <v/>
      </c>
      <c r="DQ157" s="164" t="str">
        <f t="shared" ca="1" si="527"/>
        <v/>
      </c>
      <c r="DR157" s="208"/>
      <c r="DS157" s="164" t="str">
        <f t="shared" ca="1" si="484"/>
        <v/>
      </c>
      <c r="DT157" s="164" t="str">
        <f t="shared" ca="1" si="485"/>
        <v/>
      </c>
      <c r="DU157" s="164" t="str">
        <f t="shared" ca="1" si="486"/>
        <v/>
      </c>
      <c r="DV157" s="164" t="str">
        <f t="shared" ca="1" si="487"/>
        <v/>
      </c>
      <c r="DW157" s="164" t="str">
        <f t="shared" ca="1" si="488"/>
        <v/>
      </c>
      <c r="DX157" s="164" t="str">
        <f t="shared" ca="1" si="489"/>
        <v/>
      </c>
      <c r="DY157" s="164" t="str">
        <f t="shared" ca="1" si="490"/>
        <v/>
      </c>
      <c r="DZ157" s="164" t="str">
        <f t="shared" ca="1" si="491"/>
        <v/>
      </c>
      <c r="EA157" s="164" t="str">
        <f t="shared" ca="1" si="492"/>
        <v/>
      </c>
      <c r="EB157" s="164" t="str">
        <f t="shared" ca="1" si="493"/>
        <v/>
      </c>
      <c r="EC157" s="164" t="str">
        <f t="shared" ca="1" si="494"/>
        <v/>
      </c>
      <c r="ED157" s="164" t="str">
        <f t="shared" ca="1" si="495"/>
        <v/>
      </c>
      <c r="EE157" s="164" t="str">
        <f t="shared" ca="1" si="496"/>
        <v/>
      </c>
      <c r="EF157" s="164" t="str">
        <f t="shared" ca="1" si="497"/>
        <v/>
      </c>
      <c r="EG157" s="164" t="str">
        <f t="shared" ca="1" si="498"/>
        <v/>
      </c>
      <c r="EH157" s="164" t="str">
        <f t="shared" ca="1" si="499"/>
        <v/>
      </c>
      <c r="EI157" s="164" t="str">
        <f t="shared" ca="1" si="500"/>
        <v/>
      </c>
      <c r="EJ157" s="164" t="str">
        <f t="shared" ca="1" si="501"/>
        <v/>
      </c>
      <c r="EK157" s="164" t="str">
        <f t="shared" ca="1" si="502"/>
        <v/>
      </c>
      <c r="EL157" s="164" t="str">
        <f t="shared" ca="1" si="503"/>
        <v/>
      </c>
      <c r="EM157" s="164" t="str">
        <f t="shared" ca="1" si="504"/>
        <v/>
      </c>
      <c r="EN157" s="164" t="str">
        <f t="shared" ca="1" si="505"/>
        <v/>
      </c>
      <c r="EO157" s="164" t="str">
        <f t="shared" ca="1" si="506"/>
        <v/>
      </c>
      <c r="EP157" s="164" t="str">
        <f t="shared" ca="1" si="507"/>
        <v/>
      </c>
      <c r="EQ157" s="164" t="str">
        <f t="shared" ca="1" si="508"/>
        <v/>
      </c>
      <c r="ER157" s="164" t="str">
        <f t="shared" ca="1" si="509"/>
        <v/>
      </c>
      <c r="ES157" s="164" t="str">
        <f t="shared" ca="1" si="510"/>
        <v/>
      </c>
    </row>
    <row r="158" spans="1:149" outlineLevel="1" x14ac:dyDescent="0.2">
      <c r="A158" s="89" t="str">
        <f t="shared" ca="1" si="511"/>
        <v/>
      </c>
      <c r="B158" s="317" t="str">
        <f t="shared" ca="1" si="423"/>
        <v/>
      </c>
      <c r="C158" s="609" t="str">
        <f t="shared" ca="1" si="424"/>
        <v/>
      </c>
      <c r="D158" s="1956" t="str">
        <f t="shared" ca="1" si="425"/>
        <v/>
      </c>
      <c r="E158" s="1956"/>
      <c r="F158" s="960"/>
      <c r="G158" s="485" t="str">
        <f t="shared" ca="1" si="426"/>
        <v/>
      </c>
      <c r="H158" s="983"/>
      <c r="I158" s="486"/>
      <c r="J158" s="326"/>
      <c r="K158" s="1886" t="str">
        <f t="shared" ca="1" si="427"/>
        <v/>
      </c>
      <c r="L158" s="1888"/>
      <c r="M158" s="296" t="str">
        <f t="shared" ca="1" si="512"/>
        <v/>
      </c>
      <c r="N158" s="1322"/>
      <c r="O158" s="1319"/>
      <c r="P158" s="957" t="str">
        <f ca="1">IF(AND(NOT(EXACT($A158,"")),NOT(EXACT($O158,""))),ROUND(IF(O158=2,3,O158)*20*HLOOKUP($G158,SKT,3,FALSE)*IF(VT_EIDGED,0.5,IF(VT_GUTGED,0.75,1)),0),"")</f>
        <v/>
      </c>
      <c r="Q158" s="164">
        <f t="shared" si="429"/>
        <v>0</v>
      </c>
      <c r="R158" s="164">
        <f t="shared" ca="1" si="430"/>
        <v>0</v>
      </c>
      <c r="S158" s="164">
        <f t="shared" ca="1" si="431"/>
        <v>0</v>
      </c>
      <c r="T158" s="164">
        <f t="shared" ca="1" si="432"/>
        <v>0</v>
      </c>
      <c r="U158" s="164">
        <f t="shared" ca="1" si="433"/>
        <v>0</v>
      </c>
      <c r="V158" s="164">
        <f t="shared" ca="1" si="434"/>
        <v>0</v>
      </c>
      <c r="W158" s="164">
        <f t="shared" ca="1" si="435"/>
        <v>0</v>
      </c>
      <c r="X158" s="164">
        <f t="shared" ca="1" si="436"/>
        <v>0</v>
      </c>
      <c r="Y158" s="164">
        <f t="shared" ca="1" si="437"/>
        <v>0</v>
      </c>
      <c r="Z158" s="164">
        <f t="shared" ca="1" si="438"/>
        <v>0</v>
      </c>
      <c r="AA158" s="164">
        <f t="shared" ca="1" si="439"/>
        <v>0</v>
      </c>
      <c r="AB158" s="164">
        <f t="shared" ca="1" si="440"/>
        <v>0</v>
      </c>
      <c r="AC158" s="164">
        <f t="shared" ca="1" si="441"/>
        <v>0</v>
      </c>
      <c r="AD158" s="164">
        <f t="shared" ca="1" si="442"/>
        <v>0</v>
      </c>
      <c r="AE158" s="164">
        <f t="shared" ca="1" si="443"/>
        <v>0</v>
      </c>
      <c r="AF158" s="164">
        <f t="shared" ca="1" si="444"/>
        <v>0</v>
      </c>
      <c r="AG158" s="164">
        <f t="shared" ca="1" si="445"/>
        <v>0</v>
      </c>
      <c r="AH158" s="164">
        <f t="shared" ca="1" si="446"/>
        <v>0</v>
      </c>
      <c r="AI158" s="164">
        <f t="shared" ca="1" si="447"/>
        <v>0</v>
      </c>
      <c r="AJ158" s="164">
        <f t="shared" ca="1" si="448"/>
        <v>0</v>
      </c>
      <c r="AK158" s="164">
        <f t="shared" ca="1" si="449"/>
        <v>0</v>
      </c>
      <c r="AL158" s="164">
        <f t="shared" ca="1" si="450"/>
        <v>0</v>
      </c>
      <c r="AM158" s="208"/>
      <c r="AN158" s="164">
        <f t="shared" si="451"/>
        <v>0</v>
      </c>
      <c r="AO158" s="164">
        <f t="shared" ca="1" si="452"/>
        <v>0</v>
      </c>
      <c r="AP158" s="164">
        <f t="shared" ca="1" si="453"/>
        <v>0</v>
      </c>
      <c r="AQ158" s="164">
        <f t="shared" ca="1" si="454"/>
        <v>0</v>
      </c>
      <c r="AR158" s="164">
        <f t="shared" ca="1" si="455"/>
        <v>0</v>
      </c>
      <c r="AS158" s="164">
        <f t="shared" ca="1" si="456"/>
        <v>0</v>
      </c>
      <c r="AT158" s="164">
        <f t="shared" ca="1" si="457"/>
        <v>0</v>
      </c>
      <c r="AU158" s="164">
        <f t="shared" ca="1" si="458"/>
        <v>0</v>
      </c>
      <c r="AV158" s="164">
        <f t="shared" ca="1" si="459"/>
        <v>0</v>
      </c>
      <c r="AW158" s="164">
        <f t="shared" ca="1" si="460"/>
        <v>0</v>
      </c>
      <c r="AX158" s="164">
        <f t="shared" ca="1" si="461"/>
        <v>0</v>
      </c>
      <c r="AY158" s="164">
        <f t="shared" ca="1" si="462"/>
        <v>0</v>
      </c>
      <c r="AZ158" s="164">
        <f t="shared" ca="1" si="463"/>
        <v>0</v>
      </c>
      <c r="BA158" s="164">
        <f t="shared" ca="1" si="464"/>
        <v>0</v>
      </c>
      <c r="BB158" s="164">
        <f t="shared" ca="1" si="465"/>
        <v>0</v>
      </c>
      <c r="BC158" s="164">
        <f t="shared" ca="1" si="466"/>
        <v>0</v>
      </c>
      <c r="BD158" s="164">
        <f t="shared" ca="1" si="467"/>
        <v>0</v>
      </c>
      <c r="BE158" s="164">
        <f t="shared" ca="1" si="468"/>
        <v>0</v>
      </c>
      <c r="BF158" s="164">
        <f t="shared" ca="1" si="469"/>
        <v>0</v>
      </c>
      <c r="BG158" s="164">
        <f t="shared" ca="1" si="470"/>
        <v>0</v>
      </c>
      <c r="BH158" s="164">
        <f t="shared" ca="1" si="471"/>
        <v>0</v>
      </c>
      <c r="BI158" s="164">
        <f t="shared" ca="1" si="472"/>
        <v>0</v>
      </c>
      <c r="BJ158" s="164">
        <f t="shared" ca="1" si="473"/>
        <v>0</v>
      </c>
      <c r="BK158" s="164">
        <f t="shared" ca="1" si="474"/>
        <v>0</v>
      </c>
      <c r="BL158" s="164">
        <f t="shared" ca="1" si="475"/>
        <v>0</v>
      </c>
      <c r="BM158" s="164">
        <f t="shared" ca="1" si="476"/>
        <v>0</v>
      </c>
      <c r="BN158" s="164">
        <f t="shared" ca="1" si="477"/>
        <v>0</v>
      </c>
      <c r="BO158" s="356" t="str">
        <f t="shared" ca="1" si="478"/>
        <v/>
      </c>
      <c r="BP158" s="355" t="str">
        <f t="shared" ca="1" si="380"/>
        <v/>
      </c>
      <c r="BQ158" s="355" t="str">
        <f t="shared" ca="1" si="381"/>
        <v/>
      </c>
      <c r="BR158" s="348">
        <f t="shared" ca="1" si="516"/>
        <v>0</v>
      </c>
      <c r="BS158" s="348">
        <f t="shared" ca="1" si="517"/>
        <v>0</v>
      </c>
      <c r="BT158" s="610">
        <f t="shared" ca="1" si="479"/>
        <v>0</v>
      </c>
      <c r="BU158" s="357">
        <f t="shared" ca="1" si="383"/>
        <v>0</v>
      </c>
      <c r="BV158" s="357">
        <f t="shared" si="480"/>
        <v>0</v>
      </c>
      <c r="BW158" s="357">
        <f t="shared" si="481"/>
        <v>0</v>
      </c>
      <c r="BX158" s="357">
        <f t="shared" ca="1" si="482"/>
        <v>0</v>
      </c>
      <c r="BY158" s="357">
        <f t="shared" ca="1" si="522"/>
        <v>0</v>
      </c>
      <c r="BZ158" s="357"/>
      <c r="CA158" s="357">
        <f t="shared" ca="1" si="518"/>
        <v>0</v>
      </c>
      <c r="CB158" s="357" t="str">
        <f t="shared" ca="1" si="483"/>
        <v/>
      </c>
      <c r="CC158" s="358" t="str">
        <f t="shared" ca="1" si="523"/>
        <v/>
      </c>
      <c r="CD158" s="358" t="str">
        <f t="shared" ca="1" si="524"/>
        <v/>
      </c>
      <c r="CE158" s="357" t="str">
        <f t="shared" ca="1" si="513"/>
        <v>,,,,,,,,,,,,,,,,,,,,,,,,,,,,,,,,,,,,,,,,,,,,,,,,,,,,,,,,,,,,,,,,,,,,,,,,,,,,,,,,,,,,,,,,,,,,,,,,,,</v>
      </c>
      <c r="CF158" s="154" t="str">
        <f t="shared" si="521"/>
        <v/>
      </c>
      <c r="CG158" s="154">
        <f t="shared" ca="1" si="525"/>
        <v>0</v>
      </c>
      <c r="CH158" s="154"/>
      <c r="CI158" s="154"/>
      <c r="CJ158" s="154"/>
      <c r="CK158" s="154"/>
      <c r="CL158" s="154"/>
      <c r="CM158" s="154"/>
      <c r="CN158" t="s">
        <v>784</v>
      </c>
      <c r="CO158" s="169"/>
      <c r="CP158" s="169"/>
      <c r="CQ158" s="169"/>
      <c r="CR158" s="169"/>
      <c r="CS158" s="169"/>
      <c r="CT158" s="169"/>
      <c r="CU158" s="169"/>
      <c r="CV158" s="164" t="str">
        <f t="shared" ca="1" si="526"/>
        <v/>
      </c>
      <c r="CW158" s="164" t="str">
        <f t="shared" ca="1" si="526"/>
        <v/>
      </c>
      <c r="CX158" s="164" t="str">
        <f t="shared" ca="1" si="526"/>
        <v/>
      </c>
      <c r="CY158" s="164" t="str">
        <f t="shared" ca="1" si="526"/>
        <v/>
      </c>
      <c r="CZ158" s="164" t="str">
        <f t="shared" ca="1" si="526"/>
        <v/>
      </c>
      <c r="DA158" s="164" t="str">
        <f t="shared" ca="1" si="526"/>
        <v/>
      </c>
      <c r="DB158" s="164" t="str">
        <f t="shared" ca="1" si="526"/>
        <v/>
      </c>
      <c r="DC158" s="164" t="str">
        <f t="shared" ca="1" si="526"/>
        <v/>
      </c>
      <c r="DD158" s="164" t="str">
        <f t="shared" ca="1" si="526"/>
        <v/>
      </c>
      <c r="DE158" s="164" t="str">
        <f t="shared" ca="1" si="526"/>
        <v/>
      </c>
      <c r="DF158" s="164" t="str">
        <f t="shared" ca="1" si="527"/>
        <v/>
      </c>
      <c r="DG158" s="164" t="str">
        <f t="shared" ca="1" si="527"/>
        <v/>
      </c>
      <c r="DH158" s="164" t="str">
        <f t="shared" ca="1" si="527"/>
        <v/>
      </c>
      <c r="DI158" s="164" t="str">
        <f t="shared" ca="1" si="527"/>
        <v/>
      </c>
      <c r="DJ158" s="164" t="str">
        <f t="shared" ca="1" si="527"/>
        <v/>
      </c>
      <c r="DK158" s="164" t="str">
        <f t="shared" ca="1" si="527"/>
        <v/>
      </c>
      <c r="DL158" s="164" t="str">
        <f t="shared" ca="1" si="527"/>
        <v/>
      </c>
      <c r="DM158" s="164" t="str">
        <f t="shared" ca="1" si="527"/>
        <v/>
      </c>
      <c r="DN158" s="164" t="str">
        <f t="shared" ca="1" si="527"/>
        <v/>
      </c>
      <c r="DO158" s="164" t="str">
        <f t="shared" ca="1" si="527"/>
        <v/>
      </c>
      <c r="DP158" s="164" t="str">
        <f t="shared" ca="1" si="527"/>
        <v/>
      </c>
      <c r="DQ158" s="164" t="str">
        <f t="shared" ca="1" si="527"/>
        <v/>
      </c>
      <c r="DR158" s="208"/>
      <c r="DS158" s="164" t="str">
        <f t="shared" ca="1" si="484"/>
        <v/>
      </c>
      <c r="DT158" s="164" t="str">
        <f t="shared" ca="1" si="485"/>
        <v/>
      </c>
      <c r="DU158" s="164" t="str">
        <f t="shared" ca="1" si="486"/>
        <v/>
      </c>
      <c r="DV158" s="164" t="str">
        <f t="shared" ca="1" si="487"/>
        <v/>
      </c>
      <c r="DW158" s="164" t="str">
        <f t="shared" ca="1" si="488"/>
        <v/>
      </c>
      <c r="DX158" s="164" t="str">
        <f t="shared" ca="1" si="489"/>
        <v/>
      </c>
      <c r="DY158" s="164" t="str">
        <f t="shared" ca="1" si="490"/>
        <v/>
      </c>
      <c r="DZ158" s="164" t="str">
        <f t="shared" ca="1" si="491"/>
        <v/>
      </c>
      <c r="EA158" s="164" t="str">
        <f t="shared" ca="1" si="492"/>
        <v/>
      </c>
      <c r="EB158" s="164" t="str">
        <f t="shared" ca="1" si="493"/>
        <v/>
      </c>
      <c r="EC158" s="164" t="str">
        <f t="shared" ca="1" si="494"/>
        <v/>
      </c>
      <c r="ED158" s="164" t="str">
        <f t="shared" ca="1" si="495"/>
        <v/>
      </c>
      <c r="EE158" s="164" t="str">
        <f t="shared" ca="1" si="496"/>
        <v/>
      </c>
      <c r="EF158" s="164" t="str">
        <f t="shared" ca="1" si="497"/>
        <v/>
      </c>
      <c r="EG158" s="164" t="str">
        <f t="shared" ca="1" si="498"/>
        <v/>
      </c>
      <c r="EH158" s="164" t="str">
        <f t="shared" ca="1" si="499"/>
        <v/>
      </c>
      <c r="EI158" s="164" t="str">
        <f t="shared" ca="1" si="500"/>
        <v/>
      </c>
      <c r="EJ158" s="164" t="str">
        <f t="shared" ca="1" si="501"/>
        <v/>
      </c>
      <c r="EK158" s="164" t="str">
        <f t="shared" ca="1" si="502"/>
        <v/>
      </c>
      <c r="EL158" s="164" t="str">
        <f t="shared" ca="1" si="503"/>
        <v/>
      </c>
      <c r="EM158" s="164" t="str">
        <f t="shared" ca="1" si="504"/>
        <v/>
      </c>
      <c r="EN158" s="164" t="str">
        <f t="shared" ca="1" si="505"/>
        <v/>
      </c>
      <c r="EO158" s="164" t="str">
        <f t="shared" ca="1" si="506"/>
        <v/>
      </c>
      <c r="EP158" s="164" t="str">
        <f t="shared" ca="1" si="507"/>
        <v/>
      </c>
      <c r="EQ158" s="164" t="str">
        <f t="shared" ca="1" si="508"/>
        <v/>
      </c>
      <c r="ER158" s="164" t="str">
        <f t="shared" ca="1" si="509"/>
        <v/>
      </c>
      <c r="ES158" s="164" t="str">
        <f t="shared" ca="1" si="510"/>
        <v/>
      </c>
    </row>
    <row r="159" spans="1:149" outlineLevel="1" x14ac:dyDescent="0.2">
      <c r="A159" s="89" t="str">
        <f t="shared" ca="1" si="511"/>
        <v/>
      </c>
      <c r="B159" s="317" t="str">
        <f t="shared" ca="1" si="423"/>
        <v/>
      </c>
      <c r="C159" s="609" t="str">
        <f t="shared" ca="1" si="424"/>
        <v/>
      </c>
      <c r="D159" s="1956" t="str">
        <f t="shared" ca="1" si="425"/>
        <v/>
      </c>
      <c r="E159" s="1956"/>
      <c r="F159" s="960"/>
      <c r="G159" s="485" t="str">
        <f t="shared" ca="1" si="426"/>
        <v/>
      </c>
      <c r="H159" s="983"/>
      <c r="I159" s="486"/>
      <c r="J159" s="326"/>
      <c r="K159" s="1886" t="str">
        <f t="shared" ca="1" si="427"/>
        <v/>
      </c>
      <c r="L159" s="1888"/>
      <c r="M159" s="296" t="str">
        <f t="shared" ca="1" si="512"/>
        <v/>
      </c>
      <c r="N159" s="1322"/>
      <c r="O159" s="1319"/>
      <c r="P159" s="957" t="str">
        <f ca="1">IF(AND(NOT(EXACT($A159,"")),NOT(EXACT($O159,""))),ROUND(IF(O159=2,3,O159)*20*HLOOKUP($G159,SKT,3,FALSE)*IF(VT_EIDGED,0.5,IF(VT_GUTGED,0.75,1)),0),"")</f>
        <v/>
      </c>
      <c r="Q159" s="164">
        <f t="shared" si="429"/>
        <v>0</v>
      </c>
      <c r="R159" s="164">
        <f t="shared" ca="1" si="430"/>
        <v>0</v>
      </c>
      <c r="S159" s="164">
        <f t="shared" ca="1" si="431"/>
        <v>0</v>
      </c>
      <c r="T159" s="164">
        <f t="shared" ca="1" si="432"/>
        <v>0</v>
      </c>
      <c r="U159" s="164">
        <f t="shared" ca="1" si="433"/>
        <v>0</v>
      </c>
      <c r="V159" s="164">
        <f t="shared" ca="1" si="434"/>
        <v>0</v>
      </c>
      <c r="W159" s="164">
        <f t="shared" ca="1" si="435"/>
        <v>0</v>
      </c>
      <c r="X159" s="164">
        <f t="shared" ca="1" si="436"/>
        <v>0</v>
      </c>
      <c r="Y159" s="164">
        <f t="shared" ca="1" si="437"/>
        <v>0</v>
      </c>
      <c r="Z159" s="164">
        <f t="shared" ca="1" si="438"/>
        <v>0</v>
      </c>
      <c r="AA159" s="164">
        <f t="shared" ca="1" si="439"/>
        <v>0</v>
      </c>
      <c r="AB159" s="164">
        <f t="shared" ca="1" si="440"/>
        <v>0</v>
      </c>
      <c r="AC159" s="164">
        <f t="shared" ca="1" si="441"/>
        <v>0</v>
      </c>
      <c r="AD159" s="164">
        <f t="shared" ca="1" si="442"/>
        <v>0</v>
      </c>
      <c r="AE159" s="164">
        <f t="shared" ca="1" si="443"/>
        <v>0</v>
      </c>
      <c r="AF159" s="164">
        <f t="shared" ca="1" si="444"/>
        <v>0</v>
      </c>
      <c r="AG159" s="164">
        <f t="shared" ca="1" si="445"/>
        <v>0</v>
      </c>
      <c r="AH159" s="164">
        <f t="shared" ca="1" si="446"/>
        <v>0</v>
      </c>
      <c r="AI159" s="164">
        <f t="shared" ca="1" si="447"/>
        <v>0</v>
      </c>
      <c r="AJ159" s="164">
        <f t="shared" ca="1" si="448"/>
        <v>0</v>
      </c>
      <c r="AK159" s="164">
        <f t="shared" ca="1" si="449"/>
        <v>0</v>
      </c>
      <c r="AL159" s="164">
        <f t="shared" ca="1" si="450"/>
        <v>0</v>
      </c>
      <c r="AM159" s="208"/>
      <c r="AN159" s="164">
        <f t="shared" si="451"/>
        <v>0</v>
      </c>
      <c r="AO159" s="164">
        <f t="shared" ca="1" si="452"/>
        <v>0</v>
      </c>
      <c r="AP159" s="164">
        <f t="shared" ca="1" si="453"/>
        <v>0</v>
      </c>
      <c r="AQ159" s="164">
        <f t="shared" ca="1" si="454"/>
        <v>0</v>
      </c>
      <c r="AR159" s="164">
        <f t="shared" ca="1" si="455"/>
        <v>0</v>
      </c>
      <c r="AS159" s="164">
        <f t="shared" ca="1" si="456"/>
        <v>0</v>
      </c>
      <c r="AT159" s="164">
        <f t="shared" ca="1" si="457"/>
        <v>0</v>
      </c>
      <c r="AU159" s="164">
        <f t="shared" ca="1" si="458"/>
        <v>0</v>
      </c>
      <c r="AV159" s="164">
        <f t="shared" ca="1" si="459"/>
        <v>0</v>
      </c>
      <c r="AW159" s="164">
        <f t="shared" ca="1" si="460"/>
        <v>0</v>
      </c>
      <c r="AX159" s="164">
        <f t="shared" ca="1" si="461"/>
        <v>0</v>
      </c>
      <c r="AY159" s="164">
        <f t="shared" ca="1" si="462"/>
        <v>0</v>
      </c>
      <c r="AZ159" s="164">
        <f t="shared" ca="1" si="463"/>
        <v>0</v>
      </c>
      <c r="BA159" s="164">
        <f t="shared" ca="1" si="464"/>
        <v>0</v>
      </c>
      <c r="BB159" s="164">
        <f t="shared" ca="1" si="465"/>
        <v>0</v>
      </c>
      <c r="BC159" s="164">
        <f t="shared" ca="1" si="466"/>
        <v>0</v>
      </c>
      <c r="BD159" s="164">
        <f t="shared" ca="1" si="467"/>
        <v>0</v>
      </c>
      <c r="BE159" s="164">
        <f t="shared" ca="1" si="468"/>
        <v>0</v>
      </c>
      <c r="BF159" s="164">
        <f t="shared" ca="1" si="469"/>
        <v>0</v>
      </c>
      <c r="BG159" s="164">
        <f t="shared" ca="1" si="470"/>
        <v>0</v>
      </c>
      <c r="BH159" s="164">
        <f t="shared" ca="1" si="471"/>
        <v>0</v>
      </c>
      <c r="BI159" s="164">
        <f t="shared" ca="1" si="472"/>
        <v>0</v>
      </c>
      <c r="BJ159" s="164">
        <f t="shared" ca="1" si="473"/>
        <v>0</v>
      </c>
      <c r="BK159" s="164">
        <f t="shared" ca="1" si="474"/>
        <v>0</v>
      </c>
      <c r="BL159" s="164">
        <f t="shared" ca="1" si="475"/>
        <v>0</v>
      </c>
      <c r="BM159" s="164">
        <f t="shared" ca="1" si="476"/>
        <v>0</v>
      </c>
      <c r="BN159" s="164">
        <f t="shared" ca="1" si="477"/>
        <v>0</v>
      </c>
      <c r="BO159" s="356" t="str">
        <f t="shared" ca="1" si="478"/>
        <v/>
      </c>
      <c r="BP159" s="355" t="str">
        <f t="shared" ca="1" si="380"/>
        <v/>
      </c>
      <c r="BQ159" s="355" t="str">
        <f t="shared" ca="1" si="381"/>
        <v/>
      </c>
      <c r="BR159" s="348">
        <f t="shared" ca="1" si="516"/>
        <v>0</v>
      </c>
      <c r="BS159" s="348">
        <f t="shared" ca="1" si="517"/>
        <v>0</v>
      </c>
      <c r="BT159" s="610">
        <f t="shared" ca="1" si="479"/>
        <v>0</v>
      </c>
      <c r="BU159" s="357">
        <f t="shared" ca="1" si="383"/>
        <v>0</v>
      </c>
      <c r="BV159" s="357">
        <f t="shared" si="480"/>
        <v>0</v>
      </c>
      <c r="BW159" s="357">
        <f t="shared" si="481"/>
        <v>0</v>
      </c>
      <c r="BX159" s="357">
        <f t="shared" ca="1" si="482"/>
        <v>0</v>
      </c>
      <c r="BY159" s="357">
        <f t="shared" ca="1" si="522"/>
        <v>0</v>
      </c>
      <c r="BZ159" s="357"/>
      <c r="CA159" s="357">
        <f t="shared" ca="1" si="518"/>
        <v>0</v>
      </c>
      <c r="CB159" s="357" t="str">
        <f t="shared" ca="1" si="483"/>
        <v/>
      </c>
      <c r="CC159" s="358" t="str">
        <f t="shared" ca="1" si="523"/>
        <v/>
      </c>
      <c r="CD159" s="358" t="str">
        <f t="shared" ca="1" si="524"/>
        <v/>
      </c>
      <c r="CE159" s="357" t="str">
        <f t="shared" ca="1" si="513"/>
        <v>,,,,,,,,,,,,,,,,,,,,,,,,,,,,,,,,,,,,,,,,,,,,,,,,,,,,,,,,,,,,,,,,,,,,,,,,,,,,,,,,,,,,,,,,,,,,,,,,,,,</v>
      </c>
      <c r="CF159" s="154" t="str">
        <f t="shared" si="521"/>
        <v/>
      </c>
      <c r="CG159" s="154">
        <f t="shared" ca="1" si="525"/>
        <v>0</v>
      </c>
      <c r="CH159" s="154"/>
      <c r="CI159" s="154"/>
      <c r="CJ159" s="154"/>
      <c r="CK159" s="154"/>
      <c r="CL159" s="154"/>
      <c r="CM159" s="154"/>
      <c r="CN159" t="s">
        <v>784</v>
      </c>
      <c r="CO159" s="169"/>
      <c r="CP159" s="169"/>
      <c r="CQ159" s="169"/>
      <c r="CR159" s="169"/>
      <c r="CS159" s="169"/>
      <c r="CT159" s="169"/>
      <c r="CU159" s="169"/>
      <c r="CV159" s="164" t="str">
        <f t="shared" ca="1" si="526"/>
        <v/>
      </c>
      <c r="CW159" s="164" t="str">
        <f t="shared" ca="1" si="526"/>
        <v/>
      </c>
      <c r="CX159" s="164" t="str">
        <f t="shared" ca="1" si="526"/>
        <v/>
      </c>
      <c r="CY159" s="164" t="str">
        <f t="shared" ca="1" si="526"/>
        <v/>
      </c>
      <c r="CZ159" s="164" t="str">
        <f t="shared" ca="1" si="526"/>
        <v/>
      </c>
      <c r="DA159" s="164" t="str">
        <f t="shared" ca="1" si="526"/>
        <v/>
      </c>
      <c r="DB159" s="164" t="str">
        <f t="shared" ca="1" si="526"/>
        <v/>
      </c>
      <c r="DC159" s="164" t="str">
        <f t="shared" ca="1" si="526"/>
        <v/>
      </c>
      <c r="DD159" s="164" t="str">
        <f t="shared" ca="1" si="526"/>
        <v/>
      </c>
      <c r="DE159" s="164" t="str">
        <f t="shared" ca="1" si="526"/>
        <v/>
      </c>
      <c r="DF159" s="164" t="str">
        <f t="shared" ca="1" si="527"/>
        <v/>
      </c>
      <c r="DG159" s="164" t="str">
        <f t="shared" ca="1" si="527"/>
        <v/>
      </c>
      <c r="DH159" s="164" t="str">
        <f t="shared" ca="1" si="527"/>
        <v/>
      </c>
      <c r="DI159" s="164" t="str">
        <f t="shared" ca="1" si="527"/>
        <v/>
      </c>
      <c r="DJ159" s="164" t="str">
        <f t="shared" ca="1" si="527"/>
        <v/>
      </c>
      <c r="DK159" s="164" t="str">
        <f t="shared" ca="1" si="527"/>
        <v/>
      </c>
      <c r="DL159" s="164" t="str">
        <f t="shared" ca="1" si="527"/>
        <v/>
      </c>
      <c r="DM159" s="164" t="str">
        <f t="shared" ca="1" si="527"/>
        <v/>
      </c>
      <c r="DN159" s="164" t="str">
        <f t="shared" ca="1" si="527"/>
        <v/>
      </c>
      <c r="DO159" s="164" t="str">
        <f t="shared" ca="1" si="527"/>
        <v/>
      </c>
      <c r="DP159" s="164" t="str">
        <f t="shared" ca="1" si="527"/>
        <v/>
      </c>
      <c r="DQ159" s="164" t="str">
        <f t="shared" ca="1" si="527"/>
        <v/>
      </c>
      <c r="DR159" s="208"/>
      <c r="DS159" s="164" t="str">
        <f t="shared" ca="1" si="484"/>
        <v/>
      </c>
      <c r="DT159" s="164" t="str">
        <f t="shared" ca="1" si="485"/>
        <v/>
      </c>
      <c r="DU159" s="164" t="str">
        <f t="shared" ca="1" si="486"/>
        <v/>
      </c>
      <c r="DV159" s="164" t="str">
        <f t="shared" ca="1" si="487"/>
        <v/>
      </c>
      <c r="DW159" s="164" t="str">
        <f t="shared" ca="1" si="488"/>
        <v/>
      </c>
      <c r="DX159" s="164" t="str">
        <f t="shared" ca="1" si="489"/>
        <v/>
      </c>
      <c r="DY159" s="164" t="str">
        <f t="shared" ca="1" si="490"/>
        <v/>
      </c>
      <c r="DZ159" s="164" t="str">
        <f t="shared" ca="1" si="491"/>
        <v/>
      </c>
      <c r="EA159" s="164" t="str">
        <f t="shared" ca="1" si="492"/>
        <v/>
      </c>
      <c r="EB159" s="164" t="str">
        <f t="shared" ca="1" si="493"/>
        <v/>
      </c>
      <c r="EC159" s="164" t="str">
        <f t="shared" ca="1" si="494"/>
        <v/>
      </c>
      <c r="ED159" s="164" t="str">
        <f t="shared" ca="1" si="495"/>
        <v/>
      </c>
      <c r="EE159" s="164" t="str">
        <f t="shared" ca="1" si="496"/>
        <v/>
      </c>
      <c r="EF159" s="164" t="str">
        <f t="shared" ca="1" si="497"/>
        <v/>
      </c>
      <c r="EG159" s="164" t="str">
        <f t="shared" ca="1" si="498"/>
        <v/>
      </c>
      <c r="EH159" s="164" t="str">
        <f t="shared" ca="1" si="499"/>
        <v/>
      </c>
      <c r="EI159" s="164" t="str">
        <f t="shared" ca="1" si="500"/>
        <v/>
      </c>
      <c r="EJ159" s="164" t="str">
        <f t="shared" ca="1" si="501"/>
        <v/>
      </c>
      <c r="EK159" s="164" t="str">
        <f t="shared" ca="1" si="502"/>
        <v/>
      </c>
      <c r="EL159" s="164" t="str">
        <f t="shared" ca="1" si="503"/>
        <v/>
      </c>
      <c r="EM159" s="164" t="str">
        <f t="shared" ca="1" si="504"/>
        <v/>
      </c>
      <c r="EN159" s="164" t="str">
        <f t="shared" ca="1" si="505"/>
        <v/>
      </c>
      <c r="EO159" s="164" t="str">
        <f t="shared" ca="1" si="506"/>
        <v/>
      </c>
      <c r="EP159" s="164" t="str">
        <f t="shared" ca="1" si="507"/>
        <v/>
      </c>
      <c r="EQ159" s="164" t="str">
        <f t="shared" ca="1" si="508"/>
        <v/>
      </c>
      <c r="ER159" s="164" t="str">
        <f t="shared" ca="1" si="509"/>
        <v/>
      </c>
      <c r="ES159" s="164" t="str">
        <f t="shared" ca="1" si="510"/>
        <v/>
      </c>
    </row>
    <row r="160" spans="1:149" outlineLevel="1" x14ac:dyDescent="0.2">
      <c r="A160" s="89" t="str">
        <f t="shared" ca="1" si="511"/>
        <v/>
      </c>
      <c r="B160" s="317" t="str">
        <f t="shared" ca="1" si="423"/>
        <v/>
      </c>
      <c r="C160" s="609" t="str">
        <f t="shared" ca="1" si="424"/>
        <v/>
      </c>
      <c r="D160" s="1956" t="str">
        <f t="shared" ca="1" si="425"/>
        <v/>
      </c>
      <c r="E160" s="1956"/>
      <c r="F160" s="960"/>
      <c r="G160" s="485" t="str">
        <f t="shared" ca="1" si="426"/>
        <v/>
      </c>
      <c r="H160" s="983"/>
      <c r="I160" s="486"/>
      <c r="J160" s="326"/>
      <c r="K160" s="1886" t="str">
        <f t="shared" ca="1" si="427"/>
        <v/>
      </c>
      <c r="L160" s="1888"/>
      <c r="M160" s="296" t="str">
        <f t="shared" ca="1" si="512"/>
        <v/>
      </c>
      <c r="N160" s="1322"/>
      <c r="O160" s="1319"/>
      <c r="P160" s="957" t="str">
        <f ca="1">IF(AND(NOT(EXACT($A160,"")),NOT(EXACT($O160,""))),ROUND(IF(O160=2,3,O160)*20*HLOOKUP($G160,SKT,3,FALSE)*IF(VT_EIDGED,0.5,IF(VT_GUTGED,0.75,1)),0),"")</f>
        <v/>
      </c>
      <c r="Q160" s="164">
        <f t="shared" si="429"/>
        <v>0</v>
      </c>
      <c r="R160" s="164">
        <f t="shared" ca="1" si="430"/>
        <v>0</v>
      </c>
      <c r="S160" s="164">
        <f t="shared" ca="1" si="431"/>
        <v>0</v>
      </c>
      <c r="T160" s="164">
        <f t="shared" ca="1" si="432"/>
        <v>0</v>
      </c>
      <c r="U160" s="164">
        <f t="shared" ca="1" si="433"/>
        <v>0</v>
      </c>
      <c r="V160" s="164">
        <f t="shared" ca="1" si="434"/>
        <v>0</v>
      </c>
      <c r="W160" s="164">
        <f t="shared" ca="1" si="435"/>
        <v>0</v>
      </c>
      <c r="X160" s="164">
        <f t="shared" ca="1" si="436"/>
        <v>0</v>
      </c>
      <c r="Y160" s="164">
        <f t="shared" ca="1" si="437"/>
        <v>0</v>
      </c>
      <c r="Z160" s="164">
        <f t="shared" ca="1" si="438"/>
        <v>0</v>
      </c>
      <c r="AA160" s="164">
        <f t="shared" ca="1" si="439"/>
        <v>0</v>
      </c>
      <c r="AB160" s="164">
        <f t="shared" ca="1" si="440"/>
        <v>0</v>
      </c>
      <c r="AC160" s="164">
        <f t="shared" ca="1" si="441"/>
        <v>0</v>
      </c>
      <c r="AD160" s="164">
        <f t="shared" ca="1" si="442"/>
        <v>0</v>
      </c>
      <c r="AE160" s="164">
        <f t="shared" ca="1" si="443"/>
        <v>0</v>
      </c>
      <c r="AF160" s="164">
        <f t="shared" ca="1" si="444"/>
        <v>0</v>
      </c>
      <c r="AG160" s="164">
        <f t="shared" ca="1" si="445"/>
        <v>0</v>
      </c>
      <c r="AH160" s="164">
        <f t="shared" ca="1" si="446"/>
        <v>0</v>
      </c>
      <c r="AI160" s="164">
        <f t="shared" ca="1" si="447"/>
        <v>0</v>
      </c>
      <c r="AJ160" s="164">
        <f t="shared" ca="1" si="448"/>
        <v>0</v>
      </c>
      <c r="AK160" s="164">
        <f t="shared" ca="1" si="449"/>
        <v>0</v>
      </c>
      <c r="AL160" s="164">
        <f t="shared" ca="1" si="450"/>
        <v>0</v>
      </c>
      <c r="AM160" s="208"/>
      <c r="AN160" s="164">
        <f t="shared" si="451"/>
        <v>0</v>
      </c>
      <c r="AO160" s="164">
        <f t="shared" ca="1" si="452"/>
        <v>0</v>
      </c>
      <c r="AP160" s="164">
        <f t="shared" ca="1" si="453"/>
        <v>0</v>
      </c>
      <c r="AQ160" s="164">
        <f t="shared" ca="1" si="454"/>
        <v>0</v>
      </c>
      <c r="AR160" s="164">
        <f t="shared" ca="1" si="455"/>
        <v>0</v>
      </c>
      <c r="AS160" s="164">
        <f t="shared" ca="1" si="456"/>
        <v>0</v>
      </c>
      <c r="AT160" s="164">
        <f t="shared" ca="1" si="457"/>
        <v>0</v>
      </c>
      <c r="AU160" s="164">
        <f t="shared" ca="1" si="458"/>
        <v>0</v>
      </c>
      <c r="AV160" s="164">
        <f t="shared" ca="1" si="459"/>
        <v>0</v>
      </c>
      <c r="AW160" s="164">
        <f t="shared" ca="1" si="460"/>
        <v>0</v>
      </c>
      <c r="AX160" s="164">
        <f t="shared" ca="1" si="461"/>
        <v>0</v>
      </c>
      <c r="AY160" s="164">
        <f t="shared" ca="1" si="462"/>
        <v>0</v>
      </c>
      <c r="AZ160" s="164">
        <f t="shared" ca="1" si="463"/>
        <v>0</v>
      </c>
      <c r="BA160" s="164">
        <f t="shared" ca="1" si="464"/>
        <v>0</v>
      </c>
      <c r="BB160" s="164">
        <f t="shared" ca="1" si="465"/>
        <v>0</v>
      </c>
      <c r="BC160" s="164">
        <f t="shared" ca="1" si="466"/>
        <v>0</v>
      </c>
      <c r="BD160" s="164">
        <f t="shared" ca="1" si="467"/>
        <v>0</v>
      </c>
      <c r="BE160" s="164">
        <f t="shared" ca="1" si="468"/>
        <v>0</v>
      </c>
      <c r="BF160" s="164">
        <f t="shared" ca="1" si="469"/>
        <v>0</v>
      </c>
      <c r="BG160" s="164">
        <f t="shared" ca="1" si="470"/>
        <v>0</v>
      </c>
      <c r="BH160" s="164">
        <f t="shared" ca="1" si="471"/>
        <v>0</v>
      </c>
      <c r="BI160" s="164">
        <f t="shared" ca="1" si="472"/>
        <v>0</v>
      </c>
      <c r="BJ160" s="164">
        <f t="shared" ca="1" si="473"/>
        <v>0</v>
      </c>
      <c r="BK160" s="164">
        <f t="shared" ca="1" si="474"/>
        <v>0</v>
      </c>
      <c r="BL160" s="164">
        <f t="shared" ca="1" si="475"/>
        <v>0</v>
      </c>
      <c r="BM160" s="164">
        <f t="shared" ca="1" si="476"/>
        <v>0</v>
      </c>
      <c r="BN160" s="164">
        <f t="shared" ca="1" si="477"/>
        <v>0</v>
      </c>
      <c r="BO160" s="356" t="str">
        <f t="shared" ca="1" si="478"/>
        <v/>
      </c>
      <c r="BP160" s="355" t="str">
        <f t="shared" ca="1" si="380"/>
        <v/>
      </c>
      <c r="BQ160" s="355" t="str">
        <f t="shared" ca="1" si="381"/>
        <v/>
      </c>
      <c r="BR160" s="348">
        <f t="shared" ca="1" si="516"/>
        <v>0</v>
      </c>
      <c r="BS160" s="348">
        <f t="shared" ca="1" si="517"/>
        <v>0</v>
      </c>
      <c r="BT160" s="610">
        <f t="shared" ca="1" si="479"/>
        <v>0</v>
      </c>
      <c r="BU160" s="357">
        <f t="shared" ca="1" si="383"/>
        <v>0</v>
      </c>
      <c r="BV160" s="357">
        <f t="shared" si="480"/>
        <v>0</v>
      </c>
      <c r="BW160" s="357">
        <f t="shared" si="481"/>
        <v>0</v>
      </c>
      <c r="BX160" s="357">
        <f t="shared" ca="1" si="482"/>
        <v>0</v>
      </c>
      <c r="BY160" s="357">
        <f t="shared" ca="1" si="522"/>
        <v>0</v>
      </c>
      <c r="BZ160" s="357"/>
      <c r="CA160" s="357">
        <f t="shared" ca="1" si="518"/>
        <v>0</v>
      </c>
      <c r="CB160" s="357" t="str">
        <f t="shared" ca="1" si="483"/>
        <v/>
      </c>
      <c r="CC160" s="358" t="str">
        <f t="shared" ca="1" si="523"/>
        <v/>
      </c>
      <c r="CD160" s="358" t="str">
        <f t="shared" ca="1" si="524"/>
        <v/>
      </c>
      <c r="CE160" s="357" t="str">
        <f t="shared" ca="1" si="513"/>
        <v>,,,,,,,,,,,,,,,,,,,,,,,,,,,,,,,,,,,,,,,,,,,,,,,,,,,,,,,,,,,,,,,,,,,,,,,,,,,,,,,,,,,,,,,,,,,,,,,,,,,,</v>
      </c>
      <c r="CF160" s="154" t="str">
        <f t="shared" si="521"/>
        <v/>
      </c>
      <c r="CG160" s="154">
        <f t="shared" ca="1" si="525"/>
        <v>0</v>
      </c>
      <c r="CH160" s="154"/>
      <c r="CI160" s="154"/>
      <c r="CJ160" s="154"/>
      <c r="CK160" s="154"/>
      <c r="CL160" s="154"/>
      <c r="CM160" s="154"/>
      <c r="CN160" t="s">
        <v>784</v>
      </c>
      <c r="CO160" s="169"/>
      <c r="CP160" s="169"/>
      <c r="CQ160" s="169"/>
      <c r="CR160" s="169"/>
      <c r="CS160" s="169"/>
      <c r="CT160" s="169"/>
      <c r="CU160" s="169"/>
      <c r="CV160" s="164" t="str">
        <f t="shared" ca="1" si="526"/>
        <v/>
      </c>
      <c r="CW160" s="164" t="str">
        <f t="shared" ca="1" si="526"/>
        <v/>
      </c>
      <c r="CX160" s="164" t="str">
        <f t="shared" ca="1" si="526"/>
        <v/>
      </c>
      <c r="CY160" s="164" t="str">
        <f t="shared" ca="1" si="526"/>
        <v/>
      </c>
      <c r="CZ160" s="164" t="str">
        <f t="shared" ca="1" si="526"/>
        <v/>
      </c>
      <c r="DA160" s="164" t="str">
        <f t="shared" ca="1" si="526"/>
        <v/>
      </c>
      <c r="DB160" s="164" t="str">
        <f t="shared" ca="1" si="526"/>
        <v/>
      </c>
      <c r="DC160" s="164" t="str">
        <f t="shared" ca="1" si="526"/>
        <v/>
      </c>
      <c r="DD160" s="164" t="str">
        <f t="shared" ca="1" si="526"/>
        <v/>
      </c>
      <c r="DE160" s="164" t="str">
        <f t="shared" ca="1" si="526"/>
        <v/>
      </c>
      <c r="DF160" s="164" t="str">
        <f t="shared" ca="1" si="527"/>
        <v/>
      </c>
      <c r="DG160" s="164" t="str">
        <f t="shared" ca="1" si="527"/>
        <v/>
      </c>
      <c r="DH160" s="164" t="str">
        <f t="shared" ca="1" si="527"/>
        <v/>
      </c>
      <c r="DI160" s="164" t="str">
        <f t="shared" ca="1" si="527"/>
        <v/>
      </c>
      <c r="DJ160" s="164" t="str">
        <f t="shared" ca="1" si="527"/>
        <v/>
      </c>
      <c r="DK160" s="164" t="str">
        <f t="shared" ca="1" si="527"/>
        <v/>
      </c>
      <c r="DL160" s="164" t="str">
        <f t="shared" ca="1" si="527"/>
        <v/>
      </c>
      <c r="DM160" s="164" t="str">
        <f t="shared" ca="1" si="527"/>
        <v/>
      </c>
      <c r="DN160" s="164" t="str">
        <f t="shared" ca="1" si="527"/>
        <v/>
      </c>
      <c r="DO160" s="164" t="str">
        <f t="shared" ca="1" si="527"/>
        <v/>
      </c>
      <c r="DP160" s="164" t="str">
        <f t="shared" ca="1" si="527"/>
        <v/>
      </c>
      <c r="DQ160" s="164" t="str">
        <f t="shared" ca="1" si="527"/>
        <v/>
      </c>
      <c r="DR160" s="208"/>
      <c r="DS160" s="164" t="str">
        <f t="shared" ca="1" si="484"/>
        <v/>
      </c>
      <c r="DT160" s="164" t="str">
        <f t="shared" ca="1" si="485"/>
        <v/>
      </c>
      <c r="DU160" s="164" t="str">
        <f t="shared" ca="1" si="486"/>
        <v/>
      </c>
      <c r="DV160" s="164" t="str">
        <f t="shared" ca="1" si="487"/>
        <v/>
      </c>
      <c r="DW160" s="164" t="str">
        <f t="shared" ca="1" si="488"/>
        <v/>
      </c>
      <c r="DX160" s="164" t="str">
        <f t="shared" ca="1" si="489"/>
        <v/>
      </c>
      <c r="DY160" s="164" t="str">
        <f t="shared" ca="1" si="490"/>
        <v/>
      </c>
      <c r="DZ160" s="164" t="str">
        <f t="shared" ca="1" si="491"/>
        <v/>
      </c>
      <c r="EA160" s="164" t="str">
        <f t="shared" ca="1" si="492"/>
        <v/>
      </c>
      <c r="EB160" s="164" t="str">
        <f t="shared" ca="1" si="493"/>
        <v/>
      </c>
      <c r="EC160" s="164" t="str">
        <f t="shared" ca="1" si="494"/>
        <v/>
      </c>
      <c r="ED160" s="164" t="str">
        <f t="shared" ca="1" si="495"/>
        <v/>
      </c>
      <c r="EE160" s="164" t="str">
        <f t="shared" ca="1" si="496"/>
        <v/>
      </c>
      <c r="EF160" s="164" t="str">
        <f t="shared" ca="1" si="497"/>
        <v/>
      </c>
      <c r="EG160" s="164" t="str">
        <f t="shared" ca="1" si="498"/>
        <v/>
      </c>
      <c r="EH160" s="164" t="str">
        <f t="shared" ca="1" si="499"/>
        <v/>
      </c>
      <c r="EI160" s="164" t="str">
        <f t="shared" ca="1" si="500"/>
        <v/>
      </c>
      <c r="EJ160" s="164" t="str">
        <f t="shared" ca="1" si="501"/>
        <v/>
      </c>
      <c r="EK160" s="164" t="str">
        <f t="shared" ca="1" si="502"/>
        <v/>
      </c>
      <c r="EL160" s="164" t="str">
        <f t="shared" ca="1" si="503"/>
        <v/>
      </c>
      <c r="EM160" s="164" t="str">
        <f t="shared" ca="1" si="504"/>
        <v/>
      </c>
      <c r="EN160" s="164" t="str">
        <f t="shared" ca="1" si="505"/>
        <v/>
      </c>
      <c r="EO160" s="164" t="str">
        <f t="shared" ca="1" si="506"/>
        <v/>
      </c>
      <c r="EP160" s="164" t="str">
        <f t="shared" ca="1" si="507"/>
        <v/>
      </c>
      <c r="EQ160" s="164" t="str">
        <f t="shared" ca="1" si="508"/>
        <v/>
      </c>
      <c r="ER160" s="164" t="str">
        <f t="shared" ca="1" si="509"/>
        <v/>
      </c>
      <c r="ES160" s="164" t="str">
        <f t="shared" ca="1" si="510"/>
        <v/>
      </c>
    </row>
    <row r="161" spans="1:149" ht="15.75" x14ac:dyDescent="0.25">
      <c r="A161" s="168" t="s">
        <v>7181</v>
      </c>
      <c r="B161" s="127"/>
      <c r="C161" s="304"/>
      <c r="D161" s="1988"/>
      <c r="E161" s="1988"/>
      <c r="F161" s="965"/>
      <c r="G161" s="6"/>
      <c r="H161" s="965"/>
      <c r="I161" s="965"/>
      <c r="J161" s="965"/>
      <c r="K161" s="1879" t="str">
        <f ca="1">IF(APGUT&lt;0,"Keine AP mehr übrig!",IF(TL_GP_UEBRIG&lt;0,"Keine Start-AP mehr übrig!","▼ Fehlermeldungen ▼  "&amp;"(AP: "&amp;APGUT&amp;")"))</f>
        <v>▼ Fehlermeldungen ▼  (AP: 0)</v>
      </c>
      <c r="L161" s="1879"/>
      <c r="M161" s="295"/>
      <c r="N161" s="1320" t="s">
        <v>7064</v>
      </c>
      <c r="O161" s="1126" t="s">
        <v>3636</v>
      </c>
      <c r="P161" s="295"/>
      <c r="Q161" s="134" t="s">
        <v>2843</v>
      </c>
      <c r="R161" s="6">
        <v>1</v>
      </c>
      <c r="S161" s="6">
        <v>2</v>
      </c>
      <c r="T161" s="6">
        <v>3</v>
      </c>
      <c r="U161" s="6">
        <v>4</v>
      </c>
      <c r="V161" s="6">
        <v>5</v>
      </c>
      <c r="W161" s="6">
        <v>6</v>
      </c>
      <c r="X161" s="6">
        <v>7</v>
      </c>
      <c r="Y161" s="6">
        <v>8</v>
      </c>
      <c r="Z161" s="6">
        <v>9</v>
      </c>
      <c r="AA161" s="6">
        <v>10</v>
      </c>
      <c r="AB161" s="6">
        <v>11</v>
      </c>
      <c r="AC161" s="6">
        <v>12</v>
      </c>
      <c r="AD161" s="6">
        <v>13</v>
      </c>
      <c r="AE161" s="6">
        <v>14</v>
      </c>
      <c r="AF161" s="6">
        <v>15</v>
      </c>
      <c r="AG161" s="6">
        <v>16</v>
      </c>
      <c r="AH161" s="6">
        <v>17</v>
      </c>
      <c r="AI161" s="6">
        <v>18</v>
      </c>
      <c r="AJ161" s="6">
        <v>19</v>
      </c>
      <c r="AK161" s="6">
        <v>20</v>
      </c>
      <c r="AL161" s="6">
        <v>21</v>
      </c>
      <c r="AM161" s="207"/>
      <c r="AN161" s="134" t="s">
        <v>2843</v>
      </c>
      <c r="AO161" s="6">
        <v>1</v>
      </c>
      <c r="AP161" s="6">
        <v>2</v>
      </c>
      <c r="AQ161" s="6">
        <v>3</v>
      </c>
      <c r="AR161" s="6">
        <v>4</v>
      </c>
      <c r="AS161" s="6">
        <v>5</v>
      </c>
      <c r="AT161" s="6">
        <v>6</v>
      </c>
      <c r="AU161" s="6">
        <v>7</v>
      </c>
      <c r="AV161" s="6">
        <v>8</v>
      </c>
      <c r="AW161" s="6">
        <v>9</v>
      </c>
      <c r="AX161" s="6">
        <v>10</v>
      </c>
      <c r="AY161" s="6">
        <v>11</v>
      </c>
      <c r="AZ161" s="6">
        <v>12</v>
      </c>
      <c r="BA161" s="6">
        <v>13</v>
      </c>
      <c r="BB161" s="6">
        <v>14</v>
      </c>
      <c r="BC161" s="6">
        <v>15</v>
      </c>
      <c r="BD161" s="6">
        <v>16</v>
      </c>
      <c r="BE161" s="6">
        <v>17</v>
      </c>
      <c r="BF161" s="6">
        <v>18</v>
      </c>
      <c r="BG161" s="6">
        <v>19</v>
      </c>
      <c r="BH161" s="6">
        <v>20</v>
      </c>
      <c r="BI161" s="6">
        <v>21</v>
      </c>
      <c r="BJ161" s="6">
        <v>22</v>
      </c>
      <c r="BK161" s="6">
        <v>23</v>
      </c>
      <c r="BL161" s="6">
        <v>24</v>
      </c>
      <c r="BM161" s="6">
        <v>25</v>
      </c>
      <c r="BN161" s="6">
        <v>26</v>
      </c>
      <c r="BO161" s="356"/>
      <c r="BP161" s="355"/>
      <c r="BQ161" s="355"/>
      <c r="BR161" s="348"/>
      <c r="BS161" s="348"/>
      <c r="BT161" s="610"/>
      <c r="BU161" s="357"/>
      <c r="BV161" s="357"/>
      <c r="BW161" s="357"/>
      <c r="BX161" s="357"/>
      <c r="BY161" s="357"/>
      <c r="BZ161" s="357"/>
      <c r="CA161" s="357"/>
      <c r="CB161" s="357"/>
      <c r="CC161" s="358"/>
      <c r="CD161" s="358"/>
      <c r="CE161" s="357"/>
      <c r="CF161" s="154"/>
      <c r="CG161" s="154"/>
      <c r="CH161" s="154"/>
      <c r="CI161" s="154"/>
      <c r="CJ161" s="154"/>
      <c r="CK161" s="154"/>
      <c r="CL161" s="154"/>
      <c r="CM161" s="154"/>
      <c r="CN161" t="s">
        <v>784</v>
      </c>
      <c r="CO161" s="6"/>
      <c r="CP161" s="6"/>
      <c r="CQ161" s="6"/>
      <c r="CR161" s="6"/>
      <c r="CS161" s="6"/>
      <c r="CT161" s="6"/>
      <c r="CU161" s="6"/>
      <c r="CV161" s="6">
        <v>0</v>
      </c>
      <c r="CW161" s="6">
        <v>1</v>
      </c>
      <c r="CX161" s="6">
        <v>2</v>
      </c>
      <c r="CY161" s="6">
        <v>3</v>
      </c>
      <c r="CZ161" s="6">
        <v>4</v>
      </c>
      <c r="DA161" s="6">
        <v>5</v>
      </c>
      <c r="DB161" s="6">
        <v>6</v>
      </c>
      <c r="DC161" s="6">
        <v>7</v>
      </c>
      <c r="DD161" s="6">
        <v>8</v>
      </c>
      <c r="DE161" s="6">
        <v>9</v>
      </c>
      <c r="DF161" s="6">
        <v>10</v>
      </c>
      <c r="DG161" s="6">
        <v>11</v>
      </c>
      <c r="DH161" s="6">
        <v>12</v>
      </c>
      <c r="DI161" s="6">
        <v>13</v>
      </c>
      <c r="DJ161" s="6">
        <v>14</v>
      </c>
      <c r="DK161" s="6">
        <v>15</v>
      </c>
      <c r="DL161" s="6">
        <v>16</v>
      </c>
      <c r="DM161" s="6">
        <v>17</v>
      </c>
      <c r="DN161" s="6">
        <v>18</v>
      </c>
      <c r="DO161" s="6">
        <v>19</v>
      </c>
      <c r="DP161" s="6">
        <v>20</v>
      </c>
      <c r="DQ161" s="6">
        <v>21</v>
      </c>
      <c r="DR161" s="208"/>
      <c r="DS161" s="6">
        <v>0</v>
      </c>
      <c r="DT161" s="6">
        <v>1</v>
      </c>
      <c r="DU161" s="6">
        <v>2</v>
      </c>
      <c r="DV161" s="6">
        <v>3</v>
      </c>
      <c r="DW161" s="6">
        <v>4</v>
      </c>
      <c r="DX161" s="6">
        <v>5</v>
      </c>
      <c r="DY161" s="6">
        <v>6</v>
      </c>
      <c r="DZ161" s="6">
        <v>7</v>
      </c>
      <c r="EA161" s="6">
        <v>8</v>
      </c>
      <c r="EB161" s="6">
        <v>9</v>
      </c>
      <c r="EC161" s="6">
        <v>10</v>
      </c>
      <c r="ED161" s="6">
        <v>11</v>
      </c>
      <c r="EE161" s="6">
        <v>12</v>
      </c>
      <c r="EF161" s="6">
        <v>13</v>
      </c>
      <c r="EG161" s="6">
        <v>14</v>
      </c>
      <c r="EH161" s="6">
        <v>15</v>
      </c>
      <c r="EI161" s="6">
        <v>16</v>
      </c>
      <c r="EJ161" s="6">
        <v>17</v>
      </c>
      <c r="EK161" s="6">
        <v>18</v>
      </c>
      <c r="EL161" s="6">
        <v>19</v>
      </c>
      <c r="EM161" s="6">
        <v>20</v>
      </c>
      <c r="EN161" s="6">
        <v>21</v>
      </c>
      <c r="EO161" s="6">
        <v>22</v>
      </c>
      <c r="EP161" s="6">
        <v>23</v>
      </c>
      <c r="EQ161" s="6">
        <v>24</v>
      </c>
      <c r="ER161" s="6">
        <v>25</v>
      </c>
      <c r="ES161" s="6">
        <v>26</v>
      </c>
    </row>
    <row r="162" spans="1:149" x14ac:dyDescent="0.2">
      <c r="A162" s="89"/>
      <c r="B162" s="317"/>
      <c r="C162" s="609" t="str">
        <f t="shared" ref="C162:C172" ca="1" si="528">IF(AND(MAGISCH,NOT(EXACT($A162,""))),$BP$4,"")</f>
        <v/>
      </c>
      <c r="D162" s="1956" t="str">
        <f t="shared" ref="D162:D172" ca="1" si="529">IF(AND(MAGISCH,NOT(EXACT($A162,""))),
CONCATENATE(IF($BR162=1,$CC162&amp;", ",""),IF($BS162=1,$CD162&amp;", ",""),IF($AF$241="","",IF(ISERROR(FIND($AF$241,$BQ162)),"",$AF$241&amp;", ")),IF($AF$242="","",IF(ISERROR(FIND($AF$242,$BQ162)),"",$AF$242&amp;", ")),IF($AF$243="","",IF(ISERROR(FIND($AF$243,$BQ162)),"",$AF$243&amp;", ")),IF($AF$244="","",IF(ISERROR(FIND($AF$244,$BQ162)),"",$AF$244&amp;", ")),IF($AF$245="","",IF(ISERROR(FIND($AF$245,$BQ162)),"",$AF$245&amp;", ")),IF($AF$246="","",IF(ISERROR(FIND($AF$246,$BQ162)),"",$AF$246&amp;", ")),IF($AF$247="","",IF(ISERROR(FIND($AF$247,$BQ162)),"",$AF$247&amp;", "))
),"")</f>
        <v/>
      </c>
      <c r="E162" s="1956"/>
      <c r="F162" s="960"/>
      <c r="G162" s="485" t="str">
        <f t="shared" ref="G162:G172" si="530">IF(EXACT($A162,""),"",IF(VT_VRTLZBR,"F",
IF(BO162&lt;65,"A+",IF(BO162&gt;72,"H",CHAR(BO162)))))</f>
        <v/>
      </c>
      <c r="H162" s="983"/>
      <c r="I162" s="486"/>
      <c r="J162" s="326"/>
      <c r="K162" s="1892" t="str">
        <f t="shared" ref="K162:K172" ca="1" si="531">IF(ISERR(FIND($C162,$BP162)),"Falsche Repräsentation",IF(ISERR(FIND(A162,CONCATENATE(HZALLE,SZALLE,BZALLE))),"Sicher? Kein Startzauber!",""))</f>
        <v/>
      </c>
      <c r="L162" s="1894"/>
      <c r="M162" s="296" t="str">
        <f t="shared" ref="M162:M167" si="532">IF(AND(EXACT($B162,""),ISBLANK($F162),ISBLANK($J162)),"",$B162+$F162+$J162)</f>
        <v/>
      </c>
      <c r="N162" s="1321"/>
      <c r="O162" s="1319"/>
      <c r="P162" s="957" t="str">
        <f t="shared" ref="P162:P172" si="533">IF(AND(NOT(EXACT($A162,"")),NOT(EXACT($O162,""))),ROUND(IF(O162=2,3,O162)*20*HLOOKUP($G162,SKT,3,FALSE)*IF(VT_EIDGED,0.5,IF(VT_GUTGED,0.75,1)),0),"")</f>
        <v/>
      </c>
      <c r="Q162" s="164">
        <f t="shared" ref="Q162:Q172" ca="1" si="534">IF(AND(NOT(EXACT($A162,"")),NOT(ISBLANK($F162)),B162&lt;=0,OR(EXACT($K162,"Sicher? Kein Startzauber!"),EXACT($K162,""))),
MAX(1,ROUND(IF($B162&lt;0,ABS($B162),IF($B162=0,1,0))*HLOOKUP(IF(CV162&lt;65,"A+",IF(CV162&gt;72,"H",CHAR(CV162))),SKT,3,FALSE)*IF(VT_EIDGED,IF($C162="Dru",1/3,0.5),1)*IF(VT_GUTGED,IF($C162="Dru",2/3,0.75),1),0)),0)
*IF(ISERR(FIND(";"&amp;Q$10&amp;":0;",$H162)),1,0)</f>
        <v>0</v>
      </c>
      <c r="R162" s="164">
        <f t="shared" ref="R162:R172" ca="1" si="535">IF(AND(NOT(EXACT($A162,"")),NOT(ISBLANK($F162)),IF(ISNUMBER($B162),VALUE($B162),0)&lt;R$10,SUM(IF(ISNUMBER($B162),VALUE($B162),0),$F162)&gt;=R$10,
OR(EXACT($K162,"Sicher? Kein Startzauber!"),EXACT($K162,""))),
MAX(1,ROUND(HLOOKUP(IF(CW162&lt;65,"A+",IF(CW162&gt;72,"H",CHAR(CW162))),SKT,R$10+3,FALSE)*IF(VT_EIDGED,IF($C162="Dru",1/3,0.5),1)*IF(VT_GUTGED,IF($C162="Dru",2/3,0.75),1),0)),0)
*IF(ISERR(FIND(";"&amp;R$10&amp;":0;",$H162)),1,0)</f>
        <v>0</v>
      </c>
      <c r="S162" s="164">
        <f t="shared" ref="S162:S172" ca="1" si="536">IF(AND(NOT(EXACT($A162,"")),NOT(ISBLANK($F162)),IF(ISNUMBER($B162),VALUE($B162),0)&lt;S$10,SUM(IF(ISNUMBER($B162),VALUE($B162),0),$F162)&gt;=S$10,
OR(EXACT($K162,"Sicher? Kein Startzauber!"),EXACT($K162,""))),
MAX(1,ROUND(HLOOKUP(IF(CX162&lt;65,"A+",IF(CX162&gt;72,"H",CHAR(CX162))),SKT,S$10+3,FALSE)*IF(VT_EIDGED,IF($C162="Dru",1/3,0.5),1)*IF(VT_GUTGED,IF($C162="Dru",2/3,0.75),1),0)),0)
*IF(ISERR(FIND(";"&amp;S$10&amp;":0;",$H162)),1,0)</f>
        <v>0</v>
      </c>
      <c r="T162" s="164">
        <f t="shared" ref="T162:T172" ca="1" si="537">IF(AND(NOT(EXACT($A162,"")),NOT(ISBLANK($F162)),IF(ISNUMBER($B162),VALUE($B162),0)&lt;T$10,SUM(IF(ISNUMBER($B162),VALUE($B162),0),$F162)&gt;=T$10,
OR(EXACT($K162,"Sicher? Kein Startzauber!"),EXACT($K162,""))),
MAX(1,ROUND(HLOOKUP(IF(CY162&lt;65,"A+",IF(CY162&gt;72,"H",CHAR(CY162))),SKT,T$10+3,FALSE)*IF(VT_EIDGED,IF($C162="Dru",1/3,0.5),1)*IF(VT_GUTGED,IF($C162="Dru",2/3,0.75),1),0)),0)
*IF(ISERR(FIND(";"&amp;T$10&amp;":0;",$H162)),1,0)</f>
        <v>0</v>
      </c>
      <c r="U162" s="164">
        <f t="shared" ref="U162:U172" ca="1" si="538">IF(AND(NOT(EXACT($A162,"")),NOT(ISBLANK($F162)),IF(ISNUMBER($B162),VALUE($B162),0)&lt;U$10,SUM(IF(ISNUMBER($B162),VALUE($B162),0),$F162)&gt;=U$10,
OR(EXACT($K162,"Sicher? Kein Startzauber!"),EXACT($K162,""))),
MAX(1,ROUND(HLOOKUP(IF(CZ162&lt;65,"A+",IF(CZ162&gt;72,"H",CHAR(CZ162))),SKT,U$10+3,FALSE)*IF(VT_EIDGED,IF($C162="Dru",1/3,0.5),1)*IF(VT_GUTGED,IF($C162="Dru",2/3,0.75),1),0)),0)
*IF(ISERR(FIND(";"&amp;U$10&amp;":0;",$H162)),1,0)</f>
        <v>0</v>
      </c>
      <c r="V162" s="164">
        <f t="shared" ref="V162:V172" ca="1" si="539">IF(AND(NOT(EXACT($A162,"")),NOT(ISBLANK($F162)),IF(ISNUMBER($B162),VALUE($B162),0)&lt;V$10,SUM(IF(ISNUMBER($B162),VALUE($B162),0),$F162)&gt;=V$10,
OR(EXACT($K162,"Sicher? Kein Startzauber!"),EXACT($K162,""))),
MAX(1,ROUND(HLOOKUP(IF(DA162&lt;65,"A+",IF(DA162&gt;72,"H",CHAR(DA162))),SKT,V$10+3,FALSE)*IF(VT_EIDGED,IF($C162="Dru",1/3,0.5),1)*IF(VT_GUTGED,IF($C162="Dru",2/3,0.75),1),0)),0)
*IF(ISERR(FIND(";"&amp;V$10&amp;":0;",$H162)),1,0)</f>
        <v>0</v>
      </c>
      <c r="W162" s="164">
        <f t="shared" ref="W162:W172" ca="1" si="540">IF(AND(NOT(EXACT($A162,"")),NOT(ISBLANK($F162)),IF(ISNUMBER($B162),VALUE($B162),0)&lt;W$10,SUM(IF(ISNUMBER($B162),VALUE($B162),0),$F162)&gt;=W$10,
OR(EXACT($K162,"Sicher? Kein Startzauber!"),EXACT($K162,""))),
MAX(1,ROUND(HLOOKUP(IF(DB162&lt;65,"A+",IF(DB162&gt;72,"H",CHAR(DB162))),SKT,W$10+3,FALSE)*IF(VT_EIDGED,IF($C162="Dru",1/3,0.5),1)*IF(VT_GUTGED,IF($C162="Dru",2/3,0.75),1),0)),0)
*IF(ISERR(FIND(";"&amp;W$10&amp;":0;",$H162)),1,0)</f>
        <v>0</v>
      </c>
      <c r="X162" s="164">
        <f t="shared" ref="X162:X172" ca="1" si="541">IF(AND(NOT(EXACT($A162,"")),NOT(ISBLANK($F162)),IF(ISNUMBER($B162),VALUE($B162),0)&lt;X$10,SUM(IF(ISNUMBER($B162),VALUE($B162),0),$F162)&gt;=X$10,
OR(EXACT($K162,"Sicher? Kein Startzauber!"),EXACT($K162,""))),
MAX(1,ROUND(HLOOKUP(IF(DC162&lt;65,"A+",IF(DC162&gt;72,"H",CHAR(DC162))),SKT,X$10+3,FALSE)*IF(VT_EIDGED,IF($C162="Dru",1/3,0.5),1)*IF(VT_GUTGED,IF($C162="Dru",2/3,0.75),1),0)),0)
*IF(ISERR(FIND(";"&amp;X$10&amp;":0;",$H162)),1,0)</f>
        <v>0</v>
      </c>
      <c r="Y162" s="164">
        <f t="shared" ref="Y162:Y172" ca="1" si="542">IF(AND(NOT(EXACT($A162,"")),NOT(ISBLANK($F162)),IF(ISNUMBER($B162),VALUE($B162),0)&lt;Y$10,SUM(IF(ISNUMBER($B162),VALUE($B162),0),$F162)&gt;=Y$10,
OR(EXACT($K162,"Sicher? Kein Startzauber!"),EXACT($K162,""))),
MAX(1,ROUND(HLOOKUP(IF(DD162&lt;65,"A+",IF(DD162&gt;72,"H",CHAR(DD162))),SKT,Y$10+3,FALSE)*IF(VT_EIDGED,IF($C162="Dru",1/3,0.5),1)*IF(VT_GUTGED,IF($C162="Dru",2/3,0.75),1),0)),0)
*IF(ISERR(FIND(";"&amp;Y$10&amp;":0;",$H162)),1,0)</f>
        <v>0</v>
      </c>
      <c r="Z162" s="164">
        <f t="shared" ref="Z162:Z172" ca="1" si="543">IF(AND(NOT(EXACT($A162,"")),NOT(ISBLANK($F162)),IF(ISNUMBER($B162),VALUE($B162),0)&lt;Z$10,SUM(IF(ISNUMBER($B162),VALUE($B162),0),$F162)&gt;=Z$10,
OR(EXACT($K162,"Sicher? Kein Startzauber!"),EXACT($K162,""))),
MAX(1,ROUND(HLOOKUP(IF(DE162&lt;65,"A+",IF(DE162&gt;72,"H",CHAR(DE162))),SKT,Z$10+3,FALSE)*IF(VT_EIDGED,IF($C162="Dru",1/3,0.5),1)*IF(VT_GUTGED,IF($C162="Dru",2/3,0.75),1),0)),0)
*IF(ISERR(FIND(";"&amp;Z$10&amp;":0;",$H162)),1,0)</f>
        <v>0</v>
      </c>
      <c r="AA162" s="164">
        <f t="shared" ref="AA162:AA172" ca="1" si="544">IF(AND(NOT(EXACT($A162,"")),NOT(ISBLANK($F162)),IF(ISNUMBER($B162),VALUE($B162),0)&lt;AA$10,SUM(IF(ISNUMBER($B162),VALUE($B162),0),$F162)&gt;=AA$10,
OR(EXACT($K162,"Sicher? Kein Startzauber!"),EXACT($K162,""))),
MAX(1,ROUND(HLOOKUP(IF(DF162&lt;65,"A+",IF(DF162&gt;72,"H",CHAR(DF162))),SKT,AA$10+3,FALSE)*IF(VT_EIDGED,IF($C162="Dru",1/3,0.5),1)*IF(VT_GUTGED,IF($C162="Dru",2/3,0.75),1),0)),0)
*IF(ISERR(FIND(";"&amp;AA$10&amp;":0;",$H162)),1,0)</f>
        <v>0</v>
      </c>
      <c r="AB162" s="164">
        <f t="shared" ref="AB162:AB172" ca="1" si="545">IF(AND(NOT(EXACT($A162,"")),NOT(ISBLANK($F162)),IF(ISNUMBER($B162),VALUE($B162),0)&lt;AB$10,SUM(IF(ISNUMBER($B162),VALUE($B162),0),$F162)&gt;=AB$10,
OR(EXACT($K162,"Sicher? Kein Startzauber!"),EXACT($K162,""))),
MAX(1,ROUND(HLOOKUP(IF(DG162&lt;65,"A+",IF(DG162&gt;72,"H",CHAR(DG162))),SKT,AB$10+3,FALSE)*IF(VT_EIDGED,IF($C162="Dru",1/3,0.5),1)*IF(VT_GUTGED,IF($C162="Dru",2/3,0.75),1),0)),0)
*IF(ISERR(FIND(";"&amp;AB$10&amp;":0;",$H162)),1,0)</f>
        <v>0</v>
      </c>
      <c r="AC162" s="164">
        <f t="shared" ref="AC162:AC172" ca="1" si="546">IF(AND(NOT(EXACT($A162,"")),NOT(ISBLANK($F162)),IF(ISNUMBER($B162),VALUE($B162),0)&lt;AC$10,SUM(IF(ISNUMBER($B162),VALUE($B162),0),$F162)&gt;=AC$10,
OR(EXACT($K162,"Sicher? Kein Startzauber!"),EXACT($K162,""))),
MAX(1,ROUND(HLOOKUP(IF(DH162&lt;65,"A+",IF(DH162&gt;72,"H",CHAR(DH162))),SKT,AC$10+3,FALSE)*IF(VT_EIDGED,IF($C162="Dru",1/3,0.5),1)*IF(VT_GUTGED,IF($C162="Dru",2/3,0.75),1),0)),0)
*IF(ISERR(FIND(";"&amp;AC$10&amp;":0;",$H162)),1,0)</f>
        <v>0</v>
      </c>
      <c r="AD162" s="164">
        <f t="shared" ref="AD162:AD172" ca="1" si="547">IF(AND(NOT(EXACT($A162,"")),NOT(ISBLANK($F162)),IF(ISNUMBER($B162),VALUE($B162),0)&lt;AD$10,SUM(IF(ISNUMBER($B162),VALUE($B162),0),$F162)&gt;=AD$10,
OR(EXACT($K162,"Sicher? Kein Startzauber!"),EXACT($K162,""))),
MAX(1,ROUND(HLOOKUP(IF(DI162&lt;65,"A+",IF(DI162&gt;72,"H",CHAR(DI162))),SKT,AD$10+3,FALSE)*IF(VT_EIDGED,IF($C162="Dru",1/3,0.5),1)*IF(VT_GUTGED,IF($C162="Dru",2/3,0.75),1),0)),0)
*IF(ISERR(FIND(";"&amp;AD$10&amp;":0;",$H162)),1,0)</f>
        <v>0</v>
      </c>
      <c r="AE162" s="164">
        <f t="shared" ref="AE162:AE172" ca="1" si="548">IF(AND(NOT(EXACT($A162,"")),NOT(ISBLANK($F162)),IF(ISNUMBER($B162),VALUE($B162),0)&lt;AE$10,SUM(IF(ISNUMBER($B162),VALUE($B162),0),$F162)&gt;=AE$10,
OR(EXACT($K162,"Sicher? Kein Startzauber!"),EXACT($K162,""))),
MAX(1,ROUND(HLOOKUP(IF(DJ162&lt;65,"A+",IF(DJ162&gt;72,"H",CHAR(DJ162))),SKT,AE$10+3,FALSE)*IF(VT_EIDGED,IF($C162="Dru",1/3,0.5),1)*IF(VT_GUTGED,IF($C162="Dru",2/3,0.75),1),0)),0)
*IF(ISERR(FIND(";"&amp;AE$10&amp;":0;",$H162)),1,0)</f>
        <v>0</v>
      </c>
      <c r="AF162" s="164">
        <f t="shared" ref="AF162:AF172" ca="1" si="549">IF(AND(NOT(EXACT($A162,"")),NOT(ISBLANK($F162)),IF(ISNUMBER($B162),VALUE($B162),0)&lt;AF$10,SUM(IF(ISNUMBER($B162),VALUE($B162),0),$F162)&gt;=AF$10,
OR(EXACT($K162,"Sicher? Kein Startzauber!"),EXACT($K162,""))),
MAX(1,ROUND(HLOOKUP(IF(DK162&lt;65,"A+",IF(DK162&gt;72,"H",CHAR(DK162))),SKT,AF$10+3,FALSE)*IF(VT_EIDGED,IF($C162="Dru",1/3,0.5),1)*IF(VT_GUTGED,IF($C162="Dru",2/3,0.75),1),0)),0)
*IF(ISERR(FIND(";"&amp;AF$10&amp;":0;",$H162)),1,0)</f>
        <v>0</v>
      </c>
      <c r="AG162" s="164">
        <f t="shared" ref="AG162:AG172" ca="1" si="550">IF(AND(NOT(EXACT($A162,"")),NOT(ISBLANK($F162)),IF(ISNUMBER($B162),VALUE($B162),0)&lt;AG$10,SUM(IF(ISNUMBER($B162),VALUE($B162),0),$F162)&gt;=AG$10,
OR(EXACT($K162,"Sicher? Kein Startzauber!"),EXACT($K162,""))),
MAX(1,ROUND(HLOOKUP(IF(DL162&lt;65,"A+",IF(DL162&gt;72,"H",CHAR(DL162))),SKT,AG$10+3,FALSE)*IF(VT_EIDGED,IF($C162="Dru",1/3,0.5),1)*IF(VT_GUTGED,IF($C162="Dru",2/3,0.75),1),0)),0)
*IF(ISERR(FIND(";"&amp;AG$10&amp;":0;",$H162)),1,0)</f>
        <v>0</v>
      </c>
      <c r="AH162" s="164">
        <f t="shared" ref="AH162:AH172" ca="1" si="551">IF(AND(NOT(EXACT($A162,"")),NOT(ISBLANK($F162)),IF(ISNUMBER($B162),VALUE($B162),0)&lt;AH$10,SUM(IF(ISNUMBER($B162),VALUE($B162),0),$F162)&gt;=AH$10,
OR(EXACT($K162,"Sicher? Kein Startzauber!"),EXACT($K162,""))),
MAX(1,ROUND(HLOOKUP(IF(DM162&lt;65,"A+",IF(DM162&gt;72,"H",CHAR(DM162))),SKT,AH$10+3,FALSE)*IF(VT_EIDGED,IF($C162="Dru",1/3,0.5),1)*IF(VT_GUTGED,IF($C162="Dru",2/3,0.75),1),0)),0)
*IF(ISERR(FIND(";"&amp;AH$10&amp;":0;",$H162)),1,0)</f>
        <v>0</v>
      </c>
      <c r="AI162" s="164">
        <f t="shared" ref="AI162:AI172" ca="1" si="552">IF(AND(NOT(EXACT($A162,"")),NOT(ISBLANK($F162)),IF(ISNUMBER($B162),VALUE($B162),0)&lt;AI$10,SUM(IF(ISNUMBER($B162),VALUE($B162),0),$F162)&gt;=AI$10,
OR(EXACT($K162,"Sicher? Kein Startzauber!"),EXACT($K162,""))),
MAX(1,ROUND(HLOOKUP(IF(DN162&lt;65,"A+",IF(DN162&gt;72,"H",CHAR(DN162))),SKT,AI$10+3,FALSE)*IF(VT_EIDGED,IF($C162="Dru",1/3,0.5),1)*IF(VT_GUTGED,IF($C162="Dru",2/3,0.75),1),0)),0)
*IF(ISERR(FIND(";"&amp;AI$10&amp;":0;",$H162)),1,0)</f>
        <v>0</v>
      </c>
      <c r="AJ162" s="164">
        <f t="shared" ref="AJ162:AJ172" ca="1" si="553">IF(AND(NOT(EXACT($A162,"")),NOT(ISBLANK($F162)),IF(ISNUMBER($B162),VALUE($B162),0)&lt;AJ$10,SUM(IF(ISNUMBER($B162),VALUE($B162),0),$F162)&gt;=AJ$10,
OR(EXACT($K162,"Sicher? Kein Startzauber!"),EXACT($K162,""))),
MAX(1,ROUND(HLOOKUP(IF(DO162&lt;65,"A+",IF(DO162&gt;72,"H",CHAR(DO162))),SKT,AJ$10+3,FALSE)*IF(VT_EIDGED,IF($C162="Dru",1/3,0.5),1)*IF(VT_GUTGED,IF($C162="Dru",2/3,0.75),1),0)),0)
*IF(ISERR(FIND(";"&amp;AJ$10&amp;":0;",$H162)),1,0)</f>
        <v>0</v>
      </c>
      <c r="AK162" s="164">
        <f t="shared" ref="AK162:AK172" ca="1" si="554">IF(AND(NOT(EXACT($A162,"")),NOT(ISBLANK($F162)),IF(ISNUMBER($B162),VALUE($B162),0)&lt;AK$10,SUM(IF(ISNUMBER($B162),VALUE($B162),0),$F162)&gt;=AK$10,
OR(EXACT($K162,"Sicher? Kein Startzauber!"),EXACT($K162,""))),
MAX(1,ROUND(HLOOKUP(IF(DP162&lt;65,"A+",IF(DP162&gt;72,"H",CHAR(DP162))),SKT,AK$10+3,FALSE)*IF(VT_EIDGED,IF($C162="Dru",1/3,0.5),1)*IF(VT_GUTGED,IF($C162="Dru",2/3,0.75),1),0)),0)
*IF(ISERR(FIND(";"&amp;AK$10&amp;":0;",$H162)),1,0)</f>
        <v>0</v>
      </c>
      <c r="AL162" s="164">
        <f t="shared" ref="AL162:AL172" ca="1" si="555">IF(AND(NOT(EXACT($A162,"")),NOT(ISBLANK($F162)),IF(ISNUMBER($B162),VALUE($B162),0)&lt;AL$10,SUM(IF(ISNUMBER($B162),VALUE($B162),0),$F162)&gt;=AL$10,
OR(EXACT($K162,"Sicher? Kein Startzauber!"),EXACT($K162,""))),
MAX(1,ROUND(HLOOKUP(IF(DQ162&lt;65,"A+",IF(DQ162&gt;72,"H",CHAR(DQ162))),SKT,AL$10+3,FALSE)*IF(VT_EIDGED,IF($C162="Dru",1/3,0.5),1)*IF(VT_GUTGED,IF($C162="Dru",2/3,0.75),1),0)),0)
*IF(ISERR(FIND(";"&amp;AL$10&amp;":0;",$H162)),1,0)</f>
        <v>0</v>
      </c>
      <c r="AM162" s="208"/>
      <c r="AN162" s="164">
        <f t="shared" ref="AN162:AN172" si="556">IF(AND(NOT(ISBLANK($J162)),B162&lt;=0),
ROUND(
IF(SUM($B162,$F162)&lt;0,IF($J162&lt;ABS(SUM($B162,$F162)),$J162,ABS(SUM($B162,$F162))),IF($F162="",1,0))
*HLOOKUP(IF(DS162&lt;65,"A+",IF(DS162&gt;72,"H",CHAR(DS162))),SKT,3,FALSE)*5*IF(VT_EIDGED,IF($C162="Dru",1/3,0.5),1)*IF(VT_GUTGED,IF($C162="Dru",2/3,0.75),1),0),0)
*IF(ISERR(FIND(";"&amp;AN$10&amp;":0;",$H162)),1,0)</f>
        <v>0</v>
      </c>
      <c r="AO162" s="164">
        <f t="shared" ref="AO162:AO172" si="557">IF(NOT(EXACT($A162,"")),IF(AND(NOT(ISBLANK($J162)),SUM(VALUE($B162),$F162)&lt;AO$10,SUM(VALUE($B162),$F162,$J162)&gt;=AO$10,OR(EXACT($K162,"Sicher? Kein Startzauber!"),EXACT($K162,""))),
MAX(1,ROUND(HLOOKUP(IF(DT162&lt;65,"A+",IF(DT162&gt;72,"H",CHAR(DT162))),SKT,AO$10+3,FALSE)*IF(VT_EIDGED,IF($C162="Dru",1/3,0.5),1)*IF(VT_GUTGED,IF($C162="Dru",2/3,0.75),1),0)),0),0)
*IF(ISERR(FIND(";"&amp;AO$10&amp;":0;",$H162)),1,0)</f>
        <v>0</v>
      </c>
      <c r="AP162" s="164">
        <f t="shared" ref="AP162:AP172" si="558">IF(NOT(EXACT($A162,"")),IF(AND(NOT(ISBLANK($J162)),SUM(VALUE($B162),$F162)&lt;AP$10,SUM(VALUE($B162),$F162,$J162)&gt;=AP$10,OR(EXACT($K162,"Sicher? Kein Startzauber!"),EXACT($K162,""))),
MAX(1,ROUND(HLOOKUP(IF(DU162&lt;65,"A+",IF(DU162&gt;72,"H",CHAR(DU162))),SKT,AP$10+3,FALSE)*IF(VT_EIDGED,IF($C162="Dru",1/3,0.5),1)*IF(VT_GUTGED,IF($C162="Dru",2/3,0.75),1),0)),0),0)
*IF(ISERR(FIND(";"&amp;AP$10&amp;":0;",$H162)),1,0)</f>
        <v>0</v>
      </c>
      <c r="AQ162" s="164">
        <f t="shared" ref="AQ162:AQ172" si="559">IF(NOT(EXACT($A162,"")),IF(AND(NOT(ISBLANK($J162)),SUM(VALUE($B162),$F162)&lt;AQ$10,SUM(VALUE($B162),$F162,$J162)&gt;=AQ$10,OR(EXACT($K162,"Sicher? Kein Startzauber!"),EXACT($K162,""))),
MAX(1,ROUND(HLOOKUP(IF(DV162&lt;65,"A+",IF(DV162&gt;72,"H",CHAR(DV162))),SKT,AQ$10+3,FALSE)*IF(VT_EIDGED,IF($C162="Dru",1/3,0.5),1)*IF(VT_GUTGED,IF($C162="Dru",2/3,0.75),1),0)),0),0)
*IF(ISERR(FIND(";"&amp;AQ$10&amp;":0;",$H162)),1,0)</f>
        <v>0</v>
      </c>
      <c r="AR162" s="164">
        <f t="shared" ref="AR162:AR172" si="560">IF(NOT(EXACT($A162,"")),IF(AND(NOT(ISBLANK($J162)),SUM(VALUE($B162),$F162)&lt;AR$10,SUM(VALUE($B162),$F162,$J162)&gt;=AR$10,OR(EXACT($K162,"Sicher? Kein Startzauber!"),EXACT($K162,""))),
MAX(1,ROUND(HLOOKUP(IF(DW162&lt;65,"A+",IF(DW162&gt;72,"H",CHAR(DW162))),SKT,AR$10+3,FALSE)*IF(VT_EIDGED,IF($C162="Dru",1/3,0.5),1)*IF(VT_GUTGED,IF($C162="Dru",2/3,0.75),1),0)),0),0)
*IF(ISERR(FIND(";"&amp;AR$10&amp;":0;",$H162)),1,0)</f>
        <v>0</v>
      </c>
      <c r="AS162" s="164">
        <f t="shared" ref="AS162:AS172" si="561">IF(NOT(EXACT($A162,"")),IF(AND(NOT(ISBLANK($J162)),SUM(VALUE($B162),$F162)&lt;AS$10,SUM(VALUE($B162),$F162,$J162)&gt;=AS$10,OR(EXACT($K162,"Sicher? Kein Startzauber!"),EXACT($K162,""))),
MAX(1,ROUND(HLOOKUP(IF(DX162&lt;65,"A+",IF(DX162&gt;72,"H",CHAR(DX162))),SKT,AS$10+3,FALSE)*IF(VT_EIDGED,IF($C162="Dru",1/3,0.5),1)*IF(VT_GUTGED,IF($C162="Dru",2/3,0.75),1),0)),0),0)
*IF(ISERR(FIND(";"&amp;AS$10&amp;":0;",$H162)),1,0)</f>
        <v>0</v>
      </c>
      <c r="AT162" s="164">
        <f t="shared" ref="AT162:AT172" si="562">IF(NOT(EXACT($A162,"")),IF(AND(NOT(ISBLANK($J162)),SUM(VALUE($B162),$F162)&lt;AT$10,SUM(VALUE($B162),$F162,$J162)&gt;=AT$10,OR(EXACT($K162,"Sicher? Kein Startzauber!"),EXACT($K162,""))),
MAX(1,ROUND(HLOOKUP(IF(DY162&lt;65,"A+",IF(DY162&gt;72,"H",CHAR(DY162))),SKT,AT$10+3,FALSE)*IF(VT_EIDGED,IF($C162="Dru",1/3,0.5),1)*IF(VT_GUTGED,IF($C162="Dru",2/3,0.75),1),0)),0),0)
*IF(ISERR(FIND(";"&amp;AT$10&amp;":0;",$H162)),1,0)</f>
        <v>0</v>
      </c>
      <c r="AU162" s="164">
        <f t="shared" ref="AU162:AU172" si="563">IF(NOT(EXACT($A162,"")),IF(AND(NOT(ISBLANK($J162)),SUM(VALUE($B162),$F162)&lt;AU$10,SUM(VALUE($B162),$F162,$J162)&gt;=AU$10,OR(EXACT($K162,"Sicher? Kein Startzauber!"),EXACT($K162,""))),
MAX(1,ROUND(HLOOKUP(IF(DZ162&lt;65,"A+",IF(DZ162&gt;72,"H",CHAR(DZ162))),SKT,AU$10+3,FALSE)*IF(VT_EIDGED,IF($C162="Dru",1/3,0.5),1)*IF(VT_GUTGED,IF($C162="Dru",2/3,0.75),1),0)),0),0)
*IF(ISERR(FIND(";"&amp;AU$10&amp;":0;",$H162)),1,0)</f>
        <v>0</v>
      </c>
      <c r="AV162" s="164">
        <f t="shared" ref="AV162:AV172" si="564">IF(NOT(EXACT($A162,"")),IF(AND(NOT(ISBLANK($J162)),SUM(VALUE($B162),$F162)&lt;AV$10,SUM(VALUE($B162),$F162,$J162)&gt;=AV$10,OR(EXACT($K162,"Sicher? Kein Startzauber!"),EXACT($K162,""))),
MAX(1,ROUND(HLOOKUP(IF(EA162&lt;65,"A+",IF(EA162&gt;72,"H",CHAR(EA162))),SKT,AV$10+3,FALSE)*IF(VT_EIDGED,IF($C162="Dru",1/3,0.5),1)*IF(VT_GUTGED,IF($C162="Dru",2/3,0.75),1),0)),0),0)
*IF(ISERR(FIND(";"&amp;AV$10&amp;":0;",$H162)),1,0)</f>
        <v>0</v>
      </c>
      <c r="AW162" s="164">
        <f t="shared" ref="AW162:AW172" si="565">IF(NOT(EXACT($A162,"")),IF(AND(NOT(ISBLANK($J162)),SUM(VALUE($B162),$F162)&lt;AW$10,SUM(VALUE($B162),$F162,$J162)&gt;=AW$10,OR(EXACT($K162,"Sicher? Kein Startzauber!"),EXACT($K162,""))),
MAX(1,ROUND(HLOOKUP(IF(EB162&lt;65,"A+",IF(EB162&gt;72,"H",CHAR(EB162))),SKT,AW$10+3,FALSE)*IF(VT_EIDGED,IF($C162="Dru",1/3,0.5),1)*IF(VT_GUTGED,IF($C162="Dru",2/3,0.75),1),0)),0),0)
*IF(ISERR(FIND(";"&amp;AW$10&amp;":0;",$H162)),1,0)</f>
        <v>0</v>
      </c>
      <c r="AX162" s="164">
        <f t="shared" ref="AX162:AX172" si="566">IF(NOT(EXACT($A162,"")),IF(AND(NOT(ISBLANK($J162)),SUM(VALUE($B162),$F162)&lt;AX$10,SUM(VALUE($B162),$F162,$J162)&gt;=AX$10,OR(EXACT($K162,"Sicher? Kein Startzauber!"),EXACT($K162,""))),
MAX(1,ROUND(HLOOKUP(IF(EC162&lt;65,"A+",IF(EC162&gt;72,"H",CHAR(EC162))),SKT,AX$10+3,FALSE)*IF(VT_EIDGED,IF($C162="Dru",1/3,0.5),1)*IF(VT_GUTGED,IF($C162="Dru",2/3,0.75),1),0)),0),0)
*IF(ISERR(FIND(";"&amp;AX$10&amp;":0;",$H162)),1,0)</f>
        <v>0</v>
      </c>
      <c r="AY162" s="164">
        <f t="shared" ref="AY162:AY172" si="567">IF(NOT(EXACT($A162,"")),IF(AND(NOT(ISBLANK($J162)),SUM(VALUE($B162),$F162)&lt;AY$10,SUM(VALUE($B162),$F162,$J162)&gt;=AY$10,OR(EXACT($K162,"Sicher? Kein Startzauber!"),EXACT($K162,""))),
MAX(1,ROUND(HLOOKUP(IF(ED162&lt;65,"A+",IF(ED162&gt;72,"H",CHAR(ED162))),SKT,AY$10+3,FALSE)*IF(VT_EIDGED,IF($C162="Dru",1/3,0.5),1)*IF(VT_GUTGED,IF($C162="Dru",2/3,0.75),1),0)),0),0)
*IF(ISERR(FIND(";"&amp;AY$10&amp;":0;",$H162)),1,0)</f>
        <v>0</v>
      </c>
      <c r="AZ162" s="164">
        <f t="shared" ref="AZ162:AZ172" si="568">IF(NOT(EXACT($A162,"")),IF(AND(NOT(ISBLANK($J162)),SUM(VALUE($B162),$F162)&lt;AZ$10,SUM(VALUE($B162),$F162,$J162)&gt;=AZ$10,OR(EXACT($K162,"Sicher? Kein Startzauber!"),EXACT($K162,""))),
MAX(1,ROUND(HLOOKUP(IF(EE162&lt;65,"A+",IF(EE162&gt;72,"H",CHAR(EE162))),SKT,AZ$10+3,FALSE)*IF(VT_EIDGED,IF($C162="Dru",1/3,0.5),1)*IF(VT_GUTGED,IF($C162="Dru",2/3,0.75),1),0)),0),0)
*IF(ISERR(FIND(";"&amp;AZ$10&amp;":0;",$H162)),1,0)</f>
        <v>0</v>
      </c>
      <c r="BA162" s="164">
        <f t="shared" ref="BA162:BA172" si="569">IF(NOT(EXACT($A162,"")),IF(AND(NOT(ISBLANK($J162)),SUM(VALUE($B162),$F162)&lt;BA$10,SUM(VALUE($B162),$F162,$J162)&gt;=BA$10,OR(EXACT($K162,"Sicher? Kein Startzauber!"),EXACT($K162,""))),
MAX(1,ROUND(HLOOKUP(IF(EF162&lt;65,"A+",IF(EF162&gt;72,"H",CHAR(EF162))),SKT,BA$10+3,FALSE)*IF(VT_EIDGED,IF($C162="Dru",1/3,0.5),1)*IF(VT_GUTGED,IF($C162="Dru",2/3,0.75),1),0)),0),0)
*IF(ISERR(FIND(";"&amp;BA$10&amp;":0;",$H162)),1,0)</f>
        <v>0</v>
      </c>
      <c r="BB162" s="164">
        <f t="shared" ref="BB162:BB172" si="570">IF(NOT(EXACT($A162,"")),IF(AND(NOT(ISBLANK($J162)),SUM(VALUE($B162),$F162)&lt;BB$10,SUM(VALUE($B162),$F162,$J162)&gt;=BB$10,OR(EXACT($K162,"Sicher? Kein Startzauber!"),EXACT($K162,""))),
MAX(1,ROUND(HLOOKUP(IF(EG162&lt;65,"A+",IF(EG162&gt;72,"H",CHAR(EG162))),SKT,BB$10+3,FALSE)*IF(VT_EIDGED,IF($C162="Dru",1/3,0.5),1)*IF(VT_GUTGED,IF($C162="Dru",2/3,0.75),1),0)),0),0)
*IF(ISERR(FIND(";"&amp;BB$10&amp;":0;",$H162)),1,0)</f>
        <v>0</v>
      </c>
      <c r="BC162" s="164">
        <f t="shared" ref="BC162:BC172" si="571">IF(NOT(EXACT($A162,"")),IF(AND(NOT(ISBLANK($J162)),SUM(VALUE($B162),$F162)&lt;BC$10,SUM(VALUE($B162),$F162,$J162)&gt;=BC$10,OR(EXACT($K162,"Sicher? Kein Startzauber!"),EXACT($K162,""))),
MAX(1,ROUND(HLOOKUP(IF(EH162&lt;65,"A+",IF(EH162&gt;72,"H",CHAR(EH162))),SKT,BC$10+3,FALSE)*IF(VT_EIDGED,IF($C162="Dru",1/3,0.5),1)*IF(VT_GUTGED,IF($C162="Dru",2/3,0.75),1),0)),0),0)
*IF(ISERR(FIND(";"&amp;BC$10&amp;":0;",$H162)),1,0)</f>
        <v>0</v>
      </c>
      <c r="BD162" s="164">
        <f t="shared" ref="BD162:BD172" si="572">IF(NOT(EXACT($A162,"")),IF(AND(NOT(ISBLANK($J162)),SUM(VALUE($B162),$F162)&lt;BD$10,SUM(VALUE($B162),$F162,$J162)&gt;=BD$10,OR(EXACT($K162,"Sicher? Kein Startzauber!"),EXACT($K162,""))),
MAX(1,ROUND(HLOOKUP(IF(EI162&lt;65,"A+",IF(EI162&gt;72,"H",CHAR(EI162))),SKT,BD$10+3,FALSE)*IF(VT_EIDGED,IF($C162="Dru",1/3,0.5),1)*IF(VT_GUTGED,IF($C162="Dru",2/3,0.75),1),0)),0),0)
*IF(ISERR(FIND(";"&amp;BD$10&amp;":0;",$H162)),1,0)</f>
        <v>0</v>
      </c>
      <c r="BE162" s="164">
        <f t="shared" ref="BE162:BE172" si="573">IF(NOT(EXACT($A162,"")),IF(AND(NOT(ISBLANK($J162)),SUM(VALUE($B162),$F162)&lt;BE$10,SUM(VALUE($B162),$F162,$J162)&gt;=BE$10,OR(EXACT($K162,"Sicher? Kein Startzauber!"),EXACT($K162,""))),
MAX(1,ROUND(HLOOKUP(IF(EJ162&lt;65,"A+",IF(EJ162&gt;72,"H",CHAR(EJ162))),SKT,BE$10+3,FALSE)*IF(VT_EIDGED,IF($C162="Dru",1/3,0.5),1)*IF(VT_GUTGED,IF($C162="Dru",2/3,0.75),1),0)),0),0)
*IF(ISERR(FIND(";"&amp;BE$10&amp;":0;",$H162)),1,0)</f>
        <v>0</v>
      </c>
      <c r="BF162" s="164">
        <f t="shared" ref="BF162:BF172" si="574">IF(NOT(EXACT($A162,"")),IF(AND(NOT(ISBLANK($J162)),SUM(VALUE($B162),$F162)&lt;BF$10,SUM(VALUE($B162),$F162,$J162)&gt;=BF$10,OR(EXACT($K162,"Sicher? Kein Startzauber!"),EXACT($K162,""))),
MAX(1,ROUND(HLOOKUP(IF(EK162&lt;65,"A+",IF(EK162&gt;72,"H",CHAR(EK162))),SKT,BF$10+3,FALSE)*IF(VT_EIDGED,IF($C162="Dru",1/3,0.5),1)*IF(VT_GUTGED,IF($C162="Dru",2/3,0.75),1),0)),0),0)
*IF(ISERR(FIND(";"&amp;BF$10&amp;":0;",$H162)),1,0)</f>
        <v>0</v>
      </c>
      <c r="BG162" s="164">
        <f t="shared" ref="BG162:BG172" si="575">IF(NOT(EXACT($A162,"")),IF(AND(NOT(ISBLANK($J162)),SUM(VALUE($B162),$F162)&lt;BG$10,SUM(VALUE($B162),$F162,$J162)&gt;=BG$10,OR(EXACT($K162,"Sicher? Kein Startzauber!"),EXACT($K162,""))),
MAX(1,ROUND(HLOOKUP(IF(EL162&lt;65,"A+",IF(EL162&gt;72,"H",CHAR(EL162))),SKT,BG$10+3,FALSE)*IF(VT_EIDGED,IF($C162="Dru",1/3,0.5),1)*IF(VT_GUTGED,IF($C162="Dru",2/3,0.75),1),0)),0),0)
*IF(ISERR(FIND(";"&amp;BG$10&amp;":0;",$H162)),1,0)</f>
        <v>0</v>
      </c>
      <c r="BH162" s="164">
        <f t="shared" ref="BH162:BH172" si="576">IF(NOT(EXACT($A162,"")),IF(AND(NOT(ISBLANK($J162)),SUM(VALUE($B162),$F162)&lt;BH$10,SUM(VALUE($B162),$F162,$J162)&gt;=BH$10,OR(EXACT($K162,"Sicher? Kein Startzauber!"),EXACT($K162,""))),
MAX(1,ROUND(HLOOKUP(IF(EM162&lt;65,"A+",IF(EM162&gt;72,"H",CHAR(EM162))),SKT,BH$10+3,FALSE)*IF(VT_EIDGED,IF($C162="Dru",1/3,0.5),1)*IF(VT_GUTGED,IF($C162="Dru",2/3,0.75),1),0)),0),0)
*IF(ISERR(FIND(";"&amp;BH$10&amp;":0;",$H162)),1,0)</f>
        <v>0</v>
      </c>
      <c r="BI162" s="164">
        <f t="shared" ref="BI162:BI172" si="577">IF(NOT(EXACT($A162,"")),IF(AND(NOT(ISBLANK($J162)),SUM(VALUE($B162),$F162)&lt;BI$10,SUM(VALUE($B162),$F162,$J162)&gt;=BI$10,OR(EXACT($K162,"Sicher? Kein Startzauber!"),EXACT($K162,""))),
MAX(1,ROUND(HLOOKUP(IF(EN162&lt;65,"A+",IF(EN162&gt;72,"H",CHAR(EN162))),SKT,BI$10+3,FALSE)*IF(VT_EIDGED,IF($C162="Dru",1/3,0.5),1)*IF(VT_GUTGED,IF($C162="Dru",2/3,0.75),1),0)),0),0)
*IF(ISERR(FIND(";"&amp;BI$10&amp;":0;",$H162)),1,0)</f>
        <v>0</v>
      </c>
      <c r="BJ162" s="164">
        <f t="shared" ref="BJ162:BJ172" si="578">IF(NOT(EXACT($A162,"")),IF(AND(NOT(ISBLANK($J162)),SUM(VALUE($B162),$F162)&lt;BJ$10,SUM(VALUE($B162),$F162,$J162)&gt;=BJ$10,OR(EXACT($K162,"Sicher? Kein Startzauber!"),EXACT($K162,""))),
MAX(1,ROUND(HLOOKUP(IF(EO162&lt;65,"A+",IF(EO162&gt;72,"H",CHAR(EO162))),SKT,BJ$10+3,FALSE)*IF(VT_EIDGED,IF($C162="Dru",1/3,0.5),1)*IF(VT_GUTGED,IF($C162="Dru",2/3,0.75),1),0)),0),0)
*IF(ISERR(FIND(";"&amp;BJ$10&amp;":0;",$H162)),1,0)</f>
        <v>0</v>
      </c>
      <c r="BK162" s="164">
        <f t="shared" ref="BK162:BK172" si="579">IF(NOT(EXACT($A162,"")),IF(AND(NOT(ISBLANK($J162)),SUM(VALUE($B162),$F162)&lt;BK$10,SUM(VALUE($B162),$F162,$J162)&gt;=BK$10,OR(EXACT($K162,"Sicher? Kein Startzauber!"),EXACT($K162,""))),
MAX(1,ROUND(HLOOKUP(IF(EP162&lt;65,"A+",IF(EP162&gt;72,"H",CHAR(EP162))),SKT,BK$10+3,FALSE)*IF(VT_EIDGED,IF($C162="Dru",1/3,0.5),1)*IF(VT_GUTGED,IF($C162="Dru",2/3,0.75),1),0)),0),0)
*IF(ISERR(FIND(";"&amp;BK$10&amp;":0;",$H162)),1,0)</f>
        <v>0</v>
      </c>
      <c r="BL162" s="164">
        <f t="shared" ref="BL162:BL172" si="580">IF(NOT(EXACT($A162,"")),IF(AND(NOT(ISBLANK($J162)),SUM(VALUE($B162),$F162)&lt;BL$10,SUM(VALUE($B162),$F162,$J162)&gt;=BL$10,OR(EXACT($K162,"Sicher? Kein Startzauber!"),EXACT($K162,""))),
MAX(1,ROUND(HLOOKUP(IF(EQ162&lt;65,"A+",IF(EQ162&gt;72,"H",CHAR(EQ162))),SKT,BL$10+3,FALSE)*IF(VT_EIDGED,IF($C162="Dru",1/3,0.5),1)*IF(VT_GUTGED,IF($C162="Dru",2/3,0.75),1),0)),0),0)
*IF(ISERR(FIND(";"&amp;BL$10&amp;":0;",$H162)),1,0)</f>
        <v>0</v>
      </c>
      <c r="BM162" s="164">
        <f t="shared" ref="BM162:BM172" si="581">IF(NOT(EXACT($A162,"")),IF(AND(NOT(ISBLANK($J162)),SUM(VALUE($B162),$F162)&lt;BM$10,SUM(VALUE($B162),$F162,$J162)&gt;=BM$10,OR(EXACT($K162,"Sicher? Kein Startzauber!"),EXACT($K162,""))),
MAX(1,ROUND(HLOOKUP(IF(ER162&lt;65,"A+",IF(ER162&gt;72,"H",CHAR(ER162))),SKT,BM$10+3,FALSE)*IF(VT_EIDGED,IF($C162="Dru",1/3,0.5),1)*IF(VT_GUTGED,IF($C162="Dru",2/3,0.75),1),0)),0),0)
*IF(ISERR(FIND(";"&amp;BM$10&amp;":0;",$H162)),1,0)</f>
        <v>0</v>
      </c>
      <c r="BN162" s="164">
        <f t="shared" ref="BN162:BN172" si="582">IF(NOT(EXACT($A162,"")),IF(AND(NOT(ISBLANK($J162)),SUM(VALUE($B162),$F162)&lt;BN$10,SUM(VALUE($B162),$F162,$J162)&gt;=BN$10,OR(EXACT($K162,"Sicher? Kein Startzauber!"),EXACT($K162,""))),
MAX(1,ROUND(HLOOKUP(IF(ES162&lt;65,"A+",IF(ES162&gt;72,"H",CHAR(ES162))),SKT,BN$10+3,FALSE)*IF(VT_EIDGED,IF($C162="Dru",1/3,0.5),1)*IF(VT_GUTGED,IF($C162="Dru",2/3,0.75),1),0)),0),0)
*IF(ISERR(FIND(";"&amp;BN$10&amp;":0;",$H162)),1,0)</f>
        <v>0</v>
      </c>
      <c r="BO162" s="356" t="str">
        <f t="shared" ref="BO162:BO172" si="583">IF($A162="","",CODE(VLOOKUP($A162,ZAUBERWERTE,10,FALSE))-
SUM($BR162:$CA162,
IF(NOT(EXACT($AF$241,"")),(LEN($BQ162)-LEN(SUBSTITUTE($BQ162,$AF$241,"")))/LEN($AF$241),0),
IF(NOT(EXACT($AF$242,"")),(LEN($BQ162)-LEN(SUBSTITUTE($BQ162,$AF$242,"")))/LEN($AF$242),0),
IF(NOT(EXACT($AF$243,"")),(LEN($BQ162)-LEN(SUBSTITUTE($BQ162,$AF$243,"")))/LEN($AF$243),0),
IF(NOT(EXACT($AF$244,"")),(LEN($BQ162)-LEN(SUBSTITUTE($BQ162,$AF$244,"")))/LEN($AF$244),0),
IF(NOT(EXACT($AF$245,"")),(LEN($BQ162)-LEN(SUBSTITUTE($BQ162,$AF$245,"")))/LEN($AF$245),0),
IF(NOT(EXACT($AF$246,"")),(LEN($BQ162)-LEN(SUBSTITUTE($BQ162,$AF$246,"")))/LEN($AF$246),0),
IF(NOT(EXACT($AF$247,"")),(LEN($BQ162)-LEN(SUBSTITUTE($BQ162,$AF$247,"")))/LEN($AF$247),0)))</f>
        <v/>
      </c>
      <c r="BP162" s="355" t="str">
        <f t="shared" ref="BP162:BP172" si="584">IF(NOT(EXACT($A162,"")),VLOOKUP($A162,ZAUBERWERTE,11,FALSE),"")</f>
        <v/>
      </c>
      <c r="BQ162" s="355" t="str">
        <f t="shared" ref="BQ162:BQ172" si="585">IF(NOT(EXACT($A162,"")),VLOOKUP($A162,ZAUBERWERTE,12,FALSE),"")</f>
        <v/>
      </c>
      <c r="BR162" s="348">
        <f t="shared" ca="1" si="516"/>
        <v>0</v>
      </c>
      <c r="BS162" s="348">
        <f t="shared" ca="1" si="517"/>
        <v>0</v>
      </c>
      <c r="BT162" s="610">
        <f t="shared" ref="BT162:BT172" ca="1" si="586">IF(ISERR(FIND($C162,CONCATENATE($BP$4,$BP$5,$A$237,$A$238))),
IF($BP$4="Sch",IF($C162="Srl",-2,-3),
IF($BP$4="Srl",IF($C162="Mag",-1,-2),
IF($C162="Sch",-3,-2))),
0)</f>
        <v>0</v>
      </c>
      <c r="BU162" s="357">
        <f t="shared" ref="BU162:BU172" ca="1" si="587">IF(EXACT($C162,"H"),1,0)</f>
        <v>0</v>
      </c>
      <c r="BV162" s="357">
        <f t="shared" ref="BV162:BV172" si="588">IF(NT_ELFWELT,IF(CB162="L",0,-1),0)</f>
        <v>0</v>
      </c>
      <c r="BW162" s="357">
        <f t="shared" ref="BW162:BW172" si="589">SUM(IF(NT_ANIMALMAGIE,IF(NOT(ISNA(VLOOKUP(A162,ZAUBERWERTE,2,FALSE))),IF(SUM(IF(VLOOKUP(A162,ZAUBERWERTE,2,FALSE)="KL",1,0),IF(VLOOKUP(A162,ZAUBERWERTE,3,FALSE)="KL",1,0),IF(VLOOKUP(A162,ZAUBERWERTE,4,FALSE)="KL",1,0))&gt;1,-1,0),0),0),
IF(NT_FESTDENKEN,IF(NOT(ISNA(VLOOKUP(A162,ZAUBERWERTE,2,FALSE))),IF(SUM(IF(VLOOKUP(A162,ZAUBERWERTE,2,FALSE)="IN",1,0),IF(VLOOKUP(A162,ZAUBERWERTE,3,FALSE)="IN",1,0),IF(VLOOKUP(A162,ZAUBERWERTE,4,FALSE)="IN",1,0))&gt;1,-1,0),0),0),
IF(NT_SCHWACHAUS,IF(NOT(ISNA(VLOOKUP(A162,ZAUBERWERTE,2,FALSE))),IF(SUM(IF(VLOOKUP(A162,ZAUBERWERTE,2,FALSE)="CH",1,0),IF(VLOOKUP(A162,ZAUBERWERTE,3,FALSE)="CH",1,0),IF(VLOOKUP(A162,ZAUBERWERTE,4,FALSE)="CH",1,0))&gt;1,-1,0),0),0),
IF(NT_ZOEGZAUBERER,IF(NOT(ISNA(VLOOKUP(A162,ZAUBERWERTE,2,FALSE))),IF(SUM(IF(VLOOKUP(A162,ZAUBERWERTE,2,FALSE)="MU",1,0),IF(VLOOKUP(A162,ZAUBERWERTE,3,FALSE)="MU",1,0),IF(VLOOKUP(A162,ZAUBERWERTE,4,FALSE)="MU",1,0))&gt;1,-1,0),0),0))</f>
        <v>0</v>
      </c>
      <c r="BX162" s="357">
        <f t="shared" ref="BX162:BX172" ca="1" si="590">IF($BY162&gt;0,0,IF(OR(AND(NOT(EXACT($T$6,"")),EXACT($A162,$T$6)),AND(NOT(EXACT($T$7,"")),EXACT($A162,$T$7)),AND(NOT(EXACT($T$8,"")),EXACT($A162,$T$8))),1,0))</f>
        <v>0</v>
      </c>
      <c r="BY162" s="357">
        <f t="shared" ca="1" si="522"/>
        <v>0</v>
      </c>
      <c r="BZ162" s="357"/>
      <c r="CA162" s="357">
        <f t="shared" ca="1" si="518"/>
        <v>0</v>
      </c>
      <c r="CB162" s="357" t="str">
        <f t="shared" ref="CB162:CB172" si="591">IF(A162="","",IF(ISERROR(FIND(A162,ZAUBER_ELF_LEIT,1)),
IF(ISERROR(VLOOKUP(A162,ZAUBER_START_NEU,4,FALSE)="L"),"",IF(VLOOKUP(A162,ZAUBER_START_NEU,4,FALSE)="L","L","")),"L"))</f>
        <v/>
      </c>
      <c r="CC162" s="358" t="str">
        <f t="shared" ca="1" si="523"/>
        <v/>
      </c>
      <c r="CD162" s="358" t="str">
        <f t="shared" ca="1" si="524"/>
        <v/>
      </c>
      <c r="CE162" s="357"/>
      <c r="CF162" s="154" t="str">
        <f>IF(OR(NOT(EXACT($A162,"")),NOT(EXACT($F162,"")),NOT(EXACT($J162,""))),CONCATENATE(CF160,A162,","),CF160)</f>
        <v/>
      </c>
      <c r="CG162" s="154">
        <f t="shared" ca="1" si="525"/>
        <v>0</v>
      </c>
      <c r="CH162" s="154"/>
      <c r="CI162" s="154"/>
      <c r="CJ162" s="154"/>
      <c r="CK162" s="154"/>
      <c r="CL162" s="154"/>
      <c r="CM162" s="154"/>
      <c r="CN162" t="s">
        <v>784</v>
      </c>
      <c r="CO162" s="169"/>
      <c r="CP162" s="169"/>
      <c r="CQ162" s="169"/>
      <c r="CR162" s="169"/>
      <c r="CS162" s="169"/>
      <c r="CT162" s="169"/>
      <c r="CU162" s="169"/>
      <c r="CV162" s="164" t="str">
        <f t="shared" ref="CV162:DE172" si="592">IF($A162="","",IF(VT_VRTLZBR,CODE("F"),CODE(VLOOKUP($A162,ZAUBERWERTE,10,FALSE))-
SUM($BR162:$CA162,
IF(ISERR(FIND(";"&amp;CV$10&amp;";",$H162)),0,1),
IF(ISERR(FIND(";"&amp;CV$10&amp;":",$H162)),0,VALUE(MID($H162,FIND(";"&amp;CV$10&amp;":",$H162)+LEN(CV$10)+2,1))),
IF(AND(NOT(EXACT($AF$241,"")),OR(CV$10&gt;$CO162,ISBLANK($CO162))),IF($CV$3,IF(ISERROR(FIND($AF$241,$BQ162)),0,1),(LEN($BQ162)-LEN(SUBSTITUTE($BQ162,$AF$241,"")))/LEN($AF$241)),0),
IF(AND(NOT(EXACT($AF$242,"")),OR(CV$10&gt;$CP162,ISBLANK($CP162))),IF($CV$3,IF(ISERROR(FIND($AF$242,$BQ162)),0,1),(LEN($BQ162)-LEN(SUBSTITUTE($BQ162,$AF$242,"")))/LEN($AF$242)),0),
IF(AND(NOT(EXACT($AF$243,"")),OR(CV$10&gt;$CQ162,ISBLANK($CQ162))),IF($CV$3,IF(ISERROR(FIND($AF$243,$BQ162)),0,1),(LEN($BQ162)-LEN(SUBSTITUTE($BQ162,$AF$243,"")))/LEN($AF$243)),0),
IF(AND(NOT(EXACT($AF$244,"")),OR(CV$10&gt;$CR162,ISBLANK($CR162))),IF($CV$3,IF(ISERROR(FIND($AF$244,$BQ162)),0,1),(LEN($BQ162)-LEN(SUBSTITUTE($BQ162,$AF$244,"")))/LEN($AF$244)),0),
IF(AND(NOT(EXACT($AF$245,"")),OR(CV$10&gt;$CS162,ISBLANK($CS162))),IF($CV$3,IF(ISERROR(FIND($AF$245,$BQ162)),0,1),(LEN($BQ162)-LEN(SUBSTITUTE($BQ162,$AF$245,"")))/LEN($AF$245)),0),
IF(AND(NOT(EXACT($AF$246,"")),OR(CV$10&gt;$CT162,ISBLANK($CT162))),IF($CV$3,IF(ISERROR(FIND($AF$246,$BQ162)),0,1),(LEN($BQ162)-LEN(SUBSTITUTE($BQ162,$AF$246,"")))/LEN($AF$246)),0),
IF(AND(NOT(EXACT($AF$247,"")),OR(CV$10&gt;$CU162,ISBLANK($CU162))),IF($CV$3,IF(ISERROR(FIND($AF$247,$BQ162)),0,1),(LEN($BQ162)-LEN(SUBSTITUTE($BQ162,$AF$247,"")))/LEN($AF$247)),0)
)))</f>
        <v/>
      </c>
      <c r="CW162" s="164" t="str">
        <f t="shared" si="592"/>
        <v/>
      </c>
      <c r="CX162" s="164" t="str">
        <f t="shared" si="592"/>
        <v/>
      </c>
      <c r="CY162" s="164" t="str">
        <f t="shared" si="592"/>
        <v/>
      </c>
      <c r="CZ162" s="164" t="str">
        <f t="shared" si="592"/>
        <v/>
      </c>
      <c r="DA162" s="164" t="str">
        <f t="shared" si="592"/>
        <v/>
      </c>
      <c r="DB162" s="164" t="str">
        <f t="shared" si="592"/>
        <v/>
      </c>
      <c r="DC162" s="164" t="str">
        <f t="shared" si="592"/>
        <v/>
      </c>
      <c r="DD162" s="164" t="str">
        <f t="shared" si="592"/>
        <v/>
      </c>
      <c r="DE162" s="164" t="str">
        <f t="shared" si="592"/>
        <v/>
      </c>
      <c r="DF162" s="164" t="str">
        <f t="shared" ref="DF162:DQ172" si="593">IF($A162="","",IF(VT_VRTLZBR,CODE("F"),CODE(VLOOKUP($A162,ZAUBERWERTE,10,FALSE))-
SUM($BR162:$CA162,
IF(ISERR(FIND(";"&amp;DF$10&amp;";",$H162)),0,1),
IF(ISERR(FIND(";"&amp;DF$10&amp;":",$H162)),0,VALUE(MID($H162,FIND(";"&amp;DF$10&amp;":",$H162)+LEN(DF$10)+2,1))),
IF(AND(NOT(EXACT($AF$241,"")),OR(DF$10&gt;$CO162,ISBLANK($CO162))),IF($CV$3,IF(ISERROR(FIND($AF$241,$BQ162)),0,1),(LEN($BQ162)-LEN(SUBSTITUTE($BQ162,$AF$241,"")))/LEN($AF$241)),0),
IF(AND(NOT(EXACT($AF$242,"")),OR(DF$10&gt;$CP162,ISBLANK($CP162))),IF($CV$3,IF(ISERROR(FIND($AF$242,$BQ162)),0,1),(LEN($BQ162)-LEN(SUBSTITUTE($BQ162,$AF$242,"")))/LEN($AF$242)),0),
IF(AND(NOT(EXACT($AF$243,"")),OR(DF$10&gt;$CQ162,ISBLANK($CQ162))),IF($CV$3,IF(ISERROR(FIND($AF$243,$BQ162)),0,1),(LEN($BQ162)-LEN(SUBSTITUTE($BQ162,$AF$243,"")))/LEN($AF$243)),0),
IF(AND(NOT(EXACT($AF$244,"")),OR(DF$10&gt;$CR162,ISBLANK($CR162))),IF($CV$3,IF(ISERROR(FIND($AF$244,$BQ162)),0,1),(LEN($BQ162)-LEN(SUBSTITUTE($BQ162,$AF$244,"")))/LEN($AF$244)),0),
IF(AND(NOT(EXACT($AF$245,"")),OR(DF$10&gt;$CS162,ISBLANK($CS162))),IF($CV$3,IF(ISERROR(FIND($AF$245,$BQ162)),0,1),(LEN($BQ162)-LEN(SUBSTITUTE($BQ162,$AF$245,"")))/LEN($AF$245)),0),
IF(AND(NOT(EXACT($AF$246,"")),OR(DF$10&gt;$CT162,ISBLANK($CT162))),IF($CV$3,IF(ISERROR(FIND($AF$246,$BQ162)),0,1),(LEN($BQ162)-LEN(SUBSTITUTE($BQ162,$AF$246,"")))/LEN($AF$246)),0),
IF(AND(NOT(EXACT($AF$247,"")),OR(DF$10&gt;$CU162,ISBLANK($CU162))),IF($CV$3,IF(ISERROR(FIND($AF$247,$BQ162)),0,1),(LEN($BQ162)-LEN(SUBSTITUTE($BQ162,$AF$247,"")))/LEN($AF$247)),0)
)))</f>
        <v/>
      </c>
      <c r="DG162" s="164" t="str">
        <f t="shared" si="593"/>
        <v/>
      </c>
      <c r="DH162" s="164" t="str">
        <f t="shared" si="593"/>
        <v/>
      </c>
      <c r="DI162" s="164" t="str">
        <f t="shared" si="593"/>
        <v/>
      </c>
      <c r="DJ162" s="164" t="str">
        <f t="shared" si="593"/>
        <v/>
      </c>
      <c r="DK162" s="164" t="str">
        <f t="shared" si="593"/>
        <v/>
      </c>
      <c r="DL162" s="164" t="str">
        <f t="shared" si="593"/>
        <v/>
      </c>
      <c r="DM162" s="164" t="str">
        <f t="shared" si="593"/>
        <v/>
      </c>
      <c r="DN162" s="164" t="str">
        <f t="shared" si="593"/>
        <v/>
      </c>
      <c r="DO162" s="164" t="str">
        <f t="shared" si="593"/>
        <v/>
      </c>
      <c r="DP162" s="164" t="str">
        <f t="shared" si="593"/>
        <v/>
      </c>
      <c r="DQ162" s="164" t="str">
        <f t="shared" si="593"/>
        <v/>
      </c>
      <c r="DR162" s="208"/>
      <c r="DS162" s="164" t="str">
        <f t="shared" ref="DS162:DS172" si="594">IF($A162="","",IF(VT_VRTLZBR,CODE("F")+1,CODE(VLOOKUP($A162,ZAUBERWERTE,10,FALSE)))-
SUM($BR162:$CA162,
IF(ISERR(FIND(";"&amp;DS$10&amp;";",$H162)),0,1),
IF(ISERR(FIND(";"&amp;DS$10&amp;":",$H162)),0,VALUE(MID($H162,FIND(";"&amp;DS$10&amp;":",$H162)+LEN(DS$10)+2,1))),
IF(ISERR(FIND(";"&amp;DS$10&amp;"+",$H162)),0,-VALUE(MID($H162,FIND(";"&amp;DS$10&amp;"+",$H162)+LEN(DS$10)+2,1))),
IF(AND(NT_Unstet,VLOOKUP($A162,ZAUBERWERTE,10,FALSE)&gt;="C"),-1,0),
IF(AND(NOT(EXACT($AF$241,"")),OR(CV$10&gt;$CO162,ISBLANK($CO162))),IF($CV$3,IF(ISERROR(FIND($AF$241,$BQ162)),0,1),(LEN($BQ162)-LEN(SUBSTITUTE($BQ162,$AF$241,"")))/LEN($AF$241)),0),
IF(AND(NOT(EXACT($AF$242,"")),OR(CV$10&gt;$CP162,ISBLANK($CP162))),IF($CV$3,IF(ISERROR(FIND($AF$242,$BQ162)),0,1),(LEN($BQ162)-LEN(SUBSTITUTE($BQ162,$AF$242,"")))/LEN($AF$242)),0),
IF(AND(NOT(EXACT($AF$243,"")),OR(CV$10&gt;$CQ162,ISBLANK($CQ162))),IF($CV$3,IF(ISERROR(FIND($AF$243,$BQ162)),0,1),(LEN($BQ162)-LEN(SUBSTITUTE($BQ162,$AF$243,"")))/LEN($AF$243)),0),
IF(AND(NOT(EXACT($AF$244,"")),OR(CV$10&gt;$CR162,ISBLANK($CR162))),IF($CV$3,IF(ISERROR(FIND($AF$244,$BQ162)),0,1),(LEN($BQ162)-LEN(SUBSTITUTE($BQ162,$AF$244,"")))/LEN($AF$244)),0),
IF(AND(NOT(EXACT($AF$245,"")),OR(CV$10&gt;$CS162,ISBLANK($CS162))),IF($CV$3,IF(ISERROR(FIND($AF$245,$BQ162)),0,1),(LEN($BQ162)-LEN(SUBSTITUTE($BQ162,$AF$245,"")))/LEN($AF$245)),0),
IF(AND(NOT(EXACT($AF$246,"")),OR(CV$10&gt;$CT162,ISBLANK($CT162))),IF($CV$3,IF(ISERROR(FIND($AF$246,$BQ162)),0,1),(LEN($BQ162)-LEN(SUBSTITUTE($BQ162,$AF$246,"")))/LEN($AF$246)),0),
IF(AND(NOT(EXACT($AF$247,"")),OR(CV$10&gt;$CU162,ISBLANK($CU162))),IF($CV$3,IF(ISERROR(FIND($AF$247,$BQ162)),0,1),(LEN($BQ162)-LEN(SUBSTITUTE($BQ162,$AF$247,"")))/LEN($AF$247)),0)
))</f>
        <v/>
      </c>
      <c r="DT162" s="164" t="str">
        <f t="shared" ref="DT162:DT172" si="595">IF($A162="","",IF(VT_VRTLZBR,CODE("F")+1,CODE(VLOOKUP($A162,ZAUBERWERTE,10,FALSE)))-
SUM($BR162:$CA162,
IF(ISERR(FIND(";"&amp;DT$10&amp;";",$H162)),0,1),
IF(ISERR(FIND(";"&amp;DT$10&amp;":",$H162)),0,VALUE(MID($H162,FIND(";"&amp;DT$10&amp;":",$H162)+LEN(DT$10)+2,1))),
IF(ISERR(FIND(";"&amp;DT$10&amp;"+",$H162)),0,-VALUE(MID($H162,FIND(";"&amp;DT$10&amp;"+",$H162)+LEN(DT$10)+2,1))),
IF(AND(NT_Unstet,VLOOKUP($A162,ZAUBERWERTE,10,FALSE)&gt;="C"),-1,0),
IF(AND(NOT(EXACT($AF$241,"")),OR(CW$10&gt;$CO162,ISBLANK($CO162))),IF($CV$3,IF(ISERROR(FIND($AF$241,$BQ162)),0,1),(LEN($BQ162)-LEN(SUBSTITUTE($BQ162,$AF$241,"")))/LEN($AF$241)),0),
IF(AND(NOT(EXACT($AF$242,"")),OR(CW$10&gt;$CP162,ISBLANK($CP162))),IF($CV$3,IF(ISERROR(FIND($AF$242,$BQ162)),0,1),(LEN($BQ162)-LEN(SUBSTITUTE($BQ162,$AF$242,"")))/LEN($AF$242)),0),
IF(AND(NOT(EXACT($AF$243,"")),OR(CW$10&gt;$CQ162,ISBLANK($CQ162))),IF($CV$3,IF(ISERROR(FIND($AF$243,$BQ162)),0,1),(LEN($BQ162)-LEN(SUBSTITUTE($BQ162,$AF$243,"")))/LEN($AF$243)),0),
IF(AND(NOT(EXACT($AF$244,"")),OR(CW$10&gt;$CR162,ISBLANK($CR162))),IF($CV$3,IF(ISERROR(FIND($AF$244,$BQ162)),0,1),(LEN($BQ162)-LEN(SUBSTITUTE($BQ162,$AF$244,"")))/LEN($AF$244)),0),
IF(AND(NOT(EXACT($AF$245,"")),OR(CW$10&gt;$CS162,ISBLANK($CS162))),IF($CV$3,IF(ISERROR(FIND($AF$245,$BQ162)),0,1),(LEN($BQ162)-LEN(SUBSTITUTE($BQ162,$AF$245,"")))/LEN($AF$245)),0),
IF(AND(NOT(EXACT($AF$246,"")),OR(CW$10&gt;$CT162,ISBLANK($CT162))),IF($CV$3,IF(ISERROR(FIND($AF$246,$BQ162)),0,1),(LEN($BQ162)-LEN(SUBSTITUTE($BQ162,$AF$246,"")))/LEN($AF$246)),0),
IF(AND(NOT(EXACT($AF$247,"")),OR(CW$10&gt;$CU162,ISBLANK($CU162))),IF($CV$3,IF(ISERROR(FIND($AF$247,$BQ162)),0,1),(LEN($BQ162)-LEN(SUBSTITUTE($BQ162,$AF$247,"")))/LEN($AF$247)),0)
))</f>
        <v/>
      </c>
      <c r="DU162" s="164" t="str">
        <f t="shared" ref="DU162:DU172" si="596">IF($A162="","",IF(VT_VRTLZBR,CODE("F")+1,CODE(VLOOKUP($A162,ZAUBERWERTE,10,FALSE)))-
SUM($BR162:$CA162,
IF(ISERR(FIND(";"&amp;DU$10&amp;";",$H162)),0,1),
IF(ISERR(FIND(";"&amp;DU$10&amp;":",$H162)),0,VALUE(MID($H162,FIND(";"&amp;DU$10&amp;":",$H162)+LEN(DU$10)+2,1))),
IF(ISERR(FIND(";"&amp;DU$10&amp;"+",$H162)),0,-VALUE(MID($H162,FIND(";"&amp;DU$10&amp;"+",$H162)+LEN(DU$10)+2,1))),
IF(AND(NT_Unstet,VLOOKUP($A162,ZAUBERWERTE,10,FALSE)&gt;="C"),-1,0),
IF(AND(NOT(EXACT($AF$241,"")),OR(CX$10&gt;$CO162,ISBLANK($CO162))),IF($CV$3,IF(ISERROR(FIND($AF$241,$BQ162)),0,1),(LEN($BQ162)-LEN(SUBSTITUTE($BQ162,$AF$241,"")))/LEN($AF$241)),0),
IF(AND(NOT(EXACT($AF$242,"")),OR(CX$10&gt;$CP162,ISBLANK($CP162))),IF($CV$3,IF(ISERROR(FIND($AF$242,$BQ162)),0,1),(LEN($BQ162)-LEN(SUBSTITUTE($BQ162,$AF$242,"")))/LEN($AF$242)),0),
IF(AND(NOT(EXACT($AF$243,"")),OR(CX$10&gt;$CQ162,ISBLANK($CQ162))),IF($CV$3,IF(ISERROR(FIND($AF$243,$BQ162)),0,1),(LEN($BQ162)-LEN(SUBSTITUTE($BQ162,$AF$243,"")))/LEN($AF$243)),0),
IF(AND(NOT(EXACT($AF$244,"")),OR(CX$10&gt;$CR162,ISBLANK($CR162))),IF($CV$3,IF(ISERROR(FIND($AF$244,$BQ162)),0,1),(LEN($BQ162)-LEN(SUBSTITUTE($BQ162,$AF$244,"")))/LEN($AF$244)),0),
IF(AND(NOT(EXACT($AF$245,"")),OR(CX$10&gt;$CS162,ISBLANK($CS162))),IF($CV$3,IF(ISERROR(FIND($AF$245,$BQ162)),0,1),(LEN($BQ162)-LEN(SUBSTITUTE($BQ162,$AF$245,"")))/LEN($AF$245)),0),
IF(AND(NOT(EXACT($AF$246,"")),OR(CX$10&gt;$CT162,ISBLANK($CT162))),IF($CV$3,IF(ISERROR(FIND($AF$246,$BQ162)),0,1),(LEN($BQ162)-LEN(SUBSTITUTE($BQ162,$AF$246,"")))/LEN($AF$246)),0),
IF(AND(NOT(EXACT($AF$247,"")),OR(CX$10&gt;$CU162,ISBLANK($CU162))),IF($CV$3,IF(ISERROR(FIND($AF$247,$BQ162)),0,1),(LEN($BQ162)-LEN(SUBSTITUTE($BQ162,$AF$247,"")))/LEN($AF$247)),0)
))</f>
        <v/>
      </c>
      <c r="DV162" s="164" t="str">
        <f t="shared" ref="DV162:DV172" si="597">IF($A162="","",IF(VT_VRTLZBR,CODE("F")+1,CODE(VLOOKUP($A162,ZAUBERWERTE,10,FALSE)))-
SUM($BR162:$CA162,
IF(ISERR(FIND(";"&amp;DV$10&amp;";",$H162)),0,1),
IF(ISERR(FIND(";"&amp;DV$10&amp;":",$H162)),0,VALUE(MID($H162,FIND(";"&amp;DV$10&amp;":",$H162)+LEN(DV$10)+2,1))),
IF(ISERR(FIND(";"&amp;DV$10&amp;"+",$H162)),0,-VALUE(MID($H162,FIND(";"&amp;DV$10&amp;"+",$H162)+LEN(DV$10)+2,1))),
IF(AND(NT_Unstet,VLOOKUP($A162,ZAUBERWERTE,10,FALSE)&gt;="C"),-1,0),
IF(AND(NOT(EXACT($AF$241,"")),OR(CY$10&gt;$CO162,ISBLANK($CO162))),IF($CV$3,IF(ISERROR(FIND($AF$241,$BQ162)),0,1),(LEN($BQ162)-LEN(SUBSTITUTE($BQ162,$AF$241,"")))/LEN($AF$241)),0),
IF(AND(NOT(EXACT($AF$242,"")),OR(CY$10&gt;$CP162,ISBLANK($CP162))),IF($CV$3,IF(ISERROR(FIND($AF$242,$BQ162)),0,1),(LEN($BQ162)-LEN(SUBSTITUTE($BQ162,$AF$242,"")))/LEN($AF$242)),0),
IF(AND(NOT(EXACT($AF$243,"")),OR(CY$10&gt;$CQ162,ISBLANK($CQ162))),IF($CV$3,IF(ISERROR(FIND($AF$243,$BQ162)),0,1),(LEN($BQ162)-LEN(SUBSTITUTE($BQ162,$AF$243,"")))/LEN($AF$243)),0),
IF(AND(NOT(EXACT($AF$244,"")),OR(CY$10&gt;$CR162,ISBLANK($CR162))),IF($CV$3,IF(ISERROR(FIND($AF$244,$BQ162)),0,1),(LEN($BQ162)-LEN(SUBSTITUTE($BQ162,$AF$244,"")))/LEN($AF$244)),0),
IF(AND(NOT(EXACT($AF$245,"")),OR(CY$10&gt;$CS162,ISBLANK($CS162))),IF($CV$3,IF(ISERROR(FIND($AF$245,$BQ162)),0,1),(LEN($BQ162)-LEN(SUBSTITUTE($BQ162,$AF$245,"")))/LEN($AF$245)),0),
IF(AND(NOT(EXACT($AF$246,"")),OR(CY$10&gt;$CT162,ISBLANK($CT162))),IF($CV$3,IF(ISERROR(FIND($AF$246,$BQ162)),0,1),(LEN($BQ162)-LEN(SUBSTITUTE($BQ162,$AF$246,"")))/LEN($AF$246)),0),
IF(AND(NOT(EXACT($AF$247,"")),OR(CY$10&gt;$CU162,ISBLANK($CU162))),IF($CV$3,IF(ISERROR(FIND($AF$247,$BQ162)),0,1),(LEN($BQ162)-LEN(SUBSTITUTE($BQ162,$AF$247,"")))/LEN($AF$247)),0)
))</f>
        <v/>
      </c>
      <c r="DW162" s="164" t="str">
        <f t="shared" ref="DW162:DW172" si="598">IF($A162="","",IF(VT_VRTLZBR,CODE("F")+1,CODE(VLOOKUP($A162,ZAUBERWERTE,10,FALSE)))-
SUM($BR162:$CA162,
IF(ISERR(FIND(";"&amp;DW$10&amp;";",$H162)),0,1),
IF(ISERR(FIND(";"&amp;DW$10&amp;":",$H162)),0,VALUE(MID($H162,FIND(";"&amp;DW$10&amp;":",$H162)+LEN(DW$10)+2,1))),
IF(ISERR(FIND(";"&amp;DW$10&amp;"+",$H162)),0,-VALUE(MID($H162,FIND(";"&amp;DW$10&amp;"+",$H162)+LEN(DW$10)+2,1))),
IF(AND(NT_Unstet,VLOOKUP($A162,ZAUBERWERTE,10,FALSE)&gt;="C"),-1,0),
IF(AND(NOT(EXACT($AF$241,"")),OR(CZ$10&gt;$CO162,ISBLANK($CO162))),IF($CV$3,IF(ISERROR(FIND($AF$241,$BQ162)),0,1),(LEN($BQ162)-LEN(SUBSTITUTE($BQ162,$AF$241,"")))/LEN($AF$241)),0),
IF(AND(NOT(EXACT($AF$242,"")),OR(CZ$10&gt;$CP162,ISBLANK($CP162))),IF($CV$3,IF(ISERROR(FIND($AF$242,$BQ162)),0,1),(LEN($BQ162)-LEN(SUBSTITUTE($BQ162,$AF$242,"")))/LEN($AF$242)),0),
IF(AND(NOT(EXACT($AF$243,"")),OR(CZ$10&gt;$CQ162,ISBLANK($CQ162))),IF($CV$3,IF(ISERROR(FIND($AF$243,$BQ162)),0,1),(LEN($BQ162)-LEN(SUBSTITUTE($BQ162,$AF$243,"")))/LEN($AF$243)),0),
IF(AND(NOT(EXACT($AF$244,"")),OR(CZ$10&gt;$CR162,ISBLANK($CR162))),IF($CV$3,IF(ISERROR(FIND($AF$244,$BQ162)),0,1),(LEN($BQ162)-LEN(SUBSTITUTE($BQ162,$AF$244,"")))/LEN($AF$244)),0),
IF(AND(NOT(EXACT($AF$245,"")),OR(CZ$10&gt;$CS162,ISBLANK($CS162))),IF($CV$3,IF(ISERROR(FIND($AF$245,$BQ162)),0,1),(LEN($BQ162)-LEN(SUBSTITUTE($BQ162,$AF$245,"")))/LEN($AF$245)),0),
IF(AND(NOT(EXACT($AF$246,"")),OR(CZ$10&gt;$CT162,ISBLANK($CT162))),IF($CV$3,IF(ISERROR(FIND($AF$246,$BQ162)),0,1),(LEN($BQ162)-LEN(SUBSTITUTE($BQ162,$AF$246,"")))/LEN($AF$246)),0),
IF(AND(NOT(EXACT($AF$247,"")),OR(CZ$10&gt;$CU162,ISBLANK($CU162))),IF($CV$3,IF(ISERROR(FIND($AF$247,$BQ162)),0,1),(LEN($BQ162)-LEN(SUBSTITUTE($BQ162,$AF$247,"")))/LEN($AF$247)),0)
))</f>
        <v/>
      </c>
      <c r="DX162" s="164" t="str">
        <f t="shared" ref="DX162:DX172" si="599">IF($A162="","",IF(VT_VRTLZBR,CODE("F")+1,CODE(VLOOKUP($A162,ZAUBERWERTE,10,FALSE)))-
SUM($BR162:$CA162,
IF(ISERR(FIND(";"&amp;DX$10&amp;";",$H162)),0,1),
IF(ISERR(FIND(";"&amp;DX$10&amp;":",$H162)),0,VALUE(MID($H162,FIND(";"&amp;DX$10&amp;":",$H162)+LEN(DX$10)+2,1))),
IF(ISERR(FIND(";"&amp;DX$10&amp;"+",$H162)),0,-VALUE(MID($H162,FIND(";"&amp;DX$10&amp;"+",$H162)+LEN(DX$10)+2,1))),
IF(AND(NT_Unstet,VLOOKUP($A162,ZAUBERWERTE,10,FALSE)&gt;="C"),-1,0),
IF(AND(NOT(EXACT($AF$241,"")),OR(DA$10&gt;$CO162,ISBLANK($CO162))),IF($CV$3,IF(ISERROR(FIND($AF$241,$BQ162)),0,1),(LEN($BQ162)-LEN(SUBSTITUTE($BQ162,$AF$241,"")))/LEN($AF$241)),0),
IF(AND(NOT(EXACT($AF$242,"")),OR(DA$10&gt;$CP162,ISBLANK($CP162))),IF($CV$3,IF(ISERROR(FIND($AF$242,$BQ162)),0,1),(LEN($BQ162)-LEN(SUBSTITUTE($BQ162,$AF$242,"")))/LEN($AF$242)),0),
IF(AND(NOT(EXACT($AF$243,"")),OR(DA$10&gt;$CQ162,ISBLANK($CQ162))),IF($CV$3,IF(ISERROR(FIND($AF$243,$BQ162)),0,1),(LEN($BQ162)-LEN(SUBSTITUTE($BQ162,$AF$243,"")))/LEN($AF$243)),0),
IF(AND(NOT(EXACT($AF$244,"")),OR(DA$10&gt;$CR162,ISBLANK($CR162))),IF($CV$3,IF(ISERROR(FIND($AF$244,$BQ162)),0,1),(LEN($BQ162)-LEN(SUBSTITUTE($BQ162,$AF$244,"")))/LEN($AF$244)),0),
IF(AND(NOT(EXACT($AF$245,"")),OR(DA$10&gt;$CS162,ISBLANK($CS162))),IF($CV$3,IF(ISERROR(FIND($AF$245,$BQ162)),0,1),(LEN($BQ162)-LEN(SUBSTITUTE($BQ162,$AF$245,"")))/LEN($AF$245)),0),
IF(AND(NOT(EXACT($AF$246,"")),OR(DA$10&gt;$CT162,ISBLANK($CT162))),IF($CV$3,IF(ISERROR(FIND($AF$246,$BQ162)),0,1),(LEN($BQ162)-LEN(SUBSTITUTE($BQ162,$AF$246,"")))/LEN($AF$246)),0),
IF(AND(NOT(EXACT($AF$247,"")),OR(DA$10&gt;$CU162,ISBLANK($CU162))),IF($CV$3,IF(ISERROR(FIND($AF$247,$BQ162)),0,1),(LEN($BQ162)-LEN(SUBSTITUTE($BQ162,$AF$247,"")))/LEN($AF$247)),0)
))</f>
        <v/>
      </c>
      <c r="DY162" s="164" t="str">
        <f t="shared" ref="DY162:DY172" si="600">IF($A162="","",IF(VT_VRTLZBR,CODE("F")+1,CODE(VLOOKUP($A162,ZAUBERWERTE,10,FALSE)))-
SUM($BR162:$CA162,
IF(ISERR(FIND(";"&amp;DY$10&amp;";",$H162)),0,1),
IF(ISERR(FIND(";"&amp;DY$10&amp;":",$H162)),0,VALUE(MID($H162,FIND(";"&amp;DY$10&amp;":",$H162)+LEN(DY$10)+2,1))),
IF(ISERR(FIND(";"&amp;DY$10&amp;"+",$H162)),0,-VALUE(MID($H162,FIND(";"&amp;DY$10&amp;"+",$H162)+LEN(DY$10)+2,1))),
IF(AND(NT_Unstet,VLOOKUP($A162,ZAUBERWERTE,10,FALSE)&gt;="C"),-1,0),
IF(AND(NOT(EXACT($AF$241,"")),OR(DB$10&gt;$CO162,ISBLANK($CO162))),IF($CV$3,IF(ISERROR(FIND($AF$241,$BQ162)),0,1),(LEN($BQ162)-LEN(SUBSTITUTE($BQ162,$AF$241,"")))/LEN($AF$241)),0),
IF(AND(NOT(EXACT($AF$242,"")),OR(DB$10&gt;$CP162,ISBLANK($CP162))),IF($CV$3,IF(ISERROR(FIND($AF$242,$BQ162)),0,1),(LEN($BQ162)-LEN(SUBSTITUTE($BQ162,$AF$242,"")))/LEN($AF$242)),0),
IF(AND(NOT(EXACT($AF$243,"")),OR(DB$10&gt;$CQ162,ISBLANK($CQ162))),IF($CV$3,IF(ISERROR(FIND($AF$243,$BQ162)),0,1),(LEN($BQ162)-LEN(SUBSTITUTE($BQ162,$AF$243,"")))/LEN($AF$243)),0),
IF(AND(NOT(EXACT($AF$244,"")),OR(DB$10&gt;$CR162,ISBLANK($CR162))),IF($CV$3,IF(ISERROR(FIND($AF$244,$BQ162)),0,1),(LEN($BQ162)-LEN(SUBSTITUTE($BQ162,$AF$244,"")))/LEN($AF$244)),0),
IF(AND(NOT(EXACT($AF$245,"")),OR(DB$10&gt;$CS162,ISBLANK($CS162))),IF($CV$3,IF(ISERROR(FIND($AF$245,$BQ162)),0,1),(LEN($BQ162)-LEN(SUBSTITUTE($BQ162,$AF$245,"")))/LEN($AF$245)),0),
IF(AND(NOT(EXACT($AF$246,"")),OR(DB$10&gt;$CT162,ISBLANK($CT162))),IF($CV$3,IF(ISERROR(FIND($AF$246,$BQ162)),0,1),(LEN($BQ162)-LEN(SUBSTITUTE($BQ162,$AF$246,"")))/LEN($AF$246)),0),
IF(AND(NOT(EXACT($AF$247,"")),OR(DB$10&gt;$CU162,ISBLANK($CU162))),IF($CV$3,IF(ISERROR(FIND($AF$247,$BQ162)),0,1),(LEN($BQ162)-LEN(SUBSTITUTE($BQ162,$AF$247,"")))/LEN($AF$247)),0)
))</f>
        <v/>
      </c>
      <c r="DZ162" s="164" t="str">
        <f t="shared" ref="DZ162:DZ172" si="601">IF($A162="","",IF(VT_VRTLZBR,CODE("F")+1,CODE(VLOOKUP($A162,ZAUBERWERTE,10,FALSE)))-
SUM($BR162:$CA162,
IF(ISERR(FIND(";"&amp;DZ$10&amp;";",$H162)),0,1),
IF(ISERR(FIND(";"&amp;DZ$10&amp;":",$H162)),0,VALUE(MID($H162,FIND(";"&amp;DZ$10&amp;":",$H162)+LEN(DZ$10)+2,1))),
IF(ISERR(FIND(";"&amp;DZ$10&amp;"+",$H162)),0,-VALUE(MID($H162,FIND(";"&amp;DZ$10&amp;"+",$H162)+LEN(DZ$10)+2,1))),
IF(AND(NT_Unstet,VLOOKUP($A162,ZAUBERWERTE,10,FALSE)&gt;="C"),-1,0),
IF(AND(NOT(EXACT($AF$241,"")),OR(DC$10&gt;$CO162,ISBLANK($CO162))),IF($CV$3,IF(ISERROR(FIND($AF$241,$BQ162)),0,1),(LEN($BQ162)-LEN(SUBSTITUTE($BQ162,$AF$241,"")))/LEN($AF$241)),0),
IF(AND(NOT(EXACT($AF$242,"")),OR(DC$10&gt;$CP162,ISBLANK($CP162))),IF($CV$3,IF(ISERROR(FIND($AF$242,$BQ162)),0,1),(LEN($BQ162)-LEN(SUBSTITUTE($BQ162,$AF$242,"")))/LEN($AF$242)),0),
IF(AND(NOT(EXACT($AF$243,"")),OR(DC$10&gt;$CQ162,ISBLANK($CQ162))),IF($CV$3,IF(ISERROR(FIND($AF$243,$BQ162)),0,1),(LEN($BQ162)-LEN(SUBSTITUTE($BQ162,$AF$243,"")))/LEN($AF$243)),0),
IF(AND(NOT(EXACT($AF$244,"")),OR(DC$10&gt;$CR162,ISBLANK($CR162))),IF($CV$3,IF(ISERROR(FIND($AF$244,$BQ162)),0,1),(LEN($BQ162)-LEN(SUBSTITUTE($BQ162,$AF$244,"")))/LEN($AF$244)),0),
IF(AND(NOT(EXACT($AF$245,"")),OR(DC$10&gt;$CS162,ISBLANK($CS162))),IF($CV$3,IF(ISERROR(FIND($AF$245,$BQ162)),0,1),(LEN($BQ162)-LEN(SUBSTITUTE($BQ162,$AF$245,"")))/LEN($AF$245)),0),
IF(AND(NOT(EXACT($AF$246,"")),OR(DC$10&gt;$CT162,ISBLANK($CT162))),IF($CV$3,IF(ISERROR(FIND($AF$246,$BQ162)),0,1),(LEN($BQ162)-LEN(SUBSTITUTE($BQ162,$AF$246,"")))/LEN($AF$246)),0),
IF(AND(NOT(EXACT($AF$247,"")),OR(DC$10&gt;$CU162,ISBLANK($CU162))),IF($CV$3,IF(ISERROR(FIND($AF$247,$BQ162)),0,1),(LEN($BQ162)-LEN(SUBSTITUTE($BQ162,$AF$247,"")))/LEN($AF$247)),0)
))</f>
        <v/>
      </c>
      <c r="EA162" s="164" t="str">
        <f t="shared" ref="EA162:EA172" si="602">IF($A162="","",IF(VT_VRTLZBR,CODE("F")+1,CODE(VLOOKUP($A162,ZAUBERWERTE,10,FALSE)))-
SUM($BR162:$CA162,
IF(ISERR(FIND(";"&amp;EA$10&amp;";",$H162)),0,1),
IF(ISERR(FIND(";"&amp;EA$10&amp;":",$H162)),0,VALUE(MID($H162,FIND(";"&amp;EA$10&amp;":",$H162)+LEN(EA$10)+2,1))),
IF(ISERR(FIND(";"&amp;EA$10&amp;"+",$H162)),0,-VALUE(MID($H162,FIND(";"&amp;EA$10&amp;"+",$H162)+LEN(EA$10)+2,1))),
IF(AND(NT_Unstet,VLOOKUP($A162,ZAUBERWERTE,10,FALSE)&gt;="C"),-1,0),
IF(AND(NOT(EXACT($AF$241,"")),OR(DD$10&gt;$CO162,ISBLANK($CO162))),IF($CV$3,IF(ISERROR(FIND($AF$241,$BQ162)),0,1),(LEN($BQ162)-LEN(SUBSTITUTE($BQ162,$AF$241,"")))/LEN($AF$241)),0),
IF(AND(NOT(EXACT($AF$242,"")),OR(DD$10&gt;$CP162,ISBLANK($CP162))),IF($CV$3,IF(ISERROR(FIND($AF$242,$BQ162)),0,1),(LEN($BQ162)-LEN(SUBSTITUTE($BQ162,$AF$242,"")))/LEN($AF$242)),0),
IF(AND(NOT(EXACT($AF$243,"")),OR(DD$10&gt;$CQ162,ISBLANK($CQ162))),IF($CV$3,IF(ISERROR(FIND($AF$243,$BQ162)),0,1),(LEN($BQ162)-LEN(SUBSTITUTE($BQ162,$AF$243,"")))/LEN($AF$243)),0),
IF(AND(NOT(EXACT($AF$244,"")),OR(DD$10&gt;$CR162,ISBLANK($CR162))),IF($CV$3,IF(ISERROR(FIND($AF$244,$BQ162)),0,1),(LEN($BQ162)-LEN(SUBSTITUTE($BQ162,$AF$244,"")))/LEN($AF$244)),0),
IF(AND(NOT(EXACT($AF$245,"")),OR(DD$10&gt;$CS162,ISBLANK($CS162))),IF($CV$3,IF(ISERROR(FIND($AF$245,$BQ162)),0,1),(LEN($BQ162)-LEN(SUBSTITUTE($BQ162,$AF$245,"")))/LEN($AF$245)),0),
IF(AND(NOT(EXACT($AF$246,"")),OR(DD$10&gt;$CT162,ISBLANK($CT162))),IF($CV$3,IF(ISERROR(FIND($AF$246,$BQ162)),0,1),(LEN($BQ162)-LEN(SUBSTITUTE($BQ162,$AF$246,"")))/LEN($AF$246)),0),
IF(AND(NOT(EXACT($AF$247,"")),OR(DD$10&gt;$CU162,ISBLANK($CU162))),IF($CV$3,IF(ISERROR(FIND($AF$247,$BQ162)),0,1),(LEN($BQ162)-LEN(SUBSTITUTE($BQ162,$AF$247,"")))/LEN($AF$247)),0)
))</f>
        <v/>
      </c>
      <c r="EB162" s="164" t="str">
        <f t="shared" ref="EB162:EB172" si="603">IF($A162="","",IF(VT_VRTLZBR,CODE("F")+1,CODE(VLOOKUP($A162,ZAUBERWERTE,10,FALSE)))-
SUM($BR162:$CA162,
IF(ISERR(FIND(";"&amp;EB$10&amp;";",$H162)),0,1),
IF(ISERR(FIND(";"&amp;EB$10&amp;":",$H162)),0,VALUE(MID($H162,FIND(";"&amp;EB$10&amp;":",$H162)+LEN(EB$10)+2,1))),
IF(ISERR(FIND(";"&amp;EB$10&amp;"+",$H162)),0,-VALUE(MID($H162,FIND(";"&amp;EB$10&amp;"+",$H162)+LEN(EB$10)+2,1))),
IF(AND(NT_Unstet,VLOOKUP($A162,ZAUBERWERTE,10,FALSE)&gt;="C"),-1,0),
IF(AND(NOT(EXACT($AF$241,"")),OR(DE$10&gt;$CO162,ISBLANK($CO162))),IF($CV$3,IF(ISERROR(FIND($AF$241,$BQ162)),0,1),(LEN($BQ162)-LEN(SUBSTITUTE($BQ162,$AF$241,"")))/LEN($AF$241)),0),
IF(AND(NOT(EXACT($AF$242,"")),OR(DE$10&gt;$CP162,ISBLANK($CP162))),IF($CV$3,IF(ISERROR(FIND($AF$242,$BQ162)),0,1),(LEN($BQ162)-LEN(SUBSTITUTE($BQ162,$AF$242,"")))/LEN($AF$242)),0),
IF(AND(NOT(EXACT($AF$243,"")),OR(DE$10&gt;$CQ162,ISBLANK($CQ162))),IF($CV$3,IF(ISERROR(FIND($AF$243,$BQ162)),0,1),(LEN($BQ162)-LEN(SUBSTITUTE($BQ162,$AF$243,"")))/LEN($AF$243)),0),
IF(AND(NOT(EXACT($AF$244,"")),OR(DE$10&gt;$CR162,ISBLANK($CR162))),IF($CV$3,IF(ISERROR(FIND($AF$244,$BQ162)),0,1),(LEN($BQ162)-LEN(SUBSTITUTE($BQ162,$AF$244,"")))/LEN($AF$244)),0),
IF(AND(NOT(EXACT($AF$245,"")),OR(DE$10&gt;$CS162,ISBLANK($CS162))),IF($CV$3,IF(ISERROR(FIND($AF$245,$BQ162)),0,1),(LEN($BQ162)-LEN(SUBSTITUTE($BQ162,$AF$245,"")))/LEN($AF$245)),0),
IF(AND(NOT(EXACT($AF$246,"")),OR(DE$10&gt;$CT162,ISBLANK($CT162))),IF($CV$3,IF(ISERROR(FIND($AF$246,$BQ162)),0,1),(LEN($BQ162)-LEN(SUBSTITUTE($BQ162,$AF$246,"")))/LEN($AF$246)),0),
IF(AND(NOT(EXACT($AF$247,"")),OR(DE$10&gt;$CU162,ISBLANK($CU162))),IF($CV$3,IF(ISERROR(FIND($AF$247,$BQ162)),0,1),(LEN($BQ162)-LEN(SUBSTITUTE($BQ162,$AF$247,"")))/LEN($AF$247)),0)
))</f>
        <v/>
      </c>
      <c r="EC162" s="164" t="str">
        <f t="shared" ref="EC162:EC172" si="604">IF($A162="","",IF(VT_VRTLZBR,CODE("F")+1,CODE(VLOOKUP($A162,ZAUBERWERTE,10,FALSE)))-
SUM($BR162:$CA162,
IF(ISERR(FIND(";"&amp;EC$10&amp;";",$H162)),0,1),
IF(ISERR(FIND(";"&amp;EC$10&amp;":",$H162)),0,VALUE(MID($H162,FIND(";"&amp;EC$10&amp;":",$H162)+LEN(EC$10)+2,1))),
IF(ISERR(FIND(";"&amp;EC$10&amp;"+",$H162)),0,-VALUE(MID($H162,FIND(";"&amp;EC$10&amp;"+",$H162)+LEN(EC$10)+2,1))),
IF(AND(NT_Unstet,VLOOKUP($A162,ZAUBERWERTE,10,FALSE)&gt;="C"),-1,0),
IF(AND(NOT(EXACT($AF$241,"")),OR(DF$10&gt;$CO162,ISBLANK($CO162))),IF($CV$3,IF(ISERROR(FIND($AF$241,$BQ162)),0,1),(LEN($BQ162)-LEN(SUBSTITUTE($BQ162,$AF$241,"")))/LEN($AF$241)),0),
IF(AND(NOT(EXACT($AF$242,"")),OR(DF$10&gt;$CP162,ISBLANK($CP162))),IF($CV$3,IF(ISERROR(FIND($AF$242,$BQ162)),0,1),(LEN($BQ162)-LEN(SUBSTITUTE($BQ162,$AF$242,"")))/LEN($AF$242)),0),
IF(AND(NOT(EXACT($AF$243,"")),OR(DF$10&gt;$CQ162,ISBLANK($CQ162))),IF($CV$3,IF(ISERROR(FIND($AF$243,$BQ162)),0,1),(LEN($BQ162)-LEN(SUBSTITUTE($BQ162,$AF$243,"")))/LEN($AF$243)),0),
IF(AND(NOT(EXACT($AF$244,"")),OR(DF$10&gt;$CR162,ISBLANK($CR162))),IF($CV$3,IF(ISERROR(FIND($AF$244,$BQ162)),0,1),(LEN($BQ162)-LEN(SUBSTITUTE($BQ162,$AF$244,"")))/LEN($AF$244)),0),
IF(AND(NOT(EXACT($AF$245,"")),OR(DF$10&gt;$CS162,ISBLANK($CS162))),IF($CV$3,IF(ISERROR(FIND($AF$245,$BQ162)),0,1),(LEN($BQ162)-LEN(SUBSTITUTE($BQ162,$AF$245,"")))/LEN($AF$245)),0),
IF(AND(NOT(EXACT($AF$246,"")),OR(DF$10&gt;$CT162,ISBLANK($CT162))),IF($CV$3,IF(ISERROR(FIND($AF$246,$BQ162)),0,1),(LEN($BQ162)-LEN(SUBSTITUTE($BQ162,$AF$246,"")))/LEN($AF$246)),0),
IF(AND(NOT(EXACT($AF$247,"")),OR(DF$10&gt;$CU162,ISBLANK($CU162))),IF($CV$3,IF(ISERROR(FIND($AF$247,$BQ162)),0,1),(LEN($BQ162)-LEN(SUBSTITUTE($BQ162,$AF$247,"")))/LEN($AF$247)),0)
))</f>
        <v/>
      </c>
      <c r="ED162" s="164" t="str">
        <f t="shared" ref="ED162:ED172" si="605">IF($A162="","",IF(VT_VRTLZBR,CODE("F")+1,CODE(VLOOKUP($A162,ZAUBERWERTE,10,FALSE)))-
SUM($BR162:$CA162,
IF(ISERR(FIND(";"&amp;ED$10&amp;";",$H162)),0,1),
IF(ISERR(FIND(";"&amp;ED$10&amp;":",$H162)),0,VALUE(MID($H162,FIND(";"&amp;ED$10&amp;":",$H162)+LEN(ED$10)+2,1))),
IF(ISERR(FIND(";"&amp;ED$10&amp;"+",$H162)),0,-VALUE(MID($H162,FIND(";"&amp;ED$10&amp;"+",$H162)+LEN(ED$10)+2,1))),
IF(AND(NT_Unstet,VLOOKUP($A162,ZAUBERWERTE,10,FALSE)&gt;="C"),-1,0),
IF(AND(NOT(EXACT($AF$241,"")),OR(DG$10&gt;$CO162,ISBLANK($CO162))),IF($CV$3,IF(ISERROR(FIND($AF$241,$BQ162)),0,1),(LEN($BQ162)-LEN(SUBSTITUTE($BQ162,$AF$241,"")))/LEN($AF$241)),0),
IF(AND(NOT(EXACT($AF$242,"")),OR(DG$10&gt;$CP162,ISBLANK($CP162))),IF($CV$3,IF(ISERROR(FIND($AF$242,$BQ162)),0,1),(LEN($BQ162)-LEN(SUBSTITUTE($BQ162,$AF$242,"")))/LEN($AF$242)),0),
IF(AND(NOT(EXACT($AF$243,"")),OR(DG$10&gt;$CQ162,ISBLANK($CQ162))),IF($CV$3,IF(ISERROR(FIND($AF$243,$BQ162)),0,1),(LEN($BQ162)-LEN(SUBSTITUTE($BQ162,$AF$243,"")))/LEN($AF$243)),0),
IF(AND(NOT(EXACT($AF$244,"")),OR(DG$10&gt;$CR162,ISBLANK($CR162))),IF($CV$3,IF(ISERROR(FIND($AF$244,$BQ162)),0,1),(LEN($BQ162)-LEN(SUBSTITUTE($BQ162,$AF$244,"")))/LEN($AF$244)),0),
IF(AND(NOT(EXACT($AF$245,"")),OR(DG$10&gt;$CS162,ISBLANK($CS162))),IF($CV$3,IF(ISERROR(FIND($AF$245,$BQ162)),0,1),(LEN($BQ162)-LEN(SUBSTITUTE($BQ162,$AF$245,"")))/LEN($AF$245)),0),
IF(AND(NOT(EXACT($AF$246,"")),OR(DG$10&gt;$CT162,ISBLANK($CT162))),IF($CV$3,IF(ISERROR(FIND($AF$246,$BQ162)),0,1),(LEN($BQ162)-LEN(SUBSTITUTE($BQ162,$AF$246,"")))/LEN($AF$246)),0),
IF(AND(NOT(EXACT($AF$247,"")),OR(DG$10&gt;$CU162,ISBLANK($CU162))),IF($CV$3,IF(ISERROR(FIND($AF$247,$BQ162)),0,1),(LEN($BQ162)-LEN(SUBSTITUTE($BQ162,$AF$247,"")))/LEN($AF$247)),0)
))</f>
        <v/>
      </c>
      <c r="EE162" s="164" t="str">
        <f t="shared" ref="EE162:EE172" si="606">IF($A162="","",IF(VT_VRTLZBR,CODE("F")+1,CODE(VLOOKUP($A162,ZAUBERWERTE,10,FALSE)))-
SUM($BR162:$CA162,
IF(ISERR(FIND(";"&amp;EE$10&amp;";",$H162)),0,1),
IF(ISERR(FIND(";"&amp;EE$10&amp;":",$H162)),0,VALUE(MID($H162,FIND(";"&amp;EE$10&amp;":",$H162)+LEN(EE$10)+2,1))),
IF(ISERR(FIND(";"&amp;EE$10&amp;"+",$H162)),0,-VALUE(MID($H162,FIND(";"&amp;EE$10&amp;"+",$H162)+LEN(EE$10)+2,1))),
IF(AND(NT_Unstet,VLOOKUP($A162,ZAUBERWERTE,10,FALSE)&gt;="C"),-1,0),
IF(AND(NOT(EXACT($AF$241,"")),OR(DH$10&gt;$CO162,ISBLANK($CO162))),IF($CV$3,IF(ISERROR(FIND($AF$241,$BQ162)),0,1),(LEN($BQ162)-LEN(SUBSTITUTE($BQ162,$AF$241,"")))/LEN($AF$241)),0),
IF(AND(NOT(EXACT($AF$242,"")),OR(DH$10&gt;$CP162,ISBLANK($CP162))),IF($CV$3,IF(ISERROR(FIND($AF$242,$BQ162)),0,1),(LEN($BQ162)-LEN(SUBSTITUTE($BQ162,$AF$242,"")))/LEN($AF$242)),0),
IF(AND(NOT(EXACT($AF$243,"")),OR(DH$10&gt;$CQ162,ISBLANK($CQ162))),IF($CV$3,IF(ISERROR(FIND($AF$243,$BQ162)),0,1),(LEN($BQ162)-LEN(SUBSTITUTE($BQ162,$AF$243,"")))/LEN($AF$243)),0),
IF(AND(NOT(EXACT($AF$244,"")),OR(DH$10&gt;$CR162,ISBLANK($CR162))),IF($CV$3,IF(ISERROR(FIND($AF$244,$BQ162)),0,1),(LEN($BQ162)-LEN(SUBSTITUTE($BQ162,$AF$244,"")))/LEN($AF$244)),0),
IF(AND(NOT(EXACT($AF$245,"")),OR(DH$10&gt;$CS162,ISBLANK($CS162))),IF($CV$3,IF(ISERROR(FIND($AF$245,$BQ162)),0,1),(LEN($BQ162)-LEN(SUBSTITUTE($BQ162,$AF$245,"")))/LEN($AF$245)),0),
IF(AND(NOT(EXACT($AF$246,"")),OR(DH$10&gt;$CT162,ISBLANK($CT162))),IF($CV$3,IF(ISERROR(FIND($AF$246,$BQ162)),0,1),(LEN($BQ162)-LEN(SUBSTITUTE($BQ162,$AF$246,"")))/LEN($AF$246)),0),
IF(AND(NOT(EXACT($AF$247,"")),OR(DH$10&gt;$CU162,ISBLANK($CU162))),IF($CV$3,IF(ISERROR(FIND($AF$247,$BQ162)),0,1),(LEN($BQ162)-LEN(SUBSTITUTE($BQ162,$AF$247,"")))/LEN($AF$247)),0)
))</f>
        <v/>
      </c>
      <c r="EF162" s="164" t="str">
        <f t="shared" ref="EF162:EF172" si="607">IF($A162="","",IF(VT_VRTLZBR,CODE("F")+1,CODE(VLOOKUP($A162,ZAUBERWERTE,10,FALSE)))-
SUM($BR162:$CA162,
IF(ISERR(FIND(";"&amp;EF$10&amp;";",$H162)),0,1),
IF(ISERR(FIND(";"&amp;EF$10&amp;":",$H162)),0,VALUE(MID($H162,FIND(";"&amp;EF$10&amp;":",$H162)+LEN(EF$10)+2,1))),
IF(ISERR(FIND(";"&amp;EF$10&amp;"+",$H162)),0,-VALUE(MID($H162,FIND(";"&amp;EF$10&amp;"+",$H162)+LEN(EF$10)+2,1))),
IF(AND(NT_Unstet,VLOOKUP($A162,ZAUBERWERTE,10,FALSE)&gt;="C"),-1,0),
IF(AND(NOT(EXACT($AF$241,"")),OR(DI$10&gt;$CO162,ISBLANK($CO162))),IF($CV$3,IF(ISERROR(FIND($AF$241,$BQ162)),0,1),(LEN($BQ162)-LEN(SUBSTITUTE($BQ162,$AF$241,"")))/LEN($AF$241)),0),
IF(AND(NOT(EXACT($AF$242,"")),OR(DI$10&gt;$CP162,ISBLANK($CP162))),IF($CV$3,IF(ISERROR(FIND($AF$242,$BQ162)),0,1),(LEN($BQ162)-LEN(SUBSTITUTE($BQ162,$AF$242,"")))/LEN($AF$242)),0),
IF(AND(NOT(EXACT($AF$243,"")),OR(DI$10&gt;$CQ162,ISBLANK($CQ162))),IF($CV$3,IF(ISERROR(FIND($AF$243,$BQ162)),0,1),(LEN($BQ162)-LEN(SUBSTITUTE($BQ162,$AF$243,"")))/LEN($AF$243)),0),
IF(AND(NOT(EXACT($AF$244,"")),OR(DI$10&gt;$CR162,ISBLANK($CR162))),IF($CV$3,IF(ISERROR(FIND($AF$244,$BQ162)),0,1),(LEN($BQ162)-LEN(SUBSTITUTE($BQ162,$AF$244,"")))/LEN($AF$244)),0),
IF(AND(NOT(EXACT($AF$245,"")),OR(DI$10&gt;$CS162,ISBLANK($CS162))),IF($CV$3,IF(ISERROR(FIND($AF$245,$BQ162)),0,1),(LEN($BQ162)-LEN(SUBSTITUTE($BQ162,$AF$245,"")))/LEN($AF$245)),0),
IF(AND(NOT(EXACT($AF$246,"")),OR(DI$10&gt;$CT162,ISBLANK($CT162))),IF($CV$3,IF(ISERROR(FIND($AF$246,$BQ162)),0,1),(LEN($BQ162)-LEN(SUBSTITUTE($BQ162,$AF$246,"")))/LEN($AF$246)),0),
IF(AND(NOT(EXACT($AF$247,"")),OR(DI$10&gt;$CU162,ISBLANK($CU162))),IF($CV$3,IF(ISERROR(FIND($AF$247,$BQ162)),0,1),(LEN($BQ162)-LEN(SUBSTITUTE($BQ162,$AF$247,"")))/LEN($AF$247)),0)
))</f>
        <v/>
      </c>
      <c r="EG162" s="164" t="str">
        <f t="shared" ref="EG162:EG172" si="608">IF($A162="","",IF(VT_VRTLZBR,CODE("F")+1,CODE(VLOOKUP($A162,ZAUBERWERTE,10,FALSE)))-
SUM($BR162:$CA162,
IF(ISERR(FIND(";"&amp;EG$10&amp;";",$H162)),0,1),
IF(ISERR(FIND(";"&amp;EG$10&amp;":",$H162)),0,VALUE(MID($H162,FIND(";"&amp;EG$10&amp;":",$H162)+LEN(EG$10)+2,1))),
IF(ISERR(FIND(";"&amp;EG$10&amp;"+",$H162)),0,-VALUE(MID($H162,FIND(";"&amp;EG$10&amp;"+",$H162)+LEN(EG$10)+2,1))),
IF(AND(NT_Unstet,VLOOKUP($A162,ZAUBERWERTE,10,FALSE)&gt;="C"),-1,0),
IF(AND(NOT(EXACT($AF$241,"")),OR(DJ$10&gt;$CO162,ISBLANK($CO162))),IF($CV$3,IF(ISERROR(FIND($AF$241,$BQ162)),0,1),(LEN($BQ162)-LEN(SUBSTITUTE($BQ162,$AF$241,"")))/LEN($AF$241)),0),
IF(AND(NOT(EXACT($AF$242,"")),OR(DJ$10&gt;$CP162,ISBLANK($CP162))),IF($CV$3,IF(ISERROR(FIND($AF$242,$BQ162)),0,1),(LEN($BQ162)-LEN(SUBSTITUTE($BQ162,$AF$242,"")))/LEN($AF$242)),0),
IF(AND(NOT(EXACT($AF$243,"")),OR(DJ$10&gt;$CQ162,ISBLANK($CQ162))),IF($CV$3,IF(ISERROR(FIND($AF$243,$BQ162)),0,1),(LEN($BQ162)-LEN(SUBSTITUTE($BQ162,$AF$243,"")))/LEN($AF$243)),0),
IF(AND(NOT(EXACT($AF$244,"")),OR(DJ$10&gt;$CR162,ISBLANK($CR162))),IF($CV$3,IF(ISERROR(FIND($AF$244,$BQ162)),0,1),(LEN($BQ162)-LEN(SUBSTITUTE($BQ162,$AF$244,"")))/LEN($AF$244)),0),
IF(AND(NOT(EXACT($AF$245,"")),OR(DJ$10&gt;$CS162,ISBLANK($CS162))),IF($CV$3,IF(ISERROR(FIND($AF$245,$BQ162)),0,1),(LEN($BQ162)-LEN(SUBSTITUTE($BQ162,$AF$245,"")))/LEN($AF$245)),0),
IF(AND(NOT(EXACT($AF$246,"")),OR(DJ$10&gt;$CT162,ISBLANK($CT162))),IF($CV$3,IF(ISERROR(FIND($AF$246,$BQ162)),0,1),(LEN($BQ162)-LEN(SUBSTITUTE($BQ162,$AF$246,"")))/LEN($AF$246)),0),
IF(AND(NOT(EXACT($AF$247,"")),OR(DJ$10&gt;$CU162,ISBLANK($CU162))),IF($CV$3,IF(ISERROR(FIND($AF$247,$BQ162)),0,1),(LEN($BQ162)-LEN(SUBSTITUTE($BQ162,$AF$247,"")))/LEN($AF$247)),0)
))</f>
        <v/>
      </c>
      <c r="EH162" s="164" t="str">
        <f t="shared" ref="EH162:EH172" si="609">IF($A162="","",IF(VT_VRTLZBR,CODE("F")+1,CODE(VLOOKUP($A162,ZAUBERWERTE,10,FALSE)))-
SUM($BR162:$CA162,
IF(ISERR(FIND(";"&amp;EH$10&amp;";",$H162)),0,1),
IF(ISERR(FIND(";"&amp;EH$10&amp;":",$H162)),0,VALUE(MID($H162,FIND(";"&amp;EH$10&amp;":",$H162)+LEN(EH$10)+2,1))),
IF(ISERR(FIND(";"&amp;EH$10&amp;"+",$H162)),0,-VALUE(MID($H162,FIND(";"&amp;EH$10&amp;"+",$H162)+LEN(EH$10)+2,1))),
IF(AND(NT_Unstet,VLOOKUP($A162,ZAUBERWERTE,10,FALSE)&gt;="C"),-1,0),
IF(AND(NOT(EXACT($AF$241,"")),OR(DK$10&gt;$CO162,ISBLANK($CO162))),IF($CV$3,IF(ISERROR(FIND($AF$241,$BQ162)),0,1),(LEN($BQ162)-LEN(SUBSTITUTE($BQ162,$AF$241,"")))/LEN($AF$241)),0),
IF(AND(NOT(EXACT($AF$242,"")),OR(DK$10&gt;$CP162,ISBLANK($CP162))),IF($CV$3,IF(ISERROR(FIND($AF$242,$BQ162)),0,1),(LEN($BQ162)-LEN(SUBSTITUTE($BQ162,$AF$242,"")))/LEN($AF$242)),0),
IF(AND(NOT(EXACT($AF$243,"")),OR(DK$10&gt;$CQ162,ISBLANK($CQ162))),IF($CV$3,IF(ISERROR(FIND($AF$243,$BQ162)),0,1),(LEN($BQ162)-LEN(SUBSTITUTE($BQ162,$AF$243,"")))/LEN($AF$243)),0),
IF(AND(NOT(EXACT($AF$244,"")),OR(DK$10&gt;$CR162,ISBLANK($CR162))),IF($CV$3,IF(ISERROR(FIND($AF$244,$BQ162)),0,1),(LEN($BQ162)-LEN(SUBSTITUTE($BQ162,$AF$244,"")))/LEN($AF$244)),0),
IF(AND(NOT(EXACT($AF$245,"")),OR(DK$10&gt;$CS162,ISBLANK($CS162))),IF($CV$3,IF(ISERROR(FIND($AF$245,$BQ162)),0,1),(LEN($BQ162)-LEN(SUBSTITUTE($BQ162,$AF$245,"")))/LEN($AF$245)),0),
IF(AND(NOT(EXACT($AF$246,"")),OR(DK$10&gt;$CT162,ISBLANK($CT162))),IF($CV$3,IF(ISERROR(FIND($AF$246,$BQ162)),0,1),(LEN($BQ162)-LEN(SUBSTITUTE($BQ162,$AF$246,"")))/LEN($AF$246)),0),
IF(AND(NOT(EXACT($AF$247,"")),OR(DK$10&gt;$CU162,ISBLANK($CU162))),IF($CV$3,IF(ISERROR(FIND($AF$247,$BQ162)),0,1),(LEN($BQ162)-LEN(SUBSTITUTE($BQ162,$AF$247,"")))/LEN($AF$247)),0)
))</f>
        <v/>
      </c>
      <c r="EI162" s="164" t="str">
        <f t="shared" ref="EI162:EI172" si="610">IF($A162="","",IF(VT_VRTLZBR,CODE("F")+1,CODE(VLOOKUP($A162,ZAUBERWERTE,10,FALSE)))-
SUM($BR162:$CA162,
IF(ISERR(FIND(";"&amp;EI$10&amp;";",$H162)),0,1),
IF(ISERR(FIND(";"&amp;EI$10&amp;":",$H162)),0,VALUE(MID($H162,FIND(";"&amp;EI$10&amp;":",$H162)+LEN(EI$10)+2,1))),
IF(ISERR(FIND(";"&amp;EI$10&amp;"+",$H162)),0,-VALUE(MID($H162,FIND(";"&amp;EI$10&amp;"+",$H162)+LEN(EI$10)+2,1))),
IF(AND(NT_Unstet,VLOOKUP($A162,ZAUBERWERTE,10,FALSE)&gt;="C"),-1,0),
IF(AND(NOT(EXACT($AF$241,"")),OR(DL$10&gt;$CO162,ISBLANK($CO162))),IF($CV$3,IF(ISERROR(FIND($AF$241,$BQ162)),0,1),(LEN($BQ162)-LEN(SUBSTITUTE($BQ162,$AF$241,"")))/LEN($AF$241)),0),
IF(AND(NOT(EXACT($AF$242,"")),OR(DL$10&gt;$CP162,ISBLANK($CP162))),IF($CV$3,IF(ISERROR(FIND($AF$242,$BQ162)),0,1),(LEN($BQ162)-LEN(SUBSTITUTE($BQ162,$AF$242,"")))/LEN($AF$242)),0),
IF(AND(NOT(EXACT($AF$243,"")),OR(DL$10&gt;$CQ162,ISBLANK($CQ162))),IF($CV$3,IF(ISERROR(FIND($AF$243,$BQ162)),0,1),(LEN($BQ162)-LEN(SUBSTITUTE($BQ162,$AF$243,"")))/LEN($AF$243)),0),
IF(AND(NOT(EXACT($AF$244,"")),OR(DL$10&gt;$CR162,ISBLANK($CR162))),IF($CV$3,IF(ISERROR(FIND($AF$244,$BQ162)),0,1),(LEN($BQ162)-LEN(SUBSTITUTE($BQ162,$AF$244,"")))/LEN($AF$244)),0),
IF(AND(NOT(EXACT($AF$245,"")),OR(DL$10&gt;$CS162,ISBLANK($CS162))),IF($CV$3,IF(ISERROR(FIND($AF$245,$BQ162)),0,1),(LEN($BQ162)-LEN(SUBSTITUTE($BQ162,$AF$245,"")))/LEN($AF$245)),0),
IF(AND(NOT(EXACT($AF$246,"")),OR(DL$10&gt;$CT162,ISBLANK($CT162))),IF($CV$3,IF(ISERROR(FIND($AF$246,$BQ162)),0,1),(LEN($BQ162)-LEN(SUBSTITUTE($BQ162,$AF$246,"")))/LEN($AF$246)),0),
IF(AND(NOT(EXACT($AF$247,"")),OR(DL$10&gt;$CU162,ISBLANK($CU162))),IF($CV$3,IF(ISERROR(FIND($AF$247,$BQ162)),0,1),(LEN($BQ162)-LEN(SUBSTITUTE($BQ162,$AF$247,"")))/LEN($AF$247)),0)
))</f>
        <v/>
      </c>
      <c r="EJ162" s="164" t="str">
        <f t="shared" ref="EJ162:EJ172" si="611">IF($A162="","",IF(VT_VRTLZBR,CODE("F")+1,CODE(VLOOKUP($A162,ZAUBERWERTE,10,FALSE)))-
SUM($BR162:$CA162,
IF(ISERR(FIND(";"&amp;EJ$10&amp;";",$H162)),0,1),
IF(ISERR(FIND(";"&amp;EJ$10&amp;":",$H162)),0,VALUE(MID($H162,FIND(";"&amp;EJ$10&amp;":",$H162)+LEN(EJ$10)+2,1))),
IF(ISERR(FIND(";"&amp;EJ$10&amp;"+",$H162)),0,-VALUE(MID($H162,FIND(";"&amp;EJ$10&amp;"+",$H162)+LEN(EJ$10)+2,1))),
IF(AND(NT_Unstet,VLOOKUP($A162,ZAUBERWERTE,10,FALSE)&gt;="C"),-1,0),
IF(AND(NOT(EXACT($AF$241,"")),OR(DM$10&gt;$CO162,ISBLANK($CO162))),IF($CV$3,IF(ISERROR(FIND($AF$241,$BQ162)),0,1),(LEN($BQ162)-LEN(SUBSTITUTE($BQ162,$AF$241,"")))/LEN($AF$241)),0),
IF(AND(NOT(EXACT($AF$242,"")),OR(DM$10&gt;$CP162,ISBLANK($CP162))),IF($CV$3,IF(ISERROR(FIND($AF$242,$BQ162)),0,1),(LEN($BQ162)-LEN(SUBSTITUTE($BQ162,$AF$242,"")))/LEN($AF$242)),0),
IF(AND(NOT(EXACT($AF$243,"")),OR(DM$10&gt;$CQ162,ISBLANK($CQ162))),IF($CV$3,IF(ISERROR(FIND($AF$243,$BQ162)),0,1),(LEN($BQ162)-LEN(SUBSTITUTE($BQ162,$AF$243,"")))/LEN($AF$243)),0),
IF(AND(NOT(EXACT($AF$244,"")),OR(DM$10&gt;$CR162,ISBLANK($CR162))),IF($CV$3,IF(ISERROR(FIND($AF$244,$BQ162)),0,1),(LEN($BQ162)-LEN(SUBSTITUTE($BQ162,$AF$244,"")))/LEN($AF$244)),0),
IF(AND(NOT(EXACT($AF$245,"")),OR(DM$10&gt;$CS162,ISBLANK($CS162))),IF($CV$3,IF(ISERROR(FIND($AF$245,$BQ162)),0,1),(LEN($BQ162)-LEN(SUBSTITUTE($BQ162,$AF$245,"")))/LEN($AF$245)),0),
IF(AND(NOT(EXACT($AF$246,"")),OR(DM$10&gt;$CT162,ISBLANK($CT162))),IF($CV$3,IF(ISERROR(FIND($AF$246,$BQ162)),0,1),(LEN($BQ162)-LEN(SUBSTITUTE($BQ162,$AF$246,"")))/LEN($AF$246)),0),
IF(AND(NOT(EXACT($AF$247,"")),OR(DM$10&gt;$CU162,ISBLANK($CU162))),IF($CV$3,IF(ISERROR(FIND($AF$247,$BQ162)),0,1),(LEN($BQ162)-LEN(SUBSTITUTE($BQ162,$AF$247,"")))/LEN($AF$247)),0)
))</f>
        <v/>
      </c>
      <c r="EK162" s="164" t="str">
        <f t="shared" ref="EK162:EK172" si="612">IF($A162="","",IF(VT_VRTLZBR,CODE("F")+1,CODE(VLOOKUP($A162,ZAUBERWERTE,10,FALSE)))-
SUM($BR162:$CA162,
IF(ISERR(FIND(";"&amp;EK$10&amp;";",$H162)),0,1),
IF(ISERR(FIND(";"&amp;EK$10&amp;":",$H162)),0,VALUE(MID($H162,FIND(";"&amp;EK$10&amp;":",$H162)+LEN(EK$10)+2,1))),
IF(ISERR(FIND(";"&amp;EK$10&amp;"+",$H162)),0,-VALUE(MID($H162,FIND(";"&amp;EK$10&amp;"+",$H162)+LEN(EK$10)+2,1))),
IF(AND(NT_Unstet,VLOOKUP($A162,ZAUBERWERTE,10,FALSE)&gt;="C"),-1,0),
IF(AND(NOT(EXACT($AF$241,"")),OR(DN$10&gt;$CO162,ISBLANK($CO162))),IF($CV$3,IF(ISERROR(FIND($AF$241,$BQ162)),0,1),(LEN($BQ162)-LEN(SUBSTITUTE($BQ162,$AF$241,"")))/LEN($AF$241)),0),
IF(AND(NOT(EXACT($AF$242,"")),OR(DN$10&gt;$CP162,ISBLANK($CP162))),IF($CV$3,IF(ISERROR(FIND($AF$242,$BQ162)),0,1),(LEN($BQ162)-LEN(SUBSTITUTE($BQ162,$AF$242,"")))/LEN($AF$242)),0),
IF(AND(NOT(EXACT($AF$243,"")),OR(DN$10&gt;$CQ162,ISBLANK($CQ162))),IF($CV$3,IF(ISERROR(FIND($AF$243,$BQ162)),0,1),(LEN($BQ162)-LEN(SUBSTITUTE($BQ162,$AF$243,"")))/LEN($AF$243)),0),
IF(AND(NOT(EXACT($AF$244,"")),OR(DN$10&gt;$CR162,ISBLANK($CR162))),IF($CV$3,IF(ISERROR(FIND($AF$244,$BQ162)),0,1),(LEN($BQ162)-LEN(SUBSTITUTE($BQ162,$AF$244,"")))/LEN($AF$244)),0),
IF(AND(NOT(EXACT($AF$245,"")),OR(DN$10&gt;$CS162,ISBLANK($CS162))),IF($CV$3,IF(ISERROR(FIND($AF$245,$BQ162)),0,1),(LEN($BQ162)-LEN(SUBSTITUTE($BQ162,$AF$245,"")))/LEN($AF$245)),0),
IF(AND(NOT(EXACT($AF$246,"")),OR(DN$10&gt;$CT162,ISBLANK($CT162))),IF($CV$3,IF(ISERROR(FIND($AF$246,$BQ162)),0,1),(LEN($BQ162)-LEN(SUBSTITUTE($BQ162,$AF$246,"")))/LEN($AF$246)),0),
IF(AND(NOT(EXACT($AF$247,"")),OR(DN$10&gt;$CU162,ISBLANK($CU162))),IF($CV$3,IF(ISERROR(FIND($AF$247,$BQ162)),0,1),(LEN($BQ162)-LEN(SUBSTITUTE($BQ162,$AF$247,"")))/LEN($AF$247)),0)
))</f>
        <v/>
      </c>
      <c r="EL162" s="164" t="str">
        <f t="shared" ref="EL162:EL172" si="613">IF($A162="","",IF(VT_VRTLZBR,CODE("F")+1,CODE(VLOOKUP($A162,ZAUBERWERTE,10,FALSE)))-
SUM($BR162:$CA162,
IF(ISERR(FIND(";"&amp;EL$10&amp;";",$H162)),0,1),
IF(ISERR(FIND(";"&amp;EL$10&amp;":",$H162)),0,VALUE(MID($H162,FIND(";"&amp;EL$10&amp;":",$H162)+LEN(EL$10)+2,1))),
IF(ISERR(FIND(";"&amp;EL$10&amp;"+",$H162)),0,-VALUE(MID($H162,FIND(";"&amp;EL$10&amp;"+",$H162)+LEN(EL$10)+2,1))),
IF(AND(NT_Unstet,VLOOKUP($A162,ZAUBERWERTE,10,FALSE)&gt;="C"),-1,0),
IF(AND(NOT(EXACT($AF$241,"")),OR(DO$10&gt;$CO162,ISBLANK($CO162))),IF($CV$3,IF(ISERROR(FIND($AF$241,$BQ162)),0,1),(LEN($BQ162)-LEN(SUBSTITUTE($BQ162,$AF$241,"")))/LEN($AF$241)),0),
IF(AND(NOT(EXACT($AF$242,"")),OR(DO$10&gt;$CP162,ISBLANK($CP162))),IF($CV$3,IF(ISERROR(FIND($AF$242,$BQ162)),0,1),(LEN($BQ162)-LEN(SUBSTITUTE($BQ162,$AF$242,"")))/LEN($AF$242)),0),
IF(AND(NOT(EXACT($AF$243,"")),OR(DO$10&gt;$CQ162,ISBLANK($CQ162))),IF($CV$3,IF(ISERROR(FIND($AF$243,$BQ162)),0,1),(LEN($BQ162)-LEN(SUBSTITUTE($BQ162,$AF$243,"")))/LEN($AF$243)),0),
IF(AND(NOT(EXACT($AF$244,"")),OR(DO$10&gt;$CR162,ISBLANK($CR162))),IF($CV$3,IF(ISERROR(FIND($AF$244,$BQ162)),0,1),(LEN($BQ162)-LEN(SUBSTITUTE($BQ162,$AF$244,"")))/LEN($AF$244)),0),
IF(AND(NOT(EXACT($AF$245,"")),OR(DO$10&gt;$CS162,ISBLANK($CS162))),IF($CV$3,IF(ISERROR(FIND($AF$245,$BQ162)),0,1),(LEN($BQ162)-LEN(SUBSTITUTE($BQ162,$AF$245,"")))/LEN($AF$245)),0),
IF(AND(NOT(EXACT($AF$246,"")),OR(DO$10&gt;$CT162,ISBLANK($CT162))),IF($CV$3,IF(ISERROR(FIND($AF$246,$BQ162)),0,1),(LEN($BQ162)-LEN(SUBSTITUTE($BQ162,$AF$246,"")))/LEN($AF$246)),0),
IF(AND(NOT(EXACT($AF$247,"")),OR(DO$10&gt;$CU162,ISBLANK($CU162))),IF($CV$3,IF(ISERROR(FIND($AF$247,$BQ162)),0,1),(LEN($BQ162)-LEN(SUBSTITUTE($BQ162,$AF$247,"")))/LEN($AF$247)),0)
))</f>
        <v/>
      </c>
      <c r="EM162" s="164" t="str">
        <f t="shared" ref="EM162:EM172" si="614">IF($A162="","",IF(VT_VRTLZBR,CODE("F")+1,CODE(VLOOKUP($A162,ZAUBERWERTE,10,FALSE)))-
SUM($BR162:$CA162,
IF(ISERR(FIND(";"&amp;EM$10&amp;";",$H162)),0,1),
IF(ISERR(FIND(";"&amp;EM$10&amp;":",$H162)),0,VALUE(MID($H162,FIND(";"&amp;EM$10&amp;":",$H162)+LEN(EM$10)+2,1))),
IF(ISERR(FIND(";"&amp;EM$10&amp;"+",$H162)),0,-VALUE(MID($H162,FIND(";"&amp;EM$10&amp;"+",$H162)+LEN(EM$10)+2,1))),
IF(AND(NT_Unstet,VLOOKUP($A162,ZAUBERWERTE,10,FALSE)&gt;="C"),-1,0),
IF(AND(NOT(EXACT($AF$241,"")),OR(DP$10&gt;$CO162,ISBLANK($CO162))),IF($CV$3,IF(ISERROR(FIND($AF$241,$BQ162)),0,1),(LEN($BQ162)-LEN(SUBSTITUTE($BQ162,$AF$241,"")))/LEN($AF$241)),0),
IF(AND(NOT(EXACT($AF$242,"")),OR(DP$10&gt;$CP162,ISBLANK($CP162))),IF($CV$3,IF(ISERROR(FIND($AF$242,$BQ162)),0,1),(LEN($BQ162)-LEN(SUBSTITUTE($BQ162,$AF$242,"")))/LEN($AF$242)),0),
IF(AND(NOT(EXACT($AF$243,"")),OR(DP$10&gt;$CQ162,ISBLANK($CQ162))),IF($CV$3,IF(ISERROR(FIND($AF$243,$BQ162)),0,1),(LEN($BQ162)-LEN(SUBSTITUTE($BQ162,$AF$243,"")))/LEN($AF$243)),0),
IF(AND(NOT(EXACT($AF$244,"")),OR(DP$10&gt;$CR162,ISBLANK($CR162))),IF($CV$3,IF(ISERROR(FIND($AF$244,$BQ162)),0,1),(LEN($BQ162)-LEN(SUBSTITUTE($BQ162,$AF$244,"")))/LEN($AF$244)),0),
IF(AND(NOT(EXACT($AF$245,"")),OR(DP$10&gt;$CS162,ISBLANK($CS162))),IF($CV$3,IF(ISERROR(FIND($AF$245,$BQ162)),0,1),(LEN($BQ162)-LEN(SUBSTITUTE($BQ162,$AF$245,"")))/LEN($AF$245)),0),
IF(AND(NOT(EXACT($AF$246,"")),OR(DP$10&gt;$CT162,ISBLANK($CT162))),IF($CV$3,IF(ISERROR(FIND($AF$246,$BQ162)),0,1),(LEN($BQ162)-LEN(SUBSTITUTE($BQ162,$AF$246,"")))/LEN($AF$246)),0),
IF(AND(NOT(EXACT($AF$247,"")),OR(DP$10&gt;$CU162,ISBLANK($CU162))),IF($CV$3,IF(ISERROR(FIND($AF$247,$BQ162)),0,1),(LEN($BQ162)-LEN(SUBSTITUTE($BQ162,$AF$247,"")))/LEN($AF$247)),0)
))</f>
        <v/>
      </c>
      <c r="EN162" s="164" t="str">
        <f t="shared" ref="EN162:EN172" si="615">IF($A162="","",IF(VT_VRTLZBR,CODE("F")+1,CODE(VLOOKUP($A162,ZAUBERWERTE,10,FALSE)))-
SUM($BR162:$CA162,
IF(ISERR(FIND(";"&amp;EN$10&amp;";",$H162)),0,1),
IF(ISERR(FIND(";"&amp;EN$10&amp;":",$H162)),0,VALUE(MID($H162,FIND(";"&amp;EN$10&amp;":",$H162)+LEN(EN$10)+2,1))),
IF(ISERR(FIND(";"&amp;EN$10&amp;"+",$H162)),0,-VALUE(MID($H162,FIND(";"&amp;EN$10&amp;"+",$H162)+LEN(EN$10)+2,1))),
IF(AND(NT_Unstet,VLOOKUP($A162,ZAUBERWERTE,10,FALSE)&gt;="C"),-1,0),
IF(AND(NOT(EXACT($AF$241,"")),OR(DQ$10&gt;$CO162,ISBLANK($CO162))),IF($CV$3,IF(ISERROR(FIND($AF$241,$BQ162)),0,1),(LEN($BQ162)-LEN(SUBSTITUTE($BQ162,$AF$241,"")))/LEN($AF$241)),0),
IF(AND(NOT(EXACT($AF$242,"")),OR(DQ$10&gt;$CP162,ISBLANK($CP162))),IF($CV$3,IF(ISERROR(FIND($AF$242,$BQ162)),0,1),(LEN($BQ162)-LEN(SUBSTITUTE($BQ162,$AF$242,"")))/LEN($AF$242)),0),
IF(AND(NOT(EXACT($AF$243,"")),OR(DQ$10&gt;$CQ162,ISBLANK($CQ162))),IF($CV$3,IF(ISERROR(FIND($AF$243,$BQ162)),0,1),(LEN($BQ162)-LEN(SUBSTITUTE($BQ162,$AF$243,"")))/LEN($AF$243)),0),
IF(AND(NOT(EXACT($AF$244,"")),OR(DQ$10&gt;$CR162,ISBLANK($CR162))),IF($CV$3,IF(ISERROR(FIND($AF$244,$BQ162)),0,1),(LEN($BQ162)-LEN(SUBSTITUTE($BQ162,$AF$244,"")))/LEN($AF$244)),0),
IF(AND(NOT(EXACT($AF$245,"")),OR(DQ$10&gt;$CS162,ISBLANK($CS162))),IF($CV$3,IF(ISERROR(FIND($AF$245,$BQ162)),0,1),(LEN($BQ162)-LEN(SUBSTITUTE($BQ162,$AF$245,"")))/LEN($AF$245)),0),
IF(AND(NOT(EXACT($AF$246,"")),OR(DQ$10&gt;$CT162,ISBLANK($CT162))),IF($CV$3,IF(ISERROR(FIND($AF$246,$BQ162)),0,1),(LEN($BQ162)-LEN(SUBSTITUTE($BQ162,$AF$246,"")))/LEN($AF$246)),0),
IF(AND(NOT(EXACT($AF$247,"")),OR(DQ$10&gt;$CU162,ISBLANK($CU162))),IF($CV$3,IF(ISERROR(FIND($AF$247,$BQ162)),0,1),(LEN($BQ162)-LEN(SUBSTITUTE($BQ162,$AF$247,"")))/LEN($AF$247)),0)
))</f>
        <v/>
      </c>
      <c r="EO162" s="164" t="str">
        <f t="shared" ref="EO162:EO172" si="616">IF($A162="","",IF(VT_VRTLZBR,CODE("F")+1,CODE(VLOOKUP($A162,ZAUBERWERTE,10,FALSE)))-
SUM($BR162:$CA162,
IF(ISERR(FIND(";"&amp;EO$10&amp;";",$H162)),0,1),
IF(ISERR(FIND(";"&amp;EO$10&amp;":",$H162)),0,VALUE(MID($H162,FIND(";"&amp;EO$10&amp;":",$H162)+LEN(EO$10)+2,1))),
IF(ISERR(FIND(";"&amp;EO$10&amp;"+",$H162)),0,-VALUE(MID($H162,FIND(";"&amp;EO$10&amp;"+",$H162)+LEN(EO$10)+2,1))),
IF(AND(NT_Unstet,VLOOKUP($A162,ZAUBERWERTE,10,FALSE)&gt;="C"),-1,0),
IF(AND(NOT(EXACT($AF$241,"")),OR(DR$10&gt;$CO162,ISBLANK($CO162))),IF($CV$3,IF(ISERROR(FIND($AF$241,$BQ162)),0,1),(LEN($BQ162)-LEN(SUBSTITUTE($BQ162,$AF$241,"")))/LEN($AF$241)),0),
IF(AND(NOT(EXACT($AF$242,"")),OR(DR$10&gt;$CP162,ISBLANK($CP162))),IF($CV$3,IF(ISERROR(FIND($AF$242,$BQ162)),0,1),(LEN($BQ162)-LEN(SUBSTITUTE($BQ162,$AF$242,"")))/LEN($AF$242)),0),
IF(AND(NOT(EXACT($AF$243,"")),OR(DR$10&gt;$CQ162,ISBLANK($CQ162))),IF($CV$3,IF(ISERROR(FIND($AF$243,$BQ162)),0,1),(LEN($BQ162)-LEN(SUBSTITUTE($BQ162,$AF$243,"")))/LEN($AF$243)),0),
IF(AND(NOT(EXACT($AF$244,"")),OR(DR$10&gt;$CR162,ISBLANK($CR162))),IF($CV$3,IF(ISERROR(FIND($AF$244,$BQ162)),0,1),(LEN($BQ162)-LEN(SUBSTITUTE($BQ162,$AF$244,"")))/LEN($AF$244)),0),
IF(AND(NOT(EXACT($AF$245,"")),OR(DR$10&gt;$CS162,ISBLANK($CS162))),IF($CV$3,IF(ISERROR(FIND($AF$245,$BQ162)),0,1),(LEN($BQ162)-LEN(SUBSTITUTE($BQ162,$AF$245,"")))/LEN($AF$245)),0),
IF(AND(NOT(EXACT($AF$246,"")),OR(DR$10&gt;$CT162,ISBLANK($CT162))),IF($CV$3,IF(ISERROR(FIND($AF$246,$BQ162)),0,1),(LEN($BQ162)-LEN(SUBSTITUTE($BQ162,$AF$246,"")))/LEN($AF$246)),0),
IF(AND(NOT(EXACT($AF$247,"")),OR(DR$10&gt;$CU162,ISBLANK($CU162))),IF($CV$3,IF(ISERROR(FIND($AF$247,$BQ162)),0,1),(LEN($BQ162)-LEN(SUBSTITUTE($BQ162,$AF$247,"")))/LEN($AF$247)),0)
))</f>
        <v/>
      </c>
      <c r="EP162" s="164" t="str">
        <f t="shared" ref="EP162:EP172" si="617">IF($A162="","",IF(VT_VRTLZBR,CODE("F")+1,CODE(VLOOKUP($A162,ZAUBERWERTE,10,FALSE)))-
SUM($BR162:$CA162,
IF(ISERR(FIND(";"&amp;EP$10&amp;";",$H162)),0,1),
IF(ISERR(FIND(";"&amp;EP$10&amp;":",$H162)),0,VALUE(MID($H162,FIND(";"&amp;EP$10&amp;":",$H162)+LEN(EP$10)+2,1))),
IF(ISERR(FIND(";"&amp;EP$10&amp;"+",$H162)),0,-VALUE(MID($H162,FIND(";"&amp;EP$10&amp;"+",$H162)+LEN(EP$10)+2,1))),
IF(AND(NT_Unstet,VLOOKUP($A162,ZAUBERWERTE,10,FALSE)&gt;="C"),-1,0),
IF(AND(NOT(EXACT($AF$241,"")),OR(DS$10&gt;$CO162,ISBLANK($CO162))),IF($CV$3,IF(ISERROR(FIND($AF$241,$BQ162)),0,1),(LEN($BQ162)-LEN(SUBSTITUTE($BQ162,$AF$241,"")))/LEN($AF$241)),0),
IF(AND(NOT(EXACT($AF$242,"")),OR(DS$10&gt;$CP162,ISBLANK($CP162))),IF($CV$3,IF(ISERROR(FIND($AF$242,$BQ162)),0,1),(LEN($BQ162)-LEN(SUBSTITUTE($BQ162,$AF$242,"")))/LEN($AF$242)),0),
IF(AND(NOT(EXACT($AF$243,"")),OR(DS$10&gt;$CQ162,ISBLANK($CQ162))),IF($CV$3,IF(ISERROR(FIND($AF$243,$BQ162)),0,1),(LEN($BQ162)-LEN(SUBSTITUTE($BQ162,$AF$243,"")))/LEN($AF$243)),0),
IF(AND(NOT(EXACT($AF$244,"")),OR(DS$10&gt;$CR162,ISBLANK($CR162))),IF($CV$3,IF(ISERROR(FIND($AF$244,$BQ162)),0,1),(LEN($BQ162)-LEN(SUBSTITUTE($BQ162,$AF$244,"")))/LEN($AF$244)),0),
IF(AND(NOT(EXACT($AF$245,"")),OR(DS$10&gt;$CS162,ISBLANK($CS162))),IF($CV$3,IF(ISERROR(FIND($AF$245,$BQ162)),0,1),(LEN($BQ162)-LEN(SUBSTITUTE($BQ162,$AF$245,"")))/LEN($AF$245)),0),
IF(AND(NOT(EXACT($AF$246,"")),OR(DS$10&gt;$CT162,ISBLANK($CT162))),IF($CV$3,IF(ISERROR(FIND($AF$246,$BQ162)),0,1),(LEN($BQ162)-LEN(SUBSTITUTE($BQ162,$AF$246,"")))/LEN($AF$246)),0),
IF(AND(NOT(EXACT($AF$247,"")),OR(DS$10&gt;$CU162,ISBLANK($CU162))),IF($CV$3,IF(ISERROR(FIND($AF$247,$BQ162)),0,1),(LEN($BQ162)-LEN(SUBSTITUTE($BQ162,$AF$247,"")))/LEN($AF$247)),0)
))</f>
        <v/>
      </c>
      <c r="EQ162" s="164" t="str">
        <f t="shared" ref="EQ162:EQ172" si="618">IF($A162="","",IF(VT_VRTLZBR,CODE("F")+1,CODE(VLOOKUP($A162,ZAUBERWERTE,10,FALSE)))-
SUM($BR162:$CA162,
IF(ISERR(FIND(";"&amp;EQ$10&amp;";",$H162)),0,1),
IF(ISERR(FIND(";"&amp;EQ$10&amp;":",$H162)),0,VALUE(MID($H162,FIND(";"&amp;EQ$10&amp;":",$H162)+LEN(EQ$10)+2,1))),
IF(ISERR(FIND(";"&amp;EQ$10&amp;"+",$H162)),0,-VALUE(MID($H162,FIND(";"&amp;EQ$10&amp;"+",$H162)+LEN(EQ$10)+2,1))),
IF(AND(NT_Unstet,VLOOKUP($A162,ZAUBERWERTE,10,FALSE)&gt;="C"),-1,0),
IF(AND(NOT(EXACT($AF$241,"")),OR(DT$10&gt;$CO162,ISBLANK($CO162))),IF($CV$3,IF(ISERROR(FIND($AF$241,$BQ162)),0,1),(LEN($BQ162)-LEN(SUBSTITUTE($BQ162,$AF$241,"")))/LEN($AF$241)),0),
IF(AND(NOT(EXACT($AF$242,"")),OR(DT$10&gt;$CP162,ISBLANK($CP162))),IF($CV$3,IF(ISERROR(FIND($AF$242,$BQ162)),0,1),(LEN($BQ162)-LEN(SUBSTITUTE($BQ162,$AF$242,"")))/LEN($AF$242)),0),
IF(AND(NOT(EXACT($AF$243,"")),OR(DT$10&gt;$CQ162,ISBLANK($CQ162))),IF($CV$3,IF(ISERROR(FIND($AF$243,$BQ162)),0,1),(LEN($BQ162)-LEN(SUBSTITUTE($BQ162,$AF$243,"")))/LEN($AF$243)),0),
IF(AND(NOT(EXACT($AF$244,"")),OR(DT$10&gt;$CR162,ISBLANK($CR162))),IF($CV$3,IF(ISERROR(FIND($AF$244,$BQ162)),0,1),(LEN($BQ162)-LEN(SUBSTITUTE($BQ162,$AF$244,"")))/LEN($AF$244)),0),
IF(AND(NOT(EXACT($AF$245,"")),OR(DT$10&gt;$CS162,ISBLANK($CS162))),IF($CV$3,IF(ISERROR(FIND($AF$245,$BQ162)),0,1),(LEN($BQ162)-LEN(SUBSTITUTE($BQ162,$AF$245,"")))/LEN($AF$245)),0),
IF(AND(NOT(EXACT($AF$246,"")),OR(DT$10&gt;$CT162,ISBLANK($CT162))),IF($CV$3,IF(ISERROR(FIND($AF$246,$BQ162)),0,1),(LEN($BQ162)-LEN(SUBSTITUTE($BQ162,$AF$246,"")))/LEN($AF$246)),0),
IF(AND(NOT(EXACT($AF$247,"")),OR(DT$10&gt;$CU162,ISBLANK($CU162))),IF($CV$3,IF(ISERROR(FIND($AF$247,$BQ162)),0,1),(LEN($BQ162)-LEN(SUBSTITUTE($BQ162,$AF$247,"")))/LEN($AF$247)),0)
))</f>
        <v/>
      </c>
      <c r="ER162" s="164" t="str">
        <f t="shared" ref="ER162:ER172" si="619">IF($A162="","",IF(VT_VRTLZBR,CODE("F")+1,CODE(VLOOKUP($A162,ZAUBERWERTE,10,FALSE)))-
SUM($BR162:$CA162,
IF(ISERR(FIND(";"&amp;ER$10&amp;";",$H162)),0,1),
IF(ISERR(FIND(";"&amp;ER$10&amp;":",$H162)),0,VALUE(MID($H162,FIND(";"&amp;ER$10&amp;":",$H162)+LEN(ER$10)+2,1))),
IF(ISERR(FIND(";"&amp;ER$10&amp;"+",$H162)),0,-VALUE(MID($H162,FIND(";"&amp;ER$10&amp;"+",$H162)+LEN(ER$10)+2,1))),
IF(AND(NT_Unstet,VLOOKUP($A162,ZAUBERWERTE,10,FALSE)&gt;="C"),-1,0),
IF(AND(NOT(EXACT($AF$241,"")),OR(DU$10&gt;$CO162,ISBLANK($CO162))),IF($CV$3,IF(ISERROR(FIND($AF$241,$BQ162)),0,1),(LEN($BQ162)-LEN(SUBSTITUTE($BQ162,$AF$241,"")))/LEN($AF$241)),0),
IF(AND(NOT(EXACT($AF$242,"")),OR(DU$10&gt;$CP162,ISBLANK($CP162))),IF($CV$3,IF(ISERROR(FIND($AF$242,$BQ162)),0,1),(LEN($BQ162)-LEN(SUBSTITUTE($BQ162,$AF$242,"")))/LEN($AF$242)),0),
IF(AND(NOT(EXACT($AF$243,"")),OR(DU$10&gt;$CQ162,ISBLANK($CQ162))),IF($CV$3,IF(ISERROR(FIND($AF$243,$BQ162)),0,1),(LEN($BQ162)-LEN(SUBSTITUTE($BQ162,$AF$243,"")))/LEN($AF$243)),0),
IF(AND(NOT(EXACT($AF$244,"")),OR(DU$10&gt;$CR162,ISBLANK($CR162))),IF($CV$3,IF(ISERROR(FIND($AF$244,$BQ162)),0,1),(LEN($BQ162)-LEN(SUBSTITUTE($BQ162,$AF$244,"")))/LEN($AF$244)),0),
IF(AND(NOT(EXACT($AF$245,"")),OR(DU$10&gt;$CS162,ISBLANK($CS162))),IF($CV$3,IF(ISERROR(FIND($AF$245,$BQ162)),0,1),(LEN($BQ162)-LEN(SUBSTITUTE($BQ162,$AF$245,"")))/LEN($AF$245)),0),
IF(AND(NOT(EXACT($AF$246,"")),OR(DU$10&gt;$CT162,ISBLANK($CT162))),IF($CV$3,IF(ISERROR(FIND($AF$246,$BQ162)),0,1),(LEN($BQ162)-LEN(SUBSTITUTE($BQ162,$AF$246,"")))/LEN($AF$246)),0),
IF(AND(NOT(EXACT($AF$247,"")),OR(DU$10&gt;$CU162,ISBLANK($CU162))),IF($CV$3,IF(ISERROR(FIND($AF$247,$BQ162)),0,1),(LEN($BQ162)-LEN(SUBSTITUTE($BQ162,$AF$247,"")))/LEN($AF$247)),0)
))</f>
        <v/>
      </c>
      <c r="ES162" s="164" t="str">
        <f t="shared" ref="ES162:ES172" si="620">IF($A162="","",IF(VT_VRTLZBR,CODE("F")+1,CODE(VLOOKUP($A162,ZAUBERWERTE,10,FALSE)))-
SUM($BR162:$CA162,
IF(ISERR(FIND(";"&amp;ES$10&amp;";",$H162)),0,1),
IF(ISERR(FIND(";"&amp;ES$10&amp;":",$H162)),0,VALUE(MID($H162,FIND(";"&amp;ES$10&amp;":",$H162)+LEN(ES$10)+2,1))),
IF(ISERR(FIND(";"&amp;ES$10&amp;"+",$H162)),0,-VALUE(MID($H162,FIND(";"&amp;ES$10&amp;"+",$H162)+LEN(ES$10)+2,1))),
IF(AND(NT_Unstet,VLOOKUP($A162,ZAUBERWERTE,10,FALSE)&gt;="C"),-1,0),
IF(AND(NOT(EXACT($AF$241,"")),OR(DV$10&gt;$CO162,ISBLANK($CO162))),IF($CV$3,IF(ISERROR(FIND($AF$241,$BQ162)),0,1),(LEN($BQ162)-LEN(SUBSTITUTE($BQ162,$AF$241,"")))/LEN($AF$241)),0),
IF(AND(NOT(EXACT($AF$242,"")),OR(DV$10&gt;$CP162,ISBLANK($CP162))),IF($CV$3,IF(ISERROR(FIND($AF$242,$BQ162)),0,1),(LEN($BQ162)-LEN(SUBSTITUTE($BQ162,$AF$242,"")))/LEN($AF$242)),0),
IF(AND(NOT(EXACT($AF$243,"")),OR(DV$10&gt;$CQ162,ISBLANK($CQ162))),IF($CV$3,IF(ISERROR(FIND($AF$243,$BQ162)),0,1),(LEN($BQ162)-LEN(SUBSTITUTE($BQ162,$AF$243,"")))/LEN($AF$243)),0),
IF(AND(NOT(EXACT($AF$244,"")),OR(DV$10&gt;$CR162,ISBLANK($CR162))),IF($CV$3,IF(ISERROR(FIND($AF$244,$BQ162)),0,1),(LEN($BQ162)-LEN(SUBSTITUTE($BQ162,$AF$244,"")))/LEN($AF$244)),0),
IF(AND(NOT(EXACT($AF$245,"")),OR(DV$10&gt;$CS162,ISBLANK($CS162))),IF($CV$3,IF(ISERROR(FIND($AF$245,$BQ162)),0,1),(LEN($BQ162)-LEN(SUBSTITUTE($BQ162,$AF$245,"")))/LEN($AF$245)),0),
IF(AND(NOT(EXACT($AF$246,"")),OR(DV$10&gt;$CT162,ISBLANK($CT162))),IF($CV$3,IF(ISERROR(FIND($AF$246,$BQ162)),0,1),(LEN($BQ162)-LEN(SUBSTITUTE($BQ162,$AF$246,"")))/LEN($AF$246)),0),
IF(AND(NOT(EXACT($AF$247,"")),OR(DV$10&gt;$CU162,ISBLANK($CU162))),IF($CV$3,IF(ISERROR(FIND($AF$247,$BQ162)),0,1),(LEN($BQ162)-LEN(SUBSTITUTE($BQ162,$AF$247,"")))/LEN($AF$247)),0)
))</f>
        <v/>
      </c>
    </row>
    <row r="163" spans="1:149" x14ac:dyDescent="0.2">
      <c r="A163" s="89"/>
      <c r="B163" s="317"/>
      <c r="C163" s="609" t="str">
        <f t="shared" ca="1" si="528"/>
        <v/>
      </c>
      <c r="D163" s="1956" t="str">
        <f t="shared" ca="1" si="529"/>
        <v/>
      </c>
      <c r="E163" s="1956"/>
      <c r="F163" s="960"/>
      <c r="G163" s="485" t="str">
        <f t="shared" si="530"/>
        <v/>
      </c>
      <c r="H163" s="983"/>
      <c r="I163" s="486"/>
      <c r="J163" s="326"/>
      <c r="K163" s="1886" t="str">
        <f t="shared" ca="1" si="531"/>
        <v/>
      </c>
      <c r="L163" s="1888"/>
      <c r="M163" s="296" t="str">
        <f t="shared" si="532"/>
        <v/>
      </c>
      <c r="N163" s="1322"/>
      <c r="O163" s="1319"/>
      <c r="P163" s="957" t="str">
        <f t="shared" si="533"/>
        <v/>
      </c>
      <c r="Q163" s="164">
        <f t="shared" ca="1" si="534"/>
        <v>0</v>
      </c>
      <c r="R163" s="164">
        <f t="shared" ca="1" si="535"/>
        <v>0</v>
      </c>
      <c r="S163" s="164">
        <f t="shared" ca="1" si="536"/>
        <v>0</v>
      </c>
      <c r="T163" s="164">
        <f t="shared" ca="1" si="537"/>
        <v>0</v>
      </c>
      <c r="U163" s="164">
        <f t="shared" ca="1" si="538"/>
        <v>0</v>
      </c>
      <c r="V163" s="164">
        <f t="shared" ca="1" si="539"/>
        <v>0</v>
      </c>
      <c r="W163" s="164">
        <f t="shared" ca="1" si="540"/>
        <v>0</v>
      </c>
      <c r="X163" s="164">
        <f t="shared" ca="1" si="541"/>
        <v>0</v>
      </c>
      <c r="Y163" s="164">
        <f t="shared" ca="1" si="542"/>
        <v>0</v>
      </c>
      <c r="Z163" s="164">
        <f t="shared" ca="1" si="543"/>
        <v>0</v>
      </c>
      <c r="AA163" s="164">
        <f t="shared" ca="1" si="544"/>
        <v>0</v>
      </c>
      <c r="AB163" s="164">
        <f t="shared" ca="1" si="545"/>
        <v>0</v>
      </c>
      <c r="AC163" s="164">
        <f t="shared" ca="1" si="546"/>
        <v>0</v>
      </c>
      <c r="AD163" s="164">
        <f t="shared" ca="1" si="547"/>
        <v>0</v>
      </c>
      <c r="AE163" s="164">
        <f t="shared" ca="1" si="548"/>
        <v>0</v>
      </c>
      <c r="AF163" s="164">
        <f t="shared" ca="1" si="549"/>
        <v>0</v>
      </c>
      <c r="AG163" s="164">
        <f t="shared" ca="1" si="550"/>
        <v>0</v>
      </c>
      <c r="AH163" s="164">
        <f t="shared" ca="1" si="551"/>
        <v>0</v>
      </c>
      <c r="AI163" s="164">
        <f t="shared" ca="1" si="552"/>
        <v>0</v>
      </c>
      <c r="AJ163" s="164">
        <f t="shared" ca="1" si="553"/>
        <v>0</v>
      </c>
      <c r="AK163" s="164">
        <f t="shared" ca="1" si="554"/>
        <v>0</v>
      </c>
      <c r="AL163" s="164">
        <f t="shared" ca="1" si="555"/>
        <v>0</v>
      </c>
      <c r="AM163" s="208"/>
      <c r="AN163" s="164">
        <f t="shared" si="556"/>
        <v>0</v>
      </c>
      <c r="AO163" s="164">
        <f t="shared" si="557"/>
        <v>0</v>
      </c>
      <c r="AP163" s="164">
        <f t="shared" si="558"/>
        <v>0</v>
      </c>
      <c r="AQ163" s="164">
        <f t="shared" si="559"/>
        <v>0</v>
      </c>
      <c r="AR163" s="164">
        <f t="shared" si="560"/>
        <v>0</v>
      </c>
      <c r="AS163" s="164">
        <f t="shared" si="561"/>
        <v>0</v>
      </c>
      <c r="AT163" s="164">
        <f t="shared" si="562"/>
        <v>0</v>
      </c>
      <c r="AU163" s="164">
        <f t="shared" si="563"/>
        <v>0</v>
      </c>
      <c r="AV163" s="164">
        <f t="shared" si="564"/>
        <v>0</v>
      </c>
      <c r="AW163" s="164">
        <f t="shared" si="565"/>
        <v>0</v>
      </c>
      <c r="AX163" s="164">
        <f t="shared" si="566"/>
        <v>0</v>
      </c>
      <c r="AY163" s="164">
        <f t="shared" si="567"/>
        <v>0</v>
      </c>
      <c r="AZ163" s="164">
        <f t="shared" si="568"/>
        <v>0</v>
      </c>
      <c r="BA163" s="164">
        <f t="shared" si="569"/>
        <v>0</v>
      </c>
      <c r="BB163" s="164">
        <f t="shared" si="570"/>
        <v>0</v>
      </c>
      <c r="BC163" s="164">
        <f t="shared" si="571"/>
        <v>0</v>
      </c>
      <c r="BD163" s="164">
        <f t="shared" si="572"/>
        <v>0</v>
      </c>
      <c r="BE163" s="164">
        <f t="shared" si="573"/>
        <v>0</v>
      </c>
      <c r="BF163" s="164">
        <f t="shared" si="574"/>
        <v>0</v>
      </c>
      <c r="BG163" s="164">
        <f t="shared" si="575"/>
        <v>0</v>
      </c>
      <c r="BH163" s="164">
        <f t="shared" si="576"/>
        <v>0</v>
      </c>
      <c r="BI163" s="164">
        <f t="shared" si="577"/>
        <v>0</v>
      </c>
      <c r="BJ163" s="164">
        <f t="shared" si="578"/>
        <v>0</v>
      </c>
      <c r="BK163" s="164">
        <f t="shared" si="579"/>
        <v>0</v>
      </c>
      <c r="BL163" s="164">
        <f t="shared" si="580"/>
        <v>0</v>
      </c>
      <c r="BM163" s="164">
        <f t="shared" si="581"/>
        <v>0</v>
      </c>
      <c r="BN163" s="164">
        <f t="shared" si="582"/>
        <v>0</v>
      </c>
      <c r="BO163" s="356" t="str">
        <f t="shared" si="583"/>
        <v/>
      </c>
      <c r="BP163" s="355" t="str">
        <f t="shared" si="584"/>
        <v/>
      </c>
      <c r="BQ163" s="355" t="str">
        <f t="shared" si="585"/>
        <v/>
      </c>
      <c r="BR163" s="348">
        <f t="shared" ca="1" si="516"/>
        <v>0</v>
      </c>
      <c r="BS163" s="348">
        <f t="shared" ca="1" si="517"/>
        <v>0</v>
      </c>
      <c r="BT163" s="610">
        <f t="shared" ca="1" si="586"/>
        <v>0</v>
      </c>
      <c r="BU163" s="357">
        <f t="shared" ca="1" si="587"/>
        <v>0</v>
      </c>
      <c r="BV163" s="357">
        <f t="shared" si="588"/>
        <v>0</v>
      </c>
      <c r="BW163" s="357">
        <f t="shared" si="589"/>
        <v>0</v>
      </c>
      <c r="BX163" s="357">
        <f t="shared" ca="1" si="590"/>
        <v>0</v>
      </c>
      <c r="BY163" s="357">
        <f t="shared" ca="1" si="522"/>
        <v>0</v>
      </c>
      <c r="BZ163" s="357"/>
      <c r="CA163" s="357">
        <f t="shared" ca="1" si="518"/>
        <v>0</v>
      </c>
      <c r="CB163" s="357" t="str">
        <f t="shared" si="591"/>
        <v/>
      </c>
      <c r="CC163" s="358" t="str">
        <f t="shared" ca="1" si="523"/>
        <v/>
      </c>
      <c r="CD163" s="358" t="str">
        <f t="shared" ca="1" si="524"/>
        <v/>
      </c>
      <c r="CE163" s="357"/>
      <c r="CF163" s="154" t="str">
        <f>IF(OR(NOT(EXACT($A163,"")),NOT(EXACT($F163,"")),NOT(EXACT($J163,""))),CONCATENATE(CF162,A163,","),CF162)</f>
        <v/>
      </c>
      <c r="CG163" s="154">
        <f t="shared" ca="1" si="525"/>
        <v>0</v>
      </c>
      <c r="CH163" s="154"/>
      <c r="CI163" s="154"/>
      <c r="CJ163" s="154"/>
      <c r="CK163" s="154"/>
      <c r="CL163" s="154"/>
      <c r="CM163" s="154"/>
      <c r="CN163" t="s">
        <v>784</v>
      </c>
      <c r="CO163" s="169"/>
      <c r="CP163" s="169"/>
      <c r="CQ163" s="169"/>
      <c r="CR163" s="169"/>
      <c r="CS163" s="169"/>
      <c r="CT163" s="169"/>
      <c r="CU163" s="169"/>
      <c r="CV163" s="164" t="str">
        <f t="shared" si="592"/>
        <v/>
      </c>
      <c r="CW163" s="164" t="str">
        <f t="shared" si="592"/>
        <v/>
      </c>
      <c r="CX163" s="164" t="str">
        <f t="shared" si="592"/>
        <v/>
      </c>
      <c r="CY163" s="164" t="str">
        <f t="shared" si="592"/>
        <v/>
      </c>
      <c r="CZ163" s="164" t="str">
        <f t="shared" si="592"/>
        <v/>
      </c>
      <c r="DA163" s="164" t="str">
        <f t="shared" si="592"/>
        <v/>
      </c>
      <c r="DB163" s="164" t="str">
        <f t="shared" si="592"/>
        <v/>
      </c>
      <c r="DC163" s="164" t="str">
        <f t="shared" si="592"/>
        <v/>
      </c>
      <c r="DD163" s="164" t="str">
        <f t="shared" si="592"/>
        <v/>
      </c>
      <c r="DE163" s="164" t="str">
        <f t="shared" si="592"/>
        <v/>
      </c>
      <c r="DF163" s="164" t="str">
        <f t="shared" si="593"/>
        <v/>
      </c>
      <c r="DG163" s="164" t="str">
        <f t="shared" si="593"/>
        <v/>
      </c>
      <c r="DH163" s="164" t="str">
        <f t="shared" si="593"/>
        <v/>
      </c>
      <c r="DI163" s="164" t="str">
        <f t="shared" si="593"/>
        <v/>
      </c>
      <c r="DJ163" s="164" t="str">
        <f t="shared" si="593"/>
        <v/>
      </c>
      <c r="DK163" s="164" t="str">
        <f t="shared" si="593"/>
        <v/>
      </c>
      <c r="DL163" s="164" t="str">
        <f t="shared" si="593"/>
        <v/>
      </c>
      <c r="DM163" s="164" t="str">
        <f t="shared" si="593"/>
        <v/>
      </c>
      <c r="DN163" s="164" t="str">
        <f t="shared" si="593"/>
        <v/>
      </c>
      <c r="DO163" s="164" t="str">
        <f t="shared" si="593"/>
        <v/>
      </c>
      <c r="DP163" s="164" t="str">
        <f t="shared" si="593"/>
        <v/>
      </c>
      <c r="DQ163" s="164" t="str">
        <f t="shared" si="593"/>
        <v/>
      </c>
      <c r="DR163" s="208"/>
      <c r="DS163" s="164" t="str">
        <f t="shared" si="594"/>
        <v/>
      </c>
      <c r="DT163" s="164" t="str">
        <f t="shared" si="595"/>
        <v/>
      </c>
      <c r="DU163" s="164" t="str">
        <f t="shared" si="596"/>
        <v/>
      </c>
      <c r="DV163" s="164" t="str">
        <f t="shared" si="597"/>
        <v/>
      </c>
      <c r="DW163" s="164" t="str">
        <f t="shared" si="598"/>
        <v/>
      </c>
      <c r="DX163" s="164" t="str">
        <f t="shared" si="599"/>
        <v/>
      </c>
      <c r="DY163" s="164" t="str">
        <f t="shared" si="600"/>
        <v/>
      </c>
      <c r="DZ163" s="164" t="str">
        <f t="shared" si="601"/>
        <v/>
      </c>
      <c r="EA163" s="164" t="str">
        <f t="shared" si="602"/>
        <v/>
      </c>
      <c r="EB163" s="164" t="str">
        <f t="shared" si="603"/>
        <v/>
      </c>
      <c r="EC163" s="164" t="str">
        <f t="shared" si="604"/>
        <v/>
      </c>
      <c r="ED163" s="164" t="str">
        <f t="shared" si="605"/>
        <v/>
      </c>
      <c r="EE163" s="164" t="str">
        <f t="shared" si="606"/>
        <v/>
      </c>
      <c r="EF163" s="164" t="str">
        <f t="shared" si="607"/>
        <v/>
      </c>
      <c r="EG163" s="164" t="str">
        <f t="shared" si="608"/>
        <v/>
      </c>
      <c r="EH163" s="164" t="str">
        <f t="shared" si="609"/>
        <v/>
      </c>
      <c r="EI163" s="164" t="str">
        <f t="shared" si="610"/>
        <v/>
      </c>
      <c r="EJ163" s="164" t="str">
        <f t="shared" si="611"/>
        <v/>
      </c>
      <c r="EK163" s="164" t="str">
        <f t="shared" si="612"/>
        <v/>
      </c>
      <c r="EL163" s="164" t="str">
        <f t="shared" si="613"/>
        <v/>
      </c>
      <c r="EM163" s="164" t="str">
        <f t="shared" si="614"/>
        <v/>
      </c>
      <c r="EN163" s="164" t="str">
        <f t="shared" si="615"/>
        <v/>
      </c>
      <c r="EO163" s="164" t="str">
        <f t="shared" si="616"/>
        <v/>
      </c>
      <c r="EP163" s="164" t="str">
        <f t="shared" si="617"/>
        <v/>
      </c>
      <c r="EQ163" s="164" t="str">
        <f t="shared" si="618"/>
        <v/>
      </c>
      <c r="ER163" s="164" t="str">
        <f t="shared" si="619"/>
        <v/>
      </c>
      <c r="ES163" s="164" t="str">
        <f t="shared" si="620"/>
        <v/>
      </c>
    </row>
    <row r="164" spans="1:149" x14ac:dyDescent="0.2">
      <c r="A164" s="89"/>
      <c r="B164" s="317"/>
      <c r="C164" s="609" t="str">
        <f t="shared" ca="1" si="528"/>
        <v/>
      </c>
      <c r="D164" s="1956" t="str">
        <f t="shared" ca="1" si="529"/>
        <v/>
      </c>
      <c r="E164" s="1956"/>
      <c r="F164" s="960"/>
      <c r="G164" s="485" t="str">
        <f t="shared" si="530"/>
        <v/>
      </c>
      <c r="H164" s="983"/>
      <c r="I164" s="486"/>
      <c r="J164" s="326"/>
      <c r="K164" s="1886" t="str">
        <f t="shared" ca="1" si="531"/>
        <v/>
      </c>
      <c r="L164" s="1888"/>
      <c r="M164" s="296" t="str">
        <f t="shared" si="532"/>
        <v/>
      </c>
      <c r="N164" s="1322"/>
      <c r="O164" s="1319"/>
      <c r="P164" s="957" t="str">
        <f t="shared" si="533"/>
        <v/>
      </c>
      <c r="Q164" s="164">
        <f t="shared" ca="1" si="534"/>
        <v>0</v>
      </c>
      <c r="R164" s="164">
        <f t="shared" ca="1" si="535"/>
        <v>0</v>
      </c>
      <c r="S164" s="164">
        <f t="shared" ca="1" si="536"/>
        <v>0</v>
      </c>
      <c r="T164" s="164">
        <f t="shared" ca="1" si="537"/>
        <v>0</v>
      </c>
      <c r="U164" s="164">
        <f t="shared" ca="1" si="538"/>
        <v>0</v>
      </c>
      <c r="V164" s="164">
        <f t="shared" ca="1" si="539"/>
        <v>0</v>
      </c>
      <c r="W164" s="164">
        <f t="shared" ca="1" si="540"/>
        <v>0</v>
      </c>
      <c r="X164" s="164">
        <f t="shared" ca="1" si="541"/>
        <v>0</v>
      </c>
      <c r="Y164" s="164">
        <f t="shared" ca="1" si="542"/>
        <v>0</v>
      </c>
      <c r="Z164" s="164">
        <f t="shared" ca="1" si="543"/>
        <v>0</v>
      </c>
      <c r="AA164" s="164">
        <f t="shared" ca="1" si="544"/>
        <v>0</v>
      </c>
      <c r="AB164" s="164">
        <f t="shared" ca="1" si="545"/>
        <v>0</v>
      </c>
      <c r="AC164" s="164">
        <f t="shared" ca="1" si="546"/>
        <v>0</v>
      </c>
      <c r="AD164" s="164">
        <f t="shared" ca="1" si="547"/>
        <v>0</v>
      </c>
      <c r="AE164" s="164">
        <f t="shared" ca="1" si="548"/>
        <v>0</v>
      </c>
      <c r="AF164" s="164">
        <f t="shared" ca="1" si="549"/>
        <v>0</v>
      </c>
      <c r="AG164" s="164">
        <f t="shared" ca="1" si="550"/>
        <v>0</v>
      </c>
      <c r="AH164" s="164">
        <f t="shared" ca="1" si="551"/>
        <v>0</v>
      </c>
      <c r="AI164" s="164">
        <f t="shared" ca="1" si="552"/>
        <v>0</v>
      </c>
      <c r="AJ164" s="164">
        <f t="shared" ca="1" si="553"/>
        <v>0</v>
      </c>
      <c r="AK164" s="164">
        <f t="shared" ca="1" si="554"/>
        <v>0</v>
      </c>
      <c r="AL164" s="164">
        <f t="shared" ca="1" si="555"/>
        <v>0</v>
      </c>
      <c r="AM164" s="208"/>
      <c r="AN164" s="164">
        <f t="shared" si="556"/>
        <v>0</v>
      </c>
      <c r="AO164" s="164">
        <f t="shared" si="557"/>
        <v>0</v>
      </c>
      <c r="AP164" s="164">
        <f t="shared" si="558"/>
        <v>0</v>
      </c>
      <c r="AQ164" s="164">
        <f t="shared" si="559"/>
        <v>0</v>
      </c>
      <c r="AR164" s="164">
        <f t="shared" si="560"/>
        <v>0</v>
      </c>
      <c r="AS164" s="164">
        <f t="shared" si="561"/>
        <v>0</v>
      </c>
      <c r="AT164" s="164">
        <f t="shared" si="562"/>
        <v>0</v>
      </c>
      <c r="AU164" s="164">
        <f t="shared" si="563"/>
        <v>0</v>
      </c>
      <c r="AV164" s="164">
        <f t="shared" si="564"/>
        <v>0</v>
      </c>
      <c r="AW164" s="164">
        <f t="shared" si="565"/>
        <v>0</v>
      </c>
      <c r="AX164" s="164">
        <f t="shared" si="566"/>
        <v>0</v>
      </c>
      <c r="AY164" s="164">
        <f t="shared" si="567"/>
        <v>0</v>
      </c>
      <c r="AZ164" s="164">
        <f t="shared" si="568"/>
        <v>0</v>
      </c>
      <c r="BA164" s="164">
        <f t="shared" si="569"/>
        <v>0</v>
      </c>
      <c r="BB164" s="164">
        <f t="shared" si="570"/>
        <v>0</v>
      </c>
      <c r="BC164" s="164">
        <f t="shared" si="571"/>
        <v>0</v>
      </c>
      <c r="BD164" s="164">
        <f t="shared" si="572"/>
        <v>0</v>
      </c>
      <c r="BE164" s="164">
        <f t="shared" si="573"/>
        <v>0</v>
      </c>
      <c r="BF164" s="164">
        <f t="shared" si="574"/>
        <v>0</v>
      </c>
      <c r="BG164" s="164">
        <f t="shared" si="575"/>
        <v>0</v>
      </c>
      <c r="BH164" s="164">
        <f t="shared" si="576"/>
        <v>0</v>
      </c>
      <c r="BI164" s="164">
        <f t="shared" si="577"/>
        <v>0</v>
      </c>
      <c r="BJ164" s="164">
        <f t="shared" si="578"/>
        <v>0</v>
      </c>
      <c r="BK164" s="164">
        <f t="shared" si="579"/>
        <v>0</v>
      </c>
      <c r="BL164" s="164">
        <f t="shared" si="580"/>
        <v>0</v>
      </c>
      <c r="BM164" s="164">
        <f t="shared" si="581"/>
        <v>0</v>
      </c>
      <c r="BN164" s="164">
        <f t="shared" si="582"/>
        <v>0</v>
      </c>
      <c r="BO164" s="356" t="str">
        <f t="shared" si="583"/>
        <v/>
      </c>
      <c r="BP164" s="355" t="str">
        <f t="shared" si="584"/>
        <v/>
      </c>
      <c r="BQ164" s="355" t="str">
        <f t="shared" si="585"/>
        <v/>
      </c>
      <c r="BR164" s="348">
        <f t="shared" ca="1" si="516"/>
        <v>0</v>
      </c>
      <c r="BS164" s="348">
        <f t="shared" ca="1" si="517"/>
        <v>0</v>
      </c>
      <c r="BT164" s="610">
        <f t="shared" ca="1" si="586"/>
        <v>0</v>
      </c>
      <c r="BU164" s="357">
        <f t="shared" ca="1" si="587"/>
        <v>0</v>
      </c>
      <c r="BV164" s="357">
        <f t="shared" si="588"/>
        <v>0</v>
      </c>
      <c r="BW164" s="357">
        <f t="shared" si="589"/>
        <v>0</v>
      </c>
      <c r="BX164" s="357">
        <f t="shared" ca="1" si="590"/>
        <v>0</v>
      </c>
      <c r="BY164" s="357">
        <f t="shared" ca="1" si="522"/>
        <v>0</v>
      </c>
      <c r="BZ164" s="357"/>
      <c r="CA164" s="357">
        <f t="shared" ca="1" si="518"/>
        <v>0</v>
      </c>
      <c r="CB164" s="357" t="str">
        <f t="shared" si="591"/>
        <v/>
      </c>
      <c r="CC164" s="358" t="str">
        <f t="shared" ca="1" si="523"/>
        <v/>
      </c>
      <c r="CD164" s="358" t="str">
        <f t="shared" ca="1" si="524"/>
        <v/>
      </c>
      <c r="CE164" s="357"/>
      <c r="CF164" s="154" t="str">
        <f t="shared" ref="CF164:CF172" si="621">IF(OR(NOT(EXACT($A164,"")),NOT(EXACT($F164,"")),NOT(EXACT($J164,""))),CONCATENATE(CF163,A164,","),CF163)</f>
        <v/>
      </c>
      <c r="CG164" s="154">
        <f t="shared" ca="1" si="525"/>
        <v>0</v>
      </c>
      <c r="CH164" s="154"/>
      <c r="CI164" s="154"/>
      <c r="CJ164" s="154"/>
      <c r="CK164" s="154"/>
      <c r="CL164" s="154"/>
      <c r="CM164" s="154"/>
      <c r="CN164" t="s">
        <v>784</v>
      </c>
      <c r="CO164" s="169"/>
      <c r="CP164" s="169"/>
      <c r="CQ164" s="169"/>
      <c r="CR164" s="169"/>
      <c r="CS164" s="169"/>
      <c r="CT164" s="169"/>
      <c r="CU164" s="169"/>
      <c r="CV164" s="164" t="str">
        <f t="shared" si="592"/>
        <v/>
      </c>
      <c r="CW164" s="164" t="str">
        <f t="shared" si="592"/>
        <v/>
      </c>
      <c r="CX164" s="164" t="str">
        <f t="shared" si="592"/>
        <v/>
      </c>
      <c r="CY164" s="164" t="str">
        <f t="shared" si="592"/>
        <v/>
      </c>
      <c r="CZ164" s="164" t="str">
        <f t="shared" si="592"/>
        <v/>
      </c>
      <c r="DA164" s="164" t="str">
        <f t="shared" si="592"/>
        <v/>
      </c>
      <c r="DB164" s="164" t="str">
        <f t="shared" si="592"/>
        <v/>
      </c>
      <c r="DC164" s="164" t="str">
        <f t="shared" si="592"/>
        <v/>
      </c>
      <c r="DD164" s="164" t="str">
        <f t="shared" si="592"/>
        <v/>
      </c>
      <c r="DE164" s="164" t="str">
        <f t="shared" si="592"/>
        <v/>
      </c>
      <c r="DF164" s="164" t="str">
        <f t="shared" si="593"/>
        <v/>
      </c>
      <c r="DG164" s="164" t="str">
        <f t="shared" si="593"/>
        <v/>
      </c>
      <c r="DH164" s="164" t="str">
        <f t="shared" si="593"/>
        <v/>
      </c>
      <c r="DI164" s="164" t="str">
        <f t="shared" si="593"/>
        <v/>
      </c>
      <c r="DJ164" s="164" t="str">
        <f t="shared" si="593"/>
        <v/>
      </c>
      <c r="DK164" s="164" t="str">
        <f t="shared" si="593"/>
        <v/>
      </c>
      <c r="DL164" s="164" t="str">
        <f t="shared" si="593"/>
        <v/>
      </c>
      <c r="DM164" s="164" t="str">
        <f t="shared" si="593"/>
        <v/>
      </c>
      <c r="DN164" s="164" t="str">
        <f t="shared" si="593"/>
        <v/>
      </c>
      <c r="DO164" s="164" t="str">
        <f t="shared" si="593"/>
        <v/>
      </c>
      <c r="DP164" s="164" t="str">
        <f t="shared" si="593"/>
        <v/>
      </c>
      <c r="DQ164" s="164" t="str">
        <f t="shared" si="593"/>
        <v/>
      </c>
      <c r="DR164" s="208"/>
      <c r="DS164" s="164" t="str">
        <f t="shared" si="594"/>
        <v/>
      </c>
      <c r="DT164" s="164" t="str">
        <f t="shared" si="595"/>
        <v/>
      </c>
      <c r="DU164" s="164" t="str">
        <f t="shared" si="596"/>
        <v/>
      </c>
      <c r="DV164" s="164" t="str">
        <f t="shared" si="597"/>
        <v/>
      </c>
      <c r="DW164" s="164" t="str">
        <f t="shared" si="598"/>
        <v/>
      </c>
      <c r="DX164" s="164" t="str">
        <f t="shared" si="599"/>
        <v/>
      </c>
      <c r="DY164" s="164" t="str">
        <f t="shared" si="600"/>
        <v/>
      </c>
      <c r="DZ164" s="164" t="str">
        <f t="shared" si="601"/>
        <v/>
      </c>
      <c r="EA164" s="164" t="str">
        <f t="shared" si="602"/>
        <v/>
      </c>
      <c r="EB164" s="164" t="str">
        <f t="shared" si="603"/>
        <v/>
      </c>
      <c r="EC164" s="164" t="str">
        <f t="shared" si="604"/>
        <v/>
      </c>
      <c r="ED164" s="164" t="str">
        <f t="shared" si="605"/>
        <v/>
      </c>
      <c r="EE164" s="164" t="str">
        <f t="shared" si="606"/>
        <v/>
      </c>
      <c r="EF164" s="164" t="str">
        <f t="shared" si="607"/>
        <v/>
      </c>
      <c r="EG164" s="164" t="str">
        <f t="shared" si="608"/>
        <v/>
      </c>
      <c r="EH164" s="164" t="str">
        <f t="shared" si="609"/>
        <v/>
      </c>
      <c r="EI164" s="164" t="str">
        <f t="shared" si="610"/>
        <v/>
      </c>
      <c r="EJ164" s="164" t="str">
        <f t="shared" si="611"/>
        <v/>
      </c>
      <c r="EK164" s="164" t="str">
        <f t="shared" si="612"/>
        <v/>
      </c>
      <c r="EL164" s="164" t="str">
        <f t="shared" si="613"/>
        <v/>
      </c>
      <c r="EM164" s="164" t="str">
        <f t="shared" si="614"/>
        <v/>
      </c>
      <c r="EN164" s="164" t="str">
        <f t="shared" si="615"/>
        <v/>
      </c>
      <c r="EO164" s="164" t="str">
        <f t="shared" si="616"/>
        <v/>
      </c>
      <c r="EP164" s="164" t="str">
        <f t="shared" si="617"/>
        <v/>
      </c>
      <c r="EQ164" s="164" t="str">
        <f t="shared" si="618"/>
        <v/>
      </c>
      <c r="ER164" s="164" t="str">
        <f t="shared" si="619"/>
        <v/>
      </c>
      <c r="ES164" s="164" t="str">
        <f t="shared" si="620"/>
        <v/>
      </c>
    </row>
    <row r="165" spans="1:149" x14ac:dyDescent="0.2">
      <c r="A165" s="89"/>
      <c r="B165" s="317"/>
      <c r="C165" s="609" t="str">
        <f t="shared" ca="1" si="528"/>
        <v/>
      </c>
      <c r="D165" s="1956" t="str">
        <f t="shared" ca="1" si="529"/>
        <v/>
      </c>
      <c r="E165" s="1956"/>
      <c r="F165" s="960"/>
      <c r="G165" s="485" t="str">
        <f t="shared" si="530"/>
        <v/>
      </c>
      <c r="H165" s="983"/>
      <c r="I165" s="486"/>
      <c r="J165" s="326"/>
      <c r="K165" s="1886" t="str">
        <f t="shared" ca="1" si="531"/>
        <v/>
      </c>
      <c r="L165" s="1888"/>
      <c r="M165" s="296" t="str">
        <f t="shared" si="532"/>
        <v/>
      </c>
      <c r="N165" s="1322"/>
      <c r="O165" s="1319"/>
      <c r="P165" s="957" t="str">
        <f t="shared" si="533"/>
        <v/>
      </c>
      <c r="Q165" s="164">
        <f t="shared" ca="1" si="534"/>
        <v>0</v>
      </c>
      <c r="R165" s="164">
        <f t="shared" ca="1" si="535"/>
        <v>0</v>
      </c>
      <c r="S165" s="164">
        <f t="shared" ca="1" si="536"/>
        <v>0</v>
      </c>
      <c r="T165" s="164">
        <f t="shared" ca="1" si="537"/>
        <v>0</v>
      </c>
      <c r="U165" s="164">
        <f t="shared" ca="1" si="538"/>
        <v>0</v>
      </c>
      <c r="V165" s="164">
        <f t="shared" ca="1" si="539"/>
        <v>0</v>
      </c>
      <c r="W165" s="164">
        <f t="shared" ca="1" si="540"/>
        <v>0</v>
      </c>
      <c r="X165" s="164">
        <f t="shared" ca="1" si="541"/>
        <v>0</v>
      </c>
      <c r="Y165" s="164">
        <f t="shared" ca="1" si="542"/>
        <v>0</v>
      </c>
      <c r="Z165" s="164">
        <f t="shared" ca="1" si="543"/>
        <v>0</v>
      </c>
      <c r="AA165" s="164">
        <f t="shared" ca="1" si="544"/>
        <v>0</v>
      </c>
      <c r="AB165" s="164">
        <f t="shared" ca="1" si="545"/>
        <v>0</v>
      </c>
      <c r="AC165" s="164">
        <f t="shared" ca="1" si="546"/>
        <v>0</v>
      </c>
      <c r="AD165" s="164">
        <f t="shared" ca="1" si="547"/>
        <v>0</v>
      </c>
      <c r="AE165" s="164">
        <f t="shared" ca="1" si="548"/>
        <v>0</v>
      </c>
      <c r="AF165" s="164">
        <f t="shared" ca="1" si="549"/>
        <v>0</v>
      </c>
      <c r="AG165" s="164">
        <f t="shared" ca="1" si="550"/>
        <v>0</v>
      </c>
      <c r="AH165" s="164">
        <f t="shared" ca="1" si="551"/>
        <v>0</v>
      </c>
      <c r="AI165" s="164">
        <f t="shared" ca="1" si="552"/>
        <v>0</v>
      </c>
      <c r="AJ165" s="164">
        <f t="shared" ca="1" si="553"/>
        <v>0</v>
      </c>
      <c r="AK165" s="164">
        <f t="shared" ca="1" si="554"/>
        <v>0</v>
      </c>
      <c r="AL165" s="164">
        <f t="shared" ca="1" si="555"/>
        <v>0</v>
      </c>
      <c r="AM165" s="208"/>
      <c r="AN165" s="164">
        <f t="shared" si="556"/>
        <v>0</v>
      </c>
      <c r="AO165" s="164">
        <f t="shared" si="557"/>
        <v>0</v>
      </c>
      <c r="AP165" s="164">
        <f t="shared" si="558"/>
        <v>0</v>
      </c>
      <c r="AQ165" s="164">
        <f t="shared" si="559"/>
        <v>0</v>
      </c>
      <c r="AR165" s="164">
        <f t="shared" si="560"/>
        <v>0</v>
      </c>
      <c r="AS165" s="164">
        <f t="shared" si="561"/>
        <v>0</v>
      </c>
      <c r="AT165" s="164">
        <f t="shared" si="562"/>
        <v>0</v>
      </c>
      <c r="AU165" s="164">
        <f t="shared" si="563"/>
        <v>0</v>
      </c>
      <c r="AV165" s="164">
        <f t="shared" si="564"/>
        <v>0</v>
      </c>
      <c r="AW165" s="164">
        <f t="shared" si="565"/>
        <v>0</v>
      </c>
      <c r="AX165" s="164">
        <f t="shared" si="566"/>
        <v>0</v>
      </c>
      <c r="AY165" s="164">
        <f t="shared" si="567"/>
        <v>0</v>
      </c>
      <c r="AZ165" s="164">
        <f t="shared" si="568"/>
        <v>0</v>
      </c>
      <c r="BA165" s="164">
        <f t="shared" si="569"/>
        <v>0</v>
      </c>
      <c r="BB165" s="164">
        <f t="shared" si="570"/>
        <v>0</v>
      </c>
      <c r="BC165" s="164">
        <f t="shared" si="571"/>
        <v>0</v>
      </c>
      <c r="BD165" s="164">
        <f t="shared" si="572"/>
        <v>0</v>
      </c>
      <c r="BE165" s="164">
        <f t="shared" si="573"/>
        <v>0</v>
      </c>
      <c r="BF165" s="164">
        <f t="shared" si="574"/>
        <v>0</v>
      </c>
      <c r="BG165" s="164">
        <f t="shared" si="575"/>
        <v>0</v>
      </c>
      <c r="BH165" s="164">
        <f t="shared" si="576"/>
        <v>0</v>
      </c>
      <c r="BI165" s="164">
        <f t="shared" si="577"/>
        <v>0</v>
      </c>
      <c r="BJ165" s="164">
        <f t="shared" si="578"/>
        <v>0</v>
      </c>
      <c r="BK165" s="164">
        <f t="shared" si="579"/>
        <v>0</v>
      </c>
      <c r="BL165" s="164">
        <f t="shared" si="580"/>
        <v>0</v>
      </c>
      <c r="BM165" s="164">
        <f t="shared" si="581"/>
        <v>0</v>
      </c>
      <c r="BN165" s="164">
        <f t="shared" si="582"/>
        <v>0</v>
      </c>
      <c r="BO165" s="356" t="str">
        <f t="shared" si="583"/>
        <v/>
      </c>
      <c r="BP165" s="355" t="str">
        <f t="shared" si="584"/>
        <v/>
      </c>
      <c r="BQ165" s="355" t="str">
        <f t="shared" si="585"/>
        <v/>
      </c>
      <c r="BR165" s="348">
        <f t="shared" ca="1" si="516"/>
        <v>0</v>
      </c>
      <c r="BS165" s="348">
        <f t="shared" ca="1" si="517"/>
        <v>0</v>
      </c>
      <c r="BT165" s="610">
        <f t="shared" ca="1" si="586"/>
        <v>0</v>
      </c>
      <c r="BU165" s="357">
        <f t="shared" ca="1" si="587"/>
        <v>0</v>
      </c>
      <c r="BV165" s="357">
        <f t="shared" si="588"/>
        <v>0</v>
      </c>
      <c r="BW165" s="357">
        <f t="shared" si="589"/>
        <v>0</v>
      </c>
      <c r="BX165" s="357">
        <f t="shared" ca="1" si="590"/>
        <v>0</v>
      </c>
      <c r="BY165" s="357">
        <f t="shared" ca="1" si="522"/>
        <v>0</v>
      </c>
      <c r="BZ165" s="357"/>
      <c r="CA165" s="357">
        <f t="shared" ca="1" si="518"/>
        <v>0</v>
      </c>
      <c r="CB165" s="357" t="str">
        <f t="shared" si="591"/>
        <v/>
      </c>
      <c r="CC165" s="358" t="str">
        <f t="shared" ca="1" si="523"/>
        <v/>
      </c>
      <c r="CD165" s="358" t="str">
        <f t="shared" ca="1" si="524"/>
        <v/>
      </c>
      <c r="CE165" s="357"/>
      <c r="CF165" s="154" t="str">
        <f t="shared" si="621"/>
        <v/>
      </c>
      <c r="CG165" s="154">
        <f t="shared" ca="1" si="525"/>
        <v>0</v>
      </c>
      <c r="CH165" s="154"/>
      <c r="CI165" s="154"/>
      <c r="CJ165" s="154"/>
      <c r="CK165" s="154"/>
      <c r="CL165" s="154"/>
      <c r="CM165" s="154"/>
      <c r="CN165" t="s">
        <v>784</v>
      </c>
      <c r="CO165" s="169"/>
      <c r="CP165" s="169"/>
      <c r="CQ165" s="169"/>
      <c r="CR165" s="169"/>
      <c r="CS165" s="169"/>
      <c r="CT165" s="169"/>
      <c r="CU165" s="169"/>
      <c r="CV165" s="164" t="str">
        <f t="shared" si="592"/>
        <v/>
      </c>
      <c r="CW165" s="164" t="str">
        <f t="shared" si="592"/>
        <v/>
      </c>
      <c r="CX165" s="164" t="str">
        <f t="shared" si="592"/>
        <v/>
      </c>
      <c r="CY165" s="164" t="str">
        <f t="shared" si="592"/>
        <v/>
      </c>
      <c r="CZ165" s="164" t="str">
        <f t="shared" si="592"/>
        <v/>
      </c>
      <c r="DA165" s="164" t="str">
        <f t="shared" si="592"/>
        <v/>
      </c>
      <c r="DB165" s="164" t="str">
        <f t="shared" si="592"/>
        <v/>
      </c>
      <c r="DC165" s="164" t="str">
        <f t="shared" si="592"/>
        <v/>
      </c>
      <c r="DD165" s="164" t="str">
        <f t="shared" si="592"/>
        <v/>
      </c>
      <c r="DE165" s="164" t="str">
        <f t="shared" si="592"/>
        <v/>
      </c>
      <c r="DF165" s="164" t="str">
        <f t="shared" si="593"/>
        <v/>
      </c>
      <c r="DG165" s="164" t="str">
        <f t="shared" si="593"/>
        <v/>
      </c>
      <c r="DH165" s="164" t="str">
        <f t="shared" si="593"/>
        <v/>
      </c>
      <c r="DI165" s="164" t="str">
        <f t="shared" si="593"/>
        <v/>
      </c>
      <c r="DJ165" s="164" t="str">
        <f t="shared" si="593"/>
        <v/>
      </c>
      <c r="DK165" s="164" t="str">
        <f t="shared" si="593"/>
        <v/>
      </c>
      <c r="DL165" s="164" t="str">
        <f t="shared" si="593"/>
        <v/>
      </c>
      <c r="DM165" s="164" t="str">
        <f t="shared" si="593"/>
        <v/>
      </c>
      <c r="DN165" s="164" t="str">
        <f t="shared" si="593"/>
        <v/>
      </c>
      <c r="DO165" s="164" t="str">
        <f t="shared" si="593"/>
        <v/>
      </c>
      <c r="DP165" s="164" t="str">
        <f t="shared" si="593"/>
        <v/>
      </c>
      <c r="DQ165" s="164" t="str">
        <f t="shared" si="593"/>
        <v/>
      </c>
      <c r="DR165" s="208"/>
      <c r="DS165" s="164" t="str">
        <f t="shared" si="594"/>
        <v/>
      </c>
      <c r="DT165" s="164" t="str">
        <f t="shared" si="595"/>
        <v/>
      </c>
      <c r="DU165" s="164" t="str">
        <f t="shared" si="596"/>
        <v/>
      </c>
      <c r="DV165" s="164" t="str">
        <f t="shared" si="597"/>
        <v/>
      </c>
      <c r="DW165" s="164" t="str">
        <f t="shared" si="598"/>
        <v/>
      </c>
      <c r="DX165" s="164" t="str">
        <f t="shared" si="599"/>
        <v/>
      </c>
      <c r="DY165" s="164" t="str">
        <f t="shared" si="600"/>
        <v/>
      </c>
      <c r="DZ165" s="164" t="str">
        <f t="shared" si="601"/>
        <v/>
      </c>
      <c r="EA165" s="164" t="str">
        <f t="shared" si="602"/>
        <v/>
      </c>
      <c r="EB165" s="164" t="str">
        <f t="shared" si="603"/>
        <v/>
      </c>
      <c r="EC165" s="164" t="str">
        <f t="shared" si="604"/>
        <v/>
      </c>
      <c r="ED165" s="164" t="str">
        <f t="shared" si="605"/>
        <v/>
      </c>
      <c r="EE165" s="164" t="str">
        <f t="shared" si="606"/>
        <v/>
      </c>
      <c r="EF165" s="164" t="str">
        <f t="shared" si="607"/>
        <v/>
      </c>
      <c r="EG165" s="164" t="str">
        <f t="shared" si="608"/>
        <v/>
      </c>
      <c r="EH165" s="164" t="str">
        <f t="shared" si="609"/>
        <v/>
      </c>
      <c r="EI165" s="164" t="str">
        <f t="shared" si="610"/>
        <v/>
      </c>
      <c r="EJ165" s="164" t="str">
        <f t="shared" si="611"/>
        <v/>
      </c>
      <c r="EK165" s="164" t="str">
        <f t="shared" si="612"/>
        <v/>
      </c>
      <c r="EL165" s="164" t="str">
        <f t="shared" si="613"/>
        <v/>
      </c>
      <c r="EM165" s="164" t="str">
        <f t="shared" si="614"/>
        <v/>
      </c>
      <c r="EN165" s="164" t="str">
        <f t="shared" si="615"/>
        <v/>
      </c>
      <c r="EO165" s="164" t="str">
        <f t="shared" si="616"/>
        <v/>
      </c>
      <c r="EP165" s="164" t="str">
        <f t="shared" si="617"/>
        <v/>
      </c>
      <c r="EQ165" s="164" t="str">
        <f t="shared" si="618"/>
        <v/>
      </c>
      <c r="ER165" s="164" t="str">
        <f t="shared" si="619"/>
        <v/>
      </c>
      <c r="ES165" s="164" t="str">
        <f t="shared" si="620"/>
        <v/>
      </c>
    </row>
    <row r="166" spans="1:149" x14ac:dyDescent="0.2">
      <c r="A166" s="89"/>
      <c r="B166" s="317"/>
      <c r="C166" s="609" t="str">
        <f t="shared" ca="1" si="528"/>
        <v/>
      </c>
      <c r="D166" s="1956" t="str">
        <f t="shared" ca="1" si="529"/>
        <v/>
      </c>
      <c r="E166" s="1956"/>
      <c r="F166" s="960"/>
      <c r="G166" s="485" t="str">
        <f t="shared" si="530"/>
        <v/>
      </c>
      <c r="H166" s="983"/>
      <c r="I166" s="486"/>
      <c r="J166" s="326"/>
      <c r="K166" s="1886" t="str">
        <f t="shared" ca="1" si="531"/>
        <v/>
      </c>
      <c r="L166" s="1888"/>
      <c r="M166" s="296" t="str">
        <f t="shared" si="532"/>
        <v/>
      </c>
      <c r="N166" s="1322"/>
      <c r="O166" s="1319"/>
      <c r="P166" s="957" t="str">
        <f t="shared" si="533"/>
        <v/>
      </c>
      <c r="Q166" s="164">
        <f t="shared" ca="1" si="534"/>
        <v>0</v>
      </c>
      <c r="R166" s="164">
        <f t="shared" ca="1" si="535"/>
        <v>0</v>
      </c>
      <c r="S166" s="164">
        <f t="shared" ca="1" si="536"/>
        <v>0</v>
      </c>
      <c r="T166" s="164">
        <f t="shared" ca="1" si="537"/>
        <v>0</v>
      </c>
      <c r="U166" s="164">
        <f t="shared" ca="1" si="538"/>
        <v>0</v>
      </c>
      <c r="V166" s="164">
        <f t="shared" ca="1" si="539"/>
        <v>0</v>
      </c>
      <c r="W166" s="164">
        <f t="shared" ca="1" si="540"/>
        <v>0</v>
      </c>
      <c r="X166" s="164">
        <f t="shared" ca="1" si="541"/>
        <v>0</v>
      </c>
      <c r="Y166" s="164">
        <f t="shared" ca="1" si="542"/>
        <v>0</v>
      </c>
      <c r="Z166" s="164">
        <f t="shared" ca="1" si="543"/>
        <v>0</v>
      </c>
      <c r="AA166" s="164">
        <f t="shared" ca="1" si="544"/>
        <v>0</v>
      </c>
      <c r="AB166" s="164">
        <f t="shared" ca="1" si="545"/>
        <v>0</v>
      </c>
      <c r="AC166" s="164">
        <f t="shared" ca="1" si="546"/>
        <v>0</v>
      </c>
      <c r="AD166" s="164">
        <f t="shared" ca="1" si="547"/>
        <v>0</v>
      </c>
      <c r="AE166" s="164">
        <f t="shared" ca="1" si="548"/>
        <v>0</v>
      </c>
      <c r="AF166" s="164">
        <f t="shared" ca="1" si="549"/>
        <v>0</v>
      </c>
      <c r="AG166" s="164">
        <f t="shared" ca="1" si="550"/>
        <v>0</v>
      </c>
      <c r="AH166" s="164">
        <f t="shared" ca="1" si="551"/>
        <v>0</v>
      </c>
      <c r="AI166" s="164">
        <f t="shared" ca="1" si="552"/>
        <v>0</v>
      </c>
      <c r="AJ166" s="164">
        <f t="shared" ca="1" si="553"/>
        <v>0</v>
      </c>
      <c r="AK166" s="164">
        <f t="shared" ca="1" si="554"/>
        <v>0</v>
      </c>
      <c r="AL166" s="164">
        <f t="shared" ca="1" si="555"/>
        <v>0</v>
      </c>
      <c r="AM166" s="208"/>
      <c r="AN166" s="164">
        <f t="shared" si="556"/>
        <v>0</v>
      </c>
      <c r="AO166" s="164">
        <f t="shared" si="557"/>
        <v>0</v>
      </c>
      <c r="AP166" s="164">
        <f t="shared" si="558"/>
        <v>0</v>
      </c>
      <c r="AQ166" s="164">
        <f t="shared" si="559"/>
        <v>0</v>
      </c>
      <c r="AR166" s="164">
        <f t="shared" si="560"/>
        <v>0</v>
      </c>
      <c r="AS166" s="164">
        <f t="shared" si="561"/>
        <v>0</v>
      </c>
      <c r="AT166" s="164">
        <f t="shared" si="562"/>
        <v>0</v>
      </c>
      <c r="AU166" s="164">
        <f t="shared" si="563"/>
        <v>0</v>
      </c>
      <c r="AV166" s="164">
        <f t="shared" si="564"/>
        <v>0</v>
      </c>
      <c r="AW166" s="164">
        <f t="shared" si="565"/>
        <v>0</v>
      </c>
      <c r="AX166" s="164">
        <f t="shared" si="566"/>
        <v>0</v>
      </c>
      <c r="AY166" s="164">
        <f t="shared" si="567"/>
        <v>0</v>
      </c>
      <c r="AZ166" s="164">
        <f t="shared" si="568"/>
        <v>0</v>
      </c>
      <c r="BA166" s="164">
        <f t="shared" si="569"/>
        <v>0</v>
      </c>
      <c r="BB166" s="164">
        <f t="shared" si="570"/>
        <v>0</v>
      </c>
      <c r="BC166" s="164">
        <f t="shared" si="571"/>
        <v>0</v>
      </c>
      <c r="BD166" s="164">
        <f t="shared" si="572"/>
        <v>0</v>
      </c>
      <c r="BE166" s="164">
        <f t="shared" si="573"/>
        <v>0</v>
      </c>
      <c r="BF166" s="164">
        <f t="shared" si="574"/>
        <v>0</v>
      </c>
      <c r="BG166" s="164">
        <f t="shared" si="575"/>
        <v>0</v>
      </c>
      <c r="BH166" s="164">
        <f t="shared" si="576"/>
        <v>0</v>
      </c>
      <c r="BI166" s="164">
        <f t="shared" si="577"/>
        <v>0</v>
      </c>
      <c r="BJ166" s="164">
        <f t="shared" si="578"/>
        <v>0</v>
      </c>
      <c r="BK166" s="164">
        <f t="shared" si="579"/>
        <v>0</v>
      </c>
      <c r="BL166" s="164">
        <f t="shared" si="580"/>
        <v>0</v>
      </c>
      <c r="BM166" s="164">
        <f t="shared" si="581"/>
        <v>0</v>
      </c>
      <c r="BN166" s="164">
        <f t="shared" si="582"/>
        <v>0</v>
      </c>
      <c r="BO166" s="356" t="str">
        <f t="shared" si="583"/>
        <v/>
      </c>
      <c r="BP166" s="355" t="str">
        <f t="shared" si="584"/>
        <v/>
      </c>
      <c r="BQ166" s="355" t="str">
        <f t="shared" si="585"/>
        <v/>
      </c>
      <c r="BR166" s="348">
        <f t="shared" ca="1" si="516"/>
        <v>0</v>
      </c>
      <c r="BS166" s="348">
        <f t="shared" ca="1" si="517"/>
        <v>0</v>
      </c>
      <c r="BT166" s="610">
        <f t="shared" ca="1" si="586"/>
        <v>0</v>
      </c>
      <c r="BU166" s="357">
        <f t="shared" ca="1" si="587"/>
        <v>0</v>
      </c>
      <c r="BV166" s="357">
        <f t="shared" si="588"/>
        <v>0</v>
      </c>
      <c r="BW166" s="357">
        <f t="shared" si="589"/>
        <v>0</v>
      </c>
      <c r="BX166" s="357">
        <f t="shared" ca="1" si="590"/>
        <v>0</v>
      </c>
      <c r="BY166" s="357">
        <f t="shared" ca="1" si="522"/>
        <v>0</v>
      </c>
      <c r="BZ166" s="357"/>
      <c r="CA166" s="357">
        <f t="shared" ca="1" si="518"/>
        <v>0</v>
      </c>
      <c r="CB166" s="357" t="str">
        <f t="shared" si="591"/>
        <v/>
      </c>
      <c r="CC166" s="358" t="str">
        <f t="shared" ca="1" si="523"/>
        <v/>
      </c>
      <c r="CD166" s="358" t="str">
        <f t="shared" ca="1" si="524"/>
        <v/>
      </c>
      <c r="CE166" s="357"/>
      <c r="CF166" s="154" t="str">
        <f t="shared" si="621"/>
        <v/>
      </c>
      <c r="CG166" s="154">
        <f t="shared" ca="1" si="525"/>
        <v>0</v>
      </c>
      <c r="CH166" s="154"/>
      <c r="CI166" s="154"/>
      <c r="CJ166" s="154"/>
      <c r="CK166" s="154"/>
      <c r="CL166" s="154"/>
      <c r="CM166" s="154"/>
      <c r="CN166" t="s">
        <v>784</v>
      </c>
      <c r="CO166" s="169"/>
      <c r="CP166" s="169"/>
      <c r="CQ166" s="169"/>
      <c r="CR166" s="169"/>
      <c r="CS166" s="169"/>
      <c r="CT166" s="169"/>
      <c r="CU166" s="169"/>
      <c r="CV166" s="164" t="str">
        <f t="shared" si="592"/>
        <v/>
      </c>
      <c r="CW166" s="164" t="str">
        <f t="shared" si="592"/>
        <v/>
      </c>
      <c r="CX166" s="164" t="str">
        <f t="shared" si="592"/>
        <v/>
      </c>
      <c r="CY166" s="164" t="str">
        <f t="shared" si="592"/>
        <v/>
      </c>
      <c r="CZ166" s="164" t="str">
        <f t="shared" si="592"/>
        <v/>
      </c>
      <c r="DA166" s="164" t="str">
        <f t="shared" si="592"/>
        <v/>
      </c>
      <c r="DB166" s="164" t="str">
        <f t="shared" si="592"/>
        <v/>
      </c>
      <c r="DC166" s="164" t="str">
        <f t="shared" si="592"/>
        <v/>
      </c>
      <c r="DD166" s="164" t="str">
        <f t="shared" si="592"/>
        <v/>
      </c>
      <c r="DE166" s="164" t="str">
        <f t="shared" si="592"/>
        <v/>
      </c>
      <c r="DF166" s="164" t="str">
        <f t="shared" si="593"/>
        <v/>
      </c>
      <c r="DG166" s="164" t="str">
        <f t="shared" si="593"/>
        <v/>
      </c>
      <c r="DH166" s="164" t="str">
        <f t="shared" si="593"/>
        <v/>
      </c>
      <c r="DI166" s="164" t="str">
        <f t="shared" si="593"/>
        <v/>
      </c>
      <c r="DJ166" s="164" t="str">
        <f t="shared" si="593"/>
        <v/>
      </c>
      <c r="DK166" s="164" t="str">
        <f t="shared" si="593"/>
        <v/>
      </c>
      <c r="DL166" s="164" t="str">
        <f t="shared" si="593"/>
        <v/>
      </c>
      <c r="DM166" s="164" t="str">
        <f t="shared" si="593"/>
        <v/>
      </c>
      <c r="DN166" s="164" t="str">
        <f t="shared" si="593"/>
        <v/>
      </c>
      <c r="DO166" s="164" t="str">
        <f t="shared" si="593"/>
        <v/>
      </c>
      <c r="DP166" s="164" t="str">
        <f t="shared" si="593"/>
        <v/>
      </c>
      <c r="DQ166" s="164" t="str">
        <f t="shared" si="593"/>
        <v/>
      </c>
      <c r="DR166" s="208"/>
      <c r="DS166" s="164" t="str">
        <f t="shared" si="594"/>
        <v/>
      </c>
      <c r="DT166" s="164" t="str">
        <f t="shared" si="595"/>
        <v/>
      </c>
      <c r="DU166" s="164" t="str">
        <f t="shared" si="596"/>
        <v/>
      </c>
      <c r="DV166" s="164" t="str">
        <f t="shared" si="597"/>
        <v/>
      </c>
      <c r="DW166" s="164" t="str">
        <f t="shared" si="598"/>
        <v/>
      </c>
      <c r="DX166" s="164" t="str">
        <f t="shared" si="599"/>
        <v/>
      </c>
      <c r="DY166" s="164" t="str">
        <f t="shared" si="600"/>
        <v/>
      </c>
      <c r="DZ166" s="164" t="str">
        <f t="shared" si="601"/>
        <v/>
      </c>
      <c r="EA166" s="164" t="str">
        <f t="shared" si="602"/>
        <v/>
      </c>
      <c r="EB166" s="164" t="str">
        <f t="shared" si="603"/>
        <v/>
      </c>
      <c r="EC166" s="164" t="str">
        <f t="shared" si="604"/>
        <v/>
      </c>
      <c r="ED166" s="164" t="str">
        <f t="shared" si="605"/>
        <v/>
      </c>
      <c r="EE166" s="164" t="str">
        <f t="shared" si="606"/>
        <v/>
      </c>
      <c r="EF166" s="164" t="str">
        <f t="shared" si="607"/>
        <v/>
      </c>
      <c r="EG166" s="164" t="str">
        <f t="shared" si="608"/>
        <v/>
      </c>
      <c r="EH166" s="164" t="str">
        <f t="shared" si="609"/>
        <v/>
      </c>
      <c r="EI166" s="164" t="str">
        <f t="shared" si="610"/>
        <v/>
      </c>
      <c r="EJ166" s="164" t="str">
        <f t="shared" si="611"/>
        <v/>
      </c>
      <c r="EK166" s="164" t="str">
        <f t="shared" si="612"/>
        <v/>
      </c>
      <c r="EL166" s="164" t="str">
        <f t="shared" si="613"/>
        <v/>
      </c>
      <c r="EM166" s="164" t="str">
        <f t="shared" si="614"/>
        <v/>
      </c>
      <c r="EN166" s="164" t="str">
        <f t="shared" si="615"/>
        <v/>
      </c>
      <c r="EO166" s="164" t="str">
        <f t="shared" si="616"/>
        <v/>
      </c>
      <c r="EP166" s="164" t="str">
        <f t="shared" si="617"/>
        <v/>
      </c>
      <c r="EQ166" s="164" t="str">
        <f t="shared" si="618"/>
        <v/>
      </c>
      <c r="ER166" s="164" t="str">
        <f t="shared" si="619"/>
        <v/>
      </c>
      <c r="ES166" s="164" t="str">
        <f t="shared" si="620"/>
        <v/>
      </c>
    </row>
    <row r="167" spans="1:149" x14ac:dyDescent="0.2">
      <c r="A167" s="89"/>
      <c r="B167" s="317"/>
      <c r="C167" s="609" t="str">
        <f t="shared" ca="1" si="528"/>
        <v/>
      </c>
      <c r="D167" s="1956" t="str">
        <f t="shared" ca="1" si="529"/>
        <v/>
      </c>
      <c r="E167" s="1956"/>
      <c r="F167" s="960"/>
      <c r="G167" s="485" t="str">
        <f t="shared" si="530"/>
        <v/>
      </c>
      <c r="H167" s="983"/>
      <c r="I167" s="486"/>
      <c r="J167" s="326"/>
      <c r="K167" s="1886" t="str">
        <f t="shared" ca="1" si="531"/>
        <v/>
      </c>
      <c r="L167" s="1888"/>
      <c r="M167" s="296" t="str">
        <f t="shared" si="532"/>
        <v/>
      </c>
      <c r="N167" s="1322"/>
      <c r="O167" s="1319"/>
      <c r="P167" s="957" t="str">
        <f t="shared" si="533"/>
        <v/>
      </c>
      <c r="Q167" s="164">
        <f t="shared" ca="1" si="534"/>
        <v>0</v>
      </c>
      <c r="R167" s="164">
        <f t="shared" ca="1" si="535"/>
        <v>0</v>
      </c>
      <c r="S167" s="164">
        <f t="shared" ca="1" si="536"/>
        <v>0</v>
      </c>
      <c r="T167" s="164">
        <f t="shared" ca="1" si="537"/>
        <v>0</v>
      </c>
      <c r="U167" s="164">
        <f t="shared" ca="1" si="538"/>
        <v>0</v>
      </c>
      <c r="V167" s="164">
        <f t="shared" ca="1" si="539"/>
        <v>0</v>
      </c>
      <c r="W167" s="164">
        <f t="shared" ca="1" si="540"/>
        <v>0</v>
      </c>
      <c r="X167" s="164">
        <f t="shared" ca="1" si="541"/>
        <v>0</v>
      </c>
      <c r="Y167" s="164">
        <f t="shared" ca="1" si="542"/>
        <v>0</v>
      </c>
      <c r="Z167" s="164">
        <f t="shared" ca="1" si="543"/>
        <v>0</v>
      </c>
      <c r="AA167" s="164">
        <f t="shared" ca="1" si="544"/>
        <v>0</v>
      </c>
      <c r="AB167" s="164">
        <f t="shared" ca="1" si="545"/>
        <v>0</v>
      </c>
      <c r="AC167" s="164">
        <f t="shared" ca="1" si="546"/>
        <v>0</v>
      </c>
      <c r="AD167" s="164">
        <f t="shared" ca="1" si="547"/>
        <v>0</v>
      </c>
      <c r="AE167" s="164">
        <f t="shared" ca="1" si="548"/>
        <v>0</v>
      </c>
      <c r="AF167" s="164">
        <f t="shared" ca="1" si="549"/>
        <v>0</v>
      </c>
      <c r="AG167" s="164">
        <f t="shared" ca="1" si="550"/>
        <v>0</v>
      </c>
      <c r="AH167" s="164">
        <f t="shared" ca="1" si="551"/>
        <v>0</v>
      </c>
      <c r="AI167" s="164">
        <f t="shared" ca="1" si="552"/>
        <v>0</v>
      </c>
      <c r="AJ167" s="164">
        <f t="shared" ca="1" si="553"/>
        <v>0</v>
      </c>
      <c r="AK167" s="164">
        <f t="shared" ca="1" si="554"/>
        <v>0</v>
      </c>
      <c r="AL167" s="164">
        <f t="shared" ca="1" si="555"/>
        <v>0</v>
      </c>
      <c r="AM167" s="208"/>
      <c r="AN167" s="164">
        <f t="shared" si="556"/>
        <v>0</v>
      </c>
      <c r="AO167" s="164">
        <f t="shared" si="557"/>
        <v>0</v>
      </c>
      <c r="AP167" s="164">
        <f t="shared" si="558"/>
        <v>0</v>
      </c>
      <c r="AQ167" s="164">
        <f t="shared" si="559"/>
        <v>0</v>
      </c>
      <c r="AR167" s="164">
        <f t="shared" si="560"/>
        <v>0</v>
      </c>
      <c r="AS167" s="164">
        <f t="shared" si="561"/>
        <v>0</v>
      </c>
      <c r="AT167" s="164">
        <f t="shared" si="562"/>
        <v>0</v>
      </c>
      <c r="AU167" s="164">
        <f t="shared" si="563"/>
        <v>0</v>
      </c>
      <c r="AV167" s="164">
        <f t="shared" si="564"/>
        <v>0</v>
      </c>
      <c r="AW167" s="164">
        <f t="shared" si="565"/>
        <v>0</v>
      </c>
      <c r="AX167" s="164">
        <f t="shared" si="566"/>
        <v>0</v>
      </c>
      <c r="AY167" s="164">
        <f t="shared" si="567"/>
        <v>0</v>
      </c>
      <c r="AZ167" s="164">
        <f t="shared" si="568"/>
        <v>0</v>
      </c>
      <c r="BA167" s="164">
        <f t="shared" si="569"/>
        <v>0</v>
      </c>
      <c r="BB167" s="164">
        <f t="shared" si="570"/>
        <v>0</v>
      </c>
      <c r="BC167" s="164">
        <f t="shared" si="571"/>
        <v>0</v>
      </c>
      <c r="BD167" s="164">
        <f t="shared" si="572"/>
        <v>0</v>
      </c>
      <c r="BE167" s="164">
        <f t="shared" si="573"/>
        <v>0</v>
      </c>
      <c r="BF167" s="164">
        <f t="shared" si="574"/>
        <v>0</v>
      </c>
      <c r="BG167" s="164">
        <f t="shared" si="575"/>
        <v>0</v>
      </c>
      <c r="BH167" s="164">
        <f t="shared" si="576"/>
        <v>0</v>
      </c>
      <c r="BI167" s="164">
        <f t="shared" si="577"/>
        <v>0</v>
      </c>
      <c r="BJ167" s="164">
        <f t="shared" si="578"/>
        <v>0</v>
      </c>
      <c r="BK167" s="164">
        <f t="shared" si="579"/>
        <v>0</v>
      </c>
      <c r="BL167" s="164">
        <f t="shared" si="580"/>
        <v>0</v>
      </c>
      <c r="BM167" s="164">
        <f t="shared" si="581"/>
        <v>0</v>
      </c>
      <c r="BN167" s="164">
        <f t="shared" si="582"/>
        <v>0</v>
      </c>
      <c r="BO167" s="356" t="str">
        <f t="shared" si="583"/>
        <v/>
      </c>
      <c r="BP167" s="355" t="str">
        <f t="shared" si="584"/>
        <v/>
      </c>
      <c r="BQ167" s="355" t="str">
        <f t="shared" si="585"/>
        <v/>
      </c>
      <c r="BR167" s="348">
        <f t="shared" ca="1" si="516"/>
        <v>0</v>
      </c>
      <c r="BS167" s="348">
        <f t="shared" ca="1" si="517"/>
        <v>0</v>
      </c>
      <c r="BT167" s="610">
        <f t="shared" ca="1" si="586"/>
        <v>0</v>
      </c>
      <c r="BU167" s="357">
        <f t="shared" ca="1" si="587"/>
        <v>0</v>
      </c>
      <c r="BV167" s="357">
        <f t="shared" si="588"/>
        <v>0</v>
      </c>
      <c r="BW167" s="357">
        <f t="shared" si="589"/>
        <v>0</v>
      </c>
      <c r="BX167" s="357">
        <f t="shared" ca="1" si="590"/>
        <v>0</v>
      </c>
      <c r="BY167" s="357">
        <f t="shared" ca="1" si="522"/>
        <v>0</v>
      </c>
      <c r="BZ167" s="357"/>
      <c r="CA167" s="357">
        <f t="shared" ca="1" si="518"/>
        <v>0</v>
      </c>
      <c r="CB167" s="357" t="str">
        <f t="shared" si="591"/>
        <v/>
      </c>
      <c r="CC167" s="358" t="str">
        <f t="shared" ca="1" si="523"/>
        <v/>
      </c>
      <c r="CD167" s="358" t="str">
        <f t="shared" ca="1" si="524"/>
        <v/>
      </c>
      <c r="CE167" s="357"/>
      <c r="CF167" s="154" t="str">
        <f t="shared" si="621"/>
        <v/>
      </c>
      <c r="CG167" s="154">
        <f t="shared" ca="1" si="525"/>
        <v>0</v>
      </c>
      <c r="CH167" s="154"/>
      <c r="CI167" s="154"/>
      <c r="CJ167" s="154"/>
      <c r="CK167" s="154"/>
      <c r="CL167" s="154"/>
      <c r="CM167" s="154"/>
      <c r="CN167" t="s">
        <v>784</v>
      </c>
      <c r="CO167" s="169"/>
      <c r="CP167" s="169"/>
      <c r="CQ167" s="169"/>
      <c r="CR167" s="169"/>
      <c r="CS167" s="169"/>
      <c r="CT167" s="169"/>
      <c r="CU167" s="169"/>
      <c r="CV167" s="164" t="str">
        <f t="shared" si="592"/>
        <v/>
      </c>
      <c r="CW167" s="164" t="str">
        <f t="shared" si="592"/>
        <v/>
      </c>
      <c r="CX167" s="164" t="str">
        <f t="shared" si="592"/>
        <v/>
      </c>
      <c r="CY167" s="164" t="str">
        <f t="shared" si="592"/>
        <v/>
      </c>
      <c r="CZ167" s="164" t="str">
        <f t="shared" si="592"/>
        <v/>
      </c>
      <c r="DA167" s="164" t="str">
        <f t="shared" si="592"/>
        <v/>
      </c>
      <c r="DB167" s="164" t="str">
        <f t="shared" si="592"/>
        <v/>
      </c>
      <c r="DC167" s="164" t="str">
        <f t="shared" si="592"/>
        <v/>
      </c>
      <c r="DD167" s="164" t="str">
        <f t="shared" si="592"/>
        <v/>
      </c>
      <c r="DE167" s="164" t="str">
        <f t="shared" si="592"/>
        <v/>
      </c>
      <c r="DF167" s="164" t="str">
        <f t="shared" si="593"/>
        <v/>
      </c>
      <c r="DG167" s="164" t="str">
        <f t="shared" si="593"/>
        <v/>
      </c>
      <c r="DH167" s="164" t="str">
        <f t="shared" si="593"/>
        <v/>
      </c>
      <c r="DI167" s="164" t="str">
        <f t="shared" si="593"/>
        <v/>
      </c>
      <c r="DJ167" s="164" t="str">
        <f t="shared" si="593"/>
        <v/>
      </c>
      <c r="DK167" s="164" t="str">
        <f t="shared" si="593"/>
        <v/>
      </c>
      <c r="DL167" s="164" t="str">
        <f t="shared" si="593"/>
        <v/>
      </c>
      <c r="DM167" s="164" t="str">
        <f t="shared" si="593"/>
        <v/>
      </c>
      <c r="DN167" s="164" t="str">
        <f t="shared" si="593"/>
        <v/>
      </c>
      <c r="DO167" s="164" t="str">
        <f t="shared" si="593"/>
        <v/>
      </c>
      <c r="DP167" s="164" t="str">
        <f t="shared" si="593"/>
        <v/>
      </c>
      <c r="DQ167" s="164" t="str">
        <f t="shared" si="593"/>
        <v/>
      </c>
      <c r="DR167" s="208"/>
      <c r="DS167" s="164" t="str">
        <f t="shared" si="594"/>
        <v/>
      </c>
      <c r="DT167" s="164" t="str">
        <f t="shared" si="595"/>
        <v/>
      </c>
      <c r="DU167" s="164" t="str">
        <f t="shared" si="596"/>
        <v/>
      </c>
      <c r="DV167" s="164" t="str">
        <f t="shared" si="597"/>
        <v/>
      </c>
      <c r="DW167" s="164" t="str">
        <f t="shared" si="598"/>
        <v/>
      </c>
      <c r="DX167" s="164" t="str">
        <f t="shared" si="599"/>
        <v/>
      </c>
      <c r="DY167" s="164" t="str">
        <f t="shared" si="600"/>
        <v/>
      </c>
      <c r="DZ167" s="164" t="str">
        <f t="shared" si="601"/>
        <v/>
      </c>
      <c r="EA167" s="164" t="str">
        <f t="shared" si="602"/>
        <v/>
      </c>
      <c r="EB167" s="164" t="str">
        <f t="shared" si="603"/>
        <v/>
      </c>
      <c r="EC167" s="164" t="str">
        <f t="shared" si="604"/>
        <v/>
      </c>
      <c r="ED167" s="164" t="str">
        <f t="shared" si="605"/>
        <v/>
      </c>
      <c r="EE167" s="164" t="str">
        <f t="shared" si="606"/>
        <v/>
      </c>
      <c r="EF167" s="164" t="str">
        <f t="shared" si="607"/>
        <v/>
      </c>
      <c r="EG167" s="164" t="str">
        <f t="shared" si="608"/>
        <v/>
      </c>
      <c r="EH167" s="164" t="str">
        <f t="shared" si="609"/>
        <v/>
      </c>
      <c r="EI167" s="164" t="str">
        <f t="shared" si="610"/>
        <v/>
      </c>
      <c r="EJ167" s="164" t="str">
        <f t="shared" si="611"/>
        <v/>
      </c>
      <c r="EK167" s="164" t="str">
        <f t="shared" si="612"/>
        <v/>
      </c>
      <c r="EL167" s="164" t="str">
        <f t="shared" si="613"/>
        <v/>
      </c>
      <c r="EM167" s="164" t="str">
        <f t="shared" si="614"/>
        <v/>
      </c>
      <c r="EN167" s="164" t="str">
        <f t="shared" si="615"/>
        <v/>
      </c>
      <c r="EO167" s="164" t="str">
        <f t="shared" si="616"/>
        <v/>
      </c>
      <c r="EP167" s="164" t="str">
        <f t="shared" si="617"/>
        <v/>
      </c>
      <c r="EQ167" s="164" t="str">
        <f t="shared" si="618"/>
        <v/>
      </c>
      <c r="ER167" s="164" t="str">
        <f t="shared" si="619"/>
        <v/>
      </c>
      <c r="ES167" s="164" t="str">
        <f t="shared" si="620"/>
        <v/>
      </c>
    </row>
    <row r="168" spans="1:149" x14ac:dyDescent="0.2">
      <c r="A168" s="89"/>
      <c r="B168" s="317"/>
      <c r="C168" s="609" t="str">
        <f t="shared" ca="1" si="528"/>
        <v/>
      </c>
      <c r="D168" s="1956" t="str">
        <f t="shared" ca="1" si="529"/>
        <v/>
      </c>
      <c r="E168" s="1956"/>
      <c r="F168" s="960"/>
      <c r="G168" s="485" t="str">
        <f t="shared" si="530"/>
        <v/>
      </c>
      <c r="H168" s="983"/>
      <c r="I168" s="486"/>
      <c r="J168" s="326"/>
      <c r="K168" s="1886" t="str">
        <f t="shared" ca="1" si="531"/>
        <v/>
      </c>
      <c r="L168" s="1888"/>
      <c r="M168" s="296" t="str">
        <f>IF(AND(EXACT($B168,""),ISBLANK($F168),ISBLANK($J168)),"",$B168+$F168+$J168)</f>
        <v/>
      </c>
      <c r="N168" s="1322"/>
      <c r="O168" s="1319"/>
      <c r="P168" s="957" t="str">
        <f t="shared" si="533"/>
        <v/>
      </c>
      <c r="Q168" s="164">
        <f t="shared" ca="1" si="534"/>
        <v>0</v>
      </c>
      <c r="R168" s="164">
        <f t="shared" ca="1" si="535"/>
        <v>0</v>
      </c>
      <c r="S168" s="164">
        <f t="shared" ca="1" si="536"/>
        <v>0</v>
      </c>
      <c r="T168" s="164">
        <f t="shared" ca="1" si="537"/>
        <v>0</v>
      </c>
      <c r="U168" s="164">
        <f t="shared" ca="1" si="538"/>
        <v>0</v>
      </c>
      <c r="V168" s="164">
        <f t="shared" ca="1" si="539"/>
        <v>0</v>
      </c>
      <c r="W168" s="164">
        <f t="shared" ca="1" si="540"/>
        <v>0</v>
      </c>
      <c r="X168" s="164">
        <f t="shared" ca="1" si="541"/>
        <v>0</v>
      </c>
      <c r="Y168" s="164">
        <f t="shared" ca="1" si="542"/>
        <v>0</v>
      </c>
      <c r="Z168" s="164">
        <f t="shared" ca="1" si="543"/>
        <v>0</v>
      </c>
      <c r="AA168" s="164">
        <f t="shared" ca="1" si="544"/>
        <v>0</v>
      </c>
      <c r="AB168" s="164">
        <f t="shared" ca="1" si="545"/>
        <v>0</v>
      </c>
      <c r="AC168" s="164">
        <f t="shared" ca="1" si="546"/>
        <v>0</v>
      </c>
      <c r="AD168" s="164">
        <f t="shared" ca="1" si="547"/>
        <v>0</v>
      </c>
      <c r="AE168" s="164">
        <f t="shared" ca="1" si="548"/>
        <v>0</v>
      </c>
      <c r="AF168" s="164">
        <f t="shared" ca="1" si="549"/>
        <v>0</v>
      </c>
      <c r="AG168" s="164">
        <f t="shared" ca="1" si="550"/>
        <v>0</v>
      </c>
      <c r="AH168" s="164">
        <f t="shared" ca="1" si="551"/>
        <v>0</v>
      </c>
      <c r="AI168" s="164">
        <f t="shared" ca="1" si="552"/>
        <v>0</v>
      </c>
      <c r="AJ168" s="164">
        <f t="shared" ca="1" si="553"/>
        <v>0</v>
      </c>
      <c r="AK168" s="164">
        <f t="shared" ca="1" si="554"/>
        <v>0</v>
      </c>
      <c r="AL168" s="164">
        <f t="shared" ca="1" si="555"/>
        <v>0</v>
      </c>
      <c r="AM168" s="208"/>
      <c r="AN168" s="164">
        <f t="shared" si="556"/>
        <v>0</v>
      </c>
      <c r="AO168" s="164">
        <f t="shared" si="557"/>
        <v>0</v>
      </c>
      <c r="AP168" s="164">
        <f t="shared" si="558"/>
        <v>0</v>
      </c>
      <c r="AQ168" s="164">
        <f t="shared" si="559"/>
        <v>0</v>
      </c>
      <c r="AR168" s="164">
        <f t="shared" si="560"/>
        <v>0</v>
      </c>
      <c r="AS168" s="164">
        <f t="shared" si="561"/>
        <v>0</v>
      </c>
      <c r="AT168" s="164">
        <f t="shared" si="562"/>
        <v>0</v>
      </c>
      <c r="AU168" s="164">
        <f t="shared" si="563"/>
        <v>0</v>
      </c>
      <c r="AV168" s="164">
        <f t="shared" si="564"/>
        <v>0</v>
      </c>
      <c r="AW168" s="164">
        <f t="shared" si="565"/>
        <v>0</v>
      </c>
      <c r="AX168" s="164">
        <f t="shared" si="566"/>
        <v>0</v>
      </c>
      <c r="AY168" s="164">
        <f t="shared" si="567"/>
        <v>0</v>
      </c>
      <c r="AZ168" s="164">
        <f t="shared" si="568"/>
        <v>0</v>
      </c>
      <c r="BA168" s="164">
        <f t="shared" si="569"/>
        <v>0</v>
      </c>
      <c r="BB168" s="164">
        <f t="shared" si="570"/>
        <v>0</v>
      </c>
      <c r="BC168" s="164">
        <f t="shared" si="571"/>
        <v>0</v>
      </c>
      <c r="BD168" s="164">
        <f t="shared" si="572"/>
        <v>0</v>
      </c>
      <c r="BE168" s="164">
        <f t="shared" si="573"/>
        <v>0</v>
      </c>
      <c r="BF168" s="164">
        <f t="shared" si="574"/>
        <v>0</v>
      </c>
      <c r="BG168" s="164">
        <f t="shared" si="575"/>
        <v>0</v>
      </c>
      <c r="BH168" s="164">
        <f t="shared" si="576"/>
        <v>0</v>
      </c>
      <c r="BI168" s="164">
        <f t="shared" si="577"/>
        <v>0</v>
      </c>
      <c r="BJ168" s="164">
        <f t="shared" si="578"/>
        <v>0</v>
      </c>
      <c r="BK168" s="164">
        <f t="shared" si="579"/>
        <v>0</v>
      </c>
      <c r="BL168" s="164">
        <f t="shared" si="580"/>
        <v>0</v>
      </c>
      <c r="BM168" s="164">
        <f t="shared" si="581"/>
        <v>0</v>
      </c>
      <c r="BN168" s="164">
        <f t="shared" si="582"/>
        <v>0</v>
      </c>
      <c r="BO168" s="356" t="str">
        <f t="shared" si="583"/>
        <v/>
      </c>
      <c r="BP168" s="355" t="str">
        <f t="shared" si="584"/>
        <v/>
      </c>
      <c r="BQ168" s="355" t="str">
        <f t="shared" si="585"/>
        <v/>
      </c>
      <c r="BR168" s="348">
        <f t="shared" ca="1" si="516"/>
        <v>0</v>
      </c>
      <c r="BS168" s="348">
        <f t="shared" ca="1" si="517"/>
        <v>0</v>
      </c>
      <c r="BT168" s="610">
        <f t="shared" ca="1" si="586"/>
        <v>0</v>
      </c>
      <c r="BU168" s="357">
        <f t="shared" ca="1" si="587"/>
        <v>0</v>
      </c>
      <c r="BV168" s="357">
        <f t="shared" si="588"/>
        <v>0</v>
      </c>
      <c r="BW168" s="357">
        <f t="shared" si="589"/>
        <v>0</v>
      </c>
      <c r="BX168" s="357">
        <f t="shared" ca="1" si="590"/>
        <v>0</v>
      </c>
      <c r="BY168" s="357">
        <f t="shared" ca="1" si="522"/>
        <v>0</v>
      </c>
      <c r="BZ168" s="357"/>
      <c r="CA168" s="357">
        <f t="shared" ca="1" si="518"/>
        <v>0</v>
      </c>
      <c r="CB168" s="357" t="str">
        <f t="shared" si="591"/>
        <v/>
      </c>
      <c r="CC168" s="358" t="str">
        <f t="shared" ca="1" si="523"/>
        <v/>
      </c>
      <c r="CD168" s="358" t="str">
        <f t="shared" ca="1" si="524"/>
        <v/>
      </c>
      <c r="CE168" s="357"/>
      <c r="CF168" s="154" t="str">
        <f t="shared" si="621"/>
        <v/>
      </c>
      <c r="CG168" s="154">
        <f t="shared" ca="1" si="525"/>
        <v>0</v>
      </c>
      <c r="CH168" s="154"/>
      <c r="CI168" s="154"/>
      <c r="CJ168" s="154"/>
      <c r="CK168" s="154"/>
      <c r="CL168" s="154"/>
      <c r="CM168" s="154"/>
      <c r="CN168" t="s">
        <v>784</v>
      </c>
      <c r="CO168" s="169"/>
      <c r="CP168" s="169"/>
      <c r="CQ168" s="169"/>
      <c r="CR168" s="169"/>
      <c r="CS168" s="169"/>
      <c r="CT168" s="169"/>
      <c r="CU168" s="169"/>
      <c r="CV168" s="164" t="str">
        <f t="shared" si="592"/>
        <v/>
      </c>
      <c r="CW168" s="164" t="str">
        <f t="shared" si="592"/>
        <v/>
      </c>
      <c r="CX168" s="164" t="str">
        <f t="shared" si="592"/>
        <v/>
      </c>
      <c r="CY168" s="164" t="str">
        <f t="shared" si="592"/>
        <v/>
      </c>
      <c r="CZ168" s="164" t="str">
        <f t="shared" si="592"/>
        <v/>
      </c>
      <c r="DA168" s="164" t="str">
        <f t="shared" si="592"/>
        <v/>
      </c>
      <c r="DB168" s="164" t="str">
        <f t="shared" si="592"/>
        <v/>
      </c>
      <c r="DC168" s="164" t="str">
        <f t="shared" si="592"/>
        <v/>
      </c>
      <c r="DD168" s="164" t="str">
        <f t="shared" si="592"/>
        <v/>
      </c>
      <c r="DE168" s="164" t="str">
        <f t="shared" si="592"/>
        <v/>
      </c>
      <c r="DF168" s="164" t="str">
        <f t="shared" si="593"/>
        <v/>
      </c>
      <c r="DG168" s="164" t="str">
        <f t="shared" si="593"/>
        <v/>
      </c>
      <c r="DH168" s="164" t="str">
        <f t="shared" si="593"/>
        <v/>
      </c>
      <c r="DI168" s="164" t="str">
        <f t="shared" si="593"/>
        <v/>
      </c>
      <c r="DJ168" s="164" t="str">
        <f t="shared" si="593"/>
        <v/>
      </c>
      <c r="DK168" s="164" t="str">
        <f t="shared" si="593"/>
        <v/>
      </c>
      <c r="DL168" s="164" t="str">
        <f t="shared" si="593"/>
        <v/>
      </c>
      <c r="DM168" s="164" t="str">
        <f t="shared" si="593"/>
        <v/>
      </c>
      <c r="DN168" s="164" t="str">
        <f t="shared" si="593"/>
        <v/>
      </c>
      <c r="DO168" s="164" t="str">
        <f t="shared" si="593"/>
        <v/>
      </c>
      <c r="DP168" s="164" t="str">
        <f t="shared" si="593"/>
        <v/>
      </c>
      <c r="DQ168" s="164" t="str">
        <f t="shared" si="593"/>
        <v/>
      </c>
      <c r="DR168" s="208"/>
      <c r="DS168" s="164" t="str">
        <f t="shared" si="594"/>
        <v/>
      </c>
      <c r="DT168" s="164" t="str">
        <f t="shared" si="595"/>
        <v/>
      </c>
      <c r="DU168" s="164" t="str">
        <f t="shared" si="596"/>
        <v/>
      </c>
      <c r="DV168" s="164" t="str">
        <f t="shared" si="597"/>
        <v/>
      </c>
      <c r="DW168" s="164" t="str">
        <f t="shared" si="598"/>
        <v/>
      </c>
      <c r="DX168" s="164" t="str">
        <f t="shared" si="599"/>
        <v/>
      </c>
      <c r="DY168" s="164" t="str">
        <f t="shared" si="600"/>
        <v/>
      </c>
      <c r="DZ168" s="164" t="str">
        <f t="shared" si="601"/>
        <v/>
      </c>
      <c r="EA168" s="164" t="str">
        <f t="shared" si="602"/>
        <v/>
      </c>
      <c r="EB168" s="164" t="str">
        <f t="shared" si="603"/>
        <v/>
      </c>
      <c r="EC168" s="164" t="str">
        <f t="shared" si="604"/>
        <v/>
      </c>
      <c r="ED168" s="164" t="str">
        <f t="shared" si="605"/>
        <v/>
      </c>
      <c r="EE168" s="164" t="str">
        <f t="shared" si="606"/>
        <v/>
      </c>
      <c r="EF168" s="164" t="str">
        <f t="shared" si="607"/>
        <v/>
      </c>
      <c r="EG168" s="164" t="str">
        <f t="shared" si="608"/>
        <v/>
      </c>
      <c r="EH168" s="164" t="str">
        <f t="shared" si="609"/>
        <v/>
      </c>
      <c r="EI168" s="164" t="str">
        <f t="shared" si="610"/>
        <v/>
      </c>
      <c r="EJ168" s="164" t="str">
        <f t="shared" si="611"/>
        <v/>
      </c>
      <c r="EK168" s="164" t="str">
        <f t="shared" si="612"/>
        <v/>
      </c>
      <c r="EL168" s="164" t="str">
        <f t="shared" si="613"/>
        <v/>
      </c>
      <c r="EM168" s="164" t="str">
        <f t="shared" si="614"/>
        <v/>
      </c>
      <c r="EN168" s="164" t="str">
        <f t="shared" si="615"/>
        <v/>
      </c>
      <c r="EO168" s="164" t="str">
        <f t="shared" si="616"/>
        <v/>
      </c>
      <c r="EP168" s="164" t="str">
        <f t="shared" si="617"/>
        <v/>
      </c>
      <c r="EQ168" s="164" t="str">
        <f t="shared" si="618"/>
        <v/>
      </c>
      <c r="ER168" s="164" t="str">
        <f t="shared" si="619"/>
        <v/>
      </c>
      <c r="ES168" s="164" t="str">
        <f t="shared" si="620"/>
        <v/>
      </c>
    </row>
    <row r="169" spans="1:149" x14ac:dyDescent="0.2">
      <c r="A169" s="89"/>
      <c r="B169" s="317"/>
      <c r="C169" s="609" t="str">
        <f t="shared" ca="1" si="528"/>
        <v/>
      </c>
      <c r="D169" s="1956" t="str">
        <f t="shared" ca="1" si="529"/>
        <v/>
      </c>
      <c r="E169" s="1956"/>
      <c r="F169" s="960"/>
      <c r="G169" s="485" t="str">
        <f t="shared" si="530"/>
        <v/>
      </c>
      <c r="H169" s="983"/>
      <c r="I169" s="486"/>
      <c r="J169" s="326"/>
      <c r="K169" s="1886" t="str">
        <f t="shared" ca="1" si="531"/>
        <v/>
      </c>
      <c r="L169" s="1888"/>
      <c r="M169" s="296" t="str">
        <f>IF(AND(EXACT($B169,""),ISBLANK($F169),ISBLANK($J169)),"",$B169+$F169+$J169)</f>
        <v/>
      </c>
      <c r="N169" s="1322"/>
      <c r="O169" s="1319"/>
      <c r="P169" s="957" t="str">
        <f t="shared" si="533"/>
        <v/>
      </c>
      <c r="Q169" s="164">
        <f t="shared" ca="1" si="534"/>
        <v>0</v>
      </c>
      <c r="R169" s="164">
        <f t="shared" ca="1" si="535"/>
        <v>0</v>
      </c>
      <c r="S169" s="164">
        <f t="shared" ca="1" si="536"/>
        <v>0</v>
      </c>
      <c r="T169" s="164">
        <f t="shared" ca="1" si="537"/>
        <v>0</v>
      </c>
      <c r="U169" s="164">
        <f t="shared" ca="1" si="538"/>
        <v>0</v>
      </c>
      <c r="V169" s="164">
        <f t="shared" ca="1" si="539"/>
        <v>0</v>
      </c>
      <c r="W169" s="164">
        <f t="shared" ca="1" si="540"/>
        <v>0</v>
      </c>
      <c r="X169" s="164">
        <f t="shared" ca="1" si="541"/>
        <v>0</v>
      </c>
      <c r="Y169" s="164">
        <f t="shared" ca="1" si="542"/>
        <v>0</v>
      </c>
      <c r="Z169" s="164">
        <f t="shared" ca="1" si="543"/>
        <v>0</v>
      </c>
      <c r="AA169" s="164">
        <f t="shared" ca="1" si="544"/>
        <v>0</v>
      </c>
      <c r="AB169" s="164">
        <f t="shared" ca="1" si="545"/>
        <v>0</v>
      </c>
      <c r="AC169" s="164">
        <f t="shared" ca="1" si="546"/>
        <v>0</v>
      </c>
      <c r="AD169" s="164">
        <f t="shared" ca="1" si="547"/>
        <v>0</v>
      </c>
      <c r="AE169" s="164">
        <f t="shared" ca="1" si="548"/>
        <v>0</v>
      </c>
      <c r="AF169" s="164">
        <f t="shared" ca="1" si="549"/>
        <v>0</v>
      </c>
      <c r="AG169" s="164">
        <f t="shared" ca="1" si="550"/>
        <v>0</v>
      </c>
      <c r="AH169" s="164">
        <f t="shared" ca="1" si="551"/>
        <v>0</v>
      </c>
      <c r="AI169" s="164">
        <f t="shared" ca="1" si="552"/>
        <v>0</v>
      </c>
      <c r="AJ169" s="164">
        <f t="shared" ca="1" si="553"/>
        <v>0</v>
      </c>
      <c r="AK169" s="164">
        <f t="shared" ca="1" si="554"/>
        <v>0</v>
      </c>
      <c r="AL169" s="164">
        <f t="shared" ca="1" si="555"/>
        <v>0</v>
      </c>
      <c r="AM169" s="208"/>
      <c r="AN169" s="164">
        <f t="shared" si="556"/>
        <v>0</v>
      </c>
      <c r="AO169" s="164">
        <f t="shared" si="557"/>
        <v>0</v>
      </c>
      <c r="AP169" s="164">
        <f t="shared" si="558"/>
        <v>0</v>
      </c>
      <c r="AQ169" s="164">
        <f t="shared" si="559"/>
        <v>0</v>
      </c>
      <c r="AR169" s="164">
        <f t="shared" si="560"/>
        <v>0</v>
      </c>
      <c r="AS169" s="164">
        <f t="shared" si="561"/>
        <v>0</v>
      </c>
      <c r="AT169" s="164">
        <f t="shared" si="562"/>
        <v>0</v>
      </c>
      <c r="AU169" s="164">
        <f t="shared" si="563"/>
        <v>0</v>
      </c>
      <c r="AV169" s="164">
        <f t="shared" si="564"/>
        <v>0</v>
      </c>
      <c r="AW169" s="164">
        <f t="shared" si="565"/>
        <v>0</v>
      </c>
      <c r="AX169" s="164">
        <f t="shared" si="566"/>
        <v>0</v>
      </c>
      <c r="AY169" s="164">
        <f t="shared" si="567"/>
        <v>0</v>
      </c>
      <c r="AZ169" s="164">
        <f t="shared" si="568"/>
        <v>0</v>
      </c>
      <c r="BA169" s="164">
        <f t="shared" si="569"/>
        <v>0</v>
      </c>
      <c r="BB169" s="164">
        <f t="shared" si="570"/>
        <v>0</v>
      </c>
      <c r="BC169" s="164">
        <f t="shared" si="571"/>
        <v>0</v>
      </c>
      <c r="BD169" s="164">
        <f t="shared" si="572"/>
        <v>0</v>
      </c>
      <c r="BE169" s="164">
        <f t="shared" si="573"/>
        <v>0</v>
      </c>
      <c r="BF169" s="164">
        <f t="shared" si="574"/>
        <v>0</v>
      </c>
      <c r="BG169" s="164">
        <f t="shared" si="575"/>
        <v>0</v>
      </c>
      <c r="BH169" s="164">
        <f t="shared" si="576"/>
        <v>0</v>
      </c>
      <c r="BI169" s="164">
        <f t="shared" si="577"/>
        <v>0</v>
      </c>
      <c r="BJ169" s="164">
        <f t="shared" si="578"/>
        <v>0</v>
      </c>
      <c r="BK169" s="164">
        <f t="shared" si="579"/>
        <v>0</v>
      </c>
      <c r="BL169" s="164">
        <f t="shared" si="580"/>
        <v>0</v>
      </c>
      <c r="BM169" s="164">
        <f t="shared" si="581"/>
        <v>0</v>
      </c>
      <c r="BN169" s="164">
        <f t="shared" si="582"/>
        <v>0</v>
      </c>
      <c r="BO169" s="356" t="str">
        <f t="shared" si="583"/>
        <v/>
      </c>
      <c r="BP169" s="355" t="str">
        <f t="shared" si="584"/>
        <v/>
      </c>
      <c r="BQ169" s="355" t="str">
        <f t="shared" si="585"/>
        <v/>
      </c>
      <c r="BR169" s="348">
        <f t="shared" ca="1" si="516"/>
        <v>0</v>
      </c>
      <c r="BS169" s="348">
        <f t="shared" ca="1" si="517"/>
        <v>0</v>
      </c>
      <c r="BT169" s="610">
        <f t="shared" ca="1" si="586"/>
        <v>0</v>
      </c>
      <c r="BU169" s="357">
        <f t="shared" ca="1" si="587"/>
        <v>0</v>
      </c>
      <c r="BV169" s="357">
        <f t="shared" si="588"/>
        <v>0</v>
      </c>
      <c r="BW169" s="357">
        <f t="shared" si="589"/>
        <v>0</v>
      </c>
      <c r="BX169" s="357">
        <f t="shared" ca="1" si="590"/>
        <v>0</v>
      </c>
      <c r="BY169" s="357">
        <f t="shared" ca="1" si="522"/>
        <v>0</v>
      </c>
      <c r="BZ169" s="357"/>
      <c r="CA169" s="357">
        <f t="shared" ca="1" si="518"/>
        <v>0</v>
      </c>
      <c r="CB169" s="357" t="str">
        <f t="shared" si="591"/>
        <v/>
      </c>
      <c r="CC169" s="358" t="str">
        <f t="shared" ca="1" si="523"/>
        <v/>
      </c>
      <c r="CD169" s="358" t="str">
        <f t="shared" ca="1" si="524"/>
        <v/>
      </c>
      <c r="CE169" s="357"/>
      <c r="CF169" s="154" t="str">
        <f t="shared" si="621"/>
        <v/>
      </c>
      <c r="CG169" s="154">
        <f t="shared" ca="1" si="525"/>
        <v>0</v>
      </c>
      <c r="CH169" s="154"/>
      <c r="CI169" s="154"/>
      <c r="CJ169" s="154"/>
      <c r="CK169" s="154"/>
      <c r="CL169" s="154"/>
      <c r="CM169" s="154"/>
      <c r="CN169" t="s">
        <v>784</v>
      </c>
      <c r="CO169" s="169"/>
      <c r="CP169" s="169"/>
      <c r="CQ169" s="169"/>
      <c r="CR169" s="169"/>
      <c r="CS169" s="169"/>
      <c r="CT169" s="169"/>
      <c r="CU169" s="169"/>
      <c r="CV169" s="164" t="str">
        <f t="shared" si="592"/>
        <v/>
      </c>
      <c r="CW169" s="164" t="str">
        <f t="shared" si="592"/>
        <v/>
      </c>
      <c r="CX169" s="164" t="str">
        <f t="shared" si="592"/>
        <v/>
      </c>
      <c r="CY169" s="164" t="str">
        <f t="shared" si="592"/>
        <v/>
      </c>
      <c r="CZ169" s="164" t="str">
        <f t="shared" si="592"/>
        <v/>
      </c>
      <c r="DA169" s="164" t="str">
        <f t="shared" si="592"/>
        <v/>
      </c>
      <c r="DB169" s="164" t="str">
        <f t="shared" si="592"/>
        <v/>
      </c>
      <c r="DC169" s="164" t="str">
        <f t="shared" si="592"/>
        <v/>
      </c>
      <c r="DD169" s="164" t="str">
        <f t="shared" si="592"/>
        <v/>
      </c>
      <c r="DE169" s="164" t="str">
        <f t="shared" si="592"/>
        <v/>
      </c>
      <c r="DF169" s="164" t="str">
        <f t="shared" si="593"/>
        <v/>
      </c>
      <c r="DG169" s="164" t="str">
        <f t="shared" si="593"/>
        <v/>
      </c>
      <c r="DH169" s="164" t="str">
        <f t="shared" si="593"/>
        <v/>
      </c>
      <c r="DI169" s="164" t="str">
        <f t="shared" si="593"/>
        <v/>
      </c>
      <c r="DJ169" s="164" t="str">
        <f t="shared" si="593"/>
        <v/>
      </c>
      <c r="DK169" s="164" t="str">
        <f t="shared" si="593"/>
        <v/>
      </c>
      <c r="DL169" s="164" t="str">
        <f t="shared" si="593"/>
        <v/>
      </c>
      <c r="DM169" s="164" t="str">
        <f t="shared" si="593"/>
        <v/>
      </c>
      <c r="DN169" s="164" t="str">
        <f t="shared" si="593"/>
        <v/>
      </c>
      <c r="DO169" s="164" t="str">
        <f t="shared" si="593"/>
        <v/>
      </c>
      <c r="DP169" s="164" t="str">
        <f t="shared" si="593"/>
        <v/>
      </c>
      <c r="DQ169" s="164" t="str">
        <f t="shared" si="593"/>
        <v/>
      </c>
      <c r="DR169" s="208"/>
      <c r="DS169" s="164" t="str">
        <f t="shared" si="594"/>
        <v/>
      </c>
      <c r="DT169" s="164" t="str">
        <f t="shared" si="595"/>
        <v/>
      </c>
      <c r="DU169" s="164" t="str">
        <f t="shared" si="596"/>
        <v/>
      </c>
      <c r="DV169" s="164" t="str">
        <f t="shared" si="597"/>
        <v/>
      </c>
      <c r="DW169" s="164" t="str">
        <f t="shared" si="598"/>
        <v/>
      </c>
      <c r="DX169" s="164" t="str">
        <f t="shared" si="599"/>
        <v/>
      </c>
      <c r="DY169" s="164" t="str">
        <f t="shared" si="600"/>
        <v/>
      </c>
      <c r="DZ169" s="164" t="str">
        <f t="shared" si="601"/>
        <v/>
      </c>
      <c r="EA169" s="164" t="str">
        <f t="shared" si="602"/>
        <v/>
      </c>
      <c r="EB169" s="164" t="str">
        <f t="shared" si="603"/>
        <v/>
      </c>
      <c r="EC169" s="164" t="str">
        <f t="shared" si="604"/>
        <v/>
      </c>
      <c r="ED169" s="164" t="str">
        <f t="shared" si="605"/>
        <v/>
      </c>
      <c r="EE169" s="164" t="str">
        <f t="shared" si="606"/>
        <v/>
      </c>
      <c r="EF169" s="164" t="str">
        <f t="shared" si="607"/>
        <v/>
      </c>
      <c r="EG169" s="164" t="str">
        <f t="shared" si="608"/>
        <v/>
      </c>
      <c r="EH169" s="164" t="str">
        <f t="shared" si="609"/>
        <v/>
      </c>
      <c r="EI169" s="164" t="str">
        <f t="shared" si="610"/>
        <v/>
      </c>
      <c r="EJ169" s="164" t="str">
        <f t="shared" si="611"/>
        <v/>
      </c>
      <c r="EK169" s="164" t="str">
        <f t="shared" si="612"/>
        <v/>
      </c>
      <c r="EL169" s="164" t="str">
        <f t="shared" si="613"/>
        <v/>
      </c>
      <c r="EM169" s="164" t="str">
        <f t="shared" si="614"/>
        <v/>
      </c>
      <c r="EN169" s="164" t="str">
        <f t="shared" si="615"/>
        <v/>
      </c>
      <c r="EO169" s="164" t="str">
        <f t="shared" si="616"/>
        <v/>
      </c>
      <c r="EP169" s="164" t="str">
        <f t="shared" si="617"/>
        <v/>
      </c>
      <c r="EQ169" s="164" t="str">
        <f t="shared" si="618"/>
        <v/>
      </c>
      <c r="ER169" s="164" t="str">
        <f t="shared" si="619"/>
        <v/>
      </c>
      <c r="ES169" s="164" t="str">
        <f t="shared" si="620"/>
        <v/>
      </c>
    </row>
    <row r="170" spans="1:149" x14ac:dyDescent="0.2">
      <c r="A170" s="89"/>
      <c r="B170" s="317"/>
      <c r="C170" s="609" t="str">
        <f t="shared" ca="1" si="528"/>
        <v/>
      </c>
      <c r="D170" s="1956" t="str">
        <f t="shared" ca="1" si="529"/>
        <v/>
      </c>
      <c r="E170" s="1956"/>
      <c r="F170" s="960"/>
      <c r="G170" s="485" t="str">
        <f t="shared" si="530"/>
        <v/>
      </c>
      <c r="H170" s="983"/>
      <c r="I170" s="486"/>
      <c r="J170" s="326"/>
      <c r="K170" s="1886" t="str">
        <f t="shared" ca="1" si="531"/>
        <v/>
      </c>
      <c r="L170" s="1888"/>
      <c r="M170" s="296" t="str">
        <f>IF(AND(EXACT($B170,""),ISBLANK($F170),ISBLANK($J170)),"",$B170+$F170+$J170)</f>
        <v/>
      </c>
      <c r="N170" s="1322"/>
      <c r="O170" s="1319"/>
      <c r="P170" s="957" t="str">
        <f t="shared" si="533"/>
        <v/>
      </c>
      <c r="Q170" s="164">
        <f t="shared" ca="1" si="534"/>
        <v>0</v>
      </c>
      <c r="R170" s="164">
        <f t="shared" ca="1" si="535"/>
        <v>0</v>
      </c>
      <c r="S170" s="164">
        <f t="shared" ca="1" si="536"/>
        <v>0</v>
      </c>
      <c r="T170" s="164">
        <f t="shared" ca="1" si="537"/>
        <v>0</v>
      </c>
      <c r="U170" s="164">
        <f t="shared" ca="1" si="538"/>
        <v>0</v>
      </c>
      <c r="V170" s="164">
        <f t="shared" ca="1" si="539"/>
        <v>0</v>
      </c>
      <c r="W170" s="164">
        <f t="shared" ca="1" si="540"/>
        <v>0</v>
      </c>
      <c r="X170" s="164">
        <f t="shared" ca="1" si="541"/>
        <v>0</v>
      </c>
      <c r="Y170" s="164">
        <f t="shared" ca="1" si="542"/>
        <v>0</v>
      </c>
      <c r="Z170" s="164">
        <f t="shared" ca="1" si="543"/>
        <v>0</v>
      </c>
      <c r="AA170" s="164">
        <f t="shared" ca="1" si="544"/>
        <v>0</v>
      </c>
      <c r="AB170" s="164">
        <f t="shared" ca="1" si="545"/>
        <v>0</v>
      </c>
      <c r="AC170" s="164">
        <f t="shared" ca="1" si="546"/>
        <v>0</v>
      </c>
      <c r="AD170" s="164">
        <f t="shared" ca="1" si="547"/>
        <v>0</v>
      </c>
      <c r="AE170" s="164">
        <f t="shared" ca="1" si="548"/>
        <v>0</v>
      </c>
      <c r="AF170" s="164">
        <f t="shared" ca="1" si="549"/>
        <v>0</v>
      </c>
      <c r="AG170" s="164">
        <f t="shared" ca="1" si="550"/>
        <v>0</v>
      </c>
      <c r="AH170" s="164">
        <f t="shared" ca="1" si="551"/>
        <v>0</v>
      </c>
      <c r="AI170" s="164">
        <f t="shared" ca="1" si="552"/>
        <v>0</v>
      </c>
      <c r="AJ170" s="164">
        <f t="shared" ca="1" si="553"/>
        <v>0</v>
      </c>
      <c r="AK170" s="164">
        <f t="shared" ca="1" si="554"/>
        <v>0</v>
      </c>
      <c r="AL170" s="164">
        <f t="shared" ca="1" si="555"/>
        <v>0</v>
      </c>
      <c r="AM170" s="208"/>
      <c r="AN170" s="164">
        <f t="shared" si="556"/>
        <v>0</v>
      </c>
      <c r="AO170" s="164">
        <f t="shared" si="557"/>
        <v>0</v>
      </c>
      <c r="AP170" s="164">
        <f t="shared" si="558"/>
        <v>0</v>
      </c>
      <c r="AQ170" s="164">
        <f t="shared" si="559"/>
        <v>0</v>
      </c>
      <c r="AR170" s="164">
        <f t="shared" si="560"/>
        <v>0</v>
      </c>
      <c r="AS170" s="164">
        <f t="shared" si="561"/>
        <v>0</v>
      </c>
      <c r="AT170" s="164">
        <f t="shared" si="562"/>
        <v>0</v>
      </c>
      <c r="AU170" s="164">
        <f t="shared" si="563"/>
        <v>0</v>
      </c>
      <c r="AV170" s="164">
        <f t="shared" si="564"/>
        <v>0</v>
      </c>
      <c r="AW170" s="164">
        <f t="shared" si="565"/>
        <v>0</v>
      </c>
      <c r="AX170" s="164">
        <f t="shared" si="566"/>
        <v>0</v>
      </c>
      <c r="AY170" s="164">
        <f t="shared" si="567"/>
        <v>0</v>
      </c>
      <c r="AZ170" s="164">
        <f t="shared" si="568"/>
        <v>0</v>
      </c>
      <c r="BA170" s="164">
        <f t="shared" si="569"/>
        <v>0</v>
      </c>
      <c r="BB170" s="164">
        <f t="shared" si="570"/>
        <v>0</v>
      </c>
      <c r="BC170" s="164">
        <f t="shared" si="571"/>
        <v>0</v>
      </c>
      <c r="BD170" s="164">
        <f t="shared" si="572"/>
        <v>0</v>
      </c>
      <c r="BE170" s="164">
        <f t="shared" si="573"/>
        <v>0</v>
      </c>
      <c r="BF170" s="164">
        <f t="shared" si="574"/>
        <v>0</v>
      </c>
      <c r="BG170" s="164">
        <f t="shared" si="575"/>
        <v>0</v>
      </c>
      <c r="BH170" s="164">
        <f t="shared" si="576"/>
        <v>0</v>
      </c>
      <c r="BI170" s="164">
        <f t="shared" si="577"/>
        <v>0</v>
      </c>
      <c r="BJ170" s="164">
        <f t="shared" si="578"/>
        <v>0</v>
      </c>
      <c r="BK170" s="164">
        <f t="shared" si="579"/>
        <v>0</v>
      </c>
      <c r="BL170" s="164">
        <f t="shared" si="580"/>
        <v>0</v>
      </c>
      <c r="BM170" s="164">
        <f t="shared" si="581"/>
        <v>0</v>
      </c>
      <c r="BN170" s="164">
        <f t="shared" si="582"/>
        <v>0</v>
      </c>
      <c r="BO170" s="356" t="str">
        <f t="shared" si="583"/>
        <v/>
      </c>
      <c r="BP170" s="355" t="str">
        <f t="shared" si="584"/>
        <v/>
      </c>
      <c r="BQ170" s="355" t="str">
        <f t="shared" si="585"/>
        <v/>
      </c>
      <c r="BR170" s="348">
        <f t="shared" ca="1" si="516"/>
        <v>0</v>
      </c>
      <c r="BS170" s="348">
        <f t="shared" ca="1" si="517"/>
        <v>0</v>
      </c>
      <c r="BT170" s="610">
        <f t="shared" ca="1" si="586"/>
        <v>0</v>
      </c>
      <c r="BU170" s="357">
        <f t="shared" ca="1" si="587"/>
        <v>0</v>
      </c>
      <c r="BV170" s="357">
        <f t="shared" si="588"/>
        <v>0</v>
      </c>
      <c r="BW170" s="357">
        <f t="shared" si="589"/>
        <v>0</v>
      </c>
      <c r="BX170" s="357">
        <f t="shared" ca="1" si="590"/>
        <v>0</v>
      </c>
      <c r="BY170" s="357">
        <f t="shared" ca="1" si="522"/>
        <v>0</v>
      </c>
      <c r="BZ170" s="357"/>
      <c r="CA170" s="357">
        <f t="shared" ca="1" si="518"/>
        <v>0</v>
      </c>
      <c r="CB170" s="357" t="str">
        <f t="shared" si="591"/>
        <v/>
      </c>
      <c r="CC170" s="358" t="str">
        <f t="shared" ca="1" si="523"/>
        <v/>
      </c>
      <c r="CD170" s="358" t="str">
        <f t="shared" ca="1" si="524"/>
        <v/>
      </c>
      <c r="CE170" s="357"/>
      <c r="CF170" s="154" t="str">
        <f t="shared" si="621"/>
        <v/>
      </c>
      <c r="CG170" s="154">
        <f t="shared" ca="1" si="525"/>
        <v>0</v>
      </c>
      <c r="CH170" s="154"/>
      <c r="CI170" s="154"/>
      <c r="CJ170" s="154"/>
      <c r="CK170" s="154"/>
      <c r="CL170" s="154"/>
      <c r="CM170" s="154"/>
      <c r="CN170" t="s">
        <v>784</v>
      </c>
      <c r="CO170" s="169"/>
      <c r="CP170" s="169"/>
      <c r="CQ170" s="169"/>
      <c r="CR170" s="169"/>
      <c r="CS170" s="169"/>
      <c r="CT170" s="169"/>
      <c r="CU170" s="169"/>
      <c r="CV170" s="164" t="str">
        <f t="shared" si="592"/>
        <v/>
      </c>
      <c r="CW170" s="164" t="str">
        <f t="shared" si="592"/>
        <v/>
      </c>
      <c r="CX170" s="164" t="str">
        <f t="shared" si="592"/>
        <v/>
      </c>
      <c r="CY170" s="164" t="str">
        <f t="shared" si="592"/>
        <v/>
      </c>
      <c r="CZ170" s="164" t="str">
        <f t="shared" si="592"/>
        <v/>
      </c>
      <c r="DA170" s="164" t="str">
        <f t="shared" si="592"/>
        <v/>
      </c>
      <c r="DB170" s="164" t="str">
        <f t="shared" si="592"/>
        <v/>
      </c>
      <c r="DC170" s="164" t="str">
        <f t="shared" si="592"/>
        <v/>
      </c>
      <c r="DD170" s="164" t="str">
        <f t="shared" si="592"/>
        <v/>
      </c>
      <c r="DE170" s="164" t="str">
        <f t="shared" si="592"/>
        <v/>
      </c>
      <c r="DF170" s="164" t="str">
        <f t="shared" si="593"/>
        <v/>
      </c>
      <c r="DG170" s="164" t="str">
        <f t="shared" si="593"/>
        <v/>
      </c>
      <c r="DH170" s="164" t="str">
        <f t="shared" si="593"/>
        <v/>
      </c>
      <c r="DI170" s="164" t="str">
        <f t="shared" si="593"/>
        <v/>
      </c>
      <c r="DJ170" s="164" t="str">
        <f t="shared" si="593"/>
        <v/>
      </c>
      <c r="DK170" s="164" t="str">
        <f t="shared" si="593"/>
        <v/>
      </c>
      <c r="DL170" s="164" t="str">
        <f t="shared" si="593"/>
        <v/>
      </c>
      <c r="DM170" s="164" t="str">
        <f t="shared" si="593"/>
        <v/>
      </c>
      <c r="DN170" s="164" t="str">
        <f t="shared" si="593"/>
        <v/>
      </c>
      <c r="DO170" s="164" t="str">
        <f t="shared" si="593"/>
        <v/>
      </c>
      <c r="DP170" s="164" t="str">
        <f t="shared" si="593"/>
        <v/>
      </c>
      <c r="DQ170" s="164" t="str">
        <f t="shared" si="593"/>
        <v/>
      </c>
      <c r="DR170" s="208"/>
      <c r="DS170" s="164" t="str">
        <f t="shared" si="594"/>
        <v/>
      </c>
      <c r="DT170" s="164" t="str">
        <f t="shared" si="595"/>
        <v/>
      </c>
      <c r="DU170" s="164" t="str">
        <f t="shared" si="596"/>
        <v/>
      </c>
      <c r="DV170" s="164" t="str">
        <f t="shared" si="597"/>
        <v/>
      </c>
      <c r="DW170" s="164" t="str">
        <f t="shared" si="598"/>
        <v/>
      </c>
      <c r="DX170" s="164" t="str">
        <f t="shared" si="599"/>
        <v/>
      </c>
      <c r="DY170" s="164" t="str">
        <f t="shared" si="600"/>
        <v/>
      </c>
      <c r="DZ170" s="164" t="str">
        <f t="shared" si="601"/>
        <v/>
      </c>
      <c r="EA170" s="164" t="str">
        <f t="shared" si="602"/>
        <v/>
      </c>
      <c r="EB170" s="164" t="str">
        <f t="shared" si="603"/>
        <v/>
      </c>
      <c r="EC170" s="164" t="str">
        <f t="shared" si="604"/>
        <v/>
      </c>
      <c r="ED170" s="164" t="str">
        <f t="shared" si="605"/>
        <v/>
      </c>
      <c r="EE170" s="164" t="str">
        <f t="shared" si="606"/>
        <v/>
      </c>
      <c r="EF170" s="164" t="str">
        <f t="shared" si="607"/>
        <v/>
      </c>
      <c r="EG170" s="164" t="str">
        <f t="shared" si="608"/>
        <v/>
      </c>
      <c r="EH170" s="164" t="str">
        <f t="shared" si="609"/>
        <v/>
      </c>
      <c r="EI170" s="164" t="str">
        <f t="shared" si="610"/>
        <v/>
      </c>
      <c r="EJ170" s="164" t="str">
        <f t="shared" si="611"/>
        <v/>
      </c>
      <c r="EK170" s="164" t="str">
        <f t="shared" si="612"/>
        <v/>
      </c>
      <c r="EL170" s="164" t="str">
        <f t="shared" si="613"/>
        <v/>
      </c>
      <c r="EM170" s="164" t="str">
        <f t="shared" si="614"/>
        <v/>
      </c>
      <c r="EN170" s="164" t="str">
        <f t="shared" si="615"/>
        <v/>
      </c>
      <c r="EO170" s="164" t="str">
        <f t="shared" si="616"/>
        <v/>
      </c>
      <c r="EP170" s="164" t="str">
        <f t="shared" si="617"/>
        <v/>
      </c>
      <c r="EQ170" s="164" t="str">
        <f t="shared" si="618"/>
        <v/>
      </c>
      <c r="ER170" s="164" t="str">
        <f t="shared" si="619"/>
        <v/>
      </c>
      <c r="ES170" s="164" t="str">
        <f t="shared" si="620"/>
        <v/>
      </c>
    </row>
    <row r="171" spans="1:149" x14ac:dyDescent="0.2">
      <c r="A171" s="89"/>
      <c r="B171" s="317"/>
      <c r="C171" s="609" t="str">
        <f t="shared" ca="1" si="528"/>
        <v/>
      </c>
      <c r="D171" s="1956" t="str">
        <f t="shared" ca="1" si="529"/>
        <v/>
      </c>
      <c r="E171" s="1956"/>
      <c r="F171" s="960"/>
      <c r="G171" s="485" t="str">
        <f t="shared" si="530"/>
        <v/>
      </c>
      <c r="H171" s="983"/>
      <c r="I171" s="486"/>
      <c r="J171" s="326"/>
      <c r="K171" s="1886" t="str">
        <f t="shared" ca="1" si="531"/>
        <v/>
      </c>
      <c r="L171" s="1888"/>
      <c r="M171" s="296" t="str">
        <f>IF(AND(EXACT($B171,""),ISBLANK($F171),ISBLANK($J171)),"",$B171+$F171+$J171)</f>
        <v/>
      </c>
      <c r="N171" s="1322"/>
      <c r="O171" s="1319"/>
      <c r="P171" s="957" t="str">
        <f t="shared" si="533"/>
        <v/>
      </c>
      <c r="Q171" s="164">
        <f t="shared" ca="1" si="534"/>
        <v>0</v>
      </c>
      <c r="R171" s="164">
        <f t="shared" ca="1" si="535"/>
        <v>0</v>
      </c>
      <c r="S171" s="164">
        <f t="shared" ca="1" si="536"/>
        <v>0</v>
      </c>
      <c r="T171" s="164">
        <f t="shared" ca="1" si="537"/>
        <v>0</v>
      </c>
      <c r="U171" s="164">
        <f t="shared" ca="1" si="538"/>
        <v>0</v>
      </c>
      <c r="V171" s="164">
        <f t="shared" ca="1" si="539"/>
        <v>0</v>
      </c>
      <c r="W171" s="164">
        <f t="shared" ca="1" si="540"/>
        <v>0</v>
      </c>
      <c r="X171" s="164">
        <f t="shared" ca="1" si="541"/>
        <v>0</v>
      </c>
      <c r="Y171" s="164">
        <f t="shared" ca="1" si="542"/>
        <v>0</v>
      </c>
      <c r="Z171" s="164">
        <f t="shared" ca="1" si="543"/>
        <v>0</v>
      </c>
      <c r="AA171" s="164">
        <f t="shared" ca="1" si="544"/>
        <v>0</v>
      </c>
      <c r="AB171" s="164">
        <f t="shared" ca="1" si="545"/>
        <v>0</v>
      </c>
      <c r="AC171" s="164">
        <f t="shared" ca="1" si="546"/>
        <v>0</v>
      </c>
      <c r="AD171" s="164">
        <f t="shared" ca="1" si="547"/>
        <v>0</v>
      </c>
      <c r="AE171" s="164">
        <f t="shared" ca="1" si="548"/>
        <v>0</v>
      </c>
      <c r="AF171" s="164">
        <f t="shared" ca="1" si="549"/>
        <v>0</v>
      </c>
      <c r="AG171" s="164">
        <f t="shared" ca="1" si="550"/>
        <v>0</v>
      </c>
      <c r="AH171" s="164">
        <f t="shared" ca="1" si="551"/>
        <v>0</v>
      </c>
      <c r="AI171" s="164">
        <f t="shared" ca="1" si="552"/>
        <v>0</v>
      </c>
      <c r="AJ171" s="164">
        <f t="shared" ca="1" si="553"/>
        <v>0</v>
      </c>
      <c r="AK171" s="164">
        <f t="shared" ca="1" si="554"/>
        <v>0</v>
      </c>
      <c r="AL171" s="164">
        <f t="shared" ca="1" si="555"/>
        <v>0</v>
      </c>
      <c r="AM171" s="208"/>
      <c r="AN171" s="164">
        <f t="shared" si="556"/>
        <v>0</v>
      </c>
      <c r="AO171" s="164">
        <f t="shared" si="557"/>
        <v>0</v>
      </c>
      <c r="AP171" s="164">
        <f t="shared" si="558"/>
        <v>0</v>
      </c>
      <c r="AQ171" s="164">
        <f t="shared" si="559"/>
        <v>0</v>
      </c>
      <c r="AR171" s="164">
        <f t="shared" si="560"/>
        <v>0</v>
      </c>
      <c r="AS171" s="164">
        <f t="shared" si="561"/>
        <v>0</v>
      </c>
      <c r="AT171" s="164">
        <f t="shared" si="562"/>
        <v>0</v>
      </c>
      <c r="AU171" s="164">
        <f t="shared" si="563"/>
        <v>0</v>
      </c>
      <c r="AV171" s="164">
        <f t="shared" si="564"/>
        <v>0</v>
      </c>
      <c r="AW171" s="164">
        <f t="shared" si="565"/>
        <v>0</v>
      </c>
      <c r="AX171" s="164">
        <f t="shared" si="566"/>
        <v>0</v>
      </c>
      <c r="AY171" s="164">
        <f t="shared" si="567"/>
        <v>0</v>
      </c>
      <c r="AZ171" s="164">
        <f t="shared" si="568"/>
        <v>0</v>
      </c>
      <c r="BA171" s="164">
        <f t="shared" si="569"/>
        <v>0</v>
      </c>
      <c r="BB171" s="164">
        <f t="shared" si="570"/>
        <v>0</v>
      </c>
      <c r="BC171" s="164">
        <f t="shared" si="571"/>
        <v>0</v>
      </c>
      <c r="BD171" s="164">
        <f t="shared" si="572"/>
        <v>0</v>
      </c>
      <c r="BE171" s="164">
        <f t="shared" si="573"/>
        <v>0</v>
      </c>
      <c r="BF171" s="164">
        <f t="shared" si="574"/>
        <v>0</v>
      </c>
      <c r="BG171" s="164">
        <f t="shared" si="575"/>
        <v>0</v>
      </c>
      <c r="BH171" s="164">
        <f t="shared" si="576"/>
        <v>0</v>
      </c>
      <c r="BI171" s="164">
        <f t="shared" si="577"/>
        <v>0</v>
      </c>
      <c r="BJ171" s="164">
        <f t="shared" si="578"/>
        <v>0</v>
      </c>
      <c r="BK171" s="164">
        <f t="shared" si="579"/>
        <v>0</v>
      </c>
      <c r="BL171" s="164">
        <f t="shared" si="580"/>
        <v>0</v>
      </c>
      <c r="BM171" s="164">
        <f t="shared" si="581"/>
        <v>0</v>
      </c>
      <c r="BN171" s="164">
        <f t="shared" si="582"/>
        <v>0</v>
      </c>
      <c r="BO171" s="356" t="str">
        <f t="shared" si="583"/>
        <v/>
      </c>
      <c r="BP171" s="355" t="str">
        <f t="shared" si="584"/>
        <v/>
      </c>
      <c r="BQ171" s="355" t="str">
        <f t="shared" si="585"/>
        <v/>
      </c>
      <c r="BR171" s="348">
        <f t="shared" ca="1" si="516"/>
        <v>0</v>
      </c>
      <c r="BS171" s="348">
        <f t="shared" ca="1" si="517"/>
        <v>0</v>
      </c>
      <c r="BT171" s="610">
        <f t="shared" ca="1" si="586"/>
        <v>0</v>
      </c>
      <c r="BU171" s="357">
        <f t="shared" ca="1" si="587"/>
        <v>0</v>
      </c>
      <c r="BV171" s="357">
        <f t="shared" si="588"/>
        <v>0</v>
      </c>
      <c r="BW171" s="357">
        <f t="shared" si="589"/>
        <v>0</v>
      </c>
      <c r="BX171" s="357">
        <f t="shared" ca="1" si="590"/>
        <v>0</v>
      </c>
      <c r="BY171" s="357">
        <f t="shared" ca="1" si="522"/>
        <v>0</v>
      </c>
      <c r="BZ171" s="357"/>
      <c r="CA171" s="357">
        <f t="shared" ca="1" si="518"/>
        <v>0</v>
      </c>
      <c r="CB171" s="357" t="str">
        <f t="shared" si="591"/>
        <v/>
      </c>
      <c r="CC171" s="358" t="str">
        <f t="shared" ca="1" si="523"/>
        <v/>
      </c>
      <c r="CD171" s="358" t="str">
        <f t="shared" ca="1" si="524"/>
        <v/>
      </c>
      <c r="CE171" s="357"/>
      <c r="CF171" s="154" t="str">
        <f t="shared" si="621"/>
        <v/>
      </c>
      <c r="CG171" s="154">
        <f t="shared" ca="1" si="525"/>
        <v>0</v>
      </c>
      <c r="CH171" s="154"/>
      <c r="CI171" s="154"/>
      <c r="CJ171" s="154"/>
      <c r="CK171" s="154"/>
      <c r="CL171" s="154"/>
      <c r="CM171" s="154"/>
      <c r="CN171" t="s">
        <v>784</v>
      </c>
      <c r="CO171" s="169"/>
      <c r="CP171" s="169"/>
      <c r="CQ171" s="169"/>
      <c r="CR171" s="169"/>
      <c r="CS171" s="169"/>
      <c r="CT171" s="169"/>
      <c r="CU171" s="169"/>
      <c r="CV171" s="164" t="str">
        <f t="shared" si="592"/>
        <v/>
      </c>
      <c r="CW171" s="164" t="str">
        <f t="shared" si="592"/>
        <v/>
      </c>
      <c r="CX171" s="164" t="str">
        <f t="shared" si="592"/>
        <v/>
      </c>
      <c r="CY171" s="164" t="str">
        <f t="shared" si="592"/>
        <v/>
      </c>
      <c r="CZ171" s="164" t="str">
        <f t="shared" si="592"/>
        <v/>
      </c>
      <c r="DA171" s="164" t="str">
        <f t="shared" si="592"/>
        <v/>
      </c>
      <c r="DB171" s="164" t="str">
        <f t="shared" si="592"/>
        <v/>
      </c>
      <c r="DC171" s="164" t="str">
        <f t="shared" si="592"/>
        <v/>
      </c>
      <c r="DD171" s="164" t="str">
        <f t="shared" si="592"/>
        <v/>
      </c>
      <c r="DE171" s="164" t="str">
        <f t="shared" si="592"/>
        <v/>
      </c>
      <c r="DF171" s="164" t="str">
        <f t="shared" si="593"/>
        <v/>
      </c>
      <c r="DG171" s="164" t="str">
        <f t="shared" si="593"/>
        <v/>
      </c>
      <c r="DH171" s="164" t="str">
        <f t="shared" si="593"/>
        <v/>
      </c>
      <c r="DI171" s="164" t="str">
        <f t="shared" si="593"/>
        <v/>
      </c>
      <c r="DJ171" s="164" t="str">
        <f t="shared" si="593"/>
        <v/>
      </c>
      <c r="DK171" s="164" t="str">
        <f t="shared" si="593"/>
        <v/>
      </c>
      <c r="DL171" s="164" t="str">
        <f t="shared" si="593"/>
        <v/>
      </c>
      <c r="DM171" s="164" t="str">
        <f t="shared" si="593"/>
        <v/>
      </c>
      <c r="DN171" s="164" t="str">
        <f t="shared" si="593"/>
        <v/>
      </c>
      <c r="DO171" s="164" t="str">
        <f t="shared" si="593"/>
        <v/>
      </c>
      <c r="DP171" s="164" t="str">
        <f t="shared" si="593"/>
        <v/>
      </c>
      <c r="DQ171" s="164" t="str">
        <f t="shared" si="593"/>
        <v/>
      </c>
      <c r="DR171" s="208"/>
      <c r="DS171" s="164" t="str">
        <f t="shared" si="594"/>
        <v/>
      </c>
      <c r="DT171" s="164" t="str">
        <f t="shared" si="595"/>
        <v/>
      </c>
      <c r="DU171" s="164" t="str">
        <f t="shared" si="596"/>
        <v/>
      </c>
      <c r="DV171" s="164" t="str">
        <f t="shared" si="597"/>
        <v/>
      </c>
      <c r="DW171" s="164" t="str">
        <f t="shared" si="598"/>
        <v/>
      </c>
      <c r="DX171" s="164" t="str">
        <f t="shared" si="599"/>
        <v/>
      </c>
      <c r="DY171" s="164" t="str">
        <f t="shared" si="600"/>
        <v/>
      </c>
      <c r="DZ171" s="164" t="str">
        <f t="shared" si="601"/>
        <v/>
      </c>
      <c r="EA171" s="164" t="str">
        <f t="shared" si="602"/>
        <v/>
      </c>
      <c r="EB171" s="164" t="str">
        <f t="shared" si="603"/>
        <v/>
      </c>
      <c r="EC171" s="164" t="str">
        <f t="shared" si="604"/>
        <v/>
      </c>
      <c r="ED171" s="164" t="str">
        <f t="shared" si="605"/>
        <v/>
      </c>
      <c r="EE171" s="164" t="str">
        <f t="shared" si="606"/>
        <v/>
      </c>
      <c r="EF171" s="164" t="str">
        <f t="shared" si="607"/>
        <v/>
      </c>
      <c r="EG171" s="164" t="str">
        <f t="shared" si="608"/>
        <v/>
      </c>
      <c r="EH171" s="164" t="str">
        <f t="shared" si="609"/>
        <v/>
      </c>
      <c r="EI171" s="164" t="str">
        <f t="shared" si="610"/>
        <v/>
      </c>
      <c r="EJ171" s="164" t="str">
        <f t="shared" si="611"/>
        <v/>
      </c>
      <c r="EK171" s="164" t="str">
        <f t="shared" si="612"/>
        <v/>
      </c>
      <c r="EL171" s="164" t="str">
        <f t="shared" si="613"/>
        <v/>
      </c>
      <c r="EM171" s="164" t="str">
        <f t="shared" si="614"/>
        <v/>
      </c>
      <c r="EN171" s="164" t="str">
        <f t="shared" si="615"/>
        <v/>
      </c>
      <c r="EO171" s="164" t="str">
        <f t="shared" si="616"/>
        <v/>
      </c>
      <c r="EP171" s="164" t="str">
        <f t="shared" si="617"/>
        <v/>
      </c>
      <c r="EQ171" s="164" t="str">
        <f t="shared" si="618"/>
        <v/>
      </c>
      <c r="ER171" s="164" t="str">
        <f t="shared" si="619"/>
        <v/>
      </c>
      <c r="ES171" s="164" t="str">
        <f t="shared" si="620"/>
        <v/>
      </c>
    </row>
    <row r="172" spans="1:149" x14ac:dyDescent="0.2">
      <c r="A172" s="89"/>
      <c r="B172" s="317"/>
      <c r="C172" s="609" t="str">
        <f t="shared" ca="1" si="528"/>
        <v/>
      </c>
      <c r="D172" s="1956" t="str">
        <f t="shared" ca="1" si="529"/>
        <v/>
      </c>
      <c r="E172" s="1956"/>
      <c r="F172" s="960"/>
      <c r="G172" s="485" t="str">
        <f t="shared" si="530"/>
        <v/>
      </c>
      <c r="H172" s="983"/>
      <c r="I172" s="486"/>
      <c r="J172" s="326"/>
      <c r="K172" s="1886" t="str">
        <f t="shared" ca="1" si="531"/>
        <v/>
      </c>
      <c r="L172" s="1888"/>
      <c r="M172" s="296" t="str">
        <f>IF(AND(EXACT($B172,""),ISBLANK($F172),ISBLANK($J172)),"",$B172+$F172+$J172)</f>
        <v/>
      </c>
      <c r="N172" s="1322"/>
      <c r="O172" s="1319"/>
      <c r="P172" s="957" t="str">
        <f t="shared" si="533"/>
        <v/>
      </c>
      <c r="Q172" s="164">
        <f t="shared" ca="1" si="534"/>
        <v>0</v>
      </c>
      <c r="R172" s="164">
        <f t="shared" ca="1" si="535"/>
        <v>0</v>
      </c>
      <c r="S172" s="164">
        <f t="shared" ca="1" si="536"/>
        <v>0</v>
      </c>
      <c r="T172" s="164">
        <f t="shared" ca="1" si="537"/>
        <v>0</v>
      </c>
      <c r="U172" s="164">
        <f t="shared" ca="1" si="538"/>
        <v>0</v>
      </c>
      <c r="V172" s="164">
        <f t="shared" ca="1" si="539"/>
        <v>0</v>
      </c>
      <c r="W172" s="164">
        <f t="shared" ca="1" si="540"/>
        <v>0</v>
      </c>
      <c r="X172" s="164">
        <f t="shared" ca="1" si="541"/>
        <v>0</v>
      </c>
      <c r="Y172" s="164">
        <f t="shared" ca="1" si="542"/>
        <v>0</v>
      </c>
      <c r="Z172" s="164">
        <f t="shared" ca="1" si="543"/>
        <v>0</v>
      </c>
      <c r="AA172" s="164">
        <f t="shared" ca="1" si="544"/>
        <v>0</v>
      </c>
      <c r="AB172" s="164">
        <f t="shared" ca="1" si="545"/>
        <v>0</v>
      </c>
      <c r="AC172" s="164">
        <f t="shared" ca="1" si="546"/>
        <v>0</v>
      </c>
      <c r="AD172" s="164">
        <f t="shared" ca="1" si="547"/>
        <v>0</v>
      </c>
      <c r="AE172" s="164">
        <f t="shared" ca="1" si="548"/>
        <v>0</v>
      </c>
      <c r="AF172" s="164">
        <f t="shared" ca="1" si="549"/>
        <v>0</v>
      </c>
      <c r="AG172" s="164">
        <f t="shared" ca="1" si="550"/>
        <v>0</v>
      </c>
      <c r="AH172" s="164">
        <f t="shared" ca="1" si="551"/>
        <v>0</v>
      </c>
      <c r="AI172" s="164">
        <f t="shared" ca="1" si="552"/>
        <v>0</v>
      </c>
      <c r="AJ172" s="164">
        <f t="shared" ca="1" si="553"/>
        <v>0</v>
      </c>
      <c r="AK172" s="164">
        <f t="shared" ca="1" si="554"/>
        <v>0</v>
      </c>
      <c r="AL172" s="164">
        <f t="shared" ca="1" si="555"/>
        <v>0</v>
      </c>
      <c r="AM172" s="208"/>
      <c r="AN172" s="164">
        <f t="shared" si="556"/>
        <v>0</v>
      </c>
      <c r="AO172" s="164">
        <f t="shared" si="557"/>
        <v>0</v>
      </c>
      <c r="AP172" s="164">
        <f t="shared" si="558"/>
        <v>0</v>
      </c>
      <c r="AQ172" s="164">
        <f t="shared" si="559"/>
        <v>0</v>
      </c>
      <c r="AR172" s="164">
        <f t="shared" si="560"/>
        <v>0</v>
      </c>
      <c r="AS172" s="164">
        <f t="shared" si="561"/>
        <v>0</v>
      </c>
      <c r="AT172" s="164">
        <f t="shared" si="562"/>
        <v>0</v>
      </c>
      <c r="AU172" s="164">
        <f t="shared" si="563"/>
        <v>0</v>
      </c>
      <c r="AV172" s="164">
        <f t="shared" si="564"/>
        <v>0</v>
      </c>
      <c r="AW172" s="164">
        <f t="shared" si="565"/>
        <v>0</v>
      </c>
      <c r="AX172" s="164">
        <f t="shared" si="566"/>
        <v>0</v>
      </c>
      <c r="AY172" s="164">
        <f t="shared" si="567"/>
        <v>0</v>
      </c>
      <c r="AZ172" s="164">
        <f t="shared" si="568"/>
        <v>0</v>
      </c>
      <c r="BA172" s="164">
        <f t="shared" si="569"/>
        <v>0</v>
      </c>
      <c r="BB172" s="164">
        <f t="shared" si="570"/>
        <v>0</v>
      </c>
      <c r="BC172" s="164">
        <f t="shared" si="571"/>
        <v>0</v>
      </c>
      <c r="BD172" s="164">
        <f t="shared" si="572"/>
        <v>0</v>
      </c>
      <c r="BE172" s="164">
        <f t="shared" si="573"/>
        <v>0</v>
      </c>
      <c r="BF172" s="164">
        <f t="shared" si="574"/>
        <v>0</v>
      </c>
      <c r="BG172" s="164">
        <f t="shared" si="575"/>
        <v>0</v>
      </c>
      <c r="BH172" s="164">
        <f t="shared" si="576"/>
        <v>0</v>
      </c>
      <c r="BI172" s="164">
        <f t="shared" si="577"/>
        <v>0</v>
      </c>
      <c r="BJ172" s="164">
        <f t="shared" si="578"/>
        <v>0</v>
      </c>
      <c r="BK172" s="164">
        <f t="shared" si="579"/>
        <v>0</v>
      </c>
      <c r="BL172" s="164">
        <f t="shared" si="580"/>
        <v>0</v>
      </c>
      <c r="BM172" s="164">
        <f t="shared" si="581"/>
        <v>0</v>
      </c>
      <c r="BN172" s="164">
        <f t="shared" si="582"/>
        <v>0</v>
      </c>
      <c r="BO172" s="356" t="str">
        <f t="shared" si="583"/>
        <v/>
      </c>
      <c r="BP172" s="355" t="str">
        <f t="shared" si="584"/>
        <v/>
      </c>
      <c r="BQ172" s="355" t="str">
        <f t="shared" si="585"/>
        <v/>
      </c>
      <c r="BR172" s="348">
        <f t="shared" ca="1" si="516"/>
        <v>0</v>
      </c>
      <c r="BS172" s="348">
        <f t="shared" ca="1" si="517"/>
        <v>0</v>
      </c>
      <c r="BT172" s="610">
        <f t="shared" ca="1" si="586"/>
        <v>0</v>
      </c>
      <c r="BU172" s="357">
        <f t="shared" ca="1" si="587"/>
        <v>0</v>
      </c>
      <c r="BV172" s="357">
        <f t="shared" si="588"/>
        <v>0</v>
      </c>
      <c r="BW172" s="357">
        <f t="shared" si="589"/>
        <v>0</v>
      </c>
      <c r="BX172" s="357">
        <f t="shared" ca="1" si="590"/>
        <v>0</v>
      </c>
      <c r="BY172" s="357">
        <f t="shared" ca="1" si="522"/>
        <v>0</v>
      </c>
      <c r="BZ172" s="357"/>
      <c r="CA172" s="357">
        <f t="shared" ca="1" si="518"/>
        <v>0</v>
      </c>
      <c r="CB172" s="357" t="str">
        <f t="shared" si="591"/>
        <v/>
      </c>
      <c r="CC172" s="358" t="str">
        <f t="shared" ca="1" si="523"/>
        <v/>
      </c>
      <c r="CD172" s="358" t="str">
        <f t="shared" ca="1" si="524"/>
        <v/>
      </c>
      <c r="CE172" s="357"/>
      <c r="CF172" s="154" t="str">
        <f t="shared" si="621"/>
        <v/>
      </c>
      <c r="CG172" s="154">
        <f t="shared" ca="1" si="525"/>
        <v>0</v>
      </c>
      <c r="CH172" s="154"/>
      <c r="CI172" s="154"/>
      <c r="CJ172" s="154"/>
      <c r="CK172" s="154"/>
      <c r="CL172" s="154"/>
      <c r="CM172" s="154"/>
      <c r="CN172" t="s">
        <v>784</v>
      </c>
      <c r="CO172" s="169"/>
      <c r="CP172" s="169"/>
      <c r="CQ172" s="169"/>
      <c r="CR172" s="169"/>
      <c r="CS172" s="169"/>
      <c r="CT172" s="169"/>
      <c r="CU172" s="169"/>
      <c r="CV172" s="164" t="str">
        <f t="shared" si="592"/>
        <v/>
      </c>
      <c r="CW172" s="164" t="str">
        <f t="shared" si="592"/>
        <v/>
      </c>
      <c r="CX172" s="164" t="str">
        <f t="shared" si="592"/>
        <v/>
      </c>
      <c r="CY172" s="164" t="str">
        <f t="shared" si="592"/>
        <v/>
      </c>
      <c r="CZ172" s="164" t="str">
        <f t="shared" si="592"/>
        <v/>
      </c>
      <c r="DA172" s="164" t="str">
        <f t="shared" si="592"/>
        <v/>
      </c>
      <c r="DB172" s="164" t="str">
        <f t="shared" si="592"/>
        <v/>
      </c>
      <c r="DC172" s="164" t="str">
        <f t="shared" si="592"/>
        <v/>
      </c>
      <c r="DD172" s="164" t="str">
        <f t="shared" si="592"/>
        <v/>
      </c>
      <c r="DE172" s="164" t="str">
        <f t="shared" si="592"/>
        <v/>
      </c>
      <c r="DF172" s="164" t="str">
        <f t="shared" si="593"/>
        <v/>
      </c>
      <c r="DG172" s="164" t="str">
        <f t="shared" si="593"/>
        <v/>
      </c>
      <c r="DH172" s="164" t="str">
        <f t="shared" si="593"/>
        <v/>
      </c>
      <c r="DI172" s="164" t="str">
        <f t="shared" si="593"/>
        <v/>
      </c>
      <c r="DJ172" s="164" t="str">
        <f t="shared" si="593"/>
        <v/>
      </c>
      <c r="DK172" s="164" t="str">
        <f t="shared" si="593"/>
        <v/>
      </c>
      <c r="DL172" s="164" t="str">
        <f t="shared" si="593"/>
        <v/>
      </c>
      <c r="DM172" s="164" t="str">
        <f t="shared" si="593"/>
        <v/>
      </c>
      <c r="DN172" s="164" t="str">
        <f t="shared" si="593"/>
        <v/>
      </c>
      <c r="DO172" s="164" t="str">
        <f t="shared" si="593"/>
        <v/>
      </c>
      <c r="DP172" s="164" t="str">
        <f t="shared" si="593"/>
        <v/>
      </c>
      <c r="DQ172" s="164" t="str">
        <f t="shared" si="593"/>
        <v/>
      </c>
      <c r="DR172" s="208"/>
      <c r="DS172" s="164" t="str">
        <f t="shared" si="594"/>
        <v/>
      </c>
      <c r="DT172" s="164" t="str">
        <f t="shared" si="595"/>
        <v/>
      </c>
      <c r="DU172" s="164" t="str">
        <f t="shared" si="596"/>
        <v/>
      </c>
      <c r="DV172" s="164" t="str">
        <f t="shared" si="597"/>
        <v/>
      </c>
      <c r="DW172" s="164" t="str">
        <f t="shared" si="598"/>
        <v/>
      </c>
      <c r="DX172" s="164" t="str">
        <f t="shared" si="599"/>
        <v/>
      </c>
      <c r="DY172" s="164" t="str">
        <f t="shared" si="600"/>
        <v/>
      </c>
      <c r="DZ172" s="164" t="str">
        <f t="shared" si="601"/>
        <v/>
      </c>
      <c r="EA172" s="164" t="str">
        <f t="shared" si="602"/>
        <v/>
      </c>
      <c r="EB172" s="164" t="str">
        <f t="shared" si="603"/>
        <v/>
      </c>
      <c r="EC172" s="164" t="str">
        <f t="shared" si="604"/>
        <v/>
      </c>
      <c r="ED172" s="164" t="str">
        <f t="shared" si="605"/>
        <v/>
      </c>
      <c r="EE172" s="164" t="str">
        <f t="shared" si="606"/>
        <v/>
      </c>
      <c r="EF172" s="164" t="str">
        <f t="shared" si="607"/>
        <v/>
      </c>
      <c r="EG172" s="164" t="str">
        <f t="shared" si="608"/>
        <v/>
      </c>
      <c r="EH172" s="164" t="str">
        <f t="shared" si="609"/>
        <v/>
      </c>
      <c r="EI172" s="164" t="str">
        <f t="shared" si="610"/>
        <v/>
      </c>
      <c r="EJ172" s="164" t="str">
        <f t="shared" si="611"/>
        <v/>
      </c>
      <c r="EK172" s="164" t="str">
        <f t="shared" si="612"/>
        <v/>
      </c>
      <c r="EL172" s="164" t="str">
        <f t="shared" si="613"/>
        <v/>
      </c>
      <c r="EM172" s="164" t="str">
        <f t="shared" si="614"/>
        <v/>
      </c>
      <c r="EN172" s="164" t="str">
        <f t="shared" si="615"/>
        <v/>
      </c>
      <c r="EO172" s="164" t="str">
        <f t="shared" si="616"/>
        <v/>
      </c>
      <c r="EP172" s="164" t="str">
        <f t="shared" si="617"/>
        <v/>
      </c>
      <c r="EQ172" s="164" t="str">
        <f t="shared" si="618"/>
        <v/>
      </c>
      <c r="ER172" s="164" t="str">
        <f t="shared" si="619"/>
        <v/>
      </c>
      <c r="ES172" s="164" t="str">
        <f t="shared" si="620"/>
        <v/>
      </c>
    </row>
    <row r="173" spans="1:149" ht="15.75" x14ac:dyDescent="0.25">
      <c r="A173" s="168" t="s">
        <v>7635</v>
      </c>
      <c r="B173" s="131"/>
      <c r="C173" s="304"/>
      <c r="D173" s="1977"/>
      <c r="E173" s="1977"/>
      <c r="F173" s="965"/>
      <c r="G173" s="6"/>
      <c r="H173" s="965"/>
      <c r="I173" s="965"/>
      <c r="J173" s="965"/>
      <c r="K173" s="1879"/>
      <c r="L173" s="1879"/>
      <c r="M173" s="295"/>
      <c r="N173" s="1320" t="s">
        <v>7064</v>
      </c>
      <c r="O173" s="1126" t="s">
        <v>3636</v>
      </c>
      <c r="P173" s="295"/>
      <c r="Q173" s="134"/>
      <c r="R173" s="6"/>
      <c r="S173" s="6"/>
      <c r="T173" s="6"/>
      <c r="U173" s="6"/>
      <c r="V173" s="6"/>
      <c r="W173" s="6"/>
      <c r="X173" s="6"/>
      <c r="Y173" s="6"/>
      <c r="Z173" s="6"/>
      <c r="AA173" s="6"/>
      <c r="AB173" s="6"/>
      <c r="AC173" s="6"/>
      <c r="AD173" s="6"/>
      <c r="AE173" s="6"/>
      <c r="AF173" s="6"/>
      <c r="AG173" s="6"/>
      <c r="AH173" s="6"/>
      <c r="AI173" s="6"/>
      <c r="AJ173" s="6"/>
      <c r="AK173" s="6"/>
      <c r="AL173" s="6"/>
      <c r="AM173" s="207"/>
      <c r="AN173" s="134"/>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356"/>
      <c r="BP173" s="355"/>
      <c r="BQ173" s="355"/>
      <c r="BR173" s="348"/>
      <c r="BS173" s="348"/>
      <c r="BT173" s="610"/>
      <c r="BU173" s="357"/>
      <c r="BV173" s="357"/>
      <c r="BW173" s="357"/>
      <c r="BX173" s="357"/>
      <c r="BY173" s="357"/>
      <c r="BZ173" s="357"/>
      <c r="CA173" s="357"/>
      <c r="CB173" s="357"/>
      <c r="CC173" s="358"/>
      <c r="CD173" s="358"/>
      <c r="CE173" s="357"/>
      <c r="CF173" s="154"/>
      <c r="CG173" s="154"/>
      <c r="CH173" s="154"/>
      <c r="CI173" s="154"/>
      <c r="CJ173" s="154"/>
      <c r="CK173" s="154"/>
      <c r="CL173" s="154"/>
      <c r="CM173" s="154"/>
      <c r="CN173" s="154"/>
      <c r="CO173" s="6"/>
      <c r="CP173" s="6"/>
      <c r="CQ173" s="6"/>
      <c r="CR173" s="6"/>
      <c r="CS173" s="6"/>
      <c r="CT173" s="6"/>
      <c r="CU173" s="6"/>
      <c r="CV173" s="6">
        <v>0</v>
      </c>
      <c r="CW173" s="6">
        <v>1</v>
      </c>
      <c r="CX173" s="6">
        <v>2</v>
      </c>
      <c r="CY173" s="6">
        <v>3</v>
      </c>
      <c r="CZ173" s="6">
        <v>4</v>
      </c>
      <c r="DA173" s="6">
        <v>5</v>
      </c>
      <c r="DB173" s="6">
        <v>6</v>
      </c>
      <c r="DC173" s="6">
        <v>7</v>
      </c>
      <c r="DD173" s="6">
        <v>8</v>
      </c>
      <c r="DE173" s="6">
        <v>9</v>
      </c>
      <c r="DF173" s="6">
        <v>10</v>
      </c>
      <c r="DG173" s="6">
        <v>11</v>
      </c>
      <c r="DH173" s="6">
        <v>12</v>
      </c>
      <c r="DI173" s="6">
        <v>13</v>
      </c>
      <c r="DJ173" s="6">
        <v>14</v>
      </c>
      <c r="DK173" s="6">
        <v>15</v>
      </c>
      <c r="DL173" s="6">
        <v>16</v>
      </c>
      <c r="DM173" s="6">
        <v>17</v>
      </c>
      <c r="DN173" s="6">
        <v>18</v>
      </c>
      <c r="DO173" s="6">
        <v>19</v>
      </c>
      <c r="DP173" s="6">
        <v>20</v>
      </c>
      <c r="DQ173" s="6">
        <v>21</v>
      </c>
      <c r="DR173" s="208"/>
      <c r="DS173" s="6">
        <v>0</v>
      </c>
      <c r="DT173" s="6">
        <v>1</v>
      </c>
      <c r="DU173" s="6">
        <v>2</v>
      </c>
      <c r="DV173" s="6">
        <v>3</v>
      </c>
      <c r="DW173" s="6">
        <v>4</v>
      </c>
      <c r="DX173" s="6">
        <v>5</v>
      </c>
      <c r="DY173" s="6">
        <v>6</v>
      </c>
      <c r="DZ173" s="6">
        <v>7</v>
      </c>
      <c r="EA173" s="6">
        <v>8</v>
      </c>
      <c r="EB173" s="6">
        <v>9</v>
      </c>
      <c r="EC173" s="6">
        <v>10</v>
      </c>
      <c r="ED173" s="6">
        <v>11</v>
      </c>
      <c r="EE173" s="6">
        <v>12</v>
      </c>
      <c r="EF173" s="6">
        <v>13</v>
      </c>
      <c r="EG173" s="6">
        <v>14</v>
      </c>
      <c r="EH173" s="6">
        <v>15</v>
      </c>
      <c r="EI173" s="6">
        <v>16</v>
      </c>
      <c r="EJ173" s="6">
        <v>17</v>
      </c>
      <c r="EK173" s="6">
        <v>18</v>
      </c>
      <c r="EL173" s="6">
        <v>19</v>
      </c>
      <c r="EM173" s="6">
        <v>20</v>
      </c>
      <c r="EN173" s="6">
        <v>21</v>
      </c>
      <c r="EO173" s="6">
        <v>22</v>
      </c>
      <c r="EP173" s="6">
        <v>23</v>
      </c>
      <c r="EQ173" s="6">
        <v>24</v>
      </c>
      <c r="ER173" s="6">
        <v>25</v>
      </c>
      <c r="ES173" s="6">
        <v>26</v>
      </c>
    </row>
    <row r="174" spans="1:149" x14ac:dyDescent="0.2">
      <c r="A174" s="155" t="s">
        <v>4793</v>
      </c>
      <c r="B174" s="317" t="str">
        <f ca="1">IF(SF!AS81="X",0,"akt.")</f>
        <v>akt.</v>
      </c>
      <c r="C174" s="609" t="str">
        <f ca="1">IF(AND(MAGISCH,NOT(EXACT($A174,""))),$BP$4,"")</f>
        <v/>
      </c>
      <c r="D174" s="1956" t="str">
        <f ca="1">IF(AND(MAGISCH,NOT(EXACT($A174,""))),
CONCATENATE(IF($BR174=1,$CC174&amp;", ",""),IF($BS174=1,$CD174&amp;", ",""),IF($AF$241="","",IF(ISERROR(FIND($AF$241,$BQ174)),"",$AF$241&amp;", ")),IF($AF$242="","",IF(ISERROR(FIND($AF$242,$BQ174)),"",$AF$242&amp;", ")),IF($AF$243="","",IF(ISERROR(FIND($AF$243,$BQ174)),"",$AF$243&amp;", ")),IF($AF$244="","",IF(ISERROR(FIND($AF$244,$BQ174)),"",$AF$244&amp;", ")),IF($AF$245="","",IF(ISERROR(FIND($AF$245,$BQ174)),"",$AF$245&amp;", ")),IF($AF$246="","",IF(ISERROR(FIND($AF$246,$BQ174)),"",$AF$246&amp;", ")),IF($AF$247="","",IF(ISERROR(FIND($AF$247,$BQ174)),"",$AF$247&amp;", "))
),"")</f>
        <v/>
      </c>
      <c r="E174" s="1956"/>
      <c r="F174" s="960"/>
      <c r="G174" s="485" t="str">
        <f ca="1">$BO174</f>
        <v>E</v>
      </c>
      <c r="H174" s="983"/>
      <c r="I174" s="486"/>
      <c r="J174" s="326"/>
      <c r="K174" s="1892" t="str">
        <f ca="1">IF(ISERR(FIND($C174,$BP174)),"Falsche Repräsentation",IF(B174="akt.","SF Semiparmanenz aktivieren",""))</f>
        <v>SF Semiparmanenz aktivieren</v>
      </c>
      <c r="L174" s="1894"/>
      <c r="M174" s="296" t="str">
        <f ca="1">IF(AND(EXACT($B174,"akt."),ISBLANK($F174),ISBLANK($J174)),"",$B174+$F174+$J174)</f>
        <v/>
      </c>
      <c r="N174" s="1322"/>
      <c r="O174" s="1319"/>
      <c r="P174" s="957" t="str">
        <f>IF(AND(NOT(EXACT($A174,"")),NOT(EXACT($O174,""))),ROUND(IF(O174=2,3,O174)*20*HLOOKUP($BO174,SKT,3,FALSE)*IF(VT_EIDGED,0.5,IF(VT_GUTGED,0.75,1)),0),"")</f>
        <v/>
      </c>
      <c r="Q174" s="334">
        <f>IF(NOT(ISBLANK($F174)),MAX(1,ROUND(IF($B174&lt;0,ABS($B174)*HLOOKUP($BO174,SKT,3,FALSE),IF($B174=0,HLOOKUP($BO174,SKT,3,FALSE),0))*IF(VT_EIDGED,IF($C174="Dru",1/3,0.5),1)*IF(VT_GUTGED,IF($C174="Dru",2/3,0.75),1),0)),0)</f>
        <v>0</v>
      </c>
      <c r="R174" s="335">
        <f t="shared" ref="R174:AA175" ca="1" si="622">IF(NOT(OR(EXACT($A174,""),$B174="akt.")),IF(AND(NOT(ISBLANK($F174)),VALUE($B174)&lt;R$10,SUM(VALUE($B174),$F174)&gt;=R$10,EXACT($K174,"")),
ROUND(IF(AND(NOT(ISBLANK($H174)),IF(ISERR(FIND(";"&amp;R$10&amp;";",$H174)),FALSE,TRUE)),
HLOOKUP(CHAR(CODE($BO174)-1),SKT,R$10+3,FALSE),
HLOOKUP($BO174,SKT,R$10+3,FALSE))*IF(VT_EIDGED,IF($C174="Dru",1/3,0.5),1)*IF(VT_GUTGED,IF($C174="Dru",2/3,0.75),1),0),0),0)</f>
        <v>0</v>
      </c>
      <c r="S174" s="335">
        <f t="shared" ca="1" si="622"/>
        <v>0</v>
      </c>
      <c r="T174" s="335">
        <f t="shared" ca="1" si="622"/>
        <v>0</v>
      </c>
      <c r="U174" s="335">
        <f t="shared" ca="1" si="622"/>
        <v>0</v>
      </c>
      <c r="V174" s="335">
        <f t="shared" ca="1" si="622"/>
        <v>0</v>
      </c>
      <c r="W174" s="335">
        <f t="shared" ca="1" si="622"/>
        <v>0</v>
      </c>
      <c r="X174" s="335">
        <f t="shared" ca="1" si="622"/>
        <v>0</v>
      </c>
      <c r="Y174" s="335">
        <f t="shared" ca="1" si="622"/>
        <v>0</v>
      </c>
      <c r="Z174" s="335">
        <f t="shared" ca="1" si="622"/>
        <v>0</v>
      </c>
      <c r="AA174" s="335">
        <f t="shared" ca="1" si="622"/>
        <v>0</v>
      </c>
      <c r="AB174" s="335">
        <f t="shared" ref="AB174:AL175" ca="1" si="623">IF(NOT(OR(EXACT($A174,""),$B174="akt.")),IF(AND(NOT(ISBLANK($F174)),VALUE($B174)&lt;AB$10,SUM(VALUE($B174),$F174)&gt;=AB$10,EXACT($K174,"")),
ROUND(IF(AND(NOT(ISBLANK($H174)),IF(ISERR(FIND(";"&amp;AB$10&amp;";",$H174)),FALSE,TRUE)),
HLOOKUP(CHAR(CODE($BO174)-1),SKT,AB$10+3,FALSE),
HLOOKUP($BO174,SKT,AB$10+3,FALSE))*IF(VT_EIDGED,IF($C174="Dru",1/3,0.5),1)*IF(VT_GUTGED,IF($C174="Dru",2/3,0.75),1),0),0),0)</f>
        <v>0</v>
      </c>
      <c r="AC174" s="335">
        <f t="shared" ca="1" si="623"/>
        <v>0</v>
      </c>
      <c r="AD174" s="335">
        <f t="shared" ca="1" si="623"/>
        <v>0</v>
      </c>
      <c r="AE174" s="335">
        <f t="shared" ca="1" si="623"/>
        <v>0</v>
      </c>
      <c r="AF174" s="335">
        <f t="shared" ca="1" si="623"/>
        <v>0</v>
      </c>
      <c r="AG174" s="335">
        <f t="shared" ca="1" si="623"/>
        <v>0</v>
      </c>
      <c r="AH174" s="335">
        <f t="shared" ca="1" si="623"/>
        <v>0</v>
      </c>
      <c r="AI174" s="335">
        <f t="shared" ca="1" si="623"/>
        <v>0</v>
      </c>
      <c r="AJ174" s="335">
        <f t="shared" ca="1" si="623"/>
        <v>0</v>
      </c>
      <c r="AK174" s="335">
        <f t="shared" ca="1" si="623"/>
        <v>0</v>
      </c>
      <c r="AL174" s="336">
        <f t="shared" ca="1" si="623"/>
        <v>0</v>
      </c>
      <c r="AM174" s="208"/>
      <c r="AN174" s="334">
        <f>IF(NOT(ISBLANK($J174)),
ROUND(
IF(SUM($B174,$F174)&lt;0,IF($J174&lt;ABS(SUM($B174,$F174)),$J174,ABS(SUM($B174,$F174))),IF($F174="",1,0))
*HLOOKUP(IF(DS174&lt;65,"A+",IF(DS174&gt;72,"H",CHAR(DS174))),SKT,3,FALSE)*5*IF(VT_EIDGED,IF($C174="Dru",1/3,0.5),1)*IF(VT_GUTGED,IF($C174="Dru",2/3,0.75),1),0),0)
*IF(ISERR(FIND(";"&amp;AN$10&amp;":0;",$H174)),1,0)</f>
        <v>0</v>
      </c>
      <c r="AO174" s="335">
        <f t="shared" ref="AO174:AX175" ca="1" si="624">IF(NOT(OR(EXACT($A174,""),$B174="akt.")),IF(AND(NOT(ISBLANK($J174)),SUM(VALUE($B174),$F174)&lt;AO$10,SUM(VALUE($B174),$F174,$J174)&gt;=AO$10,EXACT($K174,"")),
MAX(1,ROUND(HLOOKUP(IF(DT174&lt;65,"A+",IF(DT174&gt;72,"H",CHAR(DT174))),SKT,AO$10+3,FALSE)*IF(VT_EIDGED,IF($C174="Dru",1/3,0.5),1)*IF(VT_GUTGED,IF($C174="Dru",2/3,0.75),1),0)),0),0)
*IF(ISERR(FIND(";"&amp;AO$10&amp;":0;",$H174)),1,0)</f>
        <v>0</v>
      </c>
      <c r="AP174" s="335">
        <f t="shared" ca="1" si="624"/>
        <v>0</v>
      </c>
      <c r="AQ174" s="335">
        <f t="shared" ca="1" si="624"/>
        <v>0</v>
      </c>
      <c r="AR174" s="335">
        <f t="shared" ca="1" si="624"/>
        <v>0</v>
      </c>
      <c r="AS174" s="335">
        <f t="shared" ca="1" si="624"/>
        <v>0</v>
      </c>
      <c r="AT174" s="335">
        <f t="shared" ca="1" si="624"/>
        <v>0</v>
      </c>
      <c r="AU174" s="335">
        <f t="shared" ca="1" si="624"/>
        <v>0</v>
      </c>
      <c r="AV174" s="335">
        <f t="shared" ca="1" si="624"/>
        <v>0</v>
      </c>
      <c r="AW174" s="335">
        <f t="shared" ca="1" si="624"/>
        <v>0</v>
      </c>
      <c r="AX174" s="335">
        <f t="shared" ca="1" si="624"/>
        <v>0</v>
      </c>
      <c r="AY174" s="335">
        <f t="shared" ref="AY174:BH175" ca="1" si="625">IF(NOT(OR(EXACT($A174,""),$B174="akt.")),IF(AND(NOT(ISBLANK($J174)),SUM(VALUE($B174),$F174)&lt;AY$10,SUM(VALUE($B174),$F174,$J174)&gt;=AY$10,EXACT($K174,"")),
MAX(1,ROUND(HLOOKUP(IF(ED174&lt;65,"A+",IF(ED174&gt;72,"H",CHAR(ED174))),SKT,AY$10+3,FALSE)*IF(VT_EIDGED,IF($C174="Dru",1/3,0.5),1)*IF(VT_GUTGED,IF($C174="Dru",2/3,0.75),1),0)),0),0)
*IF(ISERR(FIND(";"&amp;AY$10&amp;":0;",$H174)),1,0)</f>
        <v>0</v>
      </c>
      <c r="AZ174" s="335">
        <f t="shared" ca="1" si="625"/>
        <v>0</v>
      </c>
      <c r="BA174" s="335">
        <f t="shared" ca="1" si="625"/>
        <v>0</v>
      </c>
      <c r="BB174" s="335">
        <f t="shared" ca="1" si="625"/>
        <v>0</v>
      </c>
      <c r="BC174" s="335">
        <f t="shared" ca="1" si="625"/>
        <v>0</v>
      </c>
      <c r="BD174" s="335">
        <f t="shared" ca="1" si="625"/>
        <v>0</v>
      </c>
      <c r="BE174" s="335">
        <f t="shared" ca="1" si="625"/>
        <v>0</v>
      </c>
      <c r="BF174" s="335">
        <f t="shared" ca="1" si="625"/>
        <v>0</v>
      </c>
      <c r="BG174" s="335">
        <f t="shared" ca="1" si="625"/>
        <v>0</v>
      </c>
      <c r="BH174" s="335">
        <f t="shared" ca="1" si="625"/>
        <v>0</v>
      </c>
      <c r="BI174" s="335">
        <f t="shared" ref="BI174:BN175" ca="1" si="626">IF(NOT(OR(EXACT($A174,""),$B174="akt.")),IF(AND(NOT(ISBLANK($J174)),SUM(VALUE($B174),$F174)&lt;BI$10,SUM(VALUE($B174),$F174,$J174)&gt;=BI$10,EXACT($K174,"")),
MAX(1,ROUND(HLOOKUP(IF(EN174&lt;65,"A+",IF(EN174&gt;72,"H",CHAR(EN174))),SKT,BI$10+3,FALSE)*IF(VT_EIDGED,IF($C174="Dru",1/3,0.5),1)*IF(VT_GUTGED,IF($C174="Dru",2/3,0.75),1),0)),0),0)
*IF(ISERR(FIND(";"&amp;BI$10&amp;":0;",$H174)),1,0)</f>
        <v>0</v>
      </c>
      <c r="BJ174" s="335">
        <f t="shared" ca="1" si="626"/>
        <v>0</v>
      </c>
      <c r="BK174" s="335">
        <f t="shared" ca="1" si="626"/>
        <v>0</v>
      </c>
      <c r="BL174" s="335">
        <f t="shared" ca="1" si="626"/>
        <v>0</v>
      </c>
      <c r="BM174" s="335">
        <f t="shared" ca="1" si="626"/>
        <v>0</v>
      </c>
      <c r="BN174" s="335">
        <f t="shared" ca="1" si="626"/>
        <v>0</v>
      </c>
      <c r="BO174" s="356" t="str">
        <f ca="1">IF(EXACT($A174,""),"",IF(NOT(ISERR(FIND($A174,VT_UEBERBEG))),"E",IF((CODE("E")-SUM($BR174:$CA174))&lt;65,"A+",IF((CODE("E")-SUM($BR174:$CA174))&gt;72,"H",CHAR(CODE("E")-SUM($BR174:$CA174))))))</f>
        <v>E</v>
      </c>
      <c r="BP174" s="355" t="s">
        <v>4795</v>
      </c>
      <c r="BQ174" s="355" t="s">
        <v>2944</v>
      </c>
      <c r="BR174" s="348">
        <f t="shared" ca="1" si="516"/>
        <v>0</v>
      </c>
      <c r="BS174" s="348">
        <f t="shared" ca="1" si="517"/>
        <v>0</v>
      </c>
      <c r="BT174" s="610">
        <f ca="1">IF(ISERR(FIND($C174,CONCATENATE($BP$4,$BP$5,$A$237,$A$238))),
IF($BP$4="Sch",IF($C174="Srl",-2,-3),
IF($BP$4="Srl",IF($C174="Mag",-1,-2),
IF($C174="Sch",-3,-2))),
0)</f>
        <v>0</v>
      </c>
      <c r="BU174" s="357">
        <f ca="1">IF(EXACT($C174,"H"),1,0)</f>
        <v>0</v>
      </c>
      <c r="BV174" s="357">
        <f>IF(NT_ELFWELT,IF(CB174="L",0,-1),0)</f>
        <v>0</v>
      </c>
      <c r="BW174" s="357">
        <f>SUM(IF(NT_ANIMALMAGIE,IF(NOT(ISNA(VLOOKUP(A174,ZAUBERWERTE,2,FALSE))),IF(SUM(IF(VLOOKUP(A174,ZAUBERWERTE,2,FALSE)="KL",1,0),IF(VLOOKUP(A174,ZAUBERWERTE,3,FALSE)="KL",1,0),IF(VLOOKUP(A174,ZAUBERWERTE,4,FALSE)="KL",1,0))&gt;1,-1,0),0),0),
IF(NT_FESTDENKEN,IF(NOT(ISNA(VLOOKUP(A174,ZAUBERWERTE,2,FALSE))),IF(SUM(IF(VLOOKUP(A174,ZAUBERWERTE,2,FALSE)="IN",1,0),IF(VLOOKUP(A174,ZAUBERWERTE,3,FALSE)="IN",1,0),IF(VLOOKUP(A174,ZAUBERWERTE,4,FALSE)="IN",1,0))&gt;1,-1,0),0),0),
IF(NT_SCHWACHAUS,IF(NOT(ISNA(VLOOKUP(A174,ZAUBERWERTE,2,FALSE))),IF(SUM(IF(VLOOKUP(A174,ZAUBERWERTE,2,FALSE)="CH",1,0),IF(VLOOKUP(A174,ZAUBERWERTE,3,FALSE)="CH",1,0),IF(VLOOKUP(A174,ZAUBERWERTE,4,FALSE)="CH",1,0))&gt;1,-1,0),0),0),
IF(NT_ZOEGZAUBERER,IF(NOT(ISNA(VLOOKUP(A174,ZAUBERWERTE,2,FALSE))),IF(SUM(IF(VLOOKUP(A174,ZAUBERWERTE,2,FALSE)="MU",1,0),IF(VLOOKUP(A174,ZAUBERWERTE,3,FALSE)="MU",1,0),IF(VLOOKUP(A174,ZAUBERWERTE,4,FALSE)="MU",1,0))&gt;1,-1,0),0),0))</f>
        <v>0</v>
      </c>
      <c r="BX174" s="357">
        <f ca="1">IF($BY174&gt;0,0,IF(OR(AND(NOT(EXACT($T$6,"")),EXACT($A174,$T$6)),AND(NOT(EXACT($T$7,"")),EXACT($A174,$T$7)),AND(NOT(EXACT($T$8,"")),EXACT($A174,$T$8))),1,0))</f>
        <v>0</v>
      </c>
      <c r="BY174" s="357">
        <f t="shared" ca="1" si="522"/>
        <v>0</v>
      </c>
      <c r="BZ174" s="357"/>
      <c r="CA174" s="357">
        <f t="shared" ca="1" si="518"/>
        <v>0</v>
      </c>
      <c r="CB174" s="357" t="str">
        <f>IF(A174="","",IF(ISERROR(FIND(A174,ZAUBER_ELF_LEIT,1)),
IF(ISERROR(VLOOKUP(A174,ZAUBER_START_NEU,4,FALSE)="L"),"",IF(VLOOKUP(A174,ZAUBER_START_NEU,4,FALSE)="L","L","")),"L"))</f>
        <v/>
      </c>
      <c r="CC174" s="358" t="str">
        <f t="shared" ca="1" si="523"/>
        <v/>
      </c>
      <c r="CD174" s="358" t="str">
        <f t="shared" ca="1" si="524"/>
        <v/>
      </c>
      <c r="CE174" s="357"/>
      <c r="CF174" s="154"/>
      <c r="CG174" s="154">
        <f t="shared" ca="1" si="525"/>
        <v>0</v>
      </c>
      <c r="CH174" s="154"/>
      <c r="CI174" s="154"/>
      <c r="CJ174" s="154"/>
      <c r="CK174" s="154"/>
      <c r="CL174" s="154"/>
      <c r="CM174" s="154"/>
      <c r="CN174" s="164"/>
      <c r="CO174" s="169"/>
      <c r="CP174" s="169"/>
      <c r="CQ174" s="169"/>
      <c r="CR174" s="169"/>
      <c r="CS174" s="169"/>
      <c r="CT174" s="169"/>
      <c r="CU174" s="169"/>
      <c r="DR174" s="208"/>
      <c r="DS174" s="164">
        <f t="shared" ref="DS174:EB175" ca="1" si="627">IF($A174="","",CODE("E")-
SUM($BR174:$CA174,
IF(ISERR(FIND(";"&amp;DS$10&amp;";",$H174)),0,1),
IF(ISERR(FIND(";"&amp;DS$10&amp;":",$H174)),0,VALUE(MID($H174,FIND(";"&amp;DS$10&amp;":",$H174)+LEN(DS$10)+2,1))),
IF(ISERR(FIND(";"&amp;DS$10&amp;"+",$H174)),0,-VALUE(MID($H174,FIND(";"&amp;DS$10&amp;"+",$H174)+LEN(DS$10)+2,1))),
IF(NT_Unstet,-1,0),
IF(AND(NOT(EXACT($AF$241,"")),NOT(ISERR(FIND($AF$241,$BQ174))),OR(DS$10&gt;$CO174,ISBLANK($CO174))),1,0),
IF(AND(NOT(EXACT($AF$242,"")),NOT(ISERR(FIND($AF$242,$BQ174))),OR(DS$10&gt;$CP174,ISBLANK($CP174))),1,0),
IF(AND(NOT(EXACT($AF$243,"")),NOT(ISERR(FIND($AF$243,$BQ174))),OR(DS$10&gt;$CQ174,ISBLANK($CQ174))),1,0),
IF(AND(NOT(EXACT($AF$244,"")),NOT(ISERR(FIND($AF$244,$BQ174))),OR(DS$10&gt;$CR174,ISBLANK($CR174))),1,0),
IF(AND(NOT(EXACT($AF$245,"")),NOT(ISERR(FIND($AF$245,$BQ174))),OR(DS$10&gt;$CS174,ISBLANK($CS174))),1,0),
IF(AND(NOT(EXACT($AF$246,"")),NOT(ISERR(FIND($AF$246,$BQ174))),OR(DS$10&gt;$CT174,ISBLANK($CT174))),1,0),
IF(AND(NOT(EXACT($AF$247,"")),NOT(ISERR(FIND($AF$247,$BQ174))),OR(DS$10&gt;$CU174,ISBLANK($CU174))),1,0)))</f>
        <v>69</v>
      </c>
      <c r="DT174" s="164">
        <f t="shared" ca="1" si="627"/>
        <v>69</v>
      </c>
      <c r="DU174" s="164">
        <f t="shared" ca="1" si="627"/>
        <v>69</v>
      </c>
      <c r="DV174" s="164">
        <f t="shared" ca="1" si="627"/>
        <v>69</v>
      </c>
      <c r="DW174" s="164">
        <f t="shared" ca="1" si="627"/>
        <v>69</v>
      </c>
      <c r="DX174" s="164">
        <f t="shared" ca="1" si="627"/>
        <v>69</v>
      </c>
      <c r="DY174" s="164">
        <f t="shared" ca="1" si="627"/>
        <v>69</v>
      </c>
      <c r="DZ174" s="164">
        <f t="shared" ca="1" si="627"/>
        <v>69</v>
      </c>
      <c r="EA174" s="164">
        <f t="shared" ca="1" si="627"/>
        <v>69</v>
      </c>
      <c r="EB174" s="164">
        <f t="shared" ca="1" si="627"/>
        <v>69</v>
      </c>
      <c r="EC174" s="164">
        <f t="shared" ref="EC174:EL175" ca="1" si="628">IF($A174="","",CODE("E")-
SUM($BR174:$CA174,
IF(ISERR(FIND(";"&amp;EC$10&amp;";",$H174)),0,1),
IF(ISERR(FIND(";"&amp;EC$10&amp;":",$H174)),0,VALUE(MID($H174,FIND(";"&amp;EC$10&amp;":",$H174)+LEN(EC$10)+2,1))),
IF(ISERR(FIND(";"&amp;EC$10&amp;"+",$H174)),0,-VALUE(MID($H174,FIND(";"&amp;EC$10&amp;"+",$H174)+LEN(EC$10)+2,1))),
IF(NT_Unstet,-1,0),
IF(AND(NOT(EXACT($AF$241,"")),NOT(ISERR(FIND($AF$241,$BQ174))),OR(EC$10&gt;$CO174,ISBLANK($CO174))),1,0),
IF(AND(NOT(EXACT($AF$242,"")),NOT(ISERR(FIND($AF$242,$BQ174))),OR(EC$10&gt;$CP174,ISBLANK($CP174))),1,0),
IF(AND(NOT(EXACT($AF$243,"")),NOT(ISERR(FIND($AF$243,$BQ174))),OR(EC$10&gt;$CQ174,ISBLANK($CQ174))),1,0),
IF(AND(NOT(EXACT($AF$244,"")),NOT(ISERR(FIND($AF$244,$BQ174))),OR(EC$10&gt;$CR174,ISBLANK($CR174))),1,0),
IF(AND(NOT(EXACT($AF$245,"")),NOT(ISERR(FIND($AF$245,$BQ174))),OR(EC$10&gt;$CS174,ISBLANK($CS174))),1,0),
IF(AND(NOT(EXACT($AF$246,"")),NOT(ISERR(FIND($AF$246,$BQ174))),OR(EC$10&gt;$CT174,ISBLANK($CT174))),1,0),
IF(AND(NOT(EXACT($AF$247,"")),NOT(ISERR(FIND($AF$247,$BQ174))),OR(EC$10&gt;$CU174,ISBLANK($CU174))),1,0)))</f>
        <v>69</v>
      </c>
      <c r="ED174" s="164">
        <f t="shared" ca="1" si="628"/>
        <v>69</v>
      </c>
      <c r="EE174" s="164">
        <f t="shared" ca="1" si="628"/>
        <v>69</v>
      </c>
      <c r="EF174" s="164">
        <f t="shared" ca="1" si="628"/>
        <v>69</v>
      </c>
      <c r="EG174" s="164">
        <f t="shared" ca="1" si="628"/>
        <v>69</v>
      </c>
      <c r="EH174" s="164">
        <f t="shared" ca="1" si="628"/>
        <v>69</v>
      </c>
      <c r="EI174" s="164">
        <f t="shared" ca="1" si="628"/>
        <v>69</v>
      </c>
      <c r="EJ174" s="164">
        <f t="shared" ca="1" si="628"/>
        <v>69</v>
      </c>
      <c r="EK174" s="164">
        <f t="shared" ca="1" si="628"/>
        <v>69</v>
      </c>
      <c r="EL174" s="164">
        <f t="shared" ca="1" si="628"/>
        <v>69</v>
      </c>
      <c r="EM174" s="164">
        <f t="shared" ref="EM174:ES175" ca="1" si="629">IF($A174="","",CODE("E")-
SUM($BR174:$CA174,
IF(ISERR(FIND(";"&amp;EM$10&amp;";",$H174)),0,1),
IF(ISERR(FIND(";"&amp;EM$10&amp;":",$H174)),0,VALUE(MID($H174,FIND(";"&amp;EM$10&amp;":",$H174)+LEN(EM$10)+2,1))),
IF(ISERR(FIND(";"&amp;EM$10&amp;"+",$H174)),0,-VALUE(MID($H174,FIND(";"&amp;EM$10&amp;"+",$H174)+LEN(EM$10)+2,1))),
IF(NT_Unstet,-1,0),
IF(AND(NOT(EXACT($AF$241,"")),NOT(ISERR(FIND($AF$241,$BQ174))),OR(EM$10&gt;$CO174,ISBLANK($CO174))),1,0),
IF(AND(NOT(EXACT($AF$242,"")),NOT(ISERR(FIND($AF$242,$BQ174))),OR(EM$10&gt;$CP174,ISBLANK($CP174))),1,0),
IF(AND(NOT(EXACT($AF$243,"")),NOT(ISERR(FIND($AF$243,$BQ174))),OR(EM$10&gt;$CQ174,ISBLANK($CQ174))),1,0),
IF(AND(NOT(EXACT($AF$244,"")),NOT(ISERR(FIND($AF$244,$BQ174))),OR(EM$10&gt;$CR174,ISBLANK($CR174))),1,0),
IF(AND(NOT(EXACT($AF$245,"")),NOT(ISERR(FIND($AF$245,$BQ174))),OR(EM$10&gt;$CS174,ISBLANK($CS174))),1,0),
IF(AND(NOT(EXACT($AF$246,"")),NOT(ISERR(FIND($AF$246,$BQ174))),OR(EM$10&gt;$CT174,ISBLANK($CT174))),1,0),
IF(AND(NOT(EXACT($AF$247,"")),NOT(ISERR(FIND($AF$247,$BQ174))),OR(EM$10&gt;$CU174,ISBLANK($CU174))),1,0)))</f>
        <v>69</v>
      </c>
      <c r="EN174" s="164">
        <f t="shared" ca="1" si="629"/>
        <v>69</v>
      </c>
      <c r="EO174" s="164">
        <f t="shared" ca="1" si="629"/>
        <v>69</v>
      </c>
      <c r="EP174" s="164">
        <f t="shared" ca="1" si="629"/>
        <v>69</v>
      </c>
      <c r="EQ174" s="164">
        <f t="shared" ca="1" si="629"/>
        <v>69</v>
      </c>
      <c r="ER174" s="164">
        <f t="shared" ca="1" si="629"/>
        <v>69</v>
      </c>
      <c r="ES174" s="164">
        <f t="shared" ca="1" si="629"/>
        <v>69</v>
      </c>
    </row>
    <row r="175" spans="1:149" x14ac:dyDescent="0.2">
      <c r="A175" s="155" t="s">
        <v>4794</v>
      </c>
      <c r="B175" s="317" t="str">
        <f ca="1">IF(SF!AS66="X",0,"akt.")</f>
        <v>akt.</v>
      </c>
      <c r="C175" s="609" t="str">
        <f ca="1">IF(AND(MAGISCH,NOT(EXACT($A175,""))),$BP$4,"")</f>
        <v/>
      </c>
      <c r="D175" s="1956" t="str">
        <f ca="1">IF(AND(MAGISCH,NOT(EXACT($A175,""))),
CONCATENATE(IF($BR175=1,$CC175&amp;", ",""),IF($BS175=1,$CD175&amp;", ",""),IF($AF$241="","",IF(ISERROR(FIND($AF$241,$BQ175)),"",$AF$241&amp;", ")),IF($AF$242="","",IF(ISERROR(FIND($AF$242,$BQ175)),"",$AF$242&amp;", ")),IF($AF$243="","",IF(ISERROR(FIND($AF$243,$BQ175)),"",$AF$243&amp;", ")),IF($AF$244="","",IF(ISERROR(FIND($AF$244,$BQ175)),"",$AF$244&amp;", ")),IF($AF$245="","",IF(ISERROR(FIND($AF$245,$BQ175)),"",$AF$245&amp;", ")),IF($AF$246="","",IF(ISERROR(FIND($AF$246,$BQ175)),"",$AF$246&amp;", ")),IF($AF$247="","",IF(ISERROR(FIND($AF$247,$BQ175)),"",$AF$247&amp;", "))
),"")</f>
        <v/>
      </c>
      <c r="E175" s="1956"/>
      <c r="F175" s="960"/>
      <c r="G175" s="485" t="str">
        <f ca="1">$BO175</f>
        <v>E</v>
      </c>
      <c r="H175" s="983"/>
      <c r="I175" s="486"/>
      <c r="J175" s="326"/>
      <c r="K175" s="1944" t="str">
        <f ca="1">IF(ISERR(FIND($C175,$BP175)),"Falsche Repräsentation",IF(B175="akt.","SF Matrixgeber aktivieren",""))</f>
        <v>SF Matrixgeber aktivieren</v>
      </c>
      <c r="L175" s="1946"/>
      <c r="M175" s="296">
        <f ca="1">IF(EXACT($B175,"akt."),0,$B175+$F175+$J175)</f>
        <v>0</v>
      </c>
      <c r="N175" s="1322"/>
      <c r="O175" s="1319"/>
      <c r="P175" s="957" t="str">
        <f>IF(AND(NOT(EXACT($A175,"")),NOT(EXACT($O175,""))),ROUND(IF(O175=2,3,O175)*20*HLOOKUP($BO175,SKT,3,FALSE)*IF(VT_EIDGED,0.5,IF(VT_GUTGED,0.75,1)),0),"")</f>
        <v/>
      </c>
      <c r="Q175" s="1470">
        <f>IF(NOT(ISBLANK($F175)),MAX(1,ROUND(IF($B175&lt;0,ABS($B175)*HLOOKUP($BO175,SKT,3,FALSE),IF($B175=0,HLOOKUP($BO175,SKT,3,FALSE),0))*IF(VT_EIDGED,IF($C175="Dru",1/3,0.5),1)*IF(VT_GUTGED,IF($C175="Dru",2/3,0.75),1),0)),0)</f>
        <v>0</v>
      </c>
      <c r="R175" s="339">
        <f t="shared" ca="1" si="622"/>
        <v>0</v>
      </c>
      <c r="S175" s="339">
        <f t="shared" ca="1" si="622"/>
        <v>0</v>
      </c>
      <c r="T175" s="339">
        <f t="shared" ca="1" si="622"/>
        <v>0</v>
      </c>
      <c r="U175" s="339">
        <f t="shared" ca="1" si="622"/>
        <v>0</v>
      </c>
      <c r="V175" s="339">
        <f t="shared" ca="1" si="622"/>
        <v>0</v>
      </c>
      <c r="W175" s="339">
        <f t="shared" ca="1" si="622"/>
        <v>0</v>
      </c>
      <c r="X175" s="339">
        <f t="shared" ca="1" si="622"/>
        <v>0</v>
      </c>
      <c r="Y175" s="339">
        <f t="shared" ca="1" si="622"/>
        <v>0</v>
      </c>
      <c r="Z175" s="339">
        <f t="shared" ca="1" si="622"/>
        <v>0</v>
      </c>
      <c r="AA175" s="339">
        <f t="shared" ca="1" si="622"/>
        <v>0</v>
      </c>
      <c r="AB175" s="339">
        <f t="shared" ca="1" si="623"/>
        <v>0</v>
      </c>
      <c r="AC175" s="339">
        <f t="shared" ca="1" si="623"/>
        <v>0</v>
      </c>
      <c r="AD175" s="339">
        <f t="shared" ca="1" si="623"/>
        <v>0</v>
      </c>
      <c r="AE175" s="339">
        <f t="shared" ca="1" si="623"/>
        <v>0</v>
      </c>
      <c r="AF175" s="339">
        <f t="shared" ca="1" si="623"/>
        <v>0</v>
      </c>
      <c r="AG175" s="339">
        <f t="shared" ca="1" si="623"/>
        <v>0</v>
      </c>
      <c r="AH175" s="339">
        <f t="shared" ca="1" si="623"/>
        <v>0</v>
      </c>
      <c r="AI175" s="339">
        <f t="shared" ca="1" si="623"/>
        <v>0</v>
      </c>
      <c r="AJ175" s="339">
        <f t="shared" ca="1" si="623"/>
        <v>0</v>
      </c>
      <c r="AK175" s="339">
        <f t="shared" ca="1" si="623"/>
        <v>0</v>
      </c>
      <c r="AL175" s="340">
        <f t="shared" ca="1" si="623"/>
        <v>0</v>
      </c>
      <c r="AM175" s="208"/>
      <c r="AN175" s="1470">
        <f>IF(NOT(ISBLANK($J175)),
ROUND(
IF(SUM($B175,$F175)&lt;0,IF($J175&lt;ABS(SUM($B175,$F175)),$J175,ABS(SUM($B175,$F175))),IF($F175="",1,0))
*HLOOKUP(IF(DS175&lt;65,"A+",IF(DS175&gt;72,"H",CHAR(DS175))),SKT,3,FALSE)*5*IF(VT_EIDGED,IF($C175="Dru",1/3,0.5),1)*IF(VT_GUTGED,IF($C175="Dru",2/3,0.75),1),0),0)
*IF(ISERR(FIND(";"&amp;AN$10&amp;":0;",$H175)),1,0)</f>
        <v>0</v>
      </c>
      <c r="AO175" s="339">
        <f t="shared" ca="1" si="624"/>
        <v>0</v>
      </c>
      <c r="AP175" s="339">
        <f t="shared" ca="1" si="624"/>
        <v>0</v>
      </c>
      <c r="AQ175" s="339">
        <f t="shared" ca="1" si="624"/>
        <v>0</v>
      </c>
      <c r="AR175" s="339">
        <f t="shared" ca="1" si="624"/>
        <v>0</v>
      </c>
      <c r="AS175" s="339">
        <f t="shared" ca="1" si="624"/>
        <v>0</v>
      </c>
      <c r="AT175" s="339">
        <f t="shared" ca="1" si="624"/>
        <v>0</v>
      </c>
      <c r="AU175" s="339">
        <f t="shared" ca="1" si="624"/>
        <v>0</v>
      </c>
      <c r="AV175" s="339">
        <f t="shared" ca="1" si="624"/>
        <v>0</v>
      </c>
      <c r="AW175" s="339">
        <f t="shared" ca="1" si="624"/>
        <v>0</v>
      </c>
      <c r="AX175" s="339">
        <f t="shared" ca="1" si="624"/>
        <v>0</v>
      </c>
      <c r="AY175" s="339">
        <f t="shared" ca="1" si="625"/>
        <v>0</v>
      </c>
      <c r="AZ175" s="339">
        <f t="shared" ca="1" si="625"/>
        <v>0</v>
      </c>
      <c r="BA175" s="339">
        <f t="shared" ca="1" si="625"/>
        <v>0</v>
      </c>
      <c r="BB175" s="339">
        <f t="shared" ca="1" si="625"/>
        <v>0</v>
      </c>
      <c r="BC175" s="339">
        <f t="shared" ca="1" si="625"/>
        <v>0</v>
      </c>
      <c r="BD175" s="339">
        <f t="shared" ca="1" si="625"/>
        <v>0</v>
      </c>
      <c r="BE175" s="339">
        <f t="shared" ca="1" si="625"/>
        <v>0</v>
      </c>
      <c r="BF175" s="339">
        <f t="shared" ca="1" si="625"/>
        <v>0</v>
      </c>
      <c r="BG175" s="339">
        <f t="shared" ca="1" si="625"/>
        <v>0</v>
      </c>
      <c r="BH175" s="339">
        <f t="shared" ca="1" si="625"/>
        <v>0</v>
      </c>
      <c r="BI175" s="339">
        <f t="shared" ca="1" si="626"/>
        <v>0</v>
      </c>
      <c r="BJ175" s="339">
        <f t="shared" ca="1" si="626"/>
        <v>0</v>
      </c>
      <c r="BK175" s="339">
        <f t="shared" ca="1" si="626"/>
        <v>0</v>
      </c>
      <c r="BL175" s="339">
        <f t="shared" ca="1" si="626"/>
        <v>0</v>
      </c>
      <c r="BM175" s="339">
        <f t="shared" ca="1" si="626"/>
        <v>0</v>
      </c>
      <c r="BN175" s="339">
        <f t="shared" ca="1" si="626"/>
        <v>0</v>
      </c>
      <c r="BO175" s="356" t="str">
        <f ca="1">IF(EXACT($A175,""),"",IF(NOT(ISERR(FIND($A175,VT_UEBERBEG))),"E",IF((CODE("E")-SUM($BR175:$CA175))&lt;65,"A+",IF((CODE("E")-SUM($BR175:$CA175))&gt;72,"H",CHAR(CODE("E")-SUM($BR175:$CA175))))))</f>
        <v>E</v>
      </c>
      <c r="BP175" s="355" t="s">
        <v>4795</v>
      </c>
      <c r="BQ175" s="355" t="s">
        <v>2944</v>
      </c>
      <c r="BR175" s="348">
        <f t="shared" ca="1" si="516"/>
        <v>0</v>
      </c>
      <c r="BS175" s="348">
        <f t="shared" ca="1" si="517"/>
        <v>0</v>
      </c>
      <c r="BT175" s="610">
        <f ca="1">IF(ISERR(FIND($C175,CONCATENATE($BP$4,$BP$5,$A$237,$A$238))),
IF($BP$4="Sch",IF($C175="Srl",-2,-3),
IF($BP$4="Srl",IF($C175="Mag",-1,-2),
IF($C175="Sch",-3,-2))),
0)</f>
        <v>0</v>
      </c>
      <c r="BU175" s="357">
        <f ca="1">IF(EXACT($C175,"H"),1,0)</f>
        <v>0</v>
      </c>
      <c r="BV175" s="357">
        <f>IF(NT_ELFWELT,IF(CB175="L",0,-1),0)</f>
        <v>0</v>
      </c>
      <c r="BW175" s="357">
        <f>SUM(IF(NT_ANIMALMAGIE,IF(NOT(ISNA(VLOOKUP(A175,ZAUBERWERTE,2,FALSE))),IF(SUM(IF(VLOOKUP(A175,ZAUBERWERTE,2,FALSE)="KL",1,0),IF(VLOOKUP(A175,ZAUBERWERTE,3,FALSE)="KL",1,0),IF(VLOOKUP(A175,ZAUBERWERTE,4,FALSE)="KL",1,0))&gt;1,-1,0),0),0),
IF(NT_FESTDENKEN,IF(NOT(ISNA(VLOOKUP(A175,ZAUBERWERTE,2,FALSE))),IF(SUM(IF(VLOOKUP(A175,ZAUBERWERTE,2,FALSE)="IN",1,0),IF(VLOOKUP(A175,ZAUBERWERTE,3,FALSE)="IN",1,0),IF(VLOOKUP(A175,ZAUBERWERTE,4,FALSE)="IN",1,0))&gt;1,-1,0),0),0),
IF(NT_SCHWACHAUS,IF(NOT(ISNA(VLOOKUP(A175,ZAUBERWERTE,2,FALSE))),IF(SUM(IF(VLOOKUP(A175,ZAUBERWERTE,2,FALSE)="CH",1,0),IF(VLOOKUP(A175,ZAUBERWERTE,3,FALSE)="CH",1,0),IF(VLOOKUP(A175,ZAUBERWERTE,4,FALSE)="CH",1,0))&gt;1,-1,0),0),0),
IF(NT_ZOEGZAUBERER,IF(NOT(ISNA(VLOOKUP(A175,ZAUBERWERTE,2,FALSE))),IF(SUM(IF(VLOOKUP(A175,ZAUBERWERTE,2,FALSE)="MU",1,0),IF(VLOOKUP(A175,ZAUBERWERTE,3,FALSE)="MU",1,0),IF(VLOOKUP(A175,ZAUBERWERTE,4,FALSE)="MU",1,0))&gt;1,-1,0),0),0))</f>
        <v>0</v>
      </c>
      <c r="BX175" s="357">
        <f ca="1">IF($BY175&gt;0,0,IF(OR(AND(NOT(EXACT($T$6,"")),EXACT($A175,$T$6)),AND(NOT(EXACT($T$7,"")),EXACT($A175,$T$7)),AND(NOT(EXACT($T$8,"")),EXACT($A175,$T$8))),1,0))</f>
        <v>0</v>
      </c>
      <c r="BY175" s="357">
        <f t="shared" ca="1" si="522"/>
        <v>0</v>
      </c>
      <c r="BZ175" s="357"/>
      <c r="CA175" s="357">
        <f t="shared" ca="1" si="518"/>
        <v>0</v>
      </c>
      <c r="CB175" s="357" t="str">
        <f>IF(A175="","",IF(ISERROR(FIND(A175,ZAUBER_ELF_LEIT,1)),
IF(ISERROR(VLOOKUP(A175,ZAUBER_START_NEU,4,FALSE)="L"),"",IF(VLOOKUP(A175,ZAUBER_START_NEU,4,FALSE)="L","L","")),"L"))</f>
        <v/>
      </c>
      <c r="CC175" s="358" t="str">
        <f t="shared" ca="1" si="523"/>
        <v/>
      </c>
      <c r="CD175" s="358" t="str">
        <f t="shared" ca="1" si="524"/>
        <v/>
      </c>
      <c r="CE175" s="357"/>
      <c r="CF175" s="154"/>
      <c r="CG175" s="154">
        <f t="shared" ca="1" si="525"/>
        <v>0</v>
      </c>
      <c r="CH175" s="154"/>
      <c r="CI175" s="154"/>
      <c r="CJ175" s="154"/>
      <c r="CK175" s="154"/>
      <c r="CL175" s="154"/>
      <c r="CM175" s="154"/>
      <c r="CN175" s="154"/>
      <c r="CO175" s="169"/>
      <c r="CP175" s="169"/>
      <c r="CQ175" s="169"/>
      <c r="CR175" s="169"/>
      <c r="CS175" s="169"/>
      <c r="CT175" s="169"/>
      <c r="CU175" s="169"/>
      <c r="DR175" s="208"/>
      <c r="DS175" s="164">
        <f t="shared" ca="1" si="627"/>
        <v>69</v>
      </c>
      <c r="DT175" s="164">
        <f t="shared" ca="1" si="627"/>
        <v>69</v>
      </c>
      <c r="DU175" s="164">
        <f t="shared" ca="1" si="627"/>
        <v>69</v>
      </c>
      <c r="DV175" s="164">
        <f t="shared" ca="1" si="627"/>
        <v>69</v>
      </c>
      <c r="DW175" s="164">
        <f t="shared" ca="1" si="627"/>
        <v>69</v>
      </c>
      <c r="DX175" s="164">
        <f t="shared" ca="1" si="627"/>
        <v>69</v>
      </c>
      <c r="DY175" s="164">
        <f t="shared" ca="1" si="627"/>
        <v>69</v>
      </c>
      <c r="DZ175" s="164">
        <f t="shared" ca="1" si="627"/>
        <v>69</v>
      </c>
      <c r="EA175" s="164">
        <f t="shared" ca="1" si="627"/>
        <v>69</v>
      </c>
      <c r="EB175" s="164">
        <f t="shared" ca="1" si="627"/>
        <v>69</v>
      </c>
      <c r="EC175" s="164">
        <f t="shared" ca="1" si="628"/>
        <v>69</v>
      </c>
      <c r="ED175" s="164">
        <f t="shared" ca="1" si="628"/>
        <v>69</v>
      </c>
      <c r="EE175" s="164">
        <f t="shared" ca="1" si="628"/>
        <v>69</v>
      </c>
      <c r="EF175" s="164">
        <f t="shared" ca="1" si="628"/>
        <v>69</v>
      </c>
      <c r="EG175" s="164">
        <f t="shared" ca="1" si="628"/>
        <v>69</v>
      </c>
      <c r="EH175" s="164">
        <f t="shared" ca="1" si="628"/>
        <v>69</v>
      </c>
      <c r="EI175" s="164">
        <f t="shared" ca="1" si="628"/>
        <v>69</v>
      </c>
      <c r="EJ175" s="164">
        <f t="shared" ca="1" si="628"/>
        <v>69</v>
      </c>
      <c r="EK175" s="164">
        <f t="shared" ca="1" si="628"/>
        <v>69</v>
      </c>
      <c r="EL175" s="164">
        <f t="shared" ca="1" si="628"/>
        <v>69</v>
      </c>
      <c r="EM175" s="164">
        <f t="shared" ca="1" si="629"/>
        <v>69</v>
      </c>
      <c r="EN175" s="164">
        <f t="shared" ca="1" si="629"/>
        <v>69</v>
      </c>
      <c r="EO175" s="164">
        <f t="shared" ca="1" si="629"/>
        <v>69</v>
      </c>
      <c r="EP175" s="164">
        <f t="shared" ca="1" si="629"/>
        <v>69</v>
      </c>
      <c r="EQ175" s="164">
        <f t="shared" ca="1" si="629"/>
        <v>69</v>
      </c>
      <c r="ER175" s="164">
        <f t="shared" ca="1" si="629"/>
        <v>69</v>
      </c>
      <c r="ES175" s="164">
        <f t="shared" ca="1" si="629"/>
        <v>69</v>
      </c>
    </row>
    <row r="176" spans="1:149" ht="19.5" customHeight="1" x14ac:dyDescent="0.25">
      <c r="A176" s="168" t="s">
        <v>8533</v>
      </c>
      <c r="B176" s="131"/>
      <c r="C176" s="304"/>
      <c r="D176" s="1467"/>
      <c r="E176" s="1467"/>
      <c r="F176" s="965"/>
      <c r="G176" s="151"/>
      <c r="H176" s="968"/>
      <c r="I176" s="968"/>
      <c r="J176" s="968"/>
      <c r="K176" s="297"/>
      <c r="L176" s="297"/>
      <c r="M176" s="295"/>
      <c r="N176" s="164"/>
      <c r="O176" s="164"/>
      <c r="P176" s="1468"/>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207"/>
      <c r="AN176" s="164"/>
      <c r="AO176" s="164"/>
      <c r="AP176" s="164"/>
      <c r="AQ176" s="164"/>
      <c r="AR176" s="164"/>
      <c r="AS176" s="164"/>
      <c r="AT176" s="164"/>
      <c r="AU176" s="164"/>
      <c r="AV176" s="164"/>
      <c r="AW176" s="164"/>
      <c r="AX176" s="164"/>
      <c r="AY176" s="164"/>
      <c r="AZ176" s="164"/>
      <c r="BA176" s="164"/>
      <c r="BB176" s="164"/>
      <c r="BC176" s="164"/>
      <c r="BD176" s="164"/>
      <c r="BE176" s="164"/>
      <c r="BF176" s="164"/>
      <c r="BG176" s="164"/>
      <c r="BH176" s="164"/>
      <c r="BI176" s="164"/>
      <c r="BJ176" s="164"/>
      <c r="BK176" s="164"/>
      <c r="BL176" s="164"/>
      <c r="BM176" s="164"/>
      <c r="BN176" s="164"/>
      <c r="BO176" s="356"/>
      <c r="BP176" s="355"/>
      <c r="BQ176" s="355"/>
      <c r="BR176" s="348"/>
      <c r="BS176" s="348"/>
      <c r="BT176" s="610"/>
      <c r="BU176" s="357"/>
      <c r="BV176" s="357"/>
      <c r="BW176" s="357"/>
      <c r="BX176" s="357"/>
      <c r="BY176" s="357"/>
      <c r="BZ176" s="357"/>
      <c r="CA176" s="357"/>
      <c r="CB176" s="357"/>
      <c r="CC176" s="358"/>
      <c r="CD176" s="358"/>
      <c r="CE176" s="357"/>
      <c r="CF176" s="154"/>
      <c r="CG176" s="154"/>
      <c r="CH176" s="154"/>
      <c r="CI176" s="154"/>
      <c r="CJ176" s="154"/>
      <c r="CK176" s="154"/>
      <c r="CL176" s="154"/>
      <c r="CM176" s="154"/>
      <c r="CN176" s="154"/>
      <c r="CO176" s="1469"/>
      <c r="CP176" s="1469"/>
      <c r="CQ176" s="1469"/>
      <c r="CR176" s="1469"/>
      <c r="CS176" s="1469"/>
      <c r="CT176" s="1469"/>
      <c r="CU176" s="1469"/>
      <c r="DR176" s="207"/>
      <c r="DS176" s="164"/>
      <c r="DT176" s="164"/>
      <c r="DU176" s="164"/>
      <c r="DV176" s="164"/>
      <c r="DW176" s="164"/>
      <c r="DX176" s="164"/>
      <c r="DY176" s="164"/>
      <c r="DZ176" s="164"/>
      <c r="EA176" s="164"/>
      <c r="EB176" s="164"/>
      <c r="EC176" s="164"/>
      <c r="ED176" s="164"/>
      <c r="EE176" s="164"/>
      <c r="EF176" s="164"/>
      <c r="EG176" s="164"/>
      <c r="EH176" s="164"/>
      <c r="EI176" s="164"/>
      <c r="EJ176" s="164"/>
      <c r="EK176" s="164"/>
      <c r="EL176" s="164"/>
      <c r="EM176" s="164"/>
      <c r="EN176" s="164"/>
      <c r="EO176" s="164"/>
      <c r="EP176" s="164"/>
      <c r="EQ176" s="164"/>
      <c r="ER176" s="164"/>
      <c r="ES176" s="164"/>
    </row>
    <row r="177" spans="1:149" x14ac:dyDescent="0.2">
      <c r="A177" s="164" t="s">
        <v>8530</v>
      </c>
      <c r="B177" s="1983" t="s">
        <v>8534</v>
      </c>
      <c r="C177" s="1984"/>
      <c r="D177" s="1984"/>
      <c r="E177" s="1984"/>
      <c r="F177" s="1985"/>
      <c r="G177" s="749"/>
      <c r="H177" s="749"/>
      <c r="I177" s="749"/>
      <c r="J177" s="749"/>
      <c r="K177" s="749"/>
      <c r="L177" s="749"/>
      <c r="M177" s="749"/>
      <c r="N177" s="164"/>
      <c r="O177" s="164"/>
      <c r="P177" s="1468"/>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207"/>
      <c r="AN177" s="164"/>
      <c r="AO177" s="164"/>
      <c r="AP177" s="164"/>
      <c r="AQ177" s="164"/>
      <c r="AR177" s="164"/>
      <c r="AS177" s="164"/>
      <c r="AT177" s="164"/>
      <c r="AU177" s="164"/>
      <c r="AV177" s="164"/>
      <c r="AW177" s="164"/>
      <c r="AX177" s="164"/>
      <c r="AY177" s="164"/>
      <c r="AZ177" s="164"/>
      <c r="BA177" s="164"/>
      <c r="BB177" s="164"/>
      <c r="BC177" s="164"/>
      <c r="BD177" s="164"/>
      <c r="BE177" s="164"/>
      <c r="BF177" s="164"/>
      <c r="BG177" s="164"/>
      <c r="BH177" s="164"/>
      <c r="BI177" s="164"/>
      <c r="BJ177" s="164"/>
      <c r="BK177" s="164"/>
      <c r="BL177" s="164"/>
      <c r="BM177" s="164"/>
      <c r="BN177" s="164"/>
      <c r="BO177" s="356"/>
      <c r="BP177" s="355"/>
      <c r="BQ177" s="355"/>
      <c r="BR177" s="348"/>
      <c r="BS177" s="348"/>
      <c r="BT177" s="610"/>
      <c r="BU177" s="357"/>
      <c r="BV177" s="357"/>
      <c r="BW177" s="357"/>
      <c r="BX177" s="357"/>
      <c r="BY177" s="357"/>
      <c r="BZ177" s="357"/>
      <c r="CA177" s="357"/>
      <c r="CB177" s="357"/>
      <c r="CC177" s="358"/>
      <c r="CD177" s="358"/>
      <c r="CE177" s="357"/>
      <c r="CF177" s="154"/>
      <c r="CG177" s="154"/>
      <c r="CH177" s="154"/>
      <c r="CI177" s="154"/>
      <c r="CJ177" s="154"/>
      <c r="CK177" s="154"/>
      <c r="CL177" s="154"/>
      <c r="CM177" s="154"/>
      <c r="CN177" s="154"/>
      <c r="CO177" s="1469"/>
      <c r="CP177" s="1469"/>
      <c r="CQ177" s="1469"/>
      <c r="CR177" s="1469"/>
      <c r="CS177" s="1469"/>
      <c r="CT177" s="1469"/>
      <c r="CU177" s="1469"/>
      <c r="DR177" s="207"/>
      <c r="DS177" s="164"/>
      <c r="DT177" s="164"/>
      <c r="DU177" s="164"/>
      <c r="DV177" s="164"/>
      <c r="DW177" s="164"/>
      <c r="DX177" s="164"/>
      <c r="DY177" s="164"/>
      <c r="DZ177" s="164"/>
      <c r="EA177" s="164"/>
      <c r="EB177" s="164"/>
      <c r="EC177" s="164"/>
      <c r="ED177" s="164"/>
      <c r="EE177" s="164"/>
      <c r="EF177" s="164"/>
      <c r="EG177" s="164"/>
      <c r="EH177" s="164"/>
      <c r="EI177" s="164"/>
      <c r="EJ177" s="164"/>
      <c r="EK177" s="164"/>
      <c r="EL177" s="164"/>
      <c r="EM177" s="164"/>
      <c r="EN177" s="164"/>
      <c r="EO177" s="164"/>
      <c r="EP177" s="164"/>
      <c r="EQ177" s="164"/>
      <c r="ER177" s="164"/>
      <c r="ES177" s="164"/>
    </row>
    <row r="178" spans="1:149" x14ac:dyDescent="0.2">
      <c r="A178" s="164" t="s">
        <v>8531</v>
      </c>
      <c r="B178" s="1983" t="s">
        <v>8535</v>
      </c>
      <c r="C178" s="1984"/>
      <c r="D178" s="1984"/>
      <c r="E178" s="1984"/>
      <c r="F178" s="1985"/>
      <c r="G178" s="749"/>
      <c r="H178" s="749"/>
      <c r="I178" s="749"/>
      <c r="J178" s="749"/>
      <c r="K178" s="749"/>
      <c r="L178" s="749"/>
      <c r="M178" s="749"/>
      <c r="N178" s="164"/>
      <c r="O178" s="164"/>
      <c r="P178" s="1468"/>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207"/>
      <c r="AN178" s="164"/>
      <c r="AO178" s="164"/>
      <c r="AP178" s="164"/>
      <c r="AQ178" s="164"/>
      <c r="AR178" s="164"/>
      <c r="AS178" s="164"/>
      <c r="AT178" s="164"/>
      <c r="AU178" s="164"/>
      <c r="AV178" s="164"/>
      <c r="AW178" s="164"/>
      <c r="AX178" s="164"/>
      <c r="AY178" s="164"/>
      <c r="AZ178" s="164"/>
      <c r="BA178" s="164"/>
      <c r="BB178" s="164"/>
      <c r="BC178" s="164"/>
      <c r="BD178" s="164"/>
      <c r="BE178" s="164"/>
      <c r="BF178" s="164"/>
      <c r="BG178" s="164"/>
      <c r="BH178" s="164"/>
      <c r="BI178" s="164"/>
      <c r="BJ178" s="164"/>
      <c r="BK178" s="164"/>
      <c r="BL178" s="164"/>
      <c r="BM178" s="164"/>
      <c r="BN178" s="164"/>
      <c r="BO178" s="356"/>
      <c r="BP178" s="355"/>
      <c r="BQ178" s="355"/>
      <c r="BR178" s="348"/>
      <c r="BS178" s="348"/>
      <c r="BT178" s="610"/>
      <c r="BU178" s="357"/>
      <c r="BV178" s="357"/>
      <c r="BW178" s="357"/>
      <c r="BX178" s="357"/>
      <c r="BY178" s="357"/>
      <c r="BZ178" s="357"/>
      <c r="CA178" s="357"/>
      <c r="CB178" s="357"/>
      <c r="CC178" s="358"/>
      <c r="CD178" s="358"/>
      <c r="CE178" s="357"/>
      <c r="CF178" s="154"/>
      <c r="CG178" s="154"/>
      <c r="CH178" s="154"/>
      <c r="CI178" s="154"/>
      <c r="CJ178" s="154"/>
      <c r="CK178" s="154"/>
      <c r="CL178" s="154"/>
      <c r="CM178" s="154"/>
      <c r="CN178" s="154"/>
      <c r="CO178" s="1469"/>
      <c r="CP178" s="1469"/>
      <c r="CQ178" s="1469"/>
      <c r="CR178" s="1469"/>
      <c r="CS178" s="1469"/>
      <c r="CT178" s="1469"/>
      <c r="CU178" s="1469"/>
      <c r="DR178" s="207"/>
      <c r="DS178" s="164"/>
      <c r="DT178" s="164"/>
      <c r="DU178" s="164"/>
      <c r="DV178" s="164"/>
      <c r="DW178" s="164"/>
      <c r="DX178" s="164"/>
      <c r="DY178" s="164"/>
      <c r="DZ178" s="164"/>
      <c r="EA178" s="164"/>
      <c r="EB178" s="164"/>
      <c r="EC178" s="164"/>
      <c r="ED178" s="164"/>
      <c r="EE178" s="164"/>
      <c r="EF178" s="164"/>
      <c r="EG178" s="164"/>
      <c r="EH178" s="164"/>
      <c r="EI178" s="164"/>
      <c r="EJ178" s="164"/>
      <c r="EK178" s="164"/>
      <c r="EL178" s="164"/>
      <c r="EM178" s="164"/>
      <c r="EN178" s="164"/>
      <c r="EO178" s="164"/>
      <c r="EP178" s="164"/>
      <c r="EQ178" s="164"/>
      <c r="ER178" s="164"/>
      <c r="ES178" s="164"/>
    </row>
    <row r="179" spans="1:149" x14ac:dyDescent="0.2">
      <c r="A179" s="164" t="s">
        <v>8532</v>
      </c>
      <c r="B179" s="1983" t="s">
        <v>8536</v>
      </c>
      <c r="C179" s="1984"/>
      <c r="D179" s="1984"/>
      <c r="E179" s="1984"/>
      <c r="F179" s="1985"/>
      <c r="G179" s="749"/>
      <c r="H179" s="749"/>
      <c r="I179" s="749"/>
      <c r="J179" s="749"/>
      <c r="K179" s="749"/>
      <c r="L179" s="749"/>
      <c r="M179" s="749"/>
      <c r="N179" s="164"/>
      <c r="O179" s="164"/>
      <c r="P179" s="1468"/>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207"/>
      <c r="AN179" s="164"/>
      <c r="AO179" s="164"/>
      <c r="AP179" s="164"/>
      <c r="AQ179" s="164"/>
      <c r="AR179" s="164"/>
      <c r="AS179" s="164"/>
      <c r="AT179" s="164"/>
      <c r="AU179" s="164"/>
      <c r="AV179" s="164"/>
      <c r="AW179" s="164"/>
      <c r="AX179" s="164"/>
      <c r="AY179" s="164"/>
      <c r="AZ179" s="164"/>
      <c r="BA179" s="164"/>
      <c r="BB179" s="164"/>
      <c r="BC179" s="164"/>
      <c r="BD179" s="164"/>
      <c r="BE179" s="164"/>
      <c r="BF179" s="164"/>
      <c r="BG179" s="164"/>
      <c r="BH179" s="164"/>
      <c r="BI179" s="164"/>
      <c r="BJ179" s="164"/>
      <c r="BK179" s="164"/>
      <c r="BL179" s="164"/>
      <c r="BM179" s="164"/>
      <c r="BN179" s="164"/>
      <c r="BO179" s="356"/>
      <c r="BP179" s="355"/>
      <c r="BQ179" s="355"/>
      <c r="BR179" s="348"/>
      <c r="BS179" s="348"/>
      <c r="BT179" s="610"/>
      <c r="BU179" s="357"/>
      <c r="BV179" s="357"/>
      <c r="BW179" s="357"/>
      <c r="BX179" s="357"/>
      <c r="BY179" s="357"/>
      <c r="BZ179" s="357"/>
      <c r="CA179" s="357"/>
      <c r="CB179" s="357"/>
      <c r="CC179" s="358"/>
      <c r="CD179" s="358"/>
      <c r="CE179" s="357"/>
      <c r="CF179" s="154"/>
      <c r="CG179" s="154"/>
      <c r="CH179" s="154"/>
      <c r="CI179" s="154"/>
      <c r="CJ179" s="154"/>
      <c r="CK179" s="154"/>
      <c r="CL179" s="154"/>
      <c r="CM179" s="154"/>
      <c r="CN179" s="154"/>
      <c r="CO179" s="1469"/>
      <c r="CP179" s="1469"/>
      <c r="CQ179" s="1469"/>
      <c r="CR179" s="1469"/>
      <c r="CS179" s="1469"/>
      <c r="CT179" s="1469"/>
      <c r="CU179" s="1469"/>
      <c r="DR179" s="207"/>
      <c r="DS179" s="164"/>
      <c r="DT179" s="164"/>
      <c r="DU179" s="164"/>
      <c r="DV179" s="164"/>
      <c r="DW179" s="164"/>
      <c r="DX179" s="164"/>
      <c r="DY179" s="164"/>
      <c r="DZ179" s="164"/>
      <c r="EA179" s="164"/>
      <c r="EB179" s="164"/>
      <c r="EC179" s="164"/>
      <c r="ED179" s="164"/>
      <c r="EE179" s="164"/>
      <c r="EF179" s="164"/>
      <c r="EG179" s="164"/>
      <c r="EH179" s="164"/>
      <c r="EI179" s="164"/>
      <c r="EJ179" s="164"/>
      <c r="EK179" s="164"/>
      <c r="EL179" s="164"/>
      <c r="EM179" s="164"/>
      <c r="EN179" s="164"/>
      <c r="EO179" s="164"/>
      <c r="EP179" s="164"/>
      <c r="EQ179" s="164"/>
      <c r="ER179" s="164"/>
      <c r="ES179" s="164"/>
    </row>
    <row r="180" spans="1:149" s="19" customFormat="1" ht="33" customHeight="1" x14ac:dyDescent="0.2">
      <c r="A180" s="155"/>
      <c r="B180" s="156"/>
      <c r="C180" s="123"/>
      <c r="D180" s="157"/>
      <c r="E180" s="158"/>
      <c r="F180" s="158"/>
      <c r="G180" s="159"/>
      <c r="H180" s="1471"/>
      <c r="I180" s="1471"/>
      <c r="J180" s="1471"/>
      <c r="K180" s="292"/>
      <c r="L180" s="292"/>
      <c r="M180" s="292"/>
      <c r="N180" s="160"/>
      <c r="O180" s="160"/>
      <c r="P180" s="160"/>
      <c r="Q180" s="160"/>
      <c r="R180" s="160"/>
      <c r="S180" s="160"/>
      <c r="T180" s="160"/>
      <c r="U180" s="160"/>
      <c r="V180" s="160"/>
      <c r="W180" s="160"/>
      <c r="X180" s="160"/>
      <c r="Y180" s="160"/>
      <c r="Z180" s="160"/>
      <c r="AA180" s="160"/>
      <c r="AB180" s="160"/>
      <c r="AC180" s="160"/>
      <c r="AD180" s="160"/>
      <c r="AE180" s="160"/>
      <c r="AF180" s="160"/>
      <c r="AG180" s="160"/>
      <c r="AH180" s="160"/>
      <c r="AI180" s="160"/>
      <c r="AX180" s="161"/>
      <c r="AY180" s="161"/>
      <c r="AZ180" s="161"/>
      <c r="BA180" s="161"/>
      <c r="BL180" s="359"/>
      <c r="BM180" s="360"/>
      <c r="BN180" s="360"/>
      <c r="BO180" s="361"/>
      <c r="BP180" s="361"/>
      <c r="BQ180" s="361"/>
      <c r="BR180" s="362"/>
      <c r="BS180" s="362"/>
      <c r="BT180" s="362"/>
      <c r="BU180" s="362"/>
      <c r="BV180" s="362"/>
      <c r="BW180" s="362"/>
      <c r="BX180" s="362"/>
      <c r="BY180" s="362"/>
      <c r="BZ180" s="362"/>
      <c r="CA180" s="362"/>
      <c r="CB180" s="362"/>
      <c r="CC180" s="160"/>
      <c r="CD180" s="160"/>
      <c r="CE180" s="160"/>
      <c r="CF180" s="160"/>
      <c r="CG180" s="160"/>
      <c r="CH180" s="160"/>
      <c r="CI180" s="160"/>
      <c r="CJ180" s="160"/>
    </row>
    <row r="181" spans="1:149" ht="75.75" customHeight="1" thickBot="1" x14ac:dyDescent="0.3">
      <c r="A181" s="984" t="s">
        <v>7499</v>
      </c>
      <c r="B181" s="1418" t="s">
        <v>7425</v>
      </c>
      <c r="C181" s="308" t="s">
        <v>1161</v>
      </c>
      <c r="D181" s="309" t="s">
        <v>4633</v>
      </c>
      <c r="E181" s="1126" t="s">
        <v>1654</v>
      </c>
      <c r="F181" s="1126"/>
      <c r="G181" s="1126"/>
      <c r="H181" s="383" t="s">
        <v>4152</v>
      </c>
      <c r="I181" s="328" t="s">
        <v>3793</v>
      </c>
      <c r="J181" s="382" t="s">
        <v>4006</v>
      </c>
      <c r="K181" s="1879" t="str">
        <f ca="1">IF(APGUT&lt;0,"Keine AP mehr übrig!",IF(TL_GP_UEBRIG&lt;0,"Keine Start-AP mehr übrig!","▼ Fehlermeldungen ▼  "&amp;"(AP: "&amp;APGUT&amp;")"))</f>
        <v>▼ Fehlermeldungen ▼  (AP: 0)</v>
      </c>
      <c r="L181" s="1879"/>
      <c r="M181" s="297"/>
      <c r="N181" s="383" t="s">
        <v>1162</v>
      </c>
      <c r="O181" s="328" t="s">
        <v>3793</v>
      </c>
      <c r="P181" s="382" t="s">
        <v>4006</v>
      </c>
      <c r="Q181" s="382" t="s">
        <v>2018</v>
      </c>
      <c r="T181" s="1474" t="b">
        <f ca="1">EXACT(E182,$F$203)</f>
        <v>1</v>
      </c>
      <c r="X181" t="s">
        <v>4730</v>
      </c>
      <c r="AE181" s="78" t="s">
        <v>7498</v>
      </c>
      <c r="AI181" s="1095" t="str">
        <f ca="1">IF(HLOOKUP(KULTURGENE,KULTUR,IDX_R,FALSE)="","",HLOOKUP(KULTURGENE,KULTUR,IDX_R,FALSE)&amp;",")&amp;
IF(HLOOKUP(PROFGENE,INDIRECT(PROFGEBIET),IDX_R,FALSE)="","",HLOOKUP(PROFGENE,INDIRECT(PROFGEBIET),IDX_R,FALSE)&amp;",")&amp;
IF(HLOOKUP(PROFGENE,INDIRECT(PROFGEBIET),IDX_R+1,FALSE)="","",HLOOKUP(PROFGENE,INDIRECT(PROFGEBIET),IDX_R+1,FALSE)&amp;",")&amp;
IF(HLOOKUP(PROFGENE,INDIRECT(PROFGEBIET),IDX_R+2,FALSE)="","",HLOOKUP(PROFGENE,INDIRECT(PROFGEBIET),IDX_R+2,FALSE)&amp;",")&amp;
IF(HLOOKUP(PROFGENE,INDIRECT(PROFGEBIET),IDX_R+3,FALSE)="","",HLOOKUP(PROFGENE,INDIRECT(PROFGEBIET),IDX_R+3,FALSE)&amp;",")&amp;
IF(HLOOKUP(PROFGENE,INDIRECT(PROFGEBIET),IDX_R+4,FALSE)="","",HLOOKUP(PROFGENE,INDIRECT(PROFGEBIET),IDX_R+4,FALSE)&amp;",")&amp;
IF(HLOOKUP(PROFGENE,INDIRECT(PROFGEBIET),IDX_R+5,FALSE)="","",HLOOKUP(PROFGENE,INDIRECT(PROFGEBIET),IDX_R+5,FALSE)&amp;",")&amp;
IF(HLOOKUP(PROFGENE,INDIRECT(PROFGEBIET),IDX_R+6,FALSE)="","",HLOOKUP(PROFGENE,INDIRECT(PROFGEBIET),IDX_R+6,FALSE)&amp;",")&amp;
IF(HLOOKUP(PROFGENE,INDIRECT(PROFGEBIET),IDX_R+7,FALSE)="","",HLOOKUP(PROFGENE,INDIRECT(PROFGEBIET),IDX_R+7,FALSE)&amp;",")&amp;
IF(HLOOKUP(PROFGENE,INDIRECT(PROFGEBIET),IDX_R+8,FALSE)="","",HLOOKUP(PROFGENE,INDIRECT(PROFGEBIET),IDX_R+8,FALSE)&amp;",")&amp;
IF(HLOOKUP(PROFGENE,INDIRECT(PROFGEBIET),IDX_R+9,FALSE)="","",HLOOKUP(PROFGENE,INDIRECT(PROFGEBIET),IDX_R+9,FALSE)&amp;",")</f>
        <v/>
      </c>
      <c r="AJ181" s="98"/>
      <c r="AK181" s="97"/>
      <c r="AL181" s="97"/>
      <c r="AM181" s="97"/>
      <c r="AO181" s="100"/>
      <c r="AP181" s="100"/>
      <c r="AQ181" s="100"/>
      <c r="AR181" s="100"/>
      <c r="AS181" s="100"/>
      <c r="AT181" s="100"/>
      <c r="AU181" s="100"/>
      <c r="AV181" s="100"/>
      <c r="AW181" s="100"/>
      <c r="AX181" s="100"/>
      <c r="AY181" s="100"/>
      <c r="AZ181" s="100"/>
      <c r="BA181" s="100"/>
      <c r="BH181" s="356"/>
      <c r="BI181" s="355"/>
      <c r="BJ181" s="355"/>
      <c r="BK181" s="348"/>
      <c r="BL181" s="348"/>
      <c r="BM181" s="348"/>
      <c r="BN181" s="357"/>
      <c r="BO181" s="357"/>
      <c r="BP181" s="357"/>
      <c r="BQ181" s="357"/>
      <c r="BR181" s="357"/>
      <c r="BS181" s="357"/>
      <c r="BT181" s="357"/>
      <c r="BU181" s="357"/>
      <c r="BV181" s="357"/>
      <c r="BW181" s="357"/>
      <c r="BX181" s="357"/>
      <c r="BY181" s="154"/>
      <c r="BZ181" s="154"/>
      <c r="CA181" s="154"/>
      <c r="CB181" s="154"/>
      <c r="CC181" s="154"/>
      <c r="CD181" s="154"/>
      <c r="CE181" s="154"/>
      <c r="CF181" s="154"/>
    </row>
    <row r="182" spans="1:149" x14ac:dyDescent="0.2">
      <c r="A182" s="222"/>
      <c r="B182" s="24"/>
      <c r="C182" s="223" t="str">
        <f t="shared" ref="C182:C201" ca="1" si="630">IF($A182="","",IF(OR(EXACT($A182,HLOOKUP(KULTURGENE,KULTUR,IDX_R,FALSE)),EXACT($A182,HLOOKUP(PROFGENE,INDIRECT(PROFGEBIET),IDX_R,FALSE)),EXACT($A182,HLOOKUP(PROFGENE,INDIRECT(PROFGEBIET),IDX_R+1,FALSE)),EXACT($A182,HLOOKUP(PROFGENE,INDIRECT(PROFGEBIET),IDX_R+2,FALSE)),EXACT($A182,HLOOKUP(PROFGENE,INDIRECT(PROFGEBIET),IDX_R+3,FALSE)),EXACT($A182,HLOOKUP(PROFGENE,INDIRECT(PROFGEBIET),IDX_R+4,FALSE)),EXACT($A182,HLOOKUP(PROFGENE,INDIRECT(PROFGEBIET),IDX_R+5,FALSE)),EXACT($A182,HLOOKUP(PROFGENE,INDIRECT(PROFGEBIET),IDX_R+6,FALSE)),EXACT($A182,HLOOKUP(PROFGENE,INDIRECT(PROFGEBIET),IDX_R+7,FALSE)),EXACT($A182,HLOOKUP(PROFGENE,INDIRECT(PROFGEBIET),IDX_R+8,FALSE)),EXACT($A182,HLOOKUP(PROFGENE,INDIRECT(PROFGEBIET),IDX_R+9,FALSE))),"x",""))</f>
        <v/>
      </c>
      <c r="D182" s="982" t="str">
        <f t="shared" ref="D182:D201" ca="1" si="631">IF($A182="","",IF(OR(EXACT($A182,HLOOKUP(KULTURGENE,KULTUR,IDX_VR,FALSE)),EXACT($A182,HLOOKUP(PROFGENE,INDIRECT(PROFGEBIET),IDX_VR,FALSE)),EXACT($A182,HLOOKUP(PROFGENE,INDIRECT(PROFGEBIET),IDX_VR+1,FALSE)),EXACT($A182,HLOOKUP(PROFGENE,INDIRECT(PROFGEBIET),IDX_VR+2,FALSE)),EXACT($A182,HLOOKUP(PROFGENE,INDIRECT(PROFGEBIET),IDX_VR+3,FALSE)),EXACT($A182,HLOOKUP(PROFGENE,INDIRECT(PROFGEBIET),IDX_VR+4,FALSE)),EXACT($A182,HLOOKUP(PROFGENE,INDIRECT(PROFGEBIET),IDX_VR+5,FALSE)),EXACT($A182,HLOOKUP(PROFGENE,INDIRECT(PROFGEBIET),IDX_VR+6,FALSE)),IF($X$182=$A182,TRUE,FALSE),IF($X$183=A182,TRUE,FALSE),IF($X$184=$A182,TRUE,FALSE)),"x",""))</f>
        <v/>
      </c>
      <c r="E182" s="392" t="str">
        <f t="shared" ref="E182:E201" ca="1" si="632">IF(AND(MAGISCH,NOT(ISBLANK($A182))),VLOOKUP($A182,RITUALEWERTE,9,FALSE),"")</f>
        <v/>
      </c>
      <c r="F182" s="392" t="str">
        <f t="shared" ref="F182:F201" ca="1" si="633">IF(AND(MAGISCH,NOT(ISBLANK($A182))),IF(EXACT(VLOOKUP($A182,RITUALEWERTE,10,FALSE),""),"",VLOOKUP($A182,RITUALEWERTE,10,FALSE)),"")</f>
        <v/>
      </c>
      <c r="G182" s="392" t="str">
        <f t="shared" ref="G182:G201" ca="1" si="634">IF(AND(MAGISCH,NOT(ISBLANK($A182))),IF(EXACT(VLOOKUP($A182,RITUALEWERTE,11,FALSE),""),"",VLOOKUP($A182,RITUALEWERTE,11,FALSE)),"")</f>
        <v/>
      </c>
      <c r="H182" s="384"/>
      <c r="I182" s="960"/>
      <c r="J182" s="326"/>
      <c r="K182" s="1804" t="str">
        <f t="shared" ref="K182:K191" ca="1" si="635">IF(EXACT($A182,""),"",IF(NOT(OR(EXACT(E182,$F$203),EXACT(F182,$F$203),EXACT(G182,$F$203),IF(NOT(EXACT($F$205,"")),OR(EXACT(E182,$F$205),EXACT(F182,$F$205),EXACT(G182,$F$205))))),"Fehlende Ritualkenntnis",""))&amp;IF(AND(A182&lt;&gt;"",C182="",H182="",I182="",J182=""),"  - Noch nicht aktiviert","")</f>
        <v/>
      </c>
      <c r="L182" s="1805"/>
      <c r="M182" s="298"/>
      <c r="N182" s="753">
        <f t="shared" ref="N182:N201" ca="1" si="636">IF(AND(NOT(ISBLANK($H182)),EXACT($K182,""),EXACT($C182,""),NOT($A182="")),ROUND(VLOOKUP($A182,RITUALEWERTE,8,FALSE)*IF(EXACT($D182,""),1,0.5)/50,0),0)</f>
        <v>0</v>
      </c>
      <c r="O182" s="753">
        <f t="shared" ref="O182:O201" ca="1" si="637">IF(AND(NOT(ISBLANK($A182)),EXACT($K182,"")),IF(AND($C182="",NOT(ISBLANK($I182))),ROUND(VLOOKUP($A182,RITUALEWERTE,8,FALSE)*IF($D182="",1,0.5),0),0),0)</f>
        <v>0</v>
      </c>
      <c r="P182" s="753">
        <f t="shared" ref="P182:P201" ca="1" si="638">IF(AND(NOT(ISBLANK($A182)),EXACT($K182,"")),IF(AND($C182="",NOT(ISBLANK($J182))),ROUND(VLOOKUP($A182,RITUALEWERTE,8,FALSE)*IF($D182="",1,0.5),0),0),0)</f>
        <v>0</v>
      </c>
      <c r="Q182" s="753" t="str">
        <f t="shared" ref="Q182:Q201" si="639">IF(B182="","RITUALE",VLOOKUP(B182,RITUAL_KAT_WERT,2,FALSE))</f>
        <v>RITUALE</v>
      </c>
      <c r="R182" s="78"/>
      <c r="T182" s="78"/>
      <c r="U182" s="1961" t="s">
        <v>2487</v>
      </c>
      <c r="V182" s="1961"/>
      <c r="W182" s="1962"/>
      <c r="X182" s="1969" t="str">
        <f ca="1">IF(VT_BGBRITUAL="","",INDIRECT(LEFT(VT_BGBRITUAL,17)))</f>
        <v/>
      </c>
      <c r="Y182" s="1970"/>
      <c r="Z182" s="1970"/>
      <c r="AA182" s="1970"/>
      <c r="AB182" s="1971"/>
      <c r="AC182" s="78"/>
      <c r="AD182" s="78"/>
      <c r="AF182" s="78"/>
      <c r="AH182" s="78"/>
      <c r="AI182" s="1096" t="str">
        <f ca="1">IF(AI181="","",LEFT(AI181,FIND(",",AI181,1)-1))</f>
        <v/>
      </c>
      <c r="AJ182" s="1096" t="str">
        <f ca="1">IF(AI181="","",RIGHT(AI181,LEN(AI181)-FIND(",",AI181,1)))</f>
        <v/>
      </c>
      <c r="AK182" s="97"/>
      <c r="AL182" s="97"/>
      <c r="AM182" s="97"/>
      <c r="AO182" s="100"/>
      <c r="AP182" s="100"/>
      <c r="AQ182" s="100"/>
      <c r="AR182" s="100"/>
      <c r="AS182" s="100"/>
      <c r="AT182" s="100"/>
      <c r="AU182" s="100"/>
      <c r="AV182" s="100"/>
      <c r="AW182" s="100"/>
      <c r="AX182" s="100"/>
      <c r="AY182" s="100"/>
      <c r="AZ182" s="100"/>
      <c r="BA182" s="100"/>
      <c r="BG182" s="356"/>
      <c r="BH182" s="355"/>
      <c r="BI182" s="355"/>
      <c r="BJ182" s="348"/>
      <c r="BK182" s="348"/>
      <c r="BL182" s="348"/>
      <c r="BM182" s="357"/>
      <c r="BN182" s="357"/>
      <c r="BO182" s="357"/>
      <c r="BP182" s="357"/>
      <c r="BQ182" s="357"/>
      <c r="BR182" s="357"/>
      <c r="BS182" s="357"/>
      <c r="BT182" s="357"/>
      <c r="BU182" s="357"/>
      <c r="BV182" s="357"/>
      <c r="BW182" s="357"/>
      <c r="BX182" s="154"/>
      <c r="BY182" s="154"/>
      <c r="BZ182" s="154"/>
      <c r="CA182" s="154"/>
      <c r="CB182" s="154"/>
      <c r="CC182" s="154"/>
      <c r="CD182" s="154"/>
      <c r="CE182" s="154"/>
    </row>
    <row r="183" spans="1:149" x14ac:dyDescent="0.2">
      <c r="A183" s="222"/>
      <c r="B183" s="24"/>
      <c r="C183" s="223" t="str">
        <f t="shared" ca="1" si="630"/>
        <v/>
      </c>
      <c r="D183" s="982" t="str">
        <f t="shared" ca="1" si="631"/>
        <v/>
      </c>
      <c r="E183" s="392" t="str">
        <f t="shared" ca="1" si="632"/>
        <v/>
      </c>
      <c r="F183" s="392" t="str">
        <f t="shared" ca="1" si="633"/>
        <v/>
      </c>
      <c r="G183" s="392" t="str">
        <f t="shared" ca="1" si="634"/>
        <v/>
      </c>
      <c r="H183" s="384"/>
      <c r="I183" s="960"/>
      <c r="J183" s="326"/>
      <c r="K183" s="1740" t="str">
        <f t="shared" ca="1" si="635"/>
        <v/>
      </c>
      <c r="L183" s="1741"/>
      <c r="M183" s="298"/>
      <c r="N183" s="754">
        <f t="shared" ca="1" si="636"/>
        <v>0</v>
      </c>
      <c r="O183" s="754">
        <f t="shared" ca="1" si="637"/>
        <v>0</v>
      </c>
      <c r="P183" s="754">
        <f t="shared" ca="1" si="638"/>
        <v>0</v>
      </c>
      <c r="Q183" s="753" t="str">
        <f t="shared" si="639"/>
        <v>RITUALE</v>
      </c>
      <c r="R183" s="78"/>
      <c r="T183" s="78"/>
      <c r="U183" s="1961" t="s">
        <v>2487</v>
      </c>
      <c r="V183" s="1961"/>
      <c r="W183" s="1962"/>
      <c r="X183" s="1900" t="str">
        <f ca="1">IF(LEN(VT_BGBRITUAL)&gt;18,INDIRECT(MID(VT_BGBRITUAL,18,17)),"")</f>
        <v/>
      </c>
      <c r="Y183" s="1901"/>
      <c r="Z183" s="1901"/>
      <c r="AA183" s="1901"/>
      <c r="AB183" s="1902"/>
      <c r="AC183" s="78"/>
      <c r="AD183" s="78"/>
      <c r="AE183" s="78"/>
      <c r="AF183" s="78"/>
      <c r="AG183" s="78"/>
      <c r="AH183" s="78"/>
      <c r="AI183" s="1096" t="str">
        <f ca="1">IF(AJ182="","",LEFT(AJ182,FIND(",",AJ182,1)-1))</f>
        <v/>
      </c>
      <c r="AJ183" s="1096" t="str">
        <f ca="1">IF(AJ182="","",RIGHT(AJ182,LEN(AJ182)-FIND(",",AJ182,1)))</f>
        <v/>
      </c>
      <c r="AK183" s="97"/>
      <c r="AL183" s="97"/>
      <c r="AM183" s="97"/>
      <c r="AO183" s="100"/>
      <c r="AP183" s="100"/>
      <c r="AQ183" s="100"/>
      <c r="AR183" s="100"/>
      <c r="AS183" s="100"/>
      <c r="AT183" s="100"/>
      <c r="AU183" s="100"/>
      <c r="AV183" s="100"/>
      <c r="AW183" s="100"/>
      <c r="AX183" s="100"/>
      <c r="AY183" s="100"/>
      <c r="AZ183" s="100"/>
      <c r="BA183" s="100"/>
      <c r="BG183" s="356"/>
      <c r="BH183" s="355"/>
      <c r="BI183" s="355"/>
      <c r="BJ183" s="348"/>
      <c r="BK183" s="348"/>
      <c r="BL183" s="348"/>
      <c r="BM183" s="357"/>
      <c r="BN183" s="357"/>
      <c r="BO183" s="357"/>
      <c r="BP183" s="357"/>
      <c r="BQ183" s="357"/>
      <c r="BR183" s="357"/>
      <c r="BS183" s="357"/>
      <c r="BT183" s="357"/>
      <c r="BU183" s="357"/>
      <c r="BV183" s="357"/>
      <c r="BW183" s="357"/>
      <c r="BX183" s="154"/>
      <c r="BY183" s="154"/>
      <c r="BZ183" s="154"/>
      <c r="CA183" s="154"/>
      <c r="CB183" s="154"/>
      <c r="CC183" s="154"/>
      <c r="CD183" s="154"/>
      <c r="CE183" s="154"/>
    </row>
    <row r="184" spans="1:149" x14ac:dyDescent="0.2">
      <c r="A184" s="222"/>
      <c r="B184" s="24"/>
      <c r="C184" s="223" t="str">
        <f t="shared" ca="1" si="630"/>
        <v/>
      </c>
      <c r="D184" s="982" t="str">
        <f t="shared" ca="1" si="631"/>
        <v/>
      </c>
      <c r="E184" s="392" t="str">
        <f t="shared" ca="1" si="632"/>
        <v/>
      </c>
      <c r="F184" s="392" t="str">
        <f t="shared" ca="1" si="633"/>
        <v/>
      </c>
      <c r="G184" s="392" t="str">
        <f t="shared" ca="1" si="634"/>
        <v/>
      </c>
      <c r="H184" s="384"/>
      <c r="I184" s="960"/>
      <c r="J184" s="326"/>
      <c r="K184" s="1740" t="str">
        <f t="shared" ca="1" si="635"/>
        <v/>
      </c>
      <c r="L184" s="1741"/>
      <c r="M184" s="298"/>
      <c r="N184" s="754">
        <f t="shared" ca="1" si="636"/>
        <v>0</v>
      </c>
      <c r="O184" s="754">
        <f t="shared" ca="1" si="637"/>
        <v>0</v>
      </c>
      <c r="P184" s="754">
        <f t="shared" ca="1" si="638"/>
        <v>0</v>
      </c>
      <c r="Q184" s="753" t="str">
        <f t="shared" si="639"/>
        <v>RITUALE</v>
      </c>
      <c r="R184" s="78"/>
      <c r="T184" s="78"/>
      <c r="U184" s="1961" t="s">
        <v>2487</v>
      </c>
      <c r="V184" s="1961"/>
      <c r="W184" s="1962"/>
      <c r="X184" s="1900" t="str">
        <f ca="1">IF(LEN(VT_BGBRITUAL)&gt;35,INDIRECT(RIGHT(VT_BGBRITUAL,17)),"")</f>
        <v/>
      </c>
      <c r="Y184" s="1901"/>
      <c r="Z184" s="1901"/>
      <c r="AA184" s="1901"/>
      <c r="AB184" s="1902"/>
      <c r="AC184" s="78"/>
      <c r="AD184" s="78"/>
      <c r="AE184" s="78"/>
      <c r="AF184" s="78"/>
      <c r="AG184" s="78"/>
      <c r="AH184" s="78"/>
      <c r="AI184" s="1096" t="str">
        <f t="shared" ref="AI184:AI189" ca="1" si="640">IF(AJ183="","",LEFT(AJ183,FIND(",",AJ183,1)-1))</f>
        <v/>
      </c>
      <c r="AJ184" s="1096" t="str">
        <f t="shared" ref="AJ184:AJ191" ca="1" si="641">IF(AJ183="","",RIGHT(AJ183,LEN(AJ183)-FIND(",",AJ183,1)))</f>
        <v/>
      </c>
      <c r="AK184" s="97"/>
      <c r="AL184" s="97"/>
      <c r="AM184" s="97"/>
      <c r="AO184" s="100"/>
      <c r="AP184" s="100"/>
      <c r="AQ184" s="100"/>
      <c r="AR184" s="100"/>
      <c r="AS184" s="100"/>
      <c r="AT184" s="100"/>
      <c r="AU184" s="100"/>
      <c r="AV184" s="100"/>
      <c r="AW184" s="100"/>
      <c r="AX184" s="100"/>
      <c r="AY184" s="100"/>
      <c r="AZ184" s="100"/>
      <c r="BA184" s="100"/>
      <c r="BG184" s="356"/>
      <c r="BH184" s="355"/>
      <c r="BI184" s="355"/>
      <c r="BJ184" s="348"/>
      <c r="BK184" s="348"/>
      <c r="BL184" s="348"/>
      <c r="BM184" s="357"/>
      <c r="BN184" s="357"/>
      <c r="BO184" s="357"/>
      <c r="BP184" s="357"/>
      <c r="BQ184" s="357"/>
      <c r="BR184" s="357"/>
      <c r="BS184" s="357"/>
      <c r="BT184" s="357"/>
      <c r="BU184" s="357"/>
      <c r="BV184" s="357"/>
      <c r="BW184" s="357"/>
      <c r="BX184" s="154"/>
      <c r="BY184" s="154"/>
      <c r="BZ184" s="154"/>
      <c r="CA184" s="154"/>
      <c r="CB184" s="154"/>
      <c r="CC184" s="154"/>
      <c r="CD184" s="154"/>
      <c r="CE184" s="154"/>
    </row>
    <row r="185" spans="1:149" x14ac:dyDescent="0.2">
      <c r="A185" s="222"/>
      <c r="B185" s="24"/>
      <c r="C185" s="223" t="str">
        <f t="shared" ca="1" si="630"/>
        <v/>
      </c>
      <c r="D185" s="982" t="str">
        <f t="shared" ca="1" si="631"/>
        <v/>
      </c>
      <c r="E185" s="392" t="str">
        <f t="shared" ca="1" si="632"/>
        <v/>
      </c>
      <c r="F185" s="392" t="str">
        <f t="shared" ca="1" si="633"/>
        <v/>
      </c>
      <c r="G185" s="392" t="str">
        <f t="shared" ca="1" si="634"/>
        <v/>
      </c>
      <c r="H185" s="384"/>
      <c r="I185" s="960"/>
      <c r="J185" s="326"/>
      <c r="K185" s="1740" t="str">
        <f t="shared" ca="1" si="635"/>
        <v/>
      </c>
      <c r="L185" s="1741"/>
      <c r="M185" s="298"/>
      <c r="N185" s="754">
        <f t="shared" ca="1" si="636"/>
        <v>0</v>
      </c>
      <c r="O185" s="754">
        <f t="shared" ca="1" si="637"/>
        <v>0</v>
      </c>
      <c r="P185" s="754">
        <f t="shared" ca="1" si="638"/>
        <v>0</v>
      </c>
      <c r="Q185" s="753" t="str">
        <f t="shared" si="639"/>
        <v>RITUALE</v>
      </c>
      <c r="R185" s="78"/>
      <c r="T185" s="78"/>
      <c r="U185" s="78"/>
      <c r="V185" s="78"/>
      <c r="W185" s="78"/>
      <c r="X185" s="78"/>
      <c r="Y185" s="78"/>
      <c r="Z185" s="78"/>
      <c r="AA185" s="78"/>
      <c r="AB185" s="78"/>
      <c r="AC185" s="78"/>
      <c r="AD185" s="78"/>
      <c r="AE185" s="78"/>
      <c r="AF185" s="78"/>
      <c r="AG185" s="78"/>
      <c r="AH185" s="78"/>
      <c r="AI185" s="1096" t="str">
        <f t="shared" ca="1" si="640"/>
        <v/>
      </c>
      <c r="AJ185" s="1096" t="str">
        <f t="shared" ca="1" si="641"/>
        <v/>
      </c>
      <c r="AK185" s="97"/>
      <c r="AL185" s="97"/>
      <c r="AM185" s="97"/>
      <c r="AO185" s="100"/>
      <c r="AP185" s="100"/>
      <c r="AQ185" s="100"/>
      <c r="AR185" s="100"/>
      <c r="AS185" s="100"/>
      <c r="AT185" s="100"/>
      <c r="AU185" s="100"/>
      <c r="AV185" s="100"/>
      <c r="AW185" s="100"/>
      <c r="AX185" s="100"/>
      <c r="AY185" s="100"/>
      <c r="AZ185" s="100"/>
      <c r="BA185" s="100"/>
      <c r="BG185" s="356"/>
      <c r="BH185" s="355"/>
      <c r="BI185" s="355"/>
      <c r="BJ185" s="348"/>
      <c r="BK185" s="348"/>
      <c r="BL185" s="348"/>
      <c r="BM185" s="357"/>
      <c r="BN185" s="357"/>
      <c r="BO185" s="357"/>
      <c r="BP185" s="357"/>
      <c r="BQ185" s="357"/>
      <c r="BR185" s="357"/>
      <c r="BS185" s="357"/>
      <c r="BT185" s="357"/>
      <c r="BU185" s="357"/>
      <c r="BV185" s="357"/>
      <c r="BW185" s="357"/>
      <c r="BX185" s="154"/>
      <c r="BY185" s="154"/>
      <c r="BZ185" s="154"/>
      <c r="CA185" s="154"/>
      <c r="CB185" s="154"/>
      <c r="CC185" s="154"/>
      <c r="CD185" s="154"/>
      <c r="CE185" s="154"/>
    </row>
    <row r="186" spans="1:149" x14ac:dyDescent="0.2">
      <c r="A186" s="222"/>
      <c r="B186" s="24"/>
      <c r="C186" s="223" t="str">
        <f t="shared" ca="1" si="630"/>
        <v/>
      </c>
      <c r="D186" s="982" t="str">
        <f t="shared" ca="1" si="631"/>
        <v/>
      </c>
      <c r="E186" s="392" t="str">
        <f t="shared" ca="1" si="632"/>
        <v/>
      </c>
      <c r="F186" s="392" t="str">
        <f t="shared" ca="1" si="633"/>
        <v/>
      </c>
      <c r="G186" s="392" t="str">
        <f t="shared" ca="1" si="634"/>
        <v/>
      </c>
      <c r="H186" s="384"/>
      <c r="I186" s="960"/>
      <c r="J186" s="326"/>
      <c r="K186" s="1740" t="str">
        <f t="shared" ca="1" si="635"/>
        <v/>
      </c>
      <c r="L186" s="1741"/>
      <c r="M186" s="298"/>
      <c r="N186" s="754">
        <f t="shared" ca="1" si="636"/>
        <v>0</v>
      </c>
      <c r="O186" s="754">
        <f t="shared" ca="1" si="637"/>
        <v>0</v>
      </c>
      <c r="P186" s="754">
        <f t="shared" ca="1" si="638"/>
        <v>0</v>
      </c>
      <c r="Q186" s="753" t="str">
        <f t="shared" si="639"/>
        <v>RITUALE</v>
      </c>
      <c r="R186" s="78"/>
      <c r="T186" s="78"/>
      <c r="U186" s="78"/>
      <c r="V186" s="78"/>
      <c r="W186" s="78"/>
      <c r="X186" s="78"/>
      <c r="Y186" s="78"/>
      <c r="Z186" s="78"/>
      <c r="AA186" s="78"/>
      <c r="AB186" s="78"/>
      <c r="AC186" s="78"/>
      <c r="AD186" s="78"/>
      <c r="AE186" s="78"/>
      <c r="AF186" s="78"/>
      <c r="AG186" s="78"/>
      <c r="AH186" s="78"/>
      <c r="AI186" s="1096" t="str">
        <f t="shared" ca="1" si="640"/>
        <v/>
      </c>
      <c r="AJ186" s="1096" t="str">
        <f t="shared" ca="1" si="641"/>
        <v/>
      </c>
      <c r="AK186" s="97"/>
      <c r="AL186" s="97"/>
      <c r="AM186" s="97"/>
      <c r="AO186" s="100"/>
      <c r="AP186" s="100"/>
      <c r="AQ186" s="100"/>
      <c r="AR186" s="100"/>
      <c r="AS186" s="100"/>
      <c r="AT186" s="100"/>
      <c r="AU186" s="100"/>
      <c r="AV186" s="100"/>
      <c r="AW186" s="100"/>
      <c r="AX186" s="100"/>
      <c r="AY186" s="100"/>
      <c r="AZ186" s="100"/>
      <c r="BA186" s="100"/>
      <c r="BG186" s="356"/>
      <c r="BH186" s="355"/>
      <c r="BI186" s="355"/>
      <c r="BJ186" s="348"/>
      <c r="BK186" s="348"/>
      <c r="BL186" s="348"/>
      <c r="BM186" s="357"/>
      <c r="BN186" s="357"/>
      <c r="BO186" s="357"/>
      <c r="BP186" s="357"/>
      <c r="BQ186" s="357"/>
      <c r="BR186" s="357"/>
      <c r="BS186" s="357"/>
      <c r="BT186" s="357"/>
      <c r="BU186" s="357"/>
      <c r="BV186" s="357"/>
      <c r="BW186" s="357"/>
      <c r="BX186" s="154"/>
      <c r="BY186" s="154"/>
      <c r="BZ186" s="154"/>
      <c r="CA186" s="154"/>
      <c r="CB186" s="154"/>
      <c r="CC186" s="154"/>
      <c r="CD186" s="154"/>
      <c r="CE186" s="154"/>
    </row>
    <row r="187" spans="1:149" x14ac:dyDescent="0.2">
      <c r="A187" s="222"/>
      <c r="B187" s="24"/>
      <c r="C187" s="223" t="str">
        <f t="shared" ca="1" si="630"/>
        <v/>
      </c>
      <c r="D187" s="982" t="str">
        <f t="shared" ca="1" si="631"/>
        <v/>
      </c>
      <c r="E187" s="392" t="str">
        <f t="shared" ca="1" si="632"/>
        <v/>
      </c>
      <c r="F187" s="392" t="str">
        <f t="shared" ca="1" si="633"/>
        <v/>
      </c>
      <c r="G187" s="392" t="str">
        <f t="shared" ca="1" si="634"/>
        <v/>
      </c>
      <c r="H187" s="384"/>
      <c r="I187" s="960"/>
      <c r="J187" s="326"/>
      <c r="K187" s="1740" t="str">
        <f t="shared" ca="1" si="635"/>
        <v/>
      </c>
      <c r="L187" s="1741"/>
      <c r="M187" s="298"/>
      <c r="N187" s="754">
        <f t="shared" ca="1" si="636"/>
        <v>0</v>
      </c>
      <c r="O187" s="754">
        <f t="shared" ca="1" si="637"/>
        <v>0</v>
      </c>
      <c r="P187" s="754">
        <f t="shared" ca="1" si="638"/>
        <v>0</v>
      </c>
      <c r="Q187" s="753" t="str">
        <f t="shared" si="639"/>
        <v>RITUALE</v>
      </c>
      <c r="R187" s="78"/>
      <c r="T187" s="78"/>
      <c r="U187" s="78"/>
      <c r="V187" s="78"/>
      <c r="W187" s="78"/>
      <c r="X187" s="2009" t="str">
        <f>CONCATENATE(IF(Zauber!A182="","",Zauber!A182&amp;", "),IF(Zauber!A183="","",Zauber!A183&amp;", "),IF(Zauber!A184="","",Zauber!A184&amp;", "),IF(Zauber!A185="","",Zauber!A185&amp;", "),IF(Zauber!A186="","",Zauber!A186&amp;", "),IF(Zauber!A187="","",Zauber!A187&amp;", "),IF(Zauber!A188="","",Zauber!A188&amp;", "),IF(Zauber!A189="","",Zauber!A189&amp;", "),IF(Zauber!A190="","",Zauber!A190&amp;", "),IF(Zauber!A191="","",Zauber!A191&amp;", "),IF(Zauber!A192="","",Zauber!A192&amp;", "),IF(Zauber!A193="","",Zauber!A193&amp;", "),IF(Zauber!A194="","",Zauber!A194&amp;", "))</f>
        <v/>
      </c>
      <c r="Y187" s="2010"/>
      <c r="Z187" s="2010"/>
      <c r="AA187" s="2010"/>
      <c r="AB187" s="2011"/>
      <c r="AC187" s="78"/>
      <c r="AD187" s="78"/>
      <c r="AE187" s="78"/>
      <c r="AF187" s="78"/>
      <c r="AG187" s="78"/>
      <c r="AH187" s="78"/>
      <c r="AI187" s="1096" t="str">
        <f t="shared" ca="1" si="640"/>
        <v/>
      </c>
      <c r="AJ187" s="1096" t="str">
        <f t="shared" ca="1" si="641"/>
        <v/>
      </c>
      <c r="AK187" s="97"/>
      <c r="AL187" s="97"/>
      <c r="AM187" s="97"/>
      <c r="AO187" s="100"/>
      <c r="AP187" s="100"/>
      <c r="AQ187" s="100"/>
      <c r="AR187" s="100"/>
      <c r="AS187" s="100"/>
      <c r="AT187" s="100"/>
      <c r="AU187" s="100"/>
      <c r="AV187" s="100"/>
      <c r="AW187" s="100"/>
      <c r="AX187" s="100"/>
      <c r="AY187" s="100"/>
      <c r="AZ187" s="100"/>
      <c r="BA187" s="100"/>
      <c r="BG187" s="356"/>
      <c r="BH187" s="355"/>
      <c r="BI187" s="355"/>
      <c r="BJ187" s="348"/>
      <c r="BK187" s="348"/>
      <c r="BL187" s="348"/>
      <c r="BM187" s="357"/>
      <c r="BN187" s="357"/>
      <c r="BO187" s="357"/>
      <c r="BP187" s="357"/>
      <c r="BQ187" s="357"/>
      <c r="BR187" s="357"/>
      <c r="BS187" s="357"/>
      <c r="BT187" s="357"/>
      <c r="BU187" s="357"/>
      <c r="BV187" s="357"/>
      <c r="BW187" s="357"/>
      <c r="BX187" s="154"/>
      <c r="BY187" s="154"/>
      <c r="BZ187" s="154"/>
      <c r="CA187" s="154"/>
      <c r="CB187" s="154"/>
      <c r="CC187" s="154"/>
      <c r="CD187" s="154"/>
      <c r="CE187" s="154"/>
    </row>
    <row r="188" spans="1:149" ht="12.75" customHeight="1" x14ac:dyDescent="0.2">
      <c r="A188" s="222"/>
      <c r="B188" s="24"/>
      <c r="C188" s="223" t="str">
        <f t="shared" ca="1" si="630"/>
        <v/>
      </c>
      <c r="D188" s="982" t="str">
        <f t="shared" ca="1" si="631"/>
        <v/>
      </c>
      <c r="E188" s="392" t="str">
        <f t="shared" ca="1" si="632"/>
        <v/>
      </c>
      <c r="F188" s="392" t="str">
        <f t="shared" ca="1" si="633"/>
        <v/>
      </c>
      <c r="G188" s="392" t="str">
        <f t="shared" ca="1" si="634"/>
        <v/>
      </c>
      <c r="H188" s="384"/>
      <c r="I188" s="960"/>
      <c r="J188" s="326"/>
      <c r="K188" s="1740" t="str">
        <f t="shared" ca="1" si="635"/>
        <v/>
      </c>
      <c r="L188" s="1741"/>
      <c r="M188" s="298"/>
      <c r="N188" s="754">
        <f t="shared" ca="1" si="636"/>
        <v>0</v>
      </c>
      <c r="O188" s="754">
        <f t="shared" ca="1" si="637"/>
        <v>0</v>
      </c>
      <c r="P188" s="754">
        <f t="shared" ca="1" si="638"/>
        <v>0</v>
      </c>
      <c r="Q188" s="753" t="str">
        <f t="shared" si="639"/>
        <v>RITUALE</v>
      </c>
      <c r="R188" s="78"/>
      <c r="T188" s="78"/>
      <c r="U188" s="78"/>
      <c r="V188" s="78"/>
      <c r="W188" s="78"/>
      <c r="X188" s="78"/>
      <c r="Y188" s="78"/>
      <c r="Z188" s="78"/>
      <c r="AA188" s="78"/>
      <c r="AB188" s="78"/>
      <c r="AC188" s="78"/>
      <c r="AD188" s="78"/>
      <c r="AE188" s="78"/>
      <c r="AF188" s="78"/>
      <c r="AG188" s="78"/>
      <c r="AH188" s="78"/>
      <c r="AI188" s="1096" t="str">
        <f t="shared" ca="1" si="640"/>
        <v/>
      </c>
      <c r="AJ188" s="1096" t="str">
        <f t="shared" ca="1" si="641"/>
        <v/>
      </c>
      <c r="AK188" s="97"/>
      <c r="AL188" s="97"/>
      <c r="AM188" s="97"/>
      <c r="AO188" s="100"/>
      <c r="AP188" s="100"/>
      <c r="AQ188" s="100"/>
      <c r="AR188" s="100"/>
      <c r="AS188" s="100"/>
      <c r="AT188" s="100"/>
      <c r="AU188" s="100"/>
      <c r="AV188" s="100"/>
      <c r="AW188" s="100"/>
      <c r="AX188" s="100"/>
      <c r="AY188" s="100"/>
      <c r="AZ188" s="100"/>
      <c r="BA188" s="100"/>
      <c r="BG188" s="356"/>
      <c r="BH188" s="355"/>
      <c r="BI188" s="355"/>
      <c r="BJ188" s="348"/>
      <c r="BK188" s="348"/>
      <c r="BL188" s="348"/>
      <c r="BM188" s="357"/>
      <c r="BN188" s="357"/>
      <c r="BO188" s="357"/>
      <c r="BP188" s="357"/>
      <c r="BQ188" s="357"/>
      <c r="BR188" s="357"/>
      <c r="BS188" s="357"/>
      <c r="BT188" s="357"/>
      <c r="BU188" s="357"/>
      <c r="BV188" s="357"/>
      <c r="BW188" s="357"/>
      <c r="BX188" s="154"/>
      <c r="BY188" s="154"/>
      <c r="BZ188" s="154"/>
      <c r="CA188" s="154"/>
      <c r="CB188" s="154"/>
      <c r="CC188" s="154"/>
      <c r="CD188" s="154"/>
      <c r="CE188" s="154"/>
    </row>
    <row r="189" spans="1:149" x14ac:dyDescent="0.2">
      <c r="A189" s="222"/>
      <c r="B189" s="24"/>
      <c r="C189" s="223" t="str">
        <f t="shared" ca="1" si="630"/>
        <v/>
      </c>
      <c r="D189" s="982" t="str">
        <f t="shared" ca="1" si="631"/>
        <v/>
      </c>
      <c r="E189" s="392" t="str">
        <f t="shared" ca="1" si="632"/>
        <v/>
      </c>
      <c r="F189" s="392" t="str">
        <f t="shared" ca="1" si="633"/>
        <v/>
      </c>
      <c r="G189" s="392" t="str">
        <f t="shared" ca="1" si="634"/>
        <v/>
      </c>
      <c r="H189" s="384"/>
      <c r="I189" s="960"/>
      <c r="J189" s="326"/>
      <c r="K189" s="1740" t="str">
        <f t="shared" ca="1" si="635"/>
        <v/>
      </c>
      <c r="L189" s="1741"/>
      <c r="M189" s="298"/>
      <c r="N189" s="754">
        <f t="shared" ca="1" si="636"/>
        <v>0</v>
      </c>
      <c r="O189" s="754">
        <f t="shared" ca="1" si="637"/>
        <v>0</v>
      </c>
      <c r="P189" s="754">
        <f t="shared" ca="1" si="638"/>
        <v>0</v>
      </c>
      <c r="Q189" s="753" t="str">
        <f t="shared" si="639"/>
        <v>RITUALE</v>
      </c>
      <c r="R189" s="78"/>
      <c r="T189" s="78"/>
      <c r="U189" s="78"/>
      <c r="V189" s="78"/>
      <c r="W189" s="78"/>
      <c r="X189" s="78"/>
      <c r="Y189" s="78"/>
      <c r="Z189" s="78"/>
      <c r="AA189" s="78"/>
      <c r="AB189" s="78"/>
      <c r="AC189" s="78"/>
      <c r="AD189" s="78"/>
      <c r="AE189" s="78"/>
      <c r="AF189" s="78"/>
      <c r="AG189" s="78"/>
      <c r="AH189" s="78"/>
      <c r="AI189" s="24" t="str">
        <f t="shared" ca="1" si="640"/>
        <v/>
      </c>
      <c r="AJ189" s="24" t="str">
        <f t="shared" ca="1" si="641"/>
        <v/>
      </c>
      <c r="AK189" s="97"/>
      <c r="AL189" s="97"/>
      <c r="AM189" s="97"/>
      <c r="AO189" s="100"/>
      <c r="AP189" s="100"/>
      <c r="AQ189" s="100"/>
      <c r="AR189" s="100"/>
      <c r="AS189" s="100"/>
      <c r="AT189" s="100"/>
      <c r="AU189" s="100"/>
      <c r="AV189" s="100"/>
      <c r="AW189" s="100"/>
      <c r="AX189" s="100"/>
      <c r="AY189" s="100"/>
      <c r="AZ189" s="100"/>
      <c r="BA189" s="100"/>
      <c r="BG189" s="356"/>
      <c r="BH189" s="355"/>
      <c r="BI189" s="355"/>
      <c r="BJ189" s="348"/>
      <c r="BK189" s="348"/>
      <c r="BL189" s="348"/>
      <c r="BM189" s="357"/>
      <c r="BN189" s="357"/>
      <c r="BO189" s="357"/>
      <c r="BP189" s="357"/>
      <c r="BQ189" s="357"/>
      <c r="BR189" s="357"/>
      <c r="BS189" s="357"/>
      <c r="BT189" s="357"/>
      <c r="BU189" s="357"/>
      <c r="BV189" s="357"/>
      <c r="BW189" s="357"/>
      <c r="BX189" s="154"/>
      <c r="BY189" s="154"/>
      <c r="BZ189" s="154"/>
      <c r="CA189" s="154"/>
      <c r="CB189" s="154"/>
      <c r="CC189" s="154"/>
      <c r="CD189" s="154"/>
      <c r="CE189" s="154"/>
    </row>
    <row r="190" spans="1:149" x14ac:dyDescent="0.2">
      <c r="A190" s="222"/>
      <c r="B190" s="24"/>
      <c r="C190" s="223" t="str">
        <f t="shared" ca="1" si="630"/>
        <v/>
      </c>
      <c r="D190" s="982" t="str">
        <f t="shared" ca="1" si="631"/>
        <v/>
      </c>
      <c r="E190" s="392" t="str">
        <f t="shared" ca="1" si="632"/>
        <v/>
      </c>
      <c r="F190" s="392" t="str">
        <f t="shared" ca="1" si="633"/>
        <v/>
      </c>
      <c r="G190" s="392" t="str">
        <f t="shared" ca="1" si="634"/>
        <v/>
      </c>
      <c r="H190" s="384"/>
      <c r="I190" s="960"/>
      <c r="J190" s="326"/>
      <c r="K190" s="1740" t="str">
        <f t="shared" ca="1" si="635"/>
        <v/>
      </c>
      <c r="L190" s="1741"/>
      <c r="M190" s="298"/>
      <c r="N190" s="754">
        <f t="shared" ca="1" si="636"/>
        <v>0</v>
      </c>
      <c r="O190" s="754">
        <f t="shared" ca="1" si="637"/>
        <v>0</v>
      </c>
      <c r="P190" s="754">
        <f t="shared" ca="1" si="638"/>
        <v>0</v>
      </c>
      <c r="Q190" s="753" t="str">
        <f t="shared" si="639"/>
        <v>RITUALE</v>
      </c>
      <c r="R190" s="78"/>
      <c r="T190" s="78"/>
      <c r="U190" s="78"/>
      <c r="V190" s="78"/>
      <c r="W190" s="78"/>
      <c r="X190" s="78"/>
      <c r="Y190" s="78"/>
      <c r="Z190" s="78"/>
      <c r="AA190" s="78"/>
      <c r="AB190" s="78"/>
      <c r="AC190" s="78"/>
      <c r="AD190" s="78"/>
      <c r="AE190" s="78"/>
      <c r="AF190" s="78"/>
      <c r="AG190" s="78"/>
      <c r="AH190" s="78"/>
      <c r="AI190" s="24" t="str">
        <f ca="1">IF(AJ189="","",LEFT(AJ189,FIND(",",AJ189,1)-1))</f>
        <v/>
      </c>
      <c r="AJ190" s="24" t="str">
        <f t="shared" ca="1" si="641"/>
        <v/>
      </c>
      <c r="AK190" s="97"/>
      <c r="AL190" s="97"/>
      <c r="AM190" s="97"/>
      <c r="AO190" s="100"/>
      <c r="AP190" s="100"/>
      <c r="AQ190" s="100"/>
      <c r="AR190" s="100"/>
      <c r="AS190" s="100"/>
      <c r="AT190" s="100"/>
      <c r="AU190" s="100"/>
      <c r="AV190" s="100"/>
      <c r="AW190" s="100"/>
      <c r="AX190" s="100"/>
      <c r="AY190" s="100"/>
      <c r="AZ190" s="100"/>
      <c r="BA190" s="100"/>
      <c r="BG190" s="356"/>
      <c r="BH190" s="355"/>
      <c r="BI190" s="355"/>
      <c r="BJ190" s="348"/>
      <c r="BK190" s="348"/>
      <c r="BL190" s="348"/>
      <c r="BM190" s="357"/>
      <c r="BN190" s="357"/>
      <c r="BO190" s="357"/>
      <c r="BP190" s="357"/>
      <c r="BQ190" s="357"/>
      <c r="BR190" s="357"/>
      <c r="BS190" s="357"/>
      <c r="BT190" s="357"/>
      <c r="BU190" s="357"/>
      <c r="BV190" s="357"/>
      <c r="BW190" s="357"/>
      <c r="BX190" s="154"/>
      <c r="BY190" s="154"/>
      <c r="BZ190" s="154"/>
      <c r="CA190" s="154"/>
      <c r="CB190" s="154"/>
      <c r="CC190" s="154"/>
      <c r="CD190" s="154"/>
      <c r="CE190" s="154"/>
    </row>
    <row r="191" spans="1:149" x14ac:dyDescent="0.2">
      <c r="A191" s="222"/>
      <c r="B191" s="24"/>
      <c r="C191" s="223" t="str">
        <f t="shared" ca="1" si="630"/>
        <v/>
      </c>
      <c r="D191" s="982" t="str">
        <f t="shared" ca="1" si="631"/>
        <v/>
      </c>
      <c r="E191" s="392" t="str">
        <f t="shared" ca="1" si="632"/>
        <v/>
      </c>
      <c r="F191" s="392" t="str">
        <f t="shared" ca="1" si="633"/>
        <v/>
      </c>
      <c r="G191" s="392" t="str">
        <f t="shared" ca="1" si="634"/>
        <v/>
      </c>
      <c r="H191" s="384"/>
      <c r="I191" s="960"/>
      <c r="J191" s="326"/>
      <c r="K191" s="1740" t="str">
        <f t="shared" ca="1" si="635"/>
        <v/>
      </c>
      <c r="L191" s="1741"/>
      <c r="M191" s="298"/>
      <c r="N191" s="754">
        <f t="shared" ca="1" si="636"/>
        <v>0</v>
      </c>
      <c r="O191" s="754">
        <f t="shared" ca="1" si="637"/>
        <v>0</v>
      </c>
      <c r="P191" s="754">
        <f t="shared" ca="1" si="638"/>
        <v>0</v>
      </c>
      <c r="Q191" s="753" t="str">
        <f t="shared" si="639"/>
        <v>RITUALE</v>
      </c>
      <c r="R191" s="78"/>
      <c r="T191" s="78"/>
      <c r="U191" s="78"/>
      <c r="V191" s="78"/>
      <c r="W191" s="78"/>
      <c r="X191" s="78"/>
      <c r="Y191" s="78"/>
      <c r="Z191" s="78"/>
      <c r="AA191" s="78"/>
      <c r="AB191" s="78"/>
      <c r="AC191" s="78"/>
      <c r="AD191" s="78"/>
      <c r="AE191" s="78"/>
      <c r="AF191" s="78"/>
      <c r="AG191" s="78"/>
      <c r="AH191" s="78"/>
      <c r="AI191" s="24" t="str">
        <f ca="1">IF(AJ190="","",LEFT(AJ190,FIND(",",AJ190,1)-1))</f>
        <v/>
      </c>
      <c r="AJ191" s="24" t="str">
        <f t="shared" ca="1" si="641"/>
        <v/>
      </c>
      <c r="AK191" s="97"/>
      <c r="AL191" s="97"/>
      <c r="AM191" s="99"/>
      <c r="AN191" s="99"/>
      <c r="AO191" s="99"/>
      <c r="AP191" s="100"/>
      <c r="AQ191" s="100"/>
      <c r="AR191" s="100"/>
      <c r="AS191" s="100"/>
      <c r="AT191" s="100"/>
      <c r="AU191" s="100"/>
      <c r="AV191" s="100"/>
      <c r="AW191" s="100"/>
      <c r="AX191" s="100"/>
      <c r="AY191" s="100"/>
      <c r="AZ191" s="100"/>
      <c r="BA191" s="100"/>
      <c r="BG191" s="154"/>
      <c r="BH191" s="154"/>
      <c r="BI191" s="154"/>
      <c r="BJ191" s="154"/>
      <c r="BK191" s="154"/>
      <c r="BL191" s="154"/>
      <c r="BM191" s="154"/>
      <c r="BN191" s="154"/>
      <c r="BO191" s="154"/>
      <c r="BP191" s="154"/>
      <c r="BQ191" s="154"/>
      <c r="BR191" s="154"/>
      <c r="BS191" s="154"/>
      <c r="BT191" s="154"/>
      <c r="BU191" s="154"/>
      <c r="BV191" s="154"/>
      <c r="BW191" s="154"/>
      <c r="BX191" s="154"/>
      <c r="BY191" s="154"/>
      <c r="BZ191" s="154"/>
      <c r="CA191" s="154"/>
      <c r="CB191" s="154"/>
      <c r="CC191" s="154"/>
      <c r="CD191" s="154"/>
      <c r="CE191" s="154"/>
    </row>
    <row r="192" spans="1:149" x14ac:dyDescent="0.2">
      <c r="A192" s="222"/>
      <c r="B192" s="24"/>
      <c r="C192" s="223" t="str">
        <f t="shared" ca="1" si="630"/>
        <v/>
      </c>
      <c r="D192" s="982" t="str">
        <f t="shared" ca="1" si="631"/>
        <v/>
      </c>
      <c r="E192" s="392" t="str">
        <f t="shared" ca="1" si="632"/>
        <v/>
      </c>
      <c r="F192" s="392" t="str">
        <f t="shared" ca="1" si="633"/>
        <v/>
      </c>
      <c r="G192" s="392" t="str">
        <f t="shared" ca="1" si="634"/>
        <v/>
      </c>
      <c r="H192" s="384"/>
      <c r="I192" s="960"/>
      <c r="J192" s="326"/>
      <c r="K192" s="1740" t="str">
        <f ca="1">IF(EXACT($A192,""),"",IF(NOT(OR(EXACT(E192,$F$203),EXACT(F192,$F$203),EXACT(G192,$F$203),IF(NOT(EXACT($F$205,"")),OR(EXACT(E192,$F$205),EXACT(F192,$F$205),EXACT(G192,$F$205))))),"Fehlende Ritualkenntnis",""))&amp;IF(AND(A192&lt;&gt;"",C192="",H192="",I192="",J192=""),"  - Noch nicht aktiviert","")</f>
        <v/>
      </c>
      <c r="L192" s="1741"/>
      <c r="M192" s="298"/>
      <c r="N192" s="754">
        <f t="shared" ca="1" si="636"/>
        <v>0</v>
      </c>
      <c r="O192" s="754">
        <f t="shared" ca="1" si="637"/>
        <v>0</v>
      </c>
      <c r="P192" s="754">
        <f t="shared" ca="1" si="638"/>
        <v>0</v>
      </c>
      <c r="Q192" s="753" t="str">
        <f t="shared" si="639"/>
        <v>RITUALE</v>
      </c>
      <c r="R192" s="78"/>
      <c r="T192" s="78"/>
      <c r="U192" s="78"/>
      <c r="V192" s="78"/>
      <c r="W192" s="78"/>
      <c r="X192" s="78"/>
      <c r="Y192" s="78"/>
      <c r="Z192" s="78"/>
      <c r="AA192" s="78"/>
      <c r="AB192" s="78"/>
      <c r="AC192" s="78"/>
      <c r="AD192" s="78"/>
      <c r="AE192" s="78"/>
      <c r="AF192" s="78"/>
      <c r="AG192" s="78"/>
      <c r="AH192" s="78"/>
      <c r="AI192" s="78"/>
      <c r="AJ192" s="98"/>
      <c r="AK192" s="97"/>
      <c r="AL192" s="97"/>
      <c r="AM192" s="99"/>
      <c r="AN192" s="99"/>
      <c r="AO192" s="99"/>
      <c r="AP192" s="100"/>
      <c r="AQ192" s="100"/>
      <c r="AR192" s="100"/>
      <c r="AS192" s="100"/>
      <c r="AT192" s="100"/>
      <c r="AU192" s="100"/>
      <c r="AV192" s="100"/>
      <c r="AW192" s="100"/>
      <c r="AX192" s="100"/>
      <c r="AY192" s="100"/>
      <c r="AZ192" s="100"/>
      <c r="BA192" s="100"/>
      <c r="BG192" s="154"/>
      <c r="BH192" s="154"/>
      <c r="BI192" s="154"/>
      <c r="BJ192" s="154"/>
      <c r="BK192" s="154"/>
      <c r="BL192" s="154"/>
      <c r="BM192" s="154"/>
      <c r="BN192" s="154"/>
      <c r="BO192" s="154"/>
      <c r="BP192" s="154"/>
      <c r="BQ192" s="154"/>
      <c r="BR192" s="154"/>
      <c r="BS192" s="154"/>
      <c r="BT192" s="154"/>
      <c r="BU192" s="154"/>
      <c r="BV192" s="154"/>
      <c r="BW192" s="154"/>
      <c r="BX192" s="154"/>
      <c r="BY192" s="154"/>
      <c r="BZ192" s="154"/>
      <c r="CA192" s="154"/>
      <c r="CB192" s="154"/>
      <c r="CC192" s="154"/>
      <c r="CD192" s="154"/>
      <c r="CE192" s="154"/>
    </row>
    <row r="193" spans="1:83" x14ac:dyDescent="0.2">
      <c r="A193" s="222"/>
      <c r="B193" s="24"/>
      <c r="C193" s="223" t="str">
        <f t="shared" ca="1" si="630"/>
        <v/>
      </c>
      <c r="D193" s="982" t="str">
        <f t="shared" ca="1" si="631"/>
        <v/>
      </c>
      <c r="E193" s="392" t="str">
        <f t="shared" ca="1" si="632"/>
        <v/>
      </c>
      <c r="F193" s="392" t="str">
        <f t="shared" ca="1" si="633"/>
        <v/>
      </c>
      <c r="G193" s="392" t="str">
        <f t="shared" ca="1" si="634"/>
        <v/>
      </c>
      <c r="H193" s="384"/>
      <c r="I193" s="960"/>
      <c r="J193" s="326"/>
      <c r="K193" s="1740" t="str">
        <f t="shared" ref="K193:K201" ca="1" si="642">IF(EXACT($A193,""),"",IF(NOT(OR(EXACT(E193,$F$203),EXACT(F193,$F$203),EXACT(G193,$F$203),IF(NOT(EXACT($F$205,"")),OR(EXACT(E193,$F$205),EXACT(F193,$F$205),EXACT(G193,$F$205))))),"Fehlende Ritualkenntnis",""))&amp;IF(AND(A193&lt;&gt;"",C193="",H193="",I193="",J193=""),"  - Noch nicht aktiviert","")</f>
        <v/>
      </c>
      <c r="L193" s="1741"/>
      <c r="M193" s="298"/>
      <c r="N193" s="754">
        <f t="shared" ca="1" si="636"/>
        <v>0</v>
      </c>
      <c r="O193" s="754">
        <f t="shared" ca="1" si="637"/>
        <v>0</v>
      </c>
      <c r="P193" s="754">
        <f t="shared" ca="1" si="638"/>
        <v>0</v>
      </c>
      <c r="Q193" s="753" t="str">
        <f t="shared" si="639"/>
        <v>RITUALE</v>
      </c>
      <c r="R193" s="78"/>
      <c r="T193" s="78"/>
      <c r="U193" s="78"/>
      <c r="V193" s="78"/>
      <c r="W193" s="78"/>
      <c r="X193" s="78"/>
      <c r="Y193" s="78"/>
      <c r="Z193" s="78"/>
      <c r="AA193" s="78"/>
      <c r="AB193" s="78"/>
      <c r="AC193" s="78"/>
      <c r="AD193" s="78"/>
      <c r="AE193" s="78"/>
      <c r="AF193" s="78"/>
      <c r="AG193" s="78"/>
      <c r="AH193" s="78"/>
      <c r="AI193" s="78"/>
      <c r="AJ193" s="98"/>
      <c r="AK193" s="97"/>
      <c r="AL193" s="97"/>
      <c r="AM193" s="99"/>
      <c r="AN193" s="99"/>
      <c r="AO193" s="99"/>
      <c r="AP193" s="100"/>
      <c r="AQ193" s="100"/>
      <c r="AR193" s="100"/>
      <c r="AS193" s="100"/>
      <c r="AT193" s="100"/>
      <c r="AU193" s="100"/>
      <c r="AV193" s="100"/>
      <c r="AW193" s="100"/>
      <c r="AX193" s="100"/>
      <c r="AY193" s="100"/>
      <c r="AZ193" s="100"/>
      <c r="BA193" s="100"/>
      <c r="BG193" s="154"/>
      <c r="BH193" s="154"/>
      <c r="BI193" s="154"/>
      <c r="BJ193" s="154"/>
      <c r="BK193" s="154"/>
      <c r="BL193" s="154"/>
      <c r="BM193" s="154"/>
      <c r="BN193" s="154"/>
      <c r="BO193" s="154"/>
      <c r="BP193" s="154"/>
      <c r="BQ193" s="154"/>
      <c r="BR193" s="154"/>
      <c r="BS193" s="154"/>
      <c r="BT193" s="154"/>
      <c r="BU193" s="154"/>
      <c r="BV193" s="154"/>
      <c r="BW193" s="154"/>
      <c r="BX193" s="154"/>
      <c r="BY193" s="154"/>
      <c r="BZ193" s="154"/>
      <c r="CA193" s="154"/>
      <c r="CB193" s="154"/>
      <c r="CC193" s="154"/>
      <c r="CD193" s="154"/>
      <c r="CE193" s="154"/>
    </row>
    <row r="194" spans="1:83" x14ac:dyDescent="0.2">
      <c r="A194" s="222"/>
      <c r="B194" s="24"/>
      <c r="C194" s="223" t="str">
        <f t="shared" ca="1" si="630"/>
        <v/>
      </c>
      <c r="D194" s="982" t="str">
        <f t="shared" ca="1" si="631"/>
        <v/>
      </c>
      <c r="E194" s="392" t="str">
        <f t="shared" ca="1" si="632"/>
        <v/>
      </c>
      <c r="F194" s="392" t="str">
        <f t="shared" ca="1" si="633"/>
        <v/>
      </c>
      <c r="G194" s="392" t="str">
        <f t="shared" ca="1" si="634"/>
        <v/>
      </c>
      <c r="H194" s="384"/>
      <c r="I194" s="960"/>
      <c r="J194" s="326"/>
      <c r="K194" s="1740" t="str">
        <f t="shared" ca="1" si="642"/>
        <v/>
      </c>
      <c r="L194" s="1741"/>
      <c r="M194" s="298"/>
      <c r="N194" s="754">
        <f t="shared" ca="1" si="636"/>
        <v>0</v>
      </c>
      <c r="O194" s="754">
        <f t="shared" ca="1" si="637"/>
        <v>0</v>
      </c>
      <c r="P194" s="754">
        <f t="shared" ca="1" si="638"/>
        <v>0</v>
      </c>
      <c r="Q194" s="753" t="str">
        <f t="shared" si="639"/>
        <v>RITUALE</v>
      </c>
      <c r="R194" s="78"/>
      <c r="T194" s="78"/>
      <c r="U194" s="78"/>
      <c r="V194" s="78"/>
      <c r="W194" s="78"/>
      <c r="X194" s="78"/>
      <c r="Y194" s="78"/>
      <c r="Z194" s="78"/>
      <c r="AA194" s="78"/>
      <c r="AB194" s="78"/>
      <c r="AC194" s="78"/>
      <c r="AD194" s="78"/>
      <c r="AE194" s="78"/>
      <c r="AF194" s="78"/>
      <c r="AG194" s="78"/>
      <c r="AH194" s="78"/>
      <c r="AI194" s="78"/>
      <c r="AJ194" s="98"/>
      <c r="AK194" s="97"/>
      <c r="AL194" s="97"/>
      <c r="AM194" s="99"/>
      <c r="AN194" s="99"/>
      <c r="AO194" s="99"/>
      <c r="AP194" s="100"/>
      <c r="AQ194" s="100"/>
      <c r="AR194" s="100"/>
      <c r="AS194" s="100"/>
      <c r="AT194" s="100"/>
      <c r="AU194" s="100"/>
      <c r="AV194" s="100"/>
      <c r="AW194" s="100"/>
      <c r="AX194" s="100"/>
      <c r="AY194" s="100"/>
      <c r="AZ194" s="100"/>
      <c r="BA194" s="100"/>
      <c r="BG194" s="154"/>
      <c r="BH194" s="154"/>
      <c r="BI194" s="154"/>
      <c r="BJ194" s="154"/>
      <c r="BK194" s="154"/>
      <c r="BL194" s="154"/>
      <c r="BM194" s="154"/>
      <c r="BN194" s="154"/>
      <c r="BO194" s="154"/>
      <c r="BP194" s="154"/>
      <c r="BQ194" s="154"/>
      <c r="BR194" s="154"/>
      <c r="BS194" s="154"/>
      <c r="BT194" s="154"/>
      <c r="BU194" s="154"/>
      <c r="BV194" s="154"/>
      <c r="BW194" s="154"/>
      <c r="BX194" s="154"/>
      <c r="BY194" s="154"/>
      <c r="BZ194" s="154"/>
      <c r="CA194" s="154"/>
      <c r="CB194" s="154"/>
      <c r="CC194" s="154"/>
      <c r="CD194" s="154"/>
      <c r="CE194" s="154"/>
    </row>
    <row r="195" spans="1:83" x14ac:dyDescent="0.2">
      <c r="A195" s="222"/>
      <c r="B195" s="24"/>
      <c r="C195" s="223" t="str">
        <f t="shared" ca="1" si="630"/>
        <v/>
      </c>
      <c r="D195" s="982" t="str">
        <f t="shared" ca="1" si="631"/>
        <v/>
      </c>
      <c r="E195" s="392" t="str">
        <f t="shared" ca="1" si="632"/>
        <v/>
      </c>
      <c r="F195" s="392" t="str">
        <f t="shared" ca="1" si="633"/>
        <v/>
      </c>
      <c r="G195" s="392" t="str">
        <f t="shared" ca="1" si="634"/>
        <v/>
      </c>
      <c r="H195" s="384"/>
      <c r="I195" s="960"/>
      <c r="J195" s="326"/>
      <c r="K195" s="1740" t="str">
        <f t="shared" ca="1" si="642"/>
        <v/>
      </c>
      <c r="L195" s="1741"/>
      <c r="M195" s="298"/>
      <c r="N195" s="754">
        <f t="shared" ca="1" si="636"/>
        <v>0</v>
      </c>
      <c r="O195" s="754">
        <f t="shared" ca="1" si="637"/>
        <v>0</v>
      </c>
      <c r="P195" s="754">
        <f t="shared" ca="1" si="638"/>
        <v>0</v>
      </c>
      <c r="Q195" s="753" t="str">
        <f t="shared" si="639"/>
        <v>RITUALE</v>
      </c>
      <c r="R195" s="78"/>
      <c r="T195" s="78"/>
      <c r="U195" s="78"/>
      <c r="V195" s="78"/>
      <c r="W195" s="78"/>
      <c r="X195" s="78"/>
      <c r="Y195" s="78"/>
      <c r="Z195" s="78"/>
      <c r="AA195" s="78"/>
      <c r="AB195" s="78"/>
      <c r="AC195" s="78"/>
      <c r="AD195" s="78"/>
      <c r="AE195" s="78"/>
      <c r="AF195" s="78"/>
      <c r="AG195" s="78"/>
      <c r="AH195" s="78"/>
      <c r="AI195" s="78"/>
      <c r="AJ195" s="98"/>
      <c r="AK195" s="97"/>
      <c r="AL195" s="97"/>
      <c r="AM195" s="99"/>
      <c r="AN195" s="99"/>
      <c r="AO195" s="99"/>
      <c r="AP195" s="100"/>
      <c r="AQ195" s="100"/>
      <c r="AR195" s="100"/>
      <c r="AS195" s="100"/>
      <c r="AT195" s="100"/>
      <c r="AU195" s="100"/>
      <c r="AV195" s="100"/>
      <c r="AW195" s="100"/>
      <c r="AX195" s="100"/>
      <c r="AY195" s="100"/>
      <c r="AZ195" s="100"/>
      <c r="BA195" s="100"/>
      <c r="BG195" s="154"/>
      <c r="BH195" s="154"/>
      <c r="BI195" s="154"/>
      <c r="BJ195" s="154"/>
      <c r="BK195" s="154"/>
      <c r="BL195" s="154"/>
      <c r="BM195" s="154"/>
      <c r="BN195" s="154"/>
      <c r="BO195" s="154"/>
      <c r="BP195" s="154"/>
      <c r="BQ195" s="154"/>
      <c r="BR195" s="154"/>
      <c r="BS195" s="154"/>
      <c r="BT195" s="154"/>
      <c r="BU195" s="154"/>
      <c r="BV195" s="154"/>
      <c r="BW195" s="154"/>
      <c r="BX195" s="154"/>
      <c r="BY195" s="154"/>
      <c r="BZ195" s="154"/>
      <c r="CA195" s="154"/>
      <c r="CB195" s="154"/>
      <c r="CC195" s="154"/>
      <c r="CD195" s="154"/>
      <c r="CE195" s="154"/>
    </row>
    <row r="196" spans="1:83" x14ac:dyDescent="0.2">
      <c r="A196" s="222"/>
      <c r="B196" s="24"/>
      <c r="C196" s="223" t="str">
        <f t="shared" ca="1" si="630"/>
        <v/>
      </c>
      <c r="D196" s="982" t="str">
        <f t="shared" ca="1" si="631"/>
        <v/>
      </c>
      <c r="E196" s="392" t="str">
        <f t="shared" ca="1" si="632"/>
        <v/>
      </c>
      <c r="F196" s="392" t="str">
        <f t="shared" ca="1" si="633"/>
        <v/>
      </c>
      <c r="G196" s="392" t="str">
        <f t="shared" ca="1" si="634"/>
        <v/>
      </c>
      <c r="H196" s="384"/>
      <c r="I196" s="960"/>
      <c r="J196" s="326"/>
      <c r="K196" s="1740" t="str">
        <f t="shared" ca="1" si="642"/>
        <v/>
      </c>
      <c r="L196" s="1741"/>
      <c r="M196" s="298"/>
      <c r="N196" s="754">
        <f t="shared" ca="1" si="636"/>
        <v>0</v>
      </c>
      <c r="O196" s="754">
        <f t="shared" ca="1" si="637"/>
        <v>0</v>
      </c>
      <c r="P196" s="754">
        <f t="shared" ca="1" si="638"/>
        <v>0</v>
      </c>
      <c r="Q196" s="753" t="str">
        <f t="shared" si="639"/>
        <v>RITUALE</v>
      </c>
      <c r="R196" s="78"/>
      <c r="T196" s="78"/>
      <c r="U196" s="78"/>
      <c r="V196" s="78"/>
      <c r="W196" s="78"/>
      <c r="X196" s="78"/>
      <c r="Y196" s="78"/>
      <c r="Z196" s="78"/>
      <c r="AA196" s="78"/>
      <c r="AB196" s="78"/>
      <c r="AC196" s="78"/>
      <c r="AD196" s="78"/>
      <c r="AE196" s="78"/>
      <c r="AF196" s="78"/>
      <c r="AG196" s="78"/>
      <c r="AH196" s="78"/>
      <c r="AI196" s="78"/>
      <c r="AJ196" s="98"/>
      <c r="AK196" s="97"/>
      <c r="AL196" s="97"/>
      <c r="AM196" s="99"/>
      <c r="AN196" s="99"/>
      <c r="AO196" s="99"/>
      <c r="AP196" s="100"/>
      <c r="AQ196" s="100"/>
      <c r="AR196" s="100"/>
      <c r="AS196" s="100"/>
      <c r="AT196" s="100"/>
      <c r="AU196" s="100"/>
      <c r="AV196" s="100"/>
      <c r="AW196" s="100"/>
      <c r="AX196" s="100"/>
      <c r="AY196" s="100"/>
      <c r="AZ196" s="100"/>
      <c r="BA196" s="100"/>
      <c r="BG196" s="154"/>
      <c r="BH196" s="154"/>
      <c r="BI196" s="154"/>
      <c r="BJ196" s="154"/>
      <c r="BK196" s="154"/>
      <c r="BL196" s="154"/>
      <c r="BM196" s="154"/>
      <c r="BN196" s="154"/>
      <c r="BO196" s="154"/>
      <c r="BP196" s="154"/>
      <c r="BQ196" s="154"/>
      <c r="BR196" s="154"/>
      <c r="BS196" s="154"/>
      <c r="BT196" s="154"/>
      <c r="BU196" s="154"/>
      <c r="BV196" s="154"/>
      <c r="BW196" s="154"/>
      <c r="BX196" s="154"/>
      <c r="BY196" s="154"/>
      <c r="BZ196" s="154"/>
      <c r="CA196" s="154"/>
      <c r="CB196" s="154"/>
      <c r="CC196" s="154"/>
      <c r="CD196" s="154"/>
      <c r="CE196" s="154"/>
    </row>
    <row r="197" spans="1:83" x14ac:dyDescent="0.2">
      <c r="A197" s="222"/>
      <c r="B197" s="24"/>
      <c r="C197" s="223" t="str">
        <f t="shared" ca="1" si="630"/>
        <v/>
      </c>
      <c r="D197" s="982" t="str">
        <f t="shared" ca="1" si="631"/>
        <v/>
      </c>
      <c r="E197" s="392" t="str">
        <f t="shared" ca="1" si="632"/>
        <v/>
      </c>
      <c r="F197" s="392" t="str">
        <f t="shared" ca="1" si="633"/>
        <v/>
      </c>
      <c r="G197" s="392" t="str">
        <f t="shared" ca="1" si="634"/>
        <v/>
      </c>
      <c r="H197" s="384"/>
      <c r="I197" s="960"/>
      <c r="J197" s="326"/>
      <c r="K197" s="1740" t="str">
        <f t="shared" ca="1" si="642"/>
        <v/>
      </c>
      <c r="L197" s="1741"/>
      <c r="M197" s="298"/>
      <c r="N197" s="754">
        <f t="shared" ca="1" si="636"/>
        <v>0</v>
      </c>
      <c r="O197" s="754">
        <f t="shared" ca="1" si="637"/>
        <v>0</v>
      </c>
      <c r="P197" s="754">
        <f t="shared" ca="1" si="638"/>
        <v>0</v>
      </c>
      <c r="Q197" s="753" t="str">
        <f t="shared" si="639"/>
        <v>RITUALE</v>
      </c>
      <c r="R197" s="78"/>
      <c r="T197" s="78"/>
      <c r="U197" s="78"/>
      <c r="V197" s="78"/>
      <c r="W197" s="78"/>
      <c r="X197" s="78"/>
      <c r="Y197" s="78"/>
      <c r="Z197" s="78"/>
      <c r="AA197" s="78"/>
      <c r="AB197" s="78"/>
      <c r="AC197" s="78"/>
      <c r="AD197" s="78"/>
      <c r="AE197" s="78"/>
      <c r="AF197" s="78"/>
      <c r="AG197" s="78"/>
      <c r="AH197" s="78"/>
      <c r="AI197" s="78"/>
      <c r="AJ197" s="98"/>
      <c r="AK197" s="97"/>
      <c r="AL197" s="97"/>
      <c r="AM197" s="99"/>
      <c r="AN197" s="99"/>
      <c r="AO197" s="99"/>
      <c r="AP197" s="100"/>
      <c r="AQ197" s="100"/>
      <c r="AR197" s="100"/>
      <c r="AS197" s="100"/>
      <c r="AT197" s="100"/>
      <c r="AU197" s="100"/>
      <c r="AV197" s="100"/>
      <c r="AW197" s="100"/>
      <c r="AX197" s="100"/>
      <c r="AY197" s="100"/>
      <c r="AZ197" s="100"/>
      <c r="BA197" s="100"/>
      <c r="BG197" s="154"/>
      <c r="BH197" s="154"/>
      <c r="BI197" s="154"/>
      <c r="BJ197" s="154"/>
      <c r="BK197" s="154"/>
      <c r="BL197" s="154"/>
      <c r="BM197" s="154"/>
      <c r="BN197" s="154"/>
      <c r="BO197" s="154"/>
      <c r="BP197" s="154"/>
      <c r="BQ197" s="154"/>
      <c r="BR197" s="154"/>
      <c r="BS197" s="154"/>
      <c r="BT197" s="154"/>
      <c r="BU197" s="154"/>
      <c r="BV197" s="154"/>
      <c r="BW197" s="154"/>
      <c r="BX197" s="154"/>
      <c r="BY197" s="154"/>
      <c r="BZ197" s="154"/>
      <c r="CA197" s="154"/>
      <c r="CB197" s="154"/>
      <c r="CC197" s="154"/>
      <c r="CD197" s="154"/>
      <c r="CE197" s="154"/>
    </row>
    <row r="198" spans="1:83" x14ac:dyDescent="0.2">
      <c r="A198" s="222"/>
      <c r="B198" s="24"/>
      <c r="C198" s="223" t="str">
        <f t="shared" ca="1" si="630"/>
        <v/>
      </c>
      <c r="D198" s="982" t="str">
        <f t="shared" ca="1" si="631"/>
        <v/>
      </c>
      <c r="E198" s="392" t="str">
        <f t="shared" ca="1" si="632"/>
        <v/>
      </c>
      <c r="F198" s="392" t="str">
        <f t="shared" ca="1" si="633"/>
        <v/>
      </c>
      <c r="G198" s="392" t="str">
        <f t="shared" ca="1" si="634"/>
        <v/>
      </c>
      <c r="H198" s="384"/>
      <c r="I198" s="960"/>
      <c r="J198" s="326"/>
      <c r="K198" s="1740" t="str">
        <f t="shared" ca="1" si="642"/>
        <v/>
      </c>
      <c r="L198" s="1741"/>
      <c r="M198" s="298"/>
      <c r="N198" s="754">
        <f t="shared" ca="1" si="636"/>
        <v>0</v>
      </c>
      <c r="O198" s="754">
        <f t="shared" ca="1" si="637"/>
        <v>0</v>
      </c>
      <c r="P198" s="754">
        <f t="shared" ca="1" si="638"/>
        <v>0</v>
      </c>
      <c r="Q198" s="753" t="str">
        <f t="shared" si="639"/>
        <v>RITUALE</v>
      </c>
      <c r="R198" s="78"/>
      <c r="T198" s="78"/>
      <c r="U198" s="78"/>
      <c r="V198" s="78"/>
      <c r="W198" s="78"/>
      <c r="X198" s="78"/>
      <c r="Y198" s="78"/>
      <c r="Z198" s="78"/>
      <c r="AA198" s="78"/>
      <c r="AB198" s="78"/>
      <c r="AC198" s="78"/>
      <c r="AD198" s="78"/>
      <c r="AE198" s="78"/>
      <c r="AF198" s="78"/>
      <c r="AG198" s="78"/>
      <c r="AH198" s="78"/>
      <c r="AI198" s="78"/>
      <c r="AJ198" s="98"/>
      <c r="AK198" s="97"/>
      <c r="AL198" s="97"/>
      <c r="AM198" s="99"/>
      <c r="AN198" s="99"/>
      <c r="AO198" s="99"/>
      <c r="AP198" s="100"/>
      <c r="AQ198" s="100"/>
      <c r="AR198" s="100"/>
      <c r="AS198" s="100"/>
      <c r="AT198" s="100"/>
      <c r="AU198" s="100"/>
      <c r="AV198" s="100"/>
      <c r="AW198" s="100"/>
      <c r="AX198" s="100"/>
      <c r="AY198" s="100"/>
      <c r="AZ198" s="100"/>
      <c r="BA198" s="100"/>
      <c r="BG198" s="154"/>
      <c r="BH198" s="154"/>
      <c r="BI198" s="154"/>
      <c r="BJ198" s="154"/>
      <c r="BK198" s="154"/>
      <c r="BL198" s="154"/>
      <c r="BM198" s="154"/>
      <c r="BN198" s="154"/>
      <c r="BO198" s="154"/>
      <c r="BP198" s="154"/>
      <c r="BQ198" s="154"/>
      <c r="BR198" s="154"/>
      <c r="BS198" s="154"/>
      <c r="BT198" s="154"/>
      <c r="BU198" s="154"/>
      <c r="BV198" s="154"/>
      <c r="BW198" s="154"/>
      <c r="BX198" s="154"/>
      <c r="BY198" s="154"/>
      <c r="BZ198" s="154"/>
      <c r="CA198" s="154"/>
      <c r="CB198" s="154"/>
      <c r="CC198" s="154"/>
      <c r="CD198" s="154"/>
      <c r="CE198" s="154"/>
    </row>
    <row r="199" spans="1:83" x14ac:dyDescent="0.2">
      <c r="A199" s="222"/>
      <c r="B199" s="24"/>
      <c r="C199" s="223" t="str">
        <f t="shared" ca="1" si="630"/>
        <v/>
      </c>
      <c r="D199" s="982" t="str">
        <f t="shared" ca="1" si="631"/>
        <v/>
      </c>
      <c r="E199" s="392" t="str">
        <f t="shared" ca="1" si="632"/>
        <v/>
      </c>
      <c r="F199" s="392" t="str">
        <f t="shared" ca="1" si="633"/>
        <v/>
      </c>
      <c r="G199" s="392" t="str">
        <f t="shared" ca="1" si="634"/>
        <v/>
      </c>
      <c r="H199" s="384"/>
      <c r="I199" s="960"/>
      <c r="J199" s="326"/>
      <c r="K199" s="1740" t="str">
        <f t="shared" ca="1" si="642"/>
        <v/>
      </c>
      <c r="L199" s="1741"/>
      <c r="M199" s="298"/>
      <c r="N199" s="754">
        <f t="shared" ca="1" si="636"/>
        <v>0</v>
      </c>
      <c r="O199" s="754">
        <f t="shared" ca="1" si="637"/>
        <v>0</v>
      </c>
      <c r="P199" s="754">
        <f t="shared" ca="1" si="638"/>
        <v>0</v>
      </c>
      <c r="Q199" s="753" t="str">
        <f t="shared" si="639"/>
        <v>RITUALE</v>
      </c>
      <c r="R199" s="78"/>
      <c r="T199" s="78"/>
      <c r="U199" s="78"/>
      <c r="V199" s="78"/>
      <c r="W199" s="78"/>
      <c r="X199" s="78"/>
      <c r="Y199" s="78"/>
      <c r="Z199" s="78"/>
      <c r="AA199" s="78"/>
      <c r="AB199" s="78"/>
      <c r="AC199" s="78"/>
      <c r="AD199" s="78"/>
      <c r="AE199" s="78"/>
      <c r="AF199" s="78"/>
      <c r="AG199" s="78"/>
      <c r="AH199" s="78"/>
      <c r="AI199" s="78"/>
      <c r="AJ199" s="98"/>
      <c r="AK199" s="97"/>
      <c r="AL199" s="97"/>
      <c r="AM199" s="99"/>
      <c r="AN199" s="99"/>
      <c r="AO199" s="99"/>
      <c r="AP199" s="100"/>
      <c r="AQ199" s="100"/>
      <c r="AR199" s="100"/>
      <c r="AS199" s="100"/>
      <c r="AT199" s="100"/>
      <c r="AU199" s="100"/>
      <c r="AV199" s="100"/>
      <c r="AW199" s="100"/>
      <c r="AX199" s="100"/>
      <c r="AY199" s="100"/>
      <c r="AZ199" s="100"/>
      <c r="BA199" s="100"/>
      <c r="BG199" s="154"/>
      <c r="BH199" s="154"/>
      <c r="BI199" s="154"/>
      <c r="BJ199" s="154"/>
      <c r="BK199" s="154"/>
      <c r="BL199" s="154"/>
      <c r="BM199" s="154"/>
      <c r="BN199" s="154"/>
      <c r="BO199" s="154"/>
      <c r="BP199" s="154"/>
      <c r="BQ199" s="154"/>
      <c r="BR199" s="154"/>
      <c r="BS199" s="154"/>
      <c r="BT199" s="154"/>
      <c r="BU199" s="154"/>
      <c r="BV199" s="154"/>
      <c r="BW199" s="154"/>
      <c r="BX199" s="154"/>
      <c r="BY199" s="154"/>
      <c r="BZ199" s="154"/>
      <c r="CA199" s="154"/>
      <c r="CB199" s="154"/>
      <c r="CC199" s="154"/>
      <c r="CD199" s="154"/>
      <c r="CE199" s="154"/>
    </row>
    <row r="200" spans="1:83" x14ac:dyDescent="0.2">
      <c r="A200" s="222"/>
      <c r="B200" s="24"/>
      <c r="C200" s="223" t="str">
        <f t="shared" ca="1" si="630"/>
        <v/>
      </c>
      <c r="D200" s="982" t="str">
        <f t="shared" ca="1" si="631"/>
        <v/>
      </c>
      <c r="E200" s="392" t="str">
        <f t="shared" ca="1" si="632"/>
        <v/>
      </c>
      <c r="F200" s="392" t="str">
        <f t="shared" ca="1" si="633"/>
        <v/>
      </c>
      <c r="G200" s="392" t="str">
        <f t="shared" ca="1" si="634"/>
        <v/>
      </c>
      <c r="H200" s="384"/>
      <c r="I200" s="960"/>
      <c r="J200" s="326"/>
      <c r="K200" s="1740" t="str">
        <f t="shared" ca="1" si="642"/>
        <v/>
      </c>
      <c r="L200" s="1741"/>
      <c r="M200" s="298"/>
      <c r="N200" s="754">
        <f t="shared" ca="1" si="636"/>
        <v>0</v>
      </c>
      <c r="O200" s="754">
        <f t="shared" ca="1" si="637"/>
        <v>0</v>
      </c>
      <c r="P200" s="754">
        <f t="shared" ca="1" si="638"/>
        <v>0</v>
      </c>
      <c r="Q200" s="753" t="str">
        <f t="shared" si="639"/>
        <v>RITUALE</v>
      </c>
      <c r="R200" s="78"/>
      <c r="T200" s="78"/>
      <c r="U200" s="78"/>
      <c r="V200" s="78"/>
      <c r="W200" s="78"/>
      <c r="X200" s="78"/>
      <c r="Y200" s="78"/>
      <c r="Z200" s="78"/>
      <c r="AA200" s="78"/>
      <c r="AB200" s="78"/>
      <c r="AC200" s="78"/>
      <c r="AD200" s="78"/>
      <c r="AE200" s="78"/>
      <c r="AF200" s="78"/>
      <c r="AG200" s="78"/>
      <c r="AH200" s="78"/>
      <c r="AI200" s="78"/>
      <c r="AJ200" s="98"/>
      <c r="AK200" s="97"/>
      <c r="AL200" s="97"/>
      <c r="AM200" s="99"/>
      <c r="AN200" s="99"/>
      <c r="AO200" s="99"/>
      <c r="AP200" s="100"/>
      <c r="AQ200" s="100"/>
      <c r="AR200" s="100"/>
      <c r="AS200" s="100"/>
      <c r="AT200" s="100"/>
      <c r="AU200" s="100"/>
      <c r="AV200" s="100"/>
      <c r="AW200" s="100"/>
      <c r="AX200" s="100"/>
      <c r="AY200" s="100"/>
      <c r="AZ200" s="100"/>
      <c r="BA200" s="100"/>
      <c r="BG200" s="154"/>
      <c r="BH200" s="154"/>
      <c r="BI200" s="154"/>
      <c r="BJ200" s="154"/>
      <c r="BK200" s="154"/>
      <c r="BL200" s="154"/>
      <c r="BM200" s="154"/>
      <c r="BN200" s="154"/>
      <c r="BO200" s="154"/>
      <c r="BP200" s="154"/>
      <c r="BQ200" s="154"/>
      <c r="BR200" s="154"/>
      <c r="BS200" s="154"/>
      <c r="BT200" s="154"/>
      <c r="BU200" s="154"/>
      <c r="BV200" s="154"/>
      <c r="BW200" s="154"/>
      <c r="BX200" s="154"/>
      <c r="BY200" s="154"/>
      <c r="BZ200" s="154"/>
      <c r="CA200" s="154"/>
      <c r="CB200" s="154"/>
      <c r="CC200" s="154"/>
      <c r="CD200" s="154"/>
      <c r="CE200" s="154"/>
    </row>
    <row r="201" spans="1:83" x14ac:dyDescent="0.2">
      <c r="A201" s="222"/>
      <c r="B201" s="24"/>
      <c r="C201" s="223" t="str">
        <f t="shared" ca="1" si="630"/>
        <v/>
      </c>
      <c r="D201" s="982" t="str">
        <f t="shared" ca="1" si="631"/>
        <v/>
      </c>
      <c r="E201" s="392" t="str">
        <f t="shared" ca="1" si="632"/>
        <v/>
      </c>
      <c r="F201" s="392" t="str">
        <f t="shared" ca="1" si="633"/>
        <v/>
      </c>
      <c r="G201" s="392" t="str">
        <f t="shared" ca="1" si="634"/>
        <v/>
      </c>
      <c r="H201" s="384"/>
      <c r="I201" s="960"/>
      <c r="J201" s="326"/>
      <c r="K201" s="1740" t="str">
        <f t="shared" ca="1" si="642"/>
        <v/>
      </c>
      <c r="L201" s="1741"/>
      <c r="M201" s="298"/>
      <c r="N201" s="754">
        <f t="shared" ca="1" si="636"/>
        <v>0</v>
      </c>
      <c r="O201" s="754">
        <f t="shared" ca="1" si="637"/>
        <v>0</v>
      </c>
      <c r="P201" s="754">
        <f t="shared" ca="1" si="638"/>
        <v>0</v>
      </c>
      <c r="Q201" s="753" t="str">
        <f t="shared" si="639"/>
        <v>RITUALE</v>
      </c>
      <c r="R201" s="78"/>
      <c r="T201" s="78"/>
      <c r="U201" s="78"/>
      <c r="V201" s="78"/>
      <c r="W201" s="78"/>
      <c r="X201" s="78"/>
      <c r="Y201" s="78"/>
      <c r="Z201" s="78"/>
      <c r="AA201" s="78"/>
      <c r="AB201" s="78"/>
      <c r="AC201" s="78"/>
      <c r="AD201" s="78"/>
      <c r="AE201" s="78"/>
      <c r="AF201" s="78"/>
      <c r="AG201" s="78"/>
      <c r="AH201" s="78"/>
      <c r="AI201" s="78"/>
      <c r="AJ201" s="98"/>
      <c r="AK201" s="97"/>
      <c r="AL201" s="97"/>
      <c r="AM201" s="99"/>
      <c r="AN201" s="99"/>
      <c r="AO201" s="99"/>
      <c r="AP201" s="100"/>
      <c r="AQ201" s="100"/>
      <c r="AR201" s="100"/>
      <c r="AS201" s="100"/>
      <c r="AT201" s="100"/>
      <c r="AU201" s="100"/>
      <c r="AV201" s="100"/>
      <c r="AW201" s="100"/>
      <c r="AX201" s="100"/>
      <c r="AY201" s="100"/>
      <c r="AZ201" s="100"/>
      <c r="BA201" s="100"/>
      <c r="BG201" s="154"/>
      <c r="BH201" s="154"/>
      <c r="BI201" s="154"/>
      <c r="BJ201" s="154"/>
      <c r="BK201" s="154"/>
      <c r="BL201" s="154"/>
      <c r="BM201" s="154"/>
      <c r="BN201" s="154"/>
      <c r="BO201" s="154"/>
      <c r="BP201" s="154"/>
      <c r="BQ201" s="154"/>
      <c r="BR201" s="154"/>
      <c r="BS201" s="154"/>
      <c r="BT201" s="154"/>
      <c r="BU201" s="154"/>
      <c r="BV201" s="154"/>
      <c r="BW201" s="154"/>
      <c r="BX201" s="154"/>
      <c r="BY201" s="154"/>
      <c r="BZ201" s="154"/>
      <c r="CA201" s="154"/>
      <c r="CB201" s="154"/>
      <c r="CC201" s="154"/>
      <c r="CD201" s="154"/>
      <c r="CE201" s="154"/>
    </row>
    <row r="202" spans="1:83" ht="37.5" customHeight="1" x14ac:dyDescent="0.2">
      <c r="B202" s="1643"/>
      <c r="C202" s="19"/>
      <c r="D202" s="162"/>
      <c r="E202" s="163"/>
      <c r="F202" s="163"/>
      <c r="G202" s="47"/>
      <c r="H202" s="383" t="s">
        <v>1162</v>
      </c>
      <c r="I202" s="328" t="s">
        <v>3793</v>
      </c>
      <c r="J202" s="977" t="s">
        <v>4006</v>
      </c>
      <c r="K202" s="1965"/>
      <c r="L202" s="1964"/>
      <c r="M202" s="299"/>
      <c r="N202" s="25" t="s">
        <v>1783</v>
      </c>
      <c r="O202" s="25"/>
      <c r="P202" s="150">
        <v>0</v>
      </c>
      <c r="Q202" s="6">
        <v>1</v>
      </c>
      <c r="R202" s="6">
        <v>2</v>
      </c>
      <c r="S202" s="6">
        <v>3</v>
      </c>
      <c r="T202" s="6">
        <v>4</v>
      </c>
      <c r="U202" s="6">
        <v>5</v>
      </c>
      <c r="V202" s="6">
        <v>6</v>
      </c>
      <c r="W202" s="6">
        <v>7</v>
      </c>
      <c r="X202" s="6">
        <v>8</v>
      </c>
      <c r="Y202" s="6">
        <v>9</v>
      </c>
      <c r="Z202" s="6">
        <v>10</v>
      </c>
      <c r="AA202" s="6">
        <v>11</v>
      </c>
      <c r="AB202" s="6">
        <v>12</v>
      </c>
      <c r="AC202" s="6">
        <v>13</v>
      </c>
      <c r="AD202" s="6">
        <v>14</v>
      </c>
      <c r="AE202" s="6">
        <v>15</v>
      </c>
      <c r="AF202" s="6">
        <v>16</v>
      </c>
      <c r="AG202" s="6">
        <v>17</v>
      </c>
      <c r="AH202" s="6">
        <v>18</v>
      </c>
      <c r="AI202" s="6">
        <v>19</v>
      </c>
      <c r="AJ202" s="6">
        <v>20</v>
      </c>
      <c r="AK202" s="134">
        <v>21</v>
      </c>
      <c r="AL202" s="6"/>
      <c r="AM202" s="6">
        <v>0</v>
      </c>
      <c r="AN202" s="6">
        <v>1</v>
      </c>
      <c r="AO202" s="6">
        <v>2</v>
      </c>
      <c r="AP202" s="6">
        <v>3</v>
      </c>
      <c r="AQ202" s="6">
        <v>4</v>
      </c>
      <c r="AR202" s="6">
        <v>5</v>
      </c>
      <c r="AS202" s="6">
        <v>6</v>
      </c>
      <c r="AT202" s="6">
        <v>7</v>
      </c>
      <c r="AU202" s="6">
        <v>8</v>
      </c>
      <c r="AV202" s="6">
        <v>9</v>
      </c>
      <c r="AW202" s="6">
        <v>10</v>
      </c>
      <c r="AX202" s="6">
        <v>11</v>
      </c>
      <c r="AY202" s="6">
        <v>12</v>
      </c>
      <c r="AZ202" s="6">
        <v>13</v>
      </c>
      <c r="BA202" s="6">
        <v>14</v>
      </c>
      <c r="BB202" s="6">
        <v>15</v>
      </c>
      <c r="BC202" s="6">
        <v>16</v>
      </c>
      <c r="BD202" s="6">
        <v>17</v>
      </c>
      <c r="BE202" s="6">
        <v>18</v>
      </c>
      <c r="BF202" s="6">
        <v>19</v>
      </c>
      <c r="BG202" s="6">
        <v>20</v>
      </c>
      <c r="BH202" s="72">
        <v>21</v>
      </c>
      <c r="BI202" s="154"/>
      <c r="BJ202" s="154"/>
      <c r="BK202" s="154"/>
      <c r="BL202" s="154"/>
      <c r="BM202" s="154"/>
      <c r="BN202" s="154"/>
      <c r="BO202" s="154"/>
      <c r="BP202" s="154"/>
      <c r="BQ202" s="154"/>
      <c r="BR202" s="154"/>
      <c r="BS202" s="154"/>
      <c r="BT202" s="154"/>
      <c r="BU202" s="154"/>
      <c r="BV202" s="154"/>
      <c r="BW202" s="154"/>
      <c r="BX202" s="154"/>
      <c r="BY202" s="154"/>
      <c r="BZ202" s="154"/>
      <c r="CA202" s="154"/>
      <c r="CB202" s="154"/>
      <c r="CC202" s="154"/>
      <c r="CD202" s="154"/>
      <c r="CE202" s="154"/>
    </row>
    <row r="203" spans="1:83" ht="12.75" customHeight="1" x14ac:dyDescent="0.2">
      <c r="A203" s="1981" t="s">
        <v>4420</v>
      </c>
      <c r="B203" s="1986" t="b">
        <f ca="1">IF(AND(OR(RASSE_ELF,F203="Elf"),NOT(PROFGRDGENE="Magier")),MAX(Talente!O53,Talente!O141),IF(MAGISCH,
IF(HLOOKUP(PROFGENE,INDIRECT(PROFGEBIET),IDX_RKW,FALSE)="",IF(VT_HALBZBR,3,""),HLOOKUP(PROFGENE,INDIRECT(PROFGEBIET),IDX_RKW,FALSE))))</f>
        <v>0</v>
      </c>
      <c r="C203" s="1334" t="s">
        <v>7235</v>
      </c>
      <c r="D203" s="1324"/>
      <c r="E203" s="1325"/>
      <c r="F203" s="1329" t="str">
        <f ca="1">IF(MAGISCH,IF(HLOOKUP(PROFGENE,INDIRECT(PROFGEBIET),IDX_RK,FALSE)="",BP4,HLOOKUP(PROFGENE,INDIRECT(PROFGEBIET),IDX_RK,FALSE)),"")</f>
        <v/>
      </c>
      <c r="G203" s="47"/>
      <c r="H203" s="1975"/>
      <c r="I203" s="1957"/>
      <c r="J203" s="1959"/>
      <c r="K203" s="1739"/>
      <c r="L203" s="1741"/>
      <c r="M203" s="514">
        <f ca="1">SUM(B203,H203,I203,J203)</f>
        <v>0</v>
      </c>
      <c r="N203" s="397">
        <f>ROUND(H203/2*IF(VT_EIDGED,0.5,IF(VT_GUTGED,0.75,1))*IF(VT_AKADMAG,0.75,1),0)</f>
        <v>0</v>
      </c>
      <c r="O203" s="25"/>
      <c r="P203" s="758">
        <f ca="1">ROUND(
IF(AND(NOT(ISBLANK($I203)),SUM($B203,$H203)&lt;=0),IF(SUM($B203,$H203)&lt;0,ABS(SUM($B203,$H203))*HLOOKUP($BI$204,SKT,3),IF(SUM($B203,$H203)=0,HLOOKUP(P$204,SKT,3),0))*IF(VT_AKADMAG,0.75,1),0)
*IF(VT_EIDGED,0.5,IF(VT_GUTGED,0.75,1)),0)</f>
        <v>0</v>
      </c>
      <c r="Q203" s="759">
        <f t="shared" ref="Q203:AK203" ca="1" si="643">ROUND(
IF(NOT(EXACT($A203,"")),IF(AND(NOT(ISBLANK($I203)),SUM($B203,$H203)&lt;Q$202,SUM($B203,$H203,$I203)&gt;=Q$202,EXACT($K203,"")),HLOOKUP(Q$204,SKT,Q$202+3,FALSE),0)*IF(VT_AKADMAG,0.75,1),0)
*IF(VT_EIDGED,0.5,IF(VT_GUTGED,0.75,1)),0)</f>
        <v>0</v>
      </c>
      <c r="R203" s="759">
        <f t="shared" ca="1" si="643"/>
        <v>0</v>
      </c>
      <c r="S203" s="759">
        <f t="shared" ca="1" si="643"/>
        <v>0</v>
      </c>
      <c r="T203" s="759">
        <f t="shared" ca="1" si="643"/>
        <v>0</v>
      </c>
      <c r="U203" s="759">
        <f t="shared" ca="1" si="643"/>
        <v>0</v>
      </c>
      <c r="V203" s="759">
        <f t="shared" ca="1" si="643"/>
        <v>0</v>
      </c>
      <c r="W203" s="759">
        <f t="shared" ca="1" si="643"/>
        <v>0</v>
      </c>
      <c r="X203" s="759">
        <f t="shared" ca="1" si="643"/>
        <v>0</v>
      </c>
      <c r="Y203" s="759">
        <f t="shared" ca="1" si="643"/>
        <v>0</v>
      </c>
      <c r="Z203" s="759">
        <f t="shared" ca="1" si="643"/>
        <v>0</v>
      </c>
      <c r="AA203" s="759">
        <f t="shared" ca="1" si="643"/>
        <v>0</v>
      </c>
      <c r="AB203" s="759">
        <f t="shared" ca="1" si="643"/>
        <v>0</v>
      </c>
      <c r="AC203" s="759">
        <f t="shared" ca="1" si="643"/>
        <v>0</v>
      </c>
      <c r="AD203" s="759">
        <f t="shared" ca="1" si="643"/>
        <v>0</v>
      </c>
      <c r="AE203" s="759">
        <f t="shared" ca="1" si="643"/>
        <v>0</v>
      </c>
      <c r="AF203" s="759">
        <f t="shared" ca="1" si="643"/>
        <v>0</v>
      </c>
      <c r="AG203" s="759">
        <f t="shared" ca="1" si="643"/>
        <v>0</v>
      </c>
      <c r="AH203" s="759">
        <f t="shared" ca="1" si="643"/>
        <v>0</v>
      </c>
      <c r="AI203" s="759">
        <f t="shared" ca="1" si="643"/>
        <v>0</v>
      </c>
      <c r="AJ203" s="759">
        <f t="shared" ca="1" si="643"/>
        <v>0</v>
      </c>
      <c r="AK203" s="759">
        <f t="shared" ca="1" si="643"/>
        <v>0</v>
      </c>
      <c r="AL203" s="760"/>
      <c r="AM203" s="758">
        <f ca="1">ROUND(
IF(AND(NOT(ISBLANK($J203)),SUM($B203,$H203,$I203)&lt;=0),IF(SUM($B203,$H203,$I203)&lt;0,ABS(SUM($B203,$H203,$I203))*5*HLOOKUP($AM$204,SKT,3),IF(SUM($B203,$H203,$I203)=0,5*HLOOKUP($AM$204,SKT,3),0))*IF(VT_AKADMAG,0.75,1),0)
*IF(VT_EIDGED,0.5,IF(VT_GUTGED,0.75,1)),0)</f>
        <v>0</v>
      </c>
      <c r="AN203" s="759">
        <f t="shared" ref="AN203:BH203" ca="1" si="644">ROUND(
IF(NOT(EXACT($A203,"")),IF(AND(NOT(ISBLANK($J203)),SUM($B203,$H203,$I203)&lt;AN$202,SUM($B203,$H203,$I203,$J203)&gt;=AN$202,EXACT($K203,"")),HLOOKUP(AN$204,SKT,AN$202+3,FALSE),0)*IF(VT_AKADMAG,0.75,1),0)
*IF(VT_EIDGED,0.5,IF(VT_GUTGED,0.75,1)),0)</f>
        <v>0</v>
      </c>
      <c r="AO203" s="759">
        <f t="shared" ca="1" si="644"/>
        <v>0</v>
      </c>
      <c r="AP203" s="759">
        <f t="shared" ca="1" si="644"/>
        <v>0</v>
      </c>
      <c r="AQ203" s="759">
        <f t="shared" ca="1" si="644"/>
        <v>0</v>
      </c>
      <c r="AR203" s="759">
        <f t="shared" ca="1" si="644"/>
        <v>0</v>
      </c>
      <c r="AS203" s="759">
        <f t="shared" ca="1" si="644"/>
        <v>0</v>
      </c>
      <c r="AT203" s="759">
        <f t="shared" ca="1" si="644"/>
        <v>0</v>
      </c>
      <c r="AU203" s="759">
        <f t="shared" ca="1" si="644"/>
        <v>0</v>
      </c>
      <c r="AV203" s="759">
        <f t="shared" ca="1" si="644"/>
        <v>0</v>
      </c>
      <c r="AW203" s="759">
        <f t="shared" ca="1" si="644"/>
        <v>0</v>
      </c>
      <c r="AX203" s="759">
        <f t="shared" ca="1" si="644"/>
        <v>0</v>
      </c>
      <c r="AY203" s="759">
        <f t="shared" ca="1" si="644"/>
        <v>0</v>
      </c>
      <c r="AZ203" s="759">
        <f t="shared" ca="1" si="644"/>
        <v>0</v>
      </c>
      <c r="BA203" s="759">
        <f t="shared" ca="1" si="644"/>
        <v>0</v>
      </c>
      <c r="BB203" s="759">
        <f t="shared" ca="1" si="644"/>
        <v>0</v>
      </c>
      <c r="BC203" s="759">
        <f t="shared" ca="1" si="644"/>
        <v>0</v>
      </c>
      <c r="BD203" s="759">
        <f t="shared" ca="1" si="644"/>
        <v>0</v>
      </c>
      <c r="BE203" s="759">
        <f t="shared" ca="1" si="644"/>
        <v>0</v>
      </c>
      <c r="BF203" s="759">
        <f t="shared" ca="1" si="644"/>
        <v>0</v>
      </c>
      <c r="BG203" s="759">
        <f t="shared" ca="1" si="644"/>
        <v>0</v>
      </c>
      <c r="BH203" s="759">
        <f t="shared" ca="1" si="644"/>
        <v>0</v>
      </c>
      <c r="BI203" s="1096"/>
      <c r="BJ203" s="154"/>
      <c r="BK203" s="154"/>
      <c r="BL203" s="154"/>
      <c r="BM203" s="154"/>
      <c r="BN203" s="154"/>
      <c r="BO203" s="154"/>
      <c r="BP203" s="154"/>
      <c r="BQ203" s="154"/>
      <c r="BR203" s="154"/>
      <c r="BS203" s="154"/>
      <c r="BT203" s="154"/>
      <c r="BU203" s="154"/>
      <c r="BV203" s="154"/>
      <c r="BW203" s="154"/>
      <c r="BX203" s="154"/>
      <c r="BY203" s="154"/>
      <c r="BZ203" s="154"/>
      <c r="CA203" s="154"/>
      <c r="CB203" s="154"/>
      <c r="CC203" s="154"/>
      <c r="CD203" s="154"/>
      <c r="CE203" s="154"/>
    </row>
    <row r="204" spans="1:83" ht="12.75" customHeight="1" x14ac:dyDescent="0.2">
      <c r="A204" s="1982"/>
      <c r="B204" s="1987"/>
      <c r="C204" s="1326" t="s">
        <v>7182</v>
      </c>
      <c r="D204" s="1326"/>
      <c r="E204" s="532"/>
      <c r="F204" s="982"/>
      <c r="G204" s="47"/>
      <c r="H204" s="1976"/>
      <c r="I204" s="1958"/>
      <c r="J204" s="1960"/>
      <c r="K204" s="1963"/>
      <c r="L204" s="1964"/>
      <c r="M204" s="298"/>
      <c r="N204" s="398"/>
      <c r="O204" s="25"/>
      <c r="P204" s="761" t="str">
        <f ca="1">IF(ISERR(FIND(";"&amp;P$202&amp;";",$F$204)),$BI$204,CHAR(CODE($BI$204)-1))</f>
        <v>E</v>
      </c>
      <c r="Q204" s="762" t="str">
        <f t="shared" ref="Q204:AK204" ca="1" si="645">IF(ISERR(FIND(";"&amp;Q$202&amp;";",$F$204)),$BI$204,CHAR(CODE($BI$204)-1))</f>
        <v>E</v>
      </c>
      <c r="R204" s="762" t="str">
        <f t="shared" ca="1" si="645"/>
        <v>E</v>
      </c>
      <c r="S204" s="762" t="str">
        <f t="shared" ca="1" si="645"/>
        <v>E</v>
      </c>
      <c r="T204" s="762" t="str">
        <f t="shared" ca="1" si="645"/>
        <v>E</v>
      </c>
      <c r="U204" s="762" t="str">
        <f t="shared" ca="1" si="645"/>
        <v>E</v>
      </c>
      <c r="V204" s="762" t="str">
        <f t="shared" ca="1" si="645"/>
        <v>E</v>
      </c>
      <c r="W204" s="762" t="str">
        <f t="shared" ca="1" si="645"/>
        <v>E</v>
      </c>
      <c r="X204" s="762" t="str">
        <f t="shared" ca="1" si="645"/>
        <v>E</v>
      </c>
      <c r="Y204" s="762" t="str">
        <f t="shared" ca="1" si="645"/>
        <v>E</v>
      </c>
      <c r="Z204" s="762" t="str">
        <f t="shared" ca="1" si="645"/>
        <v>E</v>
      </c>
      <c r="AA204" s="762" t="str">
        <f t="shared" ca="1" si="645"/>
        <v>E</v>
      </c>
      <c r="AB204" s="762" t="str">
        <f t="shared" ca="1" si="645"/>
        <v>E</v>
      </c>
      <c r="AC204" s="762" t="str">
        <f t="shared" ca="1" si="645"/>
        <v>E</v>
      </c>
      <c r="AD204" s="762" t="str">
        <f t="shared" ca="1" si="645"/>
        <v>E</v>
      </c>
      <c r="AE204" s="762" t="str">
        <f t="shared" ca="1" si="645"/>
        <v>E</v>
      </c>
      <c r="AF204" s="762" t="str">
        <f t="shared" ca="1" si="645"/>
        <v>E</v>
      </c>
      <c r="AG204" s="762" t="str">
        <f t="shared" ca="1" si="645"/>
        <v>E</v>
      </c>
      <c r="AH204" s="762" t="str">
        <f t="shared" ca="1" si="645"/>
        <v>E</v>
      </c>
      <c r="AI204" s="762" t="str">
        <f t="shared" ca="1" si="645"/>
        <v>E</v>
      </c>
      <c r="AJ204" s="762" t="str">
        <f t="shared" ca="1" si="645"/>
        <v>E</v>
      </c>
      <c r="AK204" s="762" t="str">
        <f t="shared" ca="1" si="645"/>
        <v>E</v>
      </c>
      <c r="AL204" s="760"/>
      <c r="AM204" s="761" t="str">
        <f ca="1">IF(ISERR(FIND(";"&amp;AM$202&amp;";",$F$204)),$BI$204,CHAR(CODE($BI$204)-1))</f>
        <v>E</v>
      </c>
      <c r="AN204" s="762" t="str">
        <f t="shared" ref="AN204:BH204" ca="1" si="646">IF(ISERR(FIND(";"&amp;AN$202&amp;";",$F$204)),$BI$204,CHAR(CODE($BI$204)-1))</f>
        <v>E</v>
      </c>
      <c r="AO204" s="762" t="str">
        <f t="shared" ca="1" si="646"/>
        <v>E</v>
      </c>
      <c r="AP204" s="762" t="str">
        <f t="shared" ca="1" si="646"/>
        <v>E</v>
      </c>
      <c r="AQ204" s="762" t="str">
        <f t="shared" ca="1" si="646"/>
        <v>E</v>
      </c>
      <c r="AR204" s="762" t="str">
        <f t="shared" ca="1" si="646"/>
        <v>E</v>
      </c>
      <c r="AS204" s="762" t="str">
        <f t="shared" ca="1" si="646"/>
        <v>E</v>
      </c>
      <c r="AT204" s="762" t="str">
        <f t="shared" ca="1" si="646"/>
        <v>E</v>
      </c>
      <c r="AU204" s="762" t="str">
        <f t="shared" ca="1" si="646"/>
        <v>E</v>
      </c>
      <c r="AV204" s="762" t="str">
        <f t="shared" ca="1" si="646"/>
        <v>E</v>
      </c>
      <c r="AW204" s="762" t="str">
        <f t="shared" ca="1" si="646"/>
        <v>E</v>
      </c>
      <c r="AX204" s="762" t="str">
        <f t="shared" ca="1" si="646"/>
        <v>E</v>
      </c>
      <c r="AY204" s="762" t="str">
        <f t="shared" ca="1" si="646"/>
        <v>E</v>
      </c>
      <c r="AZ204" s="762" t="str">
        <f t="shared" ca="1" si="646"/>
        <v>E</v>
      </c>
      <c r="BA204" s="762" t="str">
        <f t="shared" ca="1" si="646"/>
        <v>E</v>
      </c>
      <c r="BB204" s="762" t="str">
        <f t="shared" ca="1" si="646"/>
        <v>E</v>
      </c>
      <c r="BC204" s="762" t="str">
        <f t="shared" ca="1" si="646"/>
        <v>E</v>
      </c>
      <c r="BD204" s="762" t="str">
        <f t="shared" ca="1" si="646"/>
        <v>E</v>
      </c>
      <c r="BE204" s="762" t="str">
        <f t="shared" ca="1" si="646"/>
        <v>E</v>
      </c>
      <c r="BF204" s="762" t="str">
        <f t="shared" ca="1" si="646"/>
        <v>E</v>
      </c>
      <c r="BG204" s="762" t="str">
        <f t="shared" ca="1" si="646"/>
        <v>E</v>
      </c>
      <c r="BH204" s="1331" t="str">
        <f t="shared" ca="1" si="646"/>
        <v>E</v>
      </c>
      <c r="BI204" s="957" t="str">
        <f ca="1">IF(F203="Alc","D","E")</f>
        <v>E</v>
      </c>
      <c r="BJ204" s="154"/>
      <c r="BK204" s="154"/>
      <c r="BL204" s="154"/>
      <c r="BM204" s="154"/>
      <c r="BN204" s="154"/>
      <c r="BO204" s="154"/>
      <c r="BP204" s="154"/>
      <c r="BQ204" s="154"/>
      <c r="BR204" s="154"/>
      <c r="BS204" s="154"/>
      <c r="BT204" s="154"/>
      <c r="BU204" s="154"/>
      <c r="BV204" s="154"/>
      <c r="BW204" s="154"/>
      <c r="BX204" s="154"/>
      <c r="BY204" s="154"/>
      <c r="BZ204" s="154"/>
      <c r="CA204" s="154"/>
      <c r="CB204" s="154"/>
      <c r="CC204" s="154"/>
      <c r="CD204" s="154"/>
      <c r="CE204" s="154"/>
    </row>
    <row r="205" spans="1:83" ht="12.75" customHeight="1" x14ac:dyDescent="0.2">
      <c r="A205" s="1981" t="s">
        <v>7044</v>
      </c>
      <c r="B205" s="1986" t="str">
        <f>IF(AND(NOT(EXACT($F205,"")),OR(NOT(H205=""),NOT(I205=""),NOT(J205=""))),3,"")</f>
        <v/>
      </c>
      <c r="C205" s="1334" t="s">
        <v>7235</v>
      </c>
      <c r="D205" s="1327"/>
      <c r="E205" s="1328"/>
      <c r="F205" s="1329"/>
      <c r="G205" s="47"/>
      <c r="H205" s="1975"/>
      <c r="I205" s="1957"/>
      <c r="J205" s="1959"/>
      <c r="K205" s="1739" t="str">
        <f>IF(EXACT($A205,""),"",IF(SUM($B205,$J205)&gt;IF(OR(EXACT(PROFGRDGENE,"Druiden"),EXACT(PROFGRDGENE,"Magier"),EXACT(PROFGENE,"Herr der Erde")),KL+3,IF(EXACT(PROFGRDGENE,"Elfen"),IN+3)),"max. RkW von",""))</f>
        <v/>
      </c>
      <c r="L205" s="1741"/>
      <c r="M205" s="514">
        <f>SUM(B205,H205,I205,J205)</f>
        <v>0</v>
      </c>
      <c r="N205" s="398">
        <f>IF(NOT(ISBLANK($H205)),
ROUND(IF(VT_EIDGED,3,IF(VT_GUTGED,4,5))*IF(ISERR(FIND(";0;",$F$206)),1,0.5),0),0)</f>
        <v>0</v>
      </c>
      <c r="O205" s="25"/>
      <c r="P205" s="761">
        <f>IF(AND(H205="",NOT(ISBLANK($I205))),
ROUND(IF(VT_EIDGED,125,IF(VT_GUTGED,188,250))*IF(ISERR(FIND(";0;",$F$206)),1,0.5),0),0)</f>
        <v>0</v>
      </c>
      <c r="Q205" s="762">
        <f t="shared" ref="Q205:AK205" si="647">ROUND(
IF(NOT(EXACT($A205,"")),IF(AND(NOT(ISBLANK($I205)),SUM($B205)&lt;Q$202,SUM($B205,$I205)&gt;=Q$202,EXACT($K205,"")),HLOOKUP(Q$206,SKT,Q$202+3,FALSE),0),0)
*IF(VT_EIDGED,0.5,IF(VT_GUTGED,0.75,1)),0)</f>
        <v>0</v>
      </c>
      <c r="R205" s="762">
        <f t="shared" si="647"/>
        <v>0</v>
      </c>
      <c r="S205" s="762">
        <f t="shared" si="647"/>
        <v>0</v>
      </c>
      <c r="T205" s="762">
        <f t="shared" si="647"/>
        <v>0</v>
      </c>
      <c r="U205" s="762">
        <f t="shared" si="647"/>
        <v>0</v>
      </c>
      <c r="V205" s="762">
        <f t="shared" si="647"/>
        <v>0</v>
      </c>
      <c r="W205" s="762">
        <f t="shared" si="647"/>
        <v>0</v>
      </c>
      <c r="X205" s="762">
        <f t="shared" si="647"/>
        <v>0</v>
      </c>
      <c r="Y205" s="762">
        <f t="shared" si="647"/>
        <v>0</v>
      </c>
      <c r="Z205" s="762">
        <f t="shared" si="647"/>
        <v>0</v>
      </c>
      <c r="AA205" s="762">
        <f t="shared" si="647"/>
        <v>0</v>
      </c>
      <c r="AB205" s="762">
        <f t="shared" si="647"/>
        <v>0</v>
      </c>
      <c r="AC205" s="762">
        <f t="shared" si="647"/>
        <v>0</v>
      </c>
      <c r="AD205" s="762">
        <f t="shared" si="647"/>
        <v>0</v>
      </c>
      <c r="AE205" s="762">
        <f t="shared" si="647"/>
        <v>0</v>
      </c>
      <c r="AF205" s="762">
        <f t="shared" si="647"/>
        <v>0</v>
      </c>
      <c r="AG205" s="762">
        <f t="shared" si="647"/>
        <v>0</v>
      </c>
      <c r="AH205" s="762">
        <f t="shared" si="647"/>
        <v>0</v>
      </c>
      <c r="AI205" s="762">
        <f t="shared" si="647"/>
        <v>0</v>
      </c>
      <c r="AJ205" s="762">
        <f t="shared" si="647"/>
        <v>0</v>
      </c>
      <c r="AK205" s="762">
        <f t="shared" si="647"/>
        <v>0</v>
      </c>
      <c r="AL205" s="760"/>
      <c r="AM205" s="761">
        <f>IF(AND(H205="",I205="",NOT(ISBLANK($J205))),
ROUND(IF(VT_EIDGED,125,IF(VT_GUTGED,188,250))*IF(ISERR(FIND(";0;",$F$206)),1,0.5),0),0)</f>
        <v>0</v>
      </c>
      <c r="AN205" s="762"/>
      <c r="AO205" s="762"/>
      <c r="AP205" s="762"/>
      <c r="AQ205" s="762">
        <f t="shared" ref="AQ205:BH205" si="648">ROUND(
IF(NOT(EXACT($A205,"")),IF(AND(NOT(ISBLANK($J205)),SUM($B205,$H205,$I205)&lt;AQ$202,SUM($B205,$H205,$I205,$J205)&gt;=AQ$202,EXACT($K205,"")),HLOOKUP(AQ$206,SKT,AQ$202+3,FALSE),0),0)
*IF(VT_EIDGED,0.5,IF(VT_GUTGED,0.75,1)),0)</f>
        <v>0</v>
      </c>
      <c r="AR205" s="762">
        <f t="shared" si="648"/>
        <v>0</v>
      </c>
      <c r="AS205" s="762">
        <f t="shared" si="648"/>
        <v>0</v>
      </c>
      <c r="AT205" s="762">
        <f t="shared" si="648"/>
        <v>0</v>
      </c>
      <c r="AU205" s="762">
        <f t="shared" si="648"/>
        <v>0</v>
      </c>
      <c r="AV205" s="762">
        <f t="shared" si="648"/>
        <v>0</v>
      </c>
      <c r="AW205" s="762">
        <f t="shared" si="648"/>
        <v>0</v>
      </c>
      <c r="AX205" s="762">
        <f t="shared" si="648"/>
        <v>0</v>
      </c>
      <c r="AY205" s="762">
        <f t="shared" si="648"/>
        <v>0</v>
      </c>
      <c r="AZ205" s="762">
        <f t="shared" si="648"/>
        <v>0</v>
      </c>
      <c r="BA205" s="762">
        <f t="shared" si="648"/>
        <v>0</v>
      </c>
      <c r="BB205" s="762">
        <f t="shared" si="648"/>
        <v>0</v>
      </c>
      <c r="BC205" s="762">
        <f t="shared" si="648"/>
        <v>0</v>
      </c>
      <c r="BD205" s="762">
        <f t="shared" si="648"/>
        <v>0</v>
      </c>
      <c r="BE205" s="762">
        <f t="shared" si="648"/>
        <v>0</v>
      </c>
      <c r="BF205" s="762">
        <f t="shared" si="648"/>
        <v>0</v>
      </c>
      <c r="BG205" s="762">
        <f t="shared" si="648"/>
        <v>0</v>
      </c>
      <c r="BH205" s="762">
        <f t="shared" si="648"/>
        <v>0</v>
      </c>
      <c r="BI205" s="1141"/>
      <c r="BJ205" s="154"/>
      <c r="BK205" s="154"/>
      <c r="BL205" s="154"/>
      <c r="BM205" s="154"/>
      <c r="BN205" s="154"/>
      <c r="BO205" s="154"/>
      <c r="BP205" s="154"/>
      <c r="BQ205" s="154"/>
      <c r="BR205" s="154"/>
      <c r="BS205" s="154"/>
      <c r="BT205" s="154"/>
      <c r="BU205" s="154"/>
      <c r="BV205" s="154"/>
      <c r="BW205" s="154"/>
      <c r="BX205" s="154"/>
      <c r="BY205" s="154"/>
      <c r="BZ205" s="154"/>
      <c r="CA205" s="154"/>
      <c r="CB205" s="154"/>
      <c r="CC205" s="154"/>
      <c r="CD205" s="154"/>
      <c r="CE205" s="154"/>
    </row>
    <row r="206" spans="1:83" ht="12.75" customHeight="1" x14ac:dyDescent="0.2">
      <c r="A206" s="1982"/>
      <c r="B206" s="1987"/>
      <c r="C206" s="1326" t="s">
        <v>7182</v>
      </c>
      <c r="D206" s="1326"/>
      <c r="E206" s="531"/>
      <c r="F206" s="982"/>
      <c r="G206" s="47"/>
      <c r="H206" s="1976"/>
      <c r="I206" s="1958"/>
      <c r="J206" s="1960"/>
      <c r="K206" s="1963"/>
      <c r="L206" s="1964"/>
      <c r="M206" s="298"/>
      <c r="N206" s="398"/>
      <c r="O206" s="25"/>
      <c r="P206" s="761"/>
      <c r="Q206" s="762" t="str">
        <f t="shared" ref="Q206:AK206" si="649">IF(ISERR(FIND(";"&amp;Q$202&amp;";",$F$206)),$BI$206,CHAR(CODE($BI$206)-1))</f>
        <v>G</v>
      </c>
      <c r="R206" s="762" t="str">
        <f t="shared" si="649"/>
        <v>G</v>
      </c>
      <c r="S206" s="762" t="str">
        <f t="shared" si="649"/>
        <v>G</v>
      </c>
      <c r="T206" s="762" t="str">
        <f t="shared" si="649"/>
        <v>G</v>
      </c>
      <c r="U206" s="762" t="str">
        <f t="shared" si="649"/>
        <v>G</v>
      </c>
      <c r="V206" s="762" t="str">
        <f t="shared" si="649"/>
        <v>G</v>
      </c>
      <c r="W206" s="762" t="str">
        <f t="shared" si="649"/>
        <v>G</v>
      </c>
      <c r="X206" s="762" t="str">
        <f t="shared" si="649"/>
        <v>G</v>
      </c>
      <c r="Y206" s="762" t="str">
        <f t="shared" si="649"/>
        <v>G</v>
      </c>
      <c r="Z206" s="762" t="str">
        <f t="shared" si="649"/>
        <v>G</v>
      </c>
      <c r="AA206" s="762" t="str">
        <f t="shared" si="649"/>
        <v>G</v>
      </c>
      <c r="AB206" s="762" t="str">
        <f t="shared" si="649"/>
        <v>G</v>
      </c>
      <c r="AC206" s="762" t="str">
        <f t="shared" si="649"/>
        <v>G</v>
      </c>
      <c r="AD206" s="762" t="str">
        <f t="shared" si="649"/>
        <v>G</v>
      </c>
      <c r="AE206" s="762" t="str">
        <f t="shared" si="649"/>
        <v>G</v>
      </c>
      <c r="AF206" s="762" t="str">
        <f t="shared" si="649"/>
        <v>G</v>
      </c>
      <c r="AG206" s="762" t="str">
        <f t="shared" si="649"/>
        <v>G</v>
      </c>
      <c r="AH206" s="762" t="str">
        <f t="shared" si="649"/>
        <v>G</v>
      </c>
      <c r="AI206" s="762" t="str">
        <f t="shared" si="649"/>
        <v>G</v>
      </c>
      <c r="AJ206" s="762" t="str">
        <f t="shared" si="649"/>
        <v>G</v>
      </c>
      <c r="AK206" s="762" t="str">
        <f t="shared" si="649"/>
        <v>G</v>
      </c>
      <c r="AL206" s="760"/>
      <c r="AM206" s="761"/>
      <c r="AN206" s="762"/>
      <c r="AO206" s="762"/>
      <c r="AP206" s="762"/>
      <c r="AQ206" s="762" t="str">
        <f t="shared" ref="AQ206:BH206" si="650">IF(ISERR(FIND(";"&amp;AQ$202&amp;";",$F$206)),$BI$206,CHAR(CODE($BI$206)-1))</f>
        <v>G</v>
      </c>
      <c r="AR206" s="762" t="str">
        <f t="shared" si="650"/>
        <v>G</v>
      </c>
      <c r="AS206" s="762" t="str">
        <f t="shared" si="650"/>
        <v>G</v>
      </c>
      <c r="AT206" s="762" t="str">
        <f t="shared" si="650"/>
        <v>G</v>
      </c>
      <c r="AU206" s="762" t="str">
        <f t="shared" si="650"/>
        <v>G</v>
      </c>
      <c r="AV206" s="762" t="str">
        <f t="shared" si="650"/>
        <v>G</v>
      </c>
      <c r="AW206" s="762" t="str">
        <f t="shared" si="650"/>
        <v>G</v>
      </c>
      <c r="AX206" s="762" t="str">
        <f t="shared" si="650"/>
        <v>G</v>
      </c>
      <c r="AY206" s="762" t="str">
        <f t="shared" si="650"/>
        <v>G</v>
      </c>
      <c r="AZ206" s="762" t="str">
        <f t="shared" si="650"/>
        <v>G</v>
      </c>
      <c r="BA206" s="762" t="str">
        <f t="shared" si="650"/>
        <v>G</v>
      </c>
      <c r="BB206" s="762" t="str">
        <f t="shared" si="650"/>
        <v>G</v>
      </c>
      <c r="BC206" s="762" t="str">
        <f t="shared" si="650"/>
        <v>G</v>
      </c>
      <c r="BD206" s="762" t="str">
        <f t="shared" si="650"/>
        <v>G</v>
      </c>
      <c r="BE206" s="762" t="str">
        <f t="shared" si="650"/>
        <v>G</v>
      </c>
      <c r="BF206" s="762" t="str">
        <f t="shared" si="650"/>
        <v>G</v>
      </c>
      <c r="BG206" s="762" t="str">
        <f t="shared" si="650"/>
        <v>G</v>
      </c>
      <c r="BH206" s="1331" t="str">
        <f t="shared" si="650"/>
        <v>G</v>
      </c>
      <c r="BI206" s="1330" t="s">
        <v>4116</v>
      </c>
      <c r="BJ206" s="154"/>
      <c r="BK206" s="154"/>
      <c r="BL206" s="154"/>
      <c r="BM206" s="154"/>
      <c r="BN206" s="154"/>
      <c r="BO206" s="154"/>
      <c r="BP206" s="154"/>
      <c r="BQ206" s="154"/>
      <c r="BR206" s="154"/>
      <c r="BS206" s="154"/>
      <c r="BT206" s="154"/>
      <c r="BU206" s="154"/>
      <c r="BV206" s="154"/>
      <c r="BW206" s="154"/>
      <c r="BX206" s="154"/>
      <c r="BY206" s="154"/>
      <c r="BZ206" s="154"/>
      <c r="CA206" s="154"/>
      <c r="CB206" s="154"/>
      <c r="CC206" s="154"/>
      <c r="CD206" s="154"/>
      <c r="CE206" s="154"/>
    </row>
    <row r="207" spans="1:83" s="47" customFormat="1" ht="12.75" customHeight="1" x14ac:dyDescent="0.2">
      <c r="A207" s="27"/>
      <c r="B207" s="27"/>
      <c r="C207" s="27"/>
      <c r="D207" s="27"/>
      <c r="E207" s="27"/>
      <c r="F207" s="27"/>
      <c r="G207" s="27"/>
      <c r="H207" s="20"/>
      <c r="I207" s="20"/>
      <c r="J207" s="20"/>
      <c r="K207" s="27"/>
      <c r="L207" s="954"/>
      <c r="M207" s="27"/>
      <c r="N207" s="27"/>
      <c r="O207" s="27"/>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5"/>
      <c r="AK207" s="166"/>
      <c r="AL207" s="166"/>
      <c r="AM207" s="124"/>
      <c r="AN207" s="124"/>
      <c r="AO207" s="124"/>
      <c r="AP207" s="167"/>
      <c r="AQ207" s="167"/>
      <c r="AR207" s="167"/>
      <c r="AS207" s="167"/>
      <c r="AT207" s="167"/>
      <c r="AU207" s="167"/>
      <c r="AV207" s="167"/>
      <c r="AW207" s="167"/>
      <c r="AX207" s="167"/>
      <c r="AY207" s="167"/>
      <c r="AZ207" s="167"/>
      <c r="BA207" s="167"/>
      <c r="BG207" s="164"/>
      <c r="BH207" s="164"/>
      <c r="BI207" s="164"/>
      <c r="BJ207" s="164"/>
      <c r="BK207" s="164"/>
      <c r="BL207" s="164"/>
      <c r="BM207" s="164"/>
      <c r="BN207" s="164"/>
      <c r="BO207" s="164"/>
      <c r="BP207" s="164"/>
      <c r="BQ207" s="164"/>
      <c r="BR207" s="164"/>
      <c r="BS207" s="164"/>
      <c r="BT207" s="164"/>
      <c r="BU207" s="164"/>
      <c r="BV207" s="164"/>
      <c r="BW207" s="164"/>
      <c r="BX207" s="164"/>
      <c r="BY207" s="164"/>
      <c r="BZ207" s="164"/>
      <c r="CA207" s="164"/>
      <c r="CB207" s="164"/>
      <c r="CC207" s="164"/>
      <c r="CD207" s="164"/>
      <c r="CE207" s="164"/>
    </row>
    <row r="208" spans="1:83" x14ac:dyDescent="0.2">
      <c r="A208" s="27"/>
      <c r="B208" s="27"/>
      <c r="C208" s="27"/>
      <c r="D208" s="27"/>
      <c r="E208" s="27"/>
      <c r="F208" s="27"/>
      <c r="G208" s="27"/>
      <c r="H208" s="20"/>
      <c r="I208" s="20"/>
      <c r="J208" s="20"/>
      <c r="K208" s="27"/>
      <c r="L208" s="27"/>
      <c r="M208" s="27"/>
      <c r="N208" s="27"/>
      <c r="O208" s="27"/>
      <c r="P208" s="19"/>
      <c r="Q208" s="19"/>
      <c r="R208" s="19"/>
      <c r="S208" s="19"/>
      <c r="T208" s="19"/>
      <c r="U208" s="19"/>
      <c r="V208" s="19"/>
      <c r="W208" s="19"/>
      <c r="X208" s="19"/>
      <c r="Y208" s="19"/>
      <c r="Z208" s="19"/>
      <c r="AA208" s="19"/>
      <c r="AB208" s="19"/>
      <c r="AC208" s="19"/>
      <c r="AD208" s="19"/>
      <c r="AE208" s="19"/>
      <c r="AF208" s="19"/>
      <c r="AG208" s="19"/>
      <c r="AH208" s="19"/>
      <c r="AI208" s="19"/>
      <c r="AJ208" s="98"/>
      <c r="AK208" s="97"/>
      <c r="AL208" s="97"/>
      <c r="AM208" s="99"/>
      <c r="AN208" s="99"/>
      <c r="AO208" s="99"/>
      <c r="AP208" s="100"/>
      <c r="AQ208" s="100"/>
      <c r="AR208" s="100"/>
      <c r="AS208" s="100"/>
      <c r="AT208" s="100"/>
      <c r="AU208" s="100"/>
      <c r="AV208" s="100"/>
      <c r="AW208" s="100"/>
      <c r="AX208" s="100"/>
      <c r="AY208" s="100"/>
      <c r="AZ208" s="100"/>
      <c r="BA208" s="100"/>
      <c r="BG208" s="154"/>
      <c r="BH208" s="154"/>
      <c r="BI208" s="154"/>
      <c r="BJ208" s="154"/>
      <c r="BK208" s="154"/>
      <c r="BL208" s="154"/>
      <c r="BM208" s="154"/>
      <c r="BN208" s="154"/>
      <c r="BO208" s="154"/>
      <c r="BP208" s="154"/>
      <c r="BQ208" s="154"/>
      <c r="BR208" s="154"/>
      <c r="BS208" s="154"/>
      <c r="BT208" s="154"/>
      <c r="BU208" s="154"/>
      <c r="BV208" s="154"/>
      <c r="BW208" s="154"/>
      <c r="BX208" s="154"/>
      <c r="BY208" s="154"/>
      <c r="BZ208" s="154"/>
      <c r="CA208" s="154"/>
      <c r="CB208" s="154"/>
      <c r="CC208" s="154"/>
      <c r="CD208" s="154"/>
      <c r="CE208" s="154"/>
    </row>
    <row r="209" spans="1:83" ht="60.75" customHeight="1" x14ac:dyDescent="0.25">
      <c r="A209" s="1355" t="s">
        <v>8803</v>
      </c>
      <c r="B209" s="1953" t="str">
        <f ca="1">IF(NOT(R210=""),"Wählbare B/S: "&amp;R210&amp;" ","")&amp;
IF(NOT(R211=""),"Verbilligt wählbare B/S: "&amp;R211,"")</f>
        <v/>
      </c>
      <c r="C209" s="1954"/>
      <c r="D209" s="1954"/>
      <c r="E209" s="1954"/>
      <c r="F209" s="1954"/>
      <c r="G209" s="1955"/>
      <c r="H209" s="383" t="s">
        <v>4152</v>
      </c>
      <c r="I209" s="328" t="s">
        <v>3793</v>
      </c>
      <c r="J209" s="382" t="s">
        <v>4006</v>
      </c>
      <c r="K209" s="1879" t="str">
        <f ca="1">IF(APGUT&lt;0,"Keine AP mehr übrig!",IF(TL_GP_UEBRIG&lt;0,"Keine Start-AP mehr übrig!","▼ Fehlermeldungen ▼  "&amp;"(AP: "&amp;APGUT&amp;")"))</f>
        <v>▼ Fehlermeldungen ▼  (AP: 0)</v>
      </c>
      <c r="L209" s="1879"/>
      <c r="M209" s="522"/>
      <c r="N209" s="134" t="s">
        <v>1783</v>
      </c>
      <c r="O209" s="724"/>
      <c r="P209" s="134" t="s">
        <v>3793</v>
      </c>
      <c r="Q209" s="6"/>
      <c r="R209" s="6" t="s">
        <v>7281</v>
      </c>
      <c r="S209" s="6">
        <v>3</v>
      </c>
      <c r="T209" s="6">
        <v>4</v>
      </c>
      <c r="U209" s="6">
        <v>5</v>
      </c>
      <c r="V209" s="6">
        <v>6</v>
      </c>
      <c r="W209" s="6">
        <v>7</v>
      </c>
      <c r="X209" s="6">
        <v>8</v>
      </c>
      <c r="Y209" s="6">
        <v>9</v>
      </c>
      <c r="Z209" s="6">
        <v>10</v>
      </c>
      <c r="AA209" s="6">
        <v>11</v>
      </c>
      <c r="AB209" s="6">
        <v>12</v>
      </c>
      <c r="AC209" s="6">
        <v>13</v>
      </c>
      <c r="AD209" s="6">
        <v>14</v>
      </c>
      <c r="AE209" s="6">
        <v>15</v>
      </c>
      <c r="AF209" s="6">
        <v>16</v>
      </c>
      <c r="AG209" s="6">
        <v>17</v>
      </c>
      <c r="AH209" s="6">
        <v>18</v>
      </c>
      <c r="AI209" s="6">
        <v>19</v>
      </c>
      <c r="AJ209" s="6">
        <v>20</v>
      </c>
      <c r="AK209" s="6">
        <v>21</v>
      </c>
      <c r="AL209" s="6"/>
      <c r="AM209" s="134" t="s">
        <v>4006</v>
      </c>
      <c r="AN209" s="6"/>
      <c r="AO209" s="6"/>
      <c r="AP209" s="6">
        <v>3</v>
      </c>
      <c r="AQ209" s="6">
        <v>4</v>
      </c>
      <c r="AR209" s="6">
        <v>5</v>
      </c>
      <c r="AS209" s="6">
        <v>6</v>
      </c>
      <c r="AT209" s="6">
        <v>7</v>
      </c>
      <c r="AU209" s="6">
        <v>8</v>
      </c>
      <c r="AV209" s="6">
        <v>9</v>
      </c>
      <c r="AW209" s="6">
        <v>10</v>
      </c>
      <c r="AX209" s="6">
        <v>11</v>
      </c>
      <c r="AY209" s="6">
        <v>12</v>
      </c>
      <c r="AZ209" s="6">
        <v>13</v>
      </c>
      <c r="BA209" s="6">
        <v>14</v>
      </c>
      <c r="BB209" s="6">
        <v>15</v>
      </c>
      <c r="BC209" s="6">
        <v>16</v>
      </c>
      <c r="BD209" s="6">
        <v>17</v>
      </c>
      <c r="BE209" s="6">
        <v>18</v>
      </c>
      <c r="BF209" s="6">
        <v>19</v>
      </c>
      <c r="BG209" s="6">
        <v>20</v>
      </c>
      <c r="BH209" s="72">
        <v>21</v>
      </c>
      <c r="BI209" s="154"/>
      <c r="BJ209" s="154"/>
      <c r="BK209" s="154"/>
      <c r="BL209" s="154"/>
      <c r="BM209" s="154"/>
      <c r="BN209" s="154"/>
      <c r="BO209" s="154"/>
      <c r="BP209" s="154"/>
      <c r="BQ209" s="154"/>
      <c r="BR209" s="154"/>
      <c r="BS209" s="154"/>
      <c r="BT209" s="154"/>
      <c r="BU209" s="154"/>
      <c r="BV209" s="154"/>
      <c r="BW209" s="154"/>
      <c r="BX209" s="154"/>
      <c r="BY209" s="154"/>
      <c r="BZ209" s="154"/>
      <c r="CA209" s="154"/>
      <c r="CB209" s="154"/>
      <c r="CC209" s="154"/>
      <c r="CD209" s="154"/>
      <c r="CE209" s="154"/>
    </row>
    <row r="210" spans="1:83" x14ac:dyDescent="0.2">
      <c r="A210" s="89"/>
      <c r="B210" s="1127"/>
      <c r="C210" s="19"/>
      <c r="D210" s="81"/>
      <c r="E210" s="81"/>
      <c r="F210" s="81"/>
      <c r="G210" s="47"/>
      <c r="H210" s="384"/>
      <c r="I210" s="960"/>
      <c r="J210" s="326"/>
      <c r="K210" s="1739" t="str">
        <f ca="1">IF(SF!$AS$99="X",IF(AND(ISERR(FIND($F$203,VLOOKUP($A210,ZZEICHEN_ALLE,9,FALSE),1)),IF($F$205="",TRUE,ISERR(FIND($F$205,VLOOKUP($A210,ZZEICHEN_ALLE,9,FALSE),1))),NOT(IF(F203="SHAMAN",IF(OR(Goetter!I14="Ach",Goetter!I14="Wdm",Goetter!I14="Utu"),TRUE,FALSE),FALSE))),"Mit dieser RK-Repräsent. nicht erlernbar",""),IF(NOT(AND(ISBLANK($H210),ISBLANK($I210),ISBLANK($J210))),"SF Zauberzeichen aktivieren!",""))</f>
        <v/>
      </c>
      <c r="L210" s="1741"/>
      <c r="M210" s="763"/>
      <c r="N210" s="754">
        <f t="shared" ref="N210:N225" ca="1" si="651">IF(AND(NOT(ISBLANK($H210)),EXACT($K210,""),NOT($A210=""),NOT($B210="X")),ROUND(VLOOKUP($A210,ZZEICHEN_ALLE,12,FALSE)*IF(VT_EIDGED,0.5,IF(VT_GUTGED,0.75,1))*IF(B210="V",0.5,1)*IF(VT_AKADMAG,0.75,1),0),0)</f>
        <v>0</v>
      </c>
      <c r="O210" s="275"/>
      <c r="P210" s="754">
        <f t="shared" ref="P210:P225" ca="1" si="652">IF(AND(NOT(ISBLANK($I210)),EXACT($K210,""),NOT($A210=""),NOT($B210="X")),ROUND(VLOOKUP($A210,ZZEICHEN_ALLE,8,FALSE)*IF(VT_EIDGED,0.5,IF(VT_GUTGED,0.75,1))*IF(B210="V",0.5,1)*IF(VT_AKADMAG,0.75,1),0),0)</f>
        <v>0</v>
      </c>
      <c r="Q210" s="26"/>
      <c r="R210" s="352" t="str">
        <f ca="1">HLOOKUP(RASSEGENE,RASSE,IDX_WBSK,FALSE)&amp;
HLOOKUP(KULTURGENE,KULTUR,IDX_WBSK,FALSE)&amp;
HLOOKUP(PROFGENE,INDIRECT(PROFGEBIET),IDX_WBSK,FALSE)&amp;
IF(LEN(PROFZWEITE)&lt;1,"",
IF(HLOOKUP(PROFZWEITE,INDIRECT(PROFGEBIET2),IDX_WBSK,FALSE)="","",CHAR(10)&amp;"; Wählbares aus 2.Profession, zu berücksichtigen bei Steigerungsmöglichkeiten: "&amp;HLOOKUP(PROFZWEITE,INDIRECT(PROFGEBIET2),IDX_WBSK,FALSE)))</f>
        <v/>
      </c>
      <c r="S210" s="26"/>
      <c r="T210" s="26"/>
      <c r="U210" s="26"/>
      <c r="V210" s="26"/>
      <c r="W210" s="26"/>
      <c r="X210" s="26"/>
      <c r="Y210" s="26"/>
      <c r="Z210" s="26"/>
      <c r="AA210" s="26"/>
      <c r="AB210" s="26"/>
      <c r="AC210" s="26"/>
      <c r="AD210" s="26"/>
      <c r="AE210" s="26"/>
      <c r="AF210" s="26"/>
      <c r="AG210" s="26"/>
      <c r="AH210" s="26"/>
      <c r="AI210" s="26"/>
      <c r="AJ210" s="766"/>
      <c r="AK210" s="767"/>
      <c r="AL210" s="26"/>
      <c r="AM210" s="754">
        <f t="shared" ref="AM210:AM225" ca="1" si="653">IF(AND(NOT(ISBLANK($J210)),EXACT($K210,""),NOT($A210=""),NOT($B210="X")),ROUND(VLOOKUP($A210,ZZEICHEN_ALLE,8,FALSE)*IF(VT_EIDGED,0.5,IF(VT_GUTGED,0.75,1))*IF(B210="V",0.5,1)*IF(VT_AKADMAG,0.75,1),0),0)</f>
        <v>0</v>
      </c>
      <c r="AN210" s="764"/>
      <c r="AO210" s="764"/>
      <c r="AP210" s="760"/>
      <c r="AQ210" s="760"/>
      <c r="AR210" s="760"/>
      <c r="AS210" s="760"/>
      <c r="AT210" s="760"/>
      <c r="AU210" s="760"/>
      <c r="AV210" s="760"/>
      <c r="AW210" s="760"/>
      <c r="AX210" s="760"/>
      <c r="AY210" s="760"/>
      <c r="AZ210" s="760"/>
      <c r="BA210" s="760"/>
      <c r="BB210" s="305"/>
      <c r="BC210" s="305"/>
      <c r="BD210" s="305"/>
      <c r="BE210" s="305"/>
      <c r="BF210" s="305"/>
      <c r="BG210" s="305"/>
      <c r="BH210" s="305"/>
      <c r="BI210" s="154"/>
      <c r="BJ210" s="154"/>
      <c r="BK210" s="154"/>
      <c r="BL210" s="154"/>
      <c r="BM210" s="154"/>
      <c r="BN210" s="154"/>
      <c r="BO210" s="154"/>
      <c r="BP210" s="154"/>
      <c r="BQ210" s="154"/>
      <c r="BR210" s="154"/>
      <c r="BS210" s="154"/>
      <c r="BT210" s="154"/>
      <c r="BU210" s="154"/>
      <c r="BV210" s="154"/>
      <c r="BW210" s="154"/>
      <c r="BX210" s="154"/>
      <c r="BY210" s="154"/>
      <c r="BZ210" s="154"/>
      <c r="CA210" s="154"/>
      <c r="CB210" s="154"/>
      <c r="CC210" s="154"/>
      <c r="CD210" s="154"/>
      <c r="CE210" s="154"/>
    </row>
    <row r="211" spans="1:83" x14ac:dyDescent="0.2">
      <c r="A211" s="89"/>
      <c r="B211" s="1127"/>
      <c r="C211" s="19"/>
      <c r="D211" s="81"/>
      <c r="E211" s="81"/>
      <c r="F211" s="81"/>
      <c r="G211" s="47"/>
      <c r="H211" s="384"/>
      <c r="I211" s="960"/>
      <c r="J211" s="326"/>
      <c r="K211" s="1739" t="str">
        <f ca="1">IF(SF!$AS$99="X",IF(AND(ISERR(FIND($F$203,VLOOKUP($A211,ZZEICHEN_ALLE,9,FALSE),1)),IF($F$205="",TRUE,ISERR(FIND($F$205,VLOOKUP($A211,ZZEICHEN_ALLE,9,FALSE),1)))),"Mit dieser RK-Repräsent. nicht erlernbar",""),IF(NOT(AND(ISBLANK($H211),ISBLANK($I211),ISBLANK($J211))),"SF Zauberzeichen aktivieren!",""))</f>
        <v/>
      </c>
      <c r="L211" s="1741"/>
      <c r="M211" s="763"/>
      <c r="N211" s="754">
        <f t="shared" ca="1" si="651"/>
        <v>0</v>
      </c>
      <c r="O211" s="26"/>
      <c r="P211" s="754">
        <f t="shared" ca="1" si="652"/>
        <v>0</v>
      </c>
      <c r="Q211" s="26"/>
      <c r="R211" s="352" t="str">
        <f ca="1">HLOOKUP(RASSEGENE,RASSE,IDX_WVBSK,FALSE)&amp;
HLOOKUP(KULTURGENE,KULTUR,IDX_WVBSK,FALSE)&amp;
HLOOKUP(PROFGENE,INDIRECT(PROFGEBIET),IDX_WVBSK,FALSE)&amp;
IF(LEN(PROFZWEITE)&lt;1,"",
IF(HLOOKUP(PROFZWEITE,INDIRECT(PROFGEBIET2),IDX_WVBSK,FALSE)="","",CHAR(10)&amp;"; Wählbares aus 2.Profession, zu berücksichtigen bei Steigerungsmöglichkeiten: "&amp;HLOOKUP(PROFZWEITE,INDIRECT(PROFGEBIET2),IDX_WVBSK,FALSE)))</f>
        <v/>
      </c>
      <c r="S211" s="26"/>
      <c r="T211" s="26"/>
      <c r="U211" s="26"/>
      <c r="V211" s="26"/>
      <c r="W211" s="26"/>
      <c r="X211" s="26"/>
      <c r="Y211" s="26"/>
      <c r="Z211" s="26"/>
      <c r="AA211" s="26"/>
      <c r="AB211" s="26"/>
      <c r="AC211" s="26"/>
      <c r="AD211" s="26"/>
      <c r="AE211" s="26"/>
      <c r="AF211" s="26"/>
      <c r="AG211" s="26"/>
      <c r="AH211" s="26"/>
      <c r="AI211" s="26"/>
      <c r="AJ211" s="766"/>
      <c r="AK211" s="767"/>
      <c r="AL211" s="26"/>
      <c r="AM211" s="754">
        <f t="shared" ca="1" si="653"/>
        <v>0</v>
      </c>
      <c r="AN211" s="764"/>
      <c r="AO211" s="764"/>
      <c r="AP211" s="760"/>
      <c r="AQ211" s="760"/>
      <c r="AR211" s="760"/>
      <c r="AS211" s="760"/>
      <c r="AT211" s="760"/>
      <c r="AU211" s="760"/>
      <c r="AV211" s="760"/>
      <c r="AW211" s="760"/>
      <c r="AX211" s="760"/>
      <c r="AY211" s="760"/>
      <c r="AZ211" s="760"/>
      <c r="BA211" s="760"/>
      <c r="BB211" s="305"/>
      <c r="BC211" s="305"/>
      <c r="BD211" s="305"/>
      <c r="BE211" s="305"/>
      <c r="BF211" s="305"/>
      <c r="BG211" s="305"/>
      <c r="BH211" s="305"/>
      <c r="BI211" s="154"/>
      <c r="BJ211" s="154"/>
      <c r="BK211" s="154"/>
      <c r="BL211" s="154"/>
      <c r="BM211" s="154"/>
      <c r="BN211" s="154"/>
      <c r="BO211" s="154"/>
      <c r="BP211" s="154"/>
      <c r="BQ211" s="154"/>
      <c r="BR211" s="154"/>
      <c r="BS211" s="154"/>
      <c r="BT211" s="154"/>
      <c r="BU211" s="154"/>
      <c r="BV211" s="154"/>
      <c r="BW211" s="154"/>
      <c r="BX211" s="154"/>
      <c r="BY211" s="154"/>
      <c r="BZ211" s="154"/>
      <c r="CA211" s="154"/>
      <c r="CB211" s="154"/>
      <c r="CC211" s="154"/>
      <c r="CD211" s="154"/>
      <c r="CE211" s="154"/>
    </row>
    <row r="212" spans="1:83" x14ac:dyDescent="0.2">
      <c r="A212" s="89"/>
      <c r="B212" s="1127"/>
      <c r="C212" s="19"/>
      <c r="D212" s="81"/>
      <c r="E212" s="81"/>
      <c r="F212" s="81"/>
      <c r="G212" s="47"/>
      <c r="H212" s="384"/>
      <c r="I212" s="960"/>
      <c r="J212" s="326"/>
      <c r="K212" s="1739" t="str">
        <f ca="1">IF(SF!$AS$99="X",IF(AND(ISERR(FIND($F$203,VLOOKUP($A212,ZZEICHEN_ALLE,9,FALSE),1)),IF($F$205="",TRUE,ISERR(FIND($F$205,VLOOKUP($A212,ZZEICHEN_ALLE,9,FALSE),1)))),"Mit dieser RK-Repräsent. nicht erlernbar",""),IF(NOT(AND(ISBLANK($H212),ISBLANK($I212),ISBLANK($J212))),"SF Zauberzeichen aktivieren!",""))</f>
        <v/>
      </c>
      <c r="L212" s="1741"/>
      <c r="M212" s="763"/>
      <c r="N212" s="754">
        <f t="shared" ca="1" si="651"/>
        <v>0</v>
      </c>
      <c r="O212" s="26"/>
      <c r="P212" s="754">
        <f t="shared" ca="1" si="652"/>
        <v>0</v>
      </c>
      <c r="Q212" s="26"/>
      <c r="R212" s="26"/>
      <c r="S212" s="26"/>
      <c r="T212" s="26"/>
      <c r="U212" s="26"/>
      <c r="V212" s="26"/>
      <c r="W212" s="26"/>
      <c r="X212" s="26"/>
      <c r="Y212" s="26"/>
      <c r="Z212" s="26"/>
      <c r="AA212" s="26"/>
      <c r="AB212" s="26"/>
      <c r="AC212" s="26"/>
      <c r="AD212" s="26"/>
      <c r="AE212" s="26"/>
      <c r="AF212" s="26"/>
      <c r="AG212" s="26"/>
      <c r="AH212" s="26"/>
      <c r="AI212" s="26"/>
      <c r="AJ212" s="766"/>
      <c r="AK212" s="767"/>
      <c r="AL212" s="26"/>
      <c r="AM212" s="754">
        <f t="shared" ca="1" si="653"/>
        <v>0</v>
      </c>
      <c r="AN212" s="764"/>
      <c r="AO212" s="764"/>
      <c r="AP212" s="760"/>
      <c r="AQ212" s="760"/>
      <c r="AR212" s="760"/>
      <c r="AS212" s="760"/>
      <c r="AT212" s="760"/>
      <c r="AU212" s="760"/>
      <c r="AV212" s="760"/>
      <c r="AW212" s="760"/>
      <c r="AX212" s="760"/>
      <c r="AY212" s="760"/>
      <c r="AZ212" s="760"/>
      <c r="BA212" s="760"/>
      <c r="BB212" s="305"/>
      <c r="BC212" s="305"/>
      <c r="BD212" s="305"/>
      <c r="BE212" s="305"/>
      <c r="BF212" s="305"/>
      <c r="BG212" s="305"/>
      <c r="BH212" s="305"/>
      <c r="BI212" s="154"/>
      <c r="BJ212" s="154"/>
      <c r="BK212" s="154"/>
      <c r="BL212" s="154"/>
      <c r="BM212" s="154"/>
      <c r="BN212" s="154"/>
      <c r="BO212" s="154"/>
      <c r="BP212" s="154"/>
      <c r="BQ212" s="154"/>
      <c r="BR212" s="154"/>
      <c r="BS212" s="154"/>
      <c r="BT212" s="154"/>
      <c r="BU212" s="154"/>
      <c r="BV212" s="154"/>
      <c r="BW212" s="154"/>
      <c r="BX212" s="154"/>
      <c r="BY212" s="154"/>
      <c r="BZ212" s="154"/>
      <c r="CA212" s="154"/>
      <c r="CB212" s="154"/>
      <c r="CC212" s="154"/>
      <c r="CD212" s="154"/>
      <c r="CE212" s="154"/>
    </row>
    <row r="213" spans="1:83" x14ac:dyDescent="0.2">
      <c r="A213" s="89"/>
      <c r="B213" s="1127"/>
      <c r="C213" s="19"/>
      <c r="D213" s="81"/>
      <c r="E213" s="81"/>
      <c r="F213" s="81"/>
      <c r="G213" s="47"/>
      <c r="H213" s="384"/>
      <c r="I213" s="960"/>
      <c r="J213" s="326"/>
      <c r="K213" s="1739" t="str">
        <f ca="1">IF(SF!$AS$99="X",IF(AND(ISERR(FIND($F$203,VLOOKUP($A213,ZZEICHEN_ALLE,9,FALSE),1)),IF($F$205="",TRUE,ISERR(FIND($F$205,VLOOKUP($A213,ZZEICHEN_ALLE,9,FALSE),1)))),"Mit dieser RK-Repräsent. nicht erlernbar",""),IF(NOT(AND(ISBLANK($H213),ISBLANK($I213),ISBLANK($J213))),"SF Zauberzeichen aktivieren!",""))</f>
        <v/>
      </c>
      <c r="L213" s="1741"/>
      <c r="M213" s="763"/>
      <c r="N213" s="754">
        <f t="shared" ca="1" si="651"/>
        <v>0</v>
      </c>
      <c r="O213" s="26"/>
      <c r="P213" s="754">
        <f t="shared" ca="1" si="652"/>
        <v>0</v>
      </c>
      <c r="Q213" s="26"/>
      <c r="R213" s="26"/>
      <c r="S213" s="26"/>
      <c r="T213" s="26"/>
      <c r="U213" s="26"/>
      <c r="V213" s="26"/>
      <c r="W213" s="26"/>
      <c r="X213" s="26"/>
      <c r="Y213" s="26"/>
      <c r="Z213" s="26"/>
      <c r="AA213" s="26"/>
      <c r="AB213" s="26"/>
      <c r="AC213" s="26"/>
      <c r="AD213" s="26"/>
      <c r="AE213" s="26"/>
      <c r="AF213" s="26"/>
      <c r="AG213" s="26"/>
      <c r="AH213" s="26"/>
      <c r="AI213" s="26"/>
      <c r="AJ213" s="766"/>
      <c r="AK213" s="767"/>
      <c r="AL213" s="26"/>
      <c r="AM213" s="754">
        <f t="shared" ca="1" si="653"/>
        <v>0</v>
      </c>
      <c r="AN213" s="764"/>
      <c r="AO213" s="764"/>
      <c r="AP213" s="760"/>
      <c r="AQ213" s="760"/>
      <c r="AR213" s="760"/>
      <c r="AS213" s="760"/>
      <c r="AT213" s="760"/>
      <c r="AU213" s="760"/>
      <c r="AV213" s="760"/>
      <c r="AW213" s="760"/>
      <c r="AX213" s="760"/>
      <c r="AY213" s="760"/>
      <c r="AZ213" s="760"/>
      <c r="BA213" s="760"/>
      <c r="BB213" s="305"/>
      <c r="BC213" s="305"/>
      <c r="BD213" s="305"/>
      <c r="BE213" s="305"/>
      <c r="BF213" s="305"/>
      <c r="BG213" s="305"/>
      <c r="BH213" s="305"/>
      <c r="BI213" s="154"/>
      <c r="BJ213" s="154"/>
      <c r="BK213" s="154"/>
      <c r="BL213" s="154"/>
      <c r="BM213" s="154"/>
      <c r="BN213" s="154"/>
      <c r="BO213" s="154"/>
      <c r="BP213" s="154"/>
      <c r="BQ213" s="154"/>
      <c r="BR213" s="154"/>
      <c r="BS213" s="154"/>
      <c r="BT213" s="154"/>
      <c r="BU213" s="154"/>
      <c r="BV213" s="154"/>
      <c r="BW213" s="154"/>
      <c r="BX213" s="154"/>
      <c r="BY213" s="154"/>
      <c r="BZ213" s="154"/>
      <c r="CA213" s="154"/>
      <c r="CB213" s="154"/>
      <c r="CC213" s="154"/>
      <c r="CD213" s="154"/>
      <c r="CE213" s="154"/>
    </row>
    <row r="214" spans="1:83" x14ac:dyDescent="0.2">
      <c r="A214" s="89"/>
      <c r="B214" s="1127"/>
      <c r="C214" s="19"/>
      <c r="D214" s="81"/>
      <c r="E214" s="81"/>
      <c r="F214" s="81"/>
      <c r="G214" s="47"/>
      <c r="H214" s="384"/>
      <c r="I214" s="960"/>
      <c r="J214" s="326"/>
      <c r="K214" s="1739" t="str">
        <f ca="1">IF(SF!$AS$99="X",IF(AND(ISERR(FIND($F$203,VLOOKUP($A214,ZZEICHEN_ALLE,9,FALSE),1)),IF($F$205="",TRUE,ISERR(FIND($F$205,VLOOKUP($A214,ZZEICHEN_ALLE,9,FALSE),1)))),"Mit dieser RK-Repräsent. nicht erlernbar",""),IF(NOT(AND(ISBLANK($H214),ISBLANK($I214),ISBLANK($J214))),"SF Zauberzeichen aktivieren!",""))</f>
        <v/>
      </c>
      <c r="L214" s="1741"/>
      <c r="M214" s="763"/>
      <c r="N214" s="754">
        <f t="shared" ca="1" si="651"/>
        <v>0</v>
      </c>
      <c r="O214" s="26"/>
      <c r="P214" s="754">
        <f t="shared" ca="1" si="652"/>
        <v>0</v>
      </c>
      <c r="Q214" s="26"/>
      <c r="R214" s="26"/>
      <c r="S214" s="26"/>
      <c r="T214" s="26"/>
      <c r="U214" s="26"/>
      <c r="V214" s="26"/>
      <c r="W214" s="26"/>
      <c r="X214" s="26"/>
      <c r="Y214" s="26"/>
      <c r="Z214" s="26"/>
      <c r="AA214" s="26"/>
      <c r="AB214" s="26"/>
      <c r="AC214" s="26"/>
      <c r="AD214" s="26"/>
      <c r="AE214" s="26"/>
      <c r="AF214" s="26"/>
      <c r="AG214" s="26"/>
      <c r="AH214" s="26"/>
      <c r="AI214" s="26"/>
      <c r="AJ214" s="766"/>
      <c r="AK214" s="767"/>
      <c r="AL214" s="26"/>
      <c r="AM214" s="754">
        <f t="shared" ca="1" si="653"/>
        <v>0</v>
      </c>
      <c r="AN214" s="764"/>
      <c r="AO214" s="764"/>
      <c r="AP214" s="760"/>
      <c r="AQ214" s="760"/>
      <c r="AR214" s="760"/>
      <c r="AS214" s="760"/>
      <c r="AT214" s="760"/>
      <c r="AU214" s="760"/>
      <c r="AV214" s="760"/>
      <c r="AW214" s="760"/>
      <c r="AX214" s="760"/>
      <c r="AY214" s="760"/>
      <c r="AZ214" s="760"/>
      <c r="BA214" s="760"/>
      <c r="BB214" s="305"/>
      <c r="BC214" s="305"/>
      <c r="BD214" s="305"/>
      <c r="BE214" s="305"/>
      <c r="BF214" s="305"/>
      <c r="BG214" s="305"/>
      <c r="BH214" s="305"/>
      <c r="BI214" s="154"/>
      <c r="BJ214" s="154"/>
      <c r="BK214" s="154"/>
      <c r="BL214" s="154"/>
      <c r="BM214" s="154"/>
      <c r="BN214" s="154"/>
      <c r="BO214" s="154"/>
      <c r="BP214" s="154"/>
      <c r="BQ214" s="154"/>
      <c r="BR214" s="154"/>
      <c r="BS214" s="154"/>
      <c r="BT214" s="154"/>
      <c r="BU214" s="154"/>
      <c r="BV214" s="154"/>
      <c r="BW214" s="154"/>
      <c r="BX214" s="154"/>
      <c r="BY214" s="154"/>
      <c r="BZ214" s="154"/>
      <c r="CA214" s="154"/>
      <c r="CB214" s="154"/>
      <c r="CC214" s="154"/>
      <c r="CD214" s="154"/>
      <c r="CE214" s="154"/>
    </row>
    <row r="215" spans="1:83" x14ac:dyDescent="0.2">
      <c r="A215" s="89"/>
      <c r="B215" s="1127"/>
      <c r="C215" s="19"/>
      <c r="D215" s="81"/>
      <c r="E215" s="81"/>
      <c r="F215" s="81"/>
      <c r="G215" s="47"/>
      <c r="H215" s="384"/>
      <c r="I215" s="960"/>
      <c r="J215" s="326"/>
      <c r="K215" s="1739" t="str">
        <f ca="1">IF(SF!$AS$99="X",IF(AND(ISERR(FIND($F$203,VLOOKUP($A215,ZZEICHEN_ALLE,9,FALSE),1)),IF($F$205="",TRUE,ISERR(FIND($F$205,VLOOKUP($A215,ZZEICHEN_ALLE,9,FALSE),1)))),"Mit dieser RK-Repräsent. nicht erlernbar",""),IF(NOT(AND(ISBLANK($H215),ISBLANK($I215),ISBLANK($J215))),"SF Zauberzeichen aktivieren!",""))</f>
        <v/>
      </c>
      <c r="L215" s="1741"/>
      <c r="M215" s="763"/>
      <c r="N215" s="754">
        <f t="shared" ca="1" si="651"/>
        <v>0</v>
      </c>
      <c r="O215" s="26"/>
      <c r="P215" s="754">
        <f t="shared" ca="1" si="652"/>
        <v>0</v>
      </c>
      <c r="Q215" s="26"/>
      <c r="R215" s="26"/>
      <c r="S215" s="26"/>
      <c r="T215" s="26"/>
      <c r="U215" s="26"/>
      <c r="V215" s="26"/>
      <c r="W215" s="26"/>
      <c r="X215" s="26"/>
      <c r="Y215" s="26"/>
      <c r="Z215" s="26"/>
      <c r="AA215" s="26"/>
      <c r="AB215" s="26"/>
      <c r="AC215" s="26"/>
      <c r="AD215" s="26"/>
      <c r="AE215" s="26"/>
      <c r="AF215" s="26"/>
      <c r="AG215" s="26"/>
      <c r="AH215" s="26"/>
      <c r="AI215" s="26"/>
      <c r="AJ215" s="766"/>
      <c r="AK215" s="767"/>
      <c r="AL215" s="26"/>
      <c r="AM215" s="754">
        <f t="shared" ca="1" si="653"/>
        <v>0</v>
      </c>
      <c r="AN215" s="764"/>
      <c r="AO215" s="764"/>
      <c r="AP215" s="760"/>
      <c r="AQ215" s="760"/>
      <c r="AR215" s="760"/>
      <c r="AS215" s="760"/>
      <c r="AT215" s="760"/>
      <c r="AU215" s="760"/>
      <c r="AV215" s="760"/>
      <c r="AW215" s="760"/>
      <c r="AX215" s="760"/>
      <c r="AY215" s="760"/>
      <c r="AZ215" s="760"/>
      <c r="BA215" s="760"/>
      <c r="BB215" s="305"/>
      <c r="BC215" s="305"/>
      <c r="BD215" s="305"/>
      <c r="BE215" s="305"/>
      <c r="BF215" s="305"/>
      <c r="BG215" s="305"/>
      <c r="BH215" s="305"/>
      <c r="BI215" s="154"/>
      <c r="BJ215" s="154"/>
      <c r="BK215" s="154"/>
      <c r="BL215" s="154"/>
      <c r="BM215" s="154"/>
      <c r="BN215" s="154"/>
      <c r="BO215" s="154"/>
      <c r="BP215" s="154"/>
      <c r="BQ215" s="154"/>
      <c r="BR215" s="154"/>
      <c r="BS215" s="154"/>
      <c r="BT215" s="154"/>
      <c r="BU215" s="154"/>
      <c r="BV215" s="154"/>
      <c r="BW215" s="154"/>
      <c r="BX215" s="154"/>
      <c r="BY215" s="154"/>
      <c r="BZ215" s="154"/>
      <c r="CA215" s="154"/>
      <c r="CB215" s="154"/>
      <c r="CC215" s="154"/>
      <c r="CD215" s="154"/>
      <c r="CE215" s="154"/>
    </row>
    <row r="216" spans="1:83" x14ac:dyDescent="0.2">
      <c r="A216" s="89"/>
      <c r="B216" s="1127"/>
      <c r="C216" s="19"/>
      <c r="D216" s="81"/>
      <c r="E216" s="81"/>
      <c r="F216" s="81"/>
      <c r="G216" s="47"/>
      <c r="H216" s="384"/>
      <c r="I216" s="960"/>
      <c r="J216" s="326"/>
      <c r="K216" s="1739" t="str">
        <f ca="1">IF(SF!$AS$99="X",IF(AND(ISERR(FIND($F$203,VLOOKUP($A216,ZZEICHEN_ALLE,9,FALSE),1)),IF($F$205="",TRUE,ISERR(FIND($F$205,VLOOKUP($A216,ZZEICHEN_ALLE,9,FALSE),1)))),"Mit dieser RK-Repräsent. nicht erlernbar",""),IF(NOT(AND(ISBLANK($H216),ISBLANK($I216),ISBLANK($J216))),"SF Zauberzeichen aktivieren!",""))</f>
        <v/>
      </c>
      <c r="L216" s="1741"/>
      <c r="M216" s="763"/>
      <c r="N216" s="754">
        <f t="shared" ca="1" si="651"/>
        <v>0</v>
      </c>
      <c r="O216" s="26"/>
      <c r="P216" s="754">
        <f t="shared" ca="1" si="652"/>
        <v>0</v>
      </c>
      <c r="Q216" s="26"/>
      <c r="R216" s="26"/>
      <c r="S216" s="26"/>
      <c r="T216" s="26"/>
      <c r="U216" s="26"/>
      <c r="V216" s="26"/>
      <c r="W216" s="26"/>
      <c r="X216" s="26"/>
      <c r="Y216" s="26"/>
      <c r="Z216" s="26"/>
      <c r="AA216" s="26"/>
      <c r="AB216" s="26"/>
      <c r="AC216" s="26"/>
      <c r="AD216" s="26"/>
      <c r="AE216" s="26"/>
      <c r="AF216" s="26"/>
      <c r="AG216" s="26"/>
      <c r="AH216" s="26"/>
      <c r="AI216" s="26"/>
      <c r="AJ216" s="766"/>
      <c r="AK216" s="767"/>
      <c r="AL216" s="26"/>
      <c r="AM216" s="754">
        <f t="shared" ca="1" si="653"/>
        <v>0</v>
      </c>
      <c r="AN216" s="764"/>
      <c r="AO216" s="764"/>
      <c r="AP216" s="760"/>
      <c r="AQ216" s="760"/>
      <c r="AR216" s="760"/>
      <c r="AS216" s="760"/>
      <c r="AT216" s="760"/>
      <c r="AU216" s="760"/>
      <c r="AV216" s="760"/>
      <c r="AW216" s="760"/>
      <c r="AX216" s="760"/>
      <c r="AY216" s="760"/>
      <c r="AZ216" s="760"/>
      <c r="BA216" s="760"/>
      <c r="BB216" s="305"/>
      <c r="BC216" s="305"/>
      <c r="BD216" s="305"/>
      <c r="BE216" s="305"/>
      <c r="BF216" s="305"/>
      <c r="BG216" s="305"/>
      <c r="BH216" s="305"/>
      <c r="BI216" s="154"/>
      <c r="BJ216" s="154"/>
      <c r="BK216" s="154"/>
      <c r="BL216" s="154"/>
      <c r="BM216" s="154"/>
      <c r="BN216" s="154"/>
      <c r="BO216" s="154"/>
      <c r="BP216" s="154"/>
      <c r="BQ216" s="154"/>
      <c r="BR216" s="154"/>
      <c r="BS216" s="154"/>
      <c r="BT216" s="154"/>
      <c r="BU216" s="154"/>
      <c r="BV216" s="154"/>
      <c r="BW216" s="154"/>
      <c r="BX216" s="154"/>
      <c r="BY216" s="154"/>
      <c r="BZ216" s="154"/>
      <c r="CA216" s="154"/>
      <c r="CB216" s="154"/>
      <c r="CC216" s="154"/>
      <c r="CD216" s="154"/>
      <c r="CE216" s="154"/>
    </row>
    <row r="217" spans="1:83" x14ac:dyDescent="0.2">
      <c r="A217" s="89"/>
      <c r="B217" s="1127"/>
      <c r="C217" s="19"/>
      <c r="D217" s="81"/>
      <c r="E217" s="81"/>
      <c r="F217" s="81"/>
      <c r="G217" s="47"/>
      <c r="H217" s="384"/>
      <c r="I217" s="960"/>
      <c r="J217" s="326"/>
      <c r="K217" s="1739" t="str">
        <f ca="1">IF(SF!$AS$99="X",IF(AND(ISERR(FIND($F$203,VLOOKUP($A217,ZZEICHEN_ALLE,9,FALSE),1)),IF($F$205="",TRUE,ISERR(FIND($F$205,VLOOKUP($A217,ZZEICHEN_ALLE,9,FALSE),1)))),"Mit dieser RK-Repräsent. nicht erlernbar",""),IF(NOT(AND(ISBLANK($H217),ISBLANK($I217),ISBLANK($J217))),"SF Zauberzeichen aktivieren!",""))</f>
        <v/>
      </c>
      <c r="L217" s="1741"/>
      <c r="M217" s="763"/>
      <c r="N217" s="754">
        <f t="shared" ca="1" si="651"/>
        <v>0</v>
      </c>
      <c r="O217" s="26"/>
      <c r="P217" s="754">
        <f t="shared" ca="1" si="652"/>
        <v>0</v>
      </c>
      <c r="Q217" s="26"/>
      <c r="R217" s="26"/>
      <c r="S217" s="26"/>
      <c r="T217" s="26"/>
      <c r="U217" s="26"/>
      <c r="V217" s="26"/>
      <c r="W217" s="26"/>
      <c r="X217" s="26"/>
      <c r="Y217" s="26"/>
      <c r="Z217" s="26"/>
      <c r="AA217" s="26"/>
      <c r="AB217" s="26"/>
      <c r="AC217" s="26"/>
      <c r="AD217" s="26"/>
      <c r="AE217" s="26"/>
      <c r="AF217" s="26"/>
      <c r="AG217" s="26"/>
      <c r="AH217" s="26"/>
      <c r="AI217" s="26"/>
      <c r="AJ217" s="766"/>
      <c r="AK217" s="767"/>
      <c r="AL217" s="26"/>
      <c r="AM217" s="754">
        <f t="shared" ca="1" si="653"/>
        <v>0</v>
      </c>
      <c r="AN217" s="764"/>
      <c r="AO217" s="764"/>
      <c r="AP217" s="760"/>
      <c r="AQ217" s="760"/>
      <c r="AR217" s="760"/>
      <c r="AS217" s="760"/>
      <c r="AT217" s="760"/>
      <c r="AU217" s="760"/>
      <c r="AV217" s="760"/>
      <c r="AW217" s="760"/>
      <c r="AX217" s="760"/>
      <c r="AY217" s="760"/>
      <c r="AZ217" s="760"/>
      <c r="BA217" s="760"/>
      <c r="BB217" s="305"/>
      <c r="BC217" s="305"/>
      <c r="BD217" s="305"/>
      <c r="BE217" s="305"/>
      <c r="BF217" s="305"/>
      <c r="BG217" s="305"/>
      <c r="BH217" s="305"/>
      <c r="BI217" s="154"/>
      <c r="BJ217" s="154"/>
      <c r="BK217" s="154"/>
      <c r="BL217" s="154"/>
      <c r="BM217" s="154"/>
      <c r="BN217" s="154"/>
      <c r="BO217" s="154"/>
      <c r="BP217" s="154"/>
      <c r="BQ217" s="154"/>
      <c r="BR217" s="154"/>
      <c r="BS217" s="154"/>
      <c r="BT217" s="154"/>
      <c r="BU217" s="154"/>
      <c r="BV217" s="154"/>
      <c r="BW217" s="154"/>
      <c r="BX217" s="154"/>
      <c r="BY217" s="154"/>
      <c r="BZ217" s="154"/>
      <c r="CA217" s="154"/>
      <c r="CB217" s="154"/>
      <c r="CC217" s="154"/>
      <c r="CD217" s="154"/>
      <c r="CE217" s="154"/>
    </row>
    <row r="218" spans="1:83" x14ac:dyDescent="0.2">
      <c r="A218" s="89"/>
      <c r="B218" s="1127"/>
      <c r="C218" s="19"/>
      <c r="D218" s="81"/>
      <c r="E218" s="81"/>
      <c r="F218" s="81"/>
      <c r="G218" s="47"/>
      <c r="H218" s="384"/>
      <c r="I218" s="960"/>
      <c r="J218" s="326"/>
      <c r="K218" s="1739" t="str">
        <f ca="1">IF(SF!$AS$99="X",IF(AND(ISERR(FIND($F$203,VLOOKUP($A218,ZZEICHEN_ALLE,9,FALSE),1)),IF($F$205="",TRUE,ISERR(FIND($F$205,VLOOKUP($A218,ZZEICHEN_ALLE,9,FALSE),1)))),"Mit dieser RK-Repräsent. nicht erlernbar",""),IF(NOT(AND(ISBLANK($H218),ISBLANK($I218),ISBLANK($J218))),"SF Zauberzeichen aktivieren!",""))</f>
        <v/>
      </c>
      <c r="L218" s="1741"/>
      <c r="M218" s="763"/>
      <c r="N218" s="754">
        <f t="shared" ca="1" si="651"/>
        <v>0</v>
      </c>
      <c r="O218" s="26"/>
      <c r="P218" s="754">
        <f t="shared" ca="1" si="652"/>
        <v>0</v>
      </c>
      <c r="Q218" s="26"/>
      <c r="R218" s="26"/>
      <c r="S218" s="26"/>
      <c r="T218" s="26"/>
      <c r="U218" s="26"/>
      <c r="V218" s="26"/>
      <c r="W218" s="26"/>
      <c r="X218" s="26"/>
      <c r="Y218" s="26"/>
      <c r="Z218" s="26"/>
      <c r="AA218" s="26"/>
      <c r="AB218" s="26"/>
      <c r="AC218" s="26"/>
      <c r="AD218" s="26"/>
      <c r="AE218" s="26"/>
      <c r="AF218" s="26"/>
      <c r="AG218" s="26"/>
      <c r="AH218" s="26"/>
      <c r="AI218" s="26"/>
      <c r="AJ218" s="766"/>
      <c r="AK218" s="767"/>
      <c r="AL218" s="26"/>
      <c r="AM218" s="754">
        <f t="shared" ca="1" si="653"/>
        <v>0</v>
      </c>
      <c r="AN218" s="764"/>
      <c r="AO218" s="764"/>
      <c r="AP218" s="760"/>
      <c r="AQ218" s="760"/>
      <c r="AR218" s="760"/>
      <c r="AS218" s="760"/>
      <c r="AT218" s="760"/>
      <c r="AU218" s="760"/>
      <c r="AV218" s="760"/>
      <c r="AW218" s="760"/>
      <c r="AX218" s="760"/>
      <c r="AY218" s="760"/>
      <c r="AZ218" s="760"/>
      <c r="BA218" s="760"/>
      <c r="BB218" s="305"/>
      <c r="BC218" s="305"/>
      <c r="BD218" s="305"/>
      <c r="BE218" s="305"/>
      <c r="BF218" s="305"/>
      <c r="BG218" s="305"/>
      <c r="BH218" s="305"/>
      <c r="BI218" s="154"/>
      <c r="BJ218" s="154"/>
      <c r="BK218" s="154"/>
      <c r="BL218" s="154"/>
      <c r="BM218" s="154"/>
      <c r="BN218" s="154"/>
      <c r="BO218" s="154"/>
      <c r="BP218" s="154"/>
      <c r="BQ218" s="154"/>
      <c r="BR218" s="154"/>
      <c r="BS218" s="154"/>
      <c r="BT218" s="154"/>
      <c r="BU218" s="154"/>
      <c r="BV218" s="154"/>
      <c r="BW218" s="154"/>
      <c r="BX218" s="154"/>
      <c r="BY218" s="154"/>
      <c r="BZ218" s="154"/>
      <c r="CA218" s="154"/>
      <c r="CB218" s="154"/>
      <c r="CC218" s="154"/>
      <c r="CD218" s="154"/>
      <c r="CE218" s="154"/>
    </row>
    <row r="219" spans="1:83" x14ac:dyDescent="0.2">
      <c r="A219" s="89"/>
      <c r="B219" s="1127"/>
      <c r="C219" s="19"/>
      <c r="D219" s="81"/>
      <c r="E219" s="81"/>
      <c r="F219" s="81"/>
      <c r="G219" s="47"/>
      <c r="H219" s="384"/>
      <c r="I219" s="960"/>
      <c r="J219" s="326"/>
      <c r="K219" s="1739" t="str">
        <f ca="1">IF(SF!$AS$99="X",IF(AND(ISERR(FIND($F$203,VLOOKUP($A219,ZZEICHEN_ALLE,9,FALSE),1)),IF($F$205="",TRUE,ISERR(FIND($F$205,VLOOKUP($A219,ZZEICHEN_ALLE,9,FALSE),1)))),"Mit dieser RK-Repräsent. nicht erlernbar",""),IF(NOT(AND(ISBLANK($H219),ISBLANK($I219),ISBLANK($J219))),"SF Zauberzeichen aktivieren!",""))</f>
        <v/>
      </c>
      <c r="L219" s="1741"/>
      <c r="M219" s="763"/>
      <c r="N219" s="754">
        <f t="shared" ca="1" si="651"/>
        <v>0</v>
      </c>
      <c r="O219" s="26"/>
      <c r="P219" s="754">
        <f t="shared" ca="1" si="652"/>
        <v>0</v>
      </c>
      <c r="Q219" s="26"/>
      <c r="R219" s="26"/>
      <c r="S219" s="26"/>
      <c r="T219" s="26"/>
      <c r="U219" s="26"/>
      <c r="V219" s="26"/>
      <c r="W219" s="26"/>
      <c r="X219" s="26"/>
      <c r="Y219" s="26"/>
      <c r="Z219" s="26"/>
      <c r="AA219" s="26"/>
      <c r="AB219" s="26"/>
      <c r="AC219" s="26"/>
      <c r="AD219" s="26"/>
      <c r="AE219" s="26"/>
      <c r="AF219" s="26"/>
      <c r="AG219" s="26"/>
      <c r="AH219" s="26"/>
      <c r="AI219" s="26"/>
      <c r="AJ219" s="766"/>
      <c r="AK219" s="767"/>
      <c r="AL219" s="26"/>
      <c r="AM219" s="754">
        <f t="shared" ca="1" si="653"/>
        <v>0</v>
      </c>
      <c r="AN219" s="764"/>
      <c r="AO219" s="764"/>
      <c r="AP219" s="760"/>
      <c r="AQ219" s="760"/>
      <c r="AR219" s="760"/>
      <c r="AS219" s="760"/>
      <c r="AT219" s="760"/>
      <c r="AU219" s="760"/>
      <c r="AV219" s="760"/>
      <c r="AW219" s="760"/>
      <c r="AX219" s="760"/>
      <c r="AY219" s="760"/>
      <c r="AZ219" s="760"/>
      <c r="BA219" s="760"/>
      <c r="BB219" s="305"/>
      <c r="BC219" s="305"/>
      <c r="BD219" s="305"/>
      <c r="BE219" s="305"/>
      <c r="BF219" s="305"/>
      <c r="BG219" s="305"/>
      <c r="BH219" s="305"/>
      <c r="BI219" s="154"/>
      <c r="BJ219" s="154"/>
      <c r="BK219" s="154"/>
      <c r="BL219" s="154"/>
      <c r="BM219" s="154"/>
      <c r="BN219" s="154"/>
      <c r="BO219" s="154"/>
      <c r="BP219" s="154"/>
      <c r="BQ219" s="154"/>
      <c r="BR219" s="154"/>
      <c r="BS219" s="154"/>
      <c r="BT219" s="154"/>
      <c r="BU219" s="154"/>
      <c r="BV219" s="154"/>
      <c r="BW219" s="154"/>
      <c r="BX219" s="154"/>
      <c r="BY219" s="154"/>
      <c r="BZ219" s="154"/>
      <c r="CA219" s="154"/>
      <c r="CB219" s="154"/>
      <c r="CC219" s="154"/>
      <c r="CD219" s="154"/>
      <c r="CE219" s="154"/>
    </row>
    <row r="220" spans="1:83" x14ac:dyDescent="0.2">
      <c r="A220" s="89"/>
      <c r="B220" s="1127"/>
      <c r="C220" s="19"/>
      <c r="D220" s="81"/>
      <c r="E220" s="81"/>
      <c r="F220" s="81"/>
      <c r="G220" s="47"/>
      <c r="H220" s="384"/>
      <c r="I220" s="960"/>
      <c r="J220" s="326"/>
      <c r="K220" s="1739" t="str">
        <f ca="1">IF(SF!$AS$99="X",IF(AND(ISERR(FIND($F$203,VLOOKUP($A220,ZZEICHEN_ALLE,9,FALSE),1)),IF($F$205="",TRUE,ISERR(FIND($F$205,VLOOKUP($A220,ZZEICHEN_ALLE,9,FALSE),1)))),"Mit dieser RK-Repräsent. nicht erlernbar",""),IF(NOT(AND(ISBLANK($H220),ISBLANK($I220),ISBLANK($J220))),"SF Zauberzeichen aktivieren!",""))</f>
        <v/>
      </c>
      <c r="L220" s="1741"/>
      <c r="M220" s="763"/>
      <c r="N220" s="754">
        <f t="shared" ca="1" si="651"/>
        <v>0</v>
      </c>
      <c r="O220" s="26"/>
      <c r="P220" s="754">
        <f t="shared" ca="1" si="652"/>
        <v>0</v>
      </c>
      <c r="Q220" s="26"/>
      <c r="R220" s="26"/>
      <c r="S220" s="26"/>
      <c r="T220" s="26"/>
      <c r="U220" s="26"/>
      <c r="V220" s="26"/>
      <c r="W220" s="26"/>
      <c r="X220" s="26"/>
      <c r="Y220" s="26"/>
      <c r="Z220" s="26"/>
      <c r="AA220" s="26"/>
      <c r="AB220" s="26"/>
      <c r="AC220" s="26"/>
      <c r="AD220" s="26"/>
      <c r="AE220" s="26"/>
      <c r="AF220" s="26"/>
      <c r="AG220" s="26"/>
      <c r="AH220" s="26"/>
      <c r="AI220" s="26"/>
      <c r="AJ220" s="766"/>
      <c r="AK220" s="767"/>
      <c r="AL220" s="26"/>
      <c r="AM220" s="754">
        <f t="shared" ca="1" si="653"/>
        <v>0</v>
      </c>
      <c r="AN220" s="764"/>
      <c r="AO220" s="764"/>
      <c r="AP220" s="760"/>
      <c r="AQ220" s="760"/>
      <c r="AR220" s="760"/>
      <c r="AS220" s="760"/>
      <c r="AT220" s="760"/>
      <c r="AU220" s="760"/>
      <c r="AV220" s="760"/>
      <c r="AW220" s="760"/>
      <c r="AX220" s="760"/>
      <c r="AY220" s="760"/>
      <c r="AZ220" s="760"/>
      <c r="BA220" s="760"/>
      <c r="BB220" s="305"/>
      <c r="BC220" s="305"/>
      <c r="BD220" s="305"/>
      <c r="BE220" s="305"/>
      <c r="BF220" s="305"/>
      <c r="BG220" s="305"/>
      <c r="BH220" s="305"/>
      <c r="BI220" s="154"/>
      <c r="BJ220" s="154"/>
      <c r="BK220" s="154"/>
      <c r="BL220" s="154"/>
      <c r="BM220" s="154"/>
      <c r="BN220" s="154"/>
      <c r="BO220" s="154"/>
      <c r="BP220" s="154"/>
      <c r="BQ220" s="154"/>
      <c r="BR220" s="154"/>
      <c r="BS220" s="154"/>
      <c r="BT220" s="154"/>
      <c r="BU220" s="154"/>
      <c r="BV220" s="154"/>
      <c r="BW220" s="154"/>
      <c r="BX220" s="154"/>
      <c r="BY220" s="154"/>
      <c r="BZ220" s="154"/>
      <c r="CA220" s="154"/>
      <c r="CB220" s="154"/>
      <c r="CC220" s="154"/>
      <c r="CD220" s="154"/>
      <c r="CE220" s="154"/>
    </row>
    <row r="221" spans="1:83" x14ac:dyDescent="0.2">
      <c r="A221" s="89"/>
      <c r="B221" s="1127"/>
      <c r="C221" s="19"/>
      <c r="D221" s="81"/>
      <c r="E221" s="81"/>
      <c r="F221" s="81"/>
      <c r="G221" s="47"/>
      <c r="H221" s="384"/>
      <c r="I221" s="960"/>
      <c r="J221" s="326"/>
      <c r="K221" s="1739" t="str">
        <f ca="1">IF(SF!$AS$99="X",IF(AND(ISERR(FIND($F$203,VLOOKUP($A221,ZZEICHEN_ALLE,9,FALSE),1)),IF($F$205="",TRUE,ISERR(FIND($F$205,VLOOKUP($A221,ZZEICHEN_ALLE,9,FALSE),1)))),"Mit dieser RK-Repräsent. nicht erlernbar",""),IF(NOT(AND(ISBLANK($H221),ISBLANK($I221),ISBLANK($J221))),"SF Zauberzeichen aktivieren!",""))</f>
        <v/>
      </c>
      <c r="L221" s="1741"/>
      <c r="M221" s="763"/>
      <c r="N221" s="754">
        <f t="shared" ca="1" si="651"/>
        <v>0</v>
      </c>
      <c r="O221" s="26"/>
      <c r="P221" s="754">
        <f t="shared" ca="1" si="652"/>
        <v>0</v>
      </c>
      <c r="Q221" s="26"/>
      <c r="R221" s="26"/>
      <c r="S221" s="26"/>
      <c r="T221" s="26"/>
      <c r="U221" s="26"/>
      <c r="V221" s="26"/>
      <c r="W221" s="26"/>
      <c r="X221" s="26"/>
      <c r="Y221" s="26"/>
      <c r="Z221" s="26"/>
      <c r="AA221" s="26"/>
      <c r="AB221" s="26"/>
      <c r="AC221" s="26"/>
      <c r="AD221" s="26"/>
      <c r="AE221" s="26"/>
      <c r="AF221" s="26"/>
      <c r="AG221" s="26"/>
      <c r="AH221" s="26"/>
      <c r="AI221" s="26"/>
      <c r="AJ221" s="766"/>
      <c r="AK221" s="767"/>
      <c r="AL221" s="26"/>
      <c r="AM221" s="754">
        <f t="shared" ca="1" si="653"/>
        <v>0</v>
      </c>
      <c r="AN221" s="764"/>
      <c r="AO221" s="764"/>
      <c r="AP221" s="760"/>
      <c r="AQ221" s="760"/>
      <c r="AR221" s="760"/>
      <c r="AS221" s="760"/>
      <c r="AT221" s="760"/>
      <c r="AU221" s="760"/>
      <c r="AV221" s="760"/>
      <c r="AW221" s="760"/>
      <c r="AX221" s="760"/>
      <c r="AY221" s="760"/>
      <c r="AZ221" s="760"/>
      <c r="BA221" s="760"/>
      <c r="BB221" s="305"/>
      <c r="BC221" s="305"/>
      <c r="BD221" s="305"/>
      <c r="BE221" s="305"/>
      <c r="BF221" s="305"/>
      <c r="BG221" s="305"/>
      <c r="BH221" s="305"/>
      <c r="BI221" s="154"/>
      <c r="BJ221" s="154"/>
      <c r="BK221" s="154"/>
      <c r="BL221" s="154"/>
      <c r="BM221" s="154"/>
      <c r="BN221" s="154"/>
      <c r="BO221" s="154"/>
      <c r="BP221" s="154"/>
      <c r="BQ221" s="154"/>
      <c r="BR221" s="154"/>
      <c r="BS221" s="154"/>
      <c r="BT221" s="154"/>
      <c r="BU221" s="154"/>
      <c r="BV221" s="154"/>
      <c r="BW221" s="154"/>
      <c r="BX221" s="154"/>
      <c r="BY221" s="154"/>
      <c r="BZ221" s="154"/>
      <c r="CA221" s="154"/>
      <c r="CB221" s="154"/>
      <c r="CC221" s="154"/>
      <c r="CD221" s="154"/>
      <c r="CE221" s="154"/>
    </row>
    <row r="222" spans="1:83" x14ac:dyDescent="0.2">
      <c r="A222" s="89"/>
      <c r="B222" s="1127"/>
      <c r="C222" s="19"/>
      <c r="D222" s="81"/>
      <c r="E222" s="81"/>
      <c r="F222" s="81"/>
      <c r="G222" s="47"/>
      <c r="H222" s="384"/>
      <c r="I222" s="960"/>
      <c r="J222" s="326"/>
      <c r="K222" s="1739" t="str">
        <f ca="1">IF(SF!$AS$99="X",IF(AND(ISERR(FIND($F$203,VLOOKUP($A222,ZZEICHEN_ALLE,9,FALSE),1)),IF($F$205="",TRUE,ISERR(FIND($F$205,VLOOKUP($A222,ZZEICHEN_ALLE,9,FALSE),1)))),"Mit dieser RK-Repräsent. nicht erlernbar",""),IF(NOT(AND(ISBLANK($H222),ISBLANK($I222),ISBLANK($J222))),"SF Zauberzeichen aktivieren!",""))</f>
        <v/>
      </c>
      <c r="L222" s="1741"/>
      <c r="M222" s="763"/>
      <c r="N222" s="754">
        <f t="shared" ca="1" si="651"/>
        <v>0</v>
      </c>
      <c r="O222" s="26"/>
      <c r="P222" s="754">
        <f t="shared" ca="1" si="652"/>
        <v>0</v>
      </c>
      <c r="Q222" s="26"/>
      <c r="R222" s="26"/>
      <c r="S222" s="26"/>
      <c r="T222" s="26"/>
      <c r="U222" s="26"/>
      <c r="V222" s="26"/>
      <c r="W222" s="26"/>
      <c r="X222" s="26"/>
      <c r="Y222" s="26"/>
      <c r="Z222" s="26"/>
      <c r="AA222" s="26"/>
      <c r="AB222" s="26"/>
      <c r="AC222" s="26"/>
      <c r="AD222" s="26"/>
      <c r="AE222" s="26"/>
      <c r="AF222" s="26"/>
      <c r="AG222" s="26"/>
      <c r="AH222" s="26"/>
      <c r="AI222" s="26"/>
      <c r="AJ222" s="766"/>
      <c r="AK222" s="767"/>
      <c r="AL222" s="26"/>
      <c r="AM222" s="754">
        <f t="shared" ca="1" si="653"/>
        <v>0</v>
      </c>
      <c r="AN222" s="305"/>
      <c r="AO222" s="760"/>
      <c r="AP222" s="760"/>
      <c r="AQ222" s="760"/>
      <c r="AR222" s="760"/>
      <c r="AS222" s="760"/>
      <c r="AT222" s="760"/>
      <c r="AU222" s="760"/>
      <c r="AV222" s="760"/>
      <c r="AW222" s="760"/>
      <c r="AX222" s="760"/>
      <c r="AY222" s="760"/>
      <c r="AZ222" s="760"/>
      <c r="BA222" s="760"/>
      <c r="BB222" s="305"/>
      <c r="BC222" s="305"/>
      <c r="BD222" s="305"/>
      <c r="BE222" s="305"/>
      <c r="BF222" s="305"/>
      <c r="BG222" s="305"/>
      <c r="BH222" s="305"/>
      <c r="BI222" s="154"/>
      <c r="BJ222" s="154"/>
      <c r="BK222" s="154"/>
      <c r="BL222" s="154"/>
      <c r="BM222" s="154"/>
      <c r="BN222" s="154"/>
      <c r="BO222" s="154"/>
      <c r="BP222" s="154"/>
      <c r="BQ222" s="154"/>
      <c r="BR222" s="154"/>
      <c r="BS222" s="154"/>
      <c r="BT222" s="154"/>
      <c r="BU222" s="154"/>
      <c r="BV222" s="154"/>
      <c r="BW222" s="154"/>
      <c r="BX222" s="154"/>
      <c r="BY222" s="154"/>
      <c r="BZ222" s="154"/>
      <c r="CA222" s="154"/>
      <c r="CB222" s="154"/>
      <c r="CC222" s="154"/>
      <c r="CD222" s="154"/>
      <c r="CE222" s="154"/>
    </row>
    <row r="223" spans="1:83" x14ac:dyDescent="0.2">
      <c r="A223" s="89"/>
      <c r="B223" s="1127"/>
      <c r="C223" s="19"/>
      <c r="D223" s="81"/>
      <c r="E223" s="81"/>
      <c r="F223" s="81"/>
      <c r="G223" s="47"/>
      <c r="H223" s="384"/>
      <c r="I223" s="960"/>
      <c r="J223" s="326"/>
      <c r="K223" s="1739" t="str">
        <f ca="1">IF(SF!$AS$99="X",IF(AND(ISERR(FIND($F$203,VLOOKUP($A223,ZZEICHEN_ALLE,9,FALSE),1)),IF($F$205="",TRUE,ISERR(FIND($F$205,VLOOKUP($A223,ZZEICHEN_ALLE,9,FALSE),1)))),"Mit dieser RK-Repräsent. nicht erlernbar",""),IF(NOT(AND(ISBLANK($H223),ISBLANK($I223),ISBLANK($J223))),"SF Zauberzeichen aktivieren!",""))</f>
        <v/>
      </c>
      <c r="L223" s="1741"/>
      <c r="M223" s="763"/>
      <c r="N223" s="754">
        <f t="shared" ca="1" si="651"/>
        <v>0</v>
      </c>
      <c r="O223" s="26"/>
      <c r="P223" s="754">
        <f t="shared" ca="1" si="652"/>
        <v>0</v>
      </c>
      <c r="Q223" s="26"/>
      <c r="R223" s="26"/>
      <c r="S223" s="26"/>
      <c r="T223" s="26"/>
      <c r="U223" s="26"/>
      <c r="V223" s="26"/>
      <c r="W223" s="26"/>
      <c r="X223" s="26"/>
      <c r="Y223" s="26"/>
      <c r="Z223" s="26"/>
      <c r="AA223" s="26"/>
      <c r="AB223" s="26"/>
      <c r="AC223" s="26"/>
      <c r="AD223" s="26"/>
      <c r="AE223" s="26"/>
      <c r="AF223" s="26"/>
      <c r="AG223" s="26"/>
      <c r="AH223" s="26"/>
      <c r="AI223" s="26"/>
      <c r="AJ223" s="766"/>
      <c r="AK223" s="767"/>
      <c r="AL223" s="26"/>
      <c r="AM223" s="754">
        <f t="shared" ca="1" si="653"/>
        <v>0</v>
      </c>
      <c r="AN223" s="305"/>
      <c r="AO223" s="760"/>
      <c r="AP223" s="760"/>
      <c r="AQ223" s="760"/>
      <c r="AR223" s="760"/>
      <c r="AS223" s="760"/>
      <c r="AT223" s="760"/>
      <c r="AU223" s="760"/>
      <c r="AV223" s="760"/>
      <c r="AW223" s="760"/>
      <c r="AX223" s="760"/>
      <c r="AY223" s="760"/>
      <c r="AZ223" s="760"/>
      <c r="BA223" s="760"/>
      <c r="BB223" s="305"/>
      <c r="BC223" s="305"/>
      <c r="BD223" s="305"/>
      <c r="BE223" s="305"/>
      <c r="BF223" s="305"/>
      <c r="BG223" s="305"/>
      <c r="BH223" s="305"/>
      <c r="BI223" s="154"/>
      <c r="BJ223" s="154"/>
      <c r="BK223" s="154"/>
      <c r="BL223" s="154"/>
      <c r="BM223" s="154"/>
      <c r="BN223" s="154"/>
      <c r="BO223" s="154"/>
      <c r="BP223" s="154"/>
      <c r="BQ223" s="154"/>
      <c r="BR223" s="154"/>
      <c r="BS223" s="154"/>
      <c r="BT223" s="154"/>
      <c r="BU223" s="154"/>
      <c r="BV223" s="154"/>
      <c r="BW223" s="154"/>
      <c r="BX223" s="154"/>
      <c r="BY223" s="154"/>
      <c r="BZ223" s="154"/>
      <c r="CA223" s="154"/>
      <c r="CB223" s="154"/>
      <c r="CC223" s="154"/>
      <c r="CD223" s="154"/>
      <c r="CE223" s="154"/>
    </row>
    <row r="224" spans="1:83" x14ac:dyDescent="0.2">
      <c r="A224" s="89"/>
      <c r="B224" s="1127"/>
      <c r="C224" s="19"/>
      <c r="D224" s="81"/>
      <c r="E224" s="81"/>
      <c r="F224" s="81"/>
      <c r="G224" s="47"/>
      <c r="H224" s="384"/>
      <c r="I224" s="960"/>
      <c r="J224" s="326"/>
      <c r="K224" s="1739" t="str">
        <f ca="1">IF(SF!$AS$99="X",IF(AND(ISERR(FIND($F$203,VLOOKUP($A224,ZZEICHEN_ALLE,9,FALSE),1)),IF($F$205="",TRUE,ISERR(FIND($F$205,VLOOKUP($A224,ZZEICHEN_ALLE,9,FALSE),1)))),"Mit dieser RK-Repräsent. nicht erlernbar",""),IF(NOT(AND(ISBLANK($H224),ISBLANK($I224),ISBLANK($J224))),"SF Zauberzeichen aktivieren!",""))</f>
        <v/>
      </c>
      <c r="L224" s="1741"/>
      <c r="M224" s="763"/>
      <c r="N224" s="754">
        <f t="shared" ca="1" si="651"/>
        <v>0</v>
      </c>
      <c r="O224" s="26"/>
      <c r="P224" s="754">
        <f t="shared" ca="1" si="652"/>
        <v>0</v>
      </c>
      <c r="Q224" s="26"/>
      <c r="R224" s="26"/>
      <c r="S224" s="26"/>
      <c r="T224" s="26"/>
      <c r="U224" s="26"/>
      <c r="V224" s="26"/>
      <c r="W224" s="26"/>
      <c r="X224" s="26"/>
      <c r="Y224" s="26"/>
      <c r="Z224" s="26"/>
      <c r="AA224" s="26"/>
      <c r="AB224" s="26"/>
      <c r="AC224" s="26"/>
      <c r="AD224" s="26"/>
      <c r="AE224" s="26"/>
      <c r="AF224" s="26"/>
      <c r="AG224" s="26"/>
      <c r="AH224" s="26"/>
      <c r="AI224" s="26"/>
      <c r="AJ224" s="766"/>
      <c r="AK224" s="767"/>
      <c r="AL224" s="26"/>
      <c r="AM224" s="754">
        <f t="shared" ca="1" si="653"/>
        <v>0</v>
      </c>
      <c r="AN224" s="305"/>
      <c r="AO224" s="760"/>
      <c r="AP224" s="760"/>
      <c r="AQ224" s="760"/>
      <c r="AR224" s="760"/>
      <c r="AS224" s="760"/>
      <c r="AT224" s="760"/>
      <c r="AU224" s="760"/>
      <c r="AV224" s="760"/>
      <c r="AW224" s="760"/>
      <c r="AX224" s="760"/>
      <c r="AY224" s="760"/>
      <c r="AZ224" s="760"/>
      <c r="BA224" s="760"/>
      <c r="BB224" s="305"/>
      <c r="BC224" s="305"/>
      <c r="BD224" s="305"/>
      <c r="BE224" s="305"/>
      <c r="BF224" s="305"/>
      <c r="BG224" s="305"/>
      <c r="BH224" s="305"/>
      <c r="BI224" s="154"/>
      <c r="BJ224" s="154"/>
      <c r="BK224" s="154"/>
      <c r="BL224" s="154"/>
      <c r="BM224" s="154"/>
      <c r="BN224" s="154"/>
      <c r="BO224" s="154"/>
      <c r="BP224" s="154"/>
      <c r="BQ224" s="154"/>
      <c r="BR224" s="154"/>
      <c r="BS224" s="154"/>
      <c r="BT224" s="154"/>
      <c r="BU224" s="154"/>
      <c r="BV224" s="154"/>
      <c r="BW224" s="154"/>
      <c r="BX224" s="154"/>
      <c r="BY224" s="154"/>
      <c r="BZ224" s="154"/>
      <c r="CA224" s="154"/>
      <c r="CB224" s="154"/>
      <c r="CC224" s="154"/>
      <c r="CD224" s="154"/>
      <c r="CE224" s="154"/>
    </row>
    <row r="225" spans="1:83" x14ac:dyDescent="0.2">
      <c r="A225" s="89"/>
      <c r="B225" s="1127"/>
      <c r="C225" s="19"/>
      <c r="D225" s="81"/>
      <c r="E225" s="81"/>
      <c r="F225" s="81"/>
      <c r="G225" s="47"/>
      <c r="H225" s="384"/>
      <c r="I225" s="960"/>
      <c r="J225" s="326"/>
      <c r="K225" s="1739" t="str">
        <f ca="1">IF(SF!$AS$99="X",IF(AND(ISERR(FIND($F$203,VLOOKUP($A225,ZZEICHEN_ALLE,9,FALSE),1)),IF($F$205="",TRUE,ISERR(FIND($F$205,VLOOKUP($A225,ZZEICHEN_ALLE,9,FALSE),1)))),"Mit dieser RK-Repräsent. nicht erlernbar",""),IF(NOT(AND(ISBLANK($H225),ISBLANK($I225),ISBLANK($J225))),"SF Zauberzeichen aktivieren!",""))</f>
        <v/>
      </c>
      <c r="L225" s="1741"/>
      <c r="M225" s="763"/>
      <c r="N225" s="754">
        <f t="shared" ca="1" si="651"/>
        <v>0</v>
      </c>
      <c r="O225" s="26"/>
      <c r="P225" s="754">
        <f t="shared" ca="1" si="652"/>
        <v>0</v>
      </c>
      <c r="Q225" s="26"/>
      <c r="R225" s="26"/>
      <c r="S225" s="26"/>
      <c r="T225" s="26"/>
      <c r="U225" s="26"/>
      <c r="V225" s="26"/>
      <c r="W225" s="26"/>
      <c r="X225" s="26"/>
      <c r="Y225" s="26"/>
      <c r="Z225" s="26"/>
      <c r="AA225" s="26"/>
      <c r="AB225" s="26"/>
      <c r="AC225" s="26"/>
      <c r="AD225" s="26"/>
      <c r="AE225" s="26"/>
      <c r="AF225" s="26"/>
      <c r="AG225" s="26"/>
      <c r="AH225" s="26"/>
      <c r="AI225" s="26"/>
      <c r="AJ225" s="766"/>
      <c r="AK225" s="767"/>
      <c r="AL225" s="26"/>
      <c r="AM225" s="754">
        <f t="shared" ca="1" si="653"/>
        <v>0</v>
      </c>
      <c r="AN225" s="305"/>
      <c r="AO225" s="760"/>
      <c r="AP225" s="760"/>
      <c r="AQ225" s="760"/>
      <c r="AR225" s="760"/>
      <c r="AS225" s="760"/>
      <c r="AT225" s="760"/>
      <c r="AU225" s="760"/>
      <c r="AV225" s="760"/>
      <c r="AW225" s="760"/>
      <c r="AX225" s="760"/>
      <c r="AY225" s="760"/>
      <c r="AZ225" s="760"/>
      <c r="BA225" s="760"/>
      <c r="BB225" s="305"/>
      <c r="BC225" s="305"/>
      <c r="BD225" s="305"/>
      <c r="BE225" s="305"/>
      <c r="BF225" s="305"/>
      <c r="BG225" s="305"/>
      <c r="BH225" s="305"/>
      <c r="BI225" s="154"/>
      <c r="BJ225" s="154"/>
      <c r="BK225" s="154"/>
      <c r="BL225" s="154"/>
      <c r="BM225" s="154"/>
      <c r="BN225" s="154"/>
      <c r="BO225" s="154"/>
      <c r="BP225" s="154"/>
      <c r="BQ225" s="154"/>
      <c r="BR225" s="154"/>
      <c r="BS225" s="154"/>
      <c r="BT225" s="154"/>
      <c r="BU225" s="154"/>
      <c r="BV225" s="154"/>
      <c r="BW225" s="154"/>
      <c r="BX225" s="154"/>
      <c r="BY225" s="154"/>
      <c r="BZ225" s="154"/>
      <c r="CA225" s="154"/>
      <c r="CB225" s="154"/>
      <c r="CC225" s="154"/>
      <c r="CD225" s="154"/>
      <c r="CE225" s="154"/>
    </row>
    <row r="226" spans="1:83" ht="12.75" customHeight="1" x14ac:dyDescent="0.2">
      <c r="A226" s="1981" t="s">
        <v>8805</v>
      </c>
      <c r="B226" s="1986" t="str">
        <f ca="1">IF(SF!$AS$79="X",3,"")</f>
        <v/>
      </c>
      <c r="C226" s="520"/>
      <c r="D226" s="520"/>
      <c r="E226" s="520"/>
      <c r="F226" s="520"/>
      <c r="G226" s="520"/>
      <c r="H226" s="520"/>
      <c r="I226" s="960"/>
      <c r="J226" s="326"/>
      <c r="K226" s="2007" t="str">
        <f ca="1">IF(AND(B226="",NOT(AND(ISBLANK(I226),ISBLANK(J226)))),"Zuerst SF Runenkunde aktivieren unter Eigenschaften","")</f>
        <v/>
      </c>
      <c r="L226" s="2008"/>
      <c r="M226" s="768" t="str">
        <f ca="1">IF(B226="","",B226+I226+J226)</f>
        <v/>
      </c>
      <c r="N226" s="769"/>
      <c r="O226" s="720"/>
      <c r="P226" s="770"/>
      <c r="Q226" s="26"/>
      <c r="R226" s="26"/>
      <c r="S226" s="759">
        <f ca="1">IF(NOT(EXACT($B226,"")),IF(AND(NOT(ISBLANK($I226)),$B226&lt;S$209,SUM($B226,$I226)&gt;=S$209,EXACT($K226,"")),HLOOKUP("E",SKT,S$209+3,FALSE),0),0)</f>
        <v>0</v>
      </c>
      <c r="T226" s="759">
        <f t="shared" ref="T226:AK226" ca="1" si="654">IF(NOT(EXACT($B226,"")),IF(AND(NOT(ISBLANK($I226)),$B226&lt;T$209,SUM($B226,$I226)&gt;=T$209,EXACT($K226,"")),HLOOKUP("E",SKT,T$209+3,FALSE),0),0)</f>
        <v>0</v>
      </c>
      <c r="U226" s="759">
        <f t="shared" ca="1" si="654"/>
        <v>0</v>
      </c>
      <c r="V226" s="759">
        <f t="shared" ca="1" si="654"/>
        <v>0</v>
      </c>
      <c r="W226" s="759">
        <f t="shared" ca="1" si="654"/>
        <v>0</v>
      </c>
      <c r="X226" s="759">
        <f t="shared" ca="1" si="654"/>
        <v>0</v>
      </c>
      <c r="Y226" s="759">
        <f t="shared" ca="1" si="654"/>
        <v>0</v>
      </c>
      <c r="Z226" s="759">
        <f t="shared" ca="1" si="654"/>
        <v>0</v>
      </c>
      <c r="AA226" s="759">
        <f t="shared" ca="1" si="654"/>
        <v>0</v>
      </c>
      <c r="AB226" s="759">
        <f t="shared" ca="1" si="654"/>
        <v>0</v>
      </c>
      <c r="AC226" s="759">
        <f t="shared" ca="1" si="654"/>
        <v>0</v>
      </c>
      <c r="AD226" s="759">
        <f t="shared" ca="1" si="654"/>
        <v>0</v>
      </c>
      <c r="AE226" s="759">
        <f t="shared" ca="1" si="654"/>
        <v>0</v>
      </c>
      <c r="AF226" s="759">
        <f t="shared" ca="1" si="654"/>
        <v>0</v>
      </c>
      <c r="AG226" s="759">
        <f t="shared" ca="1" si="654"/>
        <v>0</v>
      </c>
      <c r="AH226" s="759">
        <f t="shared" ca="1" si="654"/>
        <v>0</v>
      </c>
      <c r="AI226" s="759">
        <f t="shared" ca="1" si="654"/>
        <v>0</v>
      </c>
      <c r="AJ226" s="759">
        <f t="shared" ca="1" si="654"/>
        <v>0</v>
      </c>
      <c r="AK226" s="759">
        <f t="shared" ca="1" si="654"/>
        <v>0</v>
      </c>
      <c r="AL226" s="305"/>
      <c r="AM226" s="760"/>
      <c r="AN226" s="305"/>
      <c r="AO226" s="760"/>
      <c r="AP226" s="759">
        <f ca="1">IF(NOT(EXACT($B226,"")),IF(AND(NOT(ISBLANK($J226)),SUM($B226,$I226)&lt;AP$209,SUM($B226,$I226,$J226)&gt;=AP$209,EXACT($K226,"")),HLOOKUP("E",SKT,AP$209+3,FALSE),0),0)</f>
        <v>0</v>
      </c>
      <c r="AQ226" s="759">
        <f ca="1">IF(NOT(EXACT($B226,"")),IF(AND(NOT(ISBLANK($J226)),SUM($B226,$I226)&lt;AQ$209,SUM($B226,$I226,$J226)&gt;=AQ$209,EXACT($K226,"")),HLOOKUP("E",SKT,AQ$209+3,FALSE),0),0)</f>
        <v>0</v>
      </c>
      <c r="AR226" s="759">
        <f t="shared" ref="AR226:BH226" ca="1" si="655">IF(NOT(EXACT($B226,"")),IF(AND(NOT(ISBLANK($J226)),SUM($B226,$I226)&lt;AR$209,SUM($B226,$I226,$J226)&gt;=AR$209,EXACT($K226,"")),HLOOKUP("E",SKT,AR$209+3,FALSE),0),0)</f>
        <v>0</v>
      </c>
      <c r="AS226" s="759">
        <f t="shared" ca="1" si="655"/>
        <v>0</v>
      </c>
      <c r="AT226" s="759">
        <f t="shared" ca="1" si="655"/>
        <v>0</v>
      </c>
      <c r="AU226" s="759">
        <f t="shared" ca="1" si="655"/>
        <v>0</v>
      </c>
      <c r="AV226" s="759">
        <f t="shared" ca="1" si="655"/>
        <v>0</v>
      </c>
      <c r="AW226" s="759">
        <f t="shared" ca="1" si="655"/>
        <v>0</v>
      </c>
      <c r="AX226" s="759">
        <f t="shared" ca="1" si="655"/>
        <v>0</v>
      </c>
      <c r="AY226" s="759">
        <f t="shared" ca="1" si="655"/>
        <v>0</v>
      </c>
      <c r="AZ226" s="759">
        <f t="shared" ca="1" si="655"/>
        <v>0</v>
      </c>
      <c r="BA226" s="759">
        <f t="shared" ca="1" si="655"/>
        <v>0</v>
      </c>
      <c r="BB226" s="759">
        <f t="shared" ca="1" si="655"/>
        <v>0</v>
      </c>
      <c r="BC226" s="759">
        <f t="shared" ca="1" si="655"/>
        <v>0</v>
      </c>
      <c r="BD226" s="759">
        <f t="shared" ca="1" si="655"/>
        <v>0</v>
      </c>
      <c r="BE226" s="759">
        <f t="shared" ca="1" si="655"/>
        <v>0</v>
      </c>
      <c r="BF226" s="759">
        <f t="shared" ca="1" si="655"/>
        <v>0</v>
      </c>
      <c r="BG226" s="759">
        <f t="shared" ca="1" si="655"/>
        <v>0</v>
      </c>
      <c r="BH226" s="759">
        <f t="shared" ca="1" si="655"/>
        <v>0</v>
      </c>
      <c r="BI226" s="154"/>
      <c r="BJ226" s="154"/>
      <c r="BK226" s="154"/>
      <c r="BL226" s="154"/>
      <c r="BM226" s="154"/>
      <c r="BN226" s="154"/>
      <c r="BO226" s="154"/>
      <c r="BP226" s="154"/>
      <c r="BQ226" s="154"/>
      <c r="BR226" s="154"/>
      <c r="BS226" s="154"/>
      <c r="BT226" s="154"/>
      <c r="BU226" s="154"/>
      <c r="BV226" s="154"/>
      <c r="BW226" s="154"/>
      <c r="BX226" s="154"/>
      <c r="BY226" s="154"/>
      <c r="BZ226" s="154"/>
      <c r="CA226" s="154"/>
      <c r="CB226" s="154"/>
      <c r="CC226" s="154"/>
      <c r="CD226" s="154"/>
      <c r="CE226" s="154"/>
    </row>
    <row r="227" spans="1:83" ht="12.75" customHeight="1" x14ac:dyDescent="0.2">
      <c r="A227" s="1982"/>
      <c r="B227" s="1987"/>
      <c r="C227" s="521"/>
      <c r="D227" s="521"/>
      <c r="E227" s="521"/>
      <c r="F227" s="521"/>
      <c r="G227" s="521"/>
      <c r="H227" s="521"/>
      <c r="I227" s="978"/>
      <c r="J227" s="979"/>
      <c r="K227" s="2007"/>
      <c r="L227" s="2008"/>
      <c r="M227" s="765"/>
      <c r="N227" s="771"/>
      <c r="O227" s="720"/>
      <c r="P227" s="772"/>
      <c r="Q227" s="26"/>
      <c r="R227" s="26"/>
      <c r="S227" s="26"/>
      <c r="T227" s="26"/>
      <c r="U227" s="26"/>
      <c r="V227" s="26"/>
      <c r="W227" s="26"/>
      <c r="X227" s="26"/>
      <c r="Y227" s="26"/>
      <c r="Z227" s="26"/>
      <c r="AA227" s="26"/>
      <c r="AB227" s="26"/>
      <c r="AC227" s="26"/>
      <c r="AD227" s="26"/>
      <c r="AE227" s="26"/>
      <c r="AF227" s="26"/>
      <c r="AG227" s="26"/>
      <c r="AH227" s="26"/>
      <c r="AI227" s="26"/>
      <c r="AJ227" s="766"/>
      <c r="AK227" s="767"/>
      <c r="AL227" s="26"/>
      <c r="AM227" s="760"/>
      <c r="AN227" s="305"/>
      <c r="AO227" s="760"/>
      <c r="AP227" s="760"/>
      <c r="AQ227" s="760"/>
      <c r="AR227" s="760"/>
      <c r="AS227" s="760"/>
      <c r="AT227" s="760"/>
      <c r="AU227" s="760"/>
      <c r="AV227" s="760"/>
      <c r="AW227" s="760"/>
      <c r="AX227" s="760"/>
      <c r="AY227" s="760"/>
      <c r="AZ227" s="760"/>
      <c r="BA227" s="760"/>
      <c r="BB227" s="305"/>
      <c r="BC227" s="305"/>
      <c r="BD227" s="305"/>
      <c r="BE227" s="305"/>
      <c r="BF227" s="305"/>
      <c r="BG227" s="305"/>
      <c r="BH227" s="305"/>
      <c r="BI227" s="154"/>
      <c r="BJ227" s="154"/>
      <c r="BK227" s="154"/>
      <c r="BL227" s="154"/>
      <c r="BM227" s="154"/>
      <c r="BN227" s="154"/>
      <c r="BO227" s="154"/>
      <c r="BP227" s="154"/>
      <c r="BQ227" s="154"/>
      <c r="BR227" s="154"/>
      <c r="BS227" s="154"/>
      <c r="BT227" s="154"/>
      <c r="BU227" s="154"/>
      <c r="BV227" s="154"/>
      <c r="BW227" s="154"/>
      <c r="BX227" s="154"/>
      <c r="BY227" s="154"/>
      <c r="BZ227" s="154"/>
      <c r="CA227" s="154"/>
      <c r="CB227" s="154"/>
      <c r="CC227" s="154"/>
      <c r="CD227" s="154"/>
      <c r="CE227" s="154"/>
    </row>
    <row r="228" spans="1:83" x14ac:dyDescent="0.2">
      <c r="A228" s="89"/>
      <c r="B228" s="1127"/>
      <c r="C228" s="19"/>
      <c r="D228" s="81"/>
      <c r="E228" s="81"/>
      <c r="F228" s="81"/>
      <c r="G228" s="47"/>
      <c r="H228" s="384"/>
      <c r="I228" s="960"/>
      <c r="J228" s="326"/>
      <c r="K228" s="1963" t="str">
        <f ca="1">IF(SF!$AS$79="X","",IF(NOT(AND(ISBLANK($H228),ISBLANK($I228),ISBLANK($J228))),"SF Runenkunde aktivieren!",""))</f>
        <v/>
      </c>
      <c r="L228" s="1964"/>
      <c r="M228" s="763"/>
      <c r="N228" s="754">
        <f t="shared" ref="N228:N235" ca="1" si="656">IF(AND(NOT(ISBLANK($H228)),EXACT($K228,""),NOT($A228=""),NOT($B228="X")),ROUND(VLOOKUP($A228,RUNEN_ALLE,12,FALSE)*IF(VT_EIDGED,0.5,IF(VT_GUTGED,0.75,1))*IF(B228="V",0.5,1)*IF(VT_AKADMAG,0.75,1),0),0)</f>
        <v>0</v>
      </c>
      <c r="O228" s="26"/>
      <c r="P228" s="754">
        <f t="shared" ref="P228:P235" ca="1" si="657">IF(AND(NOT(ISBLANK($I228)),EXACT($K228,""),NOT($A228=""),NOT($B228="X")),ROUND(VLOOKUP($A228,RUNEN_ALLE,8,FALSE)*IF(VT_EIDGED,0.5,IF(VT_GUTGED,0.75,1))*IF(B228="V",0.5,1)*IF(VT_AKADMAG,0.75,1),0),0)</f>
        <v>0</v>
      </c>
      <c r="Q228" s="26"/>
      <c r="R228" s="26"/>
      <c r="S228" s="26"/>
      <c r="T228" s="26"/>
      <c r="U228" s="26"/>
      <c r="V228" s="26"/>
      <c r="W228" s="26"/>
      <c r="X228" s="26"/>
      <c r="Y228" s="26"/>
      <c r="Z228" s="26"/>
      <c r="AA228" s="26"/>
      <c r="AB228" s="26"/>
      <c r="AC228" s="26"/>
      <c r="AD228" s="26"/>
      <c r="AE228" s="26"/>
      <c r="AF228" s="26"/>
      <c r="AG228" s="26"/>
      <c r="AH228" s="26"/>
      <c r="AI228" s="26"/>
      <c r="AJ228" s="766"/>
      <c r="AK228" s="767"/>
      <c r="AL228" s="26"/>
      <c r="AM228" s="754">
        <f t="shared" ref="AM228:AM235" ca="1" si="658">IF(AND(NOT(ISBLANK($J228)),EXACT($K228,""),NOT($A228=""),NOT($B228="X")),ROUND(VLOOKUP($A228,RUNEN_ALLE,8,FALSE)*IF(VT_EIDGED,0.5,IF(VT_GUTGED,0.75,1))*IF(B228="V",0.5,1)*IF(VT_AKADMAG,0.75,1),0),0)</f>
        <v>0</v>
      </c>
      <c r="AN228" s="305"/>
      <c r="AO228" s="760"/>
      <c r="AP228" s="760"/>
      <c r="AQ228" s="760"/>
      <c r="AR228" s="760"/>
      <c r="AS228" s="760"/>
      <c r="AT228" s="760"/>
      <c r="AU228" s="760"/>
      <c r="AV228" s="760"/>
      <c r="AW228" s="760"/>
      <c r="AX228" s="760"/>
      <c r="AY228" s="760"/>
      <c r="AZ228" s="760"/>
      <c r="BA228" s="760"/>
      <c r="BB228" s="305"/>
      <c r="BC228" s="305"/>
      <c r="BD228" s="305"/>
      <c r="BE228" s="305"/>
      <c r="BF228" s="305"/>
      <c r="BG228" s="305"/>
      <c r="BH228" s="305"/>
      <c r="BI228" s="154"/>
      <c r="BJ228" s="154"/>
      <c r="BK228" s="154"/>
      <c r="BL228" s="154"/>
      <c r="BM228" s="154"/>
      <c r="BN228" s="154"/>
      <c r="BO228" s="154"/>
      <c r="BP228" s="154"/>
      <c r="BQ228" s="154"/>
      <c r="BR228" s="154"/>
      <c r="BS228" s="154"/>
      <c r="BT228" s="154"/>
      <c r="BU228" s="154"/>
      <c r="BV228" s="154"/>
      <c r="BW228" s="154"/>
      <c r="BX228" s="154"/>
      <c r="BY228" s="154"/>
      <c r="BZ228" s="154"/>
      <c r="CA228" s="154"/>
      <c r="CB228" s="154"/>
      <c r="CC228" s="154"/>
      <c r="CD228" s="154"/>
      <c r="CE228" s="154"/>
    </row>
    <row r="229" spans="1:83" x14ac:dyDescent="0.2">
      <c r="A229" s="89"/>
      <c r="B229" s="1127"/>
      <c r="C229" s="19"/>
      <c r="D229" s="81"/>
      <c r="E229" s="81"/>
      <c r="F229" s="81"/>
      <c r="G229" s="47"/>
      <c r="H229" s="384"/>
      <c r="I229" s="960"/>
      <c r="J229" s="326"/>
      <c r="K229" s="1963" t="str">
        <f ca="1">IF(SF!$AS$79="X","",IF(NOT(AND(ISBLANK($H229),ISBLANK($I229),ISBLANK($J229))),"SF Runenkunde aktivieren!",""))</f>
        <v/>
      </c>
      <c r="L229" s="1964"/>
      <c r="M229" s="763"/>
      <c r="N229" s="754">
        <f t="shared" ca="1" si="656"/>
        <v>0</v>
      </c>
      <c r="O229" s="26"/>
      <c r="P229" s="754">
        <f t="shared" ca="1" si="657"/>
        <v>0</v>
      </c>
      <c r="Q229" s="26"/>
      <c r="R229" s="26"/>
      <c r="S229" s="26"/>
      <c r="T229" s="26"/>
      <c r="U229" s="26"/>
      <c r="V229" s="26"/>
      <c r="W229" s="26"/>
      <c r="X229" s="26"/>
      <c r="Y229" s="26"/>
      <c r="Z229" s="26"/>
      <c r="AA229" s="26"/>
      <c r="AB229" s="26"/>
      <c r="AC229" s="26"/>
      <c r="AD229" s="26"/>
      <c r="AE229" s="26"/>
      <c r="AF229" s="26"/>
      <c r="AG229" s="26"/>
      <c r="AH229" s="26"/>
      <c r="AI229" s="26"/>
      <c r="AJ229" s="766"/>
      <c r="AK229" s="767"/>
      <c r="AL229" s="26"/>
      <c r="AM229" s="754">
        <f t="shared" ca="1" si="658"/>
        <v>0</v>
      </c>
      <c r="AN229" s="305"/>
      <c r="AO229" s="760"/>
      <c r="AP229" s="760"/>
      <c r="AQ229" s="760"/>
      <c r="AR229" s="760"/>
      <c r="AS229" s="760"/>
      <c r="AT229" s="760"/>
      <c r="AU229" s="760"/>
      <c r="AV229" s="760"/>
      <c r="AW229" s="760"/>
      <c r="AX229" s="760"/>
      <c r="AY229" s="760"/>
      <c r="AZ229" s="760"/>
      <c r="BA229" s="760"/>
      <c r="BB229" s="305"/>
      <c r="BC229" s="305"/>
      <c r="BD229" s="305"/>
      <c r="BE229" s="305"/>
      <c r="BF229" s="305"/>
      <c r="BG229" s="305"/>
      <c r="BH229" s="305"/>
      <c r="BI229" s="154"/>
      <c r="BJ229" s="154"/>
      <c r="BK229" s="154"/>
      <c r="BL229" s="154"/>
      <c r="BM229" s="154"/>
      <c r="BN229" s="154"/>
      <c r="BO229" s="154"/>
      <c r="BP229" s="154"/>
      <c r="BQ229" s="154"/>
      <c r="BR229" s="154"/>
      <c r="BS229" s="154"/>
      <c r="BT229" s="154"/>
      <c r="BU229" s="154"/>
      <c r="BV229" s="154"/>
      <c r="BW229" s="154"/>
      <c r="BX229" s="154"/>
      <c r="BY229" s="154"/>
      <c r="BZ229" s="154"/>
      <c r="CA229" s="154"/>
      <c r="CB229" s="154"/>
      <c r="CC229" s="154"/>
      <c r="CD229" s="154"/>
      <c r="CE229" s="154"/>
    </row>
    <row r="230" spans="1:83" x14ac:dyDescent="0.2">
      <c r="A230" s="89"/>
      <c r="B230" s="1127"/>
      <c r="C230" s="19"/>
      <c r="D230" s="81"/>
      <c r="E230" s="81"/>
      <c r="F230" s="81"/>
      <c r="G230" s="47"/>
      <c r="H230" s="384"/>
      <c r="I230" s="960"/>
      <c r="J230" s="326"/>
      <c r="K230" s="1963" t="str">
        <f ca="1">IF(SF!$AS$79="X","",IF(NOT(AND(ISBLANK($H230),ISBLANK($I230),ISBLANK($J230))),"SF Runenkunde aktivieren!",""))</f>
        <v/>
      </c>
      <c r="L230" s="1964"/>
      <c r="M230" s="763"/>
      <c r="N230" s="754">
        <f t="shared" ca="1" si="656"/>
        <v>0</v>
      </c>
      <c r="O230" s="26"/>
      <c r="P230" s="754">
        <f t="shared" ca="1" si="657"/>
        <v>0</v>
      </c>
      <c r="Q230" s="26"/>
      <c r="R230" s="26"/>
      <c r="S230" s="26"/>
      <c r="T230" s="26"/>
      <c r="U230" s="26"/>
      <c r="V230" s="26"/>
      <c r="W230" s="26"/>
      <c r="X230" s="26"/>
      <c r="Y230" s="26"/>
      <c r="Z230" s="26"/>
      <c r="AA230" s="26"/>
      <c r="AB230" s="26"/>
      <c r="AC230" s="26"/>
      <c r="AD230" s="26"/>
      <c r="AE230" s="26"/>
      <c r="AF230" s="26"/>
      <c r="AG230" s="26"/>
      <c r="AH230" s="26"/>
      <c r="AI230" s="26"/>
      <c r="AJ230" s="766"/>
      <c r="AK230" s="767"/>
      <c r="AL230" s="26"/>
      <c r="AM230" s="754">
        <f t="shared" ca="1" si="658"/>
        <v>0</v>
      </c>
      <c r="AN230" s="305"/>
      <c r="AO230" s="760"/>
      <c r="AP230" s="760"/>
      <c r="AQ230" s="760"/>
      <c r="AR230" s="760"/>
      <c r="AS230" s="760"/>
      <c r="AT230" s="760"/>
      <c r="AU230" s="760"/>
      <c r="AV230" s="760"/>
      <c r="AW230" s="760"/>
      <c r="AX230" s="760"/>
      <c r="AY230" s="760"/>
      <c r="AZ230" s="760"/>
      <c r="BA230" s="760"/>
      <c r="BB230" s="305"/>
      <c r="BC230" s="305"/>
      <c r="BD230" s="305"/>
      <c r="BE230" s="305"/>
      <c r="BF230" s="305"/>
      <c r="BG230" s="305"/>
      <c r="BH230" s="305"/>
      <c r="BI230" s="154"/>
      <c r="BJ230" s="154"/>
      <c r="BK230" s="154"/>
      <c r="BL230" s="154"/>
      <c r="BM230" s="154"/>
      <c r="BN230" s="154"/>
      <c r="BO230" s="154"/>
      <c r="BP230" s="154"/>
      <c r="BQ230" s="154"/>
      <c r="BR230" s="154"/>
      <c r="BS230" s="154"/>
      <c r="BT230" s="154"/>
      <c r="BU230" s="154"/>
      <c r="BV230" s="154"/>
      <c r="BW230" s="154"/>
      <c r="BX230" s="154"/>
      <c r="BY230" s="154"/>
      <c r="BZ230" s="154"/>
      <c r="CA230" s="154"/>
      <c r="CB230" s="154"/>
      <c r="CC230" s="154"/>
      <c r="CD230" s="154"/>
      <c r="CE230" s="154"/>
    </row>
    <row r="231" spans="1:83" x14ac:dyDescent="0.2">
      <c r="A231" s="89"/>
      <c r="B231" s="1127"/>
      <c r="C231" s="19"/>
      <c r="D231" s="81"/>
      <c r="E231" s="81"/>
      <c r="F231" s="81"/>
      <c r="G231" s="47"/>
      <c r="H231" s="384"/>
      <c r="I231" s="960"/>
      <c r="J231" s="326"/>
      <c r="K231" s="1963" t="str">
        <f ca="1">IF(SF!$AS$79="X","",IF(NOT(AND(ISBLANK($H231),ISBLANK($I231),ISBLANK($J231))),"SF Runenkunde aktivieren!",""))</f>
        <v/>
      </c>
      <c r="L231" s="1964"/>
      <c r="M231" s="763"/>
      <c r="N231" s="754">
        <f t="shared" ca="1" si="656"/>
        <v>0</v>
      </c>
      <c r="O231" s="26"/>
      <c r="P231" s="754">
        <f t="shared" ca="1" si="657"/>
        <v>0</v>
      </c>
      <c r="Q231" s="26"/>
      <c r="R231" s="26"/>
      <c r="S231" s="26"/>
      <c r="T231" s="26"/>
      <c r="U231" s="26"/>
      <c r="V231" s="26"/>
      <c r="W231" s="26"/>
      <c r="X231" s="26"/>
      <c r="Y231" s="26"/>
      <c r="Z231" s="26"/>
      <c r="AA231" s="26"/>
      <c r="AB231" s="26"/>
      <c r="AC231" s="26"/>
      <c r="AD231" s="26"/>
      <c r="AE231" s="26"/>
      <c r="AF231" s="26"/>
      <c r="AG231" s="26"/>
      <c r="AH231" s="26"/>
      <c r="AI231" s="26"/>
      <c r="AJ231" s="766"/>
      <c r="AK231" s="767"/>
      <c r="AL231" s="26"/>
      <c r="AM231" s="754">
        <f t="shared" ca="1" si="658"/>
        <v>0</v>
      </c>
      <c r="AN231" s="305"/>
      <c r="AO231" s="760"/>
      <c r="AP231" s="760"/>
      <c r="AQ231" s="760"/>
      <c r="AR231" s="760"/>
      <c r="AS231" s="760"/>
      <c r="AT231" s="760"/>
      <c r="AU231" s="760"/>
      <c r="AV231" s="760"/>
      <c r="AW231" s="760"/>
      <c r="AX231" s="760"/>
      <c r="AY231" s="760"/>
      <c r="AZ231" s="760"/>
      <c r="BA231" s="760"/>
      <c r="BB231" s="305"/>
      <c r="BC231" s="305"/>
      <c r="BD231" s="305"/>
      <c r="BE231" s="305"/>
      <c r="BF231" s="305"/>
      <c r="BG231" s="305"/>
      <c r="BH231" s="305"/>
      <c r="BI231" s="154"/>
      <c r="BJ231" s="154"/>
      <c r="BK231" s="154"/>
      <c r="BL231" s="154"/>
      <c r="BM231" s="154"/>
      <c r="BN231" s="154"/>
      <c r="BO231" s="154"/>
      <c r="BP231" s="154"/>
      <c r="BQ231" s="154"/>
      <c r="BR231" s="154"/>
      <c r="BS231" s="154"/>
      <c r="BT231" s="154"/>
      <c r="BU231" s="154"/>
      <c r="BV231" s="154"/>
      <c r="BW231" s="154"/>
      <c r="BX231" s="154"/>
      <c r="BY231" s="154"/>
      <c r="BZ231" s="154"/>
      <c r="CA231" s="154"/>
      <c r="CB231" s="154"/>
      <c r="CC231" s="154"/>
      <c r="CD231" s="154"/>
      <c r="CE231" s="154"/>
    </row>
    <row r="232" spans="1:83" x14ac:dyDescent="0.2">
      <c r="A232" s="89"/>
      <c r="B232" s="1127"/>
      <c r="C232" s="19"/>
      <c r="D232" s="81"/>
      <c r="E232" s="81"/>
      <c r="F232" s="81"/>
      <c r="G232" s="47"/>
      <c r="H232" s="384"/>
      <c r="I232" s="960"/>
      <c r="J232" s="326"/>
      <c r="K232" s="1963" t="str">
        <f ca="1">IF(SF!$AS$79="X","",IF(NOT(AND(ISBLANK($H232),ISBLANK($I232),ISBLANK($J232))),"SF Runenkunde aktivieren!",""))</f>
        <v/>
      </c>
      <c r="L232" s="1964"/>
      <c r="M232" s="763"/>
      <c r="N232" s="754">
        <f t="shared" ca="1" si="656"/>
        <v>0</v>
      </c>
      <c r="O232" s="26"/>
      <c r="P232" s="754">
        <f t="shared" ca="1" si="657"/>
        <v>0</v>
      </c>
      <c r="Q232" s="26"/>
      <c r="R232" s="26"/>
      <c r="S232" s="26"/>
      <c r="T232" s="26"/>
      <c r="U232" s="26"/>
      <c r="V232" s="26"/>
      <c r="W232" s="26"/>
      <c r="X232" s="26"/>
      <c r="Y232" s="26"/>
      <c r="Z232" s="26"/>
      <c r="AA232" s="26"/>
      <c r="AB232" s="26"/>
      <c r="AC232" s="26"/>
      <c r="AD232" s="26"/>
      <c r="AE232" s="26"/>
      <c r="AF232" s="26"/>
      <c r="AG232" s="26"/>
      <c r="AH232" s="26"/>
      <c r="AI232" s="26"/>
      <c r="AJ232" s="766"/>
      <c r="AK232" s="767"/>
      <c r="AL232" s="26"/>
      <c r="AM232" s="754">
        <f t="shared" ca="1" si="658"/>
        <v>0</v>
      </c>
      <c r="AN232" s="305"/>
      <c r="AO232" s="760"/>
      <c r="AP232" s="760"/>
      <c r="AQ232" s="760"/>
      <c r="AR232" s="760"/>
      <c r="AS232" s="760"/>
      <c r="AT232" s="760"/>
      <c r="AU232" s="760"/>
      <c r="AV232" s="760"/>
      <c r="AW232" s="760"/>
      <c r="AX232" s="760"/>
      <c r="AY232" s="760"/>
      <c r="AZ232" s="760"/>
      <c r="BA232" s="760"/>
      <c r="BB232" s="305"/>
      <c r="BC232" s="305"/>
      <c r="BD232" s="305"/>
      <c r="BE232" s="305"/>
      <c r="BF232" s="305"/>
      <c r="BG232" s="305"/>
      <c r="BH232" s="305"/>
      <c r="BI232" s="154"/>
      <c r="BJ232" s="154"/>
      <c r="BK232" s="154"/>
      <c r="BL232" s="154"/>
      <c r="BM232" s="154"/>
      <c r="BN232" s="154"/>
      <c r="BO232" s="154"/>
      <c r="BP232" s="154"/>
      <c r="BQ232" s="154"/>
      <c r="BR232" s="154"/>
      <c r="BS232" s="154"/>
      <c r="BT232" s="154"/>
      <c r="BU232" s="154"/>
      <c r="BV232" s="154"/>
      <c r="BW232" s="154"/>
      <c r="BX232" s="154"/>
      <c r="BY232" s="154"/>
      <c r="BZ232" s="154"/>
      <c r="CA232" s="154"/>
      <c r="CB232" s="154"/>
      <c r="CC232" s="154"/>
      <c r="CD232" s="154"/>
      <c r="CE232" s="154"/>
    </row>
    <row r="233" spans="1:83" x14ac:dyDescent="0.2">
      <c r="A233" s="89"/>
      <c r="B233" s="1127"/>
      <c r="C233" s="19"/>
      <c r="D233" s="81"/>
      <c r="E233" s="81"/>
      <c r="F233" s="81"/>
      <c r="G233" s="47"/>
      <c r="H233" s="384"/>
      <c r="I233" s="960"/>
      <c r="J233" s="326"/>
      <c r="K233" s="1963" t="str">
        <f ca="1">IF(SF!$AS$79="X","",IF(NOT(AND(ISBLANK($H233),ISBLANK($I233),ISBLANK($J233))),"SF Runenkunde aktivieren!",""))</f>
        <v/>
      </c>
      <c r="L233" s="1964"/>
      <c r="M233" s="763"/>
      <c r="N233" s="754">
        <f t="shared" ca="1" si="656"/>
        <v>0</v>
      </c>
      <c r="O233" s="26"/>
      <c r="P233" s="754">
        <f t="shared" ca="1" si="657"/>
        <v>0</v>
      </c>
      <c r="Q233" s="26"/>
      <c r="R233" s="26"/>
      <c r="S233" s="26"/>
      <c r="T233" s="26"/>
      <c r="U233" s="26"/>
      <c r="V233" s="26"/>
      <c r="W233" s="26"/>
      <c r="X233" s="26"/>
      <c r="Y233" s="26"/>
      <c r="Z233" s="26"/>
      <c r="AA233" s="26"/>
      <c r="AB233" s="26"/>
      <c r="AC233" s="26"/>
      <c r="AD233" s="26"/>
      <c r="AE233" s="26"/>
      <c r="AF233" s="26"/>
      <c r="AG233" s="26"/>
      <c r="AH233" s="26"/>
      <c r="AI233" s="26"/>
      <c r="AJ233" s="766"/>
      <c r="AK233" s="767"/>
      <c r="AL233" s="26"/>
      <c r="AM233" s="754">
        <f t="shared" ca="1" si="658"/>
        <v>0</v>
      </c>
      <c r="AN233" s="305"/>
      <c r="AO233" s="760"/>
      <c r="AP233" s="760"/>
      <c r="AQ233" s="760"/>
      <c r="AR233" s="760"/>
      <c r="AS233" s="760"/>
      <c r="AT233" s="760"/>
      <c r="AU233" s="760"/>
      <c r="AV233" s="760"/>
      <c r="AW233" s="760"/>
      <c r="AX233" s="760"/>
      <c r="AY233" s="760"/>
      <c r="AZ233" s="760"/>
      <c r="BA233" s="760"/>
      <c r="BB233" s="305"/>
      <c r="BC233" s="305"/>
      <c r="BD233" s="305"/>
      <c r="BE233" s="305"/>
      <c r="BF233" s="305"/>
      <c r="BG233" s="305"/>
      <c r="BH233" s="305"/>
      <c r="BI233" s="154"/>
      <c r="BJ233" s="154"/>
      <c r="BK233" s="154"/>
      <c r="BL233" s="154"/>
      <c r="BM233" s="154"/>
      <c r="BN233" s="154"/>
      <c r="BO233" s="154"/>
      <c r="BP233" s="154"/>
      <c r="BQ233" s="154"/>
      <c r="BR233" s="154"/>
      <c r="BS233" s="154"/>
      <c r="BT233" s="154"/>
      <c r="BU233" s="154"/>
      <c r="BV233" s="154"/>
      <c r="BW233" s="154"/>
      <c r="BX233" s="154"/>
      <c r="BY233" s="154"/>
      <c r="BZ233" s="154"/>
      <c r="CA233" s="154"/>
      <c r="CB233" s="154"/>
      <c r="CC233" s="154"/>
      <c r="CD233" s="154"/>
      <c r="CE233" s="154"/>
    </row>
    <row r="234" spans="1:83" x14ac:dyDescent="0.2">
      <c r="A234" s="89"/>
      <c r="B234" s="1127"/>
      <c r="C234" s="19"/>
      <c r="D234" s="81"/>
      <c r="E234" s="81"/>
      <c r="F234" s="81"/>
      <c r="G234" s="47"/>
      <c r="H234" s="384"/>
      <c r="I234" s="960"/>
      <c r="J234" s="326"/>
      <c r="K234" s="1963" t="str">
        <f ca="1">IF(SF!$AS$79="X","",IF(NOT(AND(ISBLANK($H234),ISBLANK($I234),ISBLANK($J234))),"SF Runenkunde aktivieren!",""))</f>
        <v/>
      </c>
      <c r="L234" s="1964"/>
      <c r="M234" s="763"/>
      <c r="N234" s="754">
        <f t="shared" ca="1" si="656"/>
        <v>0</v>
      </c>
      <c r="O234" s="26"/>
      <c r="P234" s="754">
        <f t="shared" ca="1" si="657"/>
        <v>0</v>
      </c>
      <c r="Q234" s="26"/>
      <c r="R234" s="26"/>
      <c r="S234" s="26"/>
      <c r="T234" s="26"/>
      <c r="U234" s="26"/>
      <c r="V234" s="26"/>
      <c r="W234" s="26"/>
      <c r="X234" s="26"/>
      <c r="Y234" s="26"/>
      <c r="Z234" s="26"/>
      <c r="AA234" s="26"/>
      <c r="AB234" s="26"/>
      <c r="AC234" s="26"/>
      <c r="AD234" s="26"/>
      <c r="AE234" s="26"/>
      <c r="AF234" s="26"/>
      <c r="AG234" s="26"/>
      <c r="AH234" s="26"/>
      <c r="AI234" s="26"/>
      <c r="AJ234" s="766"/>
      <c r="AK234" s="767"/>
      <c r="AL234" s="26"/>
      <c r="AM234" s="754">
        <f t="shared" ca="1" si="658"/>
        <v>0</v>
      </c>
      <c r="AN234" s="305"/>
      <c r="AO234" s="760"/>
      <c r="AP234" s="760"/>
      <c r="AQ234" s="760"/>
      <c r="AR234" s="760"/>
      <c r="AS234" s="760"/>
      <c r="AT234" s="760"/>
      <c r="AU234" s="760"/>
      <c r="AV234" s="760"/>
      <c r="AW234" s="760"/>
      <c r="AX234" s="760"/>
      <c r="AY234" s="760"/>
      <c r="AZ234" s="760"/>
      <c r="BA234" s="760"/>
      <c r="BB234" s="305"/>
      <c r="BC234" s="305"/>
      <c r="BD234" s="305"/>
      <c r="BE234" s="305"/>
      <c r="BF234" s="305"/>
      <c r="BG234" s="305"/>
      <c r="BH234" s="305"/>
      <c r="BI234" s="154"/>
      <c r="BJ234" s="154"/>
      <c r="BK234" s="154"/>
      <c r="BL234" s="154"/>
      <c r="BM234" s="154"/>
      <c r="BN234" s="154"/>
      <c r="BO234" s="154"/>
      <c r="BP234" s="154"/>
      <c r="BQ234" s="154"/>
      <c r="BR234" s="154"/>
      <c r="BS234" s="154"/>
      <c r="BT234" s="154"/>
      <c r="BU234" s="154"/>
      <c r="BV234" s="154"/>
      <c r="BW234" s="154"/>
      <c r="BX234" s="154"/>
      <c r="BY234" s="154"/>
      <c r="BZ234" s="154"/>
      <c r="CA234" s="154"/>
      <c r="CB234" s="154"/>
      <c r="CC234" s="154"/>
      <c r="CD234" s="154"/>
      <c r="CE234" s="154"/>
    </row>
    <row r="235" spans="1:83" x14ac:dyDescent="0.2">
      <c r="A235" s="89"/>
      <c r="B235" s="1127"/>
      <c r="C235" s="19"/>
      <c r="D235" s="81"/>
      <c r="E235" s="81"/>
      <c r="F235" s="81"/>
      <c r="G235" s="47"/>
      <c r="H235" s="384"/>
      <c r="I235" s="960"/>
      <c r="J235" s="326"/>
      <c r="K235" s="1963" t="str">
        <f ca="1">IF(SF!$AS$79="X","",IF(NOT(AND(ISBLANK($H235),ISBLANK($I235),ISBLANK($J235))),"SF Runenkunde aktivieren!",""))</f>
        <v/>
      </c>
      <c r="L235" s="1964"/>
      <c r="M235" s="763"/>
      <c r="N235" s="754">
        <f t="shared" ca="1" si="656"/>
        <v>0</v>
      </c>
      <c r="O235" s="26"/>
      <c r="P235" s="754">
        <f t="shared" ca="1" si="657"/>
        <v>0</v>
      </c>
      <c r="Q235" s="26"/>
      <c r="R235" s="26"/>
      <c r="S235" s="26"/>
      <c r="T235" s="26"/>
      <c r="U235" s="26"/>
      <c r="V235" s="26"/>
      <c r="W235" s="26"/>
      <c r="X235" s="26"/>
      <c r="Y235" s="26"/>
      <c r="Z235" s="26"/>
      <c r="AA235" s="26"/>
      <c r="AB235" s="26"/>
      <c r="AC235" s="26"/>
      <c r="AD235" s="26"/>
      <c r="AE235" s="26"/>
      <c r="AF235" s="26"/>
      <c r="AG235" s="26"/>
      <c r="AH235" s="26"/>
      <c r="AI235" s="26"/>
      <c r="AJ235" s="766"/>
      <c r="AK235" s="767"/>
      <c r="AL235" s="26"/>
      <c r="AM235" s="754">
        <f t="shared" ca="1" si="658"/>
        <v>0</v>
      </c>
      <c r="AN235" s="305"/>
      <c r="AO235" s="760"/>
      <c r="AP235" s="760"/>
      <c r="AQ235" s="760"/>
      <c r="AR235" s="760"/>
      <c r="AS235" s="760"/>
      <c r="AT235" s="760"/>
      <c r="AU235" s="760"/>
      <c r="AV235" s="760"/>
      <c r="AW235" s="760"/>
      <c r="AX235" s="760"/>
      <c r="AY235" s="760"/>
      <c r="AZ235" s="760"/>
      <c r="BA235" s="760"/>
      <c r="BB235" s="305"/>
      <c r="BC235" s="305"/>
      <c r="BD235" s="305"/>
      <c r="BE235" s="305"/>
      <c r="BF235" s="305"/>
      <c r="BG235" s="305"/>
      <c r="BH235" s="305"/>
      <c r="BI235" s="154"/>
      <c r="BJ235" s="154"/>
      <c r="BK235" s="154"/>
      <c r="BL235" s="154"/>
      <c r="BM235" s="154"/>
      <c r="BN235" s="154"/>
      <c r="BO235" s="154"/>
      <c r="BP235" s="154"/>
      <c r="BQ235" s="154"/>
      <c r="BR235" s="154"/>
      <c r="BS235" s="154"/>
      <c r="BT235" s="154"/>
      <c r="BU235" s="154"/>
      <c r="BV235" s="154"/>
      <c r="BW235" s="154"/>
      <c r="BX235" s="154"/>
      <c r="BY235" s="154"/>
      <c r="BZ235" s="154"/>
      <c r="CA235" s="154"/>
      <c r="CB235" s="154"/>
      <c r="CC235" s="154"/>
      <c r="CD235" s="154"/>
      <c r="CE235" s="154"/>
    </row>
    <row r="236" spans="1:83" ht="15.75" x14ac:dyDescent="0.25">
      <c r="A236" s="168" t="s">
        <v>2221</v>
      </c>
      <c r="B236" s="131"/>
      <c r="C236" s="2004" t="str">
        <f ca="1">IF(NOT(AB237=""),"Wählbare Repräsentation: "&amp;AB237,"")&amp;
IF(NOT(AC237=""),"Verbilligt wählbare Repräsentation: "&amp;AC237,"")</f>
        <v/>
      </c>
      <c r="D236" s="2005"/>
      <c r="E236" s="2005"/>
      <c r="F236" s="2005"/>
      <c r="G236" s="2005"/>
      <c r="H236" s="2005"/>
      <c r="I236" s="2005"/>
      <c r="J236" s="2006"/>
      <c r="K236" s="1879" t="str">
        <f ca="1">IF(APGUT&lt;0,"Keine AP mehr übrig!",IF(TL_GP_UEBRIG&lt;0,"Keine Start-AP mehr übrig!","▼ Fehlermeldungen ▼  "&amp;"(AP: "&amp;APGUT&amp;")"))</f>
        <v>▼ Fehlermeldungen ▼  (AP: 0)</v>
      </c>
      <c r="L236" s="1879"/>
      <c r="M236" s="1212"/>
      <c r="N236" s="1211" t="s">
        <v>1783</v>
      </c>
      <c r="O236" s="1211"/>
      <c r="P236" s="1211" t="s">
        <v>3793</v>
      </c>
      <c r="Q236" s="1211"/>
      <c r="R236" s="1211" t="s">
        <v>4006</v>
      </c>
      <c r="S236" s="1211"/>
      <c r="T236" s="1211" t="s">
        <v>4268</v>
      </c>
      <c r="U236" s="1211" t="s">
        <v>4644</v>
      </c>
      <c r="V236" s="1211"/>
      <c r="W236" s="1211"/>
      <c r="X236" s="1211"/>
      <c r="Y236" s="1211"/>
      <c r="Z236" s="1211"/>
      <c r="AA236" s="1211"/>
      <c r="AB236" s="1211" t="s">
        <v>7281</v>
      </c>
      <c r="AC236" s="1211"/>
      <c r="AD236" s="1211"/>
      <c r="AJ236" s="98"/>
      <c r="AK236" s="97"/>
      <c r="AL236" s="97"/>
      <c r="AM236" s="97"/>
      <c r="AO236" s="100"/>
      <c r="AP236" s="100"/>
      <c r="AQ236" s="100"/>
      <c r="AR236" s="100"/>
      <c r="AS236" s="100"/>
      <c r="AT236" s="100"/>
      <c r="AU236" s="100"/>
      <c r="AV236" s="100"/>
      <c r="AW236" s="100"/>
      <c r="AX236" s="100"/>
      <c r="AY236" s="100"/>
      <c r="AZ236" s="100"/>
      <c r="BA236" s="100"/>
      <c r="BG236" s="154"/>
      <c r="BH236" s="154"/>
      <c r="BI236" s="154"/>
      <c r="BJ236" s="154"/>
      <c r="BK236" s="154"/>
      <c r="BL236" s="154"/>
      <c r="BM236" s="154"/>
      <c r="BN236" s="154"/>
      <c r="BO236" s="154"/>
      <c r="BP236" s="154"/>
      <c r="BQ236" s="154"/>
      <c r="BR236" s="154"/>
      <c r="BS236" s="154"/>
      <c r="BT236" s="154"/>
      <c r="BU236" s="154"/>
      <c r="BV236" s="154"/>
      <c r="BW236" s="154"/>
      <c r="BX236" s="154"/>
      <c r="BY236" s="154"/>
      <c r="BZ236" s="154"/>
      <c r="CA236" s="154"/>
      <c r="CB236" s="154"/>
      <c r="CC236" s="154"/>
      <c r="CD236" s="154"/>
      <c r="CE236" s="154"/>
    </row>
    <row r="237" spans="1:83" x14ac:dyDescent="0.2">
      <c r="A237" s="89"/>
      <c r="B237" s="1127"/>
      <c r="C237" s="123"/>
      <c r="D237" s="1973" t="s">
        <v>1635</v>
      </c>
      <c r="E237" s="1973"/>
      <c r="F237" s="1973"/>
      <c r="G237" s="1973"/>
      <c r="H237" s="384"/>
      <c r="I237" s="960"/>
      <c r="J237" s="326"/>
      <c r="K237" s="1999" t="str">
        <f>IF(ISBLANK($A237),"",IF(OR(VT_VOLLZBR,VT_HALBZBR),"","Bei Viertelzauberern nicht möglich"))</f>
        <v/>
      </c>
      <c r="L237" s="2000"/>
      <c r="M237" s="296"/>
      <c r="N237" s="753">
        <f>IF(AND(NOT(ISBLANK($H237)),EXACT($K237,""),NOT($A237="")),ROUND(T237/50,0),0)</f>
        <v>0</v>
      </c>
      <c r="O237" s="25"/>
      <c r="P237" s="753">
        <f>IF(AND(NOT(ISBLANK($I237)),EXACT($K237,""),NOT($A237="")),T237,0)</f>
        <v>0</v>
      </c>
      <c r="Q237" s="25"/>
      <c r="R237" s="753">
        <f>IF(AND(NOT(ISBLANK($J237)),EXACT($K237,"")),T237,0)</f>
        <v>0</v>
      </c>
      <c r="S237" s="25"/>
      <c r="T237" s="756">
        <f ca="1">IF(AND(NOT(ISBLANK($A237)),NOT($B237="X")),
2000*IF(AND(EXACT(PROFGRDGENE,"Magier"),EXACT($A237,"Bor")),3/4,1)
*IF(AND(EXACT(PROFGRDGENE,"Magier"),EXACT($A237,"Srl")),1/2,1)
*IF(OR(AND(EXACT(PROFGRDGENE,"Druiden"),EXACT($A237,"Geo")),AND(EXACT(PROFGRDGENE,"Geoden"),EXACT($D237,"Dru"))),3/4,1)
*IF(AND(EXACT(PROFGRDGENE,"Scharlatane"),EXACT($A237,"Mag")),3/4,1),IF(NOT(ISERR(FIND("Halbzauberer",VORTEILEGENE))),3000,0))*U237</f>
        <v>0</v>
      </c>
      <c r="U237" s="756">
        <f ca="1">IF(B237="V",0.5,IF(ISBLANK(ZS_AKADEMIE),IF(OR(EXACT(HLOOKUP(PROFGENE,INDIRECT(PROFGEBIET),IDX_VREP,FALSE),A237),EXACT(HLOOKUP(PROFGENE,INDIRECT(PROFGEBIET),IDX_VREP+1,FALSE),A237)),0.5,1),IF(OR(EXACT(HLOOKUP(ZS_AKADEMIE,PROFMAGIE,IDX_REP,FALSE),A237),EXACT(HLOOKUP(ZS_AKADEMIE,PROFMAGIE,IDX_REP+1,FALSE),A237)),0.5,1)))</f>
        <v>0.5</v>
      </c>
      <c r="V237" s="25"/>
      <c r="W237" s="26"/>
      <c r="X237" s="26"/>
      <c r="Y237" s="26"/>
      <c r="Z237" s="26"/>
      <c r="AA237" s="26"/>
      <c r="AB237" s="352" t="str">
        <f ca="1">HLOOKUP(RASSEGENE,RASSE,IDX_WREP,FALSE)&amp;
HLOOKUP(KULTURGENE,KULTUR,IDX_WREP,FALSE)&amp;
HLOOKUP(PROFGENE,INDIRECT(PROFGEBIET),IDX_WREP,FALSE)&amp;
IF(LEN(PROFZWEITE)&lt;1,"",
IF(HLOOKUP(PROFZWEITE,INDIRECT(PROFGEBIET2),IDX_WREP,FALSE)="","",CHAR(10)&amp;"Wählbares aus 2.Profession, zu berücksichtigen bei Steigerungsmöglichkeiten: "&amp;HLOOKUP(PROFZWEITE,INDIRECT(PROFGEBIET2),IDX_WREP,FALSE)))</f>
        <v/>
      </c>
      <c r="AC237" s="352" t="str">
        <f ca="1">HLOOKUP(RASSEGENE,RASSE,IDX_WVREP,FALSE)&amp;
HLOOKUP(KULTURGENE,KULTUR,IDX_WVREP,FALSE)&amp;
HLOOKUP(PROFGENE,INDIRECT(PROFGEBIET),IDX_WVREP,FALSE)&amp;
IF(LEN(PROFZWEITE)&lt;1,"",
IF(HLOOKUP(PROFZWEITE,INDIRECT(PROFGEBIET2),IDX_WVREP,FALSE)="","",CHAR(10)&amp;"Wählbares aus 2.Profession, zu berücksichtigen bei Steigerungsmöglichkeiten: "&amp;HLOOKUP(PROFZWEITE,INDIRECT(PROFGEBIET2),IDX_WVREP,FALSE)))</f>
        <v/>
      </c>
      <c r="AD237" s="26"/>
      <c r="AJ237" s="98"/>
      <c r="AK237" s="97"/>
      <c r="AL237" s="97"/>
      <c r="AM237" s="97"/>
      <c r="AO237" s="100"/>
      <c r="AP237" s="100"/>
      <c r="AQ237" s="100"/>
      <c r="AR237" s="100"/>
      <c r="AS237" s="100"/>
      <c r="AT237" s="100"/>
      <c r="AU237" s="100"/>
      <c r="AV237" s="100"/>
      <c r="AW237" s="100"/>
      <c r="AX237" s="100"/>
      <c r="AY237" s="100"/>
      <c r="AZ237" s="100"/>
      <c r="BA237" s="100"/>
      <c r="BG237" s="154"/>
      <c r="BH237" s="154"/>
      <c r="BI237" s="154"/>
      <c r="BJ237" s="154"/>
      <c r="BK237" s="154"/>
      <c r="BL237" s="154"/>
      <c r="BM237" s="154"/>
      <c r="BN237" s="154"/>
      <c r="BO237" s="154"/>
      <c r="BP237" s="154"/>
      <c r="BQ237" s="154"/>
      <c r="BR237" s="154"/>
      <c r="BS237" s="154"/>
      <c r="BT237" s="154"/>
      <c r="BU237" s="154"/>
      <c r="BV237" s="154"/>
      <c r="BW237" s="154"/>
      <c r="BX237" s="154"/>
      <c r="BY237" s="154"/>
      <c r="BZ237" s="154"/>
      <c r="CA237" s="154"/>
      <c r="CB237" s="154"/>
      <c r="CC237" s="154"/>
      <c r="CD237" s="154"/>
      <c r="CE237" s="154"/>
    </row>
    <row r="238" spans="1:83" x14ac:dyDescent="0.2">
      <c r="A238" s="89"/>
      <c r="B238" s="1127"/>
      <c r="C238" s="123"/>
      <c r="D238" s="1998" t="s">
        <v>1636</v>
      </c>
      <c r="E238" s="1998"/>
      <c r="F238" s="1998"/>
      <c r="G238" s="1998"/>
      <c r="H238" s="384"/>
      <c r="I238" s="960"/>
      <c r="J238" s="326"/>
      <c r="K238" s="1996" t="str">
        <f>IF(ISBLANK($A238),"",IF(VT_VOLLZBR,"","Bei Viertel- oder Halbzauberern nicht möglich"))</f>
        <v/>
      </c>
      <c r="L238" s="1997"/>
      <c r="M238" s="296"/>
      <c r="N238" s="754">
        <f>IF(AND(NOT(ISBLANK($H238)),EXACT($K238,""),NOT($A238="")),ROUND(T238/50,0),0)</f>
        <v>0</v>
      </c>
      <c r="O238" s="25"/>
      <c r="P238" s="754">
        <f>IF(AND(NOT(ISBLANK($I238)),EXACT($K238,""),NOT($A238="")),T238,0)</f>
        <v>0</v>
      </c>
      <c r="Q238" s="25"/>
      <c r="R238" s="754">
        <f>IF(AND(NOT(ISBLANK($J238)),EXACT($K238,"")),T238,0)</f>
        <v>0</v>
      </c>
      <c r="S238" s="25"/>
      <c r="T238" s="757">
        <f ca="1">IF(AND(NOT(ISBLANK($A238)),NOT($B238="X")),
4000*IF(AND(EXACT(PROFGRDGENE,"Magier"),EXACT($A238,"Bor")),3/4,1)
*IF(AND(EXACT(PROFGRDGENE,"Magier"),EXACT($A238,"Srl")),1/2,1)
*IF(OR(AND(EXACT(PROFGRDGENE,"Druiden"),EXACT($A238,"Geo")),AND(EXACT(PROFGRDGENE,"Geoden"),EXACT($D238,"Dru"))),3/4,1)
*IF(AND(EXACT(PROFGRDGENE,"Scharlatane"),EXACT($A238,"Mag")),3/4,1),0)*U238</f>
        <v>0</v>
      </c>
      <c r="U238" s="757">
        <f ca="1">IF(B238="V",0.5,IF(ISBLANK(ZS_AKADEMIE),IF(OR(EXACT(HLOOKUP(PROFGENE,INDIRECT(PROFGEBIET),IDX_VREP,FALSE),A238),EXACT(HLOOKUP(PROFGENE,INDIRECT(PROFGEBIET),IDX_VREP+1,FALSE),A238)),0.5,1),IF(OR(EXACT(HLOOKUP(ZS_AKADEMIE,PROFMAGIE,IDX_REP,FALSE),A238),EXACT(HLOOKUP(ZS_AKADEMIE,PROFMAGIE,IDX_REP+1,FALSE),A238)),0.5,1)))</f>
        <v>0.5</v>
      </c>
      <c r="V238" s="25"/>
      <c r="W238" s="26"/>
      <c r="X238" s="26"/>
      <c r="Y238" s="26"/>
      <c r="Z238" s="26"/>
      <c r="AA238" s="26"/>
      <c r="AB238" s="26"/>
      <c r="AC238" s="26"/>
      <c r="AD238" s="26"/>
      <c r="AJ238" s="98"/>
      <c r="AK238" s="97"/>
      <c r="AL238" s="97"/>
      <c r="AM238" s="97"/>
      <c r="AO238" s="100"/>
      <c r="AP238" s="100"/>
      <c r="AQ238" s="100"/>
      <c r="AR238" s="100"/>
      <c r="AS238" s="100"/>
      <c r="AT238" s="100"/>
      <c r="AU238" s="100"/>
      <c r="AV238" s="100"/>
      <c r="AW238" s="100"/>
      <c r="AX238" s="100"/>
      <c r="AY238" s="100"/>
      <c r="AZ238" s="100"/>
      <c r="BA238" s="100"/>
      <c r="BG238" s="154"/>
      <c r="BH238" s="154"/>
      <c r="BI238" s="154"/>
      <c r="BJ238" s="154"/>
      <c r="BK238" s="154"/>
      <c r="BL238" s="154"/>
      <c r="BM238" s="154"/>
      <c r="BN238" s="154"/>
      <c r="BO238" s="154"/>
      <c r="BP238" s="154"/>
      <c r="BQ238" s="154"/>
      <c r="BR238" s="154"/>
      <c r="BS238" s="154"/>
      <c r="BT238" s="154"/>
      <c r="BU238" s="154"/>
      <c r="BV238" s="154"/>
      <c r="BW238" s="154"/>
      <c r="BX238" s="154"/>
      <c r="BY238" s="154"/>
      <c r="BZ238" s="154"/>
      <c r="CA238" s="154"/>
      <c r="CB238" s="154"/>
      <c r="CC238" s="154"/>
      <c r="CD238" s="154"/>
      <c r="CE238" s="154"/>
    </row>
    <row r="239" spans="1:83" ht="15.75" x14ac:dyDescent="0.25">
      <c r="A239" s="168" t="s">
        <v>7541</v>
      </c>
      <c r="B239" s="131"/>
      <c r="C239" s="131"/>
      <c r="D239" s="127"/>
      <c r="E239" s="127"/>
      <c r="F239" s="127"/>
      <c r="G239" s="127"/>
      <c r="H239" s="980"/>
      <c r="I239" s="980"/>
      <c r="J239" s="981"/>
      <c r="K239" s="1879" t="str">
        <f ca="1">IF(APGUT&lt;0,"Keine AP mehr übrig!",IF(TL_GP_UEBRIG&lt;0,"Keine Start-AP mehr übrig!","▼ Fehlermeldungen ▼  "&amp;"(AP: "&amp;APGUT&amp;")"))</f>
        <v>▼ Fehlermeldungen ▼  (AP: 0)</v>
      </c>
      <c r="L239" s="1879"/>
      <c r="M239" s="26"/>
      <c r="N239" s="134"/>
      <c r="O239" s="26"/>
      <c r="P239" s="134"/>
      <c r="Q239" s="26"/>
      <c r="R239" s="134"/>
      <c r="S239" s="26"/>
      <c r="T239" s="26"/>
      <c r="U239" s="26"/>
      <c r="V239" s="26"/>
      <c r="W239" s="26"/>
      <c r="X239" s="26"/>
      <c r="Y239" s="26"/>
      <c r="Z239" s="26"/>
      <c r="AA239" s="26"/>
      <c r="AB239" s="26"/>
      <c r="AC239" s="26"/>
      <c r="AD239" s="26"/>
      <c r="AJ239" s="98"/>
      <c r="AK239" s="97"/>
      <c r="AL239" s="97"/>
      <c r="AM239" s="97"/>
      <c r="AO239" s="100"/>
      <c r="AP239" s="100"/>
      <c r="AQ239" s="100"/>
      <c r="AR239" s="100"/>
      <c r="AS239" s="100"/>
      <c r="AT239" s="100"/>
      <c r="AU239" s="100"/>
      <c r="AV239" s="100"/>
      <c r="AW239" s="100"/>
      <c r="AX239" s="100"/>
      <c r="AY239" s="100"/>
      <c r="AZ239" s="100"/>
      <c r="BA239" s="100"/>
      <c r="BG239" s="154"/>
      <c r="BH239" s="154"/>
      <c r="BI239" s="154"/>
      <c r="BJ239" s="154"/>
      <c r="BK239" s="154"/>
      <c r="BL239" s="154"/>
      <c r="BM239" s="154"/>
      <c r="BN239" s="154"/>
      <c r="BO239" s="154"/>
      <c r="BP239" s="154"/>
      <c r="BQ239" s="154"/>
      <c r="BR239" s="154"/>
      <c r="BS239" s="154"/>
      <c r="BT239" s="154"/>
      <c r="BU239" s="154"/>
      <c r="BV239" s="154"/>
      <c r="BW239" s="154"/>
      <c r="BX239" s="154"/>
      <c r="BY239" s="154"/>
      <c r="BZ239" s="154"/>
      <c r="CA239" s="154"/>
      <c r="CB239" s="154"/>
      <c r="CC239" s="154"/>
      <c r="CD239" s="154"/>
      <c r="CE239" s="154"/>
    </row>
    <row r="240" spans="1:83" ht="27.75" customHeight="1" x14ac:dyDescent="0.2">
      <c r="A240" s="2001" t="str">
        <f ca="1">IF(NOT(AB247=""),"Wählbare Merkmale: "&amp;AB247&amp;" ","") &amp;
IF(NOT(AC247=""),"Verbilligt wählbare Merkmale: "&amp;AC247,"")</f>
        <v/>
      </c>
      <c r="B240" s="2002"/>
      <c r="C240" s="2002"/>
      <c r="D240" s="2002"/>
      <c r="E240" s="2002"/>
      <c r="F240" s="2002"/>
      <c r="G240" s="2002"/>
      <c r="H240" s="2002"/>
      <c r="I240" s="2002"/>
      <c r="J240" s="2002"/>
      <c r="K240" s="2002"/>
      <c r="L240" s="2003"/>
      <c r="M240" s="1211"/>
      <c r="N240" s="1211" t="s">
        <v>1783</v>
      </c>
      <c r="O240" s="1211"/>
      <c r="P240" s="1211" t="s">
        <v>3793</v>
      </c>
      <c r="Q240" s="1211"/>
      <c r="R240" s="1211" t="s">
        <v>4006</v>
      </c>
      <c r="S240" s="1211"/>
      <c r="T240" s="1211" t="s">
        <v>4644</v>
      </c>
      <c r="U240" s="1211"/>
      <c r="V240" s="1211" t="s">
        <v>2179</v>
      </c>
      <c r="W240" s="1211"/>
      <c r="X240" s="1211" t="str">
        <f ca="1">AB241</f>
        <v>KL</v>
      </c>
      <c r="Y240" s="1211" t="s">
        <v>2178</v>
      </c>
      <c r="Z240" s="1211"/>
      <c r="AA240" s="1211"/>
      <c r="AB240" s="1211" t="s">
        <v>6689</v>
      </c>
      <c r="AC240" s="1211"/>
      <c r="AD240" s="1211"/>
      <c r="AE240" s="1211"/>
      <c r="AF240" s="1211" t="s">
        <v>7280</v>
      </c>
      <c r="AG240" s="1211"/>
      <c r="AH240" s="1211"/>
      <c r="AJ240" s="98"/>
      <c r="AK240" s="97"/>
      <c r="AL240" s="97"/>
      <c r="AM240" s="97"/>
      <c r="AO240" s="100"/>
      <c r="AP240" s="100"/>
      <c r="AQ240" s="100"/>
      <c r="AR240" s="100"/>
      <c r="AS240" s="100"/>
      <c r="AT240" s="100"/>
      <c r="AU240" s="100"/>
      <c r="AV240" s="100"/>
      <c r="AW240" s="100"/>
      <c r="AX240" s="100"/>
      <c r="AY240" s="100"/>
      <c r="AZ240" s="100"/>
      <c r="BA240" s="100"/>
      <c r="BG240" s="154"/>
      <c r="BH240" s="154"/>
      <c r="BI240" s="154"/>
      <c r="BJ240" s="154"/>
      <c r="BK240" s="154"/>
      <c r="BL240" s="154"/>
      <c r="BM240" s="154"/>
      <c r="BN240" s="154"/>
      <c r="BO240" s="154"/>
      <c r="BP240" s="154"/>
      <c r="BQ240" s="154"/>
      <c r="BR240" s="154"/>
      <c r="BS240" s="154"/>
      <c r="BT240" s="154"/>
      <c r="BU240" s="154"/>
      <c r="BV240" s="154"/>
      <c r="BW240" s="154"/>
      <c r="BX240" s="154"/>
      <c r="BY240" s="154"/>
      <c r="BZ240" s="154"/>
      <c r="CA240" s="154"/>
      <c r="CB240" s="154"/>
      <c r="CC240" s="154"/>
      <c r="CD240" s="154"/>
      <c r="CE240" s="154"/>
    </row>
    <row r="241" spans="1:83" ht="12.75" customHeight="1" x14ac:dyDescent="0.2">
      <c r="A241" s="89"/>
      <c r="B241" s="1127"/>
      <c r="C241" s="123"/>
      <c r="D241" s="1973" t="str">
        <f t="shared" ref="D241:D246" ca="1" si="659">Z241&amp;". Merkmal"</f>
        <v>1. Merkmal</v>
      </c>
      <c r="E241" s="1973"/>
      <c r="F241" s="1973"/>
      <c r="G241" s="1974"/>
      <c r="H241" s="384"/>
      <c r="I241" s="960"/>
      <c r="J241" s="326"/>
      <c r="K241" s="1965" t="str">
        <f t="shared" ref="K241:K246" si="660">IF(OR(EXACT($AF241,""),B241="X"),"",IF($AC$241&lt;X241,$AB$241&amp;" muss "&amp;X241&amp;" oder höher sein.",""))</f>
        <v/>
      </c>
      <c r="L241" s="1964"/>
      <c r="M241" s="607"/>
      <c r="N241" s="753">
        <f t="shared" ref="N241:N247" si="661">IF(AND(NOT(ISBLANK($H241)),EXACT($K241,""),NOT($A241=""),NOT($B241="X")),ROUND(VLOOKUP($A241,MERKMALE_AP,4)/50*V241*T241,0),0)</f>
        <v>0</v>
      </c>
      <c r="O241" s="25"/>
      <c r="P241" s="753">
        <f t="shared" ref="P241:P247" si="662">IF(AND(NOT(ISBLANK($I241)),EXACT($K241,""),NOT($A241=""),NOT($B241="X")),ROUND(VLOOKUP($A241,MERKMALE_AP,4)*V241*T241,0),0)</f>
        <v>0</v>
      </c>
      <c r="Q241" s="25"/>
      <c r="R241" s="753">
        <f t="shared" ref="R241:R247" si="663">IF(AND(NOT($A241=""),ISBLANK($H241),ISBLANK($I241),NOT(ISBLANK(J241)),NOT($B241="X")),
ROUND(VLOOKUP($A241,MERKMALE_AP,4)*V241*T241,0),0)</f>
        <v>0</v>
      </c>
      <c r="S241" s="90"/>
      <c r="T241" s="753">
        <f t="shared" ref="T241:T247" ca="1" si="664">IF(OR(EXACT(HLOOKUP(PROFGENE,INDIRECT(PROFGEBIET),IDX_VMRK,FALSE),AF241),EXACT(HLOOKUP(PROFGENE,INDIRECT(PROFGEBIET),IDX_VMRK+1,FALSE),AF241),$B241="V"),0.5,1)*IF(VT_AKADMAG,0.75,1)</f>
        <v>0.5</v>
      </c>
      <c r="U241" s="25"/>
      <c r="V241" s="754">
        <v>1</v>
      </c>
      <c r="W241" s="26"/>
      <c r="X241" s="753">
        <f ca="1">IF(Z241=2,13,IF(Z241=3,15,0))</f>
        <v>0</v>
      </c>
      <c r="Y241" s="25"/>
      <c r="Z241" s="753">
        <f ca="1">SUM(IF(BP2="",0,1),IF(BP3="",0,1),1)</f>
        <v>1</v>
      </c>
      <c r="AA241" s="26"/>
      <c r="AB241" s="352" t="str">
        <f ca="1">IF(OR(EXACT(PROFGRDGENE,"Alchimist"),EXACT(PROFGRDGENE,"Druiden"),EXACT(PROFGRDGENE,"Magier"),EXACT(PROFGRDGENE,"Zibilija"),EXACT(PROFGRDGENE,"Scharlatane"),EXACT(PROFGENE,"Herr der Erde")),"KL",IF(MAGISCH,"IN","KL"))</f>
        <v>KL</v>
      </c>
      <c r="AC241" s="26">
        <f ca="1">IF(LEITEIGENSCHAFT="","",INDIRECT(AB241))</f>
        <v>8</v>
      </c>
      <c r="AD241" s="26"/>
      <c r="AE241" s="26"/>
      <c r="AF241" s="89" t="str">
        <f>IF(AND(B241&lt;&gt;"X",ISBLANK(H241),ISBLANK(I241),ISBLANK(J241)),"",A241)</f>
        <v/>
      </c>
      <c r="AG241" s="26"/>
      <c r="AH241" s="89" t="str">
        <f ca="1">IF(BP2="","",BP2&amp;";")&amp;IF(BP3="","",BP3&amp;";")&amp;IF(A241="","",IF(OR(NOT(ISBLANK(H241)),NOT(ISBLANK(I241))),A241&amp;";","")) &amp;IF(A242="","",IF(OR(NOT(ISBLANK(H242)),NOT(ISBLANK(I242))),A242&amp;";",""))  &amp;IF(A243="","",IF(OR(NOT(ISBLANK(H243)),NOT(ISBLANK(I243))),A243&amp;";","")) &amp;IF(A244="","",IF(OR(NOT(ISBLANK(H244)),NOT(ISBLANK(I244))),A244&amp;";",""))</f>
        <v/>
      </c>
      <c r="AJ241" s="98"/>
      <c r="AK241" s="97"/>
      <c r="AL241" s="97"/>
      <c r="AM241" s="97"/>
      <c r="AO241" s="100"/>
      <c r="AP241" s="100"/>
      <c r="AQ241" s="100"/>
      <c r="AR241" s="100"/>
      <c r="AS241" s="100"/>
      <c r="AT241" s="100"/>
      <c r="AU241" s="100"/>
      <c r="AV241" s="100"/>
      <c r="AW241" s="100"/>
      <c r="AX241" s="100"/>
      <c r="AY241" s="100"/>
      <c r="AZ241" s="100"/>
      <c r="BA241" s="100"/>
      <c r="BG241" s="154"/>
      <c r="BH241" s="154"/>
      <c r="BI241" s="154"/>
      <c r="BJ241" s="154"/>
      <c r="BK241" s="154"/>
      <c r="BL241" s="154"/>
      <c r="BM241" s="154"/>
      <c r="BN241" s="154"/>
      <c r="BO241" s="154"/>
      <c r="BP241" s="154"/>
      <c r="BQ241" s="154"/>
      <c r="BR241" s="154"/>
      <c r="BS241" s="154"/>
      <c r="BT241" s="154"/>
      <c r="BU241" s="154"/>
      <c r="BV241" s="154"/>
      <c r="BW241" s="154"/>
      <c r="BX241" s="154"/>
      <c r="BY241" s="154"/>
      <c r="BZ241" s="154"/>
      <c r="CA241" s="154"/>
      <c r="CB241" s="154"/>
      <c r="CC241" s="154"/>
      <c r="CD241" s="154"/>
      <c r="CE241" s="154"/>
    </row>
    <row r="242" spans="1:83" x14ac:dyDescent="0.2">
      <c r="A242" s="89"/>
      <c r="B242" s="1127"/>
      <c r="C242" s="123"/>
      <c r="D242" s="1972" t="str">
        <f t="shared" ca="1" si="659"/>
        <v>2. Merkmal</v>
      </c>
      <c r="E242" s="1972"/>
      <c r="F242" s="1972"/>
      <c r="G242" s="1972"/>
      <c r="H242" s="384"/>
      <c r="I242" s="960"/>
      <c r="J242" s="326"/>
      <c r="K242" s="1965" t="str">
        <f t="shared" si="660"/>
        <v/>
      </c>
      <c r="L242" s="1964"/>
      <c r="M242" s="608"/>
      <c r="N242" s="754">
        <f t="shared" si="661"/>
        <v>0</v>
      </c>
      <c r="O242" s="25"/>
      <c r="P242" s="754">
        <f t="shared" si="662"/>
        <v>0</v>
      </c>
      <c r="Q242" s="25"/>
      <c r="R242" s="754">
        <f t="shared" si="663"/>
        <v>0</v>
      </c>
      <c r="S242" s="90"/>
      <c r="T242" s="754">
        <f t="shared" ca="1" si="664"/>
        <v>0.5</v>
      </c>
      <c r="U242" s="25"/>
      <c r="V242" s="754">
        <v>1</v>
      </c>
      <c r="W242" s="26"/>
      <c r="X242" s="754">
        <f t="shared" ref="X242:X247" ca="1" si="665">IF(Z242=2,13,IF(Z242=3,15,X241+1))</f>
        <v>13</v>
      </c>
      <c r="Y242" s="25"/>
      <c r="Z242" s="754">
        <f t="shared" ref="Z242:Z247" ca="1" si="666">Z241+1</f>
        <v>2</v>
      </c>
      <c r="AA242" s="26"/>
      <c r="AB242" s="26"/>
      <c r="AC242" s="26"/>
      <c r="AD242" s="26"/>
      <c r="AE242" s="26"/>
      <c r="AF242" s="89" t="str">
        <f t="shared" ref="AF242:AF247" si="667">IF(AND(B242&lt;&gt;"X",ISBLANK(H242),ISBLANK(I242),ISBLANK(J242)),"",A242)</f>
        <v/>
      </c>
      <c r="AG242" s="26"/>
      <c r="AH242" s="26"/>
      <c r="AJ242" s="98"/>
      <c r="AK242" s="97"/>
      <c r="AL242" s="97"/>
      <c r="AM242" s="97"/>
      <c r="AO242" s="100"/>
      <c r="AP242" s="100"/>
      <c r="AQ242" s="100"/>
      <c r="AR242" s="100"/>
      <c r="AS242" s="100"/>
      <c r="AT242" s="100"/>
      <c r="AU242" s="100"/>
      <c r="AV242" s="100"/>
      <c r="AW242" s="100"/>
      <c r="AX242" s="100"/>
      <c r="AY242" s="100"/>
      <c r="AZ242" s="100"/>
      <c r="BA242" s="100"/>
      <c r="BG242" s="154"/>
      <c r="BH242" s="154"/>
      <c r="BI242" s="154"/>
      <c r="BJ242" s="154"/>
      <c r="BK242" s="154"/>
      <c r="BL242" s="154"/>
      <c r="BM242" s="154"/>
      <c r="BN242" s="154"/>
      <c r="BO242" s="154"/>
      <c r="BP242" s="154"/>
      <c r="BQ242" s="154"/>
      <c r="BR242" s="154"/>
      <c r="BS242" s="154"/>
      <c r="BT242" s="154"/>
      <c r="BU242" s="154"/>
      <c r="BV242" s="154"/>
      <c r="BW242" s="154"/>
      <c r="BX242" s="154"/>
      <c r="BY242" s="154"/>
      <c r="BZ242" s="154"/>
      <c r="CA242" s="154"/>
      <c r="CB242" s="154"/>
      <c r="CC242" s="154"/>
      <c r="CD242" s="154"/>
      <c r="CE242" s="154"/>
    </row>
    <row r="243" spans="1:83" x14ac:dyDescent="0.2">
      <c r="A243" s="89"/>
      <c r="B243" s="1127"/>
      <c r="C243" s="123"/>
      <c r="D243" s="1972" t="str">
        <f t="shared" ca="1" si="659"/>
        <v>3. Merkmal</v>
      </c>
      <c r="E243" s="1972"/>
      <c r="F243" s="1972"/>
      <c r="G243" s="1972"/>
      <c r="H243" s="384"/>
      <c r="I243" s="960"/>
      <c r="J243" s="326"/>
      <c r="K243" s="1965" t="str">
        <f t="shared" si="660"/>
        <v/>
      </c>
      <c r="L243" s="1964"/>
      <c r="M243" s="608"/>
      <c r="N243" s="754">
        <f t="shared" si="661"/>
        <v>0</v>
      </c>
      <c r="O243" s="25"/>
      <c r="P243" s="754">
        <f t="shared" si="662"/>
        <v>0</v>
      </c>
      <c r="Q243" s="25"/>
      <c r="R243" s="754">
        <f t="shared" si="663"/>
        <v>0</v>
      </c>
      <c r="S243" s="90"/>
      <c r="T243" s="754">
        <f t="shared" ca="1" si="664"/>
        <v>0.5</v>
      </c>
      <c r="U243" s="25"/>
      <c r="V243" s="754">
        <v>1</v>
      </c>
      <c r="W243" s="26"/>
      <c r="X243" s="754">
        <f t="shared" ca="1" si="665"/>
        <v>15</v>
      </c>
      <c r="Y243" s="25"/>
      <c r="Z243" s="754">
        <f t="shared" ca="1" si="666"/>
        <v>3</v>
      </c>
      <c r="AA243" s="26"/>
      <c r="AB243" s="26"/>
      <c r="AC243" s="26"/>
      <c r="AD243" s="26"/>
      <c r="AE243" s="26"/>
      <c r="AF243" s="89" t="str">
        <f t="shared" si="667"/>
        <v/>
      </c>
      <c r="AG243" s="26"/>
      <c r="AH243" s="26"/>
      <c r="AJ243" s="98"/>
      <c r="AK243" s="97"/>
      <c r="AL243" s="97"/>
      <c r="AM243" s="97"/>
      <c r="AO243" s="100"/>
      <c r="AP243" s="100"/>
      <c r="AQ243" s="100"/>
      <c r="AR243" s="100"/>
      <c r="AS243" s="100"/>
      <c r="AT243" s="100"/>
      <c r="AU243" s="100"/>
      <c r="AV243" s="100"/>
      <c r="AW243" s="100"/>
      <c r="AX243" s="100"/>
      <c r="AY243" s="100"/>
      <c r="AZ243" s="100"/>
      <c r="BA243" s="100"/>
      <c r="BG243" s="154"/>
      <c r="BH243" s="154"/>
      <c r="BI243" s="154"/>
      <c r="BJ243" s="154"/>
      <c r="BK243" s="154"/>
      <c r="BL243" s="154"/>
      <c r="BM243" s="154"/>
      <c r="BN243" s="154"/>
      <c r="BO243" s="154"/>
      <c r="BP243" s="154"/>
      <c r="BQ243" s="154"/>
      <c r="BR243" s="154"/>
      <c r="BS243" s="154"/>
      <c r="BT243" s="154"/>
      <c r="BU243" s="154"/>
      <c r="BV243" s="154"/>
      <c r="BW243" s="154"/>
      <c r="BX243" s="154"/>
      <c r="BY243" s="154"/>
      <c r="BZ243" s="154"/>
      <c r="CA243" s="154"/>
      <c r="CB243" s="154"/>
      <c r="CC243" s="154"/>
      <c r="CD243" s="154"/>
      <c r="CE243" s="154"/>
    </row>
    <row r="244" spans="1:83" x14ac:dyDescent="0.2">
      <c r="A244" s="89"/>
      <c r="B244" s="1127"/>
      <c r="C244" s="123"/>
      <c r="D244" s="1972" t="str">
        <f t="shared" ca="1" si="659"/>
        <v>4. Merkmal</v>
      </c>
      <c r="E244" s="1972"/>
      <c r="F244" s="1972"/>
      <c r="G244" s="1972"/>
      <c r="H244" s="384"/>
      <c r="I244" s="960"/>
      <c r="J244" s="326"/>
      <c r="K244" s="1965" t="str">
        <f t="shared" si="660"/>
        <v/>
      </c>
      <c r="L244" s="1964"/>
      <c r="M244" s="608"/>
      <c r="N244" s="754">
        <f t="shared" si="661"/>
        <v>0</v>
      </c>
      <c r="O244" s="25"/>
      <c r="P244" s="754">
        <f t="shared" si="662"/>
        <v>0</v>
      </c>
      <c r="Q244" s="25"/>
      <c r="R244" s="754">
        <f t="shared" si="663"/>
        <v>0</v>
      </c>
      <c r="S244" s="90"/>
      <c r="T244" s="754">
        <f t="shared" ca="1" si="664"/>
        <v>0.5</v>
      </c>
      <c r="U244" s="25"/>
      <c r="V244" s="754">
        <v>1</v>
      </c>
      <c r="W244" s="26"/>
      <c r="X244" s="754">
        <f t="shared" ca="1" si="665"/>
        <v>16</v>
      </c>
      <c r="Y244" s="25"/>
      <c r="Z244" s="754">
        <f t="shared" ca="1" si="666"/>
        <v>4</v>
      </c>
      <c r="AA244" s="26"/>
      <c r="AB244" s="26"/>
      <c r="AC244" s="26"/>
      <c r="AD244" s="26"/>
      <c r="AE244" s="26"/>
      <c r="AF244" s="89" t="str">
        <f t="shared" si="667"/>
        <v/>
      </c>
      <c r="AG244" s="26"/>
      <c r="AH244" s="26"/>
      <c r="AJ244" s="98"/>
      <c r="AK244" s="97"/>
      <c r="AL244" s="97"/>
      <c r="AM244" s="97"/>
      <c r="AO244" s="100"/>
      <c r="AP244" s="100"/>
      <c r="AQ244" s="100"/>
      <c r="AR244" s="100"/>
      <c r="AS244" s="100"/>
      <c r="AT244" s="100"/>
      <c r="AU244" s="100"/>
      <c r="AV244" s="100"/>
      <c r="AW244" s="100"/>
      <c r="AX244" s="100"/>
      <c r="AY244" s="100"/>
      <c r="AZ244" s="100"/>
      <c r="BA244" s="100"/>
      <c r="BG244" s="154"/>
      <c r="BH244" s="154"/>
      <c r="BI244" s="154"/>
      <c r="BJ244" s="154"/>
      <c r="BK244" s="154"/>
      <c r="BL244" s="154"/>
      <c r="BM244" s="154"/>
      <c r="BN244" s="154"/>
      <c r="BO244" s="154"/>
      <c r="BP244" s="154"/>
      <c r="BQ244" s="154"/>
      <c r="BR244" s="154"/>
      <c r="BS244" s="154"/>
      <c r="BT244" s="154"/>
      <c r="BU244" s="154"/>
      <c r="BV244" s="154"/>
      <c r="BW244" s="154"/>
      <c r="BX244" s="154"/>
      <c r="BY244" s="154"/>
      <c r="BZ244" s="154"/>
      <c r="CA244" s="154"/>
      <c r="CB244" s="154"/>
      <c r="CC244" s="154"/>
      <c r="CD244" s="154"/>
      <c r="CE244" s="154"/>
    </row>
    <row r="245" spans="1:83" x14ac:dyDescent="0.2">
      <c r="A245" s="89"/>
      <c r="B245" s="1127"/>
      <c r="C245" s="123"/>
      <c r="D245" s="1972" t="str">
        <f t="shared" ca="1" si="659"/>
        <v>5. Merkmal</v>
      </c>
      <c r="E245" s="1972"/>
      <c r="F245" s="1972"/>
      <c r="G245" s="1972"/>
      <c r="H245" s="384"/>
      <c r="I245" s="960"/>
      <c r="J245" s="326"/>
      <c r="K245" s="1965" t="str">
        <f t="shared" si="660"/>
        <v/>
      </c>
      <c r="L245" s="1964"/>
      <c r="M245" s="608"/>
      <c r="N245" s="754">
        <f t="shared" si="661"/>
        <v>0</v>
      </c>
      <c r="O245" s="25"/>
      <c r="P245" s="754">
        <f t="shared" si="662"/>
        <v>0</v>
      </c>
      <c r="Q245" s="25"/>
      <c r="R245" s="754">
        <f t="shared" si="663"/>
        <v>0</v>
      </c>
      <c r="S245" s="90"/>
      <c r="T245" s="754">
        <f t="shared" ca="1" si="664"/>
        <v>0.5</v>
      </c>
      <c r="U245" s="25"/>
      <c r="V245" s="754">
        <v>1</v>
      </c>
      <c r="W245" s="26"/>
      <c r="X245" s="754">
        <f t="shared" ca="1" si="665"/>
        <v>17</v>
      </c>
      <c r="Y245" s="25"/>
      <c r="Z245" s="754">
        <f t="shared" ca="1" si="666"/>
        <v>5</v>
      </c>
      <c r="AA245" s="26"/>
      <c r="AB245" s="26"/>
      <c r="AC245" s="26"/>
      <c r="AD245" s="26"/>
      <c r="AE245" s="26"/>
      <c r="AF245" s="89" t="str">
        <f t="shared" si="667"/>
        <v/>
      </c>
      <c r="AG245" s="26"/>
      <c r="AH245" s="26"/>
      <c r="AJ245" s="98"/>
      <c r="AK245" s="97"/>
      <c r="AL245" s="97"/>
      <c r="AM245" s="97"/>
      <c r="AO245" s="100"/>
      <c r="AP245" s="100"/>
      <c r="AQ245" s="100"/>
      <c r="AR245" s="100"/>
      <c r="AS245" s="100"/>
      <c r="AT245" s="100"/>
      <c r="AU245" s="100"/>
      <c r="AV245" s="100"/>
      <c r="AW245" s="100"/>
      <c r="AX245" s="100"/>
      <c r="AY245" s="100"/>
      <c r="AZ245" s="100"/>
      <c r="BA245" s="100"/>
      <c r="BG245" s="154"/>
      <c r="BH245" s="154"/>
      <c r="BI245" s="154"/>
      <c r="BJ245" s="154"/>
      <c r="BK245" s="154"/>
      <c r="BL245" s="154"/>
      <c r="BM245" s="154"/>
      <c r="BN245" s="154"/>
      <c r="BO245" s="154"/>
      <c r="BP245" s="154"/>
      <c r="BQ245" s="154"/>
      <c r="BR245" s="154"/>
      <c r="BS245" s="154"/>
      <c r="BT245" s="154"/>
      <c r="BU245" s="154"/>
      <c r="BV245" s="154"/>
      <c r="BW245" s="154"/>
      <c r="BX245" s="154"/>
      <c r="BY245" s="154"/>
      <c r="BZ245" s="154"/>
      <c r="CA245" s="154"/>
      <c r="CB245" s="154"/>
      <c r="CC245" s="154"/>
      <c r="CD245" s="154"/>
      <c r="CE245" s="154"/>
    </row>
    <row r="246" spans="1:83" x14ac:dyDescent="0.2">
      <c r="A246" s="89"/>
      <c r="B246" s="1127"/>
      <c r="C246" s="123"/>
      <c r="D246" s="1972" t="str">
        <f t="shared" ca="1" si="659"/>
        <v>6. Merkmal</v>
      </c>
      <c r="E246" s="1972"/>
      <c r="F246" s="1972"/>
      <c r="G246" s="1972"/>
      <c r="H246" s="384"/>
      <c r="I246" s="960"/>
      <c r="J246" s="326"/>
      <c r="K246" s="1965" t="str">
        <f t="shared" si="660"/>
        <v/>
      </c>
      <c r="L246" s="1964"/>
      <c r="M246" s="608"/>
      <c r="N246" s="754">
        <f t="shared" si="661"/>
        <v>0</v>
      </c>
      <c r="O246" s="25"/>
      <c r="P246" s="754">
        <f t="shared" si="662"/>
        <v>0</v>
      </c>
      <c r="Q246" s="25"/>
      <c r="R246" s="754">
        <f t="shared" si="663"/>
        <v>0</v>
      </c>
      <c r="S246" s="90"/>
      <c r="T246" s="754">
        <f t="shared" ca="1" si="664"/>
        <v>0.5</v>
      </c>
      <c r="U246" s="25"/>
      <c r="V246" s="754">
        <v>1</v>
      </c>
      <c r="W246" s="26"/>
      <c r="X246" s="754">
        <f t="shared" ca="1" si="665"/>
        <v>18</v>
      </c>
      <c r="Y246" s="25"/>
      <c r="Z246" s="754">
        <f t="shared" ca="1" si="666"/>
        <v>6</v>
      </c>
      <c r="AA246" s="26"/>
      <c r="AB246" s="1154" t="s">
        <v>7281</v>
      </c>
      <c r="AC246" s="26"/>
      <c r="AD246" s="26"/>
      <c r="AE246" s="26"/>
      <c r="AF246" s="89" t="str">
        <f t="shared" si="667"/>
        <v/>
      </c>
      <c r="AG246" s="26"/>
      <c r="AH246" s="26"/>
      <c r="AJ246" s="98"/>
      <c r="AK246" s="97"/>
      <c r="AL246" s="97"/>
      <c r="AM246" s="97"/>
      <c r="AO246" s="100"/>
      <c r="AP246" s="100"/>
      <c r="AQ246" s="100"/>
      <c r="AR246" s="100"/>
      <c r="AS246" s="100"/>
      <c r="AT246" s="100"/>
      <c r="AU246" s="100"/>
      <c r="AV246" s="100"/>
      <c r="AW246" s="100"/>
      <c r="AX246" s="100"/>
      <c r="AY246" s="100"/>
      <c r="AZ246" s="100"/>
      <c r="BA246" s="100"/>
      <c r="BG246" s="154"/>
      <c r="BH246" s="154"/>
      <c r="BI246" s="154"/>
      <c r="BJ246" s="154"/>
      <c r="BK246" s="154"/>
      <c r="BL246" s="154"/>
      <c r="BM246" s="154"/>
      <c r="BN246" s="154"/>
      <c r="BO246" s="154"/>
      <c r="BP246" s="154"/>
      <c r="BQ246" s="154"/>
      <c r="BR246" s="154"/>
      <c r="BS246" s="154"/>
      <c r="BT246" s="154"/>
      <c r="BU246" s="154"/>
      <c r="BV246" s="154"/>
      <c r="BW246" s="154"/>
      <c r="BX246" s="154"/>
      <c r="BY246" s="154"/>
      <c r="BZ246" s="154"/>
      <c r="CA246" s="154"/>
      <c r="CB246" s="154"/>
      <c r="CC246" s="154"/>
      <c r="CD246" s="154"/>
      <c r="CE246" s="154"/>
    </row>
    <row r="247" spans="1:83" x14ac:dyDescent="0.2">
      <c r="A247" s="1082"/>
      <c r="B247" s="1127"/>
      <c r="C247" s="123"/>
      <c r="D247" s="1972" t="str">
        <f ca="1">IF(ZS_AKADEMIE="",Z247&amp;". Merkmal","Merkmal aus Zweitstudium")</f>
        <v>7. Merkmal</v>
      </c>
      <c r="E247" s="1972"/>
      <c r="F247" s="1972"/>
      <c r="G247" s="1972"/>
      <c r="H247" s="384"/>
      <c r="I247" s="960"/>
      <c r="J247" s="326"/>
      <c r="K247" s="1965" t="str">
        <f>IF(OR(EXACT($AF247,""),B247="X"),"",IF(ZS_AKADEMIE="",IF($AC$241&lt;X247,$AB$241&amp;" muss "&amp;X247&amp;" oder höher sein.",""),""))</f>
        <v/>
      </c>
      <c r="L247" s="1964"/>
      <c r="M247" s="608"/>
      <c r="N247" s="755">
        <f t="shared" si="661"/>
        <v>0</v>
      </c>
      <c r="O247" s="25"/>
      <c r="P247" s="755">
        <f t="shared" si="662"/>
        <v>0</v>
      </c>
      <c r="Q247" s="25"/>
      <c r="R247" s="755">
        <f t="shared" si="663"/>
        <v>0</v>
      </c>
      <c r="S247" s="90"/>
      <c r="T247" s="755">
        <f t="shared" ca="1" si="664"/>
        <v>0.5</v>
      </c>
      <c r="U247" s="25"/>
      <c r="V247" s="755">
        <v>1</v>
      </c>
      <c r="W247" s="26"/>
      <c r="X247" s="755">
        <f t="shared" ca="1" si="665"/>
        <v>19</v>
      </c>
      <c r="Y247" s="25"/>
      <c r="Z247" s="755">
        <f t="shared" ca="1" si="666"/>
        <v>7</v>
      </c>
      <c r="AA247" s="26"/>
      <c r="AB247" s="352" t="str">
        <f ca="1">HLOOKUP(RASSEGENE,RASSE,IDX_WMRK,FALSE)&amp;
HLOOKUP(KULTURGENE,KULTUR,IDX_WMRK,FALSE)&amp;
HLOOKUP(PROFGENE,INDIRECT(PROFGEBIET),IDX_WMRK,FALSE)&amp;
IF(LEN(PROFZWEITE)&lt;1,"",
IF(HLOOKUP(PROFZWEITE,INDIRECT(PROFGEBIET2),IDX_WMRK,FALSE)="","",CHAR(10)&amp;"Wählbares aus 2.Profession, zu berücksichtigen bei Steigerungsmöglichkeiten: "&amp;HLOOKUP(PROFZWEITE,INDIRECT(PROFGEBIET2),IDX_WMRK,FALSE)))</f>
        <v/>
      </c>
      <c r="AC247" s="352" t="str">
        <f ca="1">HLOOKUP(RASSEGENE,RASSE,IDX_WVMRK,FALSE)&amp;
HLOOKUP(KULTURGENE,KULTUR,IDX_WVMRK,FALSE)&amp;
HLOOKUP(PROFGENE,INDIRECT(PROFGEBIET),IDX_WVMRK,FALSE)&amp;
IF(LEN(PROFZWEITE)&lt;1,"",
IF(HLOOKUP(PROFZWEITE,INDIRECT(PROFGEBIET2),IDX_WVMRK,FALSE)="","",CHAR(10)&amp;"Wählbares aus 2.Profession, zu berücksichtigen bei Steigerungsmöglichkeiten: "&amp;HLOOKUP(PROFZWEITE,INDIRECT(PROFGEBIET2),IDX_WVMRK,FALSE)))</f>
        <v/>
      </c>
      <c r="AD247" s="26"/>
      <c r="AE247" s="26"/>
      <c r="AF247" s="89" t="str">
        <f t="shared" si="667"/>
        <v/>
      </c>
      <c r="AG247" s="26"/>
      <c r="AH247" s="26"/>
      <c r="AJ247" s="98"/>
      <c r="AK247" s="97"/>
      <c r="AL247" s="97"/>
      <c r="AM247" s="97"/>
      <c r="AO247" s="100"/>
      <c r="AP247" s="100"/>
      <c r="AQ247" s="100"/>
      <c r="AR247" s="100"/>
      <c r="AS247" s="100"/>
      <c r="AT247" s="100"/>
      <c r="AU247" s="100"/>
      <c r="AV247" s="100"/>
      <c r="AW247" s="100"/>
      <c r="AX247" s="100"/>
      <c r="AY247" s="100"/>
      <c r="AZ247" s="100"/>
      <c r="BA247" s="100"/>
      <c r="BG247" s="154"/>
      <c r="BH247" s="154"/>
      <c r="BI247" s="154"/>
      <c r="BJ247" s="154"/>
      <c r="BK247" s="154"/>
      <c r="BL247" s="154"/>
      <c r="BM247" s="154"/>
      <c r="BN247" s="154"/>
      <c r="BO247" s="154"/>
      <c r="BP247" s="154"/>
      <c r="BQ247" s="154"/>
      <c r="BR247" s="154"/>
      <c r="BS247" s="154"/>
      <c r="BT247" s="154"/>
      <c r="BU247" s="154"/>
      <c r="BV247" s="154"/>
      <c r="BW247" s="154"/>
      <c r="BX247" s="154"/>
      <c r="BY247" s="154"/>
      <c r="BZ247" s="154"/>
      <c r="CA247" s="154"/>
      <c r="CB247" s="154"/>
      <c r="CC247" s="154"/>
      <c r="CD247" s="154"/>
      <c r="CE247" s="154"/>
    </row>
    <row r="248" spans="1:83" x14ac:dyDescent="0.2">
      <c r="C248" s="19"/>
      <c r="D248" s="81"/>
      <c r="E248" s="81"/>
      <c r="F248" s="81"/>
      <c r="G248" s="47"/>
      <c r="H248" s="4"/>
      <c r="I248" s="4"/>
      <c r="J248" s="4"/>
      <c r="R248" s="18"/>
      <c r="AJ248" s="98"/>
      <c r="AK248" s="97"/>
      <c r="AL248" s="97"/>
      <c r="AM248" s="97"/>
      <c r="AO248" s="100"/>
      <c r="AP248" s="100"/>
      <c r="AQ248" s="100"/>
      <c r="AR248" s="100"/>
      <c r="AS248" s="100"/>
      <c r="AT248" s="100"/>
      <c r="AU248" s="100"/>
      <c r="AV248" s="100"/>
      <c r="AW248" s="100"/>
      <c r="AX248" s="100"/>
      <c r="AY248" s="100"/>
      <c r="AZ248" s="100"/>
      <c r="BA248" s="100"/>
      <c r="BG248" s="154"/>
      <c r="BH248" s="154"/>
      <c r="BI248" s="154"/>
      <c r="BJ248" s="154"/>
      <c r="BK248" s="154"/>
      <c r="BL248" s="154"/>
      <c r="BM248" s="154"/>
      <c r="BN248" s="154"/>
      <c r="BO248" s="154"/>
      <c r="BP248" s="154"/>
      <c r="BQ248" s="154"/>
      <c r="BR248" s="154"/>
      <c r="BS248" s="154"/>
      <c r="BT248" s="154"/>
      <c r="BU248" s="154"/>
      <c r="BV248" s="154"/>
      <c r="BW248" s="154"/>
      <c r="BX248" s="154"/>
      <c r="BY248" s="154"/>
      <c r="BZ248" s="154"/>
      <c r="CA248" s="154"/>
      <c r="CB248" s="154"/>
      <c r="CC248" s="154"/>
      <c r="CD248" s="154"/>
      <c r="CE248" s="154"/>
    </row>
    <row r="249" spans="1:83" ht="15.75" x14ac:dyDescent="0.25">
      <c r="A249" s="168" t="s">
        <v>4043</v>
      </c>
      <c r="B249" s="127" t="s">
        <v>2750</v>
      </c>
      <c r="C249" s="131"/>
      <c r="D249" s="127"/>
      <c r="E249" s="127"/>
      <c r="F249" s="127"/>
      <c r="G249" s="127"/>
      <c r="H249" s="297"/>
      <c r="I249" s="297"/>
      <c r="J249" s="297"/>
      <c r="K249" s="1879"/>
      <c r="L249" s="1879"/>
      <c r="M249" s="297"/>
      <c r="N249" s="724"/>
      <c r="O249" s="724"/>
      <c r="P249" s="724"/>
      <c r="Q249" s="724"/>
      <c r="R249" s="724" t="s">
        <v>4006</v>
      </c>
      <c r="S249" s="151"/>
      <c r="T249" s="151" t="s">
        <v>4040</v>
      </c>
      <c r="U249" s="151"/>
      <c r="V249" s="151"/>
      <c r="W249" s="725"/>
      <c r="AJ249" s="98"/>
      <c r="AK249" s="97"/>
      <c r="AL249" s="97"/>
      <c r="AM249" s="97"/>
      <c r="AO249" s="100"/>
      <c r="AP249" s="100"/>
      <c r="AQ249" s="100"/>
      <c r="AR249" s="100"/>
      <c r="AS249" s="100"/>
      <c r="AT249" s="100"/>
      <c r="AU249" s="100"/>
      <c r="AV249" s="100"/>
      <c r="AW249" s="100"/>
      <c r="AX249" s="100"/>
      <c r="AY249" s="100"/>
      <c r="AZ249" s="100"/>
      <c r="BA249" s="100"/>
      <c r="BG249" s="154"/>
      <c r="BH249" s="154"/>
      <c r="BI249" s="154"/>
      <c r="BJ249" s="154"/>
      <c r="BK249" s="154"/>
      <c r="BL249" s="154"/>
      <c r="BM249" s="154"/>
      <c r="BN249" s="154"/>
      <c r="BO249" s="154"/>
      <c r="BP249" s="154"/>
      <c r="BQ249" s="154"/>
      <c r="BR249" s="154"/>
      <c r="BS249" s="154"/>
      <c r="BT249" s="154"/>
      <c r="BU249" s="154"/>
      <c r="BV249" s="154"/>
      <c r="BW249" s="154"/>
      <c r="BX249" s="154"/>
      <c r="BY249" s="154"/>
      <c r="BZ249" s="154"/>
      <c r="CA249" s="154"/>
      <c r="CB249" s="154"/>
      <c r="CC249" s="154"/>
      <c r="CD249" s="154"/>
      <c r="CE249" s="154"/>
    </row>
    <row r="250" spans="1:83" x14ac:dyDescent="0.2">
      <c r="A250" s="1993"/>
      <c r="B250" s="1993"/>
      <c r="C250" s="344" t="s">
        <v>4042</v>
      </c>
      <c r="D250" s="728" t="s">
        <v>4041</v>
      </c>
      <c r="E250" s="344"/>
      <c r="F250" s="344"/>
      <c r="G250" s="344"/>
      <c r="H250" s="721"/>
      <c r="I250" s="721"/>
      <c r="J250" s="722"/>
      <c r="K250" s="1994" t="str">
        <f>IF(EXACT(ZS_AKADEMIE,""),"",IF(KL&lt;15,"KL muss 15 oder höher sein.",IF(MU&lt;12,"MU muss 12 oder höher sein.",IF(IN&lt;15,"IN muss 15 oder höher sein.",""))))</f>
        <v/>
      </c>
      <c r="L250" s="1995"/>
      <c r="M250" s="607"/>
      <c r="N250" s="723"/>
      <c r="O250" s="151"/>
      <c r="P250" s="723"/>
      <c r="Q250" s="151"/>
      <c r="R250" s="352">
        <f>IF(B251="Ja",25,30)*IF(ZS_AKADEMIE="",0,HLOOKUP(ZS_AKADEMIE,PROFMAGIE,2,FALSE))+IF(ZS_IAAK="Ja",500,0)</f>
        <v>0</v>
      </c>
      <c r="S250" s="725"/>
      <c r="T250" s="753" t="str">
        <f>IF(ISBLANK(ZS_AKADEMIE),"",IF(EXACT(HLOOKUP(ZS_AKADEMIE,PROFMAGIE,IDX_MRK,FALSE),""),"",HLOOKUP(ZS_AKADEMIE,PROFMAGIE,IDX_MRK,FALSE)))</f>
        <v/>
      </c>
      <c r="U250" s="90"/>
      <c r="V250" s="730" t="str">
        <f>IF(ISBLANK(ZS_AKADEMIE),"",CONCATENATE(HLOOKUP(ZS_AKADEMIE,PROFMAGIE,W250,FALSE),HLOOKUP(ZS_AKADEMIE,PROFMAGIE,W250+1,FALSE),HLOOKUP(ZS_AKADEMIE,PROFMAGIE,W250+2,FALSE),HLOOKUP(ZS_AKADEMIE,PROFMAGIE,W250+3,FALSE),HLOOKUP(ZS_AKADEMIE,PROFMAGIE,W250+4,FALSE),HLOOKUP(ZS_AKADEMIE,PROFMAGIE,W250+5,FALSE),HLOOKUP(ZS_AKADEMIE,PROFMAGIE,W250+6,FALSE),HLOOKUP(ZS_AKADEMIE,PROFMAGIE,W250+7,FALSE),HLOOKUP(ZS_AKADEMIE,PROFMAGIE,W250+8,FALSE),HLOOKUP(ZS_AKADEMIE,PROFMAGIE,W250+9,FALSE),HLOOKUP(ZS_AKADEMIE,PROFMAGIE,W250+10,FALSE),HLOOKUP(ZS_AKADEMIE,PROFMAGIE,W250+11,FALSE),HLOOKUP(ZS_AKADEMIE,PROFMAGIE,W250+12,FALSE),HLOOKUP(ZS_AKADEMIE,PROFMAGIE,W250+13,FALSE),HLOOKUP(ZS_AKADEMIE,PROFMAGIE,W250+14,FALSE),HLOOKUP(ZS_AKADEMIE,PROFMAGIE,W250+15,FALSE),HLOOKUP(ZS_AKADEMIE,PROFMAGIE,W250+16,FALSE),HLOOKUP(ZS_AKADEMIE,PROFMAGIE,W250+17,FALSE)))</f>
        <v/>
      </c>
      <c r="W250" s="731">
        <f>IDX_WL</f>
        <v>250</v>
      </c>
      <c r="AJ250" s="98"/>
      <c r="AK250" s="97"/>
      <c r="AL250" s="97"/>
      <c r="AM250" s="97"/>
      <c r="AO250" s="100"/>
      <c r="AP250" s="100"/>
      <c r="AQ250" s="100"/>
      <c r="AR250" s="100"/>
      <c r="AS250" s="100"/>
      <c r="AT250" s="100"/>
      <c r="AU250" s="100"/>
      <c r="AV250" s="100"/>
      <c r="AW250" s="100"/>
      <c r="AX250" s="100"/>
      <c r="AY250" s="100"/>
      <c r="AZ250" s="100"/>
      <c r="BA250" s="100"/>
      <c r="BG250" s="154"/>
      <c r="BH250" s="154"/>
      <c r="BI250" s="154"/>
      <c r="BJ250" s="154"/>
      <c r="BK250" s="154"/>
      <c r="BL250" s="154"/>
      <c r="BM250" s="154"/>
      <c r="BN250" s="154"/>
      <c r="BO250" s="154"/>
      <c r="BP250" s="154"/>
      <c r="BQ250" s="154"/>
      <c r="BR250" s="154"/>
      <c r="BS250" s="154"/>
      <c r="BT250" s="154"/>
      <c r="BU250" s="154"/>
      <c r="BV250" s="154"/>
      <c r="BW250" s="154"/>
      <c r="BX250" s="154"/>
      <c r="BY250" s="154"/>
      <c r="BZ250" s="154"/>
      <c r="CA250" s="154"/>
      <c r="CB250" s="154"/>
      <c r="CC250" s="154"/>
      <c r="CD250" s="154"/>
      <c r="CE250" s="154"/>
    </row>
    <row r="251" spans="1:83" x14ac:dyDescent="0.2">
      <c r="A251" s="61" t="s">
        <v>4045</v>
      </c>
      <c r="B251" s="1323"/>
      <c r="C251" s="727"/>
      <c r="D251" s="727"/>
      <c r="E251" s="727"/>
      <c r="F251" s="727"/>
      <c r="G251" s="90"/>
      <c r="H251" s="322"/>
      <c r="I251" s="322"/>
      <c r="J251" s="344"/>
      <c r="K251" s="393" t="str">
        <f ca="1">IF(EXACT($A251,""),"",IF(KL&lt;13,"KL muss 13 oder höher sein.",""))</f>
        <v>KL muss 13 oder höher sein.</v>
      </c>
      <c r="L251" s="393"/>
      <c r="M251" s="90"/>
      <c r="N251" s="90"/>
      <c r="O251" s="90"/>
      <c r="P251" s="90"/>
      <c r="Q251" s="90"/>
      <c r="R251" s="90"/>
      <c r="S251" s="90"/>
      <c r="T251" s="754" t="str">
        <f>IF(ISBLANK(ZS_AKADEMIE),"",IF(EXACT(HLOOKUP(ZS_AKADEMIE,PROFMAGIE,IDX_MRK+1,FALSE),""),"",HLOOKUP(ZS_AKADEMIE,PROFMAGIE,IDX_MRK+1,FALSE)))</f>
        <v/>
      </c>
      <c r="U251" s="90"/>
      <c r="V251" s="730" t="str">
        <f>IF(ISBLANK(ZS_AKADEMIE),"",CONCATENATE(HLOOKUP(ZS_AKADEMIE,PROFMAGIE,W251,FALSE),HLOOKUP(ZS_AKADEMIE,PROFMAGIE,W251+1,FALSE),HLOOKUP(ZS_AKADEMIE,PROFMAGIE,W251+2,FALSE),HLOOKUP(ZS_AKADEMIE,PROFMAGIE,W251+3,FALSE),HLOOKUP(ZS_AKADEMIE,PROFMAGIE,W251+4,FALSE),HLOOKUP(ZS_AKADEMIE,PROFMAGIE,W251+5,FALSE),HLOOKUP(ZS_AKADEMIE,PROFMAGIE,W251+6,FALSE),HLOOKUP(ZS_AKADEMIE,PROFMAGIE,W251+7,FALSE),HLOOKUP(ZS_AKADEMIE,PROFMAGIE,W251+8,FALSE),HLOOKUP(ZS_AKADEMIE,PROFMAGIE,W251+9,FALSE)))</f>
        <v/>
      </c>
      <c r="W251" s="731">
        <f>W250+18</f>
        <v>268</v>
      </c>
      <c r="AJ251" s="98"/>
      <c r="AK251" s="97"/>
      <c r="AL251" s="97"/>
      <c r="AM251" s="97"/>
      <c r="AO251" s="100"/>
      <c r="AP251" s="100"/>
      <c r="AQ251" s="100"/>
      <c r="AR251" s="100"/>
      <c r="AS251" s="100"/>
      <c r="AT251" s="100"/>
      <c r="AU251" s="100"/>
      <c r="AV251" s="100"/>
      <c r="AW251" s="100"/>
      <c r="AX251" s="100"/>
      <c r="AY251" s="100"/>
      <c r="AZ251" s="100"/>
      <c r="BA251" s="100"/>
      <c r="BG251" s="154"/>
      <c r="BH251" s="154"/>
      <c r="BI251" s="154"/>
      <c r="BJ251" s="154"/>
      <c r="BK251" s="154"/>
      <c r="BL251" s="154"/>
      <c r="BM251" s="154"/>
      <c r="BN251" s="154"/>
      <c r="BO251" s="154"/>
      <c r="BP251" s="154"/>
      <c r="BQ251" s="154"/>
      <c r="BR251" s="154"/>
      <c r="BS251" s="154"/>
      <c r="BT251" s="154"/>
      <c r="BU251" s="154"/>
      <c r="BV251" s="154"/>
      <c r="BW251" s="154"/>
      <c r="BX251" s="154"/>
      <c r="BY251" s="154"/>
      <c r="BZ251" s="154"/>
      <c r="CA251" s="154"/>
      <c r="CB251" s="154"/>
      <c r="CC251" s="154"/>
      <c r="CD251" s="154"/>
      <c r="CE251" s="154"/>
    </row>
    <row r="252" spans="1:83" x14ac:dyDescent="0.2">
      <c r="A252" s="61" t="str">
        <f>IF(ZS_AKADEMIE="","Zweitstudium","Drittstudium") &amp; " am IAAK"</f>
        <v>Zweitstudium am IAAK</v>
      </c>
      <c r="B252" s="1323" t="s">
        <v>7192</v>
      </c>
      <c r="C252" s="90"/>
      <c r="D252" s="727"/>
      <c r="E252" s="727"/>
      <c r="F252" s="727"/>
      <c r="G252" s="90"/>
      <c r="H252" s="322"/>
      <c r="I252" s="322"/>
      <c r="J252" s="322"/>
      <c r="K252" s="90"/>
      <c r="L252" s="90"/>
      <c r="M252" s="90"/>
      <c r="N252" s="90"/>
      <c r="O252" s="90"/>
      <c r="P252" s="90"/>
      <c r="Q252" s="90"/>
      <c r="R252" s="90"/>
      <c r="S252" s="90"/>
      <c r="T252" s="754" t="str">
        <f>IF(ISBLANK(ZS_AKADEMIE),"",IF(EXACT(HLOOKUP(ZS_AKADEMIE,PROFMAGIE,IDX_VMRK,FALSE),""),"",HLOOKUP(ZS_AKADEMIE,PROFMAGIE,IDX_VMRK,FALSE)))</f>
        <v/>
      </c>
      <c r="U252" s="90"/>
      <c r="V252" s="730" t="str">
        <f>IF(ISBLANK(ZS_AKADEMIE),"",CONCATENATE(HLOOKUP(ZS_AKADEMIE,PROFMAGIE,W252,FALSE),HLOOKUP(ZS_AKADEMIE,PROFMAGIE,W252+1,FALSE),HLOOKUP(ZS_AKADEMIE,PROFMAGIE,W252+2,FALSE),HLOOKUP(ZS_AKADEMIE,PROFMAGIE,W252+3,FALSE),HLOOKUP(ZS_AKADEMIE,PROFMAGIE,W252+4,FALSE),HLOOKUP(ZS_AKADEMIE,PROFMAGIE,W252+5,FALSE),HLOOKUP(ZS_AKADEMIE,PROFMAGIE,W252+6,FALSE),HLOOKUP(ZS_AKADEMIE,PROFMAGIE,W252+7,FALSE),HLOOKUP(ZS_AKADEMIE,PROFMAGIE,W252+8,FALSE),HLOOKUP(ZS_AKADEMIE,PROFMAGIE,W252+9,FALSE),HLOOKUP(ZS_AKADEMIE,PROFMAGIE,W252+10,FALSE),HLOOKUP(ZS_AKADEMIE,PROFMAGIE,W252+11,FALSE),HLOOKUP(ZS_AKADEMIE,PROFMAGIE,W252+12,FALSE),HLOOKUP(ZS_AKADEMIE,PROFMAGIE,W252+13,FALSE),HLOOKUP(ZS_AKADEMIE,PROFMAGIE,W252+14,FALSE),HLOOKUP(ZS_AKADEMIE,PROFMAGIE,W252+15,FALSE),HLOOKUP(ZS_AKADEMIE,PROFMAGIE,W252+16,FALSE),HLOOKUP(ZS_AKADEMIE,PROFMAGIE,W252+17,FALSE)))</f>
        <v/>
      </c>
      <c r="W252" s="731">
        <f>IDX_VWL</f>
        <v>282</v>
      </c>
      <c r="AJ252" s="98"/>
      <c r="AK252" s="97"/>
      <c r="AL252" s="97"/>
      <c r="AM252" s="97"/>
      <c r="AO252" s="100"/>
      <c r="AP252" s="100"/>
      <c r="AQ252" s="100"/>
      <c r="AR252" s="100"/>
      <c r="AS252" s="100"/>
      <c r="AT252" s="100"/>
      <c r="AU252" s="100"/>
      <c r="AV252" s="100"/>
      <c r="AW252" s="100"/>
      <c r="AX252" s="100"/>
      <c r="AY252" s="100"/>
      <c r="AZ252" s="100"/>
      <c r="BA252" s="100"/>
      <c r="BG252" s="154"/>
      <c r="BH252" s="154"/>
      <c r="BI252" s="154"/>
      <c r="BJ252" s="154"/>
      <c r="BK252" s="154"/>
      <c r="BL252" s="154"/>
      <c r="BM252" s="154"/>
      <c r="BN252" s="154"/>
      <c r="BO252" s="154"/>
      <c r="BP252" s="154"/>
      <c r="BQ252" s="154"/>
      <c r="BR252" s="154"/>
      <c r="BS252" s="154"/>
      <c r="BT252" s="154"/>
      <c r="BU252" s="154"/>
      <c r="BV252" s="154"/>
      <c r="BW252" s="154"/>
      <c r="BX252" s="154"/>
      <c r="BY252" s="154"/>
      <c r="BZ252" s="154"/>
      <c r="CA252" s="154"/>
      <c r="CB252" s="154"/>
      <c r="CC252" s="154"/>
      <c r="CD252" s="154"/>
      <c r="CE252" s="154"/>
    </row>
    <row r="253" spans="1:83" x14ac:dyDescent="0.2">
      <c r="A253" s="61" t="s">
        <v>2752</v>
      </c>
      <c r="B253" s="1323" t="s">
        <v>7201</v>
      </c>
      <c r="C253" s="344" t="s">
        <v>4042</v>
      </c>
      <c r="D253" s="1332" t="s">
        <v>7188</v>
      </c>
      <c r="E253" s="727"/>
      <c r="F253" s="727"/>
      <c r="G253" s="90"/>
      <c r="H253" s="322"/>
      <c r="I253" s="322"/>
      <c r="J253" s="322"/>
      <c r="K253" s="90"/>
      <c r="L253" s="90"/>
      <c r="M253" s="90"/>
      <c r="N253" s="90"/>
      <c r="O253" s="90"/>
      <c r="P253" s="90"/>
      <c r="Q253" s="90"/>
      <c r="R253" s="90"/>
      <c r="S253" s="90"/>
      <c r="T253" s="754" t="str">
        <f>IF(ISBLANK(ZS_AKADEMIE),"",IF(EXACT(HLOOKUP(ZS_AKADEMIE,PROFMAGIE,IDX_VMRK+1,FALSE),""),"",HLOOKUP(ZS_AKADEMIE,PROFMAGIE,IDX_VMRK+1,FALSE)))</f>
        <v/>
      </c>
      <c r="U253" s="90"/>
      <c r="V253" s="730" t="str">
        <f>IF(ISBLANK(ZS_AKADEMIE),"",CONCATENATE(HLOOKUP(ZS_AKADEMIE,PROFMAGIE,W253,FALSE),HLOOKUP(ZS_AKADEMIE,PROFMAGIE,W253+1,FALSE),HLOOKUP(ZS_AKADEMIE,PROFMAGIE,W253+2,FALSE),HLOOKUP(ZS_AKADEMIE,PROFMAGIE,W253+3,FALSE),HLOOKUP(ZS_AKADEMIE,PROFMAGIE,W253+4,FALSE),HLOOKUP(ZS_AKADEMIE,PROFMAGIE,W253+5,FALSE),HLOOKUP(ZS_AKADEMIE,PROFMAGIE,W253+6,FALSE),HLOOKUP(ZS_AKADEMIE,PROFMAGIE,W253+7,FALSE),HLOOKUP(ZS_AKADEMIE,PROFMAGIE,W253+8,FALSE),HLOOKUP(ZS_AKADEMIE,PROFMAGIE,W253+9,FALSE),HLOOKUP(ZS_AKADEMIE,PROFMAGIE,W253+10,FALSE),HLOOKUP(ZS_AKADEMIE,PROFMAGIE,W253+11,FALSE),HLOOKUP(ZS_AKADEMIE,PROFMAGIE,W253+12,FALSE),HLOOKUP(ZS_AKADEMIE,PROFMAGIE,W253+13,FALSE),HLOOKUP(ZS_AKADEMIE,PROFMAGIE,W253+14,FALSE),HLOOKUP(ZS_AKADEMIE,PROFMAGIE,W253+15,FALSE)))</f>
        <v/>
      </c>
      <c r="W253" s="731">
        <f>W252+18</f>
        <v>300</v>
      </c>
      <c r="AJ253" s="98"/>
      <c r="AK253" s="97"/>
      <c r="AL253" s="97"/>
      <c r="AM253" s="97"/>
      <c r="AO253" s="100"/>
      <c r="AP253" s="100"/>
      <c r="AQ253" s="100"/>
      <c r="AR253" s="100"/>
      <c r="AS253" s="100"/>
      <c r="AT253" s="100"/>
      <c r="AU253" s="100"/>
      <c r="AV253" s="100"/>
      <c r="AW253" s="100"/>
      <c r="AX253" s="100"/>
      <c r="AY253" s="100"/>
      <c r="AZ253" s="100"/>
      <c r="BA253" s="100"/>
      <c r="BG253" s="154"/>
      <c r="BH253" s="154"/>
      <c r="BI253" s="154"/>
      <c r="BJ253" s="154"/>
      <c r="BK253" s="154"/>
      <c r="BL253" s="154"/>
      <c r="BM253" s="154"/>
      <c r="BN253" s="154"/>
      <c r="BO253" s="154"/>
      <c r="BP253" s="154"/>
      <c r="BQ253" s="154"/>
      <c r="BR253" s="154"/>
      <c r="BS253" s="154"/>
      <c r="BT253" s="154"/>
      <c r="BU253" s="154"/>
      <c r="BV253" s="154"/>
      <c r="BW253" s="154"/>
      <c r="BX253" s="154"/>
      <c r="BY253" s="154"/>
      <c r="BZ253" s="154"/>
      <c r="CA253" s="154"/>
      <c r="CB253" s="154"/>
      <c r="CC253" s="154"/>
      <c r="CD253" s="154"/>
      <c r="CE253" s="154"/>
    </row>
    <row r="254" spans="1:83" x14ac:dyDescent="0.2">
      <c r="A254" s="191"/>
      <c r="B254" s="90"/>
      <c r="C254" s="90"/>
      <c r="D254" s="729" t="s">
        <v>4044</v>
      </c>
      <c r="E254" s="727"/>
      <c r="F254" s="727"/>
      <c r="G254" s="90"/>
      <c r="H254" s="322"/>
      <c r="I254" s="322"/>
      <c r="J254" s="322"/>
      <c r="K254" s="90"/>
      <c r="L254" s="90"/>
      <c r="M254" s="90"/>
      <c r="N254" s="90"/>
      <c r="O254" s="90"/>
      <c r="P254" s="90"/>
      <c r="Q254" s="90"/>
      <c r="R254" s="90"/>
      <c r="S254" s="90"/>
      <c r="T254" s="754" t="str">
        <f>IF(ISBLANK(ZS_AKADEMIE),"",IF(EXACT(HLOOKUP(ZS_AKADEMIE,PROFMAGIE,IDX_WMRK,FALSE),""),"",HLOOKUP(ZS_AKADEMIE,PROFMAGIE,IDX_WMRK,FALSE)))</f>
        <v/>
      </c>
      <c r="U254" s="90"/>
      <c r="V254" s="730" t="str">
        <f>IF(ZS_IAAK="Ja","Eiserner Wille I Konzentrationsstärke","")</f>
        <v/>
      </c>
      <c r="W254" s="726" t="s">
        <v>784</v>
      </c>
      <c r="AJ254" s="98"/>
      <c r="AK254" s="97"/>
      <c r="AL254" s="97"/>
      <c r="AM254" s="97"/>
      <c r="AO254" s="100"/>
      <c r="AP254" s="100"/>
      <c r="AQ254" s="100"/>
      <c r="AR254" s="100"/>
      <c r="AS254" s="100"/>
      <c r="AT254" s="100"/>
      <c r="AU254" s="100"/>
      <c r="AV254" s="100"/>
      <c r="AW254" s="100"/>
      <c r="AX254" s="100"/>
      <c r="AY254" s="100"/>
      <c r="AZ254" s="100"/>
      <c r="BA254" s="100"/>
      <c r="BG254" s="154"/>
      <c r="BH254" s="154"/>
      <c r="BI254" s="154"/>
      <c r="BJ254" s="154"/>
      <c r="BK254" s="154"/>
      <c r="BL254" s="154"/>
      <c r="BM254" s="154"/>
      <c r="BN254" s="154"/>
      <c r="BO254" s="154"/>
      <c r="BP254" s="154"/>
      <c r="BQ254" s="154"/>
      <c r="BR254" s="154"/>
      <c r="BS254" s="154"/>
      <c r="BT254" s="154"/>
      <c r="BU254" s="154"/>
      <c r="BV254" s="154"/>
      <c r="BW254" s="154"/>
      <c r="BX254" s="154"/>
      <c r="BY254" s="154"/>
      <c r="BZ254" s="154"/>
      <c r="CA254" s="154"/>
      <c r="CB254" s="154"/>
      <c r="CC254" s="154"/>
      <c r="CD254" s="154"/>
      <c r="CE254" s="154"/>
    </row>
    <row r="255" spans="1:83" x14ac:dyDescent="0.2">
      <c r="A255" s="191"/>
      <c r="B255" s="90"/>
      <c r="C255" s="90"/>
      <c r="D255" s="729" t="s">
        <v>2751</v>
      </c>
      <c r="E255" s="727"/>
      <c r="F255" s="727"/>
      <c r="G255" s="90"/>
      <c r="H255" s="322"/>
      <c r="I255" s="322"/>
      <c r="J255" s="322"/>
      <c r="K255" s="90"/>
      <c r="L255" s="90"/>
      <c r="M255" s="90"/>
      <c r="N255" s="90"/>
      <c r="O255" s="90"/>
      <c r="P255" s="90"/>
      <c r="Q255" s="90"/>
      <c r="R255" s="90"/>
      <c r="S255" s="90"/>
      <c r="T255" s="755" t="str">
        <f>IF(ISBLANK(ZS_AKADEMIE),"",IF(EXACT(HLOOKUP(ZS_AKADEMIE,PROFMAGIE,IDX_WVMRK,FALSE),""),"",HLOOKUP(ZS_AKADEMIE,PROFMAGIE,IDX_WVMRK,FALSE)))</f>
        <v/>
      </c>
      <c r="U255" s="90"/>
      <c r="V255" s="730" t="str">
        <f>CONCATENATE(V250,V251,V252,V253,V254)</f>
        <v/>
      </c>
      <c r="W255" s="726"/>
      <c r="AJ255" s="98"/>
      <c r="AK255" s="97"/>
      <c r="AL255" s="97"/>
      <c r="AM255" s="97"/>
      <c r="AO255" s="100"/>
      <c r="AP255" s="100"/>
      <c r="AQ255" s="100"/>
      <c r="AR255" s="100"/>
      <c r="AS255" s="100"/>
      <c r="AT255" s="100"/>
      <c r="AU255" s="100"/>
      <c r="AV255" s="100"/>
      <c r="AW255" s="100"/>
      <c r="AX255" s="100"/>
      <c r="AY255" s="100"/>
      <c r="AZ255" s="100"/>
      <c r="BA255" s="100"/>
      <c r="BG255" s="154"/>
      <c r="BH255" s="154"/>
      <c r="BI255" s="154"/>
      <c r="BJ255" s="154"/>
      <c r="BK255" s="154"/>
      <c r="BL255" s="154"/>
      <c r="BM255" s="154"/>
      <c r="BN255" s="154"/>
      <c r="BO255" s="154"/>
      <c r="BP255" s="154"/>
      <c r="BQ255" s="154"/>
      <c r="BR255" s="154"/>
      <c r="BS255" s="154"/>
      <c r="BT255" s="154"/>
      <c r="BU255" s="154"/>
      <c r="BV255" s="154"/>
      <c r="BW255" s="154"/>
      <c r="BX255" s="154"/>
      <c r="BY255" s="154"/>
      <c r="BZ255" s="154"/>
      <c r="CA255" s="154"/>
      <c r="CB255" s="154"/>
      <c r="CC255" s="154"/>
      <c r="CD255" s="154"/>
      <c r="CE255" s="154"/>
    </row>
    <row r="256" spans="1:83" x14ac:dyDescent="0.2">
      <c r="A256" s="191"/>
      <c r="B256" s="90"/>
      <c r="C256" s="90"/>
      <c r="D256" s="729" t="s">
        <v>3228</v>
      </c>
      <c r="E256" s="727"/>
      <c r="F256" s="727"/>
      <c r="G256" s="90"/>
      <c r="H256" s="322"/>
      <c r="I256" s="322"/>
      <c r="J256" s="322"/>
      <c r="K256" s="90"/>
      <c r="L256" s="90"/>
      <c r="M256" s="90"/>
      <c r="N256" s="90"/>
      <c r="O256" s="90"/>
      <c r="P256" s="90"/>
      <c r="Q256" s="90"/>
      <c r="R256" s="90"/>
      <c r="S256" s="90"/>
      <c r="T256" s="90"/>
      <c r="U256" s="90"/>
      <c r="V256" s="90"/>
      <c r="W256" s="726"/>
      <c r="AJ256" s="98"/>
      <c r="AK256" s="97"/>
      <c r="AL256" s="97"/>
      <c r="AM256" s="97"/>
      <c r="AO256" s="100"/>
      <c r="AP256" s="100"/>
      <c r="AQ256" s="100"/>
      <c r="AR256" s="100"/>
      <c r="AS256" s="100"/>
      <c r="AT256" s="100"/>
      <c r="AU256" s="100"/>
      <c r="AV256" s="100"/>
      <c r="AW256" s="100"/>
      <c r="AX256" s="100"/>
      <c r="AY256" s="100"/>
      <c r="AZ256" s="100"/>
      <c r="BA256" s="100"/>
      <c r="BG256" s="154"/>
      <c r="BH256" s="154"/>
      <c r="BI256" s="154"/>
      <c r="BJ256" s="154"/>
      <c r="BK256" s="154"/>
      <c r="BL256" s="154"/>
      <c r="BM256" s="154"/>
      <c r="BN256" s="154"/>
      <c r="BO256" s="154"/>
      <c r="BP256" s="154"/>
      <c r="BQ256" s="154"/>
      <c r="BR256" s="154"/>
      <c r="BS256" s="154"/>
      <c r="BT256" s="154"/>
      <c r="BU256" s="154"/>
      <c r="BV256" s="154"/>
      <c r="BW256" s="154"/>
      <c r="BX256" s="154"/>
      <c r="BY256" s="154"/>
      <c r="BZ256" s="154"/>
      <c r="CA256" s="154"/>
      <c r="CB256" s="154"/>
      <c r="CC256" s="154"/>
      <c r="CD256" s="154"/>
      <c r="CE256" s="154"/>
    </row>
    <row r="257" spans="1:83" x14ac:dyDescent="0.2">
      <c r="A257" s="530"/>
      <c r="B257" s="149"/>
      <c r="C257" s="149"/>
      <c r="D257" s="531"/>
      <c r="E257" s="531"/>
      <c r="F257" s="531"/>
      <c r="G257" s="149"/>
      <c r="H257" s="192"/>
      <c r="I257" s="192"/>
      <c r="J257" s="192"/>
      <c r="K257" s="149"/>
      <c r="L257" s="149"/>
      <c r="M257" s="149"/>
      <c r="N257" s="149"/>
      <c r="O257" s="149"/>
      <c r="P257" s="149"/>
      <c r="Q257" s="149"/>
      <c r="R257" s="149"/>
      <c r="S257" s="149"/>
      <c r="T257" s="352" t="b">
        <f>IF(B253="Anzeigen",TRUE,FALSE)</f>
        <v>0</v>
      </c>
      <c r="U257" s="149"/>
      <c r="V257" s="149"/>
      <c r="W257" s="352"/>
      <c r="AJ257" s="98"/>
      <c r="AK257" s="97"/>
      <c r="AL257" s="97"/>
      <c r="AM257" s="97"/>
      <c r="AO257" s="100"/>
      <c r="AP257" s="100"/>
      <c r="AQ257" s="100"/>
      <c r="AR257" s="100"/>
      <c r="AS257" s="100"/>
      <c r="AT257" s="100"/>
      <c r="AU257" s="100"/>
      <c r="AV257" s="100"/>
      <c r="AW257" s="100"/>
      <c r="AX257" s="100"/>
      <c r="AY257" s="100"/>
      <c r="AZ257" s="100"/>
      <c r="BA257" s="100"/>
      <c r="BG257" s="154"/>
      <c r="BH257" s="154"/>
      <c r="BI257" s="154"/>
      <c r="BJ257" s="154"/>
      <c r="BK257" s="154"/>
      <c r="BL257" s="154"/>
      <c r="BM257" s="154"/>
      <c r="BN257" s="154"/>
      <c r="BO257" s="154"/>
      <c r="BP257" s="154"/>
      <c r="BQ257" s="154"/>
      <c r="BR257" s="154"/>
      <c r="BS257" s="154"/>
      <c r="BT257" s="154"/>
      <c r="BU257" s="154"/>
      <c r="BV257" s="154"/>
      <c r="BW257" s="154"/>
      <c r="BX257" s="154"/>
      <c r="BY257" s="154"/>
      <c r="BZ257" s="154"/>
      <c r="CA257" s="154"/>
      <c r="CB257" s="154"/>
      <c r="CC257" s="154"/>
      <c r="CD257" s="154"/>
      <c r="CE257" s="154"/>
    </row>
    <row r="258" spans="1:83" x14ac:dyDescent="0.2">
      <c r="C258" s="19"/>
      <c r="D258" s="81"/>
      <c r="E258" s="81"/>
      <c r="F258" s="81"/>
      <c r="G258" s="47"/>
      <c r="H258" s="4"/>
      <c r="I258" s="4"/>
      <c r="J258" s="4"/>
      <c r="AJ258" s="98"/>
      <c r="AK258" s="97"/>
      <c r="AL258" s="97"/>
      <c r="AM258" s="97"/>
      <c r="AO258" s="100"/>
      <c r="AP258" s="100"/>
      <c r="AQ258" s="100"/>
      <c r="AR258" s="100"/>
      <c r="AS258" s="100"/>
      <c r="AT258" s="100"/>
      <c r="AU258" s="100"/>
      <c r="AV258" s="100"/>
      <c r="AW258" s="100"/>
      <c r="AX258" s="100"/>
      <c r="AY258" s="100"/>
      <c r="AZ258" s="100"/>
      <c r="BA258" s="100"/>
      <c r="BG258" s="154"/>
      <c r="BH258" s="154"/>
      <c r="BI258" s="154"/>
      <c r="BJ258" s="154"/>
      <c r="BK258" s="154"/>
      <c r="BL258" s="154"/>
      <c r="BM258" s="154"/>
      <c r="BN258" s="154"/>
      <c r="BO258" s="154"/>
      <c r="BP258" s="154"/>
      <c r="BQ258" s="154"/>
      <c r="BR258" s="154"/>
      <c r="BS258" s="154"/>
      <c r="BT258" s="154"/>
      <c r="BU258" s="154"/>
      <c r="BV258" s="154"/>
      <c r="BW258" s="154"/>
      <c r="BX258" s="154"/>
      <c r="BY258" s="154"/>
      <c r="BZ258" s="154"/>
      <c r="CA258" s="154"/>
      <c r="CB258" s="154"/>
      <c r="CC258" s="154"/>
      <c r="CD258" s="154"/>
      <c r="CE258" s="154"/>
    </row>
    <row r="259" spans="1:83" x14ac:dyDescent="0.2">
      <c r="C259" s="19"/>
      <c r="D259" s="81"/>
      <c r="E259" s="81"/>
      <c r="F259" s="81"/>
      <c r="G259" s="47"/>
      <c r="H259" s="4"/>
      <c r="I259" s="4"/>
      <c r="J259" s="4"/>
      <c r="AJ259" s="98"/>
      <c r="AK259" s="97"/>
      <c r="AL259" s="97"/>
      <c r="AM259" s="97"/>
      <c r="AO259" s="100"/>
      <c r="AP259" s="100"/>
      <c r="AQ259" s="100"/>
      <c r="AR259" s="100"/>
      <c r="AS259" s="100"/>
      <c r="AT259" s="100"/>
      <c r="AU259" s="100"/>
      <c r="AV259" s="100"/>
      <c r="AW259" s="100"/>
      <c r="AX259" s="100"/>
      <c r="AY259" s="100"/>
      <c r="AZ259" s="100"/>
      <c r="BA259" s="100"/>
      <c r="BG259" s="154"/>
      <c r="BH259" s="154"/>
      <c r="BI259" s="154"/>
      <c r="BJ259" s="154"/>
      <c r="BK259" s="154"/>
      <c r="BL259" s="154"/>
      <c r="BM259" s="154"/>
      <c r="BN259" s="154"/>
      <c r="BO259" s="154"/>
      <c r="BP259" s="154"/>
      <c r="BQ259" s="154"/>
      <c r="BR259" s="154"/>
      <c r="BS259" s="154"/>
      <c r="BT259" s="154"/>
      <c r="BU259" s="154"/>
      <c r="BV259" s="154"/>
      <c r="BW259" s="154"/>
      <c r="BX259" s="154"/>
      <c r="BY259" s="154"/>
      <c r="BZ259" s="154"/>
      <c r="CA259" s="154"/>
      <c r="CB259" s="154"/>
      <c r="CC259" s="154"/>
      <c r="CD259" s="154"/>
      <c r="CE259" s="154"/>
    </row>
    <row r="260" spans="1:83" x14ac:dyDescent="0.2">
      <c r="C260" s="19"/>
      <c r="D260" s="81"/>
      <c r="E260" s="81"/>
      <c r="F260" s="81"/>
      <c r="G260" s="47"/>
      <c r="H260" s="4"/>
      <c r="I260" s="4"/>
      <c r="J260" s="4"/>
      <c r="AJ260" s="98"/>
      <c r="AK260" s="97"/>
      <c r="AL260" s="97"/>
      <c r="AM260" s="97"/>
      <c r="AO260" s="100"/>
      <c r="AP260" s="100"/>
      <c r="AQ260" s="100"/>
      <c r="AR260" s="100"/>
      <c r="AS260" s="100"/>
      <c r="AT260" s="100"/>
      <c r="AU260" s="100"/>
      <c r="AV260" s="100"/>
      <c r="AW260" s="100"/>
      <c r="AX260" s="100"/>
      <c r="AY260" s="100"/>
      <c r="AZ260" s="100"/>
      <c r="BA260" s="100"/>
      <c r="BG260" s="154"/>
      <c r="BH260" s="154"/>
      <c r="BI260" s="154"/>
      <c r="BJ260" s="154"/>
      <c r="BK260" s="154"/>
      <c r="BL260" s="154"/>
      <c r="BM260" s="154"/>
      <c r="BN260" s="154"/>
      <c r="BO260" s="154"/>
      <c r="BP260" s="154"/>
      <c r="BQ260" s="154"/>
      <c r="BR260" s="154"/>
      <c r="BS260" s="154"/>
      <c r="BT260" s="154"/>
      <c r="BU260" s="154"/>
      <c r="BV260" s="154"/>
      <c r="BW260" s="154"/>
      <c r="BX260" s="154"/>
      <c r="BY260" s="154"/>
      <c r="BZ260" s="154"/>
      <c r="CA260" s="154"/>
      <c r="CB260" s="154"/>
      <c r="CC260" s="154"/>
      <c r="CD260" s="154"/>
      <c r="CE260" s="154"/>
    </row>
    <row r="261" spans="1:83" x14ac:dyDescent="0.2">
      <c r="C261" s="19"/>
      <c r="D261" s="81"/>
      <c r="E261" s="81"/>
      <c r="F261" s="81"/>
      <c r="G261" s="47"/>
      <c r="H261" s="4"/>
      <c r="I261" s="4"/>
      <c r="J261" s="4"/>
      <c r="AJ261" s="98"/>
      <c r="AK261" s="97"/>
      <c r="AL261" s="97"/>
      <c r="AM261" s="97"/>
      <c r="AO261" s="100"/>
      <c r="AP261" s="100"/>
      <c r="AQ261" s="100"/>
      <c r="AR261" s="100"/>
      <c r="AS261" s="100"/>
      <c r="AT261" s="100"/>
      <c r="AU261" s="100"/>
      <c r="AV261" s="100"/>
      <c r="AW261" s="100"/>
      <c r="AX261" s="100"/>
      <c r="AY261" s="100"/>
      <c r="AZ261" s="100"/>
      <c r="BA261" s="100"/>
      <c r="BG261" s="154"/>
      <c r="BH261" s="154"/>
      <c r="BI261" s="154"/>
      <c r="BJ261" s="154"/>
      <c r="BK261" s="154"/>
      <c r="BL261" s="154"/>
      <c r="BM261" s="154"/>
      <c r="BN261" s="154"/>
      <c r="BO261" s="154"/>
      <c r="BP261" s="154"/>
      <c r="BQ261" s="154"/>
      <c r="BR261" s="154"/>
      <c r="BS261" s="154"/>
      <c r="BT261" s="154"/>
      <c r="BU261" s="154"/>
      <c r="BV261" s="154"/>
      <c r="BW261" s="154"/>
      <c r="BX261" s="154"/>
      <c r="BY261" s="154"/>
      <c r="BZ261" s="154"/>
      <c r="CA261" s="154"/>
      <c r="CB261" s="154"/>
      <c r="CC261" s="154"/>
      <c r="CD261" s="154"/>
      <c r="CE261" s="154"/>
    </row>
  </sheetData>
  <mergeCells count="488">
    <mergeCell ref="CU4:CU9"/>
    <mergeCell ref="K228:L228"/>
    <mergeCell ref="K226:L227"/>
    <mergeCell ref="K144:L144"/>
    <mergeCell ref="CR4:CR9"/>
    <mergeCell ref="CM2:CM9"/>
    <mergeCell ref="CO4:CO9"/>
    <mergeCell ref="X187:AB187"/>
    <mergeCell ref="A226:A227"/>
    <mergeCell ref="CQ4:CQ9"/>
    <mergeCell ref="CT4:CT9"/>
    <mergeCell ref="K137:L137"/>
    <mergeCell ref="B226:B227"/>
    <mergeCell ref="CS4:CS9"/>
    <mergeCell ref="K170:L170"/>
    <mergeCell ref="K188:L188"/>
    <mergeCell ref="D171:E171"/>
    <mergeCell ref="CP4:CP9"/>
    <mergeCell ref="CI2:CI9"/>
    <mergeCell ref="T6:X6"/>
    <mergeCell ref="CL2:CL9"/>
    <mergeCell ref="BT2:BT9"/>
    <mergeCell ref="CC2:CC9"/>
    <mergeCell ref="CA2:CA9"/>
    <mergeCell ref="A250:B250"/>
    <mergeCell ref="K249:L249"/>
    <mergeCell ref="K239:L239"/>
    <mergeCell ref="K236:L236"/>
    <mergeCell ref="K250:L250"/>
    <mergeCell ref="K222:L222"/>
    <mergeCell ref="K229:L229"/>
    <mergeCell ref="K243:L243"/>
    <mergeCell ref="K238:L238"/>
    <mergeCell ref="D238:G238"/>
    <mergeCell ref="D245:G245"/>
    <mergeCell ref="K245:L245"/>
    <mergeCell ref="D246:G246"/>
    <mergeCell ref="K237:L237"/>
    <mergeCell ref="D242:G242"/>
    <mergeCell ref="K246:L246"/>
    <mergeCell ref="K241:L241"/>
    <mergeCell ref="D247:G247"/>
    <mergeCell ref="K247:L247"/>
    <mergeCell ref="K244:L244"/>
    <mergeCell ref="A240:L240"/>
    <mergeCell ref="D244:G244"/>
    <mergeCell ref="C236:J236"/>
    <mergeCell ref="BV2:BV9"/>
    <mergeCell ref="BZ2:BZ9"/>
    <mergeCell ref="CK2:CK9"/>
    <mergeCell ref="CJ2:CJ9"/>
    <mergeCell ref="Q7:S7"/>
    <mergeCell ref="Q3:S3"/>
    <mergeCell ref="CG2:CG9"/>
    <mergeCell ref="CD2:CD9"/>
    <mergeCell ref="T2:V2"/>
    <mergeCell ref="T4:X4"/>
    <mergeCell ref="Q8:S8"/>
    <mergeCell ref="T3:X3"/>
    <mergeCell ref="T7:X7"/>
    <mergeCell ref="T8:X8"/>
    <mergeCell ref="CB2:CB9"/>
    <mergeCell ref="BX2:BX9"/>
    <mergeCell ref="BY2:BY9"/>
    <mergeCell ref="BR2:BR9"/>
    <mergeCell ref="BS2:BS9"/>
    <mergeCell ref="Z6:AB6"/>
    <mergeCell ref="AC6:AG6"/>
    <mergeCell ref="BW2:BW9"/>
    <mergeCell ref="AC7:AG7"/>
    <mergeCell ref="CH2:CH9"/>
    <mergeCell ref="Z7:AB7"/>
    <mergeCell ref="AC3:AG3"/>
    <mergeCell ref="Z8:AB8"/>
    <mergeCell ref="K68:L68"/>
    <mergeCell ref="K117:L117"/>
    <mergeCell ref="K115:L115"/>
    <mergeCell ref="K108:L108"/>
    <mergeCell ref="K27:L27"/>
    <mergeCell ref="K28:L28"/>
    <mergeCell ref="K34:L34"/>
    <mergeCell ref="K84:L84"/>
    <mergeCell ref="K90:L90"/>
    <mergeCell ref="K37:L37"/>
    <mergeCell ref="K24:L24"/>
    <mergeCell ref="K25:L25"/>
    <mergeCell ref="L8:M8"/>
    <mergeCell ref="N8:O8"/>
    <mergeCell ref="K20:L20"/>
    <mergeCell ref="K26:L26"/>
    <mergeCell ref="K23:L23"/>
    <mergeCell ref="K36:L36"/>
    <mergeCell ref="K73:L73"/>
    <mergeCell ref="K17:L17"/>
    <mergeCell ref="K18:L18"/>
    <mergeCell ref="BU2:BU9"/>
    <mergeCell ref="D92:E92"/>
    <mergeCell ref="D93:E93"/>
    <mergeCell ref="D94:E94"/>
    <mergeCell ref="D95:E95"/>
    <mergeCell ref="D117:E117"/>
    <mergeCell ref="D107:E107"/>
    <mergeCell ref="K131:L131"/>
    <mergeCell ref="K48:L48"/>
    <mergeCell ref="K93:L93"/>
    <mergeCell ref="K86:L86"/>
    <mergeCell ref="K87:L87"/>
    <mergeCell ref="K63:L63"/>
    <mergeCell ref="K128:L128"/>
    <mergeCell ref="K129:L129"/>
    <mergeCell ref="D96:E96"/>
    <mergeCell ref="D126:E126"/>
    <mergeCell ref="D123:E123"/>
    <mergeCell ref="D111:E111"/>
    <mergeCell ref="D118:E118"/>
    <mergeCell ref="D108:E108"/>
    <mergeCell ref="D109:E109"/>
    <mergeCell ref="D116:E116"/>
    <mergeCell ref="D115:E115"/>
    <mergeCell ref="D100:E100"/>
    <mergeCell ref="D167:E167"/>
    <mergeCell ref="K67:L67"/>
    <mergeCell ref="D112:E112"/>
    <mergeCell ref="D101:E101"/>
    <mergeCell ref="D98:E98"/>
    <mergeCell ref="D102:E102"/>
    <mergeCell ref="D103:E103"/>
    <mergeCell ref="D104:E104"/>
    <mergeCell ref="D99:E99"/>
    <mergeCell ref="D106:E106"/>
    <mergeCell ref="K107:L107"/>
    <mergeCell ref="D85:E85"/>
    <mergeCell ref="D86:E86"/>
    <mergeCell ref="K109:L109"/>
    <mergeCell ref="K113:L113"/>
    <mergeCell ref="D105:E105"/>
    <mergeCell ref="D110:E110"/>
    <mergeCell ref="D88:E88"/>
    <mergeCell ref="D89:E89"/>
    <mergeCell ref="D114:E114"/>
    <mergeCell ref="D83:E83"/>
    <mergeCell ref="D97:E97"/>
    <mergeCell ref="K70:L70"/>
    <mergeCell ref="D172:E172"/>
    <mergeCell ref="D161:E161"/>
    <mergeCell ref="D163:E163"/>
    <mergeCell ref="D162:E162"/>
    <mergeCell ref="D170:E170"/>
    <mergeCell ref="D169:E169"/>
    <mergeCell ref="B177:F177"/>
    <mergeCell ref="D127:E127"/>
    <mergeCell ref="D113:E113"/>
    <mergeCell ref="D160:E160"/>
    <mergeCell ref="D130:E130"/>
    <mergeCell ref="D131:E131"/>
    <mergeCell ref="D159:E159"/>
    <mergeCell ref="D154:E154"/>
    <mergeCell ref="D157:E157"/>
    <mergeCell ref="D122:E122"/>
    <mergeCell ref="D165:E165"/>
    <mergeCell ref="D168:E168"/>
    <mergeCell ref="D166:E166"/>
    <mergeCell ref="D152:E152"/>
    <mergeCell ref="D158:E158"/>
    <mergeCell ref="D156:E156"/>
    <mergeCell ref="D155:E155"/>
    <mergeCell ref="D149:E149"/>
    <mergeCell ref="A203:A204"/>
    <mergeCell ref="B179:F179"/>
    <mergeCell ref="B178:F178"/>
    <mergeCell ref="D175:E175"/>
    <mergeCell ref="D174:E174"/>
    <mergeCell ref="D173:E173"/>
    <mergeCell ref="A205:A206"/>
    <mergeCell ref="B203:B204"/>
    <mergeCell ref="B205:B206"/>
    <mergeCell ref="D142:E142"/>
    <mergeCell ref="D147:E147"/>
    <mergeCell ref="D144:E144"/>
    <mergeCell ref="D138:E138"/>
    <mergeCell ref="D153:E153"/>
    <mergeCell ref="D143:E143"/>
    <mergeCell ref="D145:E145"/>
    <mergeCell ref="D146:E146"/>
    <mergeCell ref="D150:E150"/>
    <mergeCell ref="D151:E151"/>
    <mergeCell ref="D148:E148"/>
    <mergeCell ref="D141:E141"/>
    <mergeCell ref="D140:E140"/>
    <mergeCell ref="D139:E139"/>
    <mergeCell ref="D136:E136"/>
    <mergeCell ref="D133:E133"/>
    <mergeCell ref="D137:E137"/>
    <mergeCell ref="D129:E129"/>
    <mergeCell ref="D134:E134"/>
    <mergeCell ref="D124:E124"/>
    <mergeCell ref="D119:E119"/>
    <mergeCell ref="D135:E135"/>
    <mergeCell ref="D132:E132"/>
    <mergeCell ref="D125:E125"/>
    <mergeCell ref="D120:E120"/>
    <mergeCell ref="D128:E128"/>
    <mergeCell ref="D121:E121"/>
    <mergeCell ref="D69:E69"/>
    <mergeCell ref="D79:E79"/>
    <mergeCell ref="D78:E78"/>
    <mergeCell ref="D71:E71"/>
    <mergeCell ref="D73:E73"/>
    <mergeCell ref="D70:E70"/>
    <mergeCell ref="D72:E72"/>
    <mergeCell ref="D90:E90"/>
    <mergeCell ref="D91:E91"/>
    <mergeCell ref="D74:E74"/>
    <mergeCell ref="D75:E75"/>
    <mergeCell ref="D76:E76"/>
    <mergeCell ref="D77:E77"/>
    <mergeCell ref="D82:E82"/>
    <mergeCell ref="D80:E80"/>
    <mergeCell ref="D87:E87"/>
    <mergeCell ref="D81:E81"/>
    <mergeCell ref="D84:E84"/>
    <mergeCell ref="D59:E59"/>
    <mergeCell ref="D68:E68"/>
    <mergeCell ref="D61:E61"/>
    <mergeCell ref="D56:E56"/>
    <mergeCell ref="D52:E52"/>
    <mergeCell ref="D51:E51"/>
    <mergeCell ref="D20:E20"/>
    <mergeCell ref="D21:E21"/>
    <mergeCell ref="D35:E35"/>
    <mergeCell ref="D43:E43"/>
    <mergeCell ref="D32:E32"/>
    <mergeCell ref="D67:E67"/>
    <mergeCell ref="D49:E49"/>
    <mergeCell ref="D41:E41"/>
    <mergeCell ref="D63:E63"/>
    <mergeCell ref="D58:E58"/>
    <mergeCell ref="D46:E46"/>
    <mergeCell ref="D47:E47"/>
    <mergeCell ref="D44:E44"/>
    <mergeCell ref="D64:E64"/>
    <mergeCell ref="D65:E65"/>
    <mergeCell ref="D66:E66"/>
    <mergeCell ref="D62:E62"/>
    <mergeCell ref="D36:E36"/>
    <mergeCell ref="B3:B9"/>
    <mergeCell ref="C3:C9"/>
    <mergeCell ref="H3:H9"/>
    <mergeCell ref="D16:E16"/>
    <mergeCell ref="K11:L11"/>
    <mergeCell ref="K16:L16"/>
    <mergeCell ref="J3:J9"/>
    <mergeCell ref="D10:E10"/>
    <mergeCell ref="D3:E9"/>
    <mergeCell ref="F3:F9"/>
    <mergeCell ref="K14:L14"/>
    <mergeCell ref="K15:L15"/>
    <mergeCell ref="K12:L12"/>
    <mergeCell ref="D11:E11"/>
    <mergeCell ref="D12:E12"/>
    <mergeCell ref="D13:E13"/>
    <mergeCell ref="D14:E14"/>
    <mergeCell ref="D15:E15"/>
    <mergeCell ref="K9:L9"/>
    <mergeCell ref="D22:E22"/>
    <mergeCell ref="K10:L10"/>
    <mergeCell ref="D37:E37"/>
    <mergeCell ref="D34:E34"/>
    <mergeCell ref="K29:L29"/>
    <mergeCell ref="D29:E29"/>
    <mergeCell ref="D19:E19"/>
    <mergeCell ref="D31:E31"/>
    <mergeCell ref="D27:E27"/>
    <mergeCell ref="D28:E28"/>
    <mergeCell ref="D24:E24"/>
    <mergeCell ref="D25:E25"/>
    <mergeCell ref="D30:E30"/>
    <mergeCell ref="K33:L33"/>
    <mergeCell ref="K30:L30"/>
    <mergeCell ref="K22:L22"/>
    <mergeCell ref="K21:L21"/>
    <mergeCell ref="K13:L13"/>
    <mergeCell ref="D17:E17"/>
    <mergeCell ref="D23:E23"/>
    <mergeCell ref="D26:E26"/>
    <mergeCell ref="D18:E18"/>
    <mergeCell ref="K49:L49"/>
    <mergeCell ref="K50:L50"/>
    <mergeCell ref="K39:L39"/>
    <mergeCell ref="K45:L45"/>
    <mergeCell ref="D33:E33"/>
    <mergeCell ref="D39:E39"/>
    <mergeCell ref="K60:L60"/>
    <mergeCell ref="D48:E48"/>
    <mergeCell ref="D42:E42"/>
    <mergeCell ref="K58:L58"/>
    <mergeCell ref="K52:L52"/>
    <mergeCell ref="K44:L44"/>
    <mergeCell ref="D53:E53"/>
    <mergeCell ref="D54:E54"/>
    <mergeCell ref="D55:E55"/>
    <mergeCell ref="K41:L41"/>
    <mergeCell ref="K51:L51"/>
    <mergeCell ref="D57:E57"/>
    <mergeCell ref="D45:E45"/>
    <mergeCell ref="D50:E50"/>
    <mergeCell ref="K40:L40"/>
    <mergeCell ref="D38:E38"/>
    <mergeCell ref="D40:E40"/>
    <mergeCell ref="D60:E60"/>
    <mergeCell ref="K79:L79"/>
    <mergeCell ref="K80:L80"/>
    <mergeCell ref="K46:L46"/>
    <mergeCell ref="K65:L65"/>
    <mergeCell ref="K55:L55"/>
    <mergeCell ref="K61:L61"/>
    <mergeCell ref="K72:L72"/>
    <mergeCell ref="K78:L78"/>
    <mergeCell ref="D243:G243"/>
    <mergeCell ref="K205:L205"/>
    <mergeCell ref="K234:L234"/>
    <mergeCell ref="D241:G241"/>
    <mergeCell ref="D237:G237"/>
    <mergeCell ref="K225:L225"/>
    <mergeCell ref="K235:L235"/>
    <mergeCell ref="K74:L74"/>
    <mergeCell ref="H205:H206"/>
    <mergeCell ref="I205:I206"/>
    <mergeCell ref="H203:H204"/>
    <mergeCell ref="K148:L148"/>
    <mergeCell ref="K212:L212"/>
    <mergeCell ref="K163:L163"/>
    <mergeCell ref="K175:L175"/>
    <mergeCell ref="K172:L172"/>
    <mergeCell ref="AC8:AG8"/>
    <mergeCell ref="T5:X5"/>
    <mergeCell ref="Q5:S5"/>
    <mergeCell ref="K64:L64"/>
    <mergeCell ref="K66:L66"/>
    <mergeCell ref="K47:L47"/>
    <mergeCell ref="K57:L57"/>
    <mergeCell ref="K233:L233"/>
    <mergeCell ref="K223:L223"/>
    <mergeCell ref="K230:L230"/>
    <mergeCell ref="K206:L206"/>
    <mergeCell ref="K213:L213"/>
    <mergeCell ref="U184:W184"/>
    <mergeCell ref="K198:L198"/>
    <mergeCell ref="K189:L189"/>
    <mergeCell ref="K190:L190"/>
    <mergeCell ref="K191:L191"/>
    <mergeCell ref="K201:L201"/>
    <mergeCell ref="K203:L203"/>
    <mergeCell ref="K231:L231"/>
    <mergeCell ref="K209:L209"/>
    <mergeCell ref="K224:L224"/>
    <mergeCell ref="X182:AB182"/>
    <mergeCell ref="U183:W183"/>
    <mergeCell ref="Q4:S4"/>
    <mergeCell ref="K242:L242"/>
    <mergeCell ref="K32:L32"/>
    <mergeCell ref="K35:L35"/>
    <mergeCell ref="K38:L38"/>
    <mergeCell ref="K56:L56"/>
    <mergeCell ref="Q6:S6"/>
    <mergeCell ref="K42:L42"/>
    <mergeCell ref="K43:L43"/>
    <mergeCell ref="K31:L31"/>
    <mergeCell ref="K19:L19"/>
    <mergeCell ref="K71:L71"/>
    <mergeCell ref="K54:L54"/>
    <mergeCell ref="K53:L53"/>
    <mergeCell ref="K59:L59"/>
    <mergeCell ref="K69:L69"/>
    <mergeCell ref="K101:L101"/>
    <mergeCell ref="K232:L232"/>
    <mergeCell ref="K185:L185"/>
    <mergeCell ref="K211:L211"/>
    <mergeCell ref="K221:L221"/>
    <mergeCell ref="K196:L196"/>
    <mergeCell ref="K202:L202"/>
    <mergeCell ref="K192:L192"/>
    <mergeCell ref="X183:AB183"/>
    <mergeCell ref="U182:W182"/>
    <mergeCell ref="K199:L199"/>
    <mergeCell ref="K210:L210"/>
    <mergeCell ref="K204:L204"/>
    <mergeCell ref="K182:L182"/>
    <mergeCell ref="K183:L183"/>
    <mergeCell ref="K197:L197"/>
    <mergeCell ref="X184:AB184"/>
    <mergeCell ref="K184:L184"/>
    <mergeCell ref="K194:L194"/>
    <mergeCell ref="J205:J206"/>
    <mergeCell ref="K168:L168"/>
    <mergeCell ref="K174:L174"/>
    <mergeCell ref="K169:L169"/>
    <mergeCell ref="K171:L171"/>
    <mergeCell ref="K173:L173"/>
    <mergeCell ref="K159:L159"/>
    <mergeCell ref="K156:L156"/>
    <mergeCell ref="K157:L157"/>
    <mergeCell ref="K181:L181"/>
    <mergeCell ref="K200:L200"/>
    <mergeCell ref="K165:L165"/>
    <mergeCell ref="K195:L195"/>
    <mergeCell ref="K187:L187"/>
    <mergeCell ref="K186:L186"/>
    <mergeCell ref="K158:L158"/>
    <mergeCell ref="K166:L166"/>
    <mergeCell ref="K162:L162"/>
    <mergeCell ref="K160:L160"/>
    <mergeCell ref="I203:I204"/>
    <mergeCell ref="J203:J204"/>
    <mergeCell ref="K167:L167"/>
    <mergeCell ref="K193:L193"/>
    <mergeCell ref="K155:L155"/>
    <mergeCell ref="K149:L149"/>
    <mergeCell ref="K153:L153"/>
    <mergeCell ref="K150:L150"/>
    <mergeCell ref="K161:L161"/>
    <mergeCell ref="K164:L164"/>
    <mergeCell ref="K151:L151"/>
    <mergeCell ref="K152:L152"/>
    <mergeCell ref="K146:L146"/>
    <mergeCell ref="K104:L104"/>
    <mergeCell ref="K105:L105"/>
    <mergeCell ref="K147:L147"/>
    <mergeCell ref="K134:L134"/>
    <mergeCell ref="K127:L127"/>
    <mergeCell ref="K135:L135"/>
    <mergeCell ref="K138:L138"/>
    <mergeCell ref="K139:L139"/>
    <mergeCell ref="K145:L145"/>
    <mergeCell ref="K126:L126"/>
    <mergeCell ref="K133:L133"/>
    <mergeCell ref="K110:L110"/>
    <mergeCell ref="K112:L112"/>
    <mergeCell ref="K119:L119"/>
    <mergeCell ref="K140:L140"/>
    <mergeCell ref="B209:G209"/>
    <mergeCell ref="K96:L96"/>
    <mergeCell ref="K154:L154"/>
    <mergeCell ref="K95:L95"/>
    <mergeCell ref="K124:L124"/>
    <mergeCell ref="K88:L88"/>
    <mergeCell ref="K111:L111"/>
    <mergeCell ref="K116:L116"/>
    <mergeCell ref="K75:L75"/>
    <mergeCell ref="K98:L98"/>
    <mergeCell ref="K106:L106"/>
    <mergeCell ref="K97:L97"/>
    <mergeCell ref="K100:L100"/>
    <mergeCell ref="D164:E164"/>
    <mergeCell ref="K91:L91"/>
    <mergeCell ref="K83:L83"/>
    <mergeCell ref="K85:L85"/>
    <mergeCell ref="K120:L120"/>
    <mergeCell ref="K142:L142"/>
    <mergeCell ref="K132:L132"/>
    <mergeCell ref="K136:L136"/>
    <mergeCell ref="K141:L141"/>
    <mergeCell ref="K143:L143"/>
    <mergeCell ref="K123:L123"/>
    <mergeCell ref="K62:L62"/>
    <mergeCell ref="K77:L77"/>
    <mergeCell ref="K122:L122"/>
    <mergeCell ref="K99:L99"/>
    <mergeCell ref="K94:L94"/>
    <mergeCell ref="K92:L92"/>
    <mergeCell ref="K220:L220"/>
    <mergeCell ref="K214:L214"/>
    <mergeCell ref="K215:L215"/>
    <mergeCell ref="K216:L216"/>
    <mergeCell ref="K217:L217"/>
    <mergeCell ref="K218:L218"/>
    <mergeCell ref="K219:L219"/>
    <mergeCell ref="K130:L130"/>
    <mergeCell ref="K125:L125"/>
    <mergeCell ref="K103:L103"/>
    <mergeCell ref="K76:L76"/>
    <mergeCell ref="K121:L121"/>
    <mergeCell ref="K81:L81"/>
    <mergeCell ref="K114:L114"/>
    <mergeCell ref="K102:L102"/>
    <mergeCell ref="K118:L118"/>
    <mergeCell ref="K82:L82"/>
    <mergeCell ref="K89:L89"/>
  </mergeCells>
  <phoneticPr fontId="3" type="noConversion"/>
  <conditionalFormatting sqref="AP226:BH226 P207:AI207 S226:AK226 N180:AI180 Q174:AL179 AM205:BH205 P205:AK205 P203:AK203 AM203:BH203 AO37:BN59 AN174:BN179 R37:AL59 Q61:AL160 AN61:BN160 Q162:AL172 AN162:BN172 R11:AL35 AN11:BN35">
    <cfRule type="cellIs" dxfId="15" priority="48" stopIfTrue="1" operator="greaterThan">
      <formula>0</formula>
    </cfRule>
  </conditionalFormatting>
  <conditionalFormatting sqref="K10 K173 K36 K60 K161 K181 K209 K236 K249 K239">
    <cfRule type="cellIs" dxfId="14" priority="51" stopIfTrue="1" operator="equal">
      <formula>"Keine AP mehr übrig!"</formula>
    </cfRule>
    <cfRule type="cellIs" dxfId="13" priority="52" stopIfTrue="1" operator="equal">
      <formula>"Keine TaGP mehr übrig!"</formula>
    </cfRule>
  </conditionalFormatting>
  <conditionalFormatting sqref="A176:A179 B176:J176">
    <cfRule type="cellIs" dxfId="12" priority="5" stopIfTrue="1" operator="greaterThan">
      <formula>0</formula>
    </cfRule>
  </conditionalFormatting>
  <conditionalFormatting sqref="L176">
    <cfRule type="cellIs" dxfId="11" priority="4" stopIfTrue="1" operator="greaterThan">
      <formula>0</formula>
    </cfRule>
  </conditionalFormatting>
  <conditionalFormatting sqref="N176:O179">
    <cfRule type="cellIs" dxfId="10" priority="3" stopIfTrue="1" operator="greaterThan">
      <formula>0</formula>
    </cfRule>
  </conditionalFormatting>
  <conditionalFormatting sqref="K176">
    <cfRule type="cellIs" dxfId="9" priority="1" stopIfTrue="1" operator="equal">
      <formula>"Keine AP mehr übrig!"</formula>
    </cfRule>
    <cfRule type="cellIs" dxfId="8" priority="2" stopIfTrue="1" operator="equal">
      <formula>"Keine TaGP mehr übrig!"</formula>
    </cfRule>
  </conditionalFormatting>
  <dataValidations count="15">
    <dataValidation type="list" allowBlank="1" showInputMessage="1" showErrorMessage="1" sqref="A182:A201">
      <formula1>IF(AI182="",INDIRECT($Q182),AI182)</formula1>
    </dataValidation>
    <dataValidation type="list" allowBlank="1" showInputMessage="1" showErrorMessage="1" sqref="A241:A246">
      <formula1>MERKMALE</formula1>
    </dataValidation>
    <dataValidation type="list" allowBlank="1" showInputMessage="1" showErrorMessage="1" sqref="A247">
      <formula1>IF(EXACT(ZS_AKADEMIE,""),MERKMALE,ZS_MERKMAL_ALLE)</formula1>
    </dataValidation>
    <dataValidation type="list" allowBlank="1" showInputMessage="1" showErrorMessage="1" sqref="A162:A172">
      <formula1>ZAUBER</formula1>
    </dataValidation>
    <dataValidation type="list" allowBlank="1" showInputMessage="1" showErrorMessage="1" sqref="A237:A238 C162:C172 F205 C37:C59 C174:C175 C61:C160 C11:C35 BP4 F203">
      <formula1>REPRAES</formula1>
    </dataValidation>
    <dataValidation type="list" allowBlank="1" showInputMessage="1" showErrorMessage="1" sqref="A210:A225">
      <formula1>ZZEICHEN</formula1>
    </dataValidation>
    <dataValidation type="list" allowBlank="1" showInputMessage="1" showErrorMessage="1" sqref="A228:A235">
      <formula1>RUNEN</formula1>
    </dataValidation>
    <dataValidation type="list" allowBlank="1" showInputMessage="1" showErrorMessage="1" sqref="A250:B250">
      <formula1>MAGAKADMN</formula1>
    </dataValidation>
    <dataValidation type="list" allowBlank="1" showInputMessage="1" showErrorMessage="1" sqref="B253">
      <formula1>"Anzeigen,Ausblenden"</formula1>
    </dataValidation>
    <dataValidation type="list" allowBlank="1" showInputMessage="1" showErrorMessage="1" sqref="B251">
      <formula1>"Ja,Nein (Lehrmeister, andere Richtung)"</formula1>
    </dataValidation>
    <dataValidation type="list" allowBlank="1" showInputMessage="1" showErrorMessage="1" sqref="O11:O35 O37:O59 O162:O172 O61:O160 O174:O175">
      <formula1>"1,2"</formula1>
    </dataValidation>
    <dataValidation type="list" allowBlank="1" showInputMessage="1" showErrorMessage="1" sqref="B241:B247 B237:B238 B210:B225 B228:B235">
      <formula1>"X,V,"</formula1>
    </dataValidation>
    <dataValidation type="list" allowBlank="1" showInputMessage="1" showErrorMessage="1" sqref="B252">
      <formula1>"Ja,Nein,"</formula1>
    </dataValidation>
    <dataValidation type="list" allowBlank="1" showInputMessage="1" showErrorMessage="1" sqref="B182:B201">
      <formula1>RITUAL_KAT</formula1>
    </dataValidation>
    <dataValidation type="list" allowBlank="1" showInputMessage="1" showErrorMessage="1" sqref="CV3">
      <formula1>"Wahr,Falsch,"</formula1>
    </dataValidation>
  </dataValidations>
  <hyperlinks>
    <hyperlink ref="A36" location="Zauber!A1" display="Startzauber"/>
    <hyperlink ref="A60" location="Zauber!A1" tooltip="Zurück" display="Bekannte Zauber"/>
    <hyperlink ref="A3" location="Zauber!A20" display="Hauszauber"/>
    <hyperlink ref="A4" location="Zauber!A53" display="Startzauber"/>
    <hyperlink ref="A5" location="Zauber!A71" display="Bekannte Zauber"/>
    <hyperlink ref="A6" location="Zauber!A156" display="weitere Zauber"/>
    <hyperlink ref="A161" location="Zauber!A1" display="weitere Zauber"/>
    <hyperlink ref="A8" location="Zauber!A222" display="Repräs. &amp; Merkmale"/>
    <hyperlink ref="A7" location="Zauber!A173" display="Rituale"/>
    <hyperlink ref="A236" location="Zauber!A1" display="Repräsentationen"/>
    <hyperlink ref="A239" location="Zauber!CO4" display="SF Merkmalskenntnis"/>
  </hyperlinks>
  <pageMargins left="0.78740157499999996" right="0.78740157499999996" top="0.984251969" bottom="0.984251969" header="0.4921259845" footer="0.4921259845"/>
  <pageSetup paperSize="9" orientation="portrait"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indexed="51"/>
  </sheetPr>
  <dimension ref="A1:BK291"/>
  <sheetViews>
    <sheetView zoomScale="70" zoomScaleNormal="70" workbookViewId="0">
      <selection activeCell="H145" sqref="H145"/>
    </sheetView>
  </sheetViews>
  <sheetFormatPr baseColWidth="10" defaultColWidth="8.85546875" defaultRowHeight="12.75" x14ac:dyDescent="0.2"/>
  <cols>
    <col min="1" max="1" width="36.7109375" customWidth="1"/>
    <col min="2" max="2" width="6" customWidth="1"/>
    <col min="3" max="3" width="4.85546875" customWidth="1"/>
    <col min="4" max="4" width="4.140625" customWidth="1"/>
    <col min="5" max="7" width="5" customWidth="1"/>
    <col min="8" max="8" width="37.140625" customWidth="1"/>
    <col min="9" max="13" width="8.85546875" customWidth="1"/>
    <col min="14" max="14" width="10.28515625" style="312" customWidth="1"/>
    <col min="15" max="16" width="8.85546875" customWidth="1"/>
    <col min="17" max="17" width="8.42578125" customWidth="1"/>
    <col min="18" max="18" width="9.5703125" customWidth="1"/>
    <col min="19" max="19" width="4.5703125" customWidth="1"/>
    <col min="20" max="20" width="6.85546875" customWidth="1"/>
    <col min="21" max="21" width="4.28515625" customWidth="1"/>
    <col min="22" max="22" width="5.28515625" customWidth="1"/>
    <col min="23" max="23" width="8.5703125" customWidth="1"/>
    <col min="24" max="24" width="9.28515625" customWidth="1"/>
    <col min="25" max="25" width="9.5703125" customWidth="1"/>
    <col min="26" max="26" width="8.140625" customWidth="1"/>
    <col min="27" max="27" width="9.5703125" customWidth="1"/>
    <col min="28" max="37" width="4.28515625" customWidth="1"/>
    <col min="38" max="38" width="3.42578125" bestFit="1" customWidth="1"/>
    <col min="39" max="41" width="4.28515625" customWidth="1"/>
    <col min="42" max="42" width="6.5703125" customWidth="1"/>
    <col min="43" max="62" width="4.28515625" customWidth="1"/>
  </cols>
  <sheetData>
    <row r="1" spans="1:62" ht="36" thickBot="1" x14ac:dyDescent="0.55000000000000004">
      <c r="A1" s="7" t="s">
        <v>7807</v>
      </c>
    </row>
    <row r="2" spans="1:62" x14ac:dyDescent="0.2">
      <c r="H2" s="1449" t="s">
        <v>2405</v>
      </c>
      <c r="I2" s="314">
        <f>APGES</f>
        <v>0</v>
      </c>
    </row>
    <row r="3" spans="1:62" ht="13.5" customHeight="1" x14ac:dyDescent="0.2">
      <c r="H3" s="1450" t="s">
        <v>771</v>
      </c>
      <c r="I3" s="315">
        <f ca="1">APGUT</f>
        <v>0</v>
      </c>
    </row>
    <row r="4" spans="1:62" x14ac:dyDescent="0.2">
      <c r="H4" s="1450" t="s">
        <v>2968</v>
      </c>
      <c r="I4" s="534">
        <f ca="1">SUM(AO11:BJ11,AO14:BJ18,AO20:BJ24,AO26:BJ29,AE33:AE151,U154:U171,T175:T278)</f>
        <v>0</v>
      </c>
      <c r="L4" s="370" t="s">
        <v>7525</v>
      </c>
      <c r="M4" s="370" t="s">
        <v>568</v>
      </c>
      <c r="N4" s="370" t="s">
        <v>7526</v>
      </c>
    </row>
    <row r="5" spans="1:62" x14ac:dyDescent="0.2">
      <c r="H5" s="1450" t="s">
        <v>3793</v>
      </c>
      <c r="I5" s="315">
        <f ca="1">TL_GP_UEBRIG</f>
        <v>320</v>
      </c>
      <c r="L5" s="370">
        <f ca="1">SUM(R11:AM11,R14:AM18,R20:AM24,R26:AM29,AC33:AC151,S175:S263)</f>
        <v>0</v>
      </c>
      <c r="M5" s="370">
        <f ca="1">SUM(AB33:AB151,R175:R263)</f>
        <v>0</v>
      </c>
      <c r="N5" s="370">
        <f ca="1">SUM(AD35:AD151)</f>
        <v>0</v>
      </c>
    </row>
    <row r="6" spans="1:62" x14ac:dyDescent="0.2">
      <c r="H6" s="1451" t="s">
        <v>6536</v>
      </c>
      <c r="I6" s="1421">
        <f>STARTAP2_UEBRIG</f>
        <v>0</v>
      </c>
      <c r="L6" s="370"/>
      <c r="M6" s="370"/>
    </row>
    <row r="7" spans="1:62" ht="13.5" thickBot="1" x14ac:dyDescent="0.25">
      <c r="H7" s="1452" t="s">
        <v>4643</v>
      </c>
      <c r="I7" s="330">
        <f ca="1">SUM(APGUT,IF(TL_GP_UEBRIG&lt;0,0,TL_GP_UEBRIG),IF(STARTAP2_UEBRIG&lt;0,0,STARTAP2_UEBRIG))</f>
        <v>320</v>
      </c>
    </row>
    <row r="8" spans="1:62" x14ac:dyDescent="0.2">
      <c r="H8" s="1083"/>
      <c r="I8" s="1084"/>
    </row>
    <row r="9" spans="1:62" ht="100.5" customHeight="1" x14ac:dyDescent="0.2">
      <c r="B9" s="316" t="s">
        <v>2404</v>
      </c>
      <c r="E9" s="328" t="s">
        <v>3794</v>
      </c>
      <c r="F9" s="309" t="s">
        <v>399</v>
      </c>
      <c r="G9" s="310" t="s">
        <v>1325</v>
      </c>
      <c r="I9" s="2001" t="str">
        <f ca="1">HLOOKUP(RASSEGENE,RASSE,IDX_LITURG,FALSE)&amp;
HLOOKUP(KULTURGENE,KULTUR,IDX_LITURG,FALSE)&amp;
HLOOKUP(PROFGENE,INDIRECT(PROFGEBIET),IDX_LITURG,FALSE)&amp;
IF(LEN(PROFZWEITE)&lt;1,"",HLOOKUP(PROFZWEITE,INDIRECT(PROFGEBIET2),IDX_LITURG,FALSE))</f>
        <v/>
      </c>
      <c r="J9" s="2002"/>
      <c r="K9" s="2002"/>
      <c r="L9" s="2002"/>
      <c r="M9" s="2002"/>
      <c r="N9" s="2002"/>
      <c r="O9" s="2002"/>
      <c r="P9" s="2003"/>
    </row>
    <row r="10" spans="1:62" x14ac:dyDescent="0.2">
      <c r="A10" s="180" t="s">
        <v>5038</v>
      </c>
      <c r="B10" s="90"/>
      <c r="C10" s="25"/>
      <c r="D10" s="25"/>
      <c r="E10" s="26"/>
      <c r="F10" s="26"/>
      <c r="G10" s="26"/>
      <c r="H10" s="25"/>
      <c r="I10" s="180" t="s">
        <v>5029</v>
      </c>
      <c r="J10" s="25"/>
      <c r="K10" s="25"/>
      <c r="L10" s="25"/>
      <c r="M10" s="25"/>
      <c r="N10" s="331"/>
      <c r="O10" s="25"/>
      <c r="P10" s="25"/>
      <c r="Q10" s="25"/>
      <c r="R10" s="150"/>
      <c r="S10" s="149">
        <v>1</v>
      </c>
      <c r="T10" s="149">
        <v>2</v>
      </c>
      <c r="U10" s="149">
        <v>3</v>
      </c>
      <c r="V10" s="149">
        <v>4</v>
      </c>
      <c r="W10" s="149">
        <v>5</v>
      </c>
      <c r="X10" s="149">
        <v>6</v>
      </c>
      <c r="Y10" s="149">
        <v>7</v>
      </c>
      <c r="Z10" s="149">
        <v>8</v>
      </c>
      <c r="AA10" s="149">
        <v>9</v>
      </c>
      <c r="AB10" s="149">
        <v>10</v>
      </c>
      <c r="AC10" s="149">
        <v>11</v>
      </c>
      <c r="AD10" s="149">
        <v>12</v>
      </c>
      <c r="AE10" s="149">
        <v>13</v>
      </c>
      <c r="AF10" s="149">
        <v>14</v>
      </c>
      <c r="AG10" s="149">
        <v>15</v>
      </c>
      <c r="AH10" s="149">
        <v>16</v>
      </c>
      <c r="AI10" s="149">
        <v>17</v>
      </c>
      <c r="AJ10" s="149">
        <v>18</v>
      </c>
      <c r="AK10" s="149">
        <v>19</v>
      </c>
      <c r="AL10" s="149">
        <v>20</v>
      </c>
      <c r="AM10" s="149">
        <v>21</v>
      </c>
      <c r="AN10" s="207"/>
      <c r="AO10" s="150"/>
      <c r="AP10" s="149">
        <v>1</v>
      </c>
      <c r="AQ10" s="149">
        <v>2</v>
      </c>
      <c r="AR10" s="149">
        <v>3</v>
      </c>
      <c r="AS10" s="149">
        <v>4</v>
      </c>
      <c r="AT10" s="149">
        <v>5</v>
      </c>
      <c r="AU10" s="149">
        <v>6</v>
      </c>
      <c r="AV10" s="149">
        <v>7</v>
      </c>
      <c r="AW10" s="149">
        <v>8</v>
      </c>
      <c r="AX10" s="149">
        <v>9</v>
      </c>
      <c r="AY10" s="149">
        <v>10</v>
      </c>
      <c r="AZ10" s="149">
        <v>11</v>
      </c>
      <c r="BA10" s="149">
        <v>12</v>
      </c>
      <c r="BB10" s="149">
        <v>13</v>
      </c>
      <c r="BC10" s="149">
        <v>14</v>
      </c>
      <c r="BD10" s="149">
        <v>15</v>
      </c>
      <c r="BE10" s="149">
        <v>16</v>
      </c>
      <c r="BF10" s="149">
        <v>17</v>
      </c>
      <c r="BG10" s="149">
        <v>18</v>
      </c>
      <c r="BH10" s="149">
        <v>19</v>
      </c>
      <c r="BI10" s="149">
        <v>20</v>
      </c>
      <c r="BJ10" s="346">
        <v>21</v>
      </c>
    </row>
    <row r="11" spans="1:62" x14ac:dyDescent="0.2">
      <c r="A11" s="24" t="s">
        <v>4778</v>
      </c>
      <c r="B11" s="317" t="str">
        <f ca="1">IF(PROFGEBGENE="Goetter",IF(HLOOKUP(PROFGENE,INDIRECT(PROFGEBIET),IDX_GLK+1,FALSE)="","",HLOOKUP(PROFGENE,INDIRECT(PROFGEBIET),IDX_GLK+1,FALSE)),IF(AKTIV_SPTWHE,HLOOKUP(PROFSPTWHE,SPTWHE,IDX_GLK+1,FALSE),IF(OR(AKTIV_AKOLUTH="X",AKTIV_GRGEIST="X"),3,
IF(PROFGEBZWEITE="Goetter (BGB)",IF(HLOOKUP(PROFZWEITE,INDIRECT(PROFGEBIET2),IDX_GLK+1,FALSE)="","",HLOOKUP(PROFZWEITE,INDIRECT(PROFGEBIET2),IDX_GLK+1,FALSE)),""))))</f>
        <v/>
      </c>
      <c r="E11" s="960"/>
      <c r="F11" s="325"/>
      <c r="G11" s="326"/>
      <c r="I11" s="329" t="str">
        <f ca="1">IF(UPPER(AKTIV_AKOLUTH)="X",SF!E128,IF(PROFGEBGENE="Goetter",IF(HLOOKUP(PROFGENE,INDIRECT(PROFGEBIET),IDX_GLK,FALSE)="","",HLOOKUP(PROFGENE,INDIRECT(PROFGEBIET),IDX_GLK,FALSE)),IF(AKTIV_SPTWHE,HLOOKUP(PROFSPTWHE,SPTWHE,IDX_GLK,FALSE),IF(UPPER(AKTIV_GRGEIST)="X",SF!E132,IF(PROFGEBZWEITE="Goetter (BGB)",HLOOKUP(PROFZWEITE,INDIRECT(PROFGEBIET2),IDX_GLK,FALSE),"")))))</f>
        <v/>
      </c>
      <c r="J11" s="327"/>
      <c r="P11" s="348" t="s">
        <v>3916</v>
      </c>
      <c r="Q11" s="25"/>
      <c r="R11" s="341"/>
      <c r="S11" s="342">
        <f t="shared" ref="S11:AM11" ca="1" si="0">ROUND(
IF(AND(NOT(ISBLANK($E11)),$B11&lt;S$10,SUM($B11,$E11)&gt;=S$10),IF(AND(NOT(ISBLANK($F11)),IF(ISERR(FIND(";"&amp;S$10&amp;";",$F11)),FALSE,TRUE)),HLOOKUP(CHAR(CODE($P11)-1),SKT,S$10+3,FALSE),HLOOKUP(CHAR(CODE($P11)),SKT,S$10+3,FALSE)),0)
*IF(VT_EIDGED,0.5,IF(VT_GUTGED,0.75,1)),0)</f>
        <v>0</v>
      </c>
      <c r="T11" s="342">
        <f t="shared" ca="1" si="0"/>
        <v>0</v>
      </c>
      <c r="U11" s="342">
        <f t="shared" ca="1" si="0"/>
        <v>0</v>
      </c>
      <c r="V11" s="342">
        <f t="shared" ca="1" si="0"/>
        <v>0</v>
      </c>
      <c r="W11" s="342">
        <f t="shared" ca="1" si="0"/>
        <v>0</v>
      </c>
      <c r="X11" s="342">
        <f t="shared" ca="1" si="0"/>
        <v>0</v>
      </c>
      <c r="Y11" s="342">
        <f t="shared" ca="1" si="0"/>
        <v>0</v>
      </c>
      <c r="Z11" s="342">
        <f t="shared" ca="1" si="0"/>
        <v>0</v>
      </c>
      <c r="AA11" s="342">
        <f t="shared" ca="1" si="0"/>
        <v>0</v>
      </c>
      <c r="AB11" s="342">
        <f t="shared" ca="1" si="0"/>
        <v>0</v>
      </c>
      <c r="AC11" s="342">
        <f t="shared" ca="1" si="0"/>
        <v>0</v>
      </c>
      <c r="AD11" s="342">
        <f t="shared" ca="1" si="0"/>
        <v>0</v>
      </c>
      <c r="AE11" s="342">
        <f t="shared" ca="1" si="0"/>
        <v>0</v>
      </c>
      <c r="AF11" s="342">
        <f t="shared" ca="1" si="0"/>
        <v>0</v>
      </c>
      <c r="AG11" s="342">
        <f t="shared" ca="1" si="0"/>
        <v>0</v>
      </c>
      <c r="AH11" s="342">
        <f t="shared" ca="1" si="0"/>
        <v>0</v>
      </c>
      <c r="AI11" s="342">
        <f t="shared" ca="1" si="0"/>
        <v>0</v>
      </c>
      <c r="AJ11" s="342">
        <f t="shared" ca="1" si="0"/>
        <v>0</v>
      </c>
      <c r="AK11" s="342">
        <f t="shared" ca="1" si="0"/>
        <v>0</v>
      </c>
      <c r="AL11" s="342">
        <f t="shared" ca="1" si="0"/>
        <v>0</v>
      </c>
      <c r="AM11" s="343">
        <f t="shared" ca="1" si="0"/>
        <v>0</v>
      </c>
      <c r="AN11" s="208" t="s">
        <v>3916</v>
      </c>
      <c r="AO11" s="341"/>
      <c r="AP11" s="342">
        <f t="shared" ref="AP11:BJ11" ca="1" si="1">ROUND(
IF(AND(NOT(ISBLANK($G11)),SUM($B11,$E11)&lt;AP$10,SUM($B11,$E11,$G11)&gt;=AP$10),IF(AND(NOT(ISBLANK($F11)),IF(ISERR(FIND(";"&amp;AP$10&amp;";",$F11)),FALSE,TRUE)),HLOOKUP(CHAR(CODE($AN11)-1),SKT,AP$10+3,FALSE),HLOOKUP(CHAR(CODE($AN11)),SKT,AP$10+3,FALSE)),0)
*IF(VT_EIDGED,0.5,IF(VT_GUTGED,0.75,1)),0)</f>
        <v>0</v>
      </c>
      <c r="AQ11" s="342">
        <f t="shared" ca="1" si="1"/>
        <v>0</v>
      </c>
      <c r="AR11" s="342">
        <f t="shared" ca="1" si="1"/>
        <v>0</v>
      </c>
      <c r="AS11" s="342">
        <f t="shared" ca="1" si="1"/>
        <v>0</v>
      </c>
      <c r="AT11" s="342">
        <f t="shared" ca="1" si="1"/>
        <v>0</v>
      </c>
      <c r="AU11" s="342">
        <f t="shared" ca="1" si="1"/>
        <v>0</v>
      </c>
      <c r="AV11" s="342">
        <f t="shared" ca="1" si="1"/>
        <v>0</v>
      </c>
      <c r="AW11" s="342">
        <f t="shared" ca="1" si="1"/>
        <v>0</v>
      </c>
      <c r="AX11" s="342">
        <f t="shared" ca="1" si="1"/>
        <v>0</v>
      </c>
      <c r="AY11" s="342">
        <f t="shared" ca="1" si="1"/>
        <v>0</v>
      </c>
      <c r="AZ11" s="342">
        <f t="shared" ca="1" si="1"/>
        <v>0</v>
      </c>
      <c r="BA11" s="342">
        <f t="shared" ca="1" si="1"/>
        <v>0</v>
      </c>
      <c r="BB11" s="342">
        <f t="shared" ca="1" si="1"/>
        <v>0</v>
      </c>
      <c r="BC11" s="342">
        <f t="shared" ca="1" si="1"/>
        <v>0</v>
      </c>
      <c r="BD11" s="342">
        <f t="shared" ca="1" si="1"/>
        <v>0</v>
      </c>
      <c r="BE11" s="342">
        <f t="shared" ca="1" si="1"/>
        <v>0</v>
      </c>
      <c r="BF11" s="342">
        <f t="shared" ca="1" si="1"/>
        <v>0</v>
      </c>
      <c r="BG11" s="342">
        <f t="shared" ca="1" si="1"/>
        <v>0</v>
      </c>
      <c r="BH11" s="342">
        <f t="shared" ca="1" si="1"/>
        <v>0</v>
      </c>
      <c r="BI11" s="342">
        <f t="shared" ca="1" si="1"/>
        <v>0</v>
      </c>
      <c r="BJ11" s="342">
        <f t="shared" ca="1" si="1"/>
        <v>0</v>
      </c>
    </row>
    <row r="12" spans="1:62" x14ac:dyDescent="0.2">
      <c r="E12" s="1"/>
      <c r="F12" s="1"/>
      <c r="G12" s="1"/>
      <c r="P12" s="268"/>
      <c r="Q12" s="25"/>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row>
    <row r="13" spans="1:62" x14ac:dyDescent="0.2">
      <c r="A13" s="180" t="s">
        <v>5039</v>
      </c>
      <c r="B13" s="90"/>
      <c r="C13" s="25"/>
      <c r="D13" s="25"/>
      <c r="E13" s="26"/>
      <c r="F13" s="26"/>
      <c r="G13" s="26"/>
      <c r="H13" s="25"/>
      <c r="I13" s="180" t="s">
        <v>5029</v>
      </c>
      <c r="J13" s="25"/>
      <c r="K13" s="25"/>
      <c r="L13" s="25"/>
      <c r="M13" s="25"/>
      <c r="N13" s="313"/>
      <c r="O13" s="25"/>
      <c r="P13" s="25"/>
      <c r="Q13" s="25"/>
      <c r="R13" s="150"/>
      <c r="S13" s="149">
        <v>1</v>
      </c>
      <c r="T13" s="149">
        <v>2</v>
      </c>
      <c r="U13" s="149">
        <v>3</v>
      </c>
      <c r="V13" s="149">
        <v>4</v>
      </c>
      <c r="W13" s="149">
        <v>5</v>
      </c>
      <c r="X13" s="149">
        <v>6</v>
      </c>
      <c r="Y13" s="149">
        <v>7</v>
      </c>
      <c r="Z13" s="149">
        <v>8</v>
      </c>
      <c r="AA13" s="149">
        <v>9</v>
      </c>
      <c r="AB13" s="149">
        <v>10</v>
      </c>
      <c r="AC13" s="149">
        <v>11</v>
      </c>
      <c r="AD13" s="149">
        <v>12</v>
      </c>
      <c r="AE13" s="149">
        <v>13</v>
      </c>
      <c r="AF13" s="149">
        <v>14</v>
      </c>
      <c r="AG13" s="149">
        <v>15</v>
      </c>
      <c r="AH13" s="149">
        <v>16</v>
      </c>
      <c r="AI13" s="149">
        <v>17</v>
      </c>
      <c r="AJ13" s="149">
        <v>18</v>
      </c>
      <c r="AK13" s="149">
        <v>19</v>
      </c>
      <c r="AL13" s="149">
        <v>20</v>
      </c>
      <c r="AM13" s="149">
        <v>21</v>
      </c>
      <c r="AN13" s="207"/>
      <c r="AO13" s="150"/>
      <c r="AP13" s="149">
        <v>1</v>
      </c>
      <c r="AQ13" s="149">
        <v>2</v>
      </c>
      <c r="AR13" s="149">
        <v>3</v>
      </c>
      <c r="AS13" s="149">
        <v>4</v>
      </c>
      <c r="AT13" s="149">
        <v>5</v>
      </c>
      <c r="AU13" s="149">
        <v>6</v>
      </c>
      <c r="AV13" s="149">
        <v>7</v>
      </c>
      <c r="AW13" s="149">
        <v>8</v>
      </c>
      <c r="AX13" s="149">
        <v>9</v>
      </c>
      <c r="AY13" s="149">
        <v>10</v>
      </c>
      <c r="AZ13" s="149">
        <v>11</v>
      </c>
      <c r="BA13" s="149">
        <v>12</v>
      </c>
      <c r="BB13" s="149">
        <v>13</v>
      </c>
      <c r="BC13" s="149">
        <v>14</v>
      </c>
      <c r="BD13" s="149">
        <v>15</v>
      </c>
      <c r="BE13" s="149">
        <v>16</v>
      </c>
      <c r="BF13" s="149">
        <v>17</v>
      </c>
      <c r="BG13" s="149">
        <v>18</v>
      </c>
      <c r="BH13" s="149">
        <v>19</v>
      </c>
      <c r="BI13" s="149">
        <v>20</v>
      </c>
      <c r="BJ13" s="149">
        <v>21</v>
      </c>
    </row>
    <row r="14" spans="1:62" x14ac:dyDescent="0.2">
      <c r="A14" s="24" t="s">
        <v>3074</v>
      </c>
      <c r="B14" s="344"/>
      <c r="C14" s="90"/>
      <c r="D14" s="90"/>
      <c r="E14" s="345"/>
      <c r="F14" s="345"/>
      <c r="G14" s="345"/>
      <c r="H14" s="25"/>
      <c r="I14" s="329" t="str">
        <f ca="1">IF(PROFGEBGENE="Goetter",IF(HLOOKUP(PROFGENE,INDIRECT(PROFGEBIET),IDX_GLK+3,FALSE)="","",HLOOKUP(PROFGENE,INDIRECT(PROFGEBIET),IDX_GLK+3,FALSE)),"")</f>
        <v/>
      </c>
      <c r="J14" s="327"/>
      <c r="P14" s="348"/>
      <c r="Q14" s="25"/>
      <c r="R14" s="334"/>
      <c r="S14" s="335"/>
      <c r="T14" s="335"/>
      <c r="U14" s="335"/>
      <c r="V14" s="335"/>
      <c r="W14" s="335"/>
      <c r="X14" s="335"/>
      <c r="Y14" s="335"/>
      <c r="Z14" s="335"/>
      <c r="AA14" s="335"/>
      <c r="AB14" s="335"/>
      <c r="AC14" s="335"/>
      <c r="AD14" s="335"/>
      <c r="AE14" s="335"/>
      <c r="AF14" s="335"/>
      <c r="AG14" s="335"/>
      <c r="AH14" s="335"/>
      <c r="AI14" s="335"/>
      <c r="AJ14" s="335"/>
      <c r="AK14" s="335"/>
      <c r="AL14" s="335"/>
      <c r="AM14" s="336"/>
      <c r="AN14" s="333"/>
      <c r="AO14" s="334"/>
      <c r="AP14" s="335"/>
      <c r="AQ14" s="335"/>
      <c r="AR14" s="335"/>
      <c r="AS14" s="335"/>
      <c r="AT14" s="335"/>
      <c r="AU14" s="335"/>
      <c r="AV14" s="335"/>
      <c r="AW14" s="335"/>
      <c r="AX14" s="335"/>
      <c r="AY14" s="335"/>
      <c r="AZ14" s="335"/>
      <c r="BA14" s="335"/>
      <c r="BB14" s="335"/>
      <c r="BC14" s="335"/>
      <c r="BD14" s="335"/>
      <c r="BE14" s="335"/>
      <c r="BF14" s="335"/>
      <c r="BG14" s="335"/>
      <c r="BH14" s="335"/>
      <c r="BI14" s="335"/>
      <c r="BJ14" s="336"/>
    </row>
    <row r="15" spans="1:62" x14ac:dyDescent="0.2">
      <c r="A15" s="24" t="s">
        <v>2925</v>
      </c>
      <c r="B15" s="317" t="str">
        <f ca="1">IF(PROFGEBGENE="Goetter",IF(HLOOKUP(PROFGENE,INDIRECT(PROFGEBIET),IDX_GLK+5,FALSE)="","",HLOOKUP(PROFGENE,INDIRECT(PROFGEBIET),IDX_GLK+5,FALSE)),"")</f>
        <v/>
      </c>
      <c r="E15" s="960"/>
      <c r="F15" s="325"/>
      <c r="G15" s="326"/>
      <c r="P15" s="348" t="s">
        <v>1828</v>
      </c>
      <c r="Q15" s="25"/>
      <c r="R15" s="211"/>
      <c r="S15" s="160">
        <f t="shared" ref="S15:AB18" ca="1" si="2">ROUND(
IF(AND(NOT(ISBLANK($E15)),$B15&lt;S$10,SUM($B15,$E15)&gt;=S$10),IF(AND(NOT(ISBLANK($F15)),IF(ISERR(FIND(";"&amp;S$10&amp;";",$F15)),FALSE,TRUE)),HLOOKUP(CHAR(CODE($P15)-1),SKT,S$10+3,FALSE),HLOOKUP(CHAR(CODE($P15)),SKT,S$10+3,FALSE)),0)
*IF(VT_EIDGED,0.5,IF(VT_GUTGED,0.75,1)),0)</f>
        <v>0</v>
      </c>
      <c r="T15" s="160">
        <f t="shared" ca="1" si="2"/>
        <v>0</v>
      </c>
      <c r="U15" s="160">
        <f t="shared" ca="1" si="2"/>
        <v>0</v>
      </c>
      <c r="V15" s="160">
        <f t="shared" ca="1" si="2"/>
        <v>0</v>
      </c>
      <c r="W15" s="160">
        <f t="shared" ca="1" si="2"/>
        <v>0</v>
      </c>
      <c r="X15" s="160">
        <f t="shared" ca="1" si="2"/>
        <v>0</v>
      </c>
      <c r="Y15" s="160">
        <f t="shared" ca="1" si="2"/>
        <v>0</v>
      </c>
      <c r="Z15" s="160">
        <f t="shared" ca="1" si="2"/>
        <v>0</v>
      </c>
      <c r="AA15" s="160">
        <f t="shared" ca="1" si="2"/>
        <v>0</v>
      </c>
      <c r="AB15" s="160">
        <f t="shared" ca="1" si="2"/>
        <v>0</v>
      </c>
      <c r="AC15" s="160">
        <f t="shared" ref="AC15:AM18" ca="1" si="3">ROUND(
IF(AND(NOT(ISBLANK($E15)),$B15&lt;AC$10,SUM($B15,$E15)&gt;=AC$10),IF(AND(NOT(ISBLANK($F15)),IF(ISERR(FIND(";"&amp;AC$10&amp;";",$F15)),FALSE,TRUE)),HLOOKUP(CHAR(CODE($P15)-1),SKT,AC$10+3,FALSE),HLOOKUP(CHAR(CODE($P15)),SKT,AC$10+3,FALSE)),0)
*IF(VT_EIDGED,0.5,IF(VT_GUTGED,0.75,1)),0)</f>
        <v>0</v>
      </c>
      <c r="AD15" s="160">
        <f t="shared" ca="1" si="3"/>
        <v>0</v>
      </c>
      <c r="AE15" s="160">
        <f t="shared" ca="1" si="3"/>
        <v>0</v>
      </c>
      <c r="AF15" s="160">
        <f t="shared" ca="1" si="3"/>
        <v>0</v>
      </c>
      <c r="AG15" s="160">
        <f t="shared" ca="1" si="3"/>
        <v>0</v>
      </c>
      <c r="AH15" s="160">
        <f t="shared" ca="1" si="3"/>
        <v>0</v>
      </c>
      <c r="AI15" s="160">
        <f t="shared" ca="1" si="3"/>
        <v>0</v>
      </c>
      <c r="AJ15" s="160">
        <f t="shared" ca="1" si="3"/>
        <v>0</v>
      </c>
      <c r="AK15" s="160">
        <f t="shared" ca="1" si="3"/>
        <v>0</v>
      </c>
      <c r="AL15" s="160">
        <f t="shared" ca="1" si="3"/>
        <v>0</v>
      </c>
      <c r="AM15" s="337">
        <f t="shared" ca="1" si="3"/>
        <v>0</v>
      </c>
      <c r="AN15" s="207"/>
      <c r="AO15" s="211"/>
      <c r="AP15" s="160">
        <f t="shared" ref="AP15:AY18" ca="1" si="4">ROUND(
IF(AND(NOT(ISBLANK($G15)),SUM($B15,$E15)&lt;AP$10,SUM($B15,$E15,$G15)&gt;=AP$10),IF(AND(NOT(ISBLANK($F15)),IF(ISERR(FIND(";"&amp;AP$10&amp;";",$F15)),FALSE,TRUE)),HLOOKUP(CHAR(CODE($P15)-1),SKT,AP$10+3,FALSE),HLOOKUP(CHAR(CODE($P15)),SKT,AP$10+3,FALSE)),0)
*IF(VT_EIDGED,0.5,IF(VT_GUTGED,0.75,1)),0)</f>
        <v>0</v>
      </c>
      <c r="AQ15" s="160">
        <f t="shared" ca="1" si="4"/>
        <v>0</v>
      </c>
      <c r="AR15" s="160">
        <f t="shared" ca="1" si="4"/>
        <v>0</v>
      </c>
      <c r="AS15" s="160">
        <f t="shared" ca="1" si="4"/>
        <v>0</v>
      </c>
      <c r="AT15" s="160">
        <f t="shared" ca="1" si="4"/>
        <v>0</v>
      </c>
      <c r="AU15" s="160">
        <f t="shared" ca="1" si="4"/>
        <v>0</v>
      </c>
      <c r="AV15" s="160">
        <f t="shared" ca="1" si="4"/>
        <v>0</v>
      </c>
      <c r="AW15" s="160">
        <f t="shared" ca="1" si="4"/>
        <v>0</v>
      </c>
      <c r="AX15" s="160">
        <f t="shared" ca="1" si="4"/>
        <v>0</v>
      </c>
      <c r="AY15" s="160">
        <f t="shared" ca="1" si="4"/>
        <v>0</v>
      </c>
      <c r="AZ15" s="160">
        <f t="shared" ref="AZ15:BJ18" ca="1" si="5">ROUND(
IF(AND(NOT(ISBLANK($G15)),SUM($B15,$E15)&lt;AZ$10,SUM($B15,$E15,$G15)&gt;=AZ$10),IF(AND(NOT(ISBLANK($F15)),IF(ISERR(FIND(";"&amp;AZ$10&amp;";",$F15)),FALSE,TRUE)),HLOOKUP(CHAR(CODE($P15)-1),SKT,AZ$10+3,FALSE),HLOOKUP(CHAR(CODE($P15)),SKT,AZ$10+3,FALSE)),0)
*IF(VT_EIDGED,0.5,IF(VT_GUTGED,0.75,1)),0)</f>
        <v>0</v>
      </c>
      <c r="BA15" s="160">
        <f t="shared" ca="1" si="5"/>
        <v>0</v>
      </c>
      <c r="BB15" s="160">
        <f t="shared" ca="1" si="5"/>
        <v>0</v>
      </c>
      <c r="BC15" s="160">
        <f t="shared" ca="1" si="5"/>
        <v>0</v>
      </c>
      <c r="BD15" s="160">
        <f t="shared" ca="1" si="5"/>
        <v>0</v>
      </c>
      <c r="BE15" s="160">
        <f t="shared" ca="1" si="5"/>
        <v>0</v>
      </c>
      <c r="BF15" s="160">
        <f t="shared" ca="1" si="5"/>
        <v>0</v>
      </c>
      <c r="BG15" s="160">
        <f t="shared" ca="1" si="5"/>
        <v>0</v>
      </c>
      <c r="BH15" s="160">
        <f t="shared" ca="1" si="5"/>
        <v>0</v>
      </c>
      <c r="BI15" s="160">
        <f t="shared" ca="1" si="5"/>
        <v>0</v>
      </c>
      <c r="BJ15" s="337">
        <f t="shared" ca="1" si="5"/>
        <v>0</v>
      </c>
    </row>
    <row r="16" spans="1:62" x14ac:dyDescent="0.2">
      <c r="A16" s="24" t="s">
        <v>2924</v>
      </c>
      <c r="B16" s="317" t="str">
        <f ca="1">IF(PROFGEBGENE="Goetter",IF(HLOOKUP(PROFGENE,INDIRECT(PROFGEBIET),IDX_GLK+6,FALSE)="","",HLOOKUP(PROFGENE,INDIRECT(PROFGEBIET),IDX_GLK+6,FALSE)),"")</f>
        <v/>
      </c>
      <c r="E16" s="960"/>
      <c r="F16" s="325"/>
      <c r="G16" s="326"/>
      <c r="P16" s="348" t="s">
        <v>1828</v>
      </c>
      <c r="Q16" s="25"/>
      <c r="R16" s="88"/>
      <c r="S16" s="160">
        <f t="shared" ca="1" si="2"/>
        <v>0</v>
      </c>
      <c r="T16" s="160">
        <f t="shared" ca="1" si="2"/>
        <v>0</v>
      </c>
      <c r="U16" s="160">
        <f t="shared" ca="1" si="2"/>
        <v>0</v>
      </c>
      <c r="V16" s="160">
        <f t="shared" ca="1" si="2"/>
        <v>0</v>
      </c>
      <c r="W16" s="160">
        <f t="shared" ca="1" si="2"/>
        <v>0</v>
      </c>
      <c r="X16" s="160">
        <f t="shared" ca="1" si="2"/>
        <v>0</v>
      </c>
      <c r="Y16" s="160">
        <f t="shared" ca="1" si="2"/>
        <v>0</v>
      </c>
      <c r="Z16" s="160">
        <f t="shared" ca="1" si="2"/>
        <v>0</v>
      </c>
      <c r="AA16" s="160">
        <f t="shared" ca="1" si="2"/>
        <v>0</v>
      </c>
      <c r="AB16" s="160">
        <f t="shared" ca="1" si="2"/>
        <v>0</v>
      </c>
      <c r="AC16" s="160">
        <f t="shared" ca="1" si="3"/>
        <v>0</v>
      </c>
      <c r="AD16" s="160">
        <f t="shared" ca="1" si="3"/>
        <v>0</v>
      </c>
      <c r="AE16" s="160">
        <f t="shared" ca="1" si="3"/>
        <v>0</v>
      </c>
      <c r="AF16" s="160">
        <f t="shared" ca="1" si="3"/>
        <v>0</v>
      </c>
      <c r="AG16" s="160">
        <f t="shared" ca="1" si="3"/>
        <v>0</v>
      </c>
      <c r="AH16" s="160">
        <f t="shared" ca="1" si="3"/>
        <v>0</v>
      </c>
      <c r="AI16" s="160">
        <f t="shared" ca="1" si="3"/>
        <v>0</v>
      </c>
      <c r="AJ16" s="160">
        <f t="shared" ca="1" si="3"/>
        <v>0</v>
      </c>
      <c r="AK16" s="160">
        <f t="shared" ca="1" si="3"/>
        <v>0</v>
      </c>
      <c r="AL16" s="160">
        <f t="shared" ca="1" si="3"/>
        <v>0</v>
      </c>
      <c r="AM16" s="337">
        <f t="shared" ca="1" si="3"/>
        <v>0</v>
      </c>
      <c r="AN16" s="25"/>
      <c r="AO16" s="88"/>
      <c r="AP16" s="160">
        <f t="shared" ca="1" si="4"/>
        <v>0</v>
      </c>
      <c r="AQ16" s="160">
        <f t="shared" ca="1" si="4"/>
        <v>0</v>
      </c>
      <c r="AR16" s="160">
        <f t="shared" ca="1" si="4"/>
        <v>0</v>
      </c>
      <c r="AS16" s="160">
        <f t="shared" ca="1" si="4"/>
        <v>0</v>
      </c>
      <c r="AT16" s="160">
        <f t="shared" ca="1" si="4"/>
        <v>0</v>
      </c>
      <c r="AU16" s="160">
        <f t="shared" ca="1" si="4"/>
        <v>0</v>
      </c>
      <c r="AV16" s="160">
        <f t="shared" ca="1" si="4"/>
        <v>0</v>
      </c>
      <c r="AW16" s="160">
        <f t="shared" ca="1" si="4"/>
        <v>0</v>
      </c>
      <c r="AX16" s="160">
        <f t="shared" ca="1" si="4"/>
        <v>0</v>
      </c>
      <c r="AY16" s="160">
        <f t="shared" ca="1" si="4"/>
        <v>0</v>
      </c>
      <c r="AZ16" s="160">
        <f t="shared" ca="1" si="5"/>
        <v>0</v>
      </c>
      <c r="BA16" s="160">
        <f t="shared" ca="1" si="5"/>
        <v>0</v>
      </c>
      <c r="BB16" s="160">
        <f t="shared" ca="1" si="5"/>
        <v>0</v>
      </c>
      <c r="BC16" s="160">
        <f t="shared" ca="1" si="5"/>
        <v>0</v>
      </c>
      <c r="BD16" s="160">
        <f t="shared" ca="1" si="5"/>
        <v>0</v>
      </c>
      <c r="BE16" s="160">
        <f t="shared" ca="1" si="5"/>
        <v>0</v>
      </c>
      <c r="BF16" s="160">
        <f t="shared" ca="1" si="5"/>
        <v>0</v>
      </c>
      <c r="BG16" s="160">
        <f t="shared" ca="1" si="5"/>
        <v>0</v>
      </c>
      <c r="BH16" s="160">
        <f t="shared" ca="1" si="5"/>
        <v>0</v>
      </c>
      <c r="BI16" s="160">
        <f t="shared" ca="1" si="5"/>
        <v>0</v>
      </c>
      <c r="BJ16" s="337">
        <f t="shared" ca="1" si="5"/>
        <v>0</v>
      </c>
    </row>
    <row r="17" spans="1:63" x14ac:dyDescent="0.2">
      <c r="A17" s="24" t="s">
        <v>2926</v>
      </c>
      <c r="B17" s="317" t="str">
        <f ca="1">IF(PROFGEBGENE="Goetter",IF(HLOOKUP(PROFGENE,INDIRECT(PROFGEBIET),IDX_GLK+7,FALSE)="","",HLOOKUP(PROFGENE,INDIRECT(PROFGEBIET),IDX_GLK+7,FALSE)),"")</f>
        <v/>
      </c>
      <c r="E17" s="960"/>
      <c r="F17" s="325"/>
      <c r="G17" s="326"/>
      <c r="P17" s="348" t="s">
        <v>1828</v>
      </c>
      <c r="Q17" s="25"/>
      <c r="R17" s="88"/>
      <c r="S17" s="160">
        <f t="shared" ca="1" si="2"/>
        <v>0</v>
      </c>
      <c r="T17" s="160">
        <f t="shared" ca="1" si="2"/>
        <v>0</v>
      </c>
      <c r="U17" s="160">
        <f t="shared" ca="1" si="2"/>
        <v>0</v>
      </c>
      <c r="V17" s="160">
        <f t="shared" ca="1" si="2"/>
        <v>0</v>
      </c>
      <c r="W17" s="160">
        <f t="shared" ca="1" si="2"/>
        <v>0</v>
      </c>
      <c r="X17" s="160">
        <f t="shared" ca="1" si="2"/>
        <v>0</v>
      </c>
      <c r="Y17" s="160">
        <f t="shared" ca="1" si="2"/>
        <v>0</v>
      </c>
      <c r="Z17" s="160">
        <f t="shared" ca="1" si="2"/>
        <v>0</v>
      </c>
      <c r="AA17" s="160">
        <f t="shared" ca="1" si="2"/>
        <v>0</v>
      </c>
      <c r="AB17" s="160">
        <f t="shared" ca="1" si="2"/>
        <v>0</v>
      </c>
      <c r="AC17" s="160">
        <f t="shared" ca="1" si="3"/>
        <v>0</v>
      </c>
      <c r="AD17" s="160">
        <f t="shared" ca="1" si="3"/>
        <v>0</v>
      </c>
      <c r="AE17" s="160">
        <f t="shared" ca="1" si="3"/>
        <v>0</v>
      </c>
      <c r="AF17" s="160">
        <f t="shared" ca="1" si="3"/>
        <v>0</v>
      </c>
      <c r="AG17" s="160">
        <f t="shared" ca="1" si="3"/>
        <v>0</v>
      </c>
      <c r="AH17" s="160">
        <f t="shared" ca="1" si="3"/>
        <v>0</v>
      </c>
      <c r="AI17" s="160">
        <f t="shared" ca="1" si="3"/>
        <v>0</v>
      </c>
      <c r="AJ17" s="160">
        <f t="shared" ca="1" si="3"/>
        <v>0</v>
      </c>
      <c r="AK17" s="160">
        <f t="shared" ca="1" si="3"/>
        <v>0</v>
      </c>
      <c r="AL17" s="160">
        <f t="shared" ca="1" si="3"/>
        <v>0</v>
      </c>
      <c r="AM17" s="337">
        <f t="shared" ca="1" si="3"/>
        <v>0</v>
      </c>
      <c r="AN17" s="25"/>
      <c r="AO17" s="88"/>
      <c r="AP17" s="160">
        <f t="shared" ca="1" si="4"/>
        <v>0</v>
      </c>
      <c r="AQ17" s="160">
        <f t="shared" ca="1" si="4"/>
        <v>0</v>
      </c>
      <c r="AR17" s="160">
        <f t="shared" ca="1" si="4"/>
        <v>0</v>
      </c>
      <c r="AS17" s="160">
        <f t="shared" ca="1" si="4"/>
        <v>0</v>
      </c>
      <c r="AT17" s="160">
        <f t="shared" ca="1" si="4"/>
        <v>0</v>
      </c>
      <c r="AU17" s="160">
        <f t="shared" ca="1" si="4"/>
        <v>0</v>
      </c>
      <c r="AV17" s="160">
        <f t="shared" ca="1" si="4"/>
        <v>0</v>
      </c>
      <c r="AW17" s="160">
        <f t="shared" ca="1" si="4"/>
        <v>0</v>
      </c>
      <c r="AX17" s="160">
        <f t="shared" ca="1" si="4"/>
        <v>0</v>
      </c>
      <c r="AY17" s="160">
        <f t="shared" ca="1" si="4"/>
        <v>0</v>
      </c>
      <c r="AZ17" s="160">
        <f t="shared" ca="1" si="5"/>
        <v>0</v>
      </c>
      <c r="BA17" s="160">
        <f t="shared" ca="1" si="5"/>
        <v>0</v>
      </c>
      <c r="BB17" s="160">
        <f t="shared" ca="1" si="5"/>
        <v>0</v>
      </c>
      <c r="BC17" s="160">
        <f t="shared" ca="1" si="5"/>
        <v>0</v>
      </c>
      <c r="BD17" s="160">
        <f t="shared" ca="1" si="5"/>
        <v>0</v>
      </c>
      <c r="BE17" s="160">
        <f t="shared" ca="1" si="5"/>
        <v>0</v>
      </c>
      <c r="BF17" s="160">
        <f t="shared" ca="1" si="5"/>
        <v>0</v>
      </c>
      <c r="BG17" s="160">
        <f t="shared" ca="1" si="5"/>
        <v>0</v>
      </c>
      <c r="BH17" s="160">
        <f t="shared" ca="1" si="5"/>
        <v>0</v>
      </c>
      <c r="BI17" s="160">
        <f t="shared" ca="1" si="5"/>
        <v>0</v>
      </c>
      <c r="BJ17" s="337">
        <f t="shared" ca="1" si="5"/>
        <v>0</v>
      </c>
    </row>
    <row r="18" spans="1:63" x14ac:dyDescent="0.2">
      <c r="A18" s="24" t="s">
        <v>2927</v>
      </c>
      <c r="B18" s="317" t="str">
        <f ca="1">IF(PROFGEBGENE="Goetter",IF(HLOOKUP(PROFGENE,INDIRECT(PROFGEBIET),IDX_GLK+8,FALSE)="","",HLOOKUP(PROFGENE,INDIRECT(PROFGEBIET),IDX_GLK+8,FALSE)),"")</f>
        <v/>
      </c>
      <c r="E18" s="960"/>
      <c r="F18" s="325"/>
      <c r="G18" s="326"/>
      <c r="P18" s="348" t="s">
        <v>1828</v>
      </c>
      <c r="Q18" s="25"/>
      <c r="R18" s="338"/>
      <c r="S18" s="339">
        <f t="shared" ca="1" si="2"/>
        <v>0</v>
      </c>
      <c r="T18" s="339">
        <f t="shared" ca="1" si="2"/>
        <v>0</v>
      </c>
      <c r="U18" s="339">
        <f t="shared" ca="1" si="2"/>
        <v>0</v>
      </c>
      <c r="V18" s="339">
        <f t="shared" ca="1" si="2"/>
        <v>0</v>
      </c>
      <c r="W18" s="339">
        <f t="shared" ca="1" si="2"/>
        <v>0</v>
      </c>
      <c r="X18" s="339">
        <f t="shared" ca="1" si="2"/>
        <v>0</v>
      </c>
      <c r="Y18" s="339">
        <f t="shared" ca="1" si="2"/>
        <v>0</v>
      </c>
      <c r="Z18" s="339">
        <f t="shared" ca="1" si="2"/>
        <v>0</v>
      </c>
      <c r="AA18" s="339">
        <f t="shared" ca="1" si="2"/>
        <v>0</v>
      </c>
      <c r="AB18" s="339">
        <f t="shared" ca="1" si="2"/>
        <v>0</v>
      </c>
      <c r="AC18" s="339">
        <f t="shared" ca="1" si="3"/>
        <v>0</v>
      </c>
      <c r="AD18" s="339">
        <f t="shared" ca="1" si="3"/>
        <v>0</v>
      </c>
      <c r="AE18" s="339">
        <f t="shared" ca="1" si="3"/>
        <v>0</v>
      </c>
      <c r="AF18" s="339">
        <f t="shared" ca="1" si="3"/>
        <v>0</v>
      </c>
      <c r="AG18" s="339">
        <f t="shared" ca="1" si="3"/>
        <v>0</v>
      </c>
      <c r="AH18" s="339">
        <f t="shared" ca="1" si="3"/>
        <v>0</v>
      </c>
      <c r="AI18" s="339">
        <f t="shared" ca="1" si="3"/>
        <v>0</v>
      </c>
      <c r="AJ18" s="339">
        <f t="shared" ca="1" si="3"/>
        <v>0</v>
      </c>
      <c r="AK18" s="339">
        <f t="shared" ca="1" si="3"/>
        <v>0</v>
      </c>
      <c r="AL18" s="339">
        <f t="shared" ca="1" si="3"/>
        <v>0</v>
      </c>
      <c r="AM18" s="340">
        <f t="shared" ca="1" si="3"/>
        <v>0</v>
      </c>
      <c r="AN18" s="25"/>
      <c r="AO18" s="338"/>
      <c r="AP18" s="339">
        <f t="shared" ca="1" si="4"/>
        <v>0</v>
      </c>
      <c r="AQ18" s="339">
        <f t="shared" ca="1" si="4"/>
        <v>0</v>
      </c>
      <c r="AR18" s="339">
        <f t="shared" ca="1" si="4"/>
        <v>0</v>
      </c>
      <c r="AS18" s="339">
        <f t="shared" ca="1" si="4"/>
        <v>0</v>
      </c>
      <c r="AT18" s="339">
        <f t="shared" ca="1" si="4"/>
        <v>0</v>
      </c>
      <c r="AU18" s="339">
        <f t="shared" ca="1" si="4"/>
        <v>0</v>
      </c>
      <c r="AV18" s="339">
        <f t="shared" ca="1" si="4"/>
        <v>0</v>
      </c>
      <c r="AW18" s="339">
        <f t="shared" ca="1" si="4"/>
        <v>0</v>
      </c>
      <c r="AX18" s="339">
        <f t="shared" ca="1" si="4"/>
        <v>0</v>
      </c>
      <c r="AY18" s="339">
        <f t="shared" ca="1" si="4"/>
        <v>0</v>
      </c>
      <c r="AZ18" s="339">
        <f t="shared" ca="1" si="5"/>
        <v>0</v>
      </c>
      <c r="BA18" s="339">
        <f t="shared" ca="1" si="5"/>
        <v>0</v>
      </c>
      <c r="BB18" s="339">
        <f t="shared" ca="1" si="5"/>
        <v>0</v>
      </c>
      <c r="BC18" s="339">
        <f t="shared" ca="1" si="5"/>
        <v>0</v>
      </c>
      <c r="BD18" s="339">
        <f t="shared" ca="1" si="5"/>
        <v>0</v>
      </c>
      <c r="BE18" s="339">
        <f t="shared" ca="1" si="5"/>
        <v>0</v>
      </c>
      <c r="BF18" s="339">
        <f t="shared" ca="1" si="5"/>
        <v>0</v>
      </c>
      <c r="BG18" s="339">
        <f t="shared" ca="1" si="5"/>
        <v>0</v>
      </c>
      <c r="BH18" s="339">
        <f t="shared" ca="1" si="5"/>
        <v>0</v>
      </c>
      <c r="BI18" s="339">
        <f t="shared" ca="1" si="5"/>
        <v>0</v>
      </c>
      <c r="BJ18" s="340">
        <f t="shared" ca="1" si="5"/>
        <v>0</v>
      </c>
    </row>
    <row r="19" spans="1:63" x14ac:dyDescent="0.2">
      <c r="A19" s="180" t="s">
        <v>3072</v>
      </c>
      <c r="B19" s="90"/>
      <c r="C19" s="25"/>
      <c r="D19" s="25"/>
      <c r="E19" s="26"/>
      <c r="F19" s="26"/>
      <c r="G19" s="26"/>
      <c r="H19" s="25"/>
      <c r="I19" s="180" t="s">
        <v>5029</v>
      </c>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row>
    <row r="20" spans="1:63" x14ac:dyDescent="0.2">
      <c r="A20" s="24" t="s">
        <v>3073</v>
      </c>
      <c r="B20" s="344"/>
      <c r="C20" s="90"/>
      <c r="D20" s="90"/>
      <c r="E20" s="345"/>
      <c r="F20" s="345"/>
      <c r="G20" s="345"/>
      <c r="H20" s="25"/>
      <c r="I20" s="329" t="str">
        <f ca="1">IF(AKTIV_RKFREMD="X",SF!E133,"")</f>
        <v/>
      </c>
      <c r="J20" s="327"/>
      <c r="P20" s="348"/>
      <c r="Q20" s="25"/>
      <c r="R20" s="334"/>
      <c r="S20" s="335"/>
      <c r="T20" s="335"/>
      <c r="U20" s="335"/>
      <c r="V20" s="335"/>
      <c r="W20" s="335"/>
      <c r="X20" s="335"/>
      <c r="Y20" s="335"/>
      <c r="Z20" s="335"/>
      <c r="AA20" s="335"/>
      <c r="AB20" s="335"/>
      <c r="AC20" s="335"/>
      <c r="AD20" s="335"/>
      <c r="AE20" s="335"/>
      <c r="AF20" s="335"/>
      <c r="AG20" s="335"/>
      <c r="AH20" s="335"/>
      <c r="AI20" s="335"/>
      <c r="AJ20" s="335"/>
      <c r="AK20" s="335"/>
      <c r="AL20" s="335"/>
      <c r="AM20" s="336"/>
      <c r="AN20" s="333"/>
      <c r="AO20" s="334"/>
      <c r="AP20" s="335"/>
      <c r="AQ20" s="335"/>
      <c r="AR20" s="335"/>
      <c r="AS20" s="335"/>
      <c r="AT20" s="335"/>
      <c r="AU20" s="335"/>
      <c r="AV20" s="335"/>
      <c r="AW20" s="335"/>
      <c r="AX20" s="335"/>
      <c r="AY20" s="335"/>
      <c r="AZ20" s="335"/>
      <c r="BA20" s="335"/>
      <c r="BB20" s="335"/>
      <c r="BC20" s="335"/>
      <c r="BD20" s="335"/>
      <c r="BE20" s="335"/>
      <c r="BF20" s="335"/>
      <c r="BG20" s="335"/>
      <c r="BH20" s="335"/>
      <c r="BI20" s="335"/>
      <c r="BJ20" s="336"/>
    </row>
    <row r="21" spans="1:63" x14ac:dyDescent="0.2">
      <c r="A21" s="24" t="s">
        <v>2925</v>
      </c>
      <c r="B21" s="317" t="str">
        <f ca="1">IF(AKTIV_RKFREMD="X",3,"")</f>
        <v/>
      </c>
      <c r="E21" s="960"/>
      <c r="F21" s="325"/>
      <c r="G21" s="326"/>
      <c r="P21" s="348" t="s">
        <v>4116</v>
      </c>
      <c r="Q21" s="25"/>
      <c r="R21" s="211"/>
      <c r="S21" s="160">
        <f t="shared" ref="S21:AB24" ca="1" si="6">ROUND(
IF(AND(NOT(ISBLANK($E21)),$B21&lt;S$10,SUM($B21,$E21)&gt;=S$10),IF(AND(NOT(ISBLANK($F21)),IF(ISERR(FIND(";"&amp;S$10&amp;";",$F21)),FALSE,TRUE)),HLOOKUP(CHAR(CODE($P21)-1),SKT,S$10+3,FALSE),HLOOKUP(CHAR(CODE($P21)),SKT,S$10+3,FALSE)),0)
*IF(VT_EIDGED,0.5,IF(VT_GUTGED,0.75,1)),0)</f>
        <v>0</v>
      </c>
      <c r="T21" s="160">
        <f t="shared" ca="1" si="6"/>
        <v>0</v>
      </c>
      <c r="U21" s="160">
        <f t="shared" ca="1" si="6"/>
        <v>0</v>
      </c>
      <c r="V21" s="160">
        <f t="shared" ca="1" si="6"/>
        <v>0</v>
      </c>
      <c r="W21" s="160">
        <f t="shared" ca="1" si="6"/>
        <v>0</v>
      </c>
      <c r="X21" s="160">
        <f t="shared" ca="1" si="6"/>
        <v>0</v>
      </c>
      <c r="Y21" s="160">
        <f t="shared" ca="1" si="6"/>
        <v>0</v>
      </c>
      <c r="Z21" s="160">
        <f t="shared" ca="1" si="6"/>
        <v>0</v>
      </c>
      <c r="AA21" s="160">
        <f t="shared" ca="1" si="6"/>
        <v>0</v>
      </c>
      <c r="AB21" s="160">
        <f t="shared" ca="1" si="6"/>
        <v>0</v>
      </c>
      <c r="AC21" s="160">
        <f t="shared" ref="AC21:AM24" ca="1" si="7">ROUND(
IF(AND(NOT(ISBLANK($E21)),$B21&lt;AC$10,SUM($B21,$E21)&gt;=AC$10),IF(AND(NOT(ISBLANK($F21)),IF(ISERR(FIND(";"&amp;AC$10&amp;";",$F21)),FALSE,TRUE)),HLOOKUP(CHAR(CODE($P21)-1),SKT,AC$10+3,FALSE),HLOOKUP(CHAR(CODE($P21)),SKT,AC$10+3,FALSE)),0)
*IF(VT_EIDGED,0.5,IF(VT_GUTGED,0.75,1)),0)</f>
        <v>0</v>
      </c>
      <c r="AD21" s="160">
        <f t="shared" ca="1" si="7"/>
        <v>0</v>
      </c>
      <c r="AE21" s="160">
        <f t="shared" ca="1" si="7"/>
        <v>0</v>
      </c>
      <c r="AF21" s="160">
        <f t="shared" ca="1" si="7"/>
        <v>0</v>
      </c>
      <c r="AG21" s="160">
        <f t="shared" ca="1" si="7"/>
        <v>0</v>
      </c>
      <c r="AH21" s="160">
        <f t="shared" ca="1" si="7"/>
        <v>0</v>
      </c>
      <c r="AI21" s="160">
        <f t="shared" ca="1" si="7"/>
        <v>0</v>
      </c>
      <c r="AJ21" s="160">
        <f t="shared" ca="1" si="7"/>
        <v>0</v>
      </c>
      <c r="AK21" s="160">
        <f t="shared" ca="1" si="7"/>
        <v>0</v>
      </c>
      <c r="AL21" s="160">
        <f t="shared" ca="1" si="7"/>
        <v>0</v>
      </c>
      <c r="AM21" s="337">
        <f t="shared" ca="1" si="7"/>
        <v>0</v>
      </c>
      <c r="AN21" s="207"/>
      <c r="AO21" s="211"/>
      <c r="AP21" s="160">
        <f t="shared" ref="AP21:AY24" ca="1" si="8">ROUND(
IF(AND(NOT(ISBLANK($G21)),SUM($B21,$E21)&lt;AP$10,SUM($B21,$E21,$G21)&gt;=AP$10),IF(AND(NOT(ISBLANK($F21)),IF(ISERR(FIND(";"&amp;AP$10&amp;";",$F21)),FALSE,TRUE)),HLOOKUP(CHAR(CODE($P21)-1),SKT,AP$10+3,FALSE),HLOOKUP(CHAR(CODE($P21)),SKT,AP$10+3,FALSE)),0)
*IF(VT_EIDGED,0.5,IF(VT_GUTGED,0.75,1)),0)</f>
        <v>0</v>
      </c>
      <c r="AQ21" s="160">
        <f t="shared" ca="1" si="8"/>
        <v>0</v>
      </c>
      <c r="AR21" s="160">
        <f t="shared" ca="1" si="8"/>
        <v>0</v>
      </c>
      <c r="AS21" s="160">
        <f t="shared" ca="1" si="8"/>
        <v>0</v>
      </c>
      <c r="AT21" s="160">
        <f t="shared" ca="1" si="8"/>
        <v>0</v>
      </c>
      <c r="AU21" s="160">
        <f t="shared" ca="1" si="8"/>
        <v>0</v>
      </c>
      <c r="AV21" s="160">
        <f t="shared" ca="1" si="8"/>
        <v>0</v>
      </c>
      <c r="AW21" s="160">
        <f t="shared" ca="1" si="8"/>
        <v>0</v>
      </c>
      <c r="AX21" s="160">
        <f t="shared" ca="1" si="8"/>
        <v>0</v>
      </c>
      <c r="AY21" s="160">
        <f t="shared" ca="1" si="8"/>
        <v>0</v>
      </c>
      <c r="AZ21" s="160">
        <f t="shared" ref="AZ21:BJ24" ca="1" si="9">ROUND(
IF(AND(NOT(ISBLANK($G21)),SUM($B21,$E21)&lt;AZ$10,SUM($B21,$E21,$G21)&gt;=AZ$10),IF(AND(NOT(ISBLANK($F21)),IF(ISERR(FIND(";"&amp;AZ$10&amp;";",$F21)),FALSE,TRUE)),HLOOKUP(CHAR(CODE($P21)-1),SKT,AZ$10+3,FALSE),HLOOKUP(CHAR(CODE($P21)),SKT,AZ$10+3,FALSE)),0)
*IF(VT_EIDGED,0.5,IF(VT_GUTGED,0.75,1)),0)</f>
        <v>0</v>
      </c>
      <c r="BA21" s="160">
        <f t="shared" ca="1" si="9"/>
        <v>0</v>
      </c>
      <c r="BB21" s="160">
        <f t="shared" ca="1" si="9"/>
        <v>0</v>
      </c>
      <c r="BC21" s="160">
        <f t="shared" ca="1" si="9"/>
        <v>0</v>
      </c>
      <c r="BD21" s="160">
        <f t="shared" ca="1" si="9"/>
        <v>0</v>
      </c>
      <c r="BE21" s="160">
        <f t="shared" ca="1" si="9"/>
        <v>0</v>
      </c>
      <c r="BF21" s="160">
        <f t="shared" ca="1" si="9"/>
        <v>0</v>
      </c>
      <c r="BG21" s="160">
        <f t="shared" ca="1" si="9"/>
        <v>0</v>
      </c>
      <c r="BH21" s="160">
        <f t="shared" ca="1" si="9"/>
        <v>0</v>
      </c>
      <c r="BI21" s="160">
        <f t="shared" ca="1" si="9"/>
        <v>0</v>
      </c>
      <c r="BJ21" s="337">
        <f t="shared" ca="1" si="9"/>
        <v>0</v>
      </c>
    </row>
    <row r="22" spans="1:63" x14ac:dyDescent="0.2">
      <c r="A22" s="1095" t="s">
        <v>2924</v>
      </c>
      <c r="B22" s="317" t="str">
        <f ca="1">IF(AKTIV_RKFREMD="X",3,"")</f>
        <v/>
      </c>
      <c r="E22" s="960"/>
      <c r="F22" s="325"/>
      <c r="G22" s="326"/>
      <c r="P22" s="348" t="s">
        <v>4116</v>
      </c>
      <c r="Q22" s="25"/>
      <c r="R22" s="88"/>
      <c r="S22" s="160">
        <f t="shared" ca="1" si="6"/>
        <v>0</v>
      </c>
      <c r="T22" s="160">
        <f t="shared" ca="1" si="6"/>
        <v>0</v>
      </c>
      <c r="U22" s="160">
        <f t="shared" ca="1" si="6"/>
        <v>0</v>
      </c>
      <c r="V22" s="160">
        <f t="shared" ca="1" si="6"/>
        <v>0</v>
      </c>
      <c r="W22" s="160">
        <f t="shared" ca="1" si="6"/>
        <v>0</v>
      </c>
      <c r="X22" s="160">
        <f t="shared" ca="1" si="6"/>
        <v>0</v>
      </c>
      <c r="Y22" s="160">
        <f t="shared" ca="1" si="6"/>
        <v>0</v>
      </c>
      <c r="Z22" s="160">
        <f t="shared" ca="1" si="6"/>
        <v>0</v>
      </c>
      <c r="AA22" s="160">
        <f t="shared" ca="1" si="6"/>
        <v>0</v>
      </c>
      <c r="AB22" s="160">
        <f t="shared" ca="1" si="6"/>
        <v>0</v>
      </c>
      <c r="AC22" s="160">
        <f t="shared" ca="1" si="7"/>
        <v>0</v>
      </c>
      <c r="AD22" s="160">
        <f t="shared" ca="1" si="7"/>
        <v>0</v>
      </c>
      <c r="AE22" s="160">
        <f t="shared" ca="1" si="7"/>
        <v>0</v>
      </c>
      <c r="AF22" s="160">
        <f t="shared" ca="1" si="7"/>
        <v>0</v>
      </c>
      <c r="AG22" s="160">
        <f t="shared" ca="1" si="7"/>
        <v>0</v>
      </c>
      <c r="AH22" s="160">
        <f t="shared" ca="1" si="7"/>
        <v>0</v>
      </c>
      <c r="AI22" s="160">
        <f t="shared" ca="1" si="7"/>
        <v>0</v>
      </c>
      <c r="AJ22" s="160">
        <f t="shared" ca="1" si="7"/>
        <v>0</v>
      </c>
      <c r="AK22" s="160">
        <f t="shared" ca="1" si="7"/>
        <v>0</v>
      </c>
      <c r="AL22" s="160">
        <f t="shared" ca="1" si="7"/>
        <v>0</v>
      </c>
      <c r="AM22" s="337">
        <f t="shared" ca="1" si="7"/>
        <v>0</v>
      </c>
      <c r="AN22" s="25"/>
      <c r="AO22" s="88"/>
      <c r="AP22" s="160">
        <f t="shared" ca="1" si="8"/>
        <v>0</v>
      </c>
      <c r="AQ22" s="160">
        <f t="shared" ca="1" si="8"/>
        <v>0</v>
      </c>
      <c r="AR22" s="160">
        <f t="shared" ca="1" si="8"/>
        <v>0</v>
      </c>
      <c r="AS22" s="160">
        <f t="shared" ca="1" si="8"/>
        <v>0</v>
      </c>
      <c r="AT22" s="160">
        <f t="shared" ca="1" si="8"/>
        <v>0</v>
      </c>
      <c r="AU22" s="160">
        <f t="shared" ca="1" si="8"/>
        <v>0</v>
      </c>
      <c r="AV22" s="160">
        <f t="shared" ca="1" si="8"/>
        <v>0</v>
      </c>
      <c r="AW22" s="160">
        <f t="shared" ca="1" si="8"/>
        <v>0</v>
      </c>
      <c r="AX22" s="160">
        <f t="shared" ca="1" si="8"/>
        <v>0</v>
      </c>
      <c r="AY22" s="160">
        <f t="shared" ca="1" si="8"/>
        <v>0</v>
      </c>
      <c r="AZ22" s="160">
        <f t="shared" ca="1" si="9"/>
        <v>0</v>
      </c>
      <c r="BA22" s="160">
        <f t="shared" ca="1" si="9"/>
        <v>0</v>
      </c>
      <c r="BB22" s="160">
        <f t="shared" ca="1" si="9"/>
        <v>0</v>
      </c>
      <c r="BC22" s="160">
        <f t="shared" ca="1" si="9"/>
        <v>0</v>
      </c>
      <c r="BD22" s="160">
        <f t="shared" ca="1" si="9"/>
        <v>0</v>
      </c>
      <c r="BE22" s="160">
        <f t="shared" ca="1" si="9"/>
        <v>0</v>
      </c>
      <c r="BF22" s="160">
        <f t="shared" ca="1" si="9"/>
        <v>0</v>
      </c>
      <c r="BG22" s="160">
        <f t="shared" ca="1" si="9"/>
        <v>0</v>
      </c>
      <c r="BH22" s="160">
        <f t="shared" ca="1" si="9"/>
        <v>0</v>
      </c>
      <c r="BI22" s="160">
        <f t="shared" ca="1" si="9"/>
        <v>0</v>
      </c>
      <c r="BJ22" s="337">
        <f t="shared" ca="1" si="9"/>
        <v>0</v>
      </c>
    </row>
    <row r="23" spans="1:63" x14ac:dyDescent="0.2">
      <c r="A23" s="24" t="s">
        <v>2926</v>
      </c>
      <c r="B23" s="317" t="str">
        <f ca="1">IF(AKTIV_RKFREMD="X",3,"")</f>
        <v/>
      </c>
      <c r="E23" s="960"/>
      <c r="F23" s="325"/>
      <c r="G23" s="326"/>
      <c r="P23" s="348" t="s">
        <v>4116</v>
      </c>
      <c r="Q23" s="25"/>
      <c r="R23" s="88"/>
      <c r="S23" s="160">
        <f t="shared" ca="1" si="6"/>
        <v>0</v>
      </c>
      <c r="T23" s="160">
        <f t="shared" ca="1" si="6"/>
        <v>0</v>
      </c>
      <c r="U23" s="160">
        <f t="shared" ca="1" si="6"/>
        <v>0</v>
      </c>
      <c r="V23" s="160">
        <f t="shared" ca="1" si="6"/>
        <v>0</v>
      </c>
      <c r="W23" s="160">
        <f t="shared" ca="1" si="6"/>
        <v>0</v>
      </c>
      <c r="X23" s="160">
        <f t="shared" ca="1" si="6"/>
        <v>0</v>
      </c>
      <c r="Y23" s="160">
        <f t="shared" ca="1" si="6"/>
        <v>0</v>
      </c>
      <c r="Z23" s="160">
        <f t="shared" ca="1" si="6"/>
        <v>0</v>
      </c>
      <c r="AA23" s="160">
        <f t="shared" ca="1" si="6"/>
        <v>0</v>
      </c>
      <c r="AB23" s="160">
        <f t="shared" ca="1" si="6"/>
        <v>0</v>
      </c>
      <c r="AC23" s="160">
        <f t="shared" ca="1" si="7"/>
        <v>0</v>
      </c>
      <c r="AD23" s="160">
        <f t="shared" ca="1" si="7"/>
        <v>0</v>
      </c>
      <c r="AE23" s="160">
        <f t="shared" ca="1" si="7"/>
        <v>0</v>
      </c>
      <c r="AF23" s="160">
        <f t="shared" ca="1" si="7"/>
        <v>0</v>
      </c>
      <c r="AG23" s="160">
        <f t="shared" ca="1" si="7"/>
        <v>0</v>
      </c>
      <c r="AH23" s="160">
        <f t="shared" ca="1" si="7"/>
        <v>0</v>
      </c>
      <c r="AI23" s="160">
        <f t="shared" ca="1" si="7"/>
        <v>0</v>
      </c>
      <c r="AJ23" s="160">
        <f t="shared" ca="1" si="7"/>
        <v>0</v>
      </c>
      <c r="AK23" s="160">
        <f t="shared" ca="1" si="7"/>
        <v>0</v>
      </c>
      <c r="AL23" s="160">
        <f t="shared" ca="1" si="7"/>
        <v>0</v>
      </c>
      <c r="AM23" s="337">
        <f t="shared" ca="1" si="7"/>
        <v>0</v>
      </c>
      <c r="AN23" s="25"/>
      <c r="AO23" s="88"/>
      <c r="AP23" s="160">
        <f t="shared" ca="1" si="8"/>
        <v>0</v>
      </c>
      <c r="AQ23" s="160">
        <f t="shared" ca="1" si="8"/>
        <v>0</v>
      </c>
      <c r="AR23" s="160">
        <f t="shared" ca="1" si="8"/>
        <v>0</v>
      </c>
      <c r="AS23" s="160">
        <f t="shared" ca="1" si="8"/>
        <v>0</v>
      </c>
      <c r="AT23" s="160">
        <f t="shared" ca="1" si="8"/>
        <v>0</v>
      </c>
      <c r="AU23" s="160">
        <f t="shared" ca="1" si="8"/>
        <v>0</v>
      </c>
      <c r="AV23" s="160">
        <f t="shared" ca="1" si="8"/>
        <v>0</v>
      </c>
      <c r="AW23" s="160">
        <f t="shared" ca="1" si="8"/>
        <v>0</v>
      </c>
      <c r="AX23" s="160">
        <f t="shared" ca="1" si="8"/>
        <v>0</v>
      </c>
      <c r="AY23" s="160">
        <f t="shared" ca="1" si="8"/>
        <v>0</v>
      </c>
      <c r="AZ23" s="160">
        <f t="shared" ca="1" si="9"/>
        <v>0</v>
      </c>
      <c r="BA23" s="160">
        <f t="shared" ca="1" si="9"/>
        <v>0</v>
      </c>
      <c r="BB23" s="160">
        <f t="shared" ca="1" si="9"/>
        <v>0</v>
      </c>
      <c r="BC23" s="160">
        <f t="shared" ca="1" si="9"/>
        <v>0</v>
      </c>
      <c r="BD23" s="160">
        <f t="shared" ca="1" si="9"/>
        <v>0</v>
      </c>
      <c r="BE23" s="160">
        <f t="shared" ca="1" si="9"/>
        <v>0</v>
      </c>
      <c r="BF23" s="160">
        <f t="shared" ca="1" si="9"/>
        <v>0</v>
      </c>
      <c r="BG23" s="160">
        <f t="shared" ca="1" si="9"/>
        <v>0</v>
      </c>
      <c r="BH23" s="160">
        <f t="shared" ca="1" si="9"/>
        <v>0</v>
      </c>
      <c r="BI23" s="160">
        <f t="shared" ca="1" si="9"/>
        <v>0</v>
      </c>
      <c r="BJ23" s="337">
        <f t="shared" ca="1" si="9"/>
        <v>0</v>
      </c>
    </row>
    <row r="24" spans="1:63" x14ac:dyDescent="0.2">
      <c r="A24" s="24" t="s">
        <v>2927</v>
      </c>
      <c r="B24" s="317" t="str">
        <f ca="1">IF(AKTIV_RKFREMD="X",3,"")</f>
        <v/>
      </c>
      <c r="E24" s="960"/>
      <c r="F24" s="325"/>
      <c r="G24" s="326"/>
      <c r="P24" s="348" t="s">
        <v>4116</v>
      </c>
      <c r="Q24" s="25"/>
      <c r="R24" s="338"/>
      <c r="S24" s="339">
        <f t="shared" ca="1" si="6"/>
        <v>0</v>
      </c>
      <c r="T24" s="339">
        <f t="shared" ca="1" si="6"/>
        <v>0</v>
      </c>
      <c r="U24" s="339">
        <f t="shared" ca="1" si="6"/>
        <v>0</v>
      </c>
      <c r="V24" s="339">
        <f t="shared" ca="1" si="6"/>
        <v>0</v>
      </c>
      <c r="W24" s="339">
        <f t="shared" ca="1" si="6"/>
        <v>0</v>
      </c>
      <c r="X24" s="339">
        <f t="shared" ca="1" si="6"/>
        <v>0</v>
      </c>
      <c r="Y24" s="339">
        <f t="shared" ca="1" si="6"/>
        <v>0</v>
      </c>
      <c r="Z24" s="339">
        <f t="shared" ca="1" si="6"/>
        <v>0</v>
      </c>
      <c r="AA24" s="339">
        <f t="shared" ca="1" si="6"/>
        <v>0</v>
      </c>
      <c r="AB24" s="339">
        <f t="shared" ca="1" si="6"/>
        <v>0</v>
      </c>
      <c r="AC24" s="339">
        <f t="shared" ca="1" si="7"/>
        <v>0</v>
      </c>
      <c r="AD24" s="339">
        <f t="shared" ca="1" si="7"/>
        <v>0</v>
      </c>
      <c r="AE24" s="339">
        <f t="shared" ca="1" si="7"/>
        <v>0</v>
      </c>
      <c r="AF24" s="339">
        <f t="shared" ca="1" si="7"/>
        <v>0</v>
      </c>
      <c r="AG24" s="339">
        <f t="shared" ca="1" si="7"/>
        <v>0</v>
      </c>
      <c r="AH24" s="339">
        <f t="shared" ca="1" si="7"/>
        <v>0</v>
      </c>
      <c r="AI24" s="339">
        <f t="shared" ca="1" si="7"/>
        <v>0</v>
      </c>
      <c r="AJ24" s="339">
        <f t="shared" ca="1" si="7"/>
        <v>0</v>
      </c>
      <c r="AK24" s="339">
        <f t="shared" ca="1" si="7"/>
        <v>0</v>
      </c>
      <c r="AL24" s="339">
        <f t="shared" ca="1" si="7"/>
        <v>0</v>
      </c>
      <c r="AM24" s="340">
        <f t="shared" ca="1" si="7"/>
        <v>0</v>
      </c>
      <c r="AN24" s="25"/>
      <c r="AO24" s="338"/>
      <c r="AP24" s="339">
        <f t="shared" ca="1" si="8"/>
        <v>0</v>
      </c>
      <c r="AQ24" s="339">
        <f t="shared" ca="1" si="8"/>
        <v>0</v>
      </c>
      <c r="AR24" s="339">
        <f t="shared" ca="1" si="8"/>
        <v>0</v>
      </c>
      <c r="AS24" s="339">
        <f t="shared" ca="1" si="8"/>
        <v>0</v>
      </c>
      <c r="AT24" s="339">
        <f t="shared" ca="1" si="8"/>
        <v>0</v>
      </c>
      <c r="AU24" s="339">
        <f t="shared" ca="1" si="8"/>
        <v>0</v>
      </c>
      <c r="AV24" s="339">
        <f t="shared" ca="1" si="8"/>
        <v>0</v>
      </c>
      <c r="AW24" s="339">
        <f t="shared" ca="1" si="8"/>
        <v>0</v>
      </c>
      <c r="AX24" s="339">
        <f t="shared" ca="1" si="8"/>
        <v>0</v>
      </c>
      <c r="AY24" s="339">
        <f t="shared" ca="1" si="8"/>
        <v>0</v>
      </c>
      <c r="AZ24" s="339">
        <f t="shared" ca="1" si="9"/>
        <v>0</v>
      </c>
      <c r="BA24" s="339">
        <f t="shared" ca="1" si="9"/>
        <v>0</v>
      </c>
      <c r="BB24" s="339">
        <f t="shared" ca="1" si="9"/>
        <v>0</v>
      </c>
      <c r="BC24" s="339">
        <f t="shared" ca="1" si="9"/>
        <v>0</v>
      </c>
      <c r="BD24" s="339">
        <f t="shared" ca="1" si="9"/>
        <v>0</v>
      </c>
      <c r="BE24" s="339">
        <f t="shared" ca="1" si="9"/>
        <v>0</v>
      </c>
      <c r="BF24" s="339">
        <f t="shared" ca="1" si="9"/>
        <v>0</v>
      </c>
      <c r="BG24" s="339">
        <f t="shared" ca="1" si="9"/>
        <v>0</v>
      </c>
      <c r="BH24" s="339">
        <f t="shared" ca="1" si="9"/>
        <v>0</v>
      </c>
      <c r="BI24" s="339">
        <f t="shared" ca="1" si="9"/>
        <v>0</v>
      </c>
      <c r="BJ24" s="340">
        <f t="shared" ca="1" si="9"/>
        <v>0</v>
      </c>
    </row>
    <row r="25" spans="1:63" ht="12.75" customHeight="1" x14ac:dyDescent="0.2">
      <c r="A25" s="180" t="s">
        <v>1031</v>
      </c>
      <c r="B25" s="25"/>
      <c r="C25" s="25"/>
      <c r="D25" s="344"/>
      <c r="E25" s="345"/>
      <c r="F25" s="345"/>
      <c r="G25" s="345"/>
      <c r="H25" s="193" t="s">
        <v>1033</v>
      </c>
      <c r="I25" s="921" t="s">
        <v>1034</v>
      </c>
      <c r="J25" s="921"/>
      <c r="K25" s="921"/>
      <c r="L25" s="25"/>
      <c r="M25" s="2013" t="s">
        <v>4021</v>
      </c>
      <c r="N25" s="2013"/>
      <c r="O25" s="2013"/>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row>
    <row r="26" spans="1:63" x14ac:dyDescent="0.2">
      <c r="A26" s="24"/>
      <c r="B26" s="90"/>
      <c r="C26" s="25"/>
      <c r="D26" s="25"/>
      <c r="E26" s="26"/>
      <c r="F26" s="26"/>
      <c r="G26" s="326"/>
      <c r="H26" s="276" t="str">
        <f>IF(AKTIV_SPTWHE,IF(SO-HLOOKUP(PROFSPTWHE,SPTWHE,25,FALSE)&lt;HLOOKUP(PROFSPTWHE,SPTWHE,15,FALSE),"SO nicht genügend hoch",""),"")</f>
        <v/>
      </c>
      <c r="I26" s="2012" t="str">
        <f>IF(AKTIV_SPTWHE,CONCATENATE(
IF(MU&lt;HLOOKUP(PROFSPTWHE,SPTWHE,7,FALSE)," MU&lt;"&amp;HLOOKUP(PROFSPTWHE,SPTWHE,7,FALSE)&amp;";",""),
IF(KL&lt;HLOOKUP(PROFSPTWHE,SPTWHE,8,FALSE)," KL&lt;"&amp;HLOOKUP(PROFSPTWHE,SPTWHE,8,FALSE)&amp;";",""),
IF(IN&lt;HLOOKUP(PROFSPTWHE,SPTWHE,9,FALSE)," IN&lt;"&amp;HLOOKUP(PROFSPTWHE,SPTWHE,9,FALSE)&amp;";",""),
IF(CH&lt;HLOOKUP(PROFSPTWHE,SPTWHE,10,FALSE)," CH&lt;"&amp;HLOOKUP(PROFSPTWHE,SPTWHE,10,FALSE)&amp;";",""),
IF(FF&lt;HLOOKUP(PROFSPTWHE,SPTWHE,11,FALSE)," FF&lt;"&amp;HLOOKUP(PROFSPTWHE,SPTWHE,11,FALSE)&amp;";",""),
IF(GE&lt;HLOOKUP(PROFSPTWHE,SPTWHE,12,FALSE)," GE&lt;"&amp;HLOOKUP(PROFSPTWHE,SPTWHE,12,FALSE)&amp;";",""),
IF(KO&lt;HLOOKUP(PROFSPTWHE,SPTWHE,13,FALSE)," KO&lt;"&amp;HLOOKUP(PROFSPTWHE,SPTWHE,13,FALSE)&amp;";",""),
IF(KK&lt;HLOOKUP(PROFSPTWHE,SPTWHE,14,FALSE)," KK&lt;"&amp;HLOOKUP(PROFSPTWHE,SPTWHE,14,FALSE),""),
),"")</f>
        <v/>
      </c>
      <c r="J26" s="2012"/>
      <c r="K26" s="2012"/>
      <c r="M26" s="2012" t="str">
        <f>IF(AKTIV_SPTWHE,CONCATENATE(
IF(Talente!O88&lt;7," TaW Götter&amp;Kulte&lt;7; ",""),
IF(Talente!O71&lt;7," TaW Überzeugen&lt;7","")
),"")</f>
        <v/>
      </c>
      <c r="N26" s="2012"/>
      <c r="O26" s="2012"/>
      <c r="Q26" s="25"/>
      <c r="AN26" s="25"/>
      <c r="AP26" s="160">
        <f>IF(ISBLANK(A26),0,IF(ISBLANK(G26),0,HLOOKUP(A26,SPTWHE,2,FALSE)))</f>
        <v>0</v>
      </c>
      <c r="BK26" s="535" t="b">
        <f>IF(OR(ISBLANK(A26),G26=""),FALSE,TRUE)</f>
        <v>0</v>
      </c>
    </row>
    <row r="27" spans="1:63" ht="8.25" customHeight="1" x14ac:dyDescent="0.2">
      <c r="E27" s="1"/>
      <c r="F27" s="1"/>
      <c r="G27" s="1"/>
      <c r="Q27" s="25"/>
      <c r="AN27" s="25"/>
    </row>
    <row r="28" spans="1:63" x14ac:dyDescent="0.2">
      <c r="A28" s="180" t="s">
        <v>1032</v>
      </c>
      <c r="B28" s="25"/>
      <c r="C28" s="25"/>
      <c r="D28" s="344"/>
      <c r="E28" s="345"/>
      <c r="F28" s="345"/>
      <c r="G28" s="345"/>
      <c r="H28" s="25"/>
      <c r="I28" s="25"/>
      <c r="J28" s="25"/>
      <c r="K28" s="25"/>
      <c r="L28" s="25"/>
      <c r="M28" s="25"/>
      <c r="N28" s="313"/>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row>
    <row r="29" spans="1:63" x14ac:dyDescent="0.2">
      <c r="A29" s="24"/>
      <c r="B29" s="90"/>
      <c r="C29" s="25"/>
      <c r="D29" s="25"/>
      <c r="E29" s="26"/>
      <c r="F29" s="26"/>
      <c r="G29" s="326"/>
      <c r="Q29" s="25"/>
    </row>
    <row r="30" spans="1:63" ht="14.25" customHeight="1" x14ac:dyDescent="0.2">
      <c r="A30" s="25"/>
      <c r="B30" s="25"/>
      <c r="C30" s="25"/>
      <c r="D30" s="25"/>
      <c r="E30" s="26"/>
      <c r="F30" s="26"/>
      <c r="G30" s="26"/>
      <c r="H30" s="25"/>
      <c r="I30" s="25"/>
      <c r="J30" s="25"/>
      <c r="K30" s="25"/>
      <c r="L30" s="25"/>
      <c r="M30" s="25"/>
      <c r="N30" s="313"/>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row>
    <row r="31" spans="1:63" ht="114.75" x14ac:dyDescent="0.2">
      <c r="B31" s="308" t="s">
        <v>1400</v>
      </c>
      <c r="C31" s="303" t="s">
        <v>4633</v>
      </c>
      <c r="E31" s="383" t="s">
        <v>294</v>
      </c>
      <c r="F31" s="328" t="s">
        <v>3792</v>
      </c>
      <c r="G31" s="382" t="s">
        <v>1071</v>
      </c>
      <c r="I31" s="311" t="s">
        <v>9144</v>
      </c>
      <c r="J31" s="1651" t="s">
        <v>9145</v>
      </c>
      <c r="K31" s="1651" t="s">
        <v>9146</v>
      </c>
      <c r="L31" s="1651" t="s">
        <v>9151</v>
      </c>
      <c r="M31" s="1651" t="s">
        <v>9152</v>
      </c>
      <c r="N31" s="1656" t="s">
        <v>9159</v>
      </c>
      <c r="O31" s="1655" t="s">
        <v>9160</v>
      </c>
      <c r="P31" s="1655" t="s">
        <v>9161</v>
      </c>
      <c r="Q31" s="1654" t="s">
        <v>9154</v>
      </c>
      <c r="R31" s="1654" t="s">
        <v>9157</v>
      </c>
      <c r="S31" s="1655" t="s">
        <v>9153</v>
      </c>
      <c r="T31" s="1650" t="s">
        <v>9148</v>
      </c>
      <c r="U31" s="1650" t="s">
        <v>9147</v>
      </c>
      <c r="V31" s="1650" t="s">
        <v>9149</v>
      </c>
      <c r="W31" s="1650" t="s">
        <v>9150</v>
      </c>
      <c r="X31" s="1650" t="s">
        <v>518</v>
      </c>
      <c r="Y31" s="1654" t="s">
        <v>9156</v>
      </c>
      <c r="Z31" s="482" t="s">
        <v>1361</v>
      </c>
      <c r="AA31" s="25"/>
      <c r="AB31" s="268" t="s">
        <v>1783</v>
      </c>
      <c r="AC31" s="268" t="s">
        <v>3793</v>
      </c>
      <c r="AD31" s="268" t="s">
        <v>7524</v>
      </c>
      <c r="AE31" s="268" t="s">
        <v>4006</v>
      </c>
      <c r="AG31" s="154" t="s">
        <v>9158</v>
      </c>
      <c r="AH31" s="154" t="s">
        <v>2962</v>
      </c>
    </row>
    <row r="32" spans="1:63" x14ac:dyDescent="0.2">
      <c r="A32" s="180" t="s">
        <v>7238</v>
      </c>
      <c r="B32" s="25"/>
      <c r="C32" s="25"/>
      <c r="D32" s="25"/>
      <c r="E32" s="26"/>
      <c r="F32" s="26"/>
      <c r="G32" s="26"/>
      <c r="H32" s="25"/>
      <c r="I32" s="25"/>
      <c r="J32" s="25">
        <f>COLUMN()</f>
        <v>10</v>
      </c>
      <c r="K32" s="25">
        <f>COLUMN()</f>
        <v>11</v>
      </c>
      <c r="L32" s="25">
        <f>COLUMN()</f>
        <v>12</v>
      </c>
      <c r="M32" s="25">
        <f>COLUMN()</f>
        <v>13</v>
      </c>
      <c r="N32" s="25"/>
      <c r="O32" s="25"/>
      <c r="P32" s="25"/>
      <c r="Q32" s="25"/>
      <c r="R32" s="25"/>
      <c r="S32" s="25"/>
      <c r="T32" s="25"/>
      <c r="U32" s="25"/>
      <c r="V32" s="25"/>
      <c r="W32" s="25"/>
      <c r="X32" s="25"/>
      <c r="Y32" s="25" t="s">
        <v>7237</v>
      </c>
      <c r="Z32" s="305">
        <f>ROW(A33)-1</f>
        <v>32</v>
      </c>
      <c r="AA32" s="179" t="b">
        <v>1</v>
      </c>
      <c r="AB32" s="1154" t="s">
        <v>7239</v>
      </c>
      <c r="AC32" s="1154"/>
      <c r="AD32" s="1154"/>
      <c r="AE32" s="1154"/>
      <c r="AF32" s="1154"/>
      <c r="AG32" s="25"/>
      <c r="AH32" s="25">
        <f>COLUMN()</f>
        <v>34</v>
      </c>
      <c r="AI32" s="25"/>
    </row>
    <row r="33" spans="1:35" x14ac:dyDescent="0.2">
      <c r="A33" s="24" t="str">
        <f ca="1">IF(AA32,IF(PROFGEBGENE="Goetter",IF(HLOOKUP(PROFGENE,INDIRECT(PROFGEBIET),IDX_L_0,FALSE)="","",HLOOKUP(PROFGENE,INDIRECT(PROFGEBIET),IDX_L_0,FALSE)),IF(PROFGEBZWEITE="Goetter (BGB)",IF(HLOOKUP(PROFZWEITE,INDIRECT(PROFGEBIET2),IDX_L_0,FALSE)="","",HLOOKUP(PROFZWEITE,INDIRECT(PROFGEBIET2),IDX_L_0,FALSE)),"")),"")&amp;
IF(AND(AA32,NOT(ISBLANK(PROFSPTWHE)),NOT(ISBLANK(HBC_SPAETWEIHE))),IF(HLOOKUP(PROFSPTWHE,SPTWHE,IDX_L_0,FALSE)="","",HLOOKUP(PROFSPTWHE,SPTWHE,IDX_L_0,FALSE)),"")</f>
        <v/>
      </c>
      <c r="B33" s="332" t="str">
        <f>IF(LIT_0_JA,"x","")</f>
        <v>x</v>
      </c>
      <c r="C33" s="25"/>
      <c r="D33" s="25"/>
      <c r="E33" s="25"/>
      <c r="F33" s="25"/>
      <c r="G33" s="25"/>
      <c r="H33" s="25"/>
      <c r="I33" s="307"/>
      <c r="J33" s="307"/>
      <c r="K33" s="307"/>
      <c r="L33" s="307"/>
      <c r="M33" s="307"/>
      <c r="N33" s="27"/>
      <c r="O33" s="268">
        <f ca="1">IF(A33="",0,IF(VLOOKUP($A33,Liturgien_all,13,FALSE)="",N33,
IF(ISERROR(VLOOKUP(VLOOKUP($A33,Liturgien_all,13,FALSE),Liturgien_all,3,FALSE)),0, N33-VLOOKUP(VLOOKUP($A33,Liturgien_all,13,FALSE),Liturgien_all,3,FALSE))
))</f>
        <v>0</v>
      </c>
      <c r="P33" s="268"/>
      <c r="Q33" s="268" t="str">
        <f ca="1">IF(A33="","",IF(VLOOKUP($A33,Liturgien_all,12,FALSE)="","",VLOOKUP($A33,Liturgien_all,12,FALSE)))</f>
        <v/>
      </c>
      <c r="R33" s="268">
        <f ca="1">IF(Q33="",0,IF(I33&gt;Q33,Q33,I33))</f>
        <v>0</v>
      </c>
      <c r="S33" s="268">
        <f ca="1">SUM(T33:W33)</f>
        <v>0</v>
      </c>
      <c r="T33" s="268">
        <f ca="1">IF($A33="",0,IF(OR(VLOOKUP($A33,Liturgien_all,4,FALSE)="speziell",ISNA(VLOOKUP(VLOOKUP($A33,Liturgien_all,4,FALSE),ZIEL_WERT,2,FALSE))),0,IF($J33="",0,VLOOKUP($J33,ZIEL_WERT,2,FALSE)-VLOOKUP(VLOOKUP($A33,Liturgien_all,4,FALSE),ZIEL_WERT,2,FALSE))))</f>
        <v>0</v>
      </c>
      <c r="U33" s="268">
        <f>IF(D33="",0,IF(VLOOKUP(D33,Liturgien_all,5,FALSE)="speziell",0,IF(Q33="",0,VLOOKUP(Q33,RITUALDAUER_WERT,2,FALSE)-VLOOKUP(VLOOKUP(D33,Liturgien_all,5,FALSE),RITUALDAUER_WERT,2,FALSE))))</f>
        <v>0</v>
      </c>
      <c r="V33" s="268">
        <f>IF(D33="",0,IF(VLOOKUP(D33,Liturgien_all,6,FALSE)="speziell",0,IF(R33="",0,VLOOKUP(R33,WIRKUNGSDAUER_WERT,2,FALSE)-VLOOKUP(VLOOKUP(D33,Liturgien_all,6,FALSE),WIRKUNGSDAUER_WERT,2,FALSE))))</f>
        <v>0</v>
      </c>
      <c r="W33" s="268">
        <f>IF(D33="",0,IF(VLOOKUP(D33,Liturgien_all,7,FALSE)="speziell",0,IF(S33="",0,VLOOKUP(S33,ENTFERNUNG_WERT,2,FALSE)-VLOOKUP(VLOOKUP(D33,Liturgien_all,7,FALSE),ENTFERNUNG_WERT,2,FALSE))))</f>
        <v>0</v>
      </c>
      <c r="X33" s="312"/>
      <c r="Y33" s="268" t="str">
        <f ca="1">IF(Z33="","",CONCATENATE(Y32,Z33))</f>
        <v>Grad 0,,</v>
      </c>
      <c r="Z33" s="268" t="str">
        <f ca="1">IF(AND(OR(UPPER(B33)="X",UPPER(E33)="X",UPPER(F33)="X",UPPER(G33)="X"),H33=""),A33&amp;",","")</f>
        <v>,</v>
      </c>
      <c r="AA33" s="25"/>
      <c r="AC33" s="268">
        <f ca="1">ROUND(50*IF(AND(NOT(EXACT($A33,"")),UPPER(F33)="X"),P33*IF(UPPER(C33)="X",0.5,1)*IF(VT_EIDGED,0.5,IF(VT_GUTGED,0.75,1)),0),0)</f>
        <v>0</v>
      </c>
      <c r="AD33" s="268">
        <f ca="1">ROUND(50*IF(AND(NOT(EXACT($A33,"")),F33=2),P33*IF(UPPER(C33)="X",0.5,1)*IF(VT_EIDGED,0.5,IF(VT_GUTGED,0.75,1)),0),0)</f>
        <v>0</v>
      </c>
      <c r="AE33" s="268">
        <f ca="1">ROUND(50*(IF(AND(NOT(EXACT($A33,"")),UPPER(G33)="X"),P33,0)*IF(UPPER(C33)="X",0.5,1)*IF(VT_EIDGED,0.5,IF(VT_GUTGED,0.75,1))+$R33+IF(UPPER(G33)="X",$O33,0))+10*$S33,0)</f>
        <v>0</v>
      </c>
      <c r="AF33" s="25"/>
      <c r="AG33" s="25"/>
      <c r="AH33" s="25"/>
      <c r="AI33" s="25"/>
    </row>
    <row r="34" spans="1:35" x14ac:dyDescent="0.2">
      <c r="A34" s="180" t="s">
        <v>4259</v>
      </c>
      <c r="B34" s="25"/>
      <c r="C34" s="25"/>
      <c r="D34" s="25"/>
      <c r="E34" s="26"/>
      <c r="F34" s="26"/>
      <c r="G34" s="26"/>
      <c r="H34" s="25" t="str">
        <f ca="1">IF(APGUT&lt;0,"Keine AP mehr übrig!",IF(TL_GP_UEBRIG&lt;0,"Keine Start-AP mehr übrig!","▼ Fehlermeldungen ▼  "&amp;"(AP: "&amp;APGUT&amp;")"))</f>
        <v>▼ Fehlermeldungen ▼  (AP: 0)</v>
      </c>
      <c r="I34" s="25"/>
      <c r="J34" s="25"/>
      <c r="K34" s="25"/>
      <c r="L34" s="25"/>
      <c r="M34" s="25"/>
      <c r="N34" s="25"/>
      <c r="O34" s="25"/>
      <c r="P34" s="25"/>
      <c r="Q34" s="25"/>
      <c r="R34" s="25"/>
      <c r="S34" s="25"/>
      <c r="T34" s="25"/>
      <c r="U34" s="25"/>
      <c r="V34" s="25"/>
      <c r="W34" s="25"/>
      <c r="X34" s="1154" t="s">
        <v>518</v>
      </c>
      <c r="Y34" s="25" t="s">
        <v>3053</v>
      </c>
      <c r="Z34" s="305">
        <f>ROW(A35)-1</f>
        <v>34</v>
      </c>
      <c r="AA34" s="25"/>
      <c r="AB34" s="305"/>
      <c r="AC34" s="305"/>
      <c r="AD34" s="305"/>
      <c r="AE34" s="305"/>
      <c r="AF34" s="25"/>
      <c r="AI34" s="25"/>
    </row>
    <row r="35" spans="1:35" x14ac:dyDescent="0.2">
      <c r="A35" s="24" t="str">
        <f ca="1">IF(NOT(EXACT(LIT_I,"")),HLOOKUP(Tabellen_Andere!$GH$3,LiturgienI,MATCH(LEFT(LIT_I,45),LiturgienI,1)),"")</f>
        <v/>
      </c>
      <c r="B35" s="1658" t="str">
        <f t="shared" ref="B35:B98" ca="1" si="10">IF(NOT(EXACT($A35,"")),VLOOKUP($A35,Liturgien_all,14,FALSE),"")</f>
        <v/>
      </c>
      <c r="C35" s="323" t="str">
        <f t="shared" ref="C35:C98" ca="1" si="11">IF(NOT(EXACT($A35,"")),VLOOKUP($A35,Liturgien_all,15,FALSE),"")</f>
        <v/>
      </c>
      <c r="E35" s="384"/>
      <c r="F35" s="960"/>
      <c r="G35" s="324"/>
      <c r="H35" s="372" t="str">
        <f ca="1">IF(OR(A35="",Liturgien!$C$11=""),"",IF(OR(UPPER(E35)="X",UPPER(F35)="X",UPPER(G35)="X"),IF((VLOOKUP(A35,Liturgien_all,3,FALSE))*3&gt;Liturgien!$C$11,"Liturgiekenntnis-Wert zu niedrig!",""),""))</f>
        <v/>
      </c>
      <c r="I35" s="307"/>
      <c r="J35" s="307"/>
      <c r="K35" s="307"/>
      <c r="L35" s="307"/>
      <c r="M35" s="307"/>
      <c r="N35" s="1657"/>
      <c r="O35" s="268">
        <f t="shared" ref="O35:O62" ca="1" si="12">IF(A35="",0,IF(VLOOKUP($A35,Liturgien_all,13,FALSE)="",N35,
IF(ISERROR(VLOOKUP(VLOOKUP($A35,Liturgien_all,13,FALSE),Liturgien_all,3,FALSE)),0, N35-IF(ISERROR(FIND(VLOOKUP($A35,Liturgien_all,13,FALSE),Liturgien_Aktiv,1)),0,VLOOKUP(VLOOKUP($A35,Liturgien_all,13,FALSE),Liturgien_all,3,FALSE)) )))</f>
        <v>0</v>
      </c>
      <c r="P35" s="268">
        <f t="shared" ref="P35:P62" ca="1" si="13">IF(A35="",0,IF(VLOOKUP($A35,Liturgien_all,3,FALSE)="",0,VLOOKUP($A35,Liturgien_all,3,FALSE)))</f>
        <v>0</v>
      </c>
      <c r="Q35" s="268" t="str">
        <f t="shared" ref="Q35:Q62" ca="1" si="14">IF(A35="","",IF(VLOOKUP($A35,Liturgien_all,12,FALSE)="","",VLOOKUP($A35,Liturgien_all,12,FALSE)))</f>
        <v/>
      </c>
      <c r="R35" s="268">
        <f t="shared" ref="R35:R62" ca="1" si="15">IF(Q35="",0,IF(I35&gt;Q35,Q35,I35))</f>
        <v>0</v>
      </c>
      <c r="S35" s="268">
        <f t="shared" ref="S35:S62" ca="1" si="16">SUM(T35:W35)</f>
        <v>0</v>
      </c>
      <c r="T35" s="268">
        <f t="shared" ref="T35:T98" ca="1" si="17">IF($A35="",0,IF(OR(VLOOKUP($A35,Liturgien_all,4,FALSE)="speziell",ISNA(VLOOKUP(VLOOKUP($A35,Liturgien_all,4,FALSE),ZIEL_WERT,2,FALSE))),0,IF($J35="",0,VLOOKUP($J35,ZIEL_WERT,2,FALSE)-VLOOKUP(VLOOKUP($A35,Liturgien_all,4,FALSE),ZIEL_WERT,2,FALSE))))</f>
        <v>0</v>
      </c>
      <c r="U35" s="268">
        <f t="shared" ref="U35:U62" si="18">IF(D35="",0,IF(VLOOKUP(D35,Liturgien_all,5,FALSE)="speziell",0,IF(Q35="",0,VLOOKUP(Q35,RITUALDAUER_WERT,2,FALSE)-VLOOKUP(VLOOKUP(D35,Liturgien_all,5,FALSE),RITUALDAUER_WERT,2,FALSE))))</f>
        <v>0</v>
      </c>
      <c r="V35" s="268">
        <f t="shared" ref="V35:V62" si="19">IF(D35="",0,IF(VLOOKUP(D35,Liturgien_all,6,FALSE)="speziell",0,IF(R35="",0,VLOOKUP(R35,WIRKUNGSDAUER_WERT,2,FALSE)-VLOOKUP(VLOOKUP(D35,Liturgien_all,6,FALSE),WIRKUNGSDAUER_WERT,2,FALSE))))</f>
        <v>0</v>
      </c>
      <c r="W35" s="268">
        <f t="shared" ref="W35:W62" si="20">IF(D35="",0,IF(VLOOKUP(D35,Liturgien_all,7,FALSE)="speziell",0,IF(S35="",0,VLOOKUP(S35,ENTFERNUNG_WERT,2,FALSE)-VLOOKUP(VLOOKUP(D35,Liturgien_all,7,FALSE),ENTFERNUNG_WERT,2,FALSE))))</f>
        <v>0</v>
      </c>
      <c r="X35" s="268" t="str">
        <f t="shared" ref="X35:X62" ca="1" si="21">IF(AND(OR(UPPER(B35)="X",UPPER(E35)="X",UPPER(F35)="X",UPPER(G35)="X",F35=2),H35=""),A35&amp;",","")</f>
        <v/>
      </c>
      <c r="Y35" s="268" t="str">
        <f ca="1">IF(Y36="","",CONCATENATE(Y34,Y36))</f>
        <v/>
      </c>
      <c r="Z35" s="356" t="str">
        <f ca="1">IF(NOT(EXACT(LIT_I,"")),LEN(A35)+2,"")</f>
        <v/>
      </c>
      <c r="AA35" s="25"/>
      <c r="AB35" s="268">
        <f t="shared" ref="AB35:AB62" ca="1" si="22">ROUND(IF(AND(NOT(EXACT($A35,"")),UPPER(E35)="X"),P35,0)*IF(UPPER(C35)="X",0.5,1)*IF(VT_EIDGED,0.5,IF(VT_GUTGED,0.75,1)),0)</f>
        <v>0</v>
      </c>
      <c r="AC35" s="268">
        <f t="shared" ref="AC35:AC62" ca="1" si="23">ROUND(50*IF(AND(NOT(EXACT($A35,"")),UPPER(F35)="X"),P35*IF(UPPER(C35)="X",0.5,1)*IF(VT_EIDGED,0.5,IF(VT_GUTGED,0.75,1)),0),0)</f>
        <v>0</v>
      </c>
      <c r="AD35" s="268">
        <f t="shared" ref="AD35:AD62" ca="1" si="24">ROUND(50*IF(AND(NOT(EXACT($A35,"")),F35=2),P35*IF(UPPER(C35)="X",0.5,1)*IF(VT_EIDGED,0.5,IF(VT_GUTGED,0.75,1)),0),0)</f>
        <v>0</v>
      </c>
      <c r="AE35" s="268">
        <f t="shared" ref="AE35:AE62" ca="1" si="25">ROUND(50*(IF(AND(NOT(EXACT($A35,"")),UPPER(G35)="X"),P35,0)*IF(UPPER(C35)="X",0.5,1)*IF(VT_EIDGED,0.5,IF(VT_GUTGED,0.75,1))+$R35+IF(UPPER(G35)="X",$O35,0))+10*$S35,0)</f>
        <v>0</v>
      </c>
      <c r="AF35" s="25"/>
      <c r="AG35" t="str">
        <f ca="1">A35</f>
        <v/>
      </c>
      <c r="AH35" s="78" t="str">
        <f ca="1">ROMAN(R35+S35+1)</f>
        <v>I</v>
      </c>
      <c r="AI35" s="25"/>
    </row>
    <row r="36" spans="1:35" x14ac:dyDescent="0.2">
      <c r="A36" s="24" t="str">
        <f ca="1">IF(NOT(EXACT(Z35,"")),IF(NOT(EXACT(MID(LIT_I,$Z35,1),"")),HLOOKUP(Tabellen_Andere!$GH$3,LiturgienI,MATCH(MID(LIT_I,$Z35,45),LiturgienI,1)),""),"")</f>
        <v/>
      </c>
      <c r="B36" s="1658" t="str">
        <f t="shared" ca="1" si="10"/>
        <v/>
      </c>
      <c r="C36" s="323" t="str">
        <f t="shared" ca="1" si="11"/>
        <v/>
      </c>
      <c r="E36" s="384"/>
      <c r="F36" s="960"/>
      <c r="G36" s="324"/>
      <c r="H36" s="372" t="str">
        <f ca="1">IF(OR(A36="",Liturgien!$C$11=""),"",IF(OR(UPPER(E36)="X",UPPER(F36)="X",UPPER(G36)="X"),IF((VLOOKUP(A36,Liturgien_all,3,FALSE))*3&gt;Liturgien!$C$11,"Liturgiekenntnis-Wert zu niedrig!",""),""))</f>
        <v/>
      </c>
      <c r="I36" s="307"/>
      <c r="J36" s="307"/>
      <c r="K36" s="307"/>
      <c r="L36" s="307"/>
      <c r="M36" s="307"/>
      <c r="N36" s="1657"/>
      <c r="O36" s="268">
        <f t="shared" ca="1" si="12"/>
        <v>0</v>
      </c>
      <c r="P36" s="268">
        <f t="shared" ca="1" si="13"/>
        <v>0</v>
      </c>
      <c r="Q36" s="268" t="str">
        <f t="shared" ca="1" si="14"/>
        <v/>
      </c>
      <c r="R36" s="268">
        <f t="shared" ca="1" si="15"/>
        <v>0</v>
      </c>
      <c r="S36" s="268">
        <f t="shared" ca="1" si="16"/>
        <v>0</v>
      </c>
      <c r="T36" s="268">
        <f t="shared" ca="1" si="17"/>
        <v>0</v>
      </c>
      <c r="U36" s="268">
        <f t="shared" si="18"/>
        <v>0</v>
      </c>
      <c r="V36" s="268">
        <f t="shared" si="19"/>
        <v>0</v>
      </c>
      <c r="W36" s="268">
        <f t="shared" si="20"/>
        <v>0</v>
      </c>
      <c r="X36" s="268" t="str">
        <f t="shared" ca="1" si="21"/>
        <v/>
      </c>
      <c r="Y36" s="268" t="str">
        <f ca="1">CONCATENATE(X35,X36,X37,X38,X39,X40,X41,X42,X43,X44,X45,X46,X47,X48,X49,X50,X51,X52,X53,X54,X55,X56,X57,X58,X59,X60,X61,X62)</f>
        <v/>
      </c>
      <c r="Z36" s="356" t="str">
        <f t="shared" ref="Z36:Z62" ca="1" si="26">IF(NOT(EXACT(Z35,"")),IF(NOT(EXACT(MID(LIT_I,$Z35,1),"")),Z35+LEN(A36)+1,""),"")</f>
        <v/>
      </c>
      <c r="AA36" s="25"/>
      <c r="AB36" s="268">
        <f t="shared" ca="1" si="22"/>
        <v>0</v>
      </c>
      <c r="AC36" s="268">
        <f t="shared" ca="1" si="23"/>
        <v>0</v>
      </c>
      <c r="AD36" s="268">
        <f t="shared" ca="1" si="24"/>
        <v>0</v>
      </c>
      <c r="AE36" s="268">
        <f t="shared" ca="1" si="25"/>
        <v>0</v>
      </c>
      <c r="AF36" s="25"/>
      <c r="AG36" t="str">
        <f t="shared" ref="AG36:AG62" ca="1" si="27">A36</f>
        <v/>
      </c>
      <c r="AH36" s="78" t="str">
        <f t="shared" ref="AH36:AH62" ca="1" si="28">ROMAN(R36+S36+1)</f>
        <v>I</v>
      </c>
      <c r="AI36" s="25"/>
    </row>
    <row r="37" spans="1:35" x14ac:dyDescent="0.2">
      <c r="A37" s="24" t="str">
        <f ca="1">IF(NOT(EXACT(Z36,"")),IF(NOT(EXACT(MID(LIT_I,$Z36,1),"")),HLOOKUP(Tabellen_Andere!$GH$3,LiturgienI,MATCH(MID(LIT_I,$Z36,45),LiturgienI,1)),""),"")</f>
        <v/>
      </c>
      <c r="B37" s="1658" t="str">
        <f t="shared" ca="1" si="10"/>
        <v/>
      </c>
      <c r="C37" s="323" t="str">
        <f t="shared" ca="1" si="11"/>
        <v/>
      </c>
      <c r="E37" s="384"/>
      <c r="F37" s="960"/>
      <c r="G37" s="324"/>
      <c r="H37" s="372" t="str">
        <f ca="1">IF(OR(A37="",Liturgien!$C$11=""),"",IF(OR(UPPER(E37)="X",UPPER(F37)="X",UPPER(G37)="X"),IF((VLOOKUP(A37,Liturgien_all,3,FALSE))*3&gt;Liturgien!$C$11,"Liturgiekenntnis-Wert zu niedrig!",""),""))</f>
        <v/>
      </c>
      <c r="I37" s="307"/>
      <c r="J37" s="307"/>
      <c r="K37" s="307"/>
      <c r="L37" s="307"/>
      <c r="M37" s="307"/>
      <c r="N37" s="1657"/>
      <c r="O37" s="268">
        <f t="shared" ca="1" si="12"/>
        <v>0</v>
      </c>
      <c r="P37" s="268">
        <f t="shared" ca="1" si="13"/>
        <v>0</v>
      </c>
      <c r="Q37" s="268" t="str">
        <f t="shared" ca="1" si="14"/>
        <v/>
      </c>
      <c r="R37" s="268">
        <f t="shared" ca="1" si="15"/>
        <v>0</v>
      </c>
      <c r="S37" s="268">
        <f t="shared" ca="1" si="16"/>
        <v>0</v>
      </c>
      <c r="T37" s="268">
        <f t="shared" ca="1" si="17"/>
        <v>0</v>
      </c>
      <c r="U37" s="268">
        <f t="shared" si="18"/>
        <v>0</v>
      </c>
      <c r="V37" s="268">
        <f t="shared" si="19"/>
        <v>0</v>
      </c>
      <c r="W37" s="268">
        <f t="shared" si="20"/>
        <v>0</v>
      </c>
      <c r="X37" s="268" t="str">
        <f t="shared" ca="1" si="21"/>
        <v/>
      </c>
      <c r="Y37" s="154"/>
      <c r="Z37" s="356" t="str">
        <f t="shared" ca="1" si="26"/>
        <v/>
      </c>
      <c r="AA37" s="25"/>
      <c r="AB37" s="268">
        <f t="shared" ca="1" si="22"/>
        <v>0</v>
      </c>
      <c r="AC37" s="268">
        <f t="shared" ca="1" si="23"/>
        <v>0</v>
      </c>
      <c r="AD37" s="268">
        <f t="shared" ca="1" si="24"/>
        <v>0</v>
      </c>
      <c r="AE37" s="268">
        <f t="shared" ca="1" si="25"/>
        <v>0</v>
      </c>
      <c r="AF37" s="25"/>
      <c r="AG37" t="str">
        <f t="shared" ca="1" si="27"/>
        <v/>
      </c>
      <c r="AH37" s="78" t="str">
        <f t="shared" ca="1" si="28"/>
        <v>I</v>
      </c>
      <c r="AI37" s="25"/>
    </row>
    <row r="38" spans="1:35" x14ac:dyDescent="0.2">
      <c r="A38" s="24" t="str">
        <f ca="1">IF(NOT(EXACT(Z37,"")),IF(NOT(EXACT(MID(LIT_I,$Z37,1),"")),HLOOKUP(Tabellen_Andere!$GH$3,LiturgienI,MATCH(MID(LIT_I,$Z37,45),LiturgienI,1)),""),"")</f>
        <v/>
      </c>
      <c r="B38" s="1658" t="str">
        <f t="shared" ca="1" si="10"/>
        <v/>
      </c>
      <c r="C38" s="323" t="str">
        <f t="shared" ca="1" si="11"/>
        <v/>
      </c>
      <c r="E38" s="384"/>
      <c r="F38" s="960"/>
      <c r="G38" s="324"/>
      <c r="H38" s="372" t="str">
        <f ca="1">IF(OR(A38="",Liturgien!$C$11=""),"",IF(OR(UPPER(E38)="X",UPPER(F38)="X",UPPER(G38)="X"),IF((VLOOKUP(A38,Liturgien_all,3,FALSE))*3&gt;Liturgien!$C$11,"Liturgiekenntnis-Wert zu niedrig!",""),""))</f>
        <v/>
      </c>
      <c r="I38" s="307"/>
      <c r="J38" s="307"/>
      <c r="K38" s="307"/>
      <c r="L38" s="307"/>
      <c r="M38" s="307"/>
      <c r="N38" s="1657"/>
      <c r="O38" s="268">
        <f t="shared" ca="1" si="12"/>
        <v>0</v>
      </c>
      <c r="P38" s="268">
        <f t="shared" ca="1" si="13"/>
        <v>0</v>
      </c>
      <c r="Q38" s="268" t="str">
        <f t="shared" ca="1" si="14"/>
        <v/>
      </c>
      <c r="R38" s="268">
        <f t="shared" ca="1" si="15"/>
        <v>0</v>
      </c>
      <c r="S38" s="268">
        <f t="shared" ca="1" si="16"/>
        <v>0</v>
      </c>
      <c r="T38" s="268">
        <f t="shared" ca="1" si="17"/>
        <v>0</v>
      </c>
      <c r="U38" s="268">
        <f t="shared" si="18"/>
        <v>0</v>
      </c>
      <c r="V38" s="268">
        <f t="shared" si="19"/>
        <v>0</v>
      </c>
      <c r="W38" s="268">
        <f t="shared" si="20"/>
        <v>0</v>
      </c>
      <c r="X38" s="268" t="str">
        <f t="shared" ca="1" si="21"/>
        <v/>
      </c>
      <c r="Y38" s="154"/>
      <c r="Z38" s="356" t="str">
        <f t="shared" ca="1" si="26"/>
        <v/>
      </c>
      <c r="AA38" s="25"/>
      <c r="AB38" s="268">
        <f t="shared" ca="1" si="22"/>
        <v>0</v>
      </c>
      <c r="AC38" s="268">
        <f t="shared" ca="1" si="23"/>
        <v>0</v>
      </c>
      <c r="AD38" s="268">
        <f t="shared" ca="1" si="24"/>
        <v>0</v>
      </c>
      <c r="AE38" s="268">
        <f t="shared" ca="1" si="25"/>
        <v>0</v>
      </c>
      <c r="AF38" s="25"/>
      <c r="AG38" t="str">
        <f t="shared" ca="1" si="27"/>
        <v/>
      </c>
      <c r="AH38" s="78" t="str">
        <f t="shared" ca="1" si="28"/>
        <v>I</v>
      </c>
      <c r="AI38" s="25"/>
    </row>
    <row r="39" spans="1:35" x14ac:dyDescent="0.2">
      <c r="A39" s="24" t="str">
        <f ca="1">IF(NOT(EXACT(Z38,"")),IF(NOT(EXACT(MID(LIT_I,$Z38,1),"")),HLOOKUP(Tabellen_Andere!$GH$3,LiturgienI,MATCH(MID(LIT_I,$Z38,45),LiturgienI,1)),""),"")</f>
        <v/>
      </c>
      <c r="B39" s="1658" t="str">
        <f t="shared" ca="1" si="10"/>
        <v/>
      </c>
      <c r="C39" s="323" t="str">
        <f t="shared" ca="1" si="11"/>
        <v/>
      </c>
      <c r="E39" s="384"/>
      <c r="F39" s="960"/>
      <c r="G39" s="324"/>
      <c r="H39" s="372" t="str">
        <f ca="1">IF(OR(A39="",Liturgien!$C$11=""),"",IF(OR(UPPER(E39)="X",UPPER(F39)="X",UPPER(G39)="X"),IF((VLOOKUP(A39,Liturgien_all,3,FALSE))*3&gt;Liturgien!$C$11,"Liturgiekenntnis-Wert zu niedrig!",""),""))</f>
        <v/>
      </c>
      <c r="I39" s="307"/>
      <c r="J39" s="307"/>
      <c r="K39" s="307"/>
      <c r="L39" s="307"/>
      <c r="M39" s="307"/>
      <c r="N39" s="1657"/>
      <c r="O39" s="268">
        <f t="shared" ca="1" si="12"/>
        <v>0</v>
      </c>
      <c r="P39" s="268">
        <f t="shared" ca="1" si="13"/>
        <v>0</v>
      </c>
      <c r="Q39" s="268" t="str">
        <f t="shared" ca="1" si="14"/>
        <v/>
      </c>
      <c r="R39" s="268">
        <f t="shared" ca="1" si="15"/>
        <v>0</v>
      </c>
      <c r="S39" s="268">
        <f t="shared" ca="1" si="16"/>
        <v>0</v>
      </c>
      <c r="T39" s="268">
        <f t="shared" ca="1" si="17"/>
        <v>0</v>
      </c>
      <c r="U39" s="268">
        <f t="shared" si="18"/>
        <v>0</v>
      </c>
      <c r="V39" s="268">
        <f t="shared" si="19"/>
        <v>0</v>
      </c>
      <c r="W39" s="268">
        <f t="shared" si="20"/>
        <v>0</v>
      </c>
      <c r="X39" s="268" t="str">
        <f t="shared" ca="1" si="21"/>
        <v/>
      </c>
      <c r="Y39" s="154"/>
      <c r="Z39" s="356" t="str">
        <f t="shared" ca="1" si="26"/>
        <v/>
      </c>
      <c r="AA39" s="25"/>
      <c r="AB39" s="268">
        <f t="shared" ca="1" si="22"/>
        <v>0</v>
      </c>
      <c r="AC39" s="268">
        <f t="shared" ca="1" si="23"/>
        <v>0</v>
      </c>
      <c r="AD39" s="268">
        <f t="shared" ca="1" si="24"/>
        <v>0</v>
      </c>
      <c r="AE39" s="268">
        <f t="shared" ca="1" si="25"/>
        <v>0</v>
      </c>
      <c r="AF39" s="25"/>
      <c r="AG39" t="str">
        <f t="shared" ca="1" si="27"/>
        <v/>
      </c>
      <c r="AH39" s="78" t="str">
        <f t="shared" ca="1" si="28"/>
        <v>I</v>
      </c>
      <c r="AI39" s="25"/>
    </row>
    <row r="40" spans="1:35" x14ac:dyDescent="0.2">
      <c r="A40" s="24" t="str">
        <f ca="1">IF(NOT(EXACT(Z39,"")),IF(NOT(EXACT(MID(LIT_I,$Z39,1),"")),HLOOKUP(Tabellen_Andere!$GH$3,LiturgienI,MATCH(MID(LIT_I,$Z39,45),LiturgienI,1)),""),"")</f>
        <v/>
      </c>
      <c r="B40" s="1658" t="str">
        <f t="shared" ca="1" si="10"/>
        <v/>
      </c>
      <c r="C40" s="323" t="str">
        <f t="shared" ca="1" si="11"/>
        <v/>
      </c>
      <c r="E40" s="384"/>
      <c r="F40" s="960"/>
      <c r="G40" s="324"/>
      <c r="H40" s="372" t="str">
        <f ca="1">IF(OR(A40="",Liturgien!$C$11=""),"",IF(OR(UPPER(E40)="X",UPPER(F40)="X",UPPER(G40)="X"),IF((VLOOKUP(A40,Liturgien_all,3,FALSE))*3&gt;Liturgien!$C$11,"Liturgiekenntnis-Wert zu niedrig!",""),""))</f>
        <v/>
      </c>
      <c r="I40" s="307"/>
      <c r="J40" s="307"/>
      <c r="K40" s="307"/>
      <c r="L40" s="307"/>
      <c r="M40" s="307"/>
      <c r="N40" s="1657"/>
      <c r="O40" s="268">
        <f t="shared" ca="1" si="12"/>
        <v>0</v>
      </c>
      <c r="P40" s="268">
        <f t="shared" ca="1" si="13"/>
        <v>0</v>
      </c>
      <c r="Q40" s="268" t="str">
        <f t="shared" ca="1" si="14"/>
        <v/>
      </c>
      <c r="R40" s="268">
        <f t="shared" ca="1" si="15"/>
        <v>0</v>
      </c>
      <c r="S40" s="268">
        <f t="shared" ca="1" si="16"/>
        <v>0</v>
      </c>
      <c r="T40" s="268">
        <f t="shared" ca="1" si="17"/>
        <v>0</v>
      </c>
      <c r="U40" s="268">
        <f t="shared" si="18"/>
        <v>0</v>
      </c>
      <c r="V40" s="268">
        <f t="shared" si="19"/>
        <v>0</v>
      </c>
      <c r="W40" s="268">
        <f t="shared" si="20"/>
        <v>0</v>
      </c>
      <c r="X40" s="268" t="str">
        <f t="shared" ca="1" si="21"/>
        <v/>
      </c>
      <c r="Y40" s="154"/>
      <c r="Z40" s="356" t="str">
        <f t="shared" ca="1" si="26"/>
        <v/>
      </c>
      <c r="AA40" s="25"/>
      <c r="AB40" s="268">
        <f t="shared" ca="1" si="22"/>
        <v>0</v>
      </c>
      <c r="AC40" s="268">
        <f t="shared" ca="1" si="23"/>
        <v>0</v>
      </c>
      <c r="AD40" s="268">
        <f t="shared" ca="1" si="24"/>
        <v>0</v>
      </c>
      <c r="AE40" s="268">
        <f t="shared" ca="1" si="25"/>
        <v>0</v>
      </c>
      <c r="AF40" s="25"/>
      <c r="AG40" t="str">
        <f t="shared" ca="1" si="27"/>
        <v/>
      </c>
      <c r="AH40" s="78" t="str">
        <f t="shared" ca="1" si="28"/>
        <v>I</v>
      </c>
      <c r="AI40" s="25"/>
    </row>
    <row r="41" spans="1:35" x14ac:dyDescent="0.2">
      <c r="A41" s="24" t="str">
        <f ca="1">IF(NOT(EXACT(Z40,"")),IF(NOT(EXACT(MID(LIT_I,$Z40,1),"")),HLOOKUP(Tabellen_Andere!$GH$3,LiturgienI,MATCH(MID(LIT_I,$Z40,45),LiturgienI,1)),""),"")</f>
        <v/>
      </c>
      <c r="B41" s="1658" t="str">
        <f t="shared" ca="1" si="10"/>
        <v/>
      </c>
      <c r="C41" s="323" t="str">
        <f t="shared" ca="1" si="11"/>
        <v/>
      </c>
      <c r="E41" s="384"/>
      <c r="F41" s="960"/>
      <c r="G41" s="324"/>
      <c r="H41" s="372" t="str">
        <f ca="1">IF(OR(A41="",Liturgien!$C$11=""),"",IF(OR(UPPER(E41)="X",UPPER(F41)="X",UPPER(G41)="X"),IF((VLOOKUP(A41,Liturgien_all,3,FALSE))*3&gt;Liturgien!$C$11,"Liturgiekenntnis-Wert zu niedrig!",""),""))</f>
        <v/>
      </c>
      <c r="I41" s="307"/>
      <c r="J41" s="307"/>
      <c r="K41" s="307"/>
      <c r="L41" s="307"/>
      <c r="M41" s="307"/>
      <c r="N41" s="1657"/>
      <c r="O41" s="268">
        <f t="shared" ca="1" si="12"/>
        <v>0</v>
      </c>
      <c r="P41" s="268">
        <f t="shared" ca="1" si="13"/>
        <v>0</v>
      </c>
      <c r="Q41" s="268" t="str">
        <f t="shared" ca="1" si="14"/>
        <v/>
      </c>
      <c r="R41" s="268">
        <f t="shared" ca="1" si="15"/>
        <v>0</v>
      </c>
      <c r="S41" s="268">
        <f t="shared" ca="1" si="16"/>
        <v>0</v>
      </c>
      <c r="T41" s="268">
        <f t="shared" ca="1" si="17"/>
        <v>0</v>
      </c>
      <c r="U41" s="268">
        <f t="shared" si="18"/>
        <v>0</v>
      </c>
      <c r="V41" s="268">
        <f t="shared" si="19"/>
        <v>0</v>
      </c>
      <c r="W41" s="268">
        <f t="shared" si="20"/>
        <v>0</v>
      </c>
      <c r="X41" s="268" t="str">
        <f t="shared" ca="1" si="21"/>
        <v/>
      </c>
      <c r="Y41" s="154"/>
      <c r="Z41" s="356" t="str">
        <f t="shared" ca="1" si="26"/>
        <v/>
      </c>
      <c r="AA41" s="25"/>
      <c r="AB41" s="268">
        <f t="shared" ca="1" si="22"/>
        <v>0</v>
      </c>
      <c r="AC41" s="268">
        <f t="shared" ca="1" si="23"/>
        <v>0</v>
      </c>
      <c r="AD41" s="268">
        <f t="shared" ca="1" si="24"/>
        <v>0</v>
      </c>
      <c r="AE41" s="268">
        <f t="shared" ca="1" si="25"/>
        <v>0</v>
      </c>
      <c r="AF41" s="25"/>
      <c r="AG41" t="str">
        <f t="shared" ca="1" si="27"/>
        <v/>
      </c>
      <c r="AH41" s="78" t="str">
        <f t="shared" ca="1" si="28"/>
        <v>I</v>
      </c>
      <c r="AI41" s="25"/>
    </row>
    <row r="42" spans="1:35" x14ac:dyDescent="0.2">
      <c r="A42" s="24" t="str">
        <f ca="1">IF(NOT(EXACT(Z41,"")),IF(NOT(EXACT(MID(LIT_I,$Z41,1),"")),HLOOKUP(Tabellen_Andere!$GH$3,LiturgienI,MATCH(MID(LIT_I,$Z41,45),LiturgienI,1)),""),"")</f>
        <v/>
      </c>
      <c r="B42" s="1658" t="str">
        <f t="shared" ca="1" si="10"/>
        <v/>
      </c>
      <c r="C42" s="323" t="str">
        <f t="shared" ca="1" si="11"/>
        <v/>
      </c>
      <c r="E42" s="384"/>
      <c r="F42" s="960"/>
      <c r="G42" s="324"/>
      <c r="H42" s="372" t="str">
        <f ca="1">IF(OR(A42="",Liturgien!$C$11=""),"",IF(OR(UPPER(E42)="X",UPPER(F42)="X",UPPER(G42)="X"),IF((VLOOKUP(A42,Liturgien_all,3,FALSE))*3&gt;Liturgien!$C$11,"Liturgiekenntnis-Wert zu niedrig!",""),""))</f>
        <v/>
      </c>
      <c r="I42" s="307"/>
      <c r="J42" s="307"/>
      <c r="K42" s="307"/>
      <c r="L42" s="307"/>
      <c r="M42" s="307"/>
      <c r="N42" s="1657"/>
      <c r="O42" s="268">
        <f t="shared" ca="1" si="12"/>
        <v>0</v>
      </c>
      <c r="P42" s="268">
        <f t="shared" ca="1" si="13"/>
        <v>0</v>
      </c>
      <c r="Q42" s="268" t="str">
        <f t="shared" ca="1" si="14"/>
        <v/>
      </c>
      <c r="R42" s="268">
        <f t="shared" ca="1" si="15"/>
        <v>0</v>
      </c>
      <c r="S42" s="268">
        <f t="shared" ca="1" si="16"/>
        <v>0</v>
      </c>
      <c r="T42" s="268">
        <f t="shared" ca="1" si="17"/>
        <v>0</v>
      </c>
      <c r="U42" s="268">
        <f t="shared" si="18"/>
        <v>0</v>
      </c>
      <c r="V42" s="268">
        <f t="shared" si="19"/>
        <v>0</v>
      </c>
      <c r="W42" s="268">
        <f t="shared" si="20"/>
        <v>0</v>
      </c>
      <c r="X42" s="268" t="str">
        <f t="shared" ca="1" si="21"/>
        <v/>
      </c>
      <c r="Y42" s="154"/>
      <c r="Z42" s="356" t="str">
        <f t="shared" ca="1" si="26"/>
        <v/>
      </c>
      <c r="AA42" s="25"/>
      <c r="AB42" s="268">
        <f t="shared" ca="1" si="22"/>
        <v>0</v>
      </c>
      <c r="AC42" s="268">
        <f t="shared" ca="1" si="23"/>
        <v>0</v>
      </c>
      <c r="AD42" s="268">
        <f t="shared" ca="1" si="24"/>
        <v>0</v>
      </c>
      <c r="AE42" s="268">
        <f t="shared" ca="1" si="25"/>
        <v>0</v>
      </c>
      <c r="AF42" s="25"/>
      <c r="AG42" t="str">
        <f t="shared" ca="1" si="27"/>
        <v/>
      </c>
      <c r="AH42" s="78" t="str">
        <f t="shared" ca="1" si="28"/>
        <v>I</v>
      </c>
      <c r="AI42" s="25"/>
    </row>
    <row r="43" spans="1:35" x14ac:dyDescent="0.2">
      <c r="A43" s="24" t="str">
        <f ca="1">IF(NOT(EXACT(Z42,"")),IF(NOT(EXACT(MID(LIT_I,$Z42,1),"")),HLOOKUP(Tabellen_Andere!$GH$3,LiturgienI,MATCH(MID(LIT_I,$Z42,45),LiturgienI,1)),""),"")</f>
        <v/>
      </c>
      <c r="B43" s="1658" t="str">
        <f t="shared" ca="1" si="10"/>
        <v/>
      </c>
      <c r="C43" s="323" t="str">
        <f t="shared" ca="1" si="11"/>
        <v/>
      </c>
      <c r="E43" s="384"/>
      <c r="F43" s="960"/>
      <c r="G43" s="324"/>
      <c r="H43" s="372" t="str">
        <f ca="1">IF(OR(A43="",Liturgien!$C$11=""),"",IF(OR(UPPER(E43)="X",UPPER(F43)="X",UPPER(G43)="X"),IF((VLOOKUP(A43,Liturgien_all,3,FALSE))*3&gt;Liturgien!$C$11,"Liturgiekenntnis-Wert zu niedrig!",""),""))</f>
        <v/>
      </c>
      <c r="I43" s="307"/>
      <c r="J43" s="307"/>
      <c r="K43" s="307"/>
      <c r="L43" s="307"/>
      <c r="M43" s="307"/>
      <c r="N43" s="1657"/>
      <c r="O43" s="268">
        <f t="shared" ca="1" si="12"/>
        <v>0</v>
      </c>
      <c r="P43" s="268">
        <f t="shared" ca="1" si="13"/>
        <v>0</v>
      </c>
      <c r="Q43" s="268" t="str">
        <f t="shared" ca="1" si="14"/>
        <v/>
      </c>
      <c r="R43" s="268">
        <f t="shared" ca="1" si="15"/>
        <v>0</v>
      </c>
      <c r="S43" s="268">
        <f t="shared" ca="1" si="16"/>
        <v>0</v>
      </c>
      <c r="T43" s="268">
        <f t="shared" ca="1" si="17"/>
        <v>0</v>
      </c>
      <c r="U43" s="268">
        <f t="shared" si="18"/>
        <v>0</v>
      </c>
      <c r="V43" s="268">
        <f t="shared" si="19"/>
        <v>0</v>
      </c>
      <c r="W43" s="268">
        <f t="shared" si="20"/>
        <v>0</v>
      </c>
      <c r="X43" s="268" t="str">
        <f t="shared" ca="1" si="21"/>
        <v/>
      </c>
      <c r="Y43" s="154"/>
      <c r="Z43" s="356" t="str">
        <f t="shared" ca="1" si="26"/>
        <v/>
      </c>
      <c r="AA43" s="25"/>
      <c r="AB43" s="268">
        <f t="shared" ca="1" si="22"/>
        <v>0</v>
      </c>
      <c r="AC43" s="268">
        <f t="shared" ca="1" si="23"/>
        <v>0</v>
      </c>
      <c r="AD43" s="268">
        <f t="shared" ca="1" si="24"/>
        <v>0</v>
      </c>
      <c r="AE43" s="268">
        <f t="shared" ca="1" si="25"/>
        <v>0</v>
      </c>
      <c r="AF43" s="25"/>
      <c r="AG43" t="str">
        <f t="shared" ca="1" si="27"/>
        <v/>
      </c>
      <c r="AH43" s="78" t="str">
        <f t="shared" ca="1" si="28"/>
        <v>I</v>
      </c>
      <c r="AI43" s="25"/>
    </row>
    <row r="44" spans="1:35" x14ac:dyDescent="0.2">
      <c r="A44" s="24" t="str">
        <f ca="1">IF(NOT(EXACT(Z43,"")),IF(NOT(EXACT(MID(LIT_I,$Z43,1),"")),HLOOKUP(Tabellen_Andere!$GH$3,LiturgienI,MATCH(MID(LIT_I,$Z43,45),LiturgienI,1)),""),"")</f>
        <v/>
      </c>
      <c r="B44" s="1658" t="str">
        <f t="shared" ca="1" si="10"/>
        <v/>
      </c>
      <c r="C44" s="323" t="str">
        <f t="shared" ca="1" si="11"/>
        <v/>
      </c>
      <c r="E44" s="384"/>
      <c r="F44" s="960"/>
      <c r="G44" s="324"/>
      <c r="H44" s="372" t="str">
        <f ca="1">IF(OR(A44="",Liturgien!$C$11=""),"",IF(OR(UPPER(E44)="X",UPPER(F44)="X",UPPER(G44)="X"),IF((VLOOKUP(A44,Liturgien_all,3,FALSE))*3&gt;Liturgien!$C$11,"Liturgiekenntnis-Wert zu niedrig!",""),""))</f>
        <v/>
      </c>
      <c r="I44" s="307"/>
      <c r="J44" s="307"/>
      <c r="K44" s="307"/>
      <c r="L44" s="307"/>
      <c r="M44" s="307"/>
      <c r="N44" s="1657"/>
      <c r="O44" s="268">
        <f t="shared" ca="1" si="12"/>
        <v>0</v>
      </c>
      <c r="P44" s="268">
        <f t="shared" ca="1" si="13"/>
        <v>0</v>
      </c>
      <c r="Q44" s="268" t="str">
        <f t="shared" ca="1" si="14"/>
        <v/>
      </c>
      <c r="R44" s="268">
        <f t="shared" ca="1" si="15"/>
        <v>0</v>
      </c>
      <c r="S44" s="268">
        <f t="shared" ca="1" si="16"/>
        <v>0</v>
      </c>
      <c r="T44" s="268">
        <f t="shared" ca="1" si="17"/>
        <v>0</v>
      </c>
      <c r="U44" s="268">
        <f t="shared" si="18"/>
        <v>0</v>
      </c>
      <c r="V44" s="268">
        <f t="shared" si="19"/>
        <v>0</v>
      </c>
      <c r="W44" s="268">
        <f t="shared" si="20"/>
        <v>0</v>
      </c>
      <c r="X44" s="268" t="str">
        <f t="shared" ca="1" si="21"/>
        <v/>
      </c>
      <c r="Y44" s="154"/>
      <c r="Z44" s="356" t="str">
        <f t="shared" ca="1" si="26"/>
        <v/>
      </c>
      <c r="AA44" s="25"/>
      <c r="AB44" s="268">
        <f t="shared" ca="1" si="22"/>
        <v>0</v>
      </c>
      <c r="AC44" s="268">
        <f t="shared" ca="1" si="23"/>
        <v>0</v>
      </c>
      <c r="AD44" s="268">
        <f t="shared" ca="1" si="24"/>
        <v>0</v>
      </c>
      <c r="AE44" s="268">
        <f t="shared" ca="1" si="25"/>
        <v>0</v>
      </c>
      <c r="AF44" s="25"/>
      <c r="AG44" t="str">
        <f t="shared" ca="1" si="27"/>
        <v/>
      </c>
      <c r="AH44" s="78" t="str">
        <f t="shared" ca="1" si="28"/>
        <v>I</v>
      </c>
      <c r="AI44" s="25"/>
    </row>
    <row r="45" spans="1:35" x14ac:dyDescent="0.2">
      <c r="A45" s="24" t="str">
        <f ca="1">IF(NOT(EXACT(Z44,"")),IF(NOT(EXACT(MID(LIT_I,$Z44,1),"")),HLOOKUP(Tabellen_Andere!$GH$3,LiturgienI,MATCH(MID(LIT_I,$Z44,45),LiturgienI,1)),""),"")</f>
        <v/>
      </c>
      <c r="B45" s="1658" t="str">
        <f t="shared" ca="1" si="10"/>
        <v/>
      </c>
      <c r="C45" s="323" t="str">
        <f t="shared" ca="1" si="11"/>
        <v/>
      </c>
      <c r="E45" s="384"/>
      <c r="F45" s="960"/>
      <c r="G45" s="324"/>
      <c r="H45" s="372" t="str">
        <f ca="1">IF(OR(A45="",Liturgien!$C$11=""),"",IF(OR(UPPER(E45)="X",UPPER(F45)="X",UPPER(G45)="X"),IF((VLOOKUP(A45,Liturgien_all,3,FALSE))*3&gt;Liturgien!$C$11,"Liturgiekenntnis-Wert zu niedrig!",""),""))</f>
        <v/>
      </c>
      <c r="I45" s="307"/>
      <c r="J45" s="307"/>
      <c r="K45" s="307"/>
      <c r="L45" s="307"/>
      <c r="M45" s="307"/>
      <c r="N45" s="1657"/>
      <c r="O45" s="268">
        <f t="shared" ca="1" si="12"/>
        <v>0</v>
      </c>
      <c r="P45" s="268">
        <f t="shared" ca="1" si="13"/>
        <v>0</v>
      </c>
      <c r="Q45" s="268" t="str">
        <f t="shared" ca="1" si="14"/>
        <v/>
      </c>
      <c r="R45" s="268">
        <f t="shared" ca="1" si="15"/>
        <v>0</v>
      </c>
      <c r="S45" s="268">
        <f t="shared" ca="1" si="16"/>
        <v>0</v>
      </c>
      <c r="T45" s="268">
        <f t="shared" ca="1" si="17"/>
        <v>0</v>
      </c>
      <c r="U45" s="268">
        <f t="shared" si="18"/>
        <v>0</v>
      </c>
      <c r="V45" s="268">
        <f t="shared" si="19"/>
        <v>0</v>
      </c>
      <c r="W45" s="268">
        <f t="shared" si="20"/>
        <v>0</v>
      </c>
      <c r="X45" s="268" t="str">
        <f t="shared" ca="1" si="21"/>
        <v/>
      </c>
      <c r="Y45" s="154"/>
      <c r="Z45" s="356" t="str">
        <f t="shared" ca="1" si="26"/>
        <v/>
      </c>
      <c r="AA45" s="25"/>
      <c r="AB45" s="268">
        <f t="shared" ca="1" si="22"/>
        <v>0</v>
      </c>
      <c r="AC45" s="268">
        <f t="shared" ca="1" si="23"/>
        <v>0</v>
      </c>
      <c r="AD45" s="268">
        <f t="shared" ca="1" si="24"/>
        <v>0</v>
      </c>
      <c r="AE45" s="268">
        <f t="shared" ca="1" si="25"/>
        <v>0</v>
      </c>
      <c r="AF45" s="25"/>
      <c r="AG45" t="str">
        <f t="shared" ca="1" si="27"/>
        <v/>
      </c>
      <c r="AH45" s="78" t="str">
        <f t="shared" ca="1" si="28"/>
        <v>I</v>
      </c>
      <c r="AI45" s="25"/>
    </row>
    <row r="46" spans="1:35" x14ac:dyDescent="0.2">
      <c r="A46" s="24" t="str">
        <f ca="1">IF(NOT(EXACT(Z45,"")),IF(NOT(EXACT(MID(LIT_I,$Z45,1),"")),HLOOKUP(Tabellen_Andere!$GH$3,LiturgienI,MATCH(MID(LIT_I,$Z45,45),LiturgienI,1)),""),"")</f>
        <v/>
      </c>
      <c r="B46" s="1658" t="str">
        <f t="shared" ca="1" si="10"/>
        <v/>
      </c>
      <c r="C46" s="323" t="str">
        <f t="shared" ca="1" si="11"/>
        <v/>
      </c>
      <c r="E46" s="384"/>
      <c r="F46" s="960"/>
      <c r="G46" s="324"/>
      <c r="H46" s="372" t="str">
        <f ca="1">IF(OR(A46="",Liturgien!$C$11=""),"",IF(OR(UPPER(E46)="X",UPPER(F46)="X",UPPER(G46)="X"),IF((VLOOKUP(A46,Liturgien_all,3,FALSE))*3&gt;Liturgien!$C$11,"Liturgiekenntnis-Wert zu niedrig!",""),""))</f>
        <v/>
      </c>
      <c r="I46" s="307"/>
      <c r="J46" s="307"/>
      <c r="K46" s="307"/>
      <c r="L46" s="307"/>
      <c r="M46" s="307"/>
      <c r="N46" s="1657"/>
      <c r="O46" s="268">
        <f t="shared" ca="1" si="12"/>
        <v>0</v>
      </c>
      <c r="P46" s="268">
        <f t="shared" ca="1" si="13"/>
        <v>0</v>
      </c>
      <c r="Q46" s="268" t="str">
        <f t="shared" ca="1" si="14"/>
        <v/>
      </c>
      <c r="R46" s="268">
        <f t="shared" ca="1" si="15"/>
        <v>0</v>
      </c>
      <c r="S46" s="268">
        <f t="shared" ca="1" si="16"/>
        <v>0</v>
      </c>
      <c r="T46" s="268">
        <f t="shared" ca="1" si="17"/>
        <v>0</v>
      </c>
      <c r="U46" s="268">
        <f t="shared" si="18"/>
        <v>0</v>
      </c>
      <c r="V46" s="268">
        <f t="shared" si="19"/>
        <v>0</v>
      </c>
      <c r="W46" s="268">
        <f t="shared" si="20"/>
        <v>0</v>
      </c>
      <c r="X46" s="268" t="str">
        <f t="shared" ca="1" si="21"/>
        <v/>
      </c>
      <c r="Y46" s="154"/>
      <c r="Z46" s="356" t="str">
        <f t="shared" ca="1" si="26"/>
        <v/>
      </c>
      <c r="AA46" s="25"/>
      <c r="AB46" s="268">
        <f t="shared" ca="1" si="22"/>
        <v>0</v>
      </c>
      <c r="AC46" s="268">
        <f t="shared" ca="1" si="23"/>
        <v>0</v>
      </c>
      <c r="AD46" s="268">
        <f t="shared" ca="1" si="24"/>
        <v>0</v>
      </c>
      <c r="AE46" s="268">
        <f t="shared" ca="1" si="25"/>
        <v>0</v>
      </c>
      <c r="AF46" s="25"/>
      <c r="AG46" t="str">
        <f t="shared" ca="1" si="27"/>
        <v/>
      </c>
      <c r="AH46" s="78" t="str">
        <f t="shared" ca="1" si="28"/>
        <v>I</v>
      </c>
      <c r="AI46" s="25"/>
    </row>
    <row r="47" spans="1:35" x14ac:dyDescent="0.2">
      <c r="A47" s="24" t="str">
        <f ca="1">IF(NOT(EXACT(Z46,"")),IF(NOT(EXACT(MID(LIT_I,$Z46,1),"")),HLOOKUP(Tabellen_Andere!$GH$3,LiturgienI,MATCH(MID(LIT_I,$Z46,45),LiturgienI,1)),""),"")</f>
        <v/>
      </c>
      <c r="B47" s="1658" t="str">
        <f t="shared" ca="1" si="10"/>
        <v/>
      </c>
      <c r="C47" s="323" t="str">
        <f t="shared" ca="1" si="11"/>
        <v/>
      </c>
      <c r="E47" s="384"/>
      <c r="F47" s="960"/>
      <c r="G47" s="324"/>
      <c r="H47" s="372" t="str">
        <f ca="1">IF(OR(A47="",Liturgien!$C$11=""),"",IF(OR(UPPER(E47)="X",UPPER(F47)="X",UPPER(G47)="X"),IF((VLOOKUP(A47,Liturgien_all,3,FALSE))*3&gt;Liturgien!$C$11,"Liturgiekenntnis-Wert zu niedrig!",""),""))</f>
        <v/>
      </c>
      <c r="I47" s="307"/>
      <c r="J47" s="307"/>
      <c r="K47" s="307"/>
      <c r="L47" s="307"/>
      <c r="M47" s="307"/>
      <c r="N47" s="1657"/>
      <c r="O47" s="268">
        <f t="shared" ca="1" si="12"/>
        <v>0</v>
      </c>
      <c r="P47" s="268">
        <f t="shared" ca="1" si="13"/>
        <v>0</v>
      </c>
      <c r="Q47" s="268" t="str">
        <f t="shared" ca="1" si="14"/>
        <v/>
      </c>
      <c r="R47" s="268">
        <f t="shared" ca="1" si="15"/>
        <v>0</v>
      </c>
      <c r="S47" s="268">
        <f t="shared" ca="1" si="16"/>
        <v>0</v>
      </c>
      <c r="T47" s="268">
        <f t="shared" ca="1" si="17"/>
        <v>0</v>
      </c>
      <c r="U47" s="268">
        <f t="shared" si="18"/>
        <v>0</v>
      </c>
      <c r="V47" s="268">
        <f t="shared" si="19"/>
        <v>0</v>
      </c>
      <c r="W47" s="268">
        <f t="shared" si="20"/>
        <v>0</v>
      </c>
      <c r="X47" s="268" t="str">
        <f t="shared" ca="1" si="21"/>
        <v/>
      </c>
      <c r="Y47" s="154"/>
      <c r="Z47" s="356" t="str">
        <f t="shared" ca="1" si="26"/>
        <v/>
      </c>
      <c r="AA47" s="25"/>
      <c r="AB47" s="268">
        <f t="shared" ca="1" si="22"/>
        <v>0</v>
      </c>
      <c r="AC47" s="268">
        <f t="shared" ca="1" si="23"/>
        <v>0</v>
      </c>
      <c r="AD47" s="268">
        <f t="shared" ca="1" si="24"/>
        <v>0</v>
      </c>
      <c r="AE47" s="268">
        <f t="shared" ca="1" si="25"/>
        <v>0</v>
      </c>
      <c r="AF47" s="25"/>
      <c r="AG47" t="str">
        <f t="shared" ca="1" si="27"/>
        <v/>
      </c>
      <c r="AH47" s="78" t="str">
        <f t="shared" ca="1" si="28"/>
        <v>I</v>
      </c>
      <c r="AI47" s="25"/>
    </row>
    <row r="48" spans="1:35" x14ac:dyDescent="0.2">
      <c r="A48" s="24" t="str">
        <f ca="1">IF(NOT(EXACT(Z47,"")),IF(NOT(EXACT(MID(LIT_I,$Z47,1),"")),HLOOKUP(Tabellen_Andere!$GH$3,LiturgienI,MATCH(MID(LIT_I,$Z47,45),LiturgienI,1)),""),"")</f>
        <v/>
      </c>
      <c r="B48" s="1658" t="str">
        <f t="shared" ca="1" si="10"/>
        <v/>
      </c>
      <c r="C48" s="323" t="str">
        <f t="shared" ca="1" si="11"/>
        <v/>
      </c>
      <c r="E48" s="384"/>
      <c r="F48" s="960"/>
      <c r="G48" s="324"/>
      <c r="H48" s="372" t="str">
        <f ca="1">IF(OR(A48="",Liturgien!$C$11=""),"",IF(OR(UPPER(E48)="X",UPPER(F48)="X",UPPER(G48)="X"),IF((VLOOKUP(A48,Liturgien_all,3,FALSE))*3&gt;Liturgien!$C$11,"Liturgiekenntnis-Wert zu niedrig!",""),""))</f>
        <v/>
      </c>
      <c r="I48" s="307"/>
      <c r="J48" s="307"/>
      <c r="K48" s="307"/>
      <c r="L48" s="307"/>
      <c r="M48" s="307"/>
      <c r="N48" s="1657"/>
      <c r="O48" s="268">
        <f t="shared" ca="1" si="12"/>
        <v>0</v>
      </c>
      <c r="P48" s="268">
        <f t="shared" ca="1" si="13"/>
        <v>0</v>
      </c>
      <c r="Q48" s="268" t="str">
        <f t="shared" ca="1" si="14"/>
        <v/>
      </c>
      <c r="R48" s="268">
        <f t="shared" ca="1" si="15"/>
        <v>0</v>
      </c>
      <c r="S48" s="268">
        <f t="shared" ca="1" si="16"/>
        <v>0</v>
      </c>
      <c r="T48" s="268">
        <f t="shared" ca="1" si="17"/>
        <v>0</v>
      </c>
      <c r="U48" s="268">
        <f t="shared" si="18"/>
        <v>0</v>
      </c>
      <c r="V48" s="268">
        <f t="shared" si="19"/>
        <v>0</v>
      </c>
      <c r="W48" s="268">
        <f t="shared" si="20"/>
        <v>0</v>
      </c>
      <c r="X48" s="268" t="str">
        <f t="shared" ca="1" si="21"/>
        <v/>
      </c>
      <c r="Y48" s="154"/>
      <c r="Z48" s="356" t="str">
        <f t="shared" ca="1" si="26"/>
        <v/>
      </c>
      <c r="AA48" s="25"/>
      <c r="AB48" s="268">
        <f t="shared" ca="1" si="22"/>
        <v>0</v>
      </c>
      <c r="AC48" s="268">
        <f t="shared" ca="1" si="23"/>
        <v>0</v>
      </c>
      <c r="AD48" s="268">
        <f t="shared" ca="1" si="24"/>
        <v>0</v>
      </c>
      <c r="AE48" s="268">
        <f t="shared" ca="1" si="25"/>
        <v>0</v>
      </c>
      <c r="AF48" s="25"/>
      <c r="AG48" t="str">
        <f t="shared" ca="1" si="27"/>
        <v/>
      </c>
      <c r="AH48" s="78" t="str">
        <f t="shared" ca="1" si="28"/>
        <v>I</v>
      </c>
      <c r="AI48" s="25"/>
    </row>
    <row r="49" spans="1:35" x14ac:dyDescent="0.2">
      <c r="A49" s="24" t="str">
        <f ca="1">IF(NOT(EXACT(Z48,"")),IF(NOT(EXACT(MID(LIT_I,$Z48,1),"")),HLOOKUP(Tabellen_Andere!$GH$3,LiturgienI,MATCH(MID(LIT_I,$Z48,45),LiturgienI,1)),""),"")</f>
        <v/>
      </c>
      <c r="B49" s="1658" t="str">
        <f t="shared" ca="1" si="10"/>
        <v/>
      </c>
      <c r="C49" s="323" t="str">
        <f t="shared" ca="1" si="11"/>
        <v/>
      </c>
      <c r="E49" s="384"/>
      <c r="F49" s="960"/>
      <c r="G49" s="324"/>
      <c r="H49" s="372" t="str">
        <f ca="1">IF(OR(A49="",Liturgien!$C$11=""),"",IF(OR(UPPER(E49)="X",UPPER(F49)="X",UPPER(G49)="X"),IF((VLOOKUP(A49,Liturgien_all,3,FALSE))*3&gt;Liturgien!$C$11,"Liturgiekenntnis-Wert zu niedrig!",""),""))</f>
        <v/>
      </c>
      <c r="I49" s="307"/>
      <c r="J49" s="307"/>
      <c r="K49" s="307"/>
      <c r="L49" s="307"/>
      <c r="M49" s="307"/>
      <c r="N49" s="1657"/>
      <c r="O49" s="268">
        <f t="shared" ca="1" si="12"/>
        <v>0</v>
      </c>
      <c r="P49" s="268">
        <f t="shared" ca="1" si="13"/>
        <v>0</v>
      </c>
      <c r="Q49" s="268" t="str">
        <f t="shared" ca="1" si="14"/>
        <v/>
      </c>
      <c r="R49" s="268">
        <f t="shared" ca="1" si="15"/>
        <v>0</v>
      </c>
      <c r="S49" s="268">
        <f t="shared" ca="1" si="16"/>
        <v>0</v>
      </c>
      <c r="T49" s="268">
        <f t="shared" ca="1" si="17"/>
        <v>0</v>
      </c>
      <c r="U49" s="268">
        <f t="shared" si="18"/>
        <v>0</v>
      </c>
      <c r="V49" s="268">
        <f t="shared" si="19"/>
        <v>0</v>
      </c>
      <c r="W49" s="268">
        <f t="shared" si="20"/>
        <v>0</v>
      </c>
      <c r="X49" s="268" t="str">
        <f t="shared" ca="1" si="21"/>
        <v/>
      </c>
      <c r="Y49" s="154"/>
      <c r="Z49" s="356" t="str">
        <f t="shared" ca="1" si="26"/>
        <v/>
      </c>
      <c r="AA49" s="25"/>
      <c r="AB49" s="268">
        <f t="shared" ca="1" si="22"/>
        <v>0</v>
      </c>
      <c r="AC49" s="268">
        <f t="shared" ca="1" si="23"/>
        <v>0</v>
      </c>
      <c r="AD49" s="268">
        <f t="shared" ca="1" si="24"/>
        <v>0</v>
      </c>
      <c r="AE49" s="268">
        <f t="shared" ca="1" si="25"/>
        <v>0</v>
      </c>
      <c r="AF49" s="25"/>
      <c r="AG49" t="str">
        <f t="shared" ca="1" si="27"/>
        <v/>
      </c>
      <c r="AH49" s="78" t="str">
        <f t="shared" ca="1" si="28"/>
        <v>I</v>
      </c>
      <c r="AI49" s="25"/>
    </row>
    <row r="50" spans="1:35" x14ac:dyDescent="0.2">
      <c r="A50" s="24" t="str">
        <f ca="1">IF(NOT(EXACT(Z49,"")),IF(NOT(EXACT(MID(LIT_I,$Z49,1),"")),HLOOKUP(Tabellen_Andere!$GH$3,LiturgienI,MATCH(MID(LIT_I,$Z49,45),LiturgienI,1)),""),"")</f>
        <v/>
      </c>
      <c r="B50" s="1658" t="str">
        <f t="shared" ca="1" si="10"/>
        <v/>
      </c>
      <c r="C50" s="323" t="str">
        <f t="shared" ca="1" si="11"/>
        <v/>
      </c>
      <c r="E50" s="384"/>
      <c r="F50" s="960"/>
      <c r="G50" s="324"/>
      <c r="H50" s="372" t="str">
        <f ca="1">IF(OR(A50="",Liturgien!$C$11=""),"",IF(OR(UPPER(E50)="X",UPPER(F50)="X",UPPER(G50)="X"),IF((VLOOKUP(A50,Liturgien_all,3,FALSE))*3&gt;Liturgien!$C$11,"Liturgiekenntnis-Wert zu niedrig!",""),""))</f>
        <v/>
      </c>
      <c r="I50" s="307"/>
      <c r="J50" s="307"/>
      <c r="K50" s="307"/>
      <c r="L50" s="307"/>
      <c r="M50" s="307"/>
      <c r="N50" s="1657"/>
      <c r="O50" s="268">
        <f t="shared" ca="1" si="12"/>
        <v>0</v>
      </c>
      <c r="P50" s="268">
        <f t="shared" ca="1" si="13"/>
        <v>0</v>
      </c>
      <c r="Q50" s="268" t="str">
        <f t="shared" ca="1" si="14"/>
        <v/>
      </c>
      <c r="R50" s="268">
        <f t="shared" ca="1" si="15"/>
        <v>0</v>
      </c>
      <c r="S50" s="268">
        <f t="shared" ca="1" si="16"/>
        <v>0</v>
      </c>
      <c r="T50" s="268">
        <f t="shared" ca="1" si="17"/>
        <v>0</v>
      </c>
      <c r="U50" s="268">
        <f t="shared" si="18"/>
        <v>0</v>
      </c>
      <c r="V50" s="268">
        <f t="shared" si="19"/>
        <v>0</v>
      </c>
      <c r="W50" s="268">
        <f t="shared" si="20"/>
        <v>0</v>
      </c>
      <c r="X50" s="268" t="str">
        <f t="shared" ca="1" si="21"/>
        <v/>
      </c>
      <c r="Y50" s="154"/>
      <c r="Z50" s="356" t="str">
        <f t="shared" ca="1" si="26"/>
        <v/>
      </c>
      <c r="AA50" s="25"/>
      <c r="AB50" s="268">
        <f t="shared" ca="1" si="22"/>
        <v>0</v>
      </c>
      <c r="AC50" s="268">
        <f t="shared" ca="1" si="23"/>
        <v>0</v>
      </c>
      <c r="AD50" s="268">
        <f t="shared" ca="1" si="24"/>
        <v>0</v>
      </c>
      <c r="AE50" s="268">
        <f t="shared" ca="1" si="25"/>
        <v>0</v>
      </c>
      <c r="AF50" s="25"/>
      <c r="AG50" t="str">
        <f t="shared" ca="1" si="27"/>
        <v/>
      </c>
      <c r="AH50" s="78" t="str">
        <f t="shared" ca="1" si="28"/>
        <v>I</v>
      </c>
      <c r="AI50" s="25"/>
    </row>
    <row r="51" spans="1:35" x14ac:dyDescent="0.2">
      <c r="A51" s="24" t="str">
        <f ca="1">IF(NOT(EXACT(Z50,"")),IF(NOT(EXACT(MID(LIT_I,$Z50,1),"")),HLOOKUP(Tabellen_Andere!$GH$3,LiturgienI,MATCH(MID(LIT_I,$Z50,45),LiturgienI,1)),""),"")</f>
        <v/>
      </c>
      <c r="B51" s="1658" t="str">
        <f t="shared" ca="1" si="10"/>
        <v/>
      </c>
      <c r="C51" s="323" t="str">
        <f t="shared" ca="1" si="11"/>
        <v/>
      </c>
      <c r="E51" s="384"/>
      <c r="F51" s="960"/>
      <c r="G51" s="324"/>
      <c r="H51" s="372" t="str">
        <f ca="1">IF(OR(A51="",Liturgien!$C$11=""),"",IF(OR(UPPER(E51)="X",UPPER(F51)="X",UPPER(G51)="X"),IF((VLOOKUP(A51,Liturgien_all,3,FALSE))*3&gt;Liturgien!$C$11,"Liturgiekenntnis-Wert zu niedrig!",""),""))</f>
        <v/>
      </c>
      <c r="I51" s="307"/>
      <c r="J51" s="307"/>
      <c r="K51" s="307"/>
      <c r="L51" s="307"/>
      <c r="M51" s="307"/>
      <c r="N51" s="1657"/>
      <c r="O51" s="268">
        <f t="shared" ca="1" si="12"/>
        <v>0</v>
      </c>
      <c r="P51" s="268">
        <f t="shared" ca="1" si="13"/>
        <v>0</v>
      </c>
      <c r="Q51" s="268" t="str">
        <f t="shared" ca="1" si="14"/>
        <v/>
      </c>
      <c r="R51" s="268">
        <f t="shared" ca="1" si="15"/>
        <v>0</v>
      </c>
      <c r="S51" s="268">
        <f t="shared" ca="1" si="16"/>
        <v>0</v>
      </c>
      <c r="T51" s="268">
        <f t="shared" ca="1" si="17"/>
        <v>0</v>
      </c>
      <c r="U51" s="268">
        <f t="shared" si="18"/>
        <v>0</v>
      </c>
      <c r="V51" s="268">
        <f t="shared" si="19"/>
        <v>0</v>
      </c>
      <c r="W51" s="268">
        <f t="shared" si="20"/>
        <v>0</v>
      </c>
      <c r="X51" s="268" t="str">
        <f t="shared" ca="1" si="21"/>
        <v/>
      </c>
      <c r="Y51" s="154"/>
      <c r="Z51" s="356" t="str">
        <f t="shared" ca="1" si="26"/>
        <v/>
      </c>
      <c r="AA51" s="25"/>
      <c r="AB51" s="268">
        <f t="shared" ca="1" si="22"/>
        <v>0</v>
      </c>
      <c r="AC51" s="268">
        <f t="shared" ca="1" si="23"/>
        <v>0</v>
      </c>
      <c r="AD51" s="268">
        <f t="shared" ca="1" si="24"/>
        <v>0</v>
      </c>
      <c r="AE51" s="268">
        <f t="shared" ca="1" si="25"/>
        <v>0</v>
      </c>
      <c r="AF51" s="25"/>
      <c r="AG51" t="str">
        <f t="shared" ca="1" si="27"/>
        <v/>
      </c>
      <c r="AH51" s="78" t="str">
        <f t="shared" ca="1" si="28"/>
        <v>I</v>
      </c>
      <c r="AI51" s="25"/>
    </row>
    <row r="52" spans="1:35" x14ac:dyDescent="0.2">
      <c r="A52" s="24" t="str">
        <f ca="1">IF(NOT(EXACT(Z51,"")),IF(NOT(EXACT(MID(LIT_I,$Z51,1),"")),HLOOKUP(Tabellen_Andere!$GH$3,LiturgienI,MATCH(MID(LIT_I,$Z51,45),LiturgienI,1)),""),"")</f>
        <v/>
      </c>
      <c r="B52" s="1658" t="str">
        <f t="shared" ca="1" si="10"/>
        <v/>
      </c>
      <c r="C52" s="323" t="str">
        <f t="shared" ca="1" si="11"/>
        <v/>
      </c>
      <c r="E52" s="384"/>
      <c r="F52" s="960"/>
      <c r="G52" s="324"/>
      <c r="H52" s="372" t="str">
        <f ca="1">IF(OR(A52="",Liturgien!$C$11=""),"",IF(OR(UPPER(E52)="X",UPPER(F52)="X",UPPER(G52)="X"),IF((VLOOKUP(A52,Liturgien_all,3,FALSE))*3&gt;Liturgien!$C$11,"Liturgiekenntnis-Wert zu niedrig!",""),""))</f>
        <v/>
      </c>
      <c r="I52" s="307"/>
      <c r="J52" s="307"/>
      <c r="K52" s="307"/>
      <c r="L52" s="307"/>
      <c r="M52" s="307"/>
      <c r="N52" s="1657"/>
      <c r="O52" s="268">
        <f t="shared" ca="1" si="12"/>
        <v>0</v>
      </c>
      <c r="P52" s="268">
        <f t="shared" ca="1" si="13"/>
        <v>0</v>
      </c>
      <c r="Q52" s="268" t="str">
        <f t="shared" ca="1" si="14"/>
        <v/>
      </c>
      <c r="R52" s="268">
        <f t="shared" ca="1" si="15"/>
        <v>0</v>
      </c>
      <c r="S52" s="268">
        <f t="shared" ca="1" si="16"/>
        <v>0</v>
      </c>
      <c r="T52" s="268">
        <f t="shared" ca="1" si="17"/>
        <v>0</v>
      </c>
      <c r="U52" s="268">
        <f t="shared" si="18"/>
        <v>0</v>
      </c>
      <c r="V52" s="268">
        <f t="shared" si="19"/>
        <v>0</v>
      </c>
      <c r="W52" s="268">
        <f t="shared" si="20"/>
        <v>0</v>
      </c>
      <c r="X52" s="268" t="str">
        <f t="shared" ca="1" si="21"/>
        <v/>
      </c>
      <c r="Y52" s="154"/>
      <c r="Z52" s="356" t="str">
        <f t="shared" ca="1" si="26"/>
        <v/>
      </c>
      <c r="AA52" s="25"/>
      <c r="AB52" s="268">
        <f t="shared" ca="1" si="22"/>
        <v>0</v>
      </c>
      <c r="AC52" s="268">
        <f t="shared" ca="1" si="23"/>
        <v>0</v>
      </c>
      <c r="AD52" s="268">
        <f t="shared" ca="1" si="24"/>
        <v>0</v>
      </c>
      <c r="AE52" s="268">
        <f t="shared" ca="1" si="25"/>
        <v>0</v>
      </c>
      <c r="AF52" s="25"/>
      <c r="AG52" t="str">
        <f t="shared" ca="1" si="27"/>
        <v/>
      </c>
      <c r="AH52" s="78" t="str">
        <f t="shared" ca="1" si="28"/>
        <v>I</v>
      </c>
      <c r="AI52" s="25"/>
    </row>
    <row r="53" spans="1:35" x14ac:dyDescent="0.2">
      <c r="A53" s="24" t="str">
        <f ca="1">IF(NOT(EXACT(Z52,"")),IF(NOT(EXACT(MID(LIT_I,$Z52,1),"")),HLOOKUP(Tabellen_Andere!$GH$3,LiturgienI,MATCH(MID(LIT_I,$Z52,45),LiturgienI,1)),""),"")</f>
        <v/>
      </c>
      <c r="B53" s="1658" t="str">
        <f t="shared" ca="1" si="10"/>
        <v/>
      </c>
      <c r="C53" s="323" t="str">
        <f t="shared" ca="1" si="11"/>
        <v/>
      </c>
      <c r="E53" s="384"/>
      <c r="F53" s="960"/>
      <c r="G53" s="324"/>
      <c r="H53" s="372" t="str">
        <f ca="1">IF(OR(A53="",Liturgien!$C$11=""),"",IF(OR(UPPER(E53)="X",UPPER(F53)="X",UPPER(G53)="X"),IF((VLOOKUP(A53,Liturgien_all,3,FALSE))*3&gt;Liturgien!$C$11,"Liturgiekenntnis-Wert zu niedrig!",""),""))</f>
        <v/>
      </c>
      <c r="I53" s="307"/>
      <c r="J53" s="307"/>
      <c r="K53" s="307"/>
      <c r="L53" s="307"/>
      <c r="M53" s="307"/>
      <c r="N53" s="1657"/>
      <c r="O53" s="268">
        <f t="shared" ca="1" si="12"/>
        <v>0</v>
      </c>
      <c r="P53" s="268">
        <f t="shared" ca="1" si="13"/>
        <v>0</v>
      </c>
      <c r="Q53" s="268" t="str">
        <f t="shared" ca="1" si="14"/>
        <v/>
      </c>
      <c r="R53" s="268">
        <f t="shared" ca="1" si="15"/>
        <v>0</v>
      </c>
      <c r="S53" s="268">
        <f t="shared" ca="1" si="16"/>
        <v>0</v>
      </c>
      <c r="T53" s="268">
        <f t="shared" ca="1" si="17"/>
        <v>0</v>
      </c>
      <c r="U53" s="268">
        <f t="shared" si="18"/>
        <v>0</v>
      </c>
      <c r="V53" s="268">
        <f t="shared" si="19"/>
        <v>0</v>
      </c>
      <c r="W53" s="268">
        <f t="shared" si="20"/>
        <v>0</v>
      </c>
      <c r="X53" s="268" t="str">
        <f t="shared" ca="1" si="21"/>
        <v/>
      </c>
      <c r="Y53" s="356"/>
      <c r="Z53" s="356" t="str">
        <f t="shared" ca="1" si="26"/>
        <v/>
      </c>
      <c r="AA53" s="25"/>
      <c r="AB53" s="268">
        <f t="shared" ca="1" si="22"/>
        <v>0</v>
      </c>
      <c r="AC53" s="268">
        <f t="shared" ca="1" si="23"/>
        <v>0</v>
      </c>
      <c r="AD53" s="268">
        <f t="shared" ca="1" si="24"/>
        <v>0</v>
      </c>
      <c r="AE53" s="268">
        <f t="shared" ca="1" si="25"/>
        <v>0</v>
      </c>
      <c r="AF53" s="25"/>
      <c r="AG53" t="str">
        <f t="shared" ca="1" si="27"/>
        <v/>
      </c>
      <c r="AH53" s="78" t="str">
        <f t="shared" ca="1" si="28"/>
        <v>I</v>
      </c>
      <c r="AI53" s="25"/>
    </row>
    <row r="54" spans="1:35" x14ac:dyDescent="0.2">
      <c r="A54" s="24" t="str">
        <f ca="1">IF(NOT(EXACT(Z53,"")),IF(NOT(EXACT(MID(LIT_I,$Z53,1),"")),HLOOKUP(Tabellen_Andere!$GH$3,LiturgienI,MATCH(MID(LIT_I,$Z53,45),LiturgienI,1)),""),"")</f>
        <v/>
      </c>
      <c r="B54" s="1658" t="str">
        <f t="shared" ca="1" si="10"/>
        <v/>
      </c>
      <c r="C54" s="323" t="str">
        <f t="shared" ca="1" si="11"/>
        <v/>
      </c>
      <c r="E54" s="384"/>
      <c r="F54" s="960"/>
      <c r="G54" s="324"/>
      <c r="H54" s="372" t="str">
        <f ca="1">IF(OR(A54="",Liturgien!$C$11=""),"",IF(OR(UPPER(E54)="X",UPPER(F54)="X",UPPER(G54)="X"),IF((VLOOKUP(A54,Liturgien_all,3,FALSE))*3&gt;Liturgien!$C$11,"Liturgiekenntnis-Wert zu niedrig!",""),""))</f>
        <v/>
      </c>
      <c r="I54" s="307"/>
      <c r="J54" s="307"/>
      <c r="K54" s="307"/>
      <c r="L54" s="307"/>
      <c r="M54" s="307"/>
      <c r="N54" s="1657"/>
      <c r="O54" s="268">
        <f t="shared" ca="1" si="12"/>
        <v>0</v>
      </c>
      <c r="P54" s="268">
        <f t="shared" ca="1" si="13"/>
        <v>0</v>
      </c>
      <c r="Q54" s="268" t="str">
        <f t="shared" ca="1" si="14"/>
        <v/>
      </c>
      <c r="R54" s="268">
        <f t="shared" ca="1" si="15"/>
        <v>0</v>
      </c>
      <c r="S54" s="268">
        <f t="shared" ca="1" si="16"/>
        <v>0</v>
      </c>
      <c r="T54" s="268">
        <f t="shared" ca="1" si="17"/>
        <v>0</v>
      </c>
      <c r="U54" s="268">
        <f t="shared" si="18"/>
        <v>0</v>
      </c>
      <c r="V54" s="268">
        <f t="shared" si="19"/>
        <v>0</v>
      </c>
      <c r="W54" s="268">
        <f t="shared" si="20"/>
        <v>0</v>
      </c>
      <c r="X54" s="268" t="str">
        <f t="shared" ca="1" si="21"/>
        <v/>
      </c>
      <c r="Y54" s="356"/>
      <c r="Z54" s="356" t="str">
        <f t="shared" ca="1" si="26"/>
        <v/>
      </c>
      <c r="AA54" s="25"/>
      <c r="AB54" s="268">
        <f t="shared" ca="1" si="22"/>
        <v>0</v>
      </c>
      <c r="AC54" s="268">
        <f t="shared" ca="1" si="23"/>
        <v>0</v>
      </c>
      <c r="AD54" s="268">
        <f t="shared" ca="1" si="24"/>
        <v>0</v>
      </c>
      <c r="AE54" s="268">
        <f t="shared" ca="1" si="25"/>
        <v>0</v>
      </c>
      <c r="AF54" s="25"/>
      <c r="AG54" t="str">
        <f t="shared" ca="1" si="27"/>
        <v/>
      </c>
      <c r="AH54" s="78" t="str">
        <f t="shared" ca="1" si="28"/>
        <v>I</v>
      </c>
      <c r="AI54" s="25"/>
    </row>
    <row r="55" spans="1:35" x14ac:dyDescent="0.2">
      <c r="A55" s="24" t="str">
        <f ca="1">IF(NOT(EXACT(Z54,"")),IF(NOT(EXACT(MID(LIT_I,$Z54,1),"")),HLOOKUP(Tabellen_Andere!$GH$3,LiturgienI,MATCH(MID(LIT_I,$Z54,45),LiturgienI,1)),""),"")</f>
        <v/>
      </c>
      <c r="B55" s="1658" t="str">
        <f t="shared" ca="1" si="10"/>
        <v/>
      </c>
      <c r="C55" s="323" t="str">
        <f t="shared" ca="1" si="11"/>
        <v/>
      </c>
      <c r="E55" s="384"/>
      <c r="F55" s="960"/>
      <c r="G55" s="324"/>
      <c r="H55" s="372" t="str">
        <f ca="1">IF(OR(A55="",Liturgien!$C$11=""),"",IF(OR(UPPER(E55)="X",UPPER(F55)="X",UPPER(G55)="X"),IF((VLOOKUP(A55,Liturgien_all,3,FALSE))*3&gt;Liturgien!$C$11,"Liturgiekenntnis-Wert zu niedrig!",""),""))</f>
        <v/>
      </c>
      <c r="I55" s="307"/>
      <c r="J55" s="307"/>
      <c r="K55" s="307"/>
      <c r="L55" s="307"/>
      <c r="M55" s="307"/>
      <c r="N55" s="1657"/>
      <c r="O55" s="268">
        <f t="shared" ca="1" si="12"/>
        <v>0</v>
      </c>
      <c r="P55" s="268">
        <f t="shared" ca="1" si="13"/>
        <v>0</v>
      </c>
      <c r="Q55" s="268" t="str">
        <f t="shared" ca="1" si="14"/>
        <v/>
      </c>
      <c r="R55" s="268">
        <f t="shared" ca="1" si="15"/>
        <v>0</v>
      </c>
      <c r="S55" s="268">
        <f t="shared" ca="1" si="16"/>
        <v>0</v>
      </c>
      <c r="T55" s="268">
        <f t="shared" ca="1" si="17"/>
        <v>0</v>
      </c>
      <c r="U55" s="268">
        <f t="shared" si="18"/>
        <v>0</v>
      </c>
      <c r="V55" s="268">
        <f t="shared" si="19"/>
        <v>0</v>
      </c>
      <c r="W55" s="268">
        <f t="shared" si="20"/>
        <v>0</v>
      </c>
      <c r="X55" s="268" t="str">
        <f t="shared" ca="1" si="21"/>
        <v/>
      </c>
      <c r="Y55" s="356"/>
      <c r="Z55" s="356" t="str">
        <f t="shared" ca="1" si="26"/>
        <v/>
      </c>
      <c r="AA55" s="25"/>
      <c r="AB55" s="268">
        <f t="shared" ca="1" si="22"/>
        <v>0</v>
      </c>
      <c r="AC55" s="268">
        <f t="shared" ca="1" si="23"/>
        <v>0</v>
      </c>
      <c r="AD55" s="268">
        <f t="shared" ca="1" si="24"/>
        <v>0</v>
      </c>
      <c r="AE55" s="268">
        <f t="shared" ca="1" si="25"/>
        <v>0</v>
      </c>
      <c r="AF55" s="25"/>
      <c r="AG55" t="str">
        <f t="shared" ca="1" si="27"/>
        <v/>
      </c>
      <c r="AH55" s="78" t="str">
        <f t="shared" ca="1" si="28"/>
        <v>I</v>
      </c>
      <c r="AI55" s="25"/>
    </row>
    <row r="56" spans="1:35" x14ac:dyDescent="0.2">
      <c r="A56" s="24" t="str">
        <f ca="1">IF(NOT(EXACT(Z55,"")),IF(NOT(EXACT(MID(LIT_I,$Z55,1),"")),HLOOKUP(Tabellen_Andere!$GH$3,LiturgienI,MATCH(MID(LIT_I,$Z55,45),LiturgienI,1)),""),"")</f>
        <v/>
      </c>
      <c r="B56" s="1658" t="str">
        <f t="shared" ca="1" si="10"/>
        <v/>
      </c>
      <c r="C56" s="323" t="str">
        <f t="shared" ca="1" si="11"/>
        <v/>
      </c>
      <c r="E56" s="384"/>
      <c r="F56" s="960"/>
      <c r="G56" s="324"/>
      <c r="H56" s="372" t="str">
        <f ca="1">IF(OR(A56="",Liturgien!$C$11=""),"",IF(OR(UPPER(E56)="X",UPPER(F56)="X",UPPER(G56)="X"),IF((VLOOKUP(A56,Liturgien_all,3,FALSE))*3&gt;Liturgien!$C$11,"Liturgiekenntnis-Wert zu niedrig!",""),""))</f>
        <v/>
      </c>
      <c r="I56" s="307"/>
      <c r="J56" s="307"/>
      <c r="K56" s="307"/>
      <c r="L56" s="307"/>
      <c r="M56" s="307"/>
      <c r="N56" s="1657"/>
      <c r="O56" s="268">
        <f t="shared" ca="1" si="12"/>
        <v>0</v>
      </c>
      <c r="P56" s="268">
        <f t="shared" ca="1" si="13"/>
        <v>0</v>
      </c>
      <c r="Q56" s="268" t="str">
        <f t="shared" ca="1" si="14"/>
        <v/>
      </c>
      <c r="R56" s="268">
        <f t="shared" ca="1" si="15"/>
        <v>0</v>
      </c>
      <c r="S56" s="268">
        <f t="shared" ca="1" si="16"/>
        <v>0</v>
      </c>
      <c r="T56" s="268">
        <f t="shared" ca="1" si="17"/>
        <v>0</v>
      </c>
      <c r="U56" s="268">
        <f t="shared" si="18"/>
        <v>0</v>
      </c>
      <c r="V56" s="268">
        <f t="shared" si="19"/>
        <v>0</v>
      </c>
      <c r="W56" s="268">
        <f t="shared" si="20"/>
        <v>0</v>
      </c>
      <c r="X56" s="268" t="str">
        <f t="shared" ca="1" si="21"/>
        <v/>
      </c>
      <c r="Y56" s="356"/>
      <c r="Z56" s="356" t="str">
        <f t="shared" ca="1" si="26"/>
        <v/>
      </c>
      <c r="AA56" s="25"/>
      <c r="AB56" s="268">
        <f t="shared" ca="1" si="22"/>
        <v>0</v>
      </c>
      <c r="AC56" s="268">
        <f t="shared" ca="1" si="23"/>
        <v>0</v>
      </c>
      <c r="AD56" s="268">
        <f t="shared" ca="1" si="24"/>
        <v>0</v>
      </c>
      <c r="AE56" s="268">
        <f t="shared" ca="1" si="25"/>
        <v>0</v>
      </c>
      <c r="AF56" s="25"/>
      <c r="AG56" t="str">
        <f t="shared" ca="1" si="27"/>
        <v/>
      </c>
      <c r="AH56" s="78" t="str">
        <f t="shared" ca="1" si="28"/>
        <v>I</v>
      </c>
      <c r="AI56" s="25"/>
    </row>
    <row r="57" spans="1:35" x14ac:dyDescent="0.2">
      <c r="A57" s="24" t="str">
        <f ca="1">IF(NOT(EXACT(Z56,"")),IF(NOT(EXACT(MID(LIT_I,$Z56,1),"")),HLOOKUP(Tabellen_Andere!$GH$3,LiturgienI,MATCH(MID(LIT_I,$Z56,45),LiturgienI,1)),""),"")</f>
        <v/>
      </c>
      <c r="B57" s="1658" t="str">
        <f t="shared" ca="1" si="10"/>
        <v/>
      </c>
      <c r="C57" s="323" t="str">
        <f t="shared" ca="1" si="11"/>
        <v/>
      </c>
      <c r="E57" s="384"/>
      <c r="F57" s="960"/>
      <c r="G57" s="324"/>
      <c r="H57" s="372" t="str">
        <f ca="1">IF(OR(A57="",Liturgien!$C$11=""),"",IF(OR(UPPER(E57)="X",UPPER(F57)="X",UPPER(G57)="X"),IF((VLOOKUP(A57,Liturgien_all,3,FALSE))*3&gt;Liturgien!$C$11,"Liturgiekenntnis-Wert zu niedrig!",""),""))</f>
        <v/>
      </c>
      <c r="I57" s="307"/>
      <c r="J57" s="307"/>
      <c r="K57" s="307"/>
      <c r="L57" s="307"/>
      <c r="M57" s="307"/>
      <c r="N57" s="1657"/>
      <c r="O57" s="268">
        <f t="shared" ca="1" si="12"/>
        <v>0</v>
      </c>
      <c r="P57" s="268">
        <f t="shared" ca="1" si="13"/>
        <v>0</v>
      </c>
      <c r="Q57" s="268" t="str">
        <f t="shared" ca="1" si="14"/>
        <v/>
      </c>
      <c r="R57" s="268">
        <f t="shared" ca="1" si="15"/>
        <v>0</v>
      </c>
      <c r="S57" s="268">
        <f t="shared" ca="1" si="16"/>
        <v>0</v>
      </c>
      <c r="T57" s="268">
        <f t="shared" ca="1" si="17"/>
        <v>0</v>
      </c>
      <c r="U57" s="268">
        <f t="shared" si="18"/>
        <v>0</v>
      </c>
      <c r="V57" s="268">
        <f t="shared" si="19"/>
        <v>0</v>
      </c>
      <c r="W57" s="268">
        <f t="shared" si="20"/>
        <v>0</v>
      </c>
      <c r="X57" s="268" t="str">
        <f t="shared" ca="1" si="21"/>
        <v/>
      </c>
      <c r="Y57" s="356"/>
      <c r="Z57" s="356" t="str">
        <f t="shared" ca="1" si="26"/>
        <v/>
      </c>
      <c r="AA57" s="25"/>
      <c r="AB57" s="268">
        <f t="shared" ca="1" si="22"/>
        <v>0</v>
      </c>
      <c r="AC57" s="268">
        <f t="shared" ca="1" si="23"/>
        <v>0</v>
      </c>
      <c r="AD57" s="268">
        <f t="shared" ca="1" si="24"/>
        <v>0</v>
      </c>
      <c r="AE57" s="268">
        <f t="shared" ca="1" si="25"/>
        <v>0</v>
      </c>
      <c r="AF57" s="25"/>
      <c r="AG57" t="str">
        <f t="shared" ca="1" si="27"/>
        <v/>
      </c>
      <c r="AH57" s="78" t="str">
        <f t="shared" ca="1" si="28"/>
        <v>I</v>
      </c>
      <c r="AI57" s="25"/>
    </row>
    <row r="58" spans="1:35" x14ac:dyDescent="0.2">
      <c r="A58" s="24" t="str">
        <f ca="1">IF(NOT(EXACT(Z57,"")),IF(NOT(EXACT(MID(LIT_I,$Z57,1),"")),HLOOKUP(Tabellen_Andere!$GH$3,LiturgienI,MATCH(MID(LIT_I,$Z57,45),LiturgienI,1)),""),"")</f>
        <v/>
      </c>
      <c r="B58" s="1658" t="str">
        <f t="shared" ca="1" si="10"/>
        <v/>
      </c>
      <c r="C58" s="323" t="str">
        <f t="shared" ca="1" si="11"/>
        <v/>
      </c>
      <c r="E58" s="384"/>
      <c r="F58" s="960"/>
      <c r="G58" s="324"/>
      <c r="H58" s="372" t="str">
        <f ca="1">IF(OR(A58="",Liturgien!$C$11=""),"",IF(OR(UPPER(E58)="X",UPPER(F58)="X",UPPER(G58)="X"),IF((VLOOKUP(A58,Liturgien_all,3,FALSE))*3&gt;Liturgien!$C$11,"Liturgiekenntnis-Wert zu niedrig!",""),""))</f>
        <v/>
      </c>
      <c r="I58" s="307"/>
      <c r="J58" s="307"/>
      <c r="K58" s="307"/>
      <c r="L58" s="307"/>
      <c r="M58" s="307"/>
      <c r="N58" s="1657"/>
      <c r="O58" s="268">
        <f t="shared" ca="1" si="12"/>
        <v>0</v>
      </c>
      <c r="P58" s="268">
        <f t="shared" ca="1" si="13"/>
        <v>0</v>
      </c>
      <c r="Q58" s="268" t="str">
        <f t="shared" ca="1" si="14"/>
        <v/>
      </c>
      <c r="R58" s="268">
        <f t="shared" ca="1" si="15"/>
        <v>0</v>
      </c>
      <c r="S58" s="268">
        <f t="shared" ca="1" si="16"/>
        <v>0</v>
      </c>
      <c r="T58" s="268">
        <f t="shared" ca="1" si="17"/>
        <v>0</v>
      </c>
      <c r="U58" s="268">
        <f t="shared" si="18"/>
        <v>0</v>
      </c>
      <c r="V58" s="268">
        <f t="shared" si="19"/>
        <v>0</v>
      </c>
      <c r="W58" s="268">
        <f t="shared" si="20"/>
        <v>0</v>
      </c>
      <c r="X58" s="268" t="str">
        <f t="shared" ca="1" si="21"/>
        <v/>
      </c>
      <c r="Y58" s="356"/>
      <c r="Z58" s="356" t="str">
        <f t="shared" ca="1" si="26"/>
        <v/>
      </c>
      <c r="AA58" s="25"/>
      <c r="AB58" s="268">
        <f t="shared" ca="1" si="22"/>
        <v>0</v>
      </c>
      <c r="AC58" s="268">
        <f t="shared" ca="1" si="23"/>
        <v>0</v>
      </c>
      <c r="AD58" s="268">
        <f t="shared" ca="1" si="24"/>
        <v>0</v>
      </c>
      <c r="AE58" s="268">
        <f t="shared" ca="1" si="25"/>
        <v>0</v>
      </c>
      <c r="AF58" s="25"/>
      <c r="AG58" t="str">
        <f t="shared" ca="1" si="27"/>
        <v/>
      </c>
      <c r="AH58" s="78" t="str">
        <f t="shared" ca="1" si="28"/>
        <v>I</v>
      </c>
      <c r="AI58" s="25"/>
    </row>
    <row r="59" spans="1:35" x14ac:dyDescent="0.2">
      <c r="A59" s="24" t="str">
        <f ca="1">IF(NOT(EXACT(Z58,"")),IF(NOT(EXACT(MID(LIT_I,$Z58,1),"")),HLOOKUP(Tabellen_Andere!$GH$3,LiturgienI,MATCH(MID(LIT_I,$Z58,45),LiturgienI,1)),""),"")</f>
        <v/>
      </c>
      <c r="B59" s="1658" t="str">
        <f t="shared" ca="1" si="10"/>
        <v/>
      </c>
      <c r="C59" s="323" t="str">
        <f t="shared" ca="1" si="11"/>
        <v/>
      </c>
      <c r="E59" s="384"/>
      <c r="F59" s="960"/>
      <c r="G59" s="324"/>
      <c r="H59" s="372" t="str">
        <f ca="1">IF(OR(A59="",Liturgien!$C$11=""),"",IF(OR(UPPER(E59)="X",UPPER(F59)="X",UPPER(G59)="X"),IF((VLOOKUP(A59,Liturgien_all,3,FALSE))*3&gt;Liturgien!$C$11,"Liturgiekenntnis-Wert zu niedrig!",""),""))</f>
        <v/>
      </c>
      <c r="I59" s="307"/>
      <c r="J59" s="307"/>
      <c r="K59" s="307"/>
      <c r="L59" s="307"/>
      <c r="M59" s="307"/>
      <c r="N59" s="1657"/>
      <c r="O59" s="268">
        <f t="shared" ca="1" si="12"/>
        <v>0</v>
      </c>
      <c r="P59" s="268">
        <f t="shared" ca="1" si="13"/>
        <v>0</v>
      </c>
      <c r="Q59" s="268" t="str">
        <f t="shared" ca="1" si="14"/>
        <v/>
      </c>
      <c r="R59" s="268">
        <f t="shared" ca="1" si="15"/>
        <v>0</v>
      </c>
      <c r="S59" s="268">
        <f t="shared" ca="1" si="16"/>
        <v>0</v>
      </c>
      <c r="T59" s="268">
        <f t="shared" ca="1" si="17"/>
        <v>0</v>
      </c>
      <c r="U59" s="268">
        <f t="shared" si="18"/>
        <v>0</v>
      </c>
      <c r="V59" s="268">
        <f t="shared" si="19"/>
        <v>0</v>
      </c>
      <c r="W59" s="268">
        <f t="shared" si="20"/>
        <v>0</v>
      </c>
      <c r="X59" s="268" t="str">
        <f t="shared" ca="1" si="21"/>
        <v/>
      </c>
      <c r="Y59" s="356"/>
      <c r="Z59" s="356" t="str">
        <f t="shared" ca="1" si="26"/>
        <v/>
      </c>
      <c r="AA59" s="25"/>
      <c r="AB59" s="268">
        <f t="shared" ca="1" si="22"/>
        <v>0</v>
      </c>
      <c r="AC59" s="268">
        <f t="shared" ca="1" si="23"/>
        <v>0</v>
      </c>
      <c r="AD59" s="268">
        <f t="shared" ca="1" si="24"/>
        <v>0</v>
      </c>
      <c r="AE59" s="268">
        <f t="shared" ca="1" si="25"/>
        <v>0</v>
      </c>
      <c r="AF59" s="25"/>
      <c r="AG59" t="str">
        <f t="shared" ca="1" si="27"/>
        <v/>
      </c>
      <c r="AH59" s="78" t="str">
        <f t="shared" ca="1" si="28"/>
        <v>I</v>
      </c>
      <c r="AI59" s="25"/>
    </row>
    <row r="60" spans="1:35" x14ac:dyDescent="0.2">
      <c r="A60" s="24" t="str">
        <f ca="1">IF(NOT(EXACT(Z59,"")),IF(NOT(EXACT(MID(LIT_I,$Z59,1),"")),HLOOKUP(Tabellen_Andere!$GH$3,LiturgienI,MATCH(MID(LIT_I,$Z59,45),LiturgienI,1)),""),"")</f>
        <v/>
      </c>
      <c r="B60" s="1658" t="str">
        <f t="shared" ca="1" si="10"/>
        <v/>
      </c>
      <c r="C60" s="323" t="str">
        <f t="shared" ca="1" si="11"/>
        <v/>
      </c>
      <c r="E60" s="384"/>
      <c r="F60" s="960"/>
      <c r="G60" s="324"/>
      <c r="H60" s="372" t="str">
        <f ca="1">IF(OR(A60="",Liturgien!$C$11=""),"",IF(OR(UPPER(E60)="X",UPPER(F60)="X",UPPER(G60)="X"),IF((VLOOKUP(A60,Liturgien_all,3,FALSE))*3&gt;Liturgien!$C$11,"Liturgiekenntnis-Wert zu niedrig!",""),""))</f>
        <v/>
      </c>
      <c r="I60" s="307"/>
      <c r="J60" s="307"/>
      <c r="K60" s="307"/>
      <c r="L60" s="307"/>
      <c r="M60" s="307"/>
      <c r="N60" s="1657"/>
      <c r="O60" s="268">
        <f t="shared" ca="1" si="12"/>
        <v>0</v>
      </c>
      <c r="P60" s="268">
        <f t="shared" ca="1" si="13"/>
        <v>0</v>
      </c>
      <c r="Q60" s="268" t="str">
        <f t="shared" ca="1" si="14"/>
        <v/>
      </c>
      <c r="R60" s="268">
        <f t="shared" ca="1" si="15"/>
        <v>0</v>
      </c>
      <c r="S60" s="268">
        <f t="shared" ca="1" si="16"/>
        <v>0</v>
      </c>
      <c r="T60" s="268">
        <f t="shared" ca="1" si="17"/>
        <v>0</v>
      </c>
      <c r="U60" s="268">
        <f t="shared" si="18"/>
        <v>0</v>
      </c>
      <c r="V60" s="268">
        <f t="shared" si="19"/>
        <v>0</v>
      </c>
      <c r="W60" s="268">
        <f t="shared" si="20"/>
        <v>0</v>
      </c>
      <c r="X60" s="268" t="str">
        <f t="shared" ca="1" si="21"/>
        <v/>
      </c>
      <c r="Y60" s="356"/>
      <c r="Z60" s="356" t="str">
        <f t="shared" ca="1" si="26"/>
        <v/>
      </c>
      <c r="AA60" s="25"/>
      <c r="AB60" s="268">
        <f t="shared" ca="1" si="22"/>
        <v>0</v>
      </c>
      <c r="AC60" s="268">
        <f t="shared" ca="1" si="23"/>
        <v>0</v>
      </c>
      <c r="AD60" s="268">
        <f t="shared" ca="1" si="24"/>
        <v>0</v>
      </c>
      <c r="AE60" s="268">
        <f t="shared" ca="1" si="25"/>
        <v>0</v>
      </c>
      <c r="AF60" s="25"/>
      <c r="AG60" t="str">
        <f t="shared" ca="1" si="27"/>
        <v/>
      </c>
      <c r="AH60" s="78" t="str">
        <f t="shared" ca="1" si="28"/>
        <v>I</v>
      </c>
      <c r="AI60" s="25"/>
    </row>
    <row r="61" spans="1:35" x14ac:dyDescent="0.2">
      <c r="A61" s="24" t="str">
        <f ca="1">IF(NOT(EXACT(Z60,"")),IF(NOT(EXACT(MID(LIT_I,$Z60,1),"")),HLOOKUP(Tabellen_Andere!$GH$3,LiturgienI,MATCH(MID(LIT_I,$Z60,45),LiturgienI,1)),""),"")</f>
        <v/>
      </c>
      <c r="B61" s="1658" t="str">
        <f t="shared" ca="1" si="10"/>
        <v/>
      </c>
      <c r="C61" s="323" t="str">
        <f t="shared" ca="1" si="11"/>
        <v/>
      </c>
      <c r="E61" s="384"/>
      <c r="F61" s="960"/>
      <c r="G61" s="324"/>
      <c r="H61" s="372" t="str">
        <f ca="1">IF(OR(A61="",Liturgien!$C$11=""),"",IF(OR(UPPER(E61)="X",UPPER(F61)="X",UPPER(G61)="X"),IF((VLOOKUP(A61,Liturgien_all,3,FALSE))*3&gt;Liturgien!$C$11,"Liturgiekenntnis-Wert zu niedrig!",""),""))</f>
        <v/>
      </c>
      <c r="I61" s="307"/>
      <c r="J61" s="307"/>
      <c r="K61" s="307"/>
      <c r="L61" s="307"/>
      <c r="M61" s="307"/>
      <c r="N61" s="1657"/>
      <c r="O61" s="268">
        <f t="shared" ca="1" si="12"/>
        <v>0</v>
      </c>
      <c r="P61" s="268">
        <f t="shared" ca="1" si="13"/>
        <v>0</v>
      </c>
      <c r="Q61" s="268" t="str">
        <f t="shared" ca="1" si="14"/>
        <v/>
      </c>
      <c r="R61" s="268">
        <f t="shared" ca="1" si="15"/>
        <v>0</v>
      </c>
      <c r="S61" s="268">
        <f t="shared" ca="1" si="16"/>
        <v>0</v>
      </c>
      <c r="T61" s="268">
        <f t="shared" ca="1" si="17"/>
        <v>0</v>
      </c>
      <c r="U61" s="268">
        <f t="shared" si="18"/>
        <v>0</v>
      </c>
      <c r="V61" s="268">
        <f t="shared" si="19"/>
        <v>0</v>
      </c>
      <c r="W61" s="268">
        <f t="shared" si="20"/>
        <v>0</v>
      </c>
      <c r="X61" s="268" t="str">
        <f t="shared" ca="1" si="21"/>
        <v/>
      </c>
      <c r="Y61" s="356"/>
      <c r="Z61" s="356" t="str">
        <f t="shared" ca="1" si="26"/>
        <v/>
      </c>
      <c r="AA61" s="25"/>
      <c r="AB61" s="268">
        <f t="shared" ca="1" si="22"/>
        <v>0</v>
      </c>
      <c r="AC61" s="268">
        <f t="shared" ca="1" si="23"/>
        <v>0</v>
      </c>
      <c r="AD61" s="268">
        <f t="shared" ca="1" si="24"/>
        <v>0</v>
      </c>
      <c r="AE61" s="268">
        <f t="shared" ca="1" si="25"/>
        <v>0</v>
      </c>
      <c r="AF61" s="25"/>
      <c r="AG61" t="str">
        <f t="shared" ca="1" si="27"/>
        <v/>
      </c>
      <c r="AH61" s="78" t="str">
        <f t="shared" ca="1" si="28"/>
        <v>I</v>
      </c>
      <c r="AI61" s="25"/>
    </row>
    <row r="62" spans="1:35" x14ac:dyDescent="0.2">
      <c r="A62" s="24" t="str">
        <f ca="1">IF(NOT(EXACT(Z61,"")),IF(NOT(EXACT(MID(LIT_I,$Z61,1),"")),HLOOKUP(Tabellen_Andere!$GH$3,LiturgienI,MATCH(MID(LIT_I,$Z61,45),LiturgienI,1)),""),"")</f>
        <v/>
      </c>
      <c r="B62" s="1658" t="str">
        <f t="shared" ca="1" si="10"/>
        <v/>
      </c>
      <c r="C62" s="323" t="str">
        <f t="shared" ca="1" si="11"/>
        <v/>
      </c>
      <c r="E62" s="384"/>
      <c r="F62" s="960"/>
      <c r="G62" s="324"/>
      <c r="H62" s="372" t="str">
        <f ca="1">IF(OR(A62="",Liturgien!$C$11=""),"",IF(OR(UPPER(E62)="X",UPPER(F62)="X",UPPER(G62)="X"),IF((VLOOKUP(A62,Liturgien_all,3,FALSE))*3&gt;Liturgien!$C$11,"Liturgiekenntnis-Wert zu niedrig!",""),""))</f>
        <v/>
      </c>
      <c r="I62" s="307"/>
      <c r="J62" s="307"/>
      <c r="K62" s="307"/>
      <c r="L62" s="307"/>
      <c r="M62" s="307"/>
      <c r="N62" s="1657"/>
      <c r="O62" s="268">
        <f t="shared" ca="1" si="12"/>
        <v>0</v>
      </c>
      <c r="P62" s="268">
        <f t="shared" ca="1" si="13"/>
        <v>0</v>
      </c>
      <c r="Q62" s="268" t="str">
        <f t="shared" ca="1" si="14"/>
        <v/>
      </c>
      <c r="R62" s="268">
        <f t="shared" ca="1" si="15"/>
        <v>0</v>
      </c>
      <c r="S62" s="268">
        <f t="shared" ca="1" si="16"/>
        <v>0</v>
      </c>
      <c r="T62" s="268">
        <f t="shared" ca="1" si="17"/>
        <v>0</v>
      </c>
      <c r="U62" s="268">
        <f t="shared" si="18"/>
        <v>0</v>
      </c>
      <c r="V62" s="268">
        <f t="shared" si="19"/>
        <v>0</v>
      </c>
      <c r="W62" s="268">
        <f t="shared" si="20"/>
        <v>0</v>
      </c>
      <c r="X62" s="268" t="str">
        <f t="shared" ca="1" si="21"/>
        <v/>
      </c>
      <c r="Y62" s="356"/>
      <c r="Z62" s="356" t="str">
        <f t="shared" ca="1" si="26"/>
        <v/>
      </c>
      <c r="AA62" s="25"/>
      <c r="AB62" s="268">
        <f t="shared" ca="1" si="22"/>
        <v>0</v>
      </c>
      <c r="AC62" s="268">
        <f t="shared" ca="1" si="23"/>
        <v>0</v>
      </c>
      <c r="AD62" s="268">
        <f t="shared" ca="1" si="24"/>
        <v>0</v>
      </c>
      <c r="AE62" s="268">
        <f t="shared" ca="1" si="25"/>
        <v>0</v>
      </c>
      <c r="AF62" s="25"/>
      <c r="AG62" t="str">
        <f t="shared" ca="1" si="27"/>
        <v/>
      </c>
      <c r="AH62" s="78" t="str">
        <f t="shared" ca="1" si="28"/>
        <v>I</v>
      </c>
      <c r="AI62" s="25"/>
    </row>
    <row r="63" spans="1:35" x14ac:dyDescent="0.2">
      <c r="A63" s="180" t="s">
        <v>8</v>
      </c>
      <c r="B63" s="25"/>
      <c r="C63" s="25"/>
      <c r="D63" s="25"/>
      <c r="E63" s="193"/>
      <c r="F63" s="193"/>
      <c r="G63" s="193"/>
      <c r="H63" s="25" t="str">
        <f ca="1">IF(APGUT&lt;0,"Keine AP mehr übrig!",IF(TL_GP_UEBRIG&lt;0,"Keine Start-AP mehr übrig!","▼ Fehlermeldungen ▼  "&amp;"(AP: "&amp;APGUT&amp;")"))</f>
        <v>▼ Fehlermeldungen ▼  (AP: 0)</v>
      </c>
      <c r="I63" s="25"/>
      <c r="J63" s="25"/>
      <c r="K63" s="25"/>
      <c r="L63" s="25"/>
      <c r="M63" s="25"/>
      <c r="N63" s="25"/>
      <c r="O63" s="25"/>
      <c r="P63" s="25"/>
      <c r="Q63" s="25"/>
      <c r="R63" s="25"/>
      <c r="S63" s="25"/>
      <c r="T63" s="25"/>
      <c r="U63" s="25"/>
      <c r="V63" s="25"/>
      <c r="W63" s="25"/>
      <c r="X63" s="1154" t="s">
        <v>518</v>
      </c>
      <c r="Y63" s="25" t="s">
        <v>3054</v>
      </c>
      <c r="Z63" s="305">
        <f>ROW(A64)-1</f>
        <v>63</v>
      </c>
      <c r="AA63" s="25"/>
      <c r="AB63" s="305"/>
      <c r="AC63" s="305"/>
      <c r="AD63" s="305"/>
      <c r="AE63" s="305"/>
      <c r="AF63" s="25"/>
      <c r="AI63" s="25"/>
    </row>
    <row r="64" spans="1:35" x14ac:dyDescent="0.2">
      <c r="A64" s="24" t="str">
        <f ca="1">IF(NOT(EXACT(LIT_II,"")),HLOOKUP(Tabellen_Andere!$GH$3,LiturgienII,MATCH(LEFT(LIT_II,45),LiturgienII,1)),"")</f>
        <v/>
      </c>
      <c r="B64" s="1658" t="str">
        <f t="shared" ca="1" si="10"/>
        <v/>
      </c>
      <c r="C64" s="323" t="str">
        <f t="shared" ca="1" si="11"/>
        <v/>
      </c>
      <c r="E64" s="384"/>
      <c r="F64" s="960"/>
      <c r="G64" s="324"/>
      <c r="H64" s="372" t="str">
        <f ca="1">IF(OR(A64="",Liturgien!$C$11=""),"",IF(OR(UPPER(E64)="X",UPPER(F64)="X",UPPER(G64)="X"),IF((VLOOKUP(A64,Liturgien_all,3,FALSE))*3&gt;Liturgien!$C$11,"Liturgiekenntnis-Wert zu niedrig!",""),""))</f>
        <v/>
      </c>
      <c r="I64" s="307"/>
      <c r="J64" s="307"/>
      <c r="K64" s="307"/>
      <c r="L64" s="307"/>
      <c r="M64" s="307"/>
      <c r="N64" s="1657"/>
      <c r="O64" s="268">
        <f t="shared" ref="O64:O82" ca="1" si="29">IF(A64="",0,IF(VLOOKUP($A64,Liturgien_all,13,FALSE)="",N64,
IF(ISERROR(VLOOKUP(VLOOKUP($A64,Liturgien_all,13,FALSE),Liturgien_all,3,FALSE)),0, N64-IF(ISERROR(FIND(VLOOKUP($A64,Liturgien_all,13,FALSE),Liturgien_Aktiv,1)),0,VLOOKUP(VLOOKUP($A64,Liturgien_all,13,FALSE),Liturgien_all,3,FALSE)) )))</f>
        <v>0</v>
      </c>
      <c r="P64" s="268">
        <f t="shared" ref="P64:P82" ca="1" si="30">IF(A64="",0,IF(VLOOKUP($A64,Liturgien_all,3,FALSE)="",0,VLOOKUP($A64,Liturgien_all,3,FALSE)))</f>
        <v>0</v>
      </c>
      <c r="Q64" s="268" t="str">
        <f t="shared" ref="Q64:Q82" ca="1" si="31">IF(A64="","",IF(VLOOKUP($A64,Liturgien_all,12,FALSE)="","",VLOOKUP($A64,Liturgien_all,12,FALSE)))</f>
        <v/>
      </c>
      <c r="R64" s="268">
        <f t="shared" ref="R64:R82" ca="1" si="32">IF(Q64="",0,IF(I64&gt;Q64,Q64,I64))</f>
        <v>0</v>
      </c>
      <c r="S64" s="268">
        <f t="shared" ref="S64:S82" ca="1" si="33">SUM(T64:W64)</f>
        <v>0</v>
      </c>
      <c r="T64" s="268">
        <f t="shared" ca="1" si="17"/>
        <v>0</v>
      </c>
      <c r="U64" s="268">
        <f t="shared" ref="U64:U82" si="34">IF(D64="",0,IF(VLOOKUP(D64,Liturgien_all,5,FALSE)="speziell",0,IF(Q64="",0,VLOOKUP(Q64,RITUALDAUER_WERT,2,FALSE)-VLOOKUP(VLOOKUP(D64,Liturgien_all,5,FALSE),RITUALDAUER_WERT,2,FALSE))))</f>
        <v>0</v>
      </c>
      <c r="V64" s="268">
        <f t="shared" ref="V64:V82" si="35">IF(D64="",0,IF(VLOOKUP(D64,Liturgien_all,6,FALSE)="speziell",0,IF(R64="",0,VLOOKUP(R64,WIRKUNGSDAUER_WERT,2,FALSE)-VLOOKUP(VLOOKUP(D64,Liturgien_all,6,FALSE),WIRKUNGSDAUER_WERT,2,FALSE))))</f>
        <v>0</v>
      </c>
      <c r="W64" s="268">
        <f t="shared" ref="W64:W82" si="36">IF(D64="",0,IF(VLOOKUP(D64,Liturgien_all,7,FALSE)="speziell",0,IF(S64="",0,VLOOKUP(S64,ENTFERNUNG_WERT,2,FALSE)-VLOOKUP(VLOOKUP(D64,Liturgien_all,7,FALSE),ENTFERNUNG_WERT,2,FALSE))))</f>
        <v>0</v>
      </c>
      <c r="X64" s="268" t="str">
        <f t="shared" ref="X64:X82" ca="1" si="37">IF(AND(OR(UPPER(B64)="X",UPPER(E64)="X",UPPER(F64)="X",UPPER(G64)="X",F64=2),H64=""),A64&amp;",","")</f>
        <v/>
      </c>
      <c r="Y64" s="268" t="str">
        <f ca="1">IF(Y65="","",CONCATENATE(Y63,Y65))</f>
        <v/>
      </c>
      <c r="Z64" s="356" t="str">
        <f ca="1">IF(NOT(EXACT(LIT_II,"")),LEN(A64)+2,"")</f>
        <v/>
      </c>
      <c r="AA64" s="25"/>
      <c r="AB64" s="268">
        <f t="shared" ref="AB64:AB82" ca="1" si="38">ROUND(IF(AND(NOT(EXACT($A64,"")),UPPER(E64)="X"),P64,0)*IF(UPPER(C64)="X",0.5,1)*IF(VT_EIDGED,0.5,IF(VT_GUTGED,0.75,1)),0)</f>
        <v>0</v>
      </c>
      <c r="AC64" s="268">
        <f t="shared" ref="AC64:AC82" ca="1" si="39">ROUND(50*IF(AND(NOT(EXACT($A64,"")),UPPER(F64)="X"),P64*IF(UPPER(C64)="X",0.5,1)*IF(VT_EIDGED,0.5,IF(VT_GUTGED,0.75,1)),0),0)</f>
        <v>0</v>
      </c>
      <c r="AD64" s="268">
        <f t="shared" ref="AD64:AD82" ca="1" si="40">ROUND(50*IF(AND(NOT(EXACT($A64,"")),F64=2),P64*IF(UPPER(C64)="X",0.5,1)*IF(VT_EIDGED,0.5,IF(VT_GUTGED,0.75,1)),0),0)</f>
        <v>0</v>
      </c>
      <c r="AE64" s="268">
        <f t="shared" ref="AE64:AE82" ca="1" si="41">ROUND(50*(IF(AND(NOT(EXACT($A64,"")),UPPER(G64)="X"),P64,0)*IF(UPPER(C64)="X",0.5,1)*IF(VT_EIDGED,0.5,IF(VT_GUTGED,0.75,1))+$R64+IF(UPPER(G64)="X",$O64,0))+10*$S64,0)</f>
        <v>0</v>
      </c>
      <c r="AF64" s="25"/>
      <c r="AG64" t="str">
        <f ca="1">A64</f>
        <v/>
      </c>
      <c r="AH64" s="78" t="str">
        <f ca="1">ROMAN(R64+S64+2)</f>
        <v>II</v>
      </c>
      <c r="AI64" s="25"/>
    </row>
    <row r="65" spans="1:35" x14ac:dyDescent="0.2">
      <c r="A65" s="24" t="str">
        <f ca="1">IF(NOT(EXACT(Z64,"")),IF(NOT(EXACT(MID(LIT_II,$Z64,1),"")),HLOOKUP(Tabellen_Andere!$GH$3,LiturgienII,MATCH(MID(LIT_II,$Z64,45),LiturgienII,1)),""),"")</f>
        <v/>
      </c>
      <c r="B65" s="1658" t="str">
        <f t="shared" ca="1" si="10"/>
        <v/>
      </c>
      <c r="C65" s="323" t="str">
        <f t="shared" ca="1" si="11"/>
        <v/>
      </c>
      <c r="E65" s="384"/>
      <c r="F65" s="960"/>
      <c r="G65" s="324"/>
      <c r="H65" s="372" t="str">
        <f ca="1">IF(OR(A65="",Liturgien!$C$11=""),"",IF(OR(UPPER(E65)="X",UPPER(F65)="X",UPPER(G65)="X"),IF((VLOOKUP(A65,Liturgien_all,3,FALSE))*3&gt;Liturgien!$C$11,"Liturgiekenntnis-Wert zu niedrig!",""),""))</f>
        <v/>
      </c>
      <c r="I65" s="307"/>
      <c r="J65" s="307"/>
      <c r="K65" s="307"/>
      <c r="L65" s="307"/>
      <c r="M65" s="307"/>
      <c r="N65" s="1657"/>
      <c r="O65" s="268">
        <f t="shared" ca="1" si="29"/>
        <v>0</v>
      </c>
      <c r="P65" s="268">
        <f t="shared" ca="1" si="30"/>
        <v>0</v>
      </c>
      <c r="Q65" s="268" t="str">
        <f t="shared" ca="1" si="31"/>
        <v/>
      </c>
      <c r="R65" s="268">
        <f t="shared" ca="1" si="32"/>
        <v>0</v>
      </c>
      <c r="S65" s="268">
        <f t="shared" ca="1" si="33"/>
        <v>0</v>
      </c>
      <c r="T65" s="268">
        <f t="shared" ca="1" si="17"/>
        <v>0</v>
      </c>
      <c r="U65" s="268">
        <f t="shared" si="34"/>
        <v>0</v>
      </c>
      <c r="V65" s="268">
        <f t="shared" si="35"/>
        <v>0</v>
      </c>
      <c r="W65" s="268">
        <f t="shared" si="36"/>
        <v>0</v>
      </c>
      <c r="X65" s="268" t="str">
        <f t="shared" ca="1" si="37"/>
        <v/>
      </c>
      <c r="Y65" s="268" t="str">
        <f ca="1">CONCATENATE(X64,X65,X66,X67,X68,X69,X70,X71,X72,X73,X74,X75,X76,X77,X78,X79,X80,X81,X82)</f>
        <v/>
      </c>
      <c r="Z65" s="356" t="str">
        <f t="shared" ref="Z65:Z82" ca="1" si="42">IF(NOT(EXACT(Z64,"")),IF(NOT(EXACT(MID(LIT_II,$Z64,1),"")),Z64+LEN(A65)+1,""),"")</f>
        <v/>
      </c>
      <c r="AA65" s="25"/>
      <c r="AB65" s="268">
        <f t="shared" ca="1" si="38"/>
        <v>0</v>
      </c>
      <c r="AC65" s="268">
        <f t="shared" ca="1" si="39"/>
        <v>0</v>
      </c>
      <c r="AD65" s="268">
        <f t="shared" ca="1" si="40"/>
        <v>0</v>
      </c>
      <c r="AE65" s="268">
        <f t="shared" ca="1" si="41"/>
        <v>0</v>
      </c>
      <c r="AF65" s="25"/>
      <c r="AG65" t="str">
        <f t="shared" ref="AG65:AG82" ca="1" si="43">A65</f>
        <v/>
      </c>
      <c r="AH65" s="78" t="str">
        <f t="shared" ref="AH65:AH82" ca="1" si="44">ROMAN(R65+S65+2)</f>
        <v>II</v>
      </c>
      <c r="AI65" s="25"/>
    </row>
    <row r="66" spans="1:35" x14ac:dyDescent="0.2">
      <c r="A66" s="24" t="str">
        <f ca="1">IF(NOT(EXACT(Z65,"")),IF(NOT(EXACT(MID(LIT_II,$Z65,1),"")),HLOOKUP(Tabellen_Andere!$GH$3,LiturgienII,MATCH(MID(LIT_II,$Z65,45),LiturgienII,1)),""),"")</f>
        <v/>
      </c>
      <c r="B66" s="1658" t="str">
        <f t="shared" ca="1" si="10"/>
        <v/>
      </c>
      <c r="C66" s="323" t="str">
        <f t="shared" ca="1" si="11"/>
        <v/>
      </c>
      <c r="E66" s="384"/>
      <c r="F66" s="960"/>
      <c r="G66" s="324"/>
      <c r="H66" s="372" t="str">
        <f ca="1">IF(OR(A66="",Liturgien!$C$11=""),"",IF(OR(UPPER(E66)="X",UPPER(F66)="X",UPPER(G66)="X"),IF((VLOOKUP(A66,Liturgien_all,3,FALSE))*3&gt;Liturgien!$C$11,"Liturgiekenntnis-Wert zu niedrig!",""),""))</f>
        <v/>
      </c>
      <c r="I66" s="307"/>
      <c r="J66" s="307"/>
      <c r="K66" s="307"/>
      <c r="L66" s="307"/>
      <c r="M66" s="307"/>
      <c r="N66" s="1657"/>
      <c r="O66" s="268">
        <f t="shared" ca="1" si="29"/>
        <v>0</v>
      </c>
      <c r="P66" s="268">
        <f t="shared" ca="1" si="30"/>
        <v>0</v>
      </c>
      <c r="Q66" s="268" t="str">
        <f t="shared" ca="1" si="31"/>
        <v/>
      </c>
      <c r="R66" s="268">
        <f t="shared" ca="1" si="32"/>
        <v>0</v>
      </c>
      <c r="S66" s="268">
        <f t="shared" ca="1" si="33"/>
        <v>0</v>
      </c>
      <c r="T66" s="268">
        <f t="shared" ca="1" si="17"/>
        <v>0</v>
      </c>
      <c r="U66" s="268">
        <f t="shared" si="34"/>
        <v>0</v>
      </c>
      <c r="V66" s="268">
        <f t="shared" si="35"/>
        <v>0</v>
      </c>
      <c r="W66" s="268">
        <f t="shared" si="36"/>
        <v>0</v>
      </c>
      <c r="X66" s="268" t="str">
        <f t="shared" ca="1" si="37"/>
        <v/>
      </c>
      <c r="Y66" s="356"/>
      <c r="Z66" s="356" t="str">
        <f t="shared" ca="1" si="42"/>
        <v/>
      </c>
      <c r="AA66" s="25"/>
      <c r="AB66" s="268">
        <f t="shared" ca="1" si="38"/>
        <v>0</v>
      </c>
      <c r="AC66" s="268">
        <f t="shared" ca="1" si="39"/>
        <v>0</v>
      </c>
      <c r="AD66" s="268">
        <f t="shared" ca="1" si="40"/>
        <v>0</v>
      </c>
      <c r="AE66" s="268">
        <f t="shared" ca="1" si="41"/>
        <v>0</v>
      </c>
      <c r="AF66" s="25"/>
      <c r="AG66" t="str">
        <f t="shared" ca="1" si="43"/>
        <v/>
      </c>
      <c r="AH66" s="78" t="str">
        <f t="shared" ca="1" si="44"/>
        <v>II</v>
      </c>
      <c r="AI66" s="25"/>
    </row>
    <row r="67" spans="1:35" x14ac:dyDescent="0.2">
      <c r="A67" s="24" t="str">
        <f ca="1">IF(NOT(EXACT(Z66,"")),IF(NOT(EXACT(MID(LIT_II,$Z66,1),"")),HLOOKUP(Tabellen_Andere!$GH$3,LiturgienII,MATCH(MID(LIT_II,$Z66,45),LiturgienII,1)),""),"")</f>
        <v/>
      </c>
      <c r="B67" s="1658" t="str">
        <f t="shared" ca="1" si="10"/>
        <v/>
      </c>
      <c r="C67" s="323" t="str">
        <f t="shared" ca="1" si="11"/>
        <v/>
      </c>
      <c r="E67" s="384"/>
      <c r="F67" s="960"/>
      <c r="G67" s="324"/>
      <c r="H67" s="372" t="str">
        <f ca="1">IF(OR(A67="",Liturgien!$C$11=""),"",IF(OR(UPPER(E67)="X",UPPER(F67)="X",UPPER(G67)="X"),IF((VLOOKUP(A67,Liturgien_all,3,FALSE))*3&gt;Liturgien!$C$11,"Liturgiekenntnis-Wert zu niedrig!",""),""))</f>
        <v/>
      </c>
      <c r="I67" s="307"/>
      <c r="J67" s="307"/>
      <c r="K67" s="307"/>
      <c r="L67" s="307"/>
      <c r="M67" s="307"/>
      <c r="N67" s="1657"/>
      <c r="O67" s="268">
        <f t="shared" ca="1" si="29"/>
        <v>0</v>
      </c>
      <c r="P67" s="268">
        <f t="shared" ca="1" si="30"/>
        <v>0</v>
      </c>
      <c r="Q67" s="268" t="str">
        <f t="shared" ca="1" si="31"/>
        <v/>
      </c>
      <c r="R67" s="268">
        <f t="shared" ca="1" si="32"/>
        <v>0</v>
      </c>
      <c r="S67" s="268">
        <f t="shared" ca="1" si="33"/>
        <v>0</v>
      </c>
      <c r="T67" s="268">
        <f t="shared" ca="1" si="17"/>
        <v>0</v>
      </c>
      <c r="U67" s="268">
        <f t="shared" si="34"/>
        <v>0</v>
      </c>
      <c r="V67" s="268">
        <f t="shared" si="35"/>
        <v>0</v>
      </c>
      <c r="W67" s="268">
        <f t="shared" si="36"/>
        <v>0</v>
      </c>
      <c r="X67" s="268" t="str">
        <f t="shared" ca="1" si="37"/>
        <v/>
      </c>
      <c r="Y67" s="356"/>
      <c r="Z67" s="356" t="str">
        <f t="shared" ca="1" si="42"/>
        <v/>
      </c>
      <c r="AA67" s="25"/>
      <c r="AB67" s="268">
        <f t="shared" ca="1" si="38"/>
        <v>0</v>
      </c>
      <c r="AC67" s="268">
        <f t="shared" ca="1" si="39"/>
        <v>0</v>
      </c>
      <c r="AD67" s="268">
        <f t="shared" ca="1" si="40"/>
        <v>0</v>
      </c>
      <c r="AE67" s="268">
        <f t="shared" ca="1" si="41"/>
        <v>0</v>
      </c>
      <c r="AF67" s="25"/>
      <c r="AG67" t="str">
        <f t="shared" ca="1" si="43"/>
        <v/>
      </c>
      <c r="AH67" s="78" t="str">
        <f t="shared" ca="1" si="44"/>
        <v>II</v>
      </c>
      <c r="AI67" s="25"/>
    </row>
    <row r="68" spans="1:35" x14ac:dyDescent="0.2">
      <c r="A68" s="24" t="str">
        <f ca="1">IF(NOT(EXACT(Z67,"")),IF(NOT(EXACT(MID(LIT_II,$Z67,1),"")),HLOOKUP(Tabellen_Andere!$GH$3,LiturgienII,MATCH(MID(LIT_II,$Z67,45),LiturgienII,1)),""),"")</f>
        <v/>
      </c>
      <c r="B68" s="1658" t="str">
        <f t="shared" ca="1" si="10"/>
        <v/>
      </c>
      <c r="C68" s="323" t="str">
        <f t="shared" ca="1" si="11"/>
        <v/>
      </c>
      <c r="E68" s="384"/>
      <c r="F68" s="960"/>
      <c r="G68" s="324"/>
      <c r="H68" s="372" t="str">
        <f ca="1">IF(OR(A68="",Liturgien!$C$11=""),"",IF(OR(UPPER(E68)="X",UPPER(F68)="X",UPPER(G68)="X"),IF((VLOOKUP(A68,Liturgien_all,3,FALSE))*3&gt;Liturgien!$C$11,"Liturgiekenntnis-Wert zu niedrig!",""),""))</f>
        <v/>
      </c>
      <c r="I68" s="307"/>
      <c r="J68" s="307"/>
      <c r="K68" s="307"/>
      <c r="L68" s="307"/>
      <c r="M68" s="307"/>
      <c r="N68" s="1657"/>
      <c r="O68" s="268">
        <f t="shared" ca="1" si="29"/>
        <v>0</v>
      </c>
      <c r="P68" s="268">
        <f t="shared" ca="1" si="30"/>
        <v>0</v>
      </c>
      <c r="Q68" s="268" t="str">
        <f t="shared" ca="1" si="31"/>
        <v/>
      </c>
      <c r="R68" s="268">
        <f t="shared" ca="1" si="32"/>
        <v>0</v>
      </c>
      <c r="S68" s="268">
        <f t="shared" ca="1" si="33"/>
        <v>0</v>
      </c>
      <c r="T68" s="268">
        <f t="shared" ca="1" si="17"/>
        <v>0</v>
      </c>
      <c r="U68" s="268">
        <f t="shared" si="34"/>
        <v>0</v>
      </c>
      <c r="V68" s="268">
        <f t="shared" si="35"/>
        <v>0</v>
      </c>
      <c r="W68" s="268">
        <f t="shared" si="36"/>
        <v>0</v>
      </c>
      <c r="X68" s="268" t="str">
        <f t="shared" ca="1" si="37"/>
        <v/>
      </c>
      <c r="Y68" s="356"/>
      <c r="Z68" s="356" t="str">
        <f t="shared" ca="1" si="42"/>
        <v/>
      </c>
      <c r="AA68" s="25"/>
      <c r="AB68" s="268">
        <f t="shared" ca="1" si="38"/>
        <v>0</v>
      </c>
      <c r="AC68" s="268">
        <f t="shared" ca="1" si="39"/>
        <v>0</v>
      </c>
      <c r="AD68" s="268">
        <f t="shared" ca="1" si="40"/>
        <v>0</v>
      </c>
      <c r="AE68" s="268">
        <f t="shared" ca="1" si="41"/>
        <v>0</v>
      </c>
      <c r="AF68" s="25"/>
      <c r="AG68" t="str">
        <f t="shared" ca="1" si="43"/>
        <v/>
      </c>
      <c r="AH68" s="78" t="str">
        <f t="shared" ca="1" si="44"/>
        <v>II</v>
      </c>
      <c r="AI68" s="25"/>
    </row>
    <row r="69" spans="1:35" x14ac:dyDescent="0.2">
      <c r="A69" s="24" t="str">
        <f ca="1">IF(NOT(EXACT(Z68,"")),IF(NOT(EXACT(MID(LIT_II,$Z68,1),"")),HLOOKUP(Tabellen_Andere!$GH$3,LiturgienII,MATCH(MID(LIT_II,$Z68,45),LiturgienII,1)),""),"")</f>
        <v/>
      </c>
      <c r="B69" s="1658" t="str">
        <f t="shared" ca="1" si="10"/>
        <v/>
      </c>
      <c r="C69" s="323" t="str">
        <f t="shared" ca="1" si="11"/>
        <v/>
      </c>
      <c r="E69" s="384"/>
      <c r="F69" s="960"/>
      <c r="G69" s="324"/>
      <c r="H69" s="372" t="str">
        <f ca="1">IF(OR(A69="",Liturgien!$C$11=""),"",IF(OR(UPPER(E69)="X",UPPER(F69)="X",UPPER(G69)="X"),IF((VLOOKUP(A69,Liturgien_all,3,FALSE))*3&gt;Liturgien!$C$11,"Liturgiekenntnis-Wert zu niedrig!",""),""))</f>
        <v/>
      </c>
      <c r="I69" s="307"/>
      <c r="J69" s="307"/>
      <c r="K69" s="307"/>
      <c r="L69" s="307"/>
      <c r="M69" s="307"/>
      <c r="N69" s="1657"/>
      <c r="O69" s="268">
        <f t="shared" ca="1" si="29"/>
        <v>0</v>
      </c>
      <c r="P69" s="268">
        <f t="shared" ca="1" si="30"/>
        <v>0</v>
      </c>
      <c r="Q69" s="268" t="str">
        <f t="shared" ca="1" si="31"/>
        <v/>
      </c>
      <c r="R69" s="268">
        <f t="shared" ca="1" si="32"/>
        <v>0</v>
      </c>
      <c r="S69" s="268">
        <f t="shared" ca="1" si="33"/>
        <v>0</v>
      </c>
      <c r="T69" s="268">
        <f t="shared" ca="1" si="17"/>
        <v>0</v>
      </c>
      <c r="U69" s="268">
        <f t="shared" si="34"/>
        <v>0</v>
      </c>
      <c r="V69" s="268">
        <f t="shared" si="35"/>
        <v>0</v>
      </c>
      <c r="W69" s="268">
        <f t="shared" si="36"/>
        <v>0</v>
      </c>
      <c r="X69" s="268" t="str">
        <f t="shared" ca="1" si="37"/>
        <v/>
      </c>
      <c r="Y69" s="356"/>
      <c r="Z69" s="356" t="str">
        <f t="shared" ca="1" si="42"/>
        <v/>
      </c>
      <c r="AA69" s="25"/>
      <c r="AB69" s="268">
        <f t="shared" ca="1" si="38"/>
        <v>0</v>
      </c>
      <c r="AC69" s="268">
        <f t="shared" ca="1" si="39"/>
        <v>0</v>
      </c>
      <c r="AD69" s="268">
        <f t="shared" ca="1" si="40"/>
        <v>0</v>
      </c>
      <c r="AE69" s="268">
        <f t="shared" ca="1" si="41"/>
        <v>0</v>
      </c>
      <c r="AF69" s="25"/>
      <c r="AG69" t="str">
        <f t="shared" ca="1" si="43"/>
        <v/>
      </c>
      <c r="AH69" s="78" t="str">
        <f t="shared" ca="1" si="44"/>
        <v>II</v>
      </c>
      <c r="AI69" s="25"/>
    </row>
    <row r="70" spans="1:35" x14ac:dyDescent="0.2">
      <c r="A70" s="24" t="str">
        <f ca="1">IF(NOT(EXACT(Z69,"")),IF(NOT(EXACT(MID(LIT_II,$Z69,1),"")),HLOOKUP(Tabellen_Andere!$GH$3,LiturgienII,MATCH(MID(LIT_II,$Z69,45),LiturgienII,1)),""),"")</f>
        <v/>
      </c>
      <c r="B70" s="1658" t="str">
        <f t="shared" ca="1" si="10"/>
        <v/>
      </c>
      <c r="C70" s="323" t="str">
        <f t="shared" ca="1" si="11"/>
        <v/>
      </c>
      <c r="E70" s="384"/>
      <c r="F70" s="960"/>
      <c r="G70" s="324"/>
      <c r="H70" s="372" t="str">
        <f ca="1">IF(OR(A70="",Liturgien!$C$11=""),"",IF(OR(UPPER(E70)="X",UPPER(F70)="X",UPPER(G70)="X"),IF((VLOOKUP(A70,Liturgien_all,3,FALSE))*3&gt;Liturgien!$C$11,"Liturgiekenntnis-Wert zu niedrig!",""),""))</f>
        <v/>
      </c>
      <c r="I70" s="307"/>
      <c r="J70" s="307"/>
      <c r="K70" s="307"/>
      <c r="L70" s="307"/>
      <c r="M70" s="307"/>
      <c r="N70" s="1657"/>
      <c r="O70" s="268">
        <f t="shared" ca="1" si="29"/>
        <v>0</v>
      </c>
      <c r="P70" s="268">
        <f t="shared" ca="1" si="30"/>
        <v>0</v>
      </c>
      <c r="Q70" s="268" t="str">
        <f t="shared" ca="1" si="31"/>
        <v/>
      </c>
      <c r="R70" s="268">
        <f t="shared" ca="1" si="32"/>
        <v>0</v>
      </c>
      <c r="S70" s="268">
        <f t="shared" ca="1" si="33"/>
        <v>0</v>
      </c>
      <c r="T70" s="268">
        <f t="shared" ca="1" si="17"/>
        <v>0</v>
      </c>
      <c r="U70" s="268">
        <f t="shared" si="34"/>
        <v>0</v>
      </c>
      <c r="V70" s="268">
        <f t="shared" si="35"/>
        <v>0</v>
      </c>
      <c r="W70" s="268">
        <f t="shared" si="36"/>
        <v>0</v>
      </c>
      <c r="X70" s="268" t="str">
        <f t="shared" ca="1" si="37"/>
        <v/>
      </c>
      <c r="Y70" s="356"/>
      <c r="Z70" s="356" t="str">
        <f t="shared" ca="1" si="42"/>
        <v/>
      </c>
      <c r="AA70" s="25"/>
      <c r="AB70" s="268">
        <f t="shared" ca="1" si="38"/>
        <v>0</v>
      </c>
      <c r="AC70" s="268">
        <f t="shared" ca="1" si="39"/>
        <v>0</v>
      </c>
      <c r="AD70" s="268">
        <f t="shared" ca="1" si="40"/>
        <v>0</v>
      </c>
      <c r="AE70" s="268">
        <f t="shared" ca="1" si="41"/>
        <v>0</v>
      </c>
      <c r="AF70" s="25"/>
      <c r="AG70" t="str">
        <f t="shared" ca="1" si="43"/>
        <v/>
      </c>
      <c r="AH70" s="78" t="str">
        <f t="shared" ca="1" si="44"/>
        <v>II</v>
      </c>
      <c r="AI70" s="25"/>
    </row>
    <row r="71" spans="1:35" x14ac:dyDescent="0.2">
      <c r="A71" s="24" t="str">
        <f ca="1">IF(NOT(EXACT(Z70,"")),IF(NOT(EXACT(MID(LIT_II,$Z70,1),"")),HLOOKUP(Tabellen_Andere!$GH$3,LiturgienII,MATCH(MID(LIT_II,$Z70,45),LiturgienII,1)),""),"")</f>
        <v/>
      </c>
      <c r="B71" s="1658" t="str">
        <f t="shared" ca="1" si="10"/>
        <v/>
      </c>
      <c r="C71" s="323" t="str">
        <f t="shared" ca="1" si="11"/>
        <v/>
      </c>
      <c r="E71" s="384"/>
      <c r="F71" s="960"/>
      <c r="G71" s="324"/>
      <c r="H71" s="372" t="str">
        <f ca="1">IF(OR(A71="",Liturgien!$C$11=""),"",IF(OR(UPPER(E71)="X",UPPER(F71)="X",UPPER(G71)="X"),IF((VLOOKUP(A71,Liturgien_all,3,FALSE))*3&gt;Liturgien!$C$11,"Liturgiekenntnis-Wert zu niedrig!",""),""))</f>
        <v/>
      </c>
      <c r="I71" s="307"/>
      <c r="J71" s="307"/>
      <c r="K71" s="307"/>
      <c r="L71" s="307"/>
      <c r="M71" s="307"/>
      <c r="N71" s="1657"/>
      <c r="O71" s="268">
        <f t="shared" ca="1" si="29"/>
        <v>0</v>
      </c>
      <c r="P71" s="268">
        <f t="shared" ca="1" si="30"/>
        <v>0</v>
      </c>
      <c r="Q71" s="268" t="str">
        <f t="shared" ca="1" si="31"/>
        <v/>
      </c>
      <c r="R71" s="268">
        <f t="shared" ca="1" si="32"/>
        <v>0</v>
      </c>
      <c r="S71" s="268">
        <f t="shared" ca="1" si="33"/>
        <v>0</v>
      </c>
      <c r="T71" s="268">
        <f t="shared" ca="1" si="17"/>
        <v>0</v>
      </c>
      <c r="U71" s="268">
        <f t="shared" si="34"/>
        <v>0</v>
      </c>
      <c r="V71" s="268">
        <f t="shared" si="35"/>
        <v>0</v>
      </c>
      <c r="W71" s="268">
        <f t="shared" si="36"/>
        <v>0</v>
      </c>
      <c r="X71" s="268" t="str">
        <f t="shared" ca="1" si="37"/>
        <v/>
      </c>
      <c r="Y71" s="356"/>
      <c r="Z71" s="356" t="str">
        <f t="shared" ca="1" si="42"/>
        <v/>
      </c>
      <c r="AA71" s="25"/>
      <c r="AB71" s="268">
        <f t="shared" ca="1" si="38"/>
        <v>0</v>
      </c>
      <c r="AC71" s="268">
        <f t="shared" ca="1" si="39"/>
        <v>0</v>
      </c>
      <c r="AD71" s="268">
        <f t="shared" ca="1" si="40"/>
        <v>0</v>
      </c>
      <c r="AE71" s="268">
        <f t="shared" ca="1" si="41"/>
        <v>0</v>
      </c>
      <c r="AF71" s="25"/>
      <c r="AG71" t="str">
        <f t="shared" ca="1" si="43"/>
        <v/>
      </c>
      <c r="AH71" s="78" t="str">
        <f t="shared" ca="1" si="44"/>
        <v>II</v>
      </c>
      <c r="AI71" s="25"/>
    </row>
    <row r="72" spans="1:35" x14ac:dyDescent="0.2">
      <c r="A72" s="24" t="str">
        <f ca="1">IF(NOT(EXACT(Z71,"")),IF(NOT(EXACT(MID(LIT_II,$Z71,1),"")),HLOOKUP(Tabellen_Andere!$GH$3,LiturgienII,MATCH(MID(LIT_II,$Z71,45),LiturgienII,1)),""),"")</f>
        <v/>
      </c>
      <c r="B72" s="1658" t="str">
        <f t="shared" ca="1" si="10"/>
        <v/>
      </c>
      <c r="C72" s="323" t="str">
        <f t="shared" ca="1" si="11"/>
        <v/>
      </c>
      <c r="E72" s="384"/>
      <c r="F72" s="960"/>
      <c r="G72" s="324"/>
      <c r="H72" s="372" t="str">
        <f ca="1">IF(OR(A72="",Liturgien!$C$11=""),"",IF(OR(UPPER(E72)="X",UPPER(F72)="X",UPPER(G72)="X"),IF((VLOOKUP(A72,Liturgien_all,3,FALSE))*3&gt;Liturgien!$C$11,"Liturgiekenntnis-Wert zu niedrig!",""),""))</f>
        <v/>
      </c>
      <c r="I72" s="307"/>
      <c r="J72" s="307"/>
      <c r="K72" s="307"/>
      <c r="L72" s="307"/>
      <c r="M72" s="307"/>
      <c r="N72" s="1657"/>
      <c r="O72" s="268">
        <f t="shared" ca="1" si="29"/>
        <v>0</v>
      </c>
      <c r="P72" s="268">
        <f t="shared" ca="1" si="30"/>
        <v>0</v>
      </c>
      <c r="Q72" s="268" t="str">
        <f t="shared" ca="1" si="31"/>
        <v/>
      </c>
      <c r="R72" s="268">
        <f t="shared" ca="1" si="32"/>
        <v>0</v>
      </c>
      <c r="S72" s="268">
        <f t="shared" ca="1" si="33"/>
        <v>0</v>
      </c>
      <c r="T72" s="268">
        <f t="shared" ca="1" si="17"/>
        <v>0</v>
      </c>
      <c r="U72" s="268">
        <f t="shared" si="34"/>
        <v>0</v>
      </c>
      <c r="V72" s="268">
        <f t="shared" si="35"/>
        <v>0</v>
      </c>
      <c r="W72" s="268">
        <f t="shared" si="36"/>
        <v>0</v>
      </c>
      <c r="X72" s="268" t="str">
        <f t="shared" ca="1" si="37"/>
        <v/>
      </c>
      <c r="Y72" s="356"/>
      <c r="Z72" s="356" t="str">
        <f t="shared" ca="1" si="42"/>
        <v/>
      </c>
      <c r="AA72" s="25"/>
      <c r="AB72" s="268">
        <f t="shared" ca="1" si="38"/>
        <v>0</v>
      </c>
      <c r="AC72" s="268">
        <f t="shared" ca="1" si="39"/>
        <v>0</v>
      </c>
      <c r="AD72" s="268">
        <f t="shared" ca="1" si="40"/>
        <v>0</v>
      </c>
      <c r="AE72" s="268">
        <f t="shared" ca="1" si="41"/>
        <v>0</v>
      </c>
      <c r="AF72" s="25"/>
      <c r="AG72" t="str">
        <f t="shared" ca="1" si="43"/>
        <v/>
      </c>
      <c r="AH72" s="78" t="str">
        <f t="shared" ca="1" si="44"/>
        <v>II</v>
      </c>
      <c r="AI72" s="25"/>
    </row>
    <row r="73" spans="1:35" x14ac:dyDescent="0.2">
      <c r="A73" s="24" t="str">
        <f ca="1">IF(NOT(EXACT(Z72,"")),IF(NOT(EXACT(MID(LIT_II,$Z72,1),"")),HLOOKUP(Tabellen_Andere!$GH$3,LiturgienII,MATCH(MID(LIT_II,$Z72,45),LiturgienII,1)),""),"")</f>
        <v/>
      </c>
      <c r="B73" s="1658" t="str">
        <f t="shared" ca="1" si="10"/>
        <v/>
      </c>
      <c r="C73" s="323" t="str">
        <f t="shared" ca="1" si="11"/>
        <v/>
      </c>
      <c r="E73" s="384"/>
      <c r="F73" s="960"/>
      <c r="G73" s="324"/>
      <c r="H73" s="372" t="str">
        <f ca="1">IF(OR(A73="",Liturgien!$C$11=""),"",IF(OR(UPPER(E73)="X",UPPER(F73)="X",UPPER(G73)="X"),IF((VLOOKUP(A73,Liturgien_all,3,FALSE))*3&gt;Liturgien!$C$11,"Liturgiekenntnis-Wert zu niedrig!",""),""))</f>
        <v/>
      </c>
      <c r="I73" s="307"/>
      <c r="J73" s="307"/>
      <c r="K73" s="307"/>
      <c r="L73" s="307"/>
      <c r="M73" s="307"/>
      <c r="N73" s="1657"/>
      <c r="O73" s="268">
        <f t="shared" ca="1" si="29"/>
        <v>0</v>
      </c>
      <c r="P73" s="268">
        <f t="shared" ca="1" si="30"/>
        <v>0</v>
      </c>
      <c r="Q73" s="268" t="str">
        <f t="shared" ca="1" si="31"/>
        <v/>
      </c>
      <c r="R73" s="268">
        <f t="shared" ca="1" si="32"/>
        <v>0</v>
      </c>
      <c r="S73" s="268">
        <f t="shared" ca="1" si="33"/>
        <v>0</v>
      </c>
      <c r="T73" s="268">
        <f t="shared" ca="1" si="17"/>
        <v>0</v>
      </c>
      <c r="U73" s="268">
        <f t="shared" si="34"/>
        <v>0</v>
      </c>
      <c r="V73" s="268">
        <f t="shared" si="35"/>
        <v>0</v>
      </c>
      <c r="W73" s="268">
        <f t="shared" si="36"/>
        <v>0</v>
      </c>
      <c r="X73" s="268" t="str">
        <f t="shared" ca="1" si="37"/>
        <v/>
      </c>
      <c r="Y73" s="356"/>
      <c r="Z73" s="356" t="str">
        <f t="shared" ca="1" si="42"/>
        <v/>
      </c>
      <c r="AA73" s="25"/>
      <c r="AB73" s="268">
        <f t="shared" ca="1" si="38"/>
        <v>0</v>
      </c>
      <c r="AC73" s="268">
        <f t="shared" ca="1" si="39"/>
        <v>0</v>
      </c>
      <c r="AD73" s="268">
        <f t="shared" ca="1" si="40"/>
        <v>0</v>
      </c>
      <c r="AE73" s="268">
        <f t="shared" ca="1" si="41"/>
        <v>0</v>
      </c>
      <c r="AF73" s="25"/>
      <c r="AG73" t="str">
        <f t="shared" ca="1" si="43"/>
        <v/>
      </c>
      <c r="AH73" s="78" t="str">
        <f t="shared" ca="1" si="44"/>
        <v>II</v>
      </c>
      <c r="AI73" s="25"/>
    </row>
    <row r="74" spans="1:35" x14ac:dyDescent="0.2">
      <c r="A74" s="24" t="str">
        <f ca="1">IF(NOT(EXACT(Z73,"")),IF(NOT(EXACT(MID(LIT_II,$Z73,1),"")),HLOOKUP(Tabellen_Andere!$GH$3,LiturgienII,MATCH(MID(LIT_II,$Z73,45),LiturgienII,1)),""),"")</f>
        <v/>
      </c>
      <c r="B74" s="1658" t="str">
        <f t="shared" ca="1" si="10"/>
        <v/>
      </c>
      <c r="C74" s="323" t="str">
        <f t="shared" ca="1" si="11"/>
        <v/>
      </c>
      <c r="E74" s="384"/>
      <c r="F74" s="960"/>
      <c r="G74" s="324"/>
      <c r="H74" s="372" t="str">
        <f ca="1">IF(OR(A74="",Liturgien!$C$11=""),"",IF(OR(UPPER(E74)="X",UPPER(F74)="X",UPPER(G74)="X"),IF((VLOOKUP(A74,Liturgien_all,3,FALSE))*3&gt;Liturgien!$C$11,"Liturgiekenntnis-Wert zu niedrig!",""),""))</f>
        <v/>
      </c>
      <c r="I74" s="307"/>
      <c r="J74" s="307"/>
      <c r="K74" s="307"/>
      <c r="L74" s="307"/>
      <c r="M74" s="307"/>
      <c r="N74" s="1657"/>
      <c r="O74" s="268">
        <f t="shared" ca="1" si="29"/>
        <v>0</v>
      </c>
      <c r="P74" s="268">
        <f t="shared" ca="1" si="30"/>
        <v>0</v>
      </c>
      <c r="Q74" s="268" t="str">
        <f t="shared" ca="1" si="31"/>
        <v/>
      </c>
      <c r="R74" s="268">
        <f t="shared" ca="1" si="32"/>
        <v>0</v>
      </c>
      <c r="S74" s="268">
        <f t="shared" ca="1" si="33"/>
        <v>0</v>
      </c>
      <c r="T74" s="268">
        <f t="shared" ca="1" si="17"/>
        <v>0</v>
      </c>
      <c r="U74" s="268">
        <f t="shared" si="34"/>
        <v>0</v>
      </c>
      <c r="V74" s="268">
        <f t="shared" si="35"/>
        <v>0</v>
      </c>
      <c r="W74" s="268">
        <f t="shared" si="36"/>
        <v>0</v>
      </c>
      <c r="X74" s="268" t="str">
        <f t="shared" ca="1" si="37"/>
        <v/>
      </c>
      <c r="Y74" s="356"/>
      <c r="Z74" s="356" t="str">
        <f t="shared" ca="1" si="42"/>
        <v/>
      </c>
      <c r="AA74" s="25"/>
      <c r="AB74" s="268">
        <f t="shared" ca="1" si="38"/>
        <v>0</v>
      </c>
      <c r="AC74" s="268">
        <f t="shared" ca="1" si="39"/>
        <v>0</v>
      </c>
      <c r="AD74" s="268">
        <f t="shared" ca="1" si="40"/>
        <v>0</v>
      </c>
      <c r="AE74" s="268">
        <f t="shared" ca="1" si="41"/>
        <v>0</v>
      </c>
      <c r="AF74" s="25"/>
      <c r="AG74" t="str">
        <f t="shared" ca="1" si="43"/>
        <v/>
      </c>
      <c r="AH74" s="78" t="str">
        <f t="shared" ca="1" si="44"/>
        <v>II</v>
      </c>
      <c r="AI74" s="25"/>
    </row>
    <row r="75" spans="1:35" x14ac:dyDescent="0.2">
      <c r="A75" s="24" t="str">
        <f ca="1">IF(NOT(EXACT(Z74,"")),IF(NOT(EXACT(MID(LIT_II,$Z74,1),"")),HLOOKUP(Tabellen_Andere!$GH$3,LiturgienII,MATCH(MID(LIT_II,$Z74,45),LiturgienII,1)),""),"")</f>
        <v/>
      </c>
      <c r="B75" s="1658" t="str">
        <f t="shared" ca="1" si="10"/>
        <v/>
      </c>
      <c r="C75" s="323" t="str">
        <f t="shared" ca="1" si="11"/>
        <v/>
      </c>
      <c r="E75" s="384"/>
      <c r="F75" s="960"/>
      <c r="G75" s="324"/>
      <c r="H75" s="372" t="str">
        <f ca="1">IF(OR(A75="",Liturgien!$C$11=""),"",IF(OR(UPPER(E75)="X",UPPER(F75)="X",UPPER(G75)="X"),IF((VLOOKUP(A75,Liturgien_all,3,FALSE))*3&gt;Liturgien!$C$11,"Liturgiekenntnis-Wert zu niedrig!",""),""))</f>
        <v/>
      </c>
      <c r="I75" s="307"/>
      <c r="J75" s="307"/>
      <c r="K75" s="307"/>
      <c r="L75" s="307"/>
      <c r="M75" s="307"/>
      <c r="N75" s="1657"/>
      <c r="O75" s="268">
        <f t="shared" ca="1" si="29"/>
        <v>0</v>
      </c>
      <c r="P75" s="268">
        <f t="shared" ca="1" si="30"/>
        <v>0</v>
      </c>
      <c r="Q75" s="268" t="str">
        <f t="shared" ca="1" si="31"/>
        <v/>
      </c>
      <c r="R75" s="268">
        <f t="shared" ca="1" si="32"/>
        <v>0</v>
      </c>
      <c r="S75" s="268">
        <f t="shared" ca="1" si="33"/>
        <v>0</v>
      </c>
      <c r="T75" s="268">
        <f t="shared" ca="1" si="17"/>
        <v>0</v>
      </c>
      <c r="U75" s="268">
        <f t="shared" si="34"/>
        <v>0</v>
      </c>
      <c r="V75" s="268">
        <f t="shared" si="35"/>
        <v>0</v>
      </c>
      <c r="W75" s="268">
        <f t="shared" si="36"/>
        <v>0</v>
      </c>
      <c r="X75" s="268" t="str">
        <f t="shared" ca="1" si="37"/>
        <v/>
      </c>
      <c r="Y75" s="356"/>
      <c r="Z75" s="356" t="str">
        <f t="shared" ca="1" si="42"/>
        <v/>
      </c>
      <c r="AA75" s="25"/>
      <c r="AB75" s="268">
        <f t="shared" ca="1" si="38"/>
        <v>0</v>
      </c>
      <c r="AC75" s="268">
        <f t="shared" ca="1" si="39"/>
        <v>0</v>
      </c>
      <c r="AD75" s="268">
        <f t="shared" ca="1" si="40"/>
        <v>0</v>
      </c>
      <c r="AE75" s="268">
        <f t="shared" ca="1" si="41"/>
        <v>0</v>
      </c>
      <c r="AF75" s="25"/>
      <c r="AG75" t="str">
        <f t="shared" ca="1" si="43"/>
        <v/>
      </c>
      <c r="AH75" s="78" t="str">
        <f t="shared" ca="1" si="44"/>
        <v>II</v>
      </c>
      <c r="AI75" s="25"/>
    </row>
    <row r="76" spans="1:35" x14ac:dyDescent="0.2">
      <c r="A76" s="24" t="str">
        <f ca="1">IF(NOT(EXACT(Z75,"")),IF(NOT(EXACT(MID(LIT_II,$Z75,1),"")),HLOOKUP(Tabellen_Andere!$GH$3,LiturgienII,MATCH(MID(LIT_II,$Z75,45),LiturgienII,1)),""),"")</f>
        <v/>
      </c>
      <c r="B76" s="1658" t="str">
        <f t="shared" ca="1" si="10"/>
        <v/>
      </c>
      <c r="C76" s="323" t="str">
        <f t="shared" ca="1" si="11"/>
        <v/>
      </c>
      <c r="E76" s="384"/>
      <c r="F76" s="960"/>
      <c r="G76" s="324"/>
      <c r="H76" s="372" t="str">
        <f ca="1">IF(OR(A76="",Liturgien!$C$11=""),"",IF(OR(UPPER(E76)="X",UPPER(F76)="X",UPPER(G76)="X"),IF((VLOOKUP(A76,Liturgien_all,3,FALSE))*3&gt;Liturgien!$C$11,"Liturgiekenntnis-Wert zu niedrig!",""),""))</f>
        <v/>
      </c>
      <c r="I76" s="307"/>
      <c r="J76" s="307"/>
      <c r="K76" s="307"/>
      <c r="L76" s="307"/>
      <c r="M76" s="307"/>
      <c r="N76" s="1657"/>
      <c r="O76" s="268">
        <f t="shared" ca="1" si="29"/>
        <v>0</v>
      </c>
      <c r="P76" s="268">
        <f t="shared" ca="1" si="30"/>
        <v>0</v>
      </c>
      <c r="Q76" s="268" t="str">
        <f t="shared" ca="1" si="31"/>
        <v/>
      </c>
      <c r="R76" s="268">
        <f t="shared" ca="1" si="32"/>
        <v>0</v>
      </c>
      <c r="S76" s="268">
        <f t="shared" ca="1" si="33"/>
        <v>0</v>
      </c>
      <c r="T76" s="268">
        <f t="shared" ca="1" si="17"/>
        <v>0</v>
      </c>
      <c r="U76" s="268">
        <f t="shared" si="34"/>
        <v>0</v>
      </c>
      <c r="V76" s="268">
        <f t="shared" si="35"/>
        <v>0</v>
      </c>
      <c r="W76" s="268">
        <f t="shared" si="36"/>
        <v>0</v>
      </c>
      <c r="X76" s="268" t="str">
        <f t="shared" ca="1" si="37"/>
        <v/>
      </c>
      <c r="Y76" s="356"/>
      <c r="Z76" s="356" t="str">
        <f t="shared" ca="1" si="42"/>
        <v/>
      </c>
      <c r="AA76" s="25"/>
      <c r="AB76" s="268">
        <f t="shared" ca="1" si="38"/>
        <v>0</v>
      </c>
      <c r="AC76" s="268">
        <f t="shared" ca="1" si="39"/>
        <v>0</v>
      </c>
      <c r="AD76" s="268">
        <f t="shared" ca="1" si="40"/>
        <v>0</v>
      </c>
      <c r="AE76" s="268">
        <f t="shared" ca="1" si="41"/>
        <v>0</v>
      </c>
      <c r="AF76" s="25"/>
      <c r="AG76" t="str">
        <f t="shared" ca="1" si="43"/>
        <v/>
      </c>
      <c r="AH76" s="78" t="str">
        <f t="shared" ca="1" si="44"/>
        <v>II</v>
      </c>
      <c r="AI76" s="25"/>
    </row>
    <row r="77" spans="1:35" x14ac:dyDescent="0.2">
      <c r="A77" s="24" t="str">
        <f ca="1">IF(NOT(EXACT(Z76,"")),IF(NOT(EXACT(MID(LIT_II,$Z76,1),"")),HLOOKUP(Tabellen_Andere!$GH$3,LiturgienII,MATCH(MID(LIT_II,$Z76,45),LiturgienII,1)),""),"")</f>
        <v/>
      </c>
      <c r="B77" s="1658" t="str">
        <f t="shared" ca="1" si="10"/>
        <v/>
      </c>
      <c r="C77" s="323" t="str">
        <f t="shared" ca="1" si="11"/>
        <v/>
      </c>
      <c r="E77" s="384"/>
      <c r="F77" s="960"/>
      <c r="G77" s="324"/>
      <c r="H77" s="372" t="str">
        <f ca="1">IF(OR(A77="",Liturgien!$C$11=""),"",IF(OR(UPPER(E77)="X",UPPER(F77)="X",UPPER(G77)="X"),IF((VLOOKUP(A77,Liturgien_all,3,FALSE))*3&gt;Liturgien!$C$11,"Liturgiekenntnis-Wert zu niedrig!",""),""))</f>
        <v/>
      </c>
      <c r="I77" s="307"/>
      <c r="J77" s="307"/>
      <c r="K77" s="307"/>
      <c r="L77" s="307"/>
      <c r="M77" s="307"/>
      <c r="N77" s="1657"/>
      <c r="O77" s="268">
        <f t="shared" ca="1" si="29"/>
        <v>0</v>
      </c>
      <c r="P77" s="268">
        <f t="shared" ca="1" si="30"/>
        <v>0</v>
      </c>
      <c r="Q77" s="268" t="str">
        <f t="shared" ca="1" si="31"/>
        <v/>
      </c>
      <c r="R77" s="268">
        <f t="shared" ca="1" si="32"/>
        <v>0</v>
      </c>
      <c r="S77" s="268">
        <f t="shared" ca="1" si="33"/>
        <v>0</v>
      </c>
      <c r="T77" s="268">
        <f t="shared" ca="1" si="17"/>
        <v>0</v>
      </c>
      <c r="U77" s="268">
        <f t="shared" si="34"/>
        <v>0</v>
      </c>
      <c r="V77" s="268">
        <f t="shared" si="35"/>
        <v>0</v>
      </c>
      <c r="W77" s="268">
        <f t="shared" si="36"/>
        <v>0</v>
      </c>
      <c r="X77" s="268" t="str">
        <f t="shared" ca="1" si="37"/>
        <v/>
      </c>
      <c r="Y77" s="356"/>
      <c r="Z77" s="356" t="str">
        <f t="shared" ca="1" si="42"/>
        <v/>
      </c>
      <c r="AA77" s="25"/>
      <c r="AB77" s="268">
        <f t="shared" ca="1" si="38"/>
        <v>0</v>
      </c>
      <c r="AC77" s="268">
        <f t="shared" ca="1" si="39"/>
        <v>0</v>
      </c>
      <c r="AD77" s="268">
        <f t="shared" ca="1" si="40"/>
        <v>0</v>
      </c>
      <c r="AE77" s="268">
        <f t="shared" ca="1" si="41"/>
        <v>0</v>
      </c>
      <c r="AF77" s="25"/>
      <c r="AG77" t="str">
        <f t="shared" ca="1" si="43"/>
        <v/>
      </c>
      <c r="AH77" s="78" t="str">
        <f t="shared" ca="1" si="44"/>
        <v>II</v>
      </c>
      <c r="AI77" s="25"/>
    </row>
    <row r="78" spans="1:35" x14ac:dyDescent="0.2">
      <c r="A78" s="24" t="str">
        <f ca="1">IF(NOT(EXACT(Z77,"")),IF(NOT(EXACT(MID(LIT_II,$Z77,1),"")),HLOOKUP(Tabellen_Andere!$GH$3,LiturgienII,MATCH(MID(LIT_II,$Z77,45),LiturgienII,1)),""),"")</f>
        <v/>
      </c>
      <c r="B78" s="1658" t="str">
        <f t="shared" ca="1" si="10"/>
        <v/>
      </c>
      <c r="C78" s="323" t="str">
        <f t="shared" ca="1" si="11"/>
        <v/>
      </c>
      <c r="E78" s="384"/>
      <c r="F78" s="960"/>
      <c r="G78" s="324"/>
      <c r="H78" s="372" t="str">
        <f ca="1">IF(OR(A78="",Liturgien!$C$11=""),"",IF(OR(UPPER(E78)="X",UPPER(F78)="X",UPPER(G78)="X"),IF((VLOOKUP(A78,Liturgien_all,3,FALSE))*3&gt;Liturgien!$C$11,"Liturgiekenntnis-Wert zu niedrig!",""),""))</f>
        <v/>
      </c>
      <c r="I78" s="307"/>
      <c r="J78" s="307"/>
      <c r="K78" s="307"/>
      <c r="L78" s="307"/>
      <c r="M78" s="307"/>
      <c r="N78" s="1657"/>
      <c r="O78" s="268">
        <f t="shared" ca="1" si="29"/>
        <v>0</v>
      </c>
      <c r="P78" s="268">
        <f t="shared" ca="1" si="30"/>
        <v>0</v>
      </c>
      <c r="Q78" s="268" t="str">
        <f t="shared" ca="1" si="31"/>
        <v/>
      </c>
      <c r="R78" s="268">
        <f t="shared" ca="1" si="32"/>
        <v>0</v>
      </c>
      <c r="S78" s="268">
        <f t="shared" ca="1" si="33"/>
        <v>0</v>
      </c>
      <c r="T78" s="268">
        <f t="shared" ca="1" si="17"/>
        <v>0</v>
      </c>
      <c r="U78" s="268">
        <f t="shared" si="34"/>
        <v>0</v>
      </c>
      <c r="V78" s="268">
        <f t="shared" si="35"/>
        <v>0</v>
      </c>
      <c r="W78" s="268">
        <f t="shared" si="36"/>
        <v>0</v>
      </c>
      <c r="X78" s="268" t="str">
        <f t="shared" ca="1" si="37"/>
        <v/>
      </c>
      <c r="Y78" s="356"/>
      <c r="Z78" s="356" t="str">
        <f t="shared" ca="1" si="42"/>
        <v/>
      </c>
      <c r="AA78" s="25"/>
      <c r="AB78" s="268">
        <f t="shared" ca="1" si="38"/>
        <v>0</v>
      </c>
      <c r="AC78" s="268">
        <f t="shared" ca="1" si="39"/>
        <v>0</v>
      </c>
      <c r="AD78" s="268">
        <f t="shared" ca="1" si="40"/>
        <v>0</v>
      </c>
      <c r="AE78" s="268">
        <f t="shared" ca="1" si="41"/>
        <v>0</v>
      </c>
      <c r="AF78" s="25"/>
      <c r="AG78" t="str">
        <f t="shared" ca="1" si="43"/>
        <v/>
      </c>
      <c r="AH78" s="78" t="str">
        <f t="shared" ca="1" si="44"/>
        <v>II</v>
      </c>
      <c r="AI78" s="25"/>
    </row>
    <row r="79" spans="1:35" x14ac:dyDescent="0.2">
      <c r="A79" s="24" t="str">
        <f ca="1">IF(NOT(EXACT(Z78,"")),IF(NOT(EXACT(MID(LIT_II,$Z78,1),"")),HLOOKUP(Tabellen_Andere!$GH$3,LiturgienII,MATCH(MID(LIT_II,$Z78,45),LiturgienII,1)),""),"")</f>
        <v/>
      </c>
      <c r="B79" s="1658" t="str">
        <f t="shared" ca="1" si="10"/>
        <v/>
      </c>
      <c r="C79" s="323" t="str">
        <f t="shared" ca="1" si="11"/>
        <v/>
      </c>
      <c r="E79" s="384"/>
      <c r="F79" s="960"/>
      <c r="G79" s="324"/>
      <c r="H79" s="372" t="str">
        <f ca="1">IF(OR(A79="",Liturgien!$C$11=""),"",IF(OR(UPPER(E79)="X",UPPER(F79)="X",UPPER(G79)="X"),IF((VLOOKUP(A79,Liturgien_all,3,FALSE))*3&gt;Liturgien!$C$11,"Liturgiekenntnis-Wert zu niedrig!",""),""))</f>
        <v/>
      </c>
      <c r="I79" s="307"/>
      <c r="J79" s="307"/>
      <c r="K79" s="307"/>
      <c r="L79" s="307"/>
      <c r="M79" s="307"/>
      <c r="N79" s="1657"/>
      <c r="O79" s="268">
        <f t="shared" ca="1" si="29"/>
        <v>0</v>
      </c>
      <c r="P79" s="268">
        <f t="shared" ca="1" si="30"/>
        <v>0</v>
      </c>
      <c r="Q79" s="268" t="str">
        <f t="shared" ca="1" si="31"/>
        <v/>
      </c>
      <c r="R79" s="268">
        <f t="shared" ca="1" si="32"/>
        <v>0</v>
      </c>
      <c r="S79" s="268">
        <f t="shared" ca="1" si="33"/>
        <v>0</v>
      </c>
      <c r="T79" s="268">
        <f t="shared" ca="1" si="17"/>
        <v>0</v>
      </c>
      <c r="U79" s="268">
        <f t="shared" si="34"/>
        <v>0</v>
      </c>
      <c r="V79" s="268">
        <f t="shared" si="35"/>
        <v>0</v>
      </c>
      <c r="W79" s="268">
        <f t="shared" si="36"/>
        <v>0</v>
      </c>
      <c r="X79" s="268" t="str">
        <f t="shared" ca="1" si="37"/>
        <v/>
      </c>
      <c r="Y79" s="356"/>
      <c r="Z79" s="356" t="str">
        <f t="shared" ca="1" si="42"/>
        <v/>
      </c>
      <c r="AA79" s="25"/>
      <c r="AB79" s="268">
        <f t="shared" ca="1" si="38"/>
        <v>0</v>
      </c>
      <c r="AC79" s="268">
        <f t="shared" ca="1" si="39"/>
        <v>0</v>
      </c>
      <c r="AD79" s="268">
        <f t="shared" ca="1" si="40"/>
        <v>0</v>
      </c>
      <c r="AE79" s="268">
        <f t="shared" ca="1" si="41"/>
        <v>0</v>
      </c>
      <c r="AF79" s="25"/>
      <c r="AG79" t="str">
        <f t="shared" ca="1" si="43"/>
        <v/>
      </c>
      <c r="AH79" s="78" t="str">
        <f t="shared" ca="1" si="44"/>
        <v>II</v>
      </c>
      <c r="AI79" s="25"/>
    </row>
    <row r="80" spans="1:35" x14ac:dyDescent="0.2">
      <c r="A80" s="24" t="str">
        <f ca="1">IF(NOT(EXACT(Z79,"")),IF(NOT(EXACT(MID(LIT_II,$Z79,1),"")),HLOOKUP(Tabellen_Andere!$GH$3,LiturgienII,MATCH(MID(LIT_II,$Z79,45),LiturgienII,1)),""),"")</f>
        <v/>
      </c>
      <c r="B80" s="1658" t="str">
        <f t="shared" ca="1" si="10"/>
        <v/>
      </c>
      <c r="C80" s="323" t="str">
        <f t="shared" ca="1" si="11"/>
        <v/>
      </c>
      <c r="E80" s="384"/>
      <c r="F80" s="960"/>
      <c r="G80" s="324"/>
      <c r="H80" s="372" t="str">
        <f ca="1">IF(OR(A80="",Liturgien!$C$11=""),"",IF(OR(UPPER(E80)="X",UPPER(F80)="X",UPPER(G80)="X"),IF((VLOOKUP(A80,Liturgien_all,3,FALSE))*3&gt;Liturgien!$C$11,"Liturgiekenntnis-Wert zu niedrig!",""),""))</f>
        <v/>
      </c>
      <c r="I80" s="307"/>
      <c r="J80" s="307"/>
      <c r="K80" s="307"/>
      <c r="L80" s="307"/>
      <c r="M80" s="307"/>
      <c r="N80" s="1657"/>
      <c r="O80" s="268">
        <f t="shared" ca="1" si="29"/>
        <v>0</v>
      </c>
      <c r="P80" s="268">
        <f t="shared" ca="1" si="30"/>
        <v>0</v>
      </c>
      <c r="Q80" s="268" t="str">
        <f t="shared" ca="1" si="31"/>
        <v/>
      </c>
      <c r="R80" s="268">
        <f t="shared" ca="1" si="32"/>
        <v>0</v>
      </c>
      <c r="S80" s="268">
        <f t="shared" ca="1" si="33"/>
        <v>0</v>
      </c>
      <c r="T80" s="268">
        <f t="shared" ca="1" si="17"/>
        <v>0</v>
      </c>
      <c r="U80" s="268">
        <f t="shared" si="34"/>
        <v>0</v>
      </c>
      <c r="V80" s="268">
        <f t="shared" si="35"/>
        <v>0</v>
      </c>
      <c r="W80" s="268">
        <f t="shared" si="36"/>
        <v>0</v>
      </c>
      <c r="X80" s="268" t="str">
        <f t="shared" ca="1" si="37"/>
        <v/>
      </c>
      <c r="Y80" s="356"/>
      <c r="Z80" s="356" t="str">
        <f t="shared" ca="1" si="42"/>
        <v/>
      </c>
      <c r="AA80" s="25"/>
      <c r="AB80" s="268">
        <f t="shared" ca="1" si="38"/>
        <v>0</v>
      </c>
      <c r="AC80" s="268">
        <f t="shared" ca="1" si="39"/>
        <v>0</v>
      </c>
      <c r="AD80" s="268">
        <f t="shared" ca="1" si="40"/>
        <v>0</v>
      </c>
      <c r="AE80" s="268">
        <f t="shared" ca="1" si="41"/>
        <v>0</v>
      </c>
      <c r="AF80" s="25"/>
      <c r="AG80" t="str">
        <f t="shared" ca="1" si="43"/>
        <v/>
      </c>
      <c r="AH80" s="78" t="str">
        <f t="shared" ca="1" si="44"/>
        <v>II</v>
      </c>
      <c r="AI80" s="25"/>
    </row>
    <row r="81" spans="1:37" x14ac:dyDescent="0.2">
      <c r="A81" s="24" t="str">
        <f ca="1">IF(NOT(EXACT(Z80,"")),IF(NOT(EXACT(MID(LIT_II,$Z80,1),"")),HLOOKUP(Tabellen_Andere!$GH$3,LiturgienII,MATCH(MID(LIT_II,$Z80,45),LiturgienII,1)),""),"")</f>
        <v/>
      </c>
      <c r="B81" s="1658" t="str">
        <f t="shared" ca="1" si="10"/>
        <v/>
      </c>
      <c r="C81" s="323" t="str">
        <f t="shared" ca="1" si="11"/>
        <v/>
      </c>
      <c r="E81" s="384"/>
      <c r="F81" s="960"/>
      <c r="G81" s="324"/>
      <c r="H81" s="372" t="str">
        <f ca="1">IF(OR(A81="",Liturgien!$C$11=""),"",IF(OR(UPPER(E81)="X",UPPER(F81)="X",UPPER(G81)="X"),IF((VLOOKUP(A81,Liturgien_all,3,FALSE))*3&gt;Liturgien!$C$11,"Liturgiekenntnis-Wert zu niedrig!",""),""))</f>
        <v/>
      </c>
      <c r="I81" s="307"/>
      <c r="J81" s="307"/>
      <c r="K81" s="307"/>
      <c r="L81" s="307"/>
      <c r="M81" s="307"/>
      <c r="N81" s="1657"/>
      <c r="O81" s="268">
        <f t="shared" ca="1" si="29"/>
        <v>0</v>
      </c>
      <c r="P81" s="268">
        <f t="shared" ca="1" si="30"/>
        <v>0</v>
      </c>
      <c r="Q81" s="268" t="str">
        <f t="shared" ca="1" si="31"/>
        <v/>
      </c>
      <c r="R81" s="268">
        <f t="shared" ca="1" si="32"/>
        <v>0</v>
      </c>
      <c r="S81" s="268">
        <f t="shared" ca="1" si="33"/>
        <v>0</v>
      </c>
      <c r="T81" s="268">
        <f t="shared" ca="1" si="17"/>
        <v>0</v>
      </c>
      <c r="U81" s="268">
        <f t="shared" si="34"/>
        <v>0</v>
      </c>
      <c r="V81" s="268">
        <f t="shared" si="35"/>
        <v>0</v>
      </c>
      <c r="W81" s="268">
        <f t="shared" si="36"/>
        <v>0</v>
      </c>
      <c r="X81" s="268" t="str">
        <f t="shared" ca="1" si="37"/>
        <v/>
      </c>
      <c r="Y81" s="356"/>
      <c r="Z81" s="356" t="str">
        <f t="shared" ca="1" si="42"/>
        <v/>
      </c>
      <c r="AA81" s="25"/>
      <c r="AB81" s="268">
        <f t="shared" ca="1" si="38"/>
        <v>0</v>
      </c>
      <c r="AC81" s="268">
        <f t="shared" ca="1" si="39"/>
        <v>0</v>
      </c>
      <c r="AD81" s="268">
        <f t="shared" ca="1" si="40"/>
        <v>0</v>
      </c>
      <c r="AE81" s="268">
        <f t="shared" ca="1" si="41"/>
        <v>0</v>
      </c>
      <c r="AF81" s="25"/>
      <c r="AG81" t="str">
        <f t="shared" ca="1" si="43"/>
        <v/>
      </c>
      <c r="AH81" s="78" t="str">
        <f t="shared" ca="1" si="44"/>
        <v>II</v>
      </c>
      <c r="AI81" s="25"/>
    </row>
    <row r="82" spans="1:37" x14ac:dyDescent="0.2">
      <c r="A82" s="24" t="str">
        <f ca="1">IF(NOT(EXACT(Z81,"")),IF(NOT(EXACT(MID(LIT_II,$Z81,1),"")),HLOOKUP(Tabellen_Andere!$GH$3,LiturgienII,MATCH(MID(LIT_II,$Z81,45),LiturgienII,1)),""),"")</f>
        <v/>
      </c>
      <c r="B82" s="1658" t="str">
        <f t="shared" ca="1" si="10"/>
        <v/>
      </c>
      <c r="C82" s="323" t="str">
        <f t="shared" ca="1" si="11"/>
        <v/>
      </c>
      <c r="E82" s="384"/>
      <c r="F82" s="960"/>
      <c r="G82" s="324"/>
      <c r="H82" s="372" t="str">
        <f ca="1">IF(OR(A82="",Liturgien!$C$11=""),"",IF(OR(UPPER(E82)="X",UPPER(F82)="X",UPPER(G82)="X"),IF((VLOOKUP(A82,Liturgien_all,3,FALSE))*3&gt;Liturgien!$C$11,"Liturgiekenntnis-Wert zu niedrig!",""),""))</f>
        <v/>
      </c>
      <c r="I82" s="307"/>
      <c r="J82" s="307"/>
      <c r="K82" s="307"/>
      <c r="L82" s="307"/>
      <c r="M82" s="307"/>
      <c r="N82" s="1657"/>
      <c r="O82" s="268">
        <f t="shared" ca="1" si="29"/>
        <v>0</v>
      </c>
      <c r="P82" s="268">
        <f t="shared" ca="1" si="30"/>
        <v>0</v>
      </c>
      <c r="Q82" s="268" t="str">
        <f t="shared" ca="1" si="31"/>
        <v/>
      </c>
      <c r="R82" s="268">
        <f t="shared" ca="1" si="32"/>
        <v>0</v>
      </c>
      <c r="S82" s="268">
        <f t="shared" ca="1" si="33"/>
        <v>0</v>
      </c>
      <c r="T82" s="268">
        <f t="shared" ca="1" si="17"/>
        <v>0</v>
      </c>
      <c r="U82" s="268">
        <f t="shared" si="34"/>
        <v>0</v>
      </c>
      <c r="V82" s="268">
        <f t="shared" si="35"/>
        <v>0</v>
      </c>
      <c r="W82" s="268">
        <f t="shared" si="36"/>
        <v>0</v>
      </c>
      <c r="X82" s="268" t="str">
        <f t="shared" ca="1" si="37"/>
        <v/>
      </c>
      <c r="Y82" s="356"/>
      <c r="Z82" s="356" t="str">
        <f t="shared" ca="1" si="42"/>
        <v/>
      </c>
      <c r="AA82" s="25"/>
      <c r="AB82" s="268">
        <f t="shared" ca="1" si="38"/>
        <v>0</v>
      </c>
      <c r="AC82" s="268">
        <f t="shared" ca="1" si="39"/>
        <v>0</v>
      </c>
      <c r="AD82" s="268">
        <f t="shared" ca="1" si="40"/>
        <v>0</v>
      </c>
      <c r="AE82" s="268">
        <f t="shared" ca="1" si="41"/>
        <v>0</v>
      </c>
      <c r="AF82" s="25"/>
      <c r="AG82" t="str">
        <f t="shared" ca="1" si="43"/>
        <v/>
      </c>
      <c r="AH82" s="78" t="str">
        <f t="shared" ca="1" si="44"/>
        <v>II</v>
      </c>
      <c r="AI82" s="25"/>
    </row>
    <row r="83" spans="1:37" x14ac:dyDescent="0.2">
      <c r="A83" s="180" t="s">
        <v>9</v>
      </c>
      <c r="B83" s="25"/>
      <c r="C83" s="25"/>
      <c r="D83" s="25"/>
      <c r="E83" s="193"/>
      <c r="F83" s="193"/>
      <c r="G83" s="193"/>
      <c r="H83" s="25" t="str">
        <f ca="1">IF(APGUT&lt;0,"Keine AP mehr übrig!",IF(TL_GP_UEBRIG&lt;0,"Keine Start-AP mehr übrig!","▼ Fehlermeldungen ▼  "&amp;"(AP: "&amp;APGUT&amp;")"))</f>
        <v>▼ Fehlermeldungen ▼  (AP: 0)</v>
      </c>
      <c r="I83" s="25"/>
      <c r="J83" s="25"/>
      <c r="K83" s="25"/>
      <c r="L83" s="25"/>
      <c r="M83" s="25"/>
      <c r="N83" s="25"/>
      <c r="O83" s="25"/>
      <c r="P83" s="25"/>
      <c r="Q83" s="25"/>
      <c r="R83" s="25"/>
      <c r="S83" s="25"/>
      <c r="T83" s="25"/>
      <c r="U83" s="25"/>
      <c r="V83" s="25"/>
      <c r="W83" s="25"/>
      <c r="X83" s="1154" t="s">
        <v>518</v>
      </c>
      <c r="Y83" s="25" t="s">
        <v>3055</v>
      </c>
      <c r="Z83" s="305">
        <f>ROW(A84)-1</f>
        <v>83</v>
      </c>
      <c r="AA83" s="25"/>
      <c r="AB83" s="305"/>
      <c r="AC83" s="305"/>
      <c r="AD83" s="305"/>
      <c r="AE83" s="305"/>
      <c r="AF83" s="25"/>
      <c r="AI83" s="25"/>
    </row>
    <row r="84" spans="1:37" x14ac:dyDescent="0.2">
      <c r="A84" s="24" t="str">
        <f ca="1">IF(NOT(EXACT(LIT_III,"")),HLOOKUP(Tabellen_Andere!$GH$3,LiturgienIII,MATCH(LEFT(LIT_III,45),LiturgienIII,1)),"")</f>
        <v/>
      </c>
      <c r="B84" s="1658" t="str">
        <f t="shared" ca="1" si="10"/>
        <v/>
      </c>
      <c r="C84" s="323" t="str">
        <f t="shared" ca="1" si="11"/>
        <v/>
      </c>
      <c r="E84" s="384"/>
      <c r="F84" s="960"/>
      <c r="G84" s="324"/>
      <c r="H84" s="372" t="str">
        <f ca="1">IF(OR(A84="",Liturgien!$C$11=""),"",IF(OR(UPPER(E84)="X",UPPER(F84)="X",UPPER(G84)="X"),IF((VLOOKUP(A84,Liturgien_all,3,FALSE))*3&gt;Liturgien!$C$11,"Liturgiekenntnis-Wert zu niedrig!",""),""))</f>
        <v/>
      </c>
      <c r="I84" s="307"/>
      <c r="J84" s="307"/>
      <c r="K84" s="307"/>
      <c r="L84" s="307"/>
      <c r="M84" s="307"/>
      <c r="N84" s="1657"/>
      <c r="O84" s="268">
        <f t="shared" ref="O84:O102" ca="1" si="45">IF(A84="",0,IF(VLOOKUP($A84,Liturgien_all,13,FALSE)="",N84,
IF(ISERROR(VLOOKUP(VLOOKUP($A84,Liturgien_all,13,FALSE),Liturgien_all,3,FALSE)),0, N84-IF(ISERROR(FIND(VLOOKUP($A84,Liturgien_all,13,FALSE),Liturgien_Aktiv,1)),0,VLOOKUP(VLOOKUP($A84,Liturgien_all,13,FALSE),Liturgien_all,3,FALSE)) )))</f>
        <v>0</v>
      </c>
      <c r="P84" s="268">
        <f t="shared" ref="P84:P102" ca="1" si="46">IF(A84="",0,IF(VLOOKUP($A84,Liturgien_all,3,FALSE)="",0,VLOOKUP($A84,Liturgien_all,3,FALSE)))</f>
        <v>0</v>
      </c>
      <c r="Q84" s="268" t="str">
        <f t="shared" ref="Q84:Q102" ca="1" si="47">IF(A84="","",IF(VLOOKUP($A84,Liturgien_all,12,FALSE)="","",VLOOKUP($A84,Liturgien_all,12,FALSE)))</f>
        <v/>
      </c>
      <c r="R84" s="268">
        <f t="shared" ref="R84:R102" ca="1" si="48">IF(Q84="",0,IF(I84&gt;Q84,Q84,I84))</f>
        <v>0</v>
      </c>
      <c r="S84" s="268">
        <f t="shared" ref="S84:S102" ca="1" si="49">SUM(T84:W84)</f>
        <v>0</v>
      </c>
      <c r="T84" s="268">
        <f t="shared" ca="1" si="17"/>
        <v>0</v>
      </c>
      <c r="U84" s="268">
        <f t="shared" ref="U84:U102" si="50">IF(D84="",0,IF(VLOOKUP(D84,Liturgien_all,5,FALSE)="speziell",0,IF(Q84="",0,VLOOKUP(Q84,RITUALDAUER_WERT,2,FALSE)-VLOOKUP(VLOOKUP(D84,Liturgien_all,5,FALSE),RITUALDAUER_WERT,2,FALSE))))</f>
        <v>0</v>
      </c>
      <c r="V84" s="268">
        <f t="shared" ref="V84:V102" si="51">IF(D84="",0,IF(VLOOKUP(D84,Liturgien_all,6,FALSE)="speziell",0,IF(R84="",0,VLOOKUP(R84,WIRKUNGSDAUER_WERT,2,FALSE)-VLOOKUP(VLOOKUP(D84,Liturgien_all,6,FALSE),WIRKUNGSDAUER_WERT,2,FALSE))))</f>
        <v>0</v>
      </c>
      <c r="W84" s="268">
        <f t="shared" ref="W84:W102" si="52">IF(D84="",0,IF(VLOOKUP(D84,Liturgien_all,7,FALSE)="speziell",0,IF(S84="",0,VLOOKUP(S84,ENTFERNUNG_WERT,2,FALSE)-VLOOKUP(VLOOKUP(D84,Liturgien_all,7,FALSE),ENTFERNUNG_WERT,2,FALSE))))</f>
        <v>0</v>
      </c>
      <c r="X84" s="268" t="str">
        <f t="shared" ref="X84:X102" ca="1" si="53">IF(AND(OR(UPPER(B84)="X",UPPER(E84)="X",UPPER(F84)="X",UPPER(G84)="X",F84=2),H84=""),A84&amp;",","")</f>
        <v/>
      </c>
      <c r="Y84" s="154" t="str">
        <f ca="1">IF(Y85="","",CONCATENATE(Y83,Y85))</f>
        <v/>
      </c>
      <c r="Z84" s="356" t="str">
        <f ca="1">IF(NOT(EXACT(LIT_III,"")),LEN(A84)+2,"")</f>
        <v/>
      </c>
      <c r="AA84" s="25"/>
      <c r="AB84" s="268">
        <f t="shared" ref="AB84:AB102" ca="1" si="54">ROUND(IF(AND(NOT(EXACT($A84,"")),UPPER(E84)="X"),P84,0)*IF(UPPER(C84)="X",0.5,1)*IF(VT_EIDGED,0.5,IF(VT_GUTGED,0.75,1)),0)</f>
        <v>0</v>
      </c>
      <c r="AC84" s="268">
        <f t="shared" ref="AC84:AC102" ca="1" si="55">ROUND(50*IF(AND(NOT(EXACT($A84,"")),UPPER(F84)="X"),P84*IF(UPPER(C84)="X",0.5,1)*IF(VT_EIDGED,0.5,IF(VT_GUTGED,0.75,1)),0),0)</f>
        <v>0</v>
      </c>
      <c r="AD84" s="268">
        <f t="shared" ref="AD84:AD102" ca="1" si="56">ROUND(50*IF(AND(NOT(EXACT($A84,"")),F84=2),P84*IF(UPPER(C84)="X",0.5,1)*IF(VT_EIDGED,0.5,IF(VT_GUTGED,0.75,1)),0),0)</f>
        <v>0</v>
      </c>
      <c r="AE84" s="268">
        <f t="shared" ref="AE84:AE102" ca="1" si="57">ROUND(50*(IF(AND(NOT(EXACT($A84,"")),UPPER(G84)="X"),P84,0)*IF(UPPER(C84)="X",0.5,1)*IF(VT_EIDGED,0.5,IF(VT_GUTGED,0.75,1))+$R84+IF(UPPER(G84)="X",$O84,0))+10*$S84,0)</f>
        <v>0</v>
      </c>
      <c r="AF84" s="25"/>
      <c r="AG84" t="str">
        <f ca="1">A84</f>
        <v/>
      </c>
      <c r="AH84" s="78" t="str">
        <f ca="1">ROMAN(R84+S84+3)</f>
        <v>III</v>
      </c>
      <c r="AI84" s="25"/>
    </row>
    <row r="85" spans="1:37" x14ac:dyDescent="0.2">
      <c r="A85" s="24" t="str">
        <f ca="1">IF(NOT(EXACT(Z84,"")),IF(NOT(EXACT(MID(LIT_III,$Z84,1),"")),HLOOKUP(Tabellen_Andere!$GH$3,LiturgienIII,MATCH(MID(LIT_III,$Z84,45),LiturgienIII,1)),""),"")</f>
        <v/>
      </c>
      <c r="B85" s="1658" t="str">
        <f t="shared" ca="1" si="10"/>
        <v/>
      </c>
      <c r="C85" s="323" t="str">
        <f t="shared" ca="1" si="11"/>
        <v/>
      </c>
      <c r="E85" s="384"/>
      <c r="F85" s="960"/>
      <c r="G85" s="324"/>
      <c r="H85" s="372" t="str">
        <f ca="1">IF(OR(A85="",Liturgien!$C$11=""),"",IF(OR(UPPER(E85)="X",UPPER(F85)="X",UPPER(G85)="X"),IF((VLOOKUP(A85,Liturgien_all,3,FALSE))*3&gt;Liturgien!$C$11,"Liturgiekenntnis-Wert zu niedrig!",""),""))</f>
        <v/>
      </c>
      <c r="I85" s="307"/>
      <c r="J85" s="307"/>
      <c r="K85" s="307"/>
      <c r="L85" s="307"/>
      <c r="M85" s="307"/>
      <c r="N85" s="1657"/>
      <c r="O85" s="268">
        <f t="shared" ca="1" si="45"/>
        <v>0</v>
      </c>
      <c r="P85" s="268">
        <f t="shared" ca="1" si="46"/>
        <v>0</v>
      </c>
      <c r="Q85" s="268" t="str">
        <f t="shared" ca="1" si="47"/>
        <v/>
      </c>
      <c r="R85" s="268">
        <f t="shared" ca="1" si="48"/>
        <v>0</v>
      </c>
      <c r="S85" s="268">
        <f t="shared" ca="1" si="49"/>
        <v>0</v>
      </c>
      <c r="T85" s="268">
        <f t="shared" ca="1" si="17"/>
        <v>0</v>
      </c>
      <c r="U85" s="268">
        <f t="shared" si="50"/>
        <v>0</v>
      </c>
      <c r="V85" s="268">
        <f t="shared" si="51"/>
        <v>0</v>
      </c>
      <c r="W85" s="268">
        <f t="shared" si="52"/>
        <v>0</v>
      </c>
      <c r="X85" s="268" t="str">
        <f t="shared" ca="1" si="53"/>
        <v/>
      </c>
      <c r="Y85" s="154" t="str">
        <f ca="1">CONCATENATE(X84,X85,X86,X87,X88,X89,X90,X91,X92,X93,X94,X95,X96,X97,X98,X99,X100,X101,X102)</f>
        <v/>
      </c>
      <c r="Z85" s="356" t="str">
        <f t="shared" ref="Z85:Z101" ca="1" si="58">IF(NOT(EXACT(Z84,"")),IF(NOT(EXACT(MID(LIT_III,$Z84,1),"")),Z84+LEN(A85)+1,""),"")</f>
        <v/>
      </c>
      <c r="AA85" s="25"/>
      <c r="AB85" s="268">
        <f t="shared" ca="1" si="54"/>
        <v>0</v>
      </c>
      <c r="AC85" s="268">
        <f t="shared" ca="1" si="55"/>
        <v>0</v>
      </c>
      <c r="AD85" s="268">
        <f t="shared" ca="1" si="56"/>
        <v>0</v>
      </c>
      <c r="AE85" s="268">
        <f t="shared" ca="1" si="57"/>
        <v>0</v>
      </c>
      <c r="AF85" s="25"/>
      <c r="AG85" t="str">
        <f t="shared" ref="AG85:AG102" ca="1" si="59">A85</f>
        <v/>
      </c>
      <c r="AH85" s="78" t="str">
        <f t="shared" ref="AH85:AH102" ca="1" si="60">ROMAN(R85+S85+3)</f>
        <v>III</v>
      </c>
      <c r="AI85" s="25"/>
    </row>
    <row r="86" spans="1:37" x14ac:dyDescent="0.2">
      <c r="A86" s="24" t="str">
        <f ca="1">IF(NOT(EXACT(Z85,"")),IF(NOT(EXACT(MID(LIT_III,$Z85,1),"")),HLOOKUP(Tabellen_Andere!$GH$3,LiturgienIII,MATCH(MID(LIT_III,$Z85,45),LiturgienIII,1)),""),"")</f>
        <v/>
      </c>
      <c r="B86" s="1658" t="str">
        <f t="shared" ca="1" si="10"/>
        <v/>
      </c>
      <c r="C86" s="323" t="str">
        <f t="shared" ca="1" si="11"/>
        <v/>
      </c>
      <c r="E86" s="384"/>
      <c r="F86" s="960"/>
      <c r="G86" s="324"/>
      <c r="H86" s="372" t="str">
        <f ca="1">IF(OR(A86="",Liturgien!$C$11=""),"",IF(OR(UPPER(E86)="X",UPPER(F86)="X",UPPER(G86)="X"),IF((VLOOKUP(A86,Liturgien_all,3,FALSE))*3&gt;Liturgien!$C$11,"Liturgiekenntnis-Wert zu niedrig!",""),""))</f>
        <v/>
      </c>
      <c r="I86" s="307"/>
      <c r="J86" s="307"/>
      <c r="K86" s="307"/>
      <c r="L86" s="307"/>
      <c r="M86" s="307"/>
      <c r="N86" s="1657"/>
      <c r="O86" s="268">
        <f ca="1">IF(A86="",0,IF(VLOOKUP($A86,Liturgien_all,13,FALSE)="",N86,
IF(ISERROR(VLOOKUP(VLOOKUP($A86,Liturgien_all,13,FALSE),Liturgien_all,3,FALSE)),0, N86-IF(ISERROR(FIND(VLOOKUP($A86,Liturgien_all,13,FALSE),Liturgien_Aktiv,1)),0,VLOOKUP(VLOOKUP($A86,Liturgien_all,13,FALSE),Liturgien_all,3,FALSE)) )))</f>
        <v>0</v>
      </c>
      <c r="P86" s="268">
        <f t="shared" ca="1" si="46"/>
        <v>0</v>
      </c>
      <c r="Q86" s="268" t="str">
        <f t="shared" ca="1" si="47"/>
        <v/>
      </c>
      <c r="R86" s="268">
        <f t="shared" ca="1" si="48"/>
        <v>0</v>
      </c>
      <c r="S86" s="268">
        <f t="shared" ca="1" si="49"/>
        <v>0</v>
      </c>
      <c r="T86" s="268">
        <f t="shared" ca="1" si="17"/>
        <v>0</v>
      </c>
      <c r="U86" s="268">
        <f t="shared" si="50"/>
        <v>0</v>
      </c>
      <c r="V86" s="268">
        <f t="shared" si="51"/>
        <v>0</v>
      </c>
      <c r="W86" s="268">
        <f t="shared" si="52"/>
        <v>0</v>
      </c>
      <c r="X86" s="268" t="str">
        <f t="shared" ca="1" si="53"/>
        <v/>
      </c>
      <c r="Y86" s="356"/>
      <c r="Z86" s="356" t="str">
        <f t="shared" ca="1" si="58"/>
        <v/>
      </c>
      <c r="AA86" s="25"/>
      <c r="AB86" s="268">
        <f t="shared" ca="1" si="54"/>
        <v>0</v>
      </c>
      <c r="AC86" s="268">
        <f t="shared" ca="1" si="55"/>
        <v>0</v>
      </c>
      <c r="AD86" s="268">
        <f t="shared" ca="1" si="56"/>
        <v>0</v>
      </c>
      <c r="AE86" s="268">
        <f t="shared" ca="1" si="57"/>
        <v>0</v>
      </c>
      <c r="AF86" s="25"/>
      <c r="AG86" t="str">
        <f t="shared" ca="1" si="59"/>
        <v/>
      </c>
      <c r="AH86" s="78" t="str">
        <f t="shared" ca="1" si="60"/>
        <v>III</v>
      </c>
      <c r="AI86" s="25"/>
      <c r="AK86" s="47"/>
    </row>
    <row r="87" spans="1:37" x14ac:dyDescent="0.2">
      <c r="A87" s="24" t="str">
        <f ca="1">IF(NOT(EXACT(Z86,"")),IF(NOT(EXACT(MID(LIT_III,$Z86,1),"")),HLOOKUP(Tabellen_Andere!$GH$3,LiturgienIII,MATCH(MID(LIT_III,$Z86,45),LiturgienIII,1)),""),"")</f>
        <v/>
      </c>
      <c r="B87" s="1658" t="str">
        <f t="shared" ca="1" si="10"/>
        <v/>
      </c>
      <c r="C87" s="323" t="str">
        <f t="shared" ca="1" si="11"/>
        <v/>
      </c>
      <c r="E87" s="384"/>
      <c r="F87" s="960"/>
      <c r="G87" s="324"/>
      <c r="H87" s="372" t="str">
        <f ca="1">IF(OR(A87="",Liturgien!$C$11=""),"",IF(OR(UPPER(E87)="X",UPPER(F87)="X",UPPER(G87)="X"),IF((VLOOKUP(A87,Liturgien_all,3,FALSE))*3&gt;Liturgien!$C$11,"Liturgiekenntnis-Wert zu niedrig!",""),""))</f>
        <v/>
      </c>
      <c r="I87" s="307"/>
      <c r="J87" s="307"/>
      <c r="K87" s="307"/>
      <c r="L87" s="307"/>
      <c r="M87" s="307"/>
      <c r="N87" s="1657"/>
      <c r="O87" s="268">
        <f t="shared" ca="1" si="45"/>
        <v>0</v>
      </c>
      <c r="P87" s="268">
        <f t="shared" ca="1" si="46"/>
        <v>0</v>
      </c>
      <c r="Q87" s="268" t="str">
        <f t="shared" ca="1" si="47"/>
        <v/>
      </c>
      <c r="R87" s="268">
        <f t="shared" ca="1" si="48"/>
        <v>0</v>
      </c>
      <c r="S87" s="268">
        <f t="shared" ca="1" si="49"/>
        <v>0</v>
      </c>
      <c r="T87" s="268">
        <f t="shared" ca="1" si="17"/>
        <v>0</v>
      </c>
      <c r="U87" s="268">
        <f t="shared" si="50"/>
        <v>0</v>
      </c>
      <c r="V87" s="268">
        <f t="shared" si="51"/>
        <v>0</v>
      </c>
      <c r="W87" s="268">
        <f t="shared" si="52"/>
        <v>0</v>
      </c>
      <c r="X87" s="268" t="str">
        <f t="shared" ca="1" si="53"/>
        <v/>
      </c>
      <c r="Y87" s="356"/>
      <c r="Z87" s="356" t="str">
        <f t="shared" ca="1" si="58"/>
        <v/>
      </c>
      <c r="AA87" s="25"/>
      <c r="AB87" s="268">
        <f t="shared" ca="1" si="54"/>
        <v>0</v>
      </c>
      <c r="AC87" s="268">
        <f t="shared" ca="1" si="55"/>
        <v>0</v>
      </c>
      <c r="AD87" s="268">
        <f t="shared" ca="1" si="56"/>
        <v>0</v>
      </c>
      <c r="AE87" s="268">
        <f t="shared" ca="1" si="57"/>
        <v>0</v>
      </c>
      <c r="AF87" s="25"/>
      <c r="AG87" t="str">
        <f t="shared" ca="1" si="59"/>
        <v/>
      </c>
      <c r="AH87" s="78" t="str">
        <f t="shared" ca="1" si="60"/>
        <v>III</v>
      </c>
      <c r="AI87" s="25"/>
    </row>
    <row r="88" spans="1:37" x14ac:dyDescent="0.2">
      <c r="A88" s="24" t="str">
        <f ca="1">IF(NOT(EXACT(Z87,"")),IF(NOT(EXACT(MID(LIT_III,$Z87,1),"")),HLOOKUP(Tabellen_Andere!$GH$3,LiturgienIII,MATCH(MID(LIT_III,$Z87,45),LiturgienIII,1)),""),"")</f>
        <v/>
      </c>
      <c r="B88" s="1658" t="str">
        <f t="shared" ca="1" si="10"/>
        <v/>
      </c>
      <c r="C88" s="323" t="str">
        <f t="shared" ca="1" si="11"/>
        <v/>
      </c>
      <c r="E88" s="384"/>
      <c r="F88" s="960"/>
      <c r="G88" s="324"/>
      <c r="H88" s="372" t="str">
        <f ca="1">IF(OR(A88="",Liturgien!$C$11=""),"",IF(OR(UPPER(E88)="X",UPPER(F88)="X",UPPER(G88)="X"),IF((VLOOKUP(A88,Liturgien_all,3,FALSE))*3&gt;Liturgien!$C$11,"Liturgiekenntnis-Wert zu niedrig!",""),""))</f>
        <v/>
      </c>
      <c r="I88" s="307"/>
      <c r="J88" s="307"/>
      <c r="K88" s="307"/>
      <c r="L88" s="307"/>
      <c r="M88" s="307"/>
      <c r="N88" s="1657"/>
      <c r="O88" s="268">
        <f t="shared" ca="1" si="45"/>
        <v>0</v>
      </c>
      <c r="P88" s="268">
        <f t="shared" ca="1" si="46"/>
        <v>0</v>
      </c>
      <c r="Q88" s="268" t="str">
        <f t="shared" ca="1" si="47"/>
        <v/>
      </c>
      <c r="R88" s="268">
        <f t="shared" ca="1" si="48"/>
        <v>0</v>
      </c>
      <c r="S88" s="268">
        <f t="shared" ca="1" si="49"/>
        <v>0</v>
      </c>
      <c r="T88" s="268">
        <f t="shared" ca="1" si="17"/>
        <v>0</v>
      </c>
      <c r="U88" s="268">
        <f t="shared" si="50"/>
        <v>0</v>
      </c>
      <c r="V88" s="268">
        <f t="shared" si="51"/>
        <v>0</v>
      </c>
      <c r="W88" s="268">
        <f t="shared" si="52"/>
        <v>0</v>
      </c>
      <c r="X88" s="268" t="str">
        <f t="shared" ca="1" si="53"/>
        <v/>
      </c>
      <c r="Y88" s="356"/>
      <c r="Z88" s="356" t="str">
        <f t="shared" ca="1" si="58"/>
        <v/>
      </c>
      <c r="AA88" s="25"/>
      <c r="AB88" s="268">
        <f t="shared" ca="1" si="54"/>
        <v>0</v>
      </c>
      <c r="AC88" s="268">
        <f t="shared" ca="1" si="55"/>
        <v>0</v>
      </c>
      <c r="AD88" s="268">
        <f t="shared" ca="1" si="56"/>
        <v>0</v>
      </c>
      <c r="AE88" s="268">
        <f t="shared" ca="1" si="57"/>
        <v>0</v>
      </c>
      <c r="AF88" s="25"/>
      <c r="AG88" t="str">
        <f t="shared" ca="1" si="59"/>
        <v/>
      </c>
      <c r="AH88" s="78" t="str">
        <f t="shared" ca="1" si="60"/>
        <v>III</v>
      </c>
      <c r="AI88" s="25"/>
    </row>
    <row r="89" spans="1:37" x14ac:dyDescent="0.2">
      <c r="A89" s="24" t="str">
        <f ca="1">IF(NOT(EXACT(Z88,"")),IF(NOT(EXACT(MID(LIT_III,$Z88,1),"")),HLOOKUP(Tabellen_Andere!$GH$3,LiturgienIII,MATCH(MID(LIT_III,$Z88,45),LiturgienIII,1)),""),"")</f>
        <v/>
      </c>
      <c r="B89" s="1658" t="str">
        <f t="shared" ca="1" si="10"/>
        <v/>
      </c>
      <c r="C89" s="323" t="str">
        <f t="shared" ca="1" si="11"/>
        <v/>
      </c>
      <c r="E89" s="384"/>
      <c r="F89" s="960"/>
      <c r="G89" s="324"/>
      <c r="H89" s="372" t="str">
        <f ca="1">IF(OR(A89="",Liturgien!$C$11=""),"",IF(OR(UPPER(E89)="X",UPPER(F89)="X",UPPER(G89)="X"),IF((VLOOKUP(A89,Liturgien_all,3,FALSE))*3&gt;Liturgien!$C$11,"Liturgiekenntnis-Wert zu niedrig!",""),""))</f>
        <v/>
      </c>
      <c r="I89" s="307"/>
      <c r="J89" s="307"/>
      <c r="K89" s="307"/>
      <c r="L89" s="307"/>
      <c r="M89" s="307"/>
      <c r="N89" s="1657"/>
      <c r="O89" s="268">
        <f t="shared" ca="1" si="45"/>
        <v>0</v>
      </c>
      <c r="P89" s="268">
        <f t="shared" ca="1" si="46"/>
        <v>0</v>
      </c>
      <c r="Q89" s="268" t="str">
        <f t="shared" ca="1" si="47"/>
        <v/>
      </c>
      <c r="R89" s="268">
        <f t="shared" ca="1" si="48"/>
        <v>0</v>
      </c>
      <c r="S89" s="268">
        <f t="shared" ca="1" si="49"/>
        <v>0</v>
      </c>
      <c r="T89" s="268">
        <f t="shared" ca="1" si="17"/>
        <v>0</v>
      </c>
      <c r="U89" s="268">
        <f t="shared" si="50"/>
        <v>0</v>
      </c>
      <c r="V89" s="268">
        <f t="shared" si="51"/>
        <v>0</v>
      </c>
      <c r="W89" s="268">
        <f t="shared" si="52"/>
        <v>0</v>
      </c>
      <c r="X89" s="268" t="str">
        <f t="shared" ca="1" si="53"/>
        <v/>
      </c>
      <c r="Y89" s="356"/>
      <c r="Z89" s="356" t="str">
        <f t="shared" ca="1" si="58"/>
        <v/>
      </c>
      <c r="AA89" s="25"/>
      <c r="AB89" s="268">
        <f t="shared" ca="1" si="54"/>
        <v>0</v>
      </c>
      <c r="AC89" s="268">
        <f t="shared" ca="1" si="55"/>
        <v>0</v>
      </c>
      <c r="AD89" s="268">
        <f t="shared" ca="1" si="56"/>
        <v>0</v>
      </c>
      <c r="AE89" s="268">
        <f t="shared" ca="1" si="57"/>
        <v>0</v>
      </c>
      <c r="AF89" s="25"/>
      <c r="AG89" t="str">
        <f t="shared" ca="1" si="59"/>
        <v/>
      </c>
      <c r="AH89" s="78" t="str">
        <f t="shared" ca="1" si="60"/>
        <v>III</v>
      </c>
      <c r="AI89" s="25"/>
    </row>
    <row r="90" spans="1:37" x14ac:dyDescent="0.2">
      <c r="A90" s="24" t="str">
        <f ca="1">IF(NOT(EXACT(Z89,"")),IF(NOT(EXACT(MID(LIT_III,$Z89,1),"")),HLOOKUP(Tabellen_Andere!$GH$3,LiturgienIII,MATCH(MID(LIT_III,$Z89,45),LiturgienIII,1)),""),"")</f>
        <v/>
      </c>
      <c r="B90" s="1658" t="str">
        <f t="shared" ca="1" si="10"/>
        <v/>
      </c>
      <c r="C90" s="323" t="str">
        <f t="shared" ca="1" si="11"/>
        <v/>
      </c>
      <c r="E90" s="384"/>
      <c r="F90" s="960"/>
      <c r="G90" s="324"/>
      <c r="H90" s="372" t="str">
        <f ca="1">IF(OR(A90="",Liturgien!$C$11=""),"",IF(OR(UPPER(E90)="X",UPPER(F90)="X",UPPER(G90)="X"),IF((VLOOKUP(A90,Liturgien_all,3,FALSE))*3&gt;Liturgien!$C$11,"Liturgiekenntnis-Wert zu niedrig!",""),""))</f>
        <v/>
      </c>
      <c r="I90" s="307"/>
      <c r="J90" s="307"/>
      <c r="K90" s="307"/>
      <c r="L90" s="307"/>
      <c r="M90" s="307"/>
      <c r="N90" s="1657"/>
      <c r="O90" s="268">
        <f t="shared" ca="1" si="45"/>
        <v>0</v>
      </c>
      <c r="P90" s="268">
        <f t="shared" ca="1" si="46"/>
        <v>0</v>
      </c>
      <c r="Q90" s="268" t="str">
        <f t="shared" ca="1" si="47"/>
        <v/>
      </c>
      <c r="R90" s="268">
        <f t="shared" ca="1" si="48"/>
        <v>0</v>
      </c>
      <c r="S90" s="268">
        <f t="shared" ca="1" si="49"/>
        <v>0</v>
      </c>
      <c r="T90" s="268">
        <f t="shared" ca="1" si="17"/>
        <v>0</v>
      </c>
      <c r="U90" s="268">
        <f t="shared" si="50"/>
        <v>0</v>
      </c>
      <c r="V90" s="268">
        <f t="shared" si="51"/>
        <v>0</v>
      </c>
      <c r="W90" s="268">
        <f t="shared" si="52"/>
        <v>0</v>
      </c>
      <c r="X90" s="268" t="str">
        <f t="shared" ca="1" si="53"/>
        <v/>
      </c>
      <c r="Y90" s="356"/>
      <c r="Z90" s="356" t="str">
        <f t="shared" ca="1" si="58"/>
        <v/>
      </c>
      <c r="AA90" s="25"/>
      <c r="AB90" s="268">
        <f t="shared" ca="1" si="54"/>
        <v>0</v>
      </c>
      <c r="AC90" s="268">
        <f t="shared" ca="1" si="55"/>
        <v>0</v>
      </c>
      <c r="AD90" s="268">
        <f t="shared" ca="1" si="56"/>
        <v>0</v>
      </c>
      <c r="AE90" s="268">
        <f t="shared" ca="1" si="57"/>
        <v>0</v>
      </c>
      <c r="AF90" s="25"/>
      <c r="AG90" t="str">
        <f t="shared" ca="1" si="59"/>
        <v/>
      </c>
      <c r="AH90" s="78" t="str">
        <f t="shared" ca="1" si="60"/>
        <v>III</v>
      </c>
      <c r="AI90" s="25"/>
    </row>
    <row r="91" spans="1:37" x14ac:dyDescent="0.2">
      <c r="A91" s="24" t="str">
        <f ca="1">IF(NOT(EXACT(Z90,"")),IF(NOT(EXACT(MID(LIT_III,$Z90,1),"")),HLOOKUP(Tabellen_Andere!$GH$3,LiturgienIII,MATCH(MID(LIT_III,$Z90,45),LiturgienIII,1)),""),"")</f>
        <v/>
      </c>
      <c r="B91" s="1658" t="str">
        <f t="shared" ca="1" si="10"/>
        <v/>
      </c>
      <c r="C91" s="323" t="str">
        <f t="shared" ca="1" si="11"/>
        <v/>
      </c>
      <c r="E91" s="384"/>
      <c r="F91" s="960"/>
      <c r="G91" s="324"/>
      <c r="H91" s="372" t="str">
        <f ca="1">IF(OR(A91="",Liturgien!$C$11=""),"",IF(OR(UPPER(E91)="X",UPPER(F91)="X",UPPER(G91)="X"),IF((VLOOKUP(A91,Liturgien_all,3,FALSE))*3&gt;Liturgien!$C$11,"Liturgiekenntnis-Wert zu niedrig!",""),""))</f>
        <v/>
      </c>
      <c r="I91" s="307"/>
      <c r="J91" s="307"/>
      <c r="K91" s="307"/>
      <c r="L91" s="307"/>
      <c r="M91" s="307"/>
      <c r="N91" s="1657"/>
      <c r="O91" s="268">
        <f t="shared" ca="1" si="45"/>
        <v>0</v>
      </c>
      <c r="P91" s="268">
        <f t="shared" ca="1" si="46"/>
        <v>0</v>
      </c>
      <c r="Q91" s="268" t="str">
        <f t="shared" ca="1" si="47"/>
        <v/>
      </c>
      <c r="R91" s="268">
        <f t="shared" ca="1" si="48"/>
        <v>0</v>
      </c>
      <c r="S91" s="268">
        <f t="shared" ca="1" si="49"/>
        <v>0</v>
      </c>
      <c r="T91" s="268">
        <f t="shared" ca="1" si="17"/>
        <v>0</v>
      </c>
      <c r="U91" s="268">
        <f t="shared" si="50"/>
        <v>0</v>
      </c>
      <c r="V91" s="268">
        <f t="shared" si="51"/>
        <v>0</v>
      </c>
      <c r="W91" s="268">
        <f t="shared" si="52"/>
        <v>0</v>
      </c>
      <c r="X91" s="268" t="str">
        <f t="shared" ca="1" si="53"/>
        <v/>
      </c>
      <c r="Y91" s="356"/>
      <c r="Z91" s="356" t="str">
        <f t="shared" ca="1" si="58"/>
        <v/>
      </c>
      <c r="AA91" s="25"/>
      <c r="AB91" s="268">
        <f t="shared" ca="1" si="54"/>
        <v>0</v>
      </c>
      <c r="AC91" s="268">
        <f t="shared" ca="1" si="55"/>
        <v>0</v>
      </c>
      <c r="AD91" s="268">
        <f t="shared" ca="1" si="56"/>
        <v>0</v>
      </c>
      <c r="AE91" s="268">
        <f t="shared" ca="1" si="57"/>
        <v>0</v>
      </c>
      <c r="AF91" s="25"/>
      <c r="AG91" t="str">
        <f t="shared" ca="1" si="59"/>
        <v/>
      </c>
      <c r="AH91" s="78" t="str">
        <f t="shared" ca="1" si="60"/>
        <v>III</v>
      </c>
      <c r="AI91" s="25"/>
    </row>
    <row r="92" spans="1:37" x14ac:dyDescent="0.2">
      <c r="A92" s="24" t="str">
        <f ca="1">IF(NOT(EXACT(Z91,"")),IF(NOT(EXACT(MID(LIT_III,$Z91,1),"")),HLOOKUP(Tabellen_Andere!$GH$3,LiturgienIII,MATCH(MID(LIT_III,$Z91,45),LiturgienIII,1)),""),"")</f>
        <v/>
      </c>
      <c r="B92" s="1658" t="str">
        <f t="shared" ca="1" si="10"/>
        <v/>
      </c>
      <c r="C92" s="323" t="str">
        <f t="shared" ca="1" si="11"/>
        <v/>
      </c>
      <c r="E92" s="384"/>
      <c r="F92" s="960"/>
      <c r="G92" s="324"/>
      <c r="H92" s="372" t="str">
        <f ca="1">IF(OR(A92="",Liturgien!$C$11=""),"",IF(OR(UPPER(E92)="X",UPPER(F92)="X",UPPER(G92)="X"),IF((VLOOKUP(A92,Liturgien_all,3,FALSE))*3&gt;Liturgien!$C$11,"Liturgiekenntnis-Wert zu niedrig!",""),""))</f>
        <v/>
      </c>
      <c r="I92" s="307"/>
      <c r="J92" s="307"/>
      <c r="K92" s="307"/>
      <c r="L92" s="307"/>
      <c r="M92" s="307"/>
      <c r="N92" s="1657"/>
      <c r="O92" s="268">
        <f t="shared" ca="1" si="45"/>
        <v>0</v>
      </c>
      <c r="P92" s="268">
        <f t="shared" ca="1" si="46"/>
        <v>0</v>
      </c>
      <c r="Q92" s="268" t="str">
        <f t="shared" ca="1" si="47"/>
        <v/>
      </c>
      <c r="R92" s="268">
        <f t="shared" ca="1" si="48"/>
        <v>0</v>
      </c>
      <c r="S92" s="268">
        <f t="shared" ca="1" si="49"/>
        <v>0</v>
      </c>
      <c r="T92" s="268">
        <f t="shared" ca="1" si="17"/>
        <v>0</v>
      </c>
      <c r="U92" s="268">
        <f t="shared" si="50"/>
        <v>0</v>
      </c>
      <c r="V92" s="268">
        <f t="shared" si="51"/>
        <v>0</v>
      </c>
      <c r="W92" s="268">
        <f t="shared" si="52"/>
        <v>0</v>
      </c>
      <c r="X92" s="268" t="str">
        <f t="shared" ca="1" si="53"/>
        <v/>
      </c>
      <c r="Y92" s="356"/>
      <c r="Z92" s="356" t="str">
        <f t="shared" ca="1" si="58"/>
        <v/>
      </c>
      <c r="AA92" s="25"/>
      <c r="AB92" s="268">
        <f t="shared" ca="1" si="54"/>
        <v>0</v>
      </c>
      <c r="AC92" s="268">
        <f t="shared" ca="1" si="55"/>
        <v>0</v>
      </c>
      <c r="AD92" s="268">
        <f t="shared" ca="1" si="56"/>
        <v>0</v>
      </c>
      <c r="AE92" s="268">
        <f t="shared" ca="1" si="57"/>
        <v>0</v>
      </c>
      <c r="AF92" s="25"/>
      <c r="AG92" t="str">
        <f t="shared" ca="1" si="59"/>
        <v/>
      </c>
      <c r="AH92" s="78" t="str">
        <f t="shared" ca="1" si="60"/>
        <v>III</v>
      </c>
      <c r="AI92" s="25"/>
    </row>
    <row r="93" spans="1:37" x14ac:dyDescent="0.2">
      <c r="A93" s="24" t="str">
        <f ca="1">IF(NOT(EXACT(Z92,"")),IF(NOT(EXACT(MID(LIT_III,$Z92,1),"")),HLOOKUP(Tabellen_Andere!$GH$3,LiturgienIII,MATCH(MID(LIT_III,$Z92,45),LiturgienIII,1)),""),"")</f>
        <v/>
      </c>
      <c r="B93" s="1658" t="str">
        <f t="shared" ca="1" si="10"/>
        <v/>
      </c>
      <c r="C93" s="323" t="str">
        <f t="shared" ca="1" si="11"/>
        <v/>
      </c>
      <c r="E93" s="384"/>
      <c r="F93" s="960"/>
      <c r="G93" s="324"/>
      <c r="H93" s="372" t="str">
        <f ca="1">IF(OR(A93="",Liturgien!$C$11=""),"",IF(OR(UPPER(E93)="X",UPPER(F93)="X",UPPER(G93)="X"),IF((VLOOKUP(A93,Liturgien_all,3,FALSE))*3&gt;Liturgien!$C$11,"Liturgiekenntnis-Wert zu niedrig!",""),""))</f>
        <v/>
      </c>
      <c r="I93" s="307"/>
      <c r="J93" s="307"/>
      <c r="K93" s="307"/>
      <c r="L93" s="307"/>
      <c r="M93" s="307"/>
      <c r="N93" s="1657"/>
      <c r="O93" s="268">
        <f t="shared" ca="1" si="45"/>
        <v>0</v>
      </c>
      <c r="P93" s="268">
        <f t="shared" ca="1" si="46"/>
        <v>0</v>
      </c>
      <c r="Q93" s="268" t="str">
        <f t="shared" ca="1" si="47"/>
        <v/>
      </c>
      <c r="R93" s="268">
        <f t="shared" ca="1" si="48"/>
        <v>0</v>
      </c>
      <c r="S93" s="268">
        <f t="shared" ca="1" si="49"/>
        <v>0</v>
      </c>
      <c r="T93" s="268">
        <f t="shared" ca="1" si="17"/>
        <v>0</v>
      </c>
      <c r="U93" s="268">
        <f t="shared" si="50"/>
        <v>0</v>
      </c>
      <c r="V93" s="268">
        <f t="shared" si="51"/>
        <v>0</v>
      </c>
      <c r="W93" s="268">
        <f t="shared" si="52"/>
        <v>0</v>
      </c>
      <c r="X93" s="268" t="str">
        <f t="shared" ca="1" si="53"/>
        <v/>
      </c>
      <c r="Y93" s="356"/>
      <c r="Z93" s="356" t="str">
        <f t="shared" ca="1" si="58"/>
        <v/>
      </c>
      <c r="AA93" s="25"/>
      <c r="AB93" s="268">
        <f t="shared" ca="1" si="54"/>
        <v>0</v>
      </c>
      <c r="AC93" s="268">
        <f t="shared" ca="1" si="55"/>
        <v>0</v>
      </c>
      <c r="AD93" s="268">
        <f t="shared" ca="1" si="56"/>
        <v>0</v>
      </c>
      <c r="AE93" s="268">
        <f t="shared" ca="1" si="57"/>
        <v>0</v>
      </c>
      <c r="AF93" s="25"/>
      <c r="AG93" t="str">
        <f t="shared" ca="1" si="59"/>
        <v/>
      </c>
      <c r="AH93" s="78" t="str">
        <f t="shared" ca="1" si="60"/>
        <v>III</v>
      </c>
      <c r="AI93" s="25"/>
    </row>
    <row r="94" spans="1:37" x14ac:dyDescent="0.2">
      <c r="A94" s="24" t="str">
        <f ca="1">IF(NOT(EXACT(Z93,"")),IF(NOT(EXACT(MID(LIT_III,$Z93,1),"")),HLOOKUP(Tabellen_Andere!$GH$3,LiturgienIII,MATCH(MID(LIT_III,$Z93,45),LiturgienIII,1)),""),"")</f>
        <v/>
      </c>
      <c r="B94" s="1658" t="str">
        <f t="shared" ca="1" si="10"/>
        <v/>
      </c>
      <c r="C94" s="323" t="str">
        <f t="shared" ca="1" si="11"/>
        <v/>
      </c>
      <c r="E94" s="384"/>
      <c r="F94" s="960"/>
      <c r="G94" s="324"/>
      <c r="H94" s="372" t="str">
        <f ca="1">IF(OR(A94="",Liturgien!$C$11=""),"",IF(OR(UPPER(E94)="X",UPPER(F94)="X",UPPER(G94)="X"),IF((VLOOKUP(A94,Liturgien_all,3,FALSE))*3&gt;Liturgien!$C$11,"Liturgiekenntnis-Wert zu niedrig!",""),""))</f>
        <v/>
      </c>
      <c r="I94" s="307"/>
      <c r="J94" s="307"/>
      <c r="K94" s="307"/>
      <c r="L94" s="307"/>
      <c r="M94" s="307"/>
      <c r="N94" s="1657"/>
      <c r="O94" s="268">
        <f t="shared" ca="1" si="45"/>
        <v>0</v>
      </c>
      <c r="P94" s="268">
        <f t="shared" ca="1" si="46"/>
        <v>0</v>
      </c>
      <c r="Q94" s="268" t="str">
        <f t="shared" ca="1" si="47"/>
        <v/>
      </c>
      <c r="R94" s="268">
        <f t="shared" ca="1" si="48"/>
        <v>0</v>
      </c>
      <c r="S94" s="268">
        <f t="shared" ca="1" si="49"/>
        <v>0</v>
      </c>
      <c r="T94" s="268">
        <f t="shared" ca="1" si="17"/>
        <v>0</v>
      </c>
      <c r="U94" s="268">
        <f t="shared" si="50"/>
        <v>0</v>
      </c>
      <c r="V94" s="268">
        <f t="shared" si="51"/>
        <v>0</v>
      </c>
      <c r="W94" s="268">
        <f t="shared" si="52"/>
        <v>0</v>
      </c>
      <c r="X94" s="268" t="str">
        <f t="shared" ca="1" si="53"/>
        <v/>
      </c>
      <c r="Y94" s="356"/>
      <c r="Z94" s="356" t="str">
        <f t="shared" ca="1" si="58"/>
        <v/>
      </c>
      <c r="AA94" s="25"/>
      <c r="AB94" s="268">
        <f t="shared" ca="1" si="54"/>
        <v>0</v>
      </c>
      <c r="AC94" s="268">
        <f t="shared" ca="1" si="55"/>
        <v>0</v>
      </c>
      <c r="AD94" s="268">
        <f t="shared" ca="1" si="56"/>
        <v>0</v>
      </c>
      <c r="AE94" s="268">
        <f t="shared" ca="1" si="57"/>
        <v>0</v>
      </c>
      <c r="AF94" s="25"/>
      <c r="AG94" t="str">
        <f t="shared" ca="1" si="59"/>
        <v/>
      </c>
      <c r="AH94" s="78" t="str">
        <f t="shared" ca="1" si="60"/>
        <v>III</v>
      </c>
      <c r="AI94" s="25"/>
    </row>
    <row r="95" spans="1:37" x14ac:dyDescent="0.2">
      <c r="A95" s="24" t="str">
        <f ca="1">IF(NOT(EXACT(Z94,"")),IF(NOT(EXACT(MID(LIT_III,$Z94,1),"")),HLOOKUP(Tabellen_Andere!$GH$3,LiturgienIII,MATCH(MID(LIT_III,$Z94,45),LiturgienIII,1)),""),"")</f>
        <v/>
      </c>
      <c r="B95" s="1658" t="str">
        <f t="shared" ca="1" si="10"/>
        <v/>
      </c>
      <c r="C95" s="323" t="str">
        <f t="shared" ca="1" si="11"/>
        <v/>
      </c>
      <c r="E95" s="384"/>
      <c r="F95" s="960"/>
      <c r="G95" s="324"/>
      <c r="H95" s="372" t="str">
        <f ca="1">IF(OR(A95="",Liturgien!$C$11=""),"",IF(OR(UPPER(E95)="X",UPPER(F95)="X",UPPER(G95)="X"),IF((VLOOKUP(A95,Liturgien_all,3,FALSE))*3&gt;Liturgien!$C$11,"Liturgiekenntnis-Wert zu niedrig!",""),""))</f>
        <v/>
      </c>
      <c r="I95" s="307"/>
      <c r="J95" s="307"/>
      <c r="K95" s="307"/>
      <c r="L95" s="307"/>
      <c r="M95" s="307"/>
      <c r="N95" s="1657"/>
      <c r="O95" s="268">
        <f t="shared" ca="1" si="45"/>
        <v>0</v>
      </c>
      <c r="P95" s="268">
        <f t="shared" ca="1" si="46"/>
        <v>0</v>
      </c>
      <c r="Q95" s="268" t="str">
        <f t="shared" ca="1" si="47"/>
        <v/>
      </c>
      <c r="R95" s="268">
        <f t="shared" ca="1" si="48"/>
        <v>0</v>
      </c>
      <c r="S95" s="268">
        <f t="shared" ca="1" si="49"/>
        <v>0</v>
      </c>
      <c r="T95" s="268">
        <f t="shared" ca="1" si="17"/>
        <v>0</v>
      </c>
      <c r="U95" s="268">
        <f t="shared" si="50"/>
        <v>0</v>
      </c>
      <c r="V95" s="268">
        <f t="shared" si="51"/>
        <v>0</v>
      </c>
      <c r="W95" s="268">
        <f t="shared" si="52"/>
        <v>0</v>
      </c>
      <c r="X95" s="268" t="str">
        <f t="shared" ca="1" si="53"/>
        <v/>
      </c>
      <c r="Y95" s="356"/>
      <c r="Z95" s="356" t="str">
        <f t="shared" ca="1" si="58"/>
        <v/>
      </c>
      <c r="AA95" s="25"/>
      <c r="AB95" s="268">
        <f t="shared" ca="1" si="54"/>
        <v>0</v>
      </c>
      <c r="AC95" s="268">
        <f t="shared" ca="1" si="55"/>
        <v>0</v>
      </c>
      <c r="AD95" s="268">
        <f t="shared" ca="1" si="56"/>
        <v>0</v>
      </c>
      <c r="AE95" s="268">
        <f t="shared" ca="1" si="57"/>
        <v>0</v>
      </c>
      <c r="AF95" s="25"/>
      <c r="AG95" t="str">
        <f t="shared" ca="1" si="59"/>
        <v/>
      </c>
      <c r="AH95" s="78" t="str">
        <f t="shared" ca="1" si="60"/>
        <v>III</v>
      </c>
      <c r="AI95" s="25"/>
    </row>
    <row r="96" spans="1:37" x14ac:dyDescent="0.2">
      <c r="A96" s="24" t="str">
        <f ca="1">IF(NOT(EXACT(Z95,"")),IF(NOT(EXACT(MID(LIT_III,$Z95,1),"")),HLOOKUP(Tabellen_Andere!$GH$3,LiturgienIII,MATCH(MID(LIT_III,$Z95,45),LiturgienIII,1)),""),"")</f>
        <v/>
      </c>
      <c r="B96" s="1658" t="str">
        <f t="shared" ca="1" si="10"/>
        <v/>
      </c>
      <c r="C96" s="323" t="str">
        <f t="shared" ca="1" si="11"/>
        <v/>
      </c>
      <c r="E96" s="384"/>
      <c r="F96" s="960"/>
      <c r="G96" s="324"/>
      <c r="H96" s="372" t="str">
        <f ca="1">IF(OR(A96="",Liturgien!$C$11=""),"",IF(OR(UPPER(E96)="X",UPPER(F96)="X",UPPER(G96)="X"),IF((VLOOKUP(A96,Liturgien_all,3,FALSE))*3&gt;Liturgien!$C$11,"Liturgiekenntnis-Wert zu niedrig!",""),""))</f>
        <v/>
      </c>
      <c r="I96" s="307"/>
      <c r="J96" s="307"/>
      <c r="K96" s="307"/>
      <c r="L96" s="307"/>
      <c r="M96" s="307"/>
      <c r="N96" s="1657"/>
      <c r="O96" s="268">
        <f t="shared" ca="1" si="45"/>
        <v>0</v>
      </c>
      <c r="P96" s="268">
        <f t="shared" ca="1" si="46"/>
        <v>0</v>
      </c>
      <c r="Q96" s="268" t="str">
        <f t="shared" ca="1" si="47"/>
        <v/>
      </c>
      <c r="R96" s="268">
        <f t="shared" ca="1" si="48"/>
        <v>0</v>
      </c>
      <c r="S96" s="268">
        <f t="shared" ca="1" si="49"/>
        <v>0</v>
      </c>
      <c r="T96" s="268">
        <f t="shared" ca="1" si="17"/>
        <v>0</v>
      </c>
      <c r="U96" s="268">
        <f t="shared" si="50"/>
        <v>0</v>
      </c>
      <c r="V96" s="268">
        <f t="shared" si="51"/>
        <v>0</v>
      </c>
      <c r="W96" s="268">
        <f t="shared" si="52"/>
        <v>0</v>
      </c>
      <c r="X96" s="268" t="str">
        <f t="shared" ca="1" si="53"/>
        <v/>
      </c>
      <c r="Y96" s="356"/>
      <c r="Z96" s="356" t="str">
        <f t="shared" ca="1" si="58"/>
        <v/>
      </c>
      <c r="AA96" s="25"/>
      <c r="AB96" s="268">
        <f t="shared" ca="1" si="54"/>
        <v>0</v>
      </c>
      <c r="AC96" s="268">
        <f t="shared" ca="1" si="55"/>
        <v>0</v>
      </c>
      <c r="AD96" s="268">
        <f t="shared" ca="1" si="56"/>
        <v>0</v>
      </c>
      <c r="AE96" s="268">
        <f t="shared" ca="1" si="57"/>
        <v>0</v>
      </c>
      <c r="AF96" s="25"/>
      <c r="AG96" t="str">
        <f t="shared" ca="1" si="59"/>
        <v/>
      </c>
      <c r="AH96" s="78" t="str">
        <f t="shared" ca="1" si="60"/>
        <v>III</v>
      </c>
      <c r="AI96" s="25"/>
    </row>
    <row r="97" spans="1:35" x14ac:dyDescent="0.2">
      <c r="A97" s="24" t="str">
        <f ca="1">IF(NOT(EXACT(Z96,"")),IF(NOT(EXACT(MID(LIT_III,$Z96,1),"")),HLOOKUP(Tabellen_Andere!$GH$3,LiturgienIII,MATCH(MID(LIT_III,$Z96,45),LiturgienIII,1)),""),"")</f>
        <v/>
      </c>
      <c r="B97" s="1658" t="str">
        <f t="shared" ca="1" si="10"/>
        <v/>
      </c>
      <c r="C97" s="323" t="str">
        <f t="shared" ca="1" si="11"/>
        <v/>
      </c>
      <c r="E97" s="384"/>
      <c r="F97" s="960"/>
      <c r="G97" s="324"/>
      <c r="H97" s="372" t="str">
        <f ca="1">IF(OR(A97="",Liturgien!$C$11=""),"",IF(OR(UPPER(E97)="X",UPPER(F97)="X",UPPER(G97)="X"),IF((VLOOKUP(A97,Liturgien_all,3,FALSE))*3&gt;Liturgien!$C$11,"Liturgiekenntnis-Wert zu niedrig!",""),""))</f>
        <v/>
      </c>
      <c r="I97" s="307"/>
      <c r="J97" s="307"/>
      <c r="K97" s="307"/>
      <c r="L97" s="307"/>
      <c r="M97" s="307"/>
      <c r="N97" s="1657"/>
      <c r="O97" s="268">
        <f t="shared" ca="1" si="45"/>
        <v>0</v>
      </c>
      <c r="P97" s="268">
        <f t="shared" ca="1" si="46"/>
        <v>0</v>
      </c>
      <c r="Q97" s="268" t="str">
        <f t="shared" ca="1" si="47"/>
        <v/>
      </c>
      <c r="R97" s="268">
        <f t="shared" ca="1" si="48"/>
        <v>0</v>
      </c>
      <c r="S97" s="268">
        <f t="shared" ca="1" si="49"/>
        <v>0</v>
      </c>
      <c r="T97" s="268">
        <f t="shared" ca="1" si="17"/>
        <v>0</v>
      </c>
      <c r="U97" s="268">
        <f t="shared" si="50"/>
        <v>0</v>
      </c>
      <c r="V97" s="268">
        <f t="shared" si="51"/>
        <v>0</v>
      </c>
      <c r="W97" s="268">
        <f t="shared" si="52"/>
        <v>0</v>
      </c>
      <c r="X97" s="268" t="str">
        <f t="shared" ca="1" si="53"/>
        <v/>
      </c>
      <c r="Y97" s="356"/>
      <c r="Z97" s="356" t="str">
        <f t="shared" ca="1" si="58"/>
        <v/>
      </c>
      <c r="AA97" s="25"/>
      <c r="AB97" s="268">
        <f t="shared" ca="1" si="54"/>
        <v>0</v>
      </c>
      <c r="AC97" s="268">
        <f t="shared" ca="1" si="55"/>
        <v>0</v>
      </c>
      <c r="AD97" s="268">
        <f t="shared" ca="1" si="56"/>
        <v>0</v>
      </c>
      <c r="AE97" s="268">
        <f t="shared" ca="1" si="57"/>
        <v>0</v>
      </c>
      <c r="AF97" s="25"/>
      <c r="AG97" t="str">
        <f t="shared" ca="1" si="59"/>
        <v/>
      </c>
      <c r="AH97" s="78" t="str">
        <f t="shared" ca="1" si="60"/>
        <v>III</v>
      </c>
      <c r="AI97" s="25"/>
    </row>
    <row r="98" spans="1:35" x14ac:dyDescent="0.2">
      <c r="A98" s="24" t="str">
        <f ca="1">IF(NOT(EXACT(Z97,"")),IF(NOT(EXACT(MID(LIT_III,$Z97,1),"")),HLOOKUP(Tabellen_Andere!$GH$3,LiturgienIII,MATCH(MID(LIT_III,$Z97,45),LiturgienIII,1)),""),"")</f>
        <v/>
      </c>
      <c r="B98" s="1658" t="str">
        <f t="shared" ca="1" si="10"/>
        <v/>
      </c>
      <c r="C98" s="323" t="str">
        <f t="shared" ca="1" si="11"/>
        <v/>
      </c>
      <c r="E98" s="384"/>
      <c r="F98" s="960"/>
      <c r="G98" s="324"/>
      <c r="H98" s="372" t="str">
        <f ca="1">IF(OR(A98="",Liturgien!$C$11=""),"",IF(OR(UPPER(E98)="X",UPPER(F98)="X",UPPER(G98)="X"),IF((VLOOKUP(A98,Liturgien_all,3,FALSE))*3&gt;Liturgien!$C$11,"Liturgiekenntnis-Wert zu niedrig!",""),""))</f>
        <v/>
      </c>
      <c r="I98" s="307"/>
      <c r="J98" s="307"/>
      <c r="K98" s="307"/>
      <c r="L98" s="307"/>
      <c r="M98" s="307"/>
      <c r="N98" s="1657"/>
      <c r="O98" s="268">
        <f t="shared" ca="1" si="45"/>
        <v>0</v>
      </c>
      <c r="P98" s="268">
        <f t="shared" ca="1" si="46"/>
        <v>0</v>
      </c>
      <c r="Q98" s="268" t="str">
        <f t="shared" ca="1" si="47"/>
        <v/>
      </c>
      <c r="R98" s="268">
        <f t="shared" ca="1" si="48"/>
        <v>0</v>
      </c>
      <c r="S98" s="268">
        <f t="shared" ca="1" si="49"/>
        <v>0</v>
      </c>
      <c r="T98" s="268">
        <f t="shared" ca="1" si="17"/>
        <v>0</v>
      </c>
      <c r="U98" s="268">
        <f t="shared" si="50"/>
        <v>0</v>
      </c>
      <c r="V98" s="268">
        <f t="shared" si="51"/>
        <v>0</v>
      </c>
      <c r="W98" s="268">
        <f t="shared" si="52"/>
        <v>0</v>
      </c>
      <c r="X98" s="268" t="str">
        <f t="shared" ca="1" si="53"/>
        <v/>
      </c>
      <c r="Y98" s="356"/>
      <c r="Z98" s="356" t="str">
        <f t="shared" ca="1" si="58"/>
        <v/>
      </c>
      <c r="AA98" s="25"/>
      <c r="AB98" s="268">
        <f t="shared" ca="1" si="54"/>
        <v>0</v>
      </c>
      <c r="AC98" s="268">
        <f t="shared" ca="1" si="55"/>
        <v>0</v>
      </c>
      <c r="AD98" s="268">
        <f t="shared" ca="1" si="56"/>
        <v>0</v>
      </c>
      <c r="AE98" s="268">
        <f t="shared" ca="1" si="57"/>
        <v>0</v>
      </c>
      <c r="AF98" s="25"/>
      <c r="AG98" t="str">
        <f t="shared" ca="1" si="59"/>
        <v/>
      </c>
      <c r="AH98" s="78" t="str">
        <f t="shared" ca="1" si="60"/>
        <v>III</v>
      </c>
      <c r="AI98" s="25"/>
    </row>
    <row r="99" spans="1:35" x14ac:dyDescent="0.2">
      <c r="A99" s="24" t="str">
        <f ca="1">IF(NOT(EXACT(Z98,"")),IF(NOT(EXACT(MID(LIT_III,$Z98,1),"")),HLOOKUP(Tabellen_Andere!$GH$3,LiturgienIII,MATCH(MID(LIT_III,$Z98,45),LiturgienIII,1)),""),"")</f>
        <v/>
      </c>
      <c r="B99" s="1658" t="str">
        <f t="shared" ref="B99:B102" ca="1" si="61">IF(NOT(EXACT($A99,"")),VLOOKUP($A99,Liturgien_all,14,FALSE),"")</f>
        <v/>
      </c>
      <c r="C99" s="323" t="str">
        <f t="shared" ref="C99:C102" ca="1" si="62">IF(NOT(EXACT($A99,"")),VLOOKUP($A99,Liturgien_all,15,FALSE),"")</f>
        <v/>
      </c>
      <c r="E99" s="384"/>
      <c r="F99" s="960"/>
      <c r="G99" s="324"/>
      <c r="H99" s="372" t="str">
        <f ca="1">IF(OR(A99="",Liturgien!$C$11=""),"",IF(OR(UPPER(E99)="X",UPPER(F99)="X",UPPER(G99)="X"),IF((VLOOKUP(A99,Liturgien_all,3,FALSE))*3&gt;Liturgien!$C$11,"Liturgiekenntnis-Wert zu niedrig!",""),""))</f>
        <v/>
      </c>
      <c r="I99" s="307"/>
      <c r="J99" s="307"/>
      <c r="K99" s="307"/>
      <c r="L99" s="307"/>
      <c r="M99" s="307"/>
      <c r="N99" s="1657"/>
      <c r="O99" s="268">
        <f t="shared" ca="1" si="45"/>
        <v>0</v>
      </c>
      <c r="P99" s="268">
        <f t="shared" ca="1" si="46"/>
        <v>0</v>
      </c>
      <c r="Q99" s="268" t="str">
        <f t="shared" ca="1" si="47"/>
        <v/>
      </c>
      <c r="R99" s="268">
        <f t="shared" ca="1" si="48"/>
        <v>0</v>
      </c>
      <c r="S99" s="268">
        <f t="shared" ca="1" si="49"/>
        <v>0</v>
      </c>
      <c r="T99" s="268">
        <f t="shared" ref="T99:T151" ca="1" si="63">IF($A99="",0,IF(OR(VLOOKUP($A99,Liturgien_all,4,FALSE)="speziell",ISNA(VLOOKUP(VLOOKUP($A99,Liturgien_all,4,FALSE),ZIEL_WERT,2,FALSE))),0,IF($J99="",0,VLOOKUP($J99,ZIEL_WERT,2,FALSE)-VLOOKUP(VLOOKUP($A99,Liturgien_all,4,FALSE),ZIEL_WERT,2,FALSE))))</f>
        <v>0</v>
      </c>
      <c r="U99" s="268">
        <f t="shared" si="50"/>
        <v>0</v>
      </c>
      <c r="V99" s="268">
        <f t="shared" si="51"/>
        <v>0</v>
      </c>
      <c r="W99" s="268">
        <f t="shared" si="52"/>
        <v>0</v>
      </c>
      <c r="X99" s="268" t="str">
        <f t="shared" ca="1" si="53"/>
        <v/>
      </c>
      <c r="Y99" s="356"/>
      <c r="Z99" s="356" t="str">
        <f t="shared" ca="1" si="58"/>
        <v/>
      </c>
      <c r="AA99" s="25"/>
      <c r="AB99" s="268">
        <f t="shared" ca="1" si="54"/>
        <v>0</v>
      </c>
      <c r="AC99" s="268">
        <f t="shared" ca="1" si="55"/>
        <v>0</v>
      </c>
      <c r="AD99" s="268">
        <f t="shared" ca="1" si="56"/>
        <v>0</v>
      </c>
      <c r="AE99" s="268">
        <f t="shared" ca="1" si="57"/>
        <v>0</v>
      </c>
      <c r="AF99" s="25"/>
      <c r="AG99" t="str">
        <f t="shared" ca="1" si="59"/>
        <v/>
      </c>
      <c r="AH99" s="78" t="str">
        <f t="shared" ca="1" si="60"/>
        <v>III</v>
      </c>
      <c r="AI99" s="25"/>
    </row>
    <row r="100" spans="1:35" x14ac:dyDescent="0.2">
      <c r="A100" s="24" t="str">
        <f ca="1">IF(NOT(EXACT(Z99,"")),IF(NOT(EXACT(MID(LIT_III,$Z99,1),"")),HLOOKUP(Tabellen_Andere!$GH$3,LiturgienIII,MATCH(MID(LIT_III,$Z99,45),LiturgienIII,1)),""),"")</f>
        <v/>
      </c>
      <c r="B100" s="1658" t="str">
        <f t="shared" ca="1" si="61"/>
        <v/>
      </c>
      <c r="C100" s="323" t="str">
        <f t="shared" ca="1" si="62"/>
        <v/>
      </c>
      <c r="E100" s="384"/>
      <c r="F100" s="960"/>
      <c r="G100" s="324"/>
      <c r="H100" s="372" t="str">
        <f ca="1">IF(OR(A100="",Liturgien!$C$11=""),"",IF(OR(UPPER(E100)="X",UPPER(F100)="X",UPPER(G100)="X"),IF((VLOOKUP(A100,Liturgien_all,3,FALSE))*3&gt;Liturgien!$C$11,"Liturgiekenntnis-Wert zu niedrig!",""),""))</f>
        <v/>
      </c>
      <c r="I100" s="307"/>
      <c r="J100" s="307"/>
      <c r="K100" s="307"/>
      <c r="L100" s="307"/>
      <c r="M100" s="307"/>
      <c r="N100" s="1657"/>
      <c r="O100" s="268">
        <f t="shared" ca="1" si="45"/>
        <v>0</v>
      </c>
      <c r="P100" s="268">
        <f t="shared" ca="1" si="46"/>
        <v>0</v>
      </c>
      <c r="Q100" s="268" t="str">
        <f t="shared" ca="1" si="47"/>
        <v/>
      </c>
      <c r="R100" s="268">
        <f t="shared" ca="1" si="48"/>
        <v>0</v>
      </c>
      <c r="S100" s="268">
        <f t="shared" ca="1" si="49"/>
        <v>0</v>
      </c>
      <c r="T100" s="268">
        <f t="shared" ca="1" si="63"/>
        <v>0</v>
      </c>
      <c r="U100" s="268">
        <f t="shared" si="50"/>
        <v>0</v>
      </c>
      <c r="V100" s="268">
        <f t="shared" si="51"/>
        <v>0</v>
      </c>
      <c r="W100" s="268">
        <f t="shared" si="52"/>
        <v>0</v>
      </c>
      <c r="X100" s="268" t="str">
        <f t="shared" ca="1" si="53"/>
        <v/>
      </c>
      <c r="Y100" s="356"/>
      <c r="Z100" s="356" t="str">
        <f t="shared" ca="1" si="58"/>
        <v/>
      </c>
      <c r="AA100" s="25"/>
      <c r="AB100" s="268">
        <f t="shared" ca="1" si="54"/>
        <v>0</v>
      </c>
      <c r="AC100" s="268">
        <f t="shared" ca="1" si="55"/>
        <v>0</v>
      </c>
      <c r="AD100" s="268">
        <f t="shared" ca="1" si="56"/>
        <v>0</v>
      </c>
      <c r="AE100" s="268">
        <f t="shared" ca="1" si="57"/>
        <v>0</v>
      </c>
      <c r="AF100" s="25"/>
      <c r="AG100" t="str">
        <f t="shared" ca="1" si="59"/>
        <v/>
      </c>
      <c r="AH100" s="78" t="str">
        <f t="shared" ca="1" si="60"/>
        <v>III</v>
      </c>
      <c r="AI100" s="25"/>
    </row>
    <row r="101" spans="1:35" x14ac:dyDescent="0.2">
      <c r="A101" s="24" t="str">
        <f ca="1">IF(NOT(EXACT(Z100,"")),IF(NOT(EXACT(MID(LIT_III,$Z100,1),"")),HLOOKUP(Tabellen_Andere!$GH$3,LiturgienIII,MATCH(MID(LIT_III,$Z100,45),LiturgienIII,1)),""),"")</f>
        <v/>
      </c>
      <c r="B101" s="1658" t="str">
        <f t="shared" ca="1" si="61"/>
        <v/>
      </c>
      <c r="C101" s="323" t="str">
        <f t="shared" ca="1" si="62"/>
        <v/>
      </c>
      <c r="E101" s="384"/>
      <c r="F101" s="960"/>
      <c r="G101" s="324"/>
      <c r="H101" s="372" t="str">
        <f ca="1">IF(OR(A101="",Liturgien!$C$11=""),"",IF(OR(UPPER(E101)="X",UPPER(F101)="X",UPPER(G101)="X"),IF((VLOOKUP(A101,Liturgien_all,3,FALSE))*3&gt;Liturgien!$C$11,"Liturgiekenntnis-Wert zu niedrig!",""),""))</f>
        <v/>
      </c>
      <c r="I101" s="307"/>
      <c r="J101" s="307"/>
      <c r="K101" s="307"/>
      <c r="L101" s="307"/>
      <c r="M101" s="307"/>
      <c r="N101" s="1657"/>
      <c r="O101" s="268">
        <f t="shared" ca="1" si="45"/>
        <v>0</v>
      </c>
      <c r="P101" s="268">
        <f t="shared" ca="1" si="46"/>
        <v>0</v>
      </c>
      <c r="Q101" s="268" t="str">
        <f t="shared" ca="1" si="47"/>
        <v/>
      </c>
      <c r="R101" s="268">
        <f t="shared" ca="1" si="48"/>
        <v>0</v>
      </c>
      <c r="S101" s="268">
        <f t="shared" ca="1" si="49"/>
        <v>0</v>
      </c>
      <c r="T101" s="268">
        <f t="shared" ca="1" si="63"/>
        <v>0</v>
      </c>
      <c r="U101" s="268">
        <f t="shared" si="50"/>
        <v>0</v>
      </c>
      <c r="V101" s="268">
        <f t="shared" si="51"/>
        <v>0</v>
      </c>
      <c r="W101" s="268">
        <f t="shared" si="52"/>
        <v>0</v>
      </c>
      <c r="X101" s="268" t="str">
        <f t="shared" ca="1" si="53"/>
        <v/>
      </c>
      <c r="Y101" s="356"/>
      <c r="Z101" s="356" t="str">
        <f t="shared" ca="1" si="58"/>
        <v/>
      </c>
      <c r="AA101" s="25"/>
      <c r="AB101" s="268">
        <f t="shared" ca="1" si="54"/>
        <v>0</v>
      </c>
      <c r="AC101" s="268">
        <f t="shared" ca="1" si="55"/>
        <v>0</v>
      </c>
      <c r="AD101" s="268">
        <f t="shared" ca="1" si="56"/>
        <v>0</v>
      </c>
      <c r="AE101" s="268">
        <f t="shared" ca="1" si="57"/>
        <v>0</v>
      </c>
      <c r="AF101" s="25"/>
      <c r="AG101" t="str">
        <f t="shared" ca="1" si="59"/>
        <v/>
      </c>
      <c r="AH101" s="78" t="str">
        <f t="shared" ca="1" si="60"/>
        <v>III</v>
      </c>
      <c r="AI101" s="25"/>
    </row>
    <row r="102" spans="1:35" x14ac:dyDescent="0.2">
      <c r="A102" s="24" t="str">
        <f ca="1">IF(NOT(EXACT(Z101,"")),IF(NOT(EXACT(MID(LIT_III,$Z101,1),"")),HLOOKUP(Tabellen_Andere!$GH$3,LiturgienIII,MATCH(MID(LIT_III,$Z101,45),LiturgienIII,1)),""),"")</f>
        <v/>
      </c>
      <c r="B102" s="1658" t="str">
        <f t="shared" ca="1" si="61"/>
        <v/>
      </c>
      <c r="C102" s="323" t="str">
        <f t="shared" ca="1" si="62"/>
        <v/>
      </c>
      <c r="E102" s="384"/>
      <c r="F102" s="960"/>
      <c r="G102" s="324"/>
      <c r="H102" s="372" t="str">
        <f ca="1">IF(OR(A102="",Liturgien!$C$11=""),"",IF(OR(UPPER(E102)="X",UPPER(F102)="X",UPPER(G102)="X"),IF((VLOOKUP(A102,Liturgien_all,3,FALSE))*3&gt;Liturgien!$C$11,"Liturgiekenntnis-Wert zu niedrig!",""),""))</f>
        <v/>
      </c>
      <c r="I102" s="307"/>
      <c r="J102" s="307"/>
      <c r="K102" s="307"/>
      <c r="L102" s="307"/>
      <c r="M102" s="307"/>
      <c r="N102" s="1657"/>
      <c r="O102" s="268">
        <f t="shared" ca="1" si="45"/>
        <v>0</v>
      </c>
      <c r="P102" s="268">
        <f t="shared" ca="1" si="46"/>
        <v>0</v>
      </c>
      <c r="Q102" s="268" t="str">
        <f t="shared" ca="1" si="47"/>
        <v/>
      </c>
      <c r="R102" s="268">
        <f t="shared" ca="1" si="48"/>
        <v>0</v>
      </c>
      <c r="S102" s="268">
        <f t="shared" ca="1" si="49"/>
        <v>0</v>
      </c>
      <c r="T102" s="268">
        <f t="shared" ca="1" si="63"/>
        <v>0</v>
      </c>
      <c r="U102" s="268">
        <f t="shared" si="50"/>
        <v>0</v>
      </c>
      <c r="V102" s="268">
        <f t="shared" si="51"/>
        <v>0</v>
      </c>
      <c r="W102" s="268">
        <f t="shared" si="52"/>
        <v>0</v>
      </c>
      <c r="X102" s="268" t="str">
        <f t="shared" ca="1" si="53"/>
        <v/>
      </c>
      <c r="Y102" s="356"/>
      <c r="Z102" s="356"/>
      <c r="AA102" s="25"/>
      <c r="AB102" s="268">
        <f t="shared" ca="1" si="54"/>
        <v>0</v>
      </c>
      <c r="AC102" s="268">
        <f t="shared" ca="1" si="55"/>
        <v>0</v>
      </c>
      <c r="AD102" s="268">
        <f t="shared" ca="1" si="56"/>
        <v>0</v>
      </c>
      <c r="AE102" s="268">
        <f t="shared" ca="1" si="57"/>
        <v>0</v>
      </c>
      <c r="AF102" s="25"/>
      <c r="AG102" t="str">
        <f t="shared" ca="1" si="59"/>
        <v/>
      </c>
      <c r="AH102" s="78" t="str">
        <f t="shared" ca="1" si="60"/>
        <v>III</v>
      </c>
      <c r="AI102" s="25"/>
    </row>
    <row r="103" spans="1:35" x14ac:dyDescent="0.2">
      <c r="A103" s="180" t="s">
        <v>10</v>
      </c>
      <c r="B103" s="25"/>
      <c r="C103" s="25"/>
      <c r="D103" s="25"/>
      <c r="E103" s="193"/>
      <c r="F103" s="193"/>
      <c r="G103" s="193"/>
      <c r="H103" s="25" t="str">
        <f ca="1">IF(APGUT&lt;0,"Keine AP mehr übrig!",IF(TL_GP_UEBRIG&lt;0,"Keine Start-AP mehr übrig!","▼ Fehlermeldungen ▼  "&amp;"(AP: "&amp;APGUT&amp;")"))</f>
        <v>▼ Fehlermeldungen ▼  (AP: 0)</v>
      </c>
      <c r="I103" s="25"/>
      <c r="J103" s="25"/>
      <c r="K103" s="25"/>
      <c r="L103" s="25"/>
      <c r="M103" s="25"/>
      <c r="N103" s="25"/>
      <c r="O103" s="25"/>
      <c r="P103" s="25"/>
      <c r="Q103" s="25"/>
      <c r="R103" s="25"/>
      <c r="S103" s="25"/>
      <c r="T103" s="25"/>
      <c r="U103" s="25"/>
      <c r="V103" s="25"/>
      <c r="W103" s="25"/>
      <c r="X103" s="1154" t="s">
        <v>518</v>
      </c>
      <c r="Y103" s="25" t="s">
        <v>3056</v>
      </c>
      <c r="Z103" s="305">
        <f>ROW(A104)-1</f>
        <v>103</v>
      </c>
      <c r="AA103" s="25"/>
      <c r="AB103" s="305"/>
      <c r="AC103" s="305"/>
      <c r="AD103" s="305"/>
      <c r="AE103" s="305"/>
      <c r="AF103" s="25"/>
      <c r="AI103" s="25"/>
    </row>
    <row r="104" spans="1:35" x14ac:dyDescent="0.2">
      <c r="A104" s="24" t="str">
        <f ca="1">IF(NOT(EXACT(LIT_IV,"")),HLOOKUP(Tabellen_Andere!$GH$3,LiturgienIV,MATCH(LEFT(LIT_IV,45),LiturgienIV,1)),"")</f>
        <v/>
      </c>
      <c r="B104" s="1658" t="str">
        <f t="shared" ref="B104:B127" ca="1" si="64">IF(NOT(EXACT($A104,"")),VLOOKUP($A104,Liturgien_all,14,FALSE),"")</f>
        <v/>
      </c>
      <c r="C104" s="323" t="str">
        <f t="shared" ref="C104:C127" ca="1" si="65">IF(NOT(EXACT($A104,"")),VLOOKUP($A104,Liturgien_all,15,FALSE),"")</f>
        <v/>
      </c>
      <c r="E104" s="384"/>
      <c r="F104" s="960"/>
      <c r="G104" s="324"/>
      <c r="H104" s="372" t="str">
        <f ca="1">IF(OR(A104="",Liturgien!$C$11=""),"",IF(OR(UPPER(E104)="X",UPPER(F104)="X",UPPER(G104)="X"),IF((VLOOKUP(A104,Liturgien_all,3,FALSE))*3&gt;Liturgien!$C$11,"Liturgiekenntnis-Wert zu niedrig!",""),""))</f>
        <v/>
      </c>
      <c r="I104" s="307"/>
      <c r="J104" s="307"/>
      <c r="K104" s="307"/>
      <c r="L104" s="307"/>
      <c r="M104" s="307"/>
      <c r="N104" s="1657"/>
      <c r="O104" s="268">
        <f t="shared" ref="O104:O117" ca="1" si="66">IF(A104="",0,IF(VLOOKUP($A104,Liturgien_all,13,FALSE)="",N104,
IF(ISERROR(VLOOKUP(VLOOKUP($A104,Liturgien_all,13,FALSE),Liturgien_all,3,FALSE)),0, N104-IF(ISERROR(FIND(VLOOKUP($A104,Liturgien_all,13,FALSE),Liturgien_Aktiv,1)),0,VLOOKUP(VLOOKUP($A104,Liturgien_all,13,FALSE),Liturgien_all,3,FALSE)) )))</f>
        <v>0</v>
      </c>
      <c r="P104" s="268">
        <f t="shared" ref="P104:P117" ca="1" si="67">IF(A104="",0,IF(VLOOKUP($A104,Liturgien_all,3,FALSE)="",0,VLOOKUP($A104,Liturgien_all,3,FALSE)))</f>
        <v>0</v>
      </c>
      <c r="Q104" s="268" t="str">
        <f t="shared" ref="Q104:Q117" ca="1" si="68">IF(A104="","",IF(VLOOKUP($A104,Liturgien_all,12,FALSE)="","",VLOOKUP($A104,Liturgien_all,12,FALSE)))</f>
        <v/>
      </c>
      <c r="R104" s="268">
        <f t="shared" ref="R104:R117" ca="1" si="69">IF(Q104="",0,IF(I104&gt;Q104,Q104,I104))</f>
        <v>0</v>
      </c>
      <c r="S104" s="268">
        <f t="shared" ref="S104:S117" ca="1" si="70">SUM(T104:W104)</f>
        <v>0</v>
      </c>
      <c r="T104" s="268">
        <f t="shared" ca="1" si="63"/>
        <v>0</v>
      </c>
      <c r="U104" s="268">
        <f t="shared" ref="U104:U117" si="71">IF(D104="",0,IF(VLOOKUP(D104,Liturgien_all,5,FALSE)="speziell",0,IF(Q104="",0,VLOOKUP(Q104,RITUALDAUER_WERT,2,FALSE)-VLOOKUP(VLOOKUP(D104,Liturgien_all,5,FALSE),RITUALDAUER_WERT,2,FALSE))))</f>
        <v>0</v>
      </c>
      <c r="V104" s="268">
        <f t="shared" ref="V104:V117" si="72">IF(D104="",0,IF(VLOOKUP(D104,Liturgien_all,6,FALSE)="speziell",0,IF(R104="",0,VLOOKUP(R104,WIRKUNGSDAUER_WERT,2,FALSE)-VLOOKUP(VLOOKUP(D104,Liturgien_all,6,FALSE),WIRKUNGSDAUER_WERT,2,FALSE))))</f>
        <v>0</v>
      </c>
      <c r="W104" s="268">
        <f t="shared" ref="W104:W117" si="73">IF(D104="",0,IF(VLOOKUP(D104,Liturgien_all,7,FALSE)="speziell",0,IF(S104="",0,VLOOKUP(S104,ENTFERNUNG_WERT,2,FALSE)-VLOOKUP(VLOOKUP(D104,Liturgien_all,7,FALSE),ENTFERNUNG_WERT,2,FALSE))))</f>
        <v>0</v>
      </c>
      <c r="X104" s="268" t="str">
        <f t="shared" ref="X104:X117" ca="1" si="74">IF(AND(OR(UPPER(B104)="X",UPPER(E104)="X",UPPER(F104)="X",UPPER(G104)="X",F104=2),H104=""),A104&amp;",","")</f>
        <v/>
      </c>
      <c r="Y104" s="154" t="str">
        <f ca="1">IF(Y105="","",CONCATENATE(Y103,Y105))</f>
        <v/>
      </c>
      <c r="Z104" s="356" t="str">
        <f ca="1">IF(NOT(EXACT(LIT_IV,"")),LEN(A104)+2,"")</f>
        <v/>
      </c>
      <c r="AA104" s="25"/>
      <c r="AB104" s="268">
        <f t="shared" ref="AB104:AB117" ca="1" si="75">ROUND(IF(AND(NOT(EXACT($A104,"")),UPPER(E104)="X"),P104,0)*IF(UPPER(C104)="X",0.5,1)*IF(VT_EIDGED,0.5,IF(VT_GUTGED,0.75,1)),0)</f>
        <v>0</v>
      </c>
      <c r="AC104" s="268">
        <f t="shared" ref="AC104:AC117" ca="1" si="76">ROUND(50*IF(AND(NOT(EXACT($A104,"")),UPPER(F104)="X"),P104*IF(UPPER(C104)="X",0.5,1)*IF(VT_EIDGED,0.5,IF(VT_GUTGED,0.75,1)),0),0)</f>
        <v>0</v>
      </c>
      <c r="AD104" s="268">
        <f t="shared" ref="AD104:AD117" ca="1" si="77">ROUND(50*IF(AND(NOT(EXACT($A104,"")),F104=2),P104*IF(UPPER(C104)="X",0.5,1)*IF(VT_EIDGED,0.5,IF(VT_GUTGED,0.75,1)),0),0)</f>
        <v>0</v>
      </c>
      <c r="AE104" s="268">
        <f t="shared" ref="AE104:AE117" ca="1" si="78">ROUND(50*(IF(AND(NOT(EXACT($A104,"")),UPPER(G104)="X"),P104,0)*IF(UPPER(C104)="X",0.5,1)*IF(VT_EIDGED,0.5,IF(VT_GUTGED,0.75,1))+$R104+IF(UPPER(G104)="X",$O104,0))+10*$S104,0)</f>
        <v>0</v>
      </c>
      <c r="AF104" s="25"/>
      <c r="AG104" t="str">
        <f ca="1">A104</f>
        <v/>
      </c>
      <c r="AH104" s="78" t="str">
        <f ca="1">ROMAN(R104+S104+4)</f>
        <v>IV</v>
      </c>
      <c r="AI104" s="25"/>
    </row>
    <row r="105" spans="1:35" x14ac:dyDescent="0.2">
      <c r="A105" s="24" t="str">
        <f ca="1">IF(NOT(EXACT(Z104,"")),IF(NOT(EXACT(MID(LIT_IV,$Z104,1),"")),HLOOKUP(Tabellen_Andere!$GH$3,LiturgienIV,MATCH(MID(LIT_IV,$Z104,45),LiturgienIV,1)),""),"")</f>
        <v/>
      </c>
      <c r="B105" s="1658" t="str">
        <f t="shared" ca="1" si="64"/>
        <v/>
      </c>
      <c r="C105" s="323" t="str">
        <f t="shared" ca="1" si="65"/>
        <v/>
      </c>
      <c r="E105" s="384"/>
      <c r="F105" s="960"/>
      <c r="G105" s="324"/>
      <c r="H105" s="372" t="str">
        <f ca="1">IF(OR(A105="",Liturgien!$C$11=""),"",IF(OR(UPPER(E105)="X",UPPER(F105)="X",UPPER(G105)="X"),IF((VLOOKUP(A105,Liturgien_all,3,FALSE))*3&gt;Liturgien!$C$11,"Liturgiekenntnis-Wert zu niedrig!",""),""))</f>
        <v/>
      </c>
      <c r="I105" s="307"/>
      <c r="J105" s="307"/>
      <c r="K105" s="307"/>
      <c r="L105" s="307"/>
      <c r="M105" s="307"/>
      <c r="N105" s="1657"/>
      <c r="O105" s="268">
        <f t="shared" ca="1" si="66"/>
        <v>0</v>
      </c>
      <c r="P105" s="268">
        <f t="shared" ca="1" si="67"/>
        <v>0</v>
      </c>
      <c r="Q105" s="268" t="str">
        <f t="shared" ca="1" si="68"/>
        <v/>
      </c>
      <c r="R105" s="268">
        <f t="shared" ca="1" si="69"/>
        <v>0</v>
      </c>
      <c r="S105" s="268">
        <f t="shared" ca="1" si="70"/>
        <v>0</v>
      </c>
      <c r="T105" s="268">
        <f t="shared" ca="1" si="63"/>
        <v>0</v>
      </c>
      <c r="U105" s="268">
        <f t="shared" si="71"/>
        <v>0</v>
      </c>
      <c r="V105" s="268">
        <f t="shared" si="72"/>
        <v>0</v>
      </c>
      <c r="W105" s="268">
        <f t="shared" si="73"/>
        <v>0</v>
      </c>
      <c r="X105" s="268" t="str">
        <f t="shared" ca="1" si="74"/>
        <v/>
      </c>
      <c r="Y105" s="154" t="str">
        <f ca="1">CONCATENATE(X104,X105,X106,X107,X108,X109,X110,X111,X112,X113,X114,X115,X116,X117)</f>
        <v/>
      </c>
      <c r="Z105" s="356" t="str">
        <f t="shared" ref="Z105:Z117" ca="1" si="79">IF(NOT(EXACT(Z104,"")),IF(NOT(EXACT(MID(LIT_IV,$Z104,1),"")),Z104+LEN(A105)+1,""),"")</f>
        <v/>
      </c>
      <c r="AA105" s="25"/>
      <c r="AB105" s="268">
        <f t="shared" ca="1" si="75"/>
        <v>0</v>
      </c>
      <c r="AC105" s="268">
        <f t="shared" ca="1" si="76"/>
        <v>0</v>
      </c>
      <c r="AD105" s="268">
        <f t="shared" ca="1" si="77"/>
        <v>0</v>
      </c>
      <c r="AE105" s="268">
        <f t="shared" ca="1" si="78"/>
        <v>0</v>
      </c>
      <c r="AF105" s="25"/>
      <c r="AG105" t="str">
        <f t="shared" ref="AG105:AG117" ca="1" si="80">A105</f>
        <v/>
      </c>
      <c r="AH105" s="78" t="str">
        <f t="shared" ref="AH105:AH117" ca="1" si="81">ROMAN(R105+S105+4)</f>
        <v>IV</v>
      </c>
      <c r="AI105" s="25"/>
    </row>
    <row r="106" spans="1:35" x14ac:dyDescent="0.2">
      <c r="A106" s="24" t="str">
        <f ca="1">IF(NOT(EXACT(Z105,"")),IF(NOT(EXACT(MID(LIT_IV,$Z105,1),"")),HLOOKUP(Tabellen_Andere!$GH$3,LiturgienIV,MATCH(MID(LIT_IV,$Z105,45),LiturgienIV,1)),""),"")</f>
        <v/>
      </c>
      <c r="B106" s="1658" t="str">
        <f t="shared" ca="1" si="64"/>
        <v/>
      </c>
      <c r="C106" s="323" t="str">
        <f t="shared" ca="1" si="65"/>
        <v/>
      </c>
      <c r="E106" s="384"/>
      <c r="F106" s="960"/>
      <c r="G106" s="324"/>
      <c r="H106" s="372" t="str">
        <f ca="1">IF(OR(A106="",Liturgien!$C$11=""),"",IF(OR(UPPER(E106)="X",UPPER(F106)="X",UPPER(G106)="X"),IF((VLOOKUP(A106,Liturgien_all,3,FALSE))*3&gt;Liturgien!$C$11,"Liturgiekenntnis-Wert zu niedrig!",""),""))</f>
        <v/>
      </c>
      <c r="I106" s="307"/>
      <c r="J106" s="307"/>
      <c r="K106" s="307"/>
      <c r="L106" s="307"/>
      <c r="M106" s="307"/>
      <c r="N106" s="1657"/>
      <c r="O106" s="268">
        <f t="shared" ca="1" si="66"/>
        <v>0</v>
      </c>
      <c r="P106" s="268">
        <f t="shared" ca="1" si="67"/>
        <v>0</v>
      </c>
      <c r="Q106" s="268" t="str">
        <f t="shared" ca="1" si="68"/>
        <v/>
      </c>
      <c r="R106" s="268">
        <f t="shared" ca="1" si="69"/>
        <v>0</v>
      </c>
      <c r="S106" s="268">
        <f t="shared" ca="1" si="70"/>
        <v>0</v>
      </c>
      <c r="T106" s="268">
        <f t="shared" ca="1" si="63"/>
        <v>0</v>
      </c>
      <c r="U106" s="268">
        <f t="shared" si="71"/>
        <v>0</v>
      </c>
      <c r="V106" s="268">
        <f t="shared" si="72"/>
        <v>0</v>
      </c>
      <c r="W106" s="268">
        <f t="shared" si="73"/>
        <v>0</v>
      </c>
      <c r="X106" s="268" t="str">
        <f t="shared" ca="1" si="74"/>
        <v/>
      </c>
      <c r="Y106" s="356"/>
      <c r="Z106" s="356" t="str">
        <f t="shared" ca="1" si="79"/>
        <v/>
      </c>
      <c r="AA106" s="25"/>
      <c r="AB106" s="268">
        <f t="shared" ca="1" si="75"/>
        <v>0</v>
      </c>
      <c r="AC106" s="268">
        <f t="shared" ca="1" si="76"/>
        <v>0</v>
      </c>
      <c r="AD106" s="268">
        <f t="shared" ca="1" si="77"/>
        <v>0</v>
      </c>
      <c r="AE106" s="268">
        <f t="shared" ca="1" si="78"/>
        <v>0</v>
      </c>
      <c r="AF106" s="25"/>
      <c r="AG106" t="str">
        <f t="shared" ca="1" si="80"/>
        <v/>
      </c>
      <c r="AH106" s="78" t="str">
        <f t="shared" ca="1" si="81"/>
        <v>IV</v>
      </c>
      <c r="AI106" s="25"/>
    </row>
    <row r="107" spans="1:35" x14ac:dyDescent="0.2">
      <c r="A107" s="24" t="str">
        <f ca="1">IF(NOT(EXACT(Z106,"")),IF(NOT(EXACT(MID(LIT_IV,$Z106,1),"")),HLOOKUP(Tabellen_Andere!$GH$3,LiturgienIV,MATCH(MID(LIT_IV,$Z106,45),LiturgienIV,1)),""),"")</f>
        <v/>
      </c>
      <c r="B107" s="1658" t="str">
        <f t="shared" ca="1" si="64"/>
        <v/>
      </c>
      <c r="C107" s="323" t="str">
        <f t="shared" ca="1" si="65"/>
        <v/>
      </c>
      <c r="E107" s="384"/>
      <c r="F107" s="960"/>
      <c r="G107" s="324"/>
      <c r="H107" s="372" t="str">
        <f ca="1">IF(OR(A107="",Liturgien!$C$11=""),"",IF(OR(UPPER(E107)="X",UPPER(F107)="X",UPPER(G107)="X"),IF((VLOOKUP(A107,Liturgien_all,3,FALSE))*3&gt;Liturgien!$C$11,"Liturgiekenntnis-Wert zu niedrig!",""),""))</f>
        <v/>
      </c>
      <c r="I107" s="307"/>
      <c r="J107" s="307"/>
      <c r="K107" s="307"/>
      <c r="L107" s="307"/>
      <c r="M107" s="307"/>
      <c r="N107" s="1657"/>
      <c r="O107" s="268">
        <f t="shared" ca="1" si="66"/>
        <v>0</v>
      </c>
      <c r="P107" s="268">
        <f t="shared" ca="1" si="67"/>
        <v>0</v>
      </c>
      <c r="Q107" s="268" t="str">
        <f t="shared" ca="1" si="68"/>
        <v/>
      </c>
      <c r="R107" s="268">
        <f t="shared" ca="1" si="69"/>
        <v>0</v>
      </c>
      <c r="S107" s="268">
        <f t="shared" ca="1" si="70"/>
        <v>0</v>
      </c>
      <c r="T107" s="268">
        <f t="shared" ca="1" si="63"/>
        <v>0</v>
      </c>
      <c r="U107" s="268">
        <f t="shared" si="71"/>
        <v>0</v>
      </c>
      <c r="V107" s="268">
        <f t="shared" si="72"/>
        <v>0</v>
      </c>
      <c r="W107" s="268">
        <f t="shared" si="73"/>
        <v>0</v>
      </c>
      <c r="X107" s="268" t="str">
        <f t="shared" ca="1" si="74"/>
        <v/>
      </c>
      <c r="Y107" s="356"/>
      <c r="Z107" s="356" t="str">
        <f t="shared" ca="1" si="79"/>
        <v/>
      </c>
      <c r="AA107" s="25"/>
      <c r="AB107" s="268">
        <f t="shared" ca="1" si="75"/>
        <v>0</v>
      </c>
      <c r="AC107" s="268">
        <f t="shared" ca="1" si="76"/>
        <v>0</v>
      </c>
      <c r="AD107" s="268">
        <f t="shared" ca="1" si="77"/>
        <v>0</v>
      </c>
      <c r="AE107" s="268">
        <f t="shared" ca="1" si="78"/>
        <v>0</v>
      </c>
      <c r="AF107" s="25"/>
      <c r="AG107" t="str">
        <f t="shared" ca="1" si="80"/>
        <v/>
      </c>
      <c r="AH107" s="78" t="str">
        <f t="shared" ca="1" si="81"/>
        <v>IV</v>
      </c>
      <c r="AI107" s="25"/>
    </row>
    <row r="108" spans="1:35" x14ac:dyDescent="0.2">
      <c r="A108" s="24" t="str">
        <f ca="1">IF(NOT(EXACT(Z107,"")),IF(NOT(EXACT(MID(LIT_IV,$Z107,1),"")),HLOOKUP(Tabellen_Andere!$GH$3,LiturgienIV,MATCH(MID(LIT_IV,$Z107,45),LiturgienIV,1)),""),"")</f>
        <v/>
      </c>
      <c r="B108" s="1658" t="str">
        <f t="shared" ca="1" si="64"/>
        <v/>
      </c>
      <c r="C108" s="323" t="str">
        <f t="shared" ca="1" si="65"/>
        <v/>
      </c>
      <c r="E108" s="384"/>
      <c r="F108" s="960"/>
      <c r="G108" s="324"/>
      <c r="H108" s="372" t="str">
        <f ca="1">IF(OR(A108="",Liturgien!$C$11=""),"",IF(OR(UPPER(E108)="X",UPPER(F108)="X",UPPER(G108)="X"),IF((VLOOKUP(A108,Liturgien_all,3,FALSE))*3&gt;Liturgien!$C$11,"Liturgiekenntnis-Wert zu niedrig!",""),""))</f>
        <v/>
      </c>
      <c r="I108" s="307"/>
      <c r="J108" s="307"/>
      <c r="K108" s="307"/>
      <c r="L108" s="307"/>
      <c r="M108" s="307"/>
      <c r="N108" s="1657"/>
      <c r="O108" s="268">
        <f t="shared" ca="1" si="66"/>
        <v>0</v>
      </c>
      <c r="P108" s="268">
        <f t="shared" ca="1" si="67"/>
        <v>0</v>
      </c>
      <c r="Q108" s="268" t="str">
        <f t="shared" ca="1" si="68"/>
        <v/>
      </c>
      <c r="R108" s="268">
        <f t="shared" ca="1" si="69"/>
        <v>0</v>
      </c>
      <c r="S108" s="268">
        <f t="shared" ca="1" si="70"/>
        <v>0</v>
      </c>
      <c r="T108" s="268">
        <f t="shared" ca="1" si="63"/>
        <v>0</v>
      </c>
      <c r="U108" s="268">
        <f t="shared" si="71"/>
        <v>0</v>
      </c>
      <c r="V108" s="268">
        <f t="shared" si="72"/>
        <v>0</v>
      </c>
      <c r="W108" s="268">
        <f t="shared" si="73"/>
        <v>0</v>
      </c>
      <c r="X108" s="268" t="str">
        <f t="shared" ca="1" si="74"/>
        <v/>
      </c>
      <c r="Y108" s="356"/>
      <c r="Z108" s="356" t="str">
        <f t="shared" ca="1" si="79"/>
        <v/>
      </c>
      <c r="AA108" s="25"/>
      <c r="AB108" s="268">
        <f t="shared" ca="1" si="75"/>
        <v>0</v>
      </c>
      <c r="AC108" s="268">
        <f t="shared" ca="1" si="76"/>
        <v>0</v>
      </c>
      <c r="AD108" s="268">
        <f t="shared" ca="1" si="77"/>
        <v>0</v>
      </c>
      <c r="AE108" s="268">
        <f t="shared" ca="1" si="78"/>
        <v>0</v>
      </c>
      <c r="AF108" s="25"/>
      <c r="AG108" t="str">
        <f t="shared" ca="1" si="80"/>
        <v/>
      </c>
      <c r="AH108" s="78" t="str">
        <f t="shared" ca="1" si="81"/>
        <v>IV</v>
      </c>
      <c r="AI108" s="25"/>
    </row>
    <row r="109" spans="1:35" x14ac:dyDescent="0.2">
      <c r="A109" s="24" t="str">
        <f ca="1">IF(NOT(EXACT(Z108,"")),IF(NOT(EXACT(MID(LIT_IV,$Z108,1),"")),HLOOKUP(Tabellen_Andere!$GH$3,LiturgienIV,MATCH(MID(LIT_IV,$Z108,45),LiturgienIV,1)),""),"")</f>
        <v/>
      </c>
      <c r="B109" s="1658" t="str">
        <f t="shared" ca="1" si="64"/>
        <v/>
      </c>
      <c r="C109" s="323" t="str">
        <f t="shared" ca="1" si="65"/>
        <v/>
      </c>
      <c r="E109" s="384"/>
      <c r="F109" s="960"/>
      <c r="G109" s="324"/>
      <c r="H109" s="372" t="str">
        <f ca="1">IF(OR(A109="",Liturgien!$C$11=""),"",IF(OR(UPPER(E109)="X",UPPER(F109)="X",UPPER(G109)="X"),IF((VLOOKUP(A109,Liturgien_all,3,FALSE))*3&gt;Liturgien!$C$11,"Liturgiekenntnis-Wert zu niedrig!",""),""))</f>
        <v/>
      </c>
      <c r="I109" s="307"/>
      <c r="J109" s="307"/>
      <c r="K109" s="307"/>
      <c r="L109" s="307"/>
      <c r="M109" s="307"/>
      <c r="N109" s="1657"/>
      <c r="O109" s="268">
        <f t="shared" ca="1" si="66"/>
        <v>0</v>
      </c>
      <c r="P109" s="268">
        <f t="shared" ca="1" si="67"/>
        <v>0</v>
      </c>
      <c r="Q109" s="268" t="str">
        <f t="shared" ca="1" si="68"/>
        <v/>
      </c>
      <c r="R109" s="268">
        <f t="shared" ca="1" si="69"/>
        <v>0</v>
      </c>
      <c r="S109" s="268">
        <f t="shared" ca="1" si="70"/>
        <v>0</v>
      </c>
      <c r="T109" s="268">
        <f t="shared" ca="1" si="63"/>
        <v>0</v>
      </c>
      <c r="U109" s="268">
        <f t="shared" si="71"/>
        <v>0</v>
      </c>
      <c r="V109" s="268">
        <f t="shared" si="72"/>
        <v>0</v>
      </c>
      <c r="W109" s="268">
        <f t="shared" si="73"/>
        <v>0</v>
      </c>
      <c r="X109" s="268" t="str">
        <f t="shared" ca="1" si="74"/>
        <v/>
      </c>
      <c r="Y109" s="356"/>
      <c r="Z109" s="356" t="str">
        <f t="shared" ca="1" si="79"/>
        <v/>
      </c>
      <c r="AA109" s="25"/>
      <c r="AB109" s="268">
        <f t="shared" ca="1" si="75"/>
        <v>0</v>
      </c>
      <c r="AC109" s="268">
        <f t="shared" ca="1" si="76"/>
        <v>0</v>
      </c>
      <c r="AD109" s="268">
        <f t="shared" ca="1" si="77"/>
        <v>0</v>
      </c>
      <c r="AE109" s="268">
        <f t="shared" ca="1" si="78"/>
        <v>0</v>
      </c>
      <c r="AF109" s="25"/>
      <c r="AG109" t="str">
        <f t="shared" ca="1" si="80"/>
        <v/>
      </c>
      <c r="AH109" s="78" t="str">
        <f t="shared" ca="1" si="81"/>
        <v>IV</v>
      </c>
      <c r="AI109" s="25"/>
    </row>
    <row r="110" spans="1:35" x14ac:dyDescent="0.2">
      <c r="A110" s="24" t="str">
        <f ca="1">IF(NOT(EXACT(Z109,"")),IF(NOT(EXACT(MID(LIT_IV,$Z109,1),"")),HLOOKUP(Tabellen_Andere!$GH$3,LiturgienIV,MATCH(MID(LIT_IV,$Z109,45),LiturgienIV,1)),""),"")</f>
        <v/>
      </c>
      <c r="B110" s="1658" t="str">
        <f t="shared" ca="1" si="64"/>
        <v/>
      </c>
      <c r="C110" s="323" t="str">
        <f t="shared" ca="1" si="65"/>
        <v/>
      </c>
      <c r="E110" s="384"/>
      <c r="F110" s="960"/>
      <c r="G110" s="324"/>
      <c r="H110" s="372" t="str">
        <f ca="1">IF(OR(A110="",Liturgien!$C$11=""),"",IF(OR(UPPER(E110)="X",UPPER(F110)="X",UPPER(G110)="X"),IF((VLOOKUP(A110,Liturgien_all,3,FALSE))*3&gt;Liturgien!$C$11,"Liturgiekenntnis-Wert zu niedrig!",""),""))</f>
        <v/>
      </c>
      <c r="I110" s="307"/>
      <c r="J110" s="307"/>
      <c r="K110" s="307"/>
      <c r="L110" s="307"/>
      <c r="M110" s="307"/>
      <c r="N110" s="1657"/>
      <c r="O110" s="268">
        <f t="shared" ca="1" si="66"/>
        <v>0</v>
      </c>
      <c r="P110" s="268">
        <f t="shared" ca="1" si="67"/>
        <v>0</v>
      </c>
      <c r="Q110" s="268" t="str">
        <f t="shared" ca="1" si="68"/>
        <v/>
      </c>
      <c r="R110" s="268">
        <f t="shared" ca="1" si="69"/>
        <v>0</v>
      </c>
      <c r="S110" s="268">
        <f t="shared" ca="1" si="70"/>
        <v>0</v>
      </c>
      <c r="T110" s="268">
        <f t="shared" ca="1" si="63"/>
        <v>0</v>
      </c>
      <c r="U110" s="268">
        <f t="shared" si="71"/>
        <v>0</v>
      </c>
      <c r="V110" s="268">
        <f t="shared" si="72"/>
        <v>0</v>
      </c>
      <c r="W110" s="268">
        <f t="shared" si="73"/>
        <v>0</v>
      </c>
      <c r="X110" s="268" t="str">
        <f t="shared" ca="1" si="74"/>
        <v/>
      </c>
      <c r="Y110" s="356"/>
      <c r="Z110" s="356" t="str">
        <f t="shared" ca="1" si="79"/>
        <v/>
      </c>
      <c r="AA110" s="25"/>
      <c r="AB110" s="268">
        <f t="shared" ca="1" si="75"/>
        <v>0</v>
      </c>
      <c r="AC110" s="268">
        <f t="shared" ca="1" si="76"/>
        <v>0</v>
      </c>
      <c r="AD110" s="268">
        <f t="shared" ca="1" si="77"/>
        <v>0</v>
      </c>
      <c r="AE110" s="268">
        <f t="shared" ca="1" si="78"/>
        <v>0</v>
      </c>
      <c r="AF110" s="25"/>
      <c r="AG110" t="str">
        <f t="shared" ca="1" si="80"/>
        <v/>
      </c>
      <c r="AH110" s="78" t="str">
        <f t="shared" ca="1" si="81"/>
        <v>IV</v>
      </c>
      <c r="AI110" s="25"/>
    </row>
    <row r="111" spans="1:35" x14ac:dyDescent="0.2">
      <c r="A111" s="24" t="str">
        <f ca="1">IF(NOT(EXACT(Z110,"")),IF(NOT(EXACT(MID(LIT_IV,$Z110,1),"")),HLOOKUP(Tabellen_Andere!$GH$3,LiturgienIV,MATCH(MID(LIT_IV,$Z110,45),LiturgienIV,1)),""),"")</f>
        <v/>
      </c>
      <c r="B111" s="1658" t="str">
        <f t="shared" ca="1" si="64"/>
        <v/>
      </c>
      <c r="C111" s="323" t="str">
        <f t="shared" ca="1" si="65"/>
        <v/>
      </c>
      <c r="E111" s="384"/>
      <c r="F111" s="960"/>
      <c r="G111" s="324"/>
      <c r="H111" s="372" t="str">
        <f ca="1">IF(OR(A111="",Liturgien!$C$11=""),"",IF(OR(UPPER(E111)="X",UPPER(F111)="X",UPPER(G111)="X"),IF((VLOOKUP(A111,Liturgien_all,3,FALSE))*3&gt;Liturgien!$C$11,"Liturgiekenntnis-Wert zu niedrig!",""),""))</f>
        <v/>
      </c>
      <c r="I111" s="307"/>
      <c r="J111" s="307"/>
      <c r="K111" s="307"/>
      <c r="L111" s="307"/>
      <c r="M111" s="307"/>
      <c r="N111" s="1657"/>
      <c r="O111" s="268">
        <f t="shared" ca="1" si="66"/>
        <v>0</v>
      </c>
      <c r="P111" s="268">
        <f t="shared" ca="1" si="67"/>
        <v>0</v>
      </c>
      <c r="Q111" s="268" t="str">
        <f t="shared" ca="1" si="68"/>
        <v/>
      </c>
      <c r="R111" s="268">
        <f t="shared" ca="1" si="69"/>
        <v>0</v>
      </c>
      <c r="S111" s="268">
        <f t="shared" ca="1" si="70"/>
        <v>0</v>
      </c>
      <c r="T111" s="268">
        <f t="shared" ca="1" si="63"/>
        <v>0</v>
      </c>
      <c r="U111" s="268">
        <f t="shared" si="71"/>
        <v>0</v>
      </c>
      <c r="V111" s="268">
        <f t="shared" si="72"/>
        <v>0</v>
      </c>
      <c r="W111" s="268">
        <f t="shared" si="73"/>
        <v>0</v>
      </c>
      <c r="X111" s="268" t="str">
        <f t="shared" ca="1" si="74"/>
        <v/>
      </c>
      <c r="Y111" s="356"/>
      <c r="Z111" s="356" t="str">
        <f t="shared" ca="1" si="79"/>
        <v/>
      </c>
      <c r="AA111" s="25"/>
      <c r="AB111" s="268">
        <f t="shared" ca="1" si="75"/>
        <v>0</v>
      </c>
      <c r="AC111" s="268">
        <f t="shared" ca="1" si="76"/>
        <v>0</v>
      </c>
      <c r="AD111" s="268">
        <f t="shared" ca="1" si="77"/>
        <v>0</v>
      </c>
      <c r="AE111" s="268">
        <f t="shared" ca="1" si="78"/>
        <v>0</v>
      </c>
      <c r="AF111" s="25"/>
      <c r="AG111" t="str">
        <f t="shared" ca="1" si="80"/>
        <v/>
      </c>
      <c r="AH111" s="78" t="str">
        <f t="shared" ca="1" si="81"/>
        <v>IV</v>
      </c>
      <c r="AI111" s="25"/>
    </row>
    <row r="112" spans="1:35" x14ac:dyDescent="0.2">
      <c r="A112" s="24" t="str">
        <f ca="1">IF(NOT(EXACT(Z111,"")),IF(NOT(EXACT(MID(LIT_IV,$Z111,1),"")),HLOOKUP(Tabellen_Andere!$GH$3,LiturgienIV,MATCH(MID(LIT_IV,$Z111,45),LiturgienIV,1)),""),"")</f>
        <v/>
      </c>
      <c r="B112" s="1658" t="str">
        <f t="shared" ca="1" si="64"/>
        <v/>
      </c>
      <c r="C112" s="323" t="str">
        <f t="shared" ca="1" si="65"/>
        <v/>
      </c>
      <c r="E112" s="384"/>
      <c r="F112" s="960"/>
      <c r="G112" s="324"/>
      <c r="H112" s="372" t="str">
        <f ca="1">IF(OR(A112="",Liturgien!$C$11=""),"",IF(OR(UPPER(E112)="X",UPPER(F112)="X",UPPER(G112)="X"),IF((VLOOKUP(A112,Liturgien_all,3,FALSE))*3&gt;Liturgien!$C$11,"Liturgiekenntnis-Wert zu niedrig!",""),""))</f>
        <v/>
      </c>
      <c r="I112" s="307"/>
      <c r="J112" s="307"/>
      <c r="K112" s="307"/>
      <c r="L112" s="307"/>
      <c r="M112" s="307"/>
      <c r="N112" s="1657"/>
      <c r="O112" s="268">
        <f t="shared" ca="1" si="66"/>
        <v>0</v>
      </c>
      <c r="P112" s="268">
        <f t="shared" ca="1" si="67"/>
        <v>0</v>
      </c>
      <c r="Q112" s="268" t="str">
        <f t="shared" ca="1" si="68"/>
        <v/>
      </c>
      <c r="R112" s="268">
        <f t="shared" ca="1" si="69"/>
        <v>0</v>
      </c>
      <c r="S112" s="268">
        <f t="shared" ca="1" si="70"/>
        <v>0</v>
      </c>
      <c r="T112" s="268">
        <f t="shared" ca="1" si="63"/>
        <v>0</v>
      </c>
      <c r="U112" s="268">
        <f t="shared" si="71"/>
        <v>0</v>
      </c>
      <c r="V112" s="268">
        <f t="shared" si="72"/>
        <v>0</v>
      </c>
      <c r="W112" s="268">
        <f t="shared" si="73"/>
        <v>0</v>
      </c>
      <c r="X112" s="268" t="str">
        <f t="shared" ca="1" si="74"/>
        <v/>
      </c>
      <c r="Y112" s="356"/>
      <c r="Z112" s="356" t="str">
        <f t="shared" ca="1" si="79"/>
        <v/>
      </c>
      <c r="AA112" s="25"/>
      <c r="AB112" s="268">
        <f t="shared" ca="1" si="75"/>
        <v>0</v>
      </c>
      <c r="AC112" s="268">
        <f t="shared" ca="1" si="76"/>
        <v>0</v>
      </c>
      <c r="AD112" s="268">
        <f t="shared" ca="1" si="77"/>
        <v>0</v>
      </c>
      <c r="AE112" s="268">
        <f t="shared" ca="1" si="78"/>
        <v>0</v>
      </c>
      <c r="AF112" s="25"/>
      <c r="AG112" t="str">
        <f t="shared" ca="1" si="80"/>
        <v/>
      </c>
      <c r="AH112" s="78" t="str">
        <f t="shared" ca="1" si="81"/>
        <v>IV</v>
      </c>
      <c r="AI112" s="25"/>
    </row>
    <row r="113" spans="1:35" x14ac:dyDescent="0.2">
      <c r="A113" s="24" t="str">
        <f ca="1">IF(NOT(EXACT(Z112,"")),IF(NOT(EXACT(MID(LIT_IV,$Z112,1),"")),HLOOKUP(Tabellen_Andere!$GH$3,LiturgienIV,MATCH(MID(LIT_IV,$Z112,45),LiturgienIV,1)),""),"")</f>
        <v/>
      </c>
      <c r="B113" s="1658" t="str">
        <f t="shared" ca="1" si="64"/>
        <v/>
      </c>
      <c r="C113" s="323" t="str">
        <f t="shared" ca="1" si="65"/>
        <v/>
      </c>
      <c r="E113" s="384"/>
      <c r="F113" s="960"/>
      <c r="G113" s="324"/>
      <c r="H113" s="372" t="str">
        <f ca="1">IF(OR(A113="",Liturgien!$C$11=""),"",IF(OR(UPPER(E113)="X",UPPER(F113)="X",UPPER(G113)="X"),IF((VLOOKUP(A113,Liturgien_all,3,FALSE))*3&gt;Liturgien!$C$11,"Liturgiekenntnis-Wert zu niedrig!",""),""))</f>
        <v/>
      </c>
      <c r="I113" s="307"/>
      <c r="J113" s="307"/>
      <c r="K113" s="307"/>
      <c r="L113" s="307"/>
      <c r="M113" s="307"/>
      <c r="N113" s="1657"/>
      <c r="O113" s="268">
        <f t="shared" ca="1" si="66"/>
        <v>0</v>
      </c>
      <c r="P113" s="268">
        <f t="shared" ca="1" si="67"/>
        <v>0</v>
      </c>
      <c r="Q113" s="268" t="str">
        <f t="shared" ca="1" si="68"/>
        <v/>
      </c>
      <c r="R113" s="268">
        <f t="shared" ca="1" si="69"/>
        <v>0</v>
      </c>
      <c r="S113" s="268">
        <f t="shared" ca="1" si="70"/>
        <v>0</v>
      </c>
      <c r="T113" s="268">
        <f t="shared" ca="1" si="63"/>
        <v>0</v>
      </c>
      <c r="U113" s="268">
        <f t="shared" si="71"/>
        <v>0</v>
      </c>
      <c r="V113" s="268">
        <f t="shared" si="72"/>
        <v>0</v>
      </c>
      <c r="W113" s="268">
        <f t="shared" si="73"/>
        <v>0</v>
      </c>
      <c r="X113" s="268" t="str">
        <f t="shared" ca="1" si="74"/>
        <v/>
      </c>
      <c r="Y113" s="356"/>
      <c r="Z113" s="356" t="str">
        <f t="shared" ca="1" si="79"/>
        <v/>
      </c>
      <c r="AA113" s="25"/>
      <c r="AB113" s="268">
        <f t="shared" ca="1" si="75"/>
        <v>0</v>
      </c>
      <c r="AC113" s="268">
        <f t="shared" ca="1" si="76"/>
        <v>0</v>
      </c>
      <c r="AD113" s="268">
        <f t="shared" ca="1" si="77"/>
        <v>0</v>
      </c>
      <c r="AE113" s="268">
        <f t="shared" ca="1" si="78"/>
        <v>0</v>
      </c>
      <c r="AF113" s="25"/>
      <c r="AG113" t="str">
        <f t="shared" ca="1" si="80"/>
        <v/>
      </c>
      <c r="AH113" s="78" t="str">
        <f t="shared" ca="1" si="81"/>
        <v>IV</v>
      </c>
      <c r="AI113" s="25"/>
    </row>
    <row r="114" spans="1:35" x14ac:dyDescent="0.2">
      <c r="A114" s="24" t="str">
        <f ca="1">IF(NOT(EXACT(Z113,"")),IF(NOT(EXACT(MID(LIT_IV,$Z113,1),"")),HLOOKUP(Tabellen_Andere!$GH$3,LiturgienIV,MATCH(MID(LIT_IV,$Z113,45),LiturgienIV,1)),""),"")</f>
        <v/>
      </c>
      <c r="B114" s="1658" t="str">
        <f t="shared" ca="1" si="64"/>
        <v/>
      </c>
      <c r="C114" s="323" t="str">
        <f t="shared" ca="1" si="65"/>
        <v/>
      </c>
      <c r="E114" s="384"/>
      <c r="F114" s="960"/>
      <c r="G114" s="324"/>
      <c r="H114" s="372" t="str">
        <f ca="1">IF(OR(A114="",Liturgien!$C$11=""),"",IF(OR(UPPER(E114)="X",UPPER(F114)="X",UPPER(G114)="X"),IF((VLOOKUP(A114,Liturgien_all,3,FALSE))*3&gt;Liturgien!$C$11,"Liturgiekenntnis-Wert zu niedrig!",""),""))</f>
        <v/>
      </c>
      <c r="I114" s="307"/>
      <c r="J114" s="307"/>
      <c r="K114" s="307"/>
      <c r="L114" s="307"/>
      <c r="M114" s="307"/>
      <c r="N114" s="1657"/>
      <c r="O114" s="268">
        <f t="shared" ca="1" si="66"/>
        <v>0</v>
      </c>
      <c r="P114" s="268">
        <f t="shared" ca="1" si="67"/>
        <v>0</v>
      </c>
      <c r="Q114" s="268" t="str">
        <f t="shared" ca="1" si="68"/>
        <v/>
      </c>
      <c r="R114" s="268">
        <f t="shared" ca="1" si="69"/>
        <v>0</v>
      </c>
      <c r="S114" s="268">
        <f t="shared" ca="1" si="70"/>
        <v>0</v>
      </c>
      <c r="T114" s="268">
        <f t="shared" ca="1" si="63"/>
        <v>0</v>
      </c>
      <c r="U114" s="268">
        <f t="shared" si="71"/>
        <v>0</v>
      </c>
      <c r="V114" s="268">
        <f t="shared" si="72"/>
        <v>0</v>
      </c>
      <c r="W114" s="268">
        <f t="shared" si="73"/>
        <v>0</v>
      </c>
      <c r="X114" s="268" t="str">
        <f t="shared" ca="1" si="74"/>
        <v/>
      </c>
      <c r="Y114" s="356"/>
      <c r="Z114" s="356" t="str">
        <f t="shared" ca="1" si="79"/>
        <v/>
      </c>
      <c r="AA114" s="25"/>
      <c r="AB114" s="268">
        <f t="shared" ca="1" si="75"/>
        <v>0</v>
      </c>
      <c r="AC114" s="268">
        <f t="shared" ca="1" si="76"/>
        <v>0</v>
      </c>
      <c r="AD114" s="268">
        <f t="shared" ca="1" si="77"/>
        <v>0</v>
      </c>
      <c r="AE114" s="268">
        <f t="shared" ca="1" si="78"/>
        <v>0</v>
      </c>
      <c r="AF114" s="25"/>
      <c r="AG114" t="str">
        <f t="shared" ca="1" si="80"/>
        <v/>
      </c>
      <c r="AH114" s="78" t="str">
        <f t="shared" ca="1" si="81"/>
        <v>IV</v>
      </c>
      <c r="AI114" s="25"/>
    </row>
    <row r="115" spans="1:35" x14ac:dyDescent="0.2">
      <c r="A115" s="24" t="str">
        <f ca="1">IF(NOT(EXACT(Z114,"")),IF(NOT(EXACT(MID(LIT_IV,$Z114,1),"")),HLOOKUP(Tabellen_Andere!$GH$3,LiturgienIV,MATCH(MID(LIT_IV,$Z114,45),LiturgienIV,1)),""),"")</f>
        <v/>
      </c>
      <c r="B115" s="1658" t="str">
        <f t="shared" ca="1" si="64"/>
        <v/>
      </c>
      <c r="C115" s="323" t="str">
        <f t="shared" ca="1" si="65"/>
        <v/>
      </c>
      <c r="E115" s="384"/>
      <c r="F115" s="960"/>
      <c r="G115" s="324"/>
      <c r="H115" s="372" t="str">
        <f ca="1">IF(OR(A115="",Liturgien!$C$11=""),"",IF(OR(UPPER(E115)="X",UPPER(F115)="X",UPPER(G115)="X"),IF((VLOOKUP(A115,Liturgien_all,3,FALSE))*3&gt;Liturgien!$C$11,"Liturgiekenntnis-Wert zu niedrig!",""),""))</f>
        <v/>
      </c>
      <c r="I115" s="307"/>
      <c r="J115" s="307"/>
      <c r="K115" s="307"/>
      <c r="L115" s="307"/>
      <c r="M115" s="307"/>
      <c r="N115" s="1657"/>
      <c r="O115" s="268">
        <f t="shared" ca="1" si="66"/>
        <v>0</v>
      </c>
      <c r="P115" s="268">
        <f t="shared" ca="1" si="67"/>
        <v>0</v>
      </c>
      <c r="Q115" s="268" t="str">
        <f t="shared" ca="1" si="68"/>
        <v/>
      </c>
      <c r="R115" s="268">
        <f t="shared" ca="1" si="69"/>
        <v>0</v>
      </c>
      <c r="S115" s="268">
        <f t="shared" ca="1" si="70"/>
        <v>0</v>
      </c>
      <c r="T115" s="268">
        <f t="shared" ca="1" si="63"/>
        <v>0</v>
      </c>
      <c r="U115" s="268">
        <f t="shared" si="71"/>
        <v>0</v>
      </c>
      <c r="V115" s="268">
        <f t="shared" si="72"/>
        <v>0</v>
      </c>
      <c r="W115" s="268">
        <f t="shared" si="73"/>
        <v>0</v>
      </c>
      <c r="X115" s="268" t="str">
        <f t="shared" ca="1" si="74"/>
        <v/>
      </c>
      <c r="Y115" s="356"/>
      <c r="Z115" s="356" t="str">
        <f t="shared" ca="1" si="79"/>
        <v/>
      </c>
      <c r="AA115" s="25"/>
      <c r="AB115" s="268">
        <f t="shared" ca="1" si="75"/>
        <v>0</v>
      </c>
      <c r="AC115" s="268">
        <f t="shared" ca="1" si="76"/>
        <v>0</v>
      </c>
      <c r="AD115" s="268">
        <f t="shared" ca="1" si="77"/>
        <v>0</v>
      </c>
      <c r="AE115" s="268">
        <f t="shared" ca="1" si="78"/>
        <v>0</v>
      </c>
      <c r="AF115" s="25"/>
      <c r="AG115" t="str">
        <f t="shared" ca="1" si="80"/>
        <v/>
      </c>
      <c r="AH115" s="78" t="str">
        <f t="shared" ca="1" si="81"/>
        <v>IV</v>
      </c>
      <c r="AI115" s="25"/>
    </row>
    <row r="116" spans="1:35" x14ac:dyDescent="0.2">
      <c r="A116" s="24" t="str">
        <f ca="1">IF(NOT(EXACT(Z115,"")),IF(NOT(EXACT(MID(LIT_IV,$Z115,1),"")),HLOOKUP(Tabellen_Andere!$GH$3,LiturgienIV,MATCH(MID(LIT_IV,$Z115,45),LiturgienIV,1)),""),"")</f>
        <v/>
      </c>
      <c r="B116" s="1658" t="str">
        <f t="shared" ca="1" si="64"/>
        <v/>
      </c>
      <c r="C116" s="323" t="str">
        <f t="shared" ca="1" si="65"/>
        <v/>
      </c>
      <c r="E116" s="384"/>
      <c r="F116" s="960"/>
      <c r="G116" s="324"/>
      <c r="H116" s="372" t="str">
        <f ca="1">IF(OR(A116="",Liturgien!$C$11=""),"",IF(OR(UPPER(E116)="X",UPPER(F116)="X",UPPER(G116)="X"),IF((VLOOKUP(A116,Liturgien_all,3,FALSE))*3&gt;Liturgien!$C$11,"Liturgiekenntnis-Wert zu niedrig!",""),""))</f>
        <v/>
      </c>
      <c r="I116" s="307"/>
      <c r="J116" s="307"/>
      <c r="K116" s="307"/>
      <c r="L116" s="307"/>
      <c r="M116" s="307"/>
      <c r="N116" s="1657"/>
      <c r="O116" s="268">
        <f t="shared" ca="1" si="66"/>
        <v>0</v>
      </c>
      <c r="P116" s="268">
        <f t="shared" ca="1" si="67"/>
        <v>0</v>
      </c>
      <c r="Q116" s="268" t="str">
        <f t="shared" ca="1" si="68"/>
        <v/>
      </c>
      <c r="R116" s="268">
        <f t="shared" ca="1" si="69"/>
        <v>0</v>
      </c>
      <c r="S116" s="268">
        <f t="shared" ca="1" si="70"/>
        <v>0</v>
      </c>
      <c r="T116" s="268">
        <f t="shared" ca="1" si="63"/>
        <v>0</v>
      </c>
      <c r="U116" s="268">
        <f t="shared" si="71"/>
        <v>0</v>
      </c>
      <c r="V116" s="268">
        <f t="shared" si="72"/>
        <v>0</v>
      </c>
      <c r="W116" s="268">
        <f t="shared" si="73"/>
        <v>0</v>
      </c>
      <c r="X116" s="268" t="str">
        <f t="shared" ca="1" si="74"/>
        <v/>
      </c>
      <c r="Y116" s="356"/>
      <c r="Z116" s="356" t="str">
        <f t="shared" ca="1" si="79"/>
        <v/>
      </c>
      <c r="AA116" s="25"/>
      <c r="AB116" s="268">
        <f t="shared" ca="1" si="75"/>
        <v>0</v>
      </c>
      <c r="AC116" s="268">
        <f t="shared" ca="1" si="76"/>
        <v>0</v>
      </c>
      <c r="AD116" s="268">
        <f t="shared" ca="1" si="77"/>
        <v>0</v>
      </c>
      <c r="AE116" s="268">
        <f t="shared" ca="1" si="78"/>
        <v>0</v>
      </c>
      <c r="AF116" s="25"/>
      <c r="AG116" t="str">
        <f t="shared" ca="1" si="80"/>
        <v/>
      </c>
      <c r="AH116" s="78" t="str">
        <f t="shared" ca="1" si="81"/>
        <v>IV</v>
      </c>
      <c r="AI116" s="25"/>
    </row>
    <row r="117" spans="1:35" x14ac:dyDescent="0.2">
      <c r="A117" s="24" t="str">
        <f ca="1">IF(NOT(EXACT(Z116,"")),IF(NOT(EXACT(MID(LIT_IV,$Z116,1),"")),HLOOKUP(Tabellen_Andere!$GH$3,LiturgienIV,MATCH(MID(LIT_IV,$Z116,45),LiturgienIV,1)),""),"")</f>
        <v/>
      </c>
      <c r="B117" s="1658" t="str">
        <f t="shared" ca="1" si="64"/>
        <v/>
      </c>
      <c r="C117" s="323" t="str">
        <f t="shared" ca="1" si="65"/>
        <v/>
      </c>
      <c r="E117" s="384"/>
      <c r="F117" s="960"/>
      <c r="G117" s="324"/>
      <c r="H117" s="372" t="str">
        <f ca="1">IF(OR(A117="",Liturgien!$C$11=""),"",IF(OR(UPPER(E117)="X",UPPER(F117)="X",UPPER(G117)="X"),IF((VLOOKUP(A117,Liturgien_all,3,FALSE))*3&gt;Liturgien!$C$11,"Liturgiekenntnis-Wert zu niedrig!",""),""))</f>
        <v/>
      </c>
      <c r="I117" s="307"/>
      <c r="J117" s="307"/>
      <c r="K117" s="307"/>
      <c r="L117" s="307"/>
      <c r="M117" s="307"/>
      <c r="N117" s="1657"/>
      <c r="O117" s="268">
        <f t="shared" ca="1" si="66"/>
        <v>0</v>
      </c>
      <c r="P117" s="268">
        <f t="shared" ca="1" si="67"/>
        <v>0</v>
      </c>
      <c r="Q117" s="268" t="str">
        <f t="shared" ca="1" si="68"/>
        <v/>
      </c>
      <c r="R117" s="268">
        <f t="shared" ca="1" si="69"/>
        <v>0</v>
      </c>
      <c r="S117" s="268">
        <f t="shared" ca="1" si="70"/>
        <v>0</v>
      </c>
      <c r="T117" s="268">
        <f t="shared" ca="1" si="63"/>
        <v>0</v>
      </c>
      <c r="U117" s="268">
        <f t="shared" si="71"/>
        <v>0</v>
      </c>
      <c r="V117" s="268">
        <f t="shared" si="72"/>
        <v>0</v>
      </c>
      <c r="W117" s="268">
        <f t="shared" si="73"/>
        <v>0</v>
      </c>
      <c r="X117" s="268" t="str">
        <f t="shared" ca="1" si="74"/>
        <v/>
      </c>
      <c r="Y117" s="356"/>
      <c r="Z117" s="356" t="str">
        <f t="shared" ca="1" si="79"/>
        <v/>
      </c>
      <c r="AA117" s="25"/>
      <c r="AB117" s="268">
        <f t="shared" ca="1" si="75"/>
        <v>0</v>
      </c>
      <c r="AC117" s="268">
        <f t="shared" ca="1" si="76"/>
        <v>0</v>
      </c>
      <c r="AD117" s="268">
        <f t="shared" ca="1" si="77"/>
        <v>0</v>
      </c>
      <c r="AE117" s="268">
        <f t="shared" ca="1" si="78"/>
        <v>0</v>
      </c>
      <c r="AF117" s="25"/>
      <c r="AG117" t="str">
        <f t="shared" ca="1" si="80"/>
        <v/>
      </c>
      <c r="AH117" s="78" t="str">
        <f t="shared" ca="1" si="81"/>
        <v>IV</v>
      </c>
      <c r="AI117" s="25"/>
    </row>
    <row r="118" spans="1:35" x14ac:dyDescent="0.2">
      <c r="A118" s="180" t="s">
        <v>4726</v>
      </c>
      <c r="B118" s="25"/>
      <c r="C118" s="25"/>
      <c r="D118" s="25"/>
      <c r="E118" s="193"/>
      <c r="F118" s="193"/>
      <c r="G118" s="193"/>
      <c r="H118" s="25" t="str">
        <f ca="1">IF(APGUT&lt;0,"Keine AP mehr übrig!",IF(TL_GP_UEBRIG&lt;0,"Keine Start-AP mehr übrig!","▼ Fehlermeldungen ▼  "&amp;"(AP: "&amp;APGUT&amp;")"))</f>
        <v>▼ Fehlermeldungen ▼  (AP: 0)</v>
      </c>
      <c r="I118" s="25"/>
      <c r="J118" s="25"/>
      <c r="K118" s="25"/>
      <c r="L118" s="25"/>
      <c r="M118" s="25"/>
      <c r="N118" s="25"/>
      <c r="O118" s="25"/>
      <c r="P118" s="25"/>
      <c r="Q118" s="25"/>
      <c r="R118" s="25"/>
      <c r="S118" s="25"/>
      <c r="T118" s="25"/>
      <c r="U118" s="25"/>
      <c r="V118" s="25"/>
      <c r="W118" s="25"/>
      <c r="X118" s="1154" t="s">
        <v>518</v>
      </c>
      <c r="Y118" s="25" t="s">
        <v>3057</v>
      </c>
      <c r="Z118" s="305">
        <f>ROW(A119)-1</f>
        <v>118</v>
      </c>
      <c r="AA118" s="25"/>
      <c r="AB118" s="305"/>
      <c r="AC118" s="305"/>
      <c r="AD118" s="305"/>
      <c r="AE118" s="305"/>
      <c r="AF118" s="25"/>
      <c r="AI118" s="25"/>
    </row>
    <row r="119" spans="1:35" x14ac:dyDescent="0.2">
      <c r="A119" s="24" t="str">
        <f ca="1">IF(NOT(EXACT(LIT_V,"")),HLOOKUP(Tabellen_Andere!$GH$3,LiturgienV,MATCH(LEFT(LIT_V,45),LiturgienV,1)),"")</f>
        <v/>
      </c>
      <c r="B119" s="1658" t="str">
        <f t="shared" ca="1" si="64"/>
        <v/>
      </c>
      <c r="C119" s="323" t="str">
        <f t="shared" ca="1" si="65"/>
        <v/>
      </c>
      <c r="E119" s="384"/>
      <c r="F119" s="960"/>
      <c r="G119" s="324"/>
      <c r="H119" s="372" t="str">
        <f ca="1">IF(OR(A119="",Liturgien!$C$11=""),"",IF(OR(UPPER(E119)="X",UPPER(F119)="X",UPPER(G119)="X"),IF((VLOOKUP(A119,Liturgien_all,3,FALSE))*3&gt;Liturgien!$C$11,"Liturgiekenntnis-Wert zu niedrig!",""),""))</f>
        <v/>
      </c>
      <c r="I119" s="307"/>
      <c r="J119" s="307"/>
      <c r="K119" s="307"/>
      <c r="L119" s="307"/>
      <c r="M119" s="307"/>
      <c r="N119" s="1657"/>
      <c r="O119" s="268">
        <f t="shared" ref="O119:O127" ca="1" si="82">IF(A119="",0,IF(VLOOKUP($A119,Liturgien_all,13,FALSE)="",N119,
IF(ISERROR(VLOOKUP(VLOOKUP($A119,Liturgien_all,13,FALSE),Liturgien_all,3,FALSE)),0, N119-IF(ISERROR(FIND(VLOOKUP($A119,Liturgien_all,13,FALSE),Liturgien_Aktiv,1)),0,VLOOKUP(VLOOKUP($A119,Liturgien_all,13,FALSE),Liturgien_all,3,FALSE)) )))</f>
        <v>0</v>
      </c>
      <c r="P119" s="268">
        <f t="shared" ref="P119:P127" ca="1" si="83">IF(A119="",0,IF(VLOOKUP($A119,Liturgien_all,3,FALSE)="",0,VLOOKUP($A119,Liturgien_all,3,FALSE)))</f>
        <v>0</v>
      </c>
      <c r="Q119" s="268" t="str">
        <f t="shared" ref="Q119:Q127" ca="1" si="84">IF(A119="","",IF(VLOOKUP($A119,Liturgien_all,12,FALSE)="","",VLOOKUP($A119,Liturgien_all,12,FALSE)))</f>
        <v/>
      </c>
      <c r="R119" s="268">
        <f t="shared" ref="R119:R127" ca="1" si="85">IF(Q119="",0,IF(I119&gt;Q119,Q119,I119))</f>
        <v>0</v>
      </c>
      <c r="S119" s="268">
        <f t="shared" ref="S119:S127" ca="1" si="86">SUM(T119:W119)</f>
        <v>0</v>
      </c>
      <c r="T119" s="268">
        <f t="shared" ca="1" si="63"/>
        <v>0</v>
      </c>
      <c r="U119" s="268">
        <f t="shared" ref="U119:U127" si="87">IF(D119="",0,IF(VLOOKUP(D119,Liturgien_all,5,FALSE)="speziell",0,IF(Q119="",0,VLOOKUP(Q119,RITUALDAUER_WERT,2,FALSE)-VLOOKUP(VLOOKUP(D119,Liturgien_all,5,FALSE),RITUALDAUER_WERT,2,FALSE))))</f>
        <v>0</v>
      </c>
      <c r="V119" s="268">
        <f t="shared" ref="V119:V127" si="88">IF(D119="",0,IF(VLOOKUP(D119,Liturgien_all,6,FALSE)="speziell",0,IF(R119="",0,VLOOKUP(R119,WIRKUNGSDAUER_WERT,2,FALSE)-VLOOKUP(VLOOKUP(D119,Liturgien_all,6,FALSE),WIRKUNGSDAUER_WERT,2,FALSE))))</f>
        <v>0</v>
      </c>
      <c r="W119" s="268">
        <f t="shared" ref="W119:W127" si="89">IF(D119="",0,IF(VLOOKUP(D119,Liturgien_all,7,FALSE)="speziell",0,IF(S119="",0,VLOOKUP(S119,ENTFERNUNG_WERT,2,FALSE)-VLOOKUP(VLOOKUP(D119,Liturgien_all,7,FALSE),ENTFERNUNG_WERT,2,FALSE))))</f>
        <v>0</v>
      </c>
      <c r="X119" s="268" t="str">
        <f t="shared" ref="X119:X127" ca="1" si="90">IF(AND(OR(UPPER(B119)="X",UPPER(E119)="X",UPPER(F119)="X",UPPER(G119)="X",F119=2),H119=""),A119&amp;",","")</f>
        <v/>
      </c>
      <c r="Y119" s="154" t="str">
        <f ca="1">IF(Y120="","",CONCATENATE(Y118,Y120))</f>
        <v/>
      </c>
      <c r="Z119" s="356" t="str">
        <f ca="1">IF(NOT(EXACT(LIT_V,"")),LEN(A119)+2,"")</f>
        <v/>
      </c>
      <c r="AA119" s="25"/>
      <c r="AB119" s="268">
        <f t="shared" ref="AB119:AB127" ca="1" si="91">ROUND(IF(AND(NOT(EXACT($A119,"")),UPPER(E119)="X"),P119,0)*IF(UPPER(C119)="X",0.5,1)*IF(VT_EIDGED,0.5,IF(VT_GUTGED,0.75,1)),0)</f>
        <v>0</v>
      </c>
      <c r="AC119" s="268">
        <f t="shared" ref="AC119:AC127" ca="1" si="92">ROUND(50*IF(AND(NOT(EXACT($A119,"")),UPPER(F119)="X"),P119*IF(UPPER(C119)="X",0.5,1)*IF(VT_EIDGED,0.5,IF(VT_GUTGED,0.75,1)),0),0)</f>
        <v>0</v>
      </c>
      <c r="AD119" s="268">
        <f t="shared" ref="AD119:AD127" ca="1" si="93">ROUND(50*IF(AND(NOT(EXACT($A119,"")),F119=2),P119*IF(UPPER(C119)="X",0.5,1)*IF(VT_EIDGED,0.5,IF(VT_GUTGED,0.75,1)),0),0)</f>
        <v>0</v>
      </c>
      <c r="AE119" s="268">
        <f t="shared" ref="AE119:AE127" ca="1" si="94">ROUND(50*(IF(AND(NOT(EXACT($A119,"")),UPPER(G119)="X"),P119,0)*IF(UPPER(C119)="X",0.5,1)*IF(VT_EIDGED,0.5,IF(VT_GUTGED,0.75,1))+$R119+IF(UPPER(G119)="X",$O119,0))+10*$S119,0)</f>
        <v>0</v>
      </c>
      <c r="AF119" s="25"/>
      <c r="AG119" t="str">
        <f ca="1">A119</f>
        <v/>
      </c>
      <c r="AH119" s="78" t="str">
        <f ca="1">ROMAN(R119+S119+5)</f>
        <v>V</v>
      </c>
      <c r="AI119" s="25"/>
    </row>
    <row r="120" spans="1:35" x14ac:dyDescent="0.2">
      <c r="A120" s="24" t="str">
        <f ca="1">IF(NOT(EXACT(Z119,"")),IF(NOT(EXACT(MID(LIT_V,$Z119,1),"")),HLOOKUP(Tabellen_Andere!$GH$3,LiturgienV,MATCH(MID(LIT_V,$Z119,45),LiturgienV,1)),""),"")</f>
        <v/>
      </c>
      <c r="B120" s="1658" t="str">
        <f t="shared" ca="1" si="64"/>
        <v/>
      </c>
      <c r="C120" s="323" t="str">
        <f t="shared" ca="1" si="65"/>
        <v/>
      </c>
      <c r="E120" s="384"/>
      <c r="F120" s="960"/>
      <c r="G120" s="324"/>
      <c r="H120" s="372" t="str">
        <f ca="1">IF(OR(A120="",Liturgien!$C$11=""),"",IF(OR(UPPER(E120)="X",UPPER(F120)="X",UPPER(G120)="X"),IF((VLOOKUP(A120,Liturgien_all,3,FALSE))*3&gt;Liturgien!$C$11,"Liturgiekenntnis-Wert zu niedrig!",""),""))</f>
        <v/>
      </c>
      <c r="I120" s="307"/>
      <c r="J120" s="307"/>
      <c r="K120" s="307"/>
      <c r="L120" s="307"/>
      <c r="M120" s="307"/>
      <c r="N120" s="1657"/>
      <c r="O120" s="268">
        <f t="shared" ca="1" si="82"/>
        <v>0</v>
      </c>
      <c r="P120" s="268">
        <f t="shared" ca="1" si="83"/>
        <v>0</v>
      </c>
      <c r="Q120" s="268" t="str">
        <f t="shared" ca="1" si="84"/>
        <v/>
      </c>
      <c r="R120" s="268">
        <f t="shared" ca="1" si="85"/>
        <v>0</v>
      </c>
      <c r="S120" s="268">
        <f t="shared" ca="1" si="86"/>
        <v>0</v>
      </c>
      <c r="T120" s="268">
        <f t="shared" ca="1" si="63"/>
        <v>0</v>
      </c>
      <c r="U120" s="268">
        <f t="shared" si="87"/>
        <v>0</v>
      </c>
      <c r="V120" s="268">
        <f t="shared" si="88"/>
        <v>0</v>
      </c>
      <c r="W120" s="268">
        <f t="shared" si="89"/>
        <v>0</v>
      </c>
      <c r="X120" s="268" t="str">
        <f t="shared" ca="1" si="90"/>
        <v/>
      </c>
      <c r="Y120" s="154" t="str">
        <f ca="1">CONCATENATE(X119,X120,X121,X122,X123,X124,X125,X126,X127)</f>
        <v/>
      </c>
      <c r="Z120" s="356" t="str">
        <f t="shared" ref="Z120:Z127" ca="1" si="95">IF(NOT(EXACT(Z119,"")),IF(NOT(EXACT(MID(LIT_V,$Z119,1),"")),Z119+LEN(A120)+1,""),"")</f>
        <v/>
      </c>
      <c r="AA120" s="25"/>
      <c r="AB120" s="268">
        <f t="shared" ca="1" si="91"/>
        <v>0</v>
      </c>
      <c r="AC120" s="268">
        <f t="shared" ca="1" si="92"/>
        <v>0</v>
      </c>
      <c r="AD120" s="268">
        <f t="shared" ca="1" si="93"/>
        <v>0</v>
      </c>
      <c r="AE120" s="268">
        <f t="shared" ca="1" si="94"/>
        <v>0</v>
      </c>
      <c r="AF120" s="25"/>
      <c r="AG120" t="str">
        <f t="shared" ref="AG120:AG127" ca="1" si="96">A120</f>
        <v/>
      </c>
      <c r="AH120" s="78" t="str">
        <f t="shared" ref="AH120:AH127" ca="1" si="97">ROMAN(R120+S120+5)</f>
        <v>V</v>
      </c>
      <c r="AI120" s="25"/>
    </row>
    <row r="121" spans="1:35" x14ac:dyDescent="0.2">
      <c r="A121" s="24" t="str">
        <f ca="1">IF(NOT(EXACT(Z120,"")),IF(NOT(EXACT(MID(LIT_V,$Z120,1),"")),HLOOKUP(Tabellen_Andere!$GH$3,LiturgienV,MATCH(MID(LIT_V,$Z120,45),LiturgienV,1)),""),"")</f>
        <v/>
      </c>
      <c r="B121" s="1658" t="str">
        <f t="shared" ca="1" si="64"/>
        <v/>
      </c>
      <c r="C121" s="323" t="str">
        <f t="shared" ca="1" si="65"/>
        <v/>
      </c>
      <c r="E121" s="384"/>
      <c r="F121" s="960"/>
      <c r="G121" s="324"/>
      <c r="H121" s="372" t="str">
        <f ca="1">IF(OR(A121="",Liturgien!$C$11=""),"",IF(OR(UPPER(E121)="X",UPPER(F121)="X",UPPER(G121)="X"),IF((VLOOKUP(A121,Liturgien_all,3,FALSE))*3&gt;Liturgien!$C$11,"Liturgiekenntnis-Wert zu niedrig!",""),""))</f>
        <v/>
      </c>
      <c r="I121" s="307"/>
      <c r="J121" s="307"/>
      <c r="K121" s="307"/>
      <c r="L121" s="307"/>
      <c r="M121" s="307"/>
      <c r="N121" s="1657"/>
      <c r="O121" s="268">
        <f t="shared" ca="1" si="82"/>
        <v>0</v>
      </c>
      <c r="P121" s="268">
        <f t="shared" ca="1" si="83"/>
        <v>0</v>
      </c>
      <c r="Q121" s="268" t="str">
        <f t="shared" ca="1" si="84"/>
        <v/>
      </c>
      <c r="R121" s="268">
        <f t="shared" ca="1" si="85"/>
        <v>0</v>
      </c>
      <c r="S121" s="268">
        <f t="shared" ca="1" si="86"/>
        <v>0</v>
      </c>
      <c r="T121" s="268">
        <f t="shared" ca="1" si="63"/>
        <v>0</v>
      </c>
      <c r="U121" s="268">
        <f t="shared" si="87"/>
        <v>0</v>
      </c>
      <c r="V121" s="268">
        <f t="shared" si="88"/>
        <v>0</v>
      </c>
      <c r="W121" s="268">
        <f t="shared" si="89"/>
        <v>0</v>
      </c>
      <c r="X121" s="268" t="str">
        <f t="shared" ca="1" si="90"/>
        <v/>
      </c>
      <c r="Y121" s="356"/>
      <c r="Z121" s="356" t="str">
        <f t="shared" ca="1" si="95"/>
        <v/>
      </c>
      <c r="AA121" s="25"/>
      <c r="AB121" s="268">
        <f t="shared" ca="1" si="91"/>
        <v>0</v>
      </c>
      <c r="AC121" s="268">
        <f t="shared" ca="1" si="92"/>
        <v>0</v>
      </c>
      <c r="AD121" s="268">
        <f t="shared" ca="1" si="93"/>
        <v>0</v>
      </c>
      <c r="AE121" s="268">
        <f t="shared" ca="1" si="94"/>
        <v>0</v>
      </c>
      <c r="AF121" s="25"/>
      <c r="AG121" t="str">
        <f t="shared" ca="1" si="96"/>
        <v/>
      </c>
      <c r="AH121" s="78" t="str">
        <f t="shared" ca="1" si="97"/>
        <v>V</v>
      </c>
      <c r="AI121" s="25"/>
    </row>
    <row r="122" spans="1:35" x14ac:dyDescent="0.2">
      <c r="A122" s="24" t="str">
        <f ca="1">IF(NOT(EXACT(Z121,"")),IF(NOT(EXACT(MID(LIT_V,$Z121,1),"")),HLOOKUP(Tabellen_Andere!$GH$3,LiturgienV,MATCH(MID(LIT_V,$Z121,45),LiturgienV,1)),""),"")</f>
        <v/>
      </c>
      <c r="B122" s="1658" t="str">
        <f t="shared" ca="1" si="64"/>
        <v/>
      </c>
      <c r="C122" s="323" t="str">
        <f t="shared" ca="1" si="65"/>
        <v/>
      </c>
      <c r="E122" s="384"/>
      <c r="F122" s="960"/>
      <c r="G122" s="324"/>
      <c r="H122" s="372" t="str">
        <f ca="1">IF(OR(A122="",Liturgien!$C$11=""),"",IF(OR(UPPER(E122)="X",UPPER(F122)="X",UPPER(G122)="X"),IF((VLOOKUP(A122,Liturgien_all,3,FALSE))*3&gt;Liturgien!$C$11,"Liturgiekenntnis-Wert zu niedrig!",""),""))</f>
        <v/>
      </c>
      <c r="I122" s="307"/>
      <c r="J122" s="307"/>
      <c r="K122" s="307"/>
      <c r="L122" s="307"/>
      <c r="M122" s="307"/>
      <c r="N122" s="1657"/>
      <c r="O122" s="268">
        <f t="shared" ca="1" si="82"/>
        <v>0</v>
      </c>
      <c r="P122" s="268">
        <f t="shared" ca="1" si="83"/>
        <v>0</v>
      </c>
      <c r="Q122" s="268" t="str">
        <f t="shared" ca="1" si="84"/>
        <v/>
      </c>
      <c r="R122" s="268">
        <f t="shared" ca="1" si="85"/>
        <v>0</v>
      </c>
      <c r="S122" s="268">
        <f t="shared" ca="1" si="86"/>
        <v>0</v>
      </c>
      <c r="T122" s="268">
        <f t="shared" ca="1" si="63"/>
        <v>0</v>
      </c>
      <c r="U122" s="268">
        <f t="shared" si="87"/>
        <v>0</v>
      </c>
      <c r="V122" s="268">
        <f t="shared" si="88"/>
        <v>0</v>
      </c>
      <c r="W122" s="268">
        <f t="shared" si="89"/>
        <v>0</v>
      </c>
      <c r="X122" s="268" t="str">
        <f t="shared" ca="1" si="90"/>
        <v/>
      </c>
      <c r="Y122" s="356"/>
      <c r="Z122" s="356" t="str">
        <f t="shared" ca="1" si="95"/>
        <v/>
      </c>
      <c r="AA122" s="25"/>
      <c r="AB122" s="268">
        <f t="shared" ca="1" si="91"/>
        <v>0</v>
      </c>
      <c r="AC122" s="268">
        <f t="shared" ca="1" si="92"/>
        <v>0</v>
      </c>
      <c r="AD122" s="268">
        <f t="shared" ca="1" si="93"/>
        <v>0</v>
      </c>
      <c r="AE122" s="268">
        <f t="shared" ca="1" si="94"/>
        <v>0</v>
      </c>
      <c r="AF122" s="25"/>
      <c r="AG122" t="str">
        <f t="shared" ca="1" si="96"/>
        <v/>
      </c>
      <c r="AH122" s="78" t="str">
        <f t="shared" ca="1" si="97"/>
        <v>V</v>
      </c>
      <c r="AI122" s="25"/>
    </row>
    <row r="123" spans="1:35" x14ac:dyDescent="0.2">
      <c r="A123" s="24" t="str">
        <f ca="1">IF(NOT(EXACT(Z122,"")),IF(NOT(EXACT(MID(LIT_V,$Z122,1),"")),HLOOKUP(Tabellen_Andere!$GH$3,LiturgienV,MATCH(MID(LIT_V,$Z122,45),LiturgienV,1)),""),"")</f>
        <v/>
      </c>
      <c r="B123" s="1658" t="str">
        <f t="shared" ca="1" si="64"/>
        <v/>
      </c>
      <c r="C123" s="323" t="str">
        <f t="shared" ca="1" si="65"/>
        <v/>
      </c>
      <c r="E123" s="384"/>
      <c r="F123" s="960"/>
      <c r="G123" s="324"/>
      <c r="H123" s="372" t="str">
        <f ca="1">IF(OR(A123="",Liturgien!$C$11=""),"",IF(OR(UPPER(E123)="X",UPPER(F123)="X",UPPER(G123)="X"),IF((VLOOKUP(A123,Liturgien_all,3,FALSE))*3&gt;Liturgien!$C$11,"Liturgiekenntnis-Wert zu niedrig!",""),""))</f>
        <v/>
      </c>
      <c r="I123" s="307"/>
      <c r="J123" s="307"/>
      <c r="K123" s="307"/>
      <c r="L123" s="307"/>
      <c r="M123" s="307"/>
      <c r="N123" s="1657"/>
      <c r="O123" s="268">
        <f t="shared" ca="1" si="82"/>
        <v>0</v>
      </c>
      <c r="P123" s="268">
        <f t="shared" ca="1" si="83"/>
        <v>0</v>
      </c>
      <c r="Q123" s="268" t="str">
        <f t="shared" ca="1" si="84"/>
        <v/>
      </c>
      <c r="R123" s="268">
        <f t="shared" ca="1" si="85"/>
        <v>0</v>
      </c>
      <c r="S123" s="268">
        <f t="shared" ca="1" si="86"/>
        <v>0</v>
      </c>
      <c r="T123" s="268">
        <f t="shared" ca="1" si="63"/>
        <v>0</v>
      </c>
      <c r="U123" s="268">
        <f t="shared" si="87"/>
        <v>0</v>
      </c>
      <c r="V123" s="268">
        <f t="shared" si="88"/>
        <v>0</v>
      </c>
      <c r="W123" s="268">
        <f t="shared" si="89"/>
        <v>0</v>
      </c>
      <c r="X123" s="268" t="str">
        <f t="shared" ca="1" si="90"/>
        <v/>
      </c>
      <c r="Y123" s="356"/>
      <c r="Z123" s="356" t="str">
        <f t="shared" ca="1" si="95"/>
        <v/>
      </c>
      <c r="AA123" s="25"/>
      <c r="AB123" s="268">
        <f t="shared" ca="1" si="91"/>
        <v>0</v>
      </c>
      <c r="AC123" s="268">
        <f t="shared" ca="1" si="92"/>
        <v>0</v>
      </c>
      <c r="AD123" s="268">
        <f t="shared" ca="1" si="93"/>
        <v>0</v>
      </c>
      <c r="AE123" s="268">
        <f t="shared" ca="1" si="94"/>
        <v>0</v>
      </c>
      <c r="AF123" s="25"/>
      <c r="AG123" t="str">
        <f t="shared" ca="1" si="96"/>
        <v/>
      </c>
      <c r="AH123" s="78" t="str">
        <f t="shared" ca="1" si="97"/>
        <v>V</v>
      </c>
      <c r="AI123" s="25"/>
    </row>
    <row r="124" spans="1:35" x14ac:dyDescent="0.2">
      <c r="A124" s="24" t="str">
        <f ca="1">IF(NOT(EXACT(Z123,"")),IF(NOT(EXACT(MID(LIT_V,$Z123,1),"")),HLOOKUP(Tabellen_Andere!$GH$3,LiturgienV,MATCH(MID(LIT_V,$Z123,45),LiturgienV,1)),""),"")</f>
        <v/>
      </c>
      <c r="B124" s="1658" t="str">
        <f t="shared" ca="1" si="64"/>
        <v/>
      </c>
      <c r="C124" s="323" t="str">
        <f t="shared" ca="1" si="65"/>
        <v/>
      </c>
      <c r="E124" s="384"/>
      <c r="F124" s="960"/>
      <c r="G124" s="324"/>
      <c r="H124" s="372" t="str">
        <f ca="1">IF(OR(A124="",Liturgien!$C$11=""),"",IF(OR(UPPER(E124)="X",UPPER(F124)="X",UPPER(G124)="X"),IF((VLOOKUP(A124,Liturgien_all,3,FALSE))*3&gt;Liturgien!$C$11,"Liturgiekenntnis-Wert zu niedrig!",""),""))</f>
        <v/>
      </c>
      <c r="I124" s="307"/>
      <c r="J124" s="307"/>
      <c r="K124" s="307"/>
      <c r="L124" s="307"/>
      <c r="M124" s="307"/>
      <c r="N124" s="1657"/>
      <c r="O124" s="268">
        <f t="shared" ca="1" si="82"/>
        <v>0</v>
      </c>
      <c r="P124" s="268">
        <f t="shared" ca="1" si="83"/>
        <v>0</v>
      </c>
      <c r="Q124" s="268" t="str">
        <f t="shared" ca="1" si="84"/>
        <v/>
      </c>
      <c r="R124" s="268">
        <f t="shared" ca="1" si="85"/>
        <v>0</v>
      </c>
      <c r="S124" s="268">
        <f t="shared" ca="1" si="86"/>
        <v>0</v>
      </c>
      <c r="T124" s="268">
        <f t="shared" ca="1" si="63"/>
        <v>0</v>
      </c>
      <c r="U124" s="268">
        <f t="shared" si="87"/>
        <v>0</v>
      </c>
      <c r="V124" s="268">
        <f t="shared" si="88"/>
        <v>0</v>
      </c>
      <c r="W124" s="268">
        <f t="shared" si="89"/>
        <v>0</v>
      </c>
      <c r="X124" s="268" t="str">
        <f t="shared" ca="1" si="90"/>
        <v/>
      </c>
      <c r="Y124" s="356"/>
      <c r="Z124" s="356" t="str">
        <f t="shared" ca="1" si="95"/>
        <v/>
      </c>
      <c r="AA124" s="25"/>
      <c r="AB124" s="268">
        <f t="shared" ca="1" si="91"/>
        <v>0</v>
      </c>
      <c r="AC124" s="268">
        <f t="shared" ca="1" si="92"/>
        <v>0</v>
      </c>
      <c r="AD124" s="268">
        <f t="shared" ca="1" si="93"/>
        <v>0</v>
      </c>
      <c r="AE124" s="268">
        <f t="shared" ca="1" si="94"/>
        <v>0</v>
      </c>
      <c r="AF124" s="25"/>
      <c r="AG124" t="str">
        <f t="shared" ca="1" si="96"/>
        <v/>
      </c>
      <c r="AH124" s="78" t="str">
        <f t="shared" ca="1" si="97"/>
        <v>V</v>
      </c>
      <c r="AI124" s="25"/>
    </row>
    <row r="125" spans="1:35" x14ac:dyDescent="0.2">
      <c r="A125" s="24" t="str">
        <f ca="1">IF(NOT(EXACT(Z124,"")),IF(NOT(EXACT(MID(LIT_V,$Z124,1),"")),HLOOKUP(Tabellen_Andere!$GH$3,LiturgienV,MATCH(MID(LIT_V,$Z124,45),LiturgienV,1)),""),"")</f>
        <v/>
      </c>
      <c r="B125" s="1658" t="str">
        <f t="shared" ca="1" si="64"/>
        <v/>
      </c>
      <c r="C125" s="323" t="str">
        <f t="shared" ca="1" si="65"/>
        <v/>
      </c>
      <c r="E125" s="384"/>
      <c r="F125" s="960"/>
      <c r="G125" s="324"/>
      <c r="H125" s="372" t="str">
        <f ca="1">IF(OR(A125="",Liturgien!$C$11=""),"",IF(OR(UPPER(E125)="X",UPPER(F125)="X",UPPER(G125)="X"),IF((VLOOKUP(A125,Liturgien_all,3,FALSE))*3&gt;Liturgien!$C$11,"Liturgiekenntnis-Wert zu niedrig!",""),""))</f>
        <v/>
      </c>
      <c r="I125" s="307"/>
      <c r="J125" s="307"/>
      <c r="K125" s="307"/>
      <c r="L125" s="307"/>
      <c r="M125" s="307"/>
      <c r="N125" s="1657"/>
      <c r="O125" s="268">
        <f t="shared" ca="1" si="82"/>
        <v>0</v>
      </c>
      <c r="P125" s="268">
        <f t="shared" ca="1" si="83"/>
        <v>0</v>
      </c>
      <c r="Q125" s="268" t="str">
        <f t="shared" ca="1" si="84"/>
        <v/>
      </c>
      <c r="R125" s="268">
        <f t="shared" ca="1" si="85"/>
        <v>0</v>
      </c>
      <c r="S125" s="268">
        <f t="shared" ca="1" si="86"/>
        <v>0</v>
      </c>
      <c r="T125" s="268">
        <f t="shared" ca="1" si="63"/>
        <v>0</v>
      </c>
      <c r="U125" s="268">
        <f t="shared" si="87"/>
        <v>0</v>
      </c>
      <c r="V125" s="268">
        <f t="shared" si="88"/>
        <v>0</v>
      </c>
      <c r="W125" s="268">
        <f t="shared" si="89"/>
        <v>0</v>
      </c>
      <c r="X125" s="268" t="str">
        <f t="shared" ca="1" si="90"/>
        <v/>
      </c>
      <c r="Y125" s="356"/>
      <c r="Z125" s="356" t="str">
        <f t="shared" ca="1" si="95"/>
        <v/>
      </c>
      <c r="AA125" s="25"/>
      <c r="AB125" s="268">
        <f t="shared" ca="1" si="91"/>
        <v>0</v>
      </c>
      <c r="AC125" s="268">
        <f t="shared" ca="1" si="92"/>
        <v>0</v>
      </c>
      <c r="AD125" s="268">
        <f t="shared" ca="1" si="93"/>
        <v>0</v>
      </c>
      <c r="AE125" s="268">
        <f t="shared" ca="1" si="94"/>
        <v>0</v>
      </c>
      <c r="AF125" s="25"/>
      <c r="AG125" t="str">
        <f t="shared" ca="1" si="96"/>
        <v/>
      </c>
      <c r="AH125" s="78" t="str">
        <f t="shared" ca="1" si="97"/>
        <v>V</v>
      </c>
      <c r="AI125" s="25"/>
    </row>
    <row r="126" spans="1:35" x14ac:dyDescent="0.2">
      <c r="A126" s="24" t="str">
        <f ca="1">IF(NOT(EXACT(Z125,"")),IF(NOT(EXACT(MID(LIT_V,$Z125,1),"")),HLOOKUP(Tabellen_Andere!$GH$3,LiturgienV,MATCH(MID(LIT_V,$Z125,45),LiturgienV,1)),""),"")</f>
        <v/>
      </c>
      <c r="B126" s="1658" t="str">
        <f t="shared" ca="1" si="64"/>
        <v/>
      </c>
      <c r="C126" s="323" t="str">
        <f t="shared" ca="1" si="65"/>
        <v/>
      </c>
      <c r="E126" s="384"/>
      <c r="F126" s="960"/>
      <c r="G126" s="324"/>
      <c r="H126" s="372" t="str">
        <f ca="1">IF(OR(A126="",Liturgien!$C$11=""),"",IF(OR(UPPER(E126)="X",UPPER(F126)="X",UPPER(G126)="X"),IF((VLOOKUP(A126,Liturgien_all,3,FALSE))*3&gt;Liturgien!$C$11,"Liturgiekenntnis-Wert zu niedrig!",""),""))</f>
        <v/>
      </c>
      <c r="I126" s="307"/>
      <c r="J126" s="307"/>
      <c r="K126" s="307"/>
      <c r="L126" s="307"/>
      <c r="M126" s="307"/>
      <c r="N126" s="1657"/>
      <c r="O126" s="268">
        <f t="shared" ca="1" si="82"/>
        <v>0</v>
      </c>
      <c r="P126" s="268">
        <f t="shared" ca="1" si="83"/>
        <v>0</v>
      </c>
      <c r="Q126" s="268" t="str">
        <f t="shared" ca="1" si="84"/>
        <v/>
      </c>
      <c r="R126" s="268">
        <f t="shared" ca="1" si="85"/>
        <v>0</v>
      </c>
      <c r="S126" s="268">
        <f t="shared" ca="1" si="86"/>
        <v>0</v>
      </c>
      <c r="T126" s="268">
        <f t="shared" ca="1" si="63"/>
        <v>0</v>
      </c>
      <c r="U126" s="268">
        <f t="shared" si="87"/>
        <v>0</v>
      </c>
      <c r="V126" s="268">
        <f t="shared" si="88"/>
        <v>0</v>
      </c>
      <c r="W126" s="268">
        <f t="shared" si="89"/>
        <v>0</v>
      </c>
      <c r="X126" s="268" t="str">
        <f t="shared" ca="1" si="90"/>
        <v/>
      </c>
      <c r="Y126" s="356"/>
      <c r="Z126" s="356" t="str">
        <f t="shared" ca="1" si="95"/>
        <v/>
      </c>
      <c r="AA126" s="25"/>
      <c r="AB126" s="268">
        <f t="shared" ca="1" si="91"/>
        <v>0</v>
      </c>
      <c r="AC126" s="268">
        <f t="shared" ca="1" si="92"/>
        <v>0</v>
      </c>
      <c r="AD126" s="268">
        <f t="shared" ca="1" si="93"/>
        <v>0</v>
      </c>
      <c r="AE126" s="268">
        <f t="shared" ca="1" si="94"/>
        <v>0</v>
      </c>
      <c r="AF126" s="25"/>
      <c r="AG126" t="str">
        <f t="shared" ca="1" si="96"/>
        <v/>
      </c>
      <c r="AH126" s="78" t="str">
        <f t="shared" ca="1" si="97"/>
        <v>V</v>
      </c>
      <c r="AI126" s="25"/>
    </row>
    <row r="127" spans="1:35" x14ac:dyDescent="0.2">
      <c r="A127" s="24" t="str">
        <f ca="1">IF(NOT(EXACT(Z126,"")),IF(NOT(EXACT(MID(LIT_V,$Z126,1),"")),HLOOKUP(Tabellen_Andere!$GH$3,LiturgienV,MATCH(MID(LIT_V,$Z126,45),LiturgienV,1)),""),"")</f>
        <v/>
      </c>
      <c r="B127" s="1658" t="str">
        <f t="shared" ca="1" si="64"/>
        <v/>
      </c>
      <c r="C127" s="323" t="str">
        <f t="shared" ca="1" si="65"/>
        <v/>
      </c>
      <c r="E127" s="384"/>
      <c r="F127" s="960"/>
      <c r="G127" s="324"/>
      <c r="H127" s="372" t="str">
        <f ca="1">IF(OR(A127="",Liturgien!$C$11=""),"",IF(OR(UPPER(E127)="X",UPPER(F127)="X",UPPER(G127)="X"),IF((VLOOKUP(A127,Liturgien_all,3,FALSE))*3&gt;Liturgien!$C$11,"Liturgiekenntnis-Wert zu niedrig!",""),""))</f>
        <v/>
      </c>
      <c r="I127" s="307"/>
      <c r="J127" s="307"/>
      <c r="K127" s="307"/>
      <c r="L127" s="307"/>
      <c r="M127" s="307"/>
      <c r="N127" s="1657"/>
      <c r="O127" s="268">
        <f t="shared" ca="1" si="82"/>
        <v>0</v>
      </c>
      <c r="P127" s="268">
        <f t="shared" ca="1" si="83"/>
        <v>0</v>
      </c>
      <c r="Q127" s="268" t="str">
        <f t="shared" ca="1" si="84"/>
        <v/>
      </c>
      <c r="R127" s="268">
        <f t="shared" ca="1" si="85"/>
        <v>0</v>
      </c>
      <c r="S127" s="268">
        <f t="shared" ca="1" si="86"/>
        <v>0</v>
      </c>
      <c r="T127" s="268">
        <f t="shared" ca="1" si="63"/>
        <v>0</v>
      </c>
      <c r="U127" s="268">
        <f t="shared" si="87"/>
        <v>0</v>
      </c>
      <c r="V127" s="268">
        <f t="shared" si="88"/>
        <v>0</v>
      </c>
      <c r="W127" s="268">
        <f t="shared" si="89"/>
        <v>0</v>
      </c>
      <c r="X127" s="268" t="str">
        <f t="shared" ca="1" si="90"/>
        <v/>
      </c>
      <c r="Y127" s="356"/>
      <c r="Z127" s="356" t="str">
        <f t="shared" ca="1" si="95"/>
        <v/>
      </c>
      <c r="AA127" s="25"/>
      <c r="AB127" s="268">
        <f t="shared" ca="1" si="91"/>
        <v>0</v>
      </c>
      <c r="AC127" s="268">
        <f t="shared" ca="1" si="92"/>
        <v>0</v>
      </c>
      <c r="AD127" s="268">
        <f t="shared" ca="1" si="93"/>
        <v>0</v>
      </c>
      <c r="AE127" s="268">
        <f t="shared" ca="1" si="94"/>
        <v>0</v>
      </c>
      <c r="AF127" s="25"/>
      <c r="AG127" t="str">
        <f t="shared" ca="1" si="96"/>
        <v/>
      </c>
      <c r="AH127" s="78" t="str">
        <f t="shared" ca="1" si="97"/>
        <v>V</v>
      </c>
      <c r="AI127" s="25"/>
    </row>
    <row r="128" spans="1:35" x14ac:dyDescent="0.2">
      <c r="A128" s="306" t="s">
        <v>770</v>
      </c>
      <c r="B128" s="25"/>
      <c r="C128" s="25"/>
      <c r="D128" s="25"/>
      <c r="E128" s="193"/>
      <c r="F128" s="193"/>
      <c r="G128" s="193"/>
      <c r="H128" s="25" t="str">
        <f ca="1">IF(APGUT&lt;0,"Keine AP mehr übrig!",IF(TL_GP_UEBRIG&lt;0,"Keine Start-AP mehr übrig!","▼ Fehlermeldungen ▼  "&amp;"(AP: "&amp;APGUT&amp;")"))</f>
        <v>▼ Fehlermeldungen ▼  (AP: 0)</v>
      </c>
      <c r="I128" s="25"/>
      <c r="J128" s="25"/>
      <c r="K128" s="25"/>
      <c r="L128" s="25"/>
      <c r="M128" s="25"/>
      <c r="N128" s="25"/>
      <c r="O128" s="25"/>
      <c r="P128" s="25"/>
      <c r="Q128" s="25"/>
      <c r="R128" s="25"/>
      <c r="S128" s="25"/>
      <c r="T128" s="25"/>
      <c r="U128" s="25"/>
      <c r="V128" s="25"/>
      <c r="W128" s="25"/>
      <c r="X128" s="1154" t="s">
        <v>518</v>
      </c>
      <c r="Y128" s="25" t="s">
        <v>3058</v>
      </c>
      <c r="Z128" s="305">
        <f>ROW(A129)-1</f>
        <v>128</v>
      </c>
      <c r="AA128" s="25"/>
      <c r="AB128" s="305"/>
      <c r="AC128" s="305"/>
      <c r="AD128" s="305"/>
      <c r="AE128" s="305"/>
      <c r="AF128" s="25"/>
      <c r="AH128" s="78"/>
      <c r="AI128" s="25"/>
    </row>
    <row r="129" spans="1:35" x14ac:dyDescent="0.2">
      <c r="A129" s="24" t="str">
        <f ca="1">IF(NOT(EXACT(LIT_VI,"")),HLOOKUP(Tabellen_Andere!$GH$3,LiturgienVI,MATCH(LEFT(LIT_VI,45),LiturgienVI,1)),"")</f>
        <v/>
      </c>
      <c r="B129" s="1658" t="str">
        <f t="shared" ref="B129:B137" ca="1" si="98">IF(NOT(EXACT($A129,"")),VLOOKUP($A129,Liturgien_all,14,FALSE),"")</f>
        <v/>
      </c>
      <c r="C129" s="323" t="str">
        <f t="shared" ref="C129:C137" ca="1" si="99">IF(NOT(EXACT($A129,"")),VLOOKUP($A129,Liturgien_all,15,FALSE),"")</f>
        <v/>
      </c>
      <c r="E129" s="384"/>
      <c r="F129" s="960"/>
      <c r="G129" s="324"/>
      <c r="H129" s="372" t="str">
        <f ca="1">IF(OR(A129="",Liturgien!$C$11=""),"",IF(OR(UPPER(E129)="X",UPPER(F129)="X",UPPER(G129)="X"),IF((VLOOKUP(A129,Liturgien_all,3,FALSE))*3&gt;Liturgien!$C$11,"Liturgiekenntnis-Wert zu niedrig!",""),""))</f>
        <v/>
      </c>
      <c r="I129" s="307"/>
      <c r="J129" s="307"/>
      <c r="K129" s="307"/>
      <c r="L129" s="307"/>
      <c r="M129" s="307"/>
      <c r="N129" s="1657"/>
      <c r="O129" s="268">
        <f t="shared" ref="O129:O137" ca="1" si="100">IF(A129="",0,IF(VLOOKUP($A129,Liturgien_all,13,FALSE)="",N129,
IF(ISERROR(VLOOKUP(VLOOKUP($A129,Liturgien_all,13,FALSE),Liturgien_all,3,FALSE)),0, N129-IF(ISERROR(FIND(VLOOKUP($A129,Liturgien_all,13,FALSE),Liturgien_Aktiv,1)),0,VLOOKUP(VLOOKUP($A129,Liturgien_all,13,FALSE),Liturgien_all,3,FALSE)) )))</f>
        <v>0</v>
      </c>
      <c r="P129" s="268">
        <f t="shared" ref="P129:P137" ca="1" si="101">IF(A129="",0,IF(VLOOKUP($A129,Liturgien_all,3,FALSE)="",0,VLOOKUP($A129,Liturgien_all,3,FALSE)))</f>
        <v>0</v>
      </c>
      <c r="Q129" s="268" t="str">
        <f t="shared" ref="Q129:Q137" ca="1" si="102">IF(A129="","",IF(VLOOKUP($A129,Liturgien_all,12,FALSE)="","",VLOOKUP($A129,Liturgien_all,12,FALSE)))</f>
        <v/>
      </c>
      <c r="R129" s="268">
        <f t="shared" ref="R129:R137" ca="1" si="103">IF(Q129="",0,IF(I129&gt;Q129,Q129,I129))</f>
        <v>0</v>
      </c>
      <c r="S129" s="268">
        <f t="shared" ref="S129:S137" ca="1" si="104">SUM(T129:W129)</f>
        <v>0</v>
      </c>
      <c r="T129" s="268">
        <f t="shared" ca="1" si="63"/>
        <v>0</v>
      </c>
      <c r="U129" s="268">
        <f t="shared" ref="U129:U137" si="105">IF(D129="",0,IF(VLOOKUP(D129,Liturgien_all,5,FALSE)="speziell",0,IF(Q129="",0,VLOOKUP(Q129,RITUALDAUER_WERT,2,FALSE)-VLOOKUP(VLOOKUP(D129,Liturgien_all,5,FALSE),RITUALDAUER_WERT,2,FALSE))))</f>
        <v>0</v>
      </c>
      <c r="V129" s="268">
        <f t="shared" ref="V129:V137" si="106">IF(D129="",0,IF(VLOOKUP(D129,Liturgien_all,6,FALSE)="speziell",0,IF(R129="",0,VLOOKUP(R129,WIRKUNGSDAUER_WERT,2,FALSE)-VLOOKUP(VLOOKUP(D129,Liturgien_all,6,FALSE),WIRKUNGSDAUER_WERT,2,FALSE))))</f>
        <v>0</v>
      </c>
      <c r="W129" s="268">
        <f t="shared" ref="W129:W137" si="107">IF(D129="",0,IF(VLOOKUP(D129,Liturgien_all,7,FALSE)="speziell",0,IF(S129="",0,VLOOKUP(S129,ENTFERNUNG_WERT,2,FALSE)-VLOOKUP(VLOOKUP(D129,Liturgien_all,7,FALSE),ENTFERNUNG_WERT,2,FALSE))))</f>
        <v>0</v>
      </c>
      <c r="X129" s="268" t="str">
        <f t="shared" ref="X129:X137" ca="1" si="108">IF(AND(OR(UPPER(B129)="X",UPPER(E129)="X",UPPER(F129)="X",UPPER(G129)="X",F129=2),H129=""),A129&amp;",","")</f>
        <v/>
      </c>
      <c r="Y129" s="154" t="str">
        <f ca="1">IF(Y130="","",CONCATENATE(Y128,Y130))</f>
        <v/>
      </c>
      <c r="Z129" s="356" t="str">
        <f ca="1">IF(NOT(EXACT(LIT_VI,"")),LEN(A129)+2,"")</f>
        <v/>
      </c>
      <c r="AA129" s="25"/>
      <c r="AB129" s="268">
        <f t="shared" ref="AB129:AB137" ca="1" si="109">ROUND(IF(AND(NOT(EXACT($A129,"")),UPPER(E129)="X"),P129,0)*IF(UPPER(C129)="X",0.5,1)*IF(VT_EIDGED,0.5,IF(VT_GUTGED,0.75,1)),0)</f>
        <v>0</v>
      </c>
      <c r="AC129" s="268">
        <f t="shared" ref="AC129:AC137" ca="1" si="110">ROUND(50*IF(AND(NOT(EXACT($A129,"")),UPPER(F129)="X"),P129*IF(UPPER(C129)="X",0.5,1)*IF(VT_EIDGED,0.5,IF(VT_GUTGED,0.75,1)),0),0)</f>
        <v>0</v>
      </c>
      <c r="AD129" s="268">
        <f t="shared" ref="AD129:AD137" ca="1" si="111">ROUND(50*IF(AND(NOT(EXACT($A129,"")),F129=2),P129*IF(UPPER(C129)="X",0.5,1)*IF(VT_EIDGED,0.5,IF(VT_GUTGED,0.75,1)),0),0)</f>
        <v>0</v>
      </c>
      <c r="AE129" s="268">
        <f t="shared" ref="AE129:AE137" ca="1" si="112">ROUND(50*(IF(AND(NOT(EXACT($A129,"")),UPPER(G129)="X"),P129,0)*IF(UPPER(C129)="X",0.5,1)*IF(VT_EIDGED,0.5,IF(VT_GUTGED,0.75,1))+$R129+IF(UPPER(G129)="X",$O129,0))+10*$S129,0)</f>
        <v>0</v>
      </c>
      <c r="AF129" s="25"/>
      <c r="AG129" t="str">
        <f t="shared" ref="AG129:AG137" ca="1" si="113">A129</f>
        <v/>
      </c>
      <c r="AH129" s="78" t="str">
        <f ca="1">ROMAN(R129+S129+6)</f>
        <v>VI</v>
      </c>
      <c r="AI129" s="25"/>
    </row>
    <row r="130" spans="1:35" x14ac:dyDescent="0.2">
      <c r="A130" s="24" t="str">
        <f ca="1">IF(NOT(EXACT(Z129,"")),IF(NOT(EXACT(MID(LIT_VI,$Z129,1),"")),HLOOKUP(Tabellen_Andere!$GH$3,LiturgienVI,MATCH(MID(LIT_VI,$Z129,45),LiturgienVI,1)),""),"")</f>
        <v/>
      </c>
      <c r="B130" s="1658" t="str">
        <f t="shared" ca="1" si="98"/>
        <v/>
      </c>
      <c r="C130" s="323" t="str">
        <f t="shared" ca="1" si="99"/>
        <v/>
      </c>
      <c r="E130" s="384"/>
      <c r="F130" s="960"/>
      <c r="G130" s="324"/>
      <c r="H130" s="372" t="str">
        <f ca="1">IF(OR(A130="",Liturgien!$C$11=""),"",IF(OR(UPPER(E130)="X",UPPER(F130)="X",UPPER(G130)="X"),IF((VLOOKUP(A130,Liturgien_all,3,FALSE))*3&gt;Liturgien!$C$11,"Liturgiekenntnis-Wert zu niedrig!",""),""))</f>
        <v/>
      </c>
      <c r="I130" s="307"/>
      <c r="J130" s="307"/>
      <c r="K130" s="307"/>
      <c r="L130" s="307"/>
      <c r="M130" s="307"/>
      <c r="N130" s="1657"/>
      <c r="O130" s="268">
        <f t="shared" ca="1" si="100"/>
        <v>0</v>
      </c>
      <c r="P130" s="268">
        <f t="shared" ca="1" si="101"/>
        <v>0</v>
      </c>
      <c r="Q130" s="268" t="str">
        <f t="shared" ca="1" si="102"/>
        <v/>
      </c>
      <c r="R130" s="268">
        <f t="shared" ca="1" si="103"/>
        <v>0</v>
      </c>
      <c r="S130" s="268">
        <f t="shared" ca="1" si="104"/>
        <v>0</v>
      </c>
      <c r="T130" s="268">
        <f t="shared" ca="1" si="63"/>
        <v>0</v>
      </c>
      <c r="U130" s="268">
        <f t="shared" si="105"/>
        <v>0</v>
      </c>
      <c r="V130" s="268">
        <f t="shared" si="106"/>
        <v>0</v>
      </c>
      <c r="W130" s="268">
        <f t="shared" si="107"/>
        <v>0</v>
      </c>
      <c r="X130" s="268" t="str">
        <f t="shared" ca="1" si="108"/>
        <v/>
      </c>
      <c r="Y130" s="154" t="str">
        <f ca="1">CONCATENATE(X129,X130,X131,X132,X133,X134,X135,X136,X137)</f>
        <v/>
      </c>
      <c r="Z130" s="356" t="str">
        <f t="shared" ref="Z130:Z137" ca="1" si="114">IF(NOT(EXACT(Z129,"")),IF(NOT(EXACT(MID(LIT_VI,$Z129,1),"")),Z129+LEN(A130)+1,""),"")</f>
        <v/>
      </c>
      <c r="AA130" s="25"/>
      <c r="AB130" s="268">
        <f t="shared" ca="1" si="109"/>
        <v>0</v>
      </c>
      <c r="AC130" s="268">
        <f t="shared" ca="1" si="110"/>
        <v>0</v>
      </c>
      <c r="AD130" s="268">
        <f t="shared" ca="1" si="111"/>
        <v>0</v>
      </c>
      <c r="AE130" s="268">
        <f t="shared" ca="1" si="112"/>
        <v>0</v>
      </c>
      <c r="AF130" s="25"/>
      <c r="AG130" t="str">
        <f t="shared" ca="1" si="113"/>
        <v/>
      </c>
      <c r="AH130" s="78" t="str">
        <f t="shared" ref="AH130:AH137" ca="1" si="115">ROMAN(R130+S130+6)</f>
        <v>VI</v>
      </c>
      <c r="AI130" s="25"/>
    </row>
    <row r="131" spans="1:35" x14ac:dyDescent="0.2">
      <c r="A131" s="24" t="str">
        <f ca="1">IF(NOT(EXACT(Z130,"")),IF(NOT(EXACT(MID(LIT_VI,$Z130,1),"")),HLOOKUP(Tabellen_Andere!$GH$3,LiturgienVI,MATCH(MID(LIT_VI,$Z130,45),LiturgienVI,1)),""),"")</f>
        <v/>
      </c>
      <c r="B131" s="1658" t="str">
        <f t="shared" ca="1" si="98"/>
        <v/>
      </c>
      <c r="C131" s="323" t="str">
        <f t="shared" ca="1" si="99"/>
        <v/>
      </c>
      <c r="E131" s="384"/>
      <c r="F131" s="960"/>
      <c r="G131" s="324"/>
      <c r="H131" s="372" t="str">
        <f ca="1">IF(OR(A131="",Liturgien!$C$11=""),"",IF(OR(UPPER(E131)="X",UPPER(F131)="X",UPPER(G131)="X"),IF((VLOOKUP(A131,Liturgien_all,3,FALSE))*3&gt;Liturgien!$C$11,"Liturgiekenntnis-Wert zu niedrig!",""),""))</f>
        <v/>
      </c>
      <c r="I131" s="307"/>
      <c r="J131" s="307"/>
      <c r="K131" s="307"/>
      <c r="L131" s="307"/>
      <c r="M131" s="307"/>
      <c r="N131" s="1657"/>
      <c r="O131" s="268">
        <f t="shared" ca="1" si="100"/>
        <v>0</v>
      </c>
      <c r="P131" s="268">
        <f t="shared" ca="1" si="101"/>
        <v>0</v>
      </c>
      <c r="Q131" s="268" t="str">
        <f t="shared" ca="1" si="102"/>
        <v/>
      </c>
      <c r="R131" s="268">
        <f t="shared" ca="1" si="103"/>
        <v>0</v>
      </c>
      <c r="S131" s="268">
        <f t="shared" ca="1" si="104"/>
        <v>0</v>
      </c>
      <c r="T131" s="268">
        <f t="shared" ca="1" si="63"/>
        <v>0</v>
      </c>
      <c r="U131" s="268">
        <f t="shared" si="105"/>
        <v>0</v>
      </c>
      <c r="V131" s="268">
        <f t="shared" si="106"/>
        <v>0</v>
      </c>
      <c r="W131" s="268">
        <f t="shared" si="107"/>
        <v>0</v>
      </c>
      <c r="X131" s="268" t="str">
        <f t="shared" ca="1" si="108"/>
        <v/>
      </c>
      <c r="Y131" s="356"/>
      <c r="Z131" s="356" t="str">
        <f t="shared" ca="1" si="114"/>
        <v/>
      </c>
      <c r="AA131" s="25"/>
      <c r="AB131" s="268">
        <f t="shared" ca="1" si="109"/>
        <v>0</v>
      </c>
      <c r="AC131" s="268">
        <f t="shared" ca="1" si="110"/>
        <v>0</v>
      </c>
      <c r="AD131" s="268">
        <f t="shared" ca="1" si="111"/>
        <v>0</v>
      </c>
      <c r="AE131" s="268">
        <f t="shared" ca="1" si="112"/>
        <v>0</v>
      </c>
      <c r="AF131" s="25"/>
      <c r="AG131" t="str">
        <f t="shared" ca="1" si="113"/>
        <v/>
      </c>
      <c r="AH131" s="78" t="str">
        <f t="shared" ca="1" si="115"/>
        <v>VI</v>
      </c>
      <c r="AI131" s="25"/>
    </row>
    <row r="132" spans="1:35" x14ac:dyDescent="0.2">
      <c r="A132" s="24" t="str">
        <f ca="1">IF(NOT(EXACT(Z131,"")),IF(NOT(EXACT(MID(LIT_VI,$Z131,1),"")),HLOOKUP(Tabellen_Andere!$GH$3,LiturgienVI,MATCH(MID(LIT_VI,$Z131,45),LiturgienVI,1)),""),"")</f>
        <v/>
      </c>
      <c r="B132" s="1658" t="str">
        <f t="shared" ca="1" si="98"/>
        <v/>
      </c>
      <c r="C132" s="323" t="str">
        <f t="shared" ca="1" si="99"/>
        <v/>
      </c>
      <c r="E132" s="384"/>
      <c r="F132" s="960"/>
      <c r="G132" s="324"/>
      <c r="H132" s="372" t="str">
        <f ca="1">IF(OR(A132="",Liturgien!$C$11=""),"",IF(OR(UPPER(E132)="X",UPPER(F132)="X",UPPER(G132)="X"),IF((VLOOKUP(A132,Liturgien_all,3,FALSE))*3&gt;Liturgien!$C$11,"Liturgiekenntnis-Wert zu niedrig!",""),""))</f>
        <v/>
      </c>
      <c r="I132" s="307"/>
      <c r="J132" s="307"/>
      <c r="K132" s="307"/>
      <c r="L132" s="307"/>
      <c r="M132" s="307"/>
      <c r="N132" s="1657"/>
      <c r="O132" s="268">
        <f t="shared" ca="1" si="100"/>
        <v>0</v>
      </c>
      <c r="P132" s="268">
        <f t="shared" ca="1" si="101"/>
        <v>0</v>
      </c>
      <c r="Q132" s="268" t="str">
        <f t="shared" ca="1" si="102"/>
        <v/>
      </c>
      <c r="R132" s="268">
        <f t="shared" ca="1" si="103"/>
        <v>0</v>
      </c>
      <c r="S132" s="268">
        <f t="shared" ca="1" si="104"/>
        <v>0</v>
      </c>
      <c r="T132" s="268">
        <f t="shared" ca="1" si="63"/>
        <v>0</v>
      </c>
      <c r="U132" s="268">
        <f t="shared" si="105"/>
        <v>0</v>
      </c>
      <c r="V132" s="268">
        <f t="shared" si="106"/>
        <v>0</v>
      </c>
      <c r="W132" s="268">
        <f t="shared" si="107"/>
        <v>0</v>
      </c>
      <c r="X132" s="268" t="str">
        <f t="shared" ca="1" si="108"/>
        <v/>
      </c>
      <c r="Y132" s="356"/>
      <c r="Z132" s="356" t="str">
        <f t="shared" ca="1" si="114"/>
        <v/>
      </c>
      <c r="AA132" s="25"/>
      <c r="AB132" s="268">
        <f t="shared" ca="1" si="109"/>
        <v>0</v>
      </c>
      <c r="AC132" s="268">
        <f t="shared" ca="1" si="110"/>
        <v>0</v>
      </c>
      <c r="AD132" s="268">
        <f t="shared" ca="1" si="111"/>
        <v>0</v>
      </c>
      <c r="AE132" s="268">
        <f t="shared" ca="1" si="112"/>
        <v>0</v>
      </c>
      <c r="AF132" s="25"/>
      <c r="AG132" t="str">
        <f t="shared" ca="1" si="113"/>
        <v/>
      </c>
      <c r="AH132" s="78" t="str">
        <f t="shared" ca="1" si="115"/>
        <v>VI</v>
      </c>
      <c r="AI132" s="25"/>
    </row>
    <row r="133" spans="1:35" x14ac:dyDescent="0.2">
      <c r="A133" s="24" t="str">
        <f ca="1">IF(NOT(EXACT(Z132,"")),IF(NOT(EXACT(MID(LIT_VI,$Z132,1),"")),HLOOKUP(Tabellen_Andere!$GH$3,LiturgienVI,MATCH(MID(LIT_VI,$Z132,45),LiturgienVI,1)),""),"")</f>
        <v/>
      </c>
      <c r="B133" s="1658" t="str">
        <f t="shared" ca="1" si="98"/>
        <v/>
      </c>
      <c r="C133" s="323" t="str">
        <f t="shared" ca="1" si="99"/>
        <v/>
      </c>
      <c r="E133" s="384"/>
      <c r="F133" s="960"/>
      <c r="G133" s="324"/>
      <c r="H133" s="372" t="str">
        <f ca="1">IF(OR(A133="",Liturgien!$C$11=""),"",IF(OR(UPPER(E133)="X",UPPER(F133)="X",UPPER(G133)="X"),IF((VLOOKUP(A133,Liturgien_all,3,FALSE))*3&gt;Liturgien!$C$11,"Liturgiekenntnis-Wert zu niedrig!",""),""))</f>
        <v/>
      </c>
      <c r="I133" s="307"/>
      <c r="J133" s="307"/>
      <c r="K133" s="307"/>
      <c r="L133" s="307"/>
      <c r="M133" s="307"/>
      <c r="N133" s="1657"/>
      <c r="O133" s="268">
        <f t="shared" ca="1" si="100"/>
        <v>0</v>
      </c>
      <c r="P133" s="268">
        <f t="shared" ca="1" si="101"/>
        <v>0</v>
      </c>
      <c r="Q133" s="268" t="str">
        <f t="shared" ca="1" si="102"/>
        <v/>
      </c>
      <c r="R133" s="268">
        <f t="shared" ca="1" si="103"/>
        <v>0</v>
      </c>
      <c r="S133" s="268">
        <f t="shared" ca="1" si="104"/>
        <v>0</v>
      </c>
      <c r="T133" s="268">
        <f t="shared" ca="1" si="63"/>
        <v>0</v>
      </c>
      <c r="U133" s="268">
        <f t="shared" si="105"/>
        <v>0</v>
      </c>
      <c r="V133" s="268">
        <f t="shared" si="106"/>
        <v>0</v>
      </c>
      <c r="W133" s="268">
        <f t="shared" si="107"/>
        <v>0</v>
      </c>
      <c r="X133" s="268" t="str">
        <f t="shared" ca="1" si="108"/>
        <v/>
      </c>
      <c r="Y133" s="356"/>
      <c r="Z133" s="356" t="str">
        <f t="shared" ca="1" si="114"/>
        <v/>
      </c>
      <c r="AA133" s="25"/>
      <c r="AB133" s="268">
        <f t="shared" ca="1" si="109"/>
        <v>0</v>
      </c>
      <c r="AC133" s="268">
        <f t="shared" ca="1" si="110"/>
        <v>0</v>
      </c>
      <c r="AD133" s="268">
        <f t="shared" ca="1" si="111"/>
        <v>0</v>
      </c>
      <c r="AE133" s="268">
        <f t="shared" ca="1" si="112"/>
        <v>0</v>
      </c>
      <c r="AF133" s="25"/>
      <c r="AG133" t="str">
        <f t="shared" ca="1" si="113"/>
        <v/>
      </c>
      <c r="AH133" s="78" t="str">
        <f t="shared" ca="1" si="115"/>
        <v>VI</v>
      </c>
      <c r="AI133" s="25"/>
    </row>
    <row r="134" spans="1:35" x14ac:dyDescent="0.2">
      <c r="A134" s="24" t="str">
        <f ca="1">IF(NOT(EXACT(Z133,"")),IF(NOT(EXACT(MID(LIT_VI,$Z133,1),"")),HLOOKUP(Tabellen_Andere!$GH$3,LiturgienVI,MATCH(MID(LIT_VI,$Z133,45),LiturgienVI,1)),""),"")</f>
        <v/>
      </c>
      <c r="B134" s="1658" t="str">
        <f t="shared" ca="1" si="98"/>
        <v/>
      </c>
      <c r="C134" s="323" t="str">
        <f t="shared" ca="1" si="99"/>
        <v/>
      </c>
      <c r="E134" s="384"/>
      <c r="F134" s="960"/>
      <c r="G134" s="324"/>
      <c r="H134" s="372" t="str">
        <f ca="1">IF(OR(A134="",Liturgien!$C$11=""),"",IF(OR(UPPER(E134)="X",UPPER(F134)="X",UPPER(G134)="X"),IF((VLOOKUP(A134,Liturgien_all,3,FALSE))*3&gt;Liturgien!$C$11,"Liturgiekenntnis-Wert zu niedrig!",""),""))</f>
        <v/>
      </c>
      <c r="I134" s="307"/>
      <c r="J134" s="307"/>
      <c r="K134" s="307"/>
      <c r="L134" s="307"/>
      <c r="M134" s="307"/>
      <c r="N134" s="1657"/>
      <c r="O134" s="268">
        <f t="shared" ca="1" si="100"/>
        <v>0</v>
      </c>
      <c r="P134" s="268">
        <f t="shared" ca="1" si="101"/>
        <v>0</v>
      </c>
      <c r="Q134" s="268" t="str">
        <f t="shared" ca="1" si="102"/>
        <v/>
      </c>
      <c r="R134" s="268">
        <f t="shared" ca="1" si="103"/>
        <v>0</v>
      </c>
      <c r="S134" s="268">
        <f t="shared" ca="1" si="104"/>
        <v>0</v>
      </c>
      <c r="T134" s="268">
        <f t="shared" ca="1" si="63"/>
        <v>0</v>
      </c>
      <c r="U134" s="268">
        <f t="shared" si="105"/>
        <v>0</v>
      </c>
      <c r="V134" s="268">
        <f t="shared" si="106"/>
        <v>0</v>
      </c>
      <c r="W134" s="268">
        <f t="shared" si="107"/>
        <v>0</v>
      </c>
      <c r="X134" s="268" t="str">
        <f t="shared" ca="1" si="108"/>
        <v/>
      </c>
      <c r="Y134" s="356"/>
      <c r="Z134" s="356" t="str">
        <f t="shared" ca="1" si="114"/>
        <v/>
      </c>
      <c r="AA134" s="25"/>
      <c r="AB134" s="268">
        <f t="shared" ca="1" si="109"/>
        <v>0</v>
      </c>
      <c r="AC134" s="268">
        <f t="shared" ca="1" si="110"/>
        <v>0</v>
      </c>
      <c r="AD134" s="268">
        <f t="shared" ca="1" si="111"/>
        <v>0</v>
      </c>
      <c r="AE134" s="268">
        <f t="shared" ca="1" si="112"/>
        <v>0</v>
      </c>
      <c r="AF134" s="25"/>
      <c r="AG134" t="str">
        <f t="shared" ca="1" si="113"/>
        <v/>
      </c>
      <c r="AH134" s="78" t="str">
        <f t="shared" ca="1" si="115"/>
        <v>VI</v>
      </c>
      <c r="AI134" s="25"/>
    </row>
    <row r="135" spans="1:35" x14ac:dyDescent="0.2">
      <c r="A135" s="24" t="str">
        <f ca="1">IF(NOT(EXACT(Z134,"")),IF(NOT(EXACT(MID(LIT_VI,$Z134,1),"")),HLOOKUP(Tabellen_Andere!$GH$3,LiturgienVI,MATCH(MID(LIT_VI,$Z134,45),LiturgienVI,1)),""),"")</f>
        <v/>
      </c>
      <c r="B135" s="1658" t="str">
        <f t="shared" ca="1" si="98"/>
        <v/>
      </c>
      <c r="C135" s="323" t="str">
        <f t="shared" ca="1" si="99"/>
        <v/>
      </c>
      <c r="E135" s="384"/>
      <c r="F135" s="960"/>
      <c r="G135" s="324"/>
      <c r="H135" s="372" t="str">
        <f ca="1">IF(OR(A135="",Liturgien!$C$11=""),"",IF(OR(UPPER(E135)="X",UPPER(F135)="X",UPPER(G135)="X"),IF((VLOOKUP(A135,Liturgien_all,3,FALSE))*3&gt;Liturgien!$C$11,"Liturgiekenntnis-Wert zu niedrig!",""),""))</f>
        <v/>
      </c>
      <c r="I135" s="307"/>
      <c r="J135" s="307"/>
      <c r="K135" s="307"/>
      <c r="L135" s="307"/>
      <c r="M135" s="307"/>
      <c r="N135" s="1657"/>
      <c r="O135" s="268">
        <f t="shared" ca="1" si="100"/>
        <v>0</v>
      </c>
      <c r="P135" s="268">
        <f t="shared" ca="1" si="101"/>
        <v>0</v>
      </c>
      <c r="Q135" s="268" t="str">
        <f t="shared" ca="1" si="102"/>
        <v/>
      </c>
      <c r="R135" s="268">
        <f t="shared" ca="1" si="103"/>
        <v>0</v>
      </c>
      <c r="S135" s="268">
        <f t="shared" ca="1" si="104"/>
        <v>0</v>
      </c>
      <c r="T135" s="268">
        <f t="shared" ca="1" si="63"/>
        <v>0</v>
      </c>
      <c r="U135" s="268">
        <f t="shared" si="105"/>
        <v>0</v>
      </c>
      <c r="V135" s="268">
        <f t="shared" si="106"/>
        <v>0</v>
      </c>
      <c r="W135" s="268">
        <f t="shared" si="107"/>
        <v>0</v>
      </c>
      <c r="X135" s="268" t="str">
        <f t="shared" ca="1" si="108"/>
        <v/>
      </c>
      <c r="Y135" s="356"/>
      <c r="Z135" s="356" t="str">
        <f t="shared" ca="1" si="114"/>
        <v/>
      </c>
      <c r="AA135" s="25"/>
      <c r="AB135" s="268">
        <f t="shared" ca="1" si="109"/>
        <v>0</v>
      </c>
      <c r="AC135" s="268">
        <f t="shared" ca="1" si="110"/>
        <v>0</v>
      </c>
      <c r="AD135" s="268">
        <f t="shared" ca="1" si="111"/>
        <v>0</v>
      </c>
      <c r="AE135" s="268">
        <f t="shared" ca="1" si="112"/>
        <v>0</v>
      </c>
      <c r="AF135" s="25"/>
      <c r="AG135" t="str">
        <f t="shared" ca="1" si="113"/>
        <v/>
      </c>
      <c r="AH135" s="78" t="str">
        <f t="shared" ca="1" si="115"/>
        <v>VI</v>
      </c>
      <c r="AI135" s="25"/>
    </row>
    <row r="136" spans="1:35" x14ac:dyDescent="0.2">
      <c r="A136" s="24" t="str">
        <f ca="1">IF(NOT(EXACT(Z135,"")),IF(NOT(EXACT(MID(LIT_VI,$Z135,1),"")),HLOOKUP(Tabellen_Andere!$GH$3,LiturgienVI,MATCH(MID(LIT_VI,$Z135,45),LiturgienVI,1)),""),"")</f>
        <v/>
      </c>
      <c r="B136" s="1658" t="str">
        <f t="shared" ca="1" si="98"/>
        <v/>
      </c>
      <c r="C136" s="323" t="str">
        <f t="shared" ca="1" si="99"/>
        <v/>
      </c>
      <c r="E136" s="384"/>
      <c r="F136" s="960"/>
      <c r="G136" s="324"/>
      <c r="H136" s="372" t="str">
        <f ca="1">IF(OR(A136="",Liturgien!$C$11=""),"",IF(OR(UPPER(E136)="X",UPPER(F136)="X",UPPER(G136)="X"),IF((VLOOKUP(A136,Liturgien_all,3,FALSE))*3&gt;Liturgien!$C$11,"Liturgiekenntnis-Wert zu niedrig!",""),""))</f>
        <v/>
      </c>
      <c r="I136" s="307"/>
      <c r="J136" s="307"/>
      <c r="K136" s="307"/>
      <c r="L136" s="307"/>
      <c r="M136" s="307"/>
      <c r="N136" s="1657"/>
      <c r="O136" s="268">
        <f t="shared" ca="1" si="100"/>
        <v>0</v>
      </c>
      <c r="P136" s="268">
        <f t="shared" ca="1" si="101"/>
        <v>0</v>
      </c>
      <c r="Q136" s="268" t="str">
        <f t="shared" ca="1" si="102"/>
        <v/>
      </c>
      <c r="R136" s="268">
        <f t="shared" ca="1" si="103"/>
        <v>0</v>
      </c>
      <c r="S136" s="268">
        <f t="shared" ca="1" si="104"/>
        <v>0</v>
      </c>
      <c r="T136" s="268">
        <f t="shared" ca="1" si="63"/>
        <v>0</v>
      </c>
      <c r="U136" s="268">
        <f t="shared" si="105"/>
        <v>0</v>
      </c>
      <c r="V136" s="268">
        <f t="shared" si="106"/>
        <v>0</v>
      </c>
      <c r="W136" s="268">
        <f t="shared" si="107"/>
        <v>0</v>
      </c>
      <c r="X136" s="268" t="str">
        <f t="shared" ca="1" si="108"/>
        <v/>
      </c>
      <c r="Y136" s="356"/>
      <c r="Z136" s="356" t="str">
        <f t="shared" ca="1" si="114"/>
        <v/>
      </c>
      <c r="AA136" s="25"/>
      <c r="AB136" s="268">
        <f t="shared" ca="1" si="109"/>
        <v>0</v>
      </c>
      <c r="AC136" s="268">
        <f t="shared" ca="1" si="110"/>
        <v>0</v>
      </c>
      <c r="AD136" s="268">
        <f t="shared" ca="1" si="111"/>
        <v>0</v>
      </c>
      <c r="AE136" s="268">
        <f t="shared" ca="1" si="112"/>
        <v>0</v>
      </c>
      <c r="AF136" s="25"/>
      <c r="AG136" t="str">
        <f t="shared" ca="1" si="113"/>
        <v/>
      </c>
      <c r="AH136" s="78" t="str">
        <f t="shared" ca="1" si="115"/>
        <v>VI</v>
      </c>
      <c r="AI136" s="25"/>
    </row>
    <row r="137" spans="1:35" x14ac:dyDescent="0.2">
      <c r="A137" s="24" t="str">
        <f ca="1">IF(NOT(EXACT(Z136,"")),IF(NOT(EXACT(MID(LIT_VI,$Z136,1),"")),HLOOKUP(Tabellen_Andere!$GH$3,LiturgienVI,MATCH(MID(LIT_VI,$Z136,45),LiturgienVI,1)),""),"")</f>
        <v/>
      </c>
      <c r="B137" s="1658" t="str">
        <f t="shared" ca="1" si="98"/>
        <v/>
      </c>
      <c r="C137" s="323" t="str">
        <f t="shared" ca="1" si="99"/>
        <v/>
      </c>
      <c r="E137" s="384"/>
      <c r="F137" s="960"/>
      <c r="G137" s="324"/>
      <c r="H137" s="372" t="str">
        <f ca="1">IF(OR(A137="",Liturgien!$C$11=""),"",IF(OR(UPPER(E137)="X",UPPER(F137)="X",UPPER(G137)="X"),IF((VLOOKUP(A137,Liturgien_all,3,FALSE))*3&gt;Liturgien!$C$11,"Liturgiekenntnis-Wert zu niedrig!",""),""))</f>
        <v/>
      </c>
      <c r="I137" s="307"/>
      <c r="J137" s="307"/>
      <c r="K137" s="307"/>
      <c r="L137" s="307"/>
      <c r="M137" s="307"/>
      <c r="N137" s="1657"/>
      <c r="O137" s="268">
        <f t="shared" ca="1" si="100"/>
        <v>0</v>
      </c>
      <c r="P137" s="268">
        <f t="shared" ca="1" si="101"/>
        <v>0</v>
      </c>
      <c r="Q137" s="268" t="str">
        <f t="shared" ca="1" si="102"/>
        <v/>
      </c>
      <c r="R137" s="268">
        <f t="shared" ca="1" si="103"/>
        <v>0</v>
      </c>
      <c r="S137" s="268">
        <f t="shared" ca="1" si="104"/>
        <v>0</v>
      </c>
      <c r="T137" s="268">
        <f t="shared" ca="1" si="63"/>
        <v>0</v>
      </c>
      <c r="U137" s="268">
        <f t="shared" si="105"/>
        <v>0</v>
      </c>
      <c r="V137" s="268">
        <f t="shared" si="106"/>
        <v>0</v>
      </c>
      <c r="W137" s="268">
        <f t="shared" si="107"/>
        <v>0</v>
      </c>
      <c r="X137" s="268" t="str">
        <f t="shared" ca="1" si="108"/>
        <v/>
      </c>
      <c r="Y137" s="356"/>
      <c r="Z137" s="356" t="str">
        <f t="shared" ca="1" si="114"/>
        <v/>
      </c>
      <c r="AA137" s="25"/>
      <c r="AB137" s="268">
        <f t="shared" ca="1" si="109"/>
        <v>0</v>
      </c>
      <c r="AC137" s="268">
        <f t="shared" ca="1" si="110"/>
        <v>0</v>
      </c>
      <c r="AD137" s="268">
        <f t="shared" ca="1" si="111"/>
        <v>0</v>
      </c>
      <c r="AE137" s="268">
        <f t="shared" ca="1" si="112"/>
        <v>0</v>
      </c>
      <c r="AF137" s="25"/>
      <c r="AG137" t="str">
        <f t="shared" ca="1" si="113"/>
        <v/>
      </c>
      <c r="AH137" s="78" t="str">
        <f t="shared" ca="1" si="115"/>
        <v>VI</v>
      </c>
      <c r="AI137" s="25"/>
    </row>
    <row r="138" spans="1:35" x14ac:dyDescent="0.2">
      <c r="A138" s="180" t="s">
        <v>1371</v>
      </c>
      <c r="B138" s="25"/>
      <c r="C138" s="25"/>
      <c r="D138" s="25"/>
      <c r="E138" s="193"/>
      <c r="F138" s="193"/>
      <c r="G138" s="193"/>
      <c r="H138" s="25" t="str">
        <f ca="1">IF(APGUT&lt;0,"Keine AP mehr übrig!",IF(TL_GP_UEBRIG&lt;0,"Keine Start-AP mehr übrig!","▼ Fehlermeldungen ▼  "&amp;"(AP: "&amp;APGUT&amp;")"))</f>
        <v>▼ Fehlermeldungen ▼  (AP: 0)</v>
      </c>
      <c r="I138" s="25"/>
      <c r="J138" s="25"/>
      <c r="K138" s="25"/>
      <c r="L138" s="25"/>
      <c r="M138" s="25"/>
      <c r="N138" s="25"/>
      <c r="O138" s="25"/>
      <c r="P138" s="25"/>
      <c r="Q138" s="25"/>
      <c r="R138" s="25"/>
      <c r="S138" s="25"/>
      <c r="T138" s="25"/>
      <c r="U138" s="25"/>
      <c r="V138" s="25"/>
      <c r="W138" s="25"/>
      <c r="X138" s="1154" t="s">
        <v>518</v>
      </c>
      <c r="Y138" s="487"/>
      <c r="Z138" s="487"/>
      <c r="AA138" s="25"/>
      <c r="AB138" s="305"/>
      <c r="AC138" s="305"/>
      <c r="AD138" s="305"/>
      <c r="AE138" s="25"/>
      <c r="AF138" s="25"/>
      <c r="AI138" s="25"/>
    </row>
    <row r="139" spans="1:35" ht="10.5" customHeight="1" x14ac:dyDescent="0.2">
      <c r="A139" s="38"/>
      <c r="B139" s="369"/>
      <c r="C139" s="344"/>
      <c r="E139" s="384"/>
      <c r="F139" s="960"/>
      <c r="G139" s="324"/>
      <c r="H139" s="372" t="str">
        <f ca="1">IF(OR(A139="",Liturgien!$C$11=""),"",IF(OR(UPPER(E139)="X",UPPER(F139)="X",UPPER(G139)="X"),IF((VLOOKUP(A139,Liturgien_all,3,FALSE))*3&gt;Liturgien!$C$11,"Liturgiekenntnis-Wert zu niedrig!",""),""))</f>
        <v/>
      </c>
      <c r="I139" s="307"/>
      <c r="J139" s="307"/>
      <c r="K139" s="307"/>
      <c r="L139" s="307"/>
      <c r="M139" s="307"/>
      <c r="N139" s="1657"/>
      <c r="O139" s="268">
        <f t="shared" ref="O139:O151" si="116">IF(A139="",0,IF(VLOOKUP($A139,Liturgien_all,13,FALSE)="",N139,
IF(ISERROR(VLOOKUP(VLOOKUP($A139,Liturgien_all,13,FALSE),Liturgien_all,3,FALSE)),0, N139-IF(ISERROR(FIND(VLOOKUP($A139,Liturgien_all,13,FALSE),Liturgien_Aktiv,1)),0,VLOOKUP(VLOOKUP($A139,Liturgien_all,13,FALSE),Liturgien_all,3,FALSE)) )))</f>
        <v>0</v>
      </c>
      <c r="P139" s="268">
        <f t="shared" ref="P139:P151" si="117">IF(A139="",0,IF(VLOOKUP($A139,Liturgien_all,3,FALSE)="",0,VLOOKUP($A139,Liturgien_all,3,FALSE)))</f>
        <v>0</v>
      </c>
      <c r="Q139" s="268" t="str">
        <f t="shared" ref="Q139:Q151" si="118">IF(A139="","",IF(VLOOKUP($A139,Liturgien_all,12,FALSE)="","",VLOOKUP($A139,Liturgien_all,12,FALSE)))</f>
        <v/>
      </c>
      <c r="R139" s="268">
        <f t="shared" ref="R139:R151" si="119">IF(Q139="",0,IF(I139&gt;Q139,Q139,I139))</f>
        <v>0</v>
      </c>
      <c r="S139" s="268">
        <f t="shared" ref="S139:S151" si="120">SUM(T139:W139)</f>
        <v>0</v>
      </c>
      <c r="T139" s="268">
        <f t="shared" si="63"/>
        <v>0</v>
      </c>
      <c r="U139" s="268">
        <f t="shared" ref="U139:U151" si="121">IF(D139="",0,IF(VLOOKUP(D139,Liturgien_all,5,FALSE)="speziell",0,IF(Q139="",0,VLOOKUP(Q139,RITUALDAUER_WERT,2,FALSE)-VLOOKUP(VLOOKUP(D139,Liturgien_all,5,FALSE),RITUALDAUER_WERT,2,FALSE))))</f>
        <v>0</v>
      </c>
      <c r="V139" s="268">
        <f t="shared" ref="V139:V151" si="122">IF(D139="",0,IF(VLOOKUP(D139,Liturgien_all,6,FALSE)="speziell",0,IF(R139="",0,VLOOKUP(R139,WIRKUNGSDAUER_WERT,2,FALSE)-VLOOKUP(VLOOKUP(D139,Liturgien_all,6,FALSE),WIRKUNGSDAUER_WERT,2,FALSE))))</f>
        <v>0</v>
      </c>
      <c r="W139" s="268">
        <f t="shared" ref="W139:W151" si="123">IF(D139="",0,IF(VLOOKUP(D139,Liturgien_all,7,FALSE)="speziell",0,IF(S139="",0,VLOOKUP(S139,ENTFERNUNG_WERT,2,FALSE)-VLOOKUP(VLOOKUP(D139,Liturgien_all,7,FALSE),ENTFERNUNG_WERT,2,FALSE))))</f>
        <v>0</v>
      </c>
      <c r="X139" s="268" t="str">
        <f t="shared" ref="X139:X151" ca="1" si="124">IF(AND(OR(UPPER(B139)="X",UPPER(E139)="X",UPPER(F139)="X",UPPER(G139)="X"),H139=""),A139&amp;",","")</f>
        <v/>
      </c>
      <c r="Y139" s="154" t="str">
        <f ca="1">CONCATENATE(X139,X140,X141,X142,X143,X144,X145,X146,X147,X148,X149,X150,X151)</f>
        <v/>
      </c>
      <c r="Z139" s="356"/>
      <c r="AA139" s="25"/>
      <c r="AB139" s="268">
        <f t="shared" ref="AB139:AB151" si="125">ROUND(IF(AND(NOT(EXACT($A139,"")),UPPER(E139)="X"),P139,0)*IF(UPPER(C139)="X",0.5,1)*IF(VT_EIDGED,0.5,IF(VT_GUTGED,0.75,1)),0)</f>
        <v>0</v>
      </c>
      <c r="AC139" s="268">
        <f t="shared" ref="AC139:AC151" si="126">ROUND(50*IF(AND(NOT(EXACT($A139,"")),UPPER(F139)="X"),P139*IF(UPPER(C139)="X",0.5,1)*IF(VT_EIDGED,0.5,IF(VT_GUTGED,0.75,1)),0),0)</f>
        <v>0</v>
      </c>
      <c r="AD139" s="268">
        <f t="shared" ref="AD139:AD151" si="127">ROUND(50*IF(AND(NOT(EXACT($A139,"")),F139=2),P139*IF(UPPER(C139)="X",0.5,1)*IF(VT_EIDGED,0.5,IF(VT_GUTGED,0.75,1)),0),0)</f>
        <v>0</v>
      </c>
      <c r="AE139" s="268">
        <f t="shared" ref="AE139:AE151" si="128">ROUND(50*(IF(AND(NOT(EXACT($A139,"")),UPPER(G139)="X"),P139,0)*IF(UPPER(C139)="X",0.5,1)*IF(VT_EIDGED,0.5,IF(VT_GUTGED,0.75,1))+$R139+IF(UPPER(G139)="X",$O139,0))+10*$S139,0)</f>
        <v>0</v>
      </c>
      <c r="AF139" s="25"/>
      <c r="AG139">
        <f t="shared" ref="AG139:AG151" si="129">A139</f>
        <v>0</v>
      </c>
      <c r="AH139" s="78" t="str">
        <f t="shared" ref="AH139:AH151" si="130">ROMAN(R139+S139+IF(A139="",0,VLOOKUP(A139,Liturgien_all,3,FALSE)))</f>
        <v/>
      </c>
      <c r="AI139" s="25"/>
    </row>
    <row r="140" spans="1:35" x14ac:dyDescent="0.2">
      <c r="A140" s="38"/>
      <c r="B140" s="369"/>
      <c r="C140" s="90"/>
      <c r="E140" s="384"/>
      <c r="F140" s="960"/>
      <c r="G140" s="324"/>
      <c r="H140" s="372" t="str">
        <f ca="1">IF(OR(A140="",Liturgien!$C$11=""),"",IF(OR(UPPER(E140)="X",UPPER(F140)="X",UPPER(G140)="X"),IF((VLOOKUP(A140,Liturgien_all,3,FALSE))*3&gt;Liturgien!$C$11,"Liturgiekenntnis-Wert zu niedrig!",""),""))</f>
        <v/>
      </c>
      <c r="I140" s="307"/>
      <c r="J140" s="307"/>
      <c r="K140" s="307"/>
      <c r="L140" s="307"/>
      <c r="M140" s="307"/>
      <c r="N140" s="1657"/>
      <c r="O140" s="268">
        <f t="shared" si="116"/>
        <v>0</v>
      </c>
      <c r="P140" s="268">
        <f t="shared" si="117"/>
        <v>0</v>
      </c>
      <c r="Q140" s="268" t="str">
        <f t="shared" si="118"/>
        <v/>
      </c>
      <c r="R140" s="268">
        <f t="shared" si="119"/>
        <v>0</v>
      </c>
      <c r="S140" s="268">
        <f t="shared" si="120"/>
        <v>0</v>
      </c>
      <c r="T140" s="268">
        <f t="shared" si="63"/>
        <v>0</v>
      </c>
      <c r="U140" s="268">
        <f t="shared" si="121"/>
        <v>0</v>
      </c>
      <c r="V140" s="268">
        <f t="shared" si="122"/>
        <v>0</v>
      </c>
      <c r="W140" s="268">
        <f t="shared" si="123"/>
        <v>0</v>
      </c>
      <c r="X140" s="268" t="str">
        <f t="shared" ca="1" si="124"/>
        <v/>
      </c>
      <c r="Y140" s="356"/>
      <c r="Z140" s="356"/>
      <c r="AA140" s="25"/>
      <c r="AB140" s="268">
        <f t="shared" si="125"/>
        <v>0</v>
      </c>
      <c r="AC140" s="268">
        <f t="shared" si="126"/>
        <v>0</v>
      </c>
      <c r="AD140" s="268">
        <f t="shared" si="127"/>
        <v>0</v>
      </c>
      <c r="AE140" s="268">
        <f t="shared" si="128"/>
        <v>0</v>
      </c>
      <c r="AF140" s="25"/>
      <c r="AG140">
        <f t="shared" si="129"/>
        <v>0</v>
      </c>
      <c r="AH140" s="78" t="str">
        <f t="shared" si="130"/>
        <v/>
      </c>
      <c r="AI140" s="25"/>
    </row>
    <row r="141" spans="1:35" x14ac:dyDescent="0.2">
      <c r="A141" s="38"/>
      <c r="B141" s="369"/>
      <c r="C141" s="90"/>
      <c r="E141" s="384"/>
      <c r="F141" s="960"/>
      <c r="G141" s="324"/>
      <c r="H141" s="372" t="str">
        <f ca="1">IF(OR(A141="",Liturgien!$C$11=""),"",IF(OR(UPPER(E141)="X",UPPER(F141)="X",UPPER(G141)="X"),IF((VLOOKUP(A141,Liturgien_all,3,FALSE))*3&gt;Liturgien!$C$11,"Liturgiekenntnis-Wert zu niedrig!",""),""))</f>
        <v/>
      </c>
      <c r="I141" s="307"/>
      <c r="J141" s="307"/>
      <c r="K141" s="307"/>
      <c r="L141" s="307"/>
      <c r="M141" s="307"/>
      <c r="N141" s="1657"/>
      <c r="O141" s="268">
        <f t="shared" si="116"/>
        <v>0</v>
      </c>
      <c r="P141" s="268">
        <f t="shared" si="117"/>
        <v>0</v>
      </c>
      <c r="Q141" s="268" t="str">
        <f t="shared" si="118"/>
        <v/>
      </c>
      <c r="R141" s="268">
        <f t="shared" si="119"/>
        <v>0</v>
      </c>
      <c r="S141" s="268">
        <f t="shared" si="120"/>
        <v>0</v>
      </c>
      <c r="T141" s="268">
        <f t="shared" si="63"/>
        <v>0</v>
      </c>
      <c r="U141" s="268">
        <f t="shared" si="121"/>
        <v>0</v>
      </c>
      <c r="V141" s="268">
        <f t="shared" si="122"/>
        <v>0</v>
      </c>
      <c r="W141" s="268">
        <f t="shared" si="123"/>
        <v>0</v>
      </c>
      <c r="X141" s="268" t="str">
        <f t="shared" ca="1" si="124"/>
        <v/>
      </c>
      <c r="Y141" s="356"/>
      <c r="Z141" s="356"/>
      <c r="AA141" s="25"/>
      <c r="AB141" s="268">
        <f t="shared" si="125"/>
        <v>0</v>
      </c>
      <c r="AC141" s="268">
        <f t="shared" si="126"/>
        <v>0</v>
      </c>
      <c r="AD141" s="268">
        <f t="shared" si="127"/>
        <v>0</v>
      </c>
      <c r="AE141" s="268">
        <f t="shared" si="128"/>
        <v>0</v>
      </c>
      <c r="AF141" s="25"/>
      <c r="AG141">
        <f t="shared" si="129"/>
        <v>0</v>
      </c>
      <c r="AH141" s="78" t="str">
        <f t="shared" si="130"/>
        <v/>
      </c>
      <c r="AI141" s="25"/>
    </row>
    <row r="142" spans="1:35" x14ac:dyDescent="0.2">
      <c r="A142" s="38"/>
      <c r="B142" s="369"/>
      <c r="C142" s="90"/>
      <c r="E142" s="384"/>
      <c r="F142" s="960"/>
      <c r="G142" s="324"/>
      <c r="H142" s="372" t="str">
        <f ca="1">IF(OR(A142="",Liturgien!$C$11=""),"",IF(OR(UPPER(E142)="X",UPPER(F142)="X",UPPER(G142)="X"),IF((VLOOKUP(A142,Liturgien_all,3,FALSE))*3&gt;Liturgien!$C$11,"Liturgiekenntnis-Wert zu niedrig!",""),""))</f>
        <v/>
      </c>
      <c r="I142" s="307"/>
      <c r="J142" s="307"/>
      <c r="K142" s="307"/>
      <c r="L142" s="307"/>
      <c r="M142" s="307"/>
      <c r="N142" s="1657"/>
      <c r="O142" s="268">
        <f t="shared" si="116"/>
        <v>0</v>
      </c>
      <c r="P142" s="268">
        <f t="shared" si="117"/>
        <v>0</v>
      </c>
      <c r="Q142" s="268" t="str">
        <f t="shared" si="118"/>
        <v/>
      </c>
      <c r="R142" s="268">
        <f t="shared" si="119"/>
        <v>0</v>
      </c>
      <c r="S142" s="268">
        <f t="shared" si="120"/>
        <v>0</v>
      </c>
      <c r="T142" s="268">
        <f t="shared" si="63"/>
        <v>0</v>
      </c>
      <c r="U142" s="268">
        <f t="shared" si="121"/>
        <v>0</v>
      </c>
      <c r="V142" s="268">
        <f t="shared" si="122"/>
        <v>0</v>
      </c>
      <c r="W142" s="268">
        <f t="shared" si="123"/>
        <v>0</v>
      </c>
      <c r="X142" s="268" t="str">
        <f t="shared" ca="1" si="124"/>
        <v/>
      </c>
      <c r="Y142" s="356"/>
      <c r="Z142" s="356"/>
      <c r="AA142" s="25"/>
      <c r="AB142" s="268">
        <f t="shared" si="125"/>
        <v>0</v>
      </c>
      <c r="AC142" s="268">
        <f t="shared" si="126"/>
        <v>0</v>
      </c>
      <c r="AD142" s="268">
        <f t="shared" si="127"/>
        <v>0</v>
      </c>
      <c r="AE142" s="268">
        <f t="shared" si="128"/>
        <v>0</v>
      </c>
      <c r="AF142" s="25"/>
      <c r="AG142">
        <f t="shared" si="129"/>
        <v>0</v>
      </c>
      <c r="AH142" s="78" t="str">
        <f t="shared" si="130"/>
        <v/>
      </c>
      <c r="AI142" s="25"/>
    </row>
    <row r="143" spans="1:35" x14ac:dyDescent="0.2">
      <c r="A143" s="38"/>
      <c r="B143" s="369"/>
      <c r="C143" s="90"/>
      <c r="E143" s="384"/>
      <c r="F143" s="960"/>
      <c r="G143" s="324"/>
      <c r="H143" s="372" t="str">
        <f ca="1">IF(OR(A143="",Liturgien!$C$11=""),"",IF(OR(UPPER(E143)="X",UPPER(F143)="X",UPPER(G143)="X"),IF((VLOOKUP(A143,Liturgien_all,3,FALSE))*3&gt;Liturgien!$C$11,"Liturgiekenntnis-Wert zu niedrig!",""),""))</f>
        <v/>
      </c>
      <c r="I143" s="307"/>
      <c r="J143" s="307"/>
      <c r="K143" s="307"/>
      <c r="L143" s="307"/>
      <c r="M143" s="307"/>
      <c r="N143" s="1657"/>
      <c r="O143" s="268">
        <f t="shared" si="116"/>
        <v>0</v>
      </c>
      <c r="P143" s="268">
        <f t="shared" si="117"/>
        <v>0</v>
      </c>
      <c r="Q143" s="268" t="str">
        <f t="shared" si="118"/>
        <v/>
      </c>
      <c r="R143" s="268">
        <f t="shared" si="119"/>
        <v>0</v>
      </c>
      <c r="S143" s="268">
        <f t="shared" si="120"/>
        <v>0</v>
      </c>
      <c r="T143" s="268">
        <f t="shared" si="63"/>
        <v>0</v>
      </c>
      <c r="U143" s="268">
        <f t="shared" si="121"/>
        <v>0</v>
      </c>
      <c r="V143" s="268">
        <f t="shared" si="122"/>
        <v>0</v>
      </c>
      <c r="W143" s="268">
        <f t="shared" si="123"/>
        <v>0</v>
      </c>
      <c r="X143" s="268" t="str">
        <f t="shared" ca="1" si="124"/>
        <v/>
      </c>
      <c r="Y143" s="356"/>
      <c r="Z143" s="356"/>
      <c r="AA143" s="25"/>
      <c r="AB143" s="268">
        <f t="shared" si="125"/>
        <v>0</v>
      </c>
      <c r="AC143" s="268">
        <f t="shared" si="126"/>
        <v>0</v>
      </c>
      <c r="AD143" s="268">
        <f t="shared" si="127"/>
        <v>0</v>
      </c>
      <c r="AE143" s="268">
        <f t="shared" si="128"/>
        <v>0</v>
      </c>
      <c r="AF143" s="25"/>
      <c r="AG143">
        <f t="shared" si="129"/>
        <v>0</v>
      </c>
      <c r="AH143" s="78" t="str">
        <f t="shared" si="130"/>
        <v/>
      </c>
      <c r="AI143" s="25"/>
    </row>
    <row r="144" spans="1:35" x14ac:dyDescent="0.2">
      <c r="A144" s="38"/>
      <c r="B144" s="369"/>
      <c r="C144" s="90"/>
      <c r="E144" s="384"/>
      <c r="F144" s="960"/>
      <c r="G144" s="324"/>
      <c r="H144" s="372" t="str">
        <f ca="1">IF(OR(A144="",Liturgien!$C$11=""),"",IF(OR(UPPER(E144)="X",UPPER(F144)="X",UPPER(G144)="X"),IF((VLOOKUP(A144,Liturgien_all,3,FALSE))*3&gt;Liturgien!$C$11,"Liturgiekenntnis-Wert zu niedrig!",""),""))</f>
        <v/>
      </c>
      <c r="I144" s="307"/>
      <c r="J144" s="307"/>
      <c r="K144" s="307"/>
      <c r="L144" s="307"/>
      <c r="M144" s="307"/>
      <c r="N144" s="1657"/>
      <c r="O144" s="268">
        <f t="shared" si="116"/>
        <v>0</v>
      </c>
      <c r="P144" s="268">
        <f t="shared" si="117"/>
        <v>0</v>
      </c>
      <c r="Q144" s="268" t="str">
        <f t="shared" si="118"/>
        <v/>
      </c>
      <c r="R144" s="268">
        <f t="shared" si="119"/>
        <v>0</v>
      </c>
      <c r="S144" s="268">
        <f t="shared" si="120"/>
        <v>0</v>
      </c>
      <c r="T144" s="268">
        <f t="shared" si="63"/>
        <v>0</v>
      </c>
      <c r="U144" s="268">
        <f t="shared" si="121"/>
        <v>0</v>
      </c>
      <c r="V144" s="268">
        <f t="shared" si="122"/>
        <v>0</v>
      </c>
      <c r="W144" s="268">
        <f t="shared" si="123"/>
        <v>0</v>
      </c>
      <c r="X144" s="268" t="str">
        <f t="shared" ca="1" si="124"/>
        <v/>
      </c>
      <c r="Y144" s="356"/>
      <c r="Z144" s="356"/>
      <c r="AA144" s="25"/>
      <c r="AB144" s="268">
        <f t="shared" si="125"/>
        <v>0</v>
      </c>
      <c r="AC144" s="268">
        <f t="shared" si="126"/>
        <v>0</v>
      </c>
      <c r="AD144" s="268">
        <f t="shared" si="127"/>
        <v>0</v>
      </c>
      <c r="AE144" s="268">
        <f t="shared" si="128"/>
        <v>0</v>
      </c>
      <c r="AF144" s="25"/>
      <c r="AG144">
        <f t="shared" si="129"/>
        <v>0</v>
      </c>
      <c r="AH144" s="78" t="str">
        <f t="shared" si="130"/>
        <v/>
      </c>
      <c r="AI144" s="25"/>
    </row>
    <row r="145" spans="1:35" x14ac:dyDescent="0.2">
      <c r="A145" s="38"/>
      <c r="B145" s="369"/>
      <c r="C145" s="90"/>
      <c r="E145" s="384"/>
      <c r="F145" s="960"/>
      <c r="G145" s="324"/>
      <c r="H145" s="372" t="str">
        <f ca="1">IF(OR(A145="",Liturgien!$C$11=""),"",IF(OR(UPPER(E145)="X",UPPER(F145)="X",UPPER(G145)="X"),IF((VLOOKUP(A145,Liturgien_all,3,FALSE))*3&gt;Liturgien!$C$11,"Liturgiekenntnis-Wert zu niedrig!",""),""))</f>
        <v/>
      </c>
      <c r="I145" s="307"/>
      <c r="J145" s="307"/>
      <c r="K145" s="307"/>
      <c r="L145" s="307"/>
      <c r="M145" s="307"/>
      <c r="N145" s="1657"/>
      <c r="O145" s="268">
        <f t="shared" si="116"/>
        <v>0</v>
      </c>
      <c r="P145" s="268">
        <f t="shared" si="117"/>
        <v>0</v>
      </c>
      <c r="Q145" s="268" t="str">
        <f t="shared" si="118"/>
        <v/>
      </c>
      <c r="R145" s="268">
        <f t="shared" si="119"/>
        <v>0</v>
      </c>
      <c r="S145" s="268">
        <f t="shared" si="120"/>
        <v>0</v>
      </c>
      <c r="T145" s="268">
        <f t="shared" si="63"/>
        <v>0</v>
      </c>
      <c r="U145" s="268">
        <f t="shared" si="121"/>
        <v>0</v>
      </c>
      <c r="V145" s="268">
        <f t="shared" si="122"/>
        <v>0</v>
      </c>
      <c r="W145" s="268">
        <f t="shared" si="123"/>
        <v>0</v>
      </c>
      <c r="X145" s="268" t="str">
        <f t="shared" ca="1" si="124"/>
        <v/>
      </c>
      <c r="Y145" s="356"/>
      <c r="Z145" s="356"/>
      <c r="AA145" s="25"/>
      <c r="AB145" s="268">
        <f t="shared" si="125"/>
        <v>0</v>
      </c>
      <c r="AC145" s="268">
        <f t="shared" si="126"/>
        <v>0</v>
      </c>
      <c r="AD145" s="268">
        <f t="shared" si="127"/>
        <v>0</v>
      </c>
      <c r="AE145" s="268">
        <f t="shared" si="128"/>
        <v>0</v>
      </c>
      <c r="AF145" s="25"/>
      <c r="AG145">
        <f t="shared" si="129"/>
        <v>0</v>
      </c>
      <c r="AH145" s="78" t="str">
        <f t="shared" si="130"/>
        <v/>
      </c>
      <c r="AI145" s="25"/>
    </row>
    <row r="146" spans="1:35" x14ac:dyDescent="0.2">
      <c r="A146" s="38"/>
      <c r="B146" s="369"/>
      <c r="C146" s="90"/>
      <c r="E146" s="384"/>
      <c r="F146" s="960"/>
      <c r="G146" s="324"/>
      <c r="H146" s="372" t="str">
        <f ca="1">IF(OR(A146="",Liturgien!$C$11=""),"",IF(OR(UPPER(E146)="X",UPPER(F146)="X",UPPER(G146)="X"),IF((VLOOKUP(A146,Liturgien_all,3,FALSE))*3&gt;Liturgien!$C$11,"Liturgiekenntnis-Wert zu niedrig!",""),""))</f>
        <v/>
      </c>
      <c r="I146" s="307"/>
      <c r="J146" s="307"/>
      <c r="K146" s="307"/>
      <c r="L146" s="307"/>
      <c r="M146" s="307"/>
      <c r="N146" s="1657"/>
      <c r="O146" s="268">
        <f t="shared" si="116"/>
        <v>0</v>
      </c>
      <c r="P146" s="268">
        <f t="shared" si="117"/>
        <v>0</v>
      </c>
      <c r="Q146" s="268" t="str">
        <f t="shared" si="118"/>
        <v/>
      </c>
      <c r="R146" s="268">
        <f t="shared" si="119"/>
        <v>0</v>
      </c>
      <c r="S146" s="268">
        <f t="shared" si="120"/>
        <v>0</v>
      </c>
      <c r="T146" s="268">
        <f t="shared" si="63"/>
        <v>0</v>
      </c>
      <c r="U146" s="268">
        <f t="shared" si="121"/>
        <v>0</v>
      </c>
      <c r="V146" s="268">
        <f t="shared" si="122"/>
        <v>0</v>
      </c>
      <c r="W146" s="268">
        <f t="shared" si="123"/>
        <v>0</v>
      </c>
      <c r="X146" s="268" t="str">
        <f t="shared" ca="1" si="124"/>
        <v/>
      </c>
      <c r="Y146" s="356"/>
      <c r="Z146" s="356"/>
      <c r="AA146" s="25"/>
      <c r="AB146" s="268">
        <f t="shared" si="125"/>
        <v>0</v>
      </c>
      <c r="AC146" s="268">
        <f t="shared" si="126"/>
        <v>0</v>
      </c>
      <c r="AD146" s="268">
        <f t="shared" si="127"/>
        <v>0</v>
      </c>
      <c r="AE146" s="268">
        <f t="shared" si="128"/>
        <v>0</v>
      </c>
      <c r="AF146" s="25"/>
      <c r="AG146">
        <f t="shared" si="129"/>
        <v>0</v>
      </c>
      <c r="AH146" s="78" t="str">
        <f t="shared" si="130"/>
        <v/>
      </c>
      <c r="AI146" s="25"/>
    </row>
    <row r="147" spans="1:35" x14ac:dyDescent="0.2">
      <c r="A147" s="38"/>
      <c r="B147" s="369"/>
      <c r="C147" s="90"/>
      <c r="E147" s="384"/>
      <c r="F147" s="960"/>
      <c r="G147" s="324"/>
      <c r="H147" s="372" t="str">
        <f ca="1">IF(OR(A147="",Liturgien!$C$11=""),"",IF(OR(UPPER(E147)="X",UPPER(F147)="X",UPPER(G147)="X"),IF((VLOOKUP(A147,Liturgien_all,3,FALSE))*3&gt;Liturgien!$C$11,"Liturgiekenntnis-Wert zu niedrig!",""),""))</f>
        <v/>
      </c>
      <c r="I147" s="307"/>
      <c r="J147" s="307"/>
      <c r="K147" s="307"/>
      <c r="L147" s="307"/>
      <c r="M147" s="307"/>
      <c r="N147" s="1657"/>
      <c r="O147" s="268">
        <f t="shared" si="116"/>
        <v>0</v>
      </c>
      <c r="P147" s="268">
        <f t="shared" si="117"/>
        <v>0</v>
      </c>
      <c r="Q147" s="268" t="str">
        <f t="shared" si="118"/>
        <v/>
      </c>
      <c r="R147" s="268">
        <f t="shared" si="119"/>
        <v>0</v>
      </c>
      <c r="S147" s="268">
        <f t="shared" si="120"/>
        <v>0</v>
      </c>
      <c r="T147" s="268">
        <f t="shared" si="63"/>
        <v>0</v>
      </c>
      <c r="U147" s="268">
        <f t="shared" si="121"/>
        <v>0</v>
      </c>
      <c r="V147" s="268">
        <f t="shared" si="122"/>
        <v>0</v>
      </c>
      <c r="W147" s="268">
        <f t="shared" si="123"/>
        <v>0</v>
      </c>
      <c r="X147" s="268" t="str">
        <f t="shared" ca="1" si="124"/>
        <v/>
      </c>
      <c r="Y147" s="356"/>
      <c r="Z147" s="356"/>
      <c r="AA147" s="25"/>
      <c r="AB147" s="268">
        <f t="shared" si="125"/>
        <v>0</v>
      </c>
      <c r="AC147" s="268">
        <f t="shared" si="126"/>
        <v>0</v>
      </c>
      <c r="AD147" s="268">
        <f t="shared" si="127"/>
        <v>0</v>
      </c>
      <c r="AE147" s="268">
        <f t="shared" si="128"/>
        <v>0</v>
      </c>
      <c r="AF147" s="25"/>
      <c r="AG147">
        <f t="shared" si="129"/>
        <v>0</v>
      </c>
      <c r="AH147" s="78" t="str">
        <f t="shared" si="130"/>
        <v/>
      </c>
      <c r="AI147" s="25"/>
    </row>
    <row r="148" spans="1:35" x14ac:dyDescent="0.2">
      <c r="A148" s="38"/>
      <c r="B148" s="369"/>
      <c r="C148" s="90"/>
      <c r="E148" s="384"/>
      <c r="F148" s="960"/>
      <c r="G148" s="324"/>
      <c r="H148" s="372" t="str">
        <f ca="1">IF(OR(A148="",Liturgien!$C$11=""),"",IF(OR(UPPER(E148)="X",UPPER(F148)="X",UPPER(G148)="X"),IF((VLOOKUP(A148,Liturgien_all,3,FALSE))*3&gt;Liturgien!$C$11,"Liturgiekenntnis-Wert zu niedrig!",""),""))</f>
        <v/>
      </c>
      <c r="I148" s="307"/>
      <c r="J148" s="307"/>
      <c r="K148" s="307"/>
      <c r="L148" s="307"/>
      <c r="M148" s="307"/>
      <c r="N148" s="1657"/>
      <c r="O148" s="268">
        <f t="shared" si="116"/>
        <v>0</v>
      </c>
      <c r="P148" s="268">
        <f t="shared" si="117"/>
        <v>0</v>
      </c>
      <c r="Q148" s="268" t="str">
        <f t="shared" si="118"/>
        <v/>
      </c>
      <c r="R148" s="268">
        <f t="shared" si="119"/>
        <v>0</v>
      </c>
      <c r="S148" s="268">
        <f t="shared" si="120"/>
        <v>0</v>
      </c>
      <c r="T148" s="268">
        <f t="shared" si="63"/>
        <v>0</v>
      </c>
      <c r="U148" s="268">
        <f t="shared" si="121"/>
        <v>0</v>
      </c>
      <c r="V148" s="268">
        <f t="shared" si="122"/>
        <v>0</v>
      </c>
      <c r="W148" s="268">
        <f t="shared" si="123"/>
        <v>0</v>
      </c>
      <c r="X148" s="268" t="str">
        <f t="shared" ca="1" si="124"/>
        <v/>
      </c>
      <c r="Y148" s="356"/>
      <c r="Z148" s="356"/>
      <c r="AA148" s="25"/>
      <c r="AB148" s="268">
        <f t="shared" si="125"/>
        <v>0</v>
      </c>
      <c r="AC148" s="268">
        <f t="shared" si="126"/>
        <v>0</v>
      </c>
      <c r="AD148" s="268">
        <f t="shared" si="127"/>
        <v>0</v>
      </c>
      <c r="AE148" s="268">
        <f t="shared" si="128"/>
        <v>0</v>
      </c>
      <c r="AF148" s="25"/>
      <c r="AG148">
        <f t="shared" si="129"/>
        <v>0</v>
      </c>
      <c r="AH148" s="78" t="str">
        <f t="shared" si="130"/>
        <v/>
      </c>
      <c r="AI148" s="25"/>
    </row>
    <row r="149" spans="1:35" x14ac:dyDescent="0.2">
      <c r="A149" s="38"/>
      <c r="B149" s="369"/>
      <c r="C149" s="90"/>
      <c r="E149" s="384"/>
      <c r="F149" s="960"/>
      <c r="G149" s="324"/>
      <c r="H149" s="372" t="str">
        <f ca="1">IF(OR(A149="",Liturgien!$C$11=""),"",IF(OR(UPPER(E149)="X",UPPER(F149)="X",UPPER(G149)="X"),IF((VLOOKUP(A149,Liturgien_all,3,FALSE))*3&gt;Liturgien!$C$11,"Liturgiekenntnis-Wert zu niedrig!",""),""))</f>
        <v/>
      </c>
      <c r="I149" s="307"/>
      <c r="J149" s="307"/>
      <c r="K149" s="307"/>
      <c r="L149" s="307"/>
      <c r="M149" s="307"/>
      <c r="N149" s="1657"/>
      <c r="O149" s="268">
        <f t="shared" si="116"/>
        <v>0</v>
      </c>
      <c r="P149" s="268">
        <f t="shared" si="117"/>
        <v>0</v>
      </c>
      <c r="Q149" s="268" t="str">
        <f t="shared" si="118"/>
        <v/>
      </c>
      <c r="R149" s="268">
        <f t="shared" si="119"/>
        <v>0</v>
      </c>
      <c r="S149" s="268">
        <f t="shared" si="120"/>
        <v>0</v>
      </c>
      <c r="T149" s="268">
        <f t="shared" si="63"/>
        <v>0</v>
      </c>
      <c r="U149" s="268">
        <f t="shared" si="121"/>
        <v>0</v>
      </c>
      <c r="V149" s="268">
        <f t="shared" si="122"/>
        <v>0</v>
      </c>
      <c r="W149" s="268">
        <f t="shared" si="123"/>
        <v>0</v>
      </c>
      <c r="X149" s="268" t="str">
        <f t="shared" ca="1" si="124"/>
        <v/>
      </c>
      <c r="Y149" s="356"/>
      <c r="Z149" s="356"/>
      <c r="AA149" s="25"/>
      <c r="AB149" s="268">
        <f t="shared" si="125"/>
        <v>0</v>
      </c>
      <c r="AC149" s="268">
        <f t="shared" si="126"/>
        <v>0</v>
      </c>
      <c r="AD149" s="268">
        <f t="shared" si="127"/>
        <v>0</v>
      </c>
      <c r="AE149" s="268">
        <f t="shared" si="128"/>
        <v>0</v>
      </c>
      <c r="AF149" s="25"/>
      <c r="AG149">
        <f t="shared" si="129"/>
        <v>0</v>
      </c>
      <c r="AH149" s="78" t="str">
        <f t="shared" si="130"/>
        <v/>
      </c>
      <c r="AI149" s="25"/>
    </row>
    <row r="150" spans="1:35" x14ac:dyDescent="0.2">
      <c r="A150" s="38"/>
      <c r="B150" s="369"/>
      <c r="C150" s="90"/>
      <c r="E150" s="384"/>
      <c r="F150" s="960"/>
      <c r="G150" s="324"/>
      <c r="H150" s="372" t="str">
        <f ca="1">IF(OR(A150="",Liturgien!$C$11=""),"",IF(OR(UPPER(E150)="X",UPPER(F150)="X",UPPER(G150)="X"),IF((VLOOKUP(A150,Liturgien_all,3,FALSE))*3&gt;Liturgien!$C$11,"Liturgiekenntnis-Wert zu niedrig!",""),""))</f>
        <v/>
      </c>
      <c r="I150" s="307"/>
      <c r="J150" s="307"/>
      <c r="K150" s="307"/>
      <c r="L150" s="307"/>
      <c r="M150" s="307"/>
      <c r="N150" s="1657"/>
      <c r="O150" s="268">
        <f t="shared" si="116"/>
        <v>0</v>
      </c>
      <c r="P150" s="268">
        <f t="shared" si="117"/>
        <v>0</v>
      </c>
      <c r="Q150" s="268" t="str">
        <f t="shared" si="118"/>
        <v/>
      </c>
      <c r="R150" s="268">
        <f t="shared" si="119"/>
        <v>0</v>
      </c>
      <c r="S150" s="268">
        <f t="shared" si="120"/>
        <v>0</v>
      </c>
      <c r="T150" s="268">
        <f t="shared" si="63"/>
        <v>0</v>
      </c>
      <c r="U150" s="268">
        <f t="shared" si="121"/>
        <v>0</v>
      </c>
      <c r="V150" s="268">
        <f t="shared" si="122"/>
        <v>0</v>
      </c>
      <c r="W150" s="268">
        <f t="shared" si="123"/>
        <v>0</v>
      </c>
      <c r="X150" s="268" t="str">
        <f t="shared" ca="1" si="124"/>
        <v/>
      </c>
      <c r="Y150" s="356"/>
      <c r="Z150" s="356"/>
      <c r="AA150" s="25"/>
      <c r="AB150" s="268">
        <f t="shared" si="125"/>
        <v>0</v>
      </c>
      <c r="AC150" s="268">
        <f t="shared" si="126"/>
        <v>0</v>
      </c>
      <c r="AD150" s="268">
        <f t="shared" si="127"/>
        <v>0</v>
      </c>
      <c r="AE150" s="268">
        <f t="shared" si="128"/>
        <v>0</v>
      </c>
      <c r="AF150" s="25"/>
      <c r="AG150">
        <f t="shared" si="129"/>
        <v>0</v>
      </c>
      <c r="AH150" s="78" t="str">
        <f t="shared" si="130"/>
        <v/>
      </c>
      <c r="AI150" s="25"/>
    </row>
    <row r="151" spans="1:35" x14ac:dyDescent="0.2">
      <c r="A151" s="38"/>
      <c r="B151" s="369"/>
      <c r="C151" s="90"/>
      <c r="E151" s="384"/>
      <c r="F151" s="960"/>
      <c r="G151" s="324"/>
      <c r="H151" s="372" t="str">
        <f ca="1">IF(OR(A151="",Liturgien!$C$11=""),"",IF(OR(UPPER(E151)="X",UPPER(F151)="X",UPPER(G151)="X"),IF((VLOOKUP(A151,Liturgien_all,3,FALSE))*3&gt;Liturgien!$C$11,"Liturgiekenntnis-Wert zu niedrig!",""),""))</f>
        <v/>
      </c>
      <c r="I151" s="307"/>
      <c r="J151" s="307"/>
      <c r="K151" s="307"/>
      <c r="L151" s="307"/>
      <c r="M151" s="307"/>
      <c r="N151" s="1657"/>
      <c r="O151" s="268">
        <f t="shared" si="116"/>
        <v>0</v>
      </c>
      <c r="P151" s="268">
        <f t="shared" si="117"/>
        <v>0</v>
      </c>
      <c r="Q151" s="268" t="str">
        <f t="shared" si="118"/>
        <v/>
      </c>
      <c r="R151" s="268">
        <f t="shared" si="119"/>
        <v>0</v>
      </c>
      <c r="S151" s="268">
        <f t="shared" si="120"/>
        <v>0</v>
      </c>
      <c r="T151" s="268">
        <f t="shared" si="63"/>
        <v>0</v>
      </c>
      <c r="U151" s="268">
        <f t="shared" si="121"/>
        <v>0</v>
      </c>
      <c r="V151" s="268">
        <f t="shared" si="122"/>
        <v>0</v>
      </c>
      <c r="W151" s="268">
        <f t="shared" si="123"/>
        <v>0</v>
      </c>
      <c r="X151" s="268" t="str">
        <f t="shared" ca="1" si="124"/>
        <v/>
      </c>
      <c r="Y151" s="356"/>
      <c r="Z151" s="356"/>
      <c r="AA151" s="25"/>
      <c r="AB151" s="268">
        <f t="shared" si="125"/>
        <v>0</v>
      </c>
      <c r="AC151" s="268">
        <f t="shared" si="126"/>
        <v>0</v>
      </c>
      <c r="AD151" s="268">
        <f t="shared" si="127"/>
        <v>0</v>
      </c>
      <c r="AE151" s="268">
        <f t="shared" si="128"/>
        <v>0</v>
      </c>
      <c r="AF151" s="25"/>
      <c r="AG151">
        <f t="shared" si="129"/>
        <v>0</v>
      </c>
      <c r="AH151" s="78" t="str">
        <f t="shared" si="130"/>
        <v/>
      </c>
      <c r="AI151" s="25"/>
    </row>
    <row r="152" spans="1:35" x14ac:dyDescent="0.2">
      <c r="A152" s="180" t="s">
        <v>8771</v>
      </c>
      <c r="B152" s="25"/>
      <c r="C152" s="25"/>
      <c r="D152" s="25"/>
      <c r="E152" s="26"/>
      <c r="F152" s="26"/>
      <c r="G152" s="26"/>
      <c r="H152" s="25" t="str">
        <f ca="1">IF(APGUT&lt;0,"Keine AP mehr übrig!",IF(TL_GP_UEBRIG&lt;0,"Keine Start-AP mehr übrig!","▼ Fehlermeldungen ▼  "&amp;"(AP: "&amp;APGUT&amp;")"))</f>
        <v>▼ Fehlermeldungen ▼  (AP: 0)</v>
      </c>
      <c r="I152" s="25"/>
      <c r="J152" s="25"/>
      <c r="K152" s="25"/>
      <c r="L152" s="25"/>
      <c r="M152" s="25"/>
      <c r="N152" s="25"/>
      <c r="O152" s="25"/>
      <c r="P152" s="313"/>
      <c r="Q152" s="313"/>
      <c r="R152" s="25"/>
      <c r="S152" s="25"/>
      <c r="T152" s="25"/>
      <c r="U152" s="25"/>
      <c r="V152" s="305"/>
      <c r="W152" s="305"/>
      <c r="X152" s="305"/>
      <c r="Y152" s="25"/>
      <c r="Z152" s="25"/>
    </row>
    <row r="153" spans="1:35" ht="116.25" customHeight="1" x14ac:dyDescent="0.2">
      <c r="B153" s="308" t="s">
        <v>2961</v>
      </c>
      <c r="C153" s="309" t="s">
        <v>2967</v>
      </c>
      <c r="D153" s="308" t="s">
        <v>2962</v>
      </c>
      <c r="E153" s="1"/>
      <c r="F153" s="1"/>
      <c r="G153" s="1"/>
      <c r="J153" s="311" t="s">
        <v>2963</v>
      </c>
      <c r="K153" s="311" t="s">
        <v>2964</v>
      </c>
      <c r="L153" s="311" t="s">
        <v>2965</v>
      </c>
      <c r="M153" s="311" t="s">
        <v>2966</v>
      </c>
      <c r="N153" s="368"/>
      <c r="O153" s="268"/>
      <c r="P153" s="268"/>
      <c r="Q153" s="268"/>
      <c r="R153" s="25"/>
      <c r="S153" s="268"/>
      <c r="T153" s="268"/>
      <c r="U153" s="268"/>
      <c r="V153" s="25"/>
      <c r="W153" s="25"/>
      <c r="X153" s="25"/>
      <c r="Y153" s="25"/>
      <c r="Z153" s="25"/>
    </row>
    <row r="154" spans="1:35" x14ac:dyDescent="0.2">
      <c r="A154" s="38"/>
      <c r="B154" s="332" t="str">
        <f t="shared" ref="B154:B171" si="131">IF(A154="","",IF(AND(A154=A33,AA32),0,VLOOKUP(A154,Liturgien_all,2,FALSE)))</f>
        <v/>
      </c>
      <c r="C154" s="323" t="str">
        <f t="shared" ref="C154:C171" si="132">IF(A154="","",IF(N154&lt;0,0,VALUE(N154))+IF(Q154&lt;0,0,VALUE(Q154))+IF(O154&lt;0,0,VALUE(O154))+IF(P154&lt;0,0,VALUE(P154)))</f>
        <v/>
      </c>
      <c r="D154" s="332" t="str">
        <f t="shared" ref="D154:D171" si="133">IF(A154="","",VLOOKUP(IF(AND(A154=A33,AA32),0,VLOOKUP(A154,Liturgien_all,3,FALSE))+C154,GRADE,2,FALSE))</f>
        <v/>
      </c>
      <c r="E154" s="26"/>
      <c r="F154" s="26"/>
      <c r="G154" s="26"/>
      <c r="H154" s="372" t="str">
        <f ca="1">IF(OR(A154="",Liturgien!$C$11=""),"",IF((VLOOKUP(A154,Liturgien_all,3,FALSE)+C154)*3&gt;Liturgien!$C$11,"Liturgiekenntnis-Wert zu niedrig!",""))</f>
        <v/>
      </c>
      <c r="I154" s="1649"/>
      <c r="J154" s="307"/>
      <c r="K154" s="307"/>
      <c r="L154" s="307"/>
      <c r="M154" s="307"/>
      <c r="N154" s="268">
        <f t="shared" ref="N154:N171" si="134">IF($A154="",0,IF(OR(VLOOKUP($A154,Liturgien_all,4,FALSE)="speziell",ISNA(VLOOKUP(VLOOKUP($A154,Liturgien_all,4,FALSE),ZIEL_WERT,2,FALSE))),0,IF($J154="",0,VLOOKUP($J154,ZIEL_WERT,2,FALSE)-VLOOKUP(VLOOKUP($A154,Liturgien_all,4,FALSE),ZIEL_WERT,2,FALSE))))</f>
        <v>0</v>
      </c>
      <c r="O154" s="268">
        <f t="shared" ref="O154:O171" si="135">IF(A154="",0,IF(VLOOKUP(A154,Liturgien_all,5,FALSE)="speziell",0,IF(K154="",0,VLOOKUP(K154,RITUALDAUER_WERT,2,FALSE)-VLOOKUP(VLOOKUP(A154,Liturgien_all,5,FALSE),RITUALDAUER_WERT,2,FALSE))))</f>
        <v>0</v>
      </c>
      <c r="P154" s="268">
        <f t="shared" ref="P154:P171" si="136">IF(A154="",0,IF(VLOOKUP(A154,Liturgien_all,6,FALSE)="speziell",0,IF(L154="",0,VLOOKUP(L154,WIRKUNGSDAUER_WERT,2,FALSE)-VLOOKUP(VLOOKUP(A154,Liturgien_all,6,FALSE),WIRKUNGSDAUER_WERT,2,FALSE))))</f>
        <v>0</v>
      </c>
      <c r="Q154" s="268">
        <f t="shared" ref="Q154:Q171" si="137">IF(A154="",0,IF(VLOOKUP(A154,Liturgien_all,7,FALSE)="speziell",0,IF(M154="",0,VLOOKUP(M154,ENTFERNUNG_WERT,2,FALSE)-VLOOKUP(VLOOKUP(A154,Liturgien_all,7,FALSE),ENTFERNUNG_WERT,2,FALSE))))</f>
        <v>0</v>
      </c>
      <c r="R154" s="25"/>
      <c r="S154" s="305"/>
      <c r="T154" s="305"/>
      <c r="U154" s="268">
        <f t="shared" ref="U154:U171" si="138">IF(C154="",0,C154*10)</f>
        <v>0</v>
      </c>
      <c r="V154" s="25"/>
      <c r="W154" s="268" t="s">
        <v>1686</v>
      </c>
      <c r="X154" s="268" t="s">
        <v>1638</v>
      </c>
      <c r="Y154" s="268" t="s">
        <v>2685</v>
      </c>
      <c r="Z154" s="25"/>
    </row>
    <row r="155" spans="1:35" x14ac:dyDescent="0.2">
      <c r="A155" s="38"/>
      <c r="B155" s="332" t="str">
        <f t="shared" si="131"/>
        <v/>
      </c>
      <c r="C155" s="323" t="str">
        <f t="shared" si="132"/>
        <v/>
      </c>
      <c r="D155" s="332" t="str">
        <f t="shared" si="133"/>
        <v/>
      </c>
      <c r="E155" s="26"/>
      <c r="F155" s="26"/>
      <c r="G155" s="26"/>
      <c r="H155" s="372" t="str">
        <f ca="1">IF(OR(A155="",Liturgien!$C$11=""),"",IF((VLOOKUP(A155,Liturgien_all,3,FALSE)+C155)*3&gt;Liturgien!$C$11,"Liturgiekenntnis-Wert zu niedrig!",""))</f>
        <v/>
      </c>
      <c r="I155" s="1649"/>
      <c r="J155" s="307"/>
      <c r="K155" s="307"/>
      <c r="L155" s="307"/>
      <c r="M155" s="307"/>
      <c r="N155" s="268">
        <f t="shared" si="134"/>
        <v>0</v>
      </c>
      <c r="O155" s="268">
        <f t="shared" si="135"/>
        <v>0</v>
      </c>
      <c r="P155" s="268">
        <f t="shared" si="136"/>
        <v>0</v>
      </c>
      <c r="Q155" s="268">
        <f t="shared" si="137"/>
        <v>0</v>
      </c>
      <c r="R155" s="25"/>
      <c r="S155" s="305"/>
      <c r="T155" s="305"/>
      <c r="U155" s="268">
        <f t="shared" si="138"/>
        <v>0</v>
      </c>
      <c r="V155" s="25"/>
      <c r="W155" s="25"/>
      <c r="X155" s="25"/>
      <c r="Y155" s="25"/>
      <c r="Z155" s="25"/>
    </row>
    <row r="156" spans="1:35" x14ac:dyDescent="0.2">
      <c r="A156" s="38"/>
      <c r="B156" s="332" t="str">
        <f t="shared" si="131"/>
        <v/>
      </c>
      <c r="C156" s="323" t="str">
        <f t="shared" si="132"/>
        <v/>
      </c>
      <c r="D156" s="332" t="str">
        <f t="shared" si="133"/>
        <v/>
      </c>
      <c r="E156" s="26"/>
      <c r="F156" s="26"/>
      <c r="G156" s="26"/>
      <c r="H156" s="372" t="str">
        <f ca="1">IF(OR(A156="",Liturgien!$C$11=""),"",IF((VLOOKUP(A156,Liturgien_all,3,FALSE)+C156)*3&gt;Liturgien!$C$11,"Liturgiekenntnis-Wert zu niedrig!",""))</f>
        <v/>
      </c>
      <c r="I156" s="1649"/>
      <c r="J156" s="307"/>
      <c r="K156" s="307"/>
      <c r="L156" s="307"/>
      <c r="M156" s="307"/>
      <c r="N156" s="268">
        <f t="shared" si="134"/>
        <v>0</v>
      </c>
      <c r="O156" s="268">
        <f t="shared" si="135"/>
        <v>0</v>
      </c>
      <c r="P156" s="268">
        <f t="shared" si="136"/>
        <v>0</v>
      </c>
      <c r="Q156" s="268">
        <f t="shared" si="137"/>
        <v>0</v>
      </c>
      <c r="R156" s="25"/>
      <c r="S156" s="305"/>
      <c r="T156" s="305"/>
      <c r="U156" s="268">
        <f t="shared" si="138"/>
        <v>0</v>
      </c>
      <c r="V156" s="25"/>
    </row>
    <row r="157" spans="1:35" x14ac:dyDescent="0.2">
      <c r="A157" s="38"/>
      <c r="B157" s="332" t="str">
        <f t="shared" si="131"/>
        <v/>
      </c>
      <c r="C157" s="323" t="str">
        <f t="shared" si="132"/>
        <v/>
      </c>
      <c r="D157" s="332" t="str">
        <f t="shared" si="133"/>
        <v/>
      </c>
      <c r="E157" s="26"/>
      <c r="F157" s="26"/>
      <c r="G157" s="26"/>
      <c r="H157" s="372" t="str">
        <f ca="1">IF(OR(A157="",Liturgien!$C$11=""),"",IF((VLOOKUP(A157,Liturgien_all,3,FALSE)+C157)*3&gt;Liturgien!$C$11,"Liturgiekenntnis-Wert zu niedrig!",""))</f>
        <v/>
      </c>
      <c r="I157" s="1649"/>
      <c r="J157" s="307"/>
      <c r="K157" s="307"/>
      <c r="L157" s="307"/>
      <c r="M157" s="307"/>
      <c r="N157" s="268">
        <f t="shared" si="134"/>
        <v>0</v>
      </c>
      <c r="O157" s="268">
        <f t="shared" si="135"/>
        <v>0</v>
      </c>
      <c r="P157" s="268">
        <f t="shared" si="136"/>
        <v>0</v>
      </c>
      <c r="Q157" s="268">
        <f t="shared" si="137"/>
        <v>0</v>
      </c>
      <c r="R157" s="25"/>
      <c r="S157" s="305"/>
      <c r="T157" s="305"/>
      <c r="U157" s="268">
        <f t="shared" si="138"/>
        <v>0</v>
      </c>
      <c r="V157" s="25"/>
    </row>
    <row r="158" spans="1:35" x14ac:dyDescent="0.2">
      <c r="A158" s="38"/>
      <c r="B158" s="332" t="str">
        <f t="shared" si="131"/>
        <v/>
      </c>
      <c r="C158" s="323" t="str">
        <f t="shared" si="132"/>
        <v/>
      </c>
      <c r="D158" s="332" t="str">
        <f t="shared" si="133"/>
        <v/>
      </c>
      <c r="E158" s="26"/>
      <c r="F158" s="26"/>
      <c r="G158" s="26"/>
      <c r="H158" s="372" t="str">
        <f ca="1">IF(OR(A158="",Liturgien!$C$11=""),"",IF((VLOOKUP(A158,Liturgien_all,3,FALSE)+C158)*3&gt;Liturgien!$C$11,"Liturgiekenntnis-Wert zu niedrig!",""))</f>
        <v/>
      </c>
      <c r="I158" s="1649"/>
      <c r="J158" s="307"/>
      <c r="K158" s="307"/>
      <c r="L158" s="307"/>
      <c r="M158" s="307"/>
      <c r="N158" s="268">
        <f t="shared" si="134"/>
        <v>0</v>
      </c>
      <c r="O158" s="268">
        <f t="shared" si="135"/>
        <v>0</v>
      </c>
      <c r="P158" s="268">
        <f t="shared" si="136"/>
        <v>0</v>
      </c>
      <c r="Q158" s="268">
        <f t="shared" si="137"/>
        <v>0</v>
      </c>
      <c r="R158" s="25"/>
      <c r="S158" s="305"/>
      <c r="T158" s="305"/>
      <c r="U158" s="268">
        <f t="shared" si="138"/>
        <v>0</v>
      </c>
      <c r="V158" s="25"/>
    </row>
    <row r="159" spans="1:35" x14ac:dyDescent="0.2">
      <c r="A159" s="38"/>
      <c r="B159" s="332" t="str">
        <f t="shared" si="131"/>
        <v/>
      </c>
      <c r="C159" s="323" t="str">
        <f t="shared" si="132"/>
        <v/>
      </c>
      <c r="D159" s="332" t="str">
        <f t="shared" si="133"/>
        <v/>
      </c>
      <c r="E159" s="26"/>
      <c r="F159" s="26"/>
      <c r="G159" s="26"/>
      <c r="H159" s="372" t="str">
        <f ca="1">IF(OR(A159="",Liturgien!$C$11=""),"",IF((VLOOKUP(A159,Liturgien_all,3,FALSE)+C159)*3&gt;Liturgien!$C$11,"Liturgiekenntnis-Wert zu niedrig!",""))</f>
        <v/>
      </c>
      <c r="I159" s="1649"/>
      <c r="J159" s="307"/>
      <c r="K159" s="307"/>
      <c r="L159" s="307"/>
      <c r="M159" s="307"/>
      <c r="N159" s="268">
        <f t="shared" si="134"/>
        <v>0</v>
      </c>
      <c r="O159" s="268">
        <f t="shared" si="135"/>
        <v>0</v>
      </c>
      <c r="P159" s="268">
        <f t="shared" si="136"/>
        <v>0</v>
      </c>
      <c r="Q159" s="268">
        <f t="shared" si="137"/>
        <v>0</v>
      </c>
      <c r="R159" s="25"/>
      <c r="S159" s="305"/>
      <c r="T159" s="305"/>
      <c r="U159" s="268">
        <f t="shared" si="138"/>
        <v>0</v>
      </c>
      <c r="V159" s="25"/>
    </row>
    <row r="160" spans="1:35" x14ac:dyDescent="0.2">
      <c r="A160" s="38"/>
      <c r="B160" s="332" t="str">
        <f t="shared" si="131"/>
        <v/>
      </c>
      <c r="C160" s="323" t="str">
        <f t="shared" si="132"/>
        <v/>
      </c>
      <c r="D160" s="332" t="str">
        <f t="shared" si="133"/>
        <v/>
      </c>
      <c r="E160" s="26"/>
      <c r="F160" s="26"/>
      <c r="G160" s="26"/>
      <c r="H160" s="372" t="str">
        <f ca="1">IF(OR(A160="",Liturgien!$C$11=""),"",IF((VLOOKUP(A160,Liturgien_all,3,FALSE)+C160)*3&gt;Liturgien!$C$11,"Liturgiekenntnis-Wert zu niedrig!",""))</f>
        <v/>
      </c>
      <c r="I160" s="1649"/>
      <c r="J160" s="307"/>
      <c r="K160" s="307"/>
      <c r="L160" s="307"/>
      <c r="M160" s="307"/>
      <c r="N160" s="268">
        <f t="shared" si="134"/>
        <v>0</v>
      </c>
      <c r="O160" s="268">
        <f t="shared" si="135"/>
        <v>0</v>
      </c>
      <c r="P160" s="268">
        <f t="shared" si="136"/>
        <v>0</v>
      </c>
      <c r="Q160" s="268">
        <f t="shared" si="137"/>
        <v>0</v>
      </c>
      <c r="R160" s="25"/>
      <c r="S160" s="305"/>
      <c r="T160" s="305"/>
      <c r="U160" s="268">
        <f t="shared" si="138"/>
        <v>0</v>
      </c>
      <c r="V160" s="25"/>
    </row>
    <row r="161" spans="1:22" x14ac:dyDescent="0.2">
      <c r="A161" s="38"/>
      <c r="B161" s="332" t="str">
        <f t="shared" si="131"/>
        <v/>
      </c>
      <c r="C161" s="323" t="str">
        <f t="shared" si="132"/>
        <v/>
      </c>
      <c r="D161" s="332" t="str">
        <f t="shared" si="133"/>
        <v/>
      </c>
      <c r="E161" s="26"/>
      <c r="F161" s="26"/>
      <c r="G161" s="26"/>
      <c r="H161" s="372" t="str">
        <f ca="1">IF(OR(A161="",Liturgien!$C$11=""),"",IF((VLOOKUP(A161,Liturgien_all,3,FALSE)+C161)*3&gt;Liturgien!$C$11,"Liturgiekenntnis-Wert zu niedrig!",""))</f>
        <v/>
      </c>
      <c r="I161" s="1649"/>
      <c r="J161" s="307"/>
      <c r="K161" s="307"/>
      <c r="L161" s="307"/>
      <c r="M161" s="307"/>
      <c r="N161" s="268">
        <f t="shared" si="134"/>
        <v>0</v>
      </c>
      <c r="O161" s="268">
        <f t="shared" si="135"/>
        <v>0</v>
      </c>
      <c r="P161" s="268">
        <f t="shared" si="136"/>
        <v>0</v>
      </c>
      <c r="Q161" s="268">
        <f t="shared" si="137"/>
        <v>0</v>
      </c>
      <c r="R161" s="25"/>
      <c r="S161" s="305"/>
      <c r="T161" s="305"/>
      <c r="U161" s="268">
        <f t="shared" si="138"/>
        <v>0</v>
      </c>
      <c r="V161" s="25"/>
    </row>
    <row r="162" spans="1:22" x14ac:dyDescent="0.2">
      <c r="A162" s="38"/>
      <c r="B162" s="332" t="str">
        <f t="shared" si="131"/>
        <v/>
      </c>
      <c r="C162" s="323" t="str">
        <f t="shared" si="132"/>
        <v/>
      </c>
      <c r="D162" s="332" t="str">
        <f t="shared" si="133"/>
        <v/>
      </c>
      <c r="E162" s="26"/>
      <c r="F162" s="26"/>
      <c r="G162" s="26"/>
      <c r="H162" s="372" t="str">
        <f ca="1">IF(OR(A162="",Liturgien!$C$11=""),"",IF((VLOOKUP(A162,Liturgien_all,3,FALSE)+C162)*3&gt;Liturgien!$C$11,"Liturgiekenntnis-Wert zu niedrig!",""))</f>
        <v/>
      </c>
      <c r="I162" s="1649"/>
      <c r="J162" s="307"/>
      <c r="K162" s="307"/>
      <c r="L162" s="307"/>
      <c r="M162" s="307"/>
      <c r="N162" s="268">
        <f t="shared" si="134"/>
        <v>0</v>
      </c>
      <c r="O162" s="268">
        <f t="shared" si="135"/>
        <v>0</v>
      </c>
      <c r="P162" s="268">
        <f t="shared" si="136"/>
        <v>0</v>
      </c>
      <c r="Q162" s="268">
        <f t="shared" si="137"/>
        <v>0</v>
      </c>
      <c r="R162" s="25"/>
      <c r="S162" s="305"/>
      <c r="T162" s="305"/>
      <c r="U162" s="268">
        <f t="shared" si="138"/>
        <v>0</v>
      </c>
      <c r="V162" s="25"/>
    </row>
    <row r="163" spans="1:22" x14ac:dyDescent="0.2">
      <c r="A163" s="373"/>
      <c r="B163" s="332" t="str">
        <f t="shared" si="131"/>
        <v/>
      </c>
      <c r="C163" s="323" t="str">
        <f t="shared" si="132"/>
        <v/>
      </c>
      <c r="D163" s="332" t="str">
        <f t="shared" si="133"/>
        <v/>
      </c>
      <c r="E163" s="26"/>
      <c r="F163" s="26"/>
      <c r="G163" s="26"/>
      <c r="H163" s="372" t="str">
        <f ca="1">IF(OR(A163="",Liturgien!$C$11=""),"",IF((VLOOKUP(A163,Liturgien_all,3,FALSE)+C163)*3&gt;Liturgien!$C$11,"Liturgiekenntnis-Wert zu niedrig!",""))</f>
        <v/>
      </c>
      <c r="I163" s="1649"/>
      <c r="J163" s="307"/>
      <c r="K163" s="307"/>
      <c r="L163" s="307"/>
      <c r="M163" s="307"/>
      <c r="N163" s="268">
        <f t="shared" si="134"/>
        <v>0</v>
      </c>
      <c r="O163" s="268">
        <f t="shared" si="135"/>
        <v>0</v>
      </c>
      <c r="P163" s="268">
        <f t="shared" si="136"/>
        <v>0</v>
      </c>
      <c r="Q163" s="268">
        <f t="shared" si="137"/>
        <v>0</v>
      </c>
      <c r="R163" s="25"/>
      <c r="S163" s="305"/>
      <c r="T163" s="305"/>
      <c r="U163" s="268">
        <f t="shared" si="138"/>
        <v>0</v>
      </c>
      <c r="V163" s="25"/>
    </row>
    <row r="164" spans="1:22" x14ac:dyDescent="0.2">
      <c r="A164" s="373"/>
      <c r="B164" s="332" t="str">
        <f t="shared" si="131"/>
        <v/>
      </c>
      <c r="C164" s="323" t="str">
        <f t="shared" si="132"/>
        <v/>
      </c>
      <c r="D164" s="332" t="str">
        <f t="shared" si="133"/>
        <v/>
      </c>
      <c r="E164" s="26"/>
      <c r="F164" s="26"/>
      <c r="G164" s="26"/>
      <c r="H164" s="372" t="str">
        <f ca="1">IF(OR(A164="",Liturgien!$C$11=""),"",IF((VLOOKUP(A164,Liturgien_all,3,FALSE)+C164)*3&gt;Liturgien!$C$11,"Liturgiekenntnis-Wert zu niedrig!",""))</f>
        <v/>
      </c>
      <c r="I164" s="1649"/>
      <c r="J164" s="307"/>
      <c r="K164" s="307"/>
      <c r="L164" s="307"/>
      <c r="M164" s="307"/>
      <c r="N164" s="268">
        <f t="shared" si="134"/>
        <v>0</v>
      </c>
      <c r="O164" s="268">
        <f t="shared" si="135"/>
        <v>0</v>
      </c>
      <c r="P164" s="268">
        <f t="shared" si="136"/>
        <v>0</v>
      </c>
      <c r="Q164" s="268">
        <f t="shared" si="137"/>
        <v>0</v>
      </c>
      <c r="R164" s="25"/>
      <c r="S164" s="305"/>
      <c r="T164" s="305"/>
      <c r="U164" s="268">
        <f t="shared" si="138"/>
        <v>0</v>
      </c>
      <c r="V164" s="25"/>
    </row>
    <row r="165" spans="1:22" x14ac:dyDescent="0.2">
      <c r="A165" s="373"/>
      <c r="B165" s="332" t="str">
        <f t="shared" si="131"/>
        <v/>
      </c>
      <c r="C165" s="323" t="str">
        <f t="shared" si="132"/>
        <v/>
      </c>
      <c r="D165" s="332" t="str">
        <f t="shared" si="133"/>
        <v/>
      </c>
      <c r="E165" s="26"/>
      <c r="F165" s="26"/>
      <c r="G165" s="26"/>
      <c r="H165" s="372" t="str">
        <f ca="1">IF(OR(A165="",Liturgien!$C$11=""),"",IF((VLOOKUP(A165,Liturgien_all,3,FALSE)+C165)*3&gt;Liturgien!$C$11,"Liturgiekenntnis-Wert zu niedrig!",""))</f>
        <v/>
      </c>
      <c r="I165" s="1649"/>
      <c r="J165" s="307"/>
      <c r="K165" s="307"/>
      <c r="L165" s="307"/>
      <c r="M165" s="307"/>
      <c r="N165" s="268">
        <f t="shared" si="134"/>
        <v>0</v>
      </c>
      <c r="O165" s="268">
        <f t="shared" si="135"/>
        <v>0</v>
      </c>
      <c r="P165" s="268">
        <f t="shared" si="136"/>
        <v>0</v>
      </c>
      <c r="Q165" s="268">
        <f t="shared" si="137"/>
        <v>0</v>
      </c>
      <c r="R165" s="25"/>
      <c r="S165" s="305"/>
      <c r="T165" s="305"/>
      <c r="U165" s="268">
        <f t="shared" si="138"/>
        <v>0</v>
      </c>
      <c r="V165" s="25"/>
    </row>
    <row r="166" spans="1:22" x14ac:dyDescent="0.2">
      <c r="A166" s="373"/>
      <c r="B166" s="332" t="str">
        <f t="shared" si="131"/>
        <v/>
      </c>
      <c r="C166" s="323" t="str">
        <f t="shared" si="132"/>
        <v/>
      </c>
      <c r="D166" s="332" t="str">
        <f t="shared" si="133"/>
        <v/>
      </c>
      <c r="E166" s="26"/>
      <c r="F166" s="26"/>
      <c r="G166" s="26"/>
      <c r="H166" s="372" t="str">
        <f ca="1">IF(OR(A166="",Liturgien!$C$11=""),"",IF((VLOOKUP(A166,Liturgien_all,3,FALSE)+C166)*3&gt;Liturgien!$C$11,"Liturgiekenntnis-Wert zu niedrig!",""))</f>
        <v/>
      </c>
      <c r="I166" s="1649"/>
      <c r="J166" s="307"/>
      <c r="K166" s="307"/>
      <c r="L166" s="307"/>
      <c r="M166" s="307"/>
      <c r="N166" s="268">
        <f t="shared" si="134"/>
        <v>0</v>
      </c>
      <c r="O166" s="268">
        <f t="shared" si="135"/>
        <v>0</v>
      </c>
      <c r="P166" s="268">
        <f t="shared" si="136"/>
        <v>0</v>
      </c>
      <c r="Q166" s="268">
        <f t="shared" si="137"/>
        <v>0</v>
      </c>
      <c r="R166" s="25"/>
      <c r="S166" s="305"/>
      <c r="T166" s="305"/>
      <c r="U166" s="268">
        <f t="shared" si="138"/>
        <v>0</v>
      </c>
      <c r="V166" s="25"/>
    </row>
    <row r="167" spans="1:22" x14ac:dyDescent="0.2">
      <c r="A167" s="373"/>
      <c r="B167" s="332" t="str">
        <f t="shared" si="131"/>
        <v/>
      </c>
      <c r="C167" s="323" t="str">
        <f t="shared" si="132"/>
        <v/>
      </c>
      <c r="D167" s="332" t="str">
        <f t="shared" si="133"/>
        <v/>
      </c>
      <c r="E167" s="26"/>
      <c r="F167" s="26"/>
      <c r="G167" s="26"/>
      <c r="H167" s="372" t="str">
        <f ca="1">IF(OR(A167="",Liturgien!$C$11=""),"",IF((VLOOKUP(A167,Liturgien_all,3,FALSE)+C167)*3&gt;Liturgien!$C$11,"Liturgiekenntnis-Wert zu niedrig!",""))</f>
        <v/>
      </c>
      <c r="I167" s="1649"/>
      <c r="J167" s="307"/>
      <c r="K167" s="307"/>
      <c r="L167" s="307"/>
      <c r="M167" s="307"/>
      <c r="N167" s="268">
        <f t="shared" si="134"/>
        <v>0</v>
      </c>
      <c r="O167" s="268">
        <f t="shared" si="135"/>
        <v>0</v>
      </c>
      <c r="P167" s="268">
        <f t="shared" si="136"/>
        <v>0</v>
      </c>
      <c r="Q167" s="268">
        <f t="shared" si="137"/>
        <v>0</v>
      </c>
      <c r="R167" s="25"/>
      <c r="S167" s="305"/>
      <c r="T167" s="305"/>
      <c r="U167" s="268">
        <f t="shared" si="138"/>
        <v>0</v>
      </c>
      <c r="V167" s="25"/>
    </row>
    <row r="168" spans="1:22" x14ac:dyDescent="0.2">
      <c r="A168" s="373"/>
      <c r="B168" s="332" t="str">
        <f t="shared" si="131"/>
        <v/>
      </c>
      <c r="C168" s="323" t="str">
        <f t="shared" si="132"/>
        <v/>
      </c>
      <c r="D168" s="332" t="str">
        <f t="shared" si="133"/>
        <v/>
      </c>
      <c r="E168" s="26"/>
      <c r="F168" s="26"/>
      <c r="G168" s="26"/>
      <c r="H168" s="372" t="str">
        <f ca="1">IF(OR(A168="",Liturgien!$C$11=""),"",IF((VLOOKUP(A168,Liturgien_all,3,FALSE)+C168)*3&gt;Liturgien!$C$11,"Liturgiekenntnis-Wert zu niedrig!",""))</f>
        <v/>
      </c>
      <c r="I168" s="1649"/>
      <c r="J168" s="307"/>
      <c r="K168" s="307"/>
      <c r="L168" s="307"/>
      <c r="M168" s="307"/>
      <c r="N168" s="268">
        <f t="shared" si="134"/>
        <v>0</v>
      </c>
      <c r="O168" s="268">
        <f t="shared" si="135"/>
        <v>0</v>
      </c>
      <c r="P168" s="268">
        <f t="shared" si="136"/>
        <v>0</v>
      </c>
      <c r="Q168" s="268">
        <f t="shared" si="137"/>
        <v>0</v>
      </c>
      <c r="R168" s="25"/>
      <c r="S168" s="305"/>
      <c r="T168" s="305"/>
      <c r="U168" s="268">
        <f t="shared" si="138"/>
        <v>0</v>
      </c>
      <c r="V168" s="25"/>
    </row>
    <row r="169" spans="1:22" x14ac:dyDescent="0.2">
      <c r="A169" s="373"/>
      <c r="B169" s="332" t="str">
        <f t="shared" si="131"/>
        <v/>
      </c>
      <c r="C169" s="323" t="str">
        <f t="shared" si="132"/>
        <v/>
      </c>
      <c r="D169" s="332" t="str">
        <f t="shared" si="133"/>
        <v/>
      </c>
      <c r="E169" s="26"/>
      <c r="F169" s="26"/>
      <c r="G169" s="26"/>
      <c r="H169" s="372" t="str">
        <f ca="1">IF(OR(A169="",Liturgien!$C$11=""),"",IF((VLOOKUP(A169,Liturgien_all,3,FALSE)+C169)*3&gt;Liturgien!$C$11,"Liturgiekenntnis-Wert zu niedrig!",""))</f>
        <v/>
      </c>
      <c r="I169" s="1649"/>
      <c r="J169" s="307"/>
      <c r="K169" s="307"/>
      <c r="L169" s="307"/>
      <c r="M169" s="307"/>
      <c r="N169" s="268">
        <f t="shared" si="134"/>
        <v>0</v>
      </c>
      <c r="O169" s="268">
        <f t="shared" si="135"/>
        <v>0</v>
      </c>
      <c r="P169" s="268">
        <f t="shared" si="136"/>
        <v>0</v>
      </c>
      <c r="Q169" s="268">
        <f t="shared" si="137"/>
        <v>0</v>
      </c>
      <c r="R169" s="25"/>
      <c r="S169" s="305"/>
      <c r="T169" s="305"/>
      <c r="U169" s="268">
        <f t="shared" si="138"/>
        <v>0</v>
      </c>
      <c r="V169" s="25"/>
    </row>
    <row r="170" spans="1:22" x14ac:dyDescent="0.2">
      <c r="A170" s="373"/>
      <c r="B170" s="332" t="str">
        <f t="shared" si="131"/>
        <v/>
      </c>
      <c r="C170" s="323" t="str">
        <f t="shared" si="132"/>
        <v/>
      </c>
      <c r="D170" s="332" t="str">
        <f t="shared" si="133"/>
        <v/>
      </c>
      <c r="E170" s="26"/>
      <c r="F170" s="26"/>
      <c r="G170" s="26"/>
      <c r="H170" s="372" t="str">
        <f ca="1">IF(OR(A170="",Liturgien!$C$11=""),"",IF((VLOOKUP(A170,Liturgien_all,3,FALSE)+C170)*3&gt;Liturgien!$C$11,"Liturgiekenntnis-Wert zu niedrig!",""))</f>
        <v/>
      </c>
      <c r="I170" s="1649"/>
      <c r="J170" s="307"/>
      <c r="K170" s="307"/>
      <c r="L170" s="307"/>
      <c r="M170" s="307"/>
      <c r="N170" s="268">
        <f t="shared" si="134"/>
        <v>0</v>
      </c>
      <c r="O170" s="268">
        <f t="shared" si="135"/>
        <v>0</v>
      </c>
      <c r="P170" s="268">
        <f t="shared" si="136"/>
        <v>0</v>
      </c>
      <c r="Q170" s="268">
        <f t="shared" si="137"/>
        <v>0</v>
      </c>
      <c r="R170" s="25"/>
      <c r="S170" s="305"/>
      <c r="T170" s="305"/>
      <c r="U170" s="268">
        <f t="shared" si="138"/>
        <v>0</v>
      </c>
      <c r="V170" s="25"/>
    </row>
    <row r="171" spans="1:22" x14ac:dyDescent="0.2">
      <c r="A171" s="373"/>
      <c r="B171" s="332" t="str">
        <f t="shared" si="131"/>
        <v/>
      </c>
      <c r="C171" s="323" t="str">
        <f t="shared" si="132"/>
        <v/>
      </c>
      <c r="D171" s="332" t="str">
        <f t="shared" si="133"/>
        <v/>
      </c>
      <c r="E171" s="26"/>
      <c r="F171" s="26"/>
      <c r="G171" s="26"/>
      <c r="H171" s="372" t="str">
        <f ca="1">IF(OR(A171="",Liturgien!$C$11=""),"",IF((VLOOKUP(A171,Liturgien_all,3,FALSE)+C171)*3&gt;Liturgien!$C$11,"Liturgiekenntnis-Wert zu niedrig!",""))</f>
        <v/>
      </c>
      <c r="I171" s="1649"/>
      <c r="J171" s="307"/>
      <c r="K171" s="307"/>
      <c r="L171" s="307"/>
      <c r="M171" s="307"/>
      <c r="N171" s="268">
        <f t="shared" si="134"/>
        <v>0</v>
      </c>
      <c r="O171" s="268">
        <f t="shared" si="135"/>
        <v>0</v>
      </c>
      <c r="P171" s="268">
        <f t="shared" si="136"/>
        <v>0</v>
      </c>
      <c r="Q171" s="268">
        <f t="shared" si="137"/>
        <v>0</v>
      </c>
      <c r="R171" s="25"/>
      <c r="S171" s="305"/>
      <c r="T171" s="305"/>
      <c r="U171" s="268">
        <f t="shared" si="138"/>
        <v>0</v>
      </c>
      <c r="V171" s="25"/>
    </row>
    <row r="172" spans="1:22" x14ac:dyDescent="0.2">
      <c r="A172" s="25"/>
      <c r="B172" s="25"/>
      <c r="C172" s="25"/>
      <c r="D172" s="25"/>
      <c r="E172" s="26"/>
      <c r="F172" s="26"/>
      <c r="G172" s="26"/>
      <c r="H172" s="25"/>
      <c r="I172" s="25"/>
      <c r="J172" s="25"/>
      <c r="K172" s="25"/>
      <c r="L172" s="25"/>
      <c r="M172" s="25"/>
      <c r="N172" s="313"/>
      <c r="O172" s="25"/>
      <c r="P172" s="25"/>
      <c r="Q172" s="25"/>
      <c r="R172" s="305"/>
      <c r="S172" s="305"/>
      <c r="T172" s="305"/>
      <c r="U172" s="25"/>
    </row>
    <row r="173" spans="1:22" ht="99.75" x14ac:dyDescent="0.2">
      <c r="B173" s="308" t="s">
        <v>1400</v>
      </c>
      <c r="C173" s="303" t="s">
        <v>4633</v>
      </c>
      <c r="D173" s="316" t="s">
        <v>1326</v>
      </c>
      <c r="E173" s="383" t="s">
        <v>294</v>
      </c>
      <c r="F173" s="328" t="s">
        <v>3792</v>
      </c>
      <c r="G173" s="382" t="s">
        <v>1071</v>
      </c>
      <c r="I173" s="268"/>
      <c r="J173" s="268"/>
      <c r="K173" s="268"/>
      <c r="L173" s="268"/>
      <c r="M173" s="268"/>
      <c r="N173" s="268"/>
      <c r="O173" s="268"/>
      <c r="P173" s="154" t="s">
        <v>3808</v>
      </c>
      <c r="Q173" s="25"/>
      <c r="R173" s="268"/>
      <c r="S173" s="268"/>
      <c r="T173" s="268"/>
      <c r="U173" s="25"/>
    </row>
    <row r="174" spans="1:22" x14ac:dyDescent="0.2">
      <c r="A174" s="180" t="s">
        <v>117</v>
      </c>
      <c r="B174" s="25"/>
      <c r="C174" s="25"/>
      <c r="D174" s="25"/>
      <c r="E174" s="26"/>
      <c r="F174" s="26"/>
      <c r="G174" s="26"/>
      <c r="H174" s="25" t="str">
        <f ca="1">IF(APGUT&lt;0,"Keine AP mehr übrig!",IF(TL_GP_UEBRIG&lt;0,"Keine Start-AP mehr übrig!","▼ Fehlermeldungen ▼  "&amp;"(AP: "&amp;APGUT&amp;")"))</f>
        <v>▼ Fehlermeldungen ▼  (AP: 0)</v>
      </c>
      <c r="I174" s="25"/>
      <c r="J174" s="25"/>
      <c r="K174" s="25"/>
      <c r="L174" s="25"/>
      <c r="M174" s="25"/>
      <c r="N174" s="313"/>
      <c r="O174" s="25"/>
      <c r="P174" s="25"/>
      <c r="Q174" s="25">
        <f>ROW()</f>
        <v>174</v>
      </c>
      <c r="R174" s="305"/>
      <c r="S174" s="305"/>
      <c r="T174" s="305"/>
      <c r="U174" s="25"/>
    </row>
    <row r="175" spans="1:22" x14ac:dyDescent="0.2">
      <c r="A175" s="24" t="str">
        <f>INDEX(Schamanen_Rituale,ROW()-$Q$174)</f>
        <v xml:space="preserve">Abvenum </v>
      </c>
      <c r="B175" s="332" t="str">
        <f>IF(EXACT(PROFGEBGENE,"Goetter"),IF(EXACT(UPPER(HLOOKUP(PROFGENE,PROFGOET,$P175,FALSE)),"X"),"x",""),"")</f>
        <v/>
      </c>
      <c r="C175" s="323" t="str">
        <f>IF(EXACT(PROFGEBGENE,"Goetter"),IF(EXACT(UPPER(HLOOKUP(PROFGENE,PROFGOET,$P175,FALSE)),"V"),"x",""),"")</f>
        <v/>
      </c>
      <c r="D175" s="317" t="str">
        <f t="shared" ref="D175:D206" ca="1" si="139">IF($I$14="","",IF(NOT(ISERR(FIND($I$14,IF(NOT($A175=""),VLOOKUP($A175,Schamanen_Rituale_all,11,FALSE),"")))),"x",IF($I$20="","",IF(NOT(ISERR(FIND($I$20,VLOOKUP($A175,Schamanen_Rituale_all,11,FALSE)))),"x",""))))</f>
        <v/>
      </c>
      <c r="E175" s="384"/>
      <c r="F175" s="960"/>
      <c r="G175" s="324"/>
      <c r="H175" s="372" t="str">
        <f t="shared" ref="H175:H206" ca="1" si="140">IF(OR(A175="",$I$14=""),"",IF(OR(UPPER(E175)="X",UPPER(F175)="X",UPPER(G175)="X"),IF(VLOOKUP(A175,Schamanen_Rituale_all,3,FALSE)*2&gt;IF(VLOOKUP(A175,Schamanen_Rituale_all,5,FALSE)="rufen",SUM($B$15,$E$15,$G$15),IF(VLOOKUP(A175,Schamanen_Rituale_all,5,FALSE)="bannen",SUM($B$16,$E$16,$G$16),IF(VLOOKUP(A175,Schamanen_Rituale_all,5,FALSE)="binden",SUM($B$17,$E$17,$G$17),IF(VLOOKUP(A175,Schamanen_Rituale_all,5,FALSE)="aufnehmen",SUM($B$18,$E$18,$G$18),0)))),"Ritualkenntnis-Wert zu niedrig!",""),""))</f>
        <v/>
      </c>
      <c r="I175" s="268" t="str">
        <f>IF(OR(UPPER(B175)="X",UPPER(E175)="X",UPPER(F175)="X",UPPER(G175)="X"),A175&amp;",","")</f>
        <v/>
      </c>
      <c r="J175" s="268" t="str">
        <f ca="1">I14</f>
        <v/>
      </c>
      <c r="K175" s="268"/>
      <c r="L175" s="268"/>
      <c r="M175" s="268"/>
      <c r="N175" s="268"/>
      <c r="O175" s="268"/>
      <c r="P175" s="268">
        <f>IDX_SCHA</f>
        <v>716</v>
      </c>
      <c r="Q175" s="25"/>
      <c r="R175" s="268">
        <f t="shared" ref="R175:R206" si="141">IF(AND(NOT(EXACT($A175,"")),UPPER(E175)="X"),ROUND(VLOOKUP($A175,Schamanen_Rituale_all,9,FALSE)*IF(UPPER(C175)="X",0.5,1),0),0)</f>
        <v>0</v>
      </c>
      <c r="S175" s="268">
        <f t="shared" ref="S175:S206" si="142">IF(AND(NOT(EXACT($A175,"")),UPPER(F175)="X"),ROUND(VLOOKUP($A175,Schamanen_Rituale_all,10,FALSE)*IF(UPPER(C175)="X",0.5,1),0),0)</f>
        <v>0</v>
      </c>
      <c r="T175" s="268">
        <f t="shared" ref="T175:T206" si="143">IF(AND(NOT(EXACT($A175,"")),UPPER(G175)="X"),ROUND(VLOOKUP($A175,Schamanen_Rituale_all,10,FALSE)*IF(UPPER(C175)="X",0.5,1),0),0)</f>
        <v>0</v>
      </c>
      <c r="U175" s="25"/>
    </row>
    <row r="176" spans="1:22" x14ac:dyDescent="0.2">
      <c r="A176" s="24" t="str">
        <f t="shared" ref="A176:A239" si="144">INDEX(Schamanen_Rituale,ROW()-$Q$174)</f>
        <v xml:space="preserve">Adlerschwinge </v>
      </c>
      <c r="B176" s="332" t="str">
        <f t="shared" ref="B176:B239" si="145">IF(EXACT(PROFGEBGENE,"Goetter"),IF(EXACT(UPPER(HLOOKUP(PROFGENE,PROFGOET,$P176,FALSE)),"X"),"x",""),"")</f>
        <v/>
      </c>
      <c r="C176" s="323" t="str">
        <f t="shared" ref="C176:C239" si="146">IF(EXACT(PROFGEBGENE,"Goetter"),IF(EXACT(UPPER(HLOOKUP(PROFGENE,PROFGOET,$P176,FALSE)),"V"),"x",""),"")</f>
        <v/>
      </c>
      <c r="D176" s="317" t="str">
        <f t="shared" ca="1" si="139"/>
        <v/>
      </c>
      <c r="E176" s="384"/>
      <c r="F176" s="960"/>
      <c r="G176" s="324"/>
      <c r="H176" s="372" t="str">
        <f t="shared" ca="1" si="140"/>
        <v/>
      </c>
      <c r="I176" s="268" t="str">
        <f>IF(OR(UPPER(B176)="X",UPPER(E176)="X",UPPER(F176)="X",UPPER(G176)="X"),A176&amp;",","")</f>
        <v/>
      </c>
      <c r="J176" s="268"/>
      <c r="K176" s="268"/>
      <c r="L176" s="268"/>
      <c r="M176" s="268"/>
      <c r="N176" s="268"/>
      <c r="O176" s="268"/>
      <c r="P176" s="268">
        <f>P175+1</f>
        <v>717</v>
      </c>
      <c r="Q176" s="25"/>
      <c r="R176" s="268">
        <f t="shared" si="141"/>
        <v>0</v>
      </c>
      <c r="S176" s="268">
        <f t="shared" si="142"/>
        <v>0</v>
      </c>
      <c r="T176" s="268">
        <f t="shared" si="143"/>
        <v>0</v>
      </c>
      <c r="U176" s="25"/>
    </row>
    <row r="177" spans="1:21" x14ac:dyDescent="0.2">
      <c r="A177" s="24" t="str">
        <f t="shared" si="144"/>
        <v xml:space="preserve">Arngrims Höhle </v>
      </c>
      <c r="B177" s="332" t="str">
        <f t="shared" si="145"/>
        <v/>
      </c>
      <c r="C177" s="323" t="str">
        <f t="shared" si="146"/>
        <v/>
      </c>
      <c r="D177" s="317" t="str">
        <f t="shared" ca="1" si="139"/>
        <v/>
      </c>
      <c r="E177" s="384"/>
      <c r="F177" s="960"/>
      <c r="G177" s="324"/>
      <c r="H177" s="372" t="str">
        <f t="shared" ca="1" si="140"/>
        <v/>
      </c>
      <c r="I177" s="268" t="str">
        <f t="shared" ref="I177:I240" si="147">IF(OR(UPPER(B177)="X",UPPER(E177)="X",UPPER(F177)="X",UPPER(G177)="X"),A177&amp;",","")</f>
        <v/>
      </c>
      <c r="J177" s="268"/>
      <c r="K177" s="268"/>
      <c r="L177" s="268"/>
      <c r="M177" s="268"/>
      <c r="N177" s="268"/>
      <c r="O177" s="268"/>
      <c r="P177" s="268">
        <f t="shared" ref="P177:P240" si="148">P176+1</f>
        <v>718</v>
      </c>
      <c r="Q177" s="25"/>
      <c r="R177" s="268">
        <f t="shared" si="141"/>
        <v>0</v>
      </c>
      <c r="S177" s="268">
        <f t="shared" si="142"/>
        <v>0</v>
      </c>
      <c r="T177" s="268">
        <f t="shared" si="143"/>
        <v>0</v>
      </c>
      <c r="U177" s="25"/>
    </row>
    <row r="178" spans="1:21" x14ac:dyDescent="0.2">
      <c r="A178" s="24" t="str">
        <f t="shared" si="144"/>
        <v xml:space="preserve">Attributo </v>
      </c>
      <c r="B178" s="332" t="str">
        <f t="shared" si="145"/>
        <v/>
      </c>
      <c r="C178" s="323" t="str">
        <f t="shared" si="146"/>
        <v/>
      </c>
      <c r="D178" s="317" t="str">
        <f t="shared" ca="1" si="139"/>
        <v/>
      </c>
      <c r="E178" s="384"/>
      <c r="F178" s="960"/>
      <c r="G178" s="324"/>
      <c r="H178" s="372" t="str">
        <f t="shared" ca="1" si="140"/>
        <v/>
      </c>
      <c r="I178" s="268" t="str">
        <f t="shared" si="147"/>
        <v/>
      </c>
      <c r="J178" s="268"/>
      <c r="K178" s="268"/>
      <c r="L178" s="268"/>
      <c r="M178" s="268"/>
      <c r="N178" s="268"/>
      <c r="O178" s="268"/>
      <c r="P178" s="268">
        <f t="shared" si="148"/>
        <v>719</v>
      </c>
      <c r="Q178" s="25"/>
      <c r="R178" s="268">
        <f t="shared" si="141"/>
        <v>0</v>
      </c>
      <c r="S178" s="268">
        <f t="shared" si="142"/>
        <v>0</v>
      </c>
      <c r="T178" s="268">
        <f t="shared" si="143"/>
        <v>0</v>
      </c>
      <c r="U178" s="25"/>
    </row>
    <row r="179" spans="1:21" x14ac:dyDescent="0.2">
      <c r="A179" s="24" t="str">
        <f t="shared" si="144"/>
        <v xml:space="preserve">Aufmerksamer Wächter </v>
      </c>
      <c r="B179" s="332" t="str">
        <f t="shared" si="145"/>
        <v/>
      </c>
      <c r="C179" s="323" t="str">
        <f t="shared" si="146"/>
        <v/>
      </c>
      <c r="D179" s="317" t="str">
        <f t="shared" ca="1" si="139"/>
        <v/>
      </c>
      <c r="E179" s="384"/>
      <c r="F179" s="960"/>
      <c r="G179" s="324"/>
      <c r="H179" s="372" t="str">
        <f t="shared" ca="1" si="140"/>
        <v/>
      </c>
      <c r="I179" s="268" t="str">
        <f t="shared" si="147"/>
        <v/>
      </c>
      <c r="J179" s="268"/>
      <c r="K179" s="268"/>
      <c r="L179" s="268"/>
      <c r="M179" s="268"/>
      <c r="N179" s="268"/>
      <c r="O179" s="268"/>
      <c r="P179" s="268">
        <f t="shared" si="148"/>
        <v>720</v>
      </c>
      <c r="Q179" s="25"/>
      <c r="R179" s="268">
        <f t="shared" si="141"/>
        <v>0</v>
      </c>
      <c r="S179" s="268">
        <f t="shared" si="142"/>
        <v>0</v>
      </c>
      <c r="T179" s="268">
        <f t="shared" si="143"/>
        <v>0</v>
      </c>
      <c r="U179" s="25"/>
    </row>
    <row r="180" spans="1:21" x14ac:dyDescent="0.2">
      <c r="A180" s="24" t="str">
        <f t="shared" si="144"/>
        <v xml:space="preserve">Blick in die Vergangenheit </v>
      </c>
      <c r="B180" s="332" t="str">
        <f t="shared" si="145"/>
        <v/>
      </c>
      <c r="C180" s="323" t="str">
        <f t="shared" si="146"/>
        <v/>
      </c>
      <c r="D180" s="317" t="str">
        <f t="shared" ca="1" si="139"/>
        <v/>
      </c>
      <c r="E180" s="384"/>
      <c r="F180" s="960"/>
      <c r="G180" s="324"/>
      <c r="H180" s="372" t="str">
        <f t="shared" ca="1" si="140"/>
        <v/>
      </c>
      <c r="I180" s="268" t="str">
        <f t="shared" si="147"/>
        <v/>
      </c>
      <c r="J180" s="268"/>
      <c r="K180" s="268"/>
      <c r="L180" s="268"/>
      <c r="M180" s="268"/>
      <c r="N180" s="268"/>
      <c r="O180" s="268"/>
      <c r="P180" s="268">
        <f t="shared" si="148"/>
        <v>721</v>
      </c>
      <c r="Q180" s="25"/>
      <c r="R180" s="268">
        <f t="shared" si="141"/>
        <v>0</v>
      </c>
      <c r="S180" s="268">
        <f t="shared" si="142"/>
        <v>0</v>
      </c>
      <c r="T180" s="268">
        <f t="shared" si="143"/>
        <v>0</v>
      </c>
      <c r="U180" s="25"/>
    </row>
    <row r="181" spans="1:21" x14ac:dyDescent="0.2">
      <c r="A181" s="24" t="str">
        <f t="shared" si="144"/>
        <v xml:space="preserve">Blick in Liskas Auge </v>
      </c>
      <c r="B181" s="332" t="str">
        <f t="shared" si="145"/>
        <v/>
      </c>
      <c r="C181" s="323" t="str">
        <f t="shared" si="146"/>
        <v/>
      </c>
      <c r="D181" s="317" t="str">
        <f t="shared" ca="1" si="139"/>
        <v/>
      </c>
      <c r="E181" s="384"/>
      <c r="F181" s="960"/>
      <c r="G181" s="324"/>
      <c r="H181" s="372" t="str">
        <f t="shared" ca="1" si="140"/>
        <v/>
      </c>
      <c r="I181" s="268" t="str">
        <f t="shared" si="147"/>
        <v/>
      </c>
      <c r="J181" s="268"/>
      <c r="K181" s="268"/>
      <c r="L181" s="268"/>
      <c r="M181" s="268"/>
      <c r="N181" s="268"/>
      <c r="O181" s="268"/>
      <c r="P181" s="268">
        <f t="shared" si="148"/>
        <v>722</v>
      </c>
      <c r="Q181" s="25"/>
      <c r="R181" s="268">
        <f t="shared" si="141"/>
        <v>0</v>
      </c>
      <c r="S181" s="268">
        <f t="shared" si="142"/>
        <v>0</v>
      </c>
      <c r="T181" s="268">
        <f t="shared" si="143"/>
        <v>0</v>
      </c>
      <c r="U181" s="25"/>
    </row>
    <row r="182" spans="1:21" x14ac:dyDescent="0.2">
      <c r="A182" s="24" t="str">
        <f t="shared" si="144"/>
        <v xml:space="preserve">Blick ins Geisterreich </v>
      </c>
      <c r="B182" s="332" t="str">
        <f t="shared" si="145"/>
        <v/>
      </c>
      <c r="C182" s="323" t="str">
        <f t="shared" si="146"/>
        <v/>
      </c>
      <c r="D182" s="317" t="str">
        <f t="shared" ca="1" si="139"/>
        <v/>
      </c>
      <c r="E182" s="384"/>
      <c r="F182" s="960"/>
      <c r="G182" s="324"/>
      <c r="H182" s="372" t="str">
        <f t="shared" ca="1" si="140"/>
        <v/>
      </c>
      <c r="I182" s="268" t="str">
        <f t="shared" si="147"/>
        <v/>
      </c>
      <c r="J182" s="268"/>
      <c r="K182" s="268"/>
      <c r="L182" s="268"/>
      <c r="M182" s="268"/>
      <c r="N182" s="268"/>
      <c r="O182" s="268"/>
      <c r="P182" s="268">
        <f t="shared" si="148"/>
        <v>723</v>
      </c>
      <c r="Q182" s="25"/>
      <c r="R182" s="268">
        <f t="shared" si="141"/>
        <v>0</v>
      </c>
      <c r="S182" s="268">
        <f t="shared" si="142"/>
        <v>0</v>
      </c>
      <c r="T182" s="268">
        <f t="shared" si="143"/>
        <v>0</v>
      </c>
      <c r="U182" s="25"/>
    </row>
    <row r="183" spans="1:21" x14ac:dyDescent="0.2">
      <c r="A183" s="24" t="str">
        <f t="shared" si="144"/>
        <v xml:space="preserve">Blutsbund </v>
      </c>
      <c r="B183" s="332" t="str">
        <f t="shared" si="145"/>
        <v/>
      </c>
      <c r="C183" s="323" t="str">
        <f t="shared" si="146"/>
        <v/>
      </c>
      <c r="D183" s="317" t="str">
        <f t="shared" ca="1" si="139"/>
        <v/>
      </c>
      <c r="E183" s="384"/>
      <c r="F183" s="960"/>
      <c r="G183" s="324"/>
      <c r="H183" s="372" t="str">
        <f t="shared" ca="1" si="140"/>
        <v/>
      </c>
      <c r="I183" s="268" t="str">
        <f t="shared" si="147"/>
        <v/>
      </c>
      <c r="J183" s="268"/>
      <c r="K183" s="268"/>
      <c r="L183" s="268"/>
      <c r="M183" s="268"/>
      <c r="N183" s="268"/>
      <c r="O183" s="268"/>
      <c r="P183" s="268">
        <f t="shared" si="148"/>
        <v>724</v>
      </c>
      <c r="Q183" s="25"/>
      <c r="R183" s="268">
        <f t="shared" si="141"/>
        <v>0</v>
      </c>
      <c r="S183" s="268">
        <f t="shared" si="142"/>
        <v>0</v>
      </c>
      <c r="T183" s="268">
        <f t="shared" si="143"/>
        <v>0</v>
      </c>
      <c r="U183" s="25"/>
    </row>
    <row r="184" spans="1:21" x14ac:dyDescent="0.2">
      <c r="A184" s="24" t="str">
        <f t="shared" si="144"/>
        <v xml:space="preserve">Brazoragh Ghorkai - Brazoraghs Hieb </v>
      </c>
      <c r="B184" s="332" t="str">
        <f t="shared" si="145"/>
        <v/>
      </c>
      <c r="C184" s="323" t="str">
        <f t="shared" si="146"/>
        <v/>
      </c>
      <c r="D184" s="317" t="str">
        <f t="shared" ca="1" si="139"/>
        <v/>
      </c>
      <c r="E184" s="384"/>
      <c r="F184" s="960"/>
      <c r="G184" s="324"/>
      <c r="H184" s="372" t="str">
        <f t="shared" ca="1" si="140"/>
        <v/>
      </c>
      <c r="I184" s="268" t="str">
        <f t="shared" si="147"/>
        <v/>
      </c>
      <c r="J184" s="268"/>
      <c r="K184" s="268"/>
      <c r="L184" s="268"/>
      <c r="M184" s="268"/>
      <c r="N184" s="268"/>
      <c r="O184" s="268"/>
      <c r="P184" s="268">
        <f t="shared" si="148"/>
        <v>725</v>
      </c>
      <c r="Q184" s="25"/>
      <c r="R184" s="268">
        <f t="shared" si="141"/>
        <v>0</v>
      </c>
      <c r="S184" s="268">
        <f t="shared" si="142"/>
        <v>0</v>
      </c>
      <c r="T184" s="268">
        <f t="shared" si="143"/>
        <v>0</v>
      </c>
      <c r="U184" s="25"/>
    </row>
    <row r="185" spans="1:21" x14ac:dyDescent="0.2">
      <c r="A185" s="24" t="str">
        <f t="shared" si="144"/>
        <v xml:space="preserve">Ergochai Tairachi </v>
      </c>
      <c r="B185" s="332" t="str">
        <f t="shared" si="145"/>
        <v/>
      </c>
      <c r="C185" s="323" t="str">
        <f t="shared" si="146"/>
        <v/>
      </c>
      <c r="D185" s="317" t="str">
        <f t="shared" ca="1" si="139"/>
        <v/>
      </c>
      <c r="E185" s="384"/>
      <c r="F185" s="960"/>
      <c r="G185" s="324"/>
      <c r="H185" s="372" t="str">
        <f t="shared" ca="1" si="140"/>
        <v/>
      </c>
      <c r="I185" s="268" t="str">
        <f t="shared" si="147"/>
        <v/>
      </c>
      <c r="J185" s="268"/>
      <c r="K185" s="268"/>
      <c r="L185" s="268"/>
      <c r="M185" s="268"/>
      <c r="N185" s="268"/>
      <c r="O185" s="268"/>
      <c r="P185" s="268">
        <f t="shared" si="148"/>
        <v>726</v>
      </c>
      <c r="Q185" s="25"/>
      <c r="R185" s="268">
        <f t="shared" si="141"/>
        <v>0</v>
      </c>
      <c r="S185" s="268">
        <f t="shared" si="142"/>
        <v>0</v>
      </c>
      <c r="T185" s="268">
        <f t="shared" si="143"/>
        <v>0</v>
      </c>
      <c r="U185" s="25"/>
    </row>
    <row r="186" spans="1:21" x14ac:dyDescent="0.2">
      <c r="A186" s="24" t="str">
        <f t="shared" si="144"/>
        <v xml:space="preserve">Exorzismus </v>
      </c>
      <c r="B186" s="332" t="str">
        <f t="shared" si="145"/>
        <v/>
      </c>
      <c r="C186" s="323" t="str">
        <f t="shared" si="146"/>
        <v/>
      </c>
      <c r="D186" s="317" t="str">
        <f t="shared" ca="1" si="139"/>
        <v/>
      </c>
      <c r="E186" s="384"/>
      <c r="F186" s="960"/>
      <c r="G186" s="324"/>
      <c r="H186" s="372" t="str">
        <f t="shared" ca="1" si="140"/>
        <v/>
      </c>
      <c r="I186" s="268" t="str">
        <f t="shared" si="147"/>
        <v/>
      </c>
      <c r="J186" s="268"/>
      <c r="K186" s="268"/>
      <c r="L186" s="268"/>
      <c r="M186" s="268"/>
      <c r="N186" s="268"/>
      <c r="O186" s="268"/>
      <c r="P186" s="268">
        <f t="shared" si="148"/>
        <v>727</v>
      </c>
      <c r="Q186" s="25"/>
      <c r="R186" s="268">
        <f t="shared" si="141"/>
        <v>0</v>
      </c>
      <c r="S186" s="268">
        <f t="shared" si="142"/>
        <v>0</v>
      </c>
      <c r="T186" s="268">
        <f t="shared" si="143"/>
        <v>0</v>
      </c>
      <c r="U186" s="25"/>
    </row>
    <row r="187" spans="1:21" x14ac:dyDescent="0.2">
      <c r="A187" s="24" t="str">
        <f t="shared" si="144"/>
        <v xml:space="preserve">Farben des Krieges </v>
      </c>
      <c r="B187" s="332" t="str">
        <f t="shared" si="145"/>
        <v/>
      </c>
      <c r="C187" s="323" t="str">
        <f t="shared" si="146"/>
        <v/>
      </c>
      <c r="D187" s="317" t="str">
        <f t="shared" ca="1" si="139"/>
        <v/>
      </c>
      <c r="E187" s="384"/>
      <c r="F187" s="960"/>
      <c r="G187" s="324"/>
      <c r="H187" s="372" t="str">
        <f t="shared" ca="1" si="140"/>
        <v/>
      </c>
      <c r="I187" s="268" t="str">
        <f t="shared" si="147"/>
        <v/>
      </c>
      <c r="J187" s="268"/>
      <c r="K187" s="268"/>
      <c r="L187" s="268"/>
      <c r="M187" s="268"/>
      <c r="N187" s="268"/>
      <c r="O187" s="268"/>
      <c r="P187" s="268">
        <f t="shared" si="148"/>
        <v>728</v>
      </c>
      <c r="Q187" s="25"/>
      <c r="R187" s="268">
        <f t="shared" si="141"/>
        <v>0</v>
      </c>
      <c r="S187" s="268">
        <f t="shared" si="142"/>
        <v>0</v>
      </c>
      <c r="T187" s="268">
        <f t="shared" si="143"/>
        <v>0</v>
      </c>
      <c r="U187" s="25"/>
    </row>
    <row r="188" spans="1:21" x14ac:dyDescent="0.2">
      <c r="A188" s="24" t="str">
        <f t="shared" si="144"/>
        <v xml:space="preserve">Fluch der Pestilenz </v>
      </c>
      <c r="B188" s="332" t="str">
        <f t="shared" si="145"/>
        <v/>
      </c>
      <c r="C188" s="323" t="str">
        <f t="shared" si="146"/>
        <v/>
      </c>
      <c r="D188" s="317" t="str">
        <f t="shared" ca="1" si="139"/>
        <v/>
      </c>
      <c r="E188" s="384"/>
      <c r="F188" s="960"/>
      <c r="G188" s="324"/>
      <c r="H188" s="372" t="str">
        <f t="shared" ca="1" si="140"/>
        <v/>
      </c>
      <c r="I188" s="268" t="str">
        <f t="shared" si="147"/>
        <v/>
      </c>
      <c r="J188" s="268"/>
      <c r="K188" s="268"/>
      <c r="L188" s="268"/>
      <c r="M188" s="268"/>
      <c r="N188" s="268"/>
      <c r="O188" s="268"/>
      <c r="P188" s="268">
        <f t="shared" si="148"/>
        <v>729</v>
      </c>
      <c r="Q188" s="25"/>
      <c r="R188" s="268">
        <f t="shared" si="141"/>
        <v>0</v>
      </c>
      <c r="S188" s="268">
        <f t="shared" si="142"/>
        <v>0</v>
      </c>
      <c r="T188" s="268">
        <f t="shared" si="143"/>
        <v>0</v>
      </c>
      <c r="U188" s="25"/>
    </row>
    <row r="189" spans="1:21" x14ac:dyDescent="0.2">
      <c r="A189" s="24" t="str">
        <f t="shared" si="144"/>
        <v xml:space="preserve">Fluch der Verwirrung </v>
      </c>
      <c r="B189" s="332" t="str">
        <f t="shared" si="145"/>
        <v/>
      </c>
      <c r="C189" s="323" t="str">
        <f t="shared" si="146"/>
        <v/>
      </c>
      <c r="D189" s="317" t="str">
        <f t="shared" ca="1" si="139"/>
        <v/>
      </c>
      <c r="E189" s="384"/>
      <c r="F189" s="960"/>
      <c r="G189" s="324"/>
      <c r="H189" s="372" t="str">
        <f t="shared" ca="1" si="140"/>
        <v/>
      </c>
      <c r="I189" s="268" t="str">
        <f t="shared" si="147"/>
        <v/>
      </c>
      <c r="J189" s="268"/>
      <c r="K189" s="268"/>
      <c r="L189" s="268"/>
      <c r="M189" s="268"/>
      <c r="N189" s="268"/>
      <c r="O189" s="268"/>
      <c r="P189" s="268">
        <f t="shared" si="148"/>
        <v>730</v>
      </c>
      <c r="Q189" s="25"/>
      <c r="R189" s="268">
        <f t="shared" si="141"/>
        <v>0</v>
      </c>
      <c r="S189" s="268">
        <f t="shared" si="142"/>
        <v>0</v>
      </c>
      <c r="T189" s="268">
        <f t="shared" si="143"/>
        <v>0</v>
      </c>
      <c r="U189" s="25"/>
    </row>
    <row r="190" spans="1:21" x14ac:dyDescent="0.2">
      <c r="A190" s="24" t="str">
        <f t="shared" si="144"/>
        <v xml:space="preserve">Freie Seelenfahrt </v>
      </c>
      <c r="B190" s="332" t="str">
        <f t="shared" si="145"/>
        <v/>
      </c>
      <c r="C190" s="323" t="str">
        <f t="shared" si="146"/>
        <v/>
      </c>
      <c r="D190" s="317" t="str">
        <f t="shared" ca="1" si="139"/>
        <v/>
      </c>
      <c r="E190" s="384"/>
      <c r="F190" s="960"/>
      <c r="G190" s="324"/>
      <c r="H190" s="372" t="str">
        <f t="shared" ca="1" si="140"/>
        <v/>
      </c>
      <c r="I190" s="268" t="str">
        <f t="shared" si="147"/>
        <v/>
      </c>
      <c r="J190" s="268"/>
      <c r="K190" s="268"/>
      <c r="L190" s="268"/>
      <c r="M190" s="268"/>
      <c r="N190" s="268"/>
      <c r="O190" s="268"/>
      <c r="P190" s="268">
        <f t="shared" si="148"/>
        <v>731</v>
      </c>
      <c r="Q190" s="25"/>
      <c r="R190" s="268">
        <f t="shared" si="141"/>
        <v>0</v>
      </c>
      <c r="S190" s="268">
        <f t="shared" si="142"/>
        <v>0</v>
      </c>
      <c r="T190" s="268">
        <f t="shared" si="143"/>
        <v>0</v>
      </c>
      <c r="U190" s="25"/>
    </row>
    <row r="191" spans="1:21" x14ac:dyDescent="0.2">
      <c r="A191" s="24" t="str">
        <f t="shared" si="144"/>
        <v xml:space="preserve">Gaben der Erde </v>
      </c>
      <c r="B191" s="332" t="str">
        <f t="shared" si="145"/>
        <v/>
      </c>
      <c r="C191" s="323" t="str">
        <f t="shared" si="146"/>
        <v/>
      </c>
      <c r="D191" s="317" t="str">
        <f t="shared" ca="1" si="139"/>
        <v/>
      </c>
      <c r="E191" s="384"/>
      <c r="F191" s="960"/>
      <c r="G191" s="324"/>
      <c r="H191" s="372" t="str">
        <f t="shared" ca="1" si="140"/>
        <v/>
      </c>
      <c r="I191" s="268" t="str">
        <f t="shared" si="147"/>
        <v/>
      </c>
      <c r="J191" s="268"/>
      <c r="K191" s="268"/>
      <c r="L191" s="268"/>
      <c r="M191" s="268"/>
      <c r="N191" s="268"/>
      <c r="O191" s="268"/>
      <c r="P191" s="268">
        <f t="shared" si="148"/>
        <v>732</v>
      </c>
      <c r="Q191" s="25"/>
      <c r="R191" s="268">
        <f t="shared" si="141"/>
        <v>0</v>
      </c>
      <c r="S191" s="268">
        <f t="shared" si="142"/>
        <v>0</v>
      </c>
      <c r="T191" s="268">
        <f t="shared" si="143"/>
        <v>0</v>
      </c>
      <c r="U191" s="25"/>
    </row>
    <row r="192" spans="1:21" x14ac:dyDescent="0.2">
      <c r="A192" s="24" t="str">
        <f t="shared" si="144"/>
        <v xml:space="preserve">Geisterbote </v>
      </c>
      <c r="B192" s="332" t="str">
        <f t="shared" si="145"/>
        <v/>
      </c>
      <c r="C192" s="323" t="str">
        <f t="shared" si="146"/>
        <v/>
      </c>
      <c r="D192" s="317" t="str">
        <f t="shared" ca="1" si="139"/>
        <v/>
      </c>
      <c r="E192" s="384"/>
      <c r="F192" s="960"/>
      <c r="G192" s="324"/>
      <c r="H192" s="372" t="str">
        <f t="shared" ca="1" si="140"/>
        <v/>
      </c>
      <c r="I192" s="268" t="str">
        <f t="shared" si="147"/>
        <v/>
      </c>
      <c r="J192" s="268"/>
      <c r="K192" s="268"/>
      <c r="L192" s="268"/>
      <c r="M192" s="268"/>
      <c r="N192" s="268"/>
      <c r="O192" s="268"/>
      <c r="P192" s="268">
        <f t="shared" si="148"/>
        <v>733</v>
      </c>
      <c r="Q192" s="25"/>
      <c r="R192" s="268">
        <f t="shared" si="141"/>
        <v>0</v>
      </c>
      <c r="S192" s="268">
        <f t="shared" si="142"/>
        <v>0</v>
      </c>
      <c r="T192" s="268">
        <f t="shared" si="143"/>
        <v>0</v>
      </c>
      <c r="U192" s="25"/>
    </row>
    <row r="193" spans="1:21" x14ac:dyDescent="0.2">
      <c r="A193" s="24" t="str">
        <f t="shared" si="144"/>
        <v xml:space="preserve">Geisterkerker </v>
      </c>
      <c r="B193" s="332" t="str">
        <f t="shared" si="145"/>
        <v/>
      </c>
      <c r="C193" s="323" t="str">
        <f t="shared" si="146"/>
        <v/>
      </c>
      <c r="D193" s="317" t="str">
        <f t="shared" ca="1" si="139"/>
        <v/>
      </c>
      <c r="E193" s="384"/>
      <c r="F193" s="960"/>
      <c r="G193" s="324"/>
      <c r="H193" s="372" t="str">
        <f t="shared" ca="1" si="140"/>
        <v/>
      </c>
      <c r="I193" s="268" t="str">
        <f t="shared" si="147"/>
        <v/>
      </c>
      <c r="J193" s="268"/>
      <c r="K193" s="268"/>
      <c r="L193" s="268"/>
      <c r="M193" s="268"/>
      <c r="N193" s="268"/>
      <c r="O193" s="268"/>
      <c r="P193" s="268">
        <f t="shared" si="148"/>
        <v>734</v>
      </c>
      <c r="Q193" s="25"/>
      <c r="R193" s="268">
        <f t="shared" si="141"/>
        <v>0</v>
      </c>
      <c r="S193" s="268">
        <f t="shared" si="142"/>
        <v>0</v>
      </c>
      <c r="T193" s="268">
        <f t="shared" si="143"/>
        <v>0</v>
      </c>
      <c r="U193" s="25"/>
    </row>
    <row r="194" spans="1:21" x14ac:dyDescent="0.2">
      <c r="A194" s="24" t="str">
        <f t="shared" si="144"/>
        <v xml:space="preserve">Geistheilung </v>
      </c>
      <c r="B194" s="332" t="str">
        <f t="shared" si="145"/>
        <v/>
      </c>
      <c r="C194" s="323" t="str">
        <f t="shared" si="146"/>
        <v/>
      </c>
      <c r="D194" s="317" t="str">
        <f t="shared" ca="1" si="139"/>
        <v/>
      </c>
      <c r="E194" s="384"/>
      <c r="F194" s="960"/>
      <c r="G194" s="324"/>
      <c r="H194" s="372" t="str">
        <f t="shared" ca="1" si="140"/>
        <v/>
      </c>
      <c r="I194" s="268" t="str">
        <f t="shared" si="147"/>
        <v/>
      </c>
      <c r="J194" s="268"/>
      <c r="K194" s="268"/>
      <c r="L194" s="268"/>
      <c r="M194" s="268"/>
      <c r="N194" s="268"/>
      <c r="O194" s="268"/>
      <c r="P194" s="268">
        <f t="shared" si="148"/>
        <v>735</v>
      </c>
      <c r="Q194" s="25"/>
      <c r="R194" s="268">
        <f t="shared" si="141"/>
        <v>0</v>
      </c>
      <c r="S194" s="268">
        <f t="shared" si="142"/>
        <v>0</v>
      </c>
      <c r="T194" s="268">
        <f t="shared" si="143"/>
        <v>0</v>
      </c>
      <c r="U194" s="25"/>
    </row>
    <row r="195" spans="1:21" x14ac:dyDescent="0.2">
      <c r="A195" s="24" t="str">
        <f t="shared" si="144"/>
        <v xml:space="preserve">Geleit des Nipakau </v>
      </c>
      <c r="B195" s="332" t="str">
        <f t="shared" si="145"/>
        <v/>
      </c>
      <c r="C195" s="323" t="str">
        <f t="shared" si="146"/>
        <v/>
      </c>
      <c r="D195" s="317" t="str">
        <f t="shared" ca="1" si="139"/>
        <v/>
      </c>
      <c r="E195" s="384"/>
      <c r="F195" s="960"/>
      <c r="G195" s="324"/>
      <c r="H195" s="372" t="str">
        <f t="shared" ca="1" si="140"/>
        <v/>
      </c>
      <c r="I195" s="268" t="str">
        <f t="shared" si="147"/>
        <v/>
      </c>
      <c r="J195" s="268"/>
      <c r="K195" s="268"/>
      <c r="L195" s="268"/>
      <c r="M195" s="268"/>
      <c r="N195" s="268"/>
      <c r="O195" s="268"/>
      <c r="P195" s="268">
        <f t="shared" si="148"/>
        <v>736</v>
      </c>
      <c r="Q195" s="25"/>
      <c r="R195" s="268">
        <f t="shared" si="141"/>
        <v>0</v>
      </c>
      <c r="S195" s="268">
        <f t="shared" si="142"/>
        <v>0</v>
      </c>
      <c r="T195" s="268">
        <f t="shared" si="143"/>
        <v>0</v>
      </c>
      <c r="U195" s="25"/>
    </row>
    <row r="196" spans="1:21" x14ac:dyDescent="0.2">
      <c r="A196" s="24" t="str">
        <f t="shared" si="144"/>
        <v xml:space="preserve">Gesang der Wölfe </v>
      </c>
      <c r="B196" s="332" t="str">
        <f t="shared" si="145"/>
        <v/>
      </c>
      <c r="C196" s="323" t="str">
        <f t="shared" si="146"/>
        <v/>
      </c>
      <c r="D196" s="317" t="str">
        <f t="shared" ca="1" si="139"/>
        <v/>
      </c>
      <c r="E196" s="384"/>
      <c r="F196" s="960"/>
      <c r="G196" s="324"/>
      <c r="H196" s="372" t="str">
        <f t="shared" ca="1" si="140"/>
        <v/>
      </c>
      <c r="I196" s="268" t="str">
        <f t="shared" si="147"/>
        <v/>
      </c>
      <c r="J196" s="268"/>
      <c r="K196" s="268"/>
      <c r="L196" s="268"/>
      <c r="M196" s="268"/>
      <c r="N196" s="268"/>
      <c r="O196" s="268"/>
      <c r="P196" s="268">
        <f t="shared" si="148"/>
        <v>737</v>
      </c>
      <c r="Q196" s="25"/>
      <c r="R196" s="268">
        <f t="shared" si="141"/>
        <v>0</v>
      </c>
      <c r="S196" s="268">
        <f t="shared" si="142"/>
        <v>0</v>
      </c>
      <c r="T196" s="268">
        <f t="shared" si="143"/>
        <v>0</v>
      </c>
      <c r="U196" s="25"/>
    </row>
    <row r="197" spans="1:21" x14ac:dyDescent="0.2">
      <c r="A197" s="24" t="str">
        <f t="shared" si="144"/>
        <v xml:space="preserve">Gharyak Maruki </v>
      </c>
      <c r="B197" s="332" t="str">
        <f t="shared" si="145"/>
        <v/>
      </c>
      <c r="C197" s="323" t="str">
        <f t="shared" si="146"/>
        <v/>
      </c>
      <c r="D197" s="317" t="str">
        <f t="shared" ca="1" si="139"/>
        <v/>
      </c>
      <c r="E197" s="384"/>
      <c r="F197" s="960"/>
      <c r="G197" s="324"/>
      <c r="H197" s="372" t="str">
        <f t="shared" ca="1" si="140"/>
        <v/>
      </c>
      <c r="I197" s="268" t="str">
        <f t="shared" si="147"/>
        <v/>
      </c>
      <c r="J197" s="268"/>
      <c r="K197" s="268"/>
      <c r="L197" s="268"/>
      <c r="M197" s="268"/>
      <c r="N197" s="268"/>
      <c r="O197" s="268"/>
      <c r="P197" s="268">
        <f t="shared" si="148"/>
        <v>738</v>
      </c>
      <c r="Q197" s="25"/>
      <c r="R197" s="268">
        <f t="shared" si="141"/>
        <v>0</v>
      </c>
      <c r="S197" s="268">
        <f t="shared" si="142"/>
        <v>0</v>
      </c>
      <c r="T197" s="268">
        <f t="shared" si="143"/>
        <v>0</v>
      </c>
      <c r="U197" s="25"/>
    </row>
    <row r="198" spans="1:21" x14ac:dyDescent="0.2">
      <c r="A198" s="24" t="str">
        <f t="shared" si="144"/>
        <v>Großer Geisterbann</v>
      </c>
      <c r="B198" s="332" t="str">
        <f t="shared" si="145"/>
        <v/>
      </c>
      <c r="C198" s="323" t="str">
        <f t="shared" si="146"/>
        <v/>
      </c>
      <c r="D198" s="317" t="str">
        <f t="shared" ca="1" si="139"/>
        <v/>
      </c>
      <c r="E198" s="384"/>
      <c r="F198" s="960"/>
      <c r="G198" s="324"/>
      <c r="H198" s="372" t="str">
        <f t="shared" ca="1" si="140"/>
        <v/>
      </c>
      <c r="I198" s="268" t="str">
        <f t="shared" si="147"/>
        <v/>
      </c>
      <c r="J198" s="268"/>
      <c r="K198" s="268"/>
      <c r="L198" s="268"/>
      <c r="M198" s="268"/>
      <c r="N198" s="268"/>
      <c r="O198" s="268"/>
      <c r="P198" s="268">
        <f t="shared" si="148"/>
        <v>739</v>
      </c>
      <c r="Q198" s="25"/>
      <c r="R198" s="268">
        <f t="shared" si="141"/>
        <v>0</v>
      </c>
      <c r="S198" s="268">
        <f t="shared" si="142"/>
        <v>0</v>
      </c>
      <c r="T198" s="268">
        <f t="shared" si="143"/>
        <v>0</v>
      </c>
      <c r="U198" s="25"/>
    </row>
    <row r="199" spans="1:21" x14ac:dyDescent="0.2">
      <c r="A199" s="24" t="str">
        <f t="shared" si="144"/>
        <v xml:space="preserve">Hairuf </v>
      </c>
      <c r="B199" s="332" t="str">
        <f t="shared" si="145"/>
        <v/>
      </c>
      <c r="C199" s="323" t="str">
        <f t="shared" si="146"/>
        <v/>
      </c>
      <c r="D199" s="317" t="str">
        <f t="shared" ca="1" si="139"/>
        <v/>
      </c>
      <c r="E199" s="384"/>
      <c r="F199" s="960"/>
      <c r="G199" s="324"/>
      <c r="H199" s="372" t="str">
        <f t="shared" ca="1" si="140"/>
        <v/>
      </c>
      <c r="I199" s="268" t="str">
        <f t="shared" si="147"/>
        <v/>
      </c>
      <c r="J199" s="268"/>
      <c r="K199" s="268"/>
      <c r="L199" s="268"/>
      <c r="M199" s="268"/>
      <c r="N199" s="268"/>
      <c r="O199" s="268"/>
      <c r="P199" s="268">
        <f t="shared" si="148"/>
        <v>740</v>
      </c>
      <c r="Q199" s="25"/>
      <c r="R199" s="268">
        <f t="shared" si="141"/>
        <v>0</v>
      </c>
      <c r="S199" s="268">
        <f t="shared" si="142"/>
        <v>0</v>
      </c>
      <c r="T199" s="268">
        <f t="shared" si="143"/>
        <v>0</v>
      </c>
      <c r="U199" s="25"/>
    </row>
    <row r="200" spans="1:21" x14ac:dyDescent="0.2">
      <c r="A200" s="24" t="str">
        <f t="shared" si="144"/>
        <v xml:space="preserve">Halluzination </v>
      </c>
      <c r="B200" s="332" t="str">
        <f t="shared" si="145"/>
        <v/>
      </c>
      <c r="C200" s="323" t="str">
        <f t="shared" si="146"/>
        <v/>
      </c>
      <c r="D200" s="317" t="str">
        <f t="shared" ca="1" si="139"/>
        <v/>
      </c>
      <c r="E200" s="384"/>
      <c r="F200" s="960"/>
      <c r="G200" s="324"/>
      <c r="H200" s="372" t="str">
        <f t="shared" ca="1" si="140"/>
        <v/>
      </c>
      <c r="I200" s="268" t="str">
        <f t="shared" si="147"/>
        <v/>
      </c>
      <c r="J200" s="268"/>
      <c r="K200" s="268"/>
      <c r="L200" s="268"/>
      <c r="M200" s="268"/>
      <c r="N200" s="268"/>
      <c r="O200" s="268"/>
      <c r="P200" s="268">
        <f t="shared" si="148"/>
        <v>741</v>
      </c>
      <c r="Q200" s="25"/>
      <c r="R200" s="268">
        <f t="shared" si="141"/>
        <v>0</v>
      </c>
      <c r="S200" s="268">
        <f t="shared" si="142"/>
        <v>0</v>
      </c>
      <c r="T200" s="268">
        <f t="shared" si="143"/>
        <v>0</v>
      </c>
      <c r="U200" s="25"/>
    </row>
    <row r="201" spans="1:21" x14ac:dyDescent="0.2">
      <c r="A201" s="24" t="str">
        <f t="shared" si="144"/>
        <v xml:space="preserve">Harmlose Gestalt </v>
      </c>
      <c r="B201" s="332" t="str">
        <f t="shared" si="145"/>
        <v/>
      </c>
      <c r="C201" s="323" t="str">
        <f t="shared" si="146"/>
        <v/>
      </c>
      <c r="D201" s="317" t="str">
        <f t="shared" ca="1" si="139"/>
        <v/>
      </c>
      <c r="E201" s="384"/>
      <c r="F201" s="960"/>
      <c r="G201" s="324"/>
      <c r="H201" s="372" t="str">
        <f t="shared" ca="1" si="140"/>
        <v/>
      </c>
      <c r="I201" s="268" t="str">
        <f t="shared" si="147"/>
        <v/>
      </c>
      <c r="J201" s="268"/>
      <c r="K201" s="268"/>
      <c r="L201" s="268"/>
      <c r="M201" s="268"/>
      <c r="N201" s="268"/>
      <c r="O201" s="268"/>
      <c r="P201" s="268">
        <f t="shared" si="148"/>
        <v>742</v>
      </c>
      <c r="Q201" s="25"/>
      <c r="R201" s="268">
        <f t="shared" si="141"/>
        <v>0</v>
      </c>
      <c r="S201" s="268">
        <f t="shared" si="142"/>
        <v>0</v>
      </c>
      <c r="T201" s="268">
        <f t="shared" si="143"/>
        <v>0</v>
      </c>
      <c r="U201" s="25"/>
    </row>
    <row r="202" spans="1:21" x14ac:dyDescent="0.2">
      <c r="A202" s="24" t="str">
        <f t="shared" si="144"/>
        <v xml:space="preserve">Haselbusch </v>
      </c>
      <c r="B202" s="332" t="str">
        <f t="shared" si="145"/>
        <v/>
      </c>
      <c r="C202" s="323" t="str">
        <f t="shared" si="146"/>
        <v/>
      </c>
      <c r="D202" s="317" t="str">
        <f t="shared" ca="1" si="139"/>
        <v/>
      </c>
      <c r="E202" s="384"/>
      <c r="F202" s="960"/>
      <c r="G202" s="324"/>
      <c r="H202" s="372" t="str">
        <f t="shared" ca="1" si="140"/>
        <v/>
      </c>
      <c r="I202" s="268" t="str">
        <f t="shared" si="147"/>
        <v/>
      </c>
      <c r="J202" s="268"/>
      <c r="K202" s="268"/>
      <c r="L202" s="268"/>
      <c r="M202" s="268"/>
      <c r="N202" s="268"/>
      <c r="O202" s="268"/>
      <c r="P202" s="268">
        <f t="shared" si="148"/>
        <v>743</v>
      </c>
      <c r="Q202" s="25"/>
      <c r="R202" s="268">
        <f t="shared" si="141"/>
        <v>0</v>
      </c>
      <c r="S202" s="268">
        <f t="shared" si="142"/>
        <v>0</v>
      </c>
      <c r="T202" s="268">
        <f t="shared" si="143"/>
        <v>0</v>
      </c>
      <c r="U202" s="25"/>
    </row>
    <row r="203" spans="1:21" x14ac:dyDescent="0.2">
      <c r="A203" s="24" t="str">
        <f t="shared" si="144"/>
        <v xml:space="preserve">Hauch des Elements </v>
      </c>
      <c r="B203" s="332" t="str">
        <f t="shared" si="145"/>
        <v/>
      </c>
      <c r="C203" s="323" t="str">
        <f t="shared" si="146"/>
        <v/>
      </c>
      <c r="D203" s="317" t="str">
        <f t="shared" ca="1" si="139"/>
        <v/>
      </c>
      <c r="E203" s="384"/>
      <c r="F203" s="960"/>
      <c r="G203" s="324"/>
      <c r="H203" s="372" t="str">
        <f t="shared" ca="1" si="140"/>
        <v/>
      </c>
      <c r="I203" s="268" t="str">
        <f t="shared" si="147"/>
        <v/>
      </c>
      <c r="J203" s="268"/>
      <c r="K203" s="268"/>
      <c r="L203" s="268"/>
      <c r="M203" s="268"/>
      <c r="N203" s="268"/>
      <c r="O203" s="268"/>
      <c r="P203" s="268">
        <f t="shared" si="148"/>
        <v>744</v>
      </c>
      <c r="Q203" s="25"/>
      <c r="R203" s="268">
        <f t="shared" si="141"/>
        <v>0</v>
      </c>
      <c r="S203" s="268">
        <f t="shared" si="142"/>
        <v>0</v>
      </c>
      <c r="T203" s="268">
        <f t="shared" si="143"/>
        <v>0</v>
      </c>
      <c r="U203" s="25"/>
    </row>
    <row r="204" spans="1:21" x14ac:dyDescent="0.2">
      <c r="A204" s="24" t="str">
        <f t="shared" si="144"/>
        <v xml:space="preserve">Heimführung der Herde </v>
      </c>
      <c r="B204" s="332" t="str">
        <f t="shared" si="145"/>
        <v/>
      </c>
      <c r="C204" s="323" t="str">
        <f t="shared" si="146"/>
        <v/>
      </c>
      <c r="D204" s="317" t="str">
        <f t="shared" ca="1" si="139"/>
        <v/>
      </c>
      <c r="E204" s="384"/>
      <c r="F204" s="960"/>
      <c r="G204" s="324"/>
      <c r="H204" s="372" t="str">
        <f t="shared" ca="1" si="140"/>
        <v/>
      </c>
      <c r="I204" s="268" t="str">
        <f t="shared" si="147"/>
        <v/>
      </c>
      <c r="J204" s="268"/>
      <c r="K204" s="268"/>
      <c r="L204" s="268"/>
      <c r="M204" s="268"/>
      <c r="N204" s="268"/>
      <c r="O204" s="268"/>
      <c r="P204" s="268">
        <f t="shared" si="148"/>
        <v>745</v>
      </c>
      <c r="Q204" s="25"/>
      <c r="R204" s="268">
        <f t="shared" si="141"/>
        <v>0</v>
      </c>
      <c r="S204" s="268">
        <f t="shared" si="142"/>
        <v>0</v>
      </c>
      <c r="T204" s="268">
        <f t="shared" si="143"/>
        <v>0</v>
      </c>
      <c r="U204" s="25"/>
    </row>
    <row r="205" spans="1:21" x14ac:dyDescent="0.2">
      <c r="A205" s="24" t="str">
        <f t="shared" si="144"/>
        <v xml:space="preserve">Herr über das Tierreich </v>
      </c>
      <c r="B205" s="332" t="str">
        <f t="shared" si="145"/>
        <v/>
      </c>
      <c r="C205" s="323" t="str">
        <f t="shared" si="146"/>
        <v/>
      </c>
      <c r="D205" s="317" t="str">
        <f t="shared" ca="1" si="139"/>
        <v/>
      </c>
      <c r="E205" s="384"/>
      <c r="F205" s="960"/>
      <c r="G205" s="324"/>
      <c r="H205" s="372" t="str">
        <f t="shared" ca="1" si="140"/>
        <v/>
      </c>
      <c r="I205" s="268" t="str">
        <f t="shared" si="147"/>
        <v/>
      </c>
      <c r="J205" s="268"/>
      <c r="K205" s="268"/>
      <c r="L205" s="268"/>
      <c r="M205" s="268"/>
      <c r="N205" s="268"/>
      <c r="O205" s="268"/>
      <c r="P205" s="268">
        <f t="shared" si="148"/>
        <v>746</v>
      </c>
      <c r="Q205" s="25"/>
      <c r="R205" s="268">
        <f t="shared" si="141"/>
        <v>0</v>
      </c>
      <c r="S205" s="268">
        <f t="shared" si="142"/>
        <v>0</v>
      </c>
      <c r="T205" s="268">
        <f t="shared" si="143"/>
        <v>0</v>
      </c>
      <c r="U205" s="25"/>
    </row>
    <row r="206" spans="1:21" x14ac:dyDescent="0.2">
      <c r="A206" s="24" t="str">
        <f t="shared" si="144"/>
        <v xml:space="preserve">Herz des Tieres </v>
      </c>
      <c r="B206" s="332" t="str">
        <f t="shared" si="145"/>
        <v/>
      </c>
      <c r="C206" s="323" t="str">
        <f t="shared" si="146"/>
        <v/>
      </c>
      <c r="D206" s="317" t="str">
        <f t="shared" ca="1" si="139"/>
        <v/>
      </c>
      <c r="E206" s="384"/>
      <c r="F206" s="960"/>
      <c r="G206" s="324"/>
      <c r="H206" s="372" t="str">
        <f t="shared" ca="1" si="140"/>
        <v/>
      </c>
      <c r="I206" s="268" t="str">
        <f t="shared" si="147"/>
        <v/>
      </c>
      <c r="J206" s="268"/>
      <c r="K206" s="268"/>
      <c r="L206" s="268"/>
      <c r="M206" s="268"/>
      <c r="N206" s="268"/>
      <c r="O206" s="268"/>
      <c r="P206" s="268">
        <f t="shared" si="148"/>
        <v>747</v>
      </c>
      <c r="Q206" s="25"/>
      <c r="R206" s="268">
        <f t="shared" si="141"/>
        <v>0</v>
      </c>
      <c r="S206" s="268">
        <f t="shared" si="142"/>
        <v>0</v>
      </c>
      <c r="T206" s="268">
        <f t="shared" si="143"/>
        <v>0</v>
      </c>
      <c r="U206" s="25"/>
    </row>
    <row r="207" spans="1:21" x14ac:dyDescent="0.2">
      <c r="A207" s="24" t="str">
        <f t="shared" si="144"/>
        <v xml:space="preserve">Hilferuf </v>
      </c>
      <c r="B207" s="332" t="str">
        <f t="shared" si="145"/>
        <v/>
      </c>
      <c r="C207" s="323" t="str">
        <f t="shared" si="146"/>
        <v/>
      </c>
      <c r="D207" s="317" t="str">
        <f t="shared" ref="D207:D238" ca="1" si="149">IF($I$14="","",IF(NOT(ISERR(FIND($I$14,IF(NOT($A207=""),VLOOKUP($A207,Schamanen_Rituale_all,11,FALSE),"")))),"x",IF($I$20="","",IF(NOT(ISERR(FIND($I$20,VLOOKUP($A207,Schamanen_Rituale_all,11,FALSE)))),"x",""))))</f>
        <v/>
      </c>
      <c r="E207" s="384"/>
      <c r="F207" s="960"/>
      <c r="G207" s="324"/>
      <c r="H207" s="372" t="str">
        <f t="shared" ref="H207:H238" ca="1" si="150">IF(OR(A207="",$I$14=""),"",IF(OR(UPPER(E207)="X",UPPER(F207)="X",UPPER(G207)="X"),IF(VLOOKUP(A207,Schamanen_Rituale_all,3,FALSE)*2&gt;IF(VLOOKUP(A207,Schamanen_Rituale_all,5,FALSE)="rufen",SUM($B$15,$E$15,$G$15),IF(VLOOKUP(A207,Schamanen_Rituale_all,5,FALSE)="bannen",SUM($B$16,$E$16,$G$16),IF(VLOOKUP(A207,Schamanen_Rituale_all,5,FALSE)="binden",SUM($B$17,$E$17,$G$17),IF(VLOOKUP(A207,Schamanen_Rituale_all,5,FALSE)="aufnehmen",SUM($B$18,$E$18,$G$18),0)))),"Ritualkenntnis-Wert zu niedrig!",""),""))</f>
        <v/>
      </c>
      <c r="I207" s="268" t="str">
        <f t="shared" si="147"/>
        <v/>
      </c>
      <c r="J207" s="268"/>
      <c r="K207" s="268"/>
      <c r="L207" s="268"/>
      <c r="M207" s="268"/>
      <c r="N207" s="268"/>
      <c r="O207" s="268"/>
      <c r="P207" s="268">
        <f t="shared" si="148"/>
        <v>748</v>
      </c>
      <c r="Q207" s="25"/>
      <c r="R207" s="268">
        <f t="shared" ref="R207:R238" si="151">IF(AND(NOT(EXACT($A207,"")),UPPER(E207)="X"),ROUND(VLOOKUP($A207,Schamanen_Rituale_all,9,FALSE)*IF(UPPER(C207)="X",0.5,1),0),0)</f>
        <v>0</v>
      </c>
      <c r="S207" s="268">
        <f t="shared" ref="S207:S238" si="152">IF(AND(NOT(EXACT($A207,"")),UPPER(F207)="X"),ROUND(VLOOKUP($A207,Schamanen_Rituale_all,10,FALSE)*IF(UPPER(C207)="X",0.5,1),0),0)</f>
        <v>0</v>
      </c>
      <c r="T207" s="268">
        <f t="shared" ref="T207:T238" si="153">IF(AND(NOT(EXACT($A207,"")),UPPER(G207)="X"),ROUND(VLOOKUP($A207,Schamanen_Rituale_all,10,FALSE)*IF(UPPER(C207)="X",0.5,1),0),0)</f>
        <v>0</v>
      </c>
      <c r="U207" s="25"/>
    </row>
    <row r="208" spans="1:21" x14ac:dyDescent="0.2">
      <c r="A208" s="24" t="str">
        <f t="shared" si="144"/>
        <v xml:space="preserve">Invicatio Minor </v>
      </c>
      <c r="B208" s="332" t="str">
        <f t="shared" si="145"/>
        <v/>
      </c>
      <c r="C208" s="323" t="str">
        <f t="shared" si="146"/>
        <v/>
      </c>
      <c r="D208" s="317" t="str">
        <f t="shared" ca="1" si="149"/>
        <v/>
      </c>
      <c r="E208" s="384"/>
      <c r="F208" s="960"/>
      <c r="G208" s="324"/>
      <c r="H208" s="372" t="str">
        <f t="shared" ca="1" si="150"/>
        <v/>
      </c>
      <c r="I208" s="268" t="str">
        <f t="shared" si="147"/>
        <v/>
      </c>
      <c r="J208" s="268"/>
      <c r="K208" s="268"/>
      <c r="L208" s="268"/>
      <c r="M208" s="268"/>
      <c r="N208" s="268"/>
      <c r="O208" s="268"/>
      <c r="P208" s="268">
        <f t="shared" si="148"/>
        <v>749</v>
      </c>
      <c r="Q208" s="25"/>
      <c r="R208" s="268">
        <f t="shared" si="151"/>
        <v>0</v>
      </c>
      <c r="S208" s="268">
        <f t="shared" si="152"/>
        <v>0</v>
      </c>
      <c r="T208" s="268">
        <f t="shared" si="153"/>
        <v>0</v>
      </c>
      <c r="U208" s="25"/>
    </row>
    <row r="209" spans="1:21" x14ac:dyDescent="0.2">
      <c r="A209" s="24" t="str">
        <f t="shared" si="144"/>
        <v xml:space="preserve">Jagdfieber </v>
      </c>
      <c r="B209" s="332" t="str">
        <f t="shared" si="145"/>
        <v/>
      </c>
      <c r="C209" s="323" t="str">
        <f t="shared" si="146"/>
        <v/>
      </c>
      <c r="D209" s="317" t="str">
        <f t="shared" ca="1" si="149"/>
        <v/>
      </c>
      <c r="E209" s="384"/>
      <c r="F209" s="960"/>
      <c r="G209" s="324"/>
      <c r="H209" s="372" t="str">
        <f t="shared" ca="1" si="150"/>
        <v/>
      </c>
      <c r="I209" s="268" t="str">
        <f t="shared" si="147"/>
        <v/>
      </c>
      <c r="J209" s="268"/>
      <c r="K209" s="268"/>
      <c r="L209" s="268"/>
      <c r="M209" s="268"/>
      <c r="N209" s="268"/>
      <c r="O209" s="268"/>
      <c r="P209" s="268">
        <f t="shared" si="148"/>
        <v>750</v>
      </c>
      <c r="Q209" s="25"/>
      <c r="R209" s="268">
        <f t="shared" si="151"/>
        <v>0</v>
      </c>
      <c r="S209" s="268">
        <f t="shared" si="152"/>
        <v>0</v>
      </c>
      <c r="T209" s="268">
        <f t="shared" si="153"/>
        <v>0</v>
      </c>
      <c r="U209" s="25"/>
    </row>
    <row r="210" spans="1:21" x14ac:dyDescent="0.2">
      <c r="A210" s="24" t="str">
        <f t="shared" si="144"/>
        <v xml:space="preserve">Khurkachai Tairachi -Tairachs Krieger </v>
      </c>
      <c r="B210" s="332" t="str">
        <f t="shared" si="145"/>
        <v/>
      </c>
      <c r="C210" s="323" t="str">
        <f t="shared" si="146"/>
        <v/>
      </c>
      <c r="D210" s="317" t="str">
        <f t="shared" ca="1" si="149"/>
        <v/>
      </c>
      <c r="E210" s="384"/>
      <c r="F210" s="960"/>
      <c r="G210" s="324"/>
      <c r="H210" s="372" t="str">
        <f t="shared" ca="1" si="150"/>
        <v/>
      </c>
      <c r="I210" s="268" t="str">
        <f t="shared" si="147"/>
        <v/>
      </c>
      <c r="J210" s="268"/>
      <c r="K210" s="268"/>
      <c r="L210" s="268"/>
      <c r="M210" s="268"/>
      <c r="N210" s="268"/>
      <c r="O210" s="268"/>
      <c r="P210" s="268">
        <f t="shared" si="148"/>
        <v>751</v>
      </c>
      <c r="Q210" s="25"/>
      <c r="R210" s="268">
        <f t="shared" si="151"/>
        <v>0</v>
      </c>
      <c r="S210" s="268">
        <f t="shared" si="152"/>
        <v>0</v>
      </c>
      <c r="T210" s="268">
        <f t="shared" si="153"/>
        <v>0</v>
      </c>
      <c r="U210" s="25"/>
    </row>
    <row r="211" spans="1:21" x14ac:dyDescent="0.2">
      <c r="A211" s="24" t="str">
        <f t="shared" si="144"/>
        <v xml:space="preserve">Kraft des Thayas </v>
      </c>
      <c r="B211" s="332" t="str">
        <f t="shared" si="145"/>
        <v/>
      </c>
      <c r="C211" s="323" t="str">
        <f t="shared" si="146"/>
        <v/>
      </c>
      <c r="D211" s="317" t="str">
        <f t="shared" ca="1" si="149"/>
        <v/>
      </c>
      <c r="E211" s="384"/>
      <c r="F211" s="960"/>
      <c r="G211" s="324"/>
      <c r="H211" s="372" t="str">
        <f t="shared" ca="1" si="150"/>
        <v/>
      </c>
      <c r="I211" s="268" t="str">
        <f t="shared" si="147"/>
        <v/>
      </c>
      <c r="J211" s="268"/>
      <c r="K211" s="268"/>
      <c r="L211" s="268"/>
      <c r="M211" s="268"/>
      <c r="N211" s="268"/>
      <c r="O211" s="268"/>
      <c r="P211" s="268">
        <f t="shared" si="148"/>
        <v>752</v>
      </c>
      <c r="Q211" s="25"/>
      <c r="R211" s="268">
        <f t="shared" si="151"/>
        <v>0</v>
      </c>
      <c r="S211" s="268">
        <f t="shared" si="152"/>
        <v>0</v>
      </c>
      <c r="T211" s="268">
        <f t="shared" si="153"/>
        <v>0</v>
      </c>
      <c r="U211" s="25"/>
    </row>
    <row r="212" spans="1:21" x14ac:dyDescent="0.2">
      <c r="A212" s="24" t="str">
        <f t="shared" si="144"/>
        <v xml:space="preserve">Kraft des Tieres </v>
      </c>
      <c r="B212" s="332" t="str">
        <f t="shared" si="145"/>
        <v/>
      </c>
      <c r="C212" s="323" t="str">
        <f t="shared" si="146"/>
        <v/>
      </c>
      <c r="D212" s="317" t="str">
        <f t="shared" ca="1" si="149"/>
        <v/>
      </c>
      <c r="E212" s="384"/>
      <c r="F212" s="960"/>
      <c r="G212" s="324"/>
      <c r="H212" s="372" t="str">
        <f t="shared" ca="1" si="150"/>
        <v/>
      </c>
      <c r="I212" s="268" t="str">
        <f t="shared" si="147"/>
        <v/>
      </c>
      <c r="J212" s="268"/>
      <c r="K212" s="268"/>
      <c r="L212" s="268"/>
      <c r="M212" s="268"/>
      <c r="N212" s="268"/>
      <c r="O212" s="268"/>
      <c r="P212" s="268">
        <f t="shared" si="148"/>
        <v>753</v>
      </c>
      <c r="Q212" s="25"/>
      <c r="R212" s="268">
        <f t="shared" si="151"/>
        <v>0</v>
      </c>
      <c r="S212" s="268">
        <f t="shared" si="152"/>
        <v>0</v>
      </c>
      <c r="T212" s="268">
        <f t="shared" si="153"/>
        <v>0</v>
      </c>
      <c r="U212" s="25"/>
    </row>
    <row r="213" spans="1:21" x14ac:dyDescent="0.2">
      <c r="A213" s="24" t="str">
        <f t="shared" si="144"/>
        <v>Kristall der Herrschaft</v>
      </c>
      <c r="B213" s="332" t="str">
        <f t="shared" si="145"/>
        <v/>
      </c>
      <c r="C213" s="323" t="str">
        <f t="shared" si="146"/>
        <v/>
      </c>
      <c r="D213" s="317" t="str">
        <f t="shared" ca="1" si="149"/>
        <v/>
      </c>
      <c r="E213" s="384"/>
      <c r="F213" s="960"/>
      <c r="G213" s="324"/>
      <c r="H213" s="372" t="str">
        <f t="shared" ca="1" si="150"/>
        <v/>
      </c>
      <c r="I213" s="268" t="str">
        <f t="shared" si="147"/>
        <v/>
      </c>
      <c r="J213" s="268"/>
      <c r="K213" s="268"/>
      <c r="L213" s="268"/>
      <c r="M213" s="268"/>
      <c r="N213" s="268"/>
      <c r="O213" s="268"/>
      <c r="P213" s="268">
        <f t="shared" si="148"/>
        <v>754</v>
      </c>
      <c r="Q213" s="25"/>
      <c r="R213" s="268">
        <f t="shared" si="151"/>
        <v>0</v>
      </c>
      <c r="S213" s="268">
        <f t="shared" si="152"/>
        <v>0</v>
      </c>
      <c r="T213" s="268">
        <f t="shared" si="153"/>
        <v>0</v>
      </c>
      <c r="U213" s="25"/>
    </row>
    <row r="214" spans="1:21" x14ac:dyDescent="0.2">
      <c r="A214" s="24" t="str">
        <f t="shared" si="144"/>
        <v xml:space="preserve">Kristallkraft bündeln </v>
      </c>
      <c r="B214" s="332" t="str">
        <f t="shared" si="145"/>
        <v/>
      </c>
      <c r="C214" s="323" t="str">
        <f t="shared" si="146"/>
        <v/>
      </c>
      <c r="D214" s="317" t="str">
        <f t="shared" ca="1" si="149"/>
        <v/>
      </c>
      <c r="E214" s="384"/>
      <c r="F214" s="960"/>
      <c r="G214" s="324"/>
      <c r="H214" s="372" t="str">
        <f t="shared" ca="1" si="150"/>
        <v/>
      </c>
      <c r="I214" s="268" t="str">
        <f t="shared" si="147"/>
        <v/>
      </c>
      <c r="J214" s="268"/>
      <c r="K214" s="268"/>
      <c r="L214" s="268"/>
      <c r="M214" s="268"/>
      <c r="N214" s="268"/>
      <c r="O214" s="268"/>
      <c r="P214" s="268">
        <f t="shared" si="148"/>
        <v>755</v>
      </c>
      <c r="Q214" s="25"/>
      <c r="R214" s="268">
        <f t="shared" si="151"/>
        <v>0</v>
      </c>
      <c r="S214" s="268">
        <f t="shared" si="152"/>
        <v>0</v>
      </c>
      <c r="T214" s="268">
        <f t="shared" si="153"/>
        <v>0</v>
      </c>
      <c r="U214" s="25"/>
    </row>
    <row r="215" spans="1:21" x14ac:dyDescent="0.2">
      <c r="A215" s="24" t="str">
        <f t="shared" si="144"/>
        <v xml:space="preserve">M´char Utrak Rikaii - Rikaiis Alchimie </v>
      </c>
      <c r="B215" s="332" t="str">
        <f t="shared" si="145"/>
        <v/>
      </c>
      <c r="C215" s="323" t="str">
        <f t="shared" si="146"/>
        <v/>
      </c>
      <c r="D215" s="317" t="str">
        <f t="shared" ca="1" si="149"/>
        <v/>
      </c>
      <c r="E215" s="384"/>
      <c r="F215" s="960"/>
      <c r="G215" s="324"/>
      <c r="H215" s="372" t="str">
        <f t="shared" ca="1" si="150"/>
        <v/>
      </c>
      <c r="I215" s="268" t="str">
        <f t="shared" si="147"/>
        <v/>
      </c>
      <c r="J215" s="268"/>
      <c r="K215" s="268"/>
      <c r="L215" s="268"/>
      <c r="M215" s="268"/>
      <c r="N215" s="268"/>
      <c r="O215" s="268"/>
      <c r="P215" s="268">
        <f t="shared" si="148"/>
        <v>756</v>
      </c>
      <c r="Q215" s="25"/>
      <c r="R215" s="268">
        <f t="shared" si="151"/>
        <v>0</v>
      </c>
      <c r="S215" s="268">
        <f t="shared" si="152"/>
        <v>0</v>
      </c>
      <c r="T215" s="268">
        <f t="shared" si="153"/>
        <v>0</v>
      </c>
      <c r="U215" s="25"/>
    </row>
    <row r="216" spans="1:21" x14ac:dyDescent="0.2">
      <c r="A216" s="24" t="str">
        <f t="shared" si="144"/>
        <v xml:space="preserve">Macht der Elemente </v>
      </c>
      <c r="B216" s="332" t="str">
        <f t="shared" si="145"/>
        <v/>
      </c>
      <c r="C216" s="323" t="str">
        <f t="shared" si="146"/>
        <v/>
      </c>
      <c r="D216" s="317" t="str">
        <f t="shared" ca="1" si="149"/>
        <v/>
      </c>
      <c r="E216" s="384"/>
      <c r="F216" s="960"/>
      <c r="G216" s="324"/>
      <c r="H216" s="372" t="str">
        <f t="shared" ca="1" si="150"/>
        <v/>
      </c>
      <c r="I216" s="268" t="str">
        <f t="shared" si="147"/>
        <v/>
      </c>
      <c r="J216" s="268"/>
      <c r="K216" s="268"/>
      <c r="L216" s="268"/>
      <c r="M216" s="268"/>
      <c r="N216" s="268"/>
      <c r="O216" s="268"/>
      <c r="P216" s="268">
        <f t="shared" si="148"/>
        <v>757</v>
      </c>
      <c r="Q216" s="25"/>
      <c r="R216" s="268">
        <f t="shared" si="151"/>
        <v>0</v>
      </c>
      <c r="S216" s="268">
        <f t="shared" si="152"/>
        <v>0</v>
      </c>
      <c r="T216" s="268">
        <f t="shared" si="153"/>
        <v>0</v>
      </c>
      <c r="U216" s="25"/>
    </row>
    <row r="217" spans="1:21" x14ac:dyDescent="0.2">
      <c r="A217" s="24" t="str">
        <f t="shared" si="144"/>
        <v xml:space="preserve">Macht des Blutes </v>
      </c>
      <c r="B217" s="332" t="str">
        <f t="shared" si="145"/>
        <v/>
      </c>
      <c r="C217" s="323" t="str">
        <f t="shared" si="146"/>
        <v/>
      </c>
      <c r="D217" s="317" t="str">
        <f t="shared" ca="1" si="149"/>
        <v/>
      </c>
      <c r="E217" s="384"/>
      <c r="F217" s="960"/>
      <c r="G217" s="324"/>
      <c r="H217" s="372" t="str">
        <f t="shared" ca="1" si="150"/>
        <v/>
      </c>
      <c r="I217" s="268" t="str">
        <f t="shared" si="147"/>
        <v/>
      </c>
      <c r="J217" s="268"/>
      <c r="K217" s="268"/>
      <c r="L217" s="268"/>
      <c r="M217" s="268"/>
      <c r="N217" s="268"/>
      <c r="O217" s="268"/>
      <c r="P217" s="268">
        <f t="shared" si="148"/>
        <v>758</v>
      </c>
      <c r="Q217" s="25"/>
      <c r="R217" s="268">
        <f t="shared" si="151"/>
        <v>0</v>
      </c>
      <c r="S217" s="268">
        <f t="shared" si="152"/>
        <v>0</v>
      </c>
      <c r="T217" s="268">
        <f t="shared" si="153"/>
        <v>0</v>
      </c>
      <c r="U217" s="25"/>
    </row>
    <row r="218" spans="1:21" x14ac:dyDescent="0.2">
      <c r="A218" s="24" t="str">
        <f t="shared" si="144"/>
        <v xml:space="preserve">Magischer Raub </v>
      </c>
      <c r="B218" s="332" t="str">
        <f t="shared" si="145"/>
        <v/>
      </c>
      <c r="C218" s="323" t="str">
        <f t="shared" si="146"/>
        <v/>
      </c>
      <c r="D218" s="317" t="str">
        <f t="shared" ca="1" si="149"/>
        <v/>
      </c>
      <c r="E218" s="384"/>
      <c r="F218" s="960"/>
      <c r="G218" s="324"/>
      <c r="H218" s="372" t="str">
        <f t="shared" ca="1" si="150"/>
        <v/>
      </c>
      <c r="I218" s="268" t="str">
        <f t="shared" si="147"/>
        <v/>
      </c>
      <c r="J218" s="268"/>
      <c r="K218" s="268"/>
      <c r="L218" s="268"/>
      <c r="M218" s="268"/>
      <c r="N218" s="268"/>
      <c r="O218" s="268"/>
      <c r="P218" s="268">
        <f t="shared" si="148"/>
        <v>759</v>
      </c>
      <c r="Q218" s="25"/>
      <c r="R218" s="268">
        <f t="shared" si="151"/>
        <v>0</v>
      </c>
      <c r="S218" s="268">
        <f t="shared" si="152"/>
        <v>0</v>
      </c>
      <c r="T218" s="268">
        <f t="shared" si="153"/>
        <v>0</v>
      </c>
      <c r="U218" s="25"/>
    </row>
    <row r="219" spans="1:21" x14ac:dyDescent="0.2">
      <c r="A219" s="24" t="str">
        <f t="shared" si="144"/>
        <v xml:space="preserve">Mailam Rekdais Segen </v>
      </c>
      <c r="B219" s="332" t="str">
        <f t="shared" si="145"/>
        <v/>
      </c>
      <c r="C219" s="323" t="str">
        <f t="shared" si="146"/>
        <v/>
      </c>
      <c r="D219" s="317" t="str">
        <f t="shared" ca="1" si="149"/>
        <v/>
      </c>
      <c r="E219" s="384"/>
      <c r="F219" s="960"/>
      <c r="G219" s="324"/>
      <c r="H219" s="372" t="str">
        <f t="shared" ca="1" si="150"/>
        <v/>
      </c>
      <c r="I219" s="268" t="str">
        <f t="shared" si="147"/>
        <v/>
      </c>
      <c r="J219" s="268"/>
      <c r="K219" s="268"/>
      <c r="L219" s="268"/>
      <c r="M219" s="268"/>
      <c r="N219" s="268"/>
      <c r="O219" s="268"/>
      <c r="P219" s="268">
        <f t="shared" si="148"/>
        <v>760</v>
      </c>
      <c r="Q219" s="25"/>
      <c r="R219" s="268">
        <f t="shared" si="151"/>
        <v>0</v>
      </c>
      <c r="S219" s="268">
        <f t="shared" si="152"/>
        <v>0</v>
      </c>
      <c r="T219" s="268">
        <f t="shared" si="153"/>
        <v>0</v>
      </c>
      <c r="U219" s="25"/>
    </row>
    <row r="220" spans="1:21" x14ac:dyDescent="0.2">
      <c r="A220" s="24" t="str">
        <f t="shared" si="144"/>
        <v xml:space="preserve">Mammutruf </v>
      </c>
      <c r="B220" s="332" t="str">
        <f t="shared" si="145"/>
        <v/>
      </c>
      <c r="C220" s="323" t="str">
        <f t="shared" si="146"/>
        <v/>
      </c>
      <c r="D220" s="317" t="str">
        <f t="shared" ca="1" si="149"/>
        <v/>
      </c>
      <c r="E220" s="384"/>
      <c r="F220" s="960"/>
      <c r="G220" s="324"/>
      <c r="H220" s="372" t="str">
        <f t="shared" ca="1" si="150"/>
        <v/>
      </c>
      <c r="I220" s="268" t="str">
        <f t="shared" si="147"/>
        <v/>
      </c>
      <c r="J220" s="268"/>
      <c r="K220" s="268"/>
      <c r="L220" s="268"/>
      <c r="M220" s="268"/>
      <c r="N220" s="268"/>
      <c r="O220" s="268"/>
      <c r="P220" s="268">
        <f t="shared" si="148"/>
        <v>761</v>
      </c>
      <c r="Q220" s="25"/>
      <c r="R220" s="268">
        <f t="shared" si="151"/>
        <v>0</v>
      </c>
      <c r="S220" s="268">
        <f t="shared" si="152"/>
        <v>0</v>
      </c>
      <c r="T220" s="268">
        <f t="shared" si="153"/>
        <v>0</v>
      </c>
      <c r="U220" s="25"/>
    </row>
    <row r="221" spans="1:21" x14ac:dyDescent="0.2">
      <c r="A221" s="24" t="str">
        <f t="shared" si="144"/>
        <v xml:space="preserve">Manifesto </v>
      </c>
      <c r="B221" s="332" t="str">
        <f t="shared" si="145"/>
        <v/>
      </c>
      <c r="C221" s="323" t="str">
        <f t="shared" si="146"/>
        <v/>
      </c>
      <c r="D221" s="317" t="str">
        <f t="shared" ca="1" si="149"/>
        <v/>
      </c>
      <c r="E221" s="384"/>
      <c r="F221" s="960"/>
      <c r="G221" s="324"/>
      <c r="H221" s="372" t="str">
        <f t="shared" ca="1" si="150"/>
        <v/>
      </c>
      <c r="I221" s="268" t="str">
        <f t="shared" si="147"/>
        <v/>
      </c>
      <c r="J221" s="268"/>
      <c r="K221" s="268"/>
      <c r="L221" s="268"/>
      <c r="M221" s="268"/>
      <c r="N221" s="268"/>
      <c r="O221" s="268"/>
      <c r="P221" s="268">
        <f t="shared" si="148"/>
        <v>762</v>
      </c>
      <c r="Q221" s="25"/>
      <c r="R221" s="268">
        <f t="shared" si="151"/>
        <v>0</v>
      </c>
      <c r="S221" s="268">
        <f t="shared" si="152"/>
        <v>0</v>
      </c>
      <c r="T221" s="268">
        <f t="shared" si="153"/>
        <v>0</v>
      </c>
      <c r="U221" s="25"/>
    </row>
    <row r="222" spans="1:21" x14ac:dyDescent="0.2">
      <c r="A222" s="24" t="str">
        <f t="shared" si="144"/>
        <v>Miniatur der Herrschaft</v>
      </c>
      <c r="B222" s="332" t="str">
        <f t="shared" si="145"/>
        <v/>
      </c>
      <c r="C222" s="323" t="str">
        <f t="shared" si="146"/>
        <v/>
      </c>
      <c r="D222" s="317" t="str">
        <f t="shared" ca="1" si="149"/>
        <v/>
      </c>
      <c r="E222" s="384"/>
      <c r="F222" s="960"/>
      <c r="G222" s="324"/>
      <c r="H222" s="372" t="str">
        <f t="shared" ca="1" si="150"/>
        <v/>
      </c>
      <c r="I222" s="268" t="str">
        <f t="shared" si="147"/>
        <v/>
      </c>
      <c r="J222" s="268"/>
      <c r="K222" s="268"/>
      <c r="L222" s="268"/>
      <c r="M222" s="268"/>
      <c r="N222" s="268"/>
      <c r="O222" s="268"/>
      <c r="P222" s="268">
        <f t="shared" si="148"/>
        <v>763</v>
      </c>
      <c r="Q222" s="25"/>
      <c r="R222" s="268">
        <f t="shared" si="151"/>
        <v>0</v>
      </c>
      <c r="S222" s="268">
        <f t="shared" si="152"/>
        <v>0</v>
      </c>
      <c r="T222" s="268">
        <f t="shared" si="153"/>
        <v>0</v>
      </c>
      <c r="U222" s="25"/>
    </row>
    <row r="223" spans="1:21" x14ac:dyDescent="0.2">
      <c r="A223" s="24" t="str">
        <f t="shared" si="144"/>
        <v xml:space="preserve">Ogerruf </v>
      </c>
      <c r="B223" s="332" t="str">
        <f t="shared" si="145"/>
        <v/>
      </c>
      <c r="C223" s="323" t="str">
        <f t="shared" si="146"/>
        <v/>
      </c>
      <c r="D223" s="317" t="str">
        <f t="shared" ca="1" si="149"/>
        <v/>
      </c>
      <c r="E223" s="384"/>
      <c r="F223" s="960"/>
      <c r="G223" s="324"/>
      <c r="H223" s="372" t="str">
        <f t="shared" ca="1" si="150"/>
        <v/>
      </c>
      <c r="I223" s="268" t="str">
        <f t="shared" si="147"/>
        <v/>
      </c>
      <c r="J223" s="268"/>
      <c r="K223" s="268"/>
      <c r="L223" s="268"/>
      <c r="M223" s="268"/>
      <c r="N223" s="268"/>
      <c r="O223" s="268"/>
      <c r="P223" s="268">
        <f t="shared" si="148"/>
        <v>764</v>
      </c>
      <c r="Q223" s="25"/>
      <c r="R223" s="268">
        <f t="shared" si="151"/>
        <v>0</v>
      </c>
      <c r="S223" s="268">
        <f t="shared" si="152"/>
        <v>0</v>
      </c>
      <c r="T223" s="268">
        <f t="shared" si="153"/>
        <v>0</v>
      </c>
      <c r="U223" s="25"/>
    </row>
    <row r="224" spans="1:21" x14ac:dyDescent="0.2">
      <c r="A224" s="24" t="str">
        <f t="shared" si="144"/>
        <v xml:space="preserve">Pfad der Blutrache </v>
      </c>
      <c r="B224" s="332" t="str">
        <f t="shared" si="145"/>
        <v/>
      </c>
      <c r="C224" s="323" t="str">
        <f t="shared" si="146"/>
        <v/>
      </c>
      <c r="D224" s="317" t="str">
        <f t="shared" ca="1" si="149"/>
        <v/>
      </c>
      <c r="E224" s="384"/>
      <c r="F224" s="960"/>
      <c r="G224" s="324"/>
      <c r="H224" s="372" t="str">
        <f t="shared" ca="1" si="150"/>
        <v/>
      </c>
      <c r="I224" s="268" t="str">
        <f t="shared" si="147"/>
        <v/>
      </c>
      <c r="J224" s="268"/>
      <c r="K224" s="268"/>
      <c r="L224" s="268"/>
      <c r="M224" s="268"/>
      <c r="N224" s="268"/>
      <c r="O224" s="268"/>
      <c r="P224" s="268">
        <f t="shared" si="148"/>
        <v>765</v>
      </c>
      <c r="Q224" s="25"/>
      <c r="R224" s="268">
        <f t="shared" si="151"/>
        <v>0</v>
      </c>
      <c r="S224" s="268">
        <f t="shared" si="152"/>
        <v>0</v>
      </c>
      <c r="T224" s="268">
        <f t="shared" si="153"/>
        <v>0</v>
      </c>
      <c r="U224" s="25"/>
    </row>
    <row r="225" spans="1:21" x14ac:dyDescent="0.2">
      <c r="A225" s="24" t="str">
        <f t="shared" si="144"/>
        <v xml:space="preserve">Rangild und Riskas Hochzeit </v>
      </c>
      <c r="B225" s="332" t="str">
        <f t="shared" si="145"/>
        <v/>
      </c>
      <c r="C225" s="323" t="str">
        <f t="shared" si="146"/>
        <v/>
      </c>
      <c r="D225" s="317" t="str">
        <f t="shared" ca="1" si="149"/>
        <v/>
      </c>
      <c r="E225" s="384"/>
      <c r="F225" s="960"/>
      <c r="G225" s="324"/>
      <c r="H225" s="372" t="str">
        <f t="shared" ca="1" si="150"/>
        <v/>
      </c>
      <c r="I225" s="268" t="str">
        <f t="shared" si="147"/>
        <v/>
      </c>
      <c r="J225" s="268"/>
      <c r="K225" s="268"/>
      <c r="L225" s="268"/>
      <c r="M225" s="268"/>
      <c r="N225" s="268"/>
      <c r="O225" s="268"/>
      <c r="P225" s="268">
        <f t="shared" si="148"/>
        <v>766</v>
      </c>
      <c r="Q225" s="25"/>
      <c r="R225" s="268">
        <f t="shared" si="151"/>
        <v>0</v>
      </c>
      <c r="S225" s="268">
        <f t="shared" si="152"/>
        <v>0</v>
      </c>
      <c r="T225" s="268">
        <f t="shared" si="153"/>
        <v>0</v>
      </c>
      <c r="U225" s="25"/>
    </row>
    <row r="226" spans="1:21" x14ac:dyDescent="0.2">
      <c r="A226" s="24" t="str">
        <f t="shared" si="144"/>
        <v xml:space="preserve">Rat der Ahnen </v>
      </c>
      <c r="B226" s="332" t="str">
        <f t="shared" si="145"/>
        <v/>
      </c>
      <c r="C226" s="323" t="str">
        <f t="shared" si="146"/>
        <v/>
      </c>
      <c r="D226" s="317" t="str">
        <f t="shared" ca="1" si="149"/>
        <v/>
      </c>
      <c r="E226" s="384"/>
      <c r="F226" s="960"/>
      <c r="G226" s="324"/>
      <c r="H226" s="372" t="str">
        <f t="shared" ca="1" si="150"/>
        <v/>
      </c>
      <c r="I226" s="268" t="str">
        <f t="shared" si="147"/>
        <v/>
      </c>
      <c r="J226" s="268"/>
      <c r="K226" s="268"/>
      <c r="L226" s="268"/>
      <c r="M226" s="268"/>
      <c r="N226" s="268"/>
      <c r="O226" s="268"/>
      <c r="P226" s="268">
        <f t="shared" si="148"/>
        <v>767</v>
      </c>
      <c r="Q226" s="25"/>
      <c r="R226" s="268">
        <f t="shared" si="151"/>
        <v>0</v>
      </c>
      <c r="S226" s="268">
        <f t="shared" si="152"/>
        <v>0</v>
      </c>
      <c r="T226" s="268">
        <f t="shared" si="153"/>
        <v>0</v>
      </c>
      <c r="U226" s="25"/>
    </row>
    <row r="227" spans="1:21" x14ac:dyDescent="0.2">
      <c r="A227" s="24" t="str">
        <f t="shared" si="144"/>
        <v xml:space="preserve">Regentanz </v>
      </c>
      <c r="B227" s="332" t="str">
        <f t="shared" si="145"/>
        <v/>
      </c>
      <c r="C227" s="323" t="str">
        <f t="shared" si="146"/>
        <v/>
      </c>
      <c r="D227" s="317" t="str">
        <f t="shared" ca="1" si="149"/>
        <v/>
      </c>
      <c r="E227" s="384"/>
      <c r="F227" s="960"/>
      <c r="G227" s="324"/>
      <c r="H227" s="372" t="str">
        <f t="shared" ca="1" si="150"/>
        <v/>
      </c>
      <c r="I227" s="268" t="str">
        <f t="shared" si="147"/>
        <v/>
      </c>
      <c r="J227" s="268"/>
      <c r="K227" s="268"/>
      <c r="L227" s="268"/>
      <c r="M227" s="268"/>
      <c r="N227" s="268"/>
      <c r="O227" s="268"/>
      <c r="P227" s="268">
        <f t="shared" si="148"/>
        <v>768</v>
      </c>
      <c r="Q227" s="25"/>
      <c r="R227" s="268">
        <f t="shared" si="151"/>
        <v>0</v>
      </c>
      <c r="S227" s="268">
        <f t="shared" si="152"/>
        <v>0</v>
      </c>
      <c r="T227" s="268">
        <f t="shared" si="153"/>
        <v>0</v>
      </c>
      <c r="U227" s="25"/>
    </row>
    <row r="228" spans="1:21" x14ac:dyDescent="0.2">
      <c r="A228" s="24" t="str">
        <f t="shared" si="144"/>
        <v xml:space="preserve">Reinigen des Wassers </v>
      </c>
      <c r="B228" s="332" t="str">
        <f t="shared" si="145"/>
        <v/>
      </c>
      <c r="C228" s="323" t="str">
        <f t="shared" si="146"/>
        <v/>
      </c>
      <c r="D228" s="317" t="str">
        <f t="shared" ca="1" si="149"/>
        <v/>
      </c>
      <c r="E228" s="384"/>
      <c r="F228" s="960"/>
      <c r="G228" s="324"/>
      <c r="H228" s="372" t="str">
        <f t="shared" ca="1" si="150"/>
        <v/>
      </c>
      <c r="I228" s="268" t="str">
        <f t="shared" si="147"/>
        <v/>
      </c>
      <c r="J228" s="268"/>
      <c r="K228" s="268"/>
      <c r="L228" s="268"/>
      <c r="M228" s="268"/>
      <c r="N228" s="268"/>
      <c r="O228" s="268"/>
      <c r="P228" s="268">
        <f t="shared" si="148"/>
        <v>769</v>
      </c>
      <c r="Q228" s="25"/>
      <c r="R228" s="268">
        <f t="shared" si="151"/>
        <v>0</v>
      </c>
      <c r="S228" s="268">
        <f t="shared" si="152"/>
        <v>0</v>
      </c>
      <c r="T228" s="268">
        <f t="shared" si="153"/>
        <v>0</v>
      </c>
      <c r="U228" s="25"/>
    </row>
    <row r="229" spans="1:21" x14ac:dyDescent="0.2">
      <c r="A229" s="24" t="str">
        <f t="shared" si="144"/>
        <v xml:space="preserve">Reißgrams Fährte </v>
      </c>
      <c r="B229" s="332" t="str">
        <f t="shared" si="145"/>
        <v/>
      </c>
      <c r="C229" s="323" t="str">
        <f t="shared" si="146"/>
        <v/>
      </c>
      <c r="D229" s="317" t="str">
        <f t="shared" ca="1" si="149"/>
        <v/>
      </c>
      <c r="E229" s="384"/>
      <c r="F229" s="960"/>
      <c r="G229" s="324"/>
      <c r="H229" s="372" t="str">
        <f t="shared" ca="1" si="150"/>
        <v/>
      </c>
      <c r="I229" s="268" t="str">
        <f t="shared" si="147"/>
        <v/>
      </c>
      <c r="J229" s="268"/>
      <c r="K229" s="268"/>
      <c r="L229" s="268"/>
      <c r="M229" s="268"/>
      <c r="N229" s="268"/>
      <c r="O229" s="268"/>
      <c r="P229" s="268">
        <f t="shared" si="148"/>
        <v>770</v>
      </c>
      <c r="Q229" s="25"/>
      <c r="R229" s="268">
        <f t="shared" si="151"/>
        <v>0</v>
      </c>
      <c r="S229" s="268">
        <f t="shared" si="152"/>
        <v>0</v>
      </c>
      <c r="T229" s="268">
        <f t="shared" si="153"/>
        <v>0</v>
      </c>
      <c r="U229" s="25"/>
    </row>
    <row r="230" spans="1:21" x14ac:dyDescent="0.2">
      <c r="A230" s="24" t="str">
        <f t="shared" si="144"/>
        <v xml:space="preserve">Reitender Geist </v>
      </c>
      <c r="B230" s="332" t="str">
        <f t="shared" si="145"/>
        <v/>
      </c>
      <c r="C230" s="323" t="str">
        <f t="shared" si="146"/>
        <v/>
      </c>
      <c r="D230" s="317" t="str">
        <f t="shared" ca="1" si="149"/>
        <v/>
      </c>
      <c r="E230" s="384"/>
      <c r="F230" s="960"/>
      <c r="G230" s="324"/>
      <c r="H230" s="372" t="str">
        <f t="shared" ca="1" si="150"/>
        <v/>
      </c>
      <c r="I230" s="268" t="str">
        <f t="shared" si="147"/>
        <v/>
      </c>
      <c r="J230" s="268"/>
      <c r="K230" s="268"/>
      <c r="L230" s="268"/>
      <c r="M230" s="268"/>
      <c r="N230" s="268"/>
      <c r="O230" s="268"/>
      <c r="P230" s="268">
        <f t="shared" si="148"/>
        <v>771</v>
      </c>
      <c r="Q230" s="25"/>
      <c r="R230" s="268">
        <f t="shared" si="151"/>
        <v>0</v>
      </c>
      <c r="S230" s="268">
        <f t="shared" si="152"/>
        <v>0</v>
      </c>
      <c r="T230" s="268">
        <f t="shared" si="153"/>
        <v>0</v>
      </c>
      <c r="U230" s="25"/>
    </row>
    <row r="231" spans="1:21" x14ac:dyDescent="0.2">
      <c r="A231" s="24" t="str">
        <f t="shared" si="144"/>
        <v xml:space="preserve">Rikais Verderben </v>
      </c>
      <c r="B231" s="332" t="str">
        <f t="shared" si="145"/>
        <v/>
      </c>
      <c r="C231" s="323" t="str">
        <f t="shared" si="146"/>
        <v/>
      </c>
      <c r="D231" s="317" t="str">
        <f t="shared" ca="1" si="149"/>
        <v/>
      </c>
      <c r="E231" s="384"/>
      <c r="F231" s="960"/>
      <c r="G231" s="324"/>
      <c r="H231" s="372" t="str">
        <f t="shared" ca="1" si="150"/>
        <v/>
      </c>
      <c r="I231" s="268" t="str">
        <f t="shared" si="147"/>
        <v/>
      </c>
      <c r="J231" s="268"/>
      <c r="K231" s="268"/>
      <c r="L231" s="268"/>
      <c r="M231" s="268"/>
      <c r="N231" s="268"/>
      <c r="O231" s="268"/>
      <c r="P231" s="268">
        <f t="shared" si="148"/>
        <v>772</v>
      </c>
      <c r="Q231" s="25"/>
      <c r="R231" s="268">
        <f t="shared" si="151"/>
        <v>0</v>
      </c>
      <c r="S231" s="268">
        <f t="shared" si="152"/>
        <v>0</v>
      </c>
      <c r="T231" s="268">
        <f t="shared" si="153"/>
        <v>0</v>
      </c>
      <c r="U231" s="25"/>
    </row>
    <row r="232" spans="1:21" x14ac:dyDescent="0.2">
      <c r="A232" s="24" t="str">
        <f t="shared" si="144"/>
        <v xml:space="preserve">Rinderruf </v>
      </c>
      <c r="B232" s="332" t="str">
        <f t="shared" si="145"/>
        <v/>
      </c>
      <c r="C232" s="323" t="str">
        <f t="shared" si="146"/>
        <v/>
      </c>
      <c r="D232" s="317" t="str">
        <f t="shared" ca="1" si="149"/>
        <v/>
      </c>
      <c r="E232" s="384"/>
      <c r="F232" s="960"/>
      <c r="G232" s="324"/>
      <c r="H232" s="372" t="str">
        <f t="shared" ca="1" si="150"/>
        <v/>
      </c>
      <c r="I232" s="268" t="str">
        <f t="shared" si="147"/>
        <v/>
      </c>
      <c r="J232" s="268"/>
      <c r="K232" s="268"/>
      <c r="L232" s="268"/>
      <c r="M232" s="268"/>
      <c r="N232" s="268"/>
      <c r="O232" s="268"/>
      <c r="P232" s="268">
        <f t="shared" si="148"/>
        <v>773</v>
      </c>
      <c r="Q232" s="25"/>
      <c r="R232" s="268">
        <f t="shared" si="151"/>
        <v>0</v>
      </c>
      <c r="S232" s="268">
        <f t="shared" si="152"/>
        <v>0</v>
      </c>
      <c r="T232" s="268">
        <f t="shared" si="153"/>
        <v>0</v>
      </c>
      <c r="U232" s="25"/>
    </row>
    <row r="233" spans="1:21" x14ac:dyDescent="0.2">
      <c r="A233" s="24" t="str">
        <f t="shared" si="144"/>
        <v xml:space="preserve">Ruf der Schamanen </v>
      </c>
      <c r="B233" s="332" t="str">
        <f t="shared" si="145"/>
        <v/>
      </c>
      <c r="C233" s="323" t="str">
        <f t="shared" si="146"/>
        <v/>
      </c>
      <c r="D233" s="317" t="str">
        <f t="shared" ca="1" si="149"/>
        <v/>
      </c>
      <c r="E233" s="384"/>
      <c r="F233" s="960"/>
      <c r="G233" s="324"/>
      <c r="H233" s="372" t="str">
        <f t="shared" ca="1" si="150"/>
        <v/>
      </c>
      <c r="I233" s="268" t="str">
        <f t="shared" si="147"/>
        <v/>
      </c>
      <c r="J233" s="268"/>
      <c r="K233" s="268"/>
      <c r="L233" s="268"/>
      <c r="M233" s="268"/>
      <c r="N233" s="268"/>
      <c r="O233" s="268"/>
      <c r="P233" s="268">
        <f t="shared" si="148"/>
        <v>774</v>
      </c>
      <c r="Q233" s="25"/>
      <c r="R233" s="268">
        <f t="shared" si="151"/>
        <v>0</v>
      </c>
      <c r="S233" s="268">
        <f t="shared" si="152"/>
        <v>0</v>
      </c>
      <c r="T233" s="268">
        <f t="shared" si="153"/>
        <v>0</v>
      </c>
      <c r="U233" s="25"/>
    </row>
    <row r="234" spans="1:21" x14ac:dyDescent="0.2">
      <c r="A234" s="24" t="str">
        <f t="shared" si="144"/>
        <v xml:space="preserve">Sanftmut </v>
      </c>
      <c r="B234" s="332" t="str">
        <f t="shared" si="145"/>
        <v/>
      </c>
      <c r="C234" s="323" t="str">
        <f t="shared" si="146"/>
        <v/>
      </c>
      <c r="D234" s="317" t="str">
        <f t="shared" ca="1" si="149"/>
        <v/>
      </c>
      <c r="E234" s="384"/>
      <c r="F234" s="960"/>
      <c r="G234" s="324"/>
      <c r="H234" s="372" t="str">
        <f t="shared" ca="1" si="150"/>
        <v/>
      </c>
      <c r="I234" s="268" t="str">
        <f t="shared" si="147"/>
        <v/>
      </c>
      <c r="J234" s="268"/>
      <c r="K234" s="268"/>
      <c r="L234" s="268"/>
      <c r="M234" s="268"/>
      <c r="N234" s="268"/>
      <c r="O234" s="268"/>
      <c r="P234" s="268">
        <f t="shared" si="148"/>
        <v>775</v>
      </c>
      <c r="Q234" s="25"/>
      <c r="R234" s="268">
        <f t="shared" si="151"/>
        <v>0</v>
      </c>
      <c r="S234" s="268">
        <f t="shared" si="152"/>
        <v>0</v>
      </c>
      <c r="T234" s="268">
        <f t="shared" si="153"/>
        <v>0</v>
      </c>
      <c r="U234" s="25"/>
    </row>
    <row r="235" spans="1:21" x14ac:dyDescent="0.2">
      <c r="A235" s="24" t="str">
        <f t="shared" si="144"/>
        <v xml:space="preserve">Schlangenfluch </v>
      </c>
      <c r="B235" s="332" t="str">
        <f t="shared" si="145"/>
        <v/>
      </c>
      <c r="C235" s="323" t="str">
        <f t="shared" si="146"/>
        <v/>
      </c>
      <c r="D235" s="317" t="str">
        <f t="shared" ca="1" si="149"/>
        <v/>
      </c>
      <c r="E235" s="384"/>
      <c r="F235" s="960"/>
      <c r="G235" s="324"/>
      <c r="H235" s="372" t="str">
        <f t="shared" ca="1" si="150"/>
        <v/>
      </c>
      <c r="I235" s="268" t="str">
        <f t="shared" si="147"/>
        <v/>
      </c>
      <c r="J235" s="268"/>
      <c r="K235" s="268"/>
      <c r="L235" s="268"/>
      <c r="M235" s="268"/>
      <c r="N235" s="268"/>
      <c r="O235" s="268"/>
      <c r="P235" s="268">
        <f t="shared" si="148"/>
        <v>776</v>
      </c>
      <c r="Q235" s="25"/>
      <c r="R235" s="268">
        <f t="shared" si="151"/>
        <v>0</v>
      </c>
      <c r="S235" s="268">
        <f t="shared" si="152"/>
        <v>0</v>
      </c>
      <c r="T235" s="268">
        <f t="shared" si="153"/>
        <v>0</v>
      </c>
      <c r="U235" s="25"/>
    </row>
    <row r="236" spans="1:21" x14ac:dyDescent="0.2">
      <c r="A236" s="24" t="str">
        <f t="shared" si="144"/>
        <v xml:space="preserve">Schlangengeist </v>
      </c>
      <c r="B236" s="332" t="str">
        <f t="shared" si="145"/>
        <v/>
      </c>
      <c r="C236" s="323" t="str">
        <f t="shared" si="146"/>
        <v/>
      </c>
      <c r="D236" s="317" t="str">
        <f t="shared" ca="1" si="149"/>
        <v/>
      </c>
      <c r="E236" s="384"/>
      <c r="F236" s="960"/>
      <c r="G236" s="324"/>
      <c r="H236" s="372" t="str">
        <f t="shared" ca="1" si="150"/>
        <v/>
      </c>
      <c r="I236" s="268" t="str">
        <f t="shared" si="147"/>
        <v/>
      </c>
      <c r="J236" s="268"/>
      <c r="K236" s="268"/>
      <c r="L236" s="268"/>
      <c r="M236" s="268"/>
      <c r="N236" s="268"/>
      <c r="O236" s="268"/>
      <c r="P236" s="268">
        <f t="shared" si="148"/>
        <v>777</v>
      </c>
      <c r="Q236" s="25"/>
      <c r="R236" s="268">
        <f t="shared" si="151"/>
        <v>0</v>
      </c>
      <c r="S236" s="268">
        <f t="shared" si="152"/>
        <v>0</v>
      </c>
      <c r="T236" s="268">
        <f t="shared" si="153"/>
        <v>0</v>
      </c>
      <c r="U236" s="25"/>
    </row>
    <row r="237" spans="1:21" x14ac:dyDescent="0.2">
      <c r="A237" s="24" t="str">
        <f t="shared" si="144"/>
        <v xml:space="preserve">Schlingerruf </v>
      </c>
      <c r="B237" s="332" t="str">
        <f t="shared" si="145"/>
        <v/>
      </c>
      <c r="C237" s="323" t="str">
        <f t="shared" si="146"/>
        <v/>
      </c>
      <c r="D237" s="317" t="str">
        <f t="shared" ca="1" si="149"/>
        <v/>
      </c>
      <c r="E237" s="384"/>
      <c r="F237" s="960"/>
      <c r="G237" s="324"/>
      <c r="H237" s="372" t="str">
        <f t="shared" ca="1" si="150"/>
        <v/>
      </c>
      <c r="I237" s="268" t="str">
        <f t="shared" si="147"/>
        <v/>
      </c>
      <c r="J237" s="268"/>
      <c r="K237" s="268"/>
      <c r="L237" s="268"/>
      <c r="M237" s="268"/>
      <c r="N237" s="268"/>
      <c r="O237" s="268"/>
      <c r="P237" s="268">
        <f t="shared" si="148"/>
        <v>778</v>
      </c>
      <c r="Q237" s="25"/>
      <c r="R237" s="268">
        <f t="shared" si="151"/>
        <v>0</v>
      </c>
      <c r="S237" s="268">
        <f t="shared" si="152"/>
        <v>0</v>
      </c>
      <c r="T237" s="268">
        <f t="shared" si="153"/>
        <v>0</v>
      </c>
      <c r="U237" s="25"/>
    </row>
    <row r="238" spans="1:21" x14ac:dyDescent="0.2">
      <c r="A238" s="24" t="str">
        <f t="shared" si="144"/>
        <v xml:space="preserve">Schomas Kraft </v>
      </c>
      <c r="B238" s="332" t="str">
        <f t="shared" si="145"/>
        <v/>
      </c>
      <c r="C238" s="323" t="str">
        <f t="shared" si="146"/>
        <v/>
      </c>
      <c r="D238" s="317" t="str">
        <f t="shared" ca="1" si="149"/>
        <v/>
      </c>
      <c r="E238" s="384"/>
      <c r="F238" s="960"/>
      <c r="G238" s="324"/>
      <c r="H238" s="372" t="str">
        <f t="shared" ca="1" si="150"/>
        <v/>
      </c>
      <c r="I238" s="268" t="str">
        <f t="shared" si="147"/>
        <v/>
      </c>
      <c r="J238" s="268"/>
      <c r="K238" s="268"/>
      <c r="L238" s="268"/>
      <c r="M238" s="268"/>
      <c r="N238" s="268"/>
      <c r="O238" s="268"/>
      <c r="P238" s="268">
        <f t="shared" si="148"/>
        <v>779</v>
      </c>
      <c r="Q238" s="25"/>
      <c r="R238" s="268">
        <f t="shared" si="151"/>
        <v>0</v>
      </c>
      <c r="S238" s="268">
        <f t="shared" si="152"/>
        <v>0</v>
      </c>
      <c r="T238" s="268">
        <f t="shared" si="153"/>
        <v>0</v>
      </c>
      <c r="U238" s="25"/>
    </row>
    <row r="239" spans="1:21" x14ac:dyDescent="0.2">
      <c r="A239" s="24" t="str">
        <f t="shared" si="144"/>
        <v xml:space="preserve">Schutz der Jurte </v>
      </c>
      <c r="B239" s="332" t="str">
        <f t="shared" si="145"/>
        <v/>
      </c>
      <c r="C239" s="323" t="str">
        <f t="shared" si="146"/>
        <v/>
      </c>
      <c r="D239" s="317" t="str">
        <f t="shared" ref="D239:D263" ca="1" si="154">IF($I$14="","",IF(NOT(ISERR(FIND($I$14,IF(NOT($A239=""),VLOOKUP($A239,Schamanen_Rituale_all,11,FALSE),"")))),"x",IF($I$20="","",IF(NOT(ISERR(FIND($I$20,VLOOKUP($A239,Schamanen_Rituale_all,11,FALSE)))),"x",""))))</f>
        <v/>
      </c>
      <c r="E239" s="384"/>
      <c r="F239" s="960"/>
      <c r="G239" s="324"/>
      <c r="H239" s="372" t="str">
        <f t="shared" ref="H239:H263" ca="1" si="155">IF(OR(A239="",$I$14=""),"",IF(OR(UPPER(E239)="X",UPPER(F239)="X",UPPER(G239)="X"),IF(VLOOKUP(A239,Schamanen_Rituale_all,3,FALSE)*2&gt;IF(VLOOKUP(A239,Schamanen_Rituale_all,5,FALSE)="rufen",SUM($B$15,$E$15,$G$15),IF(VLOOKUP(A239,Schamanen_Rituale_all,5,FALSE)="bannen",SUM($B$16,$E$16,$G$16),IF(VLOOKUP(A239,Schamanen_Rituale_all,5,FALSE)="binden",SUM($B$17,$E$17,$G$17),IF(VLOOKUP(A239,Schamanen_Rituale_all,5,FALSE)="aufnehmen",SUM($B$18,$E$18,$G$18),0)))),"Ritualkenntnis-Wert zu niedrig!",""),""))</f>
        <v/>
      </c>
      <c r="I239" s="268" t="str">
        <f t="shared" si="147"/>
        <v/>
      </c>
      <c r="J239" s="268"/>
      <c r="K239" s="268"/>
      <c r="L239" s="268"/>
      <c r="M239" s="268"/>
      <c r="N239" s="268"/>
      <c r="O239" s="268"/>
      <c r="P239" s="268">
        <f t="shared" si="148"/>
        <v>780</v>
      </c>
      <c r="Q239" s="25"/>
      <c r="R239" s="268">
        <f t="shared" ref="R239:R263" si="156">IF(AND(NOT(EXACT($A239,"")),UPPER(E239)="X"),ROUND(VLOOKUP($A239,Schamanen_Rituale_all,9,FALSE)*IF(UPPER(C239)="X",0.5,1),0),0)</f>
        <v>0</v>
      </c>
      <c r="S239" s="268">
        <f t="shared" ref="S239:S263" si="157">IF(AND(NOT(EXACT($A239,"")),UPPER(F239)="X"),ROUND(VLOOKUP($A239,Schamanen_Rituale_all,10,FALSE)*IF(UPPER(C239)="X",0.5,1),0),0)</f>
        <v>0</v>
      </c>
      <c r="T239" s="268">
        <f t="shared" ref="T239:T263" si="158">IF(AND(NOT(EXACT($A239,"")),UPPER(G239)="X"),ROUND(VLOOKUP($A239,Schamanen_Rituale_all,10,FALSE)*IF(UPPER(C239)="X",0.5,1),0),0)</f>
        <v>0</v>
      </c>
      <c r="U239" s="25"/>
    </row>
    <row r="240" spans="1:21" x14ac:dyDescent="0.2">
      <c r="A240" s="24" t="str">
        <f t="shared" ref="A240:A263" si="159">INDEX(Schamanen_Rituale,ROW()-$Q$174)</f>
        <v xml:space="preserve">Schützende Rotte </v>
      </c>
      <c r="B240" s="332" t="str">
        <f t="shared" ref="B240:B263" si="160">IF(EXACT(PROFGEBGENE,"Goetter"),IF(EXACT(UPPER(HLOOKUP(PROFGENE,PROFGOET,$P240,FALSE)),"X"),"x",""),"")</f>
        <v/>
      </c>
      <c r="C240" s="323" t="str">
        <f t="shared" ref="C240:C263" si="161">IF(EXACT(PROFGEBGENE,"Goetter"),IF(EXACT(UPPER(HLOOKUP(PROFGENE,PROFGOET,$P240,FALSE)),"V"),"x",""),"")</f>
        <v/>
      </c>
      <c r="D240" s="317" t="str">
        <f t="shared" ca="1" si="154"/>
        <v/>
      </c>
      <c r="E240" s="384"/>
      <c r="F240" s="960"/>
      <c r="G240" s="324"/>
      <c r="H240" s="372" t="str">
        <f t="shared" ca="1" si="155"/>
        <v/>
      </c>
      <c r="I240" s="268" t="str">
        <f t="shared" si="147"/>
        <v/>
      </c>
      <c r="J240" s="268"/>
      <c r="K240" s="268"/>
      <c r="L240" s="268"/>
      <c r="M240" s="268"/>
      <c r="N240" s="268"/>
      <c r="O240" s="268"/>
      <c r="P240" s="268">
        <f t="shared" si="148"/>
        <v>781</v>
      </c>
      <c r="Q240" s="25"/>
      <c r="R240" s="268">
        <f t="shared" si="156"/>
        <v>0</v>
      </c>
      <c r="S240" s="268">
        <f t="shared" si="157"/>
        <v>0</v>
      </c>
      <c r="T240" s="268">
        <f t="shared" si="158"/>
        <v>0</v>
      </c>
      <c r="U240" s="25"/>
    </row>
    <row r="241" spans="1:21" x14ac:dyDescent="0.2">
      <c r="A241" s="24" t="str">
        <f t="shared" si="159"/>
        <v xml:space="preserve">Seelenwanderung </v>
      </c>
      <c r="B241" s="332" t="str">
        <f t="shared" si="160"/>
        <v/>
      </c>
      <c r="C241" s="323" t="str">
        <f t="shared" si="161"/>
        <v/>
      </c>
      <c r="D241" s="317" t="str">
        <f t="shared" ca="1" si="154"/>
        <v/>
      </c>
      <c r="E241" s="384"/>
      <c r="F241" s="960"/>
      <c r="G241" s="324"/>
      <c r="H241" s="372" t="str">
        <f t="shared" ca="1" si="155"/>
        <v/>
      </c>
      <c r="I241" s="268" t="str">
        <f t="shared" ref="I241:I263" si="162">IF(OR(UPPER(B241)="X",UPPER(E241)="X",UPPER(F241)="X",UPPER(G241)="X"),A241&amp;",","")</f>
        <v/>
      </c>
      <c r="J241" s="268"/>
      <c r="K241" s="268"/>
      <c r="L241" s="268"/>
      <c r="M241" s="268"/>
      <c r="N241" s="268"/>
      <c r="O241" s="268"/>
      <c r="P241" s="268">
        <f t="shared" ref="P241:P263" si="163">P240+1</f>
        <v>782</v>
      </c>
      <c r="Q241" s="25"/>
      <c r="R241" s="268">
        <f t="shared" si="156"/>
        <v>0</v>
      </c>
      <c r="S241" s="268">
        <f t="shared" si="157"/>
        <v>0</v>
      </c>
      <c r="T241" s="268">
        <f t="shared" si="158"/>
        <v>0</v>
      </c>
      <c r="U241" s="25"/>
    </row>
    <row r="242" spans="1:21" x14ac:dyDescent="0.2">
      <c r="A242" s="24" t="str">
        <f t="shared" si="159"/>
        <v xml:space="preserve">Seeschlangenruf </v>
      </c>
      <c r="B242" s="332" t="str">
        <f t="shared" si="160"/>
        <v/>
      </c>
      <c r="C242" s="323" t="str">
        <f t="shared" si="161"/>
        <v/>
      </c>
      <c r="D242" s="317" t="str">
        <f t="shared" ca="1" si="154"/>
        <v/>
      </c>
      <c r="E242" s="384"/>
      <c r="F242" s="960"/>
      <c r="G242" s="324"/>
      <c r="H242" s="372" t="str">
        <f t="shared" ca="1" si="155"/>
        <v/>
      </c>
      <c r="I242" s="268" t="str">
        <f t="shared" si="162"/>
        <v/>
      </c>
      <c r="J242" s="268"/>
      <c r="K242" s="268"/>
      <c r="L242" s="268"/>
      <c r="M242" s="268"/>
      <c r="N242" s="268"/>
      <c r="O242" s="268"/>
      <c r="P242" s="268">
        <f t="shared" si="163"/>
        <v>783</v>
      </c>
      <c r="Q242" s="25"/>
      <c r="R242" s="268">
        <f t="shared" si="156"/>
        <v>0</v>
      </c>
      <c r="S242" s="268">
        <f t="shared" si="157"/>
        <v>0</v>
      </c>
      <c r="T242" s="268">
        <f t="shared" si="158"/>
        <v>0</v>
      </c>
      <c r="U242" s="25"/>
    </row>
    <row r="243" spans="1:21" x14ac:dyDescent="0.2">
      <c r="A243" s="24" t="str">
        <f t="shared" si="159"/>
        <v xml:space="preserve">Stimme des Nipakau </v>
      </c>
      <c r="B243" s="332" t="str">
        <f t="shared" si="160"/>
        <v/>
      </c>
      <c r="C243" s="323" t="str">
        <f t="shared" si="161"/>
        <v/>
      </c>
      <c r="D243" s="317" t="str">
        <f t="shared" ca="1" si="154"/>
        <v/>
      </c>
      <c r="E243" s="384"/>
      <c r="F243" s="960"/>
      <c r="G243" s="324"/>
      <c r="H243" s="372" t="str">
        <f t="shared" ca="1" si="155"/>
        <v/>
      </c>
      <c r="I243" s="268" t="str">
        <f t="shared" si="162"/>
        <v/>
      </c>
      <c r="J243" s="268"/>
      <c r="K243" s="268"/>
      <c r="L243" s="268"/>
      <c r="M243" s="268"/>
      <c r="N243" s="268"/>
      <c r="O243" s="268"/>
      <c r="P243" s="268">
        <f t="shared" si="163"/>
        <v>784</v>
      </c>
      <c r="Q243" s="25"/>
      <c r="R243" s="268">
        <f t="shared" si="156"/>
        <v>0</v>
      </c>
      <c r="S243" s="268">
        <f t="shared" si="157"/>
        <v>0</v>
      </c>
      <c r="T243" s="268">
        <f t="shared" si="158"/>
        <v>0</v>
      </c>
      <c r="U243" s="25"/>
    </row>
    <row r="244" spans="1:21" x14ac:dyDescent="0.2">
      <c r="A244" s="24" t="str">
        <f t="shared" si="159"/>
        <v xml:space="preserve">Tabuzone </v>
      </c>
      <c r="B244" s="332" t="str">
        <f t="shared" si="160"/>
        <v/>
      </c>
      <c r="C244" s="323" t="str">
        <f t="shared" si="161"/>
        <v/>
      </c>
      <c r="D244" s="317" t="str">
        <f t="shared" ca="1" si="154"/>
        <v/>
      </c>
      <c r="E244" s="384"/>
      <c r="F244" s="960"/>
      <c r="G244" s="324"/>
      <c r="H244" s="372" t="str">
        <f t="shared" ca="1" si="155"/>
        <v/>
      </c>
      <c r="I244" s="268" t="str">
        <f t="shared" si="162"/>
        <v/>
      </c>
      <c r="J244" s="268"/>
      <c r="K244" s="268"/>
      <c r="L244" s="268"/>
      <c r="M244" s="268"/>
      <c r="N244" s="268"/>
      <c r="O244" s="268"/>
      <c r="P244" s="268">
        <f t="shared" si="163"/>
        <v>785</v>
      </c>
      <c r="Q244" s="25"/>
      <c r="R244" s="268">
        <f t="shared" si="156"/>
        <v>0</v>
      </c>
      <c r="S244" s="268">
        <f t="shared" si="157"/>
        <v>0</v>
      </c>
      <c r="T244" s="268">
        <f t="shared" si="158"/>
        <v>0</v>
      </c>
      <c r="U244" s="25"/>
    </row>
    <row r="245" spans="1:21" x14ac:dyDescent="0.2">
      <c r="A245" s="24" t="str">
        <f t="shared" si="159"/>
        <v xml:space="preserve">Tauschplatz </v>
      </c>
      <c r="B245" s="332" t="str">
        <f t="shared" si="160"/>
        <v/>
      </c>
      <c r="C245" s="323" t="str">
        <f t="shared" si="161"/>
        <v/>
      </c>
      <c r="D245" s="317" t="str">
        <f t="shared" ca="1" si="154"/>
        <v/>
      </c>
      <c r="E245" s="384"/>
      <c r="F245" s="960"/>
      <c r="G245" s="324"/>
      <c r="H245" s="372" t="str">
        <f t="shared" ca="1" si="155"/>
        <v/>
      </c>
      <c r="I245" s="268" t="str">
        <f t="shared" si="162"/>
        <v/>
      </c>
      <c r="J245" s="268"/>
      <c r="K245" s="268"/>
      <c r="L245" s="268"/>
      <c r="M245" s="268"/>
      <c r="N245" s="268"/>
      <c r="O245" s="268"/>
      <c r="P245" s="268">
        <f t="shared" si="163"/>
        <v>786</v>
      </c>
      <c r="Q245" s="25"/>
      <c r="R245" s="268">
        <f t="shared" si="156"/>
        <v>0</v>
      </c>
      <c r="S245" s="268">
        <f t="shared" si="157"/>
        <v>0</v>
      </c>
      <c r="T245" s="268">
        <f t="shared" si="158"/>
        <v>0</v>
      </c>
      <c r="U245" s="25"/>
    </row>
    <row r="246" spans="1:21" x14ac:dyDescent="0.2">
      <c r="A246" s="24" t="str">
        <f t="shared" si="159"/>
        <v xml:space="preserve">Tiere aus Farben </v>
      </c>
      <c r="B246" s="332" t="str">
        <f t="shared" si="160"/>
        <v/>
      </c>
      <c r="C246" s="323" t="str">
        <f t="shared" si="161"/>
        <v/>
      </c>
      <c r="D246" s="317" t="str">
        <f t="shared" ca="1" si="154"/>
        <v/>
      </c>
      <c r="E246" s="384"/>
      <c r="F246" s="960"/>
      <c r="G246" s="324"/>
      <c r="H246" s="372" t="str">
        <f t="shared" ca="1" si="155"/>
        <v/>
      </c>
      <c r="I246" s="268" t="str">
        <f t="shared" si="162"/>
        <v/>
      </c>
      <c r="J246" s="268"/>
      <c r="K246" s="268"/>
      <c r="L246" s="268"/>
      <c r="M246" s="268"/>
      <c r="N246" s="268"/>
      <c r="O246" s="268"/>
      <c r="P246" s="268">
        <f t="shared" si="163"/>
        <v>787</v>
      </c>
      <c r="Q246" s="25"/>
      <c r="R246" s="268">
        <f t="shared" si="156"/>
        <v>0</v>
      </c>
      <c r="S246" s="268">
        <f t="shared" si="157"/>
        <v>0</v>
      </c>
      <c r="T246" s="268">
        <f t="shared" si="158"/>
        <v>0</v>
      </c>
      <c r="U246" s="25"/>
    </row>
    <row r="247" spans="1:21" x14ac:dyDescent="0.2">
      <c r="A247" s="24" t="str">
        <f t="shared" si="159"/>
        <v xml:space="preserve">Tiergedanken </v>
      </c>
      <c r="B247" s="332" t="str">
        <f t="shared" si="160"/>
        <v/>
      </c>
      <c r="C247" s="323" t="str">
        <f t="shared" si="161"/>
        <v/>
      </c>
      <c r="D247" s="317" t="str">
        <f t="shared" ca="1" si="154"/>
        <v/>
      </c>
      <c r="E247" s="384"/>
      <c r="F247" s="960"/>
      <c r="G247" s="324"/>
      <c r="H247" s="372" t="str">
        <f t="shared" ca="1" si="155"/>
        <v/>
      </c>
      <c r="I247" s="268" t="str">
        <f t="shared" si="162"/>
        <v/>
      </c>
      <c r="J247" s="268"/>
      <c r="K247" s="268"/>
      <c r="L247" s="268"/>
      <c r="M247" s="268"/>
      <c r="N247" s="268"/>
      <c r="O247" s="268"/>
      <c r="P247" s="268">
        <f t="shared" si="163"/>
        <v>788</v>
      </c>
      <c r="Q247" s="25"/>
      <c r="R247" s="268">
        <f t="shared" si="156"/>
        <v>0</v>
      </c>
      <c r="S247" s="268">
        <f t="shared" si="157"/>
        <v>0</v>
      </c>
      <c r="T247" s="268">
        <f t="shared" si="158"/>
        <v>0</v>
      </c>
      <c r="U247" s="25"/>
    </row>
    <row r="248" spans="1:21" x14ac:dyDescent="0.2">
      <c r="A248" s="24" t="str">
        <f t="shared" si="159"/>
        <v xml:space="preserve">Tränke meine Herde </v>
      </c>
      <c r="B248" s="332" t="str">
        <f t="shared" si="160"/>
        <v/>
      </c>
      <c r="C248" s="323" t="str">
        <f t="shared" si="161"/>
        <v/>
      </c>
      <c r="D248" s="317" t="str">
        <f t="shared" ca="1" si="154"/>
        <v/>
      </c>
      <c r="E248" s="384"/>
      <c r="F248" s="960"/>
      <c r="G248" s="324"/>
      <c r="H248" s="372" t="str">
        <f t="shared" ca="1" si="155"/>
        <v/>
      </c>
      <c r="I248" s="268" t="str">
        <f t="shared" si="162"/>
        <v/>
      </c>
      <c r="J248" s="268"/>
      <c r="K248" s="268"/>
      <c r="L248" s="268"/>
      <c r="M248" s="268"/>
      <c r="N248" s="268"/>
      <c r="O248" s="268"/>
      <c r="P248" s="268">
        <f t="shared" si="163"/>
        <v>789</v>
      </c>
      <c r="Q248" s="25"/>
      <c r="R248" s="268">
        <f t="shared" si="156"/>
        <v>0</v>
      </c>
      <c r="S248" s="268">
        <f t="shared" si="157"/>
        <v>0</v>
      </c>
      <c r="T248" s="268">
        <f t="shared" si="158"/>
        <v>0</v>
      </c>
      <c r="U248" s="25"/>
    </row>
    <row r="249" spans="1:21" x14ac:dyDescent="0.2">
      <c r="A249" s="24" t="str">
        <f t="shared" si="159"/>
        <v>Wachs der Herrschaft</v>
      </c>
      <c r="B249" s="332" t="str">
        <f t="shared" si="160"/>
        <v/>
      </c>
      <c r="C249" s="323" t="str">
        <f t="shared" si="161"/>
        <v/>
      </c>
      <c r="D249" s="317" t="str">
        <f t="shared" ca="1" si="154"/>
        <v/>
      </c>
      <c r="E249" s="384"/>
      <c r="F249" s="960"/>
      <c r="G249" s="324"/>
      <c r="H249" s="372" t="str">
        <f t="shared" ca="1" si="155"/>
        <v/>
      </c>
      <c r="I249" s="268" t="str">
        <f t="shared" si="162"/>
        <v/>
      </c>
      <c r="J249" s="268"/>
      <c r="K249" s="268"/>
      <c r="L249" s="268"/>
      <c r="M249" s="268"/>
      <c r="N249" s="268"/>
      <c r="O249" s="268"/>
      <c r="P249" s="268">
        <f t="shared" si="163"/>
        <v>790</v>
      </c>
      <c r="Q249" s="25"/>
      <c r="R249" s="268">
        <f t="shared" si="156"/>
        <v>0</v>
      </c>
      <c r="S249" s="268">
        <f t="shared" si="157"/>
        <v>0</v>
      </c>
      <c r="T249" s="268">
        <f t="shared" si="158"/>
        <v>0</v>
      </c>
      <c r="U249" s="25"/>
    </row>
    <row r="250" spans="1:21" x14ac:dyDescent="0.2">
      <c r="A250" s="24" t="str">
        <f t="shared" si="159"/>
        <v xml:space="preserve">Weckruf </v>
      </c>
      <c r="B250" s="332" t="str">
        <f t="shared" si="160"/>
        <v/>
      </c>
      <c r="C250" s="323" t="str">
        <f t="shared" si="161"/>
        <v/>
      </c>
      <c r="D250" s="317" t="str">
        <f t="shared" ca="1" si="154"/>
        <v/>
      </c>
      <c r="E250" s="384"/>
      <c r="F250" s="960"/>
      <c r="G250" s="324"/>
      <c r="H250" s="372" t="str">
        <f t="shared" ca="1" si="155"/>
        <v/>
      </c>
      <c r="I250" s="268" t="str">
        <f t="shared" si="162"/>
        <v/>
      </c>
      <c r="J250" s="268"/>
      <c r="K250" s="268"/>
      <c r="L250" s="268"/>
      <c r="M250" s="268"/>
      <c r="N250" s="268"/>
      <c r="O250" s="268"/>
      <c r="P250" s="268">
        <f t="shared" si="163"/>
        <v>791</v>
      </c>
      <c r="Q250" s="25"/>
      <c r="R250" s="268">
        <f t="shared" si="156"/>
        <v>0</v>
      </c>
      <c r="S250" s="268">
        <f t="shared" si="157"/>
        <v>0</v>
      </c>
      <c r="T250" s="268">
        <f t="shared" si="158"/>
        <v>0</v>
      </c>
      <c r="U250" s="25"/>
    </row>
    <row r="251" spans="1:21" x14ac:dyDescent="0.2">
      <c r="A251" s="24" t="str">
        <f t="shared" si="159"/>
        <v xml:space="preserve">Weg des Windes </v>
      </c>
      <c r="B251" s="332" t="str">
        <f t="shared" si="160"/>
        <v/>
      </c>
      <c r="C251" s="323" t="str">
        <f t="shared" si="161"/>
        <v/>
      </c>
      <c r="D251" s="317" t="str">
        <f t="shared" ca="1" si="154"/>
        <v/>
      </c>
      <c r="E251" s="384"/>
      <c r="F251" s="960"/>
      <c r="G251" s="324"/>
      <c r="H251" s="372" t="str">
        <f t="shared" ca="1" si="155"/>
        <v/>
      </c>
      <c r="I251" s="268" t="str">
        <f t="shared" si="162"/>
        <v/>
      </c>
      <c r="J251" s="268"/>
      <c r="K251" s="268"/>
      <c r="L251" s="268"/>
      <c r="M251" s="268"/>
      <c r="N251" s="268"/>
      <c r="O251" s="268"/>
      <c r="P251" s="268">
        <f t="shared" si="163"/>
        <v>792</v>
      </c>
      <c r="Q251" s="25"/>
      <c r="R251" s="268">
        <f t="shared" si="156"/>
        <v>0</v>
      </c>
      <c r="S251" s="268">
        <f t="shared" si="157"/>
        <v>0</v>
      </c>
      <c r="T251" s="268">
        <f t="shared" si="158"/>
        <v>0</v>
      </c>
      <c r="U251" s="25"/>
    </row>
    <row r="252" spans="1:21" x14ac:dyDescent="0.2">
      <c r="A252" s="24" t="str">
        <f t="shared" si="159"/>
        <v xml:space="preserve">Wegzeichen </v>
      </c>
      <c r="B252" s="332" t="str">
        <f t="shared" si="160"/>
        <v/>
      </c>
      <c r="C252" s="323" t="str">
        <f t="shared" si="161"/>
        <v/>
      </c>
      <c r="D252" s="317" t="str">
        <f t="shared" ca="1" si="154"/>
        <v/>
      </c>
      <c r="E252" s="384"/>
      <c r="F252" s="960"/>
      <c r="G252" s="324"/>
      <c r="H252" s="372" t="str">
        <f t="shared" ca="1" si="155"/>
        <v/>
      </c>
      <c r="I252" s="268" t="str">
        <f t="shared" si="162"/>
        <v/>
      </c>
      <c r="J252" s="268"/>
      <c r="K252" s="268"/>
      <c r="L252" s="268"/>
      <c r="M252" s="268"/>
      <c r="N252" s="268"/>
      <c r="O252" s="268"/>
      <c r="P252" s="268">
        <f t="shared" si="163"/>
        <v>793</v>
      </c>
      <c r="Q252" s="25"/>
      <c r="R252" s="268">
        <f t="shared" si="156"/>
        <v>0</v>
      </c>
      <c r="S252" s="268">
        <f t="shared" si="157"/>
        <v>0</v>
      </c>
      <c r="T252" s="268">
        <f t="shared" si="158"/>
        <v>0</v>
      </c>
      <c r="U252" s="25"/>
    </row>
    <row r="253" spans="1:21" x14ac:dyDescent="0.2">
      <c r="A253" s="24" t="str">
        <f t="shared" si="159"/>
        <v xml:space="preserve">Weidegründe finden </v>
      </c>
      <c r="B253" s="332" t="str">
        <f t="shared" si="160"/>
        <v/>
      </c>
      <c r="C253" s="323" t="str">
        <f t="shared" si="161"/>
        <v/>
      </c>
      <c r="D253" s="317" t="str">
        <f t="shared" ca="1" si="154"/>
        <v/>
      </c>
      <c r="E253" s="384"/>
      <c r="F253" s="960"/>
      <c r="G253" s="324"/>
      <c r="H253" s="372" t="str">
        <f t="shared" ca="1" si="155"/>
        <v/>
      </c>
      <c r="I253" s="268" t="str">
        <f t="shared" si="162"/>
        <v/>
      </c>
      <c r="J253" s="268"/>
      <c r="K253" s="268"/>
      <c r="L253" s="268"/>
      <c r="M253" s="268"/>
      <c r="N253" s="268"/>
      <c r="O253" s="268"/>
      <c r="P253" s="268">
        <f t="shared" si="163"/>
        <v>794</v>
      </c>
      <c r="Q253" s="25"/>
      <c r="R253" s="268">
        <f t="shared" si="156"/>
        <v>0</v>
      </c>
      <c r="S253" s="268">
        <f t="shared" si="157"/>
        <v>0</v>
      </c>
      <c r="T253" s="268">
        <f t="shared" si="158"/>
        <v>0</v>
      </c>
      <c r="U253" s="25"/>
    </row>
    <row r="254" spans="1:21" x14ac:dyDescent="0.2">
      <c r="A254" s="24" t="str">
        <f t="shared" si="159"/>
        <v xml:space="preserve">Wettermeisterschaft </v>
      </c>
      <c r="B254" s="332" t="str">
        <f t="shared" si="160"/>
        <v/>
      </c>
      <c r="C254" s="323" t="str">
        <f t="shared" si="161"/>
        <v/>
      </c>
      <c r="D254" s="317" t="str">
        <f t="shared" ca="1" si="154"/>
        <v/>
      </c>
      <c r="E254" s="384"/>
      <c r="F254" s="960"/>
      <c r="G254" s="324"/>
      <c r="H254" s="372" t="str">
        <f t="shared" ca="1" si="155"/>
        <v/>
      </c>
      <c r="I254" s="268" t="str">
        <f t="shared" si="162"/>
        <v/>
      </c>
      <c r="J254" s="268"/>
      <c r="K254" s="268"/>
      <c r="L254" s="268"/>
      <c r="M254" s="268"/>
      <c r="N254" s="268"/>
      <c r="O254" s="268"/>
      <c r="P254" s="268">
        <f t="shared" si="163"/>
        <v>795</v>
      </c>
      <c r="Q254" s="25"/>
      <c r="R254" s="268">
        <f t="shared" si="156"/>
        <v>0</v>
      </c>
      <c r="S254" s="268">
        <f t="shared" si="157"/>
        <v>0</v>
      </c>
      <c r="T254" s="268">
        <f t="shared" si="158"/>
        <v>0</v>
      </c>
      <c r="U254" s="25"/>
    </row>
    <row r="255" spans="1:21" x14ac:dyDescent="0.2">
      <c r="A255" s="24" t="str">
        <f t="shared" si="159"/>
        <v xml:space="preserve">Wild finden </v>
      </c>
      <c r="B255" s="332" t="str">
        <f t="shared" si="160"/>
        <v/>
      </c>
      <c r="C255" s="323" t="str">
        <f t="shared" si="161"/>
        <v/>
      </c>
      <c r="D255" s="317" t="str">
        <f t="shared" ca="1" si="154"/>
        <v/>
      </c>
      <c r="E255" s="384"/>
      <c r="F255" s="960"/>
      <c r="G255" s="324"/>
      <c r="H255" s="372" t="str">
        <f t="shared" ca="1" si="155"/>
        <v/>
      </c>
      <c r="I255" s="268" t="str">
        <f t="shared" si="162"/>
        <v/>
      </c>
      <c r="J255" s="268"/>
      <c r="K255" s="268"/>
      <c r="L255" s="268"/>
      <c r="M255" s="268"/>
      <c r="N255" s="268"/>
      <c r="O255" s="268"/>
      <c r="P255" s="268">
        <f t="shared" si="163"/>
        <v>796</v>
      </c>
      <c r="Q255" s="25"/>
      <c r="R255" s="268">
        <f t="shared" si="156"/>
        <v>0</v>
      </c>
      <c r="S255" s="268">
        <f t="shared" si="157"/>
        <v>0</v>
      </c>
      <c r="T255" s="268">
        <f t="shared" si="158"/>
        <v>0</v>
      </c>
      <c r="U255" s="25"/>
    </row>
    <row r="256" spans="1:21" x14ac:dyDescent="0.2">
      <c r="A256" s="24" t="str">
        <f t="shared" si="159"/>
        <v xml:space="preserve">Wildschweinruf </v>
      </c>
      <c r="B256" s="332" t="str">
        <f t="shared" si="160"/>
        <v/>
      </c>
      <c r="C256" s="323" t="str">
        <f t="shared" si="161"/>
        <v/>
      </c>
      <c r="D256" s="317" t="str">
        <f t="shared" ca="1" si="154"/>
        <v/>
      </c>
      <c r="E256" s="384"/>
      <c r="F256" s="960"/>
      <c r="G256" s="324"/>
      <c r="H256" s="372" t="str">
        <f t="shared" ca="1" si="155"/>
        <v/>
      </c>
      <c r="I256" s="268" t="str">
        <f t="shared" si="162"/>
        <v/>
      </c>
      <c r="J256" s="268"/>
      <c r="K256" s="268"/>
      <c r="L256" s="268"/>
      <c r="M256" s="268"/>
      <c r="N256" s="268"/>
      <c r="O256" s="268"/>
      <c r="P256" s="268">
        <f t="shared" si="163"/>
        <v>797</v>
      </c>
      <c r="Q256" s="25"/>
      <c r="R256" s="268">
        <f t="shared" si="156"/>
        <v>0</v>
      </c>
      <c r="S256" s="268">
        <f t="shared" si="157"/>
        <v>0</v>
      </c>
      <c r="T256" s="268">
        <f t="shared" si="158"/>
        <v>0</v>
      </c>
      <c r="U256" s="25"/>
    </row>
    <row r="257" spans="1:25" x14ac:dyDescent="0.2">
      <c r="A257" s="24" t="str">
        <f t="shared" si="159"/>
        <v xml:space="preserve">Wolfsfluch </v>
      </c>
      <c r="B257" s="332" t="str">
        <f t="shared" si="160"/>
        <v/>
      </c>
      <c r="C257" s="323" t="str">
        <f t="shared" si="161"/>
        <v/>
      </c>
      <c r="D257" s="317" t="str">
        <f t="shared" ca="1" si="154"/>
        <v/>
      </c>
      <c r="E257" s="384"/>
      <c r="F257" s="960"/>
      <c r="G257" s="324"/>
      <c r="H257" s="372" t="str">
        <f t="shared" ca="1" si="155"/>
        <v/>
      </c>
      <c r="I257" s="268" t="str">
        <f t="shared" si="162"/>
        <v/>
      </c>
      <c r="J257" s="268"/>
      <c r="K257" s="268"/>
      <c r="L257" s="268"/>
      <c r="M257" s="268"/>
      <c r="N257" s="268"/>
      <c r="O257" s="268"/>
      <c r="P257" s="268">
        <f t="shared" si="163"/>
        <v>798</v>
      </c>
      <c r="Q257" s="25"/>
      <c r="R257" s="268">
        <f t="shared" si="156"/>
        <v>0</v>
      </c>
      <c r="S257" s="268">
        <f t="shared" si="157"/>
        <v>0</v>
      </c>
      <c r="T257" s="268">
        <f t="shared" si="158"/>
        <v>0</v>
      </c>
      <c r="U257" s="25"/>
    </row>
    <row r="258" spans="1:25" x14ac:dyDescent="0.2">
      <c r="A258" s="24" t="str">
        <f t="shared" si="159"/>
        <v xml:space="preserve">Wolfsruf </v>
      </c>
      <c r="B258" s="332" t="str">
        <f t="shared" si="160"/>
        <v/>
      </c>
      <c r="C258" s="323" t="str">
        <f t="shared" si="161"/>
        <v/>
      </c>
      <c r="D258" s="317" t="str">
        <f t="shared" ca="1" si="154"/>
        <v/>
      </c>
      <c r="E258" s="384"/>
      <c r="F258" s="960"/>
      <c r="G258" s="324"/>
      <c r="H258" s="372" t="str">
        <f t="shared" ca="1" si="155"/>
        <v/>
      </c>
      <c r="I258" s="268" t="str">
        <f t="shared" si="162"/>
        <v/>
      </c>
      <c r="J258" s="268"/>
      <c r="K258" s="268"/>
      <c r="L258" s="268"/>
      <c r="M258" s="268"/>
      <c r="N258" s="268"/>
      <c r="O258" s="268"/>
      <c r="P258" s="268">
        <f t="shared" si="163"/>
        <v>799</v>
      </c>
      <c r="Q258" s="25"/>
      <c r="R258" s="268">
        <f t="shared" si="156"/>
        <v>0</v>
      </c>
      <c r="S258" s="268">
        <f t="shared" si="157"/>
        <v>0</v>
      </c>
      <c r="T258" s="268">
        <f t="shared" si="158"/>
        <v>0</v>
      </c>
      <c r="U258" s="25"/>
    </row>
    <row r="259" spans="1:25" x14ac:dyDescent="0.2">
      <c r="A259" s="24" t="str">
        <f t="shared" si="159"/>
        <v>Wurzel des Blutes</v>
      </c>
      <c r="B259" s="332" t="str">
        <f t="shared" si="160"/>
        <v/>
      </c>
      <c r="C259" s="323" t="str">
        <f t="shared" si="161"/>
        <v/>
      </c>
      <c r="D259" s="317" t="str">
        <f t="shared" ca="1" si="154"/>
        <v/>
      </c>
      <c r="E259" s="384"/>
      <c r="F259" s="960"/>
      <c r="G259" s="324"/>
      <c r="H259" s="372" t="str">
        <f t="shared" ca="1" si="155"/>
        <v/>
      </c>
      <c r="I259" s="268" t="str">
        <f t="shared" si="162"/>
        <v/>
      </c>
      <c r="J259" s="268"/>
      <c r="K259" s="268"/>
      <c r="L259" s="268"/>
      <c r="M259" s="268"/>
      <c r="N259" s="268"/>
      <c r="O259" s="268"/>
      <c r="P259" s="268">
        <f t="shared" si="163"/>
        <v>800</v>
      </c>
      <c r="Q259" s="25"/>
      <c r="R259" s="268">
        <f t="shared" si="156"/>
        <v>0</v>
      </c>
      <c r="S259" s="268">
        <f t="shared" si="157"/>
        <v>0</v>
      </c>
      <c r="T259" s="268">
        <f t="shared" si="158"/>
        <v>0</v>
      </c>
      <c r="U259" s="25"/>
    </row>
    <row r="260" spans="1:25" x14ac:dyDescent="0.2">
      <c r="A260" s="24" t="str">
        <f t="shared" si="159"/>
        <v xml:space="preserve">Zauberklinge </v>
      </c>
      <c r="B260" s="332" t="str">
        <f t="shared" si="160"/>
        <v/>
      </c>
      <c r="C260" s="323" t="str">
        <f t="shared" si="161"/>
        <v/>
      </c>
      <c r="D260" s="317" t="str">
        <f t="shared" ca="1" si="154"/>
        <v/>
      </c>
      <c r="E260" s="384"/>
      <c r="F260" s="960"/>
      <c r="G260" s="324"/>
      <c r="H260" s="372" t="str">
        <f t="shared" ca="1" si="155"/>
        <v/>
      </c>
      <c r="I260" s="268" t="str">
        <f t="shared" si="162"/>
        <v/>
      </c>
      <c r="J260" s="268"/>
      <c r="K260" s="268"/>
      <c r="L260" s="268"/>
      <c r="M260" s="268"/>
      <c r="N260" s="268"/>
      <c r="O260" s="268"/>
      <c r="P260" s="268">
        <f t="shared" si="163"/>
        <v>801</v>
      </c>
      <c r="Q260" s="25"/>
      <c r="R260" s="268">
        <f t="shared" si="156"/>
        <v>0</v>
      </c>
      <c r="S260" s="268">
        <f t="shared" si="157"/>
        <v>0</v>
      </c>
      <c r="T260" s="268">
        <f t="shared" si="158"/>
        <v>0</v>
      </c>
      <c r="U260" s="25"/>
    </row>
    <row r="261" spans="1:25" x14ac:dyDescent="0.2">
      <c r="A261" s="24" t="str">
        <f t="shared" si="159"/>
        <v xml:space="preserve">Zeichen setzen </v>
      </c>
      <c r="B261" s="332" t="str">
        <f t="shared" si="160"/>
        <v/>
      </c>
      <c r="C261" s="323" t="str">
        <f t="shared" si="161"/>
        <v/>
      </c>
      <c r="D261" s="317" t="str">
        <f t="shared" ca="1" si="154"/>
        <v/>
      </c>
      <c r="E261" s="384"/>
      <c r="F261" s="960"/>
      <c r="G261" s="324"/>
      <c r="H261" s="372" t="str">
        <f t="shared" ca="1" si="155"/>
        <v/>
      </c>
      <c r="I261" s="268" t="str">
        <f t="shared" si="162"/>
        <v/>
      </c>
      <c r="J261" s="268"/>
      <c r="K261" s="268"/>
      <c r="L261" s="268"/>
      <c r="M261" s="268"/>
      <c r="N261" s="268"/>
      <c r="O261" s="268"/>
      <c r="P261" s="268">
        <f t="shared" si="163"/>
        <v>802</v>
      </c>
      <c r="Q261" s="25"/>
      <c r="R261" s="268">
        <f t="shared" si="156"/>
        <v>0</v>
      </c>
      <c r="S261" s="268">
        <f t="shared" si="157"/>
        <v>0</v>
      </c>
      <c r="T261" s="268">
        <f t="shared" si="158"/>
        <v>0</v>
      </c>
      <c r="U261" s="25"/>
    </row>
    <row r="262" spans="1:25" x14ac:dyDescent="0.2">
      <c r="A262" s="24" t="str">
        <f t="shared" si="159"/>
        <v xml:space="preserve">Zorn des Berglöwen </v>
      </c>
      <c r="B262" s="332" t="str">
        <f t="shared" si="160"/>
        <v/>
      </c>
      <c r="C262" s="323" t="str">
        <f t="shared" si="161"/>
        <v/>
      </c>
      <c r="D262" s="317" t="str">
        <f t="shared" ca="1" si="154"/>
        <v/>
      </c>
      <c r="E262" s="384"/>
      <c r="F262" s="960"/>
      <c r="G262" s="324"/>
      <c r="H262" s="372" t="str">
        <f t="shared" ca="1" si="155"/>
        <v/>
      </c>
      <c r="I262" s="268" t="str">
        <f t="shared" si="162"/>
        <v/>
      </c>
      <c r="J262" s="268"/>
      <c r="K262" s="268"/>
      <c r="L262" s="268"/>
      <c r="M262" s="268"/>
      <c r="N262" s="268"/>
      <c r="O262" s="268"/>
      <c r="P262" s="268">
        <f t="shared" si="163"/>
        <v>803</v>
      </c>
      <c r="Q262" s="25"/>
      <c r="R262" s="268">
        <f t="shared" si="156"/>
        <v>0</v>
      </c>
      <c r="S262" s="268">
        <f t="shared" si="157"/>
        <v>0</v>
      </c>
      <c r="T262" s="268">
        <f t="shared" si="158"/>
        <v>0</v>
      </c>
      <c r="U262" s="25"/>
    </row>
    <row r="263" spans="1:25" x14ac:dyDescent="0.2">
      <c r="A263" s="24" t="str">
        <f t="shared" si="159"/>
        <v xml:space="preserve">Zorn des Schneelaurers </v>
      </c>
      <c r="B263" s="332" t="str">
        <f t="shared" si="160"/>
        <v/>
      </c>
      <c r="C263" s="323" t="str">
        <f t="shared" si="161"/>
        <v/>
      </c>
      <c r="D263" s="317" t="str">
        <f t="shared" ca="1" si="154"/>
        <v/>
      </c>
      <c r="E263" s="384"/>
      <c r="F263" s="960"/>
      <c r="G263" s="324"/>
      <c r="H263" s="372" t="str">
        <f t="shared" ca="1" si="155"/>
        <v/>
      </c>
      <c r="I263" s="268" t="str">
        <f t="shared" si="162"/>
        <v/>
      </c>
      <c r="J263" s="268"/>
      <c r="K263" s="268"/>
      <c r="L263" s="268"/>
      <c r="M263" s="268"/>
      <c r="N263" s="268"/>
      <c r="O263" s="268"/>
      <c r="P263" s="268">
        <f t="shared" si="163"/>
        <v>804</v>
      </c>
      <c r="Q263" s="25"/>
      <c r="R263" s="268">
        <f t="shared" si="156"/>
        <v>0</v>
      </c>
      <c r="S263" s="268">
        <f t="shared" si="157"/>
        <v>0</v>
      </c>
      <c r="T263" s="268">
        <f t="shared" si="158"/>
        <v>0</v>
      </c>
      <c r="U263" s="25"/>
    </row>
    <row r="264" spans="1:25" x14ac:dyDescent="0.2">
      <c r="A264" s="25"/>
      <c r="B264" s="25"/>
      <c r="C264" s="25"/>
      <c r="D264" s="25"/>
      <c r="E264" s="26"/>
      <c r="F264" s="26"/>
      <c r="G264" s="26"/>
      <c r="H264" s="25"/>
      <c r="I264" s="25"/>
      <c r="J264" s="25"/>
      <c r="K264" s="25"/>
      <c r="L264" s="25"/>
      <c r="M264" s="25"/>
      <c r="N264" s="313"/>
      <c r="O264" s="25"/>
      <c r="P264" s="25"/>
      <c r="Q264" s="25"/>
      <c r="R264" s="25"/>
      <c r="S264" s="25"/>
      <c r="T264" s="25"/>
      <c r="U264" s="25"/>
    </row>
    <row r="265" spans="1:25" x14ac:dyDescent="0.2">
      <c r="A265" s="25"/>
      <c r="B265" s="25"/>
      <c r="C265" s="25"/>
      <c r="D265" s="25"/>
      <c r="E265" s="26"/>
      <c r="F265" s="26"/>
      <c r="G265" s="26"/>
      <c r="H265" s="25"/>
      <c r="I265" s="349" t="str">
        <f>CONCATENATE(J265,K265,L265)</f>
        <v/>
      </c>
      <c r="J265" s="350" t="str">
        <f>CONCATENATE(I175,I176,I177,I178,I179,I180,I181,I182,I183,I184,I185,I186,I187,I188,I189,I190,I191,I192,I193,I194,I195,I196,I197,I198,I199,I200,I201,I202,I203,I204)</f>
        <v/>
      </c>
      <c r="K265" s="350" t="str">
        <f>CONCATENATE(I205,I206,I207,I208,I209,I210,I211,I212,I213,I214,I215,I216,I217,I218,I219,I220,I221,I222,I223,I224,I225,I226,I227,I228,I229,I230,I231,I232,I233,I234)</f>
        <v/>
      </c>
      <c r="L265" s="350" t="str">
        <f>CONCATENATE(I235,I236,I237,I238,I239,I240,I241,I242,I243,I244,I245,I246,I247,I248,I249,I250,I251,I252,I253,I254,I255,I256,I257,I258,I259,I260,I261,I262,I263)</f>
        <v/>
      </c>
      <c r="M265" s="350"/>
      <c r="N265" s="350"/>
      <c r="O265" s="350"/>
      <c r="P265" s="351"/>
      <c r="Q265" s="25"/>
      <c r="R265" s="25"/>
      <c r="S265" s="25"/>
      <c r="T265" s="25"/>
      <c r="U265" s="25"/>
    </row>
    <row r="266" spans="1:25" x14ac:dyDescent="0.2">
      <c r="A266" s="25"/>
      <c r="B266" s="25"/>
      <c r="C266" s="25"/>
      <c r="D266" s="25"/>
      <c r="E266" s="26"/>
      <c r="F266" s="26"/>
      <c r="G266" s="26"/>
      <c r="H266" s="25"/>
      <c r="I266" s="352" t="str">
        <f ca="1">CONCATENATE(Y33,Y35,Y64,Y84,Y104,Y119,Y129)</f>
        <v>Grad 0,,</v>
      </c>
      <c r="J266" s="305"/>
      <c r="K266" s="305"/>
      <c r="L266" s="305"/>
      <c r="M266" s="305"/>
      <c r="N266" s="305"/>
      <c r="O266" s="305"/>
      <c r="P266" s="305"/>
      <c r="Q266" s="25"/>
      <c r="R266" s="25"/>
      <c r="S266" s="25"/>
      <c r="T266" s="25"/>
      <c r="U266" s="25"/>
    </row>
    <row r="267" spans="1:25" x14ac:dyDescent="0.2">
      <c r="A267" s="180" t="s">
        <v>1695</v>
      </c>
      <c r="B267" s="25"/>
      <c r="C267" s="25"/>
      <c r="D267" s="25"/>
      <c r="E267" s="26"/>
      <c r="F267" s="26"/>
      <c r="G267" s="26"/>
      <c r="H267" s="25" t="str">
        <f ca="1">IF(APGUT&lt;0,"Keine AP mehr übrig!",IF(TL_GP_UEBRIG&lt;0,"Keine Start-AP mehr übrig!","▼ Fehlermeldungen ▼  "&amp;"(AP: "&amp;APGUT&amp;")"))</f>
        <v>▼ Fehlermeldungen ▼  (AP: 0)</v>
      </c>
      <c r="I267" s="25"/>
      <c r="J267" s="25"/>
      <c r="K267" s="25"/>
      <c r="L267" s="25"/>
      <c r="M267" s="25"/>
      <c r="N267" s="313"/>
      <c r="O267" s="25"/>
      <c r="P267" s="25"/>
      <c r="Q267" s="25"/>
      <c r="R267" s="305"/>
      <c r="S267" s="305"/>
      <c r="T267" s="305"/>
      <c r="U267" s="25"/>
    </row>
    <row r="268" spans="1:25" ht="97.5" x14ac:dyDescent="0.2">
      <c r="B268" s="308" t="s">
        <v>2961</v>
      </c>
      <c r="C268" s="309" t="s">
        <v>2967</v>
      </c>
      <c r="D268" s="308" t="s">
        <v>2962</v>
      </c>
      <c r="E268" s="1"/>
      <c r="F268" s="1"/>
      <c r="G268" s="1"/>
      <c r="I268" s="311" t="s">
        <v>2963</v>
      </c>
      <c r="J268" s="311" t="s">
        <v>2964</v>
      </c>
      <c r="K268" s="311" t="s">
        <v>2965</v>
      </c>
      <c r="L268" s="311" t="s">
        <v>2966</v>
      </c>
      <c r="M268" s="368"/>
      <c r="N268" s="268"/>
      <c r="O268" s="268"/>
      <c r="P268" s="268"/>
      <c r="Q268" s="25"/>
      <c r="R268" s="268"/>
      <c r="S268" s="268"/>
      <c r="T268" s="268"/>
      <c r="U268" s="25"/>
      <c r="V268" s="25"/>
      <c r="W268" s="25"/>
      <c r="X268" s="25"/>
      <c r="Y268" s="25"/>
    </row>
    <row r="269" spans="1:25" x14ac:dyDescent="0.2">
      <c r="A269" s="38"/>
      <c r="B269" s="332" t="str">
        <f>IF(A269="","",VLOOKUP(A269,Schamanen_Rituale_all,2,FALSE))</f>
        <v/>
      </c>
      <c r="C269" s="323" t="str">
        <f t="shared" ref="C269:C278" si="164">IF(A269="","",IF(M269&lt;0,0,VALUE(M269))+IF(P269&lt;0,0,VALUE(P269))+IF(N269&lt;0,0,VALUE(N269))+IF(O269&lt;0,0,VALUE(O269)))</f>
        <v/>
      </c>
      <c r="D269" s="332" t="str">
        <f>IF(A269="","",VLOOKUP(VLOOKUP(A269,Schamanen_Rituale_all,3,FALSE)+C269,GRADE,2,FALSE))</f>
        <v/>
      </c>
      <c r="E269" s="26"/>
      <c r="F269" s="26"/>
      <c r="G269" s="26"/>
      <c r="H269" s="372" t="str">
        <f ca="1">IF(OR(A269="",Liturgien!$C$11=""),"",IF((VLOOKUP(A269,Liturgien_all,3,FALSE)+C269)*3&gt;Liturgien!$C$11,"Liturgiekenntnis-Wert zu niedrig!",""))</f>
        <v/>
      </c>
      <c r="I269" s="307"/>
      <c r="J269" s="307"/>
      <c r="K269" s="307"/>
      <c r="L269" s="307"/>
      <c r="M269" s="268">
        <f>IF($A269="",0,IF(OR(VLOOKUP($A269,Schamanen_Rituale_all,4,FALSE)="speziell",ISNA(VLOOKUP(VLOOKUP($A269,Schamanen_Rituale_all,4,FALSE),ZIEL_WERT,2,FALSE))),0,IF($I269="",0,VLOOKUP($I269,ZIEL_WERT,2,FALSE)-VLOOKUP(VLOOKUP($A269,Schamanen_Rituale_all,4,FALSE),ZIEL_WERT,2,FALSE))))</f>
        <v>0</v>
      </c>
      <c r="N269" s="268">
        <f>IF(A269="",0,IF(VLOOKUP(A269,Schamanen_Rituale_all,12,FALSE)="speziell",0,IF(J269="",0,VLOOKUP(J269,RITUALDAUER_S_WERT,2,FALSE)-VLOOKUP(VLOOKUP(A269,Schamanen_Rituale_all,12,FALSE),RITUALDAUER_S_WERT,2,FALSE))))</f>
        <v>0</v>
      </c>
      <c r="O269" s="268">
        <f>IF(A269="",0,IF(VLOOKUP(A269,Schamanen_Rituale_all,13,FALSE)="speziell",0,IF(K269="",0,VLOOKUP(K269,WIRKUNGSDAUER_S_WERT,2,FALSE)-VLOOKUP(VLOOKUP(A269,Schamanen_Rituale_all,13,FALSE),WIRKUNGSDAUER_S_WERT,2,FALSE))))</f>
        <v>0</v>
      </c>
      <c r="P269" s="268">
        <f>IF(A269="",0,IF(VLOOKUP(A269,Schamanen_Rituale_all,7,FALSE)="speziell",0,IF(L269="",0,VLOOKUP(L269,ENTFERNUNG_WERT,2,FALSE)-VLOOKUP(VLOOKUP(A269,Schamanen_Rituale_all,7,FALSE),ENTFERNUNG_WERT,2,FALSE))))</f>
        <v>0</v>
      </c>
      <c r="Q269" s="25"/>
      <c r="R269" s="305"/>
      <c r="S269" s="305"/>
      <c r="T269" s="268">
        <f>IF(C269="",0,C269*10)</f>
        <v>0</v>
      </c>
      <c r="U269" s="25"/>
      <c r="V269" s="268" t="s">
        <v>1696</v>
      </c>
      <c r="W269" s="268"/>
      <c r="X269" s="268"/>
      <c r="Y269" s="25"/>
    </row>
    <row r="270" spans="1:25" x14ac:dyDescent="0.2">
      <c r="A270" s="38"/>
      <c r="B270" s="332" t="str">
        <f t="shared" ref="B270:B278" si="165">IF(A270="","",VLOOKUP(A270,Schamanen_Rituale_all,2,FALSE))</f>
        <v/>
      </c>
      <c r="C270" s="323" t="str">
        <f t="shared" si="164"/>
        <v/>
      </c>
      <c r="D270" s="332" t="str">
        <f t="shared" ref="D270:D278" si="166">IF(A270="","",VLOOKUP(VLOOKUP(A270,Schamanen_Rituale_all,3,FALSE)+C270,GRADE,2,FALSE))</f>
        <v/>
      </c>
      <c r="E270" s="26"/>
      <c r="F270" s="26"/>
      <c r="G270" s="26"/>
      <c r="H270" s="372" t="str">
        <f ca="1">IF(OR(A270="",Liturgien!$C$11=""),"",IF((VLOOKUP(A270,Liturgien_all,3,FALSE)+C270)*3&gt;Liturgien!$C$11,"Liturgiekenntnis-Wert zu niedrig!",""))</f>
        <v/>
      </c>
      <c r="I270" s="307"/>
      <c r="J270" s="307"/>
      <c r="K270" s="307"/>
      <c r="L270" s="307"/>
      <c r="M270" s="268">
        <f t="shared" ref="M270:M278" si="167">IF($A270="",0,IF(OR(VLOOKUP($A270,Schamanen_Rituale_all,4,FALSE)="speziell",ISNA(VLOOKUP(VLOOKUP($A270,Schamanen_Rituale_all,4,FALSE),ZIEL_WERT,2,FALSE))),0,IF($I270="",0,VLOOKUP($I270,ZIEL_WERT,2,FALSE)-VLOOKUP(VLOOKUP($A270,Schamanen_Rituale_all,4,FALSE),ZIEL_WERT,2,FALSE))))</f>
        <v>0</v>
      </c>
      <c r="N270" s="268">
        <f t="shared" ref="N270:N278" si="168">IF(A270="",0,IF(VLOOKUP(A270,Schamanen_Rituale_all,12,FALSE)="speziell",0,IF(J270="",0,VLOOKUP(J270,RITUALDAUER_S_WERT,2,FALSE)-VLOOKUP(VLOOKUP(A270,Schamanen_Rituale_all,12,FALSE),RITUALDAUER_S_WERT,2,FALSE))))</f>
        <v>0</v>
      </c>
      <c r="O270" s="268">
        <f t="shared" ref="O270:O278" si="169">IF(A270="",0,IF(VLOOKUP(A270,Schamanen_Rituale_all,13,FALSE)="speziell",0,IF(K270="",0,VLOOKUP(K270,WIRKUNGSDAUER_S_WERT,2,FALSE)-VLOOKUP(VLOOKUP(A270,Schamanen_Rituale_all,13,FALSE),WIRKUNGSDAUER_S_WERT,2,FALSE))))</f>
        <v>0</v>
      </c>
      <c r="P270" s="268">
        <f t="shared" ref="P270:P278" si="170">IF(A270="",0,IF(VLOOKUP(A270,Schamanen_Rituale_all,7,FALSE)="speziell",0,IF(L270="",0,VLOOKUP(L270,ENTFERNUNG_WERT,2,FALSE)-VLOOKUP(VLOOKUP(A270,Schamanen_Rituale_all,7,FALSE),ENTFERNUNG_WERT,2,FALSE))))</f>
        <v>0</v>
      </c>
      <c r="Q270" s="25"/>
      <c r="R270" s="305"/>
      <c r="S270" s="305"/>
      <c r="T270" s="268">
        <f t="shared" ref="T270:T278" si="171">IF(C270="",0,C270*10)</f>
        <v>0</v>
      </c>
      <c r="U270" s="25"/>
      <c r="V270" s="25"/>
      <c r="W270" s="25"/>
      <c r="X270" s="25"/>
      <c r="Y270" s="25"/>
    </row>
    <row r="271" spans="1:25" x14ac:dyDescent="0.2">
      <c r="A271" s="38"/>
      <c r="B271" s="332" t="str">
        <f t="shared" si="165"/>
        <v/>
      </c>
      <c r="C271" s="323" t="str">
        <f t="shared" si="164"/>
        <v/>
      </c>
      <c r="D271" s="332" t="str">
        <f t="shared" si="166"/>
        <v/>
      </c>
      <c r="E271" s="26"/>
      <c r="F271" s="26"/>
      <c r="G271" s="26"/>
      <c r="H271" s="372" t="str">
        <f ca="1">IF(OR(A271="",Liturgien!$C$11=""),"",IF((VLOOKUP(A271,Liturgien_all,3,FALSE)+C271)*3&gt;Liturgien!$C$11,"Liturgiekenntnis-Wert zu niedrig!",""))</f>
        <v/>
      </c>
      <c r="I271" s="307"/>
      <c r="J271" s="307"/>
      <c r="K271" s="307"/>
      <c r="L271" s="307"/>
      <c r="M271" s="268">
        <f t="shared" si="167"/>
        <v>0</v>
      </c>
      <c r="N271" s="268">
        <f t="shared" si="168"/>
        <v>0</v>
      </c>
      <c r="O271" s="268">
        <f t="shared" si="169"/>
        <v>0</v>
      </c>
      <c r="P271" s="268">
        <f t="shared" si="170"/>
        <v>0</v>
      </c>
      <c r="Q271" s="25"/>
      <c r="R271" s="305"/>
      <c r="S271" s="305"/>
      <c r="T271" s="268">
        <f t="shared" si="171"/>
        <v>0</v>
      </c>
      <c r="U271" s="25"/>
    </row>
    <row r="272" spans="1:25" x14ac:dyDescent="0.2">
      <c r="A272" s="38"/>
      <c r="B272" s="332" t="str">
        <f t="shared" si="165"/>
        <v/>
      </c>
      <c r="C272" s="323" t="str">
        <f t="shared" si="164"/>
        <v/>
      </c>
      <c r="D272" s="332" t="str">
        <f t="shared" si="166"/>
        <v/>
      </c>
      <c r="E272" s="26"/>
      <c r="F272" s="26"/>
      <c r="G272" s="26"/>
      <c r="H272" s="372" t="str">
        <f ca="1">IF(OR(A272="",Liturgien!$C$11=""),"",IF((VLOOKUP(A272,Liturgien_all,3,FALSE)+C272)*3&gt;Liturgien!$C$11,"Liturgiekenntnis-Wert zu niedrig!",""))</f>
        <v/>
      </c>
      <c r="I272" s="307"/>
      <c r="J272" s="307"/>
      <c r="K272" s="307"/>
      <c r="L272" s="307"/>
      <c r="M272" s="268">
        <f t="shared" si="167"/>
        <v>0</v>
      </c>
      <c r="N272" s="268">
        <f t="shared" si="168"/>
        <v>0</v>
      </c>
      <c r="O272" s="268">
        <f t="shared" si="169"/>
        <v>0</v>
      </c>
      <c r="P272" s="268">
        <f t="shared" si="170"/>
        <v>0</v>
      </c>
      <c r="Q272" s="25"/>
      <c r="R272" s="305"/>
      <c r="S272" s="305"/>
      <c r="T272" s="268">
        <f t="shared" si="171"/>
        <v>0</v>
      </c>
      <c r="U272" s="25"/>
    </row>
    <row r="273" spans="1:21" x14ac:dyDescent="0.2">
      <c r="A273" s="38"/>
      <c r="B273" s="332" t="str">
        <f t="shared" si="165"/>
        <v/>
      </c>
      <c r="C273" s="323" t="str">
        <f t="shared" si="164"/>
        <v/>
      </c>
      <c r="D273" s="332" t="str">
        <f t="shared" si="166"/>
        <v/>
      </c>
      <c r="E273" s="26"/>
      <c r="F273" s="26"/>
      <c r="G273" s="26"/>
      <c r="H273" s="372" t="str">
        <f ca="1">IF(OR(A273="",Liturgien!$C$11=""),"",IF((VLOOKUP(A273,Liturgien_all,3,FALSE)+C273)*3&gt;Liturgien!$C$11,"Liturgiekenntnis-Wert zu niedrig!",""))</f>
        <v/>
      </c>
      <c r="I273" s="307"/>
      <c r="J273" s="307"/>
      <c r="K273" s="307"/>
      <c r="L273" s="307"/>
      <c r="M273" s="268">
        <f t="shared" si="167"/>
        <v>0</v>
      </c>
      <c r="N273" s="268">
        <f t="shared" si="168"/>
        <v>0</v>
      </c>
      <c r="O273" s="268">
        <f t="shared" si="169"/>
        <v>0</v>
      </c>
      <c r="P273" s="268">
        <f t="shared" si="170"/>
        <v>0</v>
      </c>
      <c r="Q273" s="25"/>
      <c r="R273" s="305"/>
      <c r="S273" s="305"/>
      <c r="T273" s="268">
        <f t="shared" si="171"/>
        <v>0</v>
      </c>
      <c r="U273" s="25"/>
    </row>
    <row r="274" spans="1:21" x14ac:dyDescent="0.2">
      <c r="A274" s="38"/>
      <c r="B274" s="332" t="str">
        <f t="shared" si="165"/>
        <v/>
      </c>
      <c r="C274" s="323" t="str">
        <f t="shared" si="164"/>
        <v/>
      </c>
      <c r="D274" s="332" t="str">
        <f t="shared" si="166"/>
        <v/>
      </c>
      <c r="E274" s="26"/>
      <c r="F274" s="26"/>
      <c r="G274" s="26"/>
      <c r="H274" s="372" t="str">
        <f ca="1">IF(OR(A274="",Liturgien!$C$11=""),"",IF((VLOOKUP(A274,Liturgien_all,3,FALSE)+C274)*3&gt;Liturgien!$C$11,"Liturgiekenntnis-Wert zu niedrig!",""))</f>
        <v/>
      </c>
      <c r="I274" s="307"/>
      <c r="J274" s="307"/>
      <c r="K274" s="307"/>
      <c r="L274" s="307"/>
      <c r="M274" s="268">
        <f t="shared" si="167"/>
        <v>0</v>
      </c>
      <c r="N274" s="268">
        <f t="shared" si="168"/>
        <v>0</v>
      </c>
      <c r="O274" s="268">
        <f t="shared" si="169"/>
        <v>0</v>
      </c>
      <c r="P274" s="268">
        <f t="shared" si="170"/>
        <v>0</v>
      </c>
      <c r="Q274" s="25"/>
      <c r="R274" s="305"/>
      <c r="S274" s="305"/>
      <c r="T274" s="268">
        <f t="shared" si="171"/>
        <v>0</v>
      </c>
      <c r="U274" s="25"/>
    </row>
    <row r="275" spans="1:21" x14ac:dyDescent="0.2">
      <c r="A275" s="38"/>
      <c r="B275" s="332" t="str">
        <f t="shared" si="165"/>
        <v/>
      </c>
      <c r="C275" s="323" t="str">
        <f t="shared" si="164"/>
        <v/>
      </c>
      <c r="D275" s="332" t="str">
        <f t="shared" si="166"/>
        <v/>
      </c>
      <c r="E275" s="26"/>
      <c r="F275" s="26"/>
      <c r="G275" s="26"/>
      <c r="H275" s="372" t="str">
        <f ca="1">IF(OR(A275="",Liturgien!$C$11=""),"",IF((VLOOKUP(A275,Liturgien_all,3,FALSE)+C275)*3&gt;Liturgien!$C$11,"Liturgiekenntnis-Wert zu niedrig!",""))</f>
        <v/>
      </c>
      <c r="I275" s="307"/>
      <c r="J275" s="307"/>
      <c r="K275" s="307"/>
      <c r="L275" s="307"/>
      <c r="M275" s="268">
        <f t="shared" si="167"/>
        <v>0</v>
      </c>
      <c r="N275" s="268">
        <f t="shared" si="168"/>
        <v>0</v>
      </c>
      <c r="O275" s="268">
        <f t="shared" si="169"/>
        <v>0</v>
      </c>
      <c r="P275" s="268">
        <f t="shared" si="170"/>
        <v>0</v>
      </c>
      <c r="Q275" s="25"/>
      <c r="R275" s="305"/>
      <c r="S275" s="305"/>
      <c r="T275" s="268">
        <f t="shared" si="171"/>
        <v>0</v>
      </c>
      <c r="U275" s="25"/>
    </row>
    <row r="276" spans="1:21" x14ac:dyDescent="0.2">
      <c r="A276" s="38"/>
      <c r="B276" s="332" t="str">
        <f t="shared" si="165"/>
        <v/>
      </c>
      <c r="C276" s="323" t="str">
        <f t="shared" si="164"/>
        <v/>
      </c>
      <c r="D276" s="332" t="str">
        <f t="shared" si="166"/>
        <v/>
      </c>
      <c r="E276" s="26"/>
      <c r="F276" s="26"/>
      <c r="G276" s="26"/>
      <c r="H276" s="372" t="str">
        <f ca="1">IF(OR(A276="",Liturgien!$C$11=""),"",IF((VLOOKUP(A276,Liturgien_all,3,FALSE)+C276)*3&gt;Liturgien!$C$11,"Liturgiekenntnis-Wert zu niedrig!",""))</f>
        <v/>
      </c>
      <c r="I276" s="307"/>
      <c r="J276" s="307"/>
      <c r="K276" s="307"/>
      <c r="L276" s="307"/>
      <c r="M276" s="268">
        <f t="shared" si="167"/>
        <v>0</v>
      </c>
      <c r="N276" s="268">
        <f t="shared" si="168"/>
        <v>0</v>
      </c>
      <c r="O276" s="268">
        <f t="shared" si="169"/>
        <v>0</v>
      </c>
      <c r="P276" s="268">
        <f t="shared" si="170"/>
        <v>0</v>
      </c>
      <c r="Q276" s="25"/>
      <c r="R276" s="305"/>
      <c r="S276" s="305"/>
      <c r="T276" s="268">
        <f t="shared" si="171"/>
        <v>0</v>
      </c>
      <c r="U276" s="25"/>
    </row>
    <row r="277" spans="1:21" x14ac:dyDescent="0.2">
      <c r="A277" s="38"/>
      <c r="B277" s="332" t="str">
        <f t="shared" si="165"/>
        <v/>
      </c>
      <c r="C277" s="323" t="str">
        <f t="shared" si="164"/>
        <v/>
      </c>
      <c r="D277" s="332" t="str">
        <f t="shared" si="166"/>
        <v/>
      </c>
      <c r="E277" s="26"/>
      <c r="F277" s="26"/>
      <c r="G277" s="26"/>
      <c r="H277" s="372" t="str">
        <f ca="1">IF(OR(A277="",Liturgien!$C$11=""),"",IF((VLOOKUP(A277,Liturgien_all,3,FALSE)+C277)*3&gt;Liturgien!$C$11,"Liturgiekenntnis-Wert zu niedrig!",""))</f>
        <v/>
      </c>
      <c r="I277" s="307"/>
      <c r="J277" s="307"/>
      <c r="K277" s="307"/>
      <c r="L277" s="307"/>
      <c r="M277" s="268">
        <f t="shared" si="167"/>
        <v>0</v>
      </c>
      <c r="N277" s="268">
        <f t="shared" si="168"/>
        <v>0</v>
      </c>
      <c r="O277" s="268">
        <f t="shared" si="169"/>
        <v>0</v>
      </c>
      <c r="P277" s="268">
        <f t="shared" si="170"/>
        <v>0</v>
      </c>
      <c r="Q277" s="25"/>
      <c r="R277" s="305"/>
      <c r="S277" s="305"/>
      <c r="T277" s="268">
        <f t="shared" si="171"/>
        <v>0</v>
      </c>
      <c r="U277" s="25"/>
    </row>
    <row r="278" spans="1:21" x14ac:dyDescent="0.2">
      <c r="A278" s="38"/>
      <c r="B278" s="332" t="str">
        <f t="shared" si="165"/>
        <v/>
      </c>
      <c r="C278" s="323" t="str">
        <f t="shared" si="164"/>
        <v/>
      </c>
      <c r="D278" s="332" t="str">
        <f t="shared" si="166"/>
        <v/>
      </c>
      <c r="E278" s="26"/>
      <c r="F278" s="26"/>
      <c r="G278" s="26"/>
      <c r="H278" s="372" t="str">
        <f ca="1">IF(OR(A278="",Liturgien!$C$11=""),"",IF((VLOOKUP(A278,Liturgien_all,3,FALSE)+C278)*3&gt;Liturgien!$C$11,"Liturgiekenntnis-Wert zu niedrig!",""))</f>
        <v/>
      </c>
      <c r="I278" s="307"/>
      <c r="J278" s="307"/>
      <c r="K278" s="307"/>
      <c r="L278" s="307"/>
      <c r="M278" s="268">
        <f t="shared" si="167"/>
        <v>0</v>
      </c>
      <c r="N278" s="268">
        <f t="shared" si="168"/>
        <v>0</v>
      </c>
      <c r="O278" s="268">
        <f t="shared" si="169"/>
        <v>0</v>
      </c>
      <c r="P278" s="268">
        <f t="shared" si="170"/>
        <v>0</v>
      </c>
      <c r="Q278" s="25"/>
      <c r="R278" s="305"/>
      <c r="S278" s="305"/>
      <c r="T278" s="268">
        <f t="shared" si="171"/>
        <v>0</v>
      </c>
      <c r="U278" s="25"/>
    </row>
    <row r="284" spans="1:21" x14ac:dyDescent="0.2">
      <c r="I284" s="47"/>
      <c r="J284" s="47"/>
      <c r="K284" s="47"/>
      <c r="L284" s="47"/>
      <c r="M284" s="47"/>
      <c r="N284" s="603"/>
      <c r="O284" s="47"/>
      <c r="P284" s="47"/>
      <c r="Q284" s="47"/>
      <c r="R284" s="47"/>
    </row>
    <row r="285" spans="1:21" x14ac:dyDescent="0.2">
      <c r="I285" s="47"/>
      <c r="J285" s="47"/>
      <c r="K285" s="47"/>
      <c r="L285" s="47"/>
      <c r="M285" s="47"/>
      <c r="N285" s="603"/>
      <c r="O285" s="47"/>
      <c r="P285" s="47"/>
      <c r="Q285" s="47"/>
      <c r="R285" s="47"/>
    </row>
    <row r="286" spans="1:21" x14ac:dyDescent="0.2">
      <c r="I286" s="47"/>
      <c r="J286" s="47"/>
      <c r="K286" s="47"/>
      <c r="L286" s="47"/>
      <c r="M286" s="47"/>
      <c r="N286" s="603"/>
      <c r="O286" s="47"/>
      <c r="P286" s="47"/>
      <c r="Q286" s="47"/>
      <c r="R286" s="47"/>
    </row>
    <row r="287" spans="1:21" x14ac:dyDescent="0.2">
      <c r="I287" s="47"/>
      <c r="J287" s="47"/>
      <c r="K287" s="47"/>
      <c r="L287" s="47"/>
      <c r="M287" s="47"/>
      <c r="N287" s="603"/>
      <c r="O287" s="47"/>
      <c r="P287" s="47"/>
      <c r="Q287" s="47"/>
      <c r="R287" s="47"/>
    </row>
    <row r="288" spans="1:21" x14ac:dyDescent="0.2">
      <c r="I288" s="47"/>
      <c r="J288" s="47"/>
      <c r="K288" s="47"/>
      <c r="L288" s="47"/>
      <c r="M288" s="47"/>
      <c r="N288" s="603"/>
      <c r="O288" s="47"/>
      <c r="P288" s="47"/>
      <c r="Q288" s="47"/>
      <c r="R288" s="47"/>
    </row>
    <row r="289" spans="9:18" x14ac:dyDescent="0.2">
      <c r="I289" s="47"/>
      <c r="J289" s="47"/>
      <c r="K289" s="47"/>
      <c r="L289" s="47"/>
      <c r="M289" s="47"/>
      <c r="N289" s="603"/>
      <c r="O289" s="47"/>
      <c r="P289" s="47"/>
      <c r="Q289" s="47"/>
      <c r="R289" s="47"/>
    </row>
    <row r="290" spans="9:18" x14ac:dyDescent="0.2">
      <c r="I290" s="47"/>
      <c r="J290" s="47"/>
      <c r="K290" s="47"/>
      <c r="L290" s="47"/>
      <c r="M290" s="47"/>
      <c r="N290" s="603"/>
      <c r="O290" s="47"/>
      <c r="P290" s="47"/>
      <c r="Q290" s="47"/>
      <c r="R290" s="47"/>
    </row>
    <row r="291" spans="9:18" x14ac:dyDescent="0.2">
      <c r="I291" s="47"/>
      <c r="J291" s="47"/>
      <c r="K291" s="47"/>
      <c r="L291" s="47"/>
      <c r="M291" s="47"/>
      <c r="N291" s="603"/>
      <c r="O291" s="47"/>
      <c r="P291" s="47"/>
      <c r="Q291" s="47"/>
      <c r="R291" s="47"/>
    </row>
  </sheetData>
  <mergeCells count="4">
    <mergeCell ref="I26:K26"/>
    <mergeCell ref="M26:O26"/>
    <mergeCell ref="M25:O25"/>
    <mergeCell ref="I9:P9"/>
  </mergeCells>
  <phoneticPr fontId="3" type="noConversion"/>
  <dataValidations count="19">
    <dataValidation type="list" allowBlank="1" showInputMessage="1" showErrorMessage="1" sqref="J154:J171 J33 J35:J62 J64:J82 J84:J102 J104:J117 J119:J127 J129:J137 J139:J151">
      <formula1>IF($A33="",SHOW_Liturgie,IF(OR(VLOOKUP($A33,Liturgien_all,4,FALSE)="speziell",ISNA(VLOOKUP(VLOOKUP($A33,Liturgien_all,4,FALSE),ZIEL_WERT,2,FALSE))),SHOW_nicht_möglich,ZIEL))</formula1>
    </dataValidation>
    <dataValidation type="list" allowBlank="1" showInputMessage="1" showErrorMessage="1" sqref="L154:L171 L33 L35:L62 L64:L82 L84:L102 L104:L117 L119:L127 L129:L137 L139:L151">
      <formula1>IF($A33="",SHOW_Liturgie,IF(OR(VLOOKUP($A33,Liturgien_all,6,FALSE)="speziell",ISNA(VLOOKUP(VLOOKUP($A33,Liturgien_all,6,FALSE),WIRKUNGSDAUER_WERT,2,FALSE))),SHOW_Speziell,WIRKUNGSDAUER))</formula1>
    </dataValidation>
    <dataValidation type="list" allowBlank="1" showInputMessage="1" showErrorMessage="1" sqref="M154:M171 M35:M62 M64:M82 M84:M102 M104:M117 M119:M127 M129:M137 M139:M151 M33">
      <formula1>IF($A33="",SHOW_Liturgie,IF(OR(VLOOKUP($A33,Liturgien_all,7,FALSE)="speziell",ISNA(VLOOKUP(VLOOKUP($A33,Liturgien_all,7,FALSE),ENTFERNUNG_WERT,2,FALSE))),SHOW_Speziell,ENTFERNUNG))</formula1>
    </dataValidation>
    <dataValidation type="list" allowBlank="1" showInputMessage="1" showErrorMessage="1" sqref="K154:K171 K33 K35:K62 K64:K82 K84:K102 K104:K117 K119:K127 K129:K137 K139:K151">
      <formula1>IF($A33="",SHOW_Liturgie,IF(OR(VLOOKUP($A33,Liturgien_all,5,FALSE)="speziell",ISNA(VLOOKUP(VLOOKUP($A33,Liturgien_all,5,FALSE),RITUALDAUER_WERT,2,FALSE))),SHOW_Speziell,RITUALDAUER))</formula1>
    </dataValidation>
    <dataValidation type="list" allowBlank="1" showInputMessage="1" showErrorMessage="1" sqref="I269:I278">
      <formula1>IF($A269="",SHOW_Ritual,IF(OR(VLOOKUP($A269,Schamanen_Rituale_all,4,FALSE)="speziell",ISNA(VLOOKUP(VLOOKUP($A269,Schamanen_Rituale_all,4,FALSE),ZIEL_WERT,2,FALSE))),SHOW_nicht_möglich,ZIEL))</formula1>
    </dataValidation>
    <dataValidation type="list" allowBlank="1" showInputMessage="1" showErrorMessage="1" sqref="L269:L278">
      <formula1>IF($A269="",SHOW_Ritual,IF(OR(VLOOKUP($A269,Schamanen_Rituale_all,7,FALSE)="speziell",ISNA(VLOOKUP(VLOOKUP($A269,Schamanen_Rituale_all,7,FALSE),ENTFERNUNG_WERT,2,FALSE))),SHOW_Speziell,ENTFERNUNG))</formula1>
    </dataValidation>
    <dataValidation type="list" allowBlank="1" showInputMessage="1" showErrorMessage="1" sqref="J269:J278">
      <formula1>IF($A269="",SHOW_Ritual,IF(OR(VLOOKUP($A269,Schamanen_Rituale_all,12,FALSE)="speziell",ISNA(VLOOKUP(VLOOKUP($A269,Schamanen_Rituale_all,12,FALSE),RITUALDAUER_S_WERT,2,FALSE))),SHOW_Speziell,RITUALDAUER_S))</formula1>
    </dataValidation>
    <dataValidation type="list" allowBlank="1" showInputMessage="1" showErrorMessage="1" sqref="K269:K278">
      <formula1>IF($A269="",SHOW_Ritual,IF(OR(VLOOKUP($A269,Schamanen_Rituale_all,13,FALSE)="speziell",ISNA(VLOOKUP(VLOOKUP($A269,Schamanen_Rituale_all,13,FALSE),WIRKUNGSDAUER_S_WERT,2,FALSE))),SHOW_Speziell,WIRKUNGSDAUER_S))</formula1>
    </dataValidation>
    <dataValidation type="list" allowBlank="1" showInputMessage="1" showErrorMessage="1" sqref="A139:A151 A154:A171">
      <formula1>Liturgien</formula1>
    </dataValidation>
    <dataValidation type="list" allowBlank="1" showInputMessage="1" showErrorMessage="1" sqref="A26">
      <formula1>SPAETGEWEIHTER</formula1>
    </dataValidation>
    <dataValidation type="list" allowBlank="1" showInputMessage="1" showErrorMessage="1" sqref="A29">
      <formula1>"noch nicht implementiert, ,"</formula1>
    </dataValidation>
    <dataValidation type="list" allowBlank="1" showInputMessage="1" showErrorMessage="1" sqref="A269:A278">
      <formula1>Schamanen_Rituale</formula1>
    </dataValidation>
    <dataValidation type="list" allowBlank="1" showInputMessage="1" showErrorMessage="1" sqref="AA32">
      <formula1>"Wahr,Falsch"</formula1>
    </dataValidation>
    <dataValidation type="list" allowBlank="1" showInputMessage="1" showErrorMessage="1" sqref="F35:F62 F129:F137 F119:F127 F104:F117 F84:F102 F64:F82">
      <formula1>"X,2,x"</formula1>
    </dataValidation>
    <dataValidation type="list" allowBlank="1" showInputMessage="1" showErrorMessage="1" sqref="I33 I35:I62 I64:I82 I84:I102 I104:I117 I119:I127 I129:I137 I139:I151">
      <formula1>"1,2,3,4,5,6,7"</formula1>
    </dataValidation>
    <dataValidation type="list" allowBlank="1" showInputMessage="1" showErrorMessage="1" sqref="N35:N62">
      <formula1>"-1,1,2,"</formula1>
    </dataValidation>
    <dataValidation type="list" allowBlank="1" showInputMessage="1" showErrorMessage="1" sqref="N64:N82">
      <formula1>"-2,-1,1,2,"</formula1>
    </dataValidation>
    <dataValidation type="list" allowBlank="1" showInputMessage="1" showErrorMessage="1" sqref="N84:N102">
      <formula1>"-3,-2,-1,1,2,"</formula1>
    </dataValidation>
    <dataValidation type="list" allowBlank="1" showInputMessage="1" showErrorMessage="1" sqref="N104:N117 N139:N151 N129:N137 N119:N127">
      <formula1>"-6,-5,-4,-3,-2,-1,1,2,"</formula1>
    </dataValidation>
  </dataValidations>
  <printOptions headings="1"/>
  <pageMargins left="0.78740157499999996" right="0.78740157499999996" top="0.984251969" bottom="0.984251969" header="0.5" footer="0.5"/>
  <pageSetup paperSize="9" scale="81" orientation="landscape" r:id="rId1"/>
  <headerFooter alignWithMargins="0"/>
  <colBreaks count="1" manualBreakCount="1">
    <brk id="16"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indexed="44"/>
    <pageSetUpPr fitToPage="1"/>
  </sheetPr>
  <dimension ref="A1:U43"/>
  <sheetViews>
    <sheetView showGridLines="0" view="pageBreakPreview" zoomScaleNormal="100" zoomScaleSheetLayoutView="100" workbookViewId="0">
      <selection activeCell="Q3" sqref="Q3:R3"/>
    </sheetView>
  </sheetViews>
  <sheetFormatPr baseColWidth="10" defaultRowHeight="12.75" x14ac:dyDescent="0.2"/>
  <cols>
    <col min="1" max="1" width="17" style="1" customWidth="1"/>
    <col min="2" max="4" width="6.28515625" style="1" customWidth="1"/>
    <col min="5" max="5" width="2.140625" style="1" customWidth="1"/>
    <col min="6" max="6" width="9.28515625" style="1" customWidth="1"/>
    <col min="7" max="7" width="10.140625" style="1" customWidth="1"/>
    <col min="8" max="8" width="2.140625" style="1" customWidth="1"/>
    <col min="9" max="9" width="5.42578125" style="1" customWidth="1"/>
    <col min="10" max="10" width="12.42578125" style="1" customWidth="1"/>
    <col min="11" max="12" width="6.28515625" style="1" customWidth="1"/>
    <col min="13" max="13" width="1.85546875" style="1" customWidth="1"/>
    <col min="14" max="14" width="4.140625" style="1" customWidth="1"/>
    <col min="15" max="15" width="7.42578125" style="1" customWidth="1"/>
    <col min="16" max="16" width="6.7109375" style="1" customWidth="1"/>
    <col min="17" max="17" width="11.42578125" style="1"/>
    <col min="18" max="18" width="16.7109375" style="1" customWidth="1"/>
    <col min="19" max="16384" width="11.42578125" style="1"/>
  </cols>
  <sheetData>
    <row r="1" spans="1:20" s="278" customFormat="1" ht="23.25" customHeight="1" thickBot="1" x14ac:dyDescent="0.25">
      <c r="A1" s="2037"/>
      <c r="B1" s="2037"/>
      <c r="C1" s="2037"/>
      <c r="D1" s="2037"/>
      <c r="E1" s="2037"/>
      <c r="F1" s="2037"/>
      <c r="G1" s="2037"/>
      <c r="H1" s="2037"/>
      <c r="I1" s="2037"/>
      <c r="J1" s="2037"/>
      <c r="K1" s="2037"/>
      <c r="L1" s="2037"/>
      <c r="M1" s="2037"/>
      <c r="N1" s="2037"/>
      <c r="O1" s="2037"/>
      <c r="P1" s="824"/>
      <c r="Q1" s="824"/>
    </row>
    <row r="2" spans="1:20" s="278" customFormat="1" ht="39.75" customHeight="1" thickTop="1" x14ac:dyDescent="0.2">
      <c r="A2" s="2041"/>
      <c r="B2" s="2042"/>
      <c r="C2" s="2042"/>
      <c r="D2" s="2042"/>
      <c r="E2" s="2042"/>
      <c r="F2" s="2042"/>
      <c r="G2" s="2042"/>
      <c r="H2" s="2042"/>
      <c r="I2" s="2042"/>
      <c r="J2" s="2042"/>
      <c r="K2" s="2042"/>
      <c r="L2" s="2042"/>
      <c r="M2" s="2042"/>
      <c r="N2" s="2042"/>
      <c r="O2" s="2043"/>
      <c r="P2" s="82"/>
      <c r="Q2" s="78" t="s">
        <v>9040</v>
      </c>
      <c r="R2" s="1"/>
    </row>
    <row r="3" spans="1:20" ht="22.5" customHeight="1" x14ac:dyDescent="0.2">
      <c r="A3" s="669" t="s">
        <v>4731</v>
      </c>
      <c r="B3" s="2046"/>
      <c r="C3" s="2046"/>
      <c r="D3" s="2046"/>
      <c r="E3" s="2046"/>
      <c r="F3" s="2046"/>
      <c r="G3" s="2046"/>
      <c r="H3" s="2046"/>
      <c r="I3" s="2046"/>
      <c r="J3" s="2046"/>
      <c r="K3" s="2046"/>
      <c r="L3" s="2046"/>
      <c r="M3" s="2046"/>
      <c r="N3" s="2046"/>
      <c r="O3" s="2047"/>
      <c r="P3" s="20"/>
      <c r="Q3" s="2115"/>
      <c r="R3" s="2116"/>
    </row>
    <row r="4" spans="1:20" ht="33" customHeight="1" x14ac:dyDescent="0.2">
      <c r="A4" s="670" t="s">
        <v>4732</v>
      </c>
      <c r="B4" s="2055" t="str">
        <f>LEFT(T4,S4-1)&amp;CHAR(10)&amp;RIGHT(T4,LEN(T4)-S4+1)</f>
        <v xml:space="preserve">
</v>
      </c>
      <c r="C4" s="2055"/>
      <c r="D4" s="2055"/>
      <c r="E4" s="2055"/>
      <c r="F4" s="2055"/>
      <c r="G4" s="2057" t="s">
        <v>3278</v>
      </c>
      <c r="H4" s="2057"/>
      <c r="I4" s="2057"/>
      <c r="J4" s="2044" t="str">
        <f>IF(RASSEGENE="LEER","",CONCATENATE(IF(HLOOKUP(RASSEGENE,RASSE,3,FALSE)=0,"",CONCATENATE("LeP ",HLOOKUP(RASSEGENE,RASSE,3,FALSE)," ")),IF(HLOOKUP(RASSEGENE,RASSE,4,FALSE)=0,"",CONCATENATE(" AsP ",HLOOKUP(RASSEGENE,RASSE,4,FALSE)," ")),IF(HLOOKUP(RASSEGENE,RASSE,5,FALSE)=0,"",CONCATENATE(" AuP ",HLOOKUP(RASSEGENE,RASSE,5,FALSE)," ")),IF(HLOOKUP(RASSEGENE,RASSE,6,FALSE)=0,"",CONCATENATE(" MR ",HLOOKUP(RASSEGENE,RASSE,6,FALSE)))))</f>
        <v/>
      </c>
      <c r="K4" s="2044"/>
      <c r="L4" s="2044"/>
      <c r="M4" s="2044"/>
      <c r="N4" s="2044"/>
      <c r="O4" s="2045"/>
      <c r="P4" s="20"/>
      <c r="S4" s="886">
        <f>IF(ISERROR(FIND("(",T4,2)),LEN(T4)+1,FIND("(",T4,2))</f>
        <v>1</v>
      </c>
      <c r="T4" s="886" t="str">
        <f>IF(OR(RASSEGENE="LEER",KULTURGENE="LEER",PROFGENE="LEER"),"",RASSEGENE)</f>
        <v/>
      </c>
    </row>
    <row r="5" spans="1:20" ht="31.5" customHeight="1" x14ac:dyDescent="0.2">
      <c r="A5" s="670" t="s">
        <v>1311</v>
      </c>
      <c r="B5" s="2056" t="str">
        <f>LEFT(T5,S5-1)&amp;CHAR(10)&amp;RIGHT(T5,LEN(T5)-S5+1)</f>
        <v xml:space="preserve">
</v>
      </c>
      <c r="C5" s="2056"/>
      <c r="D5" s="2056"/>
      <c r="E5" s="2056"/>
      <c r="F5" s="2056"/>
      <c r="G5" s="2057" t="s">
        <v>3278</v>
      </c>
      <c r="H5" s="2057"/>
      <c r="I5" s="2057"/>
      <c r="J5" s="2044" t="str">
        <f>IF(KULTURGENE="LEER","",CONCATENATE(IF(HLOOKUP(KULTURGENE,KULTUR,3,FALSE)=0,"",CONCATENATE("LeP ",HLOOKUP(KULTURGENE,KULTUR,3,FALSE))),IF(HLOOKUP(KULTURGENE,KULTUR,5,FALSE)=0,"",CONCATENATE(" AuP ",HLOOKUP(KULTURGENE,KULTUR,5,FALSE))),IF(HLOOKUP(KULTURGENE,KULTUR,6,FALSE)=0,"",CONCATENATE("MR ",HLOOKUP(KULTURGENE,KULTUR,6,FALSE)))))</f>
        <v/>
      </c>
      <c r="K5" s="2044"/>
      <c r="L5" s="2044"/>
      <c r="M5" s="2044"/>
      <c r="N5" s="2044"/>
      <c r="O5" s="2045"/>
      <c r="P5" s="20"/>
      <c r="Q5" s="78" t="s">
        <v>7558</v>
      </c>
      <c r="S5" s="886">
        <f>IF(ISERROR(FIND("(",T5,2)),LEN(T5)+1,FIND("(",T5,2))</f>
        <v>1</v>
      </c>
      <c r="T5" s="886" t="str">
        <f>IF(OR(RASSEGENE="LEER",KULTURGENE="LEER",PROFGENE="LEER"),"",KULTURGENE)</f>
        <v/>
      </c>
    </row>
    <row r="6" spans="1:20" ht="27.75" customHeight="1" thickBot="1" x14ac:dyDescent="0.25">
      <c r="A6" s="668" t="s">
        <v>1312</v>
      </c>
      <c r="B6" s="2038" t="str">
        <f>LEFT(T6,S6-1)&amp;CHAR(10)&amp;RIGHT(T6,LEN(T6)-S6+1)</f>
        <v xml:space="preserve">
</v>
      </c>
      <c r="C6" s="2038"/>
      <c r="D6" s="2038"/>
      <c r="E6" s="2038"/>
      <c r="F6" s="2038"/>
      <c r="G6" s="2098" t="s">
        <v>3278</v>
      </c>
      <c r="H6" s="2098"/>
      <c r="I6" s="2098"/>
      <c r="J6" s="2103" t="str">
        <f ca="1">IF(PROFGENE="LEER","",CONCATENATE(IF(HLOOKUP(PROFGENE,INDIRECT(PROFGEBIET),3,FALSE)=0,"",CONCATENATE("LeP ",HLOOKUP(PROFGENE,INDIRECT(PROFGEBIET),3,FALSE)," ")),IF(HLOOKUP(PROFGENE,INDIRECT(PROFGEBIET),4,FALSE)=0,"",CONCATENATE(" AsP ",HLOOKUP(PROFGENE,INDIRECT(PROFGEBIET),4,FALSE)," ")),IF(HLOOKUP(PROFGENE,INDIRECT(PROFGEBIET),5,FALSE)=0,"",CONCATENATE(" AuP ",HLOOKUP(PROFGENE,INDIRECT(PROFGEBIET),5,FALSE)," ")),IF(HLOOKUP(PROFGENE,INDIRECT(PROFGEBIET),6,FALSE)=0,"",CONCATENATE(" MR ",HLOOKUP(PROFGENE,INDIRECT(PROFGEBIET),6,FALSE)))))</f>
        <v/>
      </c>
      <c r="K6" s="2103"/>
      <c r="L6" s="2103"/>
      <c r="M6" s="2103"/>
      <c r="N6" s="2103"/>
      <c r="O6" s="2104"/>
      <c r="P6" s="20"/>
      <c r="Q6" s="2115"/>
      <c r="R6" s="2116"/>
      <c r="S6" s="886">
        <f>IF(ISERROR(FIND("(",T6,2)),LEN(T6)+1,FIND("(",T6,2))</f>
        <v>1</v>
      </c>
      <c r="T6" s="886" t="str">
        <f>IF(Q6="",IF(PROFGENE="LEER","",IF(ISBLANK(PROFZWEITE),PROFGENE,PROFGENE&amp;" / "&amp;PROFZWEITE)),Q6)</f>
        <v/>
      </c>
    </row>
    <row r="7" spans="1:20" ht="11.25" customHeight="1" thickTop="1" thickBot="1" x14ac:dyDescent="0.25">
      <c r="A7" s="695"/>
      <c r="B7" s="695"/>
      <c r="C7" s="695"/>
      <c r="D7" s="695"/>
      <c r="E7" s="695"/>
      <c r="F7" s="695"/>
      <c r="G7" s="695"/>
      <c r="H7" s="695"/>
      <c r="I7" s="695"/>
      <c r="J7" s="695"/>
      <c r="K7" s="695"/>
      <c r="L7" s="695"/>
      <c r="M7" s="695"/>
      <c r="N7" s="695"/>
      <c r="O7" s="695"/>
      <c r="P7" s="20"/>
      <c r="Q7" s="695"/>
    </row>
    <row r="8" spans="1:20" ht="18.75" customHeight="1" thickTop="1" x14ac:dyDescent="0.2">
      <c r="A8" s="671" t="s">
        <v>3017</v>
      </c>
      <c r="B8" s="2039"/>
      <c r="C8" s="2039"/>
      <c r="D8" s="2040"/>
      <c r="E8" s="667"/>
      <c r="F8" s="2048" t="s">
        <v>3011</v>
      </c>
      <c r="G8" s="2049"/>
      <c r="H8" s="667"/>
      <c r="I8" s="2108" t="s">
        <v>3012</v>
      </c>
      <c r="J8" s="2109"/>
      <c r="K8" s="2039"/>
      <c r="L8" s="2039"/>
      <c r="M8" s="2039"/>
      <c r="N8" s="2039"/>
      <c r="O8" s="2040"/>
      <c r="P8" s="20"/>
      <c r="Q8" s="695"/>
    </row>
    <row r="9" spans="1:20" ht="18.75" customHeight="1" x14ac:dyDescent="0.2">
      <c r="A9" s="670" t="s">
        <v>2131</v>
      </c>
      <c r="B9" s="2014"/>
      <c r="C9" s="2014"/>
      <c r="D9" s="2015"/>
      <c r="E9" s="667"/>
      <c r="F9" s="2050"/>
      <c r="G9" s="2051"/>
      <c r="H9" s="667"/>
      <c r="I9" s="2029" t="s">
        <v>1789</v>
      </c>
      <c r="J9" s="2030"/>
      <c r="K9" s="2014"/>
      <c r="L9" s="2014"/>
      <c r="M9" s="2014"/>
      <c r="N9" s="2014"/>
      <c r="O9" s="2015"/>
      <c r="P9" s="20"/>
      <c r="Q9" s="695"/>
    </row>
    <row r="10" spans="1:20" ht="18.75" customHeight="1" x14ac:dyDescent="0.2">
      <c r="A10" s="670" t="s">
        <v>1790</v>
      </c>
      <c r="B10" s="2014"/>
      <c r="C10" s="2014"/>
      <c r="D10" s="2015"/>
      <c r="E10" s="667"/>
      <c r="F10" s="2050"/>
      <c r="G10" s="2051"/>
      <c r="H10" s="667"/>
      <c r="I10" s="2029" t="s">
        <v>3013</v>
      </c>
      <c r="J10" s="2030"/>
      <c r="K10" s="2030"/>
      <c r="L10" s="2031">
        <f ca="1">Generierung!H22+Eigenschaften!G29+IF(AKTIV_SPTWHE,HLOOKUP(PROFSPTWHE,SPTWHE,25,FALSE),0)</f>
        <v>0</v>
      </c>
      <c r="M10" s="2032"/>
      <c r="N10" s="2032"/>
      <c r="O10" s="2033"/>
      <c r="P10" s="20"/>
      <c r="Q10" s="695"/>
    </row>
    <row r="11" spans="1:20" ht="18.75" customHeight="1" x14ac:dyDescent="0.2">
      <c r="A11" s="670" t="s">
        <v>1256</v>
      </c>
      <c r="B11" s="2014"/>
      <c r="C11" s="2014"/>
      <c r="D11" s="2015"/>
      <c r="E11" s="667"/>
      <c r="F11" s="2050"/>
      <c r="G11" s="2051"/>
      <c r="H11" s="667"/>
      <c r="I11" s="2029" t="s">
        <v>1788</v>
      </c>
      <c r="J11" s="2030"/>
      <c r="K11" s="2030"/>
      <c r="L11" s="2030"/>
      <c r="M11" s="2030"/>
      <c r="N11" s="2030"/>
      <c r="O11" s="2054"/>
      <c r="P11" s="20"/>
      <c r="Q11" s="695"/>
    </row>
    <row r="12" spans="1:20" ht="18.75" customHeight="1" x14ac:dyDescent="0.2">
      <c r="A12" s="670" t="s">
        <v>1257</v>
      </c>
      <c r="B12" s="2014"/>
      <c r="C12" s="2014"/>
      <c r="D12" s="2015"/>
      <c r="E12" s="667"/>
      <c r="F12" s="2050"/>
      <c r="G12" s="2051"/>
      <c r="H12" s="667"/>
      <c r="I12" s="2016"/>
      <c r="J12" s="2017"/>
      <c r="K12" s="2017"/>
      <c r="L12" s="2017"/>
      <c r="M12" s="2017"/>
      <c r="N12" s="2017"/>
      <c r="O12" s="2018"/>
      <c r="P12" s="20"/>
      <c r="Q12" s="695"/>
    </row>
    <row r="13" spans="1:20" ht="18.75" customHeight="1" x14ac:dyDescent="0.2">
      <c r="A13" s="670" t="s">
        <v>4159</v>
      </c>
      <c r="B13" s="2014"/>
      <c r="C13" s="2014"/>
      <c r="D13" s="2015"/>
      <c r="E13" s="667"/>
      <c r="F13" s="2050"/>
      <c r="G13" s="2051"/>
      <c r="H13" s="667"/>
      <c r="I13" s="2016"/>
      <c r="J13" s="2017"/>
      <c r="K13" s="2017"/>
      <c r="L13" s="2017"/>
      <c r="M13" s="2017"/>
      <c r="N13" s="2017"/>
      <c r="O13" s="2018"/>
      <c r="P13" s="20"/>
      <c r="Q13" s="695"/>
    </row>
    <row r="14" spans="1:20" ht="18.75" customHeight="1" x14ac:dyDescent="0.2">
      <c r="A14" s="670" t="s">
        <v>4160</v>
      </c>
      <c r="B14" s="2017"/>
      <c r="C14" s="2017"/>
      <c r="D14" s="2018"/>
      <c r="E14" s="667"/>
      <c r="F14" s="2050"/>
      <c r="G14" s="2051"/>
      <c r="H14" s="667"/>
      <c r="I14" s="2016"/>
      <c r="J14" s="2017"/>
      <c r="K14" s="2017"/>
      <c r="L14" s="2017"/>
      <c r="M14" s="2017"/>
      <c r="N14" s="2017"/>
      <c r="O14" s="2018"/>
      <c r="P14" s="20"/>
      <c r="Q14" s="695"/>
    </row>
    <row r="15" spans="1:20" ht="18.75" customHeight="1" x14ac:dyDescent="0.2">
      <c r="A15" s="2016"/>
      <c r="B15" s="2017"/>
      <c r="C15" s="2017"/>
      <c r="D15" s="2018"/>
      <c r="E15" s="667"/>
      <c r="F15" s="2050"/>
      <c r="G15" s="2051"/>
      <c r="H15" s="667"/>
      <c r="I15" s="2016"/>
      <c r="J15" s="2017"/>
      <c r="K15" s="2017"/>
      <c r="L15" s="2017"/>
      <c r="M15" s="2017"/>
      <c r="N15" s="2017"/>
      <c r="O15" s="2018"/>
      <c r="P15" s="20"/>
      <c r="Q15" s="695"/>
    </row>
    <row r="16" spans="1:20" ht="18.75" customHeight="1" x14ac:dyDescent="0.2">
      <c r="A16" s="2016"/>
      <c r="B16" s="2017"/>
      <c r="C16" s="2017"/>
      <c r="D16" s="2018"/>
      <c r="E16" s="667"/>
      <c r="F16" s="2050"/>
      <c r="G16" s="2051"/>
      <c r="H16" s="667"/>
      <c r="I16" s="2016"/>
      <c r="J16" s="2017"/>
      <c r="K16" s="2017"/>
      <c r="L16" s="2017"/>
      <c r="M16" s="2017"/>
      <c r="N16" s="2017"/>
      <c r="O16" s="2018"/>
      <c r="P16" s="20"/>
      <c r="Q16" s="695"/>
    </row>
    <row r="17" spans="1:21" ht="18.75" customHeight="1" thickBot="1" x14ac:dyDescent="0.25">
      <c r="A17" s="2034"/>
      <c r="B17" s="2035"/>
      <c r="C17" s="2035"/>
      <c r="D17" s="2036"/>
      <c r="E17" s="667"/>
      <c r="F17" s="2052"/>
      <c r="G17" s="2053"/>
      <c r="H17" s="667"/>
      <c r="I17" s="2034"/>
      <c r="J17" s="2035"/>
      <c r="K17" s="2035"/>
      <c r="L17" s="2035"/>
      <c r="M17" s="2035"/>
      <c r="N17" s="2035"/>
      <c r="O17" s="2036"/>
      <c r="P17" s="20"/>
      <c r="Q17" s="695"/>
    </row>
    <row r="18" spans="1:21" ht="13.5" customHeight="1" thickTop="1" x14ac:dyDescent="0.2">
      <c r="A18" s="20"/>
      <c r="B18" s="20"/>
      <c r="C18" s="20"/>
      <c r="D18" s="20"/>
      <c r="E18" s="695"/>
      <c r="F18" s="695"/>
      <c r="G18" s="20"/>
      <c r="H18" s="695"/>
      <c r="I18" s="20"/>
      <c r="J18" s="20"/>
      <c r="K18" s="20"/>
      <c r="L18" s="20"/>
      <c r="M18" s="20"/>
      <c r="N18" s="20"/>
      <c r="O18" s="20"/>
      <c r="P18" s="20"/>
      <c r="Q18" s="695"/>
    </row>
    <row r="19" spans="1:21" ht="18.75" customHeight="1" thickBot="1" x14ac:dyDescent="0.4">
      <c r="A19" s="2028"/>
      <c r="B19" s="2028"/>
      <c r="C19" s="2028"/>
      <c r="D19" s="2028"/>
      <c r="E19" s="2028"/>
      <c r="F19" s="2028"/>
      <c r="G19" s="2028"/>
      <c r="H19" s="2028"/>
      <c r="I19" s="2028"/>
      <c r="J19" s="2028"/>
      <c r="K19" s="2028"/>
      <c r="L19" s="2028"/>
      <c r="M19" s="2028"/>
      <c r="N19" s="2028"/>
      <c r="O19" s="2028"/>
      <c r="P19" s="20"/>
      <c r="Q19" s="695"/>
    </row>
    <row r="20" spans="1:21" ht="18.75" customHeight="1" thickTop="1" x14ac:dyDescent="0.2">
      <c r="A20" s="2019" t="str">
        <f>"Vorteile: " &amp;VORTEILEGENE</f>
        <v>Vorteile: Erst Rasse, Kultur &amp; Profession festlegen!</v>
      </c>
      <c r="B20" s="2020"/>
      <c r="C20" s="2020"/>
      <c r="D20" s="2020"/>
      <c r="E20" s="2020"/>
      <c r="F20" s="2020"/>
      <c r="G20" s="2020"/>
      <c r="H20" s="2020"/>
      <c r="I20" s="2020"/>
      <c r="J20" s="2020"/>
      <c r="K20" s="2020"/>
      <c r="L20" s="2020"/>
      <c r="M20" s="2020"/>
      <c r="N20" s="2020"/>
      <c r="O20" s="2021"/>
      <c r="P20" s="20"/>
      <c r="Q20" s="695"/>
    </row>
    <row r="21" spans="1:21" ht="18.75" customHeight="1" x14ac:dyDescent="0.2">
      <c r="A21" s="2022"/>
      <c r="B21" s="2023"/>
      <c r="C21" s="2023"/>
      <c r="D21" s="2023"/>
      <c r="E21" s="2023"/>
      <c r="F21" s="2023"/>
      <c r="G21" s="2023"/>
      <c r="H21" s="2023"/>
      <c r="I21" s="2023"/>
      <c r="J21" s="2023"/>
      <c r="K21" s="2023"/>
      <c r="L21" s="2023"/>
      <c r="M21" s="2023"/>
      <c r="N21" s="2023"/>
      <c r="O21" s="2024"/>
      <c r="P21" s="20"/>
      <c r="Q21" s="695"/>
    </row>
    <row r="22" spans="1:21" ht="18.75" customHeight="1" thickBot="1" x14ac:dyDescent="0.25">
      <c r="A22" s="2025"/>
      <c r="B22" s="2026"/>
      <c r="C22" s="2026"/>
      <c r="D22" s="2026"/>
      <c r="E22" s="2026"/>
      <c r="F22" s="2026"/>
      <c r="G22" s="2026"/>
      <c r="H22" s="2026"/>
      <c r="I22" s="2026"/>
      <c r="J22" s="2026"/>
      <c r="K22" s="2026"/>
      <c r="L22" s="2026"/>
      <c r="M22" s="2026"/>
      <c r="N22" s="2026"/>
      <c r="O22" s="2027"/>
      <c r="P22" s="20"/>
      <c r="Q22" s="695"/>
    </row>
    <row r="23" spans="1:21" ht="18.75" customHeight="1" thickTop="1" x14ac:dyDescent="0.2">
      <c r="A23" s="2019" t="str">
        <f>"Nachteile: " &amp; NACHTEILEGENE</f>
        <v>Nachteile: Erst Rasse, Kultur  &amp; Profession festlegen!</v>
      </c>
      <c r="B23" s="2020"/>
      <c r="C23" s="2020"/>
      <c r="D23" s="2020"/>
      <c r="E23" s="2020"/>
      <c r="F23" s="2020"/>
      <c r="G23" s="2020"/>
      <c r="H23" s="2020"/>
      <c r="I23" s="2020"/>
      <c r="J23" s="2020"/>
      <c r="K23" s="2020"/>
      <c r="L23" s="2020"/>
      <c r="M23" s="2020"/>
      <c r="N23" s="2020"/>
      <c r="O23" s="2021"/>
      <c r="P23" s="20"/>
      <c r="Q23" s="695"/>
    </row>
    <row r="24" spans="1:21" ht="18.75" customHeight="1" x14ac:dyDescent="0.2">
      <c r="A24" s="2022"/>
      <c r="B24" s="2023"/>
      <c r="C24" s="2023"/>
      <c r="D24" s="2023"/>
      <c r="E24" s="2023"/>
      <c r="F24" s="2023"/>
      <c r="G24" s="2023"/>
      <c r="H24" s="2023"/>
      <c r="I24" s="2023"/>
      <c r="J24" s="2023"/>
      <c r="K24" s="2023"/>
      <c r="L24" s="2023"/>
      <c r="M24" s="2023"/>
      <c r="N24" s="2023"/>
      <c r="O24" s="2024"/>
      <c r="P24" s="20"/>
      <c r="Q24" s="695"/>
    </row>
    <row r="25" spans="1:21" ht="18.75" customHeight="1" thickBot="1" x14ac:dyDescent="0.25">
      <c r="A25" s="2025"/>
      <c r="B25" s="2026"/>
      <c r="C25" s="2026"/>
      <c r="D25" s="2026"/>
      <c r="E25" s="2026"/>
      <c r="F25" s="2026"/>
      <c r="G25" s="2026"/>
      <c r="H25" s="2026"/>
      <c r="I25" s="2026"/>
      <c r="J25" s="2026"/>
      <c r="K25" s="2026"/>
      <c r="L25" s="2026"/>
      <c r="M25" s="2026"/>
      <c r="N25" s="2026"/>
      <c r="O25" s="2027"/>
      <c r="P25" s="20"/>
      <c r="Q25" s="695"/>
    </row>
    <row r="26" spans="1:21" ht="15" customHeight="1" thickTop="1" x14ac:dyDescent="0.2">
      <c r="A26" s="695"/>
      <c r="B26" s="695"/>
      <c r="C26" s="695"/>
      <c r="D26" s="695"/>
      <c r="E26" s="695"/>
      <c r="F26" s="695"/>
      <c r="G26" s="695"/>
      <c r="H26" s="695"/>
      <c r="I26" s="695"/>
      <c r="J26" s="695"/>
      <c r="K26" s="695"/>
      <c r="L26" s="695"/>
      <c r="M26" s="695"/>
      <c r="N26" s="695"/>
      <c r="O26" s="695"/>
      <c r="P26" s="20"/>
      <c r="Q26" s="695"/>
    </row>
    <row r="27" spans="1:21" ht="18" customHeight="1" thickBot="1" x14ac:dyDescent="0.4">
      <c r="A27" s="2084"/>
      <c r="B27" s="2084"/>
      <c r="C27" s="2084"/>
      <c r="D27" s="2084"/>
      <c r="E27" s="2084"/>
      <c r="F27" s="2084"/>
      <c r="G27" s="2084"/>
      <c r="H27" s="2084"/>
      <c r="I27" s="2084"/>
      <c r="J27" s="2084"/>
      <c r="K27" s="2084"/>
      <c r="L27" s="2084"/>
      <c r="M27" s="2084"/>
      <c r="N27" s="2084"/>
      <c r="O27" s="2084"/>
      <c r="P27" s="20"/>
      <c r="Q27" s="1088" t="s">
        <v>8540</v>
      </c>
    </row>
    <row r="28" spans="1:21" ht="13.5" customHeight="1" thickTop="1" thickBot="1" x14ac:dyDescent="0.25">
      <c r="A28" s="666"/>
      <c r="B28" s="665" t="s">
        <v>4829</v>
      </c>
      <c r="C28" s="664" t="s">
        <v>1523</v>
      </c>
      <c r="D28" s="663" t="s">
        <v>1489</v>
      </c>
      <c r="E28" s="662"/>
      <c r="F28" s="2074"/>
      <c r="G28" s="2075"/>
      <c r="H28" s="2075"/>
      <c r="I28" s="2076"/>
      <c r="J28" s="665" t="s">
        <v>1522</v>
      </c>
      <c r="K28" s="664" t="s">
        <v>1523</v>
      </c>
      <c r="L28" s="661" t="s">
        <v>1489</v>
      </c>
      <c r="M28" s="2087" t="s">
        <v>714</v>
      </c>
      <c r="N28" s="2076"/>
      <c r="O28" s="660" t="s">
        <v>4910</v>
      </c>
      <c r="P28" s="20"/>
      <c r="Q28" s="1190" t="s">
        <v>4000</v>
      </c>
      <c r="R28" s="1190" t="s">
        <v>786</v>
      </c>
    </row>
    <row r="29" spans="1:21" ht="18.75" customHeight="1" x14ac:dyDescent="0.2">
      <c r="A29" s="697" t="s">
        <v>4161</v>
      </c>
      <c r="B29" s="696">
        <f>Eigenschaften!F20+Eigenschaften!G20</f>
        <v>0</v>
      </c>
      <c r="C29" s="407">
        <f ca="1">Generierung!$H14</f>
        <v>8</v>
      </c>
      <c r="D29" s="685">
        <f ca="1">SUM(MUSTART,IF(EXACT(Eigenschaften!H20,""),Eigenschaften!F20+Eigenschaften!G20,0))</f>
        <v>8</v>
      </c>
      <c r="E29" s="695"/>
      <c r="F29" s="2105" t="s">
        <v>4685</v>
      </c>
      <c r="G29" s="2106"/>
      <c r="H29" s="2106"/>
      <c r="I29" s="2107"/>
      <c r="J29" s="684">
        <f ca="1">IF(OR(RASSEGENE="LEER",KULTURGENE="LEER",PROFGENE="LEER"),0,SUM(HLOOKUP(RASSEGENE,RASSE,3,FALSE),HLOOKUP(KULTURGENE,KULTUR,3,FALSE),ROUND((HLOOKUP(PROFGENE,INDIRECT(PROFGEBIET),3,FALSE)+IF(LEN(PROFZWEITE)&lt;1,0,HLOOKUP(PROFZWEITE,INDIRECT(PROFGEBIET2),3,FALSE)*0.5))*IF(AND(VT_VETERAN,LEN(PROFZWEITE)&lt;1),1.5,1),0),IF(VT_LEP,VT_LEP_WERT,0),IF(NT_LEP,NT_LEP_WERT,0),IF(Q29="",0,Q29)))</f>
        <v>0</v>
      </c>
      <c r="K29" s="407">
        <f ca="1">ROUND((2*KO+KK)/2,0)</f>
        <v>12</v>
      </c>
      <c r="L29" s="683">
        <f ca="1">SUM(LEMOD,LESTART,LEZU)</f>
        <v>12</v>
      </c>
      <c r="M29" s="2080">
        <f ca="1">IF(EXACT(Eigenschaften!$H$12,""),SUM(Eigenschaften!$B$12,Eigenschaften!$F$12,Eigenschaften!$G$12),0)</f>
        <v>0</v>
      </c>
      <c r="N29" s="2081"/>
      <c r="O29" s="694">
        <f ca="1">ROUND(KO/2,0)</f>
        <v>4</v>
      </c>
      <c r="P29" s="20"/>
      <c r="Q29" s="1354"/>
      <c r="R29" s="2119"/>
      <c r="S29" s="2120"/>
      <c r="T29" s="2120"/>
      <c r="U29" s="2120"/>
    </row>
    <row r="30" spans="1:21" ht="18.75" customHeight="1" x14ac:dyDescent="0.2">
      <c r="A30" s="693" t="s">
        <v>4162</v>
      </c>
      <c r="B30" s="684">
        <f>Eigenschaften!F21+Eigenschaften!G21</f>
        <v>0</v>
      </c>
      <c r="C30" s="407">
        <f ca="1">Generierung!$H15</f>
        <v>8</v>
      </c>
      <c r="D30" s="692">
        <f ca="1">KLSTART+IF(EXACT(Eigenschaften!H21,""),Eigenschaften!F21+Eigenschaften!G21,0)</f>
        <v>8</v>
      </c>
      <c r="E30" s="695"/>
      <c r="F30" s="2077" t="s">
        <v>4686</v>
      </c>
      <c r="G30" s="2078"/>
      <c r="H30" s="2078"/>
      <c r="I30" s="2079"/>
      <c r="J30" s="684">
        <f ca="1">IF(OR(RASSEGENE="LEER",KULTURGENE="LEER",PROFGENE="LEER"),0,SUM(HLOOKUP(RASSEGENE,RASSE,5,FALSE),HLOOKUP(KULTURGENE,KULTUR,5,FALSE),ROUND((HLOOKUP(PROFGENE,INDIRECT(PROFGEBIET),5,FALSE)+IF(LEN(PROFZWEITE)&lt;1,0,HLOOKUP(PROFZWEITE,INDIRECT(PROFGEBIET2),5,FALSE)*0.5))*IF(AND(VT_VETERAN,LEN(PROFZWEITE)&lt;1),1.5,1),0),IF(VT_AU,VT_AU_WERT,0),IF(NT_AU,2*NT_AU_WERT,0),IF(AKTIV_SPTWHE,HLOOKUP(PROFSPTWHE,SPTWHE,5,FALSE),0),IF(Q30="",0,Q30)))</f>
        <v>0</v>
      </c>
      <c r="K30" s="407">
        <f ca="1">ROUND((MU+KO+GE)/2,0)</f>
        <v>12</v>
      </c>
      <c r="L30" s="691">
        <f ca="1">ROUND((AUSTART+AUMOD)*IF(NT_FETTLEIBIG,0.5,1),0)+AUZU</f>
        <v>12</v>
      </c>
      <c r="M30" s="2082">
        <f>SUM(Eigenschaften!$B$18,Eigenschaften!$F$18,Eigenschaften!$G$18)</f>
        <v>0</v>
      </c>
      <c r="N30" s="2083"/>
      <c r="O30" s="690">
        <f ca="1">KO</f>
        <v>8</v>
      </c>
      <c r="P30" s="20"/>
      <c r="Q30" s="1354"/>
      <c r="R30" s="2119"/>
      <c r="S30" s="2120"/>
      <c r="T30" s="2120"/>
      <c r="U30" s="2120"/>
    </row>
    <row r="31" spans="1:21" ht="18.75" customHeight="1" x14ac:dyDescent="0.2">
      <c r="A31" s="693" t="s">
        <v>4165</v>
      </c>
      <c r="B31" s="684">
        <f>Eigenschaften!F22+Eigenschaften!G22</f>
        <v>0</v>
      </c>
      <c r="C31" s="407">
        <f ca="1">Generierung!$H16</f>
        <v>8</v>
      </c>
      <c r="D31" s="692">
        <f ca="1">INSTART+IF(EXACT(Eigenschaften!H22,""),Eigenschaften!F22+Eigenschaften!G22,0)</f>
        <v>8</v>
      </c>
      <c r="E31" s="695"/>
      <c r="F31" s="2077" t="s">
        <v>5090</v>
      </c>
      <c r="G31" s="2078"/>
      <c r="H31" s="2078"/>
      <c r="I31" s="2079"/>
      <c r="J31" s="689" t="str">
        <f ca="1">IF(MAGISCH,
ROUND(HLOOKUP(PROFGENE,INDIRECT(PROFGEBIET),4,FALSE)*IF(VT_VETERAN,1.5,1),0)+
IF(VT_VRTLZBR,-6,IF(VT_HALBZBR,6,IF(VT_VOLLZBR,12,0)))
+SUM(HLOOKUP(KULTURGENE,KULTUR,4,FALSE),IF(VT_ASP,VT_ASP_WERT,0),IF(NT_ASP,NT_ASP_WERT,0),IF(VT_ZAUBERHAAR,7,0),IF(Q31="",0,Q31)),"")</f>
        <v/>
      </c>
      <c r="K31" s="407" t="str">
        <f ca="1">IF(MAGISCH,ROUND((MU+IN+CH+IF(GEF_STERNE="X",CH,0))/2,0),"")</f>
        <v/>
      </c>
      <c r="L31" s="691" t="str">
        <f ca="1">IF(MAGISCH,SUM(ASPSTART,ASPMOD,ASPZU,ASPMEDITATION,pAsP),"")</f>
        <v/>
      </c>
      <c r="M31" s="2088" t="str">
        <f ca="1">IF(MAGISCH,SUM(Eigenschaften!$B$13,Eigenschaften!$F$13,Eigenschaften!$G$13),"")</f>
        <v/>
      </c>
      <c r="N31" s="2089"/>
      <c r="O31" s="690" t="str">
        <f ca="1">IF(MAGISCH,CH,"")</f>
        <v/>
      </c>
      <c r="P31" s="20"/>
      <c r="Q31" s="1354"/>
      <c r="R31" s="2119"/>
      <c r="S31" s="2120"/>
      <c r="T31" s="2120"/>
      <c r="U31" s="2120"/>
    </row>
    <row r="32" spans="1:21" ht="18.75" customHeight="1" x14ac:dyDescent="0.2">
      <c r="A32" s="693" t="s">
        <v>4163</v>
      </c>
      <c r="B32" s="684">
        <f>Eigenschaften!F23+Eigenschaften!G23</f>
        <v>0</v>
      </c>
      <c r="C32" s="407">
        <f ca="1">Generierung!$H17</f>
        <v>8</v>
      </c>
      <c r="D32" s="692">
        <f ca="1">CHSTART+IF(EXACT(Eigenschaften!H23,""),Eigenschaften!F23+Eigenschaften!G23,0)</f>
        <v>8</v>
      </c>
      <c r="E32" s="695"/>
      <c r="F32" s="2077" t="s">
        <v>1521</v>
      </c>
      <c r="G32" s="2078"/>
      <c r="H32" s="2078"/>
      <c r="I32" s="2079"/>
      <c r="J32" s="689">
        <f>SUM(IF(Q32="",0,Q32),IF(AKTIV_SPTWHE,HLOOKUP(PROFSPTWHE,SPTWHE,IDX_KE,FALSE),0))</f>
        <v>0</v>
      </c>
      <c r="K32" s="407" t="str">
        <f ca="1">IF(EXACT(PROFGRDGENE,"Goetterdiener"),HLOOKUP(PROFGENE,INDIRECT(PROFGEBIET),IDX_KE,FALSE),IF(AKTIV_GRGEIST="X",12,IF(PROFGEBZWEITE="Goetter (BGB)",HLOOKUP(PROFZWEITE,INDIRECT(PROFGEBIET2),IDX_KE,FALSE),"")))</f>
        <v/>
      </c>
      <c r="L32" s="691" t="str">
        <f>IF(OR(EXACT(PROFGRDGENE,"Goetterdiener"),AKTIV_SPTWHE,PROFGEBZWEITE="Goetter (BGB)"),SUM(KESTART,KEMOD,KEZU),"")</f>
        <v/>
      </c>
      <c r="M32" s="2082" t="str">
        <f>IF(SUM(Eigenschaften!G16,Eigenschaften!G15)=0,"",SUM(Eigenschaften!G16,Eigenschaften!G15))</f>
        <v/>
      </c>
      <c r="N32" s="2089"/>
      <c r="O32" s="688"/>
      <c r="P32" s="20"/>
      <c r="Q32" s="1354"/>
      <c r="R32" s="2119"/>
      <c r="S32" s="2120"/>
      <c r="T32" s="2120"/>
      <c r="U32" s="2120"/>
    </row>
    <row r="33" spans="1:21" ht="18.75" customHeight="1" x14ac:dyDescent="0.2">
      <c r="A33" s="693" t="s">
        <v>4164</v>
      </c>
      <c r="B33" s="684">
        <f>Eigenschaften!F24+Eigenschaften!G24</f>
        <v>0</v>
      </c>
      <c r="C33" s="407">
        <f ca="1">Generierung!$H18</f>
        <v>8</v>
      </c>
      <c r="D33" s="692">
        <f ca="1">FFSTART+IF(EXACT(Eigenschaften!H24,""),Eigenschaften!F24+Eigenschaften!G24,0)</f>
        <v>8</v>
      </c>
      <c r="E33" s="695"/>
      <c r="F33" s="2077" t="s">
        <v>3164</v>
      </c>
      <c r="G33" s="2078"/>
      <c r="H33" s="2078"/>
      <c r="I33" s="2079"/>
      <c r="J33" s="689">
        <f ca="1">IF(OR(RASSEGENE="LEER",KULTURGENE="LEER",PROFGENE="LEER"),0,SUM(HLOOKUP(RASSEGENE,RASSE,6,FALSE),HLOOKUP(KULTURGENE,KULTUR,6,FALSE),HLOOKUP(PROFGENE,INDIRECT(PROFGEBIET),6,FALSE)*IF(AND(VT_VETERAN,LEN(PROFZWEITE)&lt;1),1.5,1),IF(LEN(PROFZWEITE)&lt;1,0,HLOOKUP(PROFZWEITE,INDIRECT(PROFGEBIET2),6,FALSE)*0.5),IF(VT_MR,VT_MR_WERT,0),IF(NT_MR,NT_MR_WERT,0),IF(AKTIV_SPTWHE,HLOOKUP(PROFSPTWHE,SPTWHE,6,FALSE),0),IF(VT_HALBZBR,IF(PROFGEBGENE="Magie",0,1),0),IF(Q33="",0,Q33)))</f>
        <v>0</v>
      </c>
      <c r="K33" s="407">
        <f ca="1">ROUND((MU+KL+KO)/5,0)</f>
        <v>5</v>
      </c>
      <c r="L33" s="691">
        <f ca="1">SUM(MRSTART,MRMOD,MRZU)</f>
        <v>5</v>
      </c>
      <c r="M33" s="2088">
        <f ca="1">IF(EXACT(Eigenschaften!$H$17,""),SUM(Eigenschaften!$B$17,Eigenschaften!$F$17,Eigenschaften!$G$17),0)</f>
        <v>0</v>
      </c>
      <c r="N33" s="2089"/>
      <c r="O33" s="690">
        <f ca="1">ROUND(MU/2,0)</f>
        <v>4</v>
      </c>
      <c r="P33" s="687"/>
      <c r="Q33" s="1354"/>
      <c r="R33" s="2119"/>
      <c r="S33" s="2120"/>
      <c r="T33" s="2120"/>
      <c r="U33" s="2120"/>
    </row>
    <row r="34" spans="1:21" ht="9.75" customHeight="1" x14ac:dyDescent="0.2">
      <c r="A34" s="2058" t="s">
        <v>9162</v>
      </c>
      <c r="B34" s="2060">
        <f>Eigenschaften!F25+Eigenschaften!G25</f>
        <v>0</v>
      </c>
      <c r="C34" s="2062">
        <f ca="1">Generierung!$H19</f>
        <v>8</v>
      </c>
      <c r="D34" s="2064">
        <f ca="1">SUM(GESTART,IF(EXACT(Eigenschaften!H25,""),GEMOD,0),-(WUNDEN-1)*2)</f>
        <v>8</v>
      </c>
      <c r="E34" s="695"/>
      <c r="F34" s="2066" t="s">
        <v>1595</v>
      </c>
      <c r="G34" s="2067"/>
      <c r="H34" s="2067"/>
      <c r="I34" s="2068"/>
      <c r="J34" s="2072">
        <f ca="1">SUM(IF(EXACT(KPFGESPÜR,""),0,2),IF(AND(IF(EXPERTE,EXPBE,BE)&lt;5,NOT(EXACT(KPFREFLEXE,""))),4,0),IF(Q34="",0,Q34),-(WUNDEN-1)*2, IF(HLOOKUP(RASSEGENE,RASSE,IDX_SF_KK,FALSE)="Goblin",2,0))</f>
        <v>0</v>
      </c>
      <c r="K34" s="2062">
        <f ca="1">ROUND((2*MU+IN+GE)/5,0)</f>
        <v>6</v>
      </c>
      <c r="L34" s="2113">
        <f ca="1">INISTART+INIMOD</f>
        <v>6</v>
      </c>
      <c r="M34" s="686" t="str">
        <f ca="1">AKTIV_KPFGESP</f>
        <v/>
      </c>
      <c r="N34" s="2085" t="s">
        <v>3030</v>
      </c>
      <c r="O34" s="2086"/>
      <c r="P34" s="20"/>
      <c r="Q34" s="2117"/>
      <c r="R34" s="2121"/>
      <c r="S34" s="2122"/>
      <c r="T34" s="2122"/>
      <c r="U34" s="2123"/>
    </row>
    <row r="35" spans="1:21" ht="9.75" customHeight="1" x14ac:dyDescent="0.2">
      <c r="A35" s="2059"/>
      <c r="B35" s="2061">
        <f>Eigenschaften!F26+Eigenschaften!G26</f>
        <v>0</v>
      </c>
      <c r="C35" s="2063"/>
      <c r="D35" s="2065"/>
      <c r="E35" s="695"/>
      <c r="F35" s="2069"/>
      <c r="G35" s="2070"/>
      <c r="H35" s="2070"/>
      <c r="I35" s="2071"/>
      <c r="J35" s="2073"/>
      <c r="K35" s="2063"/>
      <c r="L35" s="2114"/>
      <c r="M35" s="686" t="str">
        <f ca="1">AKTIV_KPFREF</f>
        <v/>
      </c>
      <c r="N35" s="2085" t="s">
        <v>3031</v>
      </c>
      <c r="O35" s="2086"/>
      <c r="P35" s="20"/>
      <c r="Q35" s="2118"/>
      <c r="R35" s="2124"/>
      <c r="S35" s="2125"/>
      <c r="T35" s="2125"/>
      <c r="U35" s="2126"/>
    </row>
    <row r="36" spans="1:21" ht="18.75" customHeight="1" x14ac:dyDescent="0.2">
      <c r="A36" s="693" t="s">
        <v>3616</v>
      </c>
      <c r="B36" s="696">
        <f>Eigenschaften!F26+Eigenschaften!G26</f>
        <v>0</v>
      </c>
      <c r="C36" s="407">
        <f ca="1">Generierung!$H20</f>
        <v>8</v>
      </c>
      <c r="D36" s="682">
        <f ca="1">KOSTART+Eigenschaften!F26+Eigenschaften!G26</f>
        <v>8</v>
      </c>
      <c r="E36" s="695"/>
      <c r="F36" s="2077" t="s">
        <v>4362</v>
      </c>
      <c r="G36" s="2078"/>
      <c r="H36" s="2078"/>
      <c r="I36" s="2079"/>
      <c r="J36" s="689">
        <f>-(WUNDEN-1)*2+IF(OR(NT_EINBEINIG),-1,0)</f>
        <v>0</v>
      </c>
      <c r="K36" s="407">
        <f ca="1">ROUND((MU+SUM(GESTART,IF(EXACT(Eigenschaften!H25,""),GEMOD,0))+KK)/5,0)</f>
        <v>5</v>
      </c>
      <c r="L36" s="691">
        <f ca="1">IF(ATSTART+ATMOD&lt;0,0,ATSTART+ATMOD)</f>
        <v>5</v>
      </c>
      <c r="M36" s="2093" t="s">
        <v>4236</v>
      </c>
      <c r="N36" s="2094"/>
      <c r="O36" s="2095"/>
      <c r="P36" s="20"/>
      <c r="Q36" s="695"/>
    </row>
    <row r="37" spans="1:21" ht="18.75" customHeight="1" thickBot="1" x14ac:dyDescent="0.25">
      <c r="A37" s="681" t="s">
        <v>1519</v>
      </c>
      <c r="B37" s="696">
        <f>Eigenschaften!F27+Eigenschaften!G27</f>
        <v>0</v>
      </c>
      <c r="C37" s="407">
        <f ca="1">Generierung!$H21</f>
        <v>8</v>
      </c>
      <c r="D37" s="680">
        <f ca="1">KKSTART+Eigenschaften!F27+Eigenschaften!G27</f>
        <v>8</v>
      </c>
      <c r="E37" s="695"/>
      <c r="F37" s="2077" t="s">
        <v>4363</v>
      </c>
      <c r="G37" s="2078"/>
      <c r="H37" s="2078"/>
      <c r="I37" s="2079"/>
      <c r="J37" s="689">
        <f>-(WUNDEN-1)*2+IF(OR(NT_EINBEINIG),-2,0)</f>
        <v>0</v>
      </c>
      <c r="K37" s="407">
        <f ca="1">ROUND((IN+SUM(GESTART,IF(EXACT(Eigenschaften!H25,""),GEMOD,0))+KK)/5,0)</f>
        <v>5</v>
      </c>
      <c r="L37" s="691">
        <f ca="1">IF(PASTART+PAMOD&lt;0,0,PASTART+PAMOD)</f>
        <v>5</v>
      </c>
      <c r="M37" s="2090">
        <f ca="1">ROUND(KO/2,0)+IF(VT_EISERN,2,0)+IF(NT_GLASKNOCHEN,-2,0)</f>
        <v>4</v>
      </c>
      <c r="N37" s="2091"/>
      <c r="O37" s="2092"/>
      <c r="P37" s="20"/>
      <c r="Q37" s="695"/>
    </row>
    <row r="38" spans="1:21" ht="18.75" customHeight="1" thickBot="1" x14ac:dyDescent="0.25">
      <c r="A38" s="679" t="s">
        <v>1520</v>
      </c>
      <c r="B38" s="678">
        <f ca="1">SUM(-WUNDEN,1,IF(VT_FLINK,IF(BE_CALC&lt;5,VT_FLINK_WERT,IF(BE_CALC&lt;7,VT_FLINK_WERT-1,0)),0),IF(NT_BEHÄBIG,-1,0),IF(NT_EINBEINIG,-3,0),IF(NT_KLEINWÜCHSIG,-1,0),IF(NT_LAHM,-1,0),IF(NT_ZWERGENWUCHS,-2-BE_CALC/2,-BE_CALC))</f>
        <v>0</v>
      </c>
      <c r="C38" s="677">
        <f ca="1">IF(GE&lt;10,7,IF(GE&gt;15,9,8))</f>
        <v>7</v>
      </c>
      <c r="D38" s="676">
        <f ca="1">GSSTART+GSMOD</f>
        <v>7</v>
      </c>
      <c r="E38" s="695"/>
      <c r="F38" s="2110" t="s">
        <v>4364</v>
      </c>
      <c r="G38" s="2111"/>
      <c r="H38" s="2111"/>
      <c r="I38" s="2112"/>
      <c r="J38" s="675"/>
      <c r="K38" s="674">
        <f ca="1">ROUND((IN+FF+KK)/5,0)</f>
        <v>5</v>
      </c>
      <c r="L38" s="673">
        <f ca="1">FKSTART+FKMOD</f>
        <v>5</v>
      </c>
      <c r="M38" s="1089"/>
      <c r="N38" s="1090"/>
      <c r="O38" s="1091"/>
      <c r="P38" s="20"/>
      <c r="Q38" s="695"/>
    </row>
    <row r="39" spans="1:21" ht="15" customHeight="1" thickTop="1" x14ac:dyDescent="0.2">
      <c r="A39" s="695"/>
      <c r="B39" s="695"/>
      <c r="C39" s="695"/>
      <c r="D39" s="695"/>
      <c r="E39" s="695"/>
      <c r="F39" s="695"/>
      <c r="G39" s="695"/>
      <c r="H39" s="695"/>
      <c r="I39" s="695"/>
      <c r="J39" s="672"/>
      <c r="K39" s="672"/>
      <c r="L39" s="672"/>
      <c r="M39" s="695"/>
      <c r="N39" s="695"/>
      <c r="O39" s="695"/>
      <c r="P39" s="20"/>
      <c r="Q39" s="695"/>
    </row>
    <row r="40" spans="1:21" ht="17.25" customHeight="1" thickBot="1" x14ac:dyDescent="0.4">
      <c r="A40" s="2028"/>
      <c r="B40" s="2028"/>
      <c r="C40" s="2028"/>
      <c r="D40" s="2028"/>
      <c r="E40" s="2028"/>
      <c r="F40" s="2028"/>
      <c r="G40" s="2028"/>
      <c r="H40" s="2028"/>
      <c r="I40" s="2028"/>
      <c r="J40" s="2028"/>
      <c r="K40" s="2028"/>
      <c r="L40" s="2028"/>
      <c r="M40" s="2028"/>
      <c r="N40" s="2028"/>
      <c r="O40" s="2028"/>
      <c r="P40" s="20"/>
      <c r="Q40" s="695"/>
    </row>
    <row r="41" spans="1:21" ht="22.5" customHeight="1" thickTop="1" thickBot="1" x14ac:dyDescent="0.25">
      <c r="A41" s="2099">
        <f ca="1">APGES+TL_GP+STARTAP2</f>
        <v>320</v>
      </c>
      <c r="B41" s="2100"/>
      <c r="C41" s="2101">
        <f ca="1">APGUT+TL_GP_UEBRIG+STARTAP2_UEBRIG</f>
        <v>320</v>
      </c>
      <c r="D41" s="2101"/>
      <c r="E41" s="2101"/>
      <c r="F41" s="2101"/>
      <c r="G41" s="2102">
        <f ca="1">A41-APGUT-TL_GP_UEBRIG-STARTAP2_UEBRIG</f>
        <v>0</v>
      </c>
      <c r="H41" s="2102"/>
      <c r="I41" s="2102"/>
      <c r="J41" s="2102"/>
      <c r="K41" s="2102"/>
      <c r="L41" s="2096">
        <f ca="1">ROUNDDOWN((G41)/1000,0)</f>
        <v>0</v>
      </c>
      <c r="M41" s="2096"/>
      <c r="N41" s="2096"/>
      <c r="O41" s="2097"/>
      <c r="P41" s="20"/>
      <c r="Q41" s="695"/>
    </row>
    <row r="42" spans="1:21" ht="13.5" thickTop="1" x14ac:dyDescent="0.2">
      <c r="A42" s="695"/>
      <c r="B42" s="695"/>
      <c r="C42" s="695"/>
      <c r="D42" s="695"/>
      <c r="E42" s="695"/>
      <c r="F42" s="695"/>
      <c r="G42" s="695"/>
      <c r="H42" s="695"/>
      <c r="I42" s="695"/>
      <c r="J42" s="695"/>
      <c r="K42" s="695"/>
      <c r="L42" s="695"/>
      <c r="M42" s="695"/>
      <c r="N42" s="695"/>
      <c r="O42" s="695"/>
      <c r="P42" s="695"/>
      <c r="Q42" s="695"/>
    </row>
    <row r="43" spans="1:21" x14ac:dyDescent="0.2">
      <c r="A43" s="695"/>
      <c r="B43" s="695"/>
      <c r="C43" s="695"/>
      <c r="D43" s="695"/>
      <c r="E43" s="695"/>
      <c r="F43" s="695"/>
      <c r="G43" s="695"/>
      <c r="H43" s="695"/>
      <c r="I43" s="695"/>
      <c r="J43" s="695"/>
      <c r="K43" s="695"/>
      <c r="L43" s="695"/>
      <c r="M43" s="695"/>
      <c r="N43" s="695"/>
      <c r="O43" s="695"/>
      <c r="P43" s="695"/>
      <c r="Q43" s="695"/>
    </row>
  </sheetData>
  <sheetProtection selectLockedCells="1"/>
  <mergeCells count="81">
    <mergeCell ref="Q3:R3"/>
    <mergeCell ref="Q6:R6"/>
    <mergeCell ref="Q34:Q35"/>
    <mergeCell ref="R29:U29"/>
    <mergeCell ref="R30:U30"/>
    <mergeCell ref="R31:U31"/>
    <mergeCell ref="R32:U32"/>
    <mergeCell ref="R33:U33"/>
    <mergeCell ref="R34:U35"/>
    <mergeCell ref="L41:O41"/>
    <mergeCell ref="G6:I6"/>
    <mergeCell ref="A41:B41"/>
    <mergeCell ref="C41:F41"/>
    <mergeCell ref="G41:K41"/>
    <mergeCell ref="J6:O6"/>
    <mergeCell ref="A40:O40"/>
    <mergeCell ref="F29:I29"/>
    <mergeCell ref="F30:I30"/>
    <mergeCell ref="F31:I31"/>
    <mergeCell ref="K8:O8"/>
    <mergeCell ref="I8:J8"/>
    <mergeCell ref="F38:I38"/>
    <mergeCell ref="K34:K35"/>
    <mergeCell ref="M33:N33"/>
    <mergeCell ref="L34:L35"/>
    <mergeCell ref="F37:I37"/>
    <mergeCell ref="M28:N28"/>
    <mergeCell ref="M31:N31"/>
    <mergeCell ref="M32:N32"/>
    <mergeCell ref="M37:O37"/>
    <mergeCell ref="F32:I32"/>
    <mergeCell ref="F36:I36"/>
    <mergeCell ref="M36:O36"/>
    <mergeCell ref="A34:A35"/>
    <mergeCell ref="B34:B35"/>
    <mergeCell ref="C34:C35"/>
    <mergeCell ref="D34:D35"/>
    <mergeCell ref="A23:O25"/>
    <mergeCell ref="F34:I35"/>
    <mergeCell ref="J34:J35"/>
    <mergeCell ref="F28:I28"/>
    <mergeCell ref="F33:I33"/>
    <mergeCell ref="M29:N29"/>
    <mergeCell ref="M30:N30"/>
    <mergeCell ref="A27:O27"/>
    <mergeCell ref="N34:O34"/>
    <mergeCell ref="N35:O35"/>
    <mergeCell ref="A1:O1"/>
    <mergeCell ref="B6:F6"/>
    <mergeCell ref="B8:D8"/>
    <mergeCell ref="B9:D9"/>
    <mergeCell ref="B10:D10"/>
    <mergeCell ref="A2:O2"/>
    <mergeCell ref="J4:O4"/>
    <mergeCell ref="J5:O5"/>
    <mergeCell ref="B3:O3"/>
    <mergeCell ref="F8:G17"/>
    <mergeCell ref="A17:D17"/>
    <mergeCell ref="I11:O11"/>
    <mergeCell ref="B4:F4"/>
    <mergeCell ref="B5:F5"/>
    <mergeCell ref="G4:I4"/>
    <mergeCell ref="G5:I5"/>
    <mergeCell ref="I9:J9"/>
    <mergeCell ref="I10:K10"/>
    <mergeCell ref="L10:O10"/>
    <mergeCell ref="I17:O17"/>
    <mergeCell ref="I16:O16"/>
    <mergeCell ref="I14:O14"/>
    <mergeCell ref="K9:O9"/>
    <mergeCell ref="I13:O13"/>
    <mergeCell ref="I12:O12"/>
    <mergeCell ref="B11:D11"/>
    <mergeCell ref="B13:D13"/>
    <mergeCell ref="A15:D15"/>
    <mergeCell ref="A20:O22"/>
    <mergeCell ref="I15:O15"/>
    <mergeCell ref="A16:D16"/>
    <mergeCell ref="A19:O19"/>
    <mergeCell ref="B12:D12"/>
    <mergeCell ref="B14:D14"/>
  </mergeCells>
  <phoneticPr fontId="3" type="noConversion"/>
  <conditionalFormatting sqref="B36:B38 B29:B34 J29:J34 J36:J38">
    <cfRule type="cellIs" dxfId="7" priority="1" stopIfTrue="1" operator="equal">
      <formula>0</formula>
    </cfRule>
  </conditionalFormatting>
  <dataValidations disablePrompts="1" count="1">
    <dataValidation type="list" allowBlank="1" showInputMessage="1" showErrorMessage="1" sqref="Q29:Q35">
      <formula1>"-15,-14,-13,-12,-11,-10,-9,-8,-7,-6,-5,-4,-3,-2,-1,0,1,2,3,4,5,6,7,8,9,10,11,12,13,14,15,16,17,18,19,20"</formula1>
    </dataValidation>
  </dataValidations>
  <pageMargins left="0.39370078740157483" right="0.39370078740157483" top="0.39370078740157483" bottom="0.39370078740157483" header="0.51181102362204722" footer="0.51181102362204722"/>
  <pageSetup paperSize="9" scale="93"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tabColor indexed="44"/>
    <pageSetUpPr fitToPage="1"/>
  </sheetPr>
  <dimension ref="A1:Z365"/>
  <sheetViews>
    <sheetView showGridLines="0" zoomScaleNormal="100" zoomScaleSheetLayoutView="100" workbookViewId="0">
      <selection activeCell="U6" sqref="U6"/>
    </sheetView>
  </sheetViews>
  <sheetFormatPr baseColWidth="10" defaultColWidth="11.42578125" defaultRowHeight="12.75" outlineLevelRow="1" x14ac:dyDescent="0.2"/>
  <cols>
    <col min="1" max="1" width="2.140625" style="278" customWidth="1"/>
    <col min="2" max="2" width="24.42578125" style="278" customWidth="1"/>
    <col min="3" max="3" width="5.140625" style="63" customWidth="1"/>
    <col min="4" max="4" width="3.85546875" style="63" customWidth="1"/>
    <col min="5" max="5" width="6.140625" style="278" customWidth="1"/>
    <col min="6" max="6" width="1.85546875" style="278" customWidth="1"/>
    <col min="7" max="7" width="7.85546875" style="278" customWidth="1"/>
    <col min="8" max="8" width="5.140625" style="278" customWidth="1"/>
    <col min="9" max="9" width="2" style="278" customWidth="1"/>
    <col min="10" max="10" width="29.42578125" style="278" customWidth="1"/>
    <col min="11" max="11" width="7.5703125" style="278" customWidth="1"/>
    <col min="12" max="12" width="5.140625" style="278" customWidth="1"/>
    <col min="13" max="13" width="3.5703125" style="278" customWidth="1"/>
    <col min="14" max="14" width="2" style="278" customWidth="1"/>
    <col min="15" max="15" width="5.7109375" style="125" customWidth="1"/>
    <col min="16" max="16" width="4.5703125" style="125" customWidth="1"/>
    <col min="17" max="17" width="0.5703125" style="94" customWidth="1"/>
    <col min="18" max="18" width="11.42578125" style="278" customWidth="1"/>
    <col min="19" max="19" width="10" style="278" customWidth="1"/>
    <col min="20" max="20" width="6.42578125" style="278" customWidth="1"/>
    <col min="21" max="21" width="18" style="278" customWidth="1"/>
    <col min="22" max="22" width="5.5703125" style="278" customWidth="1"/>
    <col min="23" max="23" width="11.42578125" style="278" customWidth="1"/>
  </cols>
  <sheetData>
    <row r="1" spans="1:25" s="71" customFormat="1" ht="22.5" customHeight="1" thickTop="1" thickBot="1" x14ac:dyDescent="0.4">
      <c r="A1" s="2161" t="str">
        <f ca="1">CONCATENATE("MU: ",MU,"  KL: ",KL,"  IN: ",IN,"  CH: ",CH,"  FF: ",FF,"  GE: ",GE,"  KO: ",KO,"  KK: ",KK)</f>
        <v>MU: 8  KL: 8  IN: 8  CH: 8  FF: 8  GE: 8  KO: 8  KK: 8</v>
      </c>
      <c r="B1" s="2162"/>
      <c r="C1" s="2162"/>
      <c r="D1" s="2162"/>
      <c r="E1" s="2162"/>
      <c r="F1" s="2162"/>
      <c r="G1" s="2162"/>
      <c r="H1" s="2162"/>
      <c r="I1" s="2162"/>
      <c r="J1" s="2162"/>
      <c r="K1" s="2162"/>
      <c r="L1" s="2163"/>
      <c r="M1" s="2147">
        <f ca="1">IF(EXPERTE,EXPBE,BE)</f>
        <v>0</v>
      </c>
      <c r="N1" s="2148"/>
      <c r="O1" s="2148"/>
      <c r="P1" s="2149"/>
      <c r="Q1" s="94"/>
      <c r="R1" s="886">
        <v>2</v>
      </c>
      <c r="S1" s="886" t="b">
        <f>IF(VIEW_EIGN=2,TRUE,FALSE)</f>
        <v>1</v>
      </c>
      <c r="T1" s="278"/>
      <c r="U1" s="278"/>
      <c r="V1" s="278"/>
      <c r="W1" s="278"/>
    </row>
    <row r="2" spans="1:25" s="71" customFormat="1" ht="13.5" customHeight="1" thickTop="1" x14ac:dyDescent="0.4">
      <c r="A2" s="899"/>
      <c r="B2" s="899"/>
      <c r="C2" s="899"/>
      <c r="D2" s="899"/>
      <c r="E2" s="899"/>
      <c r="F2" s="899"/>
      <c r="G2" s="899"/>
      <c r="H2" s="899"/>
      <c r="I2" s="899"/>
      <c r="J2" s="899"/>
      <c r="K2" s="899"/>
      <c r="L2" s="899"/>
      <c r="M2" s="898"/>
      <c r="N2" s="898"/>
      <c r="O2" s="125"/>
      <c r="P2" s="125"/>
      <c r="Q2" s="94"/>
      <c r="R2" s="897"/>
      <c r="S2" s="896"/>
      <c r="T2" s="896"/>
      <c r="U2" s="895"/>
      <c r="V2" s="278"/>
      <c r="W2" s="278"/>
    </row>
    <row r="3" spans="1:25" s="71" customFormat="1" ht="21.75" customHeight="1" thickBot="1" x14ac:dyDescent="0.45">
      <c r="A3" s="894"/>
      <c r="B3" s="894"/>
      <c r="C3" s="894"/>
      <c r="D3" s="894"/>
      <c r="E3" s="894"/>
      <c r="F3" s="894"/>
      <c r="G3" s="894"/>
      <c r="H3" s="894"/>
      <c r="I3" s="894"/>
      <c r="J3" s="894"/>
      <c r="K3" s="894"/>
      <c r="L3" s="894"/>
      <c r="M3" s="894"/>
      <c r="N3" s="894"/>
      <c r="O3" s="125"/>
      <c r="P3" s="893"/>
      <c r="Q3" s="94"/>
      <c r="R3" s="892"/>
      <c r="S3" s="587"/>
      <c r="T3" s="544"/>
      <c r="U3" s="1659"/>
      <c r="V3" s="278"/>
      <c r="W3" s="278"/>
    </row>
    <row r="4" spans="1:25" s="71" customFormat="1" ht="12.75" customHeight="1" thickTop="1" x14ac:dyDescent="0.2">
      <c r="A4" s="2153" t="s">
        <v>4816</v>
      </c>
      <c r="B4" s="2154"/>
      <c r="C4" s="2154"/>
      <c r="D4" s="2154"/>
      <c r="E4" s="2154"/>
      <c r="F4" s="2154"/>
      <c r="G4" s="2154"/>
      <c r="H4" s="891"/>
      <c r="I4" s="2153" t="s">
        <v>4246</v>
      </c>
      <c r="J4" s="2154"/>
      <c r="K4" s="2154"/>
      <c r="L4" s="2154"/>
      <c r="M4" s="2154"/>
      <c r="N4" s="2154"/>
      <c r="O4" s="2154"/>
      <c r="P4" s="890"/>
      <c r="Q4" s="94"/>
      <c r="R4" s="889"/>
      <c r="S4" s="888"/>
      <c r="T4" s="888"/>
      <c r="U4" s="887"/>
      <c r="V4" s="886"/>
      <c r="W4" s="278"/>
    </row>
    <row r="5" spans="1:25" s="71" customFormat="1" ht="12.75" customHeight="1" x14ac:dyDescent="0.2">
      <c r="A5" s="2155"/>
      <c r="B5" s="2156"/>
      <c r="C5" s="2156"/>
      <c r="D5" s="2156"/>
      <c r="E5" s="2156"/>
      <c r="F5" s="2156"/>
      <c r="G5" s="2156"/>
      <c r="H5" s="885" t="s">
        <v>718</v>
      </c>
      <c r="I5" s="2159"/>
      <c r="J5" s="2160"/>
      <c r="K5" s="2160"/>
      <c r="L5" s="2160"/>
      <c r="M5" s="2160"/>
      <c r="N5" s="2160"/>
      <c r="O5" s="2160"/>
      <c r="P5" s="1284"/>
      <c r="Q5" s="94"/>
      <c r="R5" s="886"/>
      <c r="S5" s="886"/>
      <c r="T5" s="886"/>
      <c r="U5" s="886"/>
      <c r="V5" s="886"/>
      <c r="W5" s="278"/>
    </row>
    <row r="6" spans="1:25" s="71" customFormat="1" ht="12.75" customHeight="1" x14ac:dyDescent="0.2">
      <c r="A6" s="884"/>
      <c r="B6" s="2167" t="str">
        <f ca="1">IF(NOT(EXACT(GABENALLE,"")),HLOOKUP(Eigenschaften!BJ32,Eigenschaften!BJ32:BJ44,MATCH(LEFT(GABENALLE,40),Eigenschaften!A32:A44,1)),"")</f>
        <v/>
      </c>
      <c r="C6" s="2168"/>
      <c r="D6" s="2168"/>
      <c r="E6" s="2168"/>
      <c r="F6" s="2168"/>
      <c r="G6" s="2169"/>
      <c r="H6" s="1465" t="str">
        <f ca="1">IF(EXACT($B6,""),"",SUM(VLOOKUP($B6,Eigenschaften!$A32:'Eigenschaften'!$G44,2),VLOOKUP($B6,Eigenschaften!$A32:'Eigenschaften'!$G44,6),VLOOKUP($B6,Eigenschaften!$A32:'Eigenschaften'!$G44,7)))</f>
        <v/>
      </c>
      <c r="I6" s="1285"/>
      <c r="J6" s="2130" t="str">
        <f ca="1">SF!$AQ$153</f>
        <v xml:space="preserve">Kulturkunde: </v>
      </c>
      <c r="K6" s="2130"/>
      <c r="L6" s="2130"/>
      <c r="M6" s="2130"/>
      <c r="N6" s="2130"/>
      <c r="O6" s="2130"/>
      <c r="P6" s="2131"/>
      <c r="Q6" s="94"/>
      <c r="R6" s="278"/>
      <c r="S6" s="278"/>
      <c r="T6" s="886"/>
      <c r="U6" s="1180"/>
      <c r="V6" s="278"/>
      <c r="W6" s="278"/>
    </row>
    <row r="7" spans="1:25" s="71" customFormat="1" ht="12.75" customHeight="1" x14ac:dyDescent="0.2">
      <c r="A7" s="884"/>
      <c r="B7" s="2167" t="str">
        <f ca="1">IF(NOT(EXACT(MID(GABENALLE,SUM(LEN($B$6),1),40),"")),HLOOKUP(Eigenschaften!BJ32,Eigenschaften!BJ32:BJ44,MATCH(MID(GABENALLE,LEN($B$6)+1,40),Eigenschaften!A32:A44,1)),"")</f>
        <v/>
      </c>
      <c r="C7" s="2168"/>
      <c r="D7" s="2168"/>
      <c r="E7" s="2168"/>
      <c r="F7" s="2168"/>
      <c r="G7" s="2169"/>
      <c r="H7" s="1465" t="str">
        <f ca="1">IF(EXACT($B7,""),"",SUM(VLOOKUP($B7,Eigenschaften!$A32:'Eigenschaften'!$G44,2),VLOOKUP($B7,Eigenschaften!$A32:'Eigenschaften'!$G44,6),VLOOKUP($B7,Eigenschaften!$A32:'Eigenschaften'!$G44,7)))</f>
        <v/>
      </c>
      <c r="I7" s="1285"/>
      <c r="J7" s="2130"/>
      <c r="K7" s="2130"/>
      <c r="L7" s="2130"/>
      <c r="M7" s="2130"/>
      <c r="N7" s="2130"/>
      <c r="O7" s="2130"/>
      <c r="P7" s="2131"/>
      <c r="Q7" s="94"/>
      <c r="R7" s="278"/>
      <c r="S7" s="278"/>
      <c r="T7" s="886"/>
      <c r="U7" s="278"/>
      <c r="V7" s="278"/>
      <c r="W7" s="278"/>
    </row>
    <row r="8" spans="1:25" s="71" customFormat="1" ht="12.75" customHeight="1" x14ac:dyDescent="0.2">
      <c r="A8" s="884"/>
      <c r="B8" s="2167" t="str">
        <f ca="1">IF(NOT(EXACT(MID(GABENALLE,SUM(LEN(CONCATENATE($B$6,$B$7)),1),40),"")),HLOOKUP(Eigenschaften!BJ32,Eigenschaften!BJ32:BJ44,MATCH(MID(GABENALLE,LEN(CONCATENATE($B$6,$B$7))+1,40),Eigenschaften!A32:A44,1)),"")</f>
        <v/>
      </c>
      <c r="C8" s="2168"/>
      <c r="D8" s="2168"/>
      <c r="E8" s="2168"/>
      <c r="F8" s="2168"/>
      <c r="G8" s="2169"/>
      <c r="H8" s="1465" t="str">
        <f ca="1">IF(EXACT($B8,""),"",SUM(VLOOKUP($B8,Eigenschaften!$A$32:'Eigenschaften'!$G$44,2),VLOOKUP($B8,Eigenschaften!$A$32:'Eigenschaften'!$G$44,6),VLOOKUP($B8,Eigenschaften!$A$32:'Eigenschaften'!$G$44,7)))</f>
        <v/>
      </c>
      <c r="I8" s="1285"/>
      <c r="J8" s="2130"/>
      <c r="K8" s="2130"/>
      <c r="L8" s="2130"/>
      <c r="M8" s="2130"/>
      <c r="N8" s="2130"/>
      <c r="O8" s="2130"/>
      <c r="P8" s="2131"/>
      <c r="Q8" s="941"/>
      <c r="R8" s="278"/>
      <c r="S8" s="278"/>
      <c r="T8" s="886"/>
      <c r="U8" s="278"/>
      <c r="V8" s="278"/>
      <c r="W8" s="278"/>
    </row>
    <row r="9" spans="1:25" s="71" customFormat="1" ht="12.75" customHeight="1" thickBot="1" x14ac:dyDescent="0.25">
      <c r="A9" s="882"/>
      <c r="B9" s="2150" t="str">
        <f ca="1">IF(NOT(EXACT(MID(GABENALLE,SUM(LEN(CONCATENATE($B$6,$B$7,$B$8)),1),36),"")),HLOOKUP(Eigenschaften!BJ32,Eigenschaften!BJ32:BJ44,MATCH(MID(GABENALLE,LEN(CONCATENATE($B$6,$B$7,$B$8))+1,36),Eigenschaften!A32:A44,1)),"")</f>
        <v/>
      </c>
      <c r="C9" s="2151"/>
      <c r="D9" s="2151"/>
      <c r="E9" s="2151"/>
      <c r="F9" s="2151"/>
      <c r="G9" s="2152"/>
      <c r="H9" s="1465" t="str">
        <f ca="1">IF(EXACT($B9,""),"",SUM(VLOOKUP($B9,Eigenschaften!$A$32:'Eigenschaften'!$G$44,2),VLOOKUP($B9,Eigenschaften!$A$32:'Eigenschaften'!$G$44,6),VLOOKUP($B9,Eigenschaften!$A$32:'Eigenschaften'!$G$44,7)))</f>
        <v/>
      </c>
      <c r="I9" s="1285"/>
      <c r="J9" s="2130"/>
      <c r="K9" s="2130"/>
      <c r="L9" s="2130"/>
      <c r="M9" s="2130"/>
      <c r="N9" s="2130"/>
      <c r="O9" s="2130"/>
      <c r="P9" s="2131"/>
      <c r="Q9" s="941"/>
      <c r="R9" s="278"/>
      <c r="S9" s="278"/>
      <c r="T9" s="886"/>
      <c r="U9" s="278"/>
      <c r="V9" s="278"/>
      <c r="W9" s="278"/>
    </row>
    <row r="10" spans="1:25" s="71" customFormat="1" ht="12.75" customHeight="1" thickTop="1" x14ac:dyDescent="0.2">
      <c r="A10" s="2153" t="s">
        <v>4815</v>
      </c>
      <c r="B10" s="2164"/>
      <c r="C10" s="2164"/>
      <c r="D10" s="2164"/>
      <c r="E10" s="2164"/>
      <c r="F10" s="2164"/>
      <c r="G10" s="2164"/>
      <c r="H10" s="891"/>
      <c r="I10" s="1285"/>
      <c r="J10" s="2130"/>
      <c r="K10" s="2130"/>
      <c r="L10" s="2130"/>
      <c r="M10" s="2130"/>
      <c r="N10" s="2130"/>
      <c r="O10" s="2130"/>
      <c r="P10" s="2131"/>
      <c r="Q10" s="941"/>
      <c r="R10" s="278" t="str">
        <f ca="1">MID(GABENALLE,LEN(CONCATENATE($B$6,$B$7,$B$8))+1,36)</f>
        <v/>
      </c>
      <c r="S10" s="278"/>
      <c r="T10" s="886"/>
      <c r="U10" s="278"/>
      <c r="V10" s="278"/>
      <c r="W10" s="278"/>
    </row>
    <row r="11" spans="1:25" s="71" customFormat="1" ht="12.75" customHeight="1" thickBot="1" x14ac:dyDescent="0.25">
      <c r="A11" s="2165"/>
      <c r="B11" s="2166"/>
      <c r="C11" s="2166"/>
      <c r="D11" s="2166"/>
      <c r="E11" s="2166"/>
      <c r="F11" s="2166"/>
      <c r="G11" s="2166"/>
      <c r="H11" s="885" t="s">
        <v>718</v>
      </c>
      <c r="I11" s="1286"/>
      <c r="J11" s="2132"/>
      <c r="K11" s="2132"/>
      <c r="L11" s="2132"/>
      <c r="M11" s="2132"/>
      <c r="N11" s="2132"/>
      <c r="O11" s="2132"/>
      <c r="P11" s="2133"/>
      <c r="Q11" s="94"/>
      <c r="R11" s="278"/>
      <c r="S11" s="278"/>
      <c r="T11" s="886"/>
      <c r="U11" s="278"/>
      <c r="V11" s="278"/>
      <c r="W11" s="278"/>
    </row>
    <row r="12" spans="1:25" s="71" customFormat="1" ht="12.75" customHeight="1" thickTop="1" x14ac:dyDescent="0.2">
      <c r="A12" s="880" t="str">
        <f ca="1">IF(NOT(EXACT($R12,"")),IF(IF(ISERR(FIND(";"&amp;$H12+1&amp;";",VLOOKUP($R12,Talente!$A$42:$F$59,6))),FALSE,TRUE),"SE",""),"")</f>
        <v/>
      </c>
      <c r="B12" s="879" t="str">
        <f t="shared" ref="B12:B22" si="0">IF(R12="","",VLOOKUP(R12,TL_ALLE,14,FALSE))</f>
        <v>Athletik</v>
      </c>
      <c r="C12" s="878"/>
      <c r="D12" s="877" t="str">
        <f t="shared" ref="D12:D22" si="1">IF(NOT(EXACT($R12,"")),CONCATENATE(IF(OR(VLOOKUP($R12,TL_KRP_WERTE,7,FALSE)="spez.",VLOOKUP($R12,TL_KRP_WERTE,7,FALSE)="--"),"","BE"),VLOOKUP($R12,TL_KRP_WERTE,7,FALSE)),"")</f>
        <v>BEx2</v>
      </c>
      <c r="E12" s="876" t="str">
        <f t="shared" ref="E12:E22" si="2">IF(R12="","",CONCATENATE(VLOOKUP($R12,TL_KRP_WERTE,2),"•",VLOOKUP($R12,TL_KRP_WERTE,3,FALSE),"•",VLOOKUP($R12,TL_KRP_WERTE,4,FALSE)))</f>
        <v>GE•KO•KK</v>
      </c>
      <c r="F12" s="875"/>
      <c r="G12" s="818" t="str">
        <f t="shared" ref="G12:G22" ca="1" si="3">IF(R12="","",
IF(VIEW_EIGN_TRUE,
CONCATENATE(INDIRECT(VLOOKUP($R12,TL_KRP_WERTE,2)),"•",INDIRECT(VLOOKUP($R12,TL_KRP_WERTE,3,FALSE)),"•",INDIRECT(VLOOKUP($R12,TL_KRP_WERTE,4,FALSE))),
INDEX(TL_KRP_STW,MATCH(R12,TL_KRP,1))
))</f>
        <v>8•8•8</v>
      </c>
      <c r="H12" s="874">
        <f ca="1">IF(EXACT($R12,""),"",SUM(VLOOKUP($R12,Talente!$A$42:$J$59,2,FALSE),VLOOKUP($R12,Talente!$A$42:$J$59,7,FALSE),VLOOKUP($R12,Talente!$A$42:$I$59,9,FALSE),IF(AND(EXACT($R12,"Reiten"),VT_TIERFRND),3,0)))</f>
        <v>0</v>
      </c>
      <c r="I12" s="2153" t="s">
        <v>4818</v>
      </c>
      <c r="J12" s="2164"/>
      <c r="K12" s="2164"/>
      <c r="L12" s="2164"/>
      <c r="M12" s="2164"/>
      <c r="N12" s="2164"/>
      <c r="O12" s="873"/>
      <c r="P12" s="872"/>
      <c r="Q12" s="94"/>
      <c r="R12" s="886" t="s">
        <v>3059</v>
      </c>
      <c r="S12" s="886"/>
      <c r="T12" s="886"/>
      <c r="U12" s="278"/>
      <c r="V12" s="278"/>
      <c r="W12" s="278"/>
      <c r="Y12" s="886"/>
    </row>
    <row r="13" spans="1:25" s="71" customFormat="1" ht="12.75" customHeight="1" x14ac:dyDescent="0.2">
      <c r="A13" s="880" t="str">
        <f ca="1">IF(NOT(EXACT($R13,"")),IF(IF(ISERR(FIND(";"&amp;$H13+1&amp;";",VLOOKUP($R13,Talente!$A$42:$F$59,6))),FALSE,TRUE),"SE",""),"")</f>
        <v/>
      </c>
      <c r="B13" s="879" t="str">
        <f t="shared" si="0"/>
        <v>Klettern</v>
      </c>
      <c r="C13" s="878"/>
      <c r="D13" s="877" t="str">
        <f t="shared" si="1"/>
        <v>BEx2</v>
      </c>
      <c r="E13" s="876" t="str">
        <f t="shared" si="2"/>
        <v>MU•GE•KK</v>
      </c>
      <c r="F13" s="875"/>
      <c r="G13" s="818" t="str">
        <f t="shared" ca="1" si="3"/>
        <v>8•8•8</v>
      </c>
      <c r="H13" s="874">
        <f ca="1">IF(EXACT($R13,""),"",SUM(VLOOKUP($R13,Talente!$A$42:$J$59,2,FALSE),VLOOKUP($R13,Talente!$A$42:$J$59,7,FALSE),VLOOKUP($R13,Talente!$A$42:$I$59,9,FALSE),IF(AND(EXACT($R13,"Reiten"),VT_TIERFRND),3,0)))</f>
        <v>0</v>
      </c>
      <c r="I13" s="2165"/>
      <c r="J13" s="2166"/>
      <c r="K13" s="2166"/>
      <c r="L13" s="2166"/>
      <c r="M13" s="2166"/>
      <c r="N13" s="2166"/>
      <c r="O13" s="871"/>
      <c r="P13" s="885" t="s">
        <v>718</v>
      </c>
      <c r="Q13" s="94"/>
      <c r="R13" s="886" t="s">
        <v>891</v>
      </c>
      <c r="S13" s="886"/>
      <c r="T13" s="886"/>
      <c r="U13" s="278"/>
      <c r="V13" s="278"/>
      <c r="W13" s="278"/>
      <c r="Y13" s="886"/>
    </row>
    <row r="14" spans="1:25" s="71" customFormat="1" ht="12.75" customHeight="1" x14ac:dyDescent="0.2">
      <c r="A14" s="880" t="str">
        <f ca="1">IF(NOT(EXACT($R14,"")),IF(IF(ISERR(FIND(";"&amp;$H14+1&amp;";",VLOOKUP($R14,Talente!$A$42:$F$59,6))),FALSE,TRUE),"SE",""),"")</f>
        <v/>
      </c>
      <c r="B14" s="879" t="str">
        <f t="shared" si="0"/>
        <v>Körperbeherrschung</v>
      </c>
      <c r="C14" s="878"/>
      <c r="D14" s="877" t="str">
        <f t="shared" si="1"/>
        <v>BEx2</v>
      </c>
      <c r="E14" s="876" t="str">
        <f t="shared" si="2"/>
        <v>MU•IN•GE</v>
      </c>
      <c r="F14" s="875"/>
      <c r="G14" s="818" t="str">
        <f t="shared" ca="1" si="3"/>
        <v>8•8•8</v>
      </c>
      <c r="H14" s="874">
        <f ca="1">IF(EXACT($R14,""),"",SUM(VLOOKUP($R14,Talente!$A$42:$J$59,2,FALSE),VLOOKUP($R14,Talente!$A$42:$J$59,7,FALSE),VLOOKUP($R14,Talente!$A$42:$I$59,9,FALSE),IF(AND(EXACT($R14,"Reiten"),VT_TIERFRND),3,0)))</f>
        <v>0</v>
      </c>
      <c r="I14" s="880" t="str">
        <f ca="1">IF(NOT(EXACT($U14,"")),IF(IF(ISERR(FIND(";"&amp;$P14+1&amp;";",VLOOKUP($U14,Talente!$A$73:$F$80,6))),FALSE,TRUE),"SE",""),"")</f>
        <v/>
      </c>
      <c r="J14" s="836" t="str">
        <f t="shared" ref="J14:J21" si="4">IF(U14="","",VLOOKUP(U14,TL_ALLE,14,FALSE))</f>
        <v>Fährtensuchen</v>
      </c>
      <c r="K14" s="835"/>
      <c r="L14" s="818" t="str">
        <f>IF(U14="","",CONCATENATE(VLOOKUP($U14,TL_NAT_WERTE,2),"•",VLOOKUP($U14,TL_NAT_WERTE,3,FALSE),"•",VLOOKUP($U14,TL_NAT_WERTE,4,FALSE)))</f>
        <v>KL•IN•KO</v>
      </c>
      <c r="M14" s="819"/>
      <c r="N14" s="818" t="str">
        <f ca="1">IF(U14="","",
IF(VIEW_EIGN_TRUE,
CONCATENATE(INDIRECT(VLOOKUP($U14,TL_NAT_WERTE,2)),"•",INDIRECT(VLOOKUP($U14,TL_NAT_WERTE,3,FALSE)),"•",INDIRECT(VLOOKUP($U14,TL_NAT_WERTE,4,FALSE))),
INDEX(TL_NAT_STW,MATCH(U14,TL_NAT,1))
))</f>
        <v>8•8•8</v>
      </c>
      <c r="O14" s="883"/>
      <c r="P14" s="870">
        <f ca="1">IF(EXACT($U14,""),"",SUM(VLOOKUP($U14,Talente!$A$73:$B$80,2,FALSE),VLOOKUP($U14,Talente!$A$73:$G$80,7,FALSE),VLOOKUP($U14,Talente!$A$73:$I$80,9,FALSE)))</f>
        <v>0</v>
      </c>
      <c r="Q14" s="440"/>
      <c r="R14" s="886" t="s">
        <v>892</v>
      </c>
      <c r="S14" s="886"/>
      <c r="T14" s="886"/>
      <c r="U14" s="886" t="s">
        <v>3313</v>
      </c>
      <c r="V14" s="886"/>
      <c r="W14" s="278"/>
      <c r="Y14" s="886"/>
    </row>
    <row r="15" spans="1:25" s="71" customFormat="1" ht="12.75" customHeight="1" x14ac:dyDescent="0.2">
      <c r="A15" s="880" t="str">
        <f ca="1">IF(NOT(EXACT($R15,"")),IF(IF(ISERR(FIND(";"&amp;$H15+1&amp;";",VLOOKUP($R15,Talente!$A$42:$F$59,6))),FALSE,TRUE),"SE",""),"")</f>
        <v/>
      </c>
      <c r="B15" s="879" t="str">
        <f t="shared" si="0"/>
        <v>Schleichen</v>
      </c>
      <c r="C15" s="878"/>
      <c r="D15" s="877" t="str">
        <f t="shared" si="1"/>
        <v>BE</v>
      </c>
      <c r="E15" s="876" t="str">
        <f t="shared" si="2"/>
        <v>MU•IN•GE</v>
      </c>
      <c r="F15" s="875"/>
      <c r="G15" s="818" t="str">
        <f t="shared" ca="1" si="3"/>
        <v>8•8•8</v>
      </c>
      <c r="H15" s="874">
        <f ca="1">IF(EXACT($R15,""),"",SUM(VLOOKUP($R15,Talente!$A$42:$J$59,2,FALSE),VLOOKUP($R15,Talente!$A$42:$J$59,7,FALSE),VLOOKUP($R15,Talente!$A$42:$I$59,9,FALSE),IF(AND(EXACT($R15,"Reiten"),VT_TIERFRND),3,0)))</f>
        <v>0</v>
      </c>
      <c r="I15" s="880" t="str">
        <f ca="1">IF(NOT(EXACT($U15,"")),IF(IF(ISERR(FIND(";"&amp;$P15+1&amp;";",VLOOKUP($U15,Talente!$A$73:$F$80,6))),FALSE,TRUE),"SE",""),"")</f>
        <v/>
      </c>
      <c r="J15" s="836" t="str">
        <f t="shared" si="4"/>
        <v>Orientierung</v>
      </c>
      <c r="K15" s="835"/>
      <c r="L15" s="818" t="str">
        <f t="shared" ref="L15:L21" si="5">IF(U15="","",CONCATENATE(VLOOKUP($U15,TL_NAT_WERTE,2),"•",VLOOKUP($U15,TL_NAT_WERTE,3,FALSE),"•",VLOOKUP($U15,TL_NAT_WERTE,4,FALSE)))</f>
        <v>KL•IN•IN</v>
      </c>
      <c r="M15" s="819"/>
      <c r="N15" s="818" t="str">
        <f t="shared" ref="N15:N21" ca="1" si="6">IF(U15="","",
IF(VIEW_EIGN_TRUE,
CONCATENATE(INDIRECT(VLOOKUP($U15,TL_NAT_WERTE,2)),"•",INDIRECT(VLOOKUP($U15,TL_NAT_WERTE,3,FALSE)),"•",INDIRECT(VLOOKUP($U15,TL_NAT_WERTE,4,FALSE))),
INDEX(TL_NAT_STW,MATCH(U15,TL_NAT,1))
))</f>
        <v>8•8•8</v>
      </c>
      <c r="O15" s="883"/>
      <c r="P15" s="870">
        <f ca="1">IF(EXACT($U15,""),"",SUM(VLOOKUP($U15,Talente!$A$73:$B$80,2,FALSE),VLOOKUP($U15,Talente!$A$73:$G$80,7,FALSE),VLOOKUP($U15,Talente!$A$73:$I$80,9,FALSE)))</f>
        <v>0</v>
      </c>
      <c r="Q15" s="440"/>
      <c r="R15" s="886" t="s">
        <v>4106</v>
      </c>
      <c r="S15" s="886"/>
      <c r="T15" s="886"/>
      <c r="U15" s="886" t="s">
        <v>3317</v>
      </c>
      <c r="V15" s="886"/>
      <c r="W15" s="278"/>
      <c r="Y15" s="886"/>
    </row>
    <row r="16" spans="1:25" s="71" customFormat="1" ht="12.75" customHeight="1" x14ac:dyDescent="0.2">
      <c r="A16" s="880" t="str">
        <f ca="1">IF(NOT(EXACT($R16,"")),IF(IF(ISERR(FIND(";"&amp;$H16+1&amp;";",VLOOKUP($R16,Talente!$A$42:$F$59,6))),FALSE,TRUE),"SE",""),"")</f>
        <v/>
      </c>
      <c r="B16" s="879" t="str">
        <f t="shared" si="0"/>
        <v>Schwimmen</v>
      </c>
      <c r="C16" s="878"/>
      <c r="D16" s="877" t="str">
        <f t="shared" si="1"/>
        <v>BEx2</v>
      </c>
      <c r="E16" s="876" t="str">
        <f t="shared" si="2"/>
        <v>GE•KO•KK</v>
      </c>
      <c r="F16" s="875"/>
      <c r="G16" s="818" t="str">
        <f t="shared" ca="1" si="3"/>
        <v>8•8•8</v>
      </c>
      <c r="H16" s="874">
        <f ca="1">IF(EXACT($R16,""),"",SUM(VLOOKUP($R16,Talente!$A$42:$J$59,2,FALSE),VLOOKUP($R16,Talente!$A$42:$J$59,7,FALSE),VLOOKUP($R16,Talente!$A$42:$I$59,9,FALSE),IF(AND(EXACT($R16,"Reiten"),VT_TIERFRND),3,0)))</f>
        <v>0</v>
      </c>
      <c r="I16" s="880" t="str">
        <f ca="1">IF(NOT(EXACT($U16,"")),IF(IF(ISERR(FIND(";"&amp;$P16+1&amp;";",VLOOKUP($U16,Talente!$A$73:$F$80,6))),FALSE,TRUE),"SE",""),"")</f>
        <v/>
      </c>
      <c r="J16" s="836" t="str">
        <f t="shared" si="4"/>
        <v>Wildnisleben</v>
      </c>
      <c r="K16" s="835"/>
      <c r="L16" s="818" t="str">
        <f t="shared" si="5"/>
        <v>IN•GE•KO</v>
      </c>
      <c r="M16" s="819"/>
      <c r="N16" s="818" t="str">
        <f t="shared" ca="1" si="6"/>
        <v>8•8•8</v>
      </c>
      <c r="O16" s="883"/>
      <c r="P16" s="870">
        <f ca="1">IF(EXACT($U16,""),"",SUM(VLOOKUP($U16,Talente!$A$73:$B$80,2,FALSE),VLOOKUP($U16,Talente!$A$73:$G$80,7,FALSE),VLOOKUP($U16,Talente!$A$73:$I$80,9,FALSE)))</f>
        <v>0</v>
      </c>
      <c r="Q16" s="942"/>
      <c r="R16" s="886" t="s">
        <v>4107</v>
      </c>
      <c r="S16" s="886"/>
      <c r="T16" s="886"/>
      <c r="U16" s="886" t="s">
        <v>3320</v>
      </c>
      <c r="V16" s="886"/>
      <c r="W16" s="278"/>
      <c r="Y16" s="886"/>
    </row>
    <row r="17" spans="1:25" s="71" customFormat="1" ht="12.75" customHeight="1" x14ac:dyDescent="0.2">
      <c r="A17" s="880" t="str">
        <f ca="1">IF(NOT(EXACT($R17,"")),IF(IF(ISERR(FIND(";"&amp;$H17+1&amp;";",VLOOKUP($R17,Talente!$A$42:$F$59,6))),FALSE,TRUE),"SE",""),"")</f>
        <v/>
      </c>
      <c r="B17" s="879" t="str">
        <f t="shared" si="0"/>
        <v>Selbstbeherrschung</v>
      </c>
      <c r="C17" s="878"/>
      <c r="D17" s="877" t="str">
        <f t="shared" si="1"/>
        <v>--</v>
      </c>
      <c r="E17" s="876" t="str">
        <f t="shared" si="2"/>
        <v>MU•KO•KK</v>
      </c>
      <c r="F17" s="875"/>
      <c r="G17" s="818" t="str">
        <f t="shared" ca="1" si="3"/>
        <v>8•8•8</v>
      </c>
      <c r="H17" s="874">
        <f ca="1">IF(EXACT($R17,""),"",SUM(VLOOKUP($R17,Talente!$A$42:$J$59,2,FALSE),VLOOKUP($R17,Talente!$A$42:$J$59,7,FALSE),VLOOKUP($R17,Talente!$A$42:$I$59,9,FALSE),IF(AND(EXACT($R17,"Reiten"),VT_TIERFRND),3,0)))</f>
        <v>0</v>
      </c>
      <c r="I17" s="880" t="str">
        <f ca="1">IF(NOT(EXACT($U17,"")),IF(IF(ISERR(FIND(";"&amp;$P17+1&amp;";",VLOOKUP($U17,Talente!$A$73:$F$80,6))),FALSE,TRUE),"SE",""),"")</f>
        <v/>
      </c>
      <c r="J17" s="832" t="str">
        <f t="shared" ca="1" si="4"/>
        <v/>
      </c>
      <c r="K17" s="835"/>
      <c r="L17" s="818" t="str">
        <f t="shared" ca="1" si="5"/>
        <v/>
      </c>
      <c r="M17" s="819"/>
      <c r="N17" s="818" t="str">
        <f t="shared" ca="1" si="6"/>
        <v/>
      </c>
      <c r="O17" s="883"/>
      <c r="P17" s="870" t="str">
        <f ca="1">IF(EXACT($U17,""),"",SUM(VLOOKUP($U17,Talente!$A$73:$B$80,2,FALSE),VLOOKUP($U17,Talente!$A$73:$G$80,7,FALSE),VLOOKUP($U17,Talente!$A$73:$I$80,9,FALSE)))</f>
        <v/>
      </c>
      <c r="Q17" s="942"/>
      <c r="R17" s="886" t="s">
        <v>4108</v>
      </c>
      <c r="S17" s="886"/>
      <c r="T17" s="886"/>
      <c r="U17" s="886" t="str">
        <f ca="1">IF(NOT(EXACT(BTNATALLE,"")),IF(NOT(EXACT(LEFT(BTNATALLE,20),"")),VLOOKUP(LEFT(BTNATALLE,20),TL_NAT_WERTE,1),""),"")</f>
        <v/>
      </c>
      <c r="V17" s="886">
        <f ca="1">LEN(U17)</f>
        <v>0</v>
      </c>
      <c r="W17" s="278"/>
      <c r="Y17" s="886"/>
    </row>
    <row r="18" spans="1:25" s="71" customFormat="1" ht="12.75" customHeight="1" x14ac:dyDescent="0.2">
      <c r="A18" s="880" t="str">
        <f ca="1">IF(NOT(EXACT($R18,"")),IF(IF(ISERR(FIND(";"&amp;$H18+1&amp;";",VLOOKUP($R18,Talente!$A$42:$F$59,6))),FALSE,TRUE),"SE",""),"")</f>
        <v/>
      </c>
      <c r="B18" s="879" t="str">
        <f t="shared" si="0"/>
        <v>Sich Verstecken</v>
      </c>
      <c r="C18" s="878"/>
      <c r="D18" s="877" t="str">
        <f t="shared" si="1"/>
        <v>BE-2</v>
      </c>
      <c r="E18" s="876" t="str">
        <f t="shared" si="2"/>
        <v>MU•IN•GE</v>
      </c>
      <c r="F18" s="875"/>
      <c r="G18" s="818" t="str">
        <f t="shared" ca="1" si="3"/>
        <v>8•8•8</v>
      </c>
      <c r="H18" s="874">
        <f ca="1">IF(EXACT($R18,""),"",SUM(VLOOKUP($R18,Talente!$A$42:$J$59,2,FALSE),VLOOKUP($R18,Talente!$A$42:$J$59,7,FALSE),VLOOKUP($R18,Talente!$A$42:$I$59,9,FALSE),IF(AND(EXACT($R18,"Reiten"),VT_TIERFRND),3,0)))</f>
        <v>0</v>
      </c>
      <c r="I18" s="880" t="str">
        <f ca="1">IF(NOT(EXACT($U18,"")),IF(IF(ISERR(FIND(";"&amp;$P18+1&amp;";",VLOOKUP($U18,Talente!$A$73:$F$80,6))),FALSE,TRUE),"SE",""),"")</f>
        <v/>
      </c>
      <c r="J18" s="832" t="str">
        <f t="shared" ca="1" si="4"/>
        <v/>
      </c>
      <c r="K18" s="835"/>
      <c r="L18" s="818" t="str">
        <f t="shared" ca="1" si="5"/>
        <v/>
      </c>
      <c r="M18" s="819"/>
      <c r="N18" s="818" t="str">
        <f t="shared" ca="1" si="6"/>
        <v/>
      </c>
      <c r="O18" s="883"/>
      <c r="P18" s="870" t="str">
        <f ca="1">IF(EXACT($U18,""),"",SUM(VLOOKUP($U18,Talente!$A$73:$B$80,2,FALSE),VLOOKUP($U18,Talente!$A$73:$G$80,7,FALSE),VLOOKUP($U18,Talente!$A$73:$I$80,9,FALSE)))</f>
        <v/>
      </c>
      <c r="Q18" s="942"/>
      <c r="R18" s="886" t="s">
        <v>1478</v>
      </c>
      <c r="S18" s="886"/>
      <c r="T18" s="886"/>
      <c r="U18" s="886" t="str">
        <f ca="1">IF(EXACT($U17,""),"",IF(NOT(EXACT(MID(BTNATALLE,V17+1,20),"")),VLOOKUP(MID(BTNATALLE,V17+1,20),TL_NAT_WERTE,1),""))</f>
        <v/>
      </c>
      <c r="V18" s="886">
        <f ca="1">V17+LEN(U18)</f>
        <v>0</v>
      </c>
      <c r="W18" s="278"/>
      <c r="Y18" s="886"/>
    </row>
    <row r="19" spans="1:25" s="71" customFormat="1" ht="12.75" customHeight="1" x14ac:dyDescent="0.2">
      <c r="A19" s="880" t="str">
        <f ca="1">IF(NOT(EXACT($R19,"")),IF(IF(ISERR(FIND(";"&amp;$H19+1&amp;";",VLOOKUP($R19,Talente!$A$42:$F$59,6))),FALSE,TRUE),"SE",""),"")</f>
        <v/>
      </c>
      <c r="B19" s="879" t="str">
        <f t="shared" si="0"/>
        <v>Singen</v>
      </c>
      <c r="C19" s="878"/>
      <c r="D19" s="877" t="str">
        <f t="shared" si="1"/>
        <v>BE-3</v>
      </c>
      <c r="E19" s="876" t="str">
        <f t="shared" si="2"/>
        <v>IN•CH•CH</v>
      </c>
      <c r="F19" s="875"/>
      <c r="G19" s="818" t="str">
        <f t="shared" ca="1" si="3"/>
        <v>8•8•8</v>
      </c>
      <c r="H19" s="874">
        <f ca="1">IF(EXACT($R19,""),"",SUM(VLOOKUP($R19,Talente!$A$42:$J$59,2,FALSE),VLOOKUP($R19,Talente!$A$42:$J$59,7,FALSE),VLOOKUP($R19,Talente!$A$42:$I$59,9,FALSE),IF(AND(EXACT($R19,"Reiten"),VT_TIERFRND),3,0)))</f>
        <v>0</v>
      </c>
      <c r="I19" s="880" t="str">
        <f ca="1">IF(NOT(EXACT($U19,"")),IF(IF(ISERR(FIND(";"&amp;$P19+1&amp;";",VLOOKUP($U19,Talente!$A$73:$F$80,6))),FALSE,TRUE),"SE",""),"")</f>
        <v/>
      </c>
      <c r="J19" s="832" t="str">
        <f t="shared" ca="1" si="4"/>
        <v/>
      </c>
      <c r="K19" s="835"/>
      <c r="L19" s="818" t="str">
        <f t="shared" ca="1" si="5"/>
        <v/>
      </c>
      <c r="M19" s="819"/>
      <c r="N19" s="818" t="str">
        <f t="shared" ca="1" si="6"/>
        <v/>
      </c>
      <c r="O19" s="883"/>
      <c r="P19" s="870" t="str">
        <f ca="1">IF(EXACT($U19,""),"",SUM(VLOOKUP($U19,Talente!$A$73:$B$80,2,FALSE),VLOOKUP($U19,Talente!$A$73:$G$80,7,FALSE),VLOOKUP($U19,Talente!$A$73:$I$80,9,FALSE)))</f>
        <v/>
      </c>
      <c r="Q19" s="942"/>
      <c r="R19" s="886" t="s">
        <v>4109</v>
      </c>
      <c r="S19" s="886"/>
      <c r="T19" s="886"/>
      <c r="U19" s="886" t="str">
        <f ca="1">IF(EXACT($U18,""),"",IF(NOT(EXACT(MID(BTNATALLE,V18+1,20),"")),VLOOKUP(MID(BTNATALLE,V18+1,20),TL_NAT_WERTE,1),""))</f>
        <v/>
      </c>
      <c r="V19" s="886">
        <f ca="1">V18+LEN(U19)</f>
        <v>0</v>
      </c>
      <c r="W19" s="278"/>
      <c r="Y19" s="886"/>
    </row>
    <row r="20" spans="1:25" s="71" customFormat="1" ht="12.75" customHeight="1" x14ac:dyDescent="0.2">
      <c r="A20" s="880" t="str">
        <f ca="1">IF(NOT(EXACT($R20,"")),IF(IF(ISERR(FIND(";"&amp;$H20+1&amp;";",VLOOKUP($R20,Talente!$A$42:$F$59,6))),FALSE,TRUE),"SE",""),"")</f>
        <v/>
      </c>
      <c r="B20" s="879" t="str">
        <f t="shared" si="0"/>
        <v>Sinnenschärfe</v>
      </c>
      <c r="C20" s="878"/>
      <c r="D20" s="877" t="str">
        <f t="shared" si="1"/>
        <v>spez.</v>
      </c>
      <c r="E20" s="876" t="str">
        <f t="shared" si="2"/>
        <v>KL•IN•IN</v>
      </c>
      <c r="F20" s="875"/>
      <c r="G20" s="818" t="str">
        <f t="shared" ca="1" si="3"/>
        <v>8•8•8</v>
      </c>
      <c r="H20" s="874">
        <f ca="1">IF(EXACT($R20,""),"",SUM(VLOOKUP($R20,Talente!$A$42:$J$59,2,FALSE),VLOOKUP($R20,Talente!$A$42:$J$59,7,FALSE),VLOOKUP($R20,Talente!$A$42:$I$59,9,FALSE),IF(AND(EXACT($R20,"Reiten"),VT_TIERFRND),3,0)))</f>
        <v>0</v>
      </c>
      <c r="I20" s="880" t="str">
        <f ca="1">IF(NOT(EXACT($U20,"")),IF(IF(ISERR(FIND(";"&amp;$P20+1&amp;";",VLOOKUP($U20,Talente!$A$73:$F$80,6))),FALSE,TRUE),"SE",""),"")</f>
        <v/>
      </c>
      <c r="J20" s="832" t="str">
        <f t="shared" ca="1" si="4"/>
        <v/>
      </c>
      <c r="K20" s="835"/>
      <c r="L20" s="818" t="str">
        <f t="shared" ca="1" si="5"/>
        <v/>
      </c>
      <c r="M20" s="819"/>
      <c r="N20" s="818" t="str">
        <f t="shared" ca="1" si="6"/>
        <v/>
      </c>
      <c r="O20" s="883"/>
      <c r="P20" s="870" t="str">
        <f ca="1">IF(EXACT($U20,""),"",SUM(VLOOKUP($U20,Talente!$A$73:$B$80,2,FALSE),VLOOKUP($U20,Talente!$A$73:$G$80,7,FALSE),VLOOKUP($U20,Talente!$A$73:$I$80,9,FALSE)))</f>
        <v/>
      </c>
      <c r="Q20" s="942"/>
      <c r="R20" s="886" t="s">
        <v>4110</v>
      </c>
      <c r="S20" s="886"/>
      <c r="T20" s="886"/>
      <c r="U20" s="886" t="str">
        <f ca="1">IF(EXACT($U19,""),"",IF(NOT(EXACT(MID(BTNATALLE,V19+1,20),"")),VLOOKUP(MID(BTNATALLE,V19+1,20),TL_NAT_WERTE,1),""))</f>
        <v/>
      </c>
      <c r="V20" s="886">
        <f ca="1">V19+LEN(U20)</f>
        <v>0</v>
      </c>
      <c r="W20" s="278"/>
      <c r="Y20" s="886"/>
    </row>
    <row r="21" spans="1:25" s="71" customFormat="1" ht="12.75" customHeight="1" thickBot="1" x14ac:dyDescent="0.25">
      <c r="A21" s="880" t="str">
        <f ca="1">IF(NOT(EXACT($R21,"")),IF(IF(ISERR(FIND(";"&amp;$H21+1&amp;";",VLOOKUP($R21,Talente!$A$42:$F$59,6))),FALSE,TRUE),"SE",""),"")</f>
        <v/>
      </c>
      <c r="B21" s="879" t="str">
        <f t="shared" si="0"/>
        <v>Tanzen</v>
      </c>
      <c r="C21" s="878"/>
      <c r="D21" s="877" t="str">
        <f t="shared" si="1"/>
        <v>BEx2</v>
      </c>
      <c r="E21" s="876" t="str">
        <f t="shared" si="2"/>
        <v>CH•GE•GE</v>
      </c>
      <c r="F21" s="875"/>
      <c r="G21" s="818" t="str">
        <f t="shared" ca="1" si="3"/>
        <v>8•8•8</v>
      </c>
      <c r="H21" s="874">
        <f ca="1">IF(EXACT($R21,""),"",SUM(VLOOKUP($R21,Talente!$A$42:$J$59,2,FALSE),VLOOKUP($R21,Talente!$A$42:$J$59,7,FALSE),VLOOKUP($R21,Talente!$A$42:$I$59,9,FALSE),IF(AND(EXACT($R21,"Reiten"),VT_TIERFRND),3,0)))</f>
        <v>0</v>
      </c>
      <c r="I21" s="880" t="str">
        <f ca="1">IF(NOT(EXACT($U21,"")),IF(IF(ISERR(FIND(";"&amp;$P21+1&amp;";",VLOOKUP($U21,Talente!$A$73:$F$80,6))),FALSE,TRUE),"SE",""),"")</f>
        <v/>
      </c>
      <c r="J21" s="869" t="str">
        <f t="shared" ca="1" si="4"/>
        <v/>
      </c>
      <c r="K21" s="868"/>
      <c r="L21" s="867" t="str">
        <f t="shared" ca="1" si="5"/>
        <v/>
      </c>
      <c r="M21" s="866"/>
      <c r="N21" s="818" t="str">
        <f t="shared" ca="1" si="6"/>
        <v/>
      </c>
      <c r="O21" s="881"/>
      <c r="P21" s="865" t="str">
        <f ca="1">IF(EXACT($U21,""),"",SUM(VLOOKUP($U21,Talente!$A$73:$B$80,2,FALSE),VLOOKUP($U21,Talente!$A$73:$G$80,7,FALSE),VLOOKUP($U21,Talente!$A$73:$I$80,9,FALSE)))</f>
        <v/>
      </c>
      <c r="Q21" s="942"/>
      <c r="R21" s="886" t="s">
        <v>4113</v>
      </c>
      <c r="S21" s="886"/>
      <c r="T21" s="886"/>
      <c r="U21" s="886" t="str">
        <f ca="1">IF(EXACT($U20,""),"",IF(NOT(EXACT(MID(BTNATALLE,V20+1,20),"")),VLOOKUP(MID(BTNATALLE,V20+1,20),TL_NAT_WERTE,1),""))</f>
        <v/>
      </c>
      <c r="V21" s="886">
        <f ca="1">V20+LEN(U21)</f>
        <v>0</v>
      </c>
      <c r="W21" s="278"/>
      <c r="Y21" s="886"/>
    </row>
    <row r="22" spans="1:25" s="71" customFormat="1" ht="12.75" customHeight="1" thickTop="1" x14ac:dyDescent="0.2">
      <c r="A22" s="880" t="str">
        <f ca="1">IF(NOT(EXACT($R22,"")),IF(IF(ISERR(FIND(";"&amp;$H22+1&amp;";",VLOOKUP($R22,Talente!$A$42:$F$59,6))),FALSE,TRUE),"SE",""),"")</f>
        <v/>
      </c>
      <c r="B22" s="879" t="str">
        <f t="shared" si="0"/>
        <v>Zechen</v>
      </c>
      <c r="C22" s="878"/>
      <c r="D22" s="877" t="str">
        <f t="shared" si="1"/>
        <v>--</v>
      </c>
      <c r="E22" s="876" t="str">
        <f t="shared" si="2"/>
        <v>IN•KO•KK</v>
      </c>
      <c r="F22" s="875"/>
      <c r="G22" s="818" t="str">
        <f t="shared" ca="1" si="3"/>
        <v>8•8•8</v>
      </c>
      <c r="H22" s="874">
        <f ca="1">IF(EXACT($R22,""),"",SUM(VLOOKUP($R22,Talente!$A$42:$J$59,2,FALSE),VLOOKUP($R22,Talente!$A$42:$J$59,7,FALSE),VLOOKUP($R22,Talente!$A$42:$I$59,9,FALSE),IF(AND(EXACT($R22,"Reiten"),VT_TIERFRND),3,0)))</f>
        <v>0</v>
      </c>
      <c r="I22" s="2153" t="s">
        <v>4820</v>
      </c>
      <c r="J22" s="2164"/>
      <c r="K22" s="2164"/>
      <c r="L22" s="2164"/>
      <c r="M22" s="2164"/>
      <c r="N22" s="2164"/>
      <c r="O22" s="873"/>
      <c r="P22" s="891"/>
      <c r="Q22" s="943"/>
      <c r="R22" s="886" t="s">
        <v>4115</v>
      </c>
      <c r="S22" s="886"/>
      <c r="T22" s="886"/>
      <c r="U22" s="278"/>
      <c r="V22" s="278"/>
      <c r="W22" s="278"/>
      <c r="Y22" s="886"/>
    </row>
    <row r="23" spans="1:25" s="71" customFormat="1" ht="12.75" customHeight="1" x14ac:dyDescent="0.2">
      <c r="A23" s="880" t="str">
        <f ca="1">IF(NOT(EXACT($R23,"")),IF(IF(ISERR(FIND(";"&amp;$H23+1&amp;";",VLOOKUP($R23,Talente!$A$42:$F$59,6))),FALSE,TRUE),"SE",""),"")</f>
        <v/>
      </c>
      <c r="B23" s="864" t="str">
        <f t="shared" ref="B23:B28" ca="1" si="7">IF(R23="","",VLOOKUP(R23,TL_ALLE,14,FALSE))</f>
        <v/>
      </c>
      <c r="C23" s="878"/>
      <c r="D23" s="877" t="str">
        <f t="shared" ref="D23:D28" ca="1" si="8">IF(NOT(EXACT($R23,"")),CONCATENATE(IF(OR(VLOOKUP($R23,TL_KRP_WERTE,7,FALSE)="spez.",VLOOKUP($R23,TL_KRP_WERTE,7,FALSE)="--"),"","BE"),VLOOKUP($R23,TL_KRP_WERTE,7,FALSE)),"")</f>
        <v/>
      </c>
      <c r="E23" s="876" t="str">
        <f t="shared" ref="E23:E28" ca="1" si="9">IF(R23="","",CONCATENATE(VLOOKUP($R23,TL_KRP_WERTE,2),"•",VLOOKUP($R23,TL_KRP_WERTE,3,FALSE),"•",VLOOKUP($R23,TL_KRP_WERTE,4,FALSE)))</f>
        <v/>
      </c>
      <c r="F23" s="875"/>
      <c r="G23" s="818" t="str">
        <f t="shared" ref="G23:G28" ca="1" si="10">IF(R23="","",
IF(VIEW_EIGN_TRUE,
CONCATENATE(INDIRECT(VLOOKUP($R23,TL_KRP_WERTE,2)),"•",INDIRECT(VLOOKUP($R23,TL_KRP_WERTE,3,FALSE)),"•",INDIRECT(VLOOKUP($R23,TL_KRP_WERTE,4,FALSE))),
INDEX(TL_KRP_STW,MATCH(R23,TL_KRP,1))
))</f>
        <v/>
      </c>
      <c r="H23" s="874" t="str">
        <f ca="1">IF(EXACT($R23,""),"",SUM(VLOOKUP($R23,Talente!$A$42:$J$59,2,FALSE),VLOOKUP($R23,Talente!$A$42:$J$59,7,FALSE),VLOOKUP($R23,Talente!$A$42:$I$59,9,FALSE),IF(AND(EXACT($R23,"Reiten"),VT_TIERFRND),3,0)))</f>
        <v/>
      </c>
      <c r="I23" s="2165"/>
      <c r="J23" s="2166"/>
      <c r="K23" s="2166"/>
      <c r="L23" s="2166"/>
      <c r="M23" s="2166"/>
      <c r="N23" s="2166"/>
      <c r="O23" s="871"/>
      <c r="P23" s="885" t="s">
        <v>718</v>
      </c>
      <c r="Q23" s="943"/>
      <c r="R23" s="886" t="str">
        <f ca="1">IF(NOT(EXACT(BTKRPALLE,"")),IF(NOT(EXACT(LEFT(BTKRPALLE,20),"")),VLOOKUP(LEFT(BTKRPALLE,20),TL_KRP_WERTE,1),""),"")</f>
        <v/>
      </c>
      <c r="S23" s="886">
        <f ca="1">LEN(R23)</f>
        <v>0</v>
      </c>
      <c r="T23" s="886"/>
      <c r="U23" s="278"/>
      <c r="V23" s="278"/>
      <c r="W23" s="278"/>
    </row>
    <row r="24" spans="1:25" s="71" customFormat="1" ht="12.75" customHeight="1" x14ac:dyDescent="0.2">
      <c r="A24" s="880" t="str">
        <f ca="1">IF(NOT(EXACT($R24,"")),IF(IF(ISERR(FIND(";"&amp;$H24+1&amp;";",VLOOKUP($R24,Talente!$A$42:$F$59,6))),FALSE,TRUE),"SE",""),"")</f>
        <v/>
      </c>
      <c r="B24" s="864" t="str">
        <f t="shared" ca="1" si="7"/>
        <v/>
      </c>
      <c r="C24" s="878"/>
      <c r="D24" s="877" t="str">
        <f t="shared" ca="1" si="8"/>
        <v/>
      </c>
      <c r="E24" s="876" t="str">
        <f t="shared" ca="1" si="9"/>
        <v/>
      </c>
      <c r="F24" s="875"/>
      <c r="G24" s="818" t="str">
        <f t="shared" ca="1" si="10"/>
        <v/>
      </c>
      <c r="H24" s="874" t="str">
        <f ca="1">IF(EXACT($R24,""),"",SUM(VLOOKUP($R24,Talente!$A$42:$J$59,2,FALSE),VLOOKUP($R24,Talente!$A$42:$J$59,7,FALSE),VLOOKUP($R24,Talente!$A$42:$I$59,9,FALSE),IF(AND(EXACT($R24,"Reiten"),VT_TIERFRND),3,0)))</f>
        <v/>
      </c>
      <c r="I24" s="880" t="str">
        <f ca="1">IF(NOT(EXACT($U24,"")),IF(IF(ISERR(FIND(";"&amp;$P24+1&amp;";",VLOOKUP($U24,Talente!$A$107:$I$157,6))),FALSE,TRUE),"SE",""),"")</f>
        <v/>
      </c>
      <c r="J24" s="836" t="str">
        <f t="shared" ref="J24:J29" si="11">IF(U24="","",VLOOKUP(U24,TL_ALLE,14,FALSE))</f>
        <v>Heilkunde Wunden</v>
      </c>
      <c r="K24" s="835"/>
      <c r="L24" s="862" t="str">
        <f t="shared" ref="L24:L29" si="12">IF(U24="","",CONCATENATE(VLOOKUP($U24,TL_HWK_WERTE,2),"•",VLOOKUP($U24,TL_HWK_WERTE,3,FALSE),"•",VLOOKUP($U24,TL_HWK_WERTE,4,FALSE)))</f>
        <v>KL•CH•FF</v>
      </c>
      <c r="M24" s="861"/>
      <c r="N24" s="818" t="str">
        <f ca="1">IF(U24="","",
IF(VIEW_EIGN_TRUE,
CONCATENATE(INDIRECT(VLOOKUP($U24,TL_HWK_WERTE,2)),"•",INDIRECT(VLOOKUP($U24,TL_HWK_WERTE,3,FALSE)),"•",INDIRECT(VLOOKUP($U24,TL_HWK_WERTE,4,FALSE))),INDEX(TL_HWK_STW,MATCH(U24,TL_HWK,1))
))</f>
        <v>8•8•8</v>
      </c>
      <c r="O24" s="883"/>
      <c r="P24" s="874">
        <f ca="1">IF(EXACT($U24,""),"",SUM(VLOOKUP($U24,Talente!$A$107:$B$157,2,FALSE),VLOOKUP($U24,Talente!$A$107:$G$157,7,FALSE),VLOOKUP($U24,Talente!$A$107:$I$157,9,FALSE)))</f>
        <v>0</v>
      </c>
      <c r="Q24" s="943"/>
      <c r="R24" s="886" t="str">
        <f ca="1">IF(EXACT($R23,""),"",IF(NOT(EXACT(MID(BTKRPALLE,S23+1,20),"")),VLOOKUP(MID(BTKRPALLE,S23+1,20),TL_KRP_WERTE,1),""))</f>
        <v/>
      </c>
      <c r="S24" s="886">
        <f ca="1">S23+LEN(R24)</f>
        <v>0</v>
      </c>
      <c r="T24" s="886"/>
      <c r="U24" s="886" t="s">
        <v>1023</v>
      </c>
      <c r="V24" s="886"/>
      <c r="W24" s="278"/>
    </row>
    <row r="25" spans="1:25" s="71" customFormat="1" ht="12.75" customHeight="1" x14ac:dyDescent="0.2">
      <c r="A25" s="880" t="str">
        <f ca="1">IF(NOT(EXACT($R25,"")),IF(IF(ISERR(FIND(";"&amp;$H25+1&amp;";",VLOOKUP($R25,Talente!$A$42:$F$59,6))),FALSE,TRUE),"SE",""),"")</f>
        <v/>
      </c>
      <c r="B25" s="864" t="str">
        <f t="shared" ca="1" si="7"/>
        <v/>
      </c>
      <c r="C25" s="878"/>
      <c r="D25" s="877" t="str">
        <f t="shared" ca="1" si="8"/>
        <v/>
      </c>
      <c r="E25" s="876" t="str">
        <f t="shared" ca="1" si="9"/>
        <v/>
      </c>
      <c r="F25" s="875"/>
      <c r="G25" s="818" t="str">
        <f t="shared" ca="1" si="10"/>
        <v/>
      </c>
      <c r="H25" s="874" t="str">
        <f ca="1">IF(EXACT($R25,""),"",SUM(VLOOKUP($R25,Talente!$A$42:$J$59,2,FALSE),VLOOKUP($R25,Talente!$A$42:$J$59,7,FALSE),VLOOKUP($R25,Talente!$A$42:$I$59,9,FALSE),IF(AND(EXACT($R25,"Reiten"),VT_TIERFRND),3,0)))</f>
        <v/>
      </c>
      <c r="I25" s="880" t="str">
        <f ca="1">IF(NOT(EXACT($U25,"")),IF(IF(ISERR(FIND(";"&amp;$P25+1&amp;";",VLOOKUP($U25,Talente!$A$107:$I$157,6))),FALSE,TRUE),"SE",""),"")</f>
        <v/>
      </c>
      <c r="J25" s="836" t="str">
        <f t="shared" si="11"/>
        <v>Holzbearbeitung</v>
      </c>
      <c r="K25" s="835"/>
      <c r="L25" s="862" t="str">
        <f t="shared" si="12"/>
        <v>KL•FF•KK</v>
      </c>
      <c r="M25" s="861"/>
      <c r="N25" s="818" t="str">
        <f t="shared" ref="N25:N67" ca="1" si="13">IF(U25="","",
IF(VIEW_EIGN_TRUE,
CONCATENATE(INDIRECT(VLOOKUP($U25,TL_HWK_WERTE,2)),"•",INDIRECT(VLOOKUP($U25,TL_HWK_WERTE,3,FALSE)),"•",INDIRECT(VLOOKUP($U25,TL_HWK_WERTE,4,FALSE))),INDEX(TL_HWK_STW,MATCH(U25,TL_HWK,1))
))</f>
        <v>8•8•8</v>
      </c>
      <c r="O25" s="883"/>
      <c r="P25" s="874">
        <f ca="1">IF(EXACT($U25,""),"",SUM(VLOOKUP($U25,Talente!$A$107:$B$157,2,FALSE),VLOOKUP($U25,Talente!$A$107:$G$157,7,FALSE),VLOOKUP($U25,Talente!$A$107:$I$157,9,FALSE)))</f>
        <v>0</v>
      </c>
      <c r="Q25" s="943"/>
      <c r="R25" s="886" t="str">
        <f ca="1">IF(EXACT($R24,""),"",IF(NOT(EXACT(MID(BTKRPALLE,S24+1,20),"")),VLOOKUP(MID(BTKRPALLE,S24+1,20),TL_KRP_WERTE,1),""))</f>
        <v/>
      </c>
      <c r="S25" s="886">
        <f ca="1">S24+LEN(R25)</f>
        <v>0</v>
      </c>
      <c r="T25" s="886"/>
      <c r="U25" s="886" t="s">
        <v>1024</v>
      </c>
      <c r="V25" s="886"/>
      <c r="W25" s="278"/>
    </row>
    <row r="26" spans="1:25" s="71" customFormat="1" ht="12.75" customHeight="1" x14ac:dyDescent="0.2">
      <c r="A26" s="880" t="str">
        <f ca="1">IF(NOT(EXACT($R26,"")),IF(IF(ISERR(FIND(";"&amp;$H26+1&amp;";",VLOOKUP($R26,Talente!$A$42:$F$59,6))),FALSE,TRUE),"SE",""),"")</f>
        <v/>
      </c>
      <c r="B26" s="864" t="str">
        <f t="shared" ca="1" si="7"/>
        <v/>
      </c>
      <c r="C26" s="878"/>
      <c r="D26" s="877" t="str">
        <f t="shared" ca="1" si="8"/>
        <v/>
      </c>
      <c r="E26" s="876" t="str">
        <f t="shared" ca="1" si="9"/>
        <v/>
      </c>
      <c r="F26" s="875"/>
      <c r="G26" s="818" t="str">
        <f t="shared" ca="1" si="10"/>
        <v/>
      </c>
      <c r="H26" s="874" t="str">
        <f ca="1">IF(EXACT($R26,""),"",SUM(VLOOKUP($R26,Talente!$A$42:$J$59,2,FALSE),VLOOKUP($R26,Talente!$A$42:$J$59,7,FALSE),VLOOKUP($R26,Talente!$A$42:$I$59,9,FALSE),IF(AND(EXACT($R26,"Reiten"),VT_TIERFRND),3,0)))</f>
        <v/>
      </c>
      <c r="I26" s="880" t="str">
        <f ca="1">IF(NOT(EXACT($U26,"")),IF(IF(ISERR(FIND(";"&amp;$P26+1&amp;";",VLOOKUP($U26,Talente!$A$107:$I$157,6))),FALSE,TRUE),"SE",""),"")</f>
        <v/>
      </c>
      <c r="J26" s="836" t="str">
        <f t="shared" si="11"/>
        <v>Kochen</v>
      </c>
      <c r="K26" s="835"/>
      <c r="L26" s="862" t="str">
        <f t="shared" si="12"/>
        <v>KL•IN•FF</v>
      </c>
      <c r="M26" s="861"/>
      <c r="N26" s="818" t="str">
        <f t="shared" ca="1" si="13"/>
        <v>8•8•8</v>
      </c>
      <c r="O26" s="883"/>
      <c r="P26" s="874">
        <f ca="1">IF(EXACT($U26,""),"",SUM(VLOOKUP($U26,Talente!$A$107:$B$157,2,FALSE),VLOOKUP($U26,Talente!$A$107:$G$157,7,FALSE),VLOOKUP($U26,Talente!$A$107:$I$157,9,FALSE)))</f>
        <v>0</v>
      </c>
      <c r="Q26" s="943"/>
      <c r="R26" s="886" t="str">
        <f ca="1">IF(EXACT($R25,""),"",IF(NOT(EXACT(MID(BTKRPALLE,S25+1,20),"")),VLOOKUP(MID(BTKRPALLE,S25+1,20),TL_KRP_WERTE,1),""))</f>
        <v/>
      </c>
      <c r="S26" s="886">
        <f ca="1">S25+LEN(R26)</f>
        <v>0</v>
      </c>
      <c r="T26" s="886"/>
      <c r="U26" s="886" t="s">
        <v>854</v>
      </c>
      <c r="V26" s="886"/>
      <c r="W26" s="278"/>
    </row>
    <row r="27" spans="1:25" s="71" customFormat="1" ht="12.75" customHeight="1" x14ac:dyDescent="0.2">
      <c r="A27" s="880" t="str">
        <f ca="1">IF(NOT(EXACT($R27,"")),IF(IF(ISERR(FIND(";"&amp;$H27+1&amp;";",VLOOKUP($R27,Talente!$A$42:$F$59,6))),FALSE,TRUE),"SE",""),"")</f>
        <v/>
      </c>
      <c r="B27" s="864" t="str">
        <f t="shared" ca="1" si="7"/>
        <v/>
      </c>
      <c r="C27" s="878"/>
      <c r="D27" s="877" t="str">
        <f t="shared" ca="1" si="8"/>
        <v/>
      </c>
      <c r="E27" s="876" t="str">
        <f t="shared" ca="1" si="9"/>
        <v/>
      </c>
      <c r="F27" s="875"/>
      <c r="G27" s="818" t="str">
        <f t="shared" ca="1" si="10"/>
        <v/>
      </c>
      <c r="H27" s="874" t="str">
        <f ca="1">IF(EXACT($R27,""),"",SUM(VLOOKUP($R27,Talente!$A$42:$J$59,2,FALSE),VLOOKUP($R27,Talente!$A$42:$J$59,7,FALSE),VLOOKUP($R27,Talente!$A$42:$I$59,9,FALSE),IF(AND(EXACT($R27,"Reiten"),VT_TIERFRND),3,0)))</f>
        <v/>
      </c>
      <c r="I27" s="880" t="str">
        <f ca="1">IF(NOT(EXACT($U27,"")),IF(IF(ISERR(FIND(";"&amp;$P27+1&amp;";",VLOOKUP($U27,Talente!$A$107:$I$157,6))),FALSE,TRUE),"SE",""),"")</f>
        <v/>
      </c>
      <c r="J27" s="836" t="str">
        <f t="shared" si="11"/>
        <v>Lederarbeiten</v>
      </c>
      <c r="K27" s="835"/>
      <c r="L27" s="862" t="str">
        <f t="shared" si="12"/>
        <v>KL•FF•FF</v>
      </c>
      <c r="M27" s="861"/>
      <c r="N27" s="818" t="str">
        <f t="shared" ca="1" si="13"/>
        <v>8•8•8</v>
      </c>
      <c r="O27" s="883"/>
      <c r="P27" s="874">
        <f ca="1">IF(EXACT($U27,""),"",SUM(VLOOKUP($U27,Talente!$A$107:$B$157,2,FALSE),VLOOKUP($U27,Talente!$A$107:$G$157,7,FALSE),VLOOKUP($U27,Talente!$A$107:$I$157,9,FALSE)))</f>
        <v>0</v>
      </c>
      <c r="Q27" s="943"/>
      <c r="R27" s="886" t="str">
        <f ca="1">IF(EXACT($R26,""),"",IF(NOT(EXACT(MID(BTKRPALLE,S26+1,20),"")),VLOOKUP(MID(BTKRPALLE,S26+1,20),TL_KRP_WERTE,1),""))</f>
        <v/>
      </c>
      <c r="S27" s="886">
        <f ca="1">S26+LEN(R27)</f>
        <v>0</v>
      </c>
      <c r="T27" s="886"/>
      <c r="U27" s="886" t="s">
        <v>855</v>
      </c>
      <c r="V27" s="886"/>
      <c r="W27" s="278"/>
    </row>
    <row r="28" spans="1:25" s="71" customFormat="1" ht="12.75" customHeight="1" thickBot="1" x14ac:dyDescent="0.25">
      <c r="A28" s="860" t="str">
        <f ca="1">IF(NOT(EXACT($R28,"")),IF(IF(ISERR(FIND(";"&amp;$H28+1&amp;";",VLOOKUP($R28,Talente!$A$42:$F$59,6))),FALSE,TRUE),"SE",""),"")</f>
        <v/>
      </c>
      <c r="B28" s="859" t="str">
        <f t="shared" ca="1" si="7"/>
        <v/>
      </c>
      <c r="C28" s="858"/>
      <c r="D28" s="857" t="str">
        <f t="shared" ca="1" si="8"/>
        <v/>
      </c>
      <c r="E28" s="856" t="str">
        <f t="shared" ca="1" si="9"/>
        <v/>
      </c>
      <c r="F28" s="855"/>
      <c r="G28" s="818" t="str">
        <f t="shared" ca="1" si="10"/>
        <v/>
      </c>
      <c r="H28" s="854" t="str">
        <f ca="1">IF(EXACT($R28,""),"",SUM(VLOOKUP($R28,Talente!$A$42:$J$59,2,FALSE),VLOOKUP($R28,Talente!$A$42:$J$59,7,FALSE),VLOOKUP($R28,Talente!$A$42:$I$59,9,FALSE),IF(AND(EXACT($R28,"Reiten"),VT_TIERFRND),3,0)))</f>
        <v/>
      </c>
      <c r="I28" s="880" t="str">
        <f ca="1">IF(NOT(EXACT($U28,"")),IF(IF(ISERR(FIND(";"&amp;$P28+1&amp;";",VLOOKUP($U28,Talente!$A$107:$I$157,6))),FALSE,TRUE),"SE",""),"")</f>
        <v/>
      </c>
      <c r="J28" s="836" t="str">
        <f t="shared" si="11"/>
        <v>Malen/Zeichnen</v>
      </c>
      <c r="K28" s="835"/>
      <c r="L28" s="862" t="str">
        <f t="shared" si="12"/>
        <v>KL•IN•FF</v>
      </c>
      <c r="M28" s="861"/>
      <c r="N28" s="818" t="str">
        <f t="shared" ca="1" si="13"/>
        <v>8•8•8</v>
      </c>
      <c r="O28" s="883"/>
      <c r="P28" s="874">
        <f ca="1">IF(EXACT($U28,""),"",SUM(VLOOKUP($U28,Talente!$A$107:$B$157,2,FALSE),VLOOKUP($U28,Talente!$A$107:$G$157,7,FALSE),VLOOKUP($U28,Talente!$A$107:$I$157,9,FALSE)))</f>
        <v>0</v>
      </c>
      <c r="Q28" s="94"/>
      <c r="R28" s="886" t="str">
        <f ca="1">IF(EXACT($R27,""),"",IF(NOT(EXACT(MID(BTKRPALLE,S27+1,20),"")),VLOOKUP(MID(BTKRPALLE,S27+1,20),TL_KRP_WERTE,1),""))</f>
        <v/>
      </c>
      <c r="S28" s="886">
        <f ca="1">S27+LEN(R28)</f>
        <v>0</v>
      </c>
      <c r="T28" s="886"/>
      <c r="U28" s="886" t="s">
        <v>435</v>
      </c>
      <c r="V28" s="886"/>
      <c r="W28" s="278"/>
    </row>
    <row r="29" spans="1:25" s="71" customFormat="1" ht="12.75" customHeight="1" thickTop="1" x14ac:dyDescent="0.2">
      <c r="A29" s="2153" t="s">
        <v>4817</v>
      </c>
      <c r="B29" s="2154"/>
      <c r="C29" s="2154"/>
      <c r="D29" s="2154"/>
      <c r="E29" s="2154"/>
      <c r="F29" s="2154"/>
      <c r="G29" s="2154"/>
      <c r="H29" s="872"/>
      <c r="I29" s="880" t="str">
        <f ca="1">IF(NOT(EXACT($U29,"")),IF(IF(ISERR(FIND(";"&amp;$P29+1&amp;";",VLOOKUP($U29,Talente!$A$107:$I$157,6))),FALSE,TRUE),"SE",""),"")</f>
        <v/>
      </c>
      <c r="J29" s="836" t="str">
        <f t="shared" si="11"/>
        <v>Schneidern</v>
      </c>
      <c r="K29" s="835"/>
      <c r="L29" s="862" t="str">
        <f t="shared" si="12"/>
        <v>KL•FF•FF</v>
      </c>
      <c r="M29" s="861"/>
      <c r="N29" s="818" t="str">
        <f t="shared" ca="1" si="13"/>
        <v>8•8•8</v>
      </c>
      <c r="O29" s="883"/>
      <c r="P29" s="874">
        <f ca="1">IF(EXACT($U29,""),"",SUM(VLOOKUP($U29,Talente!$A$107:$B$157,2,FALSE),VLOOKUP($U29,Talente!$A$107:$G$157,7,FALSE),VLOOKUP($U29,Talente!$A$107:$I$157,9,FALSE)))</f>
        <v>0</v>
      </c>
      <c r="Q29" s="94"/>
      <c r="R29" s="886"/>
      <c r="S29" s="886"/>
      <c r="T29" s="886"/>
      <c r="U29" s="886" t="s">
        <v>3394</v>
      </c>
      <c r="V29" s="886"/>
      <c r="W29" s="278"/>
    </row>
    <row r="30" spans="1:25" s="71" customFormat="1" ht="12.75" customHeight="1" x14ac:dyDescent="0.2">
      <c r="A30" s="2155"/>
      <c r="B30" s="2156"/>
      <c r="C30" s="2156"/>
      <c r="D30" s="2156"/>
      <c r="E30" s="2156"/>
      <c r="F30" s="2156"/>
      <c r="G30" s="2156"/>
      <c r="H30" s="885" t="s">
        <v>718</v>
      </c>
      <c r="I30" s="880" t="str">
        <f ca="1">IF(NOT(EXACT($U30,"")),IF(IF(ISERR(FIND(";"&amp;$P30+1&amp;";",VLOOKUP($U30,Talente!$A$107:$I$157,6))),FALSE,TRUE),"SE",""),"")</f>
        <v/>
      </c>
      <c r="J30" s="832" t="str">
        <f ca="1">IF(U30="","",VLOOKUP(U30,TL_ALLE,14,FALSE))</f>
        <v/>
      </c>
      <c r="K30" s="853"/>
      <c r="L30" s="862" t="str">
        <f ca="1">IF(U30="","",CONCATENATE(VLOOKUP($U30,TL_HWK_WERTE,2),"•",VLOOKUP($U30,TL_HWK_WERTE,3,FALSE),"•",VLOOKUP($U30,TL_HWK_WERTE,4,FALSE)))</f>
        <v/>
      </c>
      <c r="M30" s="861"/>
      <c r="N30" s="818" t="str">
        <f t="shared" ca="1" si="13"/>
        <v/>
      </c>
      <c r="O30" s="883"/>
      <c r="P30" s="874" t="str">
        <f ca="1">IF(EXACT($U30,""),"",SUM(VLOOKUP($U30,Talente!$A$107:$B$157,2,FALSE),VLOOKUP($U30,Talente!$A$107:$G$157,7,FALSE),VLOOKUP($U30,Talente!$A$107:$I$157,9,FALSE)))</f>
        <v/>
      </c>
      <c r="Q30" s="94"/>
      <c r="R30" s="886"/>
      <c r="S30" s="886"/>
      <c r="T30" s="886"/>
      <c r="U30" s="886" t="str">
        <f ca="1">IF(NOT(EXACT(BTHWKALLE,"")),IF(NOT(EXACT(LEFT(BTHWKALLE,30),"")),VLOOKUP(LEFT(BTHWKALLE,30),TL_HWK_WERTE,1),""),"")</f>
        <v/>
      </c>
      <c r="V30" s="886">
        <f ca="1">LEN(U30)</f>
        <v>0</v>
      </c>
      <c r="W30" s="278"/>
    </row>
    <row r="31" spans="1:25" s="71" customFormat="1" ht="12.75" customHeight="1" x14ac:dyDescent="0.2">
      <c r="A31" s="880" t="str">
        <f ca="1">IF(NOT(EXACT($R31,"")),IF(IF(ISERR(FIND(";"&amp;$H31+1&amp;";",VLOOKUP($R31,Talente!$A$61:$F$71,6))),FALSE,TRUE),"SE",""),"")</f>
        <v/>
      </c>
      <c r="B31" s="879" t="str">
        <f t="shared" ref="B31:B41" si="14">IF(R31="","",VLOOKUP(R31,TL_ALLE,14,FALSE))</f>
        <v>Menschenkenntnis</v>
      </c>
      <c r="C31" s="820"/>
      <c r="D31" s="852"/>
      <c r="E31" s="876" t="str">
        <f>IF(R31="","",CONCATENATE(VLOOKUP($R31,TL_GES_WERTE,2),"•",VLOOKUP($R31,TL_GES_WERTE,3,FALSE),"•",VLOOKUP($R31,TL_GES_WERTE,4,FALSE)))</f>
        <v>KL•IN•CH</v>
      </c>
      <c r="F31" s="875"/>
      <c r="G31" s="818" t="str">
        <f ca="1">IF(R31="","",
IF(VIEW_EIGN_TRUE,
CONCATENATE(INDIRECT(VLOOKUP($R31,TL_GES_WERTE,2)),"•",INDIRECT(VLOOKUP($R31,TL_GES_WERTE,3,FALSE)),"•",INDIRECT(VLOOKUP($R31,TL_GES_WERTE,4,FALSE))),INDEX(TL_GES_STW,MATCH(R31,TL_GES,1))
))</f>
        <v>8•8•8</v>
      </c>
      <c r="H31" s="870">
        <f ca="1">IF(EXACT($R31,""),"",SUM(VLOOKUP($R31,Talente!$A$61:$B$71,2,FALSE),VLOOKUP($R31,Talente!$A$61:$G$71,7,FALSE),VLOOKUP($R31,Talente!$A$61:$I$71,9,FALSE)))</f>
        <v>0</v>
      </c>
      <c r="I31" s="880" t="str">
        <f ca="1">IF(NOT(EXACT($U31,"")),IF(IF(ISERR(FIND(";"&amp;$P31+1&amp;";",VLOOKUP($U31,Talente!$A$107:$I$157,6))),FALSE,TRUE),"SE",""),"")</f>
        <v/>
      </c>
      <c r="J31" s="832" t="str">
        <f t="shared" ref="J31:J67" ca="1" si="15">IF(U31="","",VLOOKUP(U31,TL_ALLE,14,FALSE))</f>
        <v/>
      </c>
      <c r="K31" s="853"/>
      <c r="L31" s="862" t="str">
        <f t="shared" ref="L31:L67" ca="1" si="16">IF(U31="","",CONCATENATE(VLOOKUP($U31,TL_HWK_WERTE,2),"•",VLOOKUP($U31,TL_HWK_WERTE,3,FALSE),"•",VLOOKUP($U31,TL_HWK_WERTE,4,FALSE)))</f>
        <v/>
      </c>
      <c r="M31" s="861"/>
      <c r="N31" s="818" t="str">
        <f t="shared" ca="1" si="13"/>
        <v/>
      </c>
      <c r="O31" s="883"/>
      <c r="P31" s="874" t="str">
        <f ca="1">IF(EXACT($U31,""),"",SUM(VLOOKUP($U31,Talente!$A$107:$B$157,2,FALSE),VLOOKUP($U31,Talente!$A$107:$G$157,7,FALSE),VLOOKUP($U31,Talente!$A$107:$I$157,9,FALSE)))</f>
        <v/>
      </c>
      <c r="Q31" s="944"/>
      <c r="R31" s="886" t="s">
        <v>4798</v>
      </c>
      <c r="S31" s="886"/>
      <c r="T31" s="886"/>
      <c r="U31" s="886" t="str">
        <f t="shared" ref="U31:U67" ca="1" si="17">IF(EXACT($U30,""),"",IF(NOT(EXACT(MID(BTHWKALLE,V30+1,30),"")),VLOOKUP(MID(BTHWKALLE,V30+1,30),TL_HWK_WERTE,1),""))</f>
        <v/>
      </c>
      <c r="V31" s="886">
        <f ca="1">V30+LEN(U31)</f>
        <v>0</v>
      </c>
      <c r="W31" s="278"/>
    </row>
    <row r="32" spans="1:25" s="71" customFormat="1" ht="12.75" customHeight="1" x14ac:dyDescent="0.2">
      <c r="A32" s="880" t="str">
        <f ca="1">IF(NOT(EXACT($R32,"")),IF(IF(ISERR(FIND(";"&amp;$H32+1&amp;";",VLOOKUP($R32,Talente!$A$61:$F$71,6))),FALSE,TRUE),"SE",""),"")</f>
        <v/>
      </c>
      <c r="B32" s="879" t="str">
        <f t="shared" si="14"/>
        <v>Überreden</v>
      </c>
      <c r="C32" s="820"/>
      <c r="D32" s="852"/>
      <c r="E32" s="876" t="str">
        <f t="shared" ref="E32:E41" si="18">IF(R32="","",CONCATENATE(VLOOKUP($R32,TL_GES_WERTE,2),"•",VLOOKUP($R32,TL_GES_WERTE,3,FALSE),"•",VLOOKUP($R32,TL_GES_WERTE,4,FALSE)))</f>
        <v>MU•IN•CH</v>
      </c>
      <c r="F32" s="875"/>
      <c r="G32" s="818" t="str">
        <f t="shared" ref="G32:G41" ca="1" si="19">IF(R32="","",
IF(VIEW_EIGN_TRUE,
CONCATENATE(INDIRECT(VLOOKUP($R32,TL_GES_WERTE,2)),"•",INDIRECT(VLOOKUP($R32,TL_GES_WERTE,3,FALSE)),"•",INDIRECT(VLOOKUP($R32,TL_GES_WERTE,4,FALSE))),INDEX(TL_GES_STW,MATCH(R32,TL_GES,1))
))</f>
        <v>8•8•8</v>
      </c>
      <c r="H32" s="870">
        <f ca="1">IF(EXACT($R32,""),"",SUM(VLOOKUP($R32,Talente!$A$61:$B$71,2,FALSE),VLOOKUP($R32,Talente!$A$61:$G$71,7,FALSE),VLOOKUP($R32,Talente!$A$61:$I$71,9,FALSE)))</f>
        <v>0</v>
      </c>
      <c r="I32" s="880" t="str">
        <f ca="1">IF(NOT(EXACT($U32,"")),IF(IF(ISERR(FIND(";"&amp;$P32+1&amp;";",VLOOKUP($U32,Talente!$A$107:$I$157,6))),FALSE,TRUE),"SE",""),"")</f>
        <v/>
      </c>
      <c r="J32" s="832" t="str">
        <f t="shared" ca="1" si="15"/>
        <v/>
      </c>
      <c r="K32" s="853"/>
      <c r="L32" s="862" t="str">
        <f t="shared" ca="1" si="16"/>
        <v/>
      </c>
      <c r="M32" s="861"/>
      <c r="N32" s="818" t="str">
        <f t="shared" ca="1" si="13"/>
        <v/>
      </c>
      <c r="O32" s="883"/>
      <c r="P32" s="874" t="str">
        <f ca="1">IF(EXACT($U32,""),"",SUM(VLOOKUP($U32,Talente!$A$107:$B$157,2,FALSE),VLOOKUP($U32,Talente!$A$107:$G$157,7,FALSE),VLOOKUP($U32,Talente!$A$107:$I$157,9,FALSE)))</f>
        <v/>
      </c>
      <c r="Q32" s="944"/>
      <c r="R32" s="886" t="s">
        <v>162</v>
      </c>
      <c r="S32" s="886"/>
      <c r="T32" s="886"/>
      <c r="U32" s="886" t="str">
        <f t="shared" ca="1" si="17"/>
        <v/>
      </c>
      <c r="V32" s="886">
        <f t="shared" ref="V32:V64" ca="1" si="20">V31+LEN(U32)</f>
        <v>0</v>
      </c>
      <c r="W32" s="278"/>
    </row>
    <row r="33" spans="1:23" s="71" customFormat="1" ht="12.75" customHeight="1" x14ac:dyDescent="0.2">
      <c r="A33" s="880" t="str">
        <f ca="1">IF(NOT(EXACT($R33,"")),IF(IF(ISERR(FIND(";"&amp;$H33+1&amp;";",VLOOKUP($R33,Talente!$A$61:$F$71,6))),FALSE,TRUE),"SE",""),"")</f>
        <v/>
      </c>
      <c r="B33" s="864" t="str">
        <f t="shared" ca="1" si="14"/>
        <v/>
      </c>
      <c r="C33" s="820"/>
      <c r="D33" s="852"/>
      <c r="E33" s="876" t="str">
        <f t="shared" ca="1" si="18"/>
        <v/>
      </c>
      <c r="F33" s="875"/>
      <c r="G33" s="818" t="str">
        <f t="shared" ca="1" si="19"/>
        <v/>
      </c>
      <c r="H33" s="870" t="str">
        <f ca="1">IF(EXACT($R33,""),"",SUM(VLOOKUP($R33,Talente!$A$61:$B$71,2,FALSE),VLOOKUP($R33,Talente!$A$61:$G$71,7,FALSE),VLOOKUP($R33,Talente!$A$61:$I$71,9,FALSE)))</f>
        <v/>
      </c>
      <c r="I33" s="880" t="str">
        <f ca="1">IF(NOT(EXACT($U33,"")),IF(IF(ISERR(FIND(";"&amp;$P33+1&amp;";",VLOOKUP($U33,Talente!$A$107:$I$157,6))),FALSE,TRUE),"SE",""),"")</f>
        <v/>
      </c>
      <c r="J33" s="832" t="str">
        <f t="shared" ca="1" si="15"/>
        <v/>
      </c>
      <c r="K33" s="853"/>
      <c r="L33" s="862" t="str">
        <f t="shared" ca="1" si="16"/>
        <v/>
      </c>
      <c r="M33" s="861"/>
      <c r="N33" s="818" t="str">
        <f t="shared" ca="1" si="13"/>
        <v/>
      </c>
      <c r="O33" s="883"/>
      <c r="P33" s="874" t="str">
        <f ca="1">IF(EXACT($U33,""),"",SUM(VLOOKUP($U33,Talente!$A$107:$B$157,2,FALSE),VLOOKUP($U33,Talente!$A$107:$G$157,7,FALSE),VLOOKUP($U33,Talente!$A$107:$I$157,9,FALSE)))</f>
        <v/>
      </c>
      <c r="Q33" s="94"/>
      <c r="R33" s="886" t="str">
        <f ca="1">IF(NOT(EXACT(BTGESALLE,"")),IF(NOT(EXACT(LEFT(BTGESALLE,20),"")),VLOOKUP(LEFT(BTGESALLE,20),TL_GES_WERTE,1),""),"")</f>
        <v/>
      </c>
      <c r="S33" s="886">
        <f ca="1">LEN(R33)</f>
        <v>0</v>
      </c>
      <c r="T33" s="886"/>
      <c r="U33" s="886" t="str">
        <f t="shared" ca="1" si="17"/>
        <v/>
      </c>
      <c r="V33" s="886">
        <f t="shared" ca="1" si="20"/>
        <v>0</v>
      </c>
      <c r="W33" s="278"/>
    </row>
    <row r="34" spans="1:23" s="71" customFormat="1" ht="12.75" customHeight="1" x14ac:dyDescent="0.2">
      <c r="A34" s="880" t="str">
        <f ca="1">IF(NOT(EXACT($R34,"")),IF(IF(ISERR(FIND(";"&amp;$H34+1&amp;";",VLOOKUP($R34,Talente!$A$61:$F$71,6))),FALSE,TRUE),"SE",""),"")</f>
        <v/>
      </c>
      <c r="B34" s="864" t="str">
        <f t="shared" ca="1" si="14"/>
        <v/>
      </c>
      <c r="C34" s="820"/>
      <c r="D34" s="852"/>
      <c r="E34" s="876" t="str">
        <f t="shared" ca="1" si="18"/>
        <v/>
      </c>
      <c r="F34" s="875"/>
      <c r="G34" s="818" t="str">
        <f t="shared" ca="1" si="19"/>
        <v/>
      </c>
      <c r="H34" s="870" t="str">
        <f ca="1">IF(EXACT($R34,""),"",SUM(VLOOKUP($R34,Talente!$A$61:$B$71,2,FALSE),VLOOKUP($R34,Talente!$A$61:$G$71,7,FALSE),VLOOKUP($R34,Talente!$A$61:$I$71,9,FALSE)))</f>
        <v/>
      </c>
      <c r="I34" s="880" t="str">
        <f ca="1">IF(NOT(EXACT($U34,"")),IF(IF(ISERR(FIND(";"&amp;$P34+1&amp;";",VLOOKUP($U34,Talente!$A$107:$I$157,6))),FALSE,TRUE),"SE",""),"")</f>
        <v/>
      </c>
      <c r="J34" s="832" t="str">
        <f t="shared" ca="1" si="15"/>
        <v/>
      </c>
      <c r="K34" s="853"/>
      <c r="L34" s="862" t="str">
        <f t="shared" ca="1" si="16"/>
        <v/>
      </c>
      <c r="M34" s="861"/>
      <c r="N34" s="818" t="str">
        <f t="shared" ca="1" si="13"/>
        <v/>
      </c>
      <c r="O34" s="883"/>
      <c r="P34" s="874" t="str">
        <f ca="1">IF(EXACT($U34,""),"",SUM(VLOOKUP($U34,Talente!$A$107:$B$157,2,FALSE),VLOOKUP($U34,Talente!$A$107:$G$157,7,FALSE),VLOOKUP($U34,Talente!$A$107:$I$157,9,FALSE)))</f>
        <v/>
      </c>
      <c r="Q34" s="94"/>
      <c r="R34" s="886" t="str">
        <f t="shared" ref="R34:R41" ca="1" si="21">IF(EXACT($R33,""),"",IF(NOT(EXACT(MID(BTGESALLE,S33+1,20),"")),VLOOKUP(MID(BTGESALLE,S33+1,20),TL_GES_WERTE,1),""))</f>
        <v/>
      </c>
      <c r="S34" s="886">
        <f ca="1">S33+LEN(R34)</f>
        <v>0</v>
      </c>
      <c r="T34" s="886"/>
      <c r="U34" s="886" t="str">
        <f t="shared" ca="1" si="17"/>
        <v/>
      </c>
      <c r="V34" s="886">
        <f t="shared" ca="1" si="20"/>
        <v>0</v>
      </c>
      <c r="W34" s="278"/>
    </row>
    <row r="35" spans="1:23" s="71" customFormat="1" ht="12.75" customHeight="1" x14ac:dyDescent="0.2">
      <c r="A35" s="880" t="str">
        <f ca="1">IF(NOT(EXACT($R35,"")),IF(IF(ISERR(FIND(";"&amp;$H35+1&amp;";",VLOOKUP($R35,Talente!$A$61:$F$71,6))),FALSE,TRUE),"SE",""),"")</f>
        <v/>
      </c>
      <c r="B35" s="864" t="str">
        <f t="shared" ca="1" si="14"/>
        <v/>
      </c>
      <c r="C35" s="820"/>
      <c r="D35" s="852"/>
      <c r="E35" s="876" t="str">
        <f t="shared" ca="1" si="18"/>
        <v/>
      </c>
      <c r="F35" s="875"/>
      <c r="G35" s="818" t="str">
        <f t="shared" ca="1" si="19"/>
        <v/>
      </c>
      <c r="H35" s="870" t="str">
        <f ca="1">IF(EXACT($R35,""),"",SUM(VLOOKUP($R35,Talente!$A$61:$B$71,2,FALSE),VLOOKUP($R35,Talente!$A$61:$G$71,7,FALSE),VLOOKUP($R35,Talente!$A$61:$I$71,9,FALSE)))</f>
        <v/>
      </c>
      <c r="I35" s="880" t="str">
        <f ca="1">IF(NOT(EXACT($U35,"")),IF(IF(ISERR(FIND(";"&amp;$P35+1&amp;";",VLOOKUP($U35,Talente!$A$107:$I$157,6))),FALSE,TRUE),"SE",""),"")</f>
        <v/>
      </c>
      <c r="J35" s="832" t="str">
        <f t="shared" ca="1" si="15"/>
        <v/>
      </c>
      <c r="K35" s="853"/>
      <c r="L35" s="862" t="str">
        <f t="shared" ca="1" si="16"/>
        <v/>
      </c>
      <c r="M35" s="861"/>
      <c r="N35" s="818" t="str">
        <f t="shared" ca="1" si="13"/>
        <v/>
      </c>
      <c r="O35" s="883"/>
      <c r="P35" s="874" t="str">
        <f ca="1">IF(EXACT($U35,""),"",SUM(VLOOKUP($U35,Talente!$A$107:$B$157,2,FALSE),VLOOKUP($U35,Talente!$A$107:$G$157,7,FALSE),VLOOKUP($U35,Talente!$A$107:$I$157,9,FALSE)))</f>
        <v/>
      </c>
      <c r="Q35" s="94"/>
      <c r="R35" s="886" t="str">
        <f t="shared" ca="1" si="21"/>
        <v/>
      </c>
      <c r="S35" s="886">
        <f t="shared" ref="S35:S41" ca="1" si="22">S34+LEN(R35)</f>
        <v>0</v>
      </c>
      <c r="T35" s="886"/>
      <c r="U35" s="886" t="str">
        <f t="shared" ca="1" si="17"/>
        <v/>
      </c>
      <c r="V35" s="886">
        <f t="shared" ca="1" si="20"/>
        <v>0</v>
      </c>
      <c r="W35" s="278"/>
    </row>
    <row r="36" spans="1:23" s="71" customFormat="1" ht="12.75" customHeight="1" x14ac:dyDescent="0.2">
      <c r="A36" s="880" t="str">
        <f ca="1">IF(NOT(EXACT($R36,"")),IF(IF(ISERR(FIND(";"&amp;$H36+1&amp;";",VLOOKUP($R36,Talente!$A$61:$F$71,6))),FALSE,TRUE),"SE",""),"")</f>
        <v/>
      </c>
      <c r="B36" s="864" t="str">
        <f t="shared" ca="1" si="14"/>
        <v/>
      </c>
      <c r="C36" s="820"/>
      <c r="D36" s="852"/>
      <c r="E36" s="876" t="str">
        <f t="shared" ca="1" si="18"/>
        <v/>
      </c>
      <c r="F36" s="875"/>
      <c r="G36" s="818" t="str">
        <f t="shared" ca="1" si="19"/>
        <v/>
      </c>
      <c r="H36" s="870" t="str">
        <f ca="1">IF(EXACT($R36,""),"",SUM(VLOOKUP($R36,Talente!$A$61:$B$71,2,FALSE),VLOOKUP($R36,Talente!$A$61:$G$71,7,FALSE),VLOOKUP($R36,Talente!$A$61:$I$71,9,FALSE)))</f>
        <v/>
      </c>
      <c r="I36" s="880" t="str">
        <f ca="1">IF(NOT(EXACT($U36,"")),IF(IF(ISERR(FIND(";"&amp;$P36+1&amp;";",VLOOKUP($U36,Talente!$A$107:$I$157,6))),FALSE,TRUE),"SE",""),"")</f>
        <v/>
      </c>
      <c r="J36" s="832" t="str">
        <f t="shared" ca="1" si="15"/>
        <v/>
      </c>
      <c r="K36" s="853"/>
      <c r="L36" s="862" t="str">
        <f t="shared" ca="1" si="16"/>
        <v/>
      </c>
      <c r="M36" s="861"/>
      <c r="N36" s="818" t="str">
        <f t="shared" ca="1" si="13"/>
        <v/>
      </c>
      <c r="O36" s="883"/>
      <c r="P36" s="874" t="str">
        <f ca="1">IF(EXACT($U36,""),"",SUM(VLOOKUP($U36,Talente!$A$107:$B$157,2,FALSE),VLOOKUP($U36,Talente!$A$107:$G$157,7,FALSE),VLOOKUP($U36,Talente!$A$107:$I$157,9,FALSE)))</f>
        <v/>
      </c>
      <c r="Q36" s="94"/>
      <c r="R36" s="886" t="str">
        <f t="shared" ca="1" si="21"/>
        <v/>
      </c>
      <c r="S36" s="886">
        <f t="shared" ca="1" si="22"/>
        <v>0</v>
      </c>
      <c r="T36" s="886"/>
      <c r="U36" s="886" t="str">
        <f t="shared" ca="1" si="17"/>
        <v/>
      </c>
      <c r="V36" s="886">
        <f t="shared" ca="1" si="20"/>
        <v>0</v>
      </c>
      <c r="W36" s="278"/>
    </row>
    <row r="37" spans="1:23" s="71" customFormat="1" ht="12.75" customHeight="1" x14ac:dyDescent="0.2">
      <c r="A37" s="880" t="str">
        <f ca="1">IF(NOT(EXACT($R37,"")),IF(IF(ISERR(FIND(";"&amp;$H37+1&amp;";",VLOOKUP($R37,Talente!$A$61:$F$71,6))),FALSE,TRUE),"SE",""),"")</f>
        <v/>
      </c>
      <c r="B37" s="864" t="str">
        <f t="shared" ca="1" si="14"/>
        <v/>
      </c>
      <c r="C37" s="820"/>
      <c r="D37" s="819"/>
      <c r="E37" s="876" t="str">
        <f t="shared" ca="1" si="18"/>
        <v/>
      </c>
      <c r="F37" s="875"/>
      <c r="G37" s="818" t="str">
        <f t="shared" ca="1" si="19"/>
        <v/>
      </c>
      <c r="H37" s="870" t="str">
        <f ca="1">IF(EXACT($R37,""),"",SUM(VLOOKUP($R37,Talente!$A$61:$B$71,2,FALSE),VLOOKUP($R37,Talente!$A$61:$G$71,7,FALSE),VLOOKUP($R37,Talente!$A$61:$I$71,9,FALSE)))</f>
        <v/>
      </c>
      <c r="I37" s="880" t="str">
        <f ca="1">IF(NOT(EXACT($U37,"")),IF(IF(ISERR(FIND(";"&amp;$P37+1&amp;";",VLOOKUP($U37,Talente!$A$107:$I$157,6))),FALSE,TRUE),"SE",""),"")</f>
        <v/>
      </c>
      <c r="J37" s="832" t="str">
        <f t="shared" ca="1" si="15"/>
        <v/>
      </c>
      <c r="K37" s="853"/>
      <c r="L37" s="862" t="str">
        <f t="shared" ca="1" si="16"/>
        <v/>
      </c>
      <c r="M37" s="861"/>
      <c r="N37" s="818" t="str">
        <f t="shared" ca="1" si="13"/>
        <v/>
      </c>
      <c r="O37" s="883"/>
      <c r="P37" s="874" t="str">
        <f ca="1">IF(EXACT($U37,""),"",SUM(VLOOKUP($U37,Talente!$A$107:$B$157,2,FALSE),VLOOKUP($U37,Talente!$A$107:$G$157,7,FALSE),VLOOKUP($U37,Talente!$A$107:$I$157,9,FALSE)))</f>
        <v/>
      </c>
      <c r="Q37" s="94"/>
      <c r="R37" s="886" t="str">
        <f t="shared" ca="1" si="21"/>
        <v/>
      </c>
      <c r="S37" s="886">
        <f t="shared" ca="1" si="22"/>
        <v>0</v>
      </c>
      <c r="T37" s="886"/>
      <c r="U37" s="886" t="str">
        <f t="shared" ca="1" si="17"/>
        <v/>
      </c>
      <c r="V37" s="886">
        <f t="shared" ca="1" si="20"/>
        <v>0</v>
      </c>
      <c r="W37" s="278"/>
    </row>
    <row r="38" spans="1:23" s="71" customFormat="1" ht="12.75" customHeight="1" x14ac:dyDescent="0.2">
      <c r="A38" s="880" t="str">
        <f ca="1">IF(NOT(EXACT($R38,"")),IF(IF(ISERR(FIND(";"&amp;$H38+1&amp;";",VLOOKUP($R38,Talente!$A$61:$F$71,6))),FALSE,TRUE),"SE",""),"")</f>
        <v/>
      </c>
      <c r="B38" s="864" t="str">
        <f t="shared" ca="1" si="14"/>
        <v/>
      </c>
      <c r="C38" s="820"/>
      <c r="D38" s="819"/>
      <c r="E38" s="876" t="str">
        <f t="shared" ca="1" si="18"/>
        <v/>
      </c>
      <c r="F38" s="875"/>
      <c r="G38" s="818" t="str">
        <f t="shared" ca="1" si="19"/>
        <v/>
      </c>
      <c r="H38" s="870" t="str">
        <f ca="1">IF(EXACT($R38,""),"",SUM(VLOOKUP($R38,Talente!$A$61:$B$71,2,FALSE),VLOOKUP($R38,Talente!$A$61:$G$71,7,FALSE),VLOOKUP($R38,Talente!$A$61:$I$71,9,FALSE)))</f>
        <v/>
      </c>
      <c r="I38" s="880" t="str">
        <f ca="1">IF(NOT(EXACT($U38,"")),IF(IF(ISERR(FIND(";"&amp;$P38+1&amp;";",VLOOKUP($U38,Talente!$A$107:$I$157,6))),FALSE,TRUE),"SE",""),"")</f>
        <v/>
      </c>
      <c r="J38" s="832" t="str">
        <f t="shared" ca="1" si="15"/>
        <v/>
      </c>
      <c r="K38" s="853"/>
      <c r="L38" s="862" t="str">
        <f t="shared" ca="1" si="16"/>
        <v/>
      </c>
      <c r="M38" s="861"/>
      <c r="N38" s="818" t="str">
        <f t="shared" ca="1" si="13"/>
        <v/>
      </c>
      <c r="O38" s="883"/>
      <c r="P38" s="874" t="str">
        <f ca="1">IF(EXACT($U38,""),"",SUM(VLOOKUP($U38,Talente!$A$107:$B$157,2,FALSE),VLOOKUP($U38,Talente!$A$107:$G$157,7,FALSE),VLOOKUP($U38,Talente!$A$107:$I$157,9,FALSE)))</f>
        <v/>
      </c>
      <c r="Q38" s="94"/>
      <c r="R38" s="886" t="str">
        <f t="shared" ca="1" si="21"/>
        <v/>
      </c>
      <c r="S38" s="886">
        <f t="shared" ca="1" si="22"/>
        <v>0</v>
      </c>
      <c r="T38" s="886"/>
      <c r="U38" s="886" t="str">
        <f t="shared" ca="1" si="17"/>
        <v/>
      </c>
      <c r="V38" s="886">
        <f t="shared" ca="1" si="20"/>
        <v>0</v>
      </c>
      <c r="W38" s="278"/>
    </row>
    <row r="39" spans="1:23" s="71" customFormat="1" ht="12.75" customHeight="1" x14ac:dyDescent="0.2">
      <c r="A39" s="880" t="str">
        <f ca="1">IF(NOT(EXACT($R39,"")),IF(IF(ISERR(FIND(";"&amp;$H39+1&amp;";",VLOOKUP($R39,Talente!$A$61:$F$71,6))),FALSE,TRUE),"SE",""),"")</f>
        <v/>
      </c>
      <c r="B39" s="864" t="str">
        <f t="shared" ca="1" si="14"/>
        <v/>
      </c>
      <c r="C39" s="820"/>
      <c r="D39" s="819"/>
      <c r="E39" s="876" t="str">
        <f t="shared" ca="1" si="18"/>
        <v/>
      </c>
      <c r="F39" s="875"/>
      <c r="G39" s="818" t="str">
        <f t="shared" ca="1" si="19"/>
        <v/>
      </c>
      <c r="H39" s="870" t="str">
        <f ca="1">IF(EXACT($R39,""),"",SUM(VLOOKUP($R39,Talente!$A$61:$B$71,2,FALSE),VLOOKUP($R39,Talente!$A$61:$G$71,7,FALSE),VLOOKUP($R39,Talente!$A$61:$I$71,9,FALSE)))</f>
        <v/>
      </c>
      <c r="I39" s="880" t="str">
        <f ca="1">IF(NOT(EXACT($U39,"")),IF(IF(ISERR(FIND(";"&amp;$P39+1&amp;";",VLOOKUP($U39,Talente!$A$107:$I$157,6))),FALSE,TRUE),"SE",""),"")</f>
        <v/>
      </c>
      <c r="J39" s="832" t="str">
        <f t="shared" ca="1" si="15"/>
        <v/>
      </c>
      <c r="K39" s="853"/>
      <c r="L39" s="862" t="str">
        <f t="shared" ca="1" si="16"/>
        <v/>
      </c>
      <c r="M39" s="861"/>
      <c r="N39" s="818" t="str">
        <f t="shared" ca="1" si="13"/>
        <v/>
      </c>
      <c r="O39" s="883"/>
      <c r="P39" s="874" t="str">
        <f ca="1">IF(EXACT($U39,""),"",SUM(VLOOKUP($U39,Talente!$A$107:$B$157,2,FALSE),VLOOKUP($U39,Talente!$A$107:$G$157,7,FALSE),VLOOKUP($U39,Talente!$A$107:$I$157,9,FALSE)))</f>
        <v/>
      </c>
      <c r="Q39" s="94"/>
      <c r="R39" s="886" t="str">
        <f t="shared" ca="1" si="21"/>
        <v/>
      </c>
      <c r="S39" s="886">
        <f t="shared" ca="1" si="22"/>
        <v>0</v>
      </c>
      <c r="T39" s="886"/>
      <c r="U39" s="886" t="str">
        <f t="shared" ca="1" si="17"/>
        <v/>
      </c>
      <c r="V39" s="886">
        <f t="shared" ca="1" si="20"/>
        <v>0</v>
      </c>
      <c r="W39" s="278"/>
    </row>
    <row r="40" spans="1:23" s="71" customFormat="1" ht="12.75" customHeight="1" x14ac:dyDescent="0.2">
      <c r="A40" s="880" t="str">
        <f ca="1">IF(NOT(EXACT($R40,"")),IF(IF(ISERR(FIND(";"&amp;$H40+1&amp;";",VLOOKUP($R40,Talente!$A$61:$F$71,6))),FALSE,TRUE),"SE",""),"")</f>
        <v/>
      </c>
      <c r="B40" s="864" t="str">
        <f t="shared" ca="1" si="14"/>
        <v/>
      </c>
      <c r="C40" s="820"/>
      <c r="D40" s="819"/>
      <c r="E40" s="876" t="str">
        <f t="shared" ca="1" si="18"/>
        <v/>
      </c>
      <c r="F40" s="875"/>
      <c r="G40" s="818" t="str">
        <f t="shared" ca="1" si="19"/>
        <v/>
      </c>
      <c r="H40" s="870" t="str">
        <f ca="1">IF(EXACT($R40,""),"",SUM(VLOOKUP($R40,Talente!$A$61:$B$71,2,FALSE),VLOOKUP($R40,Talente!$A$61:$G$71,7,FALSE),VLOOKUP($R40,Talente!$A$61:$I$71,9,FALSE)))</f>
        <v/>
      </c>
      <c r="I40" s="880" t="str">
        <f ca="1">IF(NOT(EXACT($U40,"")),IF(IF(ISERR(FIND(";"&amp;$P40+1&amp;";",VLOOKUP($U40,Talente!$A$107:$I$157,6))),FALSE,TRUE),"SE",""),"")</f>
        <v/>
      </c>
      <c r="J40" s="832" t="str">
        <f t="shared" ca="1" si="15"/>
        <v/>
      </c>
      <c r="K40" s="853"/>
      <c r="L40" s="862" t="str">
        <f t="shared" ca="1" si="16"/>
        <v/>
      </c>
      <c r="M40" s="861"/>
      <c r="N40" s="818" t="str">
        <f t="shared" ca="1" si="13"/>
        <v/>
      </c>
      <c r="O40" s="883"/>
      <c r="P40" s="874" t="str">
        <f ca="1">IF(EXACT($U40,""),"",SUM(VLOOKUP($U40,Talente!$A$107:$B$157,2,FALSE),VLOOKUP($U40,Talente!$A$107:$G$157,7,FALSE),VLOOKUP($U40,Talente!$A$107:$I$157,9,FALSE)))</f>
        <v/>
      </c>
      <c r="Q40" s="94"/>
      <c r="R40" s="886" t="str">
        <f t="shared" ca="1" si="21"/>
        <v/>
      </c>
      <c r="S40" s="886">
        <f t="shared" ca="1" si="22"/>
        <v>0</v>
      </c>
      <c r="T40" s="886"/>
      <c r="U40" s="886" t="str">
        <f t="shared" ca="1" si="17"/>
        <v/>
      </c>
      <c r="V40" s="886">
        <f t="shared" ca="1" si="20"/>
        <v>0</v>
      </c>
      <c r="W40" s="278"/>
    </row>
    <row r="41" spans="1:23" s="71" customFormat="1" ht="12.75" customHeight="1" thickBot="1" x14ac:dyDescent="0.25">
      <c r="A41" s="860" t="str">
        <f ca="1">IF(NOT(EXACT($R41,"")),IF(IF(ISERR(FIND(";"&amp;$H41+1&amp;";",VLOOKUP($R41,Talente!$A$61:$F$71,6))),FALSE,TRUE),"SE",""),"")</f>
        <v/>
      </c>
      <c r="B41" s="859" t="str">
        <f t="shared" ca="1" si="14"/>
        <v/>
      </c>
      <c r="C41" s="851"/>
      <c r="D41" s="866"/>
      <c r="E41" s="856" t="str">
        <f t="shared" ca="1" si="18"/>
        <v/>
      </c>
      <c r="F41" s="855"/>
      <c r="G41" s="867" t="str">
        <f t="shared" ca="1" si="19"/>
        <v/>
      </c>
      <c r="H41" s="865" t="str">
        <f ca="1">IF(EXACT($R41,""),"",SUM(VLOOKUP($R41,Talente!$A$61:$B$71,2,FALSE),VLOOKUP($R41,Talente!$A$61:$G$71,7,FALSE),VLOOKUP($R41,Talente!$A$61:$I$71,9,FALSE)))</f>
        <v/>
      </c>
      <c r="I41" s="880" t="str">
        <f ca="1">IF(NOT(EXACT($U41,"")),IF(IF(ISERR(FIND(";"&amp;$P41+1&amp;";",VLOOKUP($U41,Talente!$A$107:$I$157,6))),FALSE,TRUE),"SE",""),"")</f>
        <v/>
      </c>
      <c r="J41" s="832" t="str">
        <f t="shared" ca="1" si="15"/>
        <v/>
      </c>
      <c r="K41" s="853"/>
      <c r="L41" s="862" t="str">
        <f t="shared" ca="1" si="16"/>
        <v/>
      </c>
      <c r="M41" s="861"/>
      <c r="N41" s="818" t="str">
        <f t="shared" ca="1" si="13"/>
        <v/>
      </c>
      <c r="O41" s="883"/>
      <c r="P41" s="874" t="str">
        <f ca="1">IF(EXACT($U41,""),"",SUM(VLOOKUP($U41,Talente!$A$107:$B$157,2,FALSE),VLOOKUP($U41,Talente!$A$107:$G$157,7,FALSE),VLOOKUP($U41,Talente!$A$107:$I$157,9,FALSE)))</f>
        <v/>
      </c>
      <c r="Q41" s="94"/>
      <c r="R41" s="886" t="str">
        <f t="shared" ca="1" si="21"/>
        <v/>
      </c>
      <c r="S41" s="886">
        <f t="shared" ca="1" si="22"/>
        <v>0</v>
      </c>
      <c r="T41" s="886"/>
      <c r="U41" s="886" t="str">
        <f t="shared" ca="1" si="17"/>
        <v/>
      </c>
      <c r="V41" s="886">
        <f t="shared" ca="1" si="20"/>
        <v>0</v>
      </c>
      <c r="W41" s="278"/>
    </row>
    <row r="42" spans="1:23" s="71" customFormat="1" ht="12.75" customHeight="1" thickTop="1" x14ac:dyDescent="0.2">
      <c r="A42" s="2159" t="s">
        <v>4819</v>
      </c>
      <c r="B42" s="2160"/>
      <c r="C42" s="2160"/>
      <c r="D42" s="2160"/>
      <c r="E42" s="2160"/>
      <c r="F42" s="2160"/>
      <c r="G42" s="2160"/>
      <c r="H42" s="850"/>
      <c r="I42" s="880" t="str">
        <f ca="1">IF(NOT(EXACT($U42,"")),IF(IF(ISERR(FIND(";"&amp;$P42+1&amp;";",VLOOKUP($U42,Talente!$A$107:$I$157,6))),FALSE,TRUE),"SE",""),"")</f>
        <v/>
      </c>
      <c r="J42" s="832" t="str">
        <f t="shared" ca="1" si="15"/>
        <v/>
      </c>
      <c r="K42" s="853"/>
      <c r="L42" s="862" t="str">
        <f t="shared" ca="1" si="16"/>
        <v/>
      </c>
      <c r="M42" s="861"/>
      <c r="N42" s="818" t="str">
        <f t="shared" ca="1" si="13"/>
        <v/>
      </c>
      <c r="O42" s="883"/>
      <c r="P42" s="874" t="str">
        <f ca="1">IF(EXACT($U42,""),"",SUM(VLOOKUP($U42,Talente!$A$107:$B$157,2,FALSE),VLOOKUP($U42,Talente!$A$107:$G$157,7,FALSE),VLOOKUP($U42,Talente!$A$107:$I$157,9,FALSE)))</f>
        <v/>
      </c>
      <c r="Q42" s="94"/>
      <c r="R42" s="886"/>
      <c r="S42" s="886"/>
      <c r="T42" s="886"/>
      <c r="U42" s="886" t="str">
        <f t="shared" ca="1" si="17"/>
        <v/>
      </c>
      <c r="V42" s="886">
        <f t="shared" ca="1" si="20"/>
        <v>0</v>
      </c>
      <c r="W42" s="278"/>
    </row>
    <row r="43" spans="1:23" s="71" customFormat="1" ht="12.75" customHeight="1" x14ac:dyDescent="0.2">
      <c r="A43" s="2155"/>
      <c r="B43" s="2156"/>
      <c r="C43" s="2156"/>
      <c r="D43" s="2156"/>
      <c r="E43" s="2156"/>
      <c r="F43" s="2156"/>
      <c r="G43" s="2156"/>
      <c r="H43" s="885" t="s">
        <v>718</v>
      </c>
      <c r="I43" s="880" t="str">
        <f ca="1">IF(NOT(EXACT($U43,"")),IF(IF(ISERR(FIND(";"&amp;$P43+1&amp;";",VLOOKUP($U43,Talente!$A$107:$I$157,6))),FALSE,TRUE),"SE",""),"")</f>
        <v/>
      </c>
      <c r="J43" s="832" t="str">
        <f t="shared" ca="1" si="15"/>
        <v/>
      </c>
      <c r="K43" s="853"/>
      <c r="L43" s="862" t="str">
        <f t="shared" ca="1" si="16"/>
        <v/>
      </c>
      <c r="M43" s="861"/>
      <c r="N43" s="818" t="str">
        <f t="shared" ca="1" si="13"/>
        <v/>
      </c>
      <c r="O43" s="883"/>
      <c r="P43" s="874" t="str">
        <f ca="1">IF(EXACT($U43,""),"",SUM(VLOOKUP($U43,Talente!$A$107:$B$157,2,FALSE),VLOOKUP($U43,Talente!$A$107:$G$157,7,FALSE),VLOOKUP($U43,Talente!$A$107:$I$157,9,FALSE)))</f>
        <v/>
      </c>
      <c r="Q43" s="94"/>
      <c r="R43" s="886"/>
      <c r="S43" s="886"/>
      <c r="T43" s="886"/>
      <c r="U43" s="886" t="str">
        <f t="shared" ca="1" si="17"/>
        <v/>
      </c>
      <c r="V43" s="886">
        <f t="shared" ca="1" si="20"/>
        <v>0</v>
      </c>
      <c r="W43" s="278"/>
    </row>
    <row r="44" spans="1:23" s="71" customFormat="1" ht="12.75" customHeight="1" x14ac:dyDescent="0.2">
      <c r="A44" s="880" t="str">
        <f ca="1">IF(NOT(EXACT($R44,"")),IF(IF(ISERR(FIND(";"&amp;$H44+1&amp;";",VLOOKUP($R44,Talente!$A$82:$F$105,6))),FALSE,TRUE),"SE",""),"")</f>
        <v/>
      </c>
      <c r="B44" s="879" t="str">
        <f t="shared" ref="B44:B67" si="23">IF(R44="","",VLOOKUP(R44,TL_ALLE,14,FALSE))</f>
        <v>Götter/Kulte</v>
      </c>
      <c r="C44" s="820"/>
      <c r="D44" s="852"/>
      <c r="E44" s="876" t="str">
        <f>IF(R44="","",CONCATENATE(VLOOKUP($R44,TL_WIS_WERTE,2),"•",VLOOKUP($R44,TL_WIS_WERTE,3,FALSE),"•",VLOOKUP($R44,TL_WIS_WERTE,4,FALSE)))</f>
        <v>KL•KL•IN</v>
      </c>
      <c r="F44" s="875"/>
      <c r="G44" s="818" t="str">
        <f ca="1">IF(R44="","",
IF(VIEW_EIGN_TRUE,
CONCATENATE(INDIRECT(VLOOKUP($R44,TL_WIS_WERTE,2)),"•",INDIRECT(VLOOKUP($R44,TL_WIS_WERTE,3,FALSE)),"•",INDIRECT(VLOOKUP($R44,TL_WIS_WERTE,4,FALSE))),INDEX(TL_WIS_STW,MATCH(R44,TL_WIS,1))
))</f>
        <v>8•8•8</v>
      </c>
      <c r="H44" s="870">
        <f ca="1">IF(EXACT($R44,""),"",SUM(VLOOKUP($R44,Talente!$A$82:$B$105,2,FALSE),VLOOKUP($R44,Talente!$A$82:$G$105,7,FALSE),VLOOKUP($R44,Talente!$A$82:$I$105,9,FALSE)))</f>
        <v>0</v>
      </c>
      <c r="I44" s="880" t="str">
        <f ca="1">IF(NOT(EXACT($U44,"")),IF(IF(ISERR(FIND(";"&amp;$P44+1&amp;";",VLOOKUP($U44,Talente!$A$107:$I$157,6))),FALSE,TRUE),"SE",""),"")</f>
        <v/>
      </c>
      <c r="J44" s="832" t="str">
        <f t="shared" ca="1" si="15"/>
        <v/>
      </c>
      <c r="K44" s="853"/>
      <c r="L44" s="862" t="str">
        <f t="shared" ca="1" si="16"/>
        <v/>
      </c>
      <c r="M44" s="861"/>
      <c r="N44" s="818" t="str">
        <f t="shared" ca="1" si="13"/>
        <v/>
      </c>
      <c r="O44" s="883"/>
      <c r="P44" s="874" t="str">
        <f ca="1">IF(EXACT($U44,""),"",SUM(VLOOKUP($U44,Talente!$A$107:$B$157,2,FALSE),VLOOKUP($U44,Talente!$A$107:$G$157,7,FALSE),VLOOKUP($U44,Talente!$A$107:$I$157,9,FALSE)))</f>
        <v/>
      </c>
      <c r="Q44" s="94"/>
      <c r="R44" s="886" t="s">
        <v>2732</v>
      </c>
      <c r="S44" s="886"/>
      <c r="T44" s="886"/>
      <c r="U44" s="886" t="str">
        <f t="shared" ca="1" si="17"/>
        <v/>
      </c>
      <c r="V44" s="886">
        <f t="shared" ca="1" si="20"/>
        <v>0</v>
      </c>
      <c r="W44" s="278"/>
    </row>
    <row r="45" spans="1:23" s="71" customFormat="1" ht="12.75" customHeight="1" x14ac:dyDescent="0.2">
      <c r="A45" s="880" t="str">
        <f ca="1">IF(NOT(EXACT($R45,"")),IF(IF(ISERR(FIND(";"&amp;$H45+1&amp;";",VLOOKUP($R45,Talente!$A$82:$F$105,6))),FALSE,TRUE),"SE",""),"")</f>
        <v/>
      </c>
      <c r="B45" s="879" t="str">
        <f t="shared" si="23"/>
        <v>Rechnen</v>
      </c>
      <c r="C45" s="820"/>
      <c r="D45" s="852"/>
      <c r="E45" s="876" t="str">
        <f t="shared" ref="E45:E67" si="24">IF(R45="","",CONCATENATE(VLOOKUP($R45,TL_WIS_WERTE,2),"•",VLOOKUP($R45,TL_WIS_WERTE,3,FALSE),"•",VLOOKUP($R45,TL_WIS_WERTE,4,FALSE)))</f>
        <v>KL•KL•IN</v>
      </c>
      <c r="F45" s="875"/>
      <c r="G45" s="818" t="str">
        <f t="shared" ref="G45:G67" ca="1" si="25">IF(R45="","",
IF(VIEW_EIGN_TRUE,
CONCATENATE(INDIRECT(VLOOKUP($R45,TL_WIS_WERTE,2)),"•",INDIRECT(VLOOKUP($R45,TL_WIS_WERTE,3,FALSE)),"•",INDIRECT(VLOOKUP($R45,TL_WIS_WERTE,4,FALSE))),INDEX(TL_WIS_STW,MATCH(R45,TL_WIS,1))
))</f>
        <v>8•8•8</v>
      </c>
      <c r="H45" s="870">
        <f ca="1">IF(EXACT($R45,""),"",SUM(VLOOKUP($R45,Talente!$A$82:$B$105,2,FALSE),VLOOKUP($R45,Talente!$A$82:$G$105,7,FALSE),VLOOKUP($R45,Talente!$A$82:$I$105,9,FALSE)))</f>
        <v>0</v>
      </c>
      <c r="I45" s="880" t="str">
        <f ca="1">IF(NOT(EXACT($U45,"")),IF(IF(ISERR(FIND(";"&amp;$P45+1&amp;";",VLOOKUP($U45,Talente!$A$107:$I$157,6))),FALSE,TRUE),"SE",""),"")</f>
        <v/>
      </c>
      <c r="J45" s="832" t="str">
        <f t="shared" ca="1" si="15"/>
        <v/>
      </c>
      <c r="K45" s="853"/>
      <c r="L45" s="862" t="str">
        <f t="shared" ca="1" si="16"/>
        <v/>
      </c>
      <c r="M45" s="861"/>
      <c r="N45" s="818" t="str">
        <f t="shared" ca="1" si="13"/>
        <v/>
      </c>
      <c r="O45" s="883"/>
      <c r="P45" s="874" t="str">
        <f ca="1">IF(EXACT($U45,""),"",SUM(VLOOKUP($U45,Talente!$A$107:$B$157,2,FALSE),VLOOKUP($U45,Talente!$A$107:$G$157,7,FALSE),VLOOKUP($U45,Talente!$A$107:$I$157,9,FALSE)))</f>
        <v/>
      </c>
      <c r="Q45" s="94"/>
      <c r="R45" s="886" t="s">
        <v>2383</v>
      </c>
      <c r="S45" s="886"/>
      <c r="T45" s="886"/>
      <c r="U45" s="886" t="str">
        <f t="shared" ca="1" si="17"/>
        <v/>
      </c>
      <c r="V45" s="886">
        <f t="shared" ca="1" si="20"/>
        <v>0</v>
      </c>
      <c r="W45" s="278"/>
    </row>
    <row r="46" spans="1:23" s="71" customFormat="1" ht="12.75" customHeight="1" x14ac:dyDescent="0.2">
      <c r="A46" s="880" t="str">
        <f ca="1">IF(NOT(EXACT($R46,"")),IF(IF(ISERR(FIND(";"&amp;$H46+1&amp;";",VLOOKUP($R46,Talente!$A$82:$F$105,6))),FALSE,TRUE),"SE",""),"")</f>
        <v/>
      </c>
      <c r="B46" s="879" t="str">
        <f t="shared" si="23"/>
        <v>Sagen/Legenden</v>
      </c>
      <c r="C46" s="820"/>
      <c r="D46" s="852"/>
      <c r="E46" s="876" t="str">
        <f t="shared" si="24"/>
        <v>KL•IN•CH</v>
      </c>
      <c r="F46" s="875"/>
      <c r="G46" s="818" t="str">
        <f t="shared" ca="1" si="25"/>
        <v>8•8•8</v>
      </c>
      <c r="H46" s="870">
        <f ca="1">IF(EXACT($R46,""),"",SUM(VLOOKUP($R46,Talente!$A$82:$B$105,2,FALSE),VLOOKUP($R46,Talente!$A$82:$G$105,7,FALSE),VLOOKUP($R46,Talente!$A$82:$I$105,9,FALSE)))</f>
        <v>0</v>
      </c>
      <c r="I46" s="880" t="str">
        <f ca="1">IF(NOT(EXACT($U46,"")),IF(IF(ISERR(FIND(";"&amp;$P46+1&amp;";",VLOOKUP($U46,Talente!$A$107:$I$157,6))),FALSE,TRUE),"SE",""),"")</f>
        <v/>
      </c>
      <c r="J46" s="832" t="str">
        <f t="shared" ca="1" si="15"/>
        <v/>
      </c>
      <c r="K46" s="853"/>
      <c r="L46" s="862" t="str">
        <f t="shared" ca="1" si="16"/>
        <v/>
      </c>
      <c r="M46" s="861"/>
      <c r="N46" s="818" t="str">
        <f t="shared" ca="1" si="13"/>
        <v/>
      </c>
      <c r="O46" s="883"/>
      <c r="P46" s="874" t="str">
        <f ca="1">IF(EXACT($U46,""),"",SUM(VLOOKUP($U46,Talente!$A$107:$B$157,2,FALSE),VLOOKUP($U46,Talente!$A$107:$G$157,7,FALSE),VLOOKUP($U46,Talente!$A$107:$I$157,9,FALSE)))</f>
        <v/>
      </c>
      <c r="Q46" s="94"/>
      <c r="R46" s="886" t="s">
        <v>434</v>
      </c>
      <c r="S46" s="886"/>
      <c r="T46" s="886"/>
      <c r="U46" s="886" t="str">
        <f t="shared" ca="1" si="17"/>
        <v/>
      </c>
      <c r="V46" s="886">
        <f t="shared" ca="1" si="20"/>
        <v>0</v>
      </c>
      <c r="W46" s="278"/>
    </row>
    <row r="47" spans="1:23" s="71" customFormat="1" ht="12.75" customHeight="1" x14ac:dyDescent="0.2">
      <c r="A47" s="880" t="str">
        <f ca="1">IF(NOT(EXACT($R47,"")),IF(IF(ISERR(FIND(";"&amp;$H47+1&amp;";",VLOOKUP($R47,Talente!$A$82:$F$105,6))),FALSE,TRUE),"SE",""),"")</f>
        <v/>
      </c>
      <c r="B47" s="864" t="str">
        <f t="shared" ca="1" si="23"/>
        <v/>
      </c>
      <c r="C47" s="820"/>
      <c r="D47" s="852"/>
      <c r="E47" s="876" t="str">
        <f t="shared" ca="1" si="24"/>
        <v/>
      </c>
      <c r="F47" s="875"/>
      <c r="G47" s="818" t="str">
        <f t="shared" ca="1" si="25"/>
        <v/>
      </c>
      <c r="H47" s="870" t="str">
        <f ca="1">IF(EXACT($R47,""),"",SUM(VLOOKUP($R47,Talente!$A$82:$B$105,2,FALSE),VLOOKUP($R47,Talente!$A$82:$G$105,7,FALSE),VLOOKUP($R47,Talente!$A$82:$I$105,9,FALSE)))</f>
        <v/>
      </c>
      <c r="I47" s="880" t="str">
        <f ca="1">IF(NOT(EXACT($U47,"")),IF(IF(ISERR(FIND(";"&amp;$P47+1&amp;";",VLOOKUP($U47,Talente!$A$107:$I$157,6))),FALSE,TRUE),"SE",""),"")</f>
        <v/>
      </c>
      <c r="J47" s="832" t="str">
        <f t="shared" ca="1" si="15"/>
        <v/>
      </c>
      <c r="K47" s="853"/>
      <c r="L47" s="862" t="str">
        <f t="shared" ca="1" si="16"/>
        <v/>
      </c>
      <c r="M47" s="861"/>
      <c r="N47" s="818" t="str">
        <f t="shared" ca="1" si="13"/>
        <v/>
      </c>
      <c r="O47" s="883"/>
      <c r="P47" s="874" t="str">
        <f ca="1">IF(EXACT($U47,""),"",SUM(VLOOKUP($U47,Talente!$A$107:$B$157,2,FALSE),VLOOKUP($U47,Talente!$A$107:$G$157,7,FALSE),VLOOKUP($U47,Talente!$A$107:$I$157,9,FALSE)))</f>
        <v/>
      </c>
      <c r="Q47" s="94"/>
      <c r="R47" s="886" t="str">
        <f ca="1">IF(NOT(EXACT(BTWISALLE,"")),IF(NOT(EXACT(LEFT(BTWISALLE,20),"")),VLOOKUP(LEFT(BTWISALLE,20),TL_WIS_WERTE,1),""),"")</f>
        <v/>
      </c>
      <c r="S47" s="886">
        <f ca="1">LEN(R47)</f>
        <v>0</v>
      </c>
      <c r="T47" s="886"/>
      <c r="U47" s="886" t="str">
        <f t="shared" ca="1" si="17"/>
        <v/>
      </c>
      <c r="V47" s="886">
        <f t="shared" ca="1" si="20"/>
        <v>0</v>
      </c>
      <c r="W47" s="278"/>
    </row>
    <row r="48" spans="1:23" s="71" customFormat="1" ht="12.75" customHeight="1" x14ac:dyDescent="0.2">
      <c r="A48" s="880" t="str">
        <f ca="1">IF(NOT(EXACT($R48,"")),IF(IF(ISERR(FIND(";"&amp;$H48+1&amp;";",VLOOKUP($R48,Talente!$A$82:$F$105,6))),FALSE,TRUE),"SE",""),"")</f>
        <v/>
      </c>
      <c r="B48" s="864" t="str">
        <f t="shared" ca="1" si="23"/>
        <v/>
      </c>
      <c r="C48" s="820"/>
      <c r="D48" s="852"/>
      <c r="E48" s="876" t="str">
        <f t="shared" ca="1" si="24"/>
        <v/>
      </c>
      <c r="F48" s="875"/>
      <c r="G48" s="818" t="str">
        <f t="shared" ca="1" si="25"/>
        <v/>
      </c>
      <c r="H48" s="870" t="str">
        <f ca="1">IF(EXACT($R48,""),"",SUM(VLOOKUP($R48,Talente!$A$82:$B$105,2,FALSE),VLOOKUP($R48,Talente!$A$82:$G$105,7,FALSE),VLOOKUP($R48,Talente!$A$82:$I$105,9,FALSE)))</f>
        <v/>
      </c>
      <c r="I48" s="880" t="str">
        <f ca="1">IF(NOT(EXACT($U48,"")),IF(IF(ISERR(FIND(";"&amp;$P48+1&amp;";",VLOOKUP($U48,Talente!$A$107:$I$157,6))),FALSE,TRUE),"SE",""),"")</f>
        <v/>
      </c>
      <c r="J48" s="832" t="str">
        <f t="shared" ca="1" si="15"/>
        <v/>
      </c>
      <c r="K48" s="853"/>
      <c r="L48" s="862" t="str">
        <f t="shared" ca="1" si="16"/>
        <v/>
      </c>
      <c r="M48" s="861"/>
      <c r="N48" s="818" t="str">
        <f t="shared" ca="1" si="13"/>
        <v/>
      </c>
      <c r="O48" s="883"/>
      <c r="P48" s="874" t="str">
        <f ca="1">IF(EXACT($U48,""),"",SUM(VLOOKUP($U48,Talente!$A$107:$B$157,2,FALSE),VLOOKUP($U48,Talente!$A$107:$G$157,7,FALSE),VLOOKUP($U48,Talente!$A$107:$I$157,9,FALSE)))</f>
        <v/>
      </c>
      <c r="Q48" s="94"/>
      <c r="R48" s="886" t="str">
        <f t="shared" ref="R48:R67" ca="1" si="26">IF(EXACT($R47,""),"",IF(NOT(EXACT(MID(BTWISALLE,S47+1,20),"")),VLOOKUP(MID(BTWISALLE,S47+1,20),TL_WIS_WERTE,1),""))</f>
        <v/>
      </c>
      <c r="S48" s="886">
        <f t="shared" ref="S48:S67" ca="1" si="27">S47+LEN(R48)</f>
        <v>0</v>
      </c>
      <c r="T48" s="886"/>
      <c r="U48" s="886" t="str">
        <f t="shared" ca="1" si="17"/>
        <v/>
      </c>
      <c r="V48" s="886">
        <f t="shared" ca="1" si="20"/>
        <v>0</v>
      </c>
      <c r="W48" s="278"/>
    </row>
    <row r="49" spans="1:23" s="71" customFormat="1" ht="12.75" customHeight="1" x14ac:dyDescent="0.2">
      <c r="A49" s="880" t="str">
        <f ca="1">IF(NOT(EXACT($R49,"")),IF(IF(ISERR(FIND(";"&amp;$H49+1&amp;";",VLOOKUP($R49,Talente!$A$82:$F$105,6))),FALSE,TRUE),"SE",""),"")</f>
        <v/>
      </c>
      <c r="B49" s="864" t="str">
        <f t="shared" ca="1" si="23"/>
        <v/>
      </c>
      <c r="C49" s="820"/>
      <c r="D49" s="852"/>
      <c r="E49" s="876" t="str">
        <f t="shared" ca="1" si="24"/>
        <v/>
      </c>
      <c r="F49" s="875"/>
      <c r="G49" s="818" t="str">
        <f t="shared" ca="1" si="25"/>
        <v/>
      </c>
      <c r="H49" s="870" t="str">
        <f ca="1">IF(EXACT($R49,""),"",SUM(VLOOKUP($R49,Talente!$A$82:$B$105,2,FALSE),VLOOKUP($R49,Talente!$A$82:$G$105,7,FALSE),VLOOKUP($R49,Talente!$A$82:$I$105,9,FALSE)))</f>
        <v/>
      </c>
      <c r="I49" s="880" t="str">
        <f ca="1">IF(NOT(EXACT($U49,"")),IF(IF(ISERR(FIND(";"&amp;$P49+1&amp;";",VLOOKUP($U49,Talente!$A$107:$I$157,6))),FALSE,TRUE),"SE",""),"")</f>
        <v/>
      </c>
      <c r="J49" s="832" t="str">
        <f t="shared" ca="1" si="15"/>
        <v/>
      </c>
      <c r="K49" s="853"/>
      <c r="L49" s="862" t="str">
        <f t="shared" ca="1" si="16"/>
        <v/>
      </c>
      <c r="M49" s="861"/>
      <c r="N49" s="818" t="str">
        <f t="shared" ca="1" si="13"/>
        <v/>
      </c>
      <c r="O49" s="883"/>
      <c r="P49" s="874" t="str">
        <f ca="1">IF(EXACT($U49,""),"",SUM(VLOOKUP($U49,Talente!$A$107:$B$157,2,FALSE),VLOOKUP($U49,Talente!$A$107:$G$157,7,FALSE),VLOOKUP($U49,Talente!$A$107:$I$157,9,FALSE)))</f>
        <v/>
      </c>
      <c r="Q49" s="94"/>
      <c r="R49" s="886" t="str">
        <f t="shared" ca="1" si="26"/>
        <v/>
      </c>
      <c r="S49" s="886">
        <f t="shared" ca="1" si="27"/>
        <v>0</v>
      </c>
      <c r="T49" s="886"/>
      <c r="U49" s="886" t="str">
        <f t="shared" ca="1" si="17"/>
        <v/>
      </c>
      <c r="V49" s="886">
        <f t="shared" ca="1" si="20"/>
        <v>0</v>
      </c>
      <c r="W49" s="278"/>
    </row>
    <row r="50" spans="1:23" s="71" customFormat="1" ht="12.75" customHeight="1" x14ac:dyDescent="0.2">
      <c r="A50" s="880" t="str">
        <f ca="1">IF(NOT(EXACT($R50,"")),IF(IF(ISERR(FIND(";"&amp;$H50+1&amp;";",VLOOKUP($R50,Talente!$A$82:$F$105,6))),FALSE,TRUE),"SE",""),"")</f>
        <v/>
      </c>
      <c r="B50" s="864" t="str">
        <f t="shared" ca="1" si="23"/>
        <v/>
      </c>
      <c r="C50" s="820"/>
      <c r="D50" s="852"/>
      <c r="E50" s="876" t="str">
        <f t="shared" ca="1" si="24"/>
        <v/>
      </c>
      <c r="F50" s="875"/>
      <c r="G50" s="818" t="str">
        <f t="shared" ca="1" si="25"/>
        <v/>
      </c>
      <c r="H50" s="870" t="str">
        <f ca="1">IF(EXACT($R50,""),"",SUM(VLOOKUP($R50,Talente!$A$82:$B$105,2,FALSE),VLOOKUP($R50,Talente!$A$82:$G$105,7,FALSE),VLOOKUP($R50,Talente!$A$82:$I$105,9,FALSE)))</f>
        <v/>
      </c>
      <c r="I50" s="880" t="str">
        <f ca="1">IF(NOT(EXACT($U50,"")),IF(IF(ISERR(FIND(";"&amp;$P50+1&amp;";",VLOOKUP($U50,Talente!$A$107:$I$157,6))),FALSE,TRUE),"SE",""),"")</f>
        <v/>
      </c>
      <c r="J50" s="832" t="str">
        <f t="shared" ca="1" si="15"/>
        <v/>
      </c>
      <c r="K50" s="853"/>
      <c r="L50" s="862" t="str">
        <f t="shared" ca="1" si="16"/>
        <v/>
      </c>
      <c r="M50" s="861"/>
      <c r="N50" s="818" t="str">
        <f t="shared" ca="1" si="13"/>
        <v/>
      </c>
      <c r="O50" s="883"/>
      <c r="P50" s="874" t="str">
        <f ca="1">IF(EXACT($U50,""),"",SUM(VLOOKUP($U50,Talente!$A$107:$B$157,2,FALSE),VLOOKUP($U50,Talente!$A$107:$G$157,7,FALSE),VLOOKUP($U50,Talente!$A$107:$I$157,9,FALSE)))</f>
        <v/>
      </c>
      <c r="Q50" s="94"/>
      <c r="R50" s="886" t="str">
        <f t="shared" ca="1" si="26"/>
        <v/>
      </c>
      <c r="S50" s="886">
        <f t="shared" ca="1" si="27"/>
        <v>0</v>
      </c>
      <c r="T50" s="886"/>
      <c r="U50" s="886" t="str">
        <f t="shared" ca="1" si="17"/>
        <v/>
      </c>
      <c r="V50" s="886">
        <f t="shared" ca="1" si="20"/>
        <v>0</v>
      </c>
      <c r="W50" s="278"/>
    </row>
    <row r="51" spans="1:23" s="71" customFormat="1" ht="12.75" customHeight="1" x14ac:dyDescent="0.2">
      <c r="A51" s="880" t="str">
        <f ca="1">IF(NOT(EXACT($R51,"")),IF(IF(ISERR(FIND(";"&amp;$H51+1&amp;";",VLOOKUP($R51,Talente!$A$82:$F$105,6))),FALSE,TRUE),"SE",""),"")</f>
        <v/>
      </c>
      <c r="B51" s="864" t="str">
        <f t="shared" ca="1" si="23"/>
        <v/>
      </c>
      <c r="C51" s="820"/>
      <c r="D51" s="852"/>
      <c r="E51" s="876" t="str">
        <f t="shared" ca="1" si="24"/>
        <v/>
      </c>
      <c r="F51" s="875"/>
      <c r="G51" s="818" t="str">
        <f t="shared" ca="1" si="25"/>
        <v/>
      </c>
      <c r="H51" s="870" t="str">
        <f ca="1">IF(EXACT($R51,""),"",SUM(VLOOKUP($R51,Talente!$A$82:$B$105,2,FALSE),VLOOKUP($R51,Talente!$A$82:$G$105,7,FALSE),VLOOKUP($R51,Talente!$A$82:$I$105,9,FALSE)))</f>
        <v/>
      </c>
      <c r="I51" s="880" t="str">
        <f ca="1">IF(NOT(EXACT($U51,"")),IF(IF(ISERR(FIND(";"&amp;$P51+1&amp;";",VLOOKUP($U51,Talente!$A$107:$I$157,6))),FALSE,TRUE),"SE",""),"")</f>
        <v/>
      </c>
      <c r="J51" s="832" t="str">
        <f t="shared" ca="1" si="15"/>
        <v/>
      </c>
      <c r="K51" s="853"/>
      <c r="L51" s="862" t="str">
        <f t="shared" ca="1" si="16"/>
        <v/>
      </c>
      <c r="M51" s="861"/>
      <c r="N51" s="818" t="str">
        <f t="shared" ca="1" si="13"/>
        <v/>
      </c>
      <c r="O51" s="883"/>
      <c r="P51" s="874" t="str">
        <f ca="1">IF(EXACT($U51,""),"",SUM(VLOOKUP($U51,Talente!$A$107:$B$157,2,FALSE),VLOOKUP($U51,Talente!$A$107:$G$157,7,FALSE),VLOOKUP($U51,Talente!$A$107:$I$157,9,FALSE)))</f>
        <v/>
      </c>
      <c r="Q51" s="94"/>
      <c r="R51" s="886" t="str">
        <f t="shared" ca="1" si="26"/>
        <v/>
      </c>
      <c r="S51" s="886">
        <f t="shared" ca="1" si="27"/>
        <v>0</v>
      </c>
      <c r="T51" s="886"/>
      <c r="U51" s="886" t="str">
        <f t="shared" ca="1" si="17"/>
        <v/>
      </c>
      <c r="V51" s="886">
        <f t="shared" ca="1" si="20"/>
        <v>0</v>
      </c>
      <c r="W51" s="278"/>
    </row>
    <row r="52" spans="1:23" s="71" customFormat="1" ht="12.75" customHeight="1" x14ac:dyDescent="0.2">
      <c r="A52" s="880" t="str">
        <f ca="1">IF(NOT(EXACT($R52,"")),IF(IF(ISERR(FIND(";"&amp;$H52+1&amp;";",VLOOKUP($R52,Talente!$A$82:$F$105,6))),FALSE,TRUE),"SE",""),"")</f>
        <v/>
      </c>
      <c r="B52" s="864" t="str">
        <f t="shared" ca="1" si="23"/>
        <v/>
      </c>
      <c r="C52" s="820"/>
      <c r="D52" s="852"/>
      <c r="E52" s="876" t="str">
        <f t="shared" ca="1" si="24"/>
        <v/>
      </c>
      <c r="F52" s="875"/>
      <c r="G52" s="818" t="str">
        <f t="shared" ca="1" si="25"/>
        <v/>
      </c>
      <c r="H52" s="870" t="str">
        <f ca="1">IF(EXACT($R52,""),"",SUM(VLOOKUP($R52,Talente!$A$82:$B$105,2,FALSE),VLOOKUP($R52,Talente!$A$82:$G$105,7,FALSE),VLOOKUP($R52,Talente!$A$82:$I$105,9,FALSE)))</f>
        <v/>
      </c>
      <c r="I52" s="880" t="str">
        <f ca="1">IF(NOT(EXACT($U52,"")),IF(IF(ISERR(FIND(";"&amp;$P52+1&amp;";",VLOOKUP($U52,Talente!$A$107:$I$157,6))),FALSE,TRUE),"SE",""),"")</f>
        <v/>
      </c>
      <c r="J52" s="832" t="str">
        <f t="shared" ca="1" si="15"/>
        <v/>
      </c>
      <c r="K52" s="853"/>
      <c r="L52" s="862" t="str">
        <f t="shared" ca="1" si="16"/>
        <v/>
      </c>
      <c r="M52" s="861"/>
      <c r="N52" s="818" t="str">
        <f t="shared" ca="1" si="13"/>
        <v/>
      </c>
      <c r="O52" s="883"/>
      <c r="P52" s="874" t="str">
        <f ca="1">IF(EXACT($U52,""),"",SUM(VLOOKUP($U52,Talente!$A$107:$B$157,2,FALSE),VLOOKUP($U52,Talente!$A$107:$G$157,7,FALSE),VLOOKUP($U52,Talente!$A$107:$I$157,9,FALSE)))</f>
        <v/>
      </c>
      <c r="Q52" s="94"/>
      <c r="R52" s="886" t="str">
        <f t="shared" ca="1" si="26"/>
        <v/>
      </c>
      <c r="S52" s="886">
        <f t="shared" ca="1" si="27"/>
        <v>0</v>
      </c>
      <c r="T52" s="886"/>
      <c r="U52" s="886" t="str">
        <f t="shared" ca="1" si="17"/>
        <v/>
      </c>
      <c r="V52" s="886">
        <f t="shared" ca="1" si="20"/>
        <v>0</v>
      </c>
      <c r="W52" s="278"/>
    </row>
    <row r="53" spans="1:23" s="71" customFormat="1" ht="12.75" customHeight="1" x14ac:dyDescent="0.2">
      <c r="A53" s="880" t="str">
        <f ca="1">IF(NOT(EXACT($R53,"")),IF(IF(ISERR(FIND(";"&amp;$H53+1&amp;";",VLOOKUP($R53,Talente!$A$82:$F$105,6))),FALSE,TRUE),"SE",""),"")</f>
        <v/>
      </c>
      <c r="B53" s="864" t="str">
        <f t="shared" ca="1" si="23"/>
        <v/>
      </c>
      <c r="C53" s="820"/>
      <c r="D53" s="852"/>
      <c r="E53" s="876" t="str">
        <f t="shared" ca="1" si="24"/>
        <v/>
      </c>
      <c r="F53" s="875"/>
      <c r="G53" s="818" t="str">
        <f t="shared" ca="1" si="25"/>
        <v/>
      </c>
      <c r="H53" s="870" t="str">
        <f ca="1">IF(EXACT($R53,""),"",SUM(VLOOKUP($R53,Talente!$A$82:$B$105,2,FALSE),VLOOKUP($R53,Talente!$A$82:$G$105,7,FALSE),VLOOKUP($R53,Talente!$A$82:$I$105,9,FALSE)))</f>
        <v/>
      </c>
      <c r="I53" s="880" t="str">
        <f ca="1">IF(NOT(EXACT($U53,"")),IF(IF(ISERR(FIND(";"&amp;$P53+1&amp;";",VLOOKUP($U53,Talente!$A$107:$I$157,6))),FALSE,TRUE),"SE",""),"")</f>
        <v/>
      </c>
      <c r="J53" s="832" t="str">
        <f t="shared" ca="1" si="15"/>
        <v/>
      </c>
      <c r="K53" s="853"/>
      <c r="L53" s="862" t="str">
        <f t="shared" ca="1" si="16"/>
        <v/>
      </c>
      <c r="M53" s="861"/>
      <c r="N53" s="818" t="str">
        <f t="shared" ca="1" si="13"/>
        <v/>
      </c>
      <c r="O53" s="883"/>
      <c r="P53" s="874" t="str">
        <f ca="1">IF(EXACT($U53,""),"",SUM(VLOOKUP($U53,Talente!$A$107:$B$157,2,FALSE),VLOOKUP($U53,Talente!$A$107:$G$157,7,FALSE),VLOOKUP($U53,Talente!$A$107:$I$157,9,FALSE)))</f>
        <v/>
      </c>
      <c r="Q53" s="94"/>
      <c r="R53" s="886" t="str">
        <f t="shared" ca="1" si="26"/>
        <v/>
      </c>
      <c r="S53" s="886">
        <f t="shared" ca="1" si="27"/>
        <v>0</v>
      </c>
      <c r="T53" s="886"/>
      <c r="U53" s="886" t="str">
        <f t="shared" ca="1" si="17"/>
        <v/>
      </c>
      <c r="V53" s="886">
        <f t="shared" ca="1" si="20"/>
        <v>0</v>
      </c>
      <c r="W53" s="278"/>
    </row>
    <row r="54" spans="1:23" s="71" customFormat="1" ht="12.75" customHeight="1" x14ac:dyDescent="0.2">
      <c r="A54" s="880" t="str">
        <f ca="1">IF(NOT(EXACT($R54,"")),IF(IF(ISERR(FIND(";"&amp;$H54+1&amp;";",VLOOKUP($R54,Talente!$A$82:$F$105,6))),FALSE,TRUE),"SE",""),"")</f>
        <v/>
      </c>
      <c r="B54" s="864" t="str">
        <f t="shared" ca="1" si="23"/>
        <v/>
      </c>
      <c r="C54" s="820"/>
      <c r="D54" s="852"/>
      <c r="E54" s="876" t="str">
        <f t="shared" ca="1" si="24"/>
        <v/>
      </c>
      <c r="F54" s="875"/>
      <c r="G54" s="818" t="str">
        <f t="shared" ca="1" si="25"/>
        <v/>
      </c>
      <c r="H54" s="870" t="str">
        <f ca="1">IF(EXACT($R54,""),"",SUM(VLOOKUP($R54,Talente!$A$82:$B$105,2,FALSE),VLOOKUP($R54,Talente!$A$82:$G$105,7,FALSE),VLOOKUP($R54,Talente!$A$82:$I$105,9,FALSE)))</f>
        <v/>
      </c>
      <c r="I54" s="880" t="str">
        <f ca="1">IF(NOT(EXACT($U54,"")),IF(IF(ISERR(FIND(";"&amp;$P54+1&amp;";",VLOOKUP($U54,Talente!$A$107:$I$157,6))),FALSE,TRUE),"SE",""),"")</f>
        <v/>
      </c>
      <c r="J54" s="832" t="str">
        <f t="shared" ca="1" si="15"/>
        <v/>
      </c>
      <c r="K54" s="853"/>
      <c r="L54" s="862" t="str">
        <f t="shared" ca="1" si="16"/>
        <v/>
      </c>
      <c r="M54" s="861"/>
      <c r="N54" s="818" t="str">
        <f t="shared" ca="1" si="13"/>
        <v/>
      </c>
      <c r="O54" s="883"/>
      <c r="P54" s="874" t="str">
        <f ca="1">IF(EXACT($U54,""),"",SUM(VLOOKUP($U54,Talente!$A$107:$B$157,2,FALSE),VLOOKUP($U54,Talente!$A$107:$G$157,7,FALSE),VLOOKUP($U54,Talente!$A$107:$I$157,9,FALSE)))</f>
        <v/>
      </c>
      <c r="Q54" s="94"/>
      <c r="R54" s="886" t="str">
        <f t="shared" ca="1" si="26"/>
        <v/>
      </c>
      <c r="S54" s="886">
        <f t="shared" ca="1" si="27"/>
        <v>0</v>
      </c>
      <c r="T54" s="886"/>
      <c r="U54" s="886" t="str">
        <f t="shared" ca="1" si="17"/>
        <v/>
      </c>
      <c r="V54" s="886">
        <f t="shared" ca="1" si="20"/>
        <v>0</v>
      </c>
      <c r="W54" s="278"/>
    </row>
    <row r="55" spans="1:23" s="71" customFormat="1" ht="12.75" customHeight="1" x14ac:dyDescent="0.2">
      <c r="A55" s="880" t="str">
        <f ca="1">IF(NOT(EXACT($R55,"")),IF(IF(ISERR(FIND(";"&amp;$H55+1&amp;";",VLOOKUP($R55,Talente!$A$82:$F$105,6))),FALSE,TRUE),"SE",""),"")</f>
        <v/>
      </c>
      <c r="B55" s="864" t="str">
        <f t="shared" ca="1" si="23"/>
        <v/>
      </c>
      <c r="C55" s="820"/>
      <c r="D55" s="852"/>
      <c r="E55" s="876" t="str">
        <f t="shared" ca="1" si="24"/>
        <v/>
      </c>
      <c r="F55" s="875"/>
      <c r="G55" s="818" t="str">
        <f t="shared" ca="1" si="25"/>
        <v/>
      </c>
      <c r="H55" s="870" t="str">
        <f ca="1">IF(EXACT($R55,""),"",SUM(VLOOKUP($R55,Talente!$A$82:$B$105,2,FALSE),VLOOKUP($R55,Talente!$A$82:$G$105,7,FALSE),VLOOKUP($R55,Talente!$A$82:$I$105,9,FALSE)))</f>
        <v/>
      </c>
      <c r="I55" s="880" t="str">
        <f ca="1">IF(NOT(EXACT($U55,"")),IF(IF(ISERR(FIND(";"&amp;$P55+1&amp;";",VLOOKUP($U55,Talente!$A$107:$I$157,6))),FALSE,TRUE),"SE",""),"")</f>
        <v/>
      </c>
      <c r="J55" s="832" t="str">
        <f t="shared" ca="1" si="15"/>
        <v/>
      </c>
      <c r="K55" s="853"/>
      <c r="L55" s="862" t="str">
        <f t="shared" ca="1" si="16"/>
        <v/>
      </c>
      <c r="M55" s="861"/>
      <c r="N55" s="818" t="str">
        <f t="shared" ca="1" si="13"/>
        <v/>
      </c>
      <c r="O55" s="883"/>
      <c r="P55" s="874" t="str">
        <f ca="1">IF(EXACT($U55,""),"",SUM(VLOOKUP($U55,Talente!$A$107:$B$157,2,FALSE),VLOOKUP($U55,Talente!$A$107:$G$157,7,FALSE),VLOOKUP($U55,Talente!$A$107:$I$157,9,FALSE)))</f>
        <v/>
      </c>
      <c r="Q55" s="94"/>
      <c r="R55" s="886" t="str">
        <f t="shared" ca="1" si="26"/>
        <v/>
      </c>
      <c r="S55" s="886">
        <f t="shared" ca="1" si="27"/>
        <v>0</v>
      </c>
      <c r="T55" s="886"/>
      <c r="U55" s="886" t="str">
        <f t="shared" ca="1" si="17"/>
        <v/>
      </c>
      <c r="V55" s="886">
        <f t="shared" ca="1" si="20"/>
        <v>0</v>
      </c>
      <c r="W55" s="278"/>
    </row>
    <row r="56" spans="1:23" s="71" customFormat="1" ht="12.75" customHeight="1" x14ac:dyDescent="0.2">
      <c r="A56" s="880" t="str">
        <f ca="1">IF(NOT(EXACT($R56,"")),IF(IF(ISERR(FIND(";"&amp;$H56+1&amp;";",VLOOKUP($R56,Talente!$A$82:$F$105,6))),FALSE,TRUE),"SE",""),"")</f>
        <v/>
      </c>
      <c r="B56" s="864" t="str">
        <f t="shared" ca="1" si="23"/>
        <v/>
      </c>
      <c r="C56" s="820"/>
      <c r="D56" s="852"/>
      <c r="E56" s="876" t="str">
        <f t="shared" ca="1" si="24"/>
        <v/>
      </c>
      <c r="F56" s="875"/>
      <c r="G56" s="818" t="str">
        <f t="shared" ca="1" si="25"/>
        <v/>
      </c>
      <c r="H56" s="870" t="str">
        <f ca="1">IF(EXACT($R56,""),"",SUM(VLOOKUP($R56,Talente!$A$82:$B$105,2,FALSE),VLOOKUP($R56,Talente!$A$82:$G$105,7,FALSE),VLOOKUP($R56,Talente!$A$82:$I$105,9,FALSE)))</f>
        <v/>
      </c>
      <c r="I56" s="880" t="str">
        <f ca="1">IF(NOT(EXACT($U56,"")),IF(IF(ISERR(FIND(";"&amp;$P56+1&amp;";",VLOOKUP($U56,Talente!$A$107:$I$157,6))),FALSE,TRUE),"SE",""),"")</f>
        <v/>
      </c>
      <c r="J56" s="832" t="str">
        <f t="shared" ca="1" si="15"/>
        <v/>
      </c>
      <c r="K56" s="853"/>
      <c r="L56" s="862" t="str">
        <f t="shared" ca="1" si="16"/>
        <v/>
      </c>
      <c r="M56" s="861"/>
      <c r="N56" s="818" t="str">
        <f t="shared" ca="1" si="13"/>
        <v/>
      </c>
      <c r="O56" s="883"/>
      <c r="P56" s="874" t="str">
        <f ca="1">IF(EXACT($U56,""),"",SUM(VLOOKUP($U56,Talente!$A$107:$B$157,2,FALSE),VLOOKUP($U56,Talente!$A$107:$G$157,7,FALSE),VLOOKUP($U56,Talente!$A$107:$I$157,9,FALSE)))</f>
        <v/>
      </c>
      <c r="Q56" s="94"/>
      <c r="R56" s="886" t="str">
        <f t="shared" ca="1" si="26"/>
        <v/>
      </c>
      <c r="S56" s="886">
        <f t="shared" ca="1" si="27"/>
        <v>0</v>
      </c>
      <c r="T56" s="886"/>
      <c r="U56" s="886" t="str">
        <f t="shared" ca="1" si="17"/>
        <v/>
      </c>
      <c r="V56" s="886">
        <f t="shared" ca="1" si="20"/>
        <v>0</v>
      </c>
      <c r="W56" s="278"/>
    </row>
    <row r="57" spans="1:23" s="71" customFormat="1" ht="12.75" customHeight="1" x14ac:dyDescent="0.2">
      <c r="A57" s="880" t="str">
        <f ca="1">IF(NOT(EXACT($R57,"")),IF(IF(ISERR(FIND(";"&amp;$H57+1&amp;";",VLOOKUP($R57,Talente!$A$82:$F$105,6))),FALSE,TRUE),"SE",""),"")</f>
        <v/>
      </c>
      <c r="B57" s="864" t="str">
        <f t="shared" ca="1" si="23"/>
        <v/>
      </c>
      <c r="C57" s="820"/>
      <c r="D57" s="852"/>
      <c r="E57" s="876" t="str">
        <f t="shared" ca="1" si="24"/>
        <v/>
      </c>
      <c r="F57" s="875"/>
      <c r="G57" s="818" t="str">
        <f t="shared" ca="1" si="25"/>
        <v/>
      </c>
      <c r="H57" s="870" t="str">
        <f ca="1">IF(EXACT($R57,""),"",SUM(VLOOKUP($R57,Talente!$A$82:$B$105,2,FALSE),VLOOKUP($R57,Talente!$A$82:$G$105,7,FALSE),VLOOKUP($R57,Talente!$A$82:$I$105,9,FALSE)))</f>
        <v/>
      </c>
      <c r="I57" s="880" t="str">
        <f ca="1">IF(NOT(EXACT($U57,"")),IF(IF(ISERR(FIND(";"&amp;$P57+1&amp;";",VLOOKUP($U57,Talente!$A$107:$I$157,6))),FALSE,TRUE),"SE",""),"")</f>
        <v/>
      </c>
      <c r="J57" s="832" t="str">
        <f t="shared" ca="1" si="15"/>
        <v/>
      </c>
      <c r="K57" s="853"/>
      <c r="L57" s="862" t="str">
        <f t="shared" ca="1" si="16"/>
        <v/>
      </c>
      <c r="M57" s="861"/>
      <c r="N57" s="818" t="str">
        <f t="shared" ca="1" si="13"/>
        <v/>
      </c>
      <c r="O57" s="883"/>
      <c r="P57" s="874" t="str">
        <f ca="1">IF(EXACT($U57,""),"",SUM(VLOOKUP($U57,Talente!$A$107:$B$157,2,FALSE),VLOOKUP($U57,Talente!$A$107:$G$157,7,FALSE),VLOOKUP($U57,Talente!$A$107:$I$157,9,FALSE)))</f>
        <v/>
      </c>
      <c r="Q57" s="94"/>
      <c r="R57" s="886" t="str">
        <f t="shared" ca="1" si="26"/>
        <v/>
      </c>
      <c r="S57" s="886">
        <f t="shared" ca="1" si="27"/>
        <v>0</v>
      </c>
      <c r="T57" s="886"/>
      <c r="U57" s="886" t="str">
        <f t="shared" ca="1" si="17"/>
        <v/>
      </c>
      <c r="V57" s="886">
        <f t="shared" ca="1" si="20"/>
        <v>0</v>
      </c>
      <c r="W57" s="278"/>
    </row>
    <row r="58" spans="1:23" s="71" customFormat="1" ht="12.75" customHeight="1" x14ac:dyDescent="0.2">
      <c r="A58" s="880" t="str">
        <f ca="1">IF(NOT(EXACT($R58,"")),IF(IF(ISERR(FIND(";"&amp;$H58+1&amp;";",VLOOKUP($R58,Talente!$A$82:$F$105,6))),FALSE,TRUE),"SE",""),"")</f>
        <v/>
      </c>
      <c r="B58" s="864" t="str">
        <f t="shared" ca="1" si="23"/>
        <v/>
      </c>
      <c r="C58" s="820"/>
      <c r="D58" s="852"/>
      <c r="E58" s="876" t="str">
        <f t="shared" ca="1" si="24"/>
        <v/>
      </c>
      <c r="F58" s="875"/>
      <c r="G58" s="818" t="str">
        <f t="shared" ca="1" si="25"/>
        <v/>
      </c>
      <c r="H58" s="870" t="str">
        <f ca="1">IF(EXACT($R58,""),"",SUM(VLOOKUP($R58,Talente!$A$82:$B$105,2,FALSE),VLOOKUP($R58,Talente!$A$82:$G$105,7,FALSE),VLOOKUP($R58,Talente!$A$82:$I$105,9,FALSE)))</f>
        <v/>
      </c>
      <c r="I58" s="880" t="str">
        <f ca="1">IF(NOT(EXACT($U58,"")),IF(IF(ISERR(FIND(";"&amp;$P58+1&amp;";",VLOOKUP($U58,Talente!$A$107:$I$157,6))),FALSE,TRUE),"SE",""),"")</f>
        <v/>
      </c>
      <c r="J58" s="832" t="str">
        <f t="shared" ca="1" si="15"/>
        <v/>
      </c>
      <c r="K58" s="853"/>
      <c r="L58" s="862" t="str">
        <f t="shared" ca="1" si="16"/>
        <v/>
      </c>
      <c r="M58" s="861"/>
      <c r="N58" s="818" t="str">
        <f t="shared" ca="1" si="13"/>
        <v/>
      </c>
      <c r="O58" s="883"/>
      <c r="P58" s="874" t="str">
        <f ca="1">IF(EXACT($U58,""),"",SUM(VLOOKUP($U58,Talente!$A$107:$B$157,2,FALSE),VLOOKUP($U58,Talente!$A$107:$G$157,7,FALSE),VLOOKUP($U58,Talente!$A$107:$I$157,9,FALSE)))</f>
        <v/>
      </c>
      <c r="Q58" s="94"/>
      <c r="R58" s="886" t="str">
        <f t="shared" ca="1" si="26"/>
        <v/>
      </c>
      <c r="S58" s="886">
        <f t="shared" ca="1" si="27"/>
        <v>0</v>
      </c>
      <c r="T58" s="886"/>
      <c r="U58" s="886" t="str">
        <f t="shared" ca="1" si="17"/>
        <v/>
      </c>
      <c r="V58" s="886">
        <f t="shared" ca="1" si="20"/>
        <v>0</v>
      </c>
      <c r="W58" s="278"/>
    </row>
    <row r="59" spans="1:23" s="71" customFormat="1" ht="12.75" customHeight="1" x14ac:dyDescent="0.2">
      <c r="A59" s="880" t="str">
        <f ca="1">IF(NOT(EXACT($R59,"")),IF(IF(ISERR(FIND(";"&amp;$H59+1&amp;";",VLOOKUP($R59,Talente!$A$82:$F$105,6))),FALSE,TRUE),"SE",""),"")</f>
        <v/>
      </c>
      <c r="B59" s="864" t="str">
        <f t="shared" ca="1" si="23"/>
        <v/>
      </c>
      <c r="C59" s="820"/>
      <c r="D59" s="852"/>
      <c r="E59" s="876" t="str">
        <f t="shared" ca="1" si="24"/>
        <v/>
      </c>
      <c r="F59" s="875"/>
      <c r="G59" s="818" t="str">
        <f t="shared" ca="1" si="25"/>
        <v/>
      </c>
      <c r="H59" s="870" t="str">
        <f ca="1">IF(EXACT($R59,""),"",SUM(VLOOKUP($R59,Talente!$A$82:$B$105,2,FALSE),VLOOKUP($R59,Talente!$A$82:$G$105,7,FALSE),VLOOKUP($R59,Talente!$A$82:$I$105,9,FALSE)))</f>
        <v/>
      </c>
      <c r="I59" s="880" t="str">
        <f ca="1">IF(NOT(EXACT($U59,"")),IF(IF(ISERR(FIND(";"&amp;$P59+1&amp;";",VLOOKUP($U59,Talente!$A$107:$I$157,6))),FALSE,TRUE),"SE",""),"")</f>
        <v/>
      </c>
      <c r="J59" s="832" t="str">
        <f t="shared" ca="1" si="15"/>
        <v/>
      </c>
      <c r="K59" s="853"/>
      <c r="L59" s="862" t="str">
        <f t="shared" ca="1" si="16"/>
        <v/>
      </c>
      <c r="M59" s="861"/>
      <c r="N59" s="818" t="str">
        <f t="shared" ca="1" si="13"/>
        <v/>
      </c>
      <c r="O59" s="883"/>
      <c r="P59" s="874" t="str">
        <f ca="1">IF(EXACT($U59,""),"",SUM(VLOOKUP($U59,Talente!$A$107:$B$157,2,FALSE),VLOOKUP($U59,Talente!$A$107:$G$157,7,FALSE),VLOOKUP($U59,Talente!$A$107:$I$157,9,FALSE)))</f>
        <v/>
      </c>
      <c r="Q59" s="94"/>
      <c r="R59" s="886" t="str">
        <f t="shared" ca="1" si="26"/>
        <v/>
      </c>
      <c r="S59" s="886">
        <f t="shared" ca="1" si="27"/>
        <v>0</v>
      </c>
      <c r="T59" s="886"/>
      <c r="U59" s="886" t="str">
        <f t="shared" ca="1" si="17"/>
        <v/>
      </c>
      <c r="V59" s="886">
        <f t="shared" ca="1" si="20"/>
        <v>0</v>
      </c>
      <c r="W59" s="278"/>
    </row>
    <row r="60" spans="1:23" s="71" customFormat="1" ht="12.75" customHeight="1" x14ac:dyDescent="0.2">
      <c r="A60" s="880" t="str">
        <f ca="1">IF(NOT(EXACT($R60,"")),IF(IF(ISERR(FIND(";"&amp;$H60+1&amp;";",VLOOKUP($R60,Talente!$A$82:$F$105,6))),FALSE,TRUE),"SE",""),"")</f>
        <v/>
      </c>
      <c r="B60" s="864" t="str">
        <f t="shared" ca="1" si="23"/>
        <v/>
      </c>
      <c r="C60" s="820"/>
      <c r="D60" s="852"/>
      <c r="E60" s="876" t="str">
        <f t="shared" ca="1" si="24"/>
        <v/>
      </c>
      <c r="F60" s="875"/>
      <c r="G60" s="818" t="str">
        <f t="shared" ca="1" si="25"/>
        <v/>
      </c>
      <c r="H60" s="870" t="str">
        <f ca="1">IF(EXACT($R60,""),"",SUM(VLOOKUP($R60,Talente!$A$82:$B$105,2,FALSE),VLOOKUP($R60,Talente!$A$82:$G$105,7,FALSE),VLOOKUP($R60,Talente!$A$82:$I$105,9,FALSE)))</f>
        <v/>
      </c>
      <c r="I60" s="880" t="str">
        <f ca="1">IF(NOT(EXACT($U60,"")),IF(IF(ISERR(FIND(";"&amp;$P60+1&amp;";",VLOOKUP($U60,Talente!$A$107:$I$157,6))),FALSE,TRUE),"SE",""),"")</f>
        <v/>
      </c>
      <c r="J60" s="832" t="str">
        <f t="shared" ca="1" si="15"/>
        <v/>
      </c>
      <c r="K60" s="853"/>
      <c r="L60" s="862" t="str">
        <f t="shared" ca="1" si="16"/>
        <v/>
      </c>
      <c r="M60" s="861"/>
      <c r="N60" s="818" t="str">
        <f t="shared" ca="1" si="13"/>
        <v/>
      </c>
      <c r="O60" s="883"/>
      <c r="P60" s="874" t="str">
        <f ca="1">IF(EXACT($U60,""),"",SUM(VLOOKUP($U60,Talente!$A$107:$B$157,2,FALSE),VLOOKUP($U60,Talente!$A$107:$G$157,7,FALSE),VLOOKUP($U60,Talente!$A$107:$I$157,9,FALSE)))</f>
        <v/>
      </c>
      <c r="Q60" s="94"/>
      <c r="R60" s="886" t="str">
        <f t="shared" ca="1" si="26"/>
        <v/>
      </c>
      <c r="S60" s="886">
        <f t="shared" ca="1" si="27"/>
        <v>0</v>
      </c>
      <c r="T60" s="886"/>
      <c r="U60" s="886" t="str">
        <f t="shared" ca="1" si="17"/>
        <v/>
      </c>
      <c r="V60" s="886">
        <f t="shared" ca="1" si="20"/>
        <v>0</v>
      </c>
      <c r="W60" s="278"/>
    </row>
    <row r="61" spans="1:23" s="71" customFormat="1" ht="12.75" customHeight="1" x14ac:dyDescent="0.2">
      <c r="A61" s="880" t="str">
        <f ca="1">IF(NOT(EXACT($R61,"")),IF(IF(ISERR(FIND(";"&amp;$H61+1&amp;";",VLOOKUP($R61,Talente!$A$82:$F$105,6))),FALSE,TRUE),"SE",""),"")</f>
        <v/>
      </c>
      <c r="B61" s="864" t="str">
        <f t="shared" ca="1" si="23"/>
        <v/>
      </c>
      <c r="C61" s="820"/>
      <c r="D61" s="852"/>
      <c r="E61" s="876" t="str">
        <f t="shared" ca="1" si="24"/>
        <v/>
      </c>
      <c r="F61" s="875"/>
      <c r="G61" s="818" t="str">
        <f t="shared" ca="1" si="25"/>
        <v/>
      </c>
      <c r="H61" s="870" t="str">
        <f ca="1">IF(EXACT($R61,""),"",SUM(VLOOKUP($R61,Talente!$A$82:$B$105,2,FALSE),VLOOKUP($R61,Talente!$A$82:$G$105,7,FALSE),VLOOKUP($R61,Talente!$A$82:$I$105,9,FALSE)))</f>
        <v/>
      </c>
      <c r="I61" s="880" t="str">
        <f ca="1">IF(NOT(EXACT($U61,"")),IF(IF(ISERR(FIND(";"&amp;$P61+1&amp;";",VLOOKUP($U61,Talente!$A$107:$I$157,6))),FALSE,TRUE),"SE",""),"")</f>
        <v/>
      </c>
      <c r="J61" s="832" t="str">
        <f t="shared" ca="1" si="15"/>
        <v/>
      </c>
      <c r="K61" s="853"/>
      <c r="L61" s="862" t="str">
        <f t="shared" ca="1" si="16"/>
        <v/>
      </c>
      <c r="M61" s="861"/>
      <c r="N61" s="818" t="str">
        <f t="shared" ca="1" si="13"/>
        <v/>
      </c>
      <c r="O61" s="883"/>
      <c r="P61" s="874" t="str">
        <f ca="1">IF(EXACT($U61,""),"",SUM(VLOOKUP($U61,Talente!$A$107:$B$157,2,FALSE),VLOOKUP($U61,Talente!$A$107:$G$157,7,FALSE),VLOOKUP($U61,Talente!$A$107:$I$157,9,FALSE)))</f>
        <v/>
      </c>
      <c r="Q61" s="94"/>
      <c r="R61" s="886" t="str">
        <f t="shared" ca="1" si="26"/>
        <v/>
      </c>
      <c r="S61" s="886">
        <f t="shared" ca="1" si="27"/>
        <v>0</v>
      </c>
      <c r="T61" s="886"/>
      <c r="U61" s="886" t="str">
        <f t="shared" ca="1" si="17"/>
        <v/>
      </c>
      <c r="V61" s="886">
        <f t="shared" ca="1" si="20"/>
        <v>0</v>
      </c>
      <c r="W61" s="278"/>
    </row>
    <row r="62" spans="1:23" s="71" customFormat="1" ht="12.75" customHeight="1" x14ac:dyDescent="0.2">
      <c r="A62" s="880" t="str">
        <f ca="1">IF(NOT(EXACT($R62,"")),IF(IF(ISERR(FIND(";"&amp;$H62+1&amp;";",VLOOKUP($R62,Talente!$A$82:$F$105,6))),FALSE,TRUE),"SE",""),"")</f>
        <v/>
      </c>
      <c r="B62" s="864" t="str">
        <f t="shared" ca="1" si="23"/>
        <v/>
      </c>
      <c r="C62" s="820"/>
      <c r="D62" s="852"/>
      <c r="E62" s="876" t="str">
        <f t="shared" ca="1" si="24"/>
        <v/>
      </c>
      <c r="F62" s="875"/>
      <c r="G62" s="818" t="str">
        <f t="shared" ca="1" si="25"/>
        <v/>
      </c>
      <c r="H62" s="870" t="str">
        <f ca="1">IF(EXACT($R62,""),"",SUM(VLOOKUP($R62,Talente!$A$82:$B$105,2,FALSE),VLOOKUP($R62,Talente!$A$82:$G$105,7,FALSE),VLOOKUP($R62,Talente!$A$82:$I$105,9,FALSE)))</f>
        <v/>
      </c>
      <c r="I62" s="880" t="str">
        <f ca="1">IF(NOT(EXACT($U62,"")),IF(IF(ISERR(FIND(";"&amp;$P62+1&amp;";",VLOOKUP($U62,Talente!$A$107:$I$157,6))),FALSE,TRUE),"SE",""),"")</f>
        <v/>
      </c>
      <c r="J62" s="832" t="str">
        <f t="shared" ca="1" si="15"/>
        <v/>
      </c>
      <c r="K62" s="853"/>
      <c r="L62" s="862" t="str">
        <f t="shared" ca="1" si="16"/>
        <v/>
      </c>
      <c r="M62" s="861"/>
      <c r="N62" s="818" t="str">
        <f t="shared" ca="1" si="13"/>
        <v/>
      </c>
      <c r="O62" s="883"/>
      <c r="P62" s="874" t="str">
        <f ca="1">IF(EXACT($U62,""),"",SUM(VLOOKUP($U62,Talente!$A$107:$B$157,2,FALSE),VLOOKUP($U62,Talente!$A$107:$G$157,7,FALSE),VLOOKUP($U62,Talente!$A$107:$I$157,9,FALSE)))</f>
        <v/>
      </c>
      <c r="Q62" s="94"/>
      <c r="R62" s="886" t="str">
        <f t="shared" ca="1" si="26"/>
        <v/>
      </c>
      <c r="S62" s="886">
        <f t="shared" ca="1" si="27"/>
        <v>0</v>
      </c>
      <c r="T62" s="886"/>
      <c r="U62" s="886" t="str">
        <f t="shared" ca="1" si="17"/>
        <v/>
      </c>
      <c r="V62" s="886">
        <f t="shared" ca="1" si="20"/>
        <v>0</v>
      </c>
      <c r="W62" s="278"/>
    </row>
    <row r="63" spans="1:23" s="71" customFormat="1" ht="12.75" customHeight="1" x14ac:dyDescent="0.2">
      <c r="A63" s="880" t="str">
        <f ca="1">IF(NOT(EXACT($R63,"")),IF(IF(ISERR(FIND(";"&amp;$H63+1&amp;";",VLOOKUP($R63,Talente!$A$82:$F$105,6))),FALSE,TRUE),"SE",""),"")</f>
        <v/>
      </c>
      <c r="B63" s="864" t="str">
        <f t="shared" ca="1" si="23"/>
        <v/>
      </c>
      <c r="C63" s="820"/>
      <c r="D63" s="852"/>
      <c r="E63" s="876" t="str">
        <f t="shared" ca="1" si="24"/>
        <v/>
      </c>
      <c r="F63" s="875"/>
      <c r="G63" s="818" t="str">
        <f t="shared" ca="1" si="25"/>
        <v/>
      </c>
      <c r="H63" s="870" t="str">
        <f ca="1">IF(EXACT($R63,""),"",SUM(VLOOKUP($R63,Talente!$A$82:$B$105,2,FALSE),VLOOKUP($R63,Talente!$A$82:$G$105,7,FALSE),VLOOKUP($R63,Talente!$A$82:$I$105,9,FALSE)))</f>
        <v/>
      </c>
      <c r="I63" s="880" t="str">
        <f ca="1">IF(NOT(EXACT($U63,"")),IF(IF(ISERR(FIND(";"&amp;$P63+1&amp;";",VLOOKUP($U63,Talente!$A$107:$I$157,6))),FALSE,TRUE),"SE",""),"")</f>
        <v/>
      </c>
      <c r="J63" s="832" t="str">
        <f t="shared" ca="1" si="15"/>
        <v/>
      </c>
      <c r="K63" s="853"/>
      <c r="L63" s="862" t="str">
        <f t="shared" ca="1" si="16"/>
        <v/>
      </c>
      <c r="M63" s="861"/>
      <c r="N63" s="818" t="str">
        <f t="shared" ca="1" si="13"/>
        <v/>
      </c>
      <c r="O63" s="883"/>
      <c r="P63" s="874" t="str">
        <f ca="1">IF(EXACT($U63,""),"",SUM(VLOOKUP($U63,Talente!$A$107:$B$157,2,FALSE),VLOOKUP($U63,Talente!$A$107:$G$157,7,FALSE),VLOOKUP($U63,Talente!$A$107:$I$157,9,FALSE)))</f>
        <v/>
      </c>
      <c r="Q63" s="94"/>
      <c r="R63" s="886" t="str">
        <f t="shared" ca="1" si="26"/>
        <v/>
      </c>
      <c r="S63" s="886">
        <f t="shared" ca="1" si="27"/>
        <v>0</v>
      </c>
      <c r="T63" s="886"/>
      <c r="U63" s="886" t="str">
        <f t="shared" ca="1" si="17"/>
        <v/>
      </c>
      <c r="V63" s="886">
        <f t="shared" ca="1" si="20"/>
        <v>0</v>
      </c>
      <c r="W63" s="278"/>
    </row>
    <row r="64" spans="1:23" s="71" customFormat="1" ht="12.75" customHeight="1" x14ac:dyDescent="0.2">
      <c r="A64" s="880" t="str">
        <f ca="1">IF(NOT(EXACT($R64,"")),IF(IF(ISERR(FIND(";"&amp;$H64+1&amp;";",VLOOKUP($R64,Talente!$A$82:$F$105,6))),FALSE,TRUE),"SE",""),"")</f>
        <v/>
      </c>
      <c r="B64" s="864" t="str">
        <f t="shared" ca="1" si="23"/>
        <v/>
      </c>
      <c r="C64" s="820"/>
      <c r="D64" s="852"/>
      <c r="E64" s="876" t="str">
        <f t="shared" ca="1" si="24"/>
        <v/>
      </c>
      <c r="F64" s="875"/>
      <c r="G64" s="818" t="str">
        <f t="shared" ca="1" si="25"/>
        <v/>
      </c>
      <c r="H64" s="870" t="str">
        <f ca="1">IF(EXACT($R64,""),"",SUM(VLOOKUP($R64,Talente!$A$82:$B$105,2,FALSE),VLOOKUP($R64,Talente!$A$82:$G$105,7,FALSE),VLOOKUP($R64,Talente!$A$82:$I$105,9,FALSE)))</f>
        <v/>
      </c>
      <c r="I64" s="880" t="str">
        <f ca="1">IF(NOT(EXACT($U64,"")),IF(IF(ISERR(FIND(";"&amp;$P64+1&amp;";",VLOOKUP($U64,Talente!$A$107:$I$157,6))),FALSE,TRUE),"SE",""),"")</f>
        <v/>
      </c>
      <c r="J64" s="832" t="str">
        <f t="shared" ca="1" si="15"/>
        <v/>
      </c>
      <c r="K64" s="853"/>
      <c r="L64" s="862" t="str">
        <f t="shared" ca="1" si="16"/>
        <v/>
      </c>
      <c r="M64" s="861"/>
      <c r="N64" s="818" t="str">
        <f t="shared" ca="1" si="13"/>
        <v/>
      </c>
      <c r="O64" s="883"/>
      <c r="P64" s="874" t="str">
        <f ca="1">IF(EXACT($U64,""),"",SUM(VLOOKUP($U64,Talente!$A$107:$B$157,2,FALSE),VLOOKUP($U64,Talente!$A$107:$G$157,7,FALSE),VLOOKUP($U64,Talente!$A$107:$I$157,9,FALSE)))</f>
        <v/>
      </c>
      <c r="Q64" s="94"/>
      <c r="R64" s="886" t="str">
        <f t="shared" ca="1" si="26"/>
        <v/>
      </c>
      <c r="S64" s="886">
        <f t="shared" ca="1" si="27"/>
        <v>0</v>
      </c>
      <c r="T64" s="886"/>
      <c r="U64" s="886" t="str">
        <f t="shared" ca="1" si="17"/>
        <v/>
      </c>
      <c r="V64" s="886">
        <f t="shared" ca="1" si="20"/>
        <v>0</v>
      </c>
      <c r="W64" s="278"/>
    </row>
    <row r="65" spans="1:26" s="71" customFormat="1" ht="12.75" customHeight="1" x14ac:dyDescent="0.2">
      <c r="A65" s="880" t="str">
        <f ca="1">IF(NOT(EXACT($R65,"")),IF(IF(ISERR(FIND(";"&amp;$H65+1&amp;";",VLOOKUP($R65,Talente!$A$82:$F$105,6))),FALSE,TRUE),"SE",""),"")</f>
        <v/>
      </c>
      <c r="B65" s="864" t="str">
        <f t="shared" ca="1" si="23"/>
        <v/>
      </c>
      <c r="C65" s="820"/>
      <c r="D65" s="852"/>
      <c r="E65" s="876" t="str">
        <f t="shared" ca="1" si="24"/>
        <v/>
      </c>
      <c r="F65" s="875"/>
      <c r="G65" s="818" t="str">
        <f t="shared" ca="1" si="25"/>
        <v/>
      </c>
      <c r="H65" s="870" t="str">
        <f ca="1">IF(EXACT($R65,""),"",SUM(VLOOKUP($R65,Talente!$A$82:$B$105,2,FALSE),VLOOKUP($R65,Talente!$A$82:$G$105,7,FALSE),VLOOKUP($R65,Talente!$A$82:$I$105,9,FALSE)))</f>
        <v/>
      </c>
      <c r="I65" s="880" t="str">
        <f ca="1">IF(NOT(EXACT($U65,"")),IF(IF(ISERR(FIND(";"&amp;$P65+1&amp;";",VLOOKUP($U65,Talente!$A$107:$I$157,6))),FALSE,TRUE),"SE",""),"")</f>
        <v/>
      </c>
      <c r="J65" s="832" t="str">
        <f t="shared" ca="1" si="15"/>
        <v/>
      </c>
      <c r="K65" s="853"/>
      <c r="L65" s="862" t="str">
        <f t="shared" ca="1" si="16"/>
        <v/>
      </c>
      <c r="M65" s="861"/>
      <c r="N65" s="818" t="str">
        <f t="shared" ca="1" si="13"/>
        <v/>
      </c>
      <c r="O65" s="883"/>
      <c r="P65" s="874" t="str">
        <f ca="1">IF(EXACT($U65,""),"",SUM(VLOOKUP($U65,Talente!$A$107:$B$157,2,FALSE),VLOOKUP($U65,Talente!$A$107:$G$157,7,FALSE),VLOOKUP($U65,Talente!$A$107:$I$157,9,FALSE)))</f>
        <v/>
      </c>
      <c r="Q65" s="94"/>
      <c r="R65" s="886" t="str">
        <f t="shared" ca="1" si="26"/>
        <v/>
      </c>
      <c r="S65" s="886">
        <f t="shared" ca="1" si="27"/>
        <v>0</v>
      </c>
      <c r="T65" s="886"/>
      <c r="U65" s="886" t="str">
        <f t="shared" ca="1" si="17"/>
        <v/>
      </c>
      <c r="V65" s="886">
        <f ca="1">V64+LEN(U65)</f>
        <v>0</v>
      </c>
      <c r="W65" s="278"/>
    </row>
    <row r="66" spans="1:26" s="71" customFormat="1" ht="12.75" customHeight="1" x14ac:dyDescent="0.2">
      <c r="A66" s="880" t="str">
        <f ca="1">IF(NOT(EXACT($R66,"")),IF(IF(ISERR(FIND(";"&amp;$H66+1&amp;";",VLOOKUP($R66,Talente!$A$82:$F$105,6))),FALSE,TRUE),"SE",""),"")</f>
        <v/>
      </c>
      <c r="B66" s="864" t="str">
        <f t="shared" ca="1" si="23"/>
        <v/>
      </c>
      <c r="C66" s="820"/>
      <c r="D66" s="852"/>
      <c r="E66" s="876" t="str">
        <f t="shared" ca="1" si="24"/>
        <v/>
      </c>
      <c r="F66" s="875"/>
      <c r="G66" s="818" t="str">
        <f t="shared" ca="1" si="25"/>
        <v/>
      </c>
      <c r="H66" s="870" t="str">
        <f ca="1">IF(EXACT($R66,""),"",SUM(VLOOKUP($R66,Talente!$A$82:$B$105,2,FALSE),VLOOKUP($R66,Talente!$A$82:$G$105,7,FALSE),VLOOKUP($R66,Talente!$A$82:$I$105,9,FALSE)))</f>
        <v/>
      </c>
      <c r="I66" s="880" t="str">
        <f ca="1">IF(NOT(EXACT($U66,"")),IF(IF(ISERR(FIND(";"&amp;$P66+1&amp;";",VLOOKUP($U66,Talente!$A$107:$I$157,6))),FALSE,TRUE),"SE",""),"")</f>
        <v/>
      </c>
      <c r="J66" s="832" t="str">
        <f t="shared" ca="1" si="15"/>
        <v/>
      </c>
      <c r="K66" s="853"/>
      <c r="L66" s="862" t="str">
        <f t="shared" ca="1" si="16"/>
        <v/>
      </c>
      <c r="M66" s="861"/>
      <c r="N66" s="818" t="str">
        <f t="shared" ca="1" si="13"/>
        <v/>
      </c>
      <c r="O66" s="883"/>
      <c r="P66" s="874" t="str">
        <f ca="1">IF(EXACT($U66,""),"",SUM(VLOOKUP($U66,Talente!$A$107:$B$157,2,FALSE),VLOOKUP($U66,Talente!$A$107:$G$157,7,FALSE),VLOOKUP($U66,Talente!$A$107:$I$157,9,FALSE)))</f>
        <v/>
      </c>
      <c r="Q66" s="94"/>
      <c r="R66" s="886" t="str">
        <f t="shared" ca="1" si="26"/>
        <v/>
      </c>
      <c r="S66" s="886">
        <f t="shared" ca="1" si="27"/>
        <v>0</v>
      </c>
      <c r="T66" s="886"/>
      <c r="U66" s="886" t="str">
        <f t="shared" ca="1" si="17"/>
        <v/>
      </c>
      <c r="V66" s="886">
        <f ca="1">V65+LEN(U66)</f>
        <v>0</v>
      </c>
      <c r="W66" s="278"/>
    </row>
    <row r="67" spans="1:26" s="71" customFormat="1" ht="12.75" customHeight="1" thickBot="1" x14ac:dyDescent="0.25">
      <c r="A67" s="880" t="str">
        <f ca="1">IF(NOT(EXACT($R67,"")),IF(IF(ISERR(FIND(";"&amp;$H67+1&amp;";",VLOOKUP($R67,Talente!$A$82:$F$105,6))),FALSE,TRUE),"SE",""),"")</f>
        <v/>
      </c>
      <c r="B67" s="864" t="str">
        <f t="shared" ca="1" si="23"/>
        <v/>
      </c>
      <c r="C67" s="820"/>
      <c r="D67" s="852"/>
      <c r="E67" s="876" t="str">
        <f t="shared" ca="1" si="24"/>
        <v/>
      </c>
      <c r="F67" s="875"/>
      <c r="G67" s="818" t="str">
        <f t="shared" ca="1" si="25"/>
        <v/>
      </c>
      <c r="H67" s="870" t="str">
        <f ca="1">IF(EXACT($R67,""),"",SUM(VLOOKUP($R67,Talente!$A$82:$B$105,2,FALSE),VLOOKUP($R67,Talente!$A$82:$G$105,7,FALSE),VLOOKUP($R67,Talente!$A$82:$I$105,9,FALSE)))</f>
        <v/>
      </c>
      <c r="I67" s="860" t="str">
        <f ca="1">IF(NOT(EXACT($U67,"")),IF(IF(ISERR(FIND(";"&amp;$P67+1&amp;";",VLOOKUP($U67,Talente!$A$107:$I$157,6))),FALSE,TRUE),"SE",""),"")</f>
        <v/>
      </c>
      <c r="J67" s="869" t="str">
        <f t="shared" ca="1" si="15"/>
        <v/>
      </c>
      <c r="K67" s="849"/>
      <c r="L67" s="848" t="str">
        <f t="shared" ca="1" si="16"/>
        <v/>
      </c>
      <c r="M67" s="847"/>
      <c r="N67" s="848" t="str">
        <f t="shared" ca="1" si="13"/>
        <v/>
      </c>
      <c r="O67" s="881"/>
      <c r="P67" s="854" t="str">
        <f ca="1">IF(EXACT($U67,""),"",SUM(VLOOKUP($U67,Talente!$A$107:$B$157,2,FALSE),VLOOKUP($U67,Talente!$A$107:$G$157,7,FALSE),VLOOKUP($U67,Talente!$A$107:$I$157,9,FALSE)))</f>
        <v/>
      </c>
      <c r="Q67" s="94"/>
      <c r="R67" s="886" t="str">
        <f t="shared" ca="1" si="26"/>
        <v/>
      </c>
      <c r="S67" s="886">
        <f t="shared" ca="1" si="27"/>
        <v>0</v>
      </c>
      <c r="T67" s="886"/>
      <c r="U67" s="886" t="str">
        <f t="shared" ca="1" si="17"/>
        <v/>
      </c>
      <c r="V67" s="886">
        <f ca="1">V66+LEN(U67)</f>
        <v>0</v>
      </c>
      <c r="W67" s="278"/>
    </row>
    <row r="68" spans="1:26" s="71" customFormat="1" ht="22.5" customHeight="1" thickTop="1" thickBot="1" x14ac:dyDescent="0.4">
      <c r="A68" s="2161" t="str">
        <f ca="1">CONCATENATE("MU: ",MU,"  KL: ",KL,"  IN: ",IN,"  CH: ",CH,"  FF: ",FF,"  GE: ",GE,"  KO: ",KO,"  KK: ",KK)</f>
        <v>MU: 8  KL: 8  IN: 8  CH: 8  FF: 8  GE: 8  KO: 8  KK: 8</v>
      </c>
      <c r="B68" s="2162"/>
      <c r="C68" s="2162"/>
      <c r="D68" s="2162"/>
      <c r="E68" s="2162"/>
      <c r="F68" s="2162"/>
      <c r="G68" s="2162"/>
      <c r="H68" s="2162"/>
      <c r="I68" s="2173"/>
      <c r="J68" s="2173"/>
      <c r="K68" s="2173"/>
      <c r="L68" s="2174"/>
      <c r="M68" s="2170">
        <f ca="1">IF(EXPERTE=1,EXPBE,BE)</f>
        <v>0</v>
      </c>
      <c r="N68" s="2171"/>
      <c r="O68" s="2171"/>
      <c r="P68" s="2172"/>
      <c r="Q68" s="94"/>
      <c r="R68" s="886"/>
      <c r="S68" s="886"/>
      <c r="T68" s="886"/>
      <c r="U68" s="886"/>
      <c r="V68" s="886"/>
      <c r="W68" s="900"/>
    </row>
    <row r="69" spans="1:26" s="71" customFormat="1" ht="33" customHeight="1" thickTop="1" thickBot="1" x14ac:dyDescent="0.25">
      <c r="A69" s="846"/>
      <c r="B69" s="440"/>
      <c r="C69" s="440"/>
      <c r="D69" s="440"/>
      <c r="E69" s="440"/>
      <c r="F69" s="845"/>
      <c r="G69" s="845"/>
      <c r="H69" s="863"/>
      <c r="I69" s="844"/>
      <c r="J69" s="844"/>
      <c r="K69" s="844"/>
      <c r="L69" s="844"/>
      <c r="M69" s="844"/>
      <c r="N69" s="844"/>
      <c r="O69" s="893"/>
      <c r="P69" s="125"/>
      <c r="Q69" s="94"/>
      <c r="R69" s="886"/>
      <c r="S69" s="886"/>
      <c r="T69" s="886"/>
      <c r="U69" s="886"/>
      <c r="V69" s="886"/>
      <c r="W69" s="278"/>
    </row>
    <row r="70" spans="1:26" s="71" customFormat="1" ht="12.75" customHeight="1" thickTop="1" x14ac:dyDescent="0.2">
      <c r="A70" s="2153" t="s">
        <v>4814</v>
      </c>
      <c r="B70" s="2154"/>
      <c r="C70" s="2154"/>
      <c r="D70" s="2154"/>
      <c r="E70" s="2154"/>
      <c r="F70" s="843"/>
      <c r="G70" s="843"/>
      <c r="H70" s="842"/>
      <c r="I70" s="2153" t="s">
        <v>1608</v>
      </c>
      <c r="J70" s="2154"/>
      <c r="K70" s="2154"/>
      <c r="L70" s="841"/>
      <c r="M70" s="282"/>
      <c r="N70" s="282"/>
      <c r="O70" s="282"/>
      <c r="P70" s="891"/>
      <c r="Q70" s="94"/>
      <c r="R70" s="886"/>
      <c r="S70" s="886"/>
      <c r="T70" s="886"/>
      <c r="U70" s="886"/>
      <c r="V70" s="886"/>
      <c r="W70" s="1610" t="s">
        <v>9310</v>
      </c>
      <c r="Z70" s="886"/>
    </row>
    <row r="71" spans="1:26" s="71" customFormat="1" ht="12.75" customHeight="1" x14ac:dyDescent="0.2">
      <c r="A71" s="2155"/>
      <c r="B71" s="2156"/>
      <c r="C71" s="2156"/>
      <c r="D71" s="2156"/>
      <c r="E71" s="2156"/>
      <c r="F71" s="2157" t="s">
        <v>1950</v>
      </c>
      <c r="G71" s="2158"/>
      <c r="H71" s="885" t="s">
        <v>718</v>
      </c>
      <c r="I71" s="2155"/>
      <c r="J71" s="2156"/>
      <c r="K71" s="2156"/>
      <c r="L71" s="840" t="s">
        <v>715</v>
      </c>
      <c r="M71" s="839" t="s">
        <v>716</v>
      </c>
      <c r="N71" s="838"/>
      <c r="O71" s="837" t="s">
        <v>717</v>
      </c>
      <c r="P71" s="885" t="s">
        <v>718</v>
      </c>
      <c r="Q71" s="94"/>
      <c r="R71" s="886"/>
      <c r="S71" s="886"/>
      <c r="T71" s="886"/>
      <c r="U71" s="886"/>
      <c r="V71" s="886"/>
      <c r="W71" s="886" t="str">
        <f ca="1">CONCATENATE(W72,W73,W74,W75,W76,W77,W78,W79,W80,W81,W82,W83,W84,W85,W86,W87,W88,W89,W90,W91,W92,W93,W94,W95,W96,W97,W98,W99,W100,W101,W102,W103,W104,W105,W106,W107)</f>
        <v/>
      </c>
      <c r="Z71" s="886"/>
    </row>
    <row r="72" spans="1:26" s="71" customFormat="1" ht="12.75" customHeight="1" x14ac:dyDescent="0.2">
      <c r="A72" s="880" t="str">
        <f ca="1">IF(NOT(EXACT($B72,"")),IF(IF(ISERR(FIND(";"&amp;$H72+1&amp;";",VLOOKUP($B72,Talente!$A$177:$F$245,6))),FALSE,TRUE),"SE",""),"")</f>
        <v/>
      </c>
      <c r="B72" s="2143" t="str">
        <f ca="1">R72&amp;IF(OR(R72="",ISERROR(FIND(R72,Talente!$CK$223,1))),
IF(OR(R72="",ISERROR(FIND(R72,Talente!$CL$223,1))),""," [Zweitsprache]")," [Muttersprache]")</f>
        <v/>
      </c>
      <c r="C72" s="2144"/>
      <c r="D72" s="2144"/>
      <c r="E72" s="2145"/>
      <c r="F72" s="2134" t="str">
        <f t="shared" ref="F72:F107" ca="1" si="28">IF(EXACT($R72,""),"",IF(EXACT(LEFT($R72,3),"L/S"),VLOOKUP(REPLACE($R72,1,5,""),SCHRIFTENKOMP,3),VLOOKUP($R72,SPRACHENKOMP,3)))</f>
        <v/>
      </c>
      <c r="G72" s="2135"/>
      <c r="H72" s="831" t="str">
        <f ca="1">IF(EXACT($R72,""),"",IF(EXACT(VLOOKUP($R72,Talente!$A$177:$J$245,2,FALSE),""),"",SUM(VLOOKUP($R72,Talente!$A$177:$B$245,2,FALSE),VLOOKUP($R72,Talente!$A$177:$J$245,8,FALSE),VLOOKUP($R72,Talente!$A$177:$J$245,10,FALSE))))</f>
        <v/>
      </c>
      <c r="I72" s="880" t="str">
        <f ca="1">IF(NOT(EXACT($J72,"")),IF(IF(ISERR(FIND(";"&amp;$P72+1&amp;";",VLOOKUP($J72,Talente!$A$14:$F$40,6))),FALSE,TRUE),"SE",""),"")</f>
        <v/>
      </c>
      <c r="J72" s="836" t="str">
        <f t="shared" ref="J72:J97" si="29">IF(U72="","",VLOOKUP(U72,TL_ALLE,14,FALSE))</f>
        <v>Dolche</v>
      </c>
      <c r="K72" s="834" t="str">
        <f ca="1">IF(NOT(EXACT($U72,"")),INDEX(TL_KPF_STW,MATCH($U72,Talente!$A$14:$A$40)),"")</f>
        <v>D</v>
      </c>
      <c r="L72" s="834" t="s">
        <v>1951</v>
      </c>
      <c r="M72" s="830">
        <f ca="1">IF(EXACT($U72,""),"",VLOOKUP($U72,Talente!$A$14:$Q$40,16,FALSE)+IF(OR(AND($U72="Raufen",OR(AKTIV_WLOSHAMMER="X",AKTIV_WLOSHRURUZAT="X",AKTIV_WLOSMERC="X",AND(AKTIV_WLOSGLADIATOR="X",WLOS_GLADIATOR_KS="Raufen"))),AND($U72="Ringen",OR(AKTIV_WLOSBORN="X",AKTIV_WLOSUNAU="X",AND(AKTIV_WLOSGLADIATOR="X",WLOS_GLADIATOR_KS="Ringen")))),1,0)-(WUNDEN-1)*2)</f>
        <v>0</v>
      </c>
      <c r="N72" s="833" t="str">
        <f t="shared" ref="N72:N77" si="30">IF(J72="","","●")</f>
        <v>●</v>
      </c>
      <c r="O72" s="829" t="str">
        <f>IF(EXACT($U72,""),"",IF(VLOOKUP($U72,Talente!$A$14:$Q$40,17,FALSE)="","",VLOOKUP($U72,Talente!$A$14:$Q$40,17,FALSE)+IF(OR(AND($U72="Raufen",OR(AKTIV_WLOSHAMMER="X",AKTIV_WLOSHRURUZAT="X",AKTIV_WLOSMERC="X",AND(AKTIV_WLOSGLADIATOR="X",WLOS_GLADIATOR_KS="Raufen"))),AND($U72="Ringen",OR(AKTIV_WLOSBORN="X",AKTIV_WLOSUNAU="X",AND(AKTIV_WLOSGLADIATOR="X",WLOS_GLADIATOR_KS="Ringen")))),1,0)+(WUNDEN-1)*2))</f>
        <v/>
      </c>
      <c r="P72" s="874">
        <f ca="1">IF(EXACT($U72,""),"",SUM(VLOOKUP($U72,Talente!$A$14:$B$40,2,FALSE),VLOOKUP($U72,Talente!$A$14:$G$40,7,FALSE),VLOOKUP($U72,Talente!$A$14:$J$40,9,FALSE)))</f>
        <v>0</v>
      </c>
      <c r="Q72" s="94"/>
      <c r="R72" s="886" t="str">
        <f ca="1">IF(NOT(EXACT(BTSPRALLE,"")),HLOOKUP(Talente!$A$177,BTABFRAGESPR,MATCH(LEFT(BTSPRALLE,52),BTABFRAGESPR,1),FALSE),"")</f>
        <v/>
      </c>
      <c r="S72" s="886">
        <f ca="1">LEN(R72)</f>
        <v>0</v>
      </c>
      <c r="T72" s="886"/>
      <c r="U72" s="886" t="str">
        <f>INDEX(TL_KPF,8)</f>
        <v>Dolche</v>
      </c>
      <c r="V72" s="886"/>
      <c r="W72" s="886" t="str">
        <f ca="1">IF(B72="","",B72&amp;" "&amp;H72&amp;"/"&amp;F72&amp;"; ")</f>
        <v/>
      </c>
      <c r="Z72" s="886"/>
    </row>
    <row r="73" spans="1:26" s="71" customFormat="1" ht="12.75" customHeight="1" x14ac:dyDescent="0.2">
      <c r="A73" s="880" t="str">
        <f ca="1">IF(NOT(EXACT($B73,"")),IF(IF(ISERR(FIND(";"&amp;$H73+1&amp;";",VLOOKUP($B73,Talente!$A$177:$F$245,6))),FALSE,TRUE),"SE",""),"")</f>
        <v/>
      </c>
      <c r="B73" s="2143" t="str">
        <f ca="1">R73&amp;IF(OR(R73="",ISERROR(FIND(R73,Talente!$CK$223,1))),
IF(OR(R73="",ISERROR(FIND(R73,Talente!$CL$223,1))),""," [Zweitsprache]")," [Muttersprache]")</f>
        <v/>
      </c>
      <c r="C73" s="2144"/>
      <c r="D73" s="2144"/>
      <c r="E73" s="2145"/>
      <c r="F73" s="2134" t="str">
        <f t="shared" ca="1" si="28"/>
        <v/>
      </c>
      <c r="G73" s="2135"/>
      <c r="H73" s="831" t="str">
        <f ca="1">IF(EXACT($R73,""),"",IF(EXACT(VLOOKUP($R73,Talente!$A$177:$J$245,2,FALSE),""),"",SUM(VLOOKUP($R73,Talente!$A$177:$B$245,2,FALSE),VLOOKUP($R73,Talente!$A$177:$J$245,8,FALSE),VLOOKUP($R73,Talente!$A$177:$J$245,10,FALSE))))</f>
        <v/>
      </c>
      <c r="I73" s="880" t="str">
        <f ca="1">IF(NOT(EXACT($J73,"")),IF(IF(ISERR(FIND(";"&amp;$P73+1&amp;";",VLOOKUP($J73,Talente!$A$14:$F$40,6))),FALSE,TRUE),"SE",""),"")</f>
        <v/>
      </c>
      <c r="J73" s="836" t="str">
        <f t="shared" si="29"/>
        <v>Hiebwaffen</v>
      </c>
      <c r="K73" s="834" t="str">
        <f ca="1">IF(NOT(EXACT($U73,"")),INDEX(TL_KPF_STW,MATCH($U73,Talente!$A$14:$A$40)),"")</f>
        <v>D</v>
      </c>
      <c r="L73" s="834" t="s">
        <v>1952</v>
      </c>
      <c r="M73" s="830">
        <f ca="1">IF(EXACT($U73,""),"",VLOOKUP($U73,Talente!$A$14:$Q$40,16,FALSE)+IF(OR(AND($U73="Raufen",OR(AKTIV_WLOSHAMMER="X",AKTIV_WLOSHRURUZAT="X",AKTIV_WLOSMERC="X",AND(AKTIV_WLOSGLADIATOR="X",WLOS_GLADIATOR_KS="Raufen"))),AND($U73="Ringen",OR(AKTIV_WLOSBORN="X",AKTIV_WLOSUNAU="X",AND(AKTIV_WLOSGLADIATOR="X",WLOS_GLADIATOR_KS="Ringen")))),1,0)-(WUNDEN-1)*2)</f>
        <v>0</v>
      </c>
      <c r="N73" s="833" t="str">
        <f t="shared" si="30"/>
        <v>●</v>
      </c>
      <c r="O73" s="829" t="str">
        <f>IF(EXACT($U73,""),"",IF(VLOOKUP($U73,Talente!$A$14:$Q$40,17,FALSE)="","",VLOOKUP($U73,Talente!$A$14:$Q$40,17,FALSE)+IF(OR(AND($U73="Raufen",OR(AKTIV_WLOSHAMMER="X",AKTIV_WLOSHRURUZAT="X",AKTIV_WLOSMERC="X",AND(AKTIV_WLOSGLADIATOR="X",WLOS_GLADIATOR_KS="Raufen"))),AND($U73="Ringen",OR(AKTIV_WLOSBORN="X",AKTIV_WLOSUNAU="X",AND(AKTIV_WLOSGLADIATOR="X",WLOS_GLADIATOR_KS="Ringen")))),1,0)+(WUNDEN-1)*2))</f>
        <v/>
      </c>
      <c r="P73" s="874">
        <f ca="1">IF(EXACT($U73,""),"",SUM(VLOOKUP($U73,Talente!$A$14:$B$40,2,FALSE),VLOOKUP($U73,Talente!$A$14:$G$40,7,FALSE),VLOOKUP($U73,Talente!$A$14:$J$40,9,FALSE)))</f>
        <v>0</v>
      </c>
      <c r="Q73" s="94"/>
      <c r="R73" s="886" t="str">
        <f ca="1">IF(EXACT($R72,""),"",IF(NOT(EXACT(MID(BTSPRALLE,SUM(S72,1),52),"")),HLOOKUP(Talente!$BS$177,BTABFRAGESPR,MATCH(MID(BTSPRALLE,S72+1,52),BTABFRAGESPR,1),FALSE),""))</f>
        <v/>
      </c>
      <c r="S73" s="886">
        <f ca="1">S72+LEN(R73)</f>
        <v>0</v>
      </c>
      <c r="T73" s="886"/>
      <c r="U73" s="886" t="str">
        <f>INDEX(TL_KPF,10)</f>
        <v>Hiebwaffen</v>
      </c>
      <c r="V73" s="886"/>
      <c r="W73" s="886" t="str">
        <f t="shared" ref="W73:W107" ca="1" si="31">IF(B73="","",B73&amp;" "&amp;H73&amp;"/"&amp;F73&amp;"; ")</f>
        <v/>
      </c>
      <c r="Z73" s="886"/>
    </row>
    <row r="74" spans="1:26" s="71" customFormat="1" ht="12.75" customHeight="1" x14ac:dyDescent="0.2">
      <c r="A74" s="880" t="str">
        <f ca="1">IF(NOT(EXACT($B74,"")),IF(IF(ISERR(FIND(";"&amp;$H74+1&amp;";",VLOOKUP($B74,Talente!$A$177:$F$245,6))),FALSE,TRUE),"SE",""),"")</f>
        <v/>
      </c>
      <c r="B74" s="2143" t="str">
        <f ca="1">R74&amp;IF(OR(R74="",ISERROR(FIND(R74,Talente!$CK$223,1))),
IF(OR(R74="",ISERROR(FIND(R74,Talente!$CL$223,1))),""," [Zweitsprache]")," [Muttersprache]")</f>
        <v/>
      </c>
      <c r="C74" s="2144"/>
      <c r="D74" s="2144"/>
      <c r="E74" s="2145"/>
      <c r="F74" s="2134" t="str">
        <f t="shared" ca="1" si="28"/>
        <v/>
      </c>
      <c r="G74" s="2135"/>
      <c r="H74" s="831" t="str">
        <f ca="1">IF(EXACT($R74,""),"",IF(EXACT(VLOOKUP($R74,Talente!$A$177:$J$245,2,FALSE),""),"",SUM(VLOOKUP($R74,Talente!$A$177:$B$245,2,FALSE),VLOOKUP($R74,Talente!$A$177:$J$245,8,FALSE),VLOOKUP($R74,Talente!$A$177:$J$245,10,FALSE))))</f>
        <v/>
      </c>
      <c r="I74" s="880" t="str">
        <f ca="1">IF(NOT(EXACT($J74,"")),IF(IF(ISERR(FIND(";"&amp;$P74+1&amp;";",VLOOKUP($J74,Talente!$A$14:$F$40,6))),FALSE,TRUE),"SE",""),"")</f>
        <v/>
      </c>
      <c r="J74" s="836" t="str">
        <f t="shared" si="29"/>
        <v>Raufen</v>
      </c>
      <c r="K74" s="834" t="str">
        <f ca="1">IF(NOT(EXACT($U74,"")),INDEX(TL_KPF_STW,MATCH($U74,Talente!$A$14:$A$40)),"")</f>
        <v>C</v>
      </c>
      <c r="L74" s="834" t="s">
        <v>715</v>
      </c>
      <c r="M74" s="830">
        <f ca="1">IF(EXACT($U74,""),"",VLOOKUP($U74,Talente!$A$14:$Q$40,16,FALSE)+IF(OR(AND($U74="Raufen",OR(AKTIV_WLOSHAMMER="X",AKTIV_WLOSHRURUZAT="X",AKTIV_WLOSMERC="X",AND(AKTIV_WLOSGLADIATOR="X",WLOS_GLADIATOR_KS="Raufen"))),AND($U74="Ringen",OR(AKTIV_WLOSBORN="X",AKTIV_WLOSUNAU="X",AND(AKTIV_WLOSGLADIATOR="X",WLOS_GLADIATOR_KS="Ringen")))),1,0)-(WUNDEN-1)*2)</f>
        <v>0</v>
      </c>
      <c r="N74" s="833" t="str">
        <f t="shared" si="30"/>
        <v>●</v>
      </c>
      <c r="O74" s="829" t="str">
        <f>IF(EXACT($U74,""),"",IF(VLOOKUP($U74,Talente!$A$14:$Q$40,17,FALSE)="","",VLOOKUP($U74,Talente!$A$14:$Q$40,17,FALSE)+IF(OR(AND($U74="Raufen",OR(AKTIV_WLOSHAMMER="X",AKTIV_WLOSHRURUZAT="X",AKTIV_WLOSMERC="X",AND(AKTIV_WLOSGLADIATOR="X",WLOS_GLADIATOR_KS="Raufen"))),AND($U74="Ringen",OR(AKTIV_WLOSBORN="X",AKTIV_WLOSUNAU="X",AND(AKTIV_WLOSGLADIATOR="X",WLOS_GLADIATOR_KS="Ringen")))),1,0)+(WUNDEN-1)*2))</f>
        <v/>
      </c>
      <c r="P74" s="874">
        <f ca="1">IF(EXACT($U74,""),"",SUM(VLOOKUP($U74,Talente!$A$14:$B$40,2,FALSE),VLOOKUP($U74,Talente!$A$14:$G$40,7,FALSE),VLOOKUP($U74,Talente!$A$14:$J$40,9,FALSE)))</f>
        <v>0</v>
      </c>
      <c r="Q74" s="94"/>
      <c r="R74" s="886" t="str">
        <f ca="1">IF(EXACT($R73,""),"",IF(NOT(EXACT(MID(BTSPRALLE,SUM(S73,1),52),"")),HLOOKUP(Talente!$BS$177,BTABFRAGESPR,MATCH(MID(BTSPRALLE,S73+1,52),BTABFRAGESPR,1),FALSE),""))</f>
        <v/>
      </c>
      <c r="S74" s="886">
        <f ca="1">S73+LEN(R74)</f>
        <v>0</v>
      </c>
      <c r="T74" s="886"/>
      <c r="U74" s="886" t="str">
        <f>INDEX(TL_KPF,16)</f>
        <v>Raufen</v>
      </c>
      <c r="V74" s="886"/>
      <c r="W74" s="886" t="str">
        <f t="shared" ca="1" si="31"/>
        <v/>
      </c>
      <c r="Z74" s="886"/>
    </row>
    <row r="75" spans="1:26" s="71" customFormat="1" ht="12.75" customHeight="1" x14ac:dyDescent="0.2">
      <c r="A75" s="880" t="str">
        <f ca="1">IF(NOT(EXACT($B75,"")),IF(IF(ISERR(FIND(";"&amp;$H75+1&amp;";",VLOOKUP($B75,Talente!$A$177:$F$245,6))),FALSE,TRUE),"SE",""),"")</f>
        <v/>
      </c>
      <c r="B75" s="2143" t="str">
        <f ca="1">R75&amp;IF(OR(R75="",ISERROR(FIND(R75,Talente!$CK$223,1))),
IF(OR(R75="",ISERROR(FIND(R75,Talente!$CL$223,1))),""," [Zweitsprache]")," [Muttersprache]")</f>
        <v/>
      </c>
      <c r="C75" s="2144"/>
      <c r="D75" s="2144"/>
      <c r="E75" s="2145"/>
      <c r="F75" s="2134" t="str">
        <f t="shared" ca="1" si="28"/>
        <v/>
      </c>
      <c r="G75" s="2135"/>
      <c r="H75" s="831" t="str">
        <f ca="1">IF(EXACT($R75,""),"",IF(EXACT(VLOOKUP($R75,Talente!$A$177:$J$245,2,FALSE),""),"",SUM(VLOOKUP($R75,Talente!$A$177:$B$245,2,FALSE),VLOOKUP($R75,Talente!$A$177:$J$245,8,FALSE),VLOOKUP($R75,Talente!$A$177:$J$245,10,FALSE))))</f>
        <v/>
      </c>
      <c r="I75" s="880" t="str">
        <f ca="1">IF(NOT(EXACT($J75,"")),IF(IF(ISERR(FIND(";"&amp;$P75+1&amp;";",VLOOKUP($J75,Talente!$A$14:$F$40,6))),FALSE,TRUE),"SE",""),"")</f>
        <v/>
      </c>
      <c r="J75" s="836" t="str">
        <f t="shared" si="29"/>
        <v>Ringen</v>
      </c>
      <c r="K75" s="834" t="str">
        <f ca="1">IF(NOT(EXACT($U75,"")),INDEX(TL_KPF_STW,MATCH($U75,Talente!$A$14:$A$40)),"")</f>
        <v>D</v>
      </c>
      <c r="L75" s="834" t="s">
        <v>1953</v>
      </c>
      <c r="M75" s="830">
        <f ca="1">IF(EXACT($U75,""),"",VLOOKUP($U75,Talente!$A$14:$Q$40,16,FALSE)+IF(OR(AND($U75="Raufen",OR(AKTIV_WLOSHAMMER="X",AKTIV_WLOSHRURUZAT="X",AKTIV_WLOSMERC="X",AND(AKTIV_WLOSGLADIATOR="X",WLOS_GLADIATOR_KS="Raufen"))),AND($U75="Ringen",OR(AKTIV_WLOSBORN="X",AKTIV_WLOSUNAU="X",AND(AKTIV_WLOSGLADIATOR="X",WLOS_GLADIATOR_KS="Ringen")))),1,0)-(WUNDEN-1)*2)</f>
        <v>0</v>
      </c>
      <c r="N75" s="833" t="str">
        <f t="shared" si="30"/>
        <v>●</v>
      </c>
      <c r="O75" s="829" t="str">
        <f>IF(EXACT($U75,""),"",IF(VLOOKUP($U75,Talente!$A$14:$Q$40,17,FALSE)="","",VLOOKUP($U75,Talente!$A$14:$Q$40,17,FALSE)+IF(OR(AND($U75="Raufen",OR(AKTIV_WLOSHAMMER="X",AKTIV_WLOSHRURUZAT="X",AKTIV_WLOSMERC="X",AND(AKTIV_WLOSGLADIATOR="X",WLOS_GLADIATOR_KS="Raufen"))),AND($U75="Ringen",OR(AKTIV_WLOSBORN="X",AKTIV_WLOSUNAU="X",AND(AKTIV_WLOSGLADIATOR="X",WLOS_GLADIATOR_KS="Ringen")))),1,0)+(WUNDEN-1)*2))</f>
        <v/>
      </c>
      <c r="P75" s="874">
        <f ca="1">IF(EXACT($U75,""),"",SUM(VLOOKUP($U75,Talente!$A$14:$B$40,2,FALSE),VLOOKUP($U75,Talente!$A$14:$G$40,7,FALSE),VLOOKUP($U75,Talente!$A$14:$J$40,9,FALSE)))</f>
        <v>0</v>
      </c>
      <c r="Q75" s="94"/>
      <c r="R75" s="886" t="str">
        <f ca="1">IF(EXACT($R74,""),"",IF(NOT(EXACT(MID(BTSPRALLE,SUM(S74,1),52),"")),HLOOKUP(Talente!$BS$177,BTABFRAGESPR,MATCH(MID(BTSPRALLE,S74+1,52),BTABFRAGESPR,1),FALSE),""))</f>
        <v/>
      </c>
      <c r="S75" s="886">
        <f t="shared" ref="S75:S107" ca="1" si="32">S74+LEN(R75)</f>
        <v>0</v>
      </c>
      <c r="T75" s="886"/>
      <c r="U75" s="886" t="str">
        <f>INDEX(TL_KPF,17)</f>
        <v>Ringen</v>
      </c>
      <c r="V75" s="886"/>
      <c r="W75" s="886" t="str">
        <f t="shared" ca="1" si="31"/>
        <v/>
      </c>
      <c r="Z75" s="886"/>
    </row>
    <row r="76" spans="1:26" s="71" customFormat="1" x14ac:dyDescent="0.2">
      <c r="A76" s="880" t="str">
        <f ca="1">IF(NOT(EXACT($B76,"")),IF(IF(ISERR(FIND(";"&amp;$H76+1&amp;";",VLOOKUP($B76,Talente!$A$177:$F$245,6))),FALSE,TRUE),"SE",""),"")</f>
        <v/>
      </c>
      <c r="B76" s="2143" t="str">
        <f ca="1">R76&amp;IF(OR(R76="",ISERROR(FIND(R76,Talente!$CK$223,1))),
IF(OR(R76="",ISERROR(FIND(R76,Talente!$CL$223,1))),""," [Zweitsprache]")," [Muttersprache]")</f>
        <v/>
      </c>
      <c r="C76" s="2144"/>
      <c r="D76" s="2144"/>
      <c r="E76" s="2145"/>
      <c r="F76" s="2134" t="str">
        <f t="shared" ca="1" si="28"/>
        <v/>
      </c>
      <c r="G76" s="2135"/>
      <c r="H76" s="831" t="str">
        <f ca="1">IF(EXACT($R76,""),"",IF(EXACT(VLOOKUP($R76,Talente!$A$177:$J$245,2,FALSE),""),"",SUM(VLOOKUP($R76,Talente!$A$177:$B$245,2,FALSE),VLOOKUP($R76,Talente!$A$177:$J$245,8,FALSE),VLOOKUP($R76,Talente!$A$177:$J$245,10,FALSE))))</f>
        <v/>
      </c>
      <c r="I76" s="880" t="str">
        <f ca="1">IF(NOT(EXACT($J76,"")),IF(IF(ISERR(FIND(";"&amp;$P76+1&amp;";",VLOOKUP($J76,Talente!$A$14:$F$40,6))),FALSE,TRUE),"SE",""),"")</f>
        <v/>
      </c>
      <c r="J76" s="836" t="str">
        <f t="shared" si="29"/>
        <v>Säbel</v>
      </c>
      <c r="K76" s="834" t="str">
        <f ca="1">IF(NOT(EXACT($U76,"")),INDEX(TL_KPF_STW,MATCH($U76,Talente!$A$14:$A$40)),"")</f>
        <v>D</v>
      </c>
      <c r="L76" s="834" t="s">
        <v>1954</v>
      </c>
      <c r="M76" s="830">
        <f ca="1">IF(EXACT($U76,""),"",VLOOKUP($U76,Talente!$A$14:$Q$40,16,FALSE)+IF(OR(AND($U76="Raufen",OR(AKTIV_WLOSHAMMER="X",AKTIV_WLOSHRURUZAT="X",AKTIV_WLOSMERC="X",AND(AKTIV_WLOSGLADIATOR="X",WLOS_GLADIATOR_KS="Raufen"))),AND($U76="Ringen",OR(AKTIV_WLOSBORN="X",AKTIV_WLOSUNAU="X",AND(AKTIV_WLOSGLADIATOR="X",WLOS_GLADIATOR_KS="Ringen")))),1,0)-(WUNDEN-1)*2)</f>
        <v>0</v>
      </c>
      <c r="N76" s="833" t="str">
        <f t="shared" si="30"/>
        <v>●</v>
      </c>
      <c r="O76" s="829" t="str">
        <f>IF(EXACT($U76,""),"",IF(VLOOKUP($U76,Talente!$A$14:$Q$40,17,FALSE)="","",VLOOKUP($U76,Talente!$A$14:$Q$40,17,FALSE)+IF(OR(AND($U76="Raufen",OR(AKTIV_WLOSHAMMER="X",AKTIV_WLOSHRURUZAT="X",AKTIV_WLOSMERC="X",AND(AKTIV_WLOSGLADIATOR="X",WLOS_GLADIATOR_KS="Raufen"))),AND($U76="Ringen",OR(AKTIV_WLOSBORN="X",AKTIV_WLOSUNAU="X",AND(AKTIV_WLOSGLADIATOR="X",WLOS_GLADIATOR_KS="Ringen")))),1,0)+(WUNDEN-1)*2))</f>
        <v/>
      </c>
      <c r="P76" s="874">
        <f ca="1">IF(EXACT($U76,""),"",SUM(VLOOKUP($U76,Talente!$A$14:$B$40,2,FALSE),VLOOKUP($U76,Talente!$A$14:$G$40,7,FALSE),VLOOKUP($U76,Talente!$A$14:$J$40,9,FALSE)))</f>
        <v>0</v>
      </c>
      <c r="Q76" s="94"/>
      <c r="R76" s="886" t="str">
        <f ca="1">IF(EXACT($R75,""),"",IF(NOT(EXACT(MID(BTSPRALLE,SUM(S75,1),52),"")),HLOOKUP(Talente!$BS$177,BTABFRAGESPR,MATCH(MID(BTSPRALLE,S75+1,52),BTABFRAGESPR,1),FALSE),""))</f>
        <v/>
      </c>
      <c r="S76" s="886">
        <f t="shared" ca="1" si="32"/>
        <v>0</v>
      </c>
      <c r="T76" s="886"/>
      <c r="U76" s="886" t="str">
        <f>INDEX(TL_KPF,18)</f>
        <v>Säbel</v>
      </c>
      <c r="V76" s="886"/>
      <c r="W76" s="886" t="str">
        <f t="shared" ca="1" si="31"/>
        <v/>
      </c>
    </row>
    <row r="77" spans="1:26" s="71" customFormat="1" x14ac:dyDescent="0.2">
      <c r="A77" s="880" t="str">
        <f ca="1">IF(NOT(EXACT($B77,"")),IF(IF(ISERR(FIND(";"&amp;$H77+1&amp;";",VLOOKUP($B77,Talente!$A$177:$F$245,6))),FALSE,TRUE),"SE",""),"")</f>
        <v/>
      </c>
      <c r="B77" s="2143" t="str">
        <f ca="1">R77&amp;IF(OR(R77="",ISERROR(FIND(R77,Talente!$CK$223,1))),
IF(OR(R77="",ISERROR(FIND(R77,Talente!$CL$223,1))),""," [Zweitsprache]")," [Muttersprache]")</f>
        <v/>
      </c>
      <c r="C77" s="2144"/>
      <c r="D77" s="2144"/>
      <c r="E77" s="2145"/>
      <c r="F77" s="2134" t="str">
        <f t="shared" ca="1" si="28"/>
        <v/>
      </c>
      <c r="G77" s="2135"/>
      <c r="H77" s="831" t="str">
        <f ca="1">IF(EXACT($R77,""),"",IF(EXACT(VLOOKUP($R77,Talente!$A$177:$J$245,2,FALSE),""),"",SUM(VLOOKUP($R77,Talente!$A$177:$B$245,2,FALSE),VLOOKUP($R77,Talente!$A$177:$J$245,8,FALSE),VLOOKUP($R77,Talente!$A$177:$J$245,10,FALSE))))</f>
        <v/>
      </c>
      <c r="I77" s="880" t="str">
        <f ca="1">IF(NOT(EXACT($J77,"")),IF(IF(ISERR(FIND(";"&amp;$P77+1&amp;";",VLOOKUP($J77,Talente!$A$14:$F$40,6))),FALSE,TRUE),"SE",""),"")</f>
        <v/>
      </c>
      <c r="J77" s="836" t="str">
        <f t="shared" si="29"/>
        <v>Wurfmesser</v>
      </c>
      <c r="K77" s="834" t="str">
        <f ca="1">IF(NOT(EXACT($U77,"")),INDEX(TL_KPF_STW,MATCH($U77,Talente!$A$14:$A$40)),"")</f>
        <v>C</v>
      </c>
      <c r="L77" s="834" t="str">
        <f>IF(NOT(EXACT($U77,"")),IF(VLOOKUP($U77,TL_KPF_WERTE,7,FALSE)=10,"",CONCATENATE("BE",VLOOKUP($U77,TL_KPF_WERTE,7,FALSE))),"")</f>
        <v>BE-3</v>
      </c>
      <c r="M77" s="830">
        <f ca="1">IF(EXACT($U77,""),"",VLOOKUP($U77,Talente!$A$14:$Q$40,16,FALSE)+IF(OR(AND($U77="Raufen",OR(AKTIV_WLOSHAMMER="X",AKTIV_WLOSHRURUZAT="X",AKTIV_WLOSMERC="X",AND(AKTIV_WLOSGLADIATOR="X",WLOS_GLADIATOR_KS="Raufen"))),AND($U77="Ringen",OR(AKTIV_WLOSBORN="X",AKTIV_WLOSUNAU="X",AND(AKTIV_WLOSGLADIATOR="X",WLOS_GLADIATOR_KS="Ringen")))),1,0)-(WUNDEN-1)*2)</f>
        <v>5</v>
      </c>
      <c r="N77" s="833" t="str">
        <f t="shared" si="30"/>
        <v>●</v>
      </c>
      <c r="O77" s="829" t="str">
        <f>IF(EXACT($U77,""),"",IF(VLOOKUP($U77,Talente!$A$14:$Q$40,17,FALSE)="","",VLOOKUP($U77,Talente!$A$14:$Q$40,17,FALSE)+IF(OR(AND($U77="Raufen",OR(AKTIV_WLOSHAMMER="X",AKTIV_WLOSHRURUZAT="X",AKTIV_WLOSMERC="X",AND(AKTIV_WLOSGLADIATOR="X",WLOS_GLADIATOR_KS="Raufen"))),AND($U77="Ringen",OR(AKTIV_WLOSBORN="X",AKTIV_WLOSUNAU="X",AND(AKTIV_WLOSGLADIATOR="X",WLOS_GLADIATOR_KS="Ringen")))),1,0)+(WUNDEN-1)*2))</f>
        <v/>
      </c>
      <c r="P77" s="874">
        <f ca="1">IF(EXACT($U77,""),"",SUM(VLOOKUP($U77,Talente!$A$14:$B$40,2,FALSE),VLOOKUP($U77,Talente!$A$14:$G$40,7,FALSE),VLOOKUP($U77,Talente!$A$14:$J$40,9,FALSE)))</f>
        <v>0</v>
      </c>
      <c r="Q77" s="94"/>
      <c r="R77" s="886" t="str">
        <f ca="1">IF(EXACT($R76,""),"",IF(NOT(EXACT(MID(BTSPRALLE,SUM(S76,1),52),"")),HLOOKUP(Talente!$BS$177,BTABFRAGESPR,MATCH(MID(BTSPRALLE,S76+1,52),BTABFRAGESPR,1),FALSE),""))</f>
        <v/>
      </c>
      <c r="S77" s="886">
        <f t="shared" ca="1" si="32"/>
        <v>0</v>
      </c>
      <c r="T77" s="886"/>
      <c r="U77" s="886" t="str">
        <f>INDEX(TL_KPF,24)</f>
        <v>Wurfmesser</v>
      </c>
      <c r="V77" s="886"/>
      <c r="W77" s="886" t="str">
        <f t="shared" ca="1" si="31"/>
        <v/>
      </c>
    </row>
    <row r="78" spans="1:26" s="71" customFormat="1" x14ac:dyDescent="0.2">
      <c r="A78" s="880" t="str">
        <f ca="1">IF(NOT(EXACT($B78,"")),IF(IF(ISERR(FIND(";"&amp;$H78+1&amp;";",VLOOKUP($B78,Talente!$A$177:$F$245,6))),FALSE,TRUE),"SE",""),"")</f>
        <v/>
      </c>
      <c r="B78" s="2143" t="str">
        <f ca="1">R78&amp;IF(OR(R78="",ISERROR(FIND(R78,Talente!$CK$223,1))),
IF(OR(R78="",ISERROR(FIND(R78,Talente!$CL$223,1))),""," [Zweitsprache]")," [Muttersprache]")</f>
        <v/>
      </c>
      <c r="C78" s="2144"/>
      <c r="D78" s="2144"/>
      <c r="E78" s="2145"/>
      <c r="F78" s="2134" t="str">
        <f t="shared" ca="1" si="28"/>
        <v/>
      </c>
      <c r="G78" s="2135"/>
      <c r="H78" s="831" t="str">
        <f ca="1">IF(EXACT($R78,""),"",IF(EXACT(VLOOKUP($R78,Talente!$A$177:$J$245,2,FALSE),""),"",SUM(VLOOKUP($R78,Talente!$A$177:$B$245,2,FALSE),VLOOKUP($R78,Talente!$A$177:$J$245,8,FALSE),VLOOKUP($R78,Talente!$A$177:$J$245,10,FALSE))))</f>
        <v/>
      </c>
      <c r="I78" s="880" t="str">
        <f ca="1">IF(NOT(EXACT($J78,"")),IF(IF(ISERR(FIND(";"&amp;$P78+1&amp;";",VLOOKUP($J78,Talente!$A$14:$F$40,6))),FALSE,TRUE),"SE",""),"")</f>
        <v/>
      </c>
      <c r="J78" s="832" t="str">
        <f t="shared" ca="1" si="29"/>
        <v/>
      </c>
      <c r="K78" s="834" t="str">
        <f ca="1">IF(NOT(EXACT($U78,"")),INDEX(TL_KPF_STW,MATCH($U78,Talente!$A$14:$A$40)),"")</f>
        <v/>
      </c>
      <c r="L78" s="834" t="str">
        <f t="shared" ref="L78:L98" ca="1" si="33">IF(NOT(EXACT($U78,"")),IF(VLOOKUP($U78,TL_KPF_WERTE,7,FALSE)=10,"",CONCATENATE("BE",VLOOKUP($U78,TL_KPF_WERTE,7,FALSE))),"")</f>
        <v/>
      </c>
      <c r="M78" s="830" t="str">
        <f ca="1">IF(EXACT($U78,""),"",VLOOKUP($U78,Talente!$A$14:$Q$40,16,FALSE)+IF(OR(AND($U78="Raufen",OR(AKTIV_WLOSHAMMER="X",AKTIV_WLOSHRURUZAT="X",AKTIV_WLOSMERC="X",AND(AKTIV_WLOSGLADIATOR="X",WLOS_GLADIATOR_KS="Raufen"))),AND($U78="Ringen",OR(AKTIV_WLOSBORN="X",AKTIV_WLOSUNAU="X",AND(AKTIV_WLOSGLADIATOR="X",WLOS_GLADIATOR_KS="Ringen")))),1,0)-(WUNDEN-1)*2)</f>
        <v/>
      </c>
      <c r="N78" s="833" t="str">
        <f t="shared" ref="N78:N98" ca="1" si="34">IF(J78="","","●")</f>
        <v/>
      </c>
      <c r="O78" s="829" t="str">
        <f ca="1">IF(EXACT($U78,""),"",IF(VLOOKUP($U78,Talente!$A$14:$Q$40,17,FALSE)="","",VLOOKUP($U78,Talente!$A$14:$Q$40,17,FALSE)+IF(OR(AND($U78="Raufen",OR(AKTIV_WLOSHAMMER="X",AKTIV_WLOSHRURUZAT="X",AKTIV_WLOSMERC="X",AND(AKTIV_WLOSGLADIATOR="X",WLOS_GLADIATOR_KS="Raufen"))),AND($U78="Ringen",OR(AKTIV_WLOSBORN="X",AKTIV_WLOSUNAU="X",AND(AKTIV_WLOSGLADIATOR="X",WLOS_GLADIATOR_KS="Ringen")))),1,0)+(WUNDEN-1)*2))</f>
        <v/>
      </c>
      <c r="P78" s="874" t="str">
        <f ca="1">IF(EXACT($U78,""),"",SUM(VLOOKUP($U78,Talente!$A$14:$B$40,2,FALSE),VLOOKUP($U78,Talente!$A$14:$G$40,7,FALSE),VLOOKUP($U78,Talente!$A$14:$J$40,9,FALSE)))</f>
        <v/>
      </c>
      <c r="Q78" s="94"/>
      <c r="R78" s="886" t="str">
        <f ca="1">IF(EXACT($R77,""),"",IF(NOT(EXACT(MID(BTSPRALLE,SUM(S77,1),52),"")),HLOOKUP(Talente!$BS$177,BTABFRAGESPR,MATCH(MID(BTSPRALLE,S77+1,52),BTABFRAGESPR,1),FALSE),""))</f>
        <v/>
      </c>
      <c r="S78" s="886">
        <f t="shared" ca="1" si="32"/>
        <v>0</v>
      </c>
      <c r="T78" s="886"/>
      <c r="U78" s="886" t="str">
        <f ca="1">IF(NOT(EXACT(BTKPFALLE,"")),HLOOKUP(Tabellen_Andere!$A$3,TL_KPF,MATCH(LEFT(BTKPFALLE,30),TL_KPF,1)),"")</f>
        <v/>
      </c>
      <c r="V78" s="886">
        <f ca="1">LEN(U78)</f>
        <v>0</v>
      </c>
      <c r="W78" s="886" t="str">
        <f t="shared" ca="1" si="31"/>
        <v/>
      </c>
    </row>
    <row r="79" spans="1:26" s="71" customFormat="1" x14ac:dyDescent="0.2">
      <c r="A79" s="880" t="str">
        <f ca="1">IF(NOT(EXACT($B79,"")),IF(IF(ISERR(FIND(";"&amp;$H79+1&amp;";",VLOOKUP($B79,Talente!$A$177:$F$245,6))),FALSE,TRUE),"SE",""),"")</f>
        <v/>
      </c>
      <c r="B79" s="2143" t="str">
        <f ca="1">R79&amp;IF(OR(R79="",ISERROR(FIND(R79,Talente!$CK$223,1))),
IF(OR(R79="",ISERROR(FIND(R79,Talente!$CL$223,1))),""," [Zweitsprache]")," [Muttersprache]")</f>
        <v/>
      </c>
      <c r="C79" s="2144"/>
      <c r="D79" s="2144"/>
      <c r="E79" s="2145"/>
      <c r="F79" s="2134" t="str">
        <f t="shared" ca="1" si="28"/>
        <v/>
      </c>
      <c r="G79" s="2135"/>
      <c r="H79" s="831" t="str">
        <f ca="1">IF(EXACT($R79,""),"",IF(EXACT(VLOOKUP($R79,Talente!$A$177:$J$245,2,FALSE),""),"",SUM(VLOOKUP($R79,Talente!$A$177:$B$245,2,FALSE),VLOOKUP($R79,Talente!$A$177:$J$245,8,FALSE),VLOOKUP($R79,Talente!$A$177:$J$245,10,FALSE))))</f>
        <v/>
      </c>
      <c r="I79" s="880" t="str">
        <f ca="1">IF(NOT(EXACT($J79,"")),IF(IF(ISERR(FIND(";"&amp;$P79+1&amp;";",VLOOKUP($J79,Talente!$A$14:$F$40,6))),FALSE,TRUE),"SE",""),"")</f>
        <v/>
      </c>
      <c r="J79" s="832" t="str">
        <f t="shared" ca="1" si="29"/>
        <v/>
      </c>
      <c r="K79" s="834" t="str">
        <f ca="1">IF(NOT(EXACT($U79,"")),INDEX(TL_KPF_STW,MATCH($U79,Talente!$A$14:$A$40)),"")</f>
        <v/>
      </c>
      <c r="L79" s="834" t="str">
        <f t="shared" ca="1" si="33"/>
        <v/>
      </c>
      <c r="M79" s="830" t="str">
        <f ca="1">IF(EXACT($U79,""),"",VLOOKUP($U79,Talente!$A$14:$Q$40,16,FALSE)+IF(OR(AND($U79="Raufen",OR(AKTIV_WLOSHAMMER="X",AKTIV_WLOSHRURUZAT="X",AKTIV_WLOSMERC="X",AND(AKTIV_WLOSGLADIATOR="X",WLOS_GLADIATOR_KS="Raufen"))),AND($U79="Ringen",OR(AKTIV_WLOSBORN="X",AKTIV_WLOSUNAU="X",AND(AKTIV_WLOSGLADIATOR="X",WLOS_GLADIATOR_KS="Ringen")))),1,0)-(WUNDEN-1)*2)</f>
        <v/>
      </c>
      <c r="N79" s="833" t="str">
        <f t="shared" ca="1" si="34"/>
        <v/>
      </c>
      <c r="O79" s="829" t="str">
        <f ca="1">IF(EXACT($U79,""),"",IF(VLOOKUP($U79,Talente!$A$14:$Q$40,17,FALSE)="","",VLOOKUP($U79,Talente!$A$14:$Q$40,17,FALSE)+IF(OR(AND($U79="Raufen",OR(AKTIV_WLOSHAMMER="X",AKTIV_WLOSHRURUZAT="X",AKTIV_WLOSMERC="X",AND(AKTIV_WLOSGLADIATOR="X",WLOS_GLADIATOR_KS="Raufen"))),AND($U79="Ringen",OR(AKTIV_WLOSBORN="X",AKTIV_WLOSUNAU="X",AND(AKTIV_WLOSGLADIATOR="X",WLOS_GLADIATOR_KS="Ringen")))),1,0)+(WUNDEN-1)*2))</f>
        <v/>
      </c>
      <c r="P79" s="874" t="str">
        <f ca="1">IF(EXACT($U79,""),"",SUM(VLOOKUP($U79,Talente!$A$14:$B$40,2,FALSE),VLOOKUP($U79,Talente!$A$14:$G$40,7,FALSE),VLOOKUP($U79,Talente!$A$14:$J$40,9,FALSE)))</f>
        <v/>
      </c>
      <c r="Q79" s="94"/>
      <c r="R79" s="886" t="str">
        <f ca="1">IF(EXACT($R78,""),"",IF(NOT(EXACT(MID(BTSPRALLE,SUM(S78,1),52),"")),HLOOKUP(Talente!$BS$177,BTABFRAGESPR,MATCH(MID(BTSPRALLE,S78+1,52),BTABFRAGESPR,1),FALSE),""))</f>
        <v/>
      </c>
      <c r="S79" s="886">
        <f t="shared" ca="1" si="32"/>
        <v>0</v>
      </c>
      <c r="T79" s="886"/>
      <c r="U79" s="886" t="str">
        <f ca="1">IF(NOT(EXACT(MID(BTKPFALLE,SUM(V78,1),20),"")),HLOOKUP(Tabellen_Andere!$A$3,TL_KPF,MATCH(MID(BTKPFALLE,V78+1,30),TL_KPF,1)),"")</f>
        <v/>
      </c>
      <c r="V79" s="886">
        <f t="shared" ref="V79:V98" ca="1" si="35">V78+LEN(U79)</f>
        <v>0</v>
      </c>
      <c r="W79" s="886" t="str">
        <f t="shared" ca="1" si="31"/>
        <v/>
      </c>
    </row>
    <row r="80" spans="1:26" s="71" customFormat="1" x14ac:dyDescent="0.2">
      <c r="A80" s="880" t="str">
        <f ca="1">IF(NOT(EXACT($B80,"")),IF(IF(ISERR(FIND(";"&amp;$H80+1&amp;";",VLOOKUP($B80,Talente!$A$177:$F$245,6))),FALSE,TRUE),"SE",""),"")</f>
        <v/>
      </c>
      <c r="B80" s="2143" t="str">
        <f ca="1">R80&amp;IF(OR(R80="",ISERROR(FIND(R80,Talente!$CK$223,1))),
IF(OR(R80="",ISERROR(FIND(R80,Talente!$CL$223,1))),""," [Zweitsprache]")," [Muttersprache]")</f>
        <v/>
      </c>
      <c r="C80" s="2144"/>
      <c r="D80" s="2144"/>
      <c r="E80" s="2145"/>
      <c r="F80" s="2134" t="str">
        <f t="shared" ca="1" si="28"/>
        <v/>
      </c>
      <c r="G80" s="2135"/>
      <c r="H80" s="831" t="str">
        <f ca="1">IF(EXACT($R80,""),"",IF(EXACT(VLOOKUP($R80,Talente!$A$177:$J$245,2,FALSE),""),"",SUM(VLOOKUP($R80,Talente!$A$177:$B$245,2,FALSE),VLOOKUP($R80,Talente!$A$177:$J$245,8,FALSE),VLOOKUP($R80,Talente!$A$177:$J$245,10,FALSE))))</f>
        <v/>
      </c>
      <c r="I80" s="880" t="str">
        <f ca="1">IF(NOT(EXACT($J80,"")),IF(IF(ISERR(FIND(";"&amp;$P80+1&amp;";",VLOOKUP($J80,Talente!$A$14:$F$40,6))),FALSE,TRUE),"SE",""),"")</f>
        <v/>
      </c>
      <c r="J80" s="832" t="str">
        <f t="shared" ca="1" si="29"/>
        <v/>
      </c>
      <c r="K80" s="834" t="str">
        <f ca="1">IF(NOT(EXACT($U80,"")),INDEX(TL_KPF_STW,MATCH($U80,Talente!$A$14:$A$40)),"")</f>
        <v/>
      </c>
      <c r="L80" s="834" t="str">
        <f t="shared" ca="1" si="33"/>
        <v/>
      </c>
      <c r="M80" s="830" t="str">
        <f ca="1">IF(EXACT($U80,""),"",VLOOKUP($U80,Talente!$A$14:$Q$40,16,FALSE)+IF(OR(AND($U80="Raufen",OR(AKTIV_WLOSHAMMER="X",AKTIV_WLOSHRURUZAT="X",AKTIV_WLOSMERC="X",AND(AKTIV_WLOSGLADIATOR="X",WLOS_GLADIATOR_KS="Raufen"))),AND($U80="Ringen",OR(AKTIV_WLOSBORN="X",AKTIV_WLOSUNAU="X",AND(AKTIV_WLOSGLADIATOR="X",WLOS_GLADIATOR_KS="Ringen")))),1,0)-(WUNDEN-1)*2)</f>
        <v/>
      </c>
      <c r="N80" s="833" t="str">
        <f t="shared" ca="1" si="34"/>
        <v/>
      </c>
      <c r="O80" s="829" t="str">
        <f ca="1">IF(EXACT($U80,""),"",IF(VLOOKUP($U80,Talente!$A$14:$Q$40,17,FALSE)="","",VLOOKUP($U80,Talente!$A$14:$Q$40,17,FALSE)+IF(OR(AND($U80="Raufen",OR(AKTIV_WLOSHAMMER="X",AKTIV_WLOSHRURUZAT="X",AKTIV_WLOSMERC="X",AND(AKTIV_WLOSGLADIATOR="X",WLOS_GLADIATOR_KS="Raufen"))),AND($U80="Ringen",OR(AKTIV_WLOSBORN="X",AKTIV_WLOSUNAU="X",AND(AKTIV_WLOSGLADIATOR="X",WLOS_GLADIATOR_KS="Ringen")))),1,0)+(WUNDEN-1)*2))</f>
        <v/>
      </c>
      <c r="P80" s="874" t="str">
        <f ca="1">IF(EXACT($U80,""),"",SUM(VLOOKUP($U80,Talente!$A$14:$B$40,2,FALSE),VLOOKUP($U80,Talente!$A$14:$G$40,7,FALSE),VLOOKUP($U80,Talente!$A$14:$J$40,9,FALSE)))</f>
        <v/>
      </c>
      <c r="Q80" s="94"/>
      <c r="R80" s="886" t="str">
        <f ca="1">IF(EXACT($R79,""),"",IF(NOT(EXACT(MID(BTSPRALLE,SUM(S79,1),52),"")),HLOOKUP(Talente!$BS$177,BTABFRAGESPR,MATCH(MID(BTSPRALLE,S79+1,52),BTABFRAGESPR,1),FALSE),""))</f>
        <v/>
      </c>
      <c r="S80" s="886">
        <f t="shared" ca="1" si="32"/>
        <v>0</v>
      </c>
      <c r="T80" s="886"/>
      <c r="U80" s="886" t="str">
        <f ca="1">IF(NOT(EXACT(MID(BTKPFALLE,SUM(V79,1),20),"")),HLOOKUP(Tabellen_Andere!$A$3,TL_KPF,MATCH(MID(BTKPFALLE,V79+1,30),TL_KPF,1)),"")</f>
        <v/>
      </c>
      <c r="V80" s="886">
        <f t="shared" ca="1" si="35"/>
        <v>0</v>
      </c>
      <c r="W80" s="886" t="str">
        <f t="shared" ca="1" si="31"/>
        <v/>
      </c>
    </row>
    <row r="81" spans="1:23" s="71" customFormat="1" x14ac:dyDescent="0.2">
      <c r="A81" s="880" t="str">
        <f ca="1">IF(NOT(EXACT($B81,"")),IF(IF(ISERR(FIND(";"&amp;$H81+1&amp;";",VLOOKUP($B81,Talente!$A$177:$F$245,6))),FALSE,TRUE),"SE",""),"")</f>
        <v/>
      </c>
      <c r="B81" s="2143" t="str">
        <f ca="1">R81&amp;IF(OR(R81="",ISERROR(FIND(R81,Talente!$CK$223,1))),
IF(OR(R81="",ISERROR(FIND(R81,Talente!$CL$223,1))),""," [Zweitsprache]")," [Muttersprache]")</f>
        <v/>
      </c>
      <c r="C81" s="2144"/>
      <c r="D81" s="2144"/>
      <c r="E81" s="2145"/>
      <c r="F81" s="2134" t="str">
        <f t="shared" ca="1" si="28"/>
        <v/>
      </c>
      <c r="G81" s="2135"/>
      <c r="H81" s="831" t="str">
        <f ca="1">IF(EXACT($R81,""),"",IF(EXACT(VLOOKUP($R81,Talente!$A$177:$J$245,2,FALSE),""),"",SUM(VLOOKUP($R81,Talente!$A$177:$B$245,2,FALSE),VLOOKUP($R81,Talente!$A$177:$J$245,8,FALSE),VLOOKUP($R81,Talente!$A$177:$J$245,10,FALSE))))</f>
        <v/>
      </c>
      <c r="I81" s="880" t="str">
        <f ca="1">IF(NOT(EXACT($J81,"")),IF(IF(ISERR(FIND(";"&amp;$P81+1&amp;";",VLOOKUP($J81,Talente!$A$14:$F$40,6))),FALSE,TRUE),"SE",""),"")</f>
        <v/>
      </c>
      <c r="J81" s="832" t="str">
        <f t="shared" ca="1" si="29"/>
        <v/>
      </c>
      <c r="K81" s="834" t="str">
        <f ca="1">IF(NOT(EXACT($U81,"")),INDEX(TL_KPF_STW,MATCH($U81,Talente!$A$14:$A$40)),"")</f>
        <v/>
      </c>
      <c r="L81" s="834" t="str">
        <f t="shared" ca="1" si="33"/>
        <v/>
      </c>
      <c r="M81" s="830" t="str">
        <f ca="1">IF(EXACT($U81,""),"",VLOOKUP($U81,Talente!$A$14:$Q$40,16,FALSE)+IF(OR(AND($U81="Raufen",OR(AKTIV_WLOSHAMMER="X",AKTIV_WLOSHRURUZAT="X",AKTIV_WLOSMERC="X",AND(AKTIV_WLOSGLADIATOR="X",WLOS_GLADIATOR_KS="Raufen"))),AND($U81="Ringen",OR(AKTIV_WLOSBORN="X",AKTIV_WLOSUNAU="X",AND(AKTIV_WLOSGLADIATOR="X",WLOS_GLADIATOR_KS="Ringen")))),1,0)-(WUNDEN-1)*2)</f>
        <v/>
      </c>
      <c r="N81" s="833" t="str">
        <f t="shared" ca="1" si="34"/>
        <v/>
      </c>
      <c r="O81" s="829" t="str">
        <f ca="1">IF(EXACT($U81,""),"",IF(VLOOKUP($U81,Talente!$A$14:$Q$40,17,FALSE)="","",VLOOKUP($U81,Talente!$A$14:$Q$40,17,FALSE)+IF(OR(AND($U81="Raufen",OR(AKTIV_WLOSHAMMER="X",AKTIV_WLOSHRURUZAT="X",AKTIV_WLOSMERC="X",AND(AKTIV_WLOSGLADIATOR="X",WLOS_GLADIATOR_KS="Raufen"))),AND($U81="Ringen",OR(AKTIV_WLOSBORN="X",AKTIV_WLOSUNAU="X",AND(AKTIV_WLOSGLADIATOR="X",WLOS_GLADIATOR_KS="Ringen")))),1,0)+(WUNDEN-1)*2))</f>
        <v/>
      </c>
      <c r="P81" s="874" t="str">
        <f ca="1">IF(EXACT($U81,""),"",SUM(VLOOKUP($U81,Talente!$A$14:$B$40,2,FALSE),VLOOKUP($U81,Talente!$A$14:$G$40,7,FALSE),VLOOKUP($U81,Talente!$A$14:$J$40,9,FALSE)))</f>
        <v/>
      </c>
      <c r="Q81" s="94"/>
      <c r="R81" s="886" t="str">
        <f ca="1">IF(EXACT($R80,""),"",IF(NOT(EXACT(MID(BTSPRALLE,SUM(S80,1),52),"")),HLOOKUP(Talente!$BS$177,BTABFRAGESPR,MATCH(MID(BTSPRALLE,S80+1,52),BTABFRAGESPR,1),FALSE),""))</f>
        <v/>
      </c>
      <c r="S81" s="886">
        <f t="shared" ca="1" si="32"/>
        <v>0</v>
      </c>
      <c r="T81" s="886"/>
      <c r="U81" s="886" t="str">
        <f ca="1">IF(NOT(EXACT(MID(BTKPFALLE,SUM(V80,1),20),"")),HLOOKUP(Tabellen_Andere!$A$3,TL_KPF,MATCH(MID(BTKPFALLE,V80+1,30),TL_KPF,1)),"")</f>
        <v/>
      </c>
      <c r="V81" s="886">
        <f t="shared" ca="1" si="35"/>
        <v>0</v>
      </c>
      <c r="W81" s="886" t="str">
        <f t="shared" ca="1" si="31"/>
        <v/>
      </c>
    </row>
    <row r="82" spans="1:23" s="71" customFormat="1" ht="12.75" customHeight="1" x14ac:dyDescent="0.2">
      <c r="A82" s="880" t="str">
        <f ca="1">IF(NOT(EXACT($B82,"")),IF(IF(ISERR(FIND(";"&amp;$H82+1&amp;";",VLOOKUP($B82,Talente!$A$177:$F$245,6))),FALSE,TRUE),"SE",""),"")</f>
        <v/>
      </c>
      <c r="B82" s="2143" t="str">
        <f ca="1">R82&amp;IF(OR(R82="",ISERROR(FIND(R82,Talente!$CK$223,1))),
IF(OR(R82="",ISERROR(FIND(R82,Talente!$CL$223,1))),""," [Zweitsprache]")," [Muttersprache]")</f>
        <v/>
      </c>
      <c r="C82" s="2144"/>
      <c r="D82" s="2144"/>
      <c r="E82" s="2145"/>
      <c r="F82" s="2134" t="str">
        <f t="shared" ca="1" si="28"/>
        <v/>
      </c>
      <c r="G82" s="2135"/>
      <c r="H82" s="831" t="str">
        <f ca="1">IF(EXACT($R82,""),"",IF(EXACT(VLOOKUP($R82,Talente!$A$177:$J$245,2,FALSE),""),"",SUM(VLOOKUP($R82,Talente!$A$177:$B$245,2,FALSE),VLOOKUP($R82,Talente!$A$177:$J$245,8,FALSE),VLOOKUP($R82,Talente!$A$177:$J$245,10,FALSE))))</f>
        <v/>
      </c>
      <c r="I82" s="880" t="str">
        <f ca="1">IF(NOT(EXACT($J82,"")),IF(IF(ISERR(FIND(";"&amp;$P82+1&amp;";",VLOOKUP($J82,Talente!$A$14:$F$40,6))),FALSE,TRUE),"SE",""),"")</f>
        <v/>
      </c>
      <c r="J82" s="832" t="str">
        <f t="shared" ca="1" si="29"/>
        <v/>
      </c>
      <c r="K82" s="834" t="str">
        <f ca="1">IF(NOT(EXACT($U82,"")),INDEX(TL_KPF_STW,MATCH($U82,Talente!$A$14:$A$40)),"")</f>
        <v/>
      </c>
      <c r="L82" s="834" t="str">
        <f t="shared" ca="1" si="33"/>
        <v/>
      </c>
      <c r="M82" s="830" t="str">
        <f ca="1">IF(EXACT($U82,""),"",VLOOKUP($U82,Talente!$A$14:$Q$40,16,FALSE)+IF(OR(AND($U82="Raufen",OR(AKTIV_WLOSHAMMER="X",AKTIV_WLOSHRURUZAT="X",AKTIV_WLOSMERC="X",AND(AKTIV_WLOSGLADIATOR="X",WLOS_GLADIATOR_KS="Raufen"))),AND($U82="Ringen",OR(AKTIV_WLOSBORN="X",AKTIV_WLOSUNAU="X",AND(AKTIV_WLOSGLADIATOR="X",WLOS_GLADIATOR_KS="Ringen")))),1,0)-(WUNDEN-1)*2)</f>
        <v/>
      </c>
      <c r="N82" s="833" t="str">
        <f t="shared" ca="1" si="34"/>
        <v/>
      </c>
      <c r="O82" s="829" t="str">
        <f ca="1">IF(EXACT($U82,""),"",IF(VLOOKUP($U82,Talente!$A$14:$Q$40,17,FALSE)="","",VLOOKUP($U82,Talente!$A$14:$Q$40,17,FALSE)+IF(OR(AND($U82="Raufen",OR(AKTIV_WLOSHAMMER="X",AKTIV_WLOSHRURUZAT="X",AKTIV_WLOSMERC="X",AND(AKTIV_WLOSGLADIATOR="X",WLOS_GLADIATOR_KS="Raufen"))),AND($U82="Ringen",OR(AKTIV_WLOSBORN="X",AKTIV_WLOSUNAU="X",AND(AKTIV_WLOSGLADIATOR="X",WLOS_GLADIATOR_KS="Ringen")))),1,0)+(WUNDEN-1)*2))</f>
        <v/>
      </c>
      <c r="P82" s="874" t="str">
        <f ca="1">IF(EXACT($U82,""),"",SUM(VLOOKUP($U82,Talente!$A$14:$B$40,2,FALSE),VLOOKUP($U82,Talente!$A$14:$G$40,7,FALSE),VLOOKUP($U82,Talente!$A$14:$J$40,9,FALSE)))</f>
        <v/>
      </c>
      <c r="Q82" s="94"/>
      <c r="R82" s="886" t="str">
        <f ca="1">IF(EXACT($R81,""),"",IF(NOT(EXACT(MID(BTSPRALLE,SUM(S81,1),52),"")),HLOOKUP(Talente!$BS$177,BTABFRAGESPR,MATCH(MID(BTSPRALLE,S81+1,52),BTABFRAGESPR,1),FALSE),""))</f>
        <v/>
      </c>
      <c r="S82" s="886">
        <f t="shared" ca="1" si="32"/>
        <v>0</v>
      </c>
      <c r="T82" s="886"/>
      <c r="U82" s="886" t="str">
        <f ca="1">IF(NOT(EXACT(MID(BTKPFALLE,SUM(V81,1),20),"")),HLOOKUP(Tabellen_Andere!$A$3,TL_KPF,MATCH(MID(BTKPFALLE,V81+1,30),TL_KPF,1)),"")</f>
        <v/>
      </c>
      <c r="V82" s="886">
        <f t="shared" ca="1" si="35"/>
        <v>0</v>
      </c>
      <c r="W82" s="886" t="str">
        <f t="shared" ca="1" si="31"/>
        <v/>
      </c>
    </row>
    <row r="83" spans="1:23" s="71" customFormat="1" ht="12.75" customHeight="1" x14ac:dyDescent="0.2">
      <c r="A83" s="880" t="str">
        <f ca="1">IF(NOT(EXACT($B83,"")),IF(IF(ISERR(FIND(";"&amp;$H83+1&amp;";",VLOOKUP($B83,Talente!$A$177:$F$245,6))),FALSE,TRUE),"SE",""),"")</f>
        <v/>
      </c>
      <c r="B83" s="2143" t="str">
        <f ca="1">R83&amp;IF(OR(R83="",ISERROR(FIND(R83,Talente!$CK$223,1))),
IF(OR(R83="",ISERROR(FIND(R83,Talente!$CL$223,1))),""," [Zweitsprache]")," [Muttersprache]")</f>
        <v/>
      </c>
      <c r="C83" s="2144"/>
      <c r="D83" s="2144"/>
      <c r="E83" s="2145"/>
      <c r="F83" s="2134" t="str">
        <f t="shared" ca="1" si="28"/>
        <v/>
      </c>
      <c r="G83" s="2135"/>
      <c r="H83" s="831" t="str">
        <f ca="1">IF(EXACT($R83,""),"",IF(EXACT(VLOOKUP($R83,Talente!$A$177:$J$245,2,FALSE),""),"",SUM(VLOOKUP($R83,Talente!$A$177:$B$245,2,FALSE),VLOOKUP($R83,Talente!$A$177:$J$245,8,FALSE),VLOOKUP($R83,Talente!$A$177:$J$245,10,FALSE))))</f>
        <v/>
      </c>
      <c r="I83" s="880" t="str">
        <f ca="1">IF(NOT(EXACT($J83,"")),IF(IF(ISERR(FIND(";"&amp;$P83+1&amp;";",VLOOKUP($J83,Talente!$A$14:$F$40,6))),FALSE,TRUE),"SE",""),"")</f>
        <v/>
      </c>
      <c r="J83" s="832" t="str">
        <f t="shared" ca="1" si="29"/>
        <v/>
      </c>
      <c r="K83" s="834" t="str">
        <f ca="1">IF(NOT(EXACT($U83,"")),INDEX(TL_KPF_STW,MATCH($U83,Talente!$A$14:$A$40)),"")</f>
        <v/>
      </c>
      <c r="L83" s="834" t="str">
        <f t="shared" ca="1" si="33"/>
        <v/>
      </c>
      <c r="M83" s="830" t="str">
        <f ca="1">IF(EXACT($U83,""),"",VLOOKUP($U83,Talente!$A$14:$Q$40,16,FALSE)+IF(OR(AND($U83="Raufen",OR(AKTIV_WLOSHAMMER="X",AKTIV_WLOSHRURUZAT="X",AKTIV_WLOSMERC="X",AND(AKTIV_WLOSGLADIATOR="X",WLOS_GLADIATOR_KS="Raufen"))),AND($U83="Ringen",OR(AKTIV_WLOSBORN="X",AKTIV_WLOSUNAU="X",AND(AKTIV_WLOSGLADIATOR="X",WLOS_GLADIATOR_KS="Ringen")))),1,0)-(WUNDEN-1)*2)</f>
        <v/>
      </c>
      <c r="N83" s="833" t="str">
        <f t="shared" ca="1" si="34"/>
        <v/>
      </c>
      <c r="O83" s="829" t="str">
        <f ca="1">IF(EXACT($U83,""),"",IF(VLOOKUP($U83,Talente!$A$14:$Q$40,17,FALSE)="","",VLOOKUP($U83,Talente!$A$14:$Q$40,17,FALSE)+IF(OR(AND($U83="Raufen",OR(AKTIV_WLOSHAMMER="X",AKTIV_WLOSHRURUZAT="X",AKTIV_WLOSMERC="X",AND(AKTIV_WLOSGLADIATOR="X",WLOS_GLADIATOR_KS="Raufen"))),AND($U83="Ringen",OR(AKTIV_WLOSBORN="X",AKTIV_WLOSUNAU="X",AND(AKTIV_WLOSGLADIATOR="X",WLOS_GLADIATOR_KS="Ringen")))),1,0)+(WUNDEN-1)*2))</f>
        <v/>
      </c>
      <c r="P83" s="874" t="str">
        <f ca="1">IF(EXACT($U83,""),"",SUM(VLOOKUP($U83,Talente!$A$14:$B$40,2,FALSE),VLOOKUP($U83,Talente!$A$14:$G$40,7,FALSE),VLOOKUP($U83,Talente!$A$14:$J$40,9,FALSE)))</f>
        <v/>
      </c>
      <c r="Q83" s="94"/>
      <c r="R83" s="886" t="str">
        <f ca="1">IF(EXACT($R82,""),"",IF(NOT(EXACT(MID(BTSPRALLE,SUM(S82,1),52),"")),HLOOKUP(Talente!$BS$177,BTABFRAGESPR,MATCH(MID(BTSPRALLE,S82+1,52),BTABFRAGESPR,1),FALSE),""))</f>
        <v/>
      </c>
      <c r="S83" s="886">
        <f t="shared" ca="1" si="32"/>
        <v>0</v>
      </c>
      <c r="T83" s="886"/>
      <c r="U83" s="886" t="str">
        <f ca="1">IF(NOT(EXACT(MID(BTKPFALLE,SUM(V82,1),20),"")),HLOOKUP(Tabellen_Andere!$A$3,TL_KPF,MATCH(MID(BTKPFALLE,V82+1,30),TL_KPF,1)),"")</f>
        <v/>
      </c>
      <c r="V83" s="886">
        <f t="shared" ca="1" si="35"/>
        <v>0</v>
      </c>
      <c r="W83" s="886" t="str">
        <f t="shared" ca="1" si="31"/>
        <v/>
      </c>
    </row>
    <row r="84" spans="1:23" s="71" customFormat="1" ht="12.75" customHeight="1" x14ac:dyDescent="0.2">
      <c r="A84" s="880" t="str">
        <f ca="1">IF(NOT(EXACT($B84,"")),IF(IF(ISERR(FIND(";"&amp;$H84+1&amp;";",VLOOKUP($B84,Talente!$A$177:$F$245,6))),FALSE,TRUE),"SE",""),"")</f>
        <v/>
      </c>
      <c r="B84" s="2143" t="str">
        <f ca="1">R84&amp;IF(OR(R84="",ISERROR(FIND(R84,Talente!$CK$223,1))),
IF(OR(R84="",ISERROR(FIND(R84,Talente!$CL$223,1))),""," [Zweitsprache]")," [Muttersprache]")</f>
        <v/>
      </c>
      <c r="C84" s="2144"/>
      <c r="D84" s="2144"/>
      <c r="E84" s="2145"/>
      <c r="F84" s="2134" t="str">
        <f t="shared" ca="1" si="28"/>
        <v/>
      </c>
      <c r="G84" s="2135"/>
      <c r="H84" s="831" t="str">
        <f ca="1">IF(EXACT($R84,""),"",IF(EXACT(VLOOKUP($R84,Talente!$A$177:$J$245,2,FALSE),""),"",SUM(VLOOKUP($R84,Talente!$A$177:$B$245,2,FALSE),VLOOKUP($R84,Talente!$A$177:$J$245,8,FALSE),VLOOKUP($R84,Talente!$A$177:$J$245,10,FALSE))))</f>
        <v/>
      </c>
      <c r="I84" s="880" t="str">
        <f ca="1">IF(NOT(EXACT($J84,"")),IF(IF(ISERR(FIND(";"&amp;$P84+1&amp;";",VLOOKUP($J84,Talente!$A$14:$F$40,6))),FALSE,TRUE),"SE",""),"")</f>
        <v/>
      </c>
      <c r="J84" s="832" t="str">
        <f t="shared" ca="1" si="29"/>
        <v/>
      </c>
      <c r="K84" s="834" t="str">
        <f ca="1">IF(NOT(EXACT($U84,"")),INDEX(TL_KPF_STW,MATCH($U84,Talente!$A$14:$A$40)),"")</f>
        <v/>
      </c>
      <c r="L84" s="834" t="str">
        <f t="shared" ca="1" si="33"/>
        <v/>
      </c>
      <c r="M84" s="830" t="str">
        <f ca="1">IF(EXACT($U84,""),"",VLOOKUP($U84,Talente!$A$14:$Q$40,16,FALSE)+IF(OR(AND($U84="Raufen",OR(AKTIV_WLOSHAMMER="X",AKTIV_WLOSHRURUZAT="X",AKTIV_WLOSMERC="X",AND(AKTIV_WLOSGLADIATOR="X",WLOS_GLADIATOR_KS="Raufen"))),AND($U84="Ringen",OR(AKTIV_WLOSBORN="X",AKTIV_WLOSUNAU="X",AND(AKTIV_WLOSGLADIATOR="X",WLOS_GLADIATOR_KS="Ringen")))),1,0)-(WUNDEN-1)*2)</f>
        <v/>
      </c>
      <c r="N84" s="833" t="str">
        <f t="shared" ca="1" si="34"/>
        <v/>
      </c>
      <c r="O84" s="829" t="str">
        <f ca="1">IF(EXACT($U84,""),"",IF(VLOOKUP($U84,Talente!$A$14:$Q$40,17,FALSE)="","",VLOOKUP($U84,Talente!$A$14:$Q$40,17,FALSE)+IF(OR(AND($U84="Raufen",OR(AKTIV_WLOSHAMMER="X",AKTIV_WLOSHRURUZAT="X",AKTIV_WLOSMERC="X",AND(AKTIV_WLOSGLADIATOR="X",WLOS_GLADIATOR_KS="Raufen"))),AND($U84="Ringen",OR(AKTIV_WLOSBORN="X",AKTIV_WLOSUNAU="X",AND(AKTIV_WLOSGLADIATOR="X",WLOS_GLADIATOR_KS="Ringen")))),1,0)+(WUNDEN-1)*2))</f>
        <v/>
      </c>
      <c r="P84" s="874" t="str">
        <f ca="1">IF(EXACT($U84,""),"",SUM(VLOOKUP($U84,Talente!$A$14:$B$40,2,FALSE),VLOOKUP($U84,Talente!$A$14:$G$40,7,FALSE),VLOOKUP($U84,Talente!$A$14:$J$40,9,FALSE)))</f>
        <v/>
      </c>
      <c r="Q84" s="94"/>
      <c r="R84" s="886" t="str">
        <f ca="1">IF(EXACT($R83,""),"",IF(NOT(EXACT(MID(BTSPRALLE,SUM(S83,1),52),"")),HLOOKUP(Talente!$BS$177,BTABFRAGESPR,MATCH(MID(BTSPRALLE,S83+1,52),BTABFRAGESPR,1),FALSE),""))</f>
        <v/>
      </c>
      <c r="S84" s="886">
        <f t="shared" ca="1" si="32"/>
        <v>0</v>
      </c>
      <c r="T84" s="886"/>
      <c r="U84" s="886" t="str">
        <f ca="1">IF(NOT(EXACT(MID(BTKPFALLE,SUM(V83,1),20),"")),HLOOKUP(Tabellen_Andere!$A$3,TL_KPF,MATCH(MID(BTKPFALLE,V83+1,30),TL_KPF,1)),"")</f>
        <v/>
      </c>
      <c r="V84" s="886">
        <f t="shared" ca="1" si="35"/>
        <v>0</v>
      </c>
      <c r="W84" s="886" t="str">
        <f t="shared" ca="1" si="31"/>
        <v/>
      </c>
    </row>
    <row r="85" spans="1:23" s="71" customFormat="1" ht="12.75" customHeight="1" x14ac:dyDescent="0.2">
      <c r="A85" s="880" t="str">
        <f ca="1">IF(NOT(EXACT($B85,"")),IF(IF(ISERR(FIND(";"&amp;$H85+1&amp;";",VLOOKUP($B85,Talente!$A$177:$F$245,6))),FALSE,TRUE),"SE",""),"")</f>
        <v/>
      </c>
      <c r="B85" s="2143" t="str">
        <f ca="1">R85&amp;IF(OR(R85="",ISERROR(FIND(R85,Talente!$CK$223,1))),
IF(OR(R85="",ISERROR(FIND(R85,Talente!$CL$223,1))),""," [Zweitsprache]")," [Muttersprache]")</f>
        <v/>
      </c>
      <c r="C85" s="2144"/>
      <c r="D85" s="2144"/>
      <c r="E85" s="2145"/>
      <c r="F85" s="2134" t="str">
        <f t="shared" ca="1" si="28"/>
        <v/>
      </c>
      <c r="G85" s="2135"/>
      <c r="H85" s="831" t="str">
        <f ca="1">IF(EXACT($R85,""),"",IF(EXACT(VLOOKUP($R85,Talente!$A$177:$J$245,2,FALSE),""),"",SUM(VLOOKUP($R85,Talente!$A$177:$B$245,2,FALSE),VLOOKUP($R85,Talente!$A$177:$J$245,8,FALSE),VLOOKUP($R85,Talente!$A$177:$J$245,10,FALSE))))</f>
        <v/>
      </c>
      <c r="I85" s="880" t="str">
        <f ca="1">IF(NOT(EXACT($J85,"")),IF(IF(ISERR(FIND(";"&amp;$P85+1&amp;";",VLOOKUP($J85,Talente!$A$14:$F$40,6))),FALSE,TRUE),"SE",""),"")</f>
        <v/>
      </c>
      <c r="J85" s="832" t="str">
        <f t="shared" ca="1" si="29"/>
        <v/>
      </c>
      <c r="K85" s="834" t="str">
        <f ca="1">IF(NOT(EXACT($U85,"")),INDEX(TL_KPF_STW,MATCH($U85,Talente!$A$14:$A$40)),"")</f>
        <v/>
      </c>
      <c r="L85" s="834" t="str">
        <f t="shared" ca="1" si="33"/>
        <v/>
      </c>
      <c r="M85" s="830" t="str">
        <f ca="1">IF(EXACT($U85,""),"",VLOOKUP($U85,Talente!$A$14:$Q$40,16,FALSE)+IF(OR(AND($U85="Raufen",OR(AKTIV_WLOSHAMMER="X",AKTIV_WLOSHRURUZAT="X",AKTIV_WLOSMERC="X",AND(AKTIV_WLOSGLADIATOR="X",WLOS_GLADIATOR_KS="Raufen"))),AND($U85="Ringen",OR(AKTIV_WLOSBORN="X",AKTIV_WLOSUNAU="X",AND(AKTIV_WLOSGLADIATOR="X",WLOS_GLADIATOR_KS="Ringen")))),1,0)-(WUNDEN-1)*2)</f>
        <v/>
      </c>
      <c r="N85" s="833" t="str">
        <f t="shared" ca="1" si="34"/>
        <v/>
      </c>
      <c r="O85" s="829" t="str">
        <f ca="1">IF(EXACT($U85,""),"",IF(VLOOKUP($U85,Talente!$A$14:$Q$40,17,FALSE)="","",VLOOKUP($U85,Talente!$A$14:$Q$40,17,FALSE)+IF(OR(AND($U85="Raufen",OR(AKTIV_WLOSHAMMER="X",AKTIV_WLOSHRURUZAT="X",AKTIV_WLOSMERC="X",AND(AKTIV_WLOSGLADIATOR="X",WLOS_GLADIATOR_KS="Raufen"))),AND($U85="Ringen",OR(AKTIV_WLOSBORN="X",AKTIV_WLOSUNAU="X",AND(AKTIV_WLOSGLADIATOR="X",WLOS_GLADIATOR_KS="Ringen")))),1,0)+(WUNDEN-1)*2))</f>
        <v/>
      </c>
      <c r="P85" s="874" t="str">
        <f ca="1">IF(EXACT($U85,""),"",SUM(VLOOKUP($U85,Talente!$A$14:$B$40,2,FALSE),VLOOKUP($U85,Talente!$A$14:$G$40,7,FALSE),VLOOKUP($U85,Talente!$A$14:$J$40,9,FALSE)))</f>
        <v/>
      </c>
      <c r="Q85" s="94"/>
      <c r="R85" s="886" t="str">
        <f ca="1">IF(EXACT($R84,""),"",IF(NOT(EXACT(MID(BTSPRALLE,SUM(S84,1),52),"")),HLOOKUP(Talente!$BS$177,BTABFRAGESPR,MATCH(MID(BTSPRALLE,S84+1,52),BTABFRAGESPR,1),FALSE),""))</f>
        <v/>
      </c>
      <c r="S85" s="886">
        <f t="shared" ca="1" si="32"/>
        <v>0</v>
      </c>
      <c r="T85" s="886"/>
      <c r="U85" s="886" t="str">
        <f ca="1">IF(NOT(EXACT(MID(BTKPFALLE,SUM(V84,1),20),"")),HLOOKUP(Tabellen_Andere!$A$3,TL_KPF,MATCH(MID(BTKPFALLE,V84+1,30),TL_KPF,1)),"")</f>
        <v/>
      </c>
      <c r="V85" s="886">
        <f t="shared" ca="1" si="35"/>
        <v>0</v>
      </c>
      <c r="W85" s="886" t="str">
        <f t="shared" ca="1" si="31"/>
        <v/>
      </c>
    </row>
    <row r="86" spans="1:23" s="71" customFormat="1" ht="12.75" customHeight="1" x14ac:dyDescent="0.2">
      <c r="A86" s="880" t="str">
        <f ca="1">IF(NOT(EXACT($B86,"")),IF(IF(ISERR(FIND(";"&amp;$H86+1&amp;";",VLOOKUP($B86,Talente!$A$177:$F$245,6))),FALSE,TRUE),"SE",""),"")</f>
        <v/>
      </c>
      <c r="B86" s="2143" t="str">
        <f ca="1">R86&amp;IF(OR(R86="",ISERROR(FIND(R86,Talente!$CK$223,1))),
IF(OR(R86="",ISERROR(FIND(R86,Talente!$CL$223,1))),""," [Zweitsprache]")," [Muttersprache]")</f>
        <v/>
      </c>
      <c r="C86" s="2144"/>
      <c r="D86" s="2144"/>
      <c r="E86" s="2145"/>
      <c r="F86" s="2134" t="str">
        <f t="shared" ca="1" si="28"/>
        <v/>
      </c>
      <c r="G86" s="2135"/>
      <c r="H86" s="831" t="str">
        <f ca="1">IF(EXACT($R86,""),"",IF(EXACT(VLOOKUP($R86,Talente!$A$177:$J$245,2,FALSE),""),"",SUM(VLOOKUP($R86,Talente!$A$177:$B$245,2,FALSE),VLOOKUP($R86,Talente!$A$177:$J$245,8,FALSE),VLOOKUP($R86,Talente!$A$177:$J$245,10,FALSE))))</f>
        <v/>
      </c>
      <c r="I86" s="880" t="str">
        <f ca="1">IF(NOT(EXACT($J86,"")),IF(IF(ISERR(FIND(";"&amp;$P86+1&amp;";",VLOOKUP($J86,Talente!$A$14:$F$40,6))),FALSE,TRUE),"SE",""),"")</f>
        <v/>
      </c>
      <c r="J86" s="832" t="str">
        <f t="shared" ca="1" si="29"/>
        <v/>
      </c>
      <c r="K86" s="834" t="str">
        <f ca="1">IF(NOT(EXACT($U86,"")),INDEX(TL_KPF_STW,MATCH($U86,Talente!$A$14:$A$40)),"")</f>
        <v/>
      </c>
      <c r="L86" s="834" t="str">
        <f t="shared" ca="1" si="33"/>
        <v/>
      </c>
      <c r="M86" s="830" t="str">
        <f ca="1">IF(EXACT($U86,""),"",VLOOKUP($U86,Talente!$A$14:$Q$40,16,FALSE)+IF(OR(AND($U86="Raufen",OR(AKTIV_WLOSHAMMER="X",AKTIV_WLOSHRURUZAT="X",AKTIV_WLOSMERC="X",AND(AKTIV_WLOSGLADIATOR="X",WLOS_GLADIATOR_KS="Raufen"))),AND($U86="Ringen",OR(AKTIV_WLOSBORN="X",AKTIV_WLOSUNAU="X",AND(AKTIV_WLOSGLADIATOR="X",WLOS_GLADIATOR_KS="Ringen")))),1,0)-(WUNDEN-1)*2)</f>
        <v/>
      </c>
      <c r="N86" s="833" t="str">
        <f t="shared" ca="1" si="34"/>
        <v/>
      </c>
      <c r="O86" s="829" t="str">
        <f ca="1">IF(EXACT($U86,""),"",IF(VLOOKUP($U86,Talente!$A$14:$Q$40,17,FALSE)="","",VLOOKUP($U86,Talente!$A$14:$Q$40,17,FALSE)+IF(OR(AND($U86="Raufen",OR(AKTIV_WLOSHAMMER="X",AKTIV_WLOSHRURUZAT="X",AKTIV_WLOSMERC="X",AND(AKTIV_WLOSGLADIATOR="X",WLOS_GLADIATOR_KS="Raufen"))),AND($U86="Ringen",OR(AKTIV_WLOSBORN="X",AKTIV_WLOSUNAU="X",AND(AKTIV_WLOSGLADIATOR="X",WLOS_GLADIATOR_KS="Ringen")))),1,0)+(WUNDEN-1)*2))</f>
        <v/>
      </c>
      <c r="P86" s="874" t="str">
        <f ca="1">IF(EXACT($U86,""),"",SUM(VLOOKUP($U86,Talente!$A$14:$B$40,2,FALSE),VLOOKUP($U86,Talente!$A$14:$G$40,7,FALSE),VLOOKUP($U86,Talente!$A$14:$J$40,9,FALSE)))</f>
        <v/>
      </c>
      <c r="Q86" s="94"/>
      <c r="R86" s="886" t="str">
        <f ca="1">IF(EXACT($R85,""),"",IF(NOT(EXACT(MID(BTSPRALLE,SUM(S85,1),52),"")),HLOOKUP(Talente!$BS$177,BTABFRAGESPR,MATCH(MID(BTSPRALLE,S85+1,52),BTABFRAGESPR,1),FALSE),""))</f>
        <v/>
      </c>
      <c r="S86" s="886">
        <f t="shared" ca="1" si="32"/>
        <v>0</v>
      </c>
      <c r="T86" s="886"/>
      <c r="U86" s="886" t="str">
        <f ca="1">IF(NOT(EXACT(MID(BTKPFALLE,SUM(V85,1),20),"")),HLOOKUP(Tabellen_Andere!$A$3,TL_KPF,MATCH(MID(BTKPFALLE,V85+1,30),TL_KPF,1)),"")</f>
        <v/>
      </c>
      <c r="V86" s="886">
        <f t="shared" ca="1" si="35"/>
        <v>0</v>
      </c>
      <c r="W86" s="886" t="str">
        <f t="shared" ca="1" si="31"/>
        <v/>
      </c>
    </row>
    <row r="87" spans="1:23" s="71" customFormat="1" ht="12.75" customHeight="1" x14ac:dyDescent="0.2">
      <c r="A87" s="880" t="str">
        <f ca="1">IF(NOT(EXACT($B87,"")),IF(IF(ISERR(FIND(";"&amp;$H87+1&amp;";",VLOOKUP($B87,Talente!$A$177:$F$245,6))),FALSE,TRUE),"SE",""),"")</f>
        <v/>
      </c>
      <c r="B87" s="2143" t="str">
        <f ca="1">R87&amp;IF(OR(R87="",ISERROR(FIND(R87,Talente!$CK$223,1))),
IF(OR(R87="",ISERROR(FIND(R87,Talente!$CL$223,1))),""," [Zweitsprache]")," [Muttersprache]")</f>
        <v/>
      </c>
      <c r="C87" s="2144"/>
      <c r="D87" s="2144"/>
      <c r="E87" s="2145"/>
      <c r="F87" s="2134" t="str">
        <f t="shared" ca="1" si="28"/>
        <v/>
      </c>
      <c r="G87" s="2135"/>
      <c r="H87" s="831" t="str">
        <f ca="1">IF(EXACT($R87,""),"",IF(EXACT(VLOOKUP($R87,Talente!$A$177:$J$245,2,FALSE),""),"",SUM(VLOOKUP($R87,Talente!$A$177:$B$245,2,FALSE),VLOOKUP($R87,Talente!$A$177:$J$245,8,FALSE),VLOOKUP($R87,Talente!$A$177:$J$245,10,FALSE))))</f>
        <v/>
      </c>
      <c r="I87" s="880" t="str">
        <f ca="1">IF(NOT(EXACT($J87,"")),IF(IF(ISERR(FIND(";"&amp;$P87+1&amp;";",VLOOKUP($J87,Talente!$A$14:$F$40,6))),FALSE,TRUE),"SE",""),"")</f>
        <v/>
      </c>
      <c r="J87" s="832" t="str">
        <f t="shared" ca="1" si="29"/>
        <v/>
      </c>
      <c r="K87" s="834" t="str">
        <f ca="1">IF(NOT(EXACT($U87,"")),INDEX(TL_KPF_STW,MATCH($U87,Talente!$A$14:$A$40)),"")</f>
        <v/>
      </c>
      <c r="L87" s="834" t="str">
        <f t="shared" ca="1" si="33"/>
        <v/>
      </c>
      <c r="M87" s="830" t="str">
        <f ca="1">IF(EXACT($U87,""),"",VLOOKUP($U87,Talente!$A$14:$Q$40,16,FALSE)+IF(OR(AND($U87="Raufen",OR(AKTIV_WLOSHAMMER="X",AKTIV_WLOSHRURUZAT="X",AKTIV_WLOSMERC="X",AND(AKTIV_WLOSGLADIATOR="X",WLOS_GLADIATOR_KS="Raufen"))),AND($U87="Ringen",OR(AKTIV_WLOSBORN="X",AKTIV_WLOSUNAU="X",AND(AKTIV_WLOSGLADIATOR="X",WLOS_GLADIATOR_KS="Ringen")))),1,0)-(WUNDEN-1)*2)</f>
        <v/>
      </c>
      <c r="N87" s="833" t="str">
        <f t="shared" ca="1" si="34"/>
        <v/>
      </c>
      <c r="O87" s="829" t="str">
        <f ca="1">IF(EXACT($U87,""),"",IF(VLOOKUP($U87,Talente!$A$14:$Q$40,17,FALSE)="","",VLOOKUP($U87,Talente!$A$14:$Q$40,17,FALSE)+IF(OR(AND($U87="Raufen",OR(AKTIV_WLOSHAMMER="X",AKTIV_WLOSHRURUZAT="X",AKTIV_WLOSMERC="X",AND(AKTIV_WLOSGLADIATOR="X",WLOS_GLADIATOR_KS="Raufen"))),AND($U87="Ringen",OR(AKTIV_WLOSBORN="X",AKTIV_WLOSUNAU="X",AND(AKTIV_WLOSGLADIATOR="X",WLOS_GLADIATOR_KS="Ringen")))),1,0)+(WUNDEN-1)*2))</f>
        <v/>
      </c>
      <c r="P87" s="874" t="str">
        <f ca="1">IF(EXACT($U87,""),"",SUM(VLOOKUP($U87,Talente!$A$14:$B$40,2,FALSE),VLOOKUP($U87,Talente!$A$14:$G$40,7,FALSE),VLOOKUP($U87,Talente!$A$14:$J$40,9,FALSE)))</f>
        <v/>
      </c>
      <c r="Q87" s="94"/>
      <c r="R87" s="886" t="str">
        <f ca="1">IF(EXACT($R86,""),"",IF(NOT(EXACT(MID(BTSPRALLE,SUM(S86,1),52),"")),HLOOKUP(Talente!$BS$177,BTABFRAGESPR,MATCH(MID(BTSPRALLE,S86+1,52),BTABFRAGESPR,1),FALSE),""))</f>
        <v/>
      </c>
      <c r="S87" s="886">
        <f t="shared" ca="1" si="32"/>
        <v>0</v>
      </c>
      <c r="T87" s="886"/>
      <c r="U87" s="886" t="str">
        <f ca="1">IF(NOT(EXACT(MID(BTKPFALLE,SUM(V86,1),20),"")),HLOOKUP(Tabellen_Andere!$A$3,TL_KPF,MATCH(MID(BTKPFALLE,V86+1,30),TL_KPF,1)),"")</f>
        <v/>
      </c>
      <c r="V87" s="886">
        <f t="shared" ca="1" si="35"/>
        <v>0</v>
      </c>
      <c r="W87" s="886" t="str">
        <f t="shared" ca="1" si="31"/>
        <v/>
      </c>
    </row>
    <row r="88" spans="1:23" s="71" customFormat="1" ht="12.75" customHeight="1" x14ac:dyDescent="0.2">
      <c r="A88" s="880" t="str">
        <f ca="1">IF(NOT(EXACT($B88,"")),IF(IF(ISERR(FIND(";"&amp;$H88+1&amp;";",VLOOKUP($B88,Talente!$A$177:$F$245,6))),FALSE,TRUE),"SE",""),"")</f>
        <v/>
      </c>
      <c r="B88" s="2143" t="str">
        <f ca="1">R88&amp;IF(OR(R88="",ISERROR(FIND(R88,Talente!$CK$223,1))),
IF(OR(R88="",ISERROR(FIND(R88,Talente!$CL$223,1))),""," [Zweitsprache]")," [Muttersprache]")</f>
        <v/>
      </c>
      <c r="C88" s="2144"/>
      <c r="D88" s="2144"/>
      <c r="E88" s="2145"/>
      <c r="F88" s="2134" t="str">
        <f t="shared" ca="1" si="28"/>
        <v/>
      </c>
      <c r="G88" s="2135"/>
      <c r="H88" s="831" t="str">
        <f ca="1">IF(EXACT($R88,""),"",IF(EXACT(VLOOKUP($R88,Talente!$A$177:$J$245,2,FALSE),""),"",SUM(VLOOKUP($R88,Talente!$A$177:$B$245,2,FALSE),VLOOKUP($R88,Talente!$A$177:$J$245,8,FALSE),VLOOKUP($R88,Talente!$A$177:$J$245,10,FALSE))))</f>
        <v/>
      </c>
      <c r="I88" s="880" t="str">
        <f ca="1">IF(NOT(EXACT($J88,"")),IF(IF(ISERR(FIND(";"&amp;$P88+1&amp;";",VLOOKUP($J88,Talente!$A$14:$F$40,6))),FALSE,TRUE),"SE",""),"")</f>
        <v/>
      </c>
      <c r="J88" s="832" t="str">
        <f t="shared" ca="1" si="29"/>
        <v/>
      </c>
      <c r="K88" s="834" t="str">
        <f ca="1">IF(NOT(EXACT($U88,"")),INDEX(TL_KPF_STW,MATCH($U88,Talente!$A$14:$A$40)),"")</f>
        <v/>
      </c>
      <c r="L88" s="834" t="str">
        <f t="shared" ca="1" si="33"/>
        <v/>
      </c>
      <c r="M88" s="830" t="str">
        <f ca="1">IF(EXACT($U88,""),"",VLOOKUP($U88,Talente!$A$14:$Q$40,16,FALSE)+IF(OR(AND($U88="Raufen",OR(AKTIV_WLOSHAMMER="X",AKTIV_WLOSHRURUZAT="X",AKTIV_WLOSMERC="X",AND(AKTIV_WLOSGLADIATOR="X",WLOS_GLADIATOR_KS="Raufen"))),AND($U88="Ringen",OR(AKTIV_WLOSBORN="X",AKTIV_WLOSUNAU="X",AND(AKTIV_WLOSGLADIATOR="X",WLOS_GLADIATOR_KS="Ringen")))),1,0)-(WUNDEN-1)*2)</f>
        <v/>
      </c>
      <c r="N88" s="833" t="str">
        <f t="shared" ca="1" si="34"/>
        <v/>
      </c>
      <c r="O88" s="829" t="str">
        <f ca="1">IF(EXACT($U88,""),"",IF(VLOOKUP($U88,Talente!$A$14:$Q$40,17,FALSE)="","",VLOOKUP($U88,Talente!$A$14:$Q$40,17,FALSE)+IF(OR(AND($U88="Raufen",OR(AKTIV_WLOSHAMMER="X",AKTIV_WLOSHRURUZAT="X",AKTIV_WLOSMERC="X",AND(AKTIV_WLOSGLADIATOR="X",WLOS_GLADIATOR_KS="Raufen"))),AND($U88="Ringen",OR(AKTIV_WLOSBORN="X",AKTIV_WLOSUNAU="X",AND(AKTIV_WLOSGLADIATOR="X",WLOS_GLADIATOR_KS="Ringen")))),1,0)+(WUNDEN-1)*2))</f>
        <v/>
      </c>
      <c r="P88" s="874" t="str">
        <f ca="1">IF(EXACT($U88,""),"",SUM(VLOOKUP($U88,Talente!$A$14:$B$40,2,FALSE),VLOOKUP($U88,Talente!$A$14:$G$40,7,FALSE),VLOOKUP($U88,Talente!$A$14:$J$40,9,FALSE)))</f>
        <v/>
      </c>
      <c r="Q88" s="94"/>
      <c r="R88" s="886" t="str">
        <f ca="1">IF(EXACT($R87,""),"",IF(NOT(EXACT(MID(BTSPRALLE,SUM(S87,1),52),"")),HLOOKUP(Talente!$BS$177,BTABFRAGESPR,MATCH(MID(BTSPRALLE,S87+1,52),BTABFRAGESPR,1),FALSE),""))</f>
        <v/>
      </c>
      <c r="S88" s="886">
        <f t="shared" ca="1" si="32"/>
        <v>0</v>
      </c>
      <c r="T88" s="886"/>
      <c r="U88" s="886" t="str">
        <f ca="1">IF(NOT(EXACT(MID(BTKPFALLE,SUM(V87,1),20),"")),HLOOKUP(Tabellen_Andere!$A$3,TL_KPF,MATCH(MID(BTKPFALLE,V87+1,30),TL_KPF,1)),"")</f>
        <v/>
      </c>
      <c r="V88" s="886">
        <f t="shared" ca="1" si="35"/>
        <v>0</v>
      </c>
      <c r="W88" s="886" t="str">
        <f t="shared" ca="1" si="31"/>
        <v/>
      </c>
    </row>
    <row r="89" spans="1:23" s="71" customFormat="1" ht="12.75" customHeight="1" x14ac:dyDescent="0.2">
      <c r="A89" s="880" t="str">
        <f ca="1">IF(NOT(EXACT($B89,"")),IF(IF(ISERR(FIND(";"&amp;$H89+1&amp;";",VLOOKUP($B89,Talente!$A$177:$F$245,6))),FALSE,TRUE),"SE",""),"")</f>
        <v/>
      </c>
      <c r="B89" s="2143" t="str">
        <f ca="1">R89&amp;IF(OR(R89="",ISERROR(FIND(R89,Talente!$CK$223,1))),
IF(OR(R89="",ISERROR(FIND(R89,Talente!$CL$223,1))),""," [Zweitsprache]")," [Muttersprache]")</f>
        <v/>
      </c>
      <c r="C89" s="2144"/>
      <c r="D89" s="2144"/>
      <c r="E89" s="2145"/>
      <c r="F89" s="2134" t="str">
        <f t="shared" ca="1" si="28"/>
        <v/>
      </c>
      <c r="G89" s="2135"/>
      <c r="H89" s="831" t="str">
        <f ca="1">IF(EXACT($R89,""),"",IF(EXACT(VLOOKUP($R89,Talente!$A$177:$J$245,2,FALSE),""),"",SUM(VLOOKUP($R89,Talente!$A$177:$B$245,2,FALSE),VLOOKUP($R89,Talente!$A$177:$J$245,8,FALSE),VLOOKUP($R89,Talente!$A$177:$J$245,10,FALSE))))</f>
        <v/>
      </c>
      <c r="I89" s="880" t="str">
        <f ca="1">IF(NOT(EXACT($J89,"")),IF(IF(ISERR(FIND(";"&amp;$P89+1&amp;";",VLOOKUP($J89,Talente!$A$14:$F$40,6))),FALSE,TRUE),"SE",""),"")</f>
        <v/>
      </c>
      <c r="J89" s="832" t="str">
        <f t="shared" ca="1" si="29"/>
        <v/>
      </c>
      <c r="K89" s="834" t="str">
        <f ca="1">IF(NOT(EXACT($U89,"")),INDEX(TL_KPF_STW,MATCH($U89,Talente!$A$14:$A$40)),"")</f>
        <v/>
      </c>
      <c r="L89" s="834" t="str">
        <f t="shared" ca="1" si="33"/>
        <v/>
      </c>
      <c r="M89" s="830" t="str">
        <f ca="1">IF(EXACT($U89,""),"",VLOOKUP($U89,Talente!$A$14:$Q$40,16,FALSE)+IF(OR(AND($U89="Raufen",OR(AKTIV_WLOSHAMMER="X",AKTIV_WLOSHRURUZAT="X",AKTIV_WLOSMERC="X",AND(AKTIV_WLOSGLADIATOR="X",WLOS_GLADIATOR_KS="Raufen"))),AND($U89="Ringen",OR(AKTIV_WLOSBORN="X",AKTIV_WLOSUNAU="X",AND(AKTIV_WLOSGLADIATOR="X",WLOS_GLADIATOR_KS="Ringen")))),1,0)-(WUNDEN-1)*2)</f>
        <v/>
      </c>
      <c r="N89" s="833" t="str">
        <f t="shared" ca="1" si="34"/>
        <v/>
      </c>
      <c r="O89" s="829" t="str">
        <f ca="1">IF(EXACT($U89,""),"",IF(VLOOKUP($U89,Talente!$A$14:$Q$40,17,FALSE)="","",VLOOKUP($U89,Talente!$A$14:$Q$40,17,FALSE)+IF(OR(AND($U89="Raufen",OR(AKTIV_WLOSHAMMER="X",AKTIV_WLOSHRURUZAT="X",AKTIV_WLOSMERC="X",AND(AKTIV_WLOSGLADIATOR="X",WLOS_GLADIATOR_KS="Raufen"))),AND($U89="Ringen",OR(AKTIV_WLOSBORN="X",AKTIV_WLOSUNAU="X",AND(AKTIV_WLOSGLADIATOR="X",WLOS_GLADIATOR_KS="Ringen")))),1,0)+(WUNDEN-1)*2))</f>
        <v/>
      </c>
      <c r="P89" s="874" t="str">
        <f ca="1">IF(EXACT($U89,""),"",SUM(VLOOKUP($U89,Talente!$A$14:$B$40,2,FALSE),VLOOKUP($U89,Talente!$A$14:$G$40,7,FALSE),VLOOKUP($U89,Talente!$A$14:$J$40,9,FALSE)))</f>
        <v/>
      </c>
      <c r="Q89" s="94"/>
      <c r="R89" s="886" t="str">
        <f ca="1">IF(EXACT($R88,""),"",IF(NOT(EXACT(MID(BTSPRALLE,SUM(S88,1),52),"")),HLOOKUP(Talente!$BS$177,BTABFRAGESPR,MATCH(MID(BTSPRALLE,S88+1,52),BTABFRAGESPR,1),FALSE),""))</f>
        <v/>
      </c>
      <c r="S89" s="886">
        <f t="shared" ca="1" si="32"/>
        <v>0</v>
      </c>
      <c r="T89" s="886"/>
      <c r="U89" s="886" t="str">
        <f ca="1">IF(NOT(EXACT(MID(BTKPFALLE,SUM(V88,1),20),"")),HLOOKUP(Tabellen_Andere!$A$3,TL_KPF,MATCH(MID(BTKPFALLE,V88+1,30),TL_KPF,1)),"")</f>
        <v/>
      </c>
      <c r="V89" s="886">
        <f t="shared" ca="1" si="35"/>
        <v>0</v>
      </c>
      <c r="W89" s="886" t="str">
        <f t="shared" ca="1" si="31"/>
        <v/>
      </c>
    </row>
    <row r="90" spans="1:23" s="71" customFormat="1" ht="12.75" customHeight="1" x14ac:dyDescent="0.2">
      <c r="A90" s="880" t="str">
        <f ca="1">IF(NOT(EXACT($B90,"")),IF(IF(ISERR(FIND(";"&amp;$H90+1&amp;";",VLOOKUP($B90,Talente!$A$177:$F$245,6))),FALSE,TRUE),"SE",""),"")</f>
        <v/>
      </c>
      <c r="B90" s="2143" t="str">
        <f ca="1">R90&amp;IF(OR(R90="",ISERROR(FIND(R90,Talente!$CK$223,1))),
IF(OR(R90="",ISERROR(FIND(R90,Talente!$CL$223,1))),""," [Zweitsprache]")," [Muttersprache]")</f>
        <v/>
      </c>
      <c r="C90" s="2144"/>
      <c r="D90" s="2144"/>
      <c r="E90" s="2145"/>
      <c r="F90" s="2134" t="str">
        <f t="shared" ca="1" si="28"/>
        <v/>
      </c>
      <c r="G90" s="2135"/>
      <c r="H90" s="831" t="str">
        <f ca="1">IF(EXACT($R90,""),"",IF(EXACT(VLOOKUP($R90,Talente!$A$177:$J$245,2,FALSE),""),"",SUM(VLOOKUP($R90,Talente!$A$177:$B$245,2,FALSE),VLOOKUP($R90,Talente!$A$177:$J$245,8,FALSE),VLOOKUP($R90,Talente!$A$177:$J$245,10,FALSE))))</f>
        <v/>
      </c>
      <c r="I90" s="880" t="str">
        <f ca="1">IF(NOT(EXACT($J90,"")),IF(IF(ISERR(FIND(";"&amp;$P90+1&amp;";",VLOOKUP($J90,Talente!$A$14:$F$40,6))),FALSE,TRUE),"SE",""),"")</f>
        <v/>
      </c>
      <c r="J90" s="832" t="str">
        <f t="shared" ca="1" si="29"/>
        <v/>
      </c>
      <c r="K90" s="834" t="str">
        <f ca="1">IF(NOT(EXACT($U90,"")),INDEX(TL_KPF_STW,MATCH($U90,Talente!$A$14:$A$40)),"")</f>
        <v/>
      </c>
      <c r="L90" s="834" t="str">
        <f t="shared" ca="1" si="33"/>
        <v/>
      </c>
      <c r="M90" s="830" t="str">
        <f ca="1">IF(EXACT($U90,""),"",VLOOKUP($U90,Talente!$A$14:$Q$40,16,FALSE)+IF(OR(AND($U90="Raufen",OR(AKTIV_WLOSHAMMER="X",AKTIV_WLOSHRURUZAT="X",AKTIV_WLOSMERC="X",AND(AKTIV_WLOSGLADIATOR="X",WLOS_GLADIATOR_KS="Raufen"))),AND($U90="Ringen",OR(AKTIV_WLOSBORN="X",AKTIV_WLOSUNAU="X",AND(AKTIV_WLOSGLADIATOR="X",WLOS_GLADIATOR_KS="Ringen")))),1,0)-(WUNDEN-1)*2)</f>
        <v/>
      </c>
      <c r="N90" s="833" t="str">
        <f t="shared" ca="1" si="34"/>
        <v/>
      </c>
      <c r="O90" s="829" t="str">
        <f ca="1">IF(EXACT($U90,""),"",IF(VLOOKUP($U90,Talente!$A$14:$Q$40,17,FALSE)="","",VLOOKUP($U90,Talente!$A$14:$Q$40,17,FALSE)+IF(OR(AND($U90="Raufen",OR(AKTIV_WLOSHAMMER="X",AKTIV_WLOSHRURUZAT="X",AKTIV_WLOSMERC="X",AND(AKTIV_WLOSGLADIATOR="X",WLOS_GLADIATOR_KS="Raufen"))),AND($U90="Ringen",OR(AKTIV_WLOSBORN="X",AKTIV_WLOSUNAU="X",AND(AKTIV_WLOSGLADIATOR="X",WLOS_GLADIATOR_KS="Ringen")))),1,0)+(WUNDEN-1)*2))</f>
        <v/>
      </c>
      <c r="P90" s="874" t="str">
        <f ca="1">IF(EXACT($U90,""),"",SUM(VLOOKUP($U90,Talente!$A$14:$B$40,2,FALSE),VLOOKUP($U90,Talente!$A$14:$G$40,7,FALSE),VLOOKUP($U90,Talente!$A$14:$J$40,9,FALSE)))</f>
        <v/>
      </c>
      <c r="Q90" s="94"/>
      <c r="R90" s="886" t="str">
        <f ca="1">IF(EXACT($R89,""),"",IF(NOT(EXACT(MID(BTSPRALLE,SUM(S89,1),52),"")),HLOOKUP(Talente!$BS$177,BTABFRAGESPR,MATCH(MID(BTSPRALLE,S89+1,52),BTABFRAGESPR,1),FALSE),""))</f>
        <v/>
      </c>
      <c r="S90" s="886">
        <f t="shared" ca="1" si="32"/>
        <v>0</v>
      </c>
      <c r="T90" s="886"/>
      <c r="U90" s="886" t="str">
        <f ca="1">IF(NOT(EXACT(MID(BTKPFALLE,SUM(V89,1),20),"")),HLOOKUP(Tabellen_Andere!$A$3,TL_KPF,MATCH(MID(BTKPFALLE,V89+1,30),TL_KPF,1)),"")</f>
        <v/>
      </c>
      <c r="V90" s="886">
        <f t="shared" ca="1" si="35"/>
        <v>0</v>
      </c>
      <c r="W90" s="886" t="str">
        <f t="shared" ca="1" si="31"/>
        <v/>
      </c>
    </row>
    <row r="91" spans="1:23" s="71" customFormat="1" x14ac:dyDescent="0.2">
      <c r="A91" s="880" t="str">
        <f ca="1">IF(NOT(EXACT($B91,"")),IF(IF(ISERR(FIND(";"&amp;$H91+1&amp;";",VLOOKUP($B91,Talente!$A$177:$F$245,6))),FALSE,TRUE),"SE",""),"")</f>
        <v/>
      </c>
      <c r="B91" s="2143" t="str">
        <f ca="1">R91&amp;IF(OR(R91="",ISERROR(FIND(R91,Talente!$CK$223,1))),
IF(OR(R91="",ISERROR(FIND(R91,Talente!$CL$223,1))),""," [Zweitsprache]")," [Muttersprache]")</f>
        <v/>
      </c>
      <c r="C91" s="2144"/>
      <c r="D91" s="2144"/>
      <c r="E91" s="2145"/>
      <c r="F91" s="2134" t="str">
        <f t="shared" ca="1" si="28"/>
        <v/>
      </c>
      <c r="G91" s="2135"/>
      <c r="H91" s="831" t="str">
        <f ca="1">IF(EXACT($R91,""),"",IF(EXACT(VLOOKUP($R91,Talente!$A$177:$J$245,2,FALSE),""),"",SUM(VLOOKUP($R91,Talente!$A$177:$B$245,2,FALSE),VLOOKUP($R91,Talente!$A$177:$J$245,8,FALSE),VLOOKUP($R91,Talente!$A$177:$J$245,10,FALSE))))</f>
        <v/>
      </c>
      <c r="I91" s="880" t="str">
        <f ca="1">IF(NOT(EXACT($J91,"")),IF(IF(ISERR(FIND(";"&amp;$P91+1&amp;";",VLOOKUP($J91,Talente!$A$14:$F$40,6))),FALSE,TRUE),"SE",""),"")</f>
        <v/>
      </c>
      <c r="J91" s="832" t="str">
        <f t="shared" ca="1" si="29"/>
        <v/>
      </c>
      <c r="K91" s="834" t="str">
        <f ca="1">IF(NOT(EXACT($U91,"")),INDEX(TL_KPF_STW,MATCH($U91,Talente!$A$14:$A$40)),"")</f>
        <v/>
      </c>
      <c r="L91" s="834" t="str">
        <f t="shared" ca="1" si="33"/>
        <v/>
      </c>
      <c r="M91" s="830" t="str">
        <f ca="1">IF(EXACT($U91,""),"",VLOOKUP($U91,Talente!$A$14:$Q$40,16,FALSE)+IF(OR(AND($U91="Raufen",OR(AKTIV_WLOSHAMMER="X",AKTIV_WLOSHRURUZAT="X",AKTIV_WLOSMERC="X",AND(AKTIV_WLOSGLADIATOR="X",WLOS_GLADIATOR_KS="Raufen"))),AND($U91="Ringen",OR(AKTIV_WLOSBORN="X",AKTIV_WLOSUNAU="X",AND(AKTIV_WLOSGLADIATOR="X",WLOS_GLADIATOR_KS="Ringen")))),1,0)-(WUNDEN-1)*2)</f>
        <v/>
      </c>
      <c r="N91" s="833" t="str">
        <f t="shared" ca="1" si="34"/>
        <v/>
      </c>
      <c r="O91" s="829" t="str">
        <f ca="1">IF(EXACT($U91,""),"",IF(VLOOKUP($U91,Talente!$A$14:$Q$40,17,FALSE)="","",VLOOKUP($U91,Talente!$A$14:$Q$40,17,FALSE)+IF(OR(AND($U91="Raufen",OR(AKTIV_WLOSHAMMER="X",AKTIV_WLOSHRURUZAT="X",AKTIV_WLOSMERC="X",AND(AKTIV_WLOSGLADIATOR="X",WLOS_GLADIATOR_KS="Raufen"))),AND($U91="Ringen",OR(AKTIV_WLOSBORN="X",AKTIV_WLOSUNAU="X",AND(AKTIV_WLOSGLADIATOR="X",WLOS_GLADIATOR_KS="Ringen")))),1,0)+(WUNDEN-1)*2))</f>
        <v/>
      </c>
      <c r="P91" s="874" t="str">
        <f ca="1">IF(EXACT($U91,""),"",SUM(VLOOKUP($U91,Talente!$A$14:$B$40,2,FALSE),VLOOKUP($U91,Talente!$A$14:$G$40,7,FALSE),VLOOKUP($U91,Talente!$A$14:$J$40,9,FALSE)))</f>
        <v/>
      </c>
      <c r="Q91" s="94"/>
      <c r="R91" s="886" t="str">
        <f ca="1">IF(EXACT($R90,""),"",IF(NOT(EXACT(MID(BTSPRALLE,SUM(S90,1),52),"")),HLOOKUP(Talente!$BS$177,BTABFRAGESPR,MATCH(MID(BTSPRALLE,S90+1,52),BTABFRAGESPR,1),FALSE),""))</f>
        <v/>
      </c>
      <c r="S91" s="886">
        <f t="shared" ca="1" si="32"/>
        <v>0</v>
      </c>
      <c r="T91" s="886"/>
      <c r="U91" s="886" t="str">
        <f ca="1">IF(NOT(EXACT(MID(BTKPFALLE,SUM(V90,1),20),"")),HLOOKUP(Tabellen_Andere!$A$3,TL_KPF,MATCH(MID(BTKPFALLE,V90+1,30),TL_KPF,1)),"")</f>
        <v/>
      </c>
      <c r="V91" s="886">
        <f t="shared" ca="1" si="35"/>
        <v>0</v>
      </c>
      <c r="W91" s="886" t="str">
        <f t="shared" ca="1" si="31"/>
        <v/>
      </c>
    </row>
    <row r="92" spans="1:23" s="71" customFormat="1" ht="12.75" customHeight="1" x14ac:dyDescent="0.2">
      <c r="A92" s="880" t="str">
        <f ca="1">IF(NOT(EXACT($B92,"")),IF(IF(ISERR(FIND(";"&amp;$H92+1&amp;";",VLOOKUP($B92,Talente!$A$177:$F$245,6))),FALSE,TRUE),"SE",""),"")</f>
        <v/>
      </c>
      <c r="B92" s="2143" t="str">
        <f ca="1">R92&amp;IF(OR(R92="",ISERROR(FIND(R92,Talente!$CK$223,1))),
IF(OR(R92="",ISERROR(FIND(R92,Talente!$CL$223,1))),""," [Zweitsprache]")," [Muttersprache]")</f>
        <v/>
      </c>
      <c r="C92" s="2144"/>
      <c r="D92" s="2144"/>
      <c r="E92" s="2145"/>
      <c r="F92" s="2134" t="str">
        <f t="shared" ca="1" si="28"/>
        <v/>
      </c>
      <c r="G92" s="2135"/>
      <c r="H92" s="831" t="str">
        <f ca="1">IF(EXACT($R92,""),"",IF(EXACT(VLOOKUP($R92,Talente!$A$177:$J$245,2,FALSE),""),"",SUM(VLOOKUP($R92,Talente!$A$177:$B$245,2,FALSE),VLOOKUP($R92,Talente!$A$177:$J$245,8,FALSE),VLOOKUP($R92,Talente!$A$177:$J$245,10,FALSE))))</f>
        <v/>
      </c>
      <c r="I92" s="880" t="str">
        <f ca="1">IF(NOT(EXACT($J92,"")),IF(IF(ISERR(FIND(";"&amp;$P92+1&amp;";",VLOOKUP($J92,Talente!$A$14:$F$40,6))),FALSE,TRUE),"SE",""),"")</f>
        <v/>
      </c>
      <c r="J92" s="832" t="str">
        <f t="shared" ca="1" si="29"/>
        <v/>
      </c>
      <c r="K92" s="834" t="str">
        <f ca="1">IF(NOT(EXACT($U92,"")),INDEX(TL_KPF_STW,MATCH($U92,Talente!$A$14:$A$40)),"")</f>
        <v/>
      </c>
      <c r="L92" s="834" t="str">
        <f t="shared" ca="1" si="33"/>
        <v/>
      </c>
      <c r="M92" s="830" t="str">
        <f ca="1">IF(EXACT($U92,""),"",VLOOKUP($U92,Talente!$A$14:$Q$40,16,FALSE)+IF(OR(AND($U92="Raufen",OR(AKTIV_WLOSHAMMER="X",AKTIV_WLOSHRURUZAT="X",AKTIV_WLOSMERC="X",AND(AKTIV_WLOSGLADIATOR="X",WLOS_GLADIATOR_KS="Raufen"))),AND($U92="Ringen",OR(AKTIV_WLOSBORN="X",AKTIV_WLOSUNAU="X",AND(AKTIV_WLOSGLADIATOR="X",WLOS_GLADIATOR_KS="Ringen")))),1,0)-(WUNDEN-1)*2)</f>
        <v/>
      </c>
      <c r="N92" s="833" t="str">
        <f t="shared" ca="1" si="34"/>
        <v/>
      </c>
      <c r="O92" s="829" t="str">
        <f ca="1">IF(EXACT($U92,""),"",IF(VLOOKUP($U92,Talente!$A$14:$Q$40,17,FALSE)="","",VLOOKUP($U92,Talente!$A$14:$Q$40,17,FALSE)+IF(OR(AND($U92="Raufen",OR(AKTIV_WLOSHAMMER="X",AKTIV_WLOSHRURUZAT="X",AKTIV_WLOSMERC="X",AND(AKTIV_WLOSGLADIATOR="X",WLOS_GLADIATOR_KS="Raufen"))),AND($U92="Ringen",OR(AKTIV_WLOSBORN="X",AKTIV_WLOSUNAU="X",AND(AKTIV_WLOSGLADIATOR="X",WLOS_GLADIATOR_KS="Ringen")))),1,0)+(WUNDEN-1)*2))</f>
        <v/>
      </c>
      <c r="P92" s="874" t="str">
        <f ca="1">IF(EXACT($U92,""),"",SUM(VLOOKUP($U92,Talente!$A$14:$B$40,2,FALSE),VLOOKUP($U92,Talente!$A$14:$G$40,7,FALSE),VLOOKUP($U92,Talente!$A$14:$J$40,9,FALSE)))</f>
        <v/>
      </c>
      <c r="Q92" s="94"/>
      <c r="R92" s="886" t="str">
        <f ca="1">IF(EXACT($R91,""),"",IF(NOT(EXACT(MID(BTSPRALLE,SUM(S91,1),52),"")),HLOOKUP(Talente!$BS$177,BTABFRAGESPR,MATCH(MID(BTSPRALLE,S91+1,52),BTABFRAGESPR,1),FALSE),""))</f>
        <v/>
      </c>
      <c r="S92" s="886">
        <f t="shared" ca="1" si="32"/>
        <v>0</v>
      </c>
      <c r="T92" s="886"/>
      <c r="U92" s="886" t="str">
        <f ca="1">IF(NOT(EXACT(MID(BTKPFALLE,SUM(V91,1),20),"")),HLOOKUP(Tabellen_Andere!$A$3,TL_KPF,MATCH(MID(BTKPFALLE,V91+1,30),TL_KPF,1)),"")</f>
        <v/>
      </c>
      <c r="V92" s="886">
        <f t="shared" ca="1" si="35"/>
        <v>0</v>
      </c>
      <c r="W92" s="886" t="str">
        <f t="shared" ca="1" si="31"/>
        <v/>
      </c>
    </row>
    <row r="93" spans="1:23" s="71" customFormat="1" ht="12.75" customHeight="1" x14ac:dyDescent="0.2">
      <c r="A93" s="880" t="str">
        <f ca="1">IF(NOT(EXACT($B93,"")),IF(IF(ISERR(FIND(";"&amp;$H93+1&amp;";",VLOOKUP($B93,Talente!$A$177:$F$245,6))),FALSE,TRUE),"SE",""),"")</f>
        <v/>
      </c>
      <c r="B93" s="2143" t="str">
        <f ca="1">R93&amp;IF(OR(R93="",ISERROR(FIND(R93,Talente!$CK$223,1))),
IF(OR(R93="",ISERROR(FIND(R93,Talente!$CL$223,1))),""," [Zweitsprache]")," [Muttersprache]")</f>
        <v/>
      </c>
      <c r="C93" s="2144"/>
      <c r="D93" s="2144"/>
      <c r="E93" s="2145"/>
      <c r="F93" s="2134" t="str">
        <f t="shared" ca="1" si="28"/>
        <v/>
      </c>
      <c r="G93" s="2135"/>
      <c r="H93" s="831" t="str">
        <f ca="1">IF(EXACT($R93,""),"",IF(EXACT(VLOOKUP($R93,Talente!$A$177:$J$245,2,FALSE),""),"",SUM(VLOOKUP($R93,Talente!$A$177:$B$245,2,FALSE),VLOOKUP($R93,Talente!$A$177:$J$245,8,FALSE),VLOOKUP($R93,Talente!$A$177:$J$245,10,FALSE))))</f>
        <v/>
      </c>
      <c r="I93" s="880" t="str">
        <f ca="1">IF(NOT(EXACT($J93,"")),IF(IF(ISERR(FIND(";"&amp;$P93+1&amp;";",VLOOKUP($J93,Talente!$A$14:$F$40,6))),FALSE,TRUE),"SE",""),"")</f>
        <v/>
      </c>
      <c r="J93" s="832" t="str">
        <f t="shared" ca="1" si="29"/>
        <v/>
      </c>
      <c r="K93" s="834" t="str">
        <f ca="1">IF(NOT(EXACT($U93,"")),INDEX(TL_KPF_STW,MATCH($U93,Talente!$A$14:$A$40)),"")</f>
        <v/>
      </c>
      <c r="L93" s="834" t="str">
        <f t="shared" ca="1" si="33"/>
        <v/>
      </c>
      <c r="M93" s="830" t="str">
        <f ca="1">IF(EXACT($U93,""),"",VLOOKUP($U93,Talente!$A$14:$Q$40,16,FALSE)+IF(OR(AND($U93="Raufen",OR(AKTIV_WLOSHAMMER="X",AKTIV_WLOSHRURUZAT="X",AKTIV_WLOSMERC="X",AND(AKTIV_WLOSGLADIATOR="X",WLOS_GLADIATOR_KS="Raufen"))),AND($U93="Ringen",OR(AKTIV_WLOSBORN="X",AKTIV_WLOSUNAU="X",AND(AKTIV_WLOSGLADIATOR="X",WLOS_GLADIATOR_KS="Ringen")))),1,0)-(WUNDEN-1)*2)</f>
        <v/>
      </c>
      <c r="N93" s="833" t="str">
        <f t="shared" ca="1" si="34"/>
        <v/>
      </c>
      <c r="O93" s="829" t="str">
        <f ca="1">IF(EXACT($U93,""),"",IF(VLOOKUP($U93,Talente!$A$14:$Q$40,17,FALSE)="","",VLOOKUP($U93,Talente!$A$14:$Q$40,17,FALSE)+IF(OR(AND($U93="Raufen",OR(AKTIV_WLOSHAMMER="X",AKTIV_WLOSHRURUZAT="X",AKTIV_WLOSMERC="X",AND(AKTIV_WLOSGLADIATOR="X",WLOS_GLADIATOR_KS="Raufen"))),AND($U93="Ringen",OR(AKTIV_WLOSBORN="X",AKTIV_WLOSUNAU="X",AND(AKTIV_WLOSGLADIATOR="X",WLOS_GLADIATOR_KS="Ringen")))),1,0)+(WUNDEN-1)*2))</f>
        <v/>
      </c>
      <c r="P93" s="874" t="str">
        <f ca="1">IF(EXACT($U93,""),"",SUM(VLOOKUP($U93,Talente!$A$14:$B$40,2,FALSE),VLOOKUP($U93,Talente!$A$14:$G$40,7,FALSE),VLOOKUP($U93,Talente!$A$14:$J$40,9,FALSE)))</f>
        <v/>
      </c>
      <c r="Q93" s="94"/>
      <c r="R93" s="886" t="str">
        <f ca="1">IF(EXACT($R92,""),"",IF(NOT(EXACT(MID(BTSPRALLE,SUM(S92,1),52),"")),HLOOKUP(Talente!$BS$177,BTABFRAGESPR,MATCH(MID(BTSPRALLE,S92+1,52),BTABFRAGESPR,1),FALSE),""))</f>
        <v/>
      </c>
      <c r="S93" s="886">
        <f t="shared" ca="1" si="32"/>
        <v>0</v>
      </c>
      <c r="T93" s="886"/>
      <c r="U93" s="886" t="str">
        <f ca="1">IF(NOT(EXACT(MID(BTKPFALLE,SUM(V92,1),20),"")),HLOOKUP(Tabellen_Andere!$A$3,TL_KPF,MATCH(MID(BTKPFALLE,V92+1,30),TL_KPF,1)),"")</f>
        <v/>
      </c>
      <c r="V93" s="886">
        <f t="shared" ca="1" si="35"/>
        <v>0</v>
      </c>
      <c r="W93" s="886" t="str">
        <f t="shared" ca="1" si="31"/>
        <v/>
      </c>
    </row>
    <row r="94" spans="1:23" s="71" customFormat="1" ht="12.75" customHeight="1" x14ac:dyDescent="0.2">
      <c r="A94" s="880" t="str">
        <f ca="1">IF(NOT(EXACT($B94,"")),IF(IF(ISERR(FIND(";"&amp;$H94+1&amp;";",VLOOKUP($B94,Talente!$A$177:$F$245,6))),FALSE,TRUE),"SE",""),"")</f>
        <v/>
      </c>
      <c r="B94" s="2143" t="str">
        <f ca="1">R94&amp;IF(OR(R94="",ISERROR(FIND(R94,Talente!$CK$223,1))),
IF(OR(R94="",ISERROR(FIND(R94,Talente!$CL$223,1))),""," [Zweitsprache]")," [Muttersprache]")</f>
        <v/>
      </c>
      <c r="C94" s="2144"/>
      <c r="D94" s="2144"/>
      <c r="E94" s="2145"/>
      <c r="F94" s="2134" t="str">
        <f t="shared" ca="1" si="28"/>
        <v/>
      </c>
      <c r="G94" s="2135"/>
      <c r="H94" s="831" t="str">
        <f ca="1">IF(EXACT($R94,""),"",IF(EXACT(VLOOKUP($R94,Talente!$A$177:$J$245,2,FALSE),""),"",SUM(VLOOKUP($R94,Talente!$A$177:$B$245,2,FALSE),VLOOKUP($R94,Talente!$A$177:$J$245,8,FALSE),VLOOKUP($R94,Talente!$A$177:$J$245,10,FALSE))))</f>
        <v/>
      </c>
      <c r="I94" s="880" t="str">
        <f ca="1">IF(NOT(EXACT($J94,"")),IF(IF(ISERR(FIND(";"&amp;$P94+1&amp;";",VLOOKUP($J94,Talente!$A$14:$F$40,6))),FALSE,TRUE),"SE",""),"")</f>
        <v/>
      </c>
      <c r="J94" s="832" t="str">
        <f t="shared" ca="1" si="29"/>
        <v/>
      </c>
      <c r="K94" s="834" t="str">
        <f ca="1">IF(NOT(EXACT($U94,"")),INDEX(TL_KPF_STW,MATCH($U94,Talente!$A$14:$A$40)),"")</f>
        <v/>
      </c>
      <c r="L94" s="834" t="str">
        <f t="shared" ca="1" si="33"/>
        <v/>
      </c>
      <c r="M94" s="830" t="str">
        <f ca="1">IF(EXACT($U94,""),"",VLOOKUP($U94,Talente!$A$14:$Q$40,16,FALSE)+IF(OR(AND($U94="Raufen",OR(AKTIV_WLOSHAMMER="X",AKTIV_WLOSHRURUZAT="X",AKTIV_WLOSMERC="X",AND(AKTIV_WLOSGLADIATOR="X",WLOS_GLADIATOR_KS="Raufen"))),AND($U94="Ringen",OR(AKTIV_WLOSBORN="X",AKTIV_WLOSUNAU="X",AND(AKTIV_WLOSGLADIATOR="X",WLOS_GLADIATOR_KS="Ringen")))),1,0)-(WUNDEN-1)*2)</f>
        <v/>
      </c>
      <c r="N94" s="833" t="str">
        <f t="shared" ca="1" si="34"/>
        <v/>
      </c>
      <c r="O94" s="829" t="str">
        <f ca="1">IF(EXACT($U94,""),"",IF(VLOOKUP($U94,Talente!$A$14:$Q$40,17,FALSE)="","",VLOOKUP($U94,Talente!$A$14:$Q$40,17,FALSE)+IF(OR(AND($U94="Raufen",OR(AKTIV_WLOSHAMMER="X",AKTIV_WLOSHRURUZAT="X",AKTIV_WLOSMERC="X",AND(AKTIV_WLOSGLADIATOR="X",WLOS_GLADIATOR_KS="Raufen"))),AND($U94="Ringen",OR(AKTIV_WLOSBORN="X",AKTIV_WLOSUNAU="X",AND(AKTIV_WLOSGLADIATOR="X",WLOS_GLADIATOR_KS="Ringen")))),1,0)+(WUNDEN-1)*2))</f>
        <v/>
      </c>
      <c r="P94" s="874" t="str">
        <f ca="1">IF(EXACT($U94,""),"",SUM(VLOOKUP($U94,Talente!$A$14:$B$40,2,FALSE),VLOOKUP($U94,Talente!$A$14:$G$40,7,FALSE),VLOOKUP($U94,Talente!$A$14:$J$40,9,FALSE)))</f>
        <v/>
      </c>
      <c r="Q94" s="94"/>
      <c r="R94" s="886" t="str">
        <f ca="1">IF(EXACT($R93,""),"",IF(NOT(EXACT(MID(BTSPRALLE,SUM(S93,1),52),"")),HLOOKUP(Talente!$BS$177,BTABFRAGESPR,MATCH(MID(BTSPRALLE,S93+1,52),BTABFRAGESPR,1),FALSE),""))</f>
        <v/>
      </c>
      <c r="S94" s="886">
        <f t="shared" ca="1" si="32"/>
        <v>0</v>
      </c>
      <c r="T94" s="886"/>
      <c r="U94" s="886" t="str">
        <f ca="1">IF(NOT(EXACT(MID(BTKPFALLE,SUM(V93,1),20),"")),HLOOKUP(Tabellen_Andere!$A$3,TL_KPF,MATCH(MID(BTKPFALLE,V93+1,30),TL_KPF,1)),"")</f>
        <v/>
      </c>
      <c r="V94" s="886">
        <f t="shared" ca="1" si="35"/>
        <v>0</v>
      </c>
      <c r="W94" s="886" t="str">
        <f t="shared" ca="1" si="31"/>
        <v/>
      </c>
    </row>
    <row r="95" spans="1:23" s="71" customFormat="1" x14ac:dyDescent="0.2">
      <c r="A95" s="880" t="str">
        <f ca="1">IF(NOT(EXACT($B95,"")),IF(IF(ISERR(FIND(";"&amp;$H95+1&amp;";",VLOOKUP($B95,Talente!$A$177:$F$245,6))),FALSE,TRUE),"SE",""),"")</f>
        <v/>
      </c>
      <c r="B95" s="2143" t="str">
        <f ca="1">R95&amp;IF(OR(R95="",ISERROR(FIND(R95,Talente!$CK$223,1))),
IF(OR(R95="",ISERROR(FIND(R95,Talente!$CL$223,1))),""," [Zweitsprache]")," [Muttersprache]")</f>
        <v/>
      </c>
      <c r="C95" s="2144"/>
      <c r="D95" s="2144"/>
      <c r="E95" s="2145"/>
      <c r="F95" s="2134" t="str">
        <f t="shared" ca="1" si="28"/>
        <v/>
      </c>
      <c r="G95" s="2135"/>
      <c r="H95" s="831" t="str">
        <f ca="1">IF(EXACT($R95,""),"",IF(EXACT(VLOOKUP($R95,Talente!$A$177:$J$245,2,FALSE),""),"",SUM(VLOOKUP($R95,Talente!$A$177:$B$245,2,FALSE),VLOOKUP($R95,Talente!$A$177:$J$245,8,FALSE),VLOOKUP($R95,Talente!$A$177:$J$245,10,FALSE))))</f>
        <v/>
      </c>
      <c r="I95" s="880" t="str">
        <f ca="1">IF(NOT(EXACT($J95,"")),IF(IF(ISERR(FIND(";"&amp;$P95+1&amp;";",VLOOKUP($J95,Talente!$A$14:$F$40,6))),FALSE,TRUE),"SE",""),"")</f>
        <v/>
      </c>
      <c r="J95" s="832" t="str">
        <f t="shared" ca="1" si="29"/>
        <v/>
      </c>
      <c r="K95" s="834" t="str">
        <f ca="1">IF(NOT(EXACT($U95,"")),INDEX(TL_KPF_STW,MATCH($U95,Talente!$A$14:$A$40)),"")</f>
        <v/>
      </c>
      <c r="L95" s="834" t="str">
        <f t="shared" ca="1" si="33"/>
        <v/>
      </c>
      <c r="M95" s="830" t="str">
        <f ca="1">IF(EXACT($U95,""),"",VLOOKUP($U95,Talente!$A$14:$Q$40,16,FALSE)+IF(OR(AND($U95="Raufen",OR(AKTIV_WLOSHAMMER="X",AKTIV_WLOSHRURUZAT="X",AKTIV_WLOSMERC="X",AND(AKTIV_WLOSGLADIATOR="X",WLOS_GLADIATOR_KS="Raufen"))),AND($U95="Ringen",OR(AKTIV_WLOSBORN="X",AKTIV_WLOSUNAU="X",AND(AKTIV_WLOSGLADIATOR="X",WLOS_GLADIATOR_KS="Ringen")))),1,0)-(WUNDEN-1)*2)</f>
        <v/>
      </c>
      <c r="N95" s="833" t="str">
        <f t="shared" ca="1" si="34"/>
        <v/>
      </c>
      <c r="O95" s="829" t="str">
        <f ca="1">IF(EXACT($U95,""),"",IF(VLOOKUP($U95,Talente!$A$14:$Q$40,17,FALSE)="","",VLOOKUP($U95,Talente!$A$14:$Q$40,17,FALSE)+IF(OR(AND($U95="Raufen",OR(AKTIV_WLOSHAMMER="X",AKTIV_WLOSHRURUZAT="X",AKTIV_WLOSMERC="X",AND(AKTIV_WLOSGLADIATOR="X",WLOS_GLADIATOR_KS="Raufen"))),AND($U95="Ringen",OR(AKTIV_WLOSBORN="X",AKTIV_WLOSUNAU="X",AND(AKTIV_WLOSGLADIATOR="X",WLOS_GLADIATOR_KS="Ringen")))),1,0)+(WUNDEN-1)*2))</f>
        <v/>
      </c>
      <c r="P95" s="874" t="str">
        <f ca="1">IF(EXACT($U95,""),"",SUM(VLOOKUP($U95,Talente!$A$14:$B$40,2,FALSE),VLOOKUP($U95,Talente!$A$14:$G$40,7,FALSE),VLOOKUP($U95,Talente!$A$14:$J$40,9,FALSE)))</f>
        <v/>
      </c>
      <c r="Q95" s="94"/>
      <c r="R95" s="886" t="str">
        <f ca="1">IF(EXACT($R94,""),"",IF(NOT(EXACT(MID(BTSPRALLE,SUM(S94,1),52),"")),HLOOKUP(Talente!$BS$177,BTABFRAGESPR,MATCH(MID(BTSPRALLE,S94+1,52),BTABFRAGESPR,1),FALSE),""))</f>
        <v/>
      </c>
      <c r="S95" s="886">
        <f t="shared" ca="1" si="32"/>
        <v>0</v>
      </c>
      <c r="T95" s="886"/>
      <c r="U95" s="886" t="str">
        <f ca="1">IF(NOT(EXACT(MID(BTKPFALLE,SUM(V94,1),20),"")),HLOOKUP(Tabellen_Andere!$A$3,TL_KPF,MATCH(MID(BTKPFALLE,V94+1,30),TL_KPF,1)),"")</f>
        <v/>
      </c>
      <c r="V95" s="886">
        <f t="shared" ca="1" si="35"/>
        <v>0</v>
      </c>
      <c r="W95" s="886" t="str">
        <f t="shared" ca="1" si="31"/>
        <v/>
      </c>
    </row>
    <row r="96" spans="1:23" s="71" customFormat="1" x14ac:dyDescent="0.2">
      <c r="A96" s="880" t="str">
        <f ca="1">IF(NOT(EXACT($B96,"")),IF(IF(ISERR(FIND(";"&amp;$H96+1&amp;";",VLOOKUP($B96,Talente!$A$177:$F$245,6))),FALSE,TRUE),"SE",""),"")</f>
        <v/>
      </c>
      <c r="B96" s="2143" t="str">
        <f ca="1">R96&amp;IF(OR(R96="",ISERROR(FIND(R96,Talente!$CK$223,1))),
IF(OR(R96="",ISERROR(FIND(R96,Talente!$CL$223,1))),""," [Zweitsprache]")," [Muttersprache]")</f>
        <v/>
      </c>
      <c r="C96" s="2144"/>
      <c r="D96" s="2144"/>
      <c r="E96" s="2145"/>
      <c r="F96" s="2134" t="str">
        <f t="shared" ca="1" si="28"/>
        <v/>
      </c>
      <c r="G96" s="2135"/>
      <c r="H96" s="831" t="str">
        <f ca="1">IF(EXACT($R96,""),"",IF(EXACT(VLOOKUP($R96,Talente!$A$177:$J$245,2,FALSE),""),"",SUM(VLOOKUP($R96,Talente!$A$177:$B$245,2,FALSE),VLOOKUP($R96,Talente!$A$177:$J$245,8,FALSE),VLOOKUP($R96,Talente!$A$177:$J$245,10,FALSE))))</f>
        <v/>
      </c>
      <c r="I96" s="880" t="str">
        <f ca="1">IF(NOT(EXACT($J96,"")),IF(IF(ISERR(FIND(";"&amp;$P96+1&amp;";",VLOOKUP($J96,Talente!$A$14:$F$40,6))),FALSE,TRUE),"SE",""),"")</f>
        <v/>
      </c>
      <c r="J96" s="832" t="str">
        <f t="shared" ca="1" si="29"/>
        <v/>
      </c>
      <c r="K96" s="834" t="str">
        <f ca="1">IF(NOT(EXACT($U96,"")),INDEX(TL_KPF_STW,MATCH($U96,Talente!$A$14:$A$40)),"")</f>
        <v/>
      </c>
      <c r="L96" s="834" t="str">
        <f t="shared" ca="1" si="33"/>
        <v/>
      </c>
      <c r="M96" s="830" t="str">
        <f ca="1">IF(EXACT($U96,""),"",VLOOKUP($U96,Talente!$A$14:$Q$40,16,FALSE)+IF(OR(AND($U96="Raufen",OR(AKTIV_WLOSHAMMER="X",AKTIV_WLOSHRURUZAT="X",AKTIV_WLOSMERC="X",AND(AKTIV_WLOSGLADIATOR="X",WLOS_GLADIATOR_KS="Raufen"))),AND($U96="Ringen",OR(AKTIV_WLOSBORN="X",AKTIV_WLOSUNAU="X",AND(AKTIV_WLOSGLADIATOR="X",WLOS_GLADIATOR_KS="Ringen")))),1,0)-(WUNDEN-1)*2)</f>
        <v/>
      </c>
      <c r="N96" s="833" t="str">
        <f t="shared" ca="1" si="34"/>
        <v/>
      </c>
      <c r="O96" s="829" t="str">
        <f ca="1">IF(EXACT($U96,""),"",IF(VLOOKUP($U96,Talente!$A$14:$Q$40,17,FALSE)="","",VLOOKUP($U96,Talente!$A$14:$Q$40,17,FALSE)+IF(OR(AND($U96="Raufen",OR(AKTIV_WLOSHAMMER="X",AKTIV_WLOSHRURUZAT="X",AKTIV_WLOSMERC="X",AND(AKTIV_WLOSGLADIATOR="X",WLOS_GLADIATOR_KS="Raufen"))),AND($U96="Ringen",OR(AKTIV_WLOSBORN="X",AKTIV_WLOSUNAU="X",AND(AKTIV_WLOSGLADIATOR="X",WLOS_GLADIATOR_KS="Ringen")))),1,0)+(WUNDEN-1)*2))</f>
        <v/>
      </c>
      <c r="P96" s="874" t="str">
        <f ca="1">IF(EXACT($U96,""),"",SUM(VLOOKUP($U96,Talente!$A$14:$B$40,2,FALSE),VLOOKUP($U96,Talente!$A$14:$G$40,7,FALSE),VLOOKUP($U96,Talente!$A$14:$J$40,9,FALSE)))</f>
        <v/>
      </c>
      <c r="Q96" s="94"/>
      <c r="R96" s="886" t="str">
        <f ca="1">IF(EXACT($R95,""),"",IF(NOT(EXACT(MID(BTSPRALLE,SUM(S95,1),52),"")),HLOOKUP(Talente!$BS$177,BTABFRAGESPR,MATCH(MID(BTSPRALLE,S95+1,52),BTABFRAGESPR,1),FALSE),""))</f>
        <v/>
      </c>
      <c r="S96" s="886">
        <f t="shared" ca="1" si="32"/>
        <v>0</v>
      </c>
      <c r="T96" s="886"/>
      <c r="U96" s="886" t="str">
        <f ca="1">IF(NOT(EXACT(MID(BTKPFALLE,SUM(V95,1),20),"")),HLOOKUP(Tabellen_Andere!$A$3,TL_KPF,MATCH(MID(BTKPFALLE,V95+1,30),TL_KPF,1)),"")</f>
        <v/>
      </c>
      <c r="V96" s="886">
        <f t="shared" ca="1" si="35"/>
        <v>0</v>
      </c>
      <c r="W96" s="886" t="str">
        <f t="shared" ca="1" si="31"/>
        <v/>
      </c>
    </row>
    <row r="97" spans="1:23" s="71" customFormat="1" x14ac:dyDescent="0.2">
      <c r="A97" s="880" t="str">
        <f ca="1">IF(NOT(EXACT($B97,"")),IF(IF(ISERR(FIND(";"&amp;$H97+1&amp;";",VLOOKUP($B97,Talente!$A$177:$F$245,6))),FALSE,TRUE),"SE",""),"")</f>
        <v/>
      </c>
      <c r="B97" s="2143" t="str">
        <f ca="1">R97&amp;IF(OR(R97="",ISERROR(FIND(R97,Talente!$CK$223,1))),
IF(OR(R97="",ISERROR(FIND(R97,Talente!$CL$223,1))),""," [Zweitsprache]")," [Muttersprache]")</f>
        <v/>
      </c>
      <c r="C97" s="2144"/>
      <c r="D97" s="2144"/>
      <c r="E97" s="2145"/>
      <c r="F97" s="2134" t="str">
        <f t="shared" ca="1" si="28"/>
        <v/>
      </c>
      <c r="G97" s="2135"/>
      <c r="H97" s="831" t="str">
        <f ca="1">IF(EXACT($R97,""),"",IF(EXACT(VLOOKUP($R97,Talente!$A$177:$J$245,2,FALSE),""),"",SUM(VLOOKUP($R97,Talente!$A$177:$B$245,2,FALSE),VLOOKUP($R97,Talente!$A$177:$J$245,8,FALSE),VLOOKUP($R97,Talente!$A$177:$J$245,10,FALSE))))</f>
        <v/>
      </c>
      <c r="I97" s="880" t="str">
        <f ca="1">IF(NOT(EXACT($J97,"")),IF(IF(ISERR(FIND(";"&amp;$P97+1&amp;";",VLOOKUP($J97,Talente!$A$14:$F$40,6))),FALSE,TRUE),"SE",""),"")</f>
        <v/>
      </c>
      <c r="J97" s="832" t="str">
        <f t="shared" ca="1" si="29"/>
        <v/>
      </c>
      <c r="K97" s="834" t="str">
        <f ca="1">IF(NOT(EXACT($U97,"")),INDEX(TL_KPF_STW,MATCH($U97,Talente!$A$14:$A$40)),"")</f>
        <v/>
      </c>
      <c r="L97" s="834" t="str">
        <f t="shared" ca="1" si="33"/>
        <v/>
      </c>
      <c r="M97" s="830" t="str">
        <f ca="1">IF(EXACT($U97,""),"",VLOOKUP($U97,Talente!$A$14:$Q$40,16,FALSE)+IF(OR(AND($U97="Raufen",OR(AKTIV_WLOSHAMMER="X",AKTIV_WLOSHRURUZAT="X",AKTIV_WLOSMERC="X",AND(AKTIV_WLOSGLADIATOR="X",WLOS_GLADIATOR_KS="Raufen"))),AND($U97="Ringen",OR(AKTIV_WLOSBORN="X",AKTIV_WLOSUNAU="X",AND(AKTIV_WLOSGLADIATOR="X",WLOS_GLADIATOR_KS="Ringen")))),1,0)-(WUNDEN-1)*2)</f>
        <v/>
      </c>
      <c r="N97" s="833" t="str">
        <f t="shared" ca="1" si="34"/>
        <v/>
      </c>
      <c r="O97" s="829" t="str">
        <f ca="1">IF(EXACT($U97,""),"",IF(VLOOKUP($U97,Talente!$A$14:$Q$40,17,FALSE)="","",VLOOKUP($U97,Talente!$A$14:$Q$40,17,FALSE)+IF(OR(AND($U97="Raufen",OR(AKTIV_WLOSHAMMER="X",AKTIV_WLOSHRURUZAT="X",AKTIV_WLOSMERC="X",AND(AKTIV_WLOSGLADIATOR="X",WLOS_GLADIATOR_KS="Raufen"))),AND($U97="Ringen",OR(AKTIV_WLOSBORN="X",AKTIV_WLOSUNAU="X",AND(AKTIV_WLOSGLADIATOR="X",WLOS_GLADIATOR_KS="Ringen")))),1,0)+(WUNDEN-1)*2))</f>
        <v/>
      </c>
      <c r="P97" s="874" t="str">
        <f ca="1">IF(EXACT($U97,""),"",SUM(VLOOKUP($U97,Talente!$A$14:$B$40,2,FALSE),VLOOKUP($U97,Talente!$A$14:$G$40,7,FALSE),VLOOKUP($U97,Talente!$A$14:$J$40,9,FALSE)))</f>
        <v/>
      </c>
      <c r="Q97" s="94"/>
      <c r="R97" s="886" t="str">
        <f ca="1">IF(EXACT($R96,""),"",IF(NOT(EXACT(MID(BTSPRALLE,SUM(S96,1),52),"")),HLOOKUP(Talente!$BS$177,BTABFRAGESPR,MATCH(MID(BTSPRALLE,S96+1,52),BTABFRAGESPR,1),FALSE),""))</f>
        <v/>
      </c>
      <c r="S97" s="886">
        <f t="shared" ca="1" si="32"/>
        <v>0</v>
      </c>
      <c r="T97" s="886"/>
      <c r="U97" s="886" t="str">
        <f ca="1">IF(NOT(EXACT(MID(BTKPFALLE,SUM(V96,1),20),"")),HLOOKUP(Tabellen_Andere!$A$3,TL_KPF,MATCH(MID(BTKPFALLE,V96+1,30),TL_KPF,1)),"")</f>
        <v/>
      </c>
      <c r="V97" s="886">
        <f t="shared" ca="1" si="35"/>
        <v>0</v>
      </c>
      <c r="W97" s="886" t="str">
        <f t="shared" ca="1" si="31"/>
        <v/>
      </c>
    </row>
    <row r="98" spans="1:23" s="71" customFormat="1" ht="13.5" thickBot="1" x14ac:dyDescent="0.25">
      <c r="A98" s="880" t="str">
        <f ca="1">IF(NOT(EXACT($B98,"")),IF(IF(ISERR(FIND(";"&amp;$H98+1&amp;";",VLOOKUP($B98,Talente!$A$177:$F$245,6))),FALSE,TRUE),"SE",""),"")</f>
        <v/>
      </c>
      <c r="B98" s="2143" t="str">
        <f ca="1">R98&amp;IF(OR(R98="",ISERROR(FIND(R98,Talente!$CK$223,1))),
IF(OR(R98="",ISERROR(FIND(R98,Talente!$CL$223,1))),""," [Zweitsprache]")," [Muttersprache]")</f>
        <v/>
      </c>
      <c r="C98" s="2144"/>
      <c r="D98" s="2144"/>
      <c r="E98" s="2145"/>
      <c r="F98" s="2134" t="str">
        <f t="shared" ca="1" si="28"/>
        <v/>
      </c>
      <c r="G98" s="2135"/>
      <c r="H98" s="831" t="str">
        <f ca="1">IF(EXACT($R98,""),"",IF(EXACT(VLOOKUP($R98,Talente!$A$177:$J$245,2,FALSE),""),"",SUM(VLOOKUP($R98,Talente!$A$177:$B$245,2,FALSE),VLOOKUP($R98,Talente!$A$177:$J$245,8,FALSE),VLOOKUP($R98,Talente!$A$177:$J$245,10,FALSE))))</f>
        <v/>
      </c>
      <c r="I98" s="860" t="str">
        <f ca="1">IF(NOT(EXACT($J98,"")),IF(IF(ISERR(FIND(";"&amp;$P98+1&amp;";",VLOOKUP($J98,Talente!$A$14:$F$40,6))),FALSE,TRUE),"SE",""),"")</f>
        <v/>
      </c>
      <c r="J98" s="832" t="str">
        <f ca="1">IF(U98="","",VLOOKUP(U98,TL_ALLE,14,FALSE))</f>
        <v/>
      </c>
      <c r="K98" s="834" t="str">
        <f ca="1">IF(NOT(EXACT($U98,"")),INDEX(TL_KPF_STW,MATCH($U98,Talente!$A$14:$A$40)),"")</f>
        <v/>
      </c>
      <c r="L98" s="834" t="str">
        <f t="shared" ca="1" si="33"/>
        <v/>
      </c>
      <c r="M98" s="830" t="str">
        <f ca="1">IF(EXACT($U98,""),"",VLOOKUP($U98,Talente!$A$14:$Q$40,16,FALSE)+IF(OR(AND($U98="Raufen",OR(AKTIV_WLOSHAMMER="X",AKTIV_WLOSHRURUZAT="X",AKTIV_WLOSMERC="X",AND(AKTIV_WLOSGLADIATOR="X",WLOS_GLADIATOR_KS="Raufen"))),AND($U98="Ringen",OR(AKTIV_WLOSBORN="X",AKTIV_WLOSUNAU="X",AND(AKTIV_WLOSGLADIATOR="X",WLOS_GLADIATOR_KS="Ringen")))),1,0)-(WUNDEN-1)*2)</f>
        <v/>
      </c>
      <c r="N98" s="833" t="str">
        <f t="shared" ca="1" si="34"/>
        <v/>
      </c>
      <c r="O98" s="829" t="str">
        <f ca="1">IF(EXACT($U98,""),"",IF(VLOOKUP($U98,Talente!$A$14:$Q$40,17,FALSE)="","",VLOOKUP($U98,Talente!$A$14:$Q$40,17,FALSE)+IF(OR(AND($U98="Raufen",OR(AKTIV_WLOSHAMMER="X",AKTIV_WLOSHRURUZAT="X",AKTIV_WLOSMERC="X",AND(AKTIV_WLOSGLADIATOR="X",WLOS_GLADIATOR_KS="Raufen"))),AND($U98="Ringen",OR(AKTIV_WLOSBORN="X",AKTIV_WLOSUNAU="X",AND(AKTIV_WLOSGLADIATOR="X",WLOS_GLADIATOR_KS="Ringen")))),1,0)+(WUNDEN-1)*2))</f>
        <v/>
      </c>
      <c r="P98" s="874" t="str">
        <f ca="1">IF(EXACT($U98,""),"",SUM(VLOOKUP($U98,Talente!$A$14:$B$40,2,FALSE),VLOOKUP($U98,Talente!$A$14:$G$40,7,FALSE),VLOOKUP($U98,Talente!$A$14:$J$40,9,FALSE)))</f>
        <v/>
      </c>
      <c r="Q98" s="94"/>
      <c r="R98" s="886" t="str">
        <f ca="1">IF(EXACT($R97,""),"",IF(NOT(EXACT(MID(BTSPRALLE,SUM(S97,1),52),"")),HLOOKUP(Talente!$BS$177,BTABFRAGESPR,MATCH(MID(BTSPRALLE,S97+1,52),BTABFRAGESPR,1),FALSE),""))</f>
        <v/>
      </c>
      <c r="S98" s="886">
        <f t="shared" ca="1" si="32"/>
        <v>0</v>
      </c>
      <c r="T98" s="886"/>
      <c r="U98" s="886" t="str">
        <f ca="1">IF(NOT(EXACT(MID(BTKPFALLE,SUM(V97,1),20),"")),HLOOKUP(Tabellen_Andere!$A$3,TL_KPF,MATCH(MID(BTKPFALLE,V97+1,30),TL_KPF,1)),"")</f>
        <v/>
      </c>
      <c r="V98" s="886">
        <f t="shared" ca="1" si="35"/>
        <v>0</v>
      </c>
      <c r="W98" s="886" t="str">
        <f t="shared" ca="1" si="31"/>
        <v/>
      </c>
    </row>
    <row r="99" spans="1:23" s="71" customFormat="1" ht="13.9" customHeight="1" thickTop="1" x14ac:dyDescent="0.2">
      <c r="A99" s="880" t="str">
        <f ca="1">IF(NOT(EXACT($B99,"")),IF(IF(ISERR(FIND(";"&amp;$H99+1&amp;";",VLOOKUP($B99,Talente!$A$177:$F$245,6))),FALSE,TRUE),"SE",""),"")</f>
        <v/>
      </c>
      <c r="B99" s="2143" t="str">
        <f ca="1">R99&amp;IF(OR(R99="",ISERROR(FIND(R99,Talente!$CK$223,1))),
IF(OR(R99="",ISERROR(FIND(R99,Talente!$CL$223,1))),""," [Zweitsprache]")," [Muttersprache]")</f>
        <v/>
      </c>
      <c r="C99" s="2144"/>
      <c r="D99" s="2144"/>
      <c r="E99" s="2145"/>
      <c r="F99" s="2134" t="str">
        <f t="shared" ca="1" si="28"/>
        <v/>
      </c>
      <c r="G99" s="2135"/>
      <c r="H99" s="831" t="str">
        <f ca="1">IF(EXACT($R99,""),"",IF(EXACT(VLOOKUP($R99,Talente!$A$177:$J$245,2,FALSE),""),"",SUM(VLOOKUP($R99,Talente!$A$177:$B$245,2,FALSE),VLOOKUP($R99,Talente!$A$177:$J$245,8,FALSE),VLOOKUP($R99,Talente!$A$177:$J$245,10,FALSE))))</f>
        <v/>
      </c>
      <c r="I99" s="2153" t="s">
        <v>4821</v>
      </c>
      <c r="J99" s="2154"/>
      <c r="K99" s="2154"/>
      <c r="L99" s="2154"/>
      <c r="M99" s="2154"/>
      <c r="N99" s="2154"/>
      <c r="O99" s="873"/>
      <c r="P99" s="891"/>
      <c r="Q99" s="94"/>
      <c r="R99" s="886" t="str">
        <f ca="1">IF(EXACT($R98,""),"",IF(NOT(EXACT(MID(BTSPRALLE,SUM(S98,1),52),"")),HLOOKUP(Talente!$BS$177,BTABFRAGESPR,MATCH(MID(BTSPRALLE,S98+1,52),BTABFRAGESPR,1),FALSE),""))</f>
        <v/>
      </c>
      <c r="S99" s="886">
        <f t="shared" ca="1" si="32"/>
        <v>0</v>
      </c>
      <c r="T99" s="886"/>
      <c r="U99" s="886"/>
      <c r="V99" s="886"/>
      <c r="W99" s="886" t="str">
        <f t="shared" ca="1" si="31"/>
        <v/>
      </c>
    </row>
    <row r="100" spans="1:23" s="71" customFormat="1" ht="13.15" customHeight="1" x14ac:dyDescent="0.2">
      <c r="A100" s="880" t="str">
        <f ca="1">IF(NOT(EXACT($B100,"")),IF(IF(ISERR(FIND(";"&amp;$H100+1&amp;";",VLOOKUP($B100,Talente!$A$177:$F$245,6))),FALSE,TRUE),"SE",""),"")</f>
        <v/>
      </c>
      <c r="B100" s="2143" t="str">
        <f ca="1">R100&amp;IF(OR(R100="",ISERROR(FIND(R100,Talente!$CK$223,1))),
IF(OR(R100="",ISERROR(FIND(R100,Talente!$CL$223,1))),""," [Zweitsprache]")," [Muttersprache]")</f>
        <v/>
      </c>
      <c r="C100" s="2144"/>
      <c r="D100" s="2144"/>
      <c r="E100" s="2145"/>
      <c r="F100" s="2134" t="str">
        <f t="shared" ca="1" si="28"/>
        <v/>
      </c>
      <c r="G100" s="2135"/>
      <c r="H100" s="831" t="str">
        <f ca="1">IF(EXACT($R100,""),"",IF(EXACT(VLOOKUP($R100,Talente!$A$177:$J$245,2,FALSE),""),"",SUM(VLOOKUP($R100,Talente!$A$177:$B$245,2,FALSE),VLOOKUP($R100,Talente!$A$177:$J$245,8,FALSE),VLOOKUP($R100,Talente!$A$177:$J$245,10,FALSE))))</f>
        <v/>
      </c>
      <c r="I100" s="2155"/>
      <c r="J100" s="2156"/>
      <c r="K100" s="2156"/>
      <c r="L100" s="2156"/>
      <c r="M100" s="2156"/>
      <c r="N100" s="2156"/>
      <c r="O100" s="893"/>
      <c r="P100" s="885" t="s">
        <v>718</v>
      </c>
      <c r="Q100" s="94"/>
      <c r="R100" s="886" t="str">
        <f ca="1">IF(EXACT($R99,""),"",IF(NOT(EXACT(MID(BTSPRALLE,SUM(S99,1),52),"")),HLOOKUP(Talente!$BS$177,BTABFRAGESPR,MATCH(MID(BTSPRALLE,S99+1,52),BTABFRAGESPR,1),FALSE),""))</f>
        <v/>
      </c>
      <c r="S100" s="886">
        <f t="shared" ca="1" si="32"/>
        <v>0</v>
      </c>
      <c r="T100" s="886"/>
      <c r="U100" s="886"/>
      <c r="V100" s="886"/>
      <c r="W100" s="886" t="str">
        <f t="shared" ca="1" si="31"/>
        <v/>
      </c>
    </row>
    <row r="101" spans="1:23" s="71" customFormat="1" x14ac:dyDescent="0.2">
      <c r="A101" s="880" t="str">
        <f ca="1">IF(NOT(EXACT($B101,"")),IF(IF(ISERR(FIND(";"&amp;$H101+1&amp;";",VLOOKUP($B101,Talente!$A$177:$F$245,6))),FALSE,TRUE),"SE",""),"")</f>
        <v/>
      </c>
      <c r="B101" s="2143" t="str">
        <f ca="1">R101&amp;IF(OR(R101="",ISERROR(FIND(R101,Talente!$CK$223,1))),
IF(OR(R101="",ISERROR(FIND(R101,Talente!$CL$223,1))),""," [Zweitsprache]")," [Muttersprache]")</f>
        <v/>
      </c>
      <c r="C101" s="2144"/>
      <c r="D101" s="2144"/>
      <c r="E101" s="2145"/>
      <c r="F101" s="2134" t="str">
        <f t="shared" ca="1" si="28"/>
        <v/>
      </c>
      <c r="G101" s="2135"/>
      <c r="H101" s="831" t="str">
        <f ca="1">IF(EXACT($R101,""),"",IF(EXACT(VLOOKUP($R101,Talente!$A$177:$J$245,2,FALSE),""),"",SUM(VLOOKUP($R101,Talente!$A$177:$B$245,2,FALSE),VLOOKUP($R101,Talente!$A$177:$J$245,8,FALSE),VLOOKUP($R101,Talente!$A$177:$J$245,10,FALSE))))</f>
        <v/>
      </c>
      <c r="I101" s="880" t="str">
        <f ca="1">IF(NOT(EXACT($J101,"")),IF(IF(ISERR(FIND(";"&amp;$P101+1&amp;";",VLOOKUP($J101,Talente!$A$107:$I$157,6))),FALSE,TRUE),"SE",""),"")</f>
        <v/>
      </c>
      <c r="J101" s="864" t="str">
        <f>IF(ISBLANK(Talente!$A159),"",Talente!$A159)</f>
        <v>Wache halten</v>
      </c>
      <c r="K101" s="853"/>
      <c r="L101" s="862" t="str">
        <f t="shared" ref="L101:L106" si="36">IF(J101="","",CONCATENATE(VLOOKUP($J101,TL_META_WERTE,2,FALSE),"•",VLOOKUP($J101,TL_META_WERTE,3,FALSE),"•",VLOOKUP($J101,TL_META_WERTE,4,FALSE)))</f>
        <v>MU•IN•KO</v>
      </c>
      <c r="M101" s="861"/>
      <c r="N101" s="818" t="str">
        <f t="shared" ref="N101:N106" ca="1" si="37">IF(J101="","",CONCATENATE(INDIRECT(VLOOKUP($J101,TL_META_WERTE,2,FALSE)),"•",INDIRECT(VLOOKUP($J101,TL_META_WERTE,3,FALSE)),"•",INDIRECT(VLOOKUP($J101,TL_META_WERTE,4,FALSE))))</f>
        <v>8•8•8</v>
      </c>
      <c r="O101" s="883"/>
      <c r="P101" s="828">
        <f ca="1">IF(ISBLANK(Talente!$A159),"",Talente!$B159)</f>
        <v>0</v>
      </c>
      <c r="Q101" s="94"/>
      <c r="R101" s="886" t="str">
        <f ca="1">IF(EXACT($R100,""),"",IF(NOT(EXACT(MID(BTSPRALLE,SUM(S100,1),52),"")),HLOOKUP(Talente!$BS$177,BTABFRAGESPR,MATCH(MID(BTSPRALLE,S100+1,52),BTABFRAGESPR,1),FALSE),""))</f>
        <v/>
      </c>
      <c r="S101" s="886">
        <f t="shared" ca="1" si="32"/>
        <v>0</v>
      </c>
      <c r="T101" s="886"/>
      <c r="U101" s="886"/>
      <c r="V101" s="886"/>
      <c r="W101" s="886" t="str">
        <f t="shared" ca="1" si="31"/>
        <v/>
      </c>
    </row>
    <row r="102" spans="1:23" s="71" customFormat="1" x14ac:dyDescent="0.2">
      <c r="A102" s="880" t="str">
        <f ca="1">IF(NOT(EXACT($B102,"")),IF(IF(ISERR(FIND(";"&amp;$H102+1&amp;";",VLOOKUP($B102,Talente!$A$177:$F$245,6))),FALSE,TRUE),"SE",""),"")</f>
        <v/>
      </c>
      <c r="B102" s="2143" t="str">
        <f ca="1">R102&amp;IF(OR(R102="",ISERROR(FIND(R102,Talente!$CK$223,1))),
IF(OR(R102="",ISERROR(FIND(R102,Talente!$CL$223,1))),""," [Zweitsprache]")," [Muttersprache]")</f>
        <v/>
      </c>
      <c r="C102" s="2144"/>
      <c r="D102" s="2144"/>
      <c r="E102" s="2145"/>
      <c r="F102" s="2134" t="str">
        <f t="shared" ca="1" si="28"/>
        <v/>
      </c>
      <c r="G102" s="2135"/>
      <c r="H102" s="831" t="str">
        <f ca="1">IF(EXACT($R102,""),"",IF(EXACT(VLOOKUP($R102,Talente!$A$177:$J$245,2,FALSE),""),"",SUM(VLOOKUP($R102,Talente!$A$177:$B$245,2,FALSE),VLOOKUP($R102,Talente!$A$177:$J$245,8,FALSE),VLOOKUP($R102,Talente!$A$177:$J$245,10,FALSE))))</f>
        <v/>
      </c>
      <c r="I102" s="880" t="str">
        <f ca="1">IF(NOT(EXACT($J102,"")),IF(IF(ISERR(FIND(";"&amp;$P102+1&amp;";",VLOOKUP($J102,Talente!$A$107:$I$157,6))),FALSE,TRUE),"SE",""),"")</f>
        <v/>
      </c>
      <c r="J102" s="864" t="str">
        <f>IF(ISBLANK(Talente!$A160),"",Talente!$A160)</f>
        <v>Kräuter suchen</v>
      </c>
      <c r="K102" s="853"/>
      <c r="L102" s="862" t="str">
        <f t="shared" si="36"/>
        <v>MU•IN•FF</v>
      </c>
      <c r="M102" s="861"/>
      <c r="N102" s="818" t="str">
        <f t="shared" ca="1" si="37"/>
        <v>8•8•8</v>
      </c>
      <c r="O102" s="883"/>
      <c r="P102" s="828" t="str">
        <f ca="1">IF(ISBLANK(Talente!$A160),"",Talente!$B160)</f>
        <v>akt.</v>
      </c>
      <c r="Q102" s="94"/>
      <c r="R102" s="886" t="str">
        <f ca="1">IF(EXACT($R101,""),"",IF(NOT(EXACT(MID(BTSPRALLE,SUM(S101,1),52),"")),HLOOKUP(Talente!$BS$177,BTABFRAGESPR,MATCH(MID(BTSPRALLE,S101+1,52),BTABFRAGESPR,1),FALSE),""))</f>
        <v/>
      </c>
      <c r="S102" s="886">
        <f t="shared" ca="1" si="32"/>
        <v>0</v>
      </c>
      <c r="T102" s="886"/>
      <c r="U102" s="886"/>
      <c r="V102" s="886"/>
      <c r="W102" s="886" t="str">
        <f t="shared" ca="1" si="31"/>
        <v/>
      </c>
    </row>
    <row r="103" spans="1:23" s="71" customFormat="1" x14ac:dyDescent="0.2">
      <c r="A103" s="880" t="str">
        <f ca="1">IF(NOT(EXACT($B103,"")),IF(IF(ISERR(FIND(";"&amp;$H103+1&amp;";",VLOOKUP($B103,Talente!$A$177:$F$245,6))),FALSE,TRUE),"SE",""),"")</f>
        <v/>
      </c>
      <c r="B103" s="2143" t="str">
        <f ca="1">R103&amp;IF(OR(R103="",ISERROR(FIND(R103,Talente!$CK$223,1))),
IF(OR(R103="",ISERROR(FIND(R103,Talente!$CL$223,1))),""," [Zweitsprache]")," [Muttersprache]")</f>
        <v/>
      </c>
      <c r="C103" s="2144"/>
      <c r="D103" s="2144"/>
      <c r="E103" s="2145"/>
      <c r="F103" s="2134" t="str">
        <f t="shared" ca="1" si="28"/>
        <v/>
      </c>
      <c r="G103" s="2135"/>
      <c r="H103" s="831" t="str">
        <f ca="1">IF(EXACT($R103,""),"",IF(EXACT(VLOOKUP($R103,Talente!$A$177:$J$245,2,FALSE),""),"",SUM(VLOOKUP($R103,Talente!$A$177:$B$245,2,FALSE),VLOOKUP($R103,Talente!$A$177:$J$245,8,FALSE),VLOOKUP($R103,Talente!$A$177:$J$245,10,FALSE))))</f>
        <v/>
      </c>
      <c r="I103" s="880" t="str">
        <f ca="1">IF(NOT(EXACT($J103,"")),IF(IF(ISERR(FIND(";"&amp;$P103+1&amp;";",VLOOKUP($J103,Talente!$A$107:$I$157,6))),FALSE,TRUE),"SE",""),"")</f>
        <v/>
      </c>
      <c r="J103" s="864" t="str">
        <f>IF(ISBLANK(Talente!$A161),"",Talente!$A161)</f>
        <v>Nahrung sammeln</v>
      </c>
      <c r="K103" s="853"/>
      <c r="L103" s="862" t="str">
        <f t="shared" si="36"/>
        <v>MU•IN•FF</v>
      </c>
      <c r="M103" s="861"/>
      <c r="N103" s="818" t="str">
        <f t="shared" ca="1" si="37"/>
        <v>8•8•8</v>
      </c>
      <c r="O103" s="883"/>
      <c r="P103" s="828" t="str">
        <f ca="1">IF(ISBLANK(Talente!$A161),"",Talente!$B161)</f>
        <v>akt.</v>
      </c>
      <c r="Q103" s="94"/>
      <c r="R103" s="886" t="str">
        <f ca="1">IF(EXACT($R102,""),"",IF(NOT(EXACT(MID(BTSPRALLE,SUM(S102,1),52),"")),HLOOKUP(Talente!$BS$177,BTABFRAGESPR,MATCH(MID(BTSPRALLE,S102+1,52),BTABFRAGESPR,1),FALSE),""))</f>
        <v/>
      </c>
      <c r="S103" s="886">
        <f t="shared" ca="1" si="32"/>
        <v>0</v>
      </c>
      <c r="T103" s="886"/>
      <c r="U103" s="886"/>
      <c r="V103" s="886"/>
      <c r="W103" s="886" t="str">
        <f t="shared" ca="1" si="31"/>
        <v/>
      </c>
    </row>
    <row r="104" spans="1:23" s="71" customFormat="1" ht="12.75" customHeight="1" x14ac:dyDescent="0.2">
      <c r="A104" s="880" t="str">
        <f ca="1">IF(NOT(EXACT($B104,"")),IF(IF(ISERR(FIND(";"&amp;$H104+1&amp;";",VLOOKUP($B104,Talente!$A$177:$F$245,6))),FALSE,TRUE),"SE",""),"")</f>
        <v/>
      </c>
      <c r="B104" s="2143" t="str">
        <f ca="1">R104&amp;IF(OR(R104="",ISERROR(FIND(R104,Talente!$CK$223,1))),
IF(OR(R104="",ISERROR(FIND(R104,Talente!$CL$223,1))),""," [Zweitsprache]")," [Muttersprache]")</f>
        <v/>
      </c>
      <c r="C104" s="2144"/>
      <c r="D104" s="2144"/>
      <c r="E104" s="2145"/>
      <c r="F104" s="2134" t="str">
        <f t="shared" ca="1" si="28"/>
        <v/>
      </c>
      <c r="G104" s="2135"/>
      <c r="H104" s="831" t="str">
        <f ca="1">IF(EXACT($R104,""),"",IF(EXACT(VLOOKUP($R104,Talente!$A$177:$J$245,2,FALSE),""),"",SUM(VLOOKUP($R104,Talente!$A$177:$B$245,2,FALSE),VLOOKUP($R104,Talente!$A$177:$J$245,8,FALSE),VLOOKUP($R104,Talente!$A$177:$J$245,10,FALSE))))</f>
        <v/>
      </c>
      <c r="I104" s="880" t="str">
        <f ca="1">IF(NOT(EXACT($J104,"")),IF(IF(ISERR(FIND(";"&amp;$P104+1&amp;";",VLOOKUP($J104,Talente!$A$107:$I$157,6))),FALSE,TRUE),"SE",""),"")</f>
        <v/>
      </c>
      <c r="J104" s="864" t="str">
        <f>IF(ISBLANK(Talente!$A162),"",Talente!$A162)</f>
        <v>Pirschjagd Wurfmesser</v>
      </c>
      <c r="K104" s="853"/>
      <c r="L104" s="862" t="str">
        <f t="shared" si="36"/>
        <v>MU•IN•GE</v>
      </c>
      <c r="M104" s="861"/>
      <c r="N104" s="818" t="str">
        <f t="shared" ca="1" si="37"/>
        <v>8•8•8</v>
      </c>
      <c r="O104" s="883"/>
      <c r="P104" s="828" t="str">
        <f ca="1">IF(ISBLANK(Talente!$A162),"",Talente!$B162)</f>
        <v>akt.</v>
      </c>
      <c r="Q104" s="94"/>
      <c r="R104" s="886" t="str">
        <f ca="1">IF(EXACT($R103,""),"",IF(NOT(EXACT(MID(BTSPRALLE,SUM(S103,1),52),"")),HLOOKUP(Talente!$BS$177,BTABFRAGESPR,MATCH(MID(BTSPRALLE,S103+1,52),BTABFRAGESPR,1),FALSE),""))</f>
        <v/>
      </c>
      <c r="S104" s="886">
        <f t="shared" ca="1" si="32"/>
        <v>0</v>
      </c>
      <c r="T104" s="886"/>
      <c r="U104" s="886"/>
      <c r="V104" s="886"/>
      <c r="W104" s="886" t="str">
        <f t="shared" ca="1" si="31"/>
        <v/>
      </c>
    </row>
    <row r="105" spans="1:23" s="71" customFormat="1" ht="12.75" customHeight="1" x14ac:dyDescent="0.2">
      <c r="A105" s="880" t="str">
        <f ca="1">IF(NOT(EXACT($B105,"")),IF(IF(ISERR(FIND(";"&amp;#REF!+1&amp;";",VLOOKUP($B105,Talente!$A$177:$F$245,6))),FALSE,TRUE),"SE",""),"")</f>
        <v/>
      </c>
      <c r="B105" s="2143" t="str">
        <f ca="1">R105&amp;IF(OR(R105="",ISERROR(FIND(R105,Talente!$CK$223,1))),
IF(OR(R105="",ISERROR(FIND(R105,Talente!$CL$223,1))),""," [Zweitsprache]")," [Muttersprache]")</f>
        <v/>
      </c>
      <c r="C105" s="2144"/>
      <c r="D105" s="2144"/>
      <c r="E105" s="2145"/>
      <c r="F105" s="2134" t="str">
        <f t="shared" ca="1" si="28"/>
        <v/>
      </c>
      <c r="G105" s="2135"/>
      <c r="H105" s="831" t="str">
        <f ca="1">IF(EXACT($R105,""),"",IF(EXACT(VLOOKUP($R105,Talente!$A$177:$J$245,2,FALSE),""),"",SUM(VLOOKUP($R105,Talente!$A$177:$B$245,2,FALSE),VLOOKUP($R105,Talente!$A$177:$J$245,8,FALSE),VLOOKUP($R105,Talente!$A$177:$J$245,10,FALSE))))</f>
        <v/>
      </c>
      <c r="I105" s="880" t="str">
        <f ca="1">IF(NOT(EXACT($J105,"")),IF(IF(ISERR(FIND(";"&amp;$P105+1&amp;";",VLOOKUP($J105,Talente!$A$107:$I$157,6))),FALSE,TRUE),"SE",""),"")</f>
        <v/>
      </c>
      <c r="J105" s="864" t="str">
        <f>IF(ISBLANK(Talente!$A163),"",Talente!$A163)</f>
        <v>Ansitzjagd Bogen</v>
      </c>
      <c r="K105" s="853"/>
      <c r="L105" s="862" t="str">
        <f t="shared" si="36"/>
        <v>MU•IN•GE</v>
      </c>
      <c r="M105" s="861"/>
      <c r="N105" s="818" t="str">
        <f t="shared" ca="1" si="37"/>
        <v>8•8•8</v>
      </c>
      <c r="O105" s="883"/>
      <c r="P105" s="828" t="str">
        <f ca="1">IF(ISBLANK(Talente!$A163),"",Talente!$B163)</f>
        <v>akt.</v>
      </c>
      <c r="Q105" s="94"/>
      <c r="R105" s="886" t="str">
        <f ca="1">IF(EXACT($R104,""),"",IF(NOT(EXACT(MID(BTSPRALLE,SUM(S104,1),52),"")),HLOOKUP(Talente!$BS$177,BTABFRAGESPR,MATCH(MID(BTSPRALLE,S104+1,52),BTABFRAGESPR,1),FALSE),""))</f>
        <v/>
      </c>
      <c r="S105" s="886">
        <f t="shared" ca="1" si="32"/>
        <v>0</v>
      </c>
      <c r="T105" s="886"/>
      <c r="U105" s="886"/>
      <c r="V105" s="886"/>
      <c r="W105" s="886" t="str">
        <f t="shared" ca="1" si="31"/>
        <v/>
      </c>
    </row>
    <row r="106" spans="1:23" s="71" customFormat="1" x14ac:dyDescent="0.2">
      <c r="A106" s="880" t="str">
        <f ca="1">IF(NOT(EXACT($B106,"")),IF(IF(ISERR(FIND(";"&amp;$H105+1&amp;";",VLOOKUP($B106,Talente!$A$177:$F$245,6))),FALSE,TRUE),"SE",""),"")</f>
        <v/>
      </c>
      <c r="B106" s="2143" t="str">
        <f ca="1">R106&amp;IF(OR(R106="",ISERROR(FIND(R106,Talente!$CK$223,1))),
IF(OR(R106="",ISERROR(FIND(R106,Talente!$CL$223,1))),""," [Zweitsprache]")," [Muttersprache]")</f>
        <v/>
      </c>
      <c r="C106" s="2144"/>
      <c r="D106" s="2144"/>
      <c r="E106" s="2145"/>
      <c r="F106" s="2134" t="str">
        <f t="shared" ca="1" si="28"/>
        <v/>
      </c>
      <c r="G106" s="2135"/>
      <c r="H106" s="831" t="str">
        <f ca="1">IF(EXACT($R106,""),"",IF(EXACT(VLOOKUP($R106,Talente!$A$177:$J$245,2,FALSE),""),"",SUM(VLOOKUP($R106,Talente!$A$177:$B$245,2,FALSE),VLOOKUP($R106,Talente!$A$177:$J$245,8,FALSE),VLOOKUP($R106,Talente!$A$177:$J$245,10,FALSE))))</f>
        <v/>
      </c>
      <c r="I106" s="880" t="str">
        <f ca="1">IF(NOT(EXACT($J106,"")),IF(IF(ISERR(FIND(";"&amp;$P106+1&amp;";",VLOOKUP($J106,Talente!$A$107:$I$157,6))),FALSE,TRUE),"SE",""),"")</f>
        <v/>
      </c>
      <c r="J106" s="864" t="str">
        <f>IF(ISBLANK(Talente!$A164),"",Talente!$A164)</f>
        <v>Kontrollwert Meister der Elemente</v>
      </c>
      <c r="K106" s="853"/>
      <c r="L106" s="862" t="str">
        <f t="shared" si="36"/>
        <v>MU•IN•CH</v>
      </c>
      <c r="M106" s="861"/>
      <c r="N106" s="818" t="str">
        <f t="shared" ca="1" si="37"/>
        <v>8•8•8</v>
      </c>
      <c r="O106" s="883"/>
      <c r="P106" s="828" t="str">
        <f ca="1">IF(ISBLANK(Talente!$A164),"",Talente!$B164)</f>
        <v>akt.</v>
      </c>
      <c r="Q106" s="94"/>
      <c r="R106" s="886" t="str">
        <f ca="1">IF(EXACT($R105,""),"",IF(NOT(EXACT(MID(BTSPRALLE,SUM(S105,1),52),"")),HLOOKUP(Talente!$BS$177,BTABFRAGESPR,MATCH(MID(BTSPRALLE,S105+1,52),BTABFRAGESPR,1),FALSE),""))</f>
        <v/>
      </c>
      <c r="S106" s="886">
        <f t="shared" ca="1" si="32"/>
        <v>0</v>
      </c>
      <c r="T106" s="886"/>
      <c r="U106" s="886"/>
      <c r="V106" s="886"/>
      <c r="W106" s="886" t="str">
        <f t="shared" ca="1" si="31"/>
        <v/>
      </c>
    </row>
    <row r="107" spans="1:23" s="278" customFormat="1" ht="13.5" thickBot="1" x14ac:dyDescent="0.25">
      <c r="A107" s="880"/>
      <c r="B107" s="2143" t="str">
        <f ca="1">R107&amp;IF(OR(R107="",ISERROR(FIND(R107,Talente!$CK$223,1))),
IF(OR(R107="",ISERROR(FIND(R107,Talente!$CL$223,1))),""," [Zweitsprache]")," [Muttersprache]")</f>
        <v/>
      </c>
      <c r="C107" s="2144"/>
      <c r="D107" s="2144"/>
      <c r="E107" s="2145"/>
      <c r="F107" s="2134" t="str">
        <f t="shared" ca="1" si="28"/>
        <v/>
      </c>
      <c r="G107" s="2135"/>
      <c r="H107" s="831" t="str">
        <f ca="1">IF(EXACT($R107,""),"",IF(EXACT(VLOOKUP($R107,Talente!$A$177:$J$245,2,FALSE),""),"",SUM(VLOOKUP($R107,Talente!$A$177:$B$245,2,FALSE),VLOOKUP($R107,Talente!$A$177:$J$245,8,FALSE),VLOOKUP($R107,Talente!$A$177:$J$245,10,FALSE))))</f>
        <v/>
      </c>
      <c r="I107" s="827"/>
      <c r="J107" s="859" t="str">
        <f>IF(ISBLANK(Talente!$A166),"",Talente!$A166)</f>
        <v/>
      </c>
      <c r="K107" s="849"/>
      <c r="L107" s="848" t="str">
        <f>IF(J107="","",CONCATENATE(Talente!J166,"•",Talente!K166,"•",Talente!L166))</f>
        <v/>
      </c>
      <c r="M107" s="847"/>
      <c r="N107" s="867" t="str">
        <f ca="1">IF(J107="","",CONCATENATE(INDIRECT(Talente!J166),"•",INDIRECT(Talente!K166),"•",INDIRECT(Talente!L166)))</f>
        <v/>
      </c>
      <c r="O107" s="826"/>
      <c r="P107" s="825" t="str">
        <f>IF(ISBLANK(Talente!$A166),"",Talente!$O166)</f>
        <v/>
      </c>
      <c r="Q107" s="94"/>
      <c r="R107" s="886" t="str">
        <f ca="1">IF(EXACT($R106,""),"",IF(NOT(EXACT(MID(BTSPRALLE,SUM(S106,1),52),"")),HLOOKUP(Talente!$BS$177,BTABFRAGESPR,MATCH(MID(BTSPRALLE,S106+1,52),BTABFRAGESPR,1),FALSE),""))</f>
        <v/>
      </c>
      <c r="S107" s="886">
        <f t="shared" ca="1" si="32"/>
        <v>0</v>
      </c>
      <c r="T107" s="824"/>
      <c r="U107" s="824"/>
      <c r="V107" s="824"/>
      <c r="W107" s="886" t="str">
        <f t="shared" ca="1" si="31"/>
        <v/>
      </c>
    </row>
    <row r="108" spans="1:23" s="278" customFormat="1" ht="12.75" customHeight="1" outlineLevel="1" thickTop="1" x14ac:dyDescent="0.2">
      <c r="A108" s="823" t="str">
        <f>IF(NOT(ISBLANK($B108)),IF(NOT(EXACT(#REF!,"")),"!!",IF(NOT(ISBLANK(VLOOKUP(REPLACE($B108,FIND(" (",$B108),11,""),Talente!$A$107:$I$157,5))),"SE","")),"")</f>
        <v/>
      </c>
      <c r="B108" s="463"/>
      <c r="C108" s="463"/>
      <c r="D108" s="793"/>
      <c r="E108" s="793"/>
      <c r="F108" s="793"/>
      <c r="G108" s="793"/>
      <c r="H108" s="822" t="str">
        <f>IF(EXACT($B108,""),"",SUM(VLOOKUP(REPLACE($B108,FIND(" (",$B108),11,""),Talente!$A$107:$I$157,2,FALSE),VLOOKUP(REPLACE($B108,FIND(" (",$B108),11,""),Talente!$A$107:$I$157,7,FALSE)))</f>
        <v/>
      </c>
      <c r="Q108" s="94"/>
      <c r="R108" s="824"/>
      <c r="S108" s="824"/>
      <c r="T108" s="824"/>
      <c r="U108" s="824"/>
      <c r="V108" s="824"/>
    </row>
    <row r="109" spans="1:23" s="278" customFormat="1" ht="12.75" customHeight="1" outlineLevel="1" thickBot="1" x14ac:dyDescent="0.25">
      <c r="A109" s="92"/>
      <c r="B109" s="791"/>
      <c r="C109" s="791"/>
      <c r="D109" s="792"/>
      <c r="E109" s="792"/>
      <c r="F109" s="792"/>
      <c r="G109" s="792"/>
      <c r="H109" s="821"/>
      <c r="I109" s="792"/>
      <c r="J109" s="792"/>
      <c r="K109" s="792"/>
      <c r="L109" s="792"/>
      <c r="M109" s="792"/>
      <c r="N109" s="792"/>
      <c r="O109" s="792"/>
      <c r="P109" s="792"/>
      <c r="Q109" s="94"/>
      <c r="R109" s="824"/>
      <c r="S109" s="824"/>
      <c r="T109" s="824"/>
      <c r="U109" s="824"/>
      <c r="V109" s="824"/>
    </row>
    <row r="110" spans="1:23" s="1" customFormat="1" ht="12.75" customHeight="1" outlineLevel="1" thickTop="1" x14ac:dyDescent="0.2">
      <c r="A110" s="932"/>
      <c r="B110" s="933" t="s">
        <v>1588</v>
      </c>
      <c r="C110" s="2146" t="s">
        <v>4266</v>
      </c>
      <c r="D110" s="2146"/>
      <c r="E110" s="2146"/>
      <c r="F110" s="2137"/>
      <c r="G110" s="2137"/>
      <c r="H110" s="2136" t="s">
        <v>305</v>
      </c>
      <c r="I110" s="2136"/>
      <c r="J110" s="934" t="s">
        <v>1590</v>
      </c>
      <c r="K110" s="934" t="s">
        <v>279</v>
      </c>
      <c r="L110" s="934"/>
      <c r="M110" s="934" t="s">
        <v>306</v>
      </c>
      <c r="N110" s="934"/>
      <c r="O110" s="934"/>
      <c r="P110" s="935" t="s">
        <v>2903</v>
      </c>
      <c r="Q110" s="94"/>
      <c r="R110" s="695"/>
      <c r="S110" s="695"/>
      <c r="T110" s="695"/>
      <c r="U110" s="695"/>
      <c r="V110" s="695"/>
      <c r="W110" s="278"/>
    </row>
    <row r="111" spans="1:23" s="1" customFormat="1" ht="12.75" customHeight="1" outlineLevel="1" x14ac:dyDescent="0.2">
      <c r="A111" s="2177" t="str">
        <f ca="1">IF(MAGISCH,Zauber!A11,"")</f>
        <v/>
      </c>
      <c r="B111" s="2178"/>
      <c r="C111" s="2180" t="str">
        <f ca="1">IF(MAGISCH,'Zauber 1'!I7,"")</f>
        <v/>
      </c>
      <c r="D111" s="2180"/>
      <c r="E111" s="2180"/>
      <c r="F111" s="2138" t="str">
        <f ca="1">IF(MAGISCH,'Zauber 1'!E7,"")</f>
        <v/>
      </c>
      <c r="G111" s="2138"/>
      <c r="H111" s="2139" t="str">
        <f ca="1">IF(MAGISCH,'Zauber 1'!M7,"")</f>
        <v/>
      </c>
      <c r="I111" s="2139"/>
      <c r="J111" s="40" t="str">
        <f ca="1">IF(MAGISCH,'Zauber 1'!V7,"")</f>
        <v/>
      </c>
      <c r="K111" s="2138" t="str">
        <f ca="1">IF(MAGISCH,'Zauber 1'!S7,"")</f>
        <v/>
      </c>
      <c r="L111" s="2138"/>
      <c r="M111" s="2140" t="str">
        <f ca="1">IF(MAGISCH,'Zauber 1'!O7,"")</f>
        <v/>
      </c>
      <c r="N111" s="2141"/>
      <c r="O111" s="2142"/>
      <c r="P111" s="814" t="str">
        <f ca="1">IF(MAGISCH,'Zauber 1'!AD7,"")</f>
        <v/>
      </c>
      <c r="Q111" s="94"/>
      <c r="R111" s="695"/>
      <c r="S111" s="695"/>
      <c r="T111" s="695"/>
      <c r="U111" s="695"/>
      <c r="V111" s="695"/>
      <c r="W111" s="278"/>
    </row>
    <row r="112" spans="1:23" s="1" customFormat="1" ht="12.75" customHeight="1" outlineLevel="1" x14ac:dyDescent="0.2">
      <c r="A112" s="2177" t="str">
        <f ca="1">IF(MAGISCH,Zauber!A12,"")</f>
        <v/>
      </c>
      <c r="B112" s="2178"/>
      <c r="C112" s="2180" t="str">
        <f ca="1">IF(MAGISCH,'Zauber 1'!I8,"")</f>
        <v/>
      </c>
      <c r="D112" s="2180"/>
      <c r="E112" s="2180"/>
      <c r="F112" s="2138" t="str">
        <f ca="1">IF(MAGISCH,'Zauber 1'!E8,"")</f>
        <v/>
      </c>
      <c r="G112" s="2138"/>
      <c r="H112" s="2139" t="str">
        <f ca="1">IF(MAGISCH,'Zauber 1'!M8,"")</f>
        <v/>
      </c>
      <c r="I112" s="2139"/>
      <c r="J112" s="40" t="str">
        <f ca="1">IF(MAGISCH,'Zauber 1'!V8,"")</f>
        <v/>
      </c>
      <c r="K112" s="2138" t="str">
        <f ca="1">IF(MAGISCH,'Zauber 1'!S8,"")</f>
        <v/>
      </c>
      <c r="L112" s="2138"/>
      <c r="M112" s="2140" t="str">
        <f ca="1">IF(MAGISCH,'Zauber 1'!O8,"")</f>
        <v/>
      </c>
      <c r="N112" s="2141"/>
      <c r="O112" s="2142"/>
      <c r="P112" s="814" t="str">
        <f ca="1">IF(MAGISCH,'Zauber 1'!AD8,"")</f>
        <v/>
      </c>
      <c r="Q112" s="94"/>
      <c r="R112" s="695"/>
      <c r="S112" s="695"/>
      <c r="T112" s="695"/>
      <c r="U112" s="695"/>
      <c r="V112" s="695"/>
      <c r="W112" s="278"/>
    </row>
    <row r="113" spans="1:23" s="1" customFormat="1" ht="12.75" customHeight="1" outlineLevel="1" x14ac:dyDescent="0.2">
      <c r="A113" s="2177" t="str">
        <f ca="1">IF(MAGISCH,Zauber!A13,"")</f>
        <v/>
      </c>
      <c r="B113" s="2178"/>
      <c r="C113" s="2180" t="str">
        <f ca="1">IF(MAGISCH,'Zauber 1'!I9,"")</f>
        <v/>
      </c>
      <c r="D113" s="2180"/>
      <c r="E113" s="2180"/>
      <c r="F113" s="2138" t="str">
        <f ca="1">IF(MAGISCH,'Zauber 1'!E9,"")</f>
        <v/>
      </c>
      <c r="G113" s="2138"/>
      <c r="H113" s="2139" t="str">
        <f ca="1">IF(MAGISCH,'Zauber 1'!M9,"")</f>
        <v/>
      </c>
      <c r="I113" s="2139"/>
      <c r="J113" s="40" t="str">
        <f ca="1">IF(MAGISCH,'Zauber 1'!V9,"")</f>
        <v/>
      </c>
      <c r="K113" s="2138" t="str">
        <f ca="1">IF(MAGISCH,'Zauber 1'!S9,"")</f>
        <v/>
      </c>
      <c r="L113" s="2138"/>
      <c r="M113" s="2140" t="str">
        <f ca="1">IF(MAGISCH,'Zauber 1'!O9,"")</f>
        <v/>
      </c>
      <c r="N113" s="2141"/>
      <c r="O113" s="2142"/>
      <c r="P113" s="814" t="str">
        <f ca="1">IF(MAGISCH,'Zauber 1'!AD9,"")</f>
        <v/>
      </c>
      <c r="Q113" s="94"/>
      <c r="R113" s="695"/>
      <c r="S113" s="695"/>
      <c r="T113" s="695"/>
      <c r="U113" s="695"/>
      <c r="V113" s="695"/>
      <c r="W113" s="278"/>
    </row>
    <row r="114" spans="1:23" s="1" customFormat="1" ht="12.75" customHeight="1" outlineLevel="1" x14ac:dyDescent="0.2">
      <c r="A114" s="2177" t="str">
        <f ca="1">IF(MAGISCH,Zauber!A14,"")</f>
        <v/>
      </c>
      <c r="B114" s="2178"/>
      <c r="C114" s="2180" t="str">
        <f ca="1">IF(MAGISCH,'Zauber 1'!I10,"")</f>
        <v/>
      </c>
      <c r="D114" s="2180"/>
      <c r="E114" s="2180"/>
      <c r="F114" s="2138" t="str">
        <f ca="1">IF(MAGISCH,'Zauber 1'!E10,"")</f>
        <v/>
      </c>
      <c r="G114" s="2138"/>
      <c r="H114" s="2139" t="str">
        <f ca="1">IF(MAGISCH,'Zauber 1'!M10,"")</f>
        <v/>
      </c>
      <c r="I114" s="2139"/>
      <c r="J114" s="40" t="str">
        <f ca="1">IF(MAGISCH,'Zauber 1'!V10,"")</f>
        <v/>
      </c>
      <c r="K114" s="2138" t="str">
        <f ca="1">IF(MAGISCH,'Zauber 1'!S10,"")</f>
        <v/>
      </c>
      <c r="L114" s="2138"/>
      <c r="M114" s="2140" t="str">
        <f ca="1">IF(MAGISCH,'Zauber 1'!O10,"")</f>
        <v/>
      </c>
      <c r="N114" s="2141"/>
      <c r="O114" s="2142"/>
      <c r="P114" s="814" t="str">
        <f ca="1">IF(MAGISCH,'Zauber 1'!AD10,"")</f>
        <v/>
      </c>
      <c r="Q114" s="94"/>
      <c r="R114" s="695"/>
      <c r="S114" s="695"/>
      <c r="T114" s="695"/>
      <c r="U114" s="695"/>
      <c r="V114" s="695"/>
      <c r="W114" s="278"/>
    </row>
    <row r="115" spans="1:23" s="1" customFormat="1" ht="12.75" customHeight="1" outlineLevel="1" thickBot="1" x14ac:dyDescent="0.25">
      <c r="A115" s="2175" t="str">
        <f ca="1">IF(MAGISCH,Zauber!A15,"")</f>
        <v/>
      </c>
      <c r="B115" s="2176"/>
      <c r="C115" s="2181" t="str">
        <f ca="1">IF(MAGISCH,'Zauber 1'!I11,"")</f>
        <v/>
      </c>
      <c r="D115" s="2181"/>
      <c r="E115" s="2181"/>
      <c r="F115" s="2179" t="str">
        <f ca="1">IF(MAGISCH,'Zauber 1'!E11,"")</f>
        <v/>
      </c>
      <c r="G115" s="2179"/>
      <c r="H115" s="2182" t="str">
        <f ca="1">IF(MAGISCH,'Zauber 1'!M11,"")</f>
        <v/>
      </c>
      <c r="I115" s="2182"/>
      <c r="J115" s="938" t="str">
        <f ca="1">IF(MAGISCH,'Zauber 1'!V11,"")</f>
        <v/>
      </c>
      <c r="K115" s="2179" t="str">
        <f ca="1">IF(MAGISCH,'Zauber 1'!S11,"")</f>
        <v/>
      </c>
      <c r="L115" s="2179"/>
      <c r="M115" s="2179" t="str">
        <f ca="1">IF(MAGISCH,'Zauber 1'!O11,"")</f>
        <v/>
      </c>
      <c r="N115" s="2179"/>
      <c r="O115" s="2179"/>
      <c r="P115" s="939" t="str">
        <f ca="1">IF(MAGISCH,'Zauber 1'!AD11,"")</f>
        <v/>
      </c>
      <c r="Q115" s="94"/>
      <c r="R115" s="695"/>
      <c r="S115" s="695"/>
      <c r="T115" s="695"/>
      <c r="U115" s="695"/>
      <c r="V115" s="695"/>
      <c r="W115" s="278"/>
    </row>
    <row r="116" spans="1:23" s="1" customFormat="1" ht="12.75" customHeight="1" thickTop="1" x14ac:dyDescent="0.2">
      <c r="A116" s="813"/>
      <c r="B116" s="463"/>
      <c r="C116" s="463"/>
      <c r="D116" s="793"/>
      <c r="E116" s="793"/>
      <c r="F116" s="793"/>
      <c r="G116" s="793"/>
      <c r="H116" s="794"/>
      <c r="I116" s="793"/>
      <c r="J116" s="793"/>
      <c r="K116" s="793"/>
      <c r="L116" s="793"/>
      <c r="M116" s="793"/>
      <c r="N116" s="793"/>
      <c r="O116" s="793"/>
      <c r="P116" s="793"/>
      <c r="Q116" s="94"/>
      <c r="R116" s="695"/>
      <c r="S116" s="695"/>
      <c r="T116" s="695"/>
      <c r="U116" s="695"/>
      <c r="V116" s="695"/>
      <c r="W116" s="278"/>
    </row>
    <row r="117" spans="1:23" s="1" customFormat="1" ht="12.75" customHeight="1" thickBot="1" x14ac:dyDescent="0.25">
      <c r="A117" s="632"/>
      <c r="B117" s="791"/>
      <c r="C117" s="791"/>
      <c r="D117" s="792"/>
      <c r="E117" s="792"/>
      <c r="F117" s="792"/>
      <c r="G117" s="792"/>
      <c r="H117" s="795"/>
      <c r="I117" s="278"/>
      <c r="J117" s="278"/>
      <c r="K117" s="278"/>
      <c r="L117" s="278"/>
      <c r="M117" s="278"/>
      <c r="N117" s="278"/>
      <c r="O117" s="278"/>
      <c r="P117" s="278"/>
      <c r="Q117" s="94"/>
      <c r="R117" s="695"/>
      <c r="S117" s="695"/>
      <c r="T117" s="695"/>
      <c r="U117" s="695"/>
      <c r="V117" s="695"/>
      <c r="W117" s="278"/>
    </row>
    <row r="118" spans="1:23" s="1" customFormat="1" ht="14.25" thickTop="1" x14ac:dyDescent="0.25">
      <c r="A118" s="911" t="s">
        <v>1141</v>
      </c>
      <c r="B118" s="467"/>
      <c r="C118" s="912" t="s">
        <v>1420</v>
      </c>
      <c r="D118" s="467" t="str">
        <f ca="1">CONCATENATE((KK-IF(NT_VERWÖHNT,2,0))*40," Unzen")</f>
        <v>320 Unzen</v>
      </c>
      <c r="E118" s="1379"/>
      <c r="F118" s="2127" t="s">
        <v>8541</v>
      </c>
      <c r="G118" s="2128"/>
      <c r="H118" s="1475"/>
      <c r="I118" s="467"/>
      <c r="J118" s="1380" t="str">
        <f>IF(NOT(ISBLANK(Ausrüstung!B52)),"1. Tier:","")</f>
        <v/>
      </c>
      <c r="K118" s="2127" t="str">
        <f>IF(NOT(ISBLANK(Ausrüstung!B52)),CONCATENATE(Ausrüstung!V52*40," Unzen"),"")</f>
        <v/>
      </c>
      <c r="L118" s="2127"/>
      <c r="M118" s="1379"/>
      <c r="N118" s="793"/>
      <c r="O118" s="793"/>
      <c r="P118" s="1381"/>
      <c r="Q118" s="94"/>
      <c r="R118" s="695"/>
      <c r="S118" s="695"/>
      <c r="T118" s="695"/>
      <c r="U118" s="695"/>
      <c r="V118" s="695"/>
      <c r="W118" s="278"/>
    </row>
    <row r="119" spans="1:23" s="1" customFormat="1" ht="13.5" x14ac:dyDescent="0.25">
      <c r="A119" s="913" t="s">
        <v>7410</v>
      </c>
      <c r="B119" s="1038"/>
      <c r="C119" s="626" t="str">
        <f ca="1">CONCATENATE(GS," Schritt/Sek.")</f>
        <v>7 Schritt/Sek.</v>
      </c>
      <c r="D119" s="1378"/>
      <c r="E119" s="909" t="s">
        <v>2323</v>
      </c>
      <c r="F119" s="2129" t="str">
        <f ca="1">CONCATENATE(AU*1.5," Sek.")</f>
        <v>18 Sek.</v>
      </c>
      <c r="G119" s="2129"/>
      <c r="H119" s="909" t="s">
        <v>2324</v>
      </c>
      <c r="I119" s="909"/>
      <c r="J119" s="1378" t="str">
        <f ca="1">CONCATENATE(GS*AU*1.5," m")</f>
        <v>126 m</v>
      </c>
      <c r="K119" s="1378"/>
      <c r="L119" s="1378"/>
      <c r="M119" s="1378"/>
      <c r="N119" s="1038"/>
      <c r="O119" s="1038"/>
      <c r="P119" s="1382"/>
      <c r="Q119" s="94"/>
      <c r="R119" s="353"/>
      <c r="S119" s="353"/>
      <c r="T119" s="353"/>
      <c r="U119" s="353"/>
      <c r="V119" s="353"/>
      <c r="W119" s="278"/>
    </row>
    <row r="120" spans="1:23" s="1" customFormat="1" ht="13.5" x14ac:dyDescent="0.25">
      <c r="A120" s="913" t="s">
        <v>1142</v>
      </c>
      <c r="B120" s="1038"/>
      <c r="C120" s="626" t="str">
        <f ca="1">CONCATENATE(ROUNDUP(GS/2,0)," Schritt/Sek.")</f>
        <v>4 Schritt/Sek.</v>
      </c>
      <c r="D120" s="1378"/>
      <c r="E120" s="909" t="s">
        <v>2323</v>
      </c>
      <c r="F120" s="2129" t="str">
        <f ca="1">CONCATENATE(AU*3," Min.")</f>
        <v>36 Min.</v>
      </c>
      <c r="G120" s="2129"/>
      <c r="H120" s="909" t="s">
        <v>2324</v>
      </c>
      <c r="I120" s="909"/>
      <c r="J120" s="1378" t="str">
        <f ca="1">CONCATENATE(ROUND(AU*3*60*ROUNDUP(GS/2,0)/1000,3)," km")</f>
        <v>8.64 km</v>
      </c>
      <c r="K120" s="1378"/>
      <c r="L120" s="1378"/>
      <c r="M120" s="1378"/>
      <c r="N120" s="1038"/>
      <c r="O120" s="1038"/>
      <c r="P120" s="1382"/>
      <c r="Q120" s="94"/>
      <c r="R120" s="353"/>
      <c r="S120" s="353"/>
      <c r="T120" s="353"/>
      <c r="U120" s="353"/>
      <c r="V120" s="353"/>
      <c r="W120" s="278"/>
    </row>
    <row r="121" spans="1:23" s="1" customFormat="1" ht="13.5" x14ac:dyDescent="0.25">
      <c r="A121" s="913" t="s">
        <v>1144</v>
      </c>
      <c r="B121" s="909"/>
      <c r="C121" s="626">
        <f ca="1">GE+KK+IF(NT_ZWERGENWUCHS,-2-BE_CALC/2,-BE_CALC)+IF(NT_BEHÄBIG,-1,0)+IF(NT_KLEINWÜCHSIG,-1,0)</f>
        <v>16</v>
      </c>
      <c r="D121" s="909" t="s">
        <v>1098</v>
      </c>
      <c r="E121" s="909"/>
      <c r="F121" s="909"/>
      <c r="G121" s="909"/>
      <c r="H121" s="909"/>
      <c r="I121" s="909"/>
      <c r="J121" s="1401" t="s">
        <v>7423</v>
      </c>
      <c r="K121" s="909"/>
      <c r="L121" s="909"/>
      <c r="M121" s="909"/>
      <c r="N121" s="280"/>
      <c r="O121" s="816"/>
      <c r="P121" s="403"/>
      <c r="Q121" s="94"/>
      <c r="R121" s="353"/>
      <c r="S121" s="353"/>
      <c r="T121" s="353"/>
      <c r="U121" s="353"/>
      <c r="V121" s="353"/>
      <c r="W121" s="278"/>
    </row>
    <row r="122" spans="1:23" ht="13.5" x14ac:dyDescent="0.25">
      <c r="A122" s="913" t="s">
        <v>4298</v>
      </c>
      <c r="C122" s="63">
        <f ca="1">ROUND((GE+KK+IF(NT_ZWERGENWUCHS,-4-BE_CALC/2,-BE_CALC)+IF(NT_KLEINWÜCHSIG,-1,0)+IF(NT_BEHÄBIG,-1,0))/4,0)</f>
        <v>4</v>
      </c>
      <c r="D122" s="1180" t="s">
        <v>7424</v>
      </c>
      <c r="P122" s="403"/>
    </row>
    <row r="123" spans="1:23" s="1" customFormat="1" ht="13.5" x14ac:dyDescent="0.25">
      <c r="A123" s="913" t="s">
        <v>1143</v>
      </c>
      <c r="B123" s="909"/>
      <c r="C123" s="909" t="s">
        <v>1421</v>
      </c>
      <c r="D123" s="909"/>
      <c r="E123" s="909"/>
      <c r="F123" s="2129" t="str">
        <f ca="1">CONCATENATE(MAX(AU*(TAW_SCHWIMMEN)*(15-(BE_CALC*2)),0)," m")</f>
        <v>0 m</v>
      </c>
      <c r="G123" s="2129"/>
      <c r="H123" s="909" t="s">
        <v>1422</v>
      </c>
      <c r="I123" s="909"/>
      <c r="J123" s="1378" t="str">
        <f ca="1">CONCATENATE(MAX(AU*(TAW_SCHWIMMEN)*15,0)," m")</f>
        <v>0 m</v>
      </c>
      <c r="K123" s="1378"/>
      <c r="L123" s="1378"/>
      <c r="M123" s="1378"/>
      <c r="N123" s="280"/>
      <c r="O123" s="816"/>
      <c r="P123" s="403"/>
      <c r="Q123" s="94"/>
      <c r="R123" s="353"/>
      <c r="S123" s="353"/>
      <c r="T123" s="353"/>
      <c r="U123" s="353"/>
      <c r="V123" s="353"/>
      <c r="W123" s="278"/>
    </row>
    <row r="124" spans="1:23" s="1" customFormat="1" ht="14.25" thickBot="1" x14ac:dyDescent="0.3">
      <c r="A124" s="914" t="s">
        <v>7411</v>
      </c>
      <c r="B124" s="915"/>
      <c r="C124" s="1399"/>
      <c r="D124" s="915"/>
      <c r="E124" s="915"/>
      <c r="F124" s="915" t="str">
        <f ca="1">CONCATENATE(MAX(AU*(TAW_SCHWIMMEN)/10,0)," m")</f>
        <v>0 m</v>
      </c>
      <c r="G124" s="915"/>
      <c r="H124" s="1400" t="s">
        <v>7412</v>
      </c>
      <c r="I124" s="915"/>
      <c r="J124" s="915" t="str">
        <f ca="1">CONCATENATE(AU*2," Sek.")</f>
        <v>24 Sek.</v>
      </c>
      <c r="K124" s="915"/>
      <c r="L124" s="915"/>
      <c r="M124" s="915"/>
      <c r="N124" s="405"/>
      <c r="O124" s="817"/>
      <c r="P124" s="406"/>
      <c r="Q124" s="94"/>
      <c r="R124" s="353"/>
      <c r="S124" s="353"/>
      <c r="T124" s="353"/>
      <c r="U124" s="353"/>
      <c r="V124" s="353"/>
      <c r="W124" s="278"/>
    </row>
    <row r="125" spans="1:23" s="1" customFormat="1" ht="13.5" thickTop="1" x14ac:dyDescent="0.2">
      <c r="A125" s="400"/>
      <c r="B125" s="280"/>
      <c r="C125" s="280"/>
      <c r="D125" s="280"/>
      <c r="E125" s="280"/>
      <c r="F125" s="280"/>
      <c r="G125" s="280"/>
      <c r="H125" s="280"/>
      <c r="I125" s="280"/>
      <c r="J125" s="280"/>
      <c r="K125" s="280"/>
      <c r="L125" s="280"/>
      <c r="M125" s="280"/>
      <c r="N125" s="280"/>
      <c r="O125" s="816"/>
      <c r="P125" s="400"/>
      <c r="Q125" s="94"/>
      <c r="R125" s="353"/>
      <c r="S125" s="353"/>
      <c r="T125" s="353"/>
      <c r="U125" s="353"/>
      <c r="V125" s="353"/>
      <c r="W125" s="278"/>
    </row>
    <row r="126" spans="1:23" s="1" customFormat="1" ht="15" customHeight="1" thickBot="1" x14ac:dyDescent="0.25">
      <c r="A126" s="405"/>
      <c r="B126" s="280"/>
      <c r="C126" s="280"/>
      <c r="D126" s="280"/>
      <c r="E126" s="280"/>
      <c r="F126" s="280"/>
      <c r="G126" s="280"/>
      <c r="H126" s="280"/>
      <c r="I126" s="280"/>
      <c r="J126" s="280"/>
      <c r="K126" s="280"/>
      <c r="L126" s="280"/>
      <c r="M126" s="280"/>
      <c r="N126" s="280"/>
      <c r="O126" s="816"/>
      <c r="P126" s="405"/>
      <c r="Q126" s="94"/>
      <c r="R126" s="353"/>
      <c r="S126" s="353"/>
      <c r="T126" s="353"/>
      <c r="U126" s="353"/>
      <c r="V126" s="353"/>
      <c r="W126" s="278"/>
    </row>
    <row r="127" spans="1:23" s="1" customFormat="1" ht="13.5" thickTop="1" x14ac:dyDescent="0.2">
      <c r="A127" s="399"/>
      <c r="B127" s="400"/>
      <c r="C127" s="400"/>
      <c r="D127" s="400"/>
      <c r="E127" s="400"/>
      <c r="F127" s="400"/>
      <c r="G127" s="400"/>
      <c r="H127" s="400"/>
      <c r="I127" s="400"/>
      <c r="J127" s="400"/>
      <c r="K127" s="400"/>
      <c r="L127" s="400"/>
      <c r="M127" s="400"/>
      <c r="N127" s="400"/>
      <c r="O127" s="815"/>
      <c r="P127" s="401"/>
      <c r="Q127" s="94"/>
      <c r="R127" s="353"/>
      <c r="S127" s="353"/>
      <c r="T127" s="353"/>
      <c r="U127" s="353"/>
      <c r="V127" s="353"/>
      <c r="W127" s="278"/>
    </row>
    <row r="128" spans="1:23" s="1" customFormat="1" x14ac:dyDescent="0.2">
      <c r="A128" s="402"/>
      <c r="B128" s="280"/>
      <c r="C128" s="280"/>
      <c r="D128" s="280"/>
      <c r="E128" s="280"/>
      <c r="F128" s="280"/>
      <c r="G128" s="280"/>
      <c r="H128" s="280"/>
      <c r="I128" s="280"/>
      <c r="J128" s="280"/>
      <c r="K128" s="280"/>
      <c r="L128" s="280"/>
      <c r="M128" s="280"/>
      <c r="N128" s="280"/>
      <c r="O128" s="816"/>
      <c r="P128" s="403"/>
      <c r="Q128" s="94"/>
      <c r="R128" s="353"/>
      <c r="S128" s="353"/>
      <c r="T128" s="353"/>
      <c r="U128" s="353"/>
      <c r="V128" s="353"/>
      <c r="W128" s="278"/>
    </row>
    <row r="129" spans="1:23" s="1" customFormat="1" x14ac:dyDescent="0.2">
      <c r="A129" s="402"/>
      <c r="B129" s="280"/>
      <c r="C129" s="280"/>
      <c r="D129" s="280"/>
      <c r="E129" s="280"/>
      <c r="F129" s="280"/>
      <c r="G129" s="280"/>
      <c r="H129" s="280"/>
      <c r="I129" s="280"/>
      <c r="J129" s="280"/>
      <c r="K129" s="280"/>
      <c r="L129" s="280"/>
      <c r="M129" s="280"/>
      <c r="N129" s="280"/>
      <c r="O129" s="816"/>
      <c r="P129" s="403"/>
      <c r="Q129" s="94"/>
      <c r="R129" s="353"/>
      <c r="S129" s="353"/>
      <c r="T129" s="353"/>
      <c r="U129" s="353"/>
      <c r="V129" s="353"/>
      <c r="W129" s="278"/>
    </row>
    <row r="130" spans="1:23" s="1" customFormat="1" x14ac:dyDescent="0.2">
      <c r="A130" s="1045"/>
      <c r="B130" s="1038"/>
      <c r="C130" s="1038"/>
      <c r="D130" s="1038"/>
      <c r="E130" s="1038"/>
      <c r="F130" s="1038"/>
      <c r="G130" s="1038"/>
      <c r="H130" s="1038"/>
      <c r="I130" s="1038"/>
      <c r="J130" s="1038"/>
      <c r="K130" s="1038"/>
      <c r="L130" s="1038"/>
      <c r="M130" s="1038"/>
      <c r="N130" s="1038"/>
      <c r="O130" s="1038"/>
      <c r="P130" s="1382"/>
      <c r="Q130" s="94"/>
      <c r="R130" s="353"/>
      <c r="S130" s="353"/>
      <c r="T130" s="353"/>
      <c r="U130" s="353"/>
      <c r="V130" s="353"/>
      <c r="W130" s="278"/>
    </row>
    <row r="131" spans="1:23" s="1" customFormat="1" x14ac:dyDescent="0.2">
      <c r="A131" s="402"/>
      <c r="B131" s="280"/>
      <c r="C131" s="280"/>
      <c r="D131" s="280"/>
      <c r="E131" s="280"/>
      <c r="F131" s="280"/>
      <c r="G131" s="280"/>
      <c r="H131" s="280"/>
      <c r="I131" s="280"/>
      <c r="J131" s="280"/>
      <c r="K131" s="280"/>
      <c r="L131" s="280"/>
      <c r="M131" s="280"/>
      <c r="N131" s="280"/>
      <c r="O131" s="816"/>
      <c r="P131" s="403"/>
      <c r="Q131" s="94"/>
      <c r="R131" s="278"/>
      <c r="S131" s="278"/>
      <c r="T131" s="278"/>
      <c r="U131" s="278"/>
      <c r="V131" s="278"/>
      <c r="W131" s="278"/>
    </row>
    <row r="132" spans="1:23" s="1" customFormat="1" x14ac:dyDescent="0.2">
      <c r="A132" s="402"/>
      <c r="B132" s="280"/>
      <c r="C132" s="280"/>
      <c r="D132" s="280"/>
      <c r="E132" s="280"/>
      <c r="F132" s="280"/>
      <c r="G132" s="280"/>
      <c r="H132" s="280"/>
      <c r="I132" s="280"/>
      <c r="J132" s="280"/>
      <c r="K132" s="280"/>
      <c r="L132" s="280"/>
      <c r="M132" s="280"/>
      <c r="N132" s="280"/>
      <c r="O132" s="816"/>
      <c r="P132" s="403"/>
      <c r="Q132" s="94"/>
      <c r="R132" s="278"/>
      <c r="S132" s="278"/>
      <c r="T132" s="278"/>
      <c r="U132" s="278"/>
      <c r="V132" s="278"/>
      <c r="W132" s="278"/>
    </row>
    <row r="133" spans="1:23" s="1" customFormat="1" x14ac:dyDescent="0.2">
      <c r="A133" s="402"/>
      <c r="B133" s="280"/>
      <c r="C133" s="280"/>
      <c r="D133" s="280"/>
      <c r="E133" s="280"/>
      <c r="F133" s="280"/>
      <c r="G133" s="280"/>
      <c r="H133" s="280"/>
      <c r="I133" s="280"/>
      <c r="J133" s="280"/>
      <c r="K133" s="280"/>
      <c r="L133" s="280"/>
      <c r="M133" s="280"/>
      <c r="N133" s="280"/>
      <c r="O133" s="816"/>
      <c r="P133" s="403"/>
      <c r="Q133" s="94"/>
      <c r="R133" s="278"/>
      <c r="S133" s="278"/>
      <c r="T133" s="278"/>
      <c r="U133" s="278"/>
      <c r="V133" s="278"/>
      <c r="W133" s="278"/>
    </row>
    <row r="134" spans="1:23" s="1" customFormat="1" x14ac:dyDescent="0.2">
      <c r="A134" s="402"/>
      <c r="B134" s="280"/>
      <c r="C134" s="280"/>
      <c r="D134" s="280"/>
      <c r="E134" s="280"/>
      <c r="F134" s="280"/>
      <c r="G134" s="280"/>
      <c r="H134" s="280"/>
      <c r="I134" s="280"/>
      <c r="J134" s="280"/>
      <c r="K134" s="280"/>
      <c r="L134" s="280"/>
      <c r="M134" s="280"/>
      <c r="N134" s="280"/>
      <c r="O134" s="816"/>
      <c r="P134" s="403"/>
      <c r="Q134" s="94"/>
      <c r="R134" s="278"/>
      <c r="S134" s="278"/>
      <c r="T134" s="278"/>
      <c r="U134" s="278"/>
      <c r="V134" s="278"/>
      <c r="W134" s="278"/>
    </row>
    <row r="135" spans="1:23" s="1" customFormat="1" x14ac:dyDescent="0.2">
      <c r="A135" s="1045"/>
      <c r="B135" s="1038"/>
      <c r="C135" s="1038"/>
      <c r="D135" s="1038"/>
      <c r="E135" s="1038"/>
      <c r="F135" s="1038"/>
      <c r="G135" s="1038"/>
      <c r="H135" s="1038"/>
      <c r="I135" s="1038"/>
      <c r="J135" s="1038"/>
      <c r="K135" s="1038"/>
      <c r="L135" s="1038"/>
      <c r="M135" s="1038"/>
      <c r="N135" s="1038"/>
      <c r="O135" s="1038"/>
      <c r="P135" s="1382"/>
      <c r="Q135" s="94"/>
      <c r="R135" s="278"/>
      <c r="S135" s="278"/>
      <c r="T135" s="278"/>
      <c r="U135" s="278"/>
      <c r="V135" s="278"/>
      <c r="W135" s="278"/>
    </row>
    <row r="136" spans="1:23" x14ac:dyDescent="0.2">
      <c r="A136" s="1386"/>
      <c r="B136" s="792"/>
      <c r="C136" s="92"/>
      <c r="D136" s="92"/>
      <c r="E136" s="792"/>
      <c r="F136" s="792"/>
      <c r="G136" s="792"/>
      <c r="H136" s="792"/>
      <c r="I136" s="279"/>
      <c r="J136" s="280"/>
      <c r="K136" s="280"/>
      <c r="L136" s="280"/>
      <c r="M136" s="126"/>
      <c r="N136" s="281"/>
      <c r="O136" s="893"/>
      <c r="P136" s="1387"/>
    </row>
    <row r="137" spans="1:23" ht="13.5" thickBot="1" x14ac:dyDescent="0.25">
      <c r="A137" s="404"/>
      <c r="B137" s="405"/>
      <c r="C137" s="405"/>
      <c r="D137" s="405"/>
      <c r="E137" s="405"/>
      <c r="F137" s="405"/>
      <c r="G137" s="405"/>
      <c r="H137" s="405"/>
      <c r="I137" s="405"/>
      <c r="J137" s="405"/>
      <c r="K137" s="405"/>
      <c r="L137" s="405"/>
      <c r="M137" s="405"/>
      <c r="N137" s="405"/>
      <c r="O137" s="817"/>
      <c r="P137" s="406"/>
      <c r="R137"/>
      <c r="S137"/>
      <c r="T137"/>
      <c r="U137"/>
      <c r="V137"/>
      <c r="W137"/>
    </row>
    <row r="138" spans="1:23" ht="13.5" thickTop="1" x14ac:dyDescent="0.2">
      <c r="A138"/>
      <c r="B138"/>
      <c r="C138"/>
      <c r="D138"/>
      <c r="E138"/>
      <c r="F138"/>
      <c r="G138"/>
      <c r="H138"/>
      <c r="I138"/>
      <c r="J138"/>
      <c r="K138"/>
      <c r="L138"/>
      <c r="M138"/>
      <c r="N138"/>
      <c r="O138"/>
      <c r="P138"/>
      <c r="R138"/>
      <c r="S138"/>
      <c r="T138"/>
      <c r="U138"/>
      <c r="V138"/>
      <c r="W138"/>
    </row>
    <row r="139" spans="1:23" x14ac:dyDescent="0.2">
      <c r="A139"/>
      <c r="B139"/>
      <c r="C139"/>
      <c r="D139"/>
      <c r="E139"/>
      <c r="F139"/>
      <c r="G139"/>
      <c r="H139"/>
      <c r="I139"/>
      <c r="J139"/>
      <c r="K139"/>
      <c r="L139"/>
      <c r="M139"/>
      <c r="N139"/>
      <c r="O139"/>
      <c r="P139"/>
      <c r="R139"/>
      <c r="S139"/>
      <c r="T139"/>
      <c r="U139"/>
      <c r="V139"/>
      <c r="W139"/>
    </row>
    <row r="140" spans="1:23" x14ac:dyDescent="0.2">
      <c r="A140"/>
      <c r="B140"/>
      <c r="C140"/>
      <c r="D140"/>
      <c r="E140"/>
      <c r="F140"/>
      <c r="G140"/>
      <c r="H140"/>
      <c r="I140"/>
      <c r="J140"/>
      <c r="K140"/>
      <c r="L140"/>
      <c r="M140"/>
      <c r="N140"/>
      <c r="O140"/>
      <c r="P140"/>
      <c r="R140"/>
      <c r="S140"/>
      <c r="T140"/>
      <c r="U140"/>
      <c r="V140"/>
      <c r="W140"/>
    </row>
    <row r="141" spans="1:23" x14ac:dyDescent="0.2">
      <c r="A141"/>
      <c r="B141"/>
      <c r="C141"/>
      <c r="D141"/>
      <c r="E141"/>
      <c r="F141"/>
      <c r="G141"/>
      <c r="H141"/>
      <c r="I141"/>
      <c r="J141"/>
      <c r="K141"/>
      <c r="L141"/>
      <c r="M141"/>
      <c r="N141"/>
      <c r="O141"/>
      <c r="P141"/>
      <c r="R141"/>
      <c r="S141"/>
      <c r="T141"/>
      <c r="U141"/>
      <c r="V141"/>
      <c r="W141"/>
    </row>
    <row r="142" spans="1:23" x14ac:dyDescent="0.2">
      <c r="A142"/>
      <c r="B142"/>
      <c r="C142"/>
      <c r="D142"/>
      <c r="E142"/>
      <c r="F142"/>
      <c r="G142"/>
      <c r="H142"/>
      <c r="I142"/>
      <c r="J142"/>
      <c r="K142"/>
      <c r="L142"/>
      <c r="M142"/>
      <c r="N142"/>
      <c r="O142"/>
      <c r="P142"/>
      <c r="R142"/>
      <c r="S142"/>
      <c r="T142"/>
      <c r="U142"/>
      <c r="V142"/>
      <c r="W142"/>
    </row>
    <row r="143" spans="1:23" x14ac:dyDescent="0.2">
      <c r="A143"/>
      <c r="B143"/>
      <c r="C143"/>
      <c r="D143"/>
      <c r="E143"/>
      <c r="F143"/>
      <c r="G143"/>
      <c r="H143"/>
      <c r="I143"/>
      <c r="J143"/>
      <c r="K143"/>
      <c r="L143"/>
      <c r="M143"/>
      <c r="N143"/>
      <c r="O143"/>
      <c r="P143"/>
      <c r="R143"/>
      <c r="S143"/>
      <c r="T143"/>
      <c r="U143"/>
      <c r="V143"/>
      <c r="W143"/>
    </row>
    <row r="144" spans="1:23" x14ac:dyDescent="0.2">
      <c r="A144"/>
      <c r="B144"/>
      <c r="C144"/>
      <c r="D144"/>
      <c r="E144"/>
      <c r="F144"/>
      <c r="G144"/>
      <c r="H144"/>
      <c r="I144"/>
      <c r="J144"/>
      <c r="K144"/>
      <c r="L144"/>
      <c r="M144"/>
      <c r="N144"/>
      <c r="O144"/>
      <c r="P144"/>
      <c r="R144"/>
      <c r="S144"/>
      <c r="T144"/>
      <c r="U144"/>
      <c r="V144"/>
      <c r="W144"/>
    </row>
    <row r="145" spans="1:23" x14ac:dyDescent="0.2">
      <c r="A145"/>
      <c r="B145"/>
      <c r="C145"/>
      <c r="D145"/>
      <c r="E145"/>
      <c r="F145"/>
      <c r="G145"/>
      <c r="H145"/>
      <c r="I145"/>
      <c r="J145"/>
      <c r="K145"/>
      <c r="L145"/>
      <c r="M145"/>
      <c r="N145"/>
      <c r="O145"/>
      <c r="P145"/>
      <c r="R145"/>
      <c r="S145"/>
      <c r="T145"/>
      <c r="U145"/>
      <c r="V145"/>
      <c r="W145"/>
    </row>
    <row r="146" spans="1:23" x14ac:dyDescent="0.2">
      <c r="A146"/>
      <c r="B146"/>
      <c r="C146"/>
      <c r="D146"/>
      <c r="E146"/>
      <c r="F146"/>
      <c r="G146"/>
      <c r="H146"/>
      <c r="I146"/>
      <c r="J146"/>
      <c r="K146"/>
      <c r="L146"/>
      <c r="M146"/>
      <c r="N146"/>
      <c r="O146"/>
      <c r="P146"/>
      <c r="R146"/>
      <c r="S146"/>
      <c r="T146"/>
      <c r="U146"/>
      <c r="V146"/>
      <c r="W146"/>
    </row>
    <row r="147" spans="1:23" x14ac:dyDescent="0.2">
      <c r="A147"/>
      <c r="B147"/>
      <c r="C147"/>
      <c r="D147"/>
      <c r="E147"/>
      <c r="F147"/>
      <c r="G147"/>
      <c r="H147"/>
      <c r="I147"/>
      <c r="J147"/>
      <c r="K147"/>
      <c r="L147"/>
      <c r="M147"/>
      <c r="N147"/>
      <c r="O147"/>
      <c r="P147"/>
      <c r="R147"/>
      <c r="S147"/>
      <c r="T147"/>
      <c r="U147"/>
      <c r="V147"/>
      <c r="W147"/>
    </row>
    <row r="148" spans="1:23" x14ac:dyDescent="0.2">
      <c r="A148"/>
      <c r="B148"/>
      <c r="C148"/>
      <c r="D148"/>
      <c r="E148"/>
      <c r="F148"/>
      <c r="G148"/>
      <c r="H148"/>
      <c r="I148"/>
      <c r="J148"/>
      <c r="K148"/>
      <c r="L148"/>
      <c r="M148"/>
      <c r="N148"/>
      <c r="O148"/>
      <c r="P148"/>
      <c r="R148"/>
      <c r="S148"/>
      <c r="T148"/>
      <c r="U148"/>
      <c r="V148"/>
      <c r="W148"/>
    </row>
    <row r="149" spans="1:23" x14ac:dyDescent="0.2">
      <c r="A149"/>
      <c r="B149"/>
      <c r="C149"/>
      <c r="D149"/>
      <c r="E149"/>
      <c r="F149"/>
      <c r="G149"/>
      <c r="H149"/>
      <c r="I149"/>
      <c r="J149"/>
      <c r="K149"/>
      <c r="L149"/>
      <c r="M149"/>
      <c r="N149"/>
      <c r="O149"/>
      <c r="P149"/>
      <c r="R149"/>
      <c r="S149"/>
      <c r="T149"/>
      <c r="U149"/>
      <c r="V149"/>
      <c r="W149"/>
    </row>
    <row r="150" spans="1:23" x14ac:dyDescent="0.2">
      <c r="A150"/>
      <c r="B150"/>
      <c r="C150"/>
      <c r="D150"/>
      <c r="E150"/>
      <c r="F150"/>
      <c r="G150"/>
      <c r="H150"/>
      <c r="I150"/>
      <c r="J150"/>
      <c r="K150"/>
      <c r="L150"/>
      <c r="M150"/>
      <c r="N150"/>
      <c r="O150"/>
      <c r="P150"/>
      <c r="R150"/>
      <c r="S150"/>
      <c r="T150"/>
      <c r="U150"/>
      <c r="V150"/>
      <c r="W150"/>
    </row>
    <row r="151" spans="1:23" x14ac:dyDescent="0.2">
      <c r="A151"/>
      <c r="B151"/>
      <c r="C151"/>
      <c r="D151"/>
      <c r="E151"/>
      <c r="F151"/>
      <c r="G151"/>
      <c r="H151"/>
      <c r="I151"/>
      <c r="J151"/>
      <c r="K151"/>
      <c r="L151"/>
      <c r="M151"/>
      <c r="N151"/>
      <c r="O151"/>
      <c r="P151"/>
      <c r="R151"/>
      <c r="S151"/>
      <c r="T151"/>
      <c r="U151"/>
      <c r="V151"/>
      <c r="W151"/>
    </row>
    <row r="152" spans="1:23" x14ac:dyDescent="0.2">
      <c r="A152"/>
      <c r="B152"/>
      <c r="C152"/>
      <c r="D152"/>
      <c r="E152"/>
      <c r="F152"/>
      <c r="G152"/>
      <c r="H152"/>
      <c r="I152"/>
      <c r="J152"/>
      <c r="K152"/>
      <c r="L152"/>
      <c r="M152"/>
      <c r="N152"/>
      <c r="O152"/>
      <c r="P152"/>
      <c r="R152"/>
      <c r="S152"/>
      <c r="T152"/>
      <c r="U152"/>
      <c r="V152"/>
      <c r="W152"/>
    </row>
    <row r="153" spans="1:23" x14ac:dyDescent="0.2">
      <c r="A153"/>
      <c r="B153"/>
      <c r="C153"/>
      <c r="D153"/>
      <c r="E153"/>
      <c r="F153"/>
      <c r="G153"/>
      <c r="H153"/>
      <c r="I153"/>
      <c r="J153"/>
      <c r="K153"/>
      <c r="L153"/>
      <c r="M153"/>
      <c r="N153"/>
      <c r="O153"/>
      <c r="P153"/>
      <c r="R153"/>
      <c r="S153"/>
      <c r="T153"/>
      <c r="U153"/>
      <c r="V153"/>
      <c r="W153"/>
    </row>
    <row r="154" spans="1:23" x14ac:dyDescent="0.2">
      <c r="A154"/>
      <c r="B154"/>
      <c r="C154"/>
      <c r="D154"/>
      <c r="E154"/>
      <c r="F154"/>
      <c r="G154"/>
      <c r="H154"/>
      <c r="I154"/>
      <c r="J154"/>
      <c r="K154"/>
      <c r="L154"/>
      <c r="M154"/>
      <c r="N154"/>
      <c r="O154"/>
      <c r="P154"/>
      <c r="R154"/>
      <c r="S154"/>
      <c r="T154"/>
      <c r="U154"/>
      <c r="V154"/>
      <c r="W154"/>
    </row>
    <row r="155" spans="1:23" x14ac:dyDescent="0.2">
      <c r="A155"/>
      <c r="B155"/>
      <c r="C155"/>
      <c r="D155"/>
      <c r="E155"/>
      <c r="F155"/>
      <c r="G155"/>
      <c r="H155"/>
      <c r="I155"/>
      <c r="J155"/>
      <c r="K155"/>
      <c r="L155"/>
      <c r="M155"/>
      <c r="N155"/>
      <c r="O155"/>
      <c r="P155"/>
      <c r="R155"/>
      <c r="S155"/>
      <c r="T155"/>
      <c r="U155"/>
      <c r="V155"/>
      <c r="W155"/>
    </row>
    <row r="156" spans="1:23" x14ac:dyDescent="0.2">
      <c r="A156"/>
      <c r="B156"/>
      <c r="C156"/>
      <c r="D156"/>
      <c r="E156"/>
      <c r="F156"/>
      <c r="G156"/>
      <c r="H156"/>
      <c r="I156"/>
      <c r="J156"/>
      <c r="K156"/>
      <c r="L156"/>
      <c r="M156"/>
      <c r="N156"/>
      <c r="O156"/>
      <c r="P156"/>
      <c r="R156"/>
      <c r="S156"/>
      <c r="T156"/>
      <c r="U156"/>
      <c r="V156"/>
      <c r="W156"/>
    </row>
    <row r="157" spans="1:23" x14ac:dyDescent="0.2">
      <c r="A157"/>
      <c r="B157"/>
      <c r="C157"/>
      <c r="D157"/>
      <c r="E157"/>
      <c r="F157"/>
      <c r="G157"/>
      <c r="H157"/>
      <c r="I157"/>
      <c r="J157"/>
      <c r="K157"/>
      <c r="L157"/>
      <c r="M157"/>
      <c r="N157"/>
      <c r="O157"/>
      <c r="P157"/>
      <c r="R157"/>
      <c r="S157"/>
      <c r="T157"/>
      <c r="U157"/>
      <c r="V157"/>
      <c r="W157"/>
    </row>
    <row r="158" spans="1:23" x14ac:dyDescent="0.2">
      <c r="A158"/>
      <c r="B158"/>
      <c r="C158"/>
      <c r="D158"/>
      <c r="E158"/>
      <c r="F158"/>
      <c r="G158"/>
      <c r="H158"/>
      <c r="I158"/>
      <c r="J158"/>
      <c r="K158"/>
      <c r="L158"/>
      <c r="M158"/>
      <c r="N158"/>
      <c r="O158"/>
      <c r="P158"/>
      <c r="R158"/>
      <c r="S158"/>
      <c r="T158"/>
      <c r="U158"/>
      <c r="V158"/>
      <c r="W158"/>
    </row>
    <row r="159" spans="1:23" x14ac:dyDescent="0.2">
      <c r="A159"/>
      <c r="B159"/>
      <c r="C159"/>
      <c r="D159"/>
      <c r="E159"/>
      <c r="F159"/>
      <c r="G159"/>
      <c r="H159"/>
      <c r="I159"/>
      <c r="J159"/>
      <c r="K159"/>
      <c r="L159"/>
      <c r="M159"/>
      <c r="N159"/>
      <c r="O159"/>
      <c r="P159"/>
      <c r="R159"/>
      <c r="S159"/>
      <c r="T159"/>
      <c r="U159"/>
      <c r="V159"/>
      <c r="W159"/>
    </row>
    <row r="160" spans="1:23" x14ac:dyDescent="0.2">
      <c r="A160"/>
      <c r="B160"/>
      <c r="C160"/>
      <c r="D160"/>
      <c r="E160"/>
      <c r="F160"/>
      <c r="G160"/>
      <c r="H160"/>
      <c r="I160"/>
      <c r="J160"/>
      <c r="K160"/>
      <c r="L160"/>
      <c r="M160"/>
      <c r="N160"/>
      <c r="O160"/>
      <c r="P160"/>
      <c r="R160"/>
      <c r="S160"/>
      <c r="T160"/>
      <c r="U160"/>
      <c r="V160"/>
      <c r="W160"/>
    </row>
    <row r="161" spans="1:23" x14ac:dyDescent="0.2">
      <c r="A161"/>
      <c r="B161"/>
      <c r="C161"/>
      <c r="D161"/>
      <c r="E161"/>
      <c r="F161"/>
      <c r="G161"/>
      <c r="H161"/>
      <c r="I161"/>
      <c r="J161"/>
      <c r="K161"/>
      <c r="L161"/>
      <c r="M161"/>
      <c r="N161"/>
      <c r="O161"/>
      <c r="P161"/>
      <c r="R161"/>
      <c r="S161"/>
      <c r="T161"/>
      <c r="U161"/>
      <c r="V161"/>
      <c r="W161"/>
    </row>
    <row r="162" spans="1:23" x14ac:dyDescent="0.2">
      <c r="A162"/>
      <c r="B162"/>
      <c r="C162"/>
      <c r="D162"/>
      <c r="E162"/>
      <c r="F162"/>
      <c r="G162"/>
      <c r="H162"/>
      <c r="I162"/>
      <c r="J162"/>
      <c r="K162"/>
      <c r="L162"/>
      <c r="M162"/>
      <c r="N162"/>
      <c r="O162"/>
      <c r="P162"/>
      <c r="R162"/>
      <c r="S162"/>
      <c r="T162"/>
      <c r="U162"/>
      <c r="V162"/>
      <c r="W162"/>
    </row>
    <row r="163" spans="1:23" x14ac:dyDescent="0.2">
      <c r="A163"/>
      <c r="B163"/>
      <c r="C163"/>
      <c r="D163"/>
      <c r="E163"/>
      <c r="F163"/>
      <c r="G163"/>
      <c r="H163"/>
      <c r="I163"/>
      <c r="J163"/>
      <c r="K163"/>
      <c r="L163"/>
      <c r="M163"/>
      <c r="N163"/>
      <c r="O163"/>
      <c r="P163"/>
      <c r="R163"/>
      <c r="S163"/>
      <c r="T163"/>
      <c r="U163"/>
      <c r="V163"/>
      <c r="W163"/>
    </row>
    <row r="164" spans="1:23" x14ac:dyDescent="0.2">
      <c r="A164"/>
      <c r="B164"/>
      <c r="C164"/>
      <c r="D164"/>
      <c r="E164"/>
      <c r="F164"/>
      <c r="G164"/>
      <c r="H164"/>
      <c r="I164"/>
      <c r="J164"/>
      <c r="K164"/>
      <c r="L164"/>
      <c r="M164"/>
      <c r="N164"/>
      <c r="O164"/>
      <c r="P164"/>
      <c r="R164"/>
      <c r="S164"/>
      <c r="T164"/>
      <c r="U164"/>
      <c r="V164"/>
      <c r="W164"/>
    </row>
    <row r="165" spans="1:23" x14ac:dyDescent="0.2">
      <c r="A165"/>
      <c r="B165"/>
      <c r="C165"/>
      <c r="D165"/>
      <c r="E165"/>
      <c r="F165"/>
      <c r="G165"/>
      <c r="H165"/>
      <c r="I165"/>
      <c r="J165"/>
      <c r="K165"/>
      <c r="L165"/>
      <c r="M165"/>
      <c r="N165"/>
      <c r="O165"/>
      <c r="P165"/>
      <c r="R165"/>
      <c r="S165"/>
      <c r="T165"/>
      <c r="U165"/>
      <c r="V165"/>
      <c r="W165"/>
    </row>
    <row r="166" spans="1:23" x14ac:dyDescent="0.2">
      <c r="A166"/>
      <c r="B166"/>
      <c r="C166"/>
      <c r="D166"/>
      <c r="E166"/>
      <c r="F166"/>
      <c r="G166"/>
      <c r="H166"/>
      <c r="I166"/>
      <c r="J166"/>
      <c r="K166"/>
      <c r="L166"/>
      <c r="M166"/>
      <c r="N166"/>
      <c r="O166"/>
      <c r="P166"/>
      <c r="R166"/>
      <c r="S166"/>
      <c r="T166"/>
      <c r="U166"/>
      <c r="V166"/>
      <c r="W166"/>
    </row>
    <row r="167" spans="1:23" x14ac:dyDescent="0.2">
      <c r="A167"/>
      <c r="B167"/>
      <c r="C167"/>
      <c r="D167"/>
      <c r="E167"/>
      <c r="F167"/>
      <c r="G167"/>
      <c r="H167"/>
      <c r="I167"/>
      <c r="J167"/>
      <c r="K167"/>
      <c r="L167"/>
      <c r="M167"/>
      <c r="N167"/>
      <c r="O167"/>
      <c r="P167"/>
      <c r="R167"/>
      <c r="S167"/>
      <c r="T167"/>
      <c r="U167"/>
      <c r="V167"/>
      <c r="W167"/>
    </row>
    <row r="168" spans="1:23" x14ac:dyDescent="0.2">
      <c r="A168"/>
      <c r="B168"/>
      <c r="C168"/>
      <c r="D168"/>
      <c r="E168"/>
      <c r="F168"/>
      <c r="G168"/>
      <c r="H168"/>
      <c r="I168"/>
      <c r="J168"/>
      <c r="K168"/>
      <c r="L168"/>
      <c r="M168"/>
      <c r="N168"/>
      <c r="O168"/>
      <c r="P168"/>
      <c r="R168"/>
      <c r="S168"/>
      <c r="T168"/>
      <c r="U168"/>
      <c r="V168"/>
      <c r="W168"/>
    </row>
    <row r="169" spans="1:23" x14ac:dyDescent="0.2">
      <c r="A169"/>
      <c r="B169"/>
      <c r="C169"/>
      <c r="D169"/>
      <c r="E169"/>
      <c r="F169"/>
      <c r="G169"/>
      <c r="H169"/>
      <c r="I169"/>
      <c r="J169"/>
      <c r="K169"/>
      <c r="L169"/>
      <c r="M169"/>
      <c r="N169"/>
      <c r="O169"/>
      <c r="P169"/>
      <c r="R169"/>
      <c r="S169"/>
      <c r="T169"/>
      <c r="U169"/>
      <c r="V169"/>
      <c r="W169"/>
    </row>
    <row r="170" spans="1:23" x14ac:dyDescent="0.2">
      <c r="A170"/>
      <c r="B170"/>
      <c r="C170"/>
      <c r="D170"/>
      <c r="E170"/>
      <c r="F170"/>
      <c r="G170"/>
      <c r="H170"/>
      <c r="I170"/>
      <c r="J170"/>
      <c r="K170"/>
      <c r="L170"/>
      <c r="M170"/>
      <c r="N170"/>
      <c r="O170"/>
      <c r="P170"/>
      <c r="R170"/>
      <c r="S170"/>
      <c r="T170"/>
      <c r="U170"/>
      <c r="V170"/>
      <c r="W170"/>
    </row>
    <row r="171" spans="1:23" x14ac:dyDescent="0.2">
      <c r="A171"/>
      <c r="B171"/>
      <c r="C171"/>
      <c r="D171"/>
      <c r="E171"/>
      <c r="F171"/>
      <c r="G171"/>
      <c r="H171"/>
      <c r="I171"/>
      <c r="J171"/>
      <c r="K171"/>
      <c r="L171"/>
      <c r="M171"/>
      <c r="N171"/>
      <c r="O171"/>
      <c r="P171"/>
      <c r="R171"/>
      <c r="S171"/>
      <c r="T171"/>
      <c r="U171"/>
      <c r="V171"/>
      <c r="W171"/>
    </row>
    <row r="172" spans="1:23" x14ac:dyDescent="0.2">
      <c r="A172"/>
      <c r="B172"/>
      <c r="C172"/>
      <c r="D172"/>
      <c r="E172"/>
      <c r="F172"/>
      <c r="G172"/>
      <c r="H172"/>
      <c r="I172"/>
      <c r="J172"/>
      <c r="K172"/>
      <c r="L172"/>
      <c r="M172"/>
      <c r="N172"/>
      <c r="O172"/>
      <c r="P172"/>
      <c r="R172"/>
      <c r="S172"/>
      <c r="T172"/>
      <c r="U172"/>
      <c r="V172"/>
      <c r="W172"/>
    </row>
    <row r="173" spans="1:23" x14ac:dyDescent="0.2">
      <c r="A173"/>
      <c r="B173"/>
      <c r="C173"/>
      <c r="D173"/>
      <c r="E173"/>
      <c r="F173"/>
      <c r="G173"/>
      <c r="H173"/>
      <c r="I173"/>
      <c r="J173"/>
      <c r="K173"/>
      <c r="L173"/>
      <c r="M173"/>
      <c r="N173"/>
      <c r="O173"/>
      <c r="P173"/>
      <c r="R173"/>
      <c r="S173"/>
      <c r="T173"/>
      <c r="U173"/>
      <c r="V173"/>
      <c r="W173"/>
    </row>
    <row r="174" spans="1:23" x14ac:dyDescent="0.2">
      <c r="A174"/>
      <c r="B174"/>
      <c r="C174"/>
      <c r="D174"/>
      <c r="E174"/>
      <c r="F174"/>
      <c r="G174"/>
      <c r="H174"/>
      <c r="I174"/>
      <c r="J174"/>
      <c r="K174"/>
      <c r="L174"/>
      <c r="M174"/>
      <c r="N174"/>
      <c r="O174"/>
      <c r="P174"/>
      <c r="R174"/>
      <c r="S174"/>
      <c r="T174"/>
      <c r="U174"/>
      <c r="V174"/>
      <c r="W174"/>
    </row>
    <row r="175" spans="1:23" x14ac:dyDescent="0.2">
      <c r="A175"/>
      <c r="B175"/>
      <c r="C175"/>
      <c r="D175"/>
      <c r="E175"/>
      <c r="F175"/>
      <c r="G175"/>
      <c r="H175"/>
      <c r="I175"/>
      <c r="J175"/>
      <c r="K175"/>
      <c r="L175"/>
      <c r="M175"/>
      <c r="N175"/>
      <c r="O175"/>
      <c r="P175"/>
      <c r="R175"/>
      <c r="S175"/>
      <c r="T175"/>
      <c r="U175"/>
      <c r="V175"/>
      <c r="W175"/>
    </row>
    <row r="176" spans="1:23" x14ac:dyDescent="0.2">
      <c r="A176"/>
      <c r="B176"/>
      <c r="C176"/>
      <c r="D176"/>
      <c r="E176"/>
      <c r="F176"/>
      <c r="G176"/>
      <c r="H176"/>
      <c r="I176"/>
      <c r="J176"/>
      <c r="K176"/>
      <c r="L176"/>
      <c r="M176"/>
      <c r="N176"/>
      <c r="O176"/>
      <c r="P176"/>
      <c r="R176"/>
      <c r="S176"/>
      <c r="T176"/>
      <c r="U176"/>
      <c r="V176"/>
      <c r="W176"/>
    </row>
    <row r="177" spans="1:23" x14ac:dyDescent="0.2">
      <c r="A177"/>
      <c r="B177"/>
      <c r="C177"/>
      <c r="D177"/>
      <c r="E177"/>
      <c r="F177"/>
      <c r="G177"/>
      <c r="H177"/>
      <c r="I177"/>
      <c r="J177"/>
      <c r="K177"/>
      <c r="L177"/>
      <c r="M177"/>
      <c r="N177"/>
      <c r="O177"/>
      <c r="P177"/>
      <c r="R177"/>
      <c r="S177"/>
      <c r="T177"/>
      <c r="U177"/>
      <c r="V177"/>
      <c r="W177"/>
    </row>
    <row r="178" spans="1:23" x14ac:dyDescent="0.2">
      <c r="A178"/>
      <c r="B178"/>
      <c r="C178"/>
      <c r="D178"/>
      <c r="E178"/>
      <c r="F178"/>
      <c r="G178"/>
      <c r="H178"/>
      <c r="I178"/>
      <c r="J178"/>
      <c r="K178"/>
      <c r="L178"/>
      <c r="M178"/>
      <c r="N178"/>
      <c r="O178"/>
      <c r="P178"/>
      <c r="R178"/>
      <c r="S178"/>
      <c r="T178"/>
      <c r="U178"/>
      <c r="V178"/>
      <c r="W178"/>
    </row>
    <row r="179" spans="1:23" x14ac:dyDescent="0.2">
      <c r="A179"/>
      <c r="B179"/>
      <c r="C179"/>
      <c r="D179"/>
      <c r="E179"/>
      <c r="F179"/>
      <c r="G179"/>
      <c r="H179"/>
      <c r="I179"/>
      <c r="J179"/>
      <c r="K179"/>
      <c r="L179"/>
      <c r="M179"/>
      <c r="N179"/>
      <c r="O179"/>
      <c r="P179"/>
      <c r="R179"/>
      <c r="S179"/>
      <c r="T179"/>
      <c r="U179"/>
      <c r="V179"/>
      <c r="W179"/>
    </row>
    <row r="180" spans="1:23" x14ac:dyDescent="0.2">
      <c r="A180"/>
      <c r="B180"/>
      <c r="C180"/>
      <c r="D180"/>
      <c r="E180"/>
      <c r="F180"/>
      <c r="G180"/>
      <c r="H180"/>
      <c r="I180"/>
      <c r="J180"/>
      <c r="K180"/>
      <c r="L180"/>
      <c r="M180"/>
      <c r="N180"/>
      <c r="O180"/>
      <c r="P180"/>
      <c r="R180"/>
      <c r="S180"/>
      <c r="T180"/>
      <c r="U180"/>
      <c r="V180"/>
      <c r="W180"/>
    </row>
    <row r="181" spans="1:23" x14ac:dyDescent="0.2">
      <c r="A181"/>
      <c r="B181"/>
      <c r="C181"/>
      <c r="D181"/>
      <c r="E181"/>
      <c r="F181"/>
      <c r="G181"/>
      <c r="H181"/>
      <c r="I181"/>
      <c r="J181"/>
      <c r="K181"/>
      <c r="L181"/>
      <c r="M181"/>
      <c r="N181"/>
      <c r="O181"/>
      <c r="P181"/>
      <c r="R181"/>
      <c r="S181"/>
      <c r="T181"/>
      <c r="U181"/>
      <c r="V181"/>
      <c r="W181"/>
    </row>
    <row r="182" spans="1:23" x14ac:dyDescent="0.2">
      <c r="A182"/>
      <c r="B182"/>
      <c r="C182"/>
      <c r="D182"/>
      <c r="E182"/>
      <c r="F182"/>
      <c r="G182"/>
      <c r="H182"/>
      <c r="I182"/>
      <c r="J182"/>
      <c r="K182"/>
      <c r="L182"/>
      <c r="M182"/>
      <c r="N182"/>
      <c r="O182"/>
      <c r="P182"/>
      <c r="R182"/>
      <c r="S182"/>
      <c r="T182"/>
      <c r="U182"/>
      <c r="V182"/>
      <c r="W182"/>
    </row>
    <row r="183" spans="1:23" x14ac:dyDescent="0.2">
      <c r="A183"/>
      <c r="B183"/>
      <c r="C183"/>
      <c r="D183"/>
      <c r="E183"/>
      <c r="F183"/>
      <c r="G183"/>
      <c r="H183"/>
      <c r="I183"/>
      <c r="J183"/>
      <c r="K183"/>
      <c r="L183"/>
      <c r="M183"/>
      <c r="N183"/>
      <c r="O183"/>
      <c r="P183"/>
      <c r="R183"/>
      <c r="S183"/>
      <c r="T183"/>
      <c r="U183"/>
      <c r="V183"/>
      <c r="W183"/>
    </row>
    <row r="184" spans="1:23" x14ac:dyDescent="0.2">
      <c r="A184"/>
      <c r="B184"/>
      <c r="C184"/>
      <c r="D184"/>
      <c r="E184"/>
      <c r="F184"/>
      <c r="G184"/>
      <c r="H184"/>
      <c r="I184"/>
      <c r="J184"/>
      <c r="K184"/>
      <c r="L184"/>
      <c r="M184"/>
      <c r="N184"/>
      <c r="O184"/>
      <c r="P184"/>
      <c r="R184"/>
      <c r="S184"/>
      <c r="T184"/>
      <c r="U184"/>
      <c r="V184"/>
      <c r="W184"/>
    </row>
    <row r="185" spans="1:23" x14ac:dyDescent="0.2">
      <c r="A185"/>
      <c r="B185"/>
      <c r="C185"/>
      <c r="D185"/>
      <c r="E185"/>
      <c r="F185"/>
      <c r="G185"/>
      <c r="H185"/>
      <c r="I185"/>
      <c r="J185"/>
      <c r="K185"/>
      <c r="L185"/>
      <c r="M185"/>
      <c r="N185"/>
      <c r="O185"/>
      <c r="P185"/>
      <c r="R185"/>
      <c r="S185"/>
      <c r="T185"/>
      <c r="U185"/>
      <c r="V185"/>
      <c r="W185"/>
    </row>
    <row r="186" spans="1:23" x14ac:dyDescent="0.2">
      <c r="A186"/>
      <c r="B186"/>
      <c r="C186"/>
      <c r="D186"/>
      <c r="E186"/>
      <c r="F186"/>
      <c r="G186"/>
      <c r="H186"/>
      <c r="I186"/>
      <c r="J186"/>
      <c r="K186"/>
      <c r="L186"/>
      <c r="M186"/>
      <c r="N186"/>
      <c r="O186"/>
      <c r="P186"/>
      <c r="R186"/>
      <c r="S186"/>
      <c r="T186"/>
      <c r="U186"/>
      <c r="V186"/>
      <c r="W186"/>
    </row>
    <row r="187" spans="1:23" x14ac:dyDescent="0.2">
      <c r="A187"/>
      <c r="B187"/>
      <c r="C187"/>
      <c r="D187"/>
      <c r="E187"/>
      <c r="F187"/>
      <c r="G187"/>
      <c r="H187"/>
      <c r="I187"/>
      <c r="J187"/>
      <c r="K187"/>
      <c r="L187"/>
      <c r="M187"/>
      <c r="N187"/>
      <c r="O187"/>
      <c r="P187"/>
      <c r="R187"/>
      <c r="S187"/>
      <c r="T187"/>
      <c r="U187"/>
      <c r="V187"/>
      <c r="W187"/>
    </row>
    <row r="188" spans="1:23" x14ac:dyDescent="0.2">
      <c r="A188"/>
      <c r="B188"/>
      <c r="C188"/>
      <c r="D188"/>
      <c r="E188"/>
      <c r="F188"/>
      <c r="G188"/>
      <c r="H188"/>
      <c r="I188"/>
      <c r="J188"/>
      <c r="K188"/>
      <c r="L188"/>
      <c r="M188"/>
      <c r="N188"/>
      <c r="O188"/>
      <c r="P188"/>
      <c r="R188"/>
      <c r="S188"/>
      <c r="T188"/>
      <c r="U188"/>
      <c r="V188"/>
      <c r="W188"/>
    </row>
    <row r="189" spans="1:23" x14ac:dyDescent="0.2">
      <c r="A189"/>
      <c r="B189"/>
      <c r="C189"/>
      <c r="D189"/>
      <c r="E189"/>
      <c r="F189"/>
      <c r="G189"/>
      <c r="H189"/>
      <c r="I189"/>
      <c r="J189"/>
      <c r="K189"/>
      <c r="L189"/>
      <c r="M189"/>
      <c r="N189"/>
      <c r="O189"/>
      <c r="P189"/>
      <c r="R189"/>
      <c r="S189"/>
      <c r="T189"/>
      <c r="U189"/>
      <c r="V189"/>
      <c r="W189"/>
    </row>
    <row r="190" spans="1:23" x14ac:dyDescent="0.2">
      <c r="A190"/>
      <c r="B190"/>
      <c r="C190"/>
      <c r="D190"/>
      <c r="E190"/>
      <c r="F190"/>
      <c r="G190"/>
      <c r="H190"/>
      <c r="I190"/>
      <c r="J190"/>
      <c r="K190"/>
      <c r="L190"/>
      <c r="M190"/>
      <c r="N190"/>
      <c r="O190"/>
      <c r="P190"/>
      <c r="R190"/>
      <c r="S190"/>
      <c r="T190"/>
      <c r="U190"/>
      <c r="V190"/>
      <c r="W190"/>
    </row>
    <row r="191" spans="1:23" x14ac:dyDescent="0.2">
      <c r="A191"/>
      <c r="B191"/>
      <c r="C191"/>
      <c r="D191"/>
      <c r="E191"/>
      <c r="F191"/>
      <c r="G191"/>
      <c r="H191"/>
      <c r="I191"/>
      <c r="J191"/>
      <c r="K191"/>
      <c r="L191"/>
      <c r="M191"/>
      <c r="N191"/>
      <c r="O191"/>
      <c r="P191"/>
      <c r="R191"/>
      <c r="S191"/>
      <c r="T191"/>
      <c r="U191"/>
      <c r="V191"/>
      <c r="W191"/>
    </row>
    <row r="192" spans="1:23" x14ac:dyDescent="0.2">
      <c r="A192"/>
      <c r="B192"/>
      <c r="C192"/>
      <c r="D192"/>
      <c r="E192"/>
      <c r="F192"/>
      <c r="G192"/>
      <c r="H192"/>
      <c r="I192"/>
      <c r="J192"/>
      <c r="K192"/>
      <c r="L192"/>
      <c r="M192"/>
      <c r="N192"/>
      <c r="O192"/>
      <c r="P192"/>
      <c r="R192"/>
      <c r="S192"/>
      <c r="T192"/>
      <c r="U192"/>
      <c r="V192"/>
      <c r="W192"/>
    </row>
    <row r="193" spans="1:23" x14ac:dyDescent="0.2">
      <c r="A193"/>
      <c r="B193"/>
      <c r="C193"/>
      <c r="D193"/>
      <c r="E193"/>
      <c r="F193"/>
      <c r="G193"/>
      <c r="H193"/>
      <c r="I193"/>
      <c r="J193"/>
      <c r="K193"/>
      <c r="L193"/>
      <c r="M193"/>
      <c r="N193"/>
      <c r="O193"/>
      <c r="P193"/>
      <c r="R193"/>
      <c r="S193"/>
      <c r="T193"/>
      <c r="U193"/>
      <c r="V193"/>
      <c r="W193"/>
    </row>
    <row r="194" spans="1:23" x14ac:dyDescent="0.2">
      <c r="A194"/>
      <c r="B194"/>
      <c r="C194"/>
      <c r="D194"/>
      <c r="E194"/>
      <c r="F194"/>
      <c r="G194"/>
      <c r="H194"/>
      <c r="I194"/>
      <c r="J194"/>
      <c r="K194"/>
      <c r="L194"/>
      <c r="M194"/>
      <c r="N194"/>
      <c r="O194"/>
      <c r="P194"/>
      <c r="R194"/>
      <c r="S194"/>
      <c r="T194"/>
      <c r="U194"/>
      <c r="V194"/>
      <c r="W194"/>
    </row>
    <row r="195" spans="1:23" x14ac:dyDescent="0.2">
      <c r="A195"/>
      <c r="B195"/>
      <c r="C195"/>
      <c r="D195"/>
      <c r="E195"/>
      <c r="F195"/>
      <c r="G195"/>
      <c r="H195"/>
      <c r="I195"/>
      <c r="J195"/>
      <c r="K195"/>
      <c r="L195"/>
      <c r="M195"/>
      <c r="N195"/>
      <c r="O195"/>
      <c r="P195"/>
      <c r="R195"/>
      <c r="S195"/>
      <c r="T195"/>
      <c r="U195"/>
      <c r="V195"/>
      <c r="W195"/>
    </row>
    <row r="196" spans="1:23" x14ac:dyDescent="0.2">
      <c r="A196"/>
      <c r="B196"/>
      <c r="C196"/>
      <c r="D196"/>
      <c r="E196"/>
      <c r="F196"/>
      <c r="G196"/>
      <c r="H196"/>
      <c r="I196"/>
      <c r="J196"/>
      <c r="K196"/>
      <c r="L196"/>
      <c r="M196"/>
      <c r="N196"/>
      <c r="O196"/>
      <c r="P196"/>
      <c r="R196"/>
      <c r="S196"/>
      <c r="T196"/>
      <c r="U196"/>
      <c r="V196"/>
      <c r="W196"/>
    </row>
    <row r="197" spans="1:23" x14ac:dyDescent="0.2">
      <c r="A197"/>
      <c r="B197"/>
      <c r="C197"/>
      <c r="D197"/>
      <c r="E197"/>
      <c r="F197"/>
      <c r="G197"/>
      <c r="H197"/>
      <c r="I197"/>
      <c r="J197"/>
      <c r="K197"/>
      <c r="L197"/>
      <c r="M197"/>
      <c r="N197"/>
      <c r="O197"/>
      <c r="P197"/>
      <c r="R197"/>
      <c r="S197"/>
      <c r="T197"/>
      <c r="U197"/>
      <c r="V197"/>
      <c r="W197"/>
    </row>
    <row r="198" spans="1:23" x14ac:dyDescent="0.2">
      <c r="A198"/>
      <c r="B198"/>
      <c r="C198"/>
      <c r="D198"/>
      <c r="E198"/>
      <c r="F198"/>
      <c r="G198"/>
      <c r="H198"/>
      <c r="I198"/>
      <c r="J198"/>
      <c r="K198"/>
      <c r="L198"/>
      <c r="M198"/>
      <c r="N198"/>
      <c r="O198"/>
      <c r="P198"/>
      <c r="R198"/>
      <c r="S198"/>
      <c r="T198"/>
      <c r="U198"/>
      <c r="V198"/>
      <c r="W198"/>
    </row>
    <row r="199" spans="1:23" x14ac:dyDescent="0.2">
      <c r="A199"/>
      <c r="B199"/>
      <c r="C199"/>
      <c r="D199"/>
      <c r="E199"/>
      <c r="F199"/>
      <c r="G199"/>
      <c r="H199"/>
      <c r="I199"/>
      <c r="J199"/>
      <c r="K199"/>
      <c r="L199"/>
      <c r="M199"/>
      <c r="N199"/>
      <c r="O199"/>
      <c r="P199"/>
      <c r="R199"/>
      <c r="S199"/>
      <c r="T199"/>
      <c r="U199"/>
      <c r="V199"/>
      <c r="W199"/>
    </row>
    <row r="200" spans="1:23" x14ac:dyDescent="0.2">
      <c r="A200"/>
      <c r="B200"/>
      <c r="C200"/>
      <c r="D200"/>
      <c r="E200"/>
      <c r="F200"/>
      <c r="G200"/>
      <c r="H200"/>
      <c r="I200"/>
      <c r="J200"/>
      <c r="K200"/>
      <c r="L200"/>
      <c r="M200"/>
      <c r="N200"/>
      <c r="O200"/>
      <c r="P200"/>
      <c r="R200"/>
      <c r="S200"/>
      <c r="T200"/>
      <c r="U200"/>
      <c r="V200"/>
      <c r="W200"/>
    </row>
    <row r="201" spans="1:23" x14ac:dyDescent="0.2">
      <c r="A201"/>
      <c r="B201"/>
      <c r="C201"/>
      <c r="D201"/>
      <c r="E201"/>
      <c r="F201"/>
      <c r="G201"/>
      <c r="H201"/>
      <c r="I201"/>
      <c r="J201"/>
      <c r="K201"/>
      <c r="L201"/>
      <c r="M201"/>
      <c r="N201"/>
      <c r="O201"/>
      <c r="P201"/>
      <c r="R201"/>
      <c r="S201"/>
      <c r="T201"/>
      <c r="U201"/>
      <c r="V201"/>
      <c r="W201"/>
    </row>
    <row r="202" spans="1:23" x14ac:dyDescent="0.2">
      <c r="A202"/>
      <c r="B202"/>
      <c r="C202"/>
      <c r="D202"/>
      <c r="E202"/>
      <c r="F202"/>
      <c r="G202"/>
      <c r="H202"/>
      <c r="I202"/>
      <c r="J202"/>
      <c r="K202"/>
      <c r="L202"/>
      <c r="M202"/>
      <c r="N202"/>
      <c r="O202"/>
      <c r="P202"/>
      <c r="R202"/>
      <c r="S202"/>
      <c r="T202"/>
      <c r="U202"/>
      <c r="V202"/>
      <c r="W202"/>
    </row>
    <row r="203" spans="1:23" x14ac:dyDescent="0.2">
      <c r="A203"/>
      <c r="B203"/>
      <c r="C203"/>
      <c r="D203"/>
      <c r="E203"/>
      <c r="F203"/>
      <c r="G203"/>
      <c r="H203"/>
      <c r="I203"/>
      <c r="J203"/>
      <c r="K203"/>
      <c r="L203"/>
      <c r="M203"/>
      <c r="N203"/>
      <c r="O203"/>
      <c r="P203"/>
      <c r="R203"/>
      <c r="S203"/>
      <c r="T203"/>
      <c r="U203"/>
      <c r="V203"/>
      <c r="W203"/>
    </row>
    <row r="204" spans="1:23" x14ac:dyDescent="0.2">
      <c r="A204"/>
      <c r="B204"/>
      <c r="C204"/>
      <c r="D204"/>
      <c r="E204"/>
      <c r="F204"/>
      <c r="G204"/>
      <c r="H204"/>
      <c r="I204"/>
      <c r="J204"/>
      <c r="K204"/>
      <c r="L204"/>
      <c r="M204"/>
      <c r="N204"/>
      <c r="O204"/>
      <c r="P204"/>
      <c r="R204"/>
      <c r="S204"/>
      <c r="T204"/>
      <c r="U204"/>
      <c r="V204"/>
      <c r="W204"/>
    </row>
    <row r="205" spans="1:23" x14ac:dyDescent="0.2">
      <c r="A205"/>
      <c r="B205"/>
      <c r="C205"/>
      <c r="D205"/>
      <c r="E205"/>
      <c r="F205"/>
      <c r="G205"/>
      <c r="H205"/>
      <c r="I205"/>
      <c r="J205"/>
      <c r="K205"/>
      <c r="L205"/>
      <c r="M205"/>
      <c r="N205"/>
      <c r="O205"/>
      <c r="P205"/>
      <c r="R205"/>
      <c r="S205"/>
      <c r="T205"/>
      <c r="U205"/>
      <c r="V205"/>
      <c r="W205"/>
    </row>
    <row r="206" spans="1:23" x14ac:dyDescent="0.2">
      <c r="A206"/>
      <c r="B206"/>
      <c r="C206"/>
      <c r="D206"/>
      <c r="E206"/>
      <c r="F206"/>
      <c r="G206"/>
      <c r="H206"/>
      <c r="I206"/>
      <c r="J206"/>
      <c r="K206"/>
      <c r="L206"/>
      <c r="M206"/>
      <c r="N206"/>
      <c r="O206"/>
      <c r="P206"/>
      <c r="R206"/>
      <c r="S206"/>
      <c r="T206"/>
      <c r="U206"/>
      <c r="V206"/>
      <c r="W206"/>
    </row>
    <row r="207" spans="1:23" x14ac:dyDescent="0.2">
      <c r="A207"/>
      <c r="B207"/>
      <c r="C207"/>
      <c r="D207"/>
      <c r="E207"/>
      <c r="F207"/>
      <c r="G207"/>
      <c r="H207"/>
      <c r="I207"/>
      <c r="J207"/>
      <c r="K207"/>
      <c r="L207"/>
      <c r="M207"/>
      <c r="N207"/>
      <c r="O207"/>
      <c r="P207"/>
      <c r="R207"/>
      <c r="S207"/>
      <c r="T207"/>
      <c r="U207"/>
      <c r="V207"/>
      <c r="W207"/>
    </row>
    <row r="208" spans="1:23" x14ac:dyDescent="0.2">
      <c r="A208"/>
      <c r="B208"/>
      <c r="C208"/>
      <c r="D208"/>
      <c r="E208"/>
      <c r="F208"/>
      <c r="G208"/>
      <c r="H208"/>
      <c r="I208"/>
      <c r="J208"/>
      <c r="K208"/>
      <c r="L208"/>
      <c r="M208"/>
      <c r="N208"/>
      <c r="O208"/>
      <c r="P208"/>
      <c r="R208"/>
      <c r="S208"/>
      <c r="T208"/>
      <c r="U208"/>
      <c r="V208"/>
      <c r="W208"/>
    </row>
    <row r="209" spans="1:23" x14ac:dyDescent="0.2">
      <c r="A209"/>
      <c r="B209"/>
      <c r="C209"/>
      <c r="D209"/>
      <c r="E209"/>
      <c r="F209"/>
      <c r="G209"/>
      <c r="H209"/>
      <c r="I209"/>
      <c r="J209"/>
      <c r="K209"/>
      <c r="L209"/>
      <c r="M209"/>
      <c r="N209"/>
      <c r="O209"/>
      <c r="P209"/>
      <c r="R209"/>
      <c r="S209"/>
      <c r="T209"/>
      <c r="U209"/>
      <c r="V209"/>
      <c r="W209"/>
    </row>
    <row r="210" spans="1:23" x14ac:dyDescent="0.2">
      <c r="A210"/>
      <c r="B210"/>
      <c r="C210"/>
      <c r="D210"/>
      <c r="E210"/>
      <c r="F210"/>
      <c r="G210"/>
      <c r="H210"/>
      <c r="I210"/>
      <c r="J210"/>
      <c r="K210"/>
      <c r="L210"/>
      <c r="M210"/>
      <c r="N210"/>
      <c r="O210"/>
      <c r="P210"/>
      <c r="R210"/>
      <c r="S210"/>
      <c r="T210"/>
      <c r="U210"/>
      <c r="V210"/>
      <c r="W210"/>
    </row>
    <row r="211" spans="1:23" x14ac:dyDescent="0.2">
      <c r="A211"/>
      <c r="B211"/>
      <c r="C211"/>
      <c r="D211"/>
      <c r="E211"/>
      <c r="F211"/>
      <c r="G211"/>
      <c r="H211"/>
      <c r="I211"/>
      <c r="J211"/>
      <c r="K211"/>
      <c r="L211"/>
      <c r="M211"/>
      <c r="N211"/>
      <c r="O211"/>
      <c r="P211"/>
      <c r="R211"/>
      <c r="S211"/>
      <c r="T211"/>
      <c r="U211"/>
      <c r="V211"/>
      <c r="W211"/>
    </row>
    <row r="212" spans="1:23" x14ac:dyDescent="0.2">
      <c r="A212"/>
      <c r="B212"/>
      <c r="C212"/>
      <c r="D212"/>
      <c r="E212"/>
      <c r="F212"/>
      <c r="G212"/>
      <c r="H212"/>
      <c r="I212"/>
      <c r="J212"/>
      <c r="K212"/>
      <c r="L212"/>
      <c r="M212"/>
      <c r="N212"/>
      <c r="O212"/>
      <c r="P212"/>
      <c r="R212"/>
      <c r="S212"/>
      <c r="T212"/>
      <c r="U212"/>
      <c r="V212"/>
      <c r="W212"/>
    </row>
    <row r="213" spans="1:23" x14ac:dyDescent="0.2">
      <c r="A213"/>
      <c r="B213"/>
      <c r="C213"/>
      <c r="D213"/>
      <c r="E213"/>
      <c r="F213"/>
      <c r="G213"/>
      <c r="H213"/>
      <c r="I213"/>
      <c r="J213"/>
      <c r="K213"/>
      <c r="L213"/>
      <c r="M213"/>
      <c r="N213"/>
      <c r="O213"/>
      <c r="P213"/>
      <c r="R213"/>
      <c r="S213"/>
      <c r="T213"/>
      <c r="U213"/>
      <c r="V213"/>
      <c r="W213"/>
    </row>
    <row r="214" spans="1:23" x14ac:dyDescent="0.2">
      <c r="A214"/>
      <c r="B214"/>
      <c r="C214"/>
      <c r="D214"/>
      <c r="E214"/>
      <c r="F214"/>
      <c r="G214"/>
      <c r="H214"/>
      <c r="I214"/>
      <c r="J214"/>
      <c r="K214"/>
      <c r="L214"/>
      <c r="M214"/>
      <c r="N214"/>
      <c r="O214"/>
      <c r="P214"/>
      <c r="R214"/>
      <c r="S214"/>
      <c r="T214"/>
      <c r="U214"/>
      <c r="V214"/>
      <c r="W214"/>
    </row>
    <row r="215" spans="1:23" x14ac:dyDescent="0.2">
      <c r="A215"/>
      <c r="B215"/>
      <c r="C215"/>
      <c r="D215"/>
      <c r="E215"/>
      <c r="F215"/>
      <c r="G215"/>
      <c r="H215"/>
      <c r="I215"/>
      <c r="J215"/>
      <c r="K215"/>
      <c r="L215"/>
      <c r="M215"/>
      <c r="N215"/>
      <c r="O215"/>
      <c r="P215"/>
      <c r="R215"/>
      <c r="S215"/>
      <c r="T215"/>
      <c r="U215"/>
      <c r="V215"/>
      <c r="W215"/>
    </row>
    <row r="216" spans="1:23" x14ac:dyDescent="0.2">
      <c r="A216"/>
      <c r="B216"/>
      <c r="C216"/>
      <c r="D216"/>
      <c r="E216"/>
      <c r="F216"/>
      <c r="G216"/>
      <c r="H216"/>
      <c r="I216"/>
      <c r="J216"/>
      <c r="K216"/>
      <c r="L216"/>
      <c r="M216"/>
      <c r="N216"/>
      <c r="O216"/>
      <c r="P216"/>
      <c r="R216"/>
      <c r="S216"/>
      <c r="T216"/>
      <c r="U216"/>
      <c r="V216"/>
      <c r="W216"/>
    </row>
    <row r="217" spans="1:23" x14ac:dyDescent="0.2">
      <c r="A217"/>
      <c r="B217"/>
      <c r="C217"/>
      <c r="D217"/>
      <c r="E217"/>
      <c r="F217"/>
      <c r="G217"/>
      <c r="H217"/>
      <c r="I217"/>
      <c r="J217"/>
      <c r="K217"/>
      <c r="L217"/>
      <c r="M217"/>
      <c r="N217"/>
      <c r="O217"/>
      <c r="P217"/>
      <c r="R217"/>
      <c r="S217"/>
      <c r="T217"/>
      <c r="U217"/>
      <c r="V217"/>
      <c r="W217"/>
    </row>
    <row r="218" spans="1:23" x14ac:dyDescent="0.2">
      <c r="A218"/>
      <c r="B218"/>
      <c r="C218"/>
      <c r="D218"/>
      <c r="E218"/>
      <c r="F218"/>
      <c r="G218"/>
      <c r="H218"/>
      <c r="I218"/>
      <c r="J218"/>
      <c r="K218"/>
      <c r="L218"/>
      <c r="M218"/>
      <c r="N218"/>
      <c r="O218"/>
      <c r="P218"/>
      <c r="R218"/>
      <c r="S218"/>
      <c r="T218"/>
      <c r="U218"/>
      <c r="V218"/>
      <c r="W218"/>
    </row>
    <row r="219" spans="1:23" x14ac:dyDescent="0.2">
      <c r="A219"/>
      <c r="B219"/>
      <c r="C219"/>
      <c r="D219"/>
      <c r="E219"/>
      <c r="F219"/>
      <c r="G219"/>
      <c r="H219"/>
      <c r="I219"/>
      <c r="J219"/>
      <c r="K219"/>
      <c r="L219"/>
      <c r="M219"/>
      <c r="N219"/>
      <c r="O219"/>
      <c r="P219"/>
      <c r="R219"/>
      <c r="S219"/>
      <c r="T219"/>
      <c r="U219"/>
      <c r="V219"/>
      <c r="W219"/>
    </row>
    <row r="220" spans="1:23" x14ac:dyDescent="0.2">
      <c r="A220"/>
      <c r="B220"/>
      <c r="C220"/>
      <c r="D220"/>
      <c r="E220"/>
      <c r="F220"/>
      <c r="G220"/>
      <c r="H220"/>
      <c r="I220"/>
      <c r="J220"/>
      <c r="K220"/>
      <c r="L220"/>
      <c r="M220"/>
      <c r="N220"/>
      <c r="O220"/>
      <c r="P220"/>
      <c r="R220"/>
      <c r="S220"/>
      <c r="T220"/>
      <c r="U220"/>
      <c r="V220"/>
      <c r="W220"/>
    </row>
    <row r="221" spans="1:23" x14ac:dyDescent="0.2">
      <c r="A221"/>
      <c r="B221"/>
      <c r="C221"/>
      <c r="D221"/>
      <c r="E221"/>
      <c r="F221"/>
      <c r="G221"/>
      <c r="H221"/>
      <c r="I221"/>
      <c r="J221"/>
      <c r="K221"/>
      <c r="L221"/>
      <c r="M221"/>
      <c r="N221"/>
      <c r="O221"/>
      <c r="P221"/>
      <c r="R221"/>
      <c r="S221"/>
      <c r="T221"/>
      <c r="U221"/>
      <c r="V221"/>
      <c r="W221"/>
    </row>
    <row r="222" spans="1:23" x14ac:dyDescent="0.2">
      <c r="A222"/>
      <c r="B222"/>
      <c r="C222"/>
      <c r="D222"/>
      <c r="E222"/>
      <c r="F222"/>
      <c r="G222"/>
      <c r="H222"/>
      <c r="I222"/>
      <c r="J222"/>
      <c r="K222"/>
      <c r="L222"/>
      <c r="M222"/>
      <c r="N222"/>
      <c r="O222"/>
      <c r="P222"/>
      <c r="R222"/>
      <c r="S222"/>
      <c r="T222"/>
      <c r="U222"/>
      <c r="V222"/>
      <c r="W222"/>
    </row>
    <row r="223" spans="1:23" x14ac:dyDescent="0.2">
      <c r="A223"/>
      <c r="B223"/>
      <c r="C223"/>
      <c r="D223"/>
      <c r="E223"/>
      <c r="F223"/>
      <c r="G223"/>
      <c r="H223"/>
      <c r="I223"/>
      <c r="J223"/>
      <c r="K223"/>
      <c r="L223"/>
      <c r="M223"/>
      <c r="N223"/>
      <c r="O223"/>
      <c r="P223"/>
      <c r="R223"/>
      <c r="S223"/>
      <c r="T223"/>
      <c r="U223"/>
      <c r="V223"/>
      <c r="W223"/>
    </row>
    <row r="224" spans="1:23" x14ac:dyDescent="0.2">
      <c r="A224"/>
      <c r="B224"/>
      <c r="C224"/>
      <c r="D224"/>
      <c r="E224"/>
      <c r="F224"/>
      <c r="G224"/>
      <c r="H224"/>
      <c r="I224"/>
      <c r="J224"/>
      <c r="K224"/>
      <c r="L224"/>
      <c r="M224"/>
      <c r="N224"/>
      <c r="O224"/>
      <c r="P224"/>
      <c r="R224"/>
      <c r="S224"/>
      <c r="T224"/>
      <c r="U224"/>
      <c r="V224"/>
      <c r="W224"/>
    </row>
    <row r="225" spans="1:23" x14ac:dyDescent="0.2">
      <c r="A225"/>
      <c r="B225"/>
      <c r="C225"/>
      <c r="D225"/>
      <c r="E225"/>
      <c r="F225"/>
      <c r="G225"/>
      <c r="H225"/>
      <c r="I225"/>
      <c r="J225"/>
      <c r="K225"/>
      <c r="L225"/>
      <c r="M225"/>
      <c r="N225"/>
      <c r="O225"/>
      <c r="P225"/>
      <c r="R225"/>
      <c r="S225"/>
      <c r="T225"/>
      <c r="U225"/>
      <c r="V225"/>
      <c r="W225"/>
    </row>
    <row r="226" spans="1:23" x14ac:dyDescent="0.2">
      <c r="A226"/>
      <c r="B226"/>
      <c r="C226"/>
      <c r="D226"/>
      <c r="E226"/>
      <c r="F226"/>
      <c r="G226"/>
      <c r="H226"/>
      <c r="I226"/>
      <c r="J226"/>
      <c r="K226"/>
      <c r="L226"/>
      <c r="M226"/>
      <c r="N226"/>
      <c r="O226"/>
      <c r="P226"/>
      <c r="R226"/>
      <c r="S226"/>
      <c r="T226"/>
      <c r="U226"/>
      <c r="V226"/>
      <c r="W226"/>
    </row>
    <row r="227" spans="1:23" x14ac:dyDescent="0.2">
      <c r="A227"/>
      <c r="B227"/>
      <c r="C227"/>
      <c r="D227"/>
      <c r="E227"/>
      <c r="F227"/>
      <c r="G227"/>
      <c r="H227"/>
      <c r="I227"/>
      <c r="J227"/>
      <c r="K227"/>
      <c r="L227"/>
      <c r="M227"/>
      <c r="N227"/>
      <c r="O227"/>
      <c r="P227"/>
      <c r="R227"/>
      <c r="S227"/>
      <c r="T227"/>
      <c r="U227"/>
      <c r="V227"/>
      <c r="W227"/>
    </row>
    <row r="228" spans="1:23" x14ac:dyDescent="0.2">
      <c r="A228"/>
      <c r="B228"/>
      <c r="C228"/>
      <c r="D228"/>
      <c r="E228"/>
      <c r="F228"/>
      <c r="G228"/>
      <c r="H228"/>
      <c r="I228"/>
      <c r="J228"/>
      <c r="K228"/>
      <c r="L228"/>
      <c r="M228"/>
      <c r="N228"/>
      <c r="O228"/>
      <c r="P228"/>
      <c r="R228"/>
      <c r="S228"/>
      <c r="T228"/>
      <c r="U228"/>
      <c r="V228"/>
      <c r="W228"/>
    </row>
    <row r="229" spans="1:23" x14ac:dyDescent="0.2">
      <c r="A229"/>
      <c r="B229"/>
      <c r="C229"/>
      <c r="D229"/>
      <c r="E229"/>
      <c r="F229"/>
      <c r="G229"/>
      <c r="H229"/>
      <c r="I229"/>
      <c r="J229"/>
      <c r="K229"/>
      <c r="L229"/>
      <c r="M229"/>
      <c r="N229"/>
      <c r="O229"/>
      <c r="P229"/>
      <c r="R229"/>
      <c r="S229"/>
      <c r="T229"/>
      <c r="U229"/>
      <c r="V229"/>
      <c r="W229"/>
    </row>
    <row r="230" spans="1:23" x14ac:dyDescent="0.2">
      <c r="A230"/>
      <c r="B230"/>
      <c r="C230"/>
      <c r="D230"/>
      <c r="E230"/>
      <c r="F230"/>
      <c r="G230"/>
      <c r="H230"/>
      <c r="I230"/>
      <c r="J230"/>
      <c r="K230"/>
      <c r="L230"/>
      <c r="M230"/>
      <c r="N230"/>
      <c r="O230"/>
      <c r="P230"/>
      <c r="R230"/>
      <c r="S230"/>
      <c r="T230"/>
      <c r="U230"/>
      <c r="V230"/>
      <c r="W230"/>
    </row>
    <row r="231" spans="1:23" x14ac:dyDescent="0.2">
      <c r="A231"/>
      <c r="B231"/>
      <c r="C231"/>
      <c r="D231"/>
      <c r="E231"/>
      <c r="F231"/>
      <c r="G231"/>
      <c r="H231"/>
      <c r="I231"/>
      <c r="J231"/>
      <c r="K231"/>
      <c r="L231"/>
      <c r="M231"/>
      <c r="N231"/>
      <c r="O231"/>
      <c r="P231"/>
      <c r="R231"/>
      <c r="S231"/>
      <c r="T231"/>
      <c r="U231"/>
      <c r="V231"/>
      <c r="W231"/>
    </row>
    <row r="232" spans="1:23" x14ac:dyDescent="0.2">
      <c r="A232"/>
      <c r="B232"/>
      <c r="C232"/>
      <c r="D232"/>
      <c r="E232"/>
      <c r="F232"/>
      <c r="G232"/>
      <c r="H232"/>
      <c r="I232"/>
      <c r="J232"/>
      <c r="K232"/>
      <c r="L232"/>
      <c r="M232"/>
      <c r="N232"/>
      <c r="O232"/>
      <c r="P232"/>
      <c r="R232"/>
      <c r="S232"/>
      <c r="T232"/>
      <c r="U232"/>
      <c r="V232"/>
      <c r="W232"/>
    </row>
    <row r="233" spans="1:23" x14ac:dyDescent="0.2">
      <c r="A233"/>
      <c r="B233"/>
      <c r="C233"/>
      <c r="D233"/>
      <c r="E233"/>
      <c r="F233"/>
      <c r="G233"/>
      <c r="H233"/>
      <c r="I233"/>
      <c r="J233"/>
      <c r="K233"/>
      <c r="L233"/>
      <c r="M233"/>
      <c r="N233"/>
      <c r="O233"/>
      <c r="P233"/>
      <c r="R233"/>
      <c r="S233"/>
      <c r="T233"/>
      <c r="U233"/>
      <c r="V233"/>
      <c r="W233"/>
    </row>
    <row r="234" spans="1:23" x14ac:dyDescent="0.2">
      <c r="A234"/>
      <c r="B234"/>
      <c r="C234"/>
      <c r="D234"/>
      <c r="E234"/>
      <c r="F234"/>
      <c r="G234"/>
      <c r="H234"/>
      <c r="I234"/>
      <c r="J234"/>
      <c r="K234"/>
      <c r="L234"/>
      <c r="M234"/>
      <c r="N234"/>
      <c r="O234"/>
      <c r="P234"/>
      <c r="R234"/>
      <c r="S234"/>
      <c r="T234"/>
      <c r="U234"/>
      <c r="V234"/>
      <c r="W234"/>
    </row>
    <row r="235" spans="1:23" x14ac:dyDescent="0.2">
      <c r="A235"/>
      <c r="B235"/>
      <c r="C235"/>
      <c r="D235"/>
      <c r="E235"/>
      <c r="F235"/>
      <c r="G235"/>
      <c r="H235"/>
      <c r="I235"/>
      <c r="J235"/>
      <c r="K235"/>
      <c r="L235"/>
      <c r="M235"/>
      <c r="N235"/>
      <c r="O235"/>
      <c r="P235"/>
      <c r="R235"/>
      <c r="S235"/>
      <c r="T235"/>
      <c r="U235"/>
      <c r="V235"/>
      <c r="W235"/>
    </row>
    <row r="236" spans="1:23" x14ac:dyDescent="0.2">
      <c r="A236"/>
      <c r="B236"/>
      <c r="C236"/>
      <c r="D236"/>
      <c r="E236"/>
      <c r="F236"/>
      <c r="G236"/>
      <c r="H236"/>
      <c r="I236"/>
      <c r="J236"/>
      <c r="K236"/>
      <c r="L236"/>
      <c r="M236"/>
      <c r="N236"/>
      <c r="O236"/>
      <c r="P236"/>
      <c r="R236"/>
      <c r="S236"/>
      <c r="T236"/>
      <c r="U236"/>
      <c r="V236"/>
      <c r="W236"/>
    </row>
    <row r="237" spans="1:23" x14ac:dyDescent="0.2">
      <c r="A237"/>
      <c r="B237"/>
      <c r="C237"/>
      <c r="D237"/>
      <c r="E237"/>
      <c r="F237"/>
      <c r="G237"/>
      <c r="H237"/>
      <c r="I237"/>
      <c r="J237"/>
      <c r="K237"/>
      <c r="L237"/>
      <c r="M237"/>
      <c r="N237"/>
      <c r="O237"/>
      <c r="P237"/>
      <c r="R237"/>
      <c r="S237"/>
      <c r="T237"/>
      <c r="U237"/>
      <c r="V237"/>
      <c r="W237"/>
    </row>
    <row r="238" spans="1:23" x14ac:dyDescent="0.2">
      <c r="A238"/>
      <c r="B238"/>
      <c r="C238"/>
      <c r="D238"/>
      <c r="E238"/>
      <c r="F238"/>
      <c r="G238"/>
      <c r="H238"/>
      <c r="I238"/>
      <c r="J238"/>
      <c r="K238"/>
      <c r="L238"/>
      <c r="M238"/>
      <c r="N238"/>
      <c r="O238"/>
      <c r="P238"/>
      <c r="R238"/>
      <c r="S238"/>
      <c r="T238"/>
      <c r="U238"/>
      <c r="V238"/>
      <c r="W238"/>
    </row>
    <row r="239" spans="1:23" x14ac:dyDescent="0.2">
      <c r="A239"/>
      <c r="B239"/>
      <c r="C239"/>
      <c r="D239"/>
      <c r="E239"/>
      <c r="F239"/>
      <c r="G239"/>
      <c r="H239"/>
      <c r="I239"/>
      <c r="J239"/>
      <c r="K239"/>
      <c r="L239"/>
      <c r="M239"/>
      <c r="N239"/>
      <c r="O239"/>
      <c r="P239"/>
      <c r="R239"/>
      <c r="S239"/>
      <c r="T239"/>
      <c r="U239"/>
      <c r="V239"/>
      <c r="W239"/>
    </row>
    <row r="240" spans="1:23" x14ac:dyDescent="0.2">
      <c r="A240"/>
      <c r="B240"/>
      <c r="C240"/>
      <c r="D240"/>
      <c r="E240"/>
      <c r="F240"/>
      <c r="G240"/>
      <c r="H240"/>
      <c r="I240"/>
      <c r="J240"/>
      <c r="K240"/>
      <c r="L240"/>
      <c r="M240"/>
      <c r="N240"/>
      <c r="O240"/>
      <c r="P240"/>
      <c r="R240"/>
      <c r="S240"/>
      <c r="T240"/>
      <c r="U240"/>
      <c r="V240"/>
      <c r="W240"/>
    </row>
    <row r="241" spans="1:23" x14ac:dyDescent="0.2">
      <c r="A241"/>
      <c r="B241"/>
      <c r="C241"/>
      <c r="D241"/>
      <c r="E241"/>
      <c r="F241"/>
      <c r="G241"/>
      <c r="H241"/>
      <c r="I241"/>
      <c r="J241"/>
      <c r="K241"/>
      <c r="L241"/>
      <c r="M241"/>
      <c r="N241"/>
      <c r="O241"/>
      <c r="P241"/>
      <c r="R241"/>
      <c r="S241"/>
      <c r="T241"/>
      <c r="U241"/>
      <c r="V241"/>
      <c r="W241"/>
    </row>
    <row r="242" spans="1:23" x14ac:dyDescent="0.2">
      <c r="A242"/>
      <c r="B242"/>
      <c r="C242"/>
      <c r="D242"/>
      <c r="E242"/>
      <c r="F242"/>
      <c r="G242"/>
      <c r="H242"/>
      <c r="I242"/>
      <c r="J242"/>
      <c r="K242"/>
      <c r="L242"/>
      <c r="M242"/>
      <c r="N242"/>
      <c r="O242"/>
      <c r="P242"/>
      <c r="R242"/>
      <c r="S242"/>
      <c r="T242"/>
      <c r="U242"/>
      <c r="V242"/>
      <c r="W242"/>
    </row>
    <row r="243" spans="1:23" x14ac:dyDescent="0.2">
      <c r="A243"/>
      <c r="B243"/>
      <c r="C243"/>
      <c r="D243"/>
      <c r="E243"/>
      <c r="F243"/>
      <c r="G243"/>
      <c r="H243"/>
      <c r="I243"/>
      <c r="J243"/>
      <c r="K243"/>
      <c r="L243"/>
      <c r="M243"/>
      <c r="N243"/>
      <c r="O243"/>
      <c r="P243"/>
      <c r="R243"/>
      <c r="S243"/>
      <c r="T243"/>
      <c r="U243"/>
      <c r="V243"/>
      <c r="W243"/>
    </row>
    <row r="244" spans="1:23" x14ac:dyDescent="0.2">
      <c r="A244"/>
      <c r="B244"/>
      <c r="C244"/>
      <c r="D244"/>
      <c r="E244"/>
      <c r="F244"/>
      <c r="G244"/>
      <c r="H244"/>
      <c r="I244"/>
      <c r="J244"/>
      <c r="K244"/>
      <c r="L244"/>
      <c r="M244"/>
      <c r="N244"/>
      <c r="O244"/>
      <c r="P244"/>
      <c r="R244"/>
      <c r="S244"/>
      <c r="T244"/>
      <c r="U244"/>
      <c r="V244"/>
      <c r="W244"/>
    </row>
    <row r="245" spans="1:23" x14ac:dyDescent="0.2">
      <c r="A245"/>
      <c r="B245"/>
      <c r="C245"/>
      <c r="D245"/>
      <c r="E245"/>
      <c r="F245"/>
      <c r="G245"/>
      <c r="H245"/>
      <c r="I245"/>
      <c r="J245"/>
      <c r="K245"/>
      <c r="L245"/>
      <c r="M245"/>
      <c r="N245"/>
      <c r="O245"/>
      <c r="P245"/>
      <c r="R245"/>
      <c r="S245"/>
      <c r="T245"/>
      <c r="U245"/>
      <c r="V245"/>
      <c r="W245"/>
    </row>
    <row r="246" spans="1:23" x14ac:dyDescent="0.2">
      <c r="A246"/>
      <c r="B246"/>
      <c r="C246"/>
      <c r="D246"/>
      <c r="E246"/>
      <c r="F246"/>
      <c r="G246"/>
      <c r="H246"/>
      <c r="I246"/>
      <c r="J246"/>
      <c r="K246"/>
      <c r="L246"/>
      <c r="M246"/>
      <c r="N246"/>
      <c r="O246"/>
      <c r="P246"/>
      <c r="R246"/>
      <c r="S246"/>
      <c r="T246"/>
      <c r="U246"/>
      <c r="V246"/>
      <c r="W246"/>
    </row>
    <row r="247" spans="1:23" x14ac:dyDescent="0.2">
      <c r="A247"/>
      <c r="B247"/>
      <c r="C247"/>
      <c r="D247"/>
      <c r="E247"/>
      <c r="F247"/>
      <c r="G247"/>
      <c r="H247"/>
      <c r="I247"/>
      <c r="J247"/>
      <c r="K247"/>
      <c r="L247"/>
      <c r="M247"/>
      <c r="N247"/>
      <c r="O247"/>
      <c r="P247"/>
      <c r="R247"/>
      <c r="S247"/>
      <c r="T247"/>
      <c r="U247"/>
      <c r="V247"/>
      <c r="W247"/>
    </row>
    <row r="248" spans="1:23" x14ac:dyDescent="0.2">
      <c r="A248"/>
      <c r="B248"/>
      <c r="C248"/>
      <c r="D248"/>
      <c r="E248"/>
      <c r="F248"/>
      <c r="G248"/>
      <c r="H248"/>
      <c r="I248"/>
      <c r="J248"/>
      <c r="K248"/>
      <c r="L248"/>
      <c r="M248"/>
      <c r="N248"/>
      <c r="O248"/>
      <c r="P248"/>
      <c r="R248"/>
      <c r="S248"/>
      <c r="T248"/>
      <c r="U248"/>
      <c r="V248"/>
      <c r="W248"/>
    </row>
    <row r="249" spans="1:23" x14ac:dyDescent="0.2">
      <c r="A249"/>
      <c r="B249"/>
      <c r="C249"/>
      <c r="D249"/>
      <c r="E249"/>
      <c r="F249"/>
      <c r="G249"/>
      <c r="H249"/>
      <c r="I249"/>
      <c r="J249"/>
      <c r="K249"/>
      <c r="L249"/>
      <c r="M249"/>
      <c r="N249"/>
      <c r="O249"/>
      <c r="P249"/>
      <c r="R249"/>
      <c r="S249"/>
      <c r="T249"/>
      <c r="U249"/>
      <c r="V249"/>
      <c r="W249"/>
    </row>
    <row r="250" spans="1:23" x14ac:dyDescent="0.2">
      <c r="A250"/>
      <c r="B250"/>
      <c r="C250"/>
      <c r="D250"/>
      <c r="E250"/>
      <c r="F250"/>
      <c r="G250"/>
      <c r="H250"/>
      <c r="I250"/>
      <c r="J250"/>
      <c r="K250"/>
      <c r="L250"/>
      <c r="M250"/>
      <c r="N250"/>
      <c r="O250"/>
      <c r="P250"/>
      <c r="R250"/>
      <c r="S250"/>
      <c r="T250"/>
      <c r="U250"/>
      <c r="V250"/>
      <c r="W250"/>
    </row>
    <row r="251" spans="1:23" x14ac:dyDescent="0.2">
      <c r="A251"/>
      <c r="B251"/>
      <c r="C251"/>
      <c r="D251"/>
      <c r="E251"/>
      <c r="F251"/>
      <c r="G251"/>
      <c r="H251"/>
      <c r="I251"/>
      <c r="J251"/>
      <c r="K251"/>
      <c r="L251"/>
      <c r="M251"/>
      <c r="N251"/>
      <c r="O251"/>
      <c r="P251"/>
      <c r="R251"/>
      <c r="S251"/>
      <c r="T251"/>
      <c r="U251"/>
      <c r="V251"/>
      <c r="W251"/>
    </row>
    <row r="252" spans="1:23" x14ac:dyDescent="0.2">
      <c r="A252"/>
      <c r="B252"/>
      <c r="C252"/>
      <c r="D252"/>
      <c r="E252"/>
      <c r="F252"/>
      <c r="G252"/>
      <c r="H252"/>
      <c r="I252"/>
      <c r="J252"/>
      <c r="K252"/>
      <c r="L252"/>
      <c r="M252"/>
      <c r="N252"/>
      <c r="O252"/>
      <c r="P252"/>
      <c r="R252"/>
      <c r="S252"/>
      <c r="T252"/>
      <c r="U252"/>
      <c r="V252"/>
      <c r="W252"/>
    </row>
    <row r="253" spans="1:23" x14ac:dyDescent="0.2">
      <c r="A253"/>
      <c r="B253"/>
      <c r="C253"/>
      <c r="D253"/>
      <c r="E253"/>
      <c r="F253"/>
      <c r="G253"/>
      <c r="H253"/>
      <c r="I253"/>
      <c r="J253"/>
      <c r="K253"/>
      <c r="L253"/>
      <c r="M253"/>
      <c r="N253"/>
      <c r="O253"/>
      <c r="P253"/>
      <c r="R253"/>
      <c r="S253"/>
      <c r="T253"/>
      <c r="U253"/>
      <c r="V253"/>
      <c r="W253"/>
    </row>
    <row r="254" spans="1:23" x14ac:dyDescent="0.2">
      <c r="A254"/>
      <c r="B254"/>
      <c r="C254"/>
      <c r="D254"/>
      <c r="E254"/>
      <c r="F254"/>
      <c r="G254"/>
      <c r="H254"/>
      <c r="I254"/>
      <c r="J254"/>
      <c r="K254"/>
      <c r="L254"/>
      <c r="M254"/>
      <c r="N254"/>
      <c r="O254"/>
      <c r="P254"/>
      <c r="R254"/>
      <c r="S254"/>
      <c r="T254"/>
      <c r="U254"/>
      <c r="V254"/>
      <c r="W254"/>
    </row>
    <row r="255" spans="1:23" x14ac:dyDescent="0.2">
      <c r="A255"/>
      <c r="B255"/>
      <c r="C255"/>
      <c r="D255"/>
      <c r="E255"/>
      <c r="F255"/>
      <c r="G255"/>
      <c r="H255"/>
      <c r="I255"/>
      <c r="J255"/>
      <c r="K255"/>
      <c r="L255"/>
      <c r="M255"/>
      <c r="N255"/>
      <c r="O255"/>
      <c r="P255"/>
      <c r="R255"/>
      <c r="S255"/>
      <c r="T255"/>
      <c r="U255"/>
      <c r="V255"/>
      <c r="W255"/>
    </row>
    <row r="256" spans="1:23" x14ac:dyDescent="0.2">
      <c r="A256"/>
      <c r="B256"/>
      <c r="C256"/>
      <c r="D256"/>
      <c r="E256"/>
      <c r="F256"/>
      <c r="G256"/>
      <c r="H256"/>
      <c r="I256"/>
      <c r="J256"/>
      <c r="K256"/>
      <c r="L256"/>
      <c r="M256"/>
      <c r="N256"/>
      <c r="O256"/>
      <c r="P256"/>
      <c r="R256"/>
      <c r="S256"/>
      <c r="T256"/>
      <c r="U256"/>
      <c r="V256"/>
      <c r="W256"/>
    </row>
    <row r="257" spans="1:23" x14ac:dyDescent="0.2">
      <c r="A257"/>
      <c r="B257"/>
      <c r="C257"/>
      <c r="D257"/>
      <c r="E257"/>
      <c r="F257"/>
      <c r="G257"/>
      <c r="H257"/>
      <c r="I257"/>
      <c r="J257"/>
      <c r="K257"/>
      <c r="L257"/>
      <c r="M257"/>
      <c r="N257"/>
      <c r="O257"/>
      <c r="P257"/>
      <c r="R257"/>
      <c r="S257"/>
      <c r="T257"/>
      <c r="U257"/>
      <c r="V257"/>
      <c r="W257"/>
    </row>
    <row r="258" spans="1:23" x14ac:dyDescent="0.2">
      <c r="A258"/>
      <c r="B258"/>
      <c r="C258"/>
      <c r="D258"/>
      <c r="E258"/>
      <c r="F258"/>
      <c r="G258"/>
      <c r="H258"/>
      <c r="I258"/>
      <c r="J258"/>
      <c r="K258"/>
      <c r="L258"/>
      <c r="M258"/>
      <c r="N258"/>
      <c r="O258"/>
      <c r="P258"/>
      <c r="R258"/>
      <c r="S258"/>
      <c r="T258"/>
      <c r="U258"/>
      <c r="V258"/>
      <c r="W258"/>
    </row>
    <row r="259" spans="1:23" x14ac:dyDescent="0.2">
      <c r="A259"/>
      <c r="B259"/>
      <c r="C259"/>
      <c r="D259"/>
      <c r="E259"/>
      <c r="F259"/>
      <c r="G259"/>
      <c r="H259"/>
      <c r="I259"/>
      <c r="J259"/>
      <c r="K259"/>
      <c r="L259"/>
      <c r="M259"/>
      <c r="N259"/>
      <c r="O259"/>
      <c r="P259"/>
      <c r="R259"/>
      <c r="S259"/>
      <c r="T259"/>
      <c r="U259"/>
      <c r="V259"/>
      <c r="W259"/>
    </row>
    <row r="260" spans="1:23" x14ac:dyDescent="0.2">
      <c r="A260"/>
      <c r="B260"/>
      <c r="C260"/>
      <c r="D260"/>
      <c r="E260"/>
      <c r="F260"/>
      <c r="G260"/>
      <c r="H260"/>
      <c r="I260"/>
      <c r="J260"/>
      <c r="K260"/>
      <c r="L260"/>
      <c r="M260"/>
      <c r="N260"/>
      <c r="O260"/>
      <c r="P260"/>
      <c r="R260"/>
      <c r="S260"/>
      <c r="T260"/>
      <c r="U260"/>
      <c r="V260"/>
      <c r="W260"/>
    </row>
    <row r="261" spans="1:23" x14ac:dyDescent="0.2">
      <c r="A261"/>
      <c r="B261"/>
      <c r="C261"/>
      <c r="D261"/>
      <c r="E261"/>
      <c r="F261"/>
      <c r="G261"/>
      <c r="H261"/>
      <c r="I261"/>
      <c r="J261"/>
      <c r="K261"/>
      <c r="L261"/>
      <c r="M261"/>
      <c r="N261"/>
      <c r="O261"/>
      <c r="P261"/>
      <c r="R261"/>
      <c r="S261"/>
      <c r="T261"/>
      <c r="U261"/>
      <c r="V261"/>
      <c r="W261"/>
    </row>
    <row r="262" spans="1:23" x14ac:dyDescent="0.2">
      <c r="A262"/>
      <c r="B262"/>
      <c r="C262"/>
      <c r="D262"/>
      <c r="E262"/>
      <c r="F262"/>
      <c r="G262"/>
      <c r="H262"/>
      <c r="I262"/>
      <c r="J262"/>
      <c r="K262"/>
      <c r="L262"/>
      <c r="M262"/>
      <c r="N262"/>
      <c r="O262"/>
      <c r="P262"/>
      <c r="R262"/>
      <c r="S262"/>
      <c r="T262"/>
      <c r="U262"/>
      <c r="V262"/>
      <c r="W262"/>
    </row>
    <row r="263" spans="1:23" x14ac:dyDescent="0.2">
      <c r="A263"/>
      <c r="B263"/>
      <c r="C263"/>
      <c r="D263"/>
      <c r="E263"/>
      <c r="F263"/>
      <c r="G263"/>
      <c r="H263"/>
      <c r="I263"/>
      <c r="J263"/>
      <c r="K263"/>
      <c r="L263"/>
      <c r="M263"/>
      <c r="N263"/>
      <c r="O263"/>
      <c r="P263"/>
      <c r="R263"/>
      <c r="S263"/>
      <c r="T263"/>
      <c r="U263"/>
      <c r="V263"/>
      <c r="W263"/>
    </row>
    <row r="264" spans="1:23" x14ac:dyDescent="0.2">
      <c r="A264"/>
      <c r="B264"/>
      <c r="C264"/>
      <c r="D264"/>
      <c r="E264"/>
      <c r="F264"/>
      <c r="G264"/>
      <c r="H264"/>
      <c r="I264"/>
      <c r="J264"/>
      <c r="K264"/>
      <c r="L264"/>
      <c r="M264"/>
      <c r="N264"/>
      <c r="O264"/>
      <c r="P264"/>
      <c r="R264"/>
      <c r="S264"/>
      <c r="T264"/>
      <c r="U264"/>
      <c r="V264"/>
      <c r="W264"/>
    </row>
    <row r="265" spans="1:23" x14ac:dyDescent="0.2">
      <c r="A265"/>
      <c r="B265"/>
      <c r="C265"/>
      <c r="D265"/>
      <c r="E265"/>
      <c r="F265"/>
      <c r="G265"/>
      <c r="H265"/>
      <c r="I265"/>
      <c r="J265"/>
      <c r="K265"/>
      <c r="L265"/>
      <c r="M265"/>
      <c r="N265"/>
      <c r="O265"/>
      <c r="P265"/>
      <c r="R265"/>
      <c r="S265"/>
      <c r="T265"/>
      <c r="U265"/>
      <c r="V265"/>
      <c r="W265"/>
    </row>
    <row r="266" spans="1:23" x14ac:dyDescent="0.2">
      <c r="A266"/>
      <c r="B266"/>
      <c r="C266"/>
      <c r="D266"/>
      <c r="E266"/>
      <c r="F266"/>
      <c r="G266"/>
      <c r="H266"/>
      <c r="I266"/>
      <c r="J266"/>
      <c r="K266"/>
      <c r="L266"/>
      <c r="M266"/>
      <c r="N266"/>
      <c r="O266"/>
      <c r="P266"/>
      <c r="R266"/>
      <c r="S266"/>
      <c r="T266"/>
      <c r="U266"/>
      <c r="V266"/>
      <c r="W266"/>
    </row>
    <row r="267" spans="1:23" x14ac:dyDescent="0.2">
      <c r="A267"/>
      <c r="B267"/>
      <c r="C267"/>
      <c r="D267"/>
      <c r="E267"/>
      <c r="F267"/>
      <c r="G267"/>
      <c r="H267"/>
      <c r="I267"/>
      <c r="J267"/>
      <c r="K267"/>
      <c r="L267"/>
      <c r="M267"/>
      <c r="N267"/>
      <c r="O267"/>
      <c r="P267"/>
      <c r="R267"/>
      <c r="S267"/>
      <c r="T267"/>
      <c r="U267"/>
      <c r="V267"/>
      <c r="W267"/>
    </row>
    <row r="268" spans="1:23" x14ac:dyDescent="0.2">
      <c r="A268"/>
      <c r="B268"/>
      <c r="C268"/>
      <c r="D268"/>
      <c r="E268"/>
      <c r="F268"/>
      <c r="G268"/>
      <c r="H268"/>
      <c r="I268"/>
      <c r="J268"/>
      <c r="K268"/>
      <c r="L268"/>
      <c r="M268"/>
      <c r="N268"/>
      <c r="O268"/>
      <c r="P268"/>
      <c r="R268"/>
      <c r="S268"/>
      <c r="T268"/>
      <c r="U268"/>
      <c r="V268"/>
      <c r="W268"/>
    </row>
    <row r="269" spans="1:23" x14ac:dyDescent="0.2">
      <c r="A269"/>
      <c r="B269"/>
      <c r="C269"/>
      <c r="D269"/>
      <c r="E269"/>
      <c r="F269"/>
      <c r="G269"/>
      <c r="H269"/>
      <c r="I269"/>
      <c r="J269"/>
      <c r="K269"/>
      <c r="L269"/>
      <c r="M269"/>
      <c r="N269"/>
      <c r="O269"/>
      <c r="P269"/>
      <c r="R269"/>
      <c r="S269"/>
      <c r="T269"/>
      <c r="U269"/>
      <c r="V269"/>
      <c r="W269"/>
    </row>
    <row r="270" spans="1:23" x14ac:dyDescent="0.2">
      <c r="A270"/>
      <c r="B270"/>
      <c r="C270"/>
      <c r="D270"/>
      <c r="E270"/>
      <c r="F270"/>
      <c r="G270"/>
      <c r="H270"/>
      <c r="I270"/>
      <c r="J270"/>
      <c r="K270"/>
      <c r="L270"/>
      <c r="M270"/>
      <c r="N270"/>
      <c r="O270"/>
      <c r="P270"/>
      <c r="R270"/>
      <c r="S270"/>
      <c r="T270"/>
      <c r="U270"/>
      <c r="V270"/>
      <c r="W270"/>
    </row>
    <row r="271" spans="1:23" x14ac:dyDescent="0.2">
      <c r="A271"/>
      <c r="B271"/>
      <c r="C271"/>
      <c r="D271"/>
      <c r="E271"/>
      <c r="F271"/>
      <c r="G271"/>
      <c r="H271"/>
      <c r="I271"/>
      <c r="J271"/>
      <c r="K271"/>
      <c r="L271"/>
      <c r="M271"/>
      <c r="N271"/>
      <c r="O271"/>
      <c r="P271"/>
      <c r="R271"/>
      <c r="S271"/>
      <c r="T271"/>
      <c r="U271"/>
      <c r="V271"/>
      <c r="W271"/>
    </row>
    <row r="272" spans="1:23" x14ac:dyDescent="0.2">
      <c r="A272"/>
      <c r="B272"/>
      <c r="C272"/>
      <c r="D272"/>
      <c r="E272"/>
      <c r="F272"/>
      <c r="G272"/>
      <c r="H272"/>
      <c r="I272"/>
      <c r="J272"/>
      <c r="K272"/>
      <c r="L272"/>
      <c r="M272"/>
      <c r="N272"/>
      <c r="O272"/>
      <c r="P272"/>
      <c r="R272"/>
      <c r="S272"/>
      <c r="T272"/>
      <c r="U272"/>
      <c r="V272"/>
      <c r="W272"/>
    </row>
    <row r="273" spans="1:23" x14ac:dyDescent="0.2">
      <c r="A273"/>
      <c r="B273"/>
      <c r="C273"/>
      <c r="D273"/>
      <c r="E273"/>
      <c r="F273"/>
      <c r="G273"/>
      <c r="H273"/>
      <c r="I273"/>
      <c r="J273"/>
      <c r="K273"/>
      <c r="L273"/>
      <c r="M273"/>
      <c r="N273"/>
      <c r="O273"/>
      <c r="P273"/>
      <c r="R273"/>
      <c r="S273"/>
      <c r="T273"/>
      <c r="U273"/>
      <c r="V273"/>
      <c r="W273"/>
    </row>
    <row r="274" spans="1:23" x14ac:dyDescent="0.2">
      <c r="A274"/>
      <c r="B274"/>
      <c r="C274"/>
      <c r="D274"/>
      <c r="E274"/>
      <c r="F274"/>
      <c r="G274"/>
      <c r="H274"/>
      <c r="I274"/>
      <c r="J274"/>
      <c r="K274"/>
      <c r="L274"/>
      <c r="M274"/>
      <c r="N274"/>
      <c r="O274"/>
      <c r="P274"/>
      <c r="R274"/>
      <c r="S274"/>
      <c r="T274"/>
      <c r="U274"/>
      <c r="V274"/>
      <c r="W274"/>
    </row>
    <row r="275" spans="1:23" x14ac:dyDescent="0.2">
      <c r="A275"/>
      <c r="B275"/>
      <c r="C275"/>
      <c r="D275"/>
      <c r="E275"/>
      <c r="F275"/>
      <c r="G275"/>
      <c r="H275"/>
      <c r="I275"/>
      <c r="J275"/>
      <c r="K275"/>
      <c r="L275"/>
      <c r="M275"/>
      <c r="N275"/>
      <c r="O275"/>
      <c r="P275"/>
      <c r="R275"/>
      <c r="S275"/>
      <c r="T275"/>
      <c r="U275"/>
      <c r="V275"/>
      <c r="W275"/>
    </row>
    <row r="276" spans="1:23" x14ac:dyDescent="0.2">
      <c r="A276"/>
      <c r="B276"/>
      <c r="C276"/>
      <c r="D276"/>
      <c r="E276"/>
      <c r="F276"/>
      <c r="G276"/>
      <c r="H276"/>
      <c r="I276"/>
      <c r="J276"/>
      <c r="K276"/>
      <c r="L276"/>
      <c r="M276"/>
      <c r="N276"/>
      <c r="O276"/>
      <c r="P276"/>
      <c r="R276"/>
      <c r="S276"/>
      <c r="T276"/>
      <c r="U276"/>
      <c r="V276"/>
      <c r="W276"/>
    </row>
    <row r="277" spans="1:23" x14ac:dyDescent="0.2">
      <c r="A277"/>
      <c r="B277"/>
      <c r="C277"/>
      <c r="D277"/>
      <c r="E277"/>
      <c r="F277"/>
      <c r="G277"/>
      <c r="H277"/>
      <c r="I277"/>
      <c r="J277"/>
      <c r="K277"/>
      <c r="L277"/>
      <c r="M277"/>
      <c r="N277"/>
      <c r="O277"/>
      <c r="P277"/>
      <c r="R277"/>
      <c r="S277"/>
      <c r="T277"/>
      <c r="U277"/>
      <c r="V277"/>
      <c r="W277"/>
    </row>
    <row r="278" spans="1:23" x14ac:dyDescent="0.2">
      <c r="A278"/>
      <c r="B278"/>
      <c r="C278"/>
      <c r="D278"/>
      <c r="E278"/>
      <c r="F278"/>
      <c r="G278"/>
      <c r="H278"/>
      <c r="I278"/>
      <c r="J278"/>
      <c r="K278"/>
      <c r="L278"/>
      <c r="M278"/>
      <c r="N278"/>
      <c r="O278"/>
      <c r="P278"/>
      <c r="R278"/>
      <c r="S278"/>
      <c r="T278"/>
      <c r="U278"/>
      <c r="V278"/>
      <c r="W278"/>
    </row>
    <row r="279" spans="1:23" x14ac:dyDescent="0.2">
      <c r="A279"/>
      <c r="B279"/>
      <c r="C279"/>
      <c r="D279"/>
      <c r="E279"/>
      <c r="F279"/>
      <c r="G279"/>
      <c r="H279"/>
      <c r="I279"/>
      <c r="J279"/>
      <c r="K279"/>
      <c r="L279"/>
      <c r="M279"/>
      <c r="N279"/>
      <c r="O279"/>
      <c r="P279"/>
      <c r="R279"/>
      <c r="S279"/>
      <c r="T279"/>
      <c r="U279"/>
      <c r="V279"/>
      <c r="W279"/>
    </row>
    <row r="280" spans="1:23" x14ac:dyDescent="0.2">
      <c r="A280"/>
      <c r="B280"/>
      <c r="C280"/>
      <c r="D280"/>
      <c r="E280"/>
      <c r="F280"/>
      <c r="G280"/>
      <c r="H280"/>
      <c r="I280"/>
      <c r="J280"/>
      <c r="K280"/>
      <c r="L280"/>
      <c r="M280"/>
      <c r="N280"/>
      <c r="O280"/>
      <c r="P280"/>
      <c r="R280"/>
      <c r="S280"/>
      <c r="T280"/>
      <c r="U280"/>
      <c r="V280"/>
      <c r="W280"/>
    </row>
    <row r="281" spans="1:23" x14ac:dyDescent="0.2">
      <c r="A281"/>
      <c r="B281"/>
      <c r="C281"/>
      <c r="D281"/>
      <c r="E281"/>
      <c r="F281"/>
      <c r="G281"/>
      <c r="H281"/>
      <c r="I281"/>
      <c r="J281"/>
      <c r="K281"/>
      <c r="L281"/>
      <c r="M281"/>
      <c r="N281"/>
      <c r="O281"/>
      <c r="P281"/>
      <c r="R281"/>
      <c r="S281"/>
      <c r="T281"/>
      <c r="U281"/>
      <c r="V281"/>
      <c r="W281"/>
    </row>
    <row r="282" spans="1:23" x14ac:dyDescent="0.2">
      <c r="A282"/>
      <c r="B282"/>
      <c r="C282"/>
      <c r="D282"/>
      <c r="E282"/>
      <c r="F282"/>
      <c r="G282"/>
      <c r="H282"/>
      <c r="I282"/>
      <c r="J282"/>
      <c r="K282"/>
      <c r="L282"/>
      <c r="M282"/>
      <c r="N282"/>
      <c r="O282"/>
      <c r="P282"/>
      <c r="R282"/>
      <c r="S282"/>
      <c r="T282"/>
      <c r="U282"/>
      <c r="V282"/>
      <c r="W282"/>
    </row>
    <row r="283" spans="1:23" x14ac:dyDescent="0.2">
      <c r="A283"/>
      <c r="B283"/>
      <c r="C283"/>
      <c r="D283"/>
      <c r="E283"/>
      <c r="F283"/>
      <c r="G283"/>
      <c r="H283"/>
      <c r="I283"/>
      <c r="J283"/>
      <c r="K283"/>
      <c r="L283"/>
      <c r="M283"/>
      <c r="N283"/>
      <c r="O283"/>
      <c r="P283"/>
      <c r="R283"/>
      <c r="S283"/>
      <c r="T283"/>
      <c r="U283"/>
      <c r="V283"/>
      <c r="W283"/>
    </row>
    <row r="284" spans="1:23" x14ac:dyDescent="0.2">
      <c r="A284"/>
      <c r="B284"/>
      <c r="C284"/>
      <c r="D284"/>
      <c r="E284"/>
      <c r="F284"/>
      <c r="G284"/>
      <c r="H284"/>
      <c r="I284"/>
      <c r="J284"/>
      <c r="K284"/>
      <c r="L284"/>
      <c r="M284"/>
      <c r="N284"/>
      <c r="O284"/>
      <c r="P284"/>
      <c r="R284"/>
      <c r="S284"/>
      <c r="T284"/>
      <c r="U284"/>
      <c r="V284"/>
      <c r="W284"/>
    </row>
    <row r="285" spans="1:23" x14ac:dyDescent="0.2">
      <c r="A285"/>
      <c r="B285"/>
      <c r="C285"/>
      <c r="D285"/>
      <c r="E285"/>
      <c r="F285"/>
      <c r="G285"/>
      <c r="H285"/>
      <c r="I285"/>
      <c r="J285"/>
      <c r="K285"/>
      <c r="L285"/>
      <c r="M285"/>
      <c r="N285"/>
      <c r="O285"/>
      <c r="P285"/>
      <c r="R285"/>
      <c r="S285"/>
      <c r="T285"/>
      <c r="U285"/>
      <c r="V285"/>
      <c r="W285"/>
    </row>
    <row r="286" spans="1:23" x14ac:dyDescent="0.2">
      <c r="A286"/>
      <c r="B286"/>
      <c r="C286"/>
      <c r="D286"/>
      <c r="E286"/>
      <c r="F286"/>
      <c r="G286"/>
      <c r="H286"/>
      <c r="I286"/>
      <c r="J286"/>
      <c r="K286"/>
      <c r="L286"/>
      <c r="M286"/>
      <c r="N286"/>
      <c r="O286"/>
      <c r="P286"/>
      <c r="R286"/>
      <c r="S286"/>
      <c r="T286"/>
      <c r="U286"/>
      <c r="V286"/>
      <c r="W286"/>
    </row>
    <row r="287" spans="1:23" x14ac:dyDescent="0.2">
      <c r="A287"/>
      <c r="B287"/>
      <c r="C287"/>
      <c r="D287"/>
      <c r="E287"/>
      <c r="F287"/>
      <c r="G287"/>
      <c r="H287"/>
      <c r="I287"/>
      <c r="J287"/>
      <c r="K287"/>
      <c r="L287"/>
      <c r="M287"/>
      <c r="N287"/>
      <c r="O287"/>
      <c r="P287"/>
      <c r="R287"/>
      <c r="S287"/>
      <c r="T287"/>
      <c r="U287"/>
      <c r="V287"/>
      <c r="W287"/>
    </row>
    <row r="288" spans="1:23" x14ac:dyDescent="0.2">
      <c r="A288"/>
      <c r="B288"/>
      <c r="C288"/>
      <c r="D288"/>
      <c r="E288"/>
      <c r="F288"/>
      <c r="G288"/>
      <c r="H288"/>
      <c r="I288"/>
      <c r="J288"/>
      <c r="K288"/>
      <c r="L288"/>
      <c r="M288"/>
      <c r="N288"/>
      <c r="O288"/>
      <c r="P288"/>
      <c r="R288"/>
      <c r="S288"/>
      <c r="T288"/>
      <c r="U288"/>
      <c r="V288"/>
      <c r="W288"/>
    </row>
    <row r="289" spans="1:23" x14ac:dyDescent="0.2">
      <c r="A289"/>
      <c r="B289"/>
      <c r="C289"/>
      <c r="D289"/>
      <c r="E289"/>
      <c r="F289"/>
      <c r="G289"/>
      <c r="H289"/>
      <c r="I289"/>
      <c r="J289"/>
      <c r="K289"/>
      <c r="L289"/>
      <c r="M289"/>
      <c r="N289"/>
      <c r="O289"/>
      <c r="P289"/>
      <c r="R289"/>
      <c r="S289"/>
      <c r="T289"/>
      <c r="U289"/>
      <c r="V289"/>
      <c r="W289"/>
    </row>
    <row r="290" spans="1:23" x14ac:dyDescent="0.2">
      <c r="A290"/>
      <c r="B290"/>
      <c r="C290"/>
      <c r="D290"/>
      <c r="E290"/>
      <c r="F290"/>
      <c r="G290"/>
      <c r="H290"/>
      <c r="I290"/>
      <c r="J290"/>
      <c r="K290"/>
      <c r="L290"/>
      <c r="M290"/>
      <c r="N290"/>
      <c r="O290"/>
      <c r="P290"/>
      <c r="R290"/>
      <c r="S290"/>
      <c r="T290"/>
      <c r="U290"/>
      <c r="V290"/>
      <c r="W290"/>
    </row>
    <row r="291" spans="1:23" x14ac:dyDescent="0.2">
      <c r="A291"/>
      <c r="B291"/>
      <c r="C291"/>
      <c r="D291"/>
      <c r="E291"/>
      <c r="F291"/>
      <c r="G291"/>
      <c r="H291"/>
      <c r="I291"/>
      <c r="J291"/>
      <c r="K291"/>
      <c r="L291"/>
      <c r="M291"/>
      <c r="N291"/>
      <c r="O291"/>
      <c r="P291"/>
      <c r="R291"/>
      <c r="S291"/>
      <c r="T291"/>
      <c r="U291"/>
      <c r="V291"/>
      <c r="W291"/>
    </row>
    <row r="292" spans="1:23" x14ac:dyDescent="0.2">
      <c r="A292"/>
      <c r="B292"/>
      <c r="C292"/>
      <c r="D292"/>
      <c r="E292"/>
      <c r="F292"/>
      <c r="G292"/>
      <c r="H292"/>
      <c r="I292"/>
      <c r="J292"/>
      <c r="K292"/>
      <c r="L292"/>
      <c r="M292"/>
      <c r="N292"/>
      <c r="O292"/>
      <c r="P292"/>
      <c r="R292"/>
      <c r="S292"/>
      <c r="T292"/>
      <c r="U292"/>
      <c r="V292"/>
      <c r="W292"/>
    </row>
    <row r="293" spans="1:23" x14ac:dyDescent="0.2">
      <c r="A293"/>
      <c r="B293"/>
      <c r="C293"/>
      <c r="D293"/>
      <c r="E293"/>
      <c r="F293"/>
      <c r="G293"/>
      <c r="H293"/>
      <c r="I293"/>
      <c r="J293"/>
      <c r="K293"/>
      <c r="L293"/>
      <c r="M293"/>
      <c r="N293"/>
      <c r="O293"/>
      <c r="P293"/>
      <c r="R293"/>
      <c r="S293"/>
      <c r="T293"/>
      <c r="U293"/>
      <c r="V293"/>
      <c r="W293"/>
    </row>
    <row r="294" spans="1:23" x14ac:dyDescent="0.2">
      <c r="A294"/>
      <c r="B294"/>
      <c r="C294"/>
      <c r="D294"/>
      <c r="E294"/>
      <c r="F294"/>
      <c r="G294"/>
      <c r="H294"/>
      <c r="I294"/>
      <c r="J294"/>
      <c r="K294"/>
      <c r="L294"/>
      <c r="M294"/>
      <c r="N294"/>
      <c r="O294"/>
      <c r="P294"/>
      <c r="R294"/>
      <c r="S294"/>
      <c r="T294"/>
      <c r="U294"/>
      <c r="V294"/>
      <c r="W294"/>
    </row>
    <row r="295" spans="1:23" x14ac:dyDescent="0.2">
      <c r="A295"/>
      <c r="B295"/>
      <c r="C295"/>
      <c r="D295"/>
      <c r="E295"/>
      <c r="F295"/>
      <c r="G295"/>
      <c r="H295"/>
      <c r="I295"/>
      <c r="J295"/>
      <c r="K295"/>
      <c r="L295"/>
      <c r="M295"/>
      <c r="N295"/>
      <c r="O295"/>
      <c r="P295"/>
      <c r="R295"/>
      <c r="S295"/>
      <c r="T295"/>
      <c r="U295"/>
      <c r="V295"/>
      <c r="W295"/>
    </row>
    <row r="296" spans="1:23" x14ac:dyDescent="0.2">
      <c r="A296"/>
      <c r="B296"/>
      <c r="C296"/>
      <c r="D296"/>
      <c r="E296"/>
      <c r="F296"/>
      <c r="G296"/>
      <c r="H296"/>
      <c r="I296"/>
      <c r="J296"/>
      <c r="K296"/>
      <c r="L296"/>
      <c r="M296"/>
      <c r="N296"/>
      <c r="O296"/>
      <c r="P296"/>
      <c r="R296"/>
      <c r="S296"/>
      <c r="T296"/>
      <c r="U296"/>
      <c r="V296"/>
      <c r="W296"/>
    </row>
    <row r="297" spans="1:23" x14ac:dyDescent="0.2">
      <c r="A297"/>
      <c r="B297"/>
      <c r="C297"/>
      <c r="D297"/>
      <c r="E297"/>
      <c r="F297"/>
      <c r="G297"/>
      <c r="H297"/>
      <c r="I297"/>
      <c r="J297"/>
      <c r="K297"/>
      <c r="L297"/>
      <c r="M297"/>
      <c r="N297"/>
      <c r="O297"/>
      <c r="P297"/>
      <c r="R297"/>
      <c r="S297"/>
      <c r="T297"/>
      <c r="U297"/>
      <c r="V297"/>
      <c r="W297"/>
    </row>
    <row r="298" spans="1:23" x14ac:dyDescent="0.2">
      <c r="A298"/>
      <c r="B298"/>
      <c r="C298"/>
      <c r="D298"/>
      <c r="E298"/>
      <c r="F298"/>
      <c r="G298"/>
      <c r="H298"/>
      <c r="I298"/>
      <c r="J298"/>
      <c r="K298"/>
      <c r="L298"/>
      <c r="M298"/>
      <c r="N298"/>
      <c r="O298"/>
      <c r="P298"/>
      <c r="R298"/>
      <c r="S298"/>
      <c r="T298"/>
      <c r="U298"/>
      <c r="V298"/>
      <c r="W298"/>
    </row>
    <row r="299" spans="1:23" x14ac:dyDescent="0.2">
      <c r="A299"/>
      <c r="B299"/>
      <c r="C299"/>
      <c r="D299"/>
      <c r="E299"/>
      <c r="F299"/>
      <c r="G299"/>
      <c r="H299"/>
      <c r="I299"/>
      <c r="J299"/>
      <c r="K299"/>
      <c r="L299"/>
      <c r="M299"/>
      <c r="N299"/>
      <c r="O299"/>
      <c r="P299"/>
      <c r="R299"/>
      <c r="S299"/>
      <c r="T299"/>
      <c r="U299"/>
      <c r="V299"/>
      <c r="W299"/>
    </row>
    <row r="300" spans="1:23" x14ac:dyDescent="0.2">
      <c r="A300"/>
      <c r="B300"/>
      <c r="C300"/>
      <c r="D300"/>
      <c r="E300"/>
      <c r="F300"/>
      <c r="G300"/>
      <c r="H300"/>
      <c r="I300"/>
      <c r="J300"/>
      <c r="K300"/>
      <c r="L300"/>
      <c r="M300"/>
      <c r="N300"/>
      <c r="O300"/>
      <c r="P300"/>
      <c r="R300"/>
      <c r="S300"/>
      <c r="T300"/>
      <c r="U300"/>
      <c r="V300"/>
      <c r="W300"/>
    </row>
    <row r="301" spans="1:23" x14ac:dyDescent="0.2">
      <c r="A301"/>
      <c r="B301"/>
      <c r="C301"/>
      <c r="D301"/>
      <c r="E301"/>
      <c r="F301"/>
      <c r="G301"/>
      <c r="H301"/>
      <c r="I301"/>
      <c r="J301"/>
      <c r="K301"/>
      <c r="L301"/>
      <c r="M301"/>
      <c r="N301"/>
      <c r="O301"/>
      <c r="P301"/>
      <c r="R301"/>
      <c r="S301"/>
      <c r="T301"/>
      <c r="U301"/>
      <c r="V301"/>
      <c r="W301"/>
    </row>
    <row r="302" spans="1:23" x14ac:dyDescent="0.2">
      <c r="A302"/>
      <c r="B302"/>
      <c r="C302"/>
      <c r="D302"/>
      <c r="E302"/>
      <c r="F302"/>
      <c r="G302"/>
      <c r="H302"/>
      <c r="I302"/>
      <c r="J302"/>
      <c r="K302"/>
      <c r="L302"/>
      <c r="M302"/>
      <c r="N302"/>
      <c r="O302"/>
      <c r="P302"/>
      <c r="R302"/>
      <c r="S302"/>
      <c r="T302"/>
      <c r="U302"/>
      <c r="V302"/>
      <c r="W302"/>
    </row>
    <row r="303" spans="1:23" x14ac:dyDescent="0.2">
      <c r="A303"/>
      <c r="B303"/>
      <c r="C303"/>
      <c r="D303"/>
      <c r="E303"/>
      <c r="F303"/>
      <c r="G303"/>
      <c r="H303"/>
      <c r="I303"/>
      <c r="J303"/>
      <c r="K303"/>
      <c r="L303"/>
      <c r="M303"/>
      <c r="N303"/>
      <c r="O303"/>
      <c r="P303"/>
      <c r="R303"/>
      <c r="S303"/>
      <c r="T303"/>
      <c r="U303"/>
      <c r="V303"/>
      <c r="W303"/>
    </row>
    <row r="304" spans="1:23" x14ac:dyDescent="0.2">
      <c r="A304"/>
      <c r="B304"/>
      <c r="C304"/>
      <c r="D304"/>
      <c r="E304"/>
      <c r="F304"/>
      <c r="G304"/>
      <c r="H304"/>
      <c r="I304"/>
      <c r="J304"/>
      <c r="K304"/>
      <c r="L304"/>
      <c r="M304"/>
      <c r="N304"/>
      <c r="O304"/>
      <c r="P304"/>
      <c r="R304"/>
      <c r="S304"/>
      <c r="T304"/>
      <c r="U304"/>
      <c r="V304"/>
      <c r="W304"/>
    </row>
    <row r="305" spans="1:23" x14ac:dyDescent="0.2">
      <c r="A305"/>
      <c r="B305"/>
      <c r="C305"/>
      <c r="D305"/>
      <c r="E305"/>
      <c r="F305"/>
      <c r="G305"/>
      <c r="H305"/>
      <c r="I305"/>
      <c r="J305"/>
      <c r="K305"/>
      <c r="L305"/>
      <c r="M305"/>
      <c r="N305"/>
      <c r="O305"/>
      <c r="P305"/>
      <c r="R305"/>
      <c r="S305"/>
      <c r="T305"/>
      <c r="U305"/>
      <c r="V305"/>
      <c r="W305"/>
    </row>
    <row r="306" spans="1:23" x14ac:dyDescent="0.2">
      <c r="A306"/>
      <c r="B306"/>
      <c r="C306"/>
      <c r="D306"/>
      <c r="E306"/>
      <c r="F306"/>
      <c r="G306"/>
      <c r="H306"/>
      <c r="I306"/>
      <c r="J306"/>
      <c r="K306"/>
      <c r="L306"/>
      <c r="M306"/>
      <c r="N306"/>
      <c r="O306"/>
      <c r="P306"/>
      <c r="R306"/>
      <c r="S306"/>
      <c r="T306"/>
      <c r="U306"/>
      <c r="V306"/>
      <c r="W306"/>
    </row>
    <row r="307" spans="1:23" x14ac:dyDescent="0.2">
      <c r="A307"/>
      <c r="B307"/>
      <c r="C307"/>
      <c r="D307"/>
      <c r="E307"/>
      <c r="F307"/>
      <c r="G307"/>
      <c r="H307"/>
      <c r="I307"/>
      <c r="J307"/>
      <c r="K307"/>
      <c r="L307"/>
      <c r="M307"/>
      <c r="N307"/>
      <c r="O307"/>
      <c r="P307"/>
      <c r="R307"/>
      <c r="S307"/>
      <c r="T307"/>
      <c r="U307"/>
      <c r="V307"/>
      <c r="W307"/>
    </row>
    <row r="308" spans="1:23" x14ac:dyDescent="0.2">
      <c r="A308"/>
      <c r="B308"/>
      <c r="C308"/>
      <c r="D308"/>
      <c r="E308"/>
      <c r="F308"/>
      <c r="G308"/>
      <c r="H308"/>
      <c r="I308"/>
      <c r="J308"/>
      <c r="K308"/>
      <c r="L308"/>
      <c r="M308"/>
      <c r="N308"/>
      <c r="O308"/>
      <c r="P308"/>
      <c r="R308"/>
      <c r="S308"/>
      <c r="T308"/>
      <c r="U308"/>
      <c r="V308"/>
      <c r="W308"/>
    </row>
    <row r="309" spans="1:23" x14ac:dyDescent="0.2">
      <c r="A309"/>
      <c r="B309"/>
      <c r="C309"/>
      <c r="D309"/>
      <c r="E309"/>
      <c r="F309"/>
      <c r="G309"/>
      <c r="H309"/>
      <c r="I309"/>
      <c r="J309"/>
      <c r="K309"/>
      <c r="L309"/>
      <c r="M309"/>
      <c r="N309"/>
      <c r="O309"/>
      <c r="P309"/>
      <c r="R309"/>
      <c r="S309"/>
      <c r="T309"/>
      <c r="U309"/>
      <c r="V309"/>
      <c r="W309"/>
    </row>
    <row r="310" spans="1:23" x14ac:dyDescent="0.2">
      <c r="A310"/>
      <c r="B310"/>
      <c r="C310"/>
      <c r="D310"/>
      <c r="E310"/>
      <c r="F310"/>
      <c r="G310"/>
      <c r="H310"/>
      <c r="I310"/>
      <c r="J310"/>
      <c r="K310"/>
      <c r="L310"/>
      <c r="M310"/>
      <c r="N310"/>
      <c r="O310"/>
      <c r="P310"/>
      <c r="R310"/>
      <c r="S310"/>
      <c r="T310"/>
      <c r="U310"/>
      <c r="V310"/>
      <c r="W310"/>
    </row>
    <row r="311" spans="1:23" x14ac:dyDescent="0.2">
      <c r="A311"/>
      <c r="B311"/>
      <c r="C311"/>
      <c r="D311"/>
      <c r="E311"/>
      <c r="F311"/>
      <c r="G311"/>
      <c r="H311"/>
      <c r="I311"/>
      <c r="J311"/>
      <c r="K311"/>
      <c r="L311"/>
      <c r="M311"/>
      <c r="N311"/>
      <c r="O311"/>
      <c r="P311"/>
      <c r="R311"/>
      <c r="S311"/>
      <c r="T311"/>
      <c r="U311"/>
      <c r="V311"/>
      <c r="W311"/>
    </row>
    <row r="312" spans="1:23" x14ac:dyDescent="0.2">
      <c r="A312"/>
      <c r="B312"/>
      <c r="C312"/>
      <c r="D312"/>
      <c r="E312"/>
      <c r="F312"/>
      <c r="G312"/>
      <c r="H312"/>
      <c r="I312"/>
      <c r="J312"/>
      <c r="K312"/>
      <c r="L312"/>
      <c r="M312"/>
      <c r="N312"/>
      <c r="O312"/>
      <c r="P312"/>
      <c r="R312"/>
      <c r="S312"/>
      <c r="T312"/>
      <c r="U312"/>
      <c r="V312"/>
      <c r="W312"/>
    </row>
    <row r="313" spans="1:23" x14ac:dyDescent="0.2">
      <c r="A313"/>
      <c r="B313"/>
      <c r="C313"/>
      <c r="D313"/>
      <c r="E313"/>
      <c r="F313"/>
      <c r="G313"/>
      <c r="H313"/>
      <c r="I313"/>
      <c r="J313"/>
      <c r="K313"/>
      <c r="L313"/>
      <c r="M313"/>
      <c r="N313"/>
      <c r="O313"/>
      <c r="P313"/>
      <c r="R313"/>
      <c r="S313"/>
      <c r="T313"/>
      <c r="U313"/>
      <c r="V313"/>
      <c r="W313"/>
    </row>
    <row r="314" spans="1:23" x14ac:dyDescent="0.2">
      <c r="A314"/>
      <c r="B314"/>
      <c r="C314"/>
      <c r="D314"/>
      <c r="E314"/>
      <c r="F314"/>
      <c r="G314"/>
      <c r="H314"/>
      <c r="I314"/>
      <c r="J314"/>
      <c r="K314"/>
      <c r="L314"/>
      <c r="M314"/>
      <c r="N314"/>
      <c r="O314"/>
      <c r="P314"/>
      <c r="R314"/>
      <c r="S314"/>
      <c r="T314"/>
      <c r="U314"/>
      <c r="V314"/>
      <c r="W314"/>
    </row>
    <row r="315" spans="1:23" x14ac:dyDescent="0.2">
      <c r="A315"/>
      <c r="B315"/>
      <c r="C315"/>
      <c r="D315"/>
      <c r="E315"/>
      <c r="F315"/>
      <c r="G315"/>
      <c r="H315"/>
      <c r="I315"/>
      <c r="J315"/>
      <c r="K315"/>
      <c r="L315"/>
      <c r="M315"/>
      <c r="N315"/>
      <c r="O315"/>
      <c r="P315"/>
      <c r="R315"/>
      <c r="S315"/>
      <c r="T315"/>
      <c r="U315"/>
      <c r="V315"/>
      <c r="W315"/>
    </row>
    <row r="316" spans="1:23" x14ac:dyDescent="0.2">
      <c r="A316"/>
      <c r="B316"/>
      <c r="C316"/>
      <c r="D316"/>
      <c r="E316"/>
      <c r="F316"/>
      <c r="G316"/>
      <c r="H316"/>
      <c r="I316"/>
      <c r="J316"/>
      <c r="K316"/>
      <c r="L316"/>
      <c r="M316"/>
      <c r="N316"/>
      <c r="O316"/>
      <c r="P316"/>
      <c r="R316"/>
      <c r="S316"/>
      <c r="T316"/>
      <c r="U316"/>
      <c r="V316"/>
      <c r="W316"/>
    </row>
    <row r="317" spans="1:23" x14ac:dyDescent="0.2">
      <c r="A317"/>
      <c r="B317"/>
      <c r="C317"/>
      <c r="D317"/>
      <c r="E317"/>
      <c r="F317"/>
      <c r="G317"/>
      <c r="H317"/>
      <c r="I317"/>
      <c r="J317"/>
      <c r="K317"/>
      <c r="L317"/>
      <c r="M317"/>
      <c r="N317"/>
      <c r="O317"/>
      <c r="P317"/>
      <c r="R317"/>
      <c r="S317"/>
      <c r="T317"/>
      <c r="U317"/>
      <c r="V317"/>
      <c r="W317"/>
    </row>
    <row r="318" spans="1:23" x14ac:dyDescent="0.2">
      <c r="A318"/>
      <c r="B318"/>
      <c r="C318"/>
      <c r="D318"/>
      <c r="E318"/>
      <c r="F318"/>
      <c r="G318"/>
      <c r="H318"/>
      <c r="I318"/>
      <c r="J318"/>
      <c r="K318"/>
      <c r="L318"/>
      <c r="M318"/>
      <c r="N318"/>
      <c r="O318"/>
      <c r="P318"/>
      <c r="R318"/>
      <c r="S318"/>
      <c r="T318"/>
      <c r="U318"/>
      <c r="V318"/>
      <c r="W318"/>
    </row>
    <row r="319" spans="1:23" x14ac:dyDescent="0.2">
      <c r="A319"/>
      <c r="B319"/>
      <c r="C319"/>
      <c r="D319"/>
      <c r="E319"/>
      <c r="F319"/>
      <c r="G319"/>
      <c r="H319"/>
      <c r="I319"/>
      <c r="J319"/>
      <c r="K319"/>
      <c r="L319"/>
      <c r="M319"/>
      <c r="N319"/>
      <c r="O319"/>
      <c r="P319"/>
      <c r="R319"/>
      <c r="S319"/>
      <c r="T319"/>
      <c r="U319"/>
      <c r="V319"/>
      <c r="W319"/>
    </row>
    <row r="320" spans="1:23" x14ac:dyDescent="0.2">
      <c r="A320"/>
      <c r="B320"/>
      <c r="C320"/>
      <c r="D320"/>
      <c r="E320"/>
      <c r="F320"/>
      <c r="G320"/>
      <c r="H320"/>
      <c r="I320"/>
      <c r="J320"/>
      <c r="K320"/>
      <c r="L320"/>
      <c r="M320"/>
      <c r="N320"/>
      <c r="O320"/>
      <c r="P320"/>
      <c r="R320"/>
      <c r="S320"/>
      <c r="T320"/>
      <c r="U320"/>
      <c r="V320"/>
      <c r="W320"/>
    </row>
    <row r="321" spans="1:23" x14ac:dyDescent="0.2">
      <c r="A321"/>
      <c r="B321"/>
      <c r="C321"/>
      <c r="D321"/>
      <c r="E321"/>
      <c r="F321"/>
      <c r="G321"/>
      <c r="H321"/>
      <c r="I321"/>
      <c r="J321"/>
      <c r="K321"/>
      <c r="L321"/>
      <c r="M321"/>
      <c r="N321"/>
      <c r="O321"/>
      <c r="P321"/>
      <c r="R321"/>
      <c r="S321"/>
      <c r="T321"/>
      <c r="U321"/>
      <c r="V321"/>
      <c r="W321"/>
    </row>
    <row r="322" spans="1:23" x14ac:dyDescent="0.2">
      <c r="A322"/>
      <c r="B322"/>
      <c r="C322"/>
      <c r="D322"/>
      <c r="E322"/>
      <c r="F322"/>
      <c r="G322"/>
      <c r="H322"/>
      <c r="I322"/>
      <c r="J322"/>
      <c r="K322"/>
      <c r="L322"/>
      <c r="M322"/>
      <c r="N322"/>
      <c r="O322"/>
      <c r="P322"/>
      <c r="R322"/>
      <c r="S322"/>
      <c r="T322"/>
      <c r="U322"/>
      <c r="V322"/>
      <c r="W322"/>
    </row>
    <row r="323" spans="1:23" x14ac:dyDescent="0.2">
      <c r="A323"/>
      <c r="B323"/>
      <c r="C323"/>
      <c r="D323"/>
      <c r="E323"/>
      <c r="F323"/>
      <c r="G323"/>
      <c r="H323"/>
      <c r="I323"/>
      <c r="J323"/>
      <c r="K323"/>
      <c r="L323"/>
      <c r="M323"/>
      <c r="N323"/>
      <c r="O323"/>
      <c r="P323"/>
      <c r="R323"/>
      <c r="S323"/>
      <c r="T323"/>
      <c r="U323"/>
      <c r="V323"/>
      <c r="W323"/>
    </row>
    <row r="324" spans="1:23" x14ac:dyDescent="0.2">
      <c r="A324"/>
      <c r="B324"/>
      <c r="C324"/>
      <c r="D324"/>
      <c r="E324"/>
      <c r="F324"/>
      <c r="G324"/>
      <c r="H324"/>
      <c r="I324"/>
      <c r="J324"/>
      <c r="K324"/>
      <c r="L324"/>
      <c r="M324"/>
      <c r="N324"/>
      <c r="O324"/>
      <c r="P324"/>
      <c r="R324"/>
      <c r="S324"/>
      <c r="T324"/>
      <c r="U324"/>
      <c r="V324"/>
      <c r="W324"/>
    </row>
    <row r="325" spans="1:23" x14ac:dyDescent="0.2">
      <c r="A325"/>
      <c r="B325"/>
      <c r="C325"/>
      <c r="D325"/>
      <c r="E325"/>
      <c r="F325"/>
      <c r="G325"/>
      <c r="H325"/>
      <c r="I325"/>
      <c r="J325"/>
      <c r="K325"/>
      <c r="L325"/>
      <c r="M325"/>
      <c r="N325"/>
      <c r="O325"/>
      <c r="P325"/>
      <c r="R325"/>
      <c r="S325"/>
      <c r="T325"/>
      <c r="U325"/>
      <c r="V325"/>
      <c r="W325"/>
    </row>
    <row r="326" spans="1:23" x14ac:dyDescent="0.2">
      <c r="A326"/>
      <c r="B326"/>
      <c r="C326"/>
      <c r="D326"/>
      <c r="E326"/>
      <c r="F326"/>
      <c r="G326"/>
      <c r="H326"/>
      <c r="I326"/>
      <c r="J326"/>
      <c r="K326"/>
      <c r="L326"/>
      <c r="M326"/>
      <c r="N326"/>
      <c r="O326"/>
      <c r="P326"/>
      <c r="R326"/>
      <c r="S326"/>
      <c r="T326"/>
      <c r="U326"/>
      <c r="V326"/>
      <c r="W326"/>
    </row>
    <row r="327" spans="1:23" x14ac:dyDescent="0.2">
      <c r="A327"/>
      <c r="B327"/>
      <c r="C327"/>
      <c r="D327"/>
      <c r="E327"/>
      <c r="F327"/>
      <c r="G327"/>
      <c r="H327"/>
      <c r="I327"/>
      <c r="J327"/>
      <c r="K327"/>
      <c r="L327"/>
      <c r="M327"/>
      <c r="N327"/>
      <c r="O327"/>
      <c r="P327"/>
      <c r="R327"/>
      <c r="S327"/>
      <c r="T327"/>
      <c r="U327"/>
      <c r="V327"/>
      <c r="W327"/>
    </row>
    <row r="328" spans="1:23" x14ac:dyDescent="0.2">
      <c r="A328"/>
      <c r="B328"/>
      <c r="C328"/>
      <c r="D328"/>
      <c r="E328"/>
      <c r="F328"/>
      <c r="G328"/>
      <c r="H328"/>
      <c r="I328"/>
      <c r="J328"/>
      <c r="K328"/>
      <c r="L328"/>
      <c r="M328"/>
      <c r="N328"/>
      <c r="O328"/>
      <c r="P328"/>
      <c r="R328"/>
      <c r="S328"/>
      <c r="T328"/>
      <c r="U328"/>
      <c r="V328"/>
      <c r="W328"/>
    </row>
    <row r="329" spans="1:23" x14ac:dyDescent="0.2">
      <c r="A329"/>
      <c r="B329"/>
      <c r="C329"/>
      <c r="D329"/>
      <c r="E329"/>
      <c r="F329"/>
      <c r="G329"/>
      <c r="H329"/>
      <c r="I329"/>
      <c r="J329"/>
      <c r="K329"/>
      <c r="L329"/>
      <c r="M329"/>
      <c r="N329"/>
      <c r="O329"/>
      <c r="P329"/>
      <c r="R329"/>
      <c r="S329"/>
      <c r="T329"/>
      <c r="U329"/>
      <c r="V329"/>
      <c r="W329"/>
    </row>
    <row r="330" spans="1:23" x14ac:dyDescent="0.2">
      <c r="A330"/>
      <c r="B330"/>
      <c r="C330"/>
      <c r="D330"/>
      <c r="E330"/>
      <c r="F330"/>
      <c r="G330"/>
      <c r="H330"/>
      <c r="I330"/>
      <c r="J330"/>
      <c r="K330"/>
      <c r="L330"/>
      <c r="M330"/>
      <c r="N330"/>
      <c r="O330"/>
      <c r="P330"/>
      <c r="R330"/>
      <c r="S330"/>
      <c r="T330"/>
      <c r="U330"/>
      <c r="V330"/>
      <c r="W330"/>
    </row>
    <row r="331" spans="1:23" x14ac:dyDescent="0.2">
      <c r="A331"/>
      <c r="B331"/>
      <c r="C331"/>
      <c r="D331"/>
      <c r="E331"/>
      <c r="F331"/>
      <c r="G331"/>
      <c r="H331"/>
      <c r="I331"/>
      <c r="J331"/>
      <c r="K331"/>
      <c r="L331"/>
      <c r="M331"/>
      <c r="N331"/>
      <c r="O331"/>
      <c r="P331"/>
      <c r="R331"/>
      <c r="S331"/>
      <c r="T331"/>
      <c r="U331"/>
      <c r="V331"/>
      <c r="W331"/>
    </row>
    <row r="332" spans="1:23" x14ac:dyDescent="0.2">
      <c r="A332"/>
      <c r="B332"/>
      <c r="C332"/>
      <c r="D332"/>
      <c r="E332"/>
      <c r="F332"/>
      <c r="G332"/>
      <c r="H332"/>
      <c r="I332"/>
      <c r="J332"/>
      <c r="K332"/>
      <c r="L332"/>
      <c r="M332"/>
      <c r="N332"/>
      <c r="O332"/>
      <c r="P332"/>
      <c r="R332"/>
      <c r="S332"/>
      <c r="T332"/>
      <c r="U332"/>
      <c r="V332"/>
      <c r="W332"/>
    </row>
    <row r="333" spans="1:23" x14ac:dyDescent="0.2">
      <c r="A333"/>
      <c r="B333"/>
      <c r="C333"/>
      <c r="D333"/>
      <c r="E333"/>
      <c r="F333"/>
      <c r="G333"/>
      <c r="H333"/>
      <c r="I333"/>
      <c r="J333"/>
      <c r="K333"/>
      <c r="L333"/>
      <c r="M333"/>
      <c r="N333"/>
      <c r="O333"/>
      <c r="P333"/>
      <c r="R333"/>
      <c r="S333"/>
      <c r="T333"/>
      <c r="U333"/>
      <c r="V333"/>
      <c r="W333"/>
    </row>
    <row r="334" spans="1:23" x14ac:dyDescent="0.2">
      <c r="A334"/>
      <c r="B334"/>
      <c r="C334"/>
      <c r="D334"/>
      <c r="E334"/>
      <c r="F334"/>
      <c r="G334"/>
      <c r="H334"/>
      <c r="I334"/>
      <c r="J334"/>
      <c r="K334"/>
      <c r="L334"/>
      <c r="M334"/>
      <c r="N334"/>
      <c r="O334"/>
      <c r="P334"/>
      <c r="R334"/>
      <c r="S334"/>
      <c r="T334"/>
      <c r="U334"/>
      <c r="V334"/>
      <c r="W334"/>
    </row>
    <row r="335" spans="1:23" x14ac:dyDescent="0.2">
      <c r="A335"/>
      <c r="B335"/>
      <c r="C335"/>
      <c r="D335"/>
      <c r="E335"/>
      <c r="F335"/>
      <c r="G335"/>
      <c r="H335"/>
      <c r="I335"/>
      <c r="J335"/>
      <c r="K335"/>
      <c r="L335"/>
      <c r="M335"/>
      <c r="N335"/>
      <c r="O335"/>
      <c r="P335"/>
      <c r="R335"/>
      <c r="S335"/>
      <c r="T335"/>
      <c r="U335"/>
      <c r="V335"/>
      <c r="W335"/>
    </row>
    <row r="336" spans="1:23" x14ac:dyDescent="0.2">
      <c r="A336"/>
      <c r="B336"/>
      <c r="C336"/>
      <c r="D336"/>
      <c r="E336"/>
      <c r="F336"/>
      <c r="G336"/>
      <c r="H336"/>
      <c r="I336"/>
      <c r="J336"/>
      <c r="K336"/>
      <c r="L336"/>
      <c r="M336"/>
      <c r="N336"/>
      <c r="O336"/>
      <c r="P336"/>
      <c r="R336"/>
      <c r="S336"/>
      <c r="T336"/>
      <c r="U336"/>
      <c r="V336"/>
      <c r="W336"/>
    </row>
    <row r="337" spans="1:23" x14ac:dyDescent="0.2">
      <c r="A337"/>
      <c r="B337"/>
      <c r="C337"/>
      <c r="D337"/>
      <c r="E337"/>
      <c r="F337"/>
      <c r="G337"/>
      <c r="H337"/>
      <c r="I337"/>
      <c r="J337"/>
      <c r="K337"/>
      <c r="L337"/>
      <c r="M337"/>
      <c r="N337"/>
      <c r="O337"/>
      <c r="P337"/>
      <c r="R337"/>
      <c r="S337"/>
      <c r="T337"/>
      <c r="U337"/>
      <c r="V337"/>
      <c r="W337"/>
    </row>
    <row r="338" spans="1:23" x14ac:dyDescent="0.2">
      <c r="A338"/>
      <c r="B338"/>
      <c r="C338"/>
      <c r="D338"/>
      <c r="E338"/>
      <c r="F338"/>
      <c r="G338"/>
      <c r="H338"/>
      <c r="I338"/>
      <c r="J338"/>
      <c r="K338"/>
      <c r="L338"/>
      <c r="M338"/>
      <c r="N338"/>
      <c r="O338"/>
      <c r="P338"/>
      <c r="R338"/>
      <c r="S338"/>
      <c r="T338"/>
      <c r="U338"/>
      <c r="V338"/>
      <c r="W338"/>
    </row>
    <row r="339" spans="1:23" x14ac:dyDescent="0.2">
      <c r="A339"/>
      <c r="B339"/>
      <c r="C339"/>
      <c r="D339"/>
      <c r="E339"/>
      <c r="F339"/>
      <c r="G339"/>
      <c r="H339"/>
      <c r="I339"/>
      <c r="J339"/>
      <c r="K339"/>
      <c r="L339"/>
      <c r="M339"/>
      <c r="N339"/>
      <c r="O339"/>
      <c r="P339"/>
      <c r="R339"/>
      <c r="S339"/>
      <c r="T339"/>
      <c r="U339"/>
      <c r="V339"/>
      <c r="W339"/>
    </row>
    <row r="340" spans="1:23" x14ac:dyDescent="0.2">
      <c r="A340"/>
      <c r="B340"/>
      <c r="C340"/>
      <c r="D340"/>
      <c r="E340"/>
      <c r="F340"/>
      <c r="G340"/>
      <c r="H340"/>
      <c r="I340"/>
      <c r="J340"/>
      <c r="K340"/>
      <c r="L340"/>
      <c r="M340"/>
      <c r="N340"/>
      <c r="O340"/>
      <c r="P340"/>
      <c r="R340"/>
      <c r="S340"/>
      <c r="T340"/>
      <c r="U340"/>
      <c r="V340"/>
      <c r="W340"/>
    </row>
    <row r="341" spans="1:23" x14ac:dyDescent="0.2">
      <c r="A341"/>
      <c r="B341"/>
      <c r="C341"/>
      <c r="D341"/>
      <c r="E341"/>
      <c r="F341"/>
      <c r="G341"/>
      <c r="H341"/>
      <c r="I341"/>
      <c r="J341"/>
      <c r="K341"/>
      <c r="L341"/>
      <c r="M341"/>
      <c r="N341"/>
      <c r="O341"/>
      <c r="P341"/>
      <c r="R341"/>
      <c r="S341"/>
      <c r="T341"/>
      <c r="U341"/>
      <c r="V341"/>
      <c r="W341"/>
    </row>
    <row r="342" spans="1:23" x14ac:dyDescent="0.2">
      <c r="A342"/>
      <c r="B342"/>
      <c r="C342"/>
      <c r="D342"/>
      <c r="E342"/>
      <c r="F342"/>
      <c r="G342"/>
      <c r="H342"/>
      <c r="I342"/>
      <c r="J342"/>
      <c r="K342"/>
      <c r="L342"/>
      <c r="M342"/>
      <c r="N342"/>
      <c r="O342"/>
      <c r="P342"/>
      <c r="R342"/>
      <c r="S342"/>
      <c r="T342"/>
      <c r="U342"/>
      <c r="V342"/>
      <c r="W342"/>
    </row>
    <row r="343" spans="1:23" x14ac:dyDescent="0.2">
      <c r="A343"/>
      <c r="B343"/>
      <c r="C343"/>
      <c r="D343"/>
      <c r="E343"/>
      <c r="F343"/>
      <c r="G343"/>
      <c r="H343"/>
      <c r="I343"/>
      <c r="J343"/>
      <c r="K343"/>
      <c r="L343"/>
      <c r="M343"/>
      <c r="N343"/>
      <c r="O343"/>
      <c r="P343"/>
      <c r="R343"/>
      <c r="S343"/>
      <c r="T343"/>
      <c r="U343"/>
      <c r="V343"/>
      <c r="W343"/>
    </row>
    <row r="344" spans="1:23" x14ac:dyDescent="0.2">
      <c r="A344"/>
      <c r="B344"/>
      <c r="C344"/>
      <c r="D344"/>
      <c r="E344"/>
      <c r="F344"/>
      <c r="G344"/>
      <c r="H344"/>
      <c r="I344"/>
      <c r="J344"/>
      <c r="K344"/>
      <c r="L344"/>
      <c r="M344"/>
      <c r="N344"/>
      <c r="O344"/>
      <c r="P344"/>
      <c r="R344"/>
      <c r="S344"/>
      <c r="T344"/>
      <c r="U344"/>
      <c r="V344"/>
      <c r="W344"/>
    </row>
    <row r="345" spans="1:23" x14ac:dyDescent="0.2">
      <c r="A345"/>
      <c r="B345"/>
      <c r="C345"/>
      <c r="D345"/>
      <c r="E345"/>
      <c r="F345"/>
      <c r="G345"/>
      <c r="H345"/>
      <c r="I345"/>
      <c r="J345"/>
      <c r="K345"/>
      <c r="L345"/>
      <c r="M345"/>
      <c r="N345"/>
      <c r="O345"/>
      <c r="P345"/>
      <c r="R345"/>
      <c r="S345"/>
      <c r="T345"/>
      <c r="U345"/>
      <c r="V345"/>
      <c r="W345"/>
    </row>
    <row r="346" spans="1:23" x14ac:dyDescent="0.2">
      <c r="A346"/>
      <c r="B346"/>
      <c r="C346"/>
      <c r="D346"/>
      <c r="E346"/>
      <c r="F346"/>
      <c r="G346"/>
      <c r="H346"/>
      <c r="I346"/>
      <c r="J346"/>
      <c r="K346"/>
      <c r="L346"/>
      <c r="M346"/>
      <c r="N346"/>
      <c r="O346"/>
      <c r="P346"/>
      <c r="R346"/>
      <c r="S346"/>
      <c r="T346"/>
      <c r="U346"/>
      <c r="V346"/>
      <c r="W346"/>
    </row>
    <row r="347" spans="1:23" x14ac:dyDescent="0.2">
      <c r="A347"/>
      <c r="B347"/>
      <c r="C347"/>
      <c r="D347"/>
      <c r="E347"/>
      <c r="F347"/>
      <c r="G347"/>
      <c r="H347"/>
      <c r="I347"/>
      <c r="J347"/>
      <c r="K347"/>
      <c r="L347"/>
      <c r="M347"/>
      <c r="N347"/>
      <c r="O347"/>
      <c r="P347"/>
      <c r="R347"/>
      <c r="S347"/>
      <c r="T347"/>
      <c r="U347"/>
      <c r="V347"/>
      <c r="W347"/>
    </row>
    <row r="348" spans="1:23" x14ac:dyDescent="0.2">
      <c r="A348"/>
      <c r="B348"/>
      <c r="C348"/>
      <c r="D348"/>
      <c r="E348"/>
      <c r="F348"/>
      <c r="G348"/>
      <c r="H348"/>
      <c r="I348"/>
      <c r="J348"/>
      <c r="K348"/>
      <c r="L348"/>
      <c r="M348"/>
      <c r="N348"/>
      <c r="O348"/>
      <c r="P348"/>
      <c r="R348"/>
      <c r="S348"/>
      <c r="T348"/>
      <c r="U348"/>
      <c r="V348"/>
      <c r="W348"/>
    </row>
    <row r="349" spans="1:23" x14ac:dyDescent="0.2">
      <c r="A349"/>
      <c r="B349"/>
      <c r="C349"/>
      <c r="D349"/>
      <c r="E349"/>
      <c r="F349"/>
      <c r="G349"/>
      <c r="H349"/>
      <c r="I349"/>
      <c r="J349"/>
      <c r="K349"/>
      <c r="L349"/>
      <c r="M349"/>
      <c r="N349"/>
      <c r="O349"/>
      <c r="P349"/>
      <c r="R349"/>
      <c r="S349"/>
      <c r="T349"/>
      <c r="U349"/>
      <c r="V349"/>
      <c r="W349"/>
    </row>
    <row r="350" spans="1:23" x14ac:dyDescent="0.2">
      <c r="A350"/>
      <c r="B350"/>
      <c r="C350"/>
      <c r="D350"/>
      <c r="E350"/>
      <c r="F350"/>
      <c r="G350"/>
      <c r="H350"/>
      <c r="I350"/>
      <c r="J350"/>
      <c r="K350"/>
      <c r="L350"/>
      <c r="M350"/>
      <c r="N350"/>
      <c r="O350"/>
      <c r="P350"/>
      <c r="R350"/>
      <c r="S350"/>
      <c r="T350"/>
      <c r="U350"/>
      <c r="V350"/>
      <c r="W350"/>
    </row>
    <row r="351" spans="1:23" x14ac:dyDescent="0.2">
      <c r="A351"/>
      <c r="B351"/>
      <c r="C351"/>
      <c r="D351"/>
      <c r="E351"/>
      <c r="F351"/>
      <c r="G351"/>
      <c r="H351"/>
      <c r="I351"/>
      <c r="J351"/>
      <c r="K351"/>
      <c r="L351"/>
      <c r="M351"/>
      <c r="N351"/>
      <c r="O351"/>
      <c r="P351"/>
      <c r="R351"/>
      <c r="S351"/>
      <c r="T351"/>
      <c r="U351"/>
      <c r="V351"/>
      <c r="W351"/>
    </row>
    <row r="352" spans="1:23" x14ac:dyDescent="0.2">
      <c r="A352"/>
      <c r="B352"/>
      <c r="C352"/>
      <c r="D352"/>
      <c r="E352"/>
      <c r="F352"/>
      <c r="G352"/>
      <c r="H352"/>
      <c r="I352"/>
      <c r="J352"/>
      <c r="K352"/>
      <c r="L352"/>
      <c r="M352"/>
      <c r="N352"/>
      <c r="O352"/>
      <c r="P352"/>
      <c r="R352"/>
      <c r="S352"/>
      <c r="T352"/>
      <c r="U352"/>
      <c r="V352"/>
      <c r="W352"/>
    </row>
    <row r="353" spans="1:23" x14ac:dyDescent="0.2">
      <c r="A353"/>
      <c r="B353"/>
      <c r="C353"/>
      <c r="D353"/>
      <c r="E353"/>
      <c r="F353"/>
      <c r="G353"/>
      <c r="H353"/>
      <c r="I353"/>
      <c r="J353"/>
      <c r="K353"/>
      <c r="L353"/>
      <c r="M353"/>
      <c r="N353"/>
      <c r="O353"/>
      <c r="P353"/>
      <c r="R353"/>
      <c r="S353"/>
      <c r="T353"/>
      <c r="U353"/>
      <c r="V353"/>
      <c r="W353"/>
    </row>
    <row r="354" spans="1:23" x14ac:dyDescent="0.2">
      <c r="A354"/>
      <c r="B354"/>
      <c r="C354"/>
      <c r="D354"/>
      <c r="E354"/>
      <c r="F354"/>
      <c r="G354"/>
      <c r="H354"/>
      <c r="I354"/>
      <c r="J354"/>
      <c r="K354"/>
      <c r="L354"/>
      <c r="M354"/>
      <c r="N354"/>
      <c r="O354"/>
      <c r="P354"/>
      <c r="R354"/>
      <c r="S354"/>
      <c r="T354"/>
      <c r="U354"/>
      <c r="V354"/>
      <c r="W354"/>
    </row>
    <row r="355" spans="1:23" x14ac:dyDescent="0.2">
      <c r="A355"/>
      <c r="B355"/>
      <c r="C355"/>
      <c r="D355"/>
      <c r="E355"/>
      <c r="F355"/>
      <c r="G355"/>
      <c r="H355"/>
      <c r="I355"/>
      <c r="J355"/>
      <c r="K355"/>
      <c r="L355"/>
      <c r="M355"/>
      <c r="N355"/>
      <c r="O355"/>
      <c r="P355"/>
      <c r="R355"/>
      <c r="S355"/>
      <c r="T355"/>
      <c r="U355"/>
      <c r="V355"/>
      <c r="W355"/>
    </row>
    <row r="356" spans="1:23" x14ac:dyDescent="0.2">
      <c r="A356"/>
      <c r="B356"/>
      <c r="C356"/>
      <c r="D356"/>
      <c r="E356"/>
      <c r="F356"/>
      <c r="G356"/>
      <c r="H356"/>
      <c r="I356"/>
      <c r="J356"/>
      <c r="K356"/>
      <c r="L356"/>
      <c r="M356"/>
      <c r="N356"/>
      <c r="O356"/>
      <c r="P356"/>
      <c r="R356"/>
      <c r="S356"/>
      <c r="T356"/>
      <c r="U356"/>
      <c r="V356"/>
      <c r="W356"/>
    </row>
    <row r="357" spans="1:23" x14ac:dyDescent="0.2">
      <c r="A357"/>
      <c r="B357"/>
      <c r="C357"/>
      <c r="D357"/>
      <c r="E357"/>
      <c r="F357"/>
      <c r="G357"/>
      <c r="H357"/>
      <c r="I357"/>
      <c r="J357"/>
      <c r="K357"/>
      <c r="L357"/>
      <c r="M357"/>
      <c r="N357"/>
      <c r="O357"/>
      <c r="P357"/>
      <c r="R357"/>
      <c r="S357"/>
      <c r="T357"/>
      <c r="U357"/>
      <c r="V357"/>
      <c r="W357"/>
    </row>
    <row r="358" spans="1:23" x14ac:dyDescent="0.2">
      <c r="A358"/>
      <c r="B358"/>
      <c r="C358"/>
      <c r="D358"/>
      <c r="E358"/>
      <c r="F358"/>
      <c r="G358"/>
      <c r="H358"/>
      <c r="I358"/>
      <c r="J358"/>
      <c r="K358"/>
      <c r="L358"/>
      <c r="M358"/>
      <c r="N358"/>
      <c r="O358"/>
      <c r="P358"/>
      <c r="R358"/>
      <c r="S358"/>
      <c r="T358"/>
      <c r="U358"/>
      <c r="V358"/>
      <c r="W358"/>
    </row>
    <row r="359" spans="1:23" x14ac:dyDescent="0.2">
      <c r="A359"/>
      <c r="B359"/>
      <c r="C359"/>
      <c r="D359"/>
      <c r="E359"/>
      <c r="F359"/>
      <c r="G359"/>
      <c r="H359"/>
      <c r="I359"/>
      <c r="J359"/>
      <c r="K359"/>
      <c r="L359"/>
      <c r="M359"/>
      <c r="N359"/>
      <c r="O359"/>
      <c r="P359"/>
      <c r="R359"/>
      <c r="S359"/>
      <c r="T359"/>
      <c r="U359"/>
      <c r="V359"/>
      <c r="W359"/>
    </row>
    <row r="360" spans="1:23" x14ac:dyDescent="0.2">
      <c r="A360"/>
      <c r="B360"/>
      <c r="C360"/>
      <c r="D360"/>
      <c r="E360"/>
      <c r="F360"/>
      <c r="G360"/>
      <c r="H360"/>
      <c r="I360"/>
      <c r="J360"/>
      <c r="K360"/>
      <c r="L360"/>
      <c r="M360"/>
      <c r="N360"/>
      <c r="O360"/>
      <c r="P360"/>
      <c r="R360"/>
      <c r="S360"/>
      <c r="T360"/>
      <c r="U360"/>
      <c r="V360"/>
      <c r="W360"/>
    </row>
    <row r="361" spans="1:23" x14ac:dyDescent="0.2">
      <c r="A361"/>
      <c r="B361"/>
      <c r="C361"/>
      <c r="D361"/>
      <c r="E361"/>
      <c r="F361"/>
      <c r="G361"/>
      <c r="H361"/>
      <c r="I361"/>
      <c r="J361"/>
      <c r="K361"/>
      <c r="L361"/>
      <c r="M361"/>
      <c r="N361"/>
      <c r="O361"/>
      <c r="P361"/>
      <c r="R361"/>
      <c r="S361"/>
      <c r="T361"/>
      <c r="U361"/>
      <c r="V361"/>
      <c r="W361"/>
    </row>
    <row r="362" spans="1:23" x14ac:dyDescent="0.2">
      <c r="A362"/>
      <c r="B362"/>
      <c r="C362"/>
      <c r="D362"/>
      <c r="E362"/>
      <c r="F362"/>
      <c r="G362"/>
      <c r="H362"/>
      <c r="I362"/>
      <c r="J362"/>
      <c r="K362"/>
      <c r="L362"/>
      <c r="M362"/>
      <c r="N362"/>
      <c r="O362"/>
      <c r="P362"/>
      <c r="R362"/>
      <c r="S362"/>
      <c r="T362"/>
      <c r="U362"/>
      <c r="V362"/>
      <c r="W362"/>
    </row>
    <row r="363" spans="1:23" x14ac:dyDescent="0.2">
      <c r="A363"/>
      <c r="B363"/>
      <c r="C363"/>
      <c r="D363"/>
      <c r="E363"/>
      <c r="F363"/>
      <c r="G363"/>
      <c r="H363"/>
      <c r="I363"/>
      <c r="J363"/>
      <c r="K363"/>
      <c r="L363"/>
      <c r="M363"/>
      <c r="N363"/>
      <c r="O363"/>
      <c r="P363"/>
      <c r="R363"/>
      <c r="S363"/>
      <c r="T363"/>
      <c r="U363"/>
      <c r="V363"/>
      <c r="W363"/>
    </row>
    <row r="364" spans="1:23" x14ac:dyDescent="0.2">
      <c r="A364"/>
      <c r="B364"/>
      <c r="C364"/>
      <c r="D364"/>
      <c r="E364"/>
      <c r="F364"/>
      <c r="G364"/>
      <c r="H364"/>
      <c r="I364"/>
      <c r="J364"/>
      <c r="K364"/>
      <c r="L364"/>
      <c r="M364"/>
      <c r="N364"/>
      <c r="O364"/>
      <c r="P364"/>
      <c r="R364"/>
      <c r="S364"/>
      <c r="T364"/>
      <c r="U364"/>
      <c r="V364"/>
      <c r="W364"/>
    </row>
    <row r="365" spans="1:23" x14ac:dyDescent="0.2">
      <c r="A365"/>
      <c r="B365"/>
      <c r="C365"/>
      <c r="D365"/>
      <c r="E365"/>
      <c r="F365"/>
      <c r="G365"/>
      <c r="H365"/>
      <c r="I365"/>
      <c r="J365"/>
      <c r="K365"/>
      <c r="L365"/>
      <c r="M365"/>
      <c r="N365"/>
      <c r="O365"/>
      <c r="P365"/>
      <c r="R365"/>
      <c r="S365"/>
      <c r="T365"/>
      <c r="U365"/>
      <c r="V365"/>
      <c r="W365"/>
    </row>
  </sheetData>
  <mergeCells count="130">
    <mergeCell ref="A115:B115"/>
    <mergeCell ref="A111:B111"/>
    <mergeCell ref="A112:B112"/>
    <mergeCell ref="A113:B113"/>
    <mergeCell ref="A114:B114"/>
    <mergeCell ref="M115:O115"/>
    <mergeCell ref="C114:E114"/>
    <mergeCell ref="F114:G114"/>
    <mergeCell ref="H114:I114"/>
    <mergeCell ref="K114:L114"/>
    <mergeCell ref="C115:E115"/>
    <mergeCell ref="F115:G115"/>
    <mergeCell ref="H115:I115"/>
    <mergeCell ref="C112:E112"/>
    <mergeCell ref="F112:G112"/>
    <mergeCell ref="H112:I112"/>
    <mergeCell ref="K115:L115"/>
    <mergeCell ref="C113:E113"/>
    <mergeCell ref="M113:O113"/>
    <mergeCell ref="C111:E111"/>
    <mergeCell ref="F111:G111"/>
    <mergeCell ref="H111:I111"/>
    <mergeCell ref="K111:L111"/>
    <mergeCell ref="M111:O111"/>
    <mergeCell ref="I99:N100"/>
    <mergeCell ref="B105:E105"/>
    <mergeCell ref="F105:G105"/>
    <mergeCell ref="B106:E106"/>
    <mergeCell ref="F106:G106"/>
    <mergeCell ref="I4:O5"/>
    <mergeCell ref="I22:N23"/>
    <mergeCell ref="M68:P68"/>
    <mergeCell ref="I70:K71"/>
    <mergeCell ref="A4:G5"/>
    <mergeCell ref="F75:G75"/>
    <mergeCell ref="A68:L68"/>
    <mergeCell ref="A10:G11"/>
    <mergeCell ref="B8:G8"/>
    <mergeCell ref="F74:G74"/>
    <mergeCell ref="B93:E93"/>
    <mergeCell ref="F93:G93"/>
    <mergeCell ref="B7:G7"/>
    <mergeCell ref="B81:E81"/>
    <mergeCell ref="B82:E82"/>
    <mergeCell ref="B94:E94"/>
    <mergeCell ref="F94:G94"/>
    <mergeCell ref="B92:E92"/>
    <mergeCell ref="F92:G92"/>
    <mergeCell ref="C110:E110"/>
    <mergeCell ref="M1:P1"/>
    <mergeCell ref="B76:E76"/>
    <mergeCell ref="B83:E83"/>
    <mergeCell ref="B80:E80"/>
    <mergeCell ref="F78:G78"/>
    <mergeCell ref="B79:E79"/>
    <mergeCell ref="B78:E78"/>
    <mergeCell ref="F79:G79"/>
    <mergeCell ref="B9:G9"/>
    <mergeCell ref="A29:G30"/>
    <mergeCell ref="A70:E71"/>
    <mergeCell ref="B75:E75"/>
    <mergeCell ref="F71:G71"/>
    <mergeCell ref="F72:G72"/>
    <mergeCell ref="A42:G43"/>
    <mergeCell ref="F73:G73"/>
    <mergeCell ref="B77:E77"/>
    <mergeCell ref="A1:L1"/>
    <mergeCell ref="B72:E72"/>
    <mergeCell ref="B73:E73"/>
    <mergeCell ref="B74:E74"/>
    <mergeCell ref="I12:N13"/>
    <mergeCell ref="B6:G6"/>
    <mergeCell ref="B107:E107"/>
    <mergeCell ref="F107:G107"/>
    <mergeCell ref="F100:G100"/>
    <mergeCell ref="B97:E97"/>
    <mergeCell ref="F97:G97"/>
    <mergeCell ref="B98:E98"/>
    <mergeCell ref="F98:G98"/>
    <mergeCell ref="F95:G95"/>
    <mergeCell ref="B96:E96"/>
    <mergeCell ref="B99:E99"/>
    <mergeCell ref="F99:G99"/>
    <mergeCell ref="B100:E100"/>
    <mergeCell ref="B103:E103"/>
    <mergeCell ref="F103:G103"/>
    <mergeCell ref="B104:E104"/>
    <mergeCell ref="F104:G104"/>
    <mergeCell ref="B101:E101"/>
    <mergeCell ref="F101:G101"/>
    <mergeCell ref="B102:E102"/>
    <mergeCell ref="F102:G102"/>
    <mergeCell ref="B95:E95"/>
    <mergeCell ref="B84:E84"/>
    <mergeCell ref="B91:E91"/>
    <mergeCell ref="B88:E88"/>
    <mergeCell ref="B89:E89"/>
    <mergeCell ref="B90:E90"/>
    <mergeCell ref="F85:G85"/>
    <mergeCell ref="F86:G86"/>
    <mergeCell ref="F87:G87"/>
    <mergeCell ref="F88:G88"/>
    <mergeCell ref="B85:E85"/>
    <mergeCell ref="B86:E86"/>
    <mergeCell ref="B87:E87"/>
    <mergeCell ref="F89:G89"/>
    <mergeCell ref="K118:L118"/>
    <mergeCell ref="F118:G118"/>
    <mergeCell ref="F120:G120"/>
    <mergeCell ref="F123:G123"/>
    <mergeCell ref="F119:G119"/>
    <mergeCell ref="J6:P11"/>
    <mergeCell ref="F90:G90"/>
    <mergeCell ref="F80:G80"/>
    <mergeCell ref="F81:G81"/>
    <mergeCell ref="F82:G82"/>
    <mergeCell ref="F83:G83"/>
    <mergeCell ref="F84:G84"/>
    <mergeCell ref="F91:G91"/>
    <mergeCell ref="F96:G96"/>
    <mergeCell ref="F76:G76"/>
    <mergeCell ref="F77:G77"/>
    <mergeCell ref="H110:I110"/>
    <mergeCell ref="F110:G110"/>
    <mergeCell ref="K112:L112"/>
    <mergeCell ref="F113:G113"/>
    <mergeCell ref="H113:I113"/>
    <mergeCell ref="M112:O112"/>
    <mergeCell ref="K113:L113"/>
    <mergeCell ref="M114:O114"/>
  </mergeCells>
  <phoneticPr fontId="5" type="noConversion"/>
  <conditionalFormatting sqref="I136 A127 A31:A41 I24:I67 A69 A44:A67 I72:I98 A12:A28 I101:I107 I14:I21 A72:A117">
    <cfRule type="cellIs" dxfId="6" priority="1" stopIfTrue="1" operator="equal">
      <formula>"!!"</formula>
    </cfRule>
  </conditionalFormatting>
  <pageMargins left="0.39370078740157483" right="0.39370078740157483" top="0.39370078740157483" bottom="0.39370078740157483" header="0.51181102362204722" footer="0.51181102362204722"/>
  <pageSetup paperSize="9" scale="83" fitToHeight="0" orientation="portrait" horizontalDpi="300" verticalDpi="300" r:id="rId1"/>
  <headerFooter alignWithMargins="0"/>
  <rowBreaks count="1" manualBreakCount="1">
    <brk id="68"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24589" r:id="rId4" name="Option Button 13">
              <controlPr defaultSize="0" autoFill="0" autoLine="0" autoPict="0">
                <anchor moveWithCells="1">
                  <from>
                    <xdr:col>17</xdr:col>
                    <xdr:colOff>276225</xdr:colOff>
                    <xdr:row>2</xdr:row>
                    <xdr:rowOff>171450</xdr:rowOff>
                  </from>
                  <to>
                    <xdr:col>20</xdr:col>
                    <xdr:colOff>295275</xdr:colOff>
                    <xdr:row>3</xdr:row>
                    <xdr:rowOff>114300</xdr:rowOff>
                  </to>
                </anchor>
              </controlPr>
            </control>
          </mc:Choice>
        </mc:AlternateContent>
        <mc:AlternateContent xmlns:mc="http://schemas.openxmlformats.org/markup-compatibility/2006">
          <mc:Choice Requires="x14">
            <control shapeId="24590" r:id="rId5" name="Option Button 14">
              <controlPr defaultSize="0" autoFill="0" autoLine="0" autoPict="0">
                <anchor moveWithCells="1">
                  <from>
                    <xdr:col>17</xdr:col>
                    <xdr:colOff>285750</xdr:colOff>
                    <xdr:row>1</xdr:row>
                    <xdr:rowOff>114300</xdr:rowOff>
                  </from>
                  <to>
                    <xdr:col>20</xdr:col>
                    <xdr:colOff>95250</xdr:colOff>
                    <xdr:row>2</xdr:row>
                    <xdr:rowOff>161925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tabColor indexed="44"/>
    <pageSetUpPr fitToPage="1"/>
  </sheetPr>
  <dimension ref="A1:AW56"/>
  <sheetViews>
    <sheetView showGridLines="0" showWhiteSpace="0" view="pageBreakPreview" zoomScaleNormal="100" zoomScaleSheetLayoutView="100" zoomScalePageLayoutView="55" workbookViewId="0">
      <selection activeCell="A39" sqref="A38:C39"/>
    </sheetView>
  </sheetViews>
  <sheetFormatPr baseColWidth="10" defaultRowHeight="12.75" x14ac:dyDescent="0.2"/>
  <cols>
    <col min="1" max="1" width="2.42578125" customWidth="1"/>
    <col min="2" max="2" width="16.140625" customWidth="1"/>
    <col min="3" max="3" width="4.28515625" customWidth="1"/>
    <col min="4" max="4" width="3.7109375" customWidth="1"/>
    <col min="5" max="5" width="4.140625" customWidth="1"/>
    <col min="6" max="6" width="4" customWidth="1"/>
    <col min="7" max="7" width="5.85546875" customWidth="1"/>
    <col min="8" max="8" width="7" customWidth="1"/>
    <col min="9" max="9" width="2.42578125" customWidth="1"/>
    <col min="10" max="10" width="3.42578125" customWidth="1"/>
    <col min="11" max="11" width="0.5703125" customWidth="1"/>
    <col min="12" max="12" width="2.140625" customWidth="1"/>
    <col min="13" max="13" width="5.28515625" customWidth="1"/>
    <col min="14" max="15" width="2.7109375" customWidth="1"/>
    <col min="16" max="16" width="3.85546875" customWidth="1"/>
    <col min="17" max="17" width="5.28515625" customWidth="1"/>
    <col min="18" max="18" width="5.5703125" customWidth="1"/>
    <col min="19" max="19" width="3.5703125" customWidth="1"/>
    <col min="20" max="21" width="4.28515625" customWidth="1"/>
    <col min="22" max="22" width="3.42578125" customWidth="1"/>
    <col min="23" max="23" width="3.5703125" customWidth="1"/>
    <col min="24" max="24" width="3.42578125" customWidth="1"/>
    <col min="25" max="25" width="5" customWidth="1"/>
    <col min="26" max="26" width="0.5703125" style="47" customWidth="1"/>
    <col min="27" max="27" width="14.5703125" customWidth="1"/>
    <col min="28" max="28" width="8.28515625" customWidth="1"/>
    <col min="29" max="29" width="7.5703125" customWidth="1"/>
    <col min="30" max="30" width="14.7109375" customWidth="1"/>
    <col min="31" max="31" width="13.7109375" customWidth="1"/>
    <col min="32" max="32" width="11" customWidth="1"/>
    <col min="33" max="33" width="8.85546875" customWidth="1"/>
    <col min="38" max="40" width="11.42578125" style="78"/>
    <col min="41" max="41" width="12.85546875" style="78" customWidth="1"/>
    <col min="42" max="44" width="11.42578125" style="78"/>
    <col min="45" max="45" width="9.5703125" style="78" customWidth="1"/>
    <col min="46" max="16384" width="11.42578125" style="78"/>
  </cols>
  <sheetData>
    <row r="1" spans="1:47" ht="18.75" customHeight="1" thickTop="1" thickBot="1" x14ac:dyDescent="0.25">
      <c r="A1" s="2294" t="str">
        <f ca="1">CONCATENATE("Attacke-Basiswert: ",AT,"  Parade-Basiswert: ",PA,"  Fernkampf-Basiswert: ",FK,"  Initiative-Basiswert: ",INI)</f>
        <v>Attacke-Basiswert: 5  Parade-Basiswert: 5  Fernkampf-Basiswert: 5  Initiative-Basiswert: 6</v>
      </c>
      <c r="B1" s="2295"/>
      <c r="C1" s="2295"/>
      <c r="D1" s="2295"/>
      <c r="E1" s="2295"/>
      <c r="F1" s="2295"/>
      <c r="G1" s="2295"/>
      <c r="H1" s="2295"/>
      <c r="I1" s="2295"/>
      <c r="J1" s="2295"/>
      <c r="K1" s="2295"/>
      <c r="L1" s="2295"/>
      <c r="M1" s="2295"/>
      <c r="N1" s="2295"/>
      <c r="O1" s="2295"/>
      <c r="P1" s="2295"/>
      <c r="Q1" s="2295"/>
      <c r="R1" s="2295"/>
      <c r="S1" s="2295"/>
      <c r="T1" s="2295"/>
      <c r="U1" s="2295"/>
      <c r="V1" s="2295"/>
      <c r="W1" s="2295"/>
      <c r="X1" s="2295"/>
      <c r="Y1" s="2296"/>
      <c r="AA1" s="47"/>
      <c r="AB1" s="29" t="b">
        <f>IF(ISBLANK($AB$2),FALSE,TRUE)</f>
        <v>0</v>
      </c>
      <c r="AC1" s="188"/>
      <c r="AD1" s="47"/>
      <c r="AE1" s="47"/>
    </row>
    <row r="2" spans="1:47" ht="13.5" customHeight="1" thickTop="1" x14ac:dyDescent="0.2">
      <c r="A2" s="947"/>
      <c r="B2" s="947"/>
      <c r="C2" s="947"/>
      <c r="D2" s="947"/>
      <c r="E2" s="947"/>
      <c r="F2" s="947"/>
      <c r="G2" s="947"/>
      <c r="H2" s="947"/>
      <c r="I2" s="947"/>
      <c r="J2" s="947"/>
      <c r="K2" s="947"/>
      <c r="L2" s="947"/>
      <c r="M2" s="947"/>
      <c r="N2" s="947"/>
      <c r="O2" s="947"/>
      <c r="P2" s="947"/>
      <c r="Q2" s="947"/>
      <c r="R2" s="947"/>
      <c r="S2" s="947"/>
      <c r="T2" s="947"/>
      <c r="U2" s="947"/>
      <c r="V2" s="947"/>
      <c r="W2" s="947"/>
      <c r="X2" s="947"/>
      <c r="Y2" s="947"/>
      <c r="Z2" s="184"/>
      <c r="AA2" s="177"/>
      <c r="AB2" s="179"/>
      <c r="AC2" s="1347" t="s">
        <v>7241</v>
      </c>
      <c r="AD2" s="1348"/>
      <c r="AE2" s="178"/>
    </row>
    <row r="3" spans="1:47" ht="18.75" customHeight="1" thickBot="1" x14ac:dyDescent="0.25">
      <c r="A3" s="940"/>
      <c r="B3" s="940"/>
      <c r="C3" s="940"/>
      <c r="D3" s="940"/>
      <c r="E3" s="940"/>
      <c r="F3" s="940"/>
      <c r="G3" s="940"/>
      <c r="H3" s="940"/>
      <c r="I3" s="940"/>
      <c r="J3" s="940"/>
      <c r="K3" s="940"/>
      <c r="L3" s="940"/>
      <c r="M3" s="940"/>
      <c r="N3" s="940"/>
      <c r="O3" s="940"/>
      <c r="P3" s="940"/>
      <c r="Q3" s="940"/>
      <c r="R3" s="940"/>
      <c r="S3" s="940"/>
      <c r="T3" s="940"/>
      <c r="U3" s="940"/>
      <c r="V3" s="940"/>
      <c r="W3" s="940"/>
      <c r="X3" s="940"/>
      <c r="Y3" s="940"/>
      <c r="AA3" s="47"/>
      <c r="AB3" s="189"/>
      <c r="AC3" s="189"/>
      <c r="AD3" s="595"/>
      <c r="AE3" s="47"/>
      <c r="AL3" s="1332"/>
      <c r="AM3" s="1332"/>
      <c r="AN3" s="1332"/>
      <c r="AO3" s="1332"/>
      <c r="AP3" s="1332"/>
      <c r="AQ3" s="1332"/>
      <c r="AR3" s="1332"/>
      <c r="AS3" s="1332"/>
      <c r="AT3" s="1332"/>
    </row>
    <row r="4" spans="1:47" s="1336" customFormat="1" ht="15" customHeight="1" thickTop="1" thickBot="1" x14ac:dyDescent="0.3">
      <c r="A4" s="659" t="s">
        <v>2494</v>
      </c>
      <c r="B4" s="658"/>
      <c r="C4" s="2287" t="s">
        <v>9135</v>
      </c>
      <c r="D4" s="2288"/>
      <c r="E4" s="2288"/>
      <c r="F4" s="2289"/>
      <c r="G4" s="657" t="s">
        <v>2496</v>
      </c>
      <c r="H4" s="2287" t="s">
        <v>2497</v>
      </c>
      <c r="I4" s="2288"/>
      <c r="J4" s="2289"/>
      <c r="K4" s="2287" t="s">
        <v>2498</v>
      </c>
      <c r="L4" s="2288"/>
      <c r="M4" s="2288"/>
      <c r="N4" s="2289"/>
      <c r="O4" s="2287" t="s">
        <v>716</v>
      </c>
      <c r="P4" s="2289"/>
      <c r="Q4" s="657" t="s">
        <v>717</v>
      </c>
      <c r="R4" s="657" t="s">
        <v>2499</v>
      </c>
      <c r="S4" s="2287" t="s">
        <v>2500</v>
      </c>
      <c r="T4" s="2289"/>
      <c r="U4" s="1403" t="s">
        <v>7413</v>
      </c>
      <c r="V4" s="658"/>
      <c r="W4" s="1406" t="s">
        <v>2501</v>
      </c>
      <c r="X4" s="658"/>
      <c r="Y4" s="1404"/>
      <c r="Z4" s="488"/>
      <c r="AA4" s="489"/>
      <c r="AB4" s="2320" t="s">
        <v>403</v>
      </c>
      <c r="AC4" s="2243"/>
      <c r="AD4" s="945" t="s">
        <v>2494</v>
      </c>
      <c r="AE4" s="946" t="s">
        <v>2184</v>
      </c>
      <c r="AF4" s="946" t="s">
        <v>2497</v>
      </c>
      <c r="AG4" s="946" t="s">
        <v>2185</v>
      </c>
      <c r="AH4" s="946" t="s">
        <v>711</v>
      </c>
      <c r="AI4" s="1087" t="s">
        <v>2499</v>
      </c>
      <c r="AJ4" s="1335" t="s">
        <v>4984</v>
      </c>
      <c r="AK4" s="2"/>
      <c r="AL4" s="1332"/>
      <c r="AM4" s="1081" t="s">
        <v>278</v>
      </c>
      <c r="AN4" s="1081" t="s">
        <v>2494</v>
      </c>
      <c r="AO4" s="1081" t="s">
        <v>4805</v>
      </c>
      <c r="AP4" s="1081" t="s">
        <v>712</v>
      </c>
      <c r="AQ4" s="1081" t="s">
        <v>713</v>
      </c>
      <c r="AR4" s="1081" t="s">
        <v>2449</v>
      </c>
      <c r="AS4" s="1081" t="s">
        <v>2450</v>
      </c>
      <c r="AT4" s="1332"/>
      <c r="AU4" s="78"/>
    </row>
    <row r="5" spans="1:47" ht="15" customHeight="1" x14ac:dyDescent="0.2">
      <c r="A5" s="2244"/>
      <c r="B5" s="2245"/>
      <c r="C5" s="2297" t="str">
        <f t="shared" ref="C5:C11" si="0">IF(OR($AN5="",$AO5="Flammenschwert"),"",CONCATENATE(VLOOKUP($AO5,TL_KPF_ANZEIGE,2,FALSE)," (",VLOOKUP($AO5,WFBASBE,5,FALSE),")"))</f>
        <v/>
      </c>
      <c r="D5" s="2298"/>
      <c r="E5" s="2298"/>
      <c r="F5" s="2299"/>
      <c r="G5" s="629" t="str">
        <f t="shared" ref="G5:G11" si="1">IF($AN5="","",VLOOKUP($AN5,WAFFENWERTE,7,FALSE))</f>
        <v/>
      </c>
      <c r="H5" s="2308" t="str">
        <f t="shared" ref="H5:H11" si="2">IF($AN5="","",IF(LEN(VLOOKUP($AN5,WAFFENWERTE,2,FALSE))&gt;2,REPLACE(VLOOKUP($AN5,WAFFENWERTE,2,FALSE),4,1,IF(KK&gt;=SUM(VALUE(LEFT($K5,2)),VALUE(RIGHT($K5))),ROUNDDOWN((KK-VALUE(LEFT($K5,2)))/VALUE(RIGHT($K5)),0),0)+VALUE(MID(VLOOKUP($AN5,WAFFENWERTE,2,FALSE),3,2))+VALUE($AF5)),CONCATENATE(VLOOKUP($AN5,WAFFENWERTE,2,FALSE),"+",IF(KK&gt;=SUM(VALUE(LEFT($K5,2)),VALUE(RIGHT($K5))),ROUNDDOWN((KK-VALUE(LEFT($K5,2)))/VALUE(RIGHT($K5))+VALUE($AF5),0),0))))</f>
        <v/>
      </c>
      <c r="I5" s="2309"/>
      <c r="J5" s="2310"/>
      <c r="K5" s="2201" t="str">
        <f t="shared" ref="K5:K11" si="3">IF($AN5="","",VLOOKUP($AN5,WAFFENWERTE,3,FALSE))</f>
        <v/>
      </c>
      <c r="L5" s="2205"/>
      <c r="M5" s="2205"/>
      <c r="N5" s="2202"/>
      <c r="O5" s="2201" t="str">
        <f>IF($AN5="","",IF($AO5="Flammenschwert",12,SUM(
IF(SUM(VLOOKUP($AO5,WFBASBE,5,FALSE),IF(EXPERTE,EXPBE,BE))&lt;0,0,-ROUNDDOWN(SUM(VLOOKUP($AO5,WFBASBE,5,FALSE),IF(EXPERTE,EXPBE,BE))/2,0)),
VLOOKUP($AO5,Talente!$A$14:$Q$40,16,FALSE),
IF(ISERR(VALUE(LEFT(S5,FIND("/",S5,1)-1))),0,VALUE(LEFT(S5,FIND("/",S5,1)-1))),
IF(NOT(ISERR(FIND($AR5,$AN5,1))),1,IF(NOT(ISERR(FIND($AS5,$AN5,1))),1,0))
)))</f>
        <v/>
      </c>
      <c r="P5" s="2202"/>
      <c r="Q5" s="1352" t="str">
        <f>IF(OR($AN5="",$AO5="Flammenschwert"),"",IF(VLOOKUP($AO5,Talente!$A$14:$Q$40,17,FALSE)="","",SUM(
IF(SUM(VLOOKUP($AO5,WFBASBE,5,FALSE),IF(EXPERTE,EXPBE,BE))&lt;0,0,-ROUND(SUM(VLOOKUP($AO5,WFBASBE,5,FALSE),
IF(EXPERTE,EXPBE,BE))/2,0)),
VLOOKUP($AO5,Talente!$A$14:$Q$40,17,FALSE),
IF(ISERR(VALUE(RIGHT(S5,LEN(S5)-FIND("/",S5,1)))),0,VALUE(RIGHT(S5,LEN(S5)-FIND("/",S5,1)))),
IF(NOT(ISERR(FIND($AR5,$AN5,1))),1,IF(NOT(ISERR(FIND($AS5,$AN5,1))),1,0))
)))</f>
        <v/>
      </c>
      <c r="R5" s="629" t="str">
        <f t="shared" ref="R5:R11" si="4">IF($AN5="","",VLOOKUP($AN5,WAFFENWERTE,5,FALSE)+AI5)</f>
        <v/>
      </c>
      <c r="S5" s="2201" t="str">
        <f t="shared" ref="S5:S11" si="5">IF($AN5="","",AP5+AG5&amp;"/"&amp;AQ5+AH5)</f>
        <v/>
      </c>
      <c r="T5" s="2202"/>
      <c r="U5" s="2183" t="str">
        <f>IF($AN5="","",IF(OR(SF!$AE$60="X",VT_BEIDHG),"0/0",IF(SF!$AE$59="X","-3/-3",IF(SF!$AE$83="X","-6/-6","unmgl."))))</f>
        <v/>
      </c>
      <c r="V5" s="2184"/>
      <c r="W5" s="1405" t="str">
        <f t="shared" ref="W5:W11" si="6">IF($AN5="","",IF(VLOOKUP($AN5,WAFFENWERTE,6,FALSE)="-","-",VLOOKUP($AN5,WAFFENWERTE,6,FALSE)-$AJ5))</f>
        <v/>
      </c>
      <c r="X5" s="656"/>
      <c r="Y5" s="655"/>
      <c r="Z5" s="603"/>
      <c r="AA5" s="276" t="str">
        <f>IF(AND(NOT(AD5=""),AD5&lt;&gt;A5,AB5=""),"!!!","")</f>
        <v/>
      </c>
      <c r="AB5" s="2244"/>
      <c r="AC5" s="2245"/>
      <c r="AD5" s="641"/>
      <c r="AE5" s="604"/>
      <c r="AF5" s="604"/>
      <c r="AG5" s="604"/>
      <c r="AH5" s="604"/>
      <c r="AI5" s="604"/>
      <c r="AJ5" s="655"/>
      <c r="AL5" s="1332"/>
      <c r="AM5" s="1081" t="str">
        <f t="shared" ref="AM5:AM11" si="7">IF(AB5="",IF(AD5="","",AD5),AB5&amp;" ("&amp;IF(AD5="",AN5,AD5)&amp;")")</f>
        <v/>
      </c>
      <c r="AN5" s="1081" t="str">
        <f t="shared" ref="AN5:AN11" si="8">IF(AD5="",IF(A5="","",A5),AD5)</f>
        <v/>
      </c>
      <c r="AO5" s="1081" t="str">
        <f>IF(AE5="",IF(AN5="","",VLOOKUP($AN5,WAFFENWERTE,11,FALSE)),AE5)</f>
        <v/>
      </c>
      <c r="AP5" s="1081" t="str">
        <f t="shared" ref="AP5:AP11" si="9">IF($AN5="","",LEFT(VLOOKUP($AN5,WAFFENWERTE,4,FALSE),FIND("/",VLOOKUP($AN5,WAFFENWERTE,4,FALSE))-1))</f>
        <v/>
      </c>
      <c r="AQ5" s="1081" t="str">
        <f t="shared" ref="AQ5:AQ11" si="10">IF($AN5="","",RIGHT(VLOOKUP($AN5,WAFFENWERTE,4,FALSE),LEN(VLOOKUP($AN5,WAFFENWERTE,4,FALSE))-FIND("/",VLOOKUP($AN5,WAFFENWERTE,4,FALSE))))</f>
        <v/>
      </c>
      <c r="AR5" s="1081" t="str">
        <f t="shared" ref="AR5:AR11" si="11">IF(AO5="","",IF($AO5="Flammenschwert",0,VLOOKUP(AO5,KPFTALENTE,18,FALSE)))</f>
        <v/>
      </c>
      <c r="AS5" s="1081" t="str">
        <f t="shared" ref="AS5:AS11" si="12">IF(AO5="","",IF($AO5="Flammenschwert",0,VLOOKUP(AO5,KPFTALENTE,19,FALSE)))</f>
        <v/>
      </c>
      <c r="AT5" s="1332"/>
    </row>
    <row r="6" spans="1:47" ht="15" customHeight="1" x14ac:dyDescent="0.2">
      <c r="A6" s="2246"/>
      <c r="B6" s="2247"/>
      <c r="C6" s="2300" t="str">
        <f t="shared" si="0"/>
        <v/>
      </c>
      <c r="D6" s="2032"/>
      <c r="E6" s="2032"/>
      <c r="F6" s="2301"/>
      <c r="G6" s="630" t="str">
        <f t="shared" si="1"/>
        <v/>
      </c>
      <c r="H6" s="2305" t="str">
        <f t="shared" si="2"/>
        <v/>
      </c>
      <c r="I6" s="2306"/>
      <c r="J6" s="2307"/>
      <c r="K6" s="2198" t="str">
        <f t="shared" si="3"/>
        <v/>
      </c>
      <c r="L6" s="2199"/>
      <c r="M6" s="2199"/>
      <c r="N6" s="2200"/>
      <c r="O6" s="2198" t="str">
        <f>IF($AN6="","",IF($AO6="Flammenschwert",12,SUM(
IF(SUM(VLOOKUP($AO6,WFBASBE,5,FALSE),IF(EXPERTE,EXPBE,BE))&lt;0,0,-ROUNDDOWN(SUM(VLOOKUP($AO6,WFBASBE,5,FALSE),IF(EXPERTE,EXPBE,BE))/2,0)),
VLOOKUP($AO6,Talente!$A$14:$Q$40,16,FALSE),
IF(ISERR(VALUE(LEFT(S6,FIND("/",S6,1)-1))),0,VALUE(LEFT(S6,FIND("/",S6,1)-1))),
IF(NOT(ISERR(FIND($AR6,$AN6,1))),1,IF(NOT(ISERR(FIND($AS6,$AN6,1))),1,0))
)))</f>
        <v/>
      </c>
      <c r="P6" s="2200"/>
      <c r="Q6" s="1350" t="str">
        <f>IF(OR($AN6="",$AO6="Flammenschwert"),"",IF(VLOOKUP($AO6,Talente!$A$14:$Q$40,17,FALSE)="","",SUM(
IF(SUM(VLOOKUP($AO6,WFBASBE,5,FALSE),IF(EXPERTE,EXPBE,BE))&lt;0,0,-ROUND(SUM(VLOOKUP($AO6,WFBASBE,5,FALSE),
IF(EXPERTE,EXPBE,BE))/2,0)),
VLOOKUP($AO6,Talente!$A$14:$Q$40,17,FALSE),
IF(ISERR(VALUE(RIGHT(S6,LEN(S6)-FIND("/",S6,1)))),0,VALUE(RIGHT(S6,LEN(S6)-FIND("/",S6,1)))),
IF(NOT(ISERR(FIND($AR6,$AN6,1))),1,IF(NOT(ISERR(FIND($AS6,$AN6,1))),1,0))
)))</f>
        <v/>
      </c>
      <c r="R6" s="630" t="str">
        <f t="shared" si="4"/>
        <v/>
      </c>
      <c r="S6" s="2198" t="str">
        <f t="shared" si="5"/>
        <v/>
      </c>
      <c r="T6" s="2200"/>
      <c r="U6" s="2185" t="str">
        <f>IF($AN6="","",IF(OR(SF!$AE$60="X",VT_BEIDHG),"0/0",IF(SF!$AE$59="X","-3/-3",IF(SF!$AE$83="X","-6/-6","unmgl."))))</f>
        <v/>
      </c>
      <c r="V6" s="2186"/>
      <c r="W6" s="1407" t="str">
        <f t="shared" si="6"/>
        <v/>
      </c>
      <c r="X6" s="654"/>
      <c r="Y6" s="653"/>
      <c r="AB6" s="2290"/>
      <c r="AC6" s="2247"/>
      <c r="AD6" s="642"/>
      <c r="AE6" s="605"/>
      <c r="AF6" s="605"/>
      <c r="AG6" s="605"/>
      <c r="AH6" s="605"/>
      <c r="AI6" s="605"/>
      <c r="AJ6" s="653"/>
      <c r="AL6" s="1332"/>
      <c r="AM6" s="1081" t="str">
        <f t="shared" si="7"/>
        <v/>
      </c>
      <c r="AN6" s="1081" t="str">
        <f t="shared" si="8"/>
        <v/>
      </c>
      <c r="AO6" s="1081" t="str">
        <f t="shared" ref="AO6:AO11" si="13">IF(AE6="",IF(AN6="","",VLOOKUP($AN6,WAFFENWERTE,8,FALSE)),AE6)</f>
        <v/>
      </c>
      <c r="AP6" s="1081" t="str">
        <f t="shared" si="9"/>
        <v/>
      </c>
      <c r="AQ6" s="1081" t="str">
        <f t="shared" si="10"/>
        <v/>
      </c>
      <c r="AR6" s="1081" t="str">
        <f t="shared" si="11"/>
        <v/>
      </c>
      <c r="AS6" s="1081" t="str">
        <f t="shared" si="12"/>
        <v/>
      </c>
      <c r="AT6" s="1332"/>
    </row>
    <row r="7" spans="1:47" ht="15" customHeight="1" x14ac:dyDescent="0.2">
      <c r="A7" s="2246"/>
      <c r="B7" s="2247"/>
      <c r="C7" s="2300" t="str">
        <f t="shared" si="0"/>
        <v/>
      </c>
      <c r="D7" s="2032"/>
      <c r="E7" s="2032"/>
      <c r="F7" s="2301"/>
      <c r="G7" s="630" t="str">
        <f t="shared" si="1"/>
        <v/>
      </c>
      <c r="H7" s="2305" t="str">
        <f t="shared" si="2"/>
        <v/>
      </c>
      <c r="I7" s="2306"/>
      <c r="J7" s="2307"/>
      <c r="K7" s="2198" t="str">
        <f t="shared" si="3"/>
        <v/>
      </c>
      <c r="L7" s="2199"/>
      <c r="M7" s="2199"/>
      <c r="N7" s="2200"/>
      <c r="O7" s="2198" t="str">
        <f>IF($AN7="","",IF($AO7="Flammenschwert",12,SUM(
IF(SUM(VLOOKUP($AO7,WFBASBE,5,FALSE),IF(EXPERTE,EXPBE,BE))&lt;0,0,-ROUNDDOWN(SUM(VLOOKUP($AO7,WFBASBE,5,FALSE),IF(EXPERTE,EXPBE,BE))/2,0)),
VLOOKUP($AO7,Talente!$A$14:$Q$40,16,FALSE),
IF(ISERR(VALUE(LEFT(S7,FIND("/",S7,1)-1))),0,VALUE(LEFT(S7,FIND("/",S7,1)-1))),
IF(NOT(ISERR(FIND($AR7,$AN7,1))),1,IF(NOT(ISERR(FIND($AS7,$AN7,1))),1,0))
)))</f>
        <v/>
      </c>
      <c r="P7" s="2200"/>
      <c r="Q7" s="1350" t="str">
        <f>IF(OR($AN7="",$AO7="Flammenschwert"),"",IF(VLOOKUP($AO7,Talente!$A$14:$Q$40,17,FALSE)="","",SUM(
IF(SUM(VLOOKUP($AO7,WFBASBE,5,FALSE),IF(EXPERTE,EXPBE,BE))&lt;0,0,-ROUND(SUM(VLOOKUP($AO7,WFBASBE,5,FALSE),
IF(EXPERTE,EXPBE,BE))/2,0)),
VLOOKUP($AO7,Talente!$A$14:$Q$40,17,FALSE),
IF(ISERR(VALUE(RIGHT(S7,LEN(S7)-FIND("/",S7,1)))),0,VALUE(RIGHT(S7,LEN(S7)-FIND("/",S7,1)))),
IF(NOT(ISERR(FIND($AR7,$AN7,1))),1,IF(NOT(ISERR(FIND($AS7,$AN7,1))),1,0))
)))</f>
        <v/>
      </c>
      <c r="R7" s="630" t="str">
        <f t="shared" si="4"/>
        <v/>
      </c>
      <c r="S7" s="2198" t="str">
        <f t="shared" si="5"/>
        <v/>
      </c>
      <c r="T7" s="2200"/>
      <c r="U7" s="2185" t="str">
        <f>IF($AN7="","",IF(OR(SF!$AE$60="X",VT_BEIDHG),"0/0",IF(SF!$AE$59="X","-3/-3",IF(SF!$AE$83="X","-6/-6","unmgl."))))</f>
        <v/>
      </c>
      <c r="V7" s="2186"/>
      <c r="W7" s="1407" t="str">
        <f t="shared" si="6"/>
        <v/>
      </c>
      <c r="X7" s="654"/>
      <c r="Y7" s="653"/>
      <c r="AB7" s="2246"/>
      <c r="AC7" s="2247"/>
      <c r="AD7" s="642"/>
      <c r="AE7" s="605"/>
      <c r="AF7" s="605"/>
      <c r="AG7" s="605"/>
      <c r="AH7" s="605"/>
      <c r="AI7" s="605"/>
      <c r="AJ7" s="653"/>
      <c r="AL7" s="1332"/>
      <c r="AM7" s="1081" t="str">
        <f t="shared" si="7"/>
        <v/>
      </c>
      <c r="AN7" s="1081" t="str">
        <f t="shared" si="8"/>
        <v/>
      </c>
      <c r="AO7" s="1081" t="str">
        <f t="shared" si="13"/>
        <v/>
      </c>
      <c r="AP7" s="1081" t="str">
        <f t="shared" si="9"/>
        <v/>
      </c>
      <c r="AQ7" s="1081" t="str">
        <f t="shared" si="10"/>
        <v/>
      </c>
      <c r="AR7" s="1081" t="str">
        <f t="shared" si="11"/>
        <v/>
      </c>
      <c r="AS7" s="1081" t="str">
        <f t="shared" si="12"/>
        <v/>
      </c>
      <c r="AT7" s="1332"/>
    </row>
    <row r="8" spans="1:47" ht="15" customHeight="1" x14ac:dyDescent="0.2">
      <c r="A8" s="2246"/>
      <c r="B8" s="2247"/>
      <c r="C8" s="2300" t="str">
        <f t="shared" si="0"/>
        <v/>
      </c>
      <c r="D8" s="2032"/>
      <c r="E8" s="2032"/>
      <c r="F8" s="2301"/>
      <c r="G8" s="630" t="str">
        <f t="shared" si="1"/>
        <v/>
      </c>
      <c r="H8" s="2305" t="str">
        <f t="shared" si="2"/>
        <v/>
      </c>
      <c r="I8" s="2306"/>
      <c r="J8" s="2307"/>
      <c r="K8" s="2198" t="str">
        <f t="shared" si="3"/>
        <v/>
      </c>
      <c r="L8" s="2199"/>
      <c r="M8" s="2199"/>
      <c r="N8" s="2200"/>
      <c r="O8" s="2198" t="str">
        <f>IF($AN8="","",IF($AO8="Flammenschwert",12,SUM(
IF(SUM(VLOOKUP($AO8,WFBASBE,5,FALSE),IF(EXPERTE,EXPBE,BE))&lt;0,0,-ROUNDDOWN(SUM(VLOOKUP($AO8,WFBASBE,5,FALSE),IF(EXPERTE,EXPBE,BE))/2,0)),
VLOOKUP($AO8,Talente!$A$14:$Q$40,16,FALSE),
IF(ISERR(VALUE(LEFT(S8,FIND("/",S8,1)-1))),0,VALUE(LEFT(S8,FIND("/",S8,1)-1))),
IF(NOT(ISERR(FIND($AR8,$AN8,1))),1,IF(NOT(ISERR(FIND($AS8,$AN8,1))),1,0))
)))</f>
        <v/>
      </c>
      <c r="P8" s="2200"/>
      <c r="Q8" s="1350" t="str">
        <f>IF(OR($AN8="",$AO8="Flammenschwert"),"",IF(VLOOKUP($AO8,Talente!$A$14:$Q$40,17,FALSE)="","",SUM(
IF(SUM(VLOOKUP($AO8,WFBASBE,5,FALSE),IF(EXPERTE,EXPBE,BE))&lt;0,0,-ROUND(SUM(VLOOKUP($AO8,WFBASBE,5,FALSE),
IF(EXPERTE,EXPBE,BE))/2,0)),
VLOOKUP($AO8,Talente!$A$14:$Q$40,17,FALSE),
IF(ISERR(VALUE(RIGHT(S8,LEN(S8)-FIND("/",S8,1)))),0,VALUE(RIGHT(S8,LEN(S8)-FIND("/",S8,1)))),
IF(NOT(ISERR(FIND($AR8,$AN8,1))),1,IF(NOT(ISERR(FIND($AS8,$AN8,1))),1,0))
)))</f>
        <v/>
      </c>
      <c r="R8" s="630" t="str">
        <f t="shared" si="4"/>
        <v/>
      </c>
      <c r="S8" s="2198" t="str">
        <f t="shared" si="5"/>
        <v/>
      </c>
      <c r="T8" s="2200"/>
      <c r="U8" s="2185" t="str">
        <f>IF($AN8="","",IF(OR(SF!$AE$60="X",VT_BEIDHG),"0/0",IF(SF!$AE$59="X","-3/-3",IF(SF!$AE$83="X","-6/-6","unmgl."))))</f>
        <v/>
      </c>
      <c r="V8" s="2186"/>
      <c r="W8" s="1407" t="str">
        <f t="shared" si="6"/>
        <v/>
      </c>
      <c r="X8" s="654"/>
      <c r="Y8" s="653"/>
      <c r="AB8" s="2246"/>
      <c r="AC8" s="2247"/>
      <c r="AD8" s="642"/>
      <c r="AE8" s="605"/>
      <c r="AF8" s="605"/>
      <c r="AG8" s="605"/>
      <c r="AH8" s="605"/>
      <c r="AI8" s="605"/>
      <c r="AJ8" s="653"/>
      <c r="AL8" s="1332"/>
      <c r="AM8" s="1081" t="str">
        <f t="shared" si="7"/>
        <v/>
      </c>
      <c r="AN8" s="1081" t="str">
        <f t="shared" si="8"/>
        <v/>
      </c>
      <c r="AO8" s="1081" t="str">
        <f t="shared" si="13"/>
        <v/>
      </c>
      <c r="AP8" s="1081" t="str">
        <f t="shared" si="9"/>
        <v/>
      </c>
      <c r="AQ8" s="1081" t="str">
        <f t="shared" si="10"/>
        <v/>
      </c>
      <c r="AR8" s="1081" t="str">
        <f t="shared" si="11"/>
        <v/>
      </c>
      <c r="AS8" s="1081" t="str">
        <f t="shared" si="12"/>
        <v/>
      </c>
      <c r="AT8" s="1332"/>
    </row>
    <row r="9" spans="1:47" ht="15" customHeight="1" x14ac:dyDescent="0.2">
      <c r="A9" s="2246"/>
      <c r="B9" s="2247"/>
      <c r="C9" s="2300" t="str">
        <f t="shared" si="0"/>
        <v/>
      </c>
      <c r="D9" s="2032"/>
      <c r="E9" s="2032"/>
      <c r="F9" s="2301"/>
      <c r="G9" s="630" t="str">
        <f t="shared" si="1"/>
        <v/>
      </c>
      <c r="H9" s="2305" t="str">
        <f t="shared" si="2"/>
        <v/>
      </c>
      <c r="I9" s="2306"/>
      <c r="J9" s="2307"/>
      <c r="K9" s="2198" t="str">
        <f t="shared" si="3"/>
        <v/>
      </c>
      <c r="L9" s="2199"/>
      <c r="M9" s="2199"/>
      <c r="N9" s="2200"/>
      <c r="O9" s="2198" t="str">
        <f>IF($AN9="","",IF($AO9="Flammenschwert",12,SUM(
IF(SUM(VLOOKUP($AO9,WFBASBE,5,FALSE),IF(EXPERTE,EXPBE,BE))&lt;0,0,-ROUNDDOWN(SUM(VLOOKUP($AO9,WFBASBE,5,FALSE),IF(EXPERTE,EXPBE,BE))/2,0)),
VLOOKUP($AO9,Talente!$A$14:$Q$40,16,FALSE),
IF(ISERR(VALUE(LEFT(S9,FIND("/",S9,1)-1))),0,VALUE(LEFT(S9,FIND("/",S9,1)-1))),
IF(NOT(ISERR(FIND($AR9,$AN9,1))),1,IF(NOT(ISERR(FIND($AS9,$AN9,1))),1,0))
)))</f>
        <v/>
      </c>
      <c r="P9" s="2200"/>
      <c r="Q9" s="1350" t="str">
        <f>IF(OR($AN9="",$AO9="Flammenschwert"),"",IF(VLOOKUP($AO9,Talente!$A$14:$Q$40,17,FALSE)="","",SUM(
IF(SUM(VLOOKUP($AO9,WFBASBE,5,FALSE),IF(EXPERTE,EXPBE,BE))&lt;0,0,-ROUND(SUM(VLOOKUP($AO9,WFBASBE,5,FALSE),
IF(EXPERTE,EXPBE,BE))/2,0)),
VLOOKUP($AO9,Talente!$A$14:$Q$40,17,FALSE),
IF(ISERR(VALUE(RIGHT(S9,LEN(S9)-FIND("/",S9,1)))),0,VALUE(RIGHT(S9,LEN(S9)-FIND("/",S9,1)))),
IF(NOT(ISERR(FIND($AR9,$AN9,1))),1,IF(NOT(ISERR(FIND($AS9,$AN9,1))),1,0))
)))</f>
        <v/>
      </c>
      <c r="R9" s="630" t="str">
        <f t="shared" si="4"/>
        <v/>
      </c>
      <c r="S9" s="2198" t="str">
        <f t="shared" si="5"/>
        <v/>
      </c>
      <c r="T9" s="2200"/>
      <c r="U9" s="2185" t="str">
        <f>IF($AN9="","",IF(OR(SF!$AE$60="X",VT_BEIDHG),"0/0",IF(SF!$AE$59="X","-3/-3",IF(SF!$AE$83="X","-6/-6","unmgl."))))</f>
        <v/>
      </c>
      <c r="V9" s="2186"/>
      <c r="W9" s="1407" t="str">
        <f t="shared" si="6"/>
        <v/>
      </c>
      <c r="X9" s="654"/>
      <c r="Y9" s="653"/>
      <c r="AB9" s="2246"/>
      <c r="AC9" s="2247"/>
      <c r="AD9" s="642"/>
      <c r="AE9" s="605"/>
      <c r="AF9" s="605"/>
      <c r="AG9" s="605"/>
      <c r="AH9" s="605"/>
      <c r="AI9" s="605"/>
      <c r="AJ9" s="653"/>
      <c r="AL9" s="1332"/>
      <c r="AM9" s="1081" t="str">
        <f t="shared" si="7"/>
        <v/>
      </c>
      <c r="AN9" s="1081" t="str">
        <f t="shared" si="8"/>
        <v/>
      </c>
      <c r="AO9" s="1081" t="str">
        <f t="shared" si="13"/>
        <v/>
      </c>
      <c r="AP9" s="1081" t="str">
        <f t="shared" si="9"/>
        <v/>
      </c>
      <c r="AQ9" s="1081" t="str">
        <f t="shared" si="10"/>
        <v/>
      </c>
      <c r="AR9" s="1081" t="str">
        <f t="shared" si="11"/>
        <v/>
      </c>
      <c r="AS9" s="1081" t="str">
        <f t="shared" si="12"/>
        <v/>
      </c>
      <c r="AT9" s="1332"/>
    </row>
    <row r="10" spans="1:47" ht="15" customHeight="1" x14ac:dyDescent="0.2">
      <c r="A10" s="2246"/>
      <c r="B10" s="2247"/>
      <c r="C10" s="2300" t="str">
        <f t="shared" si="0"/>
        <v/>
      </c>
      <c r="D10" s="2032"/>
      <c r="E10" s="2032"/>
      <c r="F10" s="2301"/>
      <c r="G10" s="630" t="str">
        <f t="shared" si="1"/>
        <v/>
      </c>
      <c r="H10" s="2305" t="str">
        <f t="shared" si="2"/>
        <v/>
      </c>
      <c r="I10" s="2306"/>
      <c r="J10" s="2307"/>
      <c r="K10" s="2198" t="str">
        <f t="shared" si="3"/>
        <v/>
      </c>
      <c r="L10" s="2199"/>
      <c r="M10" s="2199"/>
      <c r="N10" s="2200"/>
      <c r="O10" s="2198" t="str">
        <f>IF($AN10="","",IF($AO10="Flammenschwert",12,SUM(
IF(SUM(VLOOKUP($AO10,WFBASBE,5,FALSE),IF(EXPERTE,EXPBE,BE))&lt;0,0,-ROUNDDOWN(SUM(VLOOKUP($AO10,WFBASBE,5,FALSE),IF(EXPERTE,EXPBE,BE))/2,0)),
VLOOKUP($AO10,Talente!$A$14:$Q$40,16,FALSE),
IF(ISERR(VALUE(LEFT(S10,FIND("/",S10,1)-1))),0,VALUE(LEFT(S10,FIND("/",S10,1)-1))),
IF(NOT(ISERR(FIND($AR10,$AN10,1))),1,IF(NOT(ISERR(FIND($AS10,$AN10,1))),1,0))
)))</f>
        <v/>
      </c>
      <c r="P10" s="2200"/>
      <c r="Q10" s="1350" t="str">
        <f>IF(OR($AN10="",$AO10="Flammenschwert"),"",IF(VLOOKUP($AO10,Talente!$A$14:$Q$40,17,FALSE)="","",SUM(
IF(SUM(VLOOKUP($AO10,WFBASBE,5,FALSE),IF(EXPERTE,EXPBE,BE))&lt;0,0,-ROUND(SUM(VLOOKUP($AO10,WFBASBE,5,FALSE),
IF(EXPERTE,EXPBE,BE))/2,0)),
VLOOKUP($AO10,Talente!$A$14:$Q$40,17,FALSE),
IF(ISERR(VALUE(RIGHT(S10,LEN(S10)-FIND("/",S10,1)))),0,VALUE(RIGHT(S10,LEN(S10)-FIND("/",S10,1)))),
IF(NOT(ISERR(FIND($AR10,$AN10,1))),1,IF(NOT(ISERR(FIND($AS10,$AN10,1))),1,0))
)))</f>
        <v/>
      </c>
      <c r="R10" s="630" t="str">
        <f t="shared" si="4"/>
        <v/>
      </c>
      <c r="S10" s="2198" t="str">
        <f t="shared" si="5"/>
        <v/>
      </c>
      <c r="T10" s="2200"/>
      <c r="U10" s="2185" t="str">
        <f>IF($AN10="","",IF(OR(SF!$AE$60="X",VT_BEIDHG),"0/0",IF(SF!$AE$59="X","-3/-3",IF(SF!$AE$83="X","-6/-6","unmgl."))))</f>
        <v/>
      </c>
      <c r="V10" s="2186"/>
      <c r="W10" s="1407" t="str">
        <f t="shared" si="6"/>
        <v/>
      </c>
      <c r="X10" s="654"/>
      <c r="Y10" s="653"/>
      <c r="AB10" s="2246"/>
      <c r="AC10" s="2247"/>
      <c r="AD10" s="642"/>
      <c r="AE10" s="605"/>
      <c r="AF10" s="605"/>
      <c r="AG10" s="605"/>
      <c r="AH10" s="605"/>
      <c r="AI10" s="605"/>
      <c r="AJ10" s="653"/>
      <c r="AL10" s="1332"/>
      <c r="AM10" s="1081" t="str">
        <f t="shared" si="7"/>
        <v/>
      </c>
      <c r="AN10" s="1081" t="str">
        <f t="shared" si="8"/>
        <v/>
      </c>
      <c r="AO10" s="1081" t="str">
        <f t="shared" si="13"/>
        <v/>
      </c>
      <c r="AP10" s="1081" t="str">
        <f t="shared" si="9"/>
        <v/>
      </c>
      <c r="AQ10" s="1081" t="str">
        <f t="shared" si="10"/>
        <v/>
      </c>
      <c r="AR10" s="1081" t="str">
        <f t="shared" si="11"/>
        <v/>
      </c>
      <c r="AS10" s="1081" t="str">
        <f t="shared" si="12"/>
        <v/>
      </c>
      <c r="AT10" s="1332"/>
    </row>
    <row r="11" spans="1:47" ht="15" customHeight="1" thickBot="1" x14ac:dyDescent="0.25">
      <c r="A11" s="2259"/>
      <c r="B11" s="2261"/>
      <c r="C11" s="2270" t="str">
        <f t="shared" si="0"/>
        <v/>
      </c>
      <c r="D11" s="2271"/>
      <c r="E11" s="2271"/>
      <c r="F11" s="2272"/>
      <c r="G11" s="631" t="str">
        <f t="shared" si="1"/>
        <v/>
      </c>
      <c r="H11" s="2302" t="str">
        <f t="shared" si="2"/>
        <v/>
      </c>
      <c r="I11" s="2303"/>
      <c r="J11" s="2304"/>
      <c r="K11" s="2284" t="str">
        <f t="shared" si="3"/>
        <v/>
      </c>
      <c r="L11" s="2285"/>
      <c r="M11" s="2285"/>
      <c r="N11" s="2286"/>
      <c r="O11" s="2284" t="str">
        <f>IF($AN11="","",IF($AO11="Flammenschwert",12,SUM(
IF(SUM(VLOOKUP($AO11,WFBASBE,5,FALSE),IF(EXPERTE,EXPBE,BE))&lt;0,0,-ROUNDDOWN(SUM(VLOOKUP($AO11,WFBASBE,5,FALSE),IF(EXPERTE,EXPBE,BE))/2,0)),
VLOOKUP($AO11,Talente!$A$14:$Q$40,16,FALSE),
IF(ISERR(VALUE(LEFT(S11,FIND("/",S11,1)-1))),0,VALUE(LEFT(S11,FIND("/",S11,1)-1))),
IF(NOT(ISERR(FIND($AR11,$AN11,1))),1,IF(NOT(ISERR(FIND($AS11,$AN11,1))),1,0))
)))</f>
        <v/>
      </c>
      <c r="P11" s="2286"/>
      <c r="Q11" s="1351" t="str">
        <f>IF(OR($AN11="",$AO11="Flammenschwert"),"",IF(VLOOKUP($AO11,Talente!$A$14:$Q$40,17,FALSE)="","",SUM(
IF(SUM(VLOOKUP($AO11,WFBASBE,5,FALSE),IF(EXPERTE,EXPBE,BE))&lt;0,0,-ROUND(SUM(VLOOKUP($AO11,WFBASBE,5,FALSE),
IF(EXPERTE,EXPBE,BE))/2,0)),
VLOOKUP($AO11,Talente!$A$14:$Q$40,17,FALSE),
IF(ISERR(VALUE(RIGHT(S11,LEN(S11)-FIND("/",S11,1)))),0,VALUE(RIGHT(S11,LEN(S11)-FIND("/",S11,1)))),
IF(NOT(ISERR(FIND($AR11,$AN11,1))),1,IF(NOT(ISERR(FIND($AS11,$AN11,1))),1,0))
)))</f>
        <v/>
      </c>
      <c r="R11" s="631" t="str">
        <f t="shared" si="4"/>
        <v/>
      </c>
      <c r="S11" s="2284" t="str">
        <f t="shared" si="5"/>
        <v/>
      </c>
      <c r="T11" s="2286"/>
      <c r="U11" s="2292" t="str">
        <f>IF($AN11="","",IF(OR(SF!$AE$60="X",VT_BEIDHG),"0/0",IF(SF!$AE$59="X","-3/-3",IF(SF!$AE$83="X","-6/-6","unmgl."))))</f>
        <v/>
      </c>
      <c r="V11" s="2293"/>
      <c r="W11" s="1408" t="str">
        <f t="shared" si="6"/>
        <v/>
      </c>
      <c r="X11" s="652"/>
      <c r="Y11" s="651"/>
      <c r="AA11" s="638"/>
      <c r="AB11" s="2240"/>
      <c r="AC11" s="2241"/>
      <c r="AD11" s="711"/>
      <c r="AE11" s="710"/>
      <c r="AF11" s="710"/>
      <c r="AG11" s="710"/>
      <c r="AH11" s="710"/>
      <c r="AI11" s="710"/>
      <c r="AJ11" s="709"/>
      <c r="AL11" s="1332"/>
      <c r="AM11" s="1081" t="str">
        <f t="shared" si="7"/>
        <v/>
      </c>
      <c r="AN11" s="1081" t="str">
        <f t="shared" si="8"/>
        <v/>
      </c>
      <c r="AO11" s="1081" t="str">
        <f t="shared" si="13"/>
        <v/>
      </c>
      <c r="AP11" s="1081" t="str">
        <f t="shared" si="9"/>
        <v/>
      </c>
      <c r="AQ11" s="1081" t="str">
        <f t="shared" si="10"/>
        <v/>
      </c>
      <c r="AR11" s="1081" t="str">
        <f t="shared" si="11"/>
        <v/>
      </c>
      <c r="AS11" s="1081" t="str">
        <f t="shared" si="12"/>
        <v/>
      </c>
      <c r="AT11" s="1332"/>
    </row>
    <row r="12" spans="1:47" ht="15" customHeight="1" x14ac:dyDescent="0.2">
      <c r="A12" s="2311" t="str">
        <f ca="1">"Nahkampf-SF: " &amp; SF!$AQ$150</f>
        <v xml:space="preserve">Nahkampf-SF: </v>
      </c>
      <c r="B12" s="2312"/>
      <c r="C12" s="2312"/>
      <c r="D12" s="2312"/>
      <c r="E12" s="2312"/>
      <c r="F12" s="2312"/>
      <c r="G12" s="2312"/>
      <c r="H12" s="2312"/>
      <c r="I12" s="2312"/>
      <c r="J12" s="2312"/>
      <c r="K12" s="2312"/>
      <c r="L12" s="2312"/>
      <c r="M12" s="2312"/>
      <c r="N12" s="2312"/>
      <c r="O12" s="2312"/>
      <c r="P12" s="2312"/>
      <c r="Q12" s="2312"/>
      <c r="R12" s="2312"/>
      <c r="S12" s="2312"/>
      <c r="T12" s="2312"/>
      <c r="U12" s="2312"/>
      <c r="V12" s="2312"/>
      <c r="W12" s="2312"/>
      <c r="X12" s="2312"/>
      <c r="Y12" s="2313"/>
      <c r="AB12" s="1"/>
      <c r="AC12" s="1"/>
      <c r="AD12" s="1"/>
      <c r="AE12" s="1"/>
      <c r="AF12" s="1"/>
      <c r="AG12" s="1"/>
      <c r="AH12" s="1"/>
      <c r="AI12" s="1"/>
      <c r="AJ12" s="1"/>
      <c r="AL12" s="1332"/>
      <c r="AM12" s="1332"/>
      <c r="AN12" s="1332"/>
      <c r="AO12" s="1332"/>
      <c r="AP12" s="1332"/>
      <c r="AQ12" s="1332"/>
      <c r="AR12" s="1332"/>
      <c r="AS12" s="1332"/>
      <c r="AT12" s="1332"/>
    </row>
    <row r="13" spans="1:47" ht="15" customHeight="1" x14ac:dyDescent="0.2">
      <c r="A13" s="2314"/>
      <c r="B13" s="2315"/>
      <c r="C13" s="2315"/>
      <c r="D13" s="2315"/>
      <c r="E13" s="2315"/>
      <c r="F13" s="2315"/>
      <c r="G13" s="2315"/>
      <c r="H13" s="2315"/>
      <c r="I13" s="2315"/>
      <c r="J13" s="2315"/>
      <c r="K13" s="2315"/>
      <c r="L13" s="2315"/>
      <c r="M13" s="2315"/>
      <c r="N13" s="2315"/>
      <c r="O13" s="2315"/>
      <c r="P13" s="2315"/>
      <c r="Q13" s="2315"/>
      <c r="R13" s="2315"/>
      <c r="S13" s="2315"/>
      <c r="T13" s="2315"/>
      <c r="U13" s="2315"/>
      <c r="V13" s="2315"/>
      <c r="W13" s="2315"/>
      <c r="X13" s="2315"/>
      <c r="Y13" s="2316"/>
      <c r="AB13" s="1"/>
      <c r="AC13" s="1"/>
      <c r="AD13" s="1"/>
      <c r="AE13" s="1"/>
      <c r="AF13" s="1"/>
      <c r="AG13" s="1"/>
      <c r="AH13" s="1"/>
      <c r="AI13" s="1"/>
      <c r="AJ13" s="1"/>
      <c r="AK13" s="1"/>
    </row>
    <row r="14" spans="1:47" ht="15" customHeight="1" thickBot="1" x14ac:dyDescent="0.25">
      <c r="A14" s="2317"/>
      <c r="B14" s="2318"/>
      <c r="C14" s="2318"/>
      <c r="D14" s="2318"/>
      <c r="E14" s="2318"/>
      <c r="F14" s="2318"/>
      <c r="G14" s="2318"/>
      <c r="H14" s="2318"/>
      <c r="I14" s="2318"/>
      <c r="J14" s="2318"/>
      <c r="K14" s="2318"/>
      <c r="L14" s="2318"/>
      <c r="M14" s="2318"/>
      <c r="N14" s="2318"/>
      <c r="O14" s="2318"/>
      <c r="P14" s="2318"/>
      <c r="Q14" s="2318"/>
      <c r="R14" s="2318"/>
      <c r="S14" s="2318"/>
      <c r="T14" s="2318"/>
      <c r="U14" s="2318"/>
      <c r="V14" s="2318"/>
      <c r="W14" s="2318"/>
      <c r="X14" s="2318"/>
      <c r="Y14" s="2319"/>
      <c r="AB14" s="1"/>
      <c r="AC14" s="1"/>
      <c r="AD14" s="1"/>
      <c r="AE14" s="1"/>
      <c r="AF14" s="1"/>
      <c r="AG14" s="1"/>
      <c r="AH14" s="1"/>
      <c r="AI14" s="1"/>
      <c r="AJ14" s="1"/>
      <c r="AK14" s="1"/>
    </row>
    <row r="15" spans="1:47" ht="11.25" customHeight="1" thickTop="1" thickBot="1" x14ac:dyDescent="0.25">
      <c r="A15" s="650"/>
      <c r="B15" s="650"/>
      <c r="C15" s="650"/>
      <c r="D15" s="650"/>
      <c r="E15" s="650"/>
      <c r="F15" s="650"/>
      <c r="G15" s="650"/>
      <c r="H15" s="650"/>
      <c r="I15" s="650"/>
      <c r="J15" s="650"/>
      <c r="K15" s="650"/>
      <c r="L15" s="650"/>
      <c r="M15" s="650"/>
      <c r="N15" s="650"/>
      <c r="O15" s="650"/>
      <c r="P15" s="650"/>
      <c r="Q15" s="650"/>
      <c r="R15" s="650"/>
      <c r="S15" s="650"/>
      <c r="T15" s="650"/>
      <c r="U15" s="650"/>
      <c r="V15" s="650"/>
      <c r="W15" s="650"/>
      <c r="X15" s="650"/>
      <c r="Y15" s="650"/>
      <c r="AB15" s="78" t="s">
        <v>7247</v>
      </c>
      <c r="AC15" s="1"/>
      <c r="AI15" s="1"/>
      <c r="AJ15" s="1"/>
      <c r="AK15" s="1"/>
      <c r="AL15" s="1332"/>
      <c r="AM15" s="1332"/>
      <c r="AN15" s="1332"/>
      <c r="AO15" s="1332"/>
      <c r="AP15" s="1332"/>
      <c r="AQ15" s="1332"/>
      <c r="AR15" s="1332"/>
      <c r="AS15" s="1332"/>
      <c r="AT15" s="1332"/>
      <c r="AU15" s="1332"/>
    </row>
    <row r="16" spans="1:47" ht="15" customHeight="1" thickTop="1" thickBot="1" x14ac:dyDescent="0.3">
      <c r="A16" s="2273" t="s">
        <v>2503</v>
      </c>
      <c r="B16" s="2274"/>
      <c r="C16" s="2275"/>
      <c r="D16" s="2287" t="s">
        <v>7242</v>
      </c>
      <c r="E16" s="2288"/>
      <c r="F16" s="2288"/>
      <c r="G16" s="2289"/>
      <c r="H16" s="2287" t="s">
        <v>3403</v>
      </c>
      <c r="I16" s="2288"/>
      <c r="J16" s="2288"/>
      <c r="K16" s="2288"/>
      <c r="L16" s="2289"/>
      <c r="M16" s="2287" t="s">
        <v>558</v>
      </c>
      <c r="N16" s="2288"/>
      <c r="O16" s="2288"/>
      <c r="P16" s="2288"/>
      <c r="Q16" s="2289"/>
      <c r="R16" s="649" t="s">
        <v>2794</v>
      </c>
      <c r="S16" s="2287" t="s">
        <v>2497</v>
      </c>
      <c r="T16" s="2289"/>
      <c r="U16" s="2287" t="s">
        <v>7542</v>
      </c>
      <c r="V16" s="2288"/>
      <c r="W16" s="2287" t="s">
        <v>7554</v>
      </c>
      <c r="X16" s="2288"/>
      <c r="Y16" s="2291"/>
      <c r="Z16" s="185"/>
      <c r="AA16" s="3"/>
      <c r="AB16" s="2242" t="s">
        <v>403</v>
      </c>
      <c r="AC16" s="2243"/>
      <c r="AD16" s="1287" t="s">
        <v>2503</v>
      </c>
      <c r="AE16" s="1087" t="s">
        <v>3403</v>
      </c>
      <c r="AF16" s="1087" t="s">
        <v>7240</v>
      </c>
      <c r="AG16" s="1335" t="s">
        <v>2497</v>
      </c>
      <c r="AH16" s="78"/>
      <c r="AI16" s="1"/>
      <c r="AJ16" s="1"/>
      <c r="AK16" s="1"/>
      <c r="AL16" s="1332"/>
      <c r="AM16" s="1337" t="s">
        <v>4467</v>
      </c>
      <c r="AN16" s="1337" t="s">
        <v>4468</v>
      </c>
      <c r="AO16" s="1337" t="s">
        <v>4469</v>
      </c>
      <c r="AP16" s="1332"/>
      <c r="AQ16" s="1081" t="s">
        <v>278</v>
      </c>
      <c r="AR16" s="1337" t="s">
        <v>7243</v>
      </c>
      <c r="AS16" s="1081" t="s">
        <v>3403</v>
      </c>
      <c r="AT16" s="1081" t="s">
        <v>280</v>
      </c>
      <c r="AU16" s="1081" t="s">
        <v>2497</v>
      </c>
    </row>
    <row r="17" spans="1:49" ht="15" customHeight="1" x14ac:dyDescent="0.2">
      <c r="A17" s="2246"/>
      <c r="B17" s="2014"/>
      <c r="C17" s="2247"/>
      <c r="D17" s="2201" t="str">
        <f>IF(ISBLANK($A17),"",CONCATENATE($AM17," (",VLOOKUP($AM17,WFBASBE,5,FALSE),")"))</f>
        <v/>
      </c>
      <c r="E17" s="2205"/>
      <c r="F17" s="2205"/>
      <c r="G17" s="2202"/>
      <c r="H17" s="2201" t="str">
        <f>IF(ISBLANK($A17),"",AS17)</f>
        <v/>
      </c>
      <c r="I17" s="2205"/>
      <c r="J17" s="2205"/>
      <c r="K17" s="2205"/>
      <c r="L17" s="2202"/>
      <c r="M17" s="2201" t="str">
        <f>IF(ISBLANK($A17),"",AT17)</f>
        <v/>
      </c>
      <c r="N17" s="2205"/>
      <c r="O17" s="2205"/>
      <c r="P17" s="2205"/>
      <c r="Q17" s="2202"/>
      <c r="R17" s="629" t="str">
        <f>IF(ISBLANK($A17),"",SUM(IF(IF(EXPERTE,EXPBE,BE)&gt;ABS(VLOOKUP($AM17,WFBASBE,5,FALSE)),-IF(EXPERTE,EXPBE,BE)+ABS(VLOOKUP($AM17,WFBASBE,5,FALSE)),0),
IF(VLOOKUP($AM17,Talente!$A$14:$Q$40,16,FALSE)="",FK,VLOOKUP($AM17,Talente!$A$14:$Q$40,16,FALSE)),
IF(NOT(ISERR(FIND($AN17,$A17,1))),2,IF(NOT(ISERR(FIND($AO17,$A17,1))),2,0))
))</f>
        <v/>
      </c>
      <c r="S17" s="2201" t="str">
        <f>IF(ISBLANK($A17),"",LEFT(AU17,LEN(AU17)-2)&amp;IF(VALUE(RIGHT(AU17,2)+AG17)&gt;=0,"+"&amp;VALUE(RIGHT(AU17,2)+AG17),VALUE(RIGHT(AU17,2)+AG17)))&amp;IF(ISBLANK($A17),"",IF(VLOOKUP($AR17,SCHSSWRFALLE,7,FALSE)="JA"," *",""))</f>
        <v/>
      </c>
      <c r="T17" s="2202"/>
      <c r="U17" s="2201" t="str">
        <f>IF(ISBLANK($A17),"",ROUND(VLOOKUP(AR17,SCHSSWRFALLE,6,FALSE)*IF(AND(SF!E123=AM17,AM17="Armbrust",SF!AE123="X"),0.75,1)-IF(AND(SF!E123=AM17,AM17="Bogen",SF!AE123="X"),1,0),0))</f>
        <v/>
      </c>
      <c r="V17" s="2202"/>
      <c r="W17" s="648" t="str">
        <f>IF(NOT(ISBLANK($A17)),20,"")</f>
        <v/>
      </c>
      <c r="X17" s="648"/>
      <c r="Y17" s="647"/>
      <c r="AB17" s="2290"/>
      <c r="AC17" s="2247"/>
      <c r="AD17" s="642"/>
      <c r="AE17" s="605"/>
      <c r="AF17" s="1342"/>
      <c r="AG17" s="653"/>
      <c r="AH17" s="78"/>
      <c r="AI17" s="1"/>
      <c r="AJ17" s="1"/>
      <c r="AK17" s="1"/>
      <c r="AL17" s="1332"/>
      <c r="AM17" s="1337" t="str">
        <f>IF(ISBLANK($A17),"",VLOOKUP(AR17,SCHSSWRFALLE,5,FALSE))</f>
        <v/>
      </c>
      <c r="AN17" s="1337" t="str">
        <f>IF($AM17="","",VLOOKUP($AM17,KPFTALENTE,18,FALSE))</f>
        <v/>
      </c>
      <c r="AO17" s="1337" t="str">
        <f>IF($AM17="","",VLOOKUP($AM17,KPFTALENTE,19,FALSE))</f>
        <v/>
      </c>
      <c r="AP17" s="1332"/>
      <c r="AQ17" s="1081" t="str">
        <f>IF(AB17="",IF(AD17="","",AD17),AB17&amp;" ("&amp;IF(AD17="",AR17,AD17)&amp;")")</f>
        <v/>
      </c>
      <c r="AR17" s="1081" t="str">
        <f>IF(AD17="",IF(A17="","",A17),AD17)</f>
        <v/>
      </c>
      <c r="AS17" s="1081" t="str">
        <f>IF($AR17="","",IF(AE17="",VLOOKUP($AR17,SCHSSWRFALLE,3,FALSE),AE17))</f>
        <v/>
      </c>
      <c r="AT17" s="1081" t="str">
        <f>IF($AR17="","",IF(AF17="",VLOOKUP($AR17,SCHSSWRFALLE,4,FALSE),AF17))</f>
        <v/>
      </c>
      <c r="AU17" s="1081" t="str">
        <f>IF(ISBLANK($A17),"",VLOOKUP($AR17,SCHSSWRFALLE,2,FALSE))</f>
        <v/>
      </c>
    </row>
    <row r="18" spans="1:49" ht="15" customHeight="1" x14ac:dyDescent="0.2">
      <c r="A18" s="2246"/>
      <c r="B18" s="2014"/>
      <c r="C18" s="2247"/>
      <c r="D18" s="2198" t="str">
        <f>IF(ISBLANK($A18),"",CONCATENATE($AM18," (",VLOOKUP($AM18,WFBASBE,5,FALSE),")"))</f>
        <v/>
      </c>
      <c r="E18" s="2199"/>
      <c r="F18" s="2199"/>
      <c r="G18" s="2200"/>
      <c r="H18" s="2198" t="str">
        <f>IF(ISBLANK($A18),"",AS18)</f>
        <v/>
      </c>
      <c r="I18" s="2199"/>
      <c r="J18" s="2199"/>
      <c r="K18" s="2199"/>
      <c r="L18" s="2200"/>
      <c r="M18" s="2198" t="str">
        <f>IF(ISBLANK($A18),"",AT18)</f>
        <v/>
      </c>
      <c r="N18" s="2199"/>
      <c r="O18" s="2199"/>
      <c r="P18" s="2199"/>
      <c r="Q18" s="2200"/>
      <c r="R18" s="630" t="str">
        <f>IF(ISBLANK($A18),"",SUM(IF(IF(EXPERTE,EXPBE,BE)&gt;ABS(VLOOKUP($AM18,WFBASBE,5,FALSE)),-IF(EXPERTE,EXPBE,BE)+ABS(VLOOKUP($AM18,WFBASBE,5,FALSE)),0),
IF(VLOOKUP($AM18,Talente!$A$14:$Q$40,16,FALSE)="",FK,VLOOKUP($AM18,Talente!$A$14:$Q$40,16,FALSE)),
IF(NOT(ISERR(FIND($AN18,$A18,1))),2,IF(NOT(ISERR(FIND($AO18,$A18,1))),2,0))
))</f>
        <v/>
      </c>
      <c r="S18" s="2198" t="str">
        <f>IF(ISBLANK($A18),"",LEFT(AU18,LEN(AU18)-2)&amp;IF(VALUE(RIGHT(AU18,2)+AG18)&gt;=0,"+"&amp;VALUE(RIGHT(AU18,2)+AG18),VALUE(RIGHT(AU18,2)+AG18)))&amp;IF(ISBLANK($A18),"",IF(VLOOKUP($AR18,SCHSSWRFALLE,7,FALSE)="JA"," *",""))</f>
        <v/>
      </c>
      <c r="T18" s="2200"/>
      <c r="U18" s="2198" t="str">
        <f>IF(ISBLANK($A18),"",ROUND(VLOOKUP(AR18,SCHSSWRFALLE,6,FALSE)*IF(AND(SF!E124=AM18,AM18="Armbrust",SF!AE124="X"),0.75,1)-IF(AND(SF!E124=AM18,AM18="Bogen",SF!AE124="X"),1,0),0))</f>
        <v/>
      </c>
      <c r="V18" s="2200"/>
      <c r="W18" s="936" t="str">
        <f>IF(NOT(ISBLANK($A18)),20,"")</f>
        <v/>
      </c>
      <c r="X18" s="936"/>
      <c r="Y18" s="937"/>
      <c r="AB18" s="2246"/>
      <c r="AC18" s="2247"/>
      <c r="AD18" s="642"/>
      <c r="AE18" s="605"/>
      <c r="AF18" s="605"/>
      <c r="AG18" s="653"/>
      <c r="AH18" s="78"/>
      <c r="AI18" s="1"/>
      <c r="AJ18" s="1"/>
      <c r="AK18" s="1"/>
      <c r="AL18" s="1332"/>
      <c r="AM18" s="1337" t="str">
        <f>IF(ISBLANK($A18),"",VLOOKUP(AR18,SCHSSWRFALLE,5,FALSE))</f>
        <v/>
      </c>
      <c r="AN18" s="1337" t="str">
        <f>IF($AM18="","",VLOOKUP($AM18,KPFTALENTE,18,FALSE))</f>
        <v/>
      </c>
      <c r="AO18" s="1337" t="str">
        <f>IF($AM18="","",VLOOKUP($AM18,KPFTALENTE,19,FALSE))</f>
        <v/>
      </c>
      <c r="AP18" s="1332"/>
      <c r="AQ18" s="1081" t="str">
        <f>IF(AB18="",IF(AD18="","",AD18),AB18&amp;" ("&amp;IF(AD18="",AR18,AD18)&amp;")")</f>
        <v/>
      </c>
      <c r="AR18" s="1081" t="str">
        <f>IF(AD18="",IF(A18="","",A18),AD18)</f>
        <v/>
      </c>
      <c r="AS18" s="1081" t="str">
        <f>IF($AR18="","",IF(AE18="",VLOOKUP($AR18,SCHSSWRFALLE,3,FALSE),AE18))</f>
        <v/>
      </c>
      <c r="AT18" s="1081" t="str">
        <f>IF($AR18="","",IF(AF18="",VLOOKUP($AR18,SCHSSWRFALLE,4,FALSE),AF18))</f>
        <v/>
      </c>
      <c r="AU18" s="1081" t="str">
        <f>IF(ISBLANK($A18),"",VLOOKUP($AR18,SCHSSWRFALLE,2,FALSE))</f>
        <v/>
      </c>
    </row>
    <row r="19" spans="1:49" ht="15" customHeight="1" x14ac:dyDescent="0.2">
      <c r="A19" s="2246"/>
      <c r="B19" s="2014"/>
      <c r="C19" s="2247"/>
      <c r="D19" s="2198" t="str">
        <f>IF(ISBLANK($A19),"",CONCATENATE($AM19," (",VLOOKUP($AM19,WFBASBE,5,FALSE),")"))</f>
        <v/>
      </c>
      <c r="E19" s="2199"/>
      <c r="F19" s="2199"/>
      <c r="G19" s="2200"/>
      <c r="H19" s="2198" t="str">
        <f>IF(ISBLANK($A19),"",AS19)</f>
        <v/>
      </c>
      <c r="I19" s="2199"/>
      <c r="J19" s="2199"/>
      <c r="K19" s="2199"/>
      <c r="L19" s="2200"/>
      <c r="M19" s="2198" t="str">
        <f>IF(ISBLANK($A19),"",AT19)</f>
        <v/>
      </c>
      <c r="N19" s="2199"/>
      <c r="O19" s="2199"/>
      <c r="P19" s="2199"/>
      <c r="Q19" s="2200"/>
      <c r="R19" s="630" t="str">
        <f>IF(ISBLANK($A19),"",SUM(IF(IF(EXPERTE,EXPBE,BE)&gt;ABS(VLOOKUP($AM19,WFBASBE,5,FALSE)),-IF(EXPERTE,EXPBE,BE)+ABS(VLOOKUP($AM19,WFBASBE,5,FALSE)),0),
IF(VLOOKUP($AM19,Talente!$A$14:$Q$40,16,FALSE)="",FK,VLOOKUP($AM19,Talente!$A$14:$Q$40,16,FALSE)),
IF(NOT(ISERR(FIND($AN19,$A19,1))),2,IF(NOT(ISERR(FIND($AO19,$A19,1))),2,0))
))</f>
        <v/>
      </c>
      <c r="S19" s="2198" t="str">
        <f>IF(ISBLANK($A19),"",LEFT(AU19,LEN(AU19)-2)&amp;IF(VALUE(RIGHT(AU19,2)+AG19)&gt;=0,"+"&amp;VALUE(RIGHT(AU19,2)+AG19),VALUE(RIGHT(AU19,2)+AG19)))&amp;IF(ISBLANK($A19),"",IF(VLOOKUP($AR19,SCHSSWRFALLE,7,FALSE)="JA"," *",""))</f>
        <v/>
      </c>
      <c r="T19" s="2200"/>
      <c r="U19" s="2198" t="str">
        <f>IF(ISBLANK($A19),"",ROUND(VLOOKUP(AR19,SCHSSWRFALLE,6,FALSE)*IF(AND(SF!E125=AM19,AM19="Armbrust",SF!AE125="X"),0.75,1)-IF(AND(SF!E125=AM19,AM19="Bogen",SF!AE125="X"),1,0),0))</f>
        <v/>
      </c>
      <c r="V19" s="2200"/>
      <c r="W19" s="646" t="str">
        <f>IF(NOT(ISBLANK($A19)),20,"")</f>
        <v/>
      </c>
      <c r="X19" s="646"/>
      <c r="Y19" s="645"/>
      <c r="AB19" s="2246"/>
      <c r="AC19" s="2247"/>
      <c r="AD19" s="642"/>
      <c r="AE19" s="605"/>
      <c r="AF19" s="605"/>
      <c r="AG19" s="653"/>
      <c r="AH19" s="78"/>
      <c r="AI19" s="1"/>
      <c r="AJ19" s="1"/>
      <c r="AK19" s="1"/>
      <c r="AL19" s="1332"/>
      <c r="AM19" s="1337" t="str">
        <f>IF(ISBLANK($A19),"",VLOOKUP(AR19,SCHSSWRFALLE,5,FALSE))</f>
        <v/>
      </c>
      <c r="AN19" s="1337" t="str">
        <f>IF($AM19="","",VLOOKUP($AM19,KPFTALENTE,18,FALSE))</f>
        <v/>
      </c>
      <c r="AO19" s="1337" t="str">
        <f>IF($AM19="","",VLOOKUP($AM19,KPFTALENTE,19,FALSE))</f>
        <v/>
      </c>
      <c r="AP19" s="1332"/>
      <c r="AQ19" s="1081" t="str">
        <f>IF(AB19="",IF(AD19="","",AD19),AB19&amp;" ("&amp;IF(AD19="",AR19,AD19)&amp;")")</f>
        <v/>
      </c>
      <c r="AR19" s="1081" t="str">
        <f>IF(AD19="",IF(A19="","",A19),AD19)</f>
        <v/>
      </c>
      <c r="AS19" s="1081" t="str">
        <f>IF($AR19="","",IF(AE19="",VLOOKUP($AR19,SCHSSWRFALLE,3,FALSE),AE19))</f>
        <v/>
      </c>
      <c r="AT19" s="1081" t="str">
        <f>IF($AR19="","",IF(AF19="",VLOOKUP($AR19,SCHSSWRFALLE,4,FALSE),AF19))</f>
        <v/>
      </c>
      <c r="AU19" s="1081" t="str">
        <f>IF(ISBLANK($A19),"",VLOOKUP($AR19,SCHSSWRFALLE,2,FALSE))</f>
        <v/>
      </c>
    </row>
    <row r="20" spans="1:49" ht="15" customHeight="1" thickBot="1" x14ac:dyDescent="0.25">
      <c r="A20" s="2246"/>
      <c r="B20" s="2014"/>
      <c r="C20" s="2247"/>
      <c r="D20" s="2284" t="str">
        <f>IF(ISBLANK($A20),"",CONCATENATE($AM20," (",VLOOKUP($AM20,WFBASBE,5,FALSE),")"))</f>
        <v/>
      </c>
      <c r="E20" s="2285"/>
      <c r="F20" s="2285"/>
      <c r="G20" s="2286"/>
      <c r="H20" s="2284" t="str">
        <f>IF(ISBLANK($A20),"",AS20)</f>
        <v/>
      </c>
      <c r="I20" s="2285"/>
      <c r="J20" s="2285"/>
      <c r="K20" s="2285"/>
      <c r="L20" s="2286"/>
      <c r="M20" s="2284" t="str">
        <f>IF(ISBLANK($A20),"",AT20)</f>
        <v/>
      </c>
      <c r="N20" s="2285"/>
      <c r="O20" s="2285"/>
      <c r="P20" s="2285"/>
      <c r="Q20" s="2286"/>
      <c r="R20" s="631" t="str">
        <f>IF(ISBLANK($A20),"",SUM(IF(IF(EXPERTE,EXPBE,BE)&gt;ABS(VLOOKUP($AM20,WFBASBE,5,FALSE)),-IF(EXPERTE,EXPBE,BE)+ABS(VLOOKUP($AM20,WFBASBE,5,FALSE)),0),
IF(VLOOKUP($AM20,Talente!$A$14:$Q$40,16,FALSE)="",FK,VLOOKUP($AM20,Talente!$A$14:$Q$40,16,FALSE)),
IF(NOT(ISERR(FIND($AN20,$A20,1))),2,IF(NOT(ISERR(FIND($AO20,$A20,1))),2,0))
))</f>
        <v/>
      </c>
      <c r="S20" s="2284" t="str">
        <f>IF(ISBLANK($A20),"",LEFT(AU20,LEN(AU20)-2)&amp;IF(VALUE(RIGHT(AU20,2)+AG20)&gt;=0,"+"&amp;VALUE(RIGHT(AU20,2)+AG20),VALUE(RIGHT(AU20,2)+AG20)))&amp;IF(ISBLANK($A20),"",IF(VLOOKUP($AR20,SCHSSWRFALLE,7,FALSE)="JA"," *",""))</f>
        <v/>
      </c>
      <c r="T20" s="2286"/>
      <c r="U20" s="2284" t="str">
        <f>IF(ISBLANK($A20),"",ROUND(VLOOKUP(AR20,SCHSSWRFALLE,6,FALSE)*IF(AND(SF!E126=AM20,AM20="Armbrust",SF!AE126="X"),0.75,1)-IF(AND(SF!E126=AM20,AM20="Bogen",SF!AE126="X"),1,0),0))</f>
        <v/>
      </c>
      <c r="V20" s="2286"/>
      <c r="W20" s="644" t="str">
        <f>IF(NOT(ISBLANK($A20)),20,"")</f>
        <v/>
      </c>
      <c r="X20" s="644"/>
      <c r="Y20" s="643"/>
      <c r="AA20" s="184"/>
      <c r="AB20" s="2343"/>
      <c r="AC20" s="2241"/>
      <c r="AD20" s="711"/>
      <c r="AE20" s="710"/>
      <c r="AF20" s="710"/>
      <c r="AG20" s="709"/>
      <c r="AH20" s="78"/>
      <c r="AI20" s="1"/>
      <c r="AJ20" s="1"/>
      <c r="AK20" s="1"/>
      <c r="AL20" s="1332"/>
      <c r="AM20" s="1337" t="str">
        <f>IF(ISBLANK($A20),"",VLOOKUP(AR20,SCHSSWRFALLE,5,FALSE))</f>
        <v/>
      </c>
      <c r="AN20" s="1337" t="str">
        <f>IF($AM20="","",VLOOKUP($AM20,KPFTALENTE,18,FALSE))</f>
        <v/>
      </c>
      <c r="AO20" s="1337" t="str">
        <f>IF($AM20="","",VLOOKUP($AM20,KPFTALENTE,19,FALSE))</f>
        <v/>
      </c>
      <c r="AP20" s="1332"/>
      <c r="AQ20" s="1081" t="str">
        <f>IF(AB20="",IF(AD20="","",AD20),AB20&amp;" ("&amp;IF(AD20="",AR20,AD20)&amp;")")</f>
        <v/>
      </c>
      <c r="AR20" s="1081" t="str">
        <f>IF(AD20="",IF(A20="","",A20),AD20)</f>
        <v/>
      </c>
      <c r="AS20" s="1081" t="str">
        <f>IF($AR20="","",IF(AE20="",VLOOKUP($AR20,SCHSSWRFALLE,3,FALSE),AE20))</f>
        <v/>
      </c>
      <c r="AT20" s="1081" t="str">
        <f>IF($AR20="","",IF(AF20="",VLOOKUP($AR20,SCHSSWRFALLE,4,FALSE),AF20))</f>
        <v/>
      </c>
      <c r="AU20" s="1081" t="str">
        <f>IF(ISBLANK($A20),"",VLOOKUP($AR20,SCHSSWRFALLE,2,FALSE))</f>
        <v/>
      </c>
    </row>
    <row r="21" spans="1:49" ht="15" customHeight="1" x14ac:dyDescent="0.2">
      <c r="A21" s="2277" t="str">
        <f ca="1">"Fernkampf-SF: " &amp; SF!$AQ$151</f>
        <v xml:space="preserve">Fernkampf-SF: </v>
      </c>
      <c r="B21" s="2278"/>
      <c r="C21" s="2278"/>
      <c r="D21" s="2278"/>
      <c r="E21" s="2278"/>
      <c r="F21" s="2278"/>
      <c r="G21" s="2278"/>
      <c r="H21" s="2278"/>
      <c r="I21" s="2278"/>
      <c r="J21" s="2278"/>
      <c r="K21" s="2278"/>
      <c r="L21" s="2278"/>
      <c r="M21" s="2278"/>
      <c r="N21" s="2278"/>
      <c r="O21" s="2278"/>
      <c r="P21" s="2278"/>
      <c r="Q21" s="2278"/>
      <c r="R21" s="2278"/>
      <c r="S21" s="2278"/>
      <c r="T21" s="2278"/>
      <c r="U21" s="2278"/>
      <c r="V21" s="2278"/>
      <c r="W21" s="2278"/>
      <c r="X21" s="2278"/>
      <c r="Y21" s="2279"/>
      <c r="Z21" s="186"/>
      <c r="AA21" s="5"/>
      <c r="AB21" s="1"/>
      <c r="AC21" s="1"/>
      <c r="AI21" s="1"/>
      <c r="AJ21" s="1"/>
      <c r="AK21" s="1"/>
      <c r="AL21" s="1332"/>
      <c r="AM21" s="1332"/>
      <c r="AN21" s="1332"/>
      <c r="AO21" s="1332"/>
      <c r="AP21" s="1332"/>
      <c r="AQ21" s="1332"/>
      <c r="AR21" s="1332"/>
      <c r="AS21" s="1332"/>
      <c r="AT21" s="1332"/>
      <c r="AU21" s="1332"/>
    </row>
    <row r="22" spans="1:49" ht="15" customHeight="1" thickBot="1" x14ac:dyDescent="0.25">
      <c r="A22" s="2280"/>
      <c r="B22" s="2281"/>
      <c r="C22" s="2281"/>
      <c r="D22" s="2281"/>
      <c r="E22" s="2281"/>
      <c r="F22" s="2281"/>
      <c r="G22" s="2281"/>
      <c r="H22" s="2281"/>
      <c r="I22" s="2281"/>
      <c r="J22" s="2281"/>
      <c r="K22" s="2281"/>
      <c r="L22" s="2281"/>
      <c r="M22" s="2281"/>
      <c r="N22" s="2281"/>
      <c r="O22" s="2281"/>
      <c r="P22" s="2281"/>
      <c r="Q22" s="2281"/>
      <c r="R22" s="2281"/>
      <c r="S22" s="2281"/>
      <c r="T22" s="2281"/>
      <c r="U22" s="2281"/>
      <c r="V22" s="2281"/>
      <c r="W22" s="2281"/>
      <c r="X22" s="2281"/>
      <c r="Y22" s="2282"/>
      <c r="AB22" s="1"/>
      <c r="AC22" s="1"/>
      <c r="AD22" s="1"/>
      <c r="AE22" s="1"/>
      <c r="AF22" s="1"/>
      <c r="AG22" s="1"/>
      <c r="AH22" s="1"/>
      <c r="AI22" s="1"/>
      <c r="AJ22" s="1"/>
      <c r="AK22" s="1"/>
    </row>
    <row r="23" spans="1:49" ht="11.25" customHeight="1" thickTop="1" thickBot="1" x14ac:dyDescent="0.25">
      <c r="A23" s="47"/>
      <c r="B23" s="47"/>
      <c r="C23" s="47"/>
      <c r="D23" s="47"/>
      <c r="E23" s="47"/>
      <c r="F23" s="47"/>
      <c r="G23" s="47"/>
      <c r="H23" s="47"/>
      <c r="I23" s="47"/>
      <c r="J23" s="47"/>
      <c r="K23" s="47"/>
      <c r="L23" s="47"/>
      <c r="M23" s="47"/>
      <c r="N23" s="47"/>
      <c r="O23" s="47"/>
      <c r="P23" s="47"/>
      <c r="Q23" s="47"/>
      <c r="R23" s="1088"/>
      <c r="S23" s="47"/>
      <c r="T23" s="47"/>
      <c r="U23" s="47"/>
      <c r="V23" s="47"/>
      <c r="W23" s="47"/>
      <c r="X23" s="47"/>
      <c r="Y23" s="47"/>
      <c r="AB23" t="s">
        <v>7248</v>
      </c>
      <c r="AJ23" s="1"/>
      <c r="AK23" s="1"/>
      <c r="AL23" s="1332"/>
      <c r="AM23" s="1332"/>
      <c r="AN23" s="1332"/>
      <c r="AO23" s="1332"/>
      <c r="AP23" s="1332"/>
      <c r="AQ23" s="1332"/>
      <c r="AR23" s="1332"/>
      <c r="AS23" s="1332"/>
      <c r="AT23" s="1332"/>
      <c r="AU23" s="1332"/>
      <c r="AV23" s="1332"/>
      <c r="AW23" s="1332"/>
    </row>
    <row r="24" spans="1:49" ht="15" customHeight="1" thickTop="1" thickBot="1" x14ac:dyDescent="0.3">
      <c r="A24" s="742" t="s">
        <v>401</v>
      </c>
      <c r="B24" s="741"/>
      <c r="C24" s="2347" t="s">
        <v>669</v>
      </c>
      <c r="D24" s="2348"/>
      <c r="E24" s="2349"/>
      <c r="F24" s="2208" t="s">
        <v>2498</v>
      </c>
      <c r="G24" s="2276"/>
      <c r="H24" s="649" t="s">
        <v>2499</v>
      </c>
      <c r="I24" s="2283" t="s">
        <v>716</v>
      </c>
      <c r="J24" s="2208"/>
      <c r="K24" s="2276"/>
      <c r="L24" s="2283" t="s">
        <v>717</v>
      </c>
      <c r="M24" s="2276"/>
      <c r="N24" s="2208" t="s">
        <v>402</v>
      </c>
      <c r="O24" s="2208"/>
      <c r="P24" s="2209"/>
      <c r="Q24" s="185"/>
      <c r="R24" s="1290">
        <f>SUM(IF(ISBLANK($A38),0,VLOOKUP($A38,RSTNGALLE,2,FALSE)),IF(ISBLANK($A39),0,VLOOKUP($A39,RSTNGALLE,2,FALSE)),IF(ISBLANK($A40),0,VLOOKUP($A40,RSTNGALLE,2,FALSE)),IF(ISBLANK($A41),0,VLOOKUP($A41,RSTNGALLE,2,FALSE)),IF(ISBLANK($A42),0,VLOOKUP($A42,RSTNGALLE,2,FALSE)))</f>
        <v>0</v>
      </c>
      <c r="S24" s="1303"/>
      <c r="T24" s="1303"/>
      <c r="U24" s="1290"/>
      <c r="V24" s="185"/>
      <c r="W24" s="185"/>
      <c r="X24" s="185"/>
      <c r="Y24" s="185"/>
      <c r="Z24" s="185"/>
      <c r="AA24" s="312"/>
      <c r="AB24" s="2242" t="s">
        <v>403</v>
      </c>
      <c r="AC24" s="2243"/>
      <c r="AD24" s="1287" t="s">
        <v>7251</v>
      </c>
      <c r="AE24" s="1087" t="s">
        <v>2185</v>
      </c>
      <c r="AF24" s="1087" t="s">
        <v>711</v>
      </c>
      <c r="AG24" s="1087" t="s">
        <v>2499</v>
      </c>
      <c r="AH24" s="1335" t="s">
        <v>2497</v>
      </c>
      <c r="AI24" s="3"/>
      <c r="AJ24" s="1"/>
      <c r="AK24" s="1"/>
      <c r="AL24" s="1332"/>
      <c r="AM24" s="1081" t="s">
        <v>39</v>
      </c>
      <c r="AN24" s="1081" t="s">
        <v>40</v>
      </c>
      <c r="AO24" s="154" t="s">
        <v>41</v>
      </c>
      <c r="AP24" s="154"/>
      <c r="AQ24" s="154" t="s">
        <v>716</v>
      </c>
      <c r="AR24" s="154" t="s">
        <v>717</v>
      </c>
      <c r="AS24" s="1332"/>
      <c r="AT24" s="154" t="s">
        <v>278</v>
      </c>
      <c r="AU24" s="154" t="s">
        <v>4804</v>
      </c>
      <c r="AV24" s="154" t="s">
        <v>2499</v>
      </c>
      <c r="AW24" s="1332"/>
    </row>
    <row r="25" spans="1:49" ht="15" customHeight="1" x14ac:dyDescent="0.2">
      <c r="A25" s="2337"/>
      <c r="B25" s="2338"/>
      <c r="C25" s="2345"/>
      <c r="D25" s="2345"/>
      <c r="E25" s="2345"/>
      <c r="F25" s="2206" t="str">
        <f>IF(ISBLANK($A25),"",VLOOKUP($AU25,HNDMENALLE,3,FALSE))</f>
        <v/>
      </c>
      <c r="G25" s="2207"/>
      <c r="H25" s="1363" t="str">
        <f>IF(ISBLANK($A25),"",AV25)</f>
        <v/>
      </c>
      <c r="I25" s="2206" t="str">
        <f>IF(OR(A25="",$C25=""),"",IF($AO25,$AQ$25,$AQ$26)+AM25)</f>
        <v/>
      </c>
      <c r="J25" s="2210"/>
      <c r="K25" s="2207"/>
      <c r="L25" s="2206" t="str">
        <f>IF(OR(A25="",$C25=""),"",IF($AO25,$AR$25,$AR$26)+AN25)</f>
        <v/>
      </c>
      <c r="M25" s="2207"/>
      <c r="N25" s="2206" t="str">
        <f>IF($A25="","",IF(LEN(VLOOKUP($AU25,HNDMENALLE,2,FALSE))&gt;2,REPLACE(VLOOKUP($AU25,HNDMENALLE,2,FALSE),4,1,IF(KK&gt;=SUM(VALUE(LEFT($F25,2)),VALUE(RIGHT($F25))),ROUNDDOWN((KK-VALUE(LEFT($F25,2)))/VALUE(RIGHT($F25)),0),0)+VALUE(MID(VLOOKUP($AU25,HNDMENALLE,2,FALSE),3,2))+VALUE(AH25)),CONCATENATE(VLOOKUP($AU25,HNDMENALLE,2,FALSE),"+",IF(KK&gt;=SUM(VALUE(LEFT($F25,2)),VALUE(RIGHT($F25))),ROUNDDOWN((KK-VALUE(LEFT($F25,2)))/VALUE(RIGHT($F25))+VALUE(AH25),0),0))))</f>
        <v/>
      </c>
      <c r="O25" s="2210"/>
      <c r="P25" s="2211"/>
      <c r="Q25" s="47"/>
      <c r="R25" s="1290">
        <f>SUM(IF(ISBLANK($A38),0,VLOOKUP($A38,RSTNGALLE,3,FALSE)),IF(ISBLANK($A39),0,VLOOKUP($A39,RSTNGALLE,3,FALSE)),IF(ISBLANK($A40),0,VLOOKUP($A40,RSTNGALLE,3,FALSE)),IF(ISBLANK($A41),0,VLOOKUP($A41,RSTNGALLE,3,FALSE)),IF(ISBLANK($A42),0,VLOOKUP($A42,RSTNGALLE,3,FALSE)))</f>
        <v>0</v>
      </c>
      <c r="S25" s="1290"/>
      <c r="T25" s="1290"/>
      <c r="U25" s="1290"/>
      <c r="V25" s="47"/>
      <c r="W25" s="47"/>
      <c r="X25" s="47"/>
      <c r="Y25" s="47"/>
      <c r="AA25" s="312"/>
      <c r="AB25" s="2290"/>
      <c r="AC25" s="2247"/>
      <c r="AD25" s="642"/>
      <c r="AE25" s="605"/>
      <c r="AF25" s="605"/>
      <c r="AG25" s="605"/>
      <c r="AH25" s="653"/>
      <c r="AJ25" s="1"/>
      <c r="AK25" s="1"/>
      <c r="AL25" s="1332"/>
      <c r="AM25" s="1081" t="str">
        <f>IF($A25="","",IF(VLOOKUP($AU25,HNDMENALLE,4,FALSE)="Schild",IF(AM33="",0,AM33),LEFT(VLOOKUP($AU25,HNDMENALLE,4,FALSE),FIND("/",VLOOKUP($AU25,HNDMENALLE,4,FALSE))-1))+AE25)</f>
        <v/>
      </c>
      <c r="AN25" s="1081" t="str">
        <f>IF($A25="","",IF(VLOOKUP($AU25,HNDMENALLE,4,FALSE)="Schild",IF(AN33="",0,AN33),RIGHT(VLOOKUP($AU25,HNDMENALLE,4,FALSE),LEN(VLOOKUP($AU25,HNDMENALLE,4,FALSE))-FIND("/",VLOOKUP($AU25,HNDMENALLE,4,FALSE))))+AF25)</f>
        <v/>
      </c>
      <c r="AO25" s="154" t="b">
        <f>IF(C25="Ringen",TRUE,FALSE)</f>
        <v>0</v>
      </c>
      <c r="AP25" s="154" t="s">
        <v>1528</v>
      </c>
      <c r="AQ25" s="154">
        <f>IF(AT_RINGEN="",0,AT_RINGEN+AQ30)</f>
        <v>0</v>
      </c>
      <c r="AR25" s="154">
        <f>IF(PA_RINGEN="",0,PA_RINGEN+AQ30)</f>
        <v>0</v>
      </c>
      <c r="AS25" s="1332"/>
      <c r="AT25" s="154" t="str">
        <f>IF(AB25="",IF(AD25="","",AD25),AB25&amp;" ("&amp;IF(AD25="",AU25,AD25)&amp;")")</f>
        <v/>
      </c>
      <c r="AU25" s="154" t="str">
        <f>IF(AD25="",IF(A25="","",A25),AD25)</f>
        <v/>
      </c>
      <c r="AV25" s="154" t="str">
        <f>IF(AU25="","",VALUE(IF(VLOOKUP($AU25,HNDMENALLE,5,FALSE)="Schild",IF(AV33="",0,AV33),VLOOKUP($AU25,HNDMENALLE,5,FALSE))+AG25))</f>
        <v/>
      </c>
      <c r="AW25" s="1332"/>
    </row>
    <row r="26" spans="1:49" ht="15" customHeight="1" thickBot="1" x14ac:dyDescent="0.25">
      <c r="A26" s="2350"/>
      <c r="B26" s="2351"/>
      <c r="C26" s="2344"/>
      <c r="D26" s="2344"/>
      <c r="E26" s="2344"/>
      <c r="F26" s="2339" t="str">
        <f>IF(ISBLANK($A26),"",VLOOKUP($AU26,HNDMENALLE,3,FALSE))</f>
        <v/>
      </c>
      <c r="G26" s="2339"/>
      <c r="H26" s="1359" t="str">
        <f>IF(ISBLANK($A26),"",AV26)</f>
        <v/>
      </c>
      <c r="I26" s="2212" t="str">
        <f>IF(OR(A26="",$C26=""),"",IF($AO26,$AQ$25,$AQ$26)+AM26)</f>
        <v/>
      </c>
      <c r="J26" s="2213"/>
      <c r="K26" s="2214"/>
      <c r="L26" s="2339" t="str">
        <f>IF(OR(A26="",$C26=""),"",IF($AO26,$AR$25,$AR$26)+AN26)</f>
        <v/>
      </c>
      <c r="M26" s="2339"/>
      <c r="N26" s="2339" t="str">
        <f>IF($A26="","",IF(LEN(VLOOKUP($AU26,HNDMENALLE,2,FALSE))&gt;2,REPLACE(VLOOKUP($AU26,HNDMENALLE,2,FALSE),4,1,IF(KK&gt;=SUM(VALUE(LEFT($F26,2)),VALUE(RIGHT($F26))),ROUNDDOWN((KK-VALUE(LEFT($F26,2)))/VALUE(RIGHT($F26)),0),0)+VALUE(MID(VLOOKUP($AU26,HNDMENALLE,2,FALSE),3,2))+VALUE(AH26)),CONCATENATE(VLOOKUP($AU26,HNDMENALLE,2,FALSE),"+",IF(KK&gt;=SUM(VALUE(LEFT($F26,2)),VALUE(RIGHT($F26))),ROUNDDOWN((KK-VALUE(LEFT($F26,2)))/VALUE(RIGHT($F26))+VALUE(AH26),0),0))))</f>
        <v/>
      </c>
      <c r="O26" s="2339"/>
      <c r="P26" s="2346"/>
      <c r="Q26" s="47"/>
      <c r="R26" s="1290">
        <f>SUM(IF(ISBLANK($A38),0,VLOOKUP($A38,RSTNGALLE,4,FALSE)),IF(ISBLANK($A39),0,VLOOKUP($A39,RSTNGALLE,4,FALSE)),IF(ISBLANK($A40),0,VLOOKUP($A40,RSTNGALLE,4,FALSE)),IF(ISBLANK($A41),0,VLOOKUP($A41,RSTNGALLE,4,FALSE)),IF(ISBLANK($A42),0,VLOOKUP($A42,RSTNGALLE,4,FALSE)))</f>
        <v>0</v>
      </c>
      <c r="S26" s="1290"/>
      <c r="T26" s="1290"/>
      <c r="U26" s="1290"/>
      <c r="V26" s="47"/>
      <c r="W26" s="47"/>
      <c r="X26" s="47"/>
      <c r="Y26" s="47"/>
      <c r="AA26" s="312"/>
      <c r="AB26" s="2240"/>
      <c r="AC26" s="2241"/>
      <c r="AD26" s="710"/>
      <c r="AE26" s="710"/>
      <c r="AF26" s="710"/>
      <c r="AG26" s="710"/>
      <c r="AH26" s="709"/>
      <c r="AJ26" s="1"/>
      <c r="AK26" s="1"/>
      <c r="AL26" s="1332"/>
      <c r="AM26" s="1081" t="str">
        <f>IF($A26="","",IF(VLOOKUP($AU26,HNDMENALLE,4,FALSE)="Schild",IF(AM34="",0,AM34),LEFT(VLOOKUP($AU26,HNDMENALLE,4,FALSE),FIND("/",VLOOKUP($AU26,HNDMENALLE,4,FALSE))-1))+AE26)</f>
        <v/>
      </c>
      <c r="AN26" s="1081" t="str">
        <f>IF($A26="","",IF(VLOOKUP($AU26,HNDMENALLE,4,FALSE)="Schild",IF(AN34="",0,AN34),RIGHT(VLOOKUP($AU26,HNDMENALLE,4,FALSE),LEN(VLOOKUP($AU26,HNDMENALLE,4,FALSE))-FIND("/",VLOOKUP($AU26,HNDMENALLE,4,FALSE))))+AF26)</f>
        <v/>
      </c>
      <c r="AO26" s="154" t="b">
        <f>IF(C26="Ringen",TRUE,FALSE)</f>
        <v>0</v>
      </c>
      <c r="AP26" s="154" t="s">
        <v>2191</v>
      </c>
      <c r="AQ26" s="154">
        <f ca="1">IF(AT_RAUFEN="",0,AT_RAUFEN)+AQ31</f>
        <v>0</v>
      </c>
      <c r="AR26" s="154">
        <f ca="1">IF(PA_RAUFEN="",0,PA_RAUFEN)+AQ31</f>
        <v>0</v>
      </c>
      <c r="AS26" s="1332"/>
      <c r="AT26" s="154" t="str">
        <f>IF(AB26="",IF(AD26="","",AD26),AB26&amp;" ("&amp;IF(AD26="",AU26,AD26)&amp;")")</f>
        <v/>
      </c>
      <c r="AU26" s="154" t="str">
        <f>IF(AD26="",IF(A26="","",A26),AD26)</f>
        <v/>
      </c>
      <c r="AV26" s="154" t="str">
        <f>IF(AU26="","",VALUE(IF(VLOOKUP($AU26,HNDMENALLE,5,FALSE)="Schild",IF(AV34="",0,AV34),VLOOKUP($AU26,HNDMENALLE,5,FALSE))+AG26))</f>
        <v/>
      </c>
      <c r="AW26" s="1332"/>
    </row>
    <row r="27" spans="1:49" ht="15" customHeight="1" x14ac:dyDescent="0.2">
      <c r="A27" s="2277" t="str">
        <f ca="1">"Waffenlose-SF: " &amp; SF!$AQ$152</f>
        <v xml:space="preserve">Waffenlose-SF: </v>
      </c>
      <c r="B27" s="2278"/>
      <c r="C27" s="2278"/>
      <c r="D27" s="2278"/>
      <c r="E27" s="2278"/>
      <c r="F27" s="2278"/>
      <c r="G27" s="2278"/>
      <c r="H27" s="2278"/>
      <c r="I27" s="2278"/>
      <c r="J27" s="2278"/>
      <c r="K27" s="2278"/>
      <c r="L27" s="2278"/>
      <c r="M27" s="2278"/>
      <c r="N27" s="2278"/>
      <c r="O27" s="2278"/>
      <c r="P27" s="2279"/>
      <c r="Q27" s="47"/>
      <c r="R27" s="1290">
        <f>SUM(IF(ISBLANK($A38),0,VLOOKUP($A38,RSTNGALLE,5,FALSE)),IF(ISBLANK($A39),0,VLOOKUP($A39,RSTNGALLE,5,FALSE)),IF(ISBLANK($A40),0,VLOOKUP($A40,RSTNGALLE,5,FALSE)),IF(ISBLANK($A41),0,VLOOKUP($A41,RSTNGALLE,5,FALSE)),IF(ISBLANK($A42),0,VLOOKUP($A42,RSTNGALLE,5,FALSE)))</f>
        <v>0</v>
      </c>
      <c r="S27" s="1290"/>
      <c r="T27" s="1290"/>
      <c r="U27" s="1290"/>
      <c r="V27" s="47"/>
      <c r="W27" s="47"/>
      <c r="X27" s="47"/>
      <c r="Y27" s="47"/>
      <c r="AJ27" s="1"/>
      <c r="AK27" s="1"/>
      <c r="AL27" s="1332"/>
      <c r="AO27" s="154"/>
      <c r="AQ27" s="154"/>
      <c r="AR27" s="154"/>
      <c r="AS27" s="1332"/>
      <c r="AT27" s="154"/>
      <c r="AU27" s="154"/>
      <c r="AV27" s="154"/>
      <c r="AW27" s="1332"/>
    </row>
    <row r="28" spans="1:49" ht="15" customHeight="1" x14ac:dyDescent="0.2">
      <c r="A28" s="2340"/>
      <c r="B28" s="2341"/>
      <c r="C28" s="2341"/>
      <c r="D28" s="2341"/>
      <c r="E28" s="2341"/>
      <c r="F28" s="2341"/>
      <c r="G28" s="2341"/>
      <c r="H28" s="2341"/>
      <c r="I28" s="2341"/>
      <c r="J28" s="2341"/>
      <c r="K28" s="2341"/>
      <c r="L28" s="2341"/>
      <c r="M28" s="2341"/>
      <c r="N28" s="2341"/>
      <c r="O28" s="2341"/>
      <c r="P28" s="2342"/>
      <c r="R28" s="1304">
        <f>SUM(IF(ISBLANK($A38),0,VLOOKUP($A38,RSTNGALLE,6,FALSE)),IF(ISBLANK($A39),0,VLOOKUP($A39,RSTNGALLE,6,FALSE)),IF(ISBLANK($A40),0,VLOOKUP($A40,RSTNGALLE,6,FALSE)),IF(ISBLANK($A41),0,VLOOKUP($A41,RSTNGALLE,6,FALSE)),IF(ISBLANK($A42),0,VLOOKUP($A42,RSTNGALLE,6,FALSE)))</f>
        <v>0</v>
      </c>
      <c r="S28" s="1304"/>
      <c r="T28" s="1304"/>
      <c r="U28" s="1304"/>
      <c r="AJ28" s="1"/>
      <c r="AK28" s="1"/>
      <c r="AL28" s="1332"/>
      <c r="AM28" s="154">
        <f ca="1">IF(EXPERTE,EXPBE,BE)</f>
        <v>0</v>
      </c>
      <c r="AN28" s="154" t="str">
        <f ca="1">IF(SUM(TAW_AKROBATIK,1)&gt;12,INT((TAW_AKROBATIK-9)/3),"")</f>
        <v/>
      </c>
      <c r="AO28" s="154"/>
      <c r="AP28" s="154"/>
      <c r="AQ28" s="154"/>
      <c r="AR28" s="154"/>
      <c r="AS28" s="1332"/>
      <c r="AT28" s="154"/>
      <c r="AU28" s="154"/>
      <c r="AV28" s="154"/>
      <c r="AW28" s="1332"/>
    </row>
    <row r="29" spans="1:49" ht="28.5" customHeight="1" thickBot="1" x14ac:dyDescent="0.25">
      <c r="A29" s="2280"/>
      <c r="B29" s="2281"/>
      <c r="C29" s="2281"/>
      <c r="D29" s="2281"/>
      <c r="E29" s="2281"/>
      <c r="F29" s="2281"/>
      <c r="G29" s="2281"/>
      <c r="H29" s="2281"/>
      <c r="I29" s="2281"/>
      <c r="J29" s="2281"/>
      <c r="K29" s="2281"/>
      <c r="L29" s="2281"/>
      <c r="M29" s="2281"/>
      <c r="N29" s="2281"/>
      <c r="O29" s="2281"/>
      <c r="P29" s="2282"/>
      <c r="Q29" s="47"/>
      <c r="R29" s="1290">
        <f>SUM(IF(ISBLANK($A38),0,VLOOKUP($A38,RSTNGALLE,7,FALSE)),IF(ISBLANK($A39),0,VLOOKUP($A39,RSTNGALLE,7,FALSE)),IF(ISBLANK($A40),0,VLOOKUP($A40,RSTNGALLE,7,FALSE)),IF(ISBLANK($A41),0,VLOOKUP($A41,RSTNGALLE,7,FALSE)),IF(ISBLANK($A42),0,VLOOKUP($A42,RSTNGALLE,7,FALSE)))</f>
        <v>0</v>
      </c>
      <c r="S29" s="47"/>
      <c r="T29" s="47"/>
      <c r="U29" s="47"/>
      <c r="V29" s="47"/>
      <c r="W29" s="47"/>
      <c r="X29" s="47"/>
      <c r="Y29" s="47"/>
      <c r="AJ29" s="1"/>
      <c r="AK29" s="1"/>
      <c r="AL29" s="1332"/>
      <c r="AM29" s="154">
        <f ca="1">SUM(PA,IF(VT_FLINK,VT_FLINK_WERT,0),IF(NT_BEHÄBIG,-1,0))</f>
        <v>5</v>
      </c>
      <c r="AN29" s="154"/>
      <c r="AO29" s="154"/>
      <c r="AP29" s="154"/>
      <c r="AQ29" s="154" t="s">
        <v>37</v>
      </c>
      <c r="AR29" s="154" t="s">
        <v>38</v>
      </c>
      <c r="AS29" s="1332"/>
      <c r="AT29" s="154"/>
      <c r="AU29" s="154"/>
      <c r="AV29" s="154"/>
      <c r="AW29" s="1332"/>
    </row>
    <row r="30" spans="1:49" ht="15" customHeight="1" thickTop="1" thickBot="1" x14ac:dyDescent="0.25">
      <c r="A30" s="743" t="s">
        <v>667</v>
      </c>
      <c r="B30" s="744"/>
      <c r="C30" s="744" t="str">
        <f ca="1">AQ26&amp;" / "&amp;AR26</f>
        <v>0 / 0</v>
      </c>
      <c r="D30" s="744"/>
      <c r="E30" s="744"/>
      <c r="F30" s="744"/>
      <c r="G30" s="743" t="s">
        <v>668</v>
      </c>
      <c r="H30" s="744"/>
      <c r="I30" s="744"/>
      <c r="J30" s="744"/>
      <c r="K30" s="744"/>
      <c r="L30" s="744"/>
      <c r="M30" s="744" t="str">
        <f>IF(AND(AQ25=0,AR25=0),"nicht aktiv.",AQ25&amp;" / "&amp;AR25)</f>
        <v>nicht aktiv.</v>
      </c>
      <c r="N30" s="744"/>
      <c r="O30" s="744"/>
      <c r="P30" s="745"/>
      <c r="Q30" s="47"/>
      <c r="R30" s="1290"/>
      <c r="S30" s="47"/>
      <c r="T30" s="47"/>
      <c r="U30" s="47"/>
      <c r="V30" s="47"/>
      <c r="W30" s="47"/>
      <c r="X30" s="47"/>
      <c r="Y30" s="47"/>
      <c r="AJ30" s="1"/>
      <c r="AK30" s="1"/>
      <c r="AL30" s="1332"/>
      <c r="AM30" s="154" t="str">
        <f ca="1">"Wundschwelle: "&amp;$AN$30</f>
        <v>Wundschwelle: 4</v>
      </c>
      <c r="AN30" s="154">
        <f ca="1">ROUND(SUM(KO/2,IF(VT_EISERN,2,0),IF(NT_GLASKNOCHEN,-2,0)),0)</f>
        <v>4</v>
      </c>
      <c r="AO30" s="154"/>
      <c r="AP30" s="154" t="s">
        <v>1528</v>
      </c>
      <c r="AQ30" s="154">
        <f ca="1">IF(AKTIV_WLOSBORN="X",IF(AKTIV_WLOSUNAU="X",2,IF(AR30=1,2,1)),IF(AR30=1,IF(AKTIV_WLOSUNAU="X",2,1),IF(AKTIV_WLOSUNAU="X",1,0)))</f>
        <v>0</v>
      </c>
      <c r="AR30" s="154">
        <f ca="1">IF(AKTIV_WLOSGLADIATOR="",0,1-AR31)</f>
        <v>0</v>
      </c>
      <c r="AS30" s="1332"/>
      <c r="AT30" s="154"/>
      <c r="AU30" s="154"/>
      <c r="AV30" s="154"/>
      <c r="AW30" s="1332"/>
    </row>
    <row r="31" spans="1:49" ht="26.25" customHeight="1" thickTop="1" thickBot="1" x14ac:dyDescent="0.25">
      <c r="A31" s="47"/>
      <c r="B31" s="47"/>
      <c r="C31" s="47"/>
      <c r="D31" s="68"/>
      <c r="E31" s="68"/>
      <c r="F31" s="68"/>
      <c r="G31" s="68"/>
      <c r="H31" s="68"/>
      <c r="I31" s="68"/>
      <c r="J31" s="68"/>
      <c r="K31" s="47"/>
      <c r="L31" s="47"/>
      <c r="M31" s="47"/>
      <c r="N31" s="47"/>
      <c r="O31" s="47"/>
      <c r="Q31" s="47"/>
      <c r="R31" s="1290">
        <f>SUM(IF(ISBLANK($A38),0,VLOOKUP($A38,RSTNGALLE,8,FALSE)),IF(ISBLANK($A39),0,VLOOKUP($A39,RSTNGALLE,8,FALSE)),IF(ISBLANK($A40),0,VLOOKUP($A40,RSTNGALLE,8,FALSE)),IF(ISBLANK($A41),0,VLOOKUP($A41,RSTNGALLE,8,FALSE)),IF(ISBLANK($A42),0,VLOOKUP($A42,RSTNGALLE,8,FALSE)))</f>
        <v>0</v>
      </c>
      <c r="S31" s="47"/>
      <c r="T31" s="47"/>
      <c r="U31" s="47"/>
      <c r="V31" s="47"/>
      <c r="W31" s="47"/>
      <c r="X31" s="47"/>
      <c r="Y31" s="47"/>
      <c r="AB31" t="s">
        <v>7249</v>
      </c>
      <c r="AJ31" s="1"/>
      <c r="AK31" s="1"/>
      <c r="AL31" s="1332"/>
      <c r="AM31" s="154" t="b">
        <f>IF(ISERROR(FIND(SF!E90,AN31,1)),FALSE,TRUE)</f>
        <v>1</v>
      </c>
      <c r="AN31" s="154" t="str">
        <f>CONCATENATE(A38,A39,A40,A41,A42)</f>
        <v/>
      </c>
      <c r="AO31" s="154"/>
      <c r="AP31" s="154" t="s">
        <v>2191</v>
      </c>
      <c r="AQ31" s="154">
        <f ca="1">IF(SUM(IF(AKTIV_WLOSMERC="",0,1),IF(AKTIV_WLOSHRURUZAT="",0,1),IF(AKTIV_WLOSHAMMER="",0,1),AR31)&gt;1,2,IF(SUM(IF(AKTIV_WLOSMERC="",0,1),IF(AKTIV_WLOSHRURUZAT="",0,1),IF(AKTIV_WLOSHAMMER="",0,1),AR31)&gt;0,1,0))</f>
        <v>0</v>
      </c>
      <c r="AR31" s="154">
        <f ca="1">IF(AKTIV_WLOSGLADIATOR="",0,IF(WLOS_GLADIATOR_KS="Ringen",0,1))</f>
        <v>0</v>
      </c>
      <c r="AS31" s="1332"/>
      <c r="AT31" s="154"/>
      <c r="AU31" s="154"/>
      <c r="AV31" s="154"/>
      <c r="AW31" s="1332"/>
    </row>
    <row r="32" spans="1:49" ht="15" customHeight="1" thickTop="1" thickBot="1" x14ac:dyDescent="0.25">
      <c r="A32" s="2273" t="s">
        <v>7415</v>
      </c>
      <c r="B32" s="2274"/>
      <c r="C32" s="2275"/>
      <c r="D32" s="2287" t="s">
        <v>404</v>
      </c>
      <c r="E32" s="2289"/>
      <c r="F32" s="2287" t="s">
        <v>2500</v>
      </c>
      <c r="G32" s="2289"/>
      <c r="H32" s="657" t="s">
        <v>2499</v>
      </c>
      <c r="I32" s="2287" t="s">
        <v>717</v>
      </c>
      <c r="J32" s="2289"/>
      <c r="K32" s="2335" t="s">
        <v>2501</v>
      </c>
      <c r="L32" s="2274"/>
      <c r="M32" s="2274"/>
      <c r="N32" s="2274"/>
      <c r="O32" s="2274"/>
      <c r="P32" s="2336"/>
      <c r="Q32" s="47"/>
      <c r="R32" s="1290">
        <f ca="1">ROUND(IF(EXPBE_TRUE="x",IF(AND(EXACT(AKTIV_RGW3,"X"),$R$33&gt;=2),$R$33-2,IF(AND(OR(EXACT(AKTIV_RGW2,"X"),AND(EXACT(AKTIV_RGW1,"X"),AM31)),$R$33&gt;=1),$R$33-1,$R$33)),BE),0)</f>
        <v>0</v>
      </c>
      <c r="S32" s="47"/>
      <c r="T32" s="47"/>
      <c r="U32" s="47"/>
      <c r="V32" s="47"/>
      <c r="W32" s="47"/>
      <c r="X32" s="47"/>
      <c r="Y32" s="47"/>
      <c r="AB32" s="2242" t="s">
        <v>403</v>
      </c>
      <c r="AC32" s="2243"/>
      <c r="AD32" s="1287" t="s">
        <v>7252</v>
      </c>
      <c r="AE32" s="1087" t="s">
        <v>2185</v>
      </c>
      <c r="AF32" s="1087" t="s">
        <v>711</v>
      </c>
      <c r="AG32" s="1087" t="s">
        <v>2499</v>
      </c>
      <c r="AH32" s="1346" t="s">
        <v>4984</v>
      </c>
      <c r="AJ32" s="1"/>
      <c r="AK32" s="1"/>
      <c r="AL32" s="1332"/>
      <c r="AM32" s="1081" t="s">
        <v>39</v>
      </c>
      <c r="AN32" s="1081" t="s">
        <v>40</v>
      </c>
      <c r="AO32" s="154"/>
      <c r="AP32" s="154"/>
      <c r="AQ32" s="154" t="s">
        <v>2260</v>
      </c>
      <c r="AR32" s="154" t="s">
        <v>2261</v>
      </c>
      <c r="AS32" s="1332"/>
      <c r="AT32" s="154" t="s">
        <v>278</v>
      </c>
      <c r="AU32" s="154" t="s">
        <v>4804</v>
      </c>
      <c r="AV32" s="154" t="s">
        <v>2499</v>
      </c>
      <c r="AW32" s="154" t="s">
        <v>4984</v>
      </c>
    </row>
    <row r="33" spans="1:49" ht="15" customHeight="1" x14ac:dyDescent="0.2">
      <c r="A33" s="2321"/>
      <c r="B33" s="2329"/>
      <c r="C33" s="2330"/>
      <c r="D33" s="2201" t="str">
        <f>IF(ISBLANK($A33),"",VLOOKUP($AU33,SCHLDPARALLE,2,FALSE))</f>
        <v/>
      </c>
      <c r="E33" s="2202"/>
      <c r="F33" s="2201" t="str">
        <f>IF(ISBLANK($A33),"",AM33&amp;"/"&amp;AN33)</f>
        <v/>
      </c>
      <c r="G33" s="2202"/>
      <c r="H33" s="629" t="str">
        <f>IF(ISBLANK($A33),"",AV33)</f>
        <v/>
      </c>
      <c r="I33" s="2218" t="str">
        <f>IF(ISBLANK($A33),"",SUM(IF(AND(AKTIV_PAR2="X",AR33),Q5+2,IF(AND(AKTIV_PAR1="X",AR33),Q5-1,IF(AND(AKTIV_LHAND="X",AR33),Q5-4,PA))),IF(AND(AKTIV_LHAND="X",AQ33),1,0),IF(AND(AKTIV_SCHLD1="X",AQ33),2,0),IF(AND(AKTIV_SCHLD2="X",AQ33),2,0),IF(AND(AKTIV_WM_SCHILD="X",SUM(AQ33,ROUNDDOWN((KW_NAH1_PA-12)/3,0))),2,0),
IF(AQ33,IF(SUM(VLOOKUP($AO5,WFBASBE,5,FALSE),BE_CALC)&lt;0,0,-ROUND(SUM(VLOOKUP($AO5,WFBASBE,5,FALSE),
BE_CALC)/2,0)),0),ROUNDDOWN((KW_NAH1_PA-12)/3,0),AN33
))</f>
        <v/>
      </c>
      <c r="J33" s="2219"/>
      <c r="K33" s="2201" t="str">
        <f>IF(ISBLANK($A33),"",AW33)</f>
        <v/>
      </c>
      <c r="L33" s="2202"/>
      <c r="M33" s="704"/>
      <c r="N33" s="704"/>
      <c r="O33" s="704"/>
      <c r="P33" s="705"/>
      <c r="Q33" s="47"/>
      <c r="R33" s="1290">
        <f>SUM(IF(ISBLANK($A38),0,VLOOKUP($A38,RSTNGALLE,10,FALSE)),IF(ISBLANK($A39),0,VLOOKUP($A39,RSTNGALLE,10,FALSE)),IF(ISBLANK($A40),0,VLOOKUP($A40,RSTNGALLE,10,FALSE)),IF(ISBLANK($A41),0,VLOOKUP($A41,RSTNGALLE,10,FALSE)),IF(ISBLANK($A42),0,VLOOKUP($A42,RSTNGALLE,10,FALSE)))</f>
        <v>0</v>
      </c>
      <c r="S33" s="47"/>
      <c r="T33" s="47"/>
      <c r="U33" s="47"/>
      <c r="V33" s="47"/>
      <c r="W33" s="47"/>
      <c r="X33" s="47"/>
      <c r="Y33" s="47"/>
      <c r="AB33" s="2290"/>
      <c r="AC33" s="2247"/>
      <c r="AD33" s="642"/>
      <c r="AE33" s="605"/>
      <c r="AF33" s="605"/>
      <c r="AG33" s="605"/>
      <c r="AH33" s="653"/>
      <c r="AJ33" s="1"/>
      <c r="AK33" s="1"/>
      <c r="AL33" s="1332"/>
      <c r="AM33" s="1081" t="str">
        <f>IF($A33="","",LEFT(VLOOKUP($AU33,SCHLDPARALLE,3,FALSE),FIND("/",VLOOKUP($AU33,SCHLDPARALLE,3,FALSE))-1)+AE33)</f>
        <v/>
      </c>
      <c r="AN33" s="1081" t="str">
        <f>IF($A33="","",RIGHT(VLOOKUP($AU33,SCHLDPARALLE,3,FALSE),LEN(VLOOKUP($AU33,SCHLDPARALLE,3,FALSE))-FIND("/",VLOOKUP($AU33,SCHLDPARALLE,3,FALSE)))+AF33)</f>
        <v/>
      </c>
      <c r="AO33" s="154"/>
      <c r="AP33" s="154"/>
      <c r="AQ33" s="154" t="b">
        <f>IF(AND(NOT(ISERROR(FIND("S",D33,1))),LEN(D33)&lt;3),TRUE,FALSE)</f>
        <v>0</v>
      </c>
      <c r="AR33" s="154" t="b">
        <f>IF(ISERROR(FIND("P",$D33,1)),FALSE,TRUE)</f>
        <v>0</v>
      </c>
      <c r="AS33" s="1332"/>
      <c r="AT33" s="154" t="str">
        <f>IF(AB33="",IF(AD33="","",AD33),AB33&amp;" ("&amp;IF(AD33="",AU33,AD33)&amp;")")</f>
        <v/>
      </c>
      <c r="AU33" s="154" t="str">
        <f>IF(AD33="",IF(A33="","",A33),AD33)</f>
        <v/>
      </c>
      <c r="AV33" s="154" t="str">
        <f>IF($AU33="","",VALUE(VLOOKUP($AU33,SCHLDPARALLE,4,FALSE)+AG33))</f>
        <v/>
      </c>
      <c r="AW33" s="154" t="str">
        <f>IF($AU33="","",VALUE(VLOOKUP($AU33,SCHLDPARALLE,5,FALSE)+AH33))</f>
        <v/>
      </c>
    </row>
    <row r="34" spans="1:49" ht="15" customHeight="1" thickBot="1" x14ac:dyDescent="0.25">
      <c r="A34" s="2259"/>
      <c r="B34" s="2260"/>
      <c r="C34" s="2261"/>
      <c r="D34" s="2284" t="str">
        <f>IF(ISBLANK($A34),"",VLOOKUP($AU34,SCHLDPARALLE,2,FALSE))</f>
        <v/>
      </c>
      <c r="E34" s="2286"/>
      <c r="F34" s="2284" t="str">
        <f>IF(ISBLANK($A34),"",AM34&amp;"/"&amp;AN34)</f>
        <v/>
      </c>
      <c r="G34" s="2286"/>
      <c r="H34" s="631" t="str">
        <f>IF(ISBLANK($A34),"",AV34)</f>
        <v/>
      </c>
      <c r="I34" s="2284" t="str">
        <f>IF(ISBLANK($A34),"",SUM(IF(AND(AKTIV_PAR2="X",AR34),Q6+2,IF(AND(AKTIV_PAR1="X",AR34),Q6-1,IF(AND(AKTIV_LHAND="X",AR34),Q6-4,PA))),IF(AND(AKTIV_LHAND="X",AQ34),1,0),IF(AND(AKTIV_SCHLD1="X",AQ34),2,0),IF(AND(AKTIV_SCHLD2="X",AQ34),2,0),IF(AND(AKTIV_WM_SCHILD="X",SUM(AQ34,ROUNDDOWN((KW_NAH1_PA-12)/3,0))),2,0),
IF(AQ34,IF(SUM(VLOOKUP($AO6,WFBASBE,5,FALSE),BE_CALC)&lt;0,0,-ROUND(SUM(VLOOKUP($AO6,WFBASBE,5,FALSE),
BE_CALC)/2,0)),0),ROUNDDOWN((KW_NAH1_PA-12)/3,0),AN34
))</f>
        <v/>
      </c>
      <c r="J34" s="2286"/>
      <c r="K34" s="2284" t="str">
        <f>IF(ISBLANK($A34),"",AW34)</f>
        <v/>
      </c>
      <c r="L34" s="2286"/>
      <c r="M34" s="706"/>
      <c r="N34" s="706"/>
      <c r="O34" s="706"/>
      <c r="P34" s="707"/>
      <c r="Q34" s="47"/>
      <c r="R34" s="1290">
        <f>ROUND(IF(EXPBE_TRUE="x",R35,RS),0)</f>
        <v>0</v>
      </c>
      <c r="S34" s="47"/>
      <c r="T34" s="47"/>
      <c r="U34" s="47"/>
      <c r="V34" s="47"/>
      <c r="W34" s="47"/>
      <c r="X34" s="47"/>
      <c r="Y34" s="47"/>
      <c r="AB34" s="2240"/>
      <c r="AC34" s="2241"/>
      <c r="AD34" s="710"/>
      <c r="AE34" s="710"/>
      <c r="AF34" s="710"/>
      <c r="AG34" s="710"/>
      <c r="AH34" s="709"/>
      <c r="AJ34" s="1"/>
      <c r="AK34" s="1"/>
      <c r="AL34" s="1332"/>
      <c r="AM34" s="1081" t="str">
        <f>IF($A34="","",LEFT(VLOOKUP($AU34,SCHLDPARALLE,3,FALSE),FIND("/",VLOOKUP($AU34,SCHLDPARALLE,3,FALSE))-1)+AE34)</f>
        <v/>
      </c>
      <c r="AN34" s="1081" t="str">
        <f>IF($A34="","",RIGHT(VLOOKUP($AU34,SCHLDPARALLE,3,FALSE),LEN(VLOOKUP($AU34,SCHLDPARALLE,3,FALSE))-FIND("/",VLOOKUP($AU34,SCHLDPARALLE,3,FALSE)))+AF34)</f>
        <v/>
      </c>
      <c r="AO34" s="154"/>
      <c r="AP34" s="154"/>
      <c r="AQ34" s="154" t="b">
        <f>IF(AND(NOT(ISERROR(FIND("S",D34,1))),LEN(D34)&lt;3),TRUE,FALSE)</f>
        <v>0</v>
      </c>
      <c r="AR34" s="154" t="b">
        <f>IF(ISERROR(FIND("P",$D34,1)),FALSE,TRUE)</f>
        <v>0</v>
      </c>
      <c r="AS34" s="1332"/>
      <c r="AT34" s="154" t="str">
        <f>IF(AB34="",IF(AD34="","",AD34),AB34&amp;" ("&amp;IF(AD34="",AU34,AD34)&amp;")")</f>
        <v/>
      </c>
      <c r="AU34" s="154" t="str">
        <f>IF(AD34="",IF(A34="","",A34),AD34)</f>
        <v/>
      </c>
      <c r="AV34" s="154" t="str">
        <f>IF($AU34="","",VALUE(VLOOKUP($AU34,SCHLDPARALLE,4,FALSE)+AG34))</f>
        <v/>
      </c>
      <c r="AW34" s="154" t="str">
        <f>IF($AU34="","",VALUE(VLOOKUP($AU34,SCHLDPARALLE,5,FALSE)+AH34))</f>
        <v/>
      </c>
    </row>
    <row r="35" spans="1:49" s="1338" customFormat="1" ht="15" customHeight="1" thickBot="1" x14ac:dyDescent="0.25">
      <c r="A35" s="1388" t="s">
        <v>7401</v>
      </c>
      <c r="B35" s="1301"/>
      <c r="C35" s="1301" t="s">
        <v>7402</v>
      </c>
      <c r="D35" s="783"/>
      <c r="E35" s="783"/>
      <c r="F35" s="783"/>
      <c r="G35" s="2324" t="s">
        <v>7403</v>
      </c>
      <c r="H35" s="2325"/>
      <c r="I35" s="783"/>
      <c r="J35" s="2324" t="s">
        <v>7140</v>
      </c>
      <c r="K35" s="2325"/>
      <c r="L35" s="2325"/>
      <c r="M35" s="2325"/>
      <c r="N35" s="2325"/>
      <c r="O35" s="783"/>
      <c r="P35" s="784" t="s">
        <v>1119</v>
      </c>
      <c r="Q35" s="187"/>
      <c r="R35" s="1291">
        <f>SUM(IF(ISBLANK($A38),0,VLOOKUP($A38,RSTNGALLE,9,FALSE)),IF(ISBLANK($A39),0,VLOOKUP($A39,RSTNGALLE,9,FALSE)),IF(ISBLANK($A40),0,VLOOKUP($A40,RSTNGALLE,9,FALSE)),IF(ISBLANK($A41),0,VLOOKUP($A41,RSTNGALLE,9,FALSE)),IF(ISBLANK($A42),0,VLOOKUP($A42,RSTNGALLE,9,FALSE)))</f>
        <v>0</v>
      </c>
      <c r="S35" s="187"/>
      <c r="T35" s="187"/>
      <c r="U35" s="187"/>
      <c r="V35" s="187"/>
      <c r="W35" s="187"/>
      <c r="X35" s="187"/>
      <c r="Y35" s="187"/>
      <c r="Z35" s="187"/>
      <c r="AA35" s="48"/>
      <c r="AB35" s="48"/>
      <c r="AC35" s="48"/>
      <c r="AD35" s="48"/>
      <c r="AE35" s="48"/>
      <c r="AF35" s="48"/>
      <c r="AG35" s="48"/>
      <c r="AH35" s="48"/>
      <c r="AI35" s="48"/>
      <c r="AJ35" s="1"/>
      <c r="AK35" s="277"/>
      <c r="AL35" s="1332"/>
      <c r="AM35" s="1332"/>
      <c r="AN35" s="1332"/>
      <c r="AO35" s="1332"/>
      <c r="AP35" s="1332"/>
      <c r="AQ35" s="1332"/>
      <c r="AR35" s="1332"/>
      <c r="AS35" s="1332"/>
      <c r="AT35" s="1332"/>
      <c r="AU35" s="1332"/>
      <c r="AV35" s="1332"/>
      <c r="AW35" s="1332"/>
    </row>
    <row r="36" spans="1:49" ht="26.25" customHeight="1" thickTop="1" thickBot="1" x14ac:dyDescent="0.25">
      <c r="A36" s="47"/>
      <c r="B36" s="47"/>
      <c r="C36" s="47"/>
      <c r="D36" s="47"/>
      <c r="E36" s="47"/>
      <c r="F36" s="47"/>
      <c r="G36" s="47"/>
      <c r="H36" s="47"/>
      <c r="I36" s="47"/>
      <c r="J36" s="47"/>
      <c r="K36" s="47"/>
      <c r="L36" s="47"/>
      <c r="M36" s="47"/>
      <c r="N36" s="47"/>
      <c r="O36" s="47"/>
      <c r="P36" s="47"/>
      <c r="Q36" s="47"/>
      <c r="R36" s="1290"/>
      <c r="S36" s="47"/>
      <c r="T36" s="47"/>
      <c r="U36" s="47"/>
      <c r="V36" s="47"/>
      <c r="W36" s="47"/>
      <c r="X36" s="47"/>
      <c r="Y36" s="47"/>
      <c r="AB36" s="78" t="s">
        <v>7250</v>
      </c>
      <c r="AC36" s="1"/>
      <c r="AD36" s="1"/>
      <c r="AE36" s="268"/>
      <c r="AF36" s="268"/>
      <c r="AG36" s="268"/>
      <c r="AH36" s="268"/>
      <c r="AI36" s="268"/>
      <c r="AJ36" s="1"/>
      <c r="AK36" s="1"/>
    </row>
    <row r="37" spans="1:49" ht="15" customHeight="1" thickTop="1" thickBot="1" x14ac:dyDescent="0.25">
      <c r="A37" s="2273" t="s">
        <v>405</v>
      </c>
      <c r="B37" s="2274"/>
      <c r="C37" s="2275"/>
      <c r="D37" s="649" t="s">
        <v>406</v>
      </c>
      <c r="E37" s="700" t="s">
        <v>715</v>
      </c>
      <c r="F37" s="47"/>
      <c r="G37" s="715" t="s">
        <v>3642</v>
      </c>
      <c r="H37" s="714" t="s">
        <v>1120</v>
      </c>
      <c r="I37" s="2326" t="s">
        <v>1180</v>
      </c>
      <c r="J37" s="2326"/>
      <c r="K37" s="2326"/>
      <c r="L37" s="2326"/>
      <c r="M37" s="2326"/>
      <c r="N37" s="2326"/>
      <c r="O37" s="2257" t="s">
        <v>1181</v>
      </c>
      <c r="P37" s="2258"/>
      <c r="Q37" s="47"/>
      <c r="R37" s="47"/>
      <c r="S37" s="47"/>
      <c r="T37" s="47"/>
      <c r="U37" s="47"/>
      <c r="V37" s="47"/>
      <c r="W37" s="47"/>
      <c r="X37" s="47"/>
      <c r="Y37" s="47"/>
      <c r="AB37" s="2242" t="s">
        <v>7087</v>
      </c>
      <c r="AC37" s="2243"/>
      <c r="AD37" s="1287" t="s">
        <v>7088</v>
      </c>
      <c r="AE37" s="1087" t="s">
        <v>7089</v>
      </c>
      <c r="AF37" s="1087" t="s">
        <v>7090</v>
      </c>
      <c r="AG37" s="1087" t="s">
        <v>7091</v>
      </c>
      <c r="AH37" s="1087" t="s">
        <v>7092</v>
      </c>
      <c r="AI37" s="1087" t="s">
        <v>7093</v>
      </c>
      <c r="AJ37" s="1087" t="s">
        <v>7094</v>
      </c>
      <c r="AK37" s="1087" t="s">
        <v>4202</v>
      </c>
      <c r="AL37" s="1087" t="s">
        <v>4201</v>
      </c>
      <c r="AM37" s="1087" t="s">
        <v>406</v>
      </c>
      <c r="AN37" s="1339" t="s">
        <v>715</v>
      </c>
    </row>
    <row r="38" spans="1:49" ht="15" customHeight="1" x14ac:dyDescent="0.2">
      <c r="A38" s="2321"/>
      <c r="B38" s="2322"/>
      <c r="C38" s="2323"/>
      <c r="D38" s="629" t="str">
        <f>IF(ISBLANK($A38),"",VLOOKUP($A38,RSTNGALLE,11,FALSE))</f>
        <v/>
      </c>
      <c r="E38" s="701" t="str">
        <f>IF(ISBLANK($A38),"",VLOOKUP($A38,RSTNGALLE,12,FALSE))</f>
        <v/>
      </c>
      <c r="F38" s="47"/>
      <c r="G38" s="2250">
        <f ca="1">$AM$29</f>
        <v>5</v>
      </c>
      <c r="H38" s="2248">
        <f ca="1">BE_CALC</f>
        <v>0</v>
      </c>
      <c r="I38" s="2327"/>
      <c r="J38" s="713"/>
      <c r="K38" s="713"/>
      <c r="L38" s="713"/>
      <c r="M38" s="713"/>
      <c r="N38" s="2268"/>
      <c r="O38" s="2331">
        <f ca="1">IF($AM$29-BE_CALC&lt;0,0,SUM($AM$29-BE_CALC,IF(EXACT(AKTIV_AUSW1,"X"),3,0),IF(EXACT(AKTIV_AUSW2,"X"),3,0),IF(EXACT(AKTIV_AUSW3,"X"),3,0),IF($AN$28="",0,$AN$28)))</f>
        <v>5</v>
      </c>
      <c r="P38" s="2332"/>
      <c r="Q38" s="47"/>
      <c r="R38" s="47"/>
      <c r="S38" s="47"/>
      <c r="T38" s="47"/>
      <c r="U38" s="47"/>
      <c r="V38" s="47"/>
      <c r="W38" s="47"/>
      <c r="X38" s="47"/>
      <c r="Y38" s="47"/>
      <c r="AB38" s="2244"/>
      <c r="AC38" s="2245"/>
      <c r="AD38" s="1302"/>
      <c r="AE38" s="604"/>
      <c r="AF38" s="604"/>
      <c r="AG38" s="604"/>
      <c r="AH38" s="604"/>
      <c r="AI38" s="604"/>
      <c r="AJ38" s="604"/>
      <c r="AK38" s="604"/>
      <c r="AL38" s="1340"/>
      <c r="AM38" s="1340"/>
      <c r="AN38" s="1341"/>
    </row>
    <row r="39" spans="1:49" ht="15" customHeight="1" thickBot="1" x14ac:dyDescent="0.25">
      <c r="A39" s="2246"/>
      <c r="B39" s="2014"/>
      <c r="C39" s="2247"/>
      <c r="D39" s="630" t="str">
        <f>IF(ISBLANK($A39),"",VLOOKUP($A39,RSTNGALLE,11,FALSE))</f>
        <v/>
      </c>
      <c r="E39" s="702" t="str">
        <f>IF(ISBLANK($A39),"",VLOOKUP($A39,RSTNGALLE,12,FALSE))</f>
        <v/>
      </c>
      <c r="F39" s="47"/>
      <c r="G39" s="2251"/>
      <c r="H39" s="2249"/>
      <c r="I39" s="2328"/>
      <c r="J39" s="712"/>
      <c r="K39" s="712"/>
      <c r="L39" s="712"/>
      <c r="M39" s="712"/>
      <c r="N39" s="2269"/>
      <c r="O39" s="2333"/>
      <c r="P39" s="2334"/>
      <c r="Q39" s="47"/>
      <c r="R39" s="47"/>
      <c r="S39" s="47"/>
      <c r="T39" s="47"/>
      <c r="U39" s="47"/>
      <c r="V39" s="47"/>
      <c r="W39" s="47"/>
      <c r="X39" s="47"/>
      <c r="Y39" s="47"/>
      <c r="AB39" s="2246"/>
      <c r="AC39" s="2247"/>
      <c r="AD39" s="642"/>
      <c r="AE39" s="605"/>
      <c r="AF39" s="605"/>
      <c r="AG39" s="605"/>
      <c r="AH39" s="605"/>
      <c r="AI39" s="605"/>
      <c r="AJ39" s="605"/>
      <c r="AK39" s="605"/>
      <c r="AL39" s="1342"/>
      <c r="AM39" s="1342"/>
      <c r="AN39" s="1343"/>
    </row>
    <row r="40" spans="1:49" ht="15" customHeight="1" thickTop="1" x14ac:dyDescent="0.2">
      <c r="A40" s="2246"/>
      <c r="B40" s="2014"/>
      <c r="C40" s="2247"/>
      <c r="D40" s="630" t="str">
        <f>IF(ISBLANK($A40),"",VLOOKUP($A40,RSTNGALLE,11,FALSE))</f>
        <v/>
      </c>
      <c r="E40" s="702" t="str">
        <f>IF(ISBLANK($A40),"",VLOOKUP($A40,RSTNGALLE,12,FALSE))</f>
        <v/>
      </c>
      <c r="F40" s="47"/>
      <c r="G40" s="47"/>
      <c r="H40" s="47"/>
      <c r="I40" s="47"/>
      <c r="J40" s="47"/>
      <c r="K40" s="47"/>
      <c r="L40" s="47"/>
      <c r="M40" s="47"/>
      <c r="N40" s="47"/>
      <c r="O40" s="47"/>
      <c r="P40" s="47"/>
      <c r="Q40" s="47"/>
      <c r="R40" s="47"/>
      <c r="S40" s="47"/>
      <c r="T40" s="47"/>
      <c r="U40" s="47"/>
      <c r="V40" s="47"/>
      <c r="W40" s="47"/>
      <c r="X40" s="47"/>
      <c r="Y40" s="47"/>
      <c r="AB40" s="2246"/>
      <c r="AC40" s="2247"/>
      <c r="AD40" s="642"/>
      <c r="AE40" s="605"/>
      <c r="AF40" s="605"/>
      <c r="AG40" s="605"/>
      <c r="AH40" s="605"/>
      <c r="AI40" s="605"/>
      <c r="AJ40" s="605"/>
      <c r="AK40" s="605"/>
      <c r="AL40" s="1342"/>
      <c r="AM40" s="1342"/>
      <c r="AN40" s="1343"/>
    </row>
    <row r="41" spans="1:49" ht="15" customHeight="1" thickBot="1" x14ac:dyDescent="0.25">
      <c r="A41" s="2246"/>
      <c r="B41" s="2014"/>
      <c r="C41" s="2247"/>
      <c r="D41" s="630" t="str">
        <f>IF(ISBLANK($A41),"",VLOOKUP($A41,RSTNGALLE,11,FALSE))</f>
        <v/>
      </c>
      <c r="E41" s="702" t="str">
        <f>IF(ISBLANK($A41),"",VLOOKUP($A41,RSTNGALLE,12,FALSE))</f>
        <v/>
      </c>
      <c r="F41" s="47"/>
      <c r="G41" s="47"/>
      <c r="H41" s="47"/>
      <c r="I41" s="47"/>
      <c r="J41" s="47"/>
      <c r="K41" s="47"/>
      <c r="L41" s="47"/>
      <c r="M41" s="47"/>
      <c r="N41" s="47"/>
      <c r="O41" s="47"/>
      <c r="P41" s="47"/>
      <c r="Q41" s="47"/>
      <c r="R41" s="47"/>
      <c r="S41" s="47"/>
      <c r="T41" s="47"/>
      <c r="U41" s="47"/>
      <c r="V41" s="47"/>
      <c r="W41" s="47"/>
      <c r="X41" s="47"/>
      <c r="Y41" s="47"/>
      <c r="AB41" s="2246"/>
      <c r="AC41" s="2247"/>
      <c r="AD41" s="642"/>
      <c r="AE41" s="605"/>
      <c r="AF41" s="605"/>
      <c r="AG41" s="605"/>
      <c r="AH41" s="605"/>
      <c r="AI41" s="605"/>
      <c r="AJ41" s="605"/>
      <c r="AK41" s="605"/>
      <c r="AL41" s="1342"/>
      <c r="AM41" s="1342"/>
      <c r="AN41" s="1343"/>
    </row>
    <row r="42" spans="1:49" ht="15" customHeight="1" thickTop="1" thickBot="1" x14ac:dyDescent="0.25">
      <c r="A42" s="2259"/>
      <c r="B42" s="2260"/>
      <c r="C42" s="2261"/>
      <c r="D42" s="631" t="str">
        <f>IF(ISBLANK($A42),"",VLOOKUP($A42,RSTNGALLE,11,FALSE))</f>
        <v/>
      </c>
      <c r="E42" s="703" t="str">
        <f>IF(ISBLANK($A42),"",VLOOKUP($A42,RSTNGALLE,12,FALSE))</f>
        <v/>
      </c>
      <c r="F42" s="47"/>
      <c r="G42" s="2262">
        <v>1</v>
      </c>
      <c r="H42" s="2263"/>
      <c r="I42" s="2263"/>
      <c r="J42" s="2263"/>
      <c r="K42" s="2263"/>
      <c r="L42" s="2263"/>
      <c r="M42" s="2263"/>
      <c r="N42" s="2263"/>
      <c r="O42" s="2263"/>
      <c r="P42" s="2264"/>
      <c r="Q42" s="47"/>
      <c r="R42" s="47"/>
      <c r="S42" s="47"/>
      <c r="T42" s="47"/>
      <c r="U42" s="47"/>
      <c r="V42" s="47"/>
      <c r="W42" s="47"/>
      <c r="X42" s="47"/>
      <c r="Y42" s="47"/>
      <c r="AA42" s="184"/>
      <c r="AB42" s="2240"/>
      <c r="AC42" s="2241"/>
      <c r="AD42" s="711"/>
      <c r="AE42" s="711"/>
      <c r="AF42" s="711"/>
      <c r="AG42" s="711"/>
      <c r="AH42" s="711"/>
      <c r="AI42" s="711"/>
      <c r="AJ42" s="711"/>
      <c r="AK42" s="711"/>
      <c r="AL42" s="1344"/>
      <c r="AM42" s="1344"/>
      <c r="AN42" s="1345"/>
    </row>
    <row r="43" spans="1:49" ht="15" customHeight="1" thickBot="1" x14ac:dyDescent="0.25">
      <c r="A43" s="2232" t="s">
        <v>1365</v>
      </c>
      <c r="B43" s="2233"/>
      <c r="C43" s="2234"/>
      <c r="D43" s="953">
        <f>SUM($D$38:$D$42)</f>
        <v>0</v>
      </c>
      <c r="E43" s="698">
        <f>SUM($E$38:$E$42)</f>
        <v>0</v>
      </c>
      <c r="F43" s="47"/>
      <c r="G43" s="2265"/>
      <c r="H43" s="2266"/>
      <c r="I43" s="2266"/>
      <c r="J43" s="2266"/>
      <c r="K43" s="2266"/>
      <c r="L43" s="2266"/>
      <c r="M43" s="2266"/>
      <c r="N43" s="2266"/>
      <c r="O43" s="2266"/>
      <c r="P43" s="2267"/>
      <c r="Q43" s="47"/>
      <c r="R43" s="47"/>
      <c r="S43" s="47"/>
      <c r="T43" s="47"/>
      <c r="U43" s="47"/>
      <c r="V43" s="47"/>
      <c r="W43" s="47"/>
      <c r="X43" s="47"/>
      <c r="Y43" s="47"/>
      <c r="AB43" s="1"/>
      <c r="AC43" s="1"/>
      <c r="AD43" s="1"/>
      <c r="AE43" s="268"/>
      <c r="AF43" s="268"/>
      <c r="AG43" s="268"/>
      <c r="AH43" s="268"/>
      <c r="AI43" s="268"/>
      <c r="AJ43" s="1"/>
      <c r="AK43" s="1"/>
    </row>
    <row r="44" spans="1:49" ht="15" customHeight="1" thickBot="1" x14ac:dyDescent="0.25">
      <c r="A44" s="2235" t="s">
        <v>7404</v>
      </c>
      <c r="B44" s="2236"/>
      <c r="C44" s="2236"/>
      <c r="D44" s="2237"/>
      <c r="E44" s="699">
        <f ca="1">IF(IF(EXACT(AKTIV_RGW3,"X"),$E$43-2,IF(OR(EXACT(AKTIV_RGW2,"X"),AND(EXACT(AKTIV_RGW1,"X"),AM31)),$E$43-1,$E$43))&gt;0,
IF(EXACT(AKTIV_RGW3,"X"),$E$43-2,IF(OR(EXACT(AKTIV_RGW2,"X"),AND(EXACT(AKTIV_RGW1,"X"),AM31)),$E$43-1,$E$43)),0)</f>
        <v>0</v>
      </c>
      <c r="F44" s="47"/>
      <c r="G44" s="2254" t="s">
        <v>407</v>
      </c>
      <c r="H44" s="2255"/>
      <c r="I44" s="2255"/>
      <c r="J44" s="2255"/>
      <c r="K44" s="2255"/>
      <c r="L44" s="2255"/>
      <c r="M44" s="2255"/>
      <c r="N44" s="2255"/>
      <c r="O44" s="2255"/>
      <c r="P44" s="2256"/>
      <c r="Q44" s="47"/>
      <c r="R44" s="47"/>
      <c r="S44" s="47"/>
      <c r="T44" s="47"/>
      <c r="U44" s="47"/>
      <c r="V44" s="47"/>
      <c r="W44" s="47"/>
      <c r="X44" s="47"/>
      <c r="Y44" s="47"/>
      <c r="AD44" s="1"/>
      <c r="AE44" s="268"/>
      <c r="AF44" s="268"/>
      <c r="AG44" s="268"/>
      <c r="AH44" s="268"/>
      <c r="AI44" s="268"/>
      <c r="AJ44" s="1"/>
      <c r="AK44" s="1"/>
    </row>
    <row r="45" spans="1:49" ht="24.75" customHeight="1" thickTop="1" thickBot="1" x14ac:dyDescent="0.25">
      <c r="A45" s="2229"/>
      <c r="B45" s="2229"/>
      <c r="C45" s="2229"/>
      <c r="D45" s="2229"/>
      <c r="E45" s="2229"/>
      <c r="F45" s="2229"/>
      <c r="G45" s="2229"/>
      <c r="H45" s="2229"/>
      <c r="I45" s="2229"/>
      <c r="J45" s="2229"/>
      <c r="K45" s="2229"/>
      <c r="L45" s="2229"/>
      <c r="M45" s="2229"/>
      <c r="N45" s="2229"/>
      <c r="O45" s="2229"/>
      <c r="P45" s="2229"/>
      <c r="Q45" s="2229"/>
      <c r="R45" s="2229"/>
      <c r="S45" s="2229"/>
      <c r="T45" s="2229"/>
      <c r="U45" s="2229"/>
      <c r="V45" s="2229"/>
      <c r="W45" s="2229"/>
      <c r="X45" s="2229"/>
      <c r="Y45" s="2229"/>
      <c r="AD45" s="78" t="s">
        <v>784</v>
      </c>
      <c r="AE45" s="1"/>
      <c r="AF45" s="1"/>
      <c r="AG45" s="1"/>
      <c r="AH45" s="1"/>
      <c r="AI45" s="1"/>
      <c r="AJ45" s="1"/>
      <c r="AK45" s="1"/>
    </row>
    <row r="46" spans="1:49" ht="15" customHeight="1" thickTop="1" thickBot="1" x14ac:dyDescent="0.3">
      <c r="A46" s="2252"/>
      <c r="B46" s="2253"/>
      <c r="C46" s="2238" t="s">
        <v>408</v>
      </c>
      <c r="D46" s="2239"/>
      <c r="E46" s="1412" t="s">
        <v>4157</v>
      </c>
      <c r="F46" s="1413" t="s">
        <v>4017</v>
      </c>
      <c r="G46" s="1414" t="s">
        <v>4018</v>
      </c>
      <c r="H46" s="1412"/>
      <c r="I46" s="1415" t="s">
        <v>3599</v>
      </c>
      <c r="J46" s="1415"/>
      <c r="K46" s="1415"/>
      <c r="L46" s="1415"/>
      <c r="M46" s="1415"/>
      <c r="N46" s="1415"/>
      <c r="O46" s="1415"/>
      <c r="P46" s="1415"/>
      <c r="Q46" s="1415"/>
      <c r="R46" s="1415"/>
      <c r="S46" s="1416"/>
      <c r="T46" s="1415" t="s">
        <v>7395</v>
      </c>
      <c r="U46" s="1415"/>
      <c r="V46" s="1415"/>
      <c r="W46" s="1415"/>
      <c r="X46" s="1415"/>
      <c r="Y46" s="1417"/>
      <c r="AB46" s="632"/>
      <c r="AC46" s="1"/>
      <c r="AD46" s="1"/>
      <c r="AE46" s="1"/>
      <c r="AF46" s="1"/>
      <c r="AG46" s="1"/>
      <c r="AH46" s="1"/>
      <c r="AI46" s="1"/>
      <c r="AJ46" s="1"/>
      <c r="AK46" s="1"/>
    </row>
    <row r="47" spans="1:49" ht="24.95" customHeight="1" thickBot="1" x14ac:dyDescent="0.25">
      <c r="A47" s="2227" t="s">
        <v>7399</v>
      </c>
      <c r="B47" s="2228"/>
      <c r="C47" s="2190">
        <f ca="1">LE</f>
        <v>12</v>
      </c>
      <c r="D47" s="2191"/>
      <c r="E47" s="1358">
        <f ca="1">ROUND($C$47/2,0)</f>
        <v>6</v>
      </c>
      <c r="F47" s="408">
        <f ca="1">ROUND($C$47/3,0)</f>
        <v>4</v>
      </c>
      <c r="G47" s="409">
        <f ca="1">ROUND($C$47/4,0)</f>
        <v>3</v>
      </c>
      <c r="H47" s="1358"/>
      <c r="I47" s="1383"/>
      <c r="J47" s="1383"/>
      <c r="K47" s="1383"/>
      <c r="L47" s="1383"/>
      <c r="M47" s="1383"/>
      <c r="N47" s="1383"/>
      <c r="O47" s="1383"/>
      <c r="P47" s="1383"/>
      <c r="Q47" s="1383"/>
      <c r="R47" s="1383"/>
      <c r="S47" s="2215" t="str">
        <f>CONCATENATE("1W",IF(VT_HEILUNG,"+"&amp;VT_HEILUNG_WERT,""),IF(NT_REGNRTN,"-1","")," LeP+ 1(bei KO-Probe)")</f>
        <v>1W LeP+ 1(bei KO-Probe)</v>
      </c>
      <c r="T47" s="2216"/>
      <c r="U47" s="2216"/>
      <c r="V47" s="2216"/>
      <c r="W47" s="2216"/>
      <c r="X47" s="2216"/>
      <c r="Y47" s="2217"/>
      <c r="AB47" s="1"/>
      <c r="AC47" s="1"/>
      <c r="AD47" s="1"/>
      <c r="AE47" s="1"/>
      <c r="AF47" s="1"/>
      <c r="AG47" s="1"/>
      <c r="AH47" s="1"/>
      <c r="AI47" s="1"/>
      <c r="AJ47" s="1"/>
      <c r="AK47" s="1"/>
    </row>
    <row r="48" spans="1:49" ht="24.95" customHeight="1" thickBot="1" x14ac:dyDescent="0.25">
      <c r="A48" s="2227" t="s">
        <v>7398</v>
      </c>
      <c r="B48" s="2228"/>
      <c r="C48" s="2190">
        <f ca="1">AU</f>
        <v>12</v>
      </c>
      <c r="D48" s="2191"/>
      <c r="E48" s="1358">
        <f ca="1">ROUND($C$48/2,0)</f>
        <v>6</v>
      </c>
      <c r="F48" s="408">
        <f ca="1">ROUND($C$48/3,0)</f>
        <v>4</v>
      </c>
      <c r="G48" s="409">
        <f ca="1">ROUND($C$48/4,0)</f>
        <v>3</v>
      </c>
      <c r="H48" s="1358"/>
      <c r="I48" s="1383"/>
      <c r="J48" s="1383"/>
      <c r="K48" s="1383"/>
      <c r="L48" s="1383"/>
      <c r="M48" s="1383"/>
      <c r="N48" s="1383"/>
      <c r="O48" s="1383"/>
      <c r="P48" s="1383"/>
      <c r="Q48" s="1383"/>
      <c r="R48" s="1383"/>
      <c r="S48" s="2215" t="s">
        <v>7400</v>
      </c>
      <c r="T48" s="2216"/>
      <c r="U48" s="2216"/>
      <c r="V48" s="2216"/>
      <c r="W48" s="2216"/>
      <c r="X48" s="2216"/>
      <c r="Y48" s="2217"/>
      <c r="AB48" s="1"/>
      <c r="AC48" s="1"/>
      <c r="AD48" s="1"/>
      <c r="AE48" s="1"/>
      <c r="AF48" s="1"/>
      <c r="AG48" s="1"/>
      <c r="AH48" s="1"/>
      <c r="AI48" s="1"/>
      <c r="AJ48" s="1"/>
      <c r="AK48" s="1"/>
    </row>
    <row r="49" spans="1:37" ht="12.75" customHeight="1" x14ac:dyDescent="0.2">
      <c r="A49" s="1389" t="s">
        <v>3190</v>
      </c>
      <c r="B49" s="1390"/>
      <c r="C49" s="1391"/>
      <c r="D49" s="1392"/>
      <c r="E49" s="1391"/>
      <c r="F49" s="1393"/>
      <c r="G49" s="1393"/>
      <c r="H49" s="1393"/>
      <c r="I49" s="1394"/>
      <c r="J49" s="1394"/>
      <c r="K49" s="1394"/>
      <c r="L49" s="1394"/>
      <c r="M49" s="1394"/>
      <c r="N49" s="1394"/>
      <c r="O49" s="1394"/>
      <c r="P49" s="1394"/>
      <c r="Q49" s="1394"/>
      <c r="R49" s="1394"/>
      <c r="S49" s="2192" t="s">
        <v>7407</v>
      </c>
      <c r="T49" s="2193"/>
      <c r="U49" s="2193"/>
      <c r="V49" s="2193"/>
      <c r="W49" s="2193"/>
      <c r="X49" s="2193"/>
      <c r="Y49" s="2194"/>
      <c r="AB49" s="1"/>
      <c r="AC49" s="1"/>
      <c r="AD49" s="1"/>
      <c r="AE49" s="1"/>
      <c r="AF49" s="1"/>
      <c r="AG49" s="1"/>
      <c r="AH49" s="1"/>
      <c r="AI49" s="1"/>
      <c r="AJ49" s="1"/>
      <c r="AK49" s="1"/>
    </row>
    <row r="50" spans="1:37" ht="12.75" customHeight="1" thickBot="1" x14ac:dyDescent="0.25">
      <c r="A50" s="2230" t="s">
        <v>7405</v>
      </c>
      <c r="B50" s="2231"/>
      <c r="C50" s="1395"/>
      <c r="D50" s="1396"/>
      <c r="E50" s="1395"/>
      <c r="F50" s="1397"/>
      <c r="G50" s="1397"/>
      <c r="H50" s="1397"/>
      <c r="I50" s="1398"/>
      <c r="J50" s="1398"/>
      <c r="K50" s="1398"/>
      <c r="L50" s="1398"/>
      <c r="M50" s="1398"/>
      <c r="N50" s="1398"/>
      <c r="O50" s="1398"/>
      <c r="P50" s="1398"/>
      <c r="Q50" s="1398"/>
      <c r="R50" s="1398"/>
      <c r="S50" s="2195" t="s">
        <v>7406</v>
      </c>
      <c r="T50" s="2196"/>
      <c r="U50" s="2196"/>
      <c r="V50" s="2196"/>
      <c r="W50" s="2196"/>
      <c r="X50" s="2196"/>
      <c r="Y50" s="2197"/>
      <c r="AB50" s="1"/>
      <c r="AC50" s="1"/>
      <c r="AD50" s="1"/>
      <c r="AE50" s="1"/>
      <c r="AF50" s="1"/>
      <c r="AG50" s="1"/>
      <c r="AH50" s="1"/>
      <c r="AI50" s="1"/>
      <c r="AJ50" s="1"/>
      <c r="AK50" s="1"/>
    </row>
    <row r="51" spans="1:37" ht="24.95" customHeight="1" thickBot="1" x14ac:dyDescent="0.25">
      <c r="A51" s="2227" t="s">
        <v>7397</v>
      </c>
      <c r="B51" s="2228"/>
      <c r="C51" s="2190" t="str">
        <f ca="1">AsP</f>
        <v/>
      </c>
      <c r="D51" s="2191"/>
      <c r="E51" s="1360"/>
      <c r="F51" s="1361"/>
      <c r="G51" s="1361"/>
      <c r="H51" s="1361"/>
      <c r="I51" s="1361"/>
      <c r="J51" s="1361"/>
      <c r="K51" s="1361"/>
      <c r="L51" s="1361"/>
      <c r="M51" s="1361"/>
      <c r="N51" s="1361"/>
      <c r="O51" s="1361"/>
      <c r="P51" s="1361"/>
      <c r="Q51" s="1361"/>
      <c r="R51" s="1362"/>
      <c r="S51" s="2215" t="str">
        <f ca="1">IF(MAGISCH,CONCATENATE("1W +",SUM(IF(VT_ASTRREG3,3,IF(VT_ASTRREG2,2,IF(VT_ASTRREG1,1,0))),IF(NT_ASTRBLOCK,-1,0),IF(NT_HEIMKRANK,-1,0),IF(EXACT(AKTIV_MSTRREG,"X"),ROUND(INDIRECT(LEITEIGENSCHAFT)/3,0)+3,IF(EXACT(AKTIV_REG2,"X"),2,IF(EXACT(AKTIV_REG1,"X"),1,0))))," AsP+IN-Probe+Mod."),"Keine")</f>
        <v>Keine</v>
      </c>
      <c r="T51" s="2216"/>
      <c r="U51" s="2216"/>
      <c r="V51" s="2216"/>
      <c r="W51" s="2216"/>
      <c r="X51" s="2216"/>
      <c r="Y51" s="2217"/>
      <c r="AB51" s="1"/>
      <c r="AC51" s="1"/>
      <c r="AD51" s="1"/>
      <c r="AE51" s="1"/>
      <c r="AF51" s="1"/>
      <c r="AG51" s="1"/>
      <c r="AH51" s="1"/>
      <c r="AI51" s="1"/>
      <c r="AJ51" s="1"/>
      <c r="AK51" s="1"/>
    </row>
    <row r="52" spans="1:37" s="1338" customFormat="1" ht="24.95" customHeight="1" thickBot="1" x14ac:dyDescent="0.25">
      <c r="A52" s="254" t="s">
        <v>7396</v>
      </c>
      <c r="B52" s="255"/>
      <c r="C52" s="2203" t="str">
        <f>KE</f>
        <v/>
      </c>
      <c r="D52" s="2204"/>
      <c r="E52" s="1364"/>
      <c r="F52" s="1365"/>
      <c r="G52" s="1365"/>
      <c r="H52" s="1365"/>
      <c r="I52" s="1365"/>
      <c r="J52" s="1365"/>
      <c r="K52" s="1365"/>
      <c r="L52" s="1365"/>
      <c r="M52" s="1365"/>
      <c r="N52" s="1365"/>
      <c r="O52" s="1365"/>
      <c r="P52" s="1365"/>
      <c r="Q52" s="1365"/>
      <c r="R52" s="1365"/>
      <c r="S52" s="2187" t="str">
        <f>IF(PROFGEBGENE="Goetter","1 KaP/Tag; Meditation: LkP*","Keine")</f>
        <v>Keine</v>
      </c>
      <c r="T52" s="2188"/>
      <c r="U52" s="2188"/>
      <c r="V52" s="2188"/>
      <c r="W52" s="2188"/>
      <c r="X52" s="2188"/>
      <c r="Y52" s="2189"/>
      <c r="Z52" s="187"/>
      <c r="AA52" s="48"/>
      <c r="AB52" s="277"/>
      <c r="AC52" s="277"/>
      <c r="AD52" s="277"/>
      <c r="AE52" s="277"/>
      <c r="AF52" s="277"/>
      <c r="AG52" s="277"/>
      <c r="AH52" s="277"/>
      <c r="AI52" s="277"/>
      <c r="AJ52" s="277"/>
      <c r="AK52" s="277"/>
    </row>
    <row r="53" spans="1:37" ht="15" customHeight="1" thickTop="1" thickBot="1" x14ac:dyDescent="0.25">
      <c r="AB53" s="1"/>
      <c r="AC53" s="1"/>
      <c r="AD53" s="1"/>
      <c r="AE53" s="1"/>
      <c r="AF53" s="1"/>
      <c r="AG53" s="1"/>
      <c r="AH53" s="1"/>
      <c r="AI53" s="1"/>
      <c r="AJ53" s="1"/>
      <c r="AK53" s="1"/>
    </row>
    <row r="54" spans="1:37" ht="19.5" customHeight="1" thickTop="1" x14ac:dyDescent="0.2">
      <c r="A54" s="1568" t="s">
        <v>4019</v>
      </c>
      <c r="B54" s="1569"/>
      <c r="C54" s="2225" t="s">
        <v>4020</v>
      </c>
      <c r="D54" s="2226"/>
      <c r="E54" s="2226"/>
      <c r="F54" s="2226"/>
      <c r="G54" s="1570">
        <f ca="1">INI-SUM(IF(EXACT(AKTIV_RGW3,"X"),ROUND(BE/2,0),BE))</f>
        <v>6</v>
      </c>
      <c r="H54" s="1571" t="s">
        <v>4944</v>
      </c>
      <c r="I54" s="1571"/>
      <c r="J54" s="1570">
        <f ca="1">INI-SUM(IF(EXACT(AKTIV_RGW3,"X"),ROUND(EXPBE/2,0),EXPBE))+(WUNDEN*2-2)</f>
        <v>6</v>
      </c>
      <c r="K54" s="1571"/>
      <c r="L54" s="1572" t="s">
        <v>9005</v>
      </c>
      <c r="M54" s="1573"/>
      <c r="N54" s="1571"/>
      <c r="O54" s="1574">
        <f>SUM(IF(ISBLANK($A5),0,IF($R5="",0,$R5)))</f>
        <v>0</v>
      </c>
      <c r="P54" s="2221" t="s">
        <v>9004</v>
      </c>
      <c r="Q54" s="2221"/>
      <c r="R54" s="2221"/>
      <c r="S54" s="1574">
        <f>IF(ISERROR(FIND("P",D33,1)),0,H33)</f>
        <v>0</v>
      </c>
      <c r="T54" s="1575" t="s">
        <v>129</v>
      </c>
      <c r="U54" s="1576"/>
      <c r="V54" s="1574">
        <f>(WUNDEN*2)-2</f>
        <v>0</v>
      </c>
      <c r="W54" s="1587" t="s">
        <v>9010</v>
      </c>
      <c r="X54" s="1577"/>
      <c r="Y54" s="1578"/>
      <c r="AB54" s="1"/>
      <c r="AC54" s="1"/>
      <c r="AD54" s="1"/>
      <c r="AE54" s="1"/>
      <c r="AF54" s="1"/>
      <c r="AG54" s="1"/>
      <c r="AH54" s="1"/>
      <c r="AI54" s="1"/>
      <c r="AJ54" s="1"/>
      <c r="AK54" s="1"/>
    </row>
    <row r="55" spans="1:37" ht="15.75" thickBot="1" x14ac:dyDescent="0.25">
      <c r="A55" s="1579" t="s">
        <v>9002</v>
      </c>
      <c r="B55" s="1580"/>
      <c r="C55" s="2222" t="s">
        <v>9006</v>
      </c>
      <c r="D55" s="2223"/>
      <c r="E55" s="2223"/>
      <c r="F55" s="2223"/>
      <c r="G55" s="1581">
        <f>IF(W_GINSTINKT="",0,W_GINSTINKT/2)</f>
        <v>0</v>
      </c>
      <c r="H55" s="2223" t="s">
        <v>9008</v>
      </c>
      <c r="I55" s="2223"/>
      <c r="J55" s="1581">
        <f ca="1">IF(TAW_KRIEGSKUNST="",0,TAW_KRIEGSKUNST/2)</f>
        <v>0</v>
      </c>
      <c r="K55" s="1586"/>
      <c r="L55" s="2224" t="s">
        <v>9007</v>
      </c>
      <c r="M55" s="2224"/>
      <c r="N55" s="2224"/>
      <c r="O55" s="1581">
        <f ca="1">IF(AKTIV_AUFMKEIT="X",4,0)</f>
        <v>0</v>
      </c>
      <c r="P55" s="2220" t="s">
        <v>9009</v>
      </c>
      <c r="Q55" s="2220"/>
      <c r="R55" s="2220"/>
      <c r="S55" s="1581">
        <f ca="1">IF(AKTIV_KPFGESP="X",4,0)</f>
        <v>0</v>
      </c>
      <c r="T55" s="1583" t="s">
        <v>9003</v>
      </c>
      <c r="U55" s="1582"/>
      <c r="V55" s="1581">
        <f ca="1">IN</f>
        <v>8</v>
      </c>
      <c r="W55" s="1582"/>
      <c r="X55" s="1584" t="s">
        <v>4830</v>
      </c>
      <c r="Y55" s="1585">
        <f ca="1">V55+G55+J55+O55+S55</f>
        <v>8</v>
      </c>
      <c r="AB55" s="1"/>
      <c r="AC55" s="1"/>
      <c r="AD55" s="1"/>
      <c r="AE55" s="1"/>
      <c r="AF55" s="1"/>
      <c r="AG55" s="1"/>
      <c r="AH55" s="1"/>
      <c r="AI55" s="1"/>
      <c r="AJ55" s="1"/>
      <c r="AK55" s="1"/>
    </row>
    <row r="56" spans="1:37" ht="13.5" thickTop="1" x14ac:dyDescent="0.2"/>
  </sheetData>
  <sheetProtection selectLockedCells="1"/>
  <mergeCells count="188">
    <mergeCell ref="AB32:AC32"/>
    <mergeCell ref="H20:L20"/>
    <mergeCell ref="I25:K25"/>
    <mergeCell ref="I32:J32"/>
    <mergeCell ref="K32:P32"/>
    <mergeCell ref="H19:L19"/>
    <mergeCell ref="A20:C20"/>
    <mergeCell ref="A25:B25"/>
    <mergeCell ref="F26:G26"/>
    <mergeCell ref="D32:E32"/>
    <mergeCell ref="F32:G32"/>
    <mergeCell ref="A32:C32"/>
    <mergeCell ref="A27:P29"/>
    <mergeCell ref="AB25:AC25"/>
    <mergeCell ref="AB26:AC26"/>
    <mergeCell ref="AB20:AC20"/>
    <mergeCell ref="C26:E26"/>
    <mergeCell ref="C25:E25"/>
    <mergeCell ref="L26:M26"/>
    <mergeCell ref="N26:P26"/>
    <mergeCell ref="M19:Q19"/>
    <mergeCell ref="C24:E24"/>
    <mergeCell ref="U19:V19"/>
    <mergeCell ref="A26:B26"/>
    <mergeCell ref="AB4:AC4"/>
    <mergeCell ref="S6:T6"/>
    <mergeCell ref="A7:B7"/>
    <mergeCell ref="H7:J7"/>
    <mergeCell ref="A9:B9"/>
    <mergeCell ref="K34:L34"/>
    <mergeCell ref="A39:C39"/>
    <mergeCell ref="A38:C38"/>
    <mergeCell ref="I34:J34"/>
    <mergeCell ref="A34:C34"/>
    <mergeCell ref="J35:N35"/>
    <mergeCell ref="I37:N37"/>
    <mergeCell ref="I38:I39"/>
    <mergeCell ref="A33:C33"/>
    <mergeCell ref="F34:G34"/>
    <mergeCell ref="G35:H35"/>
    <mergeCell ref="A37:C37"/>
    <mergeCell ref="D34:E34"/>
    <mergeCell ref="AB33:AC33"/>
    <mergeCell ref="M20:Q20"/>
    <mergeCell ref="M17:Q17"/>
    <mergeCell ref="U20:V20"/>
    <mergeCell ref="O38:P39"/>
    <mergeCell ref="F25:G25"/>
    <mergeCell ref="AB5:AC5"/>
    <mergeCell ref="H6:J6"/>
    <mergeCell ref="AB11:AC11"/>
    <mergeCell ref="H16:L16"/>
    <mergeCell ref="L24:M24"/>
    <mergeCell ref="O9:P9"/>
    <mergeCell ref="H9:J9"/>
    <mergeCell ref="S10:T10"/>
    <mergeCell ref="O8:P8"/>
    <mergeCell ref="O10:P10"/>
    <mergeCell ref="AB7:AC7"/>
    <mergeCell ref="AB6:AC6"/>
    <mergeCell ref="A12:Y14"/>
    <mergeCell ref="H10:J10"/>
    <mergeCell ref="C10:F10"/>
    <mergeCell ref="AB8:AC8"/>
    <mergeCell ref="K8:N8"/>
    <mergeCell ref="S11:T11"/>
    <mergeCell ref="S7:T7"/>
    <mergeCell ref="O6:P6"/>
    <mergeCell ref="K5:N5"/>
    <mergeCell ref="K10:N10"/>
    <mergeCell ref="A6:B6"/>
    <mergeCell ref="K9:N9"/>
    <mergeCell ref="A1:Y1"/>
    <mergeCell ref="C4:F4"/>
    <mergeCell ref="C5:F5"/>
    <mergeCell ref="C6:F6"/>
    <mergeCell ref="O5:P5"/>
    <mergeCell ref="O11:P11"/>
    <mergeCell ref="K11:N11"/>
    <mergeCell ref="H11:J11"/>
    <mergeCell ref="C8:F8"/>
    <mergeCell ref="C9:F9"/>
    <mergeCell ref="S9:T9"/>
    <mergeCell ref="A10:B10"/>
    <mergeCell ref="A8:B8"/>
    <mergeCell ref="H8:J8"/>
    <mergeCell ref="K7:N7"/>
    <mergeCell ref="S8:T8"/>
    <mergeCell ref="C7:F7"/>
    <mergeCell ref="A5:B5"/>
    <mergeCell ref="H4:J4"/>
    <mergeCell ref="S4:T4"/>
    <mergeCell ref="O4:P4"/>
    <mergeCell ref="K4:N4"/>
    <mergeCell ref="O7:P7"/>
    <mergeCell ref="H5:J5"/>
    <mergeCell ref="AB9:AC9"/>
    <mergeCell ref="M16:Q16"/>
    <mergeCell ref="AB16:AC16"/>
    <mergeCell ref="AB24:AC24"/>
    <mergeCell ref="S18:T18"/>
    <mergeCell ref="S16:T16"/>
    <mergeCell ref="AB10:AC10"/>
    <mergeCell ref="AB17:AC17"/>
    <mergeCell ref="AB18:AC18"/>
    <mergeCell ref="AB19:AC19"/>
    <mergeCell ref="M18:Q18"/>
    <mergeCell ref="W16:Y16"/>
    <mergeCell ref="U16:V16"/>
    <mergeCell ref="U17:V17"/>
    <mergeCell ref="U18:V18"/>
    <mergeCell ref="S17:T17"/>
    <mergeCell ref="S19:T19"/>
    <mergeCell ref="S20:T20"/>
    <mergeCell ref="U11:V11"/>
    <mergeCell ref="C11:F11"/>
    <mergeCell ref="A11:B11"/>
    <mergeCell ref="A16:C16"/>
    <mergeCell ref="H18:L18"/>
    <mergeCell ref="F24:G24"/>
    <mergeCell ref="A21:Y22"/>
    <mergeCell ref="I24:K24"/>
    <mergeCell ref="D20:G20"/>
    <mergeCell ref="D16:G16"/>
    <mergeCell ref="A18:C18"/>
    <mergeCell ref="D18:G18"/>
    <mergeCell ref="D19:G19"/>
    <mergeCell ref="A19:C19"/>
    <mergeCell ref="A17:C17"/>
    <mergeCell ref="D17:G17"/>
    <mergeCell ref="D33:E33"/>
    <mergeCell ref="K33:L33"/>
    <mergeCell ref="A47:B47"/>
    <mergeCell ref="A43:C43"/>
    <mergeCell ref="F33:G33"/>
    <mergeCell ref="A44:D44"/>
    <mergeCell ref="C46:D46"/>
    <mergeCell ref="AB42:AC42"/>
    <mergeCell ref="AB37:AC37"/>
    <mergeCell ref="AB38:AC38"/>
    <mergeCell ref="AB39:AC39"/>
    <mergeCell ref="AB40:AC40"/>
    <mergeCell ref="AB41:AC41"/>
    <mergeCell ref="H38:H39"/>
    <mergeCell ref="G38:G39"/>
    <mergeCell ref="AB34:AC34"/>
    <mergeCell ref="A46:B46"/>
    <mergeCell ref="G44:P44"/>
    <mergeCell ref="O37:P37"/>
    <mergeCell ref="A42:C42"/>
    <mergeCell ref="A40:C40"/>
    <mergeCell ref="G42:P43"/>
    <mergeCell ref="N38:N39"/>
    <mergeCell ref="A41:C41"/>
    <mergeCell ref="P55:R55"/>
    <mergeCell ref="P54:R54"/>
    <mergeCell ref="C55:F55"/>
    <mergeCell ref="H55:I55"/>
    <mergeCell ref="L55:N55"/>
    <mergeCell ref="C54:F54"/>
    <mergeCell ref="A48:B48"/>
    <mergeCell ref="A45:Y45"/>
    <mergeCell ref="A51:B51"/>
    <mergeCell ref="A50:B50"/>
    <mergeCell ref="U5:V5"/>
    <mergeCell ref="U6:V6"/>
    <mergeCell ref="U7:V7"/>
    <mergeCell ref="U8:V8"/>
    <mergeCell ref="U9:V9"/>
    <mergeCell ref="U10:V10"/>
    <mergeCell ref="S52:Y52"/>
    <mergeCell ref="C51:D51"/>
    <mergeCell ref="S49:Y49"/>
    <mergeCell ref="S50:Y50"/>
    <mergeCell ref="C48:D48"/>
    <mergeCell ref="C47:D47"/>
    <mergeCell ref="K6:N6"/>
    <mergeCell ref="S5:T5"/>
    <mergeCell ref="C52:D52"/>
    <mergeCell ref="H17:L17"/>
    <mergeCell ref="L25:M25"/>
    <mergeCell ref="N24:P24"/>
    <mergeCell ref="N25:P25"/>
    <mergeCell ref="I26:K26"/>
    <mergeCell ref="S47:Y47"/>
    <mergeCell ref="S48:Y48"/>
    <mergeCell ref="S51:Y51"/>
    <mergeCell ref="I33:J33"/>
  </mergeCells>
  <phoneticPr fontId="3" type="noConversion"/>
  <dataValidations count="14">
    <dataValidation type="list" allowBlank="1" showInputMessage="1" showErrorMessage="1" sqref="A5:B11">
      <formula1>IF($AB5="",WAFFEN,AM5)</formula1>
    </dataValidation>
    <dataValidation type="list" allowBlank="1" showInputMessage="1" showErrorMessage="1" sqref="A17:C20">
      <formula1>IF($AB17="",SCHSSWRF,AQ17)</formula1>
    </dataValidation>
    <dataValidation type="list" allowBlank="1" showInputMessage="1" showErrorMessage="1" promptTitle="Hilfsmittel für w.-losen Kampf" prompt="Hier Schlagringe etc. auswählen (AU-Schaden)" sqref="A25:B26">
      <formula1>IF($AB25="",HNDGEM,$AT25)</formula1>
    </dataValidation>
    <dataValidation type="list" allowBlank="1" showInputMessage="1" showErrorMessage="1" promptTitle="Schild/Parierwaffe" prompt="Hier kann ein Schild oder eine Parierwaffe ausgewählt werden." sqref="A33:C33">
      <formula1>IF($AB33="",SCHLPAR,$AT33)</formula1>
    </dataValidation>
    <dataValidation type="list" allowBlank="1" showInputMessage="1" showErrorMessage="1" sqref="A34:C34">
      <formula1>IF($AB34="",SCHLPAR,$AT34)</formula1>
    </dataValidation>
    <dataValidation type="list" allowBlank="1" showInputMessage="1" showErrorMessage="1" sqref="AD33:AD34">
      <formula1>SCHLPAR</formula1>
    </dataValidation>
    <dataValidation type="list" allowBlank="1" showInputMessage="1" showErrorMessage="1" sqref="AD25:AD26">
      <formula1>HNDGEM</formula1>
    </dataValidation>
    <dataValidation type="list" allowBlank="1" showInputMessage="1" showErrorMessage="1" sqref="AD17:AD20">
      <formula1>SCHSSWRF</formula1>
    </dataValidation>
    <dataValidation type="list" allowBlank="1" showInputMessage="1" showErrorMessage="1" sqref="AD5:AD11">
      <formula1>WAFFEN</formula1>
    </dataValidation>
    <dataValidation type="list" allowBlank="1" showInputMessage="1" showErrorMessage="1" sqref="A38:A42">
      <formula1>RSTNG</formula1>
    </dataValidation>
    <dataValidation allowBlank="1" showErrorMessage="1" prompt="_x000a_" sqref="A44"/>
    <dataValidation type="list" allowBlank="1" showInputMessage="1" showErrorMessage="1" sqref="AE5:AE11">
      <formula1>TL_KPF</formula1>
    </dataValidation>
    <dataValidation type="list" allowBlank="1" showInputMessage="1" showErrorMessage="1" sqref="C25:E26">
      <formula1>"Raufen,Ringen"</formula1>
    </dataValidation>
    <dataValidation type="list" allowBlank="1" showInputMessage="1" showErrorMessage="1" sqref="AE33:AH34 AG17:AG20 AE25:AH26">
      <formula1>"-6,-5,-4,-3,-2,-1,1,2,3,4,5,6"</formula1>
    </dataValidation>
  </dataValidations>
  <pageMargins left="0.39370078740157483" right="0.39370078740157483" top="0.39370078740157483" bottom="0.39370078740157483" header="0.51181102362204722" footer="0.51181102362204722"/>
  <pageSetup paperSize="9" scale="88"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1786" r:id="rId4" name="Option Button 69930">
              <controlPr defaultSize="0" autoFill="0" autoLine="0" autoPict="0">
                <anchor moveWithCells="1">
                  <from>
                    <xdr:col>6</xdr:col>
                    <xdr:colOff>95250</xdr:colOff>
                    <xdr:row>41</xdr:row>
                    <xdr:rowOff>9525</xdr:rowOff>
                  </from>
                  <to>
                    <xdr:col>9</xdr:col>
                    <xdr:colOff>19050</xdr:colOff>
                    <xdr:row>42</xdr:row>
                    <xdr:rowOff>38100</xdr:rowOff>
                  </to>
                </anchor>
              </controlPr>
            </control>
          </mc:Choice>
        </mc:AlternateContent>
        <mc:AlternateContent xmlns:mc="http://schemas.openxmlformats.org/markup-compatibility/2006">
          <mc:Choice Requires="x14">
            <control shapeId="191787" r:id="rId5" name="Option Button 69931">
              <controlPr defaultSize="0" autoFill="0" autoLine="0" autoPict="0">
                <anchor moveWithCells="1">
                  <from>
                    <xdr:col>6</xdr:col>
                    <xdr:colOff>95250</xdr:colOff>
                    <xdr:row>41</xdr:row>
                    <xdr:rowOff>180975</xdr:rowOff>
                  </from>
                  <to>
                    <xdr:col>7</xdr:col>
                    <xdr:colOff>9525</xdr:colOff>
                    <xdr:row>43</xdr:row>
                    <xdr:rowOff>19050</xdr:rowOff>
                  </to>
                </anchor>
              </controlPr>
            </control>
          </mc:Choice>
        </mc:AlternateContent>
        <mc:AlternateContent xmlns:mc="http://schemas.openxmlformats.org/markup-compatibility/2006">
          <mc:Choice Requires="x14">
            <control shapeId="191788" r:id="rId6" name="Option Button 69932">
              <controlPr defaultSize="0" autoFill="0" autoLine="0" autoPict="0">
                <anchor moveWithCells="1">
                  <from>
                    <xdr:col>7</xdr:col>
                    <xdr:colOff>19050</xdr:colOff>
                    <xdr:row>41</xdr:row>
                    <xdr:rowOff>180975</xdr:rowOff>
                  </from>
                  <to>
                    <xdr:col>7</xdr:col>
                    <xdr:colOff>323850</xdr:colOff>
                    <xdr:row>43</xdr:row>
                    <xdr:rowOff>19050</xdr:rowOff>
                  </to>
                </anchor>
              </controlPr>
            </control>
          </mc:Choice>
        </mc:AlternateContent>
        <mc:AlternateContent xmlns:mc="http://schemas.openxmlformats.org/markup-compatibility/2006">
          <mc:Choice Requires="x14">
            <control shapeId="191789" r:id="rId7" name="Option Button 69933">
              <controlPr defaultSize="0" autoFill="0" autoLine="0" autoPict="0">
                <anchor moveWithCells="1">
                  <from>
                    <xdr:col>7</xdr:col>
                    <xdr:colOff>342900</xdr:colOff>
                    <xdr:row>41</xdr:row>
                    <xdr:rowOff>180975</xdr:rowOff>
                  </from>
                  <to>
                    <xdr:col>9</xdr:col>
                    <xdr:colOff>19050</xdr:colOff>
                    <xdr:row>43</xdr:row>
                    <xdr:rowOff>19050</xdr:rowOff>
                  </to>
                </anchor>
              </controlPr>
            </control>
          </mc:Choice>
        </mc:AlternateContent>
        <mc:AlternateContent xmlns:mc="http://schemas.openxmlformats.org/markup-compatibility/2006">
          <mc:Choice Requires="x14">
            <control shapeId="191790" r:id="rId8" name="Option Button 69934">
              <controlPr defaultSize="0" autoFill="0" autoLine="0" autoPict="0">
                <anchor moveWithCells="1">
                  <from>
                    <xdr:col>9</xdr:col>
                    <xdr:colOff>95250</xdr:colOff>
                    <xdr:row>41</xdr:row>
                    <xdr:rowOff>180975</xdr:rowOff>
                  </from>
                  <to>
                    <xdr:col>11</xdr:col>
                    <xdr:colOff>133350</xdr:colOff>
                    <xdr:row>43</xdr:row>
                    <xdr:rowOff>19050</xdr:rowOff>
                  </to>
                </anchor>
              </controlPr>
            </control>
          </mc:Choice>
        </mc:AlternateContent>
        <mc:AlternateContent xmlns:mc="http://schemas.openxmlformats.org/markup-compatibility/2006">
          <mc:Choice Requires="x14">
            <control shapeId="191791" r:id="rId9" name="Option Button 69935">
              <controlPr defaultSize="0" autoFill="0" autoLine="0" autoPict="0">
                <anchor moveWithCells="1">
                  <from>
                    <xdr:col>12</xdr:col>
                    <xdr:colOff>76200</xdr:colOff>
                    <xdr:row>41</xdr:row>
                    <xdr:rowOff>180975</xdr:rowOff>
                  </from>
                  <to>
                    <xdr:col>13</xdr:col>
                    <xdr:colOff>28575</xdr:colOff>
                    <xdr:row>43</xdr:row>
                    <xdr:rowOff>19050</xdr:rowOff>
                  </to>
                </anchor>
              </controlPr>
            </control>
          </mc:Choice>
        </mc:AlternateContent>
        <mc:AlternateContent xmlns:mc="http://schemas.openxmlformats.org/markup-compatibility/2006">
          <mc:Choice Requires="x14">
            <control shapeId="191792" r:id="rId10" name="Option Button 69936">
              <controlPr defaultSize="0" autoFill="0" autoLine="0" autoPict="0">
                <anchor moveWithCells="1">
                  <from>
                    <xdr:col>13</xdr:col>
                    <xdr:colOff>161925</xdr:colOff>
                    <xdr:row>41</xdr:row>
                    <xdr:rowOff>180975</xdr:rowOff>
                  </from>
                  <to>
                    <xdr:col>15</xdr:col>
                    <xdr:colOff>104775</xdr:colOff>
                    <xdr:row>43</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1238</vt:i4>
      </vt:variant>
    </vt:vector>
  </HeadingPairs>
  <TitlesOfParts>
    <vt:vector size="1264" baseType="lpstr">
      <vt:lpstr>Generierung</vt:lpstr>
      <vt:lpstr>Eigenschaften</vt:lpstr>
      <vt:lpstr>SF</vt:lpstr>
      <vt:lpstr>Talente</vt:lpstr>
      <vt:lpstr>Zauber</vt:lpstr>
      <vt:lpstr>Goetter</vt:lpstr>
      <vt:lpstr>Heldenbogen</vt:lpstr>
      <vt:lpstr>Talentwerte</vt:lpstr>
      <vt:lpstr>Kampfwerte</vt:lpstr>
      <vt:lpstr>Ausrüstung</vt:lpstr>
      <vt:lpstr>Zauber 1</vt:lpstr>
      <vt:lpstr>Zauber 2</vt:lpstr>
      <vt:lpstr>Liturgien</vt:lpstr>
      <vt:lpstr>Personen_Abenteuer</vt:lpstr>
      <vt:lpstr>Hintergrund</vt:lpstr>
      <vt:lpstr>Eigene</vt:lpstr>
      <vt:lpstr>Abfragen</vt:lpstr>
      <vt:lpstr>R_K</vt:lpstr>
      <vt:lpstr>K_G</vt:lpstr>
      <vt:lpstr>MG_Held</vt:lpstr>
      <vt:lpstr>MG_Vor</vt:lpstr>
      <vt:lpstr>MG_Nach</vt:lpstr>
      <vt:lpstr>MG_SF</vt:lpstr>
      <vt:lpstr>MG_Talente</vt:lpstr>
      <vt:lpstr>MG_Zauber</vt:lpstr>
      <vt:lpstr>MG_INV</vt:lpstr>
      <vt:lpstr>AKTIV_AKOLUTH</vt:lpstr>
      <vt:lpstr>AKTIV_AUFMKEIT</vt:lpstr>
      <vt:lpstr>AKTIV_AUSFALL</vt:lpstr>
      <vt:lpstr>AKTIV_AUSPENDELN</vt:lpstr>
      <vt:lpstr>AKTIV_AUSW1</vt:lpstr>
      <vt:lpstr>AKTIV_AUSW2</vt:lpstr>
      <vt:lpstr>AKTIV_AUSW3</vt:lpstr>
      <vt:lpstr>AKTIV_BDHNDKAMPF1</vt:lpstr>
      <vt:lpstr>AKTIV_BDHNDKAMPF2</vt:lpstr>
      <vt:lpstr>AKTIV_BEFRSCHLEIG</vt:lpstr>
      <vt:lpstr>AKTIV_BEINARBEIT</vt:lpstr>
      <vt:lpstr>AKTIV_BERSCHUETZE</vt:lpstr>
      <vt:lpstr>AKTIV_BETBGSCHLAG</vt:lpstr>
      <vt:lpstr>AKTIV_BINDEN</vt:lpstr>
      <vt:lpstr>AKTIV_BISS</vt:lpstr>
      <vt:lpstr>AKTIV_BLINDKAMPF</vt:lpstr>
      <vt:lpstr>AKTIV_BLOCK</vt:lpstr>
      <vt:lpstr>AKTIV_DEFKAMPFSTIL</vt:lpstr>
      <vt:lpstr>AKTIV_DOPPELAT</vt:lpstr>
      <vt:lpstr>AKTIV_DOPPELSCHLAG</vt:lpstr>
      <vt:lpstr>AKTIV_EISENARM</vt:lpstr>
      <vt:lpstr>AKTIV_EISENHAGEL</vt:lpstr>
      <vt:lpstr>AKTIV_ENTWAFFNEN</vt:lpstr>
      <vt:lpstr>AKTIV_FESTNAGELN</vt:lpstr>
      <vt:lpstr>AKTIV_FINTE</vt:lpstr>
      <vt:lpstr>AKTIV_FORMATION</vt:lpstr>
      <vt:lpstr>AKTIV_FUSSFEGER</vt:lpstr>
      <vt:lpstr>AKTIV_GEGENHALTEN</vt:lpstr>
      <vt:lpstr>AKTIV_GERADE</vt:lpstr>
      <vt:lpstr>AKTIV_GEZSTICH</vt:lpstr>
      <vt:lpstr>AKTIV_GRGEIST</vt:lpstr>
      <vt:lpstr>AKTIV_GRIFF</vt:lpstr>
      <vt:lpstr>AKTIV_HALTEN</vt:lpstr>
      <vt:lpstr>AKTIV_HAMMERSCHLAG</vt:lpstr>
      <vt:lpstr>AKTIV_HANDKANTE</vt:lpstr>
      <vt:lpstr>AKTIV_HTRITT</vt:lpstr>
      <vt:lpstr>AKTIV_IMPWAFFEN</vt:lpstr>
      <vt:lpstr>AKTIV_KAMPFWASSER</vt:lpstr>
      <vt:lpstr>AKTIV_KARMALQSTE</vt:lpstr>
      <vt:lpstr>AKTIV_KBLOCK</vt:lpstr>
      <vt:lpstr>AKTIV_KLAMMER</vt:lpstr>
      <vt:lpstr>AKTIV_KLINGENSTURM</vt:lpstr>
      <vt:lpstr>AKTIV_KLINGENWAND</vt:lpstr>
      <vt:lpstr>AKTIV_KNAUFSCHLAG</vt:lpstr>
      <vt:lpstr>AKTIV_KNIE</vt:lpstr>
      <vt:lpstr>AKTIV_KOPFSTOSS</vt:lpstr>
      <vt:lpstr>AKTIV_KPFGESP</vt:lpstr>
      <vt:lpstr>AKTIV_KPFREF</vt:lpstr>
      <vt:lpstr>AKTIV_KRIGSREITEREI</vt:lpstr>
      <vt:lpstr>AKTIV_LHAND</vt:lpstr>
      <vt:lpstr>AKTIV_MAEISTPARADE</vt:lpstr>
      <vt:lpstr>AKTIV_MEISTENTWAFFNEN</vt:lpstr>
      <vt:lpstr>AKTIV_MEISTERIMPROV</vt:lpstr>
      <vt:lpstr>AKTIV_MEISTERSCHUETZE</vt:lpstr>
      <vt:lpstr>AKTIV_MSTRREG</vt:lpstr>
      <vt:lpstr>AKTIV_NANDUS</vt:lpstr>
      <vt:lpstr>AKTIV_NIEDERWERFEN</vt:lpstr>
      <vt:lpstr>AKTIV_NRINGEN</vt:lpstr>
      <vt:lpstr>AKTIV_PAR1</vt:lpstr>
      <vt:lpstr>AKTIV_PAR2</vt:lpstr>
      <vt:lpstr>AKTIV_REG1</vt:lpstr>
      <vt:lpstr>AKTIV_REG2</vt:lpstr>
      <vt:lpstr>AKTIV_REITERKAMPF</vt:lpstr>
      <vt:lpstr>AKTIV_RGW1</vt:lpstr>
      <vt:lpstr>AKTIV_RGW2</vt:lpstr>
      <vt:lpstr>AKTIV_RGW3</vt:lpstr>
      <vt:lpstr>AKTIV_RKFREMD</vt:lpstr>
      <vt:lpstr>AKTIV_SCHARFSCHUETZE</vt:lpstr>
      <vt:lpstr>AKTIV_SCHILDSPALTER</vt:lpstr>
      <vt:lpstr>AKTIV_SCHLD1</vt:lpstr>
      <vt:lpstr>AKTIV_SCHLD2</vt:lpstr>
      <vt:lpstr>AKTIV_SCHMETTERSCHLAG</vt:lpstr>
      <vt:lpstr>AKTIV_SCHNELLADEN</vt:lpstr>
      <vt:lpstr>AKTIV_SCHNELLZIEHEN</vt:lpstr>
      <vt:lpstr>AKTIV_SCHTRICKS</vt:lpstr>
      <vt:lpstr>AKTIV_SCHWANZSCHLAG</vt:lpstr>
      <vt:lpstr>AKTIV_SCHWINGER</vt:lpstr>
      <vt:lpstr>AKTIV_SCHWKASTEN</vt:lpstr>
      <vt:lpstr>AKTIV_SPIESSGESPANN</vt:lpstr>
      <vt:lpstr>AKTIV_SPRUNG</vt:lpstr>
      <vt:lpstr>AKTIV_SPRUNGTRITT</vt:lpstr>
      <vt:lpstr>AKTIV_SPTWHE</vt:lpstr>
      <vt:lpstr>AKTIV_STURMANGRIFF</vt:lpstr>
      <vt:lpstr>AKTIV_TODESSTOSS</vt:lpstr>
      <vt:lpstr>AKTIV_TONDLINKS</vt:lpstr>
      <vt:lpstr>AKTIV_TRITT</vt:lpstr>
      <vt:lpstr>AKTIV_TURNIERREITEREI</vt:lpstr>
      <vt:lpstr>AKTIV_UMREISSEN</vt:lpstr>
      <vt:lpstr>AKTIV_UWASSERKAMPF</vt:lpstr>
      <vt:lpstr>AKTIV_vERKLINGE</vt:lpstr>
      <vt:lpstr>AKTIV_WAFFEZERBRECHEN</vt:lpstr>
      <vt:lpstr>AKTIV_WINDMUEHLE</vt:lpstr>
      <vt:lpstr>AKTIV_WLOSBORN</vt:lpstr>
      <vt:lpstr>AKTIV_WLOSGLADIATOR</vt:lpstr>
      <vt:lpstr>AKTIV_WLOSHAMMER</vt:lpstr>
      <vt:lpstr>AKTIV_WLOSHRURUZAT</vt:lpstr>
      <vt:lpstr>AKTIV_WLOSMERC</vt:lpstr>
      <vt:lpstr>AKTIV_WLOSUNAU</vt:lpstr>
      <vt:lpstr>AKTIV_WM_SCHILD</vt:lpstr>
      <vt:lpstr>AKTIV_WM1</vt:lpstr>
      <vt:lpstr>AKTIV_WM2</vt:lpstr>
      <vt:lpstr>AKTIV_WM3</vt:lpstr>
      <vt:lpstr>AKTIV_WM4</vt:lpstr>
      <vt:lpstr>AKTIV_WUCHTSCHLAG</vt:lpstr>
      <vt:lpstr>AKTIV_WUERGEGRIFF</vt:lpstr>
      <vt:lpstr>AKTIV_WURF</vt:lpstr>
      <vt:lpstr>ALCHIMIST</vt:lpstr>
      <vt:lpstr>ALCHIMIST_UNM</vt:lpstr>
      <vt:lpstr>AMAZONE</vt:lpstr>
      <vt:lpstr>APEINEIGEN</vt:lpstr>
      <vt:lpstr>APEINSF</vt:lpstr>
      <vt:lpstr>APEINTAL</vt:lpstr>
      <vt:lpstr>APEINZAUBER</vt:lpstr>
      <vt:lpstr>APGES</vt:lpstr>
      <vt:lpstr>APGOET</vt:lpstr>
      <vt:lpstr>APGUT</vt:lpstr>
      <vt:lpstr>APHINZU</vt:lpstr>
      <vt:lpstr>APKONV</vt:lpstr>
      <vt:lpstr>ARCANOVI_WERT</vt:lpstr>
      <vt:lpstr>ARTYP_BGBGOETTER</vt:lpstr>
      <vt:lpstr>ARTYPGES</vt:lpstr>
      <vt:lpstr>ARTYPGOET</vt:lpstr>
      <vt:lpstr>ARTYPHWK</vt:lpstr>
      <vt:lpstr>ARTYPKAM</vt:lpstr>
      <vt:lpstr>ARTYPMAG</vt:lpstr>
      <vt:lpstr>ARTYPNMAG</vt:lpstr>
      <vt:lpstr>ARTYPWIL</vt:lpstr>
      <vt:lpstr>AsP</vt:lpstr>
      <vt:lpstr>ASPMEDITATION</vt:lpstr>
      <vt:lpstr>ASPMOD</vt:lpstr>
      <vt:lpstr>ASPSTART</vt:lpstr>
      <vt:lpstr>ASPZU</vt:lpstr>
      <vt:lpstr>AT</vt:lpstr>
      <vt:lpstr>AT_2HNDFLEGEL</vt:lpstr>
      <vt:lpstr>AT_2HNDHIEBWFN</vt:lpstr>
      <vt:lpstr>AT_2HNDSCHWERTER</vt:lpstr>
      <vt:lpstr>AT_ANDERTHALBHD</vt:lpstr>
      <vt:lpstr>AT_ARMBRUST</vt:lpstr>
      <vt:lpstr>AT_BELAGERUNGSWFN</vt:lpstr>
      <vt:lpstr>AT_BLASROHR</vt:lpstr>
      <vt:lpstr>AT_BOGEN</vt:lpstr>
      <vt:lpstr>AT_DISKUS</vt:lpstr>
      <vt:lpstr>AT_DOLCHE</vt:lpstr>
      <vt:lpstr>AT_FECHTWFN</vt:lpstr>
      <vt:lpstr>AT_HIEBWFN</vt:lpstr>
      <vt:lpstr>AT_INFANTERIEWFN</vt:lpstr>
      <vt:lpstr>AT_KETTENSTAEBE</vt:lpstr>
      <vt:lpstr>AT_KETTENWFN</vt:lpstr>
      <vt:lpstr>AT_LANZENREITEN</vt:lpstr>
      <vt:lpstr>AT_PEITSCHE</vt:lpstr>
      <vt:lpstr>AT_RAUFEN</vt:lpstr>
      <vt:lpstr>AT_RINGEN</vt:lpstr>
      <vt:lpstr>AT_SAEBEL</vt:lpstr>
      <vt:lpstr>AT_SCHLEUDER</vt:lpstr>
      <vt:lpstr>AT_SCHWERTER</vt:lpstr>
      <vt:lpstr>AT_SPEERE</vt:lpstr>
      <vt:lpstr>AT_STAEBE</vt:lpstr>
      <vt:lpstr>AT_WURBEILE</vt:lpstr>
      <vt:lpstr>AT_WURFMESSER</vt:lpstr>
      <vt:lpstr>AT_WURFSPEERE</vt:lpstr>
      <vt:lpstr>ATMOD</vt:lpstr>
      <vt:lpstr>ATSTART</vt:lpstr>
      <vt:lpstr>AU</vt:lpstr>
      <vt:lpstr>AUMOD</vt:lpstr>
      <vt:lpstr>AUSTART</vt:lpstr>
      <vt:lpstr>AUSW1</vt:lpstr>
      <vt:lpstr>AUSW2</vt:lpstr>
      <vt:lpstr>AUSW3</vt:lpstr>
      <vt:lpstr>AUSWEICHEN</vt:lpstr>
      <vt:lpstr>AUSWLISTE</vt:lpstr>
      <vt:lpstr>AUZU</vt:lpstr>
      <vt:lpstr>B_ZAUBER</vt:lpstr>
      <vt:lpstr>BASISINKLGRP</vt:lpstr>
      <vt:lpstr>BASISSKT</vt:lpstr>
      <vt:lpstr>BASISTL</vt:lpstr>
      <vt:lpstr>BAUCH</vt:lpstr>
      <vt:lpstr>BE</vt:lpstr>
      <vt:lpstr>BE_CALC</vt:lpstr>
      <vt:lpstr>BE_VOR_RG</vt:lpstr>
      <vt:lpstr>BEGABG</vt:lpstr>
      <vt:lpstr>BEGABUNFAEH</vt:lpstr>
      <vt:lpstr>BEGABUNFAEHGP</vt:lpstr>
      <vt:lpstr>BEGBGTALGRU</vt:lpstr>
      <vt:lpstr>BEGLART</vt:lpstr>
      <vt:lpstr>BEGLEITER</vt:lpstr>
      <vt:lpstr>BEINE</vt:lpstr>
      <vt:lpstr>BESBESITZ</vt:lpstr>
      <vt:lpstr>BESBESITZ_GP</vt:lpstr>
      <vt:lpstr>BGB_GEWEIHT</vt:lpstr>
      <vt:lpstr>BGB_GOETTER</vt:lpstr>
      <vt:lpstr>BGB_MERKMALE</vt:lpstr>
      <vt:lpstr>BGB_ORDEN</vt:lpstr>
      <vt:lpstr>BGB_RITUALE</vt:lpstr>
      <vt:lpstr>BGB_ZAUBER</vt:lpstr>
      <vt:lpstr>BRUST</vt:lpstr>
      <vt:lpstr>BTABFRAGESPR</vt:lpstr>
      <vt:lpstr>BTGESALLE</vt:lpstr>
      <vt:lpstr>BTHWKALLE</vt:lpstr>
      <vt:lpstr>BTKPFALLE</vt:lpstr>
      <vt:lpstr>BTKRPALLE</vt:lpstr>
      <vt:lpstr>BTNATALLE</vt:lpstr>
      <vt:lpstr>BTSPRALLE</vt:lpstr>
      <vt:lpstr>BTWISALLE</vt:lpstr>
      <vt:lpstr>BZALLE</vt:lpstr>
      <vt:lpstr>CH</vt:lpstr>
      <vt:lpstr>CH_T</vt:lpstr>
      <vt:lpstr>CHMOD</vt:lpstr>
      <vt:lpstr>CHSTART</vt:lpstr>
      <vt:lpstr>DIALEKTE</vt:lpstr>
      <vt:lpstr>DLTTNTEN</vt:lpstr>
      <vt:lpstr>Ausrüstung!Druckbereich</vt:lpstr>
      <vt:lpstr>Heldenbogen!Druckbereich</vt:lpstr>
      <vt:lpstr>Kampfwerte!Druckbereich</vt:lpstr>
      <vt:lpstr>Liturgien!Druckbereich</vt:lpstr>
      <vt:lpstr>Talente!Druckbereich</vt:lpstr>
      <vt:lpstr>Talentwerte!Druckbereich</vt:lpstr>
      <vt:lpstr>Zauber!Druckbereich</vt:lpstr>
      <vt:lpstr>'Zauber 1'!Druckbereich</vt:lpstr>
      <vt:lpstr>'Zauber 2'!Druckbereich</vt:lpstr>
      <vt:lpstr>DRUIDEN</vt:lpstr>
      <vt:lpstr>EIGEN</vt:lpstr>
      <vt:lpstr>EIGENPROF</vt:lpstr>
      <vt:lpstr>EIGENSCHFT</vt:lpstr>
      <vt:lpstr>EIGENSCHFTGP</vt:lpstr>
      <vt:lpstr>EIGN</vt:lpstr>
      <vt:lpstr>ELF_GILDE</vt:lpstr>
      <vt:lpstr>ELFEN</vt:lpstr>
      <vt:lpstr>ELFISCH</vt:lpstr>
      <vt:lpstr>ENTFERNUNG</vt:lpstr>
      <vt:lpstr>ENTFERNUNG_WERT</vt:lpstr>
      <vt:lpstr>ERSTPROF</vt:lpstr>
      <vt:lpstr>EXPBE</vt:lpstr>
      <vt:lpstr>EXPBE_TRUE</vt:lpstr>
      <vt:lpstr>EXPERTE</vt:lpstr>
      <vt:lpstr>EXPRS</vt:lpstr>
      <vt:lpstr>FF</vt:lpstr>
      <vt:lpstr>FF_T</vt:lpstr>
      <vt:lpstr>FFMOD</vt:lpstr>
      <vt:lpstr>FFSTART</vt:lpstr>
      <vt:lpstr>FHNRICH</vt:lpstr>
      <vt:lpstr>FK</vt:lpstr>
      <vt:lpstr>FKMOD</vt:lpstr>
      <vt:lpstr>FKSTART</vt:lpstr>
      <vt:lpstr>GABENALLE</vt:lpstr>
      <vt:lpstr>GARDIST</vt:lpstr>
      <vt:lpstr>GE</vt:lpstr>
      <vt:lpstr>GE_T</vt:lpstr>
      <vt:lpstr>GEF_STERNE</vt:lpstr>
      <vt:lpstr>GEHESPR</vt:lpstr>
      <vt:lpstr>GEMOD</vt:lpstr>
      <vt:lpstr>GEODEN</vt:lpstr>
      <vt:lpstr>GESELL</vt:lpstr>
      <vt:lpstr>GESELL_ALL</vt:lpstr>
      <vt:lpstr>GESTART</vt:lpstr>
      <vt:lpstr>GEW_BEGABUNG</vt:lpstr>
      <vt:lpstr>GEW_UNFAEH</vt:lpstr>
      <vt:lpstr>GEWEIHTER</vt:lpstr>
      <vt:lpstr>GIFT</vt:lpstr>
      <vt:lpstr>GIFT_WERTE</vt:lpstr>
      <vt:lpstr>GIFTGP</vt:lpstr>
      <vt:lpstr>GLADIATOR</vt:lpstr>
      <vt:lpstr>GOETTER</vt:lpstr>
      <vt:lpstr>GOETTER_ALL</vt:lpstr>
      <vt:lpstr>GOETTER_EIGN</vt:lpstr>
      <vt:lpstr>GOETTER_LIST</vt:lpstr>
      <vt:lpstr>GP</vt:lpstr>
      <vt:lpstr>GPEIGEN</vt:lpstr>
      <vt:lpstr>GPEXTRA</vt:lpstr>
      <vt:lpstr>GPNACHTEILE</vt:lpstr>
      <vt:lpstr>GPSONDER</vt:lpstr>
      <vt:lpstr>GPSTART</vt:lpstr>
      <vt:lpstr>GPVORTEILE</vt:lpstr>
      <vt:lpstr>GRADE</vt:lpstr>
      <vt:lpstr>GS</vt:lpstr>
      <vt:lpstr>GS_AUSRUFER</vt:lpstr>
      <vt:lpstr>GS_BARDE</vt:lpstr>
      <vt:lpstr>GS_BETTLER</vt:lpstr>
      <vt:lpstr>GS_DIEB</vt:lpstr>
      <vt:lpstr>GS_EINBRECHER</vt:lpstr>
      <vt:lpstr>GS_GAUKLER</vt:lpstr>
      <vt:lpstr>GS_HAENDLER</vt:lpstr>
      <vt:lpstr>GS_HEROLD</vt:lpstr>
      <vt:lpstr>GS_HOFKUNST</vt:lpstr>
      <vt:lpstr>GS_HOFLING</vt:lpstr>
      <vt:lpstr>GS_KURTISAN</vt:lpstr>
      <vt:lpstr>GS_PRVLEHRER</vt:lpstr>
      <vt:lpstr>GS_SCHRIFTSTLR</vt:lpstr>
      <vt:lpstr>GS_SPITZEL</vt:lpstr>
      <vt:lpstr>GS_STREUNER</vt:lpstr>
      <vt:lpstr>GS_TAUGNCHT</vt:lpstr>
      <vt:lpstr>GS_WIRT</vt:lpstr>
      <vt:lpstr>GSMOD</vt:lpstr>
      <vt:lpstr>GSSTART</vt:lpstr>
      <vt:lpstr>H_ACHAZ</vt:lpstr>
      <vt:lpstr>H_BADER</vt:lpstr>
      <vt:lpstr>H_BAUER</vt:lpstr>
      <vt:lpstr>H_BERGMAN</vt:lpstr>
      <vt:lpstr>H_DOMESTIK</vt:lpstr>
      <vt:lpstr>H_EDELHWK</vt:lpstr>
      <vt:lpstr>H_FERKINA</vt:lpstr>
      <vt:lpstr>H_GELEHRTER</vt:lpstr>
      <vt:lpstr>H_HWK</vt:lpstr>
      <vt:lpstr>H_NORDEN</vt:lpstr>
      <vt:lpstr>H_ORK</vt:lpstr>
      <vt:lpstr>H_RATTENFNG</vt:lpstr>
      <vt:lpstr>H_SCHREIBER</vt:lpstr>
      <vt:lpstr>H_TAGELNER</vt:lpstr>
      <vt:lpstr>H_TIERBNDGR</vt:lpstr>
      <vt:lpstr>H_WUNDARZT</vt:lpstr>
      <vt:lpstr>HANDW</vt:lpstr>
      <vt:lpstr>HANDW_ALL</vt:lpstr>
      <vt:lpstr>HBC_2STUDIUM</vt:lpstr>
      <vt:lpstr>HBC_ANG_L</vt:lpstr>
      <vt:lpstr>HBC_ANG_L_AP</vt:lpstr>
      <vt:lpstr>HBC_ANG_R</vt:lpstr>
      <vt:lpstr>HBC_ANG_R_AP</vt:lpstr>
      <vt:lpstr>HBC_AP</vt:lpstr>
      <vt:lpstr>HBC_ARTEFAKT</vt:lpstr>
      <vt:lpstr>HBC_BEMERKUNGEN</vt:lpstr>
      <vt:lpstr>HBC_FERNWF</vt:lpstr>
      <vt:lpstr>HBC_FREI_VORNACH</vt:lpstr>
      <vt:lpstr>HBC_HB1</vt:lpstr>
      <vt:lpstr>HBC_HB2</vt:lpstr>
      <vt:lpstr>HBC_HB3</vt:lpstr>
      <vt:lpstr>HBC_HB4</vt:lpstr>
      <vt:lpstr>HBC_HB5</vt:lpstr>
      <vt:lpstr>HBC_HB6</vt:lpstr>
      <vt:lpstr>HBC_HOCHSCHAMAN</vt:lpstr>
      <vt:lpstr>HBC_HZ_I</vt:lpstr>
      <vt:lpstr>HBC_HZ_KP</vt:lpstr>
      <vt:lpstr>HBC_HZ_W</vt:lpstr>
      <vt:lpstr>HBC_LK</vt:lpstr>
      <vt:lpstr>HBC_LK_AP</vt:lpstr>
      <vt:lpstr>HBC_MRK</vt:lpstr>
      <vt:lpstr>HBC_MRK_AP</vt:lpstr>
      <vt:lpstr>HBC_MRK_MK</vt:lpstr>
      <vt:lpstr>HBC_MRK_OLD</vt:lpstr>
      <vt:lpstr>HBC_MRK_W</vt:lpstr>
      <vt:lpstr>HBC_NACHTEILE</vt:lpstr>
      <vt:lpstr>HBC_NAHWF</vt:lpstr>
      <vt:lpstr>HBC_PROF_ART</vt:lpstr>
      <vt:lpstr>HBC_R_BASIS</vt:lpstr>
      <vt:lpstr>HBC_R_EIGN</vt:lpstr>
      <vt:lpstr>HBC_R_GABEN</vt:lpstr>
      <vt:lpstr>HBC_REP</vt:lpstr>
      <vt:lpstr>HBC_REP_AP</vt:lpstr>
      <vt:lpstr>HBC_RGW_ART</vt:lpstr>
      <vt:lpstr>HBC_RITUALE</vt:lpstr>
      <vt:lpstr>HBC_RITUALE_AP</vt:lpstr>
      <vt:lpstr>HBC_RITUALF</vt:lpstr>
      <vt:lpstr>HBC_RK</vt:lpstr>
      <vt:lpstr>HBC_RK_AP</vt:lpstr>
      <vt:lpstr>HBC_RK_W</vt:lpstr>
      <vt:lpstr>HBC_RUESTUNG</vt:lpstr>
      <vt:lpstr>HBC_SCH_R</vt:lpstr>
      <vt:lpstr>HBC_SCHILD</vt:lpstr>
      <vt:lpstr>HBC_SF_ALLG</vt:lpstr>
      <vt:lpstr>HBC_SF_ALLG_W</vt:lpstr>
      <vt:lpstr>HBC_SF_FERN</vt:lpstr>
      <vt:lpstr>HBC_SF_FERN_W</vt:lpstr>
      <vt:lpstr>HBC_SF_KARM</vt:lpstr>
      <vt:lpstr>HBC_SF_KARM_ART</vt:lpstr>
      <vt:lpstr>HBC_SF_KARM_W</vt:lpstr>
      <vt:lpstr>HBC_SF_KK_W</vt:lpstr>
      <vt:lpstr>HBC_SF_MAG</vt:lpstr>
      <vt:lpstr>HBC_SF_MAG_W</vt:lpstr>
      <vt:lpstr>HBC_SF_NAH</vt:lpstr>
      <vt:lpstr>HBC_SF_NAH_W</vt:lpstr>
      <vt:lpstr>HBC_SF_OK_W</vt:lpstr>
      <vt:lpstr>HBC_SF_SCHUETZE</vt:lpstr>
      <vt:lpstr>HBC_SF_WLOS</vt:lpstr>
      <vt:lpstr>HBC_SF_WLOS_W</vt:lpstr>
      <vt:lpstr>HBC_SPAETWEIHE</vt:lpstr>
      <vt:lpstr>HBC_SPEZ_K</vt:lpstr>
      <vt:lpstr>HBC_SPEZ_T</vt:lpstr>
      <vt:lpstr>HBC_SPRACHEN_AP</vt:lpstr>
      <vt:lpstr>HBC_SPRACHEN_SE</vt:lpstr>
      <vt:lpstr>HBC_SPRACHEN_TL</vt:lpstr>
      <vt:lpstr>HBC_SPRACHEN_W</vt:lpstr>
      <vt:lpstr>HBC_START_EIGN</vt:lpstr>
      <vt:lpstr>HBC_SZ_I</vt:lpstr>
      <vt:lpstr>HBC_SZ_KP</vt:lpstr>
      <vt:lpstr>HBC_SZ_W</vt:lpstr>
      <vt:lpstr>HBC_TALENTE_AP</vt:lpstr>
      <vt:lpstr>HBC_TALENTE_EIGENE</vt:lpstr>
      <vt:lpstr>HBC_TALENTE_SE</vt:lpstr>
      <vt:lpstr>HBC_TALENTE_TL</vt:lpstr>
      <vt:lpstr>HBC_TALENTE_W</vt:lpstr>
      <vt:lpstr>HBC_V_TIER</vt:lpstr>
      <vt:lpstr>HBC_V_TIER_AP</vt:lpstr>
      <vt:lpstr>HBC_V_TIER_GEN</vt:lpstr>
      <vt:lpstr>HBC_VORTEILE</vt:lpstr>
      <vt:lpstr>HBC_WFLK</vt:lpstr>
      <vt:lpstr>HBC_WM_FERN</vt:lpstr>
      <vt:lpstr>HBC_WM_PERS</vt:lpstr>
      <vt:lpstr>HBC_WM_RUEST</vt:lpstr>
      <vt:lpstr>HBC_WM_SCHILD</vt:lpstr>
      <vt:lpstr>HBC_WM_WLOS</vt:lpstr>
      <vt:lpstr>HBC_WW</vt:lpstr>
      <vt:lpstr>HBC_Z_ARC</vt:lpstr>
      <vt:lpstr>HBC_Z_ARC_AP</vt:lpstr>
      <vt:lpstr>HBC_Z_ERLERNT_AP</vt:lpstr>
      <vt:lpstr>HBC_Z_ERLERNT_TL</vt:lpstr>
      <vt:lpstr>HBC_Z_HAUS_AP</vt:lpstr>
      <vt:lpstr>HBC_Z_HAUS_TL</vt:lpstr>
      <vt:lpstr>HBC_Z_RITUAL_AP</vt:lpstr>
      <vt:lpstr>HBC_Z_RK_AP</vt:lpstr>
      <vt:lpstr>HBC_Z_SONSTIG</vt:lpstr>
      <vt:lpstr>HBC_Z_SONSTIG_AP</vt:lpstr>
      <vt:lpstr>HBC_Z_SONSTIG_TL</vt:lpstr>
      <vt:lpstr>HBC_Z_START_AP</vt:lpstr>
      <vt:lpstr>HBC_Z_START_TL</vt:lpstr>
      <vt:lpstr>HBC_ZSPEZ_ARCANOVI</vt:lpstr>
      <vt:lpstr>HBC_ZSPEZ_ERLERNT</vt:lpstr>
      <vt:lpstr>HBC_ZSPEZ_HAUS</vt:lpstr>
      <vt:lpstr>HBC_ZSPEZ_START</vt:lpstr>
      <vt:lpstr>HBC_ZSPEZ_WEITERE</vt:lpstr>
      <vt:lpstr>HBC_ZZ</vt:lpstr>
      <vt:lpstr>HBC_ZZ_AP</vt:lpstr>
      <vt:lpstr>HBC_ZZ_W</vt:lpstr>
      <vt:lpstr>HEIGENSCHFT</vt:lpstr>
      <vt:lpstr>HEIGENSCHFTGP</vt:lpstr>
      <vt:lpstr>HELDENNAME</vt:lpstr>
      <vt:lpstr>HEXEN</vt:lpstr>
      <vt:lpstr>HNDGEM</vt:lpstr>
      <vt:lpstr>HNDMENALLE</vt:lpstr>
      <vt:lpstr>HRSSINN</vt:lpstr>
      <vt:lpstr>HZALLE</vt:lpstr>
      <vt:lpstr>IDX_A</vt:lpstr>
      <vt:lpstr>IDX_ANZ_ÜBER_BEG</vt:lpstr>
      <vt:lpstr>IDX_E</vt:lpstr>
      <vt:lpstr>IDX_EIGN</vt:lpstr>
      <vt:lpstr>IDX_FK</vt:lpstr>
      <vt:lpstr>IDX_FREMDREP</vt:lpstr>
      <vt:lpstr>IDX_GLK</vt:lpstr>
      <vt:lpstr>IDX_K</vt:lpstr>
      <vt:lpstr>IDX_KE</vt:lpstr>
      <vt:lpstr>IDX_L</vt:lpstr>
      <vt:lpstr>IDX_L_0</vt:lpstr>
      <vt:lpstr>IDX_LEIT</vt:lpstr>
      <vt:lpstr>IDX_LITD</vt:lpstr>
      <vt:lpstr>IDX_LITG</vt:lpstr>
      <vt:lpstr>IDX_LITR</vt:lpstr>
      <vt:lpstr>IDX_LITURG</vt:lpstr>
      <vt:lpstr>IDX_LITW</vt:lpstr>
      <vt:lpstr>IDX_LITZ</vt:lpstr>
      <vt:lpstr>IDX_M</vt:lpstr>
      <vt:lpstr>IDX_MIRAKEL</vt:lpstr>
      <vt:lpstr>IDX_MRK</vt:lpstr>
      <vt:lpstr>IDX_NK</vt:lpstr>
      <vt:lpstr>IDX_P_GESELL</vt:lpstr>
      <vt:lpstr>IDX_P_GOETTER</vt:lpstr>
      <vt:lpstr>IDX_P_HWK</vt:lpstr>
      <vt:lpstr>IDX_P_KAMPF</vt:lpstr>
      <vt:lpstr>IDX_P_MAG</vt:lpstr>
      <vt:lpstr>IDX_P_WILD</vt:lpstr>
      <vt:lpstr>IDX_R</vt:lpstr>
      <vt:lpstr>IDX_REP</vt:lpstr>
      <vt:lpstr>IDX_RK</vt:lpstr>
      <vt:lpstr>IDX_RKW</vt:lpstr>
      <vt:lpstr>IDX_S</vt:lpstr>
      <vt:lpstr>IDX_SCHA</vt:lpstr>
      <vt:lpstr>IDX_SCHARK</vt:lpstr>
      <vt:lpstr>IDX_SF_KK</vt:lpstr>
      <vt:lpstr>IDX_T</vt:lpstr>
      <vt:lpstr>IDX_TALENTE</vt:lpstr>
      <vt:lpstr>IDX_TSP</vt:lpstr>
      <vt:lpstr>IDX_VA</vt:lpstr>
      <vt:lpstr>IDX_VFK</vt:lpstr>
      <vt:lpstr>IDX_VK</vt:lpstr>
      <vt:lpstr>IDX_VM</vt:lpstr>
      <vt:lpstr>IDX_VMRK</vt:lpstr>
      <vt:lpstr>IDX_VNK</vt:lpstr>
      <vt:lpstr>IDX_VORAUSSETZUNG</vt:lpstr>
      <vt:lpstr>IDX_VPZAUBER</vt:lpstr>
      <vt:lpstr>IDX_VR</vt:lpstr>
      <vt:lpstr>IDX_VREP</vt:lpstr>
      <vt:lpstr>IDX_VWL</vt:lpstr>
      <vt:lpstr>IDX_WA</vt:lpstr>
      <vt:lpstr>IDX_WBSK</vt:lpstr>
      <vt:lpstr>IDX_WFK</vt:lpstr>
      <vt:lpstr>IDX_WHZ</vt:lpstr>
      <vt:lpstr>IDX_WK</vt:lpstr>
      <vt:lpstr>IDX_WL</vt:lpstr>
      <vt:lpstr>IDX_WM</vt:lpstr>
      <vt:lpstr>IDX_WMRK</vt:lpstr>
      <vt:lpstr>IDX_WNK</vt:lpstr>
      <vt:lpstr>IDX_WNT</vt:lpstr>
      <vt:lpstr>IDX_WREP</vt:lpstr>
      <vt:lpstr>IDX_WS</vt:lpstr>
      <vt:lpstr>IDX_WSZ</vt:lpstr>
      <vt:lpstr>IDX_WVA</vt:lpstr>
      <vt:lpstr>IDX_WVBSK</vt:lpstr>
      <vt:lpstr>IDX_WVFK</vt:lpstr>
      <vt:lpstr>IDX_WVK</vt:lpstr>
      <vt:lpstr>IDX_WVM</vt:lpstr>
      <vt:lpstr>IDX_WVMRK</vt:lpstr>
      <vt:lpstr>IDX_WVNK</vt:lpstr>
      <vt:lpstr>IDX_WVREP</vt:lpstr>
      <vt:lpstr>IDX_WVT</vt:lpstr>
      <vt:lpstr>IDX_WVWLOS</vt:lpstr>
      <vt:lpstr>IDX_WWLOS</vt:lpstr>
      <vt:lpstr>IDX_Z</vt:lpstr>
      <vt:lpstr>IDX_ZAUF</vt:lpstr>
      <vt:lpstr>IN</vt:lpstr>
      <vt:lpstr>IN_T</vt:lpstr>
      <vt:lpstr>INI</vt:lpstr>
      <vt:lpstr>INIMOD</vt:lpstr>
      <vt:lpstr>INISTART</vt:lpstr>
      <vt:lpstr>INMOD</vt:lpstr>
      <vt:lpstr>INSTART</vt:lpstr>
      <vt:lpstr>KAMPF</vt:lpstr>
      <vt:lpstr>KAMPF_ALL</vt:lpstr>
      <vt:lpstr>KE</vt:lpstr>
      <vt:lpstr>KEMOD</vt:lpstr>
      <vt:lpstr>KESTART</vt:lpstr>
      <vt:lpstr>KEZU</vt:lpstr>
      <vt:lpstr>KK</vt:lpstr>
      <vt:lpstr>KK_T</vt:lpstr>
      <vt:lpstr>KKMOD</vt:lpstr>
      <vt:lpstr>KKSTART</vt:lpstr>
      <vt:lpstr>KL</vt:lpstr>
      <vt:lpstr>KL_T</vt:lpstr>
      <vt:lpstr>KLMOD</vt:lpstr>
      <vt:lpstr>KLSTART</vt:lpstr>
      <vt:lpstr>KNAPPE</vt:lpstr>
      <vt:lpstr>KO</vt:lpstr>
      <vt:lpstr>KO_T</vt:lpstr>
      <vt:lpstr>KOMOD</vt:lpstr>
      <vt:lpstr>KOPF</vt:lpstr>
      <vt:lpstr>KOSTART</vt:lpstr>
      <vt:lpstr>KPFALLETL</vt:lpstr>
      <vt:lpstr>KPFFERNSON</vt:lpstr>
      <vt:lpstr>KPFGESPÜR</vt:lpstr>
      <vt:lpstr>KPFGRP</vt:lpstr>
      <vt:lpstr>KPFNAHSON</vt:lpstr>
      <vt:lpstr>KPFREFLEXE</vt:lpstr>
      <vt:lpstr>KPFSON</vt:lpstr>
      <vt:lpstr>KPFTALENTE</vt:lpstr>
      <vt:lpstr>KRANKHEIT</vt:lpstr>
      <vt:lpstr>KRANKHEITGP</vt:lpstr>
      <vt:lpstr>KRIEGER</vt:lpstr>
      <vt:lpstr>KRSTMTEN</vt:lpstr>
      <vt:lpstr>KTL_fuer_GP</vt:lpstr>
      <vt:lpstr>KULTUR</vt:lpstr>
      <vt:lpstr>KULTUREN</vt:lpstr>
      <vt:lpstr>KULTUREN_NOLIMIT</vt:lpstr>
      <vt:lpstr>KULTUREN_PROF</vt:lpstr>
      <vt:lpstr>KULTUREN_PROFSORT</vt:lpstr>
      <vt:lpstr>KULTUREN_PROFSTR</vt:lpstr>
      <vt:lpstr>KULTUREN_RASSE</vt:lpstr>
      <vt:lpstr>KULTURGENE</vt:lpstr>
      <vt:lpstr>KW_FERN1</vt:lpstr>
      <vt:lpstr>KW_FERN1_FK</vt:lpstr>
      <vt:lpstr>KW_FERN1_TP</vt:lpstr>
      <vt:lpstr>KW_FERN2</vt:lpstr>
      <vt:lpstr>KW_FERN3</vt:lpstr>
      <vt:lpstr>KW_FERNGESCH1</vt:lpstr>
      <vt:lpstr>KW_FERNGESCH2</vt:lpstr>
      <vt:lpstr>KW_FERNGESCH3</vt:lpstr>
      <vt:lpstr>KW_NAH1</vt:lpstr>
      <vt:lpstr>KW_NAH1_AT</vt:lpstr>
      <vt:lpstr>KW_NAH1_BF</vt:lpstr>
      <vt:lpstr>KW_NAH1_INI</vt:lpstr>
      <vt:lpstr>KW_NAH1_PA</vt:lpstr>
      <vt:lpstr>KW_NAH1_TP</vt:lpstr>
      <vt:lpstr>KW_NAH1_TPT</vt:lpstr>
      <vt:lpstr>KW_NAH1_W2</vt:lpstr>
      <vt:lpstr>KW_NAH1_WMAT</vt:lpstr>
      <vt:lpstr>KW_NAH1_WMPA</vt:lpstr>
      <vt:lpstr>KW_NAH2</vt:lpstr>
      <vt:lpstr>KW_NAH2_BF</vt:lpstr>
      <vt:lpstr>KW_NAH2_INI</vt:lpstr>
      <vt:lpstr>KW_NAH2_TP</vt:lpstr>
      <vt:lpstr>KW_NAH2_W2</vt:lpstr>
      <vt:lpstr>KW_NAH2_WMAT</vt:lpstr>
      <vt:lpstr>KW_NAH2_WMPA</vt:lpstr>
      <vt:lpstr>KW_NAH3</vt:lpstr>
      <vt:lpstr>KW_NAH3_BF</vt:lpstr>
      <vt:lpstr>KW_NAH3_INI</vt:lpstr>
      <vt:lpstr>KW_NAH3_TP</vt:lpstr>
      <vt:lpstr>KW_NAH3_W2</vt:lpstr>
      <vt:lpstr>KW_NAH3_WMAT</vt:lpstr>
      <vt:lpstr>KW_NAH3_WMPA</vt:lpstr>
      <vt:lpstr>KW_NAH4</vt:lpstr>
      <vt:lpstr>KW_NAH4_BF</vt:lpstr>
      <vt:lpstr>KW_NAH4_INI</vt:lpstr>
      <vt:lpstr>KW_NAH4_TP</vt:lpstr>
      <vt:lpstr>KW_NAH4_W2</vt:lpstr>
      <vt:lpstr>KW_NAH4_WMAT</vt:lpstr>
      <vt:lpstr>KW_NAH4_WMPA</vt:lpstr>
      <vt:lpstr>KW_NAH5</vt:lpstr>
      <vt:lpstr>KW_NAH5_BF</vt:lpstr>
      <vt:lpstr>KW_NAH5_INI</vt:lpstr>
      <vt:lpstr>KW_NAH5_TP</vt:lpstr>
      <vt:lpstr>KW_NAH5_W2</vt:lpstr>
      <vt:lpstr>KW_NAH5_WMAT</vt:lpstr>
      <vt:lpstr>KW_NAH5_WMPA</vt:lpstr>
      <vt:lpstr>KW_SCHILD1</vt:lpstr>
      <vt:lpstr>KW_SCHILD2</vt:lpstr>
      <vt:lpstr>LARM</vt:lpstr>
      <vt:lpstr>LE</vt:lpstr>
      <vt:lpstr>LEER</vt:lpstr>
      <vt:lpstr>LEHRMSTR</vt:lpstr>
      <vt:lpstr>LEITEIGENSCHAFT</vt:lpstr>
      <vt:lpstr>LEMOD</vt:lpstr>
      <vt:lpstr>LESTART</vt:lpstr>
      <vt:lpstr>LEZU</vt:lpstr>
      <vt:lpstr>LIST_K_G</vt:lpstr>
      <vt:lpstr>LIST_R_K</vt:lpstr>
      <vt:lpstr>LIT_0</vt:lpstr>
      <vt:lpstr>LIT_0_JA</vt:lpstr>
      <vt:lpstr>LIT_ALL</vt:lpstr>
      <vt:lpstr>LIT_I</vt:lpstr>
      <vt:lpstr>LIT_II</vt:lpstr>
      <vt:lpstr>LIT_III</vt:lpstr>
      <vt:lpstr>LIT_IV</vt:lpstr>
      <vt:lpstr>LIT_RIT_ALL</vt:lpstr>
      <vt:lpstr>LIT_V</vt:lpstr>
      <vt:lpstr>LIT_VI</vt:lpstr>
      <vt:lpstr>Liturgien</vt:lpstr>
      <vt:lpstr>Liturgien_Aktiv</vt:lpstr>
      <vt:lpstr>Liturgien_all</vt:lpstr>
      <vt:lpstr>Liturgien_Angehoben</vt:lpstr>
      <vt:lpstr>LITURGIEN_GOETTER</vt:lpstr>
      <vt:lpstr>LiturgienI</vt:lpstr>
      <vt:lpstr>LiturgienII</vt:lpstr>
      <vt:lpstr>LiturgienIII</vt:lpstr>
      <vt:lpstr>LiturgienIV</vt:lpstr>
      <vt:lpstr>LiturgienV</vt:lpstr>
      <vt:lpstr>LiturgienVI</vt:lpstr>
      <vt:lpstr>MAGAKADMN</vt:lpstr>
      <vt:lpstr>MAGIE</vt:lpstr>
      <vt:lpstr>MAGIE_ALL</vt:lpstr>
      <vt:lpstr>MAGISCH</vt:lpstr>
      <vt:lpstr>MAGISCH_EIGN</vt:lpstr>
      <vt:lpstr>MEDITATION</vt:lpstr>
      <vt:lpstr>MEDITATION_START</vt:lpstr>
      <vt:lpstr>MERKMALE</vt:lpstr>
      <vt:lpstr>MERKMALE_AP</vt:lpstr>
      <vt:lpstr>MIRAKEL_MIN</vt:lpstr>
      <vt:lpstr>MIRAKEL_PLUS</vt:lpstr>
      <vt:lpstr>MR</vt:lpstr>
      <vt:lpstr>MRMOD</vt:lpstr>
      <vt:lpstr>MRSTART</vt:lpstr>
      <vt:lpstr>MRZU</vt:lpstr>
      <vt:lpstr>MU</vt:lpstr>
      <vt:lpstr>MU_T</vt:lpstr>
      <vt:lpstr>MUMOD</vt:lpstr>
      <vt:lpstr>MUSTART</vt:lpstr>
      <vt:lpstr>Mut</vt:lpstr>
      <vt:lpstr>NACHTEILE</vt:lpstr>
      <vt:lpstr>NACHTEILE_NATIV</vt:lpstr>
      <vt:lpstr>NACHTEILE_RKPROF</vt:lpstr>
      <vt:lpstr>NACHTEILEGENE</vt:lpstr>
      <vt:lpstr>NACHTEILEGES</vt:lpstr>
      <vt:lpstr>NACHTEILEVARGP</vt:lpstr>
      <vt:lpstr>NAHFERNWURF</vt:lpstr>
      <vt:lpstr>NMAG</vt:lpstr>
      <vt:lpstr>NT_ALBINO</vt:lpstr>
      <vt:lpstr>NT_ANIMALMAGIE</vt:lpstr>
      <vt:lpstr>NT_ASP</vt:lpstr>
      <vt:lpstr>NT_ASP_WERT</vt:lpstr>
      <vt:lpstr>NT_ASTRBLOCK</vt:lpstr>
      <vt:lpstr>NT_AU</vt:lpstr>
      <vt:lpstr>NT_AU_WERT</vt:lpstr>
      <vt:lpstr>NT_BEHÄBIG</vt:lpstr>
      <vt:lpstr>NT_EINBEINIG</vt:lpstr>
      <vt:lpstr>NT_ELFWELT</vt:lpstr>
      <vt:lpstr>NT_FEHLER</vt:lpstr>
      <vt:lpstr>NT_FESTDENKEN</vt:lpstr>
      <vt:lpstr>NT_FETTLEIBIG</vt:lpstr>
      <vt:lpstr>NT_GENE</vt:lpstr>
      <vt:lpstr>NT_GLASKNOCHEN</vt:lpstr>
      <vt:lpstr>NT_HEIMKRANK</vt:lpstr>
      <vt:lpstr>NT_KLEINWÜCHSIG</vt:lpstr>
      <vt:lpstr>NT_KULTUR</vt:lpstr>
      <vt:lpstr>NT_LAHM</vt:lpstr>
      <vt:lpstr>NT_LEP</vt:lpstr>
      <vt:lpstr>NT_LEP_WERT</vt:lpstr>
      <vt:lpstr>NT_MEIGEN</vt:lpstr>
      <vt:lpstr>NT_MEIGEN_WERT</vt:lpstr>
      <vt:lpstr>NT_MR</vt:lpstr>
      <vt:lpstr>NT_MR_WERT</vt:lpstr>
      <vt:lpstr>NT_PRINZIP</vt:lpstr>
      <vt:lpstr>NT_PRINZIP_NT</vt:lpstr>
      <vt:lpstr>NT_PRINZIP_NW</vt:lpstr>
      <vt:lpstr>NT_PRINZIP_TXT</vt:lpstr>
      <vt:lpstr>NT_PRINZIP_WERT</vt:lpstr>
      <vt:lpstr>NT_PROFESSION</vt:lpstr>
      <vt:lpstr>NT_RASSE</vt:lpstr>
      <vt:lpstr>NT_RAUBTGER</vt:lpstr>
      <vt:lpstr>NT_REGNRTN</vt:lpstr>
      <vt:lpstr>NT_SCHL_EIGEN</vt:lpstr>
      <vt:lpstr>NT_SCHWACHAUS</vt:lpstr>
      <vt:lpstr>NT_SCHWANZLOS</vt:lpstr>
      <vt:lpstr>NT_SEIGEN_WERTE</vt:lpstr>
      <vt:lpstr>NT_SPEISE</vt:lpstr>
      <vt:lpstr>NT_SPEISE_NW</vt:lpstr>
      <vt:lpstr>NT_SPEISE_WERT</vt:lpstr>
      <vt:lpstr>NT_STUBENHKR</vt:lpstr>
      <vt:lpstr>NT_TOTENANGST</vt:lpstr>
      <vt:lpstr>NT_UNF_TGR</vt:lpstr>
      <vt:lpstr>NT_UNF_TGR_WERT</vt:lpstr>
      <vt:lpstr>NT_UNFMERKMAL</vt:lpstr>
      <vt:lpstr>NT_UNFREI_WERT</vt:lpstr>
      <vt:lpstr>NT_UNFTALENTE</vt:lpstr>
      <vt:lpstr>NT_UNFTALENTGR</vt:lpstr>
      <vt:lpstr>NT_UNGEBILDET</vt:lpstr>
      <vt:lpstr>NT_UNGEBILDET_WERT</vt:lpstr>
      <vt:lpstr>NT_Unstet</vt:lpstr>
      <vt:lpstr>NT_VERPFLICHT</vt:lpstr>
      <vt:lpstr>NT_VERPFLICHT_NW</vt:lpstr>
      <vt:lpstr>NT_VERPFLICHT_WERT</vt:lpstr>
      <vt:lpstr>NT_VERWÖHNT</vt:lpstr>
      <vt:lpstr>NT_WID_AUSSEHEN</vt:lpstr>
      <vt:lpstr>NT_ZOEGZAUBERER</vt:lpstr>
      <vt:lpstr>NT_ZWERGENWUCHS</vt:lpstr>
      <vt:lpstr>NTUNFMERKMAL</vt:lpstr>
      <vt:lpstr>PA</vt:lpstr>
      <vt:lpstr>PA_2HNDFLEGEL</vt:lpstr>
      <vt:lpstr>PA_2HNDHIEBWFN</vt:lpstr>
      <vt:lpstr>PA_2HNDSCHWERTER</vt:lpstr>
      <vt:lpstr>PA_ANDERTHALBHD</vt:lpstr>
      <vt:lpstr>PA_DOLCHE</vt:lpstr>
      <vt:lpstr>PA_FECHTWFN</vt:lpstr>
      <vt:lpstr>PA_HIEBWFN</vt:lpstr>
      <vt:lpstr>PA_INFANTERIEWFN</vt:lpstr>
      <vt:lpstr>PA_KETTENSTAEBE</vt:lpstr>
      <vt:lpstr>PA_KETTENWFN</vt:lpstr>
      <vt:lpstr>PA_RAUFEN</vt:lpstr>
      <vt:lpstr>PA_RINGEN</vt:lpstr>
      <vt:lpstr>PA_SAEBEL</vt:lpstr>
      <vt:lpstr>PA_SCHWERTER</vt:lpstr>
      <vt:lpstr>PA_SPEERE</vt:lpstr>
      <vt:lpstr>PA_STAEBE</vt:lpstr>
      <vt:lpstr>PAMOD</vt:lpstr>
      <vt:lpstr>pAsP</vt:lpstr>
      <vt:lpstr>PASTART</vt:lpstr>
      <vt:lpstr>PERSONEN</vt:lpstr>
      <vt:lpstr>PERSZAU</vt:lpstr>
      <vt:lpstr>PROF1_ZTAUFW</vt:lpstr>
      <vt:lpstr>PROF2_ZTAUFW</vt:lpstr>
      <vt:lpstr>PROF2GEB_LIST</vt:lpstr>
      <vt:lpstr>PROFEIGEN</vt:lpstr>
      <vt:lpstr>PROFGEB_DLIST</vt:lpstr>
      <vt:lpstr>PROFGEB_LIST</vt:lpstr>
      <vt:lpstr>PROFGEB_TAB</vt:lpstr>
      <vt:lpstr>PROFGEBGENE</vt:lpstr>
      <vt:lpstr>PROFGEBIET</vt:lpstr>
      <vt:lpstr>PROFGEBIET2</vt:lpstr>
      <vt:lpstr>PROFGEBZWEITE</vt:lpstr>
      <vt:lpstr>PROFGENE</vt:lpstr>
      <vt:lpstr>PROFGES</vt:lpstr>
      <vt:lpstr>PROFGOET</vt:lpstr>
      <vt:lpstr>PROFGRDGENE</vt:lpstr>
      <vt:lpstr>PROFGRDZWEITE</vt:lpstr>
      <vt:lpstr>PROFHWK</vt:lpstr>
      <vt:lpstr>PROFKAMPF</vt:lpstr>
      <vt:lpstr>PROFLEER</vt:lpstr>
      <vt:lpstr>PROFMAGIE</vt:lpstr>
      <vt:lpstr>PROFSPTWHE</vt:lpstr>
      <vt:lpstr>PROFWIL</vt:lpstr>
      <vt:lpstr>PROFZWEITE</vt:lpstr>
      <vt:lpstr>RARM</vt:lpstr>
      <vt:lpstr>RASSE</vt:lpstr>
      <vt:lpstr>RASSE_ELF</vt:lpstr>
      <vt:lpstr>RASSE_HALBELF</vt:lpstr>
      <vt:lpstr>RASSE_ORK</vt:lpstr>
      <vt:lpstr>RASSE_ZWERG</vt:lpstr>
      <vt:lpstr>RASSEGENE</vt:lpstr>
      <vt:lpstr>RASSEN</vt:lpstr>
      <vt:lpstr>RASSEN_PROF</vt:lpstr>
      <vt:lpstr>REPRAES</vt:lpstr>
      <vt:lpstr>RIT_APPORT</vt:lpstr>
      <vt:lpstr>RIT_BANN</vt:lpstr>
      <vt:lpstr>RIT_DRUIDE</vt:lpstr>
      <vt:lpstr>RIT_ELF</vt:lpstr>
      <vt:lpstr>RIT_GEODE</vt:lpstr>
      <vt:lpstr>RIT_HEXE</vt:lpstr>
      <vt:lpstr>RIT_KEULE</vt:lpstr>
      <vt:lpstr>RIT_KRISTALL</vt:lpstr>
      <vt:lpstr>RIT_KUGEL</vt:lpstr>
      <vt:lpstr>RIT_ODUN</vt:lpstr>
      <vt:lpstr>RIT_SCHALE</vt:lpstr>
      <vt:lpstr>RIT_SCHUPPEN</vt:lpstr>
      <vt:lpstr>RIT_SEHER</vt:lpstr>
      <vt:lpstr>RIT_STAB</vt:lpstr>
      <vt:lpstr>RIT_TANZ</vt:lpstr>
      <vt:lpstr>RIT_TROMMEL</vt:lpstr>
      <vt:lpstr>RIT_ZIB</vt:lpstr>
      <vt:lpstr>RITUAL_KAT</vt:lpstr>
      <vt:lpstr>RITUAL_KAT_WERT</vt:lpstr>
      <vt:lpstr>RITUALDAUER</vt:lpstr>
      <vt:lpstr>RITUALDAUER_S</vt:lpstr>
      <vt:lpstr>RITUALDAUER_S_WERT</vt:lpstr>
      <vt:lpstr>RITUALDAUER_WERT</vt:lpstr>
      <vt:lpstr>RITUALE</vt:lpstr>
      <vt:lpstr>Rituale_Aktiv</vt:lpstr>
      <vt:lpstr>RITUALEHELD</vt:lpstr>
      <vt:lpstr>RITUALEWERTE</vt:lpstr>
      <vt:lpstr>RITUALKENNTNIS</vt:lpstr>
      <vt:lpstr>RS</vt:lpstr>
      <vt:lpstr>RSTGGEW</vt:lpstr>
      <vt:lpstr>RSTNG</vt:lpstr>
      <vt:lpstr>RSTNGALLE</vt:lpstr>
      <vt:lpstr>RUECKEN</vt:lpstr>
      <vt:lpstr>RUNEN</vt:lpstr>
      <vt:lpstr>RUNEN_ALLE</vt:lpstr>
      <vt:lpstr>SCHAMANE</vt:lpstr>
      <vt:lpstr>Schamanen_Rituale</vt:lpstr>
      <vt:lpstr>Schamanen_Rituale_all</vt:lpstr>
      <vt:lpstr>SCHAMANEN_TRAD</vt:lpstr>
      <vt:lpstr>SCHARL</vt:lpstr>
      <vt:lpstr>SCHELME</vt:lpstr>
      <vt:lpstr>SCHLDPARALLE</vt:lpstr>
      <vt:lpstr>SCHLPAR</vt:lpstr>
      <vt:lpstr>SCHRIFTEN</vt:lpstr>
      <vt:lpstr>SCHRIFTENKOMP</vt:lpstr>
      <vt:lpstr>SCHSSWRF</vt:lpstr>
      <vt:lpstr>SCHSSWRFALLE</vt:lpstr>
      <vt:lpstr>SCHULDEN</vt:lpstr>
      <vt:lpstr>SCHULDENGP</vt:lpstr>
      <vt:lpstr>SEITE_BUCH</vt:lpstr>
      <vt:lpstr>SF_ALLE</vt:lpstr>
      <vt:lpstr>SF_ALLE_INDEX</vt:lpstr>
      <vt:lpstr>SF_ALLGEMEIN_LIST</vt:lpstr>
      <vt:lpstr>SF_ANDERE</vt:lpstr>
      <vt:lpstr>SF_ANDEREALLE</vt:lpstr>
      <vt:lpstr>SF_ELEMENTARIST</vt:lpstr>
      <vt:lpstr>SF_ELEMENTARISTALLE</vt:lpstr>
      <vt:lpstr>SF_GP_DOPPELT</vt:lpstr>
      <vt:lpstr>SF_KAMPF_LIST</vt:lpstr>
      <vt:lpstr>SF_KARMAL</vt:lpstr>
      <vt:lpstr>SF_KARMAL_LIST</vt:lpstr>
      <vt:lpstr>SF_KARMALALLE</vt:lpstr>
      <vt:lpstr>SF_KARMALQSTEN</vt:lpstr>
      <vt:lpstr>SF_MAGIE</vt:lpstr>
      <vt:lpstr>SF_MAGIE_LIST</vt:lpstr>
      <vt:lpstr>SF_MAGIEALLE</vt:lpstr>
      <vt:lpstr>SF_NAHFERN</vt:lpstr>
      <vt:lpstr>SF_NAHFERNALLE</vt:lpstr>
      <vt:lpstr>SF_NEKROMANT</vt:lpstr>
      <vt:lpstr>SF_NEKROMANT_ALLE</vt:lpstr>
      <vt:lpstr>SF_STANDFEST_GEN</vt:lpstr>
      <vt:lpstr>SF_Verbilligt_Left</vt:lpstr>
      <vt:lpstr>SF_Verbilligt_Right</vt:lpstr>
      <vt:lpstr>SF_WLOS</vt:lpstr>
      <vt:lpstr>SF_WLOS_LIST</vt:lpstr>
      <vt:lpstr>SF_WLOSALLE</vt:lpstr>
      <vt:lpstr>SFBILLIG</vt:lpstr>
      <vt:lpstr>SFGENE</vt:lpstr>
      <vt:lpstr>SFKPFGENE</vt:lpstr>
      <vt:lpstr>SHOW_Liturgie</vt:lpstr>
      <vt:lpstr>SHOW_nicht_möglich</vt:lpstr>
      <vt:lpstr>SHOW_Ritual</vt:lpstr>
      <vt:lpstr>SHOW_Speziell</vt:lpstr>
      <vt:lpstr>SINNE</vt:lpstr>
      <vt:lpstr>SINNEGP</vt:lpstr>
      <vt:lpstr>SKT</vt:lpstr>
      <vt:lpstr>SLDNER</vt:lpstr>
      <vt:lpstr>SO</vt:lpstr>
      <vt:lpstr>SOLDAT</vt:lpstr>
      <vt:lpstr>SPAETGEWEIHTER</vt:lpstr>
      <vt:lpstr>SPIELER</vt:lpstr>
      <vt:lpstr>SPRACHEN</vt:lpstr>
      <vt:lpstr>SPRACHEN_GELERNT</vt:lpstr>
      <vt:lpstr>SPRACHENKOMP</vt:lpstr>
      <vt:lpstr>SPRSCHRTAL</vt:lpstr>
      <vt:lpstr>SPTWHE</vt:lpstr>
      <vt:lpstr>STARTAP2</vt:lpstr>
      <vt:lpstr>STARTAP2_EIGEN</vt:lpstr>
      <vt:lpstr>STARTAP2_GOETTER</vt:lpstr>
      <vt:lpstr>STARTAP2_SF</vt:lpstr>
      <vt:lpstr>STARTAP2_TALENTE</vt:lpstr>
      <vt:lpstr>STARTAP2_UEBRIG</vt:lpstr>
      <vt:lpstr>STMSKRGR</vt:lpstr>
      <vt:lpstr>STUFE</vt:lpstr>
      <vt:lpstr>SUCHTM</vt:lpstr>
      <vt:lpstr>SUCHTMGES</vt:lpstr>
      <vt:lpstr>SUCHTMGP</vt:lpstr>
      <vt:lpstr>SWRTGSL</vt:lpstr>
      <vt:lpstr>SZALLE</vt:lpstr>
      <vt:lpstr>T_MAGIE</vt:lpstr>
      <vt:lpstr>T_MAGIEWERTE</vt:lpstr>
      <vt:lpstr>TALENTE</vt:lpstr>
      <vt:lpstr>TALENTE_GP</vt:lpstr>
      <vt:lpstr>TAW_2HNDFLEGEL</vt:lpstr>
      <vt:lpstr>TAW_2HNDHIEBWFN</vt:lpstr>
      <vt:lpstr>TAW_2HNDSCHWERTER</vt:lpstr>
      <vt:lpstr>TAW_AKROBATIK</vt:lpstr>
      <vt:lpstr>TAW_ALCHIMIE</vt:lpstr>
      <vt:lpstr>TAW_ANATOMIE</vt:lpstr>
      <vt:lpstr>TAW_ANDERTHALBHD</vt:lpstr>
      <vt:lpstr>TAW_ARMBRUST</vt:lpstr>
      <vt:lpstr>TAW_ATHLETIK</vt:lpstr>
      <vt:lpstr>TAW_BELAGERUNGSWFN</vt:lpstr>
      <vt:lpstr>TAW_BETOEREN</vt:lpstr>
      <vt:lpstr>TAW_BLASROHR</vt:lpstr>
      <vt:lpstr>TAW_BOGEN</vt:lpstr>
      <vt:lpstr>TAW_DISKUS</vt:lpstr>
      <vt:lpstr>TAW_DOLCHE</vt:lpstr>
      <vt:lpstr>TAW_FÄHRTEN</vt:lpstr>
      <vt:lpstr>TAW_FECHTWFN</vt:lpstr>
      <vt:lpstr>TAW_GASSENWISSEN</vt:lpstr>
      <vt:lpstr>TAW_HEILKUNDE_S</vt:lpstr>
      <vt:lpstr>TAW_HEILKUNDE_W</vt:lpstr>
      <vt:lpstr>TAW_HIEBWFN</vt:lpstr>
      <vt:lpstr>TAW_INFANTERIEWFN</vt:lpstr>
      <vt:lpstr>TAW_KETTENSTAEBE</vt:lpstr>
      <vt:lpstr>TAW_KETTENWFN</vt:lpstr>
      <vt:lpstr>TAW_KLETTERN</vt:lpstr>
      <vt:lpstr>TAW_KOERPERBHERR</vt:lpstr>
      <vt:lpstr>TAW_KRIEGSKUNST</vt:lpstr>
      <vt:lpstr>TAW_LANZENREITEN</vt:lpstr>
      <vt:lpstr>TAW_MAGIEKUNDE</vt:lpstr>
      <vt:lpstr>TAW_MENSCHENKENNT</vt:lpstr>
      <vt:lpstr>TAW_ORIENTIERUNG</vt:lpstr>
      <vt:lpstr>TAW_PEITSCHE</vt:lpstr>
      <vt:lpstr>TAW_PFLANZENKUNDE</vt:lpstr>
      <vt:lpstr>TAW_RAUFEN</vt:lpstr>
      <vt:lpstr>TAW_REITEN</vt:lpstr>
      <vt:lpstr>TAW_RINGEN</vt:lpstr>
      <vt:lpstr>TAW_SAEBEL</vt:lpstr>
      <vt:lpstr>TAW_SCHÄTZEN</vt:lpstr>
      <vt:lpstr>TAW_SCHLEICHEN</vt:lpstr>
      <vt:lpstr>TAW_SCHLEUDER</vt:lpstr>
      <vt:lpstr>TAW_SCHWERTER</vt:lpstr>
      <vt:lpstr>TAW_SCHWIMMEN</vt:lpstr>
      <vt:lpstr>TAW_SELBSTBEHERR</vt:lpstr>
      <vt:lpstr>TAW_SINNENSCHAERFE</vt:lpstr>
      <vt:lpstr>TAW_SPEERE</vt:lpstr>
      <vt:lpstr>TAW_STAEBE</vt:lpstr>
      <vt:lpstr>TAW_TASCHENDIEB</vt:lpstr>
      <vt:lpstr>TAW_TIERKUNDE</vt:lpstr>
      <vt:lpstr>TAW_ÜBERREDEN</vt:lpstr>
      <vt:lpstr>TAW_ÜBERZEUGEN</vt:lpstr>
      <vt:lpstr>TAW_VERKLEIDEN</vt:lpstr>
      <vt:lpstr>TAW_VERSTECKEN</vt:lpstr>
      <vt:lpstr>TAW_WACHEN</vt:lpstr>
      <vt:lpstr>TAW_WETTERVORHER</vt:lpstr>
      <vt:lpstr>TAW_WILDNISLEBEN</vt:lpstr>
      <vt:lpstr>TAW_WURFBEILE</vt:lpstr>
      <vt:lpstr>TAW_WURFMESSER</vt:lpstr>
      <vt:lpstr>TAW_WURFSPEERE</vt:lpstr>
      <vt:lpstr>TAW_ZECHEN</vt:lpstr>
      <vt:lpstr>TIER1_ART</vt:lpstr>
      <vt:lpstr>TIER1_LO</vt:lpstr>
      <vt:lpstr>TIER1_NAME</vt:lpstr>
      <vt:lpstr>TIER2_ART</vt:lpstr>
      <vt:lpstr>TIER2_LO</vt:lpstr>
      <vt:lpstr>TIER2_NAME</vt:lpstr>
      <vt:lpstr>TIEREMPATHIE</vt:lpstr>
      <vt:lpstr>TIEREMPATHIEGP</vt:lpstr>
      <vt:lpstr>TL_ALLE</vt:lpstr>
      <vt:lpstr>TL_FUER_GP</vt:lpstr>
      <vt:lpstr>TL_GES</vt:lpstr>
      <vt:lpstr>TL_GES_PRINT</vt:lpstr>
      <vt:lpstr>TL_GES_STW</vt:lpstr>
      <vt:lpstr>TL_GES_WERTE</vt:lpstr>
      <vt:lpstr>TL_GP</vt:lpstr>
      <vt:lpstr>TL_GP_EIGEN</vt:lpstr>
      <vt:lpstr>TL_GP_GOETTER</vt:lpstr>
      <vt:lpstr>TL_GP_SF</vt:lpstr>
      <vt:lpstr>TL_GP_TALENTE</vt:lpstr>
      <vt:lpstr>TL_GP_UEBRIG</vt:lpstr>
      <vt:lpstr>TL_GP_ZAUBER</vt:lpstr>
      <vt:lpstr>TL_GRUPPEN</vt:lpstr>
      <vt:lpstr>TL_GRUPPEN_WERTE</vt:lpstr>
      <vt:lpstr>TL_HWK</vt:lpstr>
      <vt:lpstr>TL_HWK_PRINT</vt:lpstr>
      <vt:lpstr>TL_HWK_STW</vt:lpstr>
      <vt:lpstr>TL_HWK_WERTE</vt:lpstr>
      <vt:lpstr>TL_KPF</vt:lpstr>
      <vt:lpstr>TL_KPF_ANZEIGE</vt:lpstr>
      <vt:lpstr>TL_KPF_STW</vt:lpstr>
      <vt:lpstr>TL_KPF_WERTE</vt:lpstr>
      <vt:lpstr>TL_KRP</vt:lpstr>
      <vt:lpstr>TL_KRP_PRINT</vt:lpstr>
      <vt:lpstr>TL_KRP_STW</vt:lpstr>
      <vt:lpstr>TL_KRP_WERTE</vt:lpstr>
      <vt:lpstr>TL_META</vt:lpstr>
      <vt:lpstr>TL_META_WERTE</vt:lpstr>
      <vt:lpstr>TL_NAT</vt:lpstr>
      <vt:lpstr>TL_NAT_PRINT</vt:lpstr>
      <vt:lpstr>TL_NAT_STW</vt:lpstr>
      <vt:lpstr>TL_NAT_WERTE</vt:lpstr>
      <vt:lpstr>TL_SPEZ</vt:lpstr>
      <vt:lpstr>TL_WIS</vt:lpstr>
      <vt:lpstr>TL_WIS_PRINT</vt:lpstr>
      <vt:lpstr>TL_WIS_STW</vt:lpstr>
      <vt:lpstr>TL_WIS_WERTE</vt:lpstr>
      <vt:lpstr>UNF_MERKMALE</vt:lpstr>
      <vt:lpstr>UNFAEH</vt:lpstr>
      <vt:lpstr>UNITATIO_WERT</vt:lpstr>
      <vt:lpstr>VERSION</vt:lpstr>
      <vt:lpstr>VERTRAUTE</vt:lpstr>
      <vt:lpstr>VERTRAUTEGP</vt:lpstr>
      <vt:lpstr>VERTRAUTENART</vt:lpstr>
      <vt:lpstr>VERTRAUTER_AFFE</vt:lpstr>
      <vt:lpstr>VERTRAUTER_EULE</vt:lpstr>
      <vt:lpstr>VERTRAUTER_FALKE</vt:lpstr>
      <vt:lpstr>VERTRAUTER_HUND</vt:lpstr>
      <vt:lpstr>VERTRAUTER_ILTIS</vt:lpstr>
      <vt:lpstr>VERTRAUTER_KATZE</vt:lpstr>
      <vt:lpstr>VERTRAUTER_KRÖTE</vt:lpstr>
      <vt:lpstr>VERTRAUTER_MARDER</vt:lpstr>
      <vt:lpstr>VERTRAUTER_RABE</vt:lpstr>
      <vt:lpstr>VERTRAUTER_SCHLANGE</vt:lpstr>
      <vt:lpstr>VERTRAUTER_SPINNE</vt:lpstr>
      <vt:lpstr>VERTRAUTER_WIESEL</vt:lpstr>
      <vt:lpstr>VERTRAUTER_WILDKATZE</vt:lpstr>
      <vt:lpstr>VERTRAUTEWERTE</vt:lpstr>
      <vt:lpstr>VIEW_EIGN</vt:lpstr>
      <vt:lpstr>VIEW_EIGN_TRUE</vt:lpstr>
      <vt:lpstr>VORTEILE</vt:lpstr>
      <vt:lpstr>VORTEILE_NATIV</vt:lpstr>
      <vt:lpstr>VORTEILEGENE</vt:lpstr>
      <vt:lpstr>VORTEILEGES</vt:lpstr>
      <vt:lpstr>VORTEILEVARGP</vt:lpstr>
      <vt:lpstr>VRTLZBR_START</vt:lpstr>
      <vt:lpstr>VRTLZBR_STARTGP</vt:lpstr>
      <vt:lpstr>VRTLZBR_ZAUBER</vt:lpstr>
      <vt:lpstr>VT_ADLIG</vt:lpstr>
      <vt:lpstr>VT_ADLIGABST</vt:lpstr>
      <vt:lpstr>VT_ADLIGERBE</vt:lpstr>
      <vt:lpstr>VT_AFF_ELEM</vt:lpstr>
      <vt:lpstr>VT_AKADGEL</vt:lpstr>
      <vt:lpstr>VT_AKADKRI</vt:lpstr>
      <vt:lpstr>VT_AKADMAG</vt:lpstr>
      <vt:lpstr>VT_ASP</vt:lpstr>
      <vt:lpstr>VT_ASP_WERT</vt:lpstr>
      <vt:lpstr>'Zauber 2'!VT_Astralmacht</vt:lpstr>
      <vt:lpstr>VT_ASTRREG1</vt:lpstr>
      <vt:lpstr>VT_ASTRREG2</vt:lpstr>
      <vt:lpstr>VT_ASTRREG3</vt:lpstr>
      <vt:lpstr>VT_AU</vt:lpstr>
      <vt:lpstr>VT_AU_WERT</vt:lpstr>
      <vt:lpstr>VT_AUSDAUERND</vt:lpstr>
      <vt:lpstr>VT_AUSRSTG</vt:lpstr>
      <vt:lpstr>VT_AUSRSTG_WERT</vt:lpstr>
      <vt:lpstr>VT_BALANCE</vt:lpstr>
      <vt:lpstr>VT_BBILDUNG</vt:lpstr>
      <vt:lpstr>VT_BEIDHG</vt:lpstr>
      <vt:lpstr>VT_BESBESITZ</vt:lpstr>
      <vt:lpstr>VT_BGBMERKMAL</vt:lpstr>
      <vt:lpstr>VT_BGBRITUAL</vt:lpstr>
      <vt:lpstr>VT_BGBTALENTE</vt:lpstr>
      <vt:lpstr>VT_BGBTALENTGR</vt:lpstr>
      <vt:lpstr>VT_BGBZAUBER</vt:lpstr>
      <vt:lpstr>VT_EIDGED</vt:lpstr>
      <vt:lpstr>VT_EIGEB</vt:lpstr>
      <vt:lpstr>VT_EIGEB_VT</vt:lpstr>
      <vt:lpstr>VT_EISERN</vt:lpstr>
      <vt:lpstr>VT_FEHLER</vt:lpstr>
      <vt:lpstr>VT_FLINK</vt:lpstr>
      <vt:lpstr>VT_FLINK_WERT</vt:lpstr>
      <vt:lpstr>VT_GE_GED</vt:lpstr>
      <vt:lpstr>VT_GEBILDET</vt:lpstr>
      <vt:lpstr>VT_GEBILDET_WERT</vt:lpstr>
      <vt:lpstr>VT_GEWEIHT</vt:lpstr>
      <vt:lpstr>VT_GUTGED</vt:lpstr>
      <vt:lpstr>VT_HALBZBR</vt:lpstr>
      <vt:lpstr>VT_HBALANCE</vt:lpstr>
      <vt:lpstr>VT_HEIGEN</vt:lpstr>
      <vt:lpstr>VT_HEIGEN_B</vt:lpstr>
      <vt:lpstr>VT_HEIGEN_PKT</vt:lpstr>
      <vt:lpstr>VT_HEIGEN_WERT</vt:lpstr>
      <vt:lpstr>VT_HEILUNG</vt:lpstr>
      <vt:lpstr>VT_HEILUNG_WERT</vt:lpstr>
      <vt:lpstr>VT_KRÄFTESCHUB_WERT</vt:lpstr>
      <vt:lpstr>VT_LEP</vt:lpstr>
      <vt:lpstr>VT_LEP_WERT</vt:lpstr>
      <vt:lpstr>VT_LINKHD</vt:lpstr>
      <vt:lpstr>VT_MACHT_VTRT</vt:lpstr>
      <vt:lpstr>VT_MR</vt:lpstr>
      <vt:lpstr>VT_MR_WERT</vt:lpstr>
      <vt:lpstr>VT_RSTG</vt:lpstr>
      <vt:lpstr>VT_RSTG_WERT</vt:lpstr>
      <vt:lpstr>VT_SCHLANGENMENSCH</vt:lpstr>
      <vt:lpstr>VT_SOZANPFGK</vt:lpstr>
      <vt:lpstr>VT_SPRUCHZBR</vt:lpstr>
      <vt:lpstr>VT_TALENTSCHUB_WERT</vt:lpstr>
      <vt:lpstr>VT_TIEREMPATHIE</vt:lpstr>
      <vt:lpstr>VT_TIEREMPATHIE_WERT</vt:lpstr>
      <vt:lpstr>VT_TIERFRND</vt:lpstr>
      <vt:lpstr>VT_UEBERBEG</vt:lpstr>
      <vt:lpstr>VT_UEBERBEG_ANZEIGE</vt:lpstr>
      <vt:lpstr>VT_VERBINDUNG_NW</vt:lpstr>
      <vt:lpstr>VT_VERBINDUNG_TXT</vt:lpstr>
      <vt:lpstr>VT_VERBINDUNG_WERT</vt:lpstr>
      <vt:lpstr>VT_VERBINDUNGEN</vt:lpstr>
      <vt:lpstr>VT_VETERAN</vt:lpstr>
      <vt:lpstr>VT_VOLLZBR</vt:lpstr>
      <vt:lpstr>VT_VRTLZBR</vt:lpstr>
      <vt:lpstr>VT_VRTLZBR_START</vt:lpstr>
      <vt:lpstr>VT_WOHLKLG</vt:lpstr>
      <vt:lpstr>VT_ZAUBERHAAR</vt:lpstr>
      <vt:lpstr>VT_ZWEIGESANG</vt:lpstr>
      <vt:lpstr>W_AUSWEICHEN</vt:lpstr>
      <vt:lpstr>W_BTREITER</vt:lpstr>
      <vt:lpstr>W_ENTDKR</vt:lpstr>
      <vt:lpstr>W_FERNHNDLER</vt:lpstr>
      <vt:lpstr>W_FISCHER</vt:lpstr>
      <vt:lpstr>W_FUHRMANN</vt:lpstr>
      <vt:lpstr>W_GINSTINKT</vt:lpstr>
      <vt:lpstr>W_GRNZJAEGER</vt:lpstr>
      <vt:lpstr>W_GRWDJAEGER</vt:lpstr>
      <vt:lpstr>W_HIRTE</vt:lpstr>
      <vt:lpstr>W_JAEGER</vt:lpstr>
      <vt:lpstr>W_KRWNFUHRER</vt:lpstr>
      <vt:lpstr>W_KUNDSCHFTER</vt:lpstr>
      <vt:lpstr>W_PROSPEKTOR</vt:lpstr>
      <vt:lpstr>W_SCHIFFER</vt:lpstr>
      <vt:lpstr>W_SCHMUGGLER</vt:lpstr>
      <vt:lpstr>W_SEHFRER</vt:lpstr>
      <vt:lpstr>W_STRRAEUBER</vt:lpstr>
      <vt:lpstr>WAFFEN</vt:lpstr>
      <vt:lpstr>WAFFENALLE</vt:lpstr>
      <vt:lpstr>WAFFENTL</vt:lpstr>
      <vt:lpstr>WAFFENWERTE</vt:lpstr>
      <vt:lpstr>WFBASBE</vt:lpstr>
      <vt:lpstr>WFS_2HNDFLEGEL1</vt:lpstr>
      <vt:lpstr>WFS_2HNDFLEGEL2</vt:lpstr>
      <vt:lpstr>WFS_2HNDHIEBWFN1</vt:lpstr>
      <vt:lpstr>WFS_2HNDHIEBWFN2</vt:lpstr>
      <vt:lpstr>WFS_2HNDSCHWERTER1</vt:lpstr>
      <vt:lpstr>WFS_2HNDSCHWERTER2</vt:lpstr>
      <vt:lpstr>WFS_ANDERTHALBHD1</vt:lpstr>
      <vt:lpstr>WFS_ANDERTHALBHD2</vt:lpstr>
      <vt:lpstr>WFS_ARMBRUST1</vt:lpstr>
      <vt:lpstr>WFS_ARMBRUST2</vt:lpstr>
      <vt:lpstr>WFS_BELAGERUNGSWFN</vt:lpstr>
      <vt:lpstr>WFS_BELAGERUNGSWFN1</vt:lpstr>
      <vt:lpstr>WFS_BELAGERUNGSWFN2</vt:lpstr>
      <vt:lpstr>WFS_BLASROHR</vt:lpstr>
      <vt:lpstr>WFS_BOGEN1</vt:lpstr>
      <vt:lpstr>WFS_BOGEN2</vt:lpstr>
      <vt:lpstr>WFS_DISKUS1</vt:lpstr>
      <vt:lpstr>WFS_DISKUS2</vt:lpstr>
      <vt:lpstr>WFS_DOLCHE1</vt:lpstr>
      <vt:lpstr>WFS_DOLCHE2</vt:lpstr>
      <vt:lpstr>WFS_FECHTWFN1</vt:lpstr>
      <vt:lpstr>WFS_FECHTWFN2</vt:lpstr>
      <vt:lpstr>WFS_HIEBWFN1</vt:lpstr>
      <vt:lpstr>WFS_HIEBWFN2</vt:lpstr>
      <vt:lpstr>WFS_INFANTERIEWFN1</vt:lpstr>
      <vt:lpstr>WFS_INFANTERIEWFN2</vt:lpstr>
      <vt:lpstr>WFS_KETTENSTAEBE1</vt:lpstr>
      <vt:lpstr>WFS_KETTENSTAEBE2</vt:lpstr>
      <vt:lpstr>WFS_KETTENWFN1</vt:lpstr>
      <vt:lpstr>WFS_KETTENWFN2</vt:lpstr>
      <vt:lpstr>WFS_SAEBEL1</vt:lpstr>
      <vt:lpstr>WFS_SAEBEL2</vt:lpstr>
      <vt:lpstr>WFS_SCHLEUDER1</vt:lpstr>
      <vt:lpstr>WFS_SCHLEUDER2</vt:lpstr>
      <vt:lpstr>WFS_SCHWERTER1</vt:lpstr>
      <vt:lpstr>WFS_SCHWERTER2</vt:lpstr>
      <vt:lpstr>WFS_SPEERE1</vt:lpstr>
      <vt:lpstr>WFS_SPEERE2</vt:lpstr>
      <vt:lpstr>WFS_STAEBE1</vt:lpstr>
      <vt:lpstr>WFS_STAEBE2</vt:lpstr>
      <vt:lpstr>WFS_WURFBEILE1</vt:lpstr>
      <vt:lpstr>WFS_WURFBEILE2</vt:lpstr>
      <vt:lpstr>WFS_WURFMESSER1</vt:lpstr>
      <vt:lpstr>WFS_WURFMESSER2</vt:lpstr>
      <vt:lpstr>WFS_WURFSPEERE1</vt:lpstr>
      <vt:lpstr>WFS_WURFSPEERE2</vt:lpstr>
      <vt:lpstr>WILDNIS</vt:lpstr>
      <vt:lpstr>WILDNIS_ALL</vt:lpstr>
      <vt:lpstr>WIRKUNGSDAUER</vt:lpstr>
      <vt:lpstr>WIRKUNGSDAUER_S</vt:lpstr>
      <vt:lpstr>WIRKUNGSDAUER_S_WERT</vt:lpstr>
      <vt:lpstr>WIRKUNGSDAUER_WERT</vt:lpstr>
      <vt:lpstr>WLOS_GLADIATOR_KS</vt:lpstr>
      <vt:lpstr>WM_WAFFE1</vt:lpstr>
      <vt:lpstr>WM_WAFFE2</vt:lpstr>
      <vt:lpstr>WM_WAFFE3</vt:lpstr>
      <vt:lpstr>WM_WAFFE4</vt:lpstr>
      <vt:lpstr>WS_2H_FLEGEL</vt:lpstr>
      <vt:lpstr>WS_2H_HIEBWFN</vt:lpstr>
      <vt:lpstr>WS_2H_SCHWERTER</vt:lpstr>
      <vt:lpstr>WS_ANDERTHALBHD</vt:lpstr>
      <vt:lpstr>WS_ARMBRUST</vt:lpstr>
      <vt:lpstr>WS_BELAG_WFN</vt:lpstr>
      <vt:lpstr>WS_BOGEN</vt:lpstr>
      <vt:lpstr>WS_DISKUS</vt:lpstr>
      <vt:lpstr>WS_DOLCHE</vt:lpstr>
      <vt:lpstr>WS_FECHTWFN</vt:lpstr>
      <vt:lpstr>WS_HIEBWFN</vt:lpstr>
      <vt:lpstr>WS_INF_WFN</vt:lpstr>
      <vt:lpstr>WS_KETTENSTAEBE</vt:lpstr>
      <vt:lpstr>WS_KETTENWFN</vt:lpstr>
      <vt:lpstr>WS_LANZENREITEN</vt:lpstr>
      <vt:lpstr>WS_SAEBEL</vt:lpstr>
      <vt:lpstr>WS_SCHLEUDER</vt:lpstr>
      <vt:lpstr>WS_SCHWERTER</vt:lpstr>
      <vt:lpstr>WS_SPEERE</vt:lpstr>
      <vt:lpstr>WS_STAEBE</vt:lpstr>
      <vt:lpstr>WS_WURFBEILE</vt:lpstr>
      <vt:lpstr>WS_WURFMESSER</vt:lpstr>
      <vt:lpstr>WS_WURFSPEERE</vt:lpstr>
      <vt:lpstr>WUNDEN</vt:lpstr>
      <vt:lpstr>ZAHLEN</vt:lpstr>
      <vt:lpstr>ZAUBER</vt:lpstr>
      <vt:lpstr>Zauber_bekannt</vt:lpstr>
      <vt:lpstr>Zauber_bekannt_aktiv</vt:lpstr>
      <vt:lpstr>ZAUBER_ELF_LEIT</vt:lpstr>
      <vt:lpstr>ZAUBER_HAUS_NEU</vt:lpstr>
      <vt:lpstr>ZAUBER_START_NEU</vt:lpstr>
      <vt:lpstr>ZAUBERHELD</vt:lpstr>
      <vt:lpstr>ZAUBERHELDNAME</vt:lpstr>
      <vt:lpstr>ZAUBERWERTE</vt:lpstr>
      <vt:lpstr>ZBRTZR</vt:lpstr>
      <vt:lpstr>ZBRTZR_UNM</vt:lpstr>
      <vt:lpstr>ZEILENBEZUG</vt:lpstr>
      <vt:lpstr>ZIBILJA</vt:lpstr>
      <vt:lpstr>ZIEL</vt:lpstr>
      <vt:lpstr>ZIEL_WERT</vt:lpstr>
      <vt:lpstr>ZS_AKADEMIE</vt:lpstr>
      <vt:lpstr>ZS_BZALLE</vt:lpstr>
      <vt:lpstr>ZS_HZ_IAAK</vt:lpstr>
      <vt:lpstr>ZS_HZALLE</vt:lpstr>
      <vt:lpstr>ZS_IAAK</vt:lpstr>
      <vt:lpstr>ZS_MERKMAL_ALLE</vt:lpstr>
      <vt:lpstr>ZS_SE_VIEW</vt:lpstr>
      <vt:lpstr>ZS_SF_ALLE</vt:lpstr>
      <vt:lpstr>ZS_ZF_IAAK</vt:lpstr>
      <vt:lpstr>ZS_ZFALLE</vt:lpstr>
      <vt:lpstr>ZUKAUFASPMAX</vt:lpstr>
      <vt:lpstr>ZUKAUFAUMAX</vt:lpstr>
      <vt:lpstr>ZUKAUFLEMAX</vt:lpstr>
      <vt:lpstr>ZUKAUFMRMAX</vt:lpstr>
      <vt:lpstr>ZWERG_GEODE</vt:lpstr>
      <vt:lpstr>ZWERG_GILDE</vt:lpstr>
      <vt:lpstr>ZWERG_MAGISCH</vt:lpstr>
      <vt:lpstr>ZZEICHEN</vt:lpstr>
      <vt:lpstr>ZZEICHEN_ALLE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DSA4 Excel Heldenblatt</dc:title>
  <dc:creator>Patrik Rüegge</dc:creator>
  <cp:lastModifiedBy>Patrik Rüegge</cp:lastModifiedBy>
  <cp:lastPrinted>2013-04-14T12:12:03Z</cp:lastPrinted>
  <dcterms:created xsi:type="dcterms:W3CDTF">2002-06-14T16:42:49Z</dcterms:created>
  <dcterms:modified xsi:type="dcterms:W3CDTF">2014-03-15T14:39:56Z</dcterms:modified>
</cp:coreProperties>
</file>